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EXCEL PROJECT\SAMICIOUS MICROFINANCE\"/>
    </mc:Choice>
  </mc:AlternateContent>
  <xr:revisionPtr revIDLastSave="0" documentId="8_{0E3500B9-93BB-4DF8-B8D5-8FDD99614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🏠 DASHBOARD" sheetId="1" r:id="rId1"/>
    <sheet name="DEVELOPER" sheetId="2" r:id="rId2"/>
    <sheet name="ACKNOWLEDGEMENT" sheetId="3" r:id="rId3"/>
    <sheet name="🏦 MANAGER DASHBOARD" sheetId="4" r:id="rId4"/>
    <sheet name="NEW ACCOUNT" sheetId="5" r:id="rId5"/>
    <sheet name="DB_Customers" sheetId="6" r:id="rId6"/>
    <sheet name="DB_Savings" sheetId="7" r:id="rId7"/>
    <sheet name="DB_Withdrawals" sheetId="8" r:id="rId8"/>
    <sheet name="DB_Loans" sheetId="9" r:id="rId9"/>
    <sheet name="LOAN TOPUP" sheetId="10" r:id="rId10"/>
    <sheet name="Agent01_Savings" sheetId="11" r:id="rId11"/>
    <sheet name="Agent01_Withdrawals" sheetId="12" r:id="rId12"/>
    <sheet name="Agent01_Loans" sheetId="13" r:id="rId13"/>
    <sheet name="Agent02_Savings" sheetId="14" r:id="rId14"/>
    <sheet name="Agent02_Withdrawals" sheetId="15" r:id="rId15"/>
    <sheet name="Agent02_Loans" sheetId="16" r:id="rId16"/>
    <sheet name="Agent03_Savings" sheetId="17" r:id="rId17"/>
    <sheet name="Agent03_Withdrawals" sheetId="18" r:id="rId18"/>
    <sheet name="Agent03_Loans" sheetId="19" r:id="rId19"/>
    <sheet name="Agent04_Savings" sheetId="20" r:id="rId20"/>
    <sheet name="Agent04_Withdrawals" sheetId="21" r:id="rId21"/>
    <sheet name="Agent04_Loans" sheetId="22" r:id="rId22"/>
    <sheet name="Agent05_Savings" sheetId="23" r:id="rId23"/>
    <sheet name="Agent05_Withdrawals" sheetId="24" r:id="rId24"/>
    <sheet name="Agent05_Loans" sheetId="25" r:id="rId25"/>
    <sheet name="Agent06_Savings" sheetId="26" r:id="rId26"/>
    <sheet name="Agent06_Withdrawals" sheetId="27" r:id="rId27"/>
    <sheet name="Agent06_Loans" sheetId="28" r:id="rId28"/>
    <sheet name="Agent07_Savings" sheetId="29" r:id="rId29"/>
    <sheet name="Agent07_Withdrawals" sheetId="30" r:id="rId30"/>
    <sheet name="Agent07_Loans" sheetId="31" r:id="rId31"/>
    <sheet name="Agent08_Savings" sheetId="32" r:id="rId32"/>
    <sheet name="Agent08_Withdrawals" sheetId="33" r:id="rId33"/>
    <sheet name="Agent08_Loans" sheetId="34" r:id="rId34"/>
    <sheet name="Agent09_Savings" sheetId="35" r:id="rId35"/>
    <sheet name="Agent09_Withdrawals" sheetId="36" r:id="rId36"/>
    <sheet name="Agent09_Loans" sheetId="37" r:id="rId37"/>
    <sheet name="Agent10_Savings" sheetId="38" r:id="rId38"/>
    <sheet name="Agent10_Withdrawals" sheetId="39" r:id="rId39"/>
    <sheet name="Agent10_Loans" sheetId="40" r:id="rId40"/>
    <sheet name="REPORTS" sheetId="41" r:id="rId41"/>
    <sheet name="System_Config" sheetId="42" r:id="rId42"/>
    <sheet name="DB_Agents" sheetId="43" r:id="rId4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41" l="1"/>
  <c r="A2" i="41"/>
  <c r="K213" i="40"/>
  <c r="J213" i="40"/>
  <c r="I213" i="40"/>
  <c r="D213" i="40"/>
  <c r="C213" i="40"/>
  <c r="A213" i="40"/>
  <c r="K212" i="40"/>
  <c r="J212" i="40"/>
  <c r="I212" i="40"/>
  <c r="D212" i="40"/>
  <c r="C212" i="40"/>
  <c r="A212" i="40"/>
  <c r="K211" i="40"/>
  <c r="J211" i="40"/>
  <c r="I211" i="40"/>
  <c r="D211" i="40"/>
  <c r="C211" i="40"/>
  <c r="A211" i="40"/>
  <c r="K210" i="40"/>
  <c r="I210" i="40"/>
  <c r="J210" i="40" s="1"/>
  <c r="D210" i="40"/>
  <c r="C210" i="40"/>
  <c r="A210" i="40"/>
  <c r="K209" i="40"/>
  <c r="J209" i="40"/>
  <c r="I209" i="40"/>
  <c r="D209" i="40"/>
  <c r="C209" i="40"/>
  <c r="A209" i="40"/>
  <c r="K208" i="40"/>
  <c r="J208" i="40"/>
  <c r="I208" i="40"/>
  <c r="D208" i="40"/>
  <c r="C208" i="40"/>
  <c r="A208" i="40"/>
  <c r="K207" i="40"/>
  <c r="J207" i="40"/>
  <c r="I207" i="40"/>
  <c r="D207" i="40"/>
  <c r="C207" i="40"/>
  <c r="A207" i="40"/>
  <c r="K206" i="40"/>
  <c r="I206" i="40"/>
  <c r="J206" i="40" s="1"/>
  <c r="D206" i="40"/>
  <c r="C206" i="40"/>
  <c r="A206" i="40"/>
  <c r="K205" i="40"/>
  <c r="J205" i="40"/>
  <c r="I205" i="40"/>
  <c r="D205" i="40"/>
  <c r="C205" i="40"/>
  <c r="A205" i="40"/>
  <c r="K204" i="40"/>
  <c r="J204" i="40"/>
  <c r="I204" i="40"/>
  <c r="D204" i="40"/>
  <c r="C204" i="40"/>
  <c r="A204" i="40"/>
  <c r="K203" i="40"/>
  <c r="J203" i="40"/>
  <c r="I203" i="40"/>
  <c r="D203" i="40"/>
  <c r="C203" i="40"/>
  <c r="A203" i="40"/>
  <c r="K202" i="40"/>
  <c r="I202" i="40"/>
  <c r="J202" i="40" s="1"/>
  <c r="D202" i="40"/>
  <c r="C202" i="40"/>
  <c r="A202" i="40"/>
  <c r="K201" i="40"/>
  <c r="J201" i="40"/>
  <c r="I201" i="40"/>
  <c r="D201" i="40"/>
  <c r="C201" i="40"/>
  <c r="A201" i="40"/>
  <c r="K200" i="40"/>
  <c r="J200" i="40"/>
  <c r="I200" i="40"/>
  <c r="D200" i="40"/>
  <c r="C200" i="40"/>
  <c r="A200" i="40"/>
  <c r="K199" i="40"/>
  <c r="J199" i="40"/>
  <c r="I199" i="40"/>
  <c r="D199" i="40"/>
  <c r="C199" i="40"/>
  <c r="A199" i="40"/>
  <c r="K198" i="40"/>
  <c r="I198" i="40"/>
  <c r="J198" i="40" s="1"/>
  <c r="D198" i="40"/>
  <c r="C198" i="40"/>
  <c r="A198" i="40"/>
  <c r="K197" i="40"/>
  <c r="J197" i="40"/>
  <c r="I197" i="40"/>
  <c r="D197" i="40"/>
  <c r="C197" i="40"/>
  <c r="A197" i="40"/>
  <c r="K196" i="40"/>
  <c r="J196" i="40"/>
  <c r="I196" i="40"/>
  <c r="D196" i="40"/>
  <c r="C196" i="40"/>
  <c r="A196" i="40"/>
  <c r="K195" i="40"/>
  <c r="J195" i="40"/>
  <c r="I195" i="40"/>
  <c r="D195" i="40"/>
  <c r="C195" i="40"/>
  <c r="A195" i="40"/>
  <c r="K194" i="40"/>
  <c r="I194" i="40"/>
  <c r="J194" i="40" s="1"/>
  <c r="D194" i="40"/>
  <c r="C194" i="40"/>
  <c r="A194" i="40"/>
  <c r="K193" i="40"/>
  <c r="J193" i="40"/>
  <c r="I193" i="40"/>
  <c r="D193" i="40"/>
  <c r="C193" i="40"/>
  <c r="A193" i="40"/>
  <c r="K192" i="40"/>
  <c r="J192" i="40"/>
  <c r="I192" i="40"/>
  <c r="D192" i="40"/>
  <c r="C192" i="40"/>
  <c r="A192" i="40"/>
  <c r="K191" i="40"/>
  <c r="J191" i="40"/>
  <c r="I191" i="40"/>
  <c r="D191" i="40"/>
  <c r="C191" i="40"/>
  <c r="A191" i="40"/>
  <c r="K190" i="40"/>
  <c r="I190" i="40"/>
  <c r="J190" i="40" s="1"/>
  <c r="D190" i="40"/>
  <c r="C190" i="40"/>
  <c r="A190" i="40"/>
  <c r="K189" i="40"/>
  <c r="J189" i="40"/>
  <c r="I189" i="40"/>
  <c r="D189" i="40"/>
  <c r="C189" i="40"/>
  <c r="A189" i="40"/>
  <c r="K188" i="40"/>
  <c r="J188" i="40"/>
  <c r="I188" i="40"/>
  <c r="D188" i="40"/>
  <c r="C188" i="40"/>
  <c r="A188" i="40"/>
  <c r="K187" i="40"/>
  <c r="J187" i="40"/>
  <c r="I187" i="40"/>
  <c r="D187" i="40"/>
  <c r="C187" i="40"/>
  <c r="A187" i="40"/>
  <c r="K186" i="40"/>
  <c r="I186" i="40"/>
  <c r="J186" i="40" s="1"/>
  <c r="D186" i="40"/>
  <c r="C186" i="40"/>
  <c r="A186" i="40"/>
  <c r="K185" i="40"/>
  <c r="J185" i="40"/>
  <c r="I185" i="40"/>
  <c r="D185" i="40"/>
  <c r="C185" i="40"/>
  <c r="A185" i="40"/>
  <c r="K184" i="40"/>
  <c r="J184" i="40"/>
  <c r="I184" i="40"/>
  <c r="D184" i="40"/>
  <c r="C184" i="40"/>
  <c r="A184" i="40"/>
  <c r="K183" i="40"/>
  <c r="J183" i="40"/>
  <c r="I183" i="40"/>
  <c r="D183" i="40"/>
  <c r="C183" i="40"/>
  <c r="A183" i="40"/>
  <c r="K182" i="40"/>
  <c r="I182" i="40"/>
  <c r="J182" i="40" s="1"/>
  <c r="D182" i="40"/>
  <c r="C182" i="40"/>
  <c r="A182" i="40"/>
  <c r="K181" i="40"/>
  <c r="J181" i="40"/>
  <c r="I181" i="40"/>
  <c r="D181" i="40"/>
  <c r="C181" i="40"/>
  <c r="A181" i="40"/>
  <c r="K180" i="40"/>
  <c r="J180" i="40"/>
  <c r="I180" i="40"/>
  <c r="D180" i="40"/>
  <c r="C180" i="40"/>
  <c r="A180" i="40"/>
  <c r="K179" i="40"/>
  <c r="J179" i="40"/>
  <c r="I179" i="40"/>
  <c r="D179" i="40"/>
  <c r="C179" i="40"/>
  <c r="A179" i="40"/>
  <c r="K178" i="40"/>
  <c r="I178" i="40"/>
  <c r="J178" i="40" s="1"/>
  <c r="D178" i="40"/>
  <c r="C178" i="40"/>
  <c r="A178" i="40"/>
  <c r="K177" i="40"/>
  <c r="J177" i="40"/>
  <c r="I177" i="40"/>
  <c r="D177" i="40"/>
  <c r="C177" i="40"/>
  <c r="A177" i="40"/>
  <c r="K176" i="40"/>
  <c r="J176" i="40"/>
  <c r="I176" i="40"/>
  <c r="D176" i="40"/>
  <c r="C176" i="40"/>
  <c r="A176" i="40"/>
  <c r="K175" i="40"/>
  <c r="J175" i="40"/>
  <c r="I175" i="40"/>
  <c r="D175" i="40"/>
  <c r="C175" i="40"/>
  <c r="A175" i="40"/>
  <c r="K174" i="40"/>
  <c r="I174" i="40"/>
  <c r="J174" i="40" s="1"/>
  <c r="D174" i="40"/>
  <c r="C174" i="40"/>
  <c r="A174" i="40"/>
  <c r="K173" i="40"/>
  <c r="J173" i="40"/>
  <c r="I173" i="40"/>
  <c r="D173" i="40"/>
  <c r="C173" i="40"/>
  <c r="A173" i="40"/>
  <c r="K172" i="40"/>
  <c r="J172" i="40"/>
  <c r="I172" i="40"/>
  <c r="D172" i="40"/>
  <c r="C172" i="40"/>
  <c r="A172" i="40"/>
  <c r="K171" i="40"/>
  <c r="J171" i="40"/>
  <c r="I171" i="40"/>
  <c r="D171" i="40"/>
  <c r="C171" i="40"/>
  <c r="A171" i="40"/>
  <c r="K170" i="40"/>
  <c r="I170" i="40"/>
  <c r="J170" i="40" s="1"/>
  <c r="D170" i="40"/>
  <c r="C170" i="40"/>
  <c r="A170" i="40"/>
  <c r="K169" i="40"/>
  <c r="J169" i="40"/>
  <c r="I169" i="40"/>
  <c r="D169" i="40"/>
  <c r="C169" i="40"/>
  <c r="A169" i="40"/>
  <c r="K168" i="40"/>
  <c r="J168" i="40"/>
  <c r="I168" i="40"/>
  <c r="D168" i="40"/>
  <c r="C168" i="40"/>
  <c r="A168" i="40"/>
  <c r="K167" i="40"/>
  <c r="J167" i="40"/>
  <c r="I167" i="40"/>
  <c r="D167" i="40"/>
  <c r="C167" i="40"/>
  <c r="A167" i="40"/>
  <c r="K166" i="40"/>
  <c r="I166" i="40"/>
  <c r="J166" i="40" s="1"/>
  <c r="D166" i="40"/>
  <c r="C166" i="40"/>
  <c r="A166" i="40"/>
  <c r="K165" i="40"/>
  <c r="J165" i="40"/>
  <c r="I165" i="40"/>
  <c r="D165" i="40"/>
  <c r="C165" i="40"/>
  <c r="A165" i="40"/>
  <c r="K164" i="40"/>
  <c r="J164" i="40"/>
  <c r="I164" i="40"/>
  <c r="D164" i="40"/>
  <c r="C164" i="40"/>
  <c r="A164" i="40"/>
  <c r="K163" i="40"/>
  <c r="J163" i="40"/>
  <c r="I163" i="40"/>
  <c r="D163" i="40"/>
  <c r="C163" i="40"/>
  <c r="A163" i="40"/>
  <c r="K162" i="40"/>
  <c r="I162" i="40"/>
  <c r="J162" i="40" s="1"/>
  <c r="D162" i="40"/>
  <c r="C162" i="40"/>
  <c r="A162" i="40"/>
  <c r="K161" i="40"/>
  <c r="J161" i="40"/>
  <c r="I161" i="40"/>
  <c r="D161" i="40"/>
  <c r="C161" i="40"/>
  <c r="A161" i="40"/>
  <c r="K160" i="40"/>
  <c r="J160" i="40"/>
  <c r="I160" i="40"/>
  <c r="D160" i="40"/>
  <c r="C160" i="40"/>
  <c r="A160" i="40"/>
  <c r="K159" i="40"/>
  <c r="J159" i="40"/>
  <c r="I159" i="40"/>
  <c r="D159" i="40"/>
  <c r="C159" i="40"/>
  <c r="A159" i="40"/>
  <c r="K158" i="40"/>
  <c r="I158" i="40"/>
  <c r="J158" i="40" s="1"/>
  <c r="D158" i="40"/>
  <c r="C158" i="40"/>
  <c r="A158" i="40"/>
  <c r="K157" i="40"/>
  <c r="J157" i="40"/>
  <c r="I157" i="40"/>
  <c r="D157" i="40"/>
  <c r="C157" i="40"/>
  <c r="A157" i="40"/>
  <c r="K156" i="40"/>
  <c r="J156" i="40"/>
  <c r="I156" i="40"/>
  <c r="D156" i="40"/>
  <c r="C156" i="40"/>
  <c r="A156" i="40"/>
  <c r="K155" i="40"/>
  <c r="J155" i="40"/>
  <c r="I155" i="40"/>
  <c r="D155" i="40"/>
  <c r="C155" i="40"/>
  <c r="A155" i="40"/>
  <c r="K154" i="40"/>
  <c r="I154" i="40"/>
  <c r="J154" i="40" s="1"/>
  <c r="D154" i="40"/>
  <c r="C154" i="40"/>
  <c r="A154" i="40"/>
  <c r="K153" i="40"/>
  <c r="J153" i="40"/>
  <c r="I153" i="40"/>
  <c r="D153" i="40"/>
  <c r="C153" i="40"/>
  <c r="A153" i="40"/>
  <c r="K152" i="40"/>
  <c r="J152" i="40"/>
  <c r="I152" i="40"/>
  <c r="D152" i="40"/>
  <c r="C152" i="40"/>
  <c r="A152" i="40"/>
  <c r="K151" i="40"/>
  <c r="J151" i="40"/>
  <c r="I151" i="40"/>
  <c r="D151" i="40"/>
  <c r="C151" i="40"/>
  <c r="A151" i="40"/>
  <c r="K150" i="40"/>
  <c r="I150" i="40"/>
  <c r="J150" i="40" s="1"/>
  <c r="D150" i="40"/>
  <c r="C150" i="40"/>
  <c r="A150" i="40"/>
  <c r="K149" i="40"/>
  <c r="J149" i="40"/>
  <c r="I149" i="40"/>
  <c r="D149" i="40"/>
  <c r="C149" i="40"/>
  <c r="A149" i="40"/>
  <c r="K148" i="40"/>
  <c r="J148" i="40"/>
  <c r="I148" i="40"/>
  <c r="D148" i="40"/>
  <c r="C148" i="40"/>
  <c r="A148" i="40"/>
  <c r="K147" i="40"/>
  <c r="J147" i="40"/>
  <c r="I147" i="40"/>
  <c r="D147" i="40"/>
  <c r="C147" i="40"/>
  <c r="A147" i="40"/>
  <c r="K146" i="40"/>
  <c r="I146" i="40"/>
  <c r="J146" i="40" s="1"/>
  <c r="D146" i="40"/>
  <c r="C146" i="40"/>
  <c r="A146" i="40"/>
  <c r="K145" i="40"/>
  <c r="J145" i="40"/>
  <c r="I145" i="40"/>
  <c r="D145" i="40"/>
  <c r="C145" i="40"/>
  <c r="A145" i="40"/>
  <c r="K144" i="40"/>
  <c r="J144" i="40"/>
  <c r="I144" i="40"/>
  <c r="D144" i="40"/>
  <c r="C144" i="40"/>
  <c r="A144" i="40"/>
  <c r="K143" i="40"/>
  <c r="J143" i="40"/>
  <c r="I143" i="40"/>
  <c r="D143" i="40"/>
  <c r="C143" i="40"/>
  <c r="A143" i="40"/>
  <c r="K142" i="40"/>
  <c r="I142" i="40"/>
  <c r="J142" i="40" s="1"/>
  <c r="D142" i="40"/>
  <c r="C142" i="40"/>
  <c r="A142" i="40"/>
  <c r="K141" i="40"/>
  <c r="J141" i="40"/>
  <c r="I141" i="40"/>
  <c r="D141" i="40"/>
  <c r="C141" i="40"/>
  <c r="A141" i="40"/>
  <c r="K140" i="40"/>
  <c r="J140" i="40"/>
  <c r="I140" i="40"/>
  <c r="D140" i="40"/>
  <c r="C140" i="40"/>
  <c r="A140" i="40"/>
  <c r="K139" i="40"/>
  <c r="J139" i="40"/>
  <c r="I139" i="40"/>
  <c r="D139" i="40"/>
  <c r="C139" i="40"/>
  <c r="A139" i="40"/>
  <c r="K138" i="40"/>
  <c r="I138" i="40"/>
  <c r="J138" i="40" s="1"/>
  <c r="D138" i="40"/>
  <c r="C138" i="40"/>
  <c r="A138" i="40"/>
  <c r="K137" i="40"/>
  <c r="J137" i="40"/>
  <c r="I137" i="40"/>
  <c r="D137" i="40"/>
  <c r="C137" i="40"/>
  <c r="A137" i="40"/>
  <c r="K136" i="40"/>
  <c r="J136" i="40"/>
  <c r="I136" i="40"/>
  <c r="D136" i="40"/>
  <c r="C136" i="40"/>
  <c r="A136" i="40"/>
  <c r="K135" i="40"/>
  <c r="J135" i="40"/>
  <c r="I135" i="40"/>
  <c r="D135" i="40"/>
  <c r="C135" i="40"/>
  <c r="A135" i="40"/>
  <c r="K134" i="40"/>
  <c r="I134" i="40"/>
  <c r="J134" i="40" s="1"/>
  <c r="D134" i="40"/>
  <c r="C134" i="40"/>
  <c r="A134" i="40"/>
  <c r="K133" i="40"/>
  <c r="J133" i="40"/>
  <c r="I133" i="40"/>
  <c r="D133" i="40"/>
  <c r="C133" i="40"/>
  <c r="A133" i="40"/>
  <c r="K132" i="40"/>
  <c r="J132" i="40"/>
  <c r="I132" i="40"/>
  <c r="D132" i="40"/>
  <c r="C132" i="40"/>
  <c r="A132" i="40"/>
  <c r="K131" i="40"/>
  <c r="J131" i="40"/>
  <c r="I131" i="40"/>
  <c r="D131" i="40"/>
  <c r="C131" i="40"/>
  <c r="A131" i="40"/>
  <c r="K130" i="40"/>
  <c r="I130" i="40"/>
  <c r="J130" i="40" s="1"/>
  <c r="D130" i="40"/>
  <c r="C130" i="40"/>
  <c r="A130" i="40"/>
  <c r="K129" i="40"/>
  <c r="J129" i="40"/>
  <c r="I129" i="40"/>
  <c r="D129" i="40"/>
  <c r="C129" i="40"/>
  <c r="A129" i="40"/>
  <c r="K128" i="40"/>
  <c r="J128" i="40"/>
  <c r="I128" i="40"/>
  <c r="D128" i="40"/>
  <c r="C128" i="40"/>
  <c r="A128" i="40"/>
  <c r="K127" i="40"/>
  <c r="J127" i="40"/>
  <c r="I127" i="40"/>
  <c r="D127" i="40"/>
  <c r="C127" i="40"/>
  <c r="A127" i="40"/>
  <c r="K126" i="40"/>
  <c r="I126" i="40"/>
  <c r="J126" i="40" s="1"/>
  <c r="D126" i="40"/>
  <c r="C126" i="40"/>
  <c r="A126" i="40"/>
  <c r="K125" i="40"/>
  <c r="J125" i="40"/>
  <c r="I125" i="40"/>
  <c r="D125" i="40"/>
  <c r="C125" i="40"/>
  <c r="A125" i="40"/>
  <c r="K124" i="40"/>
  <c r="J124" i="40"/>
  <c r="I124" i="40"/>
  <c r="D124" i="40"/>
  <c r="C124" i="40"/>
  <c r="A124" i="40"/>
  <c r="K123" i="40"/>
  <c r="J123" i="40"/>
  <c r="I123" i="40"/>
  <c r="D123" i="40"/>
  <c r="C123" i="40"/>
  <c r="A123" i="40"/>
  <c r="K122" i="40"/>
  <c r="I122" i="40"/>
  <c r="J122" i="40" s="1"/>
  <c r="D122" i="40"/>
  <c r="C122" i="40"/>
  <c r="A122" i="40"/>
  <c r="K121" i="40"/>
  <c r="J121" i="40"/>
  <c r="I121" i="40"/>
  <c r="D121" i="40"/>
  <c r="C121" i="40"/>
  <c r="A121" i="40"/>
  <c r="K120" i="40"/>
  <c r="J120" i="40"/>
  <c r="I120" i="40"/>
  <c r="D120" i="40"/>
  <c r="C120" i="40"/>
  <c r="A120" i="40"/>
  <c r="K119" i="40"/>
  <c r="J119" i="40"/>
  <c r="I119" i="40"/>
  <c r="D119" i="40"/>
  <c r="C119" i="40"/>
  <c r="A119" i="40"/>
  <c r="K118" i="40"/>
  <c r="I118" i="40"/>
  <c r="J118" i="40" s="1"/>
  <c r="D118" i="40"/>
  <c r="C118" i="40"/>
  <c r="A118" i="40"/>
  <c r="K117" i="40"/>
  <c r="J117" i="40"/>
  <c r="I117" i="40"/>
  <c r="D117" i="40"/>
  <c r="C117" i="40"/>
  <c r="A117" i="40"/>
  <c r="K116" i="40"/>
  <c r="J116" i="40"/>
  <c r="I116" i="40"/>
  <c r="D116" i="40"/>
  <c r="C116" i="40"/>
  <c r="A116" i="40"/>
  <c r="K115" i="40"/>
  <c r="J115" i="40"/>
  <c r="I115" i="40"/>
  <c r="D115" i="40"/>
  <c r="C115" i="40"/>
  <c r="A115" i="40"/>
  <c r="K114" i="40"/>
  <c r="I114" i="40"/>
  <c r="J114" i="40" s="1"/>
  <c r="D114" i="40"/>
  <c r="C114" i="40"/>
  <c r="A114" i="40"/>
  <c r="K113" i="40"/>
  <c r="J113" i="40"/>
  <c r="I113" i="40"/>
  <c r="D113" i="40"/>
  <c r="C113" i="40"/>
  <c r="A113" i="40"/>
  <c r="K112" i="40"/>
  <c r="J112" i="40"/>
  <c r="I112" i="40"/>
  <c r="D112" i="40"/>
  <c r="C112" i="40"/>
  <c r="A112" i="40"/>
  <c r="K111" i="40"/>
  <c r="J111" i="40"/>
  <c r="I111" i="40"/>
  <c r="D111" i="40"/>
  <c r="C111" i="40"/>
  <c r="A111" i="40"/>
  <c r="K110" i="40"/>
  <c r="I110" i="40"/>
  <c r="J110" i="40" s="1"/>
  <c r="D110" i="40"/>
  <c r="C110" i="40"/>
  <c r="A110" i="40"/>
  <c r="K109" i="40"/>
  <c r="J109" i="40"/>
  <c r="I109" i="40"/>
  <c r="D109" i="40"/>
  <c r="C109" i="40"/>
  <c r="A109" i="40"/>
  <c r="K108" i="40"/>
  <c r="J108" i="40"/>
  <c r="I108" i="40"/>
  <c r="D108" i="40"/>
  <c r="C108" i="40"/>
  <c r="A108" i="40"/>
  <c r="K107" i="40"/>
  <c r="J107" i="40"/>
  <c r="I107" i="40"/>
  <c r="D107" i="40"/>
  <c r="C107" i="40"/>
  <c r="A107" i="40"/>
  <c r="K106" i="40"/>
  <c r="I106" i="40"/>
  <c r="J106" i="40" s="1"/>
  <c r="D106" i="40"/>
  <c r="C106" i="40"/>
  <c r="A106" i="40"/>
  <c r="K105" i="40"/>
  <c r="J105" i="40"/>
  <c r="I105" i="40"/>
  <c r="D105" i="40"/>
  <c r="C105" i="40"/>
  <c r="A105" i="40"/>
  <c r="K104" i="40"/>
  <c r="J104" i="40"/>
  <c r="I104" i="40"/>
  <c r="D104" i="40"/>
  <c r="C104" i="40"/>
  <c r="A104" i="40"/>
  <c r="K103" i="40"/>
  <c r="J103" i="40"/>
  <c r="I103" i="40"/>
  <c r="D103" i="40"/>
  <c r="C103" i="40"/>
  <c r="A103" i="40"/>
  <c r="K102" i="40"/>
  <c r="I102" i="40"/>
  <c r="J102" i="40" s="1"/>
  <c r="D102" i="40"/>
  <c r="C102" i="40"/>
  <c r="A102" i="40"/>
  <c r="K101" i="40"/>
  <c r="J101" i="40"/>
  <c r="I101" i="40"/>
  <c r="D101" i="40"/>
  <c r="C101" i="40"/>
  <c r="A101" i="40"/>
  <c r="K100" i="40"/>
  <c r="J100" i="40"/>
  <c r="I100" i="40"/>
  <c r="D100" i="40"/>
  <c r="C100" i="40"/>
  <c r="A100" i="40"/>
  <c r="K99" i="40"/>
  <c r="J99" i="40"/>
  <c r="I99" i="40"/>
  <c r="D99" i="40"/>
  <c r="C99" i="40"/>
  <c r="A99" i="40"/>
  <c r="K98" i="40"/>
  <c r="I98" i="40"/>
  <c r="J98" i="40" s="1"/>
  <c r="D98" i="40"/>
  <c r="C98" i="40"/>
  <c r="A98" i="40"/>
  <c r="K97" i="40"/>
  <c r="J97" i="40"/>
  <c r="I97" i="40"/>
  <c r="D97" i="40"/>
  <c r="C97" i="40"/>
  <c r="A97" i="40"/>
  <c r="K96" i="40"/>
  <c r="J96" i="40"/>
  <c r="I96" i="40"/>
  <c r="D96" i="40"/>
  <c r="C96" i="40"/>
  <c r="A96" i="40"/>
  <c r="K95" i="40"/>
  <c r="J95" i="40"/>
  <c r="I95" i="40"/>
  <c r="D95" i="40"/>
  <c r="C95" i="40"/>
  <c r="A95" i="40"/>
  <c r="K94" i="40"/>
  <c r="I94" i="40"/>
  <c r="J94" i="40" s="1"/>
  <c r="D94" i="40"/>
  <c r="C94" i="40"/>
  <c r="A94" i="40"/>
  <c r="K93" i="40"/>
  <c r="J93" i="40"/>
  <c r="I93" i="40"/>
  <c r="D93" i="40"/>
  <c r="C93" i="40"/>
  <c r="A93" i="40"/>
  <c r="K92" i="40"/>
  <c r="J92" i="40"/>
  <c r="I92" i="40"/>
  <c r="D92" i="40"/>
  <c r="C92" i="40"/>
  <c r="A92" i="40"/>
  <c r="K91" i="40"/>
  <c r="J91" i="40"/>
  <c r="I91" i="40"/>
  <c r="D91" i="40"/>
  <c r="C91" i="40"/>
  <c r="A91" i="40"/>
  <c r="K90" i="40"/>
  <c r="I90" i="40"/>
  <c r="J90" i="40" s="1"/>
  <c r="D90" i="40"/>
  <c r="C90" i="40"/>
  <c r="A90" i="40"/>
  <c r="K89" i="40"/>
  <c r="J89" i="40"/>
  <c r="I89" i="40"/>
  <c r="D89" i="40"/>
  <c r="C89" i="40"/>
  <c r="A89" i="40"/>
  <c r="K88" i="40"/>
  <c r="J88" i="40"/>
  <c r="I88" i="40"/>
  <c r="D88" i="40"/>
  <c r="C88" i="40"/>
  <c r="A88" i="40"/>
  <c r="K87" i="40"/>
  <c r="J87" i="40"/>
  <c r="I87" i="40"/>
  <c r="D87" i="40"/>
  <c r="C87" i="40"/>
  <c r="A87" i="40"/>
  <c r="K86" i="40"/>
  <c r="I86" i="40"/>
  <c r="J86" i="40" s="1"/>
  <c r="D86" i="40"/>
  <c r="C86" i="40"/>
  <c r="A86" i="40"/>
  <c r="K85" i="40"/>
  <c r="J85" i="40"/>
  <c r="I85" i="40"/>
  <c r="D85" i="40"/>
  <c r="C85" i="40"/>
  <c r="A85" i="40"/>
  <c r="K84" i="40"/>
  <c r="J84" i="40"/>
  <c r="I84" i="40"/>
  <c r="D84" i="40"/>
  <c r="C84" i="40"/>
  <c r="A84" i="40"/>
  <c r="K83" i="40"/>
  <c r="J83" i="40"/>
  <c r="I83" i="40"/>
  <c r="D83" i="40"/>
  <c r="C83" i="40"/>
  <c r="A83" i="40"/>
  <c r="K82" i="40"/>
  <c r="I82" i="40"/>
  <c r="J82" i="40" s="1"/>
  <c r="D82" i="40"/>
  <c r="C82" i="40"/>
  <c r="A82" i="40"/>
  <c r="K81" i="40"/>
  <c r="J81" i="40"/>
  <c r="I81" i="40"/>
  <c r="D81" i="40"/>
  <c r="C81" i="40"/>
  <c r="A81" i="40"/>
  <c r="K80" i="40"/>
  <c r="J80" i="40"/>
  <c r="I80" i="40"/>
  <c r="D80" i="40"/>
  <c r="C80" i="40"/>
  <c r="A80" i="40"/>
  <c r="K79" i="40"/>
  <c r="J79" i="40"/>
  <c r="I79" i="40"/>
  <c r="D79" i="40"/>
  <c r="C79" i="40"/>
  <c r="A79" i="40"/>
  <c r="K78" i="40"/>
  <c r="I78" i="40"/>
  <c r="J78" i="40" s="1"/>
  <c r="D78" i="40"/>
  <c r="C78" i="40"/>
  <c r="A78" i="40"/>
  <c r="K77" i="40"/>
  <c r="J77" i="40"/>
  <c r="I77" i="40"/>
  <c r="D77" i="40"/>
  <c r="C77" i="40"/>
  <c r="A77" i="40"/>
  <c r="K76" i="40"/>
  <c r="J76" i="40"/>
  <c r="I76" i="40"/>
  <c r="D76" i="40"/>
  <c r="C76" i="40"/>
  <c r="A76" i="40"/>
  <c r="K75" i="40"/>
  <c r="J75" i="40"/>
  <c r="I75" i="40"/>
  <c r="D75" i="40"/>
  <c r="C75" i="40"/>
  <c r="A75" i="40"/>
  <c r="K74" i="40"/>
  <c r="I74" i="40"/>
  <c r="J74" i="40" s="1"/>
  <c r="D74" i="40"/>
  <c r="C74" i="40"/>
  <c r="A74" i="40"/>
  <c r="K73" i="40"/>
  <c r="J73" i="40"/>
  <c r="I73" i="40"/>
  <c r="D73" i="40"/>
  <c r="C73" i="40"/>
  <c r="A73" i="40"/>
  <c r="K72" i="40"/>
  <c r="J72" i="40"/>
  <c r="I72" i="40"/>
  <c r="D72" i="40"/>
  <c r="C72" i="40"/>
  <c r="A72" i="40"/>
  <c r="K71" i="40"/>
  <c r="J71" i="40"/>
  <c r="I71" i="40"/>
  <c r="D71" i="40"/>
  <c r="C71" i="40"/>
  <c r="A71" i="40"/>
  <c r="K70" i="40"/>
  <c r="I70" i="40"/>
  <c r="J70" i="40" s="1"/>
  <c r="D70" i="40"/>
  <c r="C70" i="40"/>
  <c r="A70" i="40"/>
  <c r="K69" i="40"/>
  <c r="J69" i="40"/>
  <c r="I69" i="40"/>
  <c r="D69" i="40"/>
  <c r="C69" i="40"/>
  <c r="A69" i="40"/>
  <c r="K68" i="40"/>
  <c r="J68" i="40"/>
  <c r="I68" i="40"/>
  <c r="D68" i="40"/>
  <c r="C68" i="40"/>
  <c r="A68" i="40"/>
  <c r="K67" i="40"/>
  <c r="J67" i="40"/>
  <c r="I67" i="40"/>
  <c r="D67" i="40"/>
  <c r="C67" i="40"/>
  <c r="A67" i="40"/>
  <c r="K66" i="40"/>
  <c r="I66" i="40"/>
  <c r="J66" i="40" s="1"/>
  <c r="D66" i="40"/>
  <c r="C66" i="40"/>
  <c r="A66" i="40"/>
  <c r="K65" i="40"/>
  <c r="J65" i="40"/>
  <c r="I65" i="40"/>
  <c r="D65" i="40"/>
  <c r="C65" i="40"/>
  <c r="A65" i="40"/>
  <c r="K64" i="40"/>
  <c r="J64" i="40"/>
  <c r="I64" i="40"/>
  <c r="D64" i="40"/>
  <c r="C64" i="40"/>
  <c r="A64" i="40"/>
  <c r="K63" i="40"/>
  <c r="J63" i="40"/>
  <c r="I63" i="40"/>
  <c r="D63" i="40"/>
  <c r="C63" i="40"/>
  <c r="A63" i="40"/>
  <c r="K62" i="40"/>
  <c r="I62" i="40"/>
  <c r="J62" i="40" s="1"/>
  <c r="D62" i="40"/>
  <c r="C62" i="40"/>
  <c r="A62" i="40"/>
  <c r="K61" i="40"/>
  <c r="J61" i="40"/>
  <c r="I61" i="40"/>
  <c r="D61" i="40"/>
  <c r="C61" i="40"/>
  <c r="A61" i="40"/>
  <c r="K60" i="40"/>
  <c r="J60" i="40"/>
  <c r="I60" i="40"/>
  <c r="D60" i="40"/>
  <c r="C60" i="40"/>
  <c r="A60" i="40"/>
  <c r="K59" i="40"/>
  <c r="J59" i="40"/>
  <c r="I59" i="40"/>
  <c r="D59" i="40"/>
  <c r="C59" i="40"/>
  <c r="A59" i="40"/>
  <c r="K58" i="40"/>
  <c r="I58" i="40"/>
  <c r="J58" i="40" s="1"/>
  <c r="D58" i="40"/>
  <c r="C58" i="40"/>
  <c r="A58" i="40"/>
  <c r="K57" i="40"/>
  <c r="J57" i="40"/>
  <c r="I57" i="40"/>
  <c r="D57" i="40"/>
  <c r="C57" i="40"/>
  <c r="A57" i="40"/>
  <c r="K56" i="40"/>
  <c r="J56" i="40"/>
  <c r="I56" i="40"/>
  <c r="D56" i="40"/>
  <c r="C56" i="40"/>
  <c r="A56" i="40"/>
  <c r="K55" i="40"/>
  <c r="J55" i="40"/>
  <c r="I55" i="40"/>
  <c r="D55" i="40"/>
  <c r="C55" i="40"/>
  <c r="A55" i="40"/>
  <c r="K54" i="40"/>
  <c r="I54" i="40"/>
  <c r="J54" i="40" s="1"/>
  <c r="D54" i="40"/>
  <c r="C54" i="40"/>
  <c r="A54" i="40"/>
  <c r="K53" i="40"/>
  <c r="J53" i="40"/>
  <c r="I53" i="40"/>
  <c r="D53" i="40"/>
  <c r="C53" i="40"/>
  <c r="A53" i="40"/>
  <c r="K52" i="40"/>
  <c r="J52" i="40"/>
  <c r="I52" i="40"/>
  <c r="D52" i="40"/>
  <c r="C52" i="40"/>
  <c r="A52" i="40"/>
  <c r="K51" i="40"/>
  <c r="J51" i="40"/>
  <c r="I51" i="40"/>
  <c r="D51" i="40"/>
  <c r="C51" i="40"/>
  <c r="A51" i="40"/>
  <c r="K50" i="40"/>
  <c r="I50" i="40"/>
  <c r="J50" i="40" s="1"/>
  <c r="D50" i="40"/>
  <c r="C50" i="40"/>
  <c r="A50" i="40"/>
  <c r="K49" i="40"/>
  <c r="J49" i="40"/>
  <c r="I49" i="40"/>
  <c r="D49" i="40"/>
  <c r="C49" i="40"/>
  <c r="A49" i="40"/>
  <c r="K48" i="40"/>
  <c r="J48" i="40"/>
  <c r="I48" i="40"/>
  <c r="D48" i="40"/>
  <c r="C48" i="40"/>
  <c r="A48" i="40"/>
  <c r="K47" i="40"/>
  <c r="J47" i="40"/>
  <c r="I47" i="40"/>
  <c r="D47" i="40"/>
  <c r="C47" i="40"/>
  <c r="A47" i="40"/>
  <c r="K46" i="40"/>
  <c r="I46" i="40"/>
  <c r="J46" i="40" s="1"/>
  <c r="D46" i="40"/>
  <c r="C46" i="40"/>
  <c r="A46" i="40"/>
  <c r="K45" i="40"/>
  <c r="J45" i="40"/>
  <c r="I45" i="40"/>
  <c r="D45" i="40"/>
  <c r="C45" i="40"/>
  <c r="A45" i="40"/>
  <c r="K44" i="40"/>
  <c r="J44" i="40"/>
  <c r="I44" i="40"/>
  <c r="D44" i="40"/>
  <c r="C44" i="40"/>
  <c r="A44" i="40"/>
  <c r="K43" i="40"/>
  <c r="J43" i="40"/>
  <c r="I43" i="40"/>
  <c r="D43" i="40"/>
  <c r="C43" i="40"/>
  <c r="A43" i="40"/>
  <c r="K42" i="40"/>
  <c r="I42" i="40"/>
  <c r="J42" i="40" s="1"/>
  <c r="D42" i="40"/>
  <c r="C42" i="40"/>
  <c r="A42" i="40"/>
  <c r="K41" i="40"/>
  <c r="J41" i="40"/>
  <c r="I41" i="40"/>
  <c r="D41" i="40"/>
  <c r="C41" i="40"/>
  <c r="A41" i="40"/>
  <c r="K40" i="40"/>
  <c r="J40" i="40"/>
  <c r="I40" i="40"/>
  <c r="D40" i="40"/>
  <c r="C40" i="40"/>
  <c r="A40" i="40"/>
  <c r="K39" i="40"/>
  <c r="J39" i="40"/>
  <c r="I39" i="40"/>
  <c r="D39" i="40"/>
  <c r="C39" i="40"/>
  <c r="A39" i="40"/>
  <c r="K38" i="40"/>
  <c r="I38" i="40"/>
  <c r="J38" i="40" s="1"/>
  <c r="D38" i="40"/>
  <c r="C38" i="40"/>
  <c r="A38" i="40"/>
  <c r="K37" i="40"/>
  <c r="J37" i="40"/>
  <c r="I37" i="40"/>
  <c r="D37" i="40"/>
  <c r="C37" i="40"/>
  <c r="A37" i="40"/>
  <c r="K36" i="40"/>
  <c r="J36" i="40"/>
  <c r="I36" i="40"/>
  <c r="D36" i="40"/>
  <c r="C36" i="40"/>
  <c r="A36" i="40"/>
  <c r="K35" i="40"/>
  <c r="J35" i="40"/>
  <c r="I35" i="40"/>
  <c r="D35" i="40"/>
  <c r="C35" i="40"/>
  <c r="A35" i="40"/>
  <c r="K34" i="40"/>
  <c r="I34" i="40"/>
  <c r="J34" i="40" s="1"/>
  <c r="D34" i="40"/>
  <c r="C34" i="40"/>
  <c r="A34" i="40"/>
  <c r="K33" i="40"/>
  <c r="J33" i="40"/>
  <c r="I33" i="40"/>
  <c r="D33" i="40"/>
  <c r="C33" i="40"/>
  <c r="A33" i="40"/>
  <c r="K32" i="40"/>
  <c r="J32" i="40"/>
  <c r="I32" i="40"/>
  <c r="D32" i="40"/>
  <c r="C32" i="40"/>
  <c r="A32" i="40"/>
  <c r="K31" i="40"/>
  <c r="J31" i="40"/>
  <c r="I31" i="40"/>
  <c r="D31" i="40"/>
  <c r="C31" i="40"/>
  <c r="A31" i="40"/>
  <c r="K30" i="40"/>
  <c r="I30" i="40"/>
  <c r="J30" i="40" s="1"/>
  <c r="D30" i="40"/>
  <c r="C30" i="40"/>
  <c r="A30" i="40"/>
  <c r="K29" i="40"/>
  <c r="J29" i="40"/>
  <c r="I29" i="40"/>
  <c r="D29" i="40"/>
  <c r="C29" i="40"/>
  <c r="A29" i="40"/>
  <c r="K28" i="40"/>
  <c r="J28" i="40"/>
  <c r="I28" i="40"/>
  <c r="D28" i="40"/>
  <c r="C28" i="40"/>
  <c r="A28" i="40"/>
  <c r="K27" i="40"/>
  <c r="J27" i="40"/>
  <c r="I27" i="40"/>
  <c r="D27" i="40"/>
  <c r="C27" i="40"/>
  <c r="A27" i="40"/>
  <c r="K26" i="40"/>
  <c r="I26" i="40"/>
  <c r="J26" i="40" s="1"/>
  <c r="D26" i="40"/>
  <c r="C26" i="40"/>
  <c r="A26" i="40"/>
  <c r="K25" i="40"/>
  <c r="J25" i="40"/>
  <c r="I25" i="40"/>
  <c r="D25" i="40"/>
  <c r="C25" i="40"/>
  <c r="A25" i="40"/>
  <c r="K24" i="40"/>
  <c r="J24" i="40"/>
  <c r="I24" i="40"/>
  <c r="D24" i="40"/>
  <c r="C24" i="40"/>
  <c r="A24" i="40"/>
  <c r="K23" i="40"/>
  <c r="J23" i="40"/>
  <c r="I23" i="40"/>
  <c r="D23" i="40"/>
  <c r="C23" i="40"/>
  <c r="A23" i="40"/>
  <c r="K22" i="40"/>
  <c r="I22" i="40"/>
  <c r="J22" i="40" s="1"/>
  <c r="D22" i="40"/>
  <c r="C22" i="40"/>
  <c r="A22" i="40"/>
  <c r="K21" i="40"/>
  <c r="J21" i="40"/>
  <c r="I21" i="40"/>
  <c r="D21" i="40"/>
  <c r="C21" i="40"/>
  <c r="A21" i="40"/>
  <c r="K20" i="40"/>
  <c r="J20" i="40"/>
  <c r="I20" i="40"/>
  <c r="D20" i="40"/>
  <c r="C20" i="40"/>
  <c r="A20" i="40"/>
  <c r="K19" i="40"/>
  <c r="J19" i="40"/>
  <c r="I19" i="40"/>
  <c r="D19" i="40"/>
  <c r="C19" i="40"/>
  <c r="A19" i="40"/>
  <c r="K18" i="40"/>
  <c r="I18" i="40"/>
  <c r="J18" i="40" s="1"/>
  <c r="D18" i="40"/>
  <c r="C18" i="40"/>
  <c r="A18" i="40"/>
  <c r="K17" i="40"/>
  <c r="J17" i="40"/>
  <c r="I17" i="40"/>
  <c r="D17" i="40"/>
  <c r="C17" i="40"/>
  <c r="A17" i="40"/>
  <c r="K16" i="40"/>
  <c r="J16" i="40"/>
  <c r="I16" i="40"/>
  <c r="D16" i="40"/>
  <c r="C16" i="40"/>
  <c r="A16" i="40"/>
  <c r="K15" i="40"/>
  <c r="J15" i="40"/>
  <c r="I15" i="40"/>
  <c r="D15" i="40"/>
  <c r="C15" i="40"/>
  <c r="A15" i="40"/>
  <c r="K14" i="40"/>
  <c r="I14" i="40"/>
  <c r="J14" i="40" s="1"/>
  <c r="D14" i="40"/>
  <c r="C14" i="40"/>
  <c r="A14" i="40"/>
  <c r="B9" i="40"/>
  <c r="B10" i="40" s="1"/>
  <c r="B8" i="40"/>
  <c r="J208" i="39"/>
  <c r="K208" i="39" s="1"/>
  <c r="G208" i="39"/>
  <c r="D208" i="39"/>
  <c r="C208" i="39"/>
  <c r="B208" i="39"/>
  <c r="K207" i="39"/>
  <c r="J207" i="39"/>
  <c r="G207" i="39"/>
  <c r="D207" i="39"/>
  <c r="C207" i="39"/>
  <c r="B207" i="39"/>
  <c r="K206" i="39"/>
  <c r="J206" i="39"/>
  <c r="G206" i="39"/>
  <c r="D206" i="39"/>
  <c r="C206" i="39"/>
  <c r="B206" i="39"/>
  <c r="K205" i="39"/>
  <c r="J205" i="39"/>
  <c r="G205" i="39"/>
  <c r="D205" i="39"/>
  <c r="C205" i="39"/>
  <c r="B205" i="39"/>
  <c r="J204" i="39"/>
  <c r="K204" i="39" s="1"/>
  <c r="G204" i="39"/>
  <c r="D204" i="39"/>
  <c r="C204" i="39"/>
  <c r="B204" i="39"/>
  <c r="K203" i="39"/>
  <c r="J203" i="39"/>
  <c r="G203" i="39"/>
  <c r="D203" i="39"/>
  <c r="C203" i="39"/>
  <c r="B203" i="39"/>
  <c r="K202" i="39"/>
  <c r="J202" i="39"/>
  <c r="G202" i="39"/>
  <c r="D202" i="39"/>
  <c r="C202" i="39"/>
  <c r="B202" i="39"/>
  <c r="K201" i="39"/>
  <c r="J201" i="39"/>
  <c r="G201" i="39"/>
  <c r="D201" i="39"/>
  <c r="C201" i="39"/>
  <c r="B201" i="39"/>
  <c r="J200" i="39"/>
  <c r="K200" i="39" s="1"/>
  <c r="G200" i="39"/>
  <c r="D200" i="39"/>
  <c r="C200" i="39"/>
  <c r="B200" i="39"/>
  <c r="K199" i="39"/>
  <c r="J199" i="39"/>
  <c r="G199" i="39"/>
  <c r="D199" i="39"/>
  <c r="C199" i="39"/>
  <c r="B199" i="39"/>
  <c r="K198" i="39"/>
  <c r="J198" i="39"/>
  <c r="G198" i="39"/>
  <c r="D198" i="39"/>
  <c r="C198" i="39"/>
  <c r="B198" i="39"/>
  <c r="K197" i="39"/>
  <c r="J197" i="39"/>
  <c r="G197" i="39"/>
  <c r="D197" i="39"/>
  <c r="C197" i="39"/>
  <c r="B197" i="39"/>
  <c r="J196" i="39"/>
  <c r="K196" i="39" s="1"/>
  <c r="G196" i="39"/>
  <c r="D196" i="39"/>
  <c r="C196" i="39"/>
  <c r="B196" i="39"/>
  <c r="K195" i="39"/>
  <c r="J195" i="39"/>
  <c r="G195" i="39"/>
  <c r="D195" i="39"/>
  <c r="C195" i="39"/>
  <c r="B195" i="39"/>
  <c r="K194" i="39"/>
  <c r="J194" i="39"/>
  <c r="G194" i="39"/>
  <c r="D194" i="39"/>
  <c r="C194" i="39"/>
  <c r="B194" i="39"/>
  <c r="K193" i="39"/>
  <c r="J193" i="39"/>
  <c r="G193" i="39"/>
  <c r="D193" i="39"/>
  <c r="C193" i="39"/>
  <c r="B193" i="39"/>
  <c r="J192" i="39"/>
  <c r="K192" i="39" s="1"/>
  <c r="G192" i="39"/>
  <c r="D192" i="39"/>
  <c r="C192" i="39"/>
  <c r="B192" i="39"/>
  <c r="K191" i="39"/>
  <c r="J191" i="39"/>
  <c r="G191" i="39"/>
  <c r="D191" i="39"/>
  <c r="C191" i="39"/>
  <c r="B191" i="39"/>
  <c r="K190" i="39"/>
  <c r="J190" i="39"/>
  <c r="G190" i="39"/>
  <c r="D190" i="39"/>
  <c r="C190" i="39"/>
  <c r="B190" i="39"/>
  <c r="K189" i="39"/>
  <c r="J189" i="39"/>
  <c r="G189" i="39"/>
  <c r="D189" i="39"/>
  <c r="C189" i="39"/>
  <c r="B189" i="39"/>
  <c r="J188" i="39"/>
  <c r="K188" i="39" s="1"/>
  <c r="G188" i="39"/>
  <c r="D188" i="39"/>
  <c r="C188" i="39"/>
  <c r="B188" i="39"/>
  <c r="K187" i="39"/>
  <c r="J187" i="39"/>
  <c r="G187" i="39"/>
  <c r="D187" i="39"/>
  <c r="C187" i="39"/>
  <c r="B187" i="39"/>
  <c r="K186" i="39"/>
  <c r="J186" i="39"/>
  <c r="G186" i="39"/>
  <c r="D186" i="39"/>
  <c r="C186" i="39"/>
  <c r="B186" i="39"/>
  <c r="K185" i="39"/>
  <c r="J185" i="39"/>
  <c r="G185" i="39"/>
  <c r="D185" i="39"/>
  <c r="C185" i="39"/>
  <c r="B185" i="39"/>
  <c r="J184" i="39"/>
  <c r="K184" i="39" s="1"/>
  <c r="G184" i="39"/>
  <c r="D184" i="39"/>
  <c r="C184" i="39"/>
  <c r="B184" i="39"/>
  <c r="K183" i="39"/>
  <c r="J183" i="39"/>
  <c r="G183" i="39"/>
  <c r="D183" i="39"/>
  <c r="C183" i="39"/>
  <c r="B183" i="39"/>
  <c r="K182" i="39"/>
  <c r="J182" i="39"/>
  <c r="G182" i="39"/>
  <c r="D182" i="39"/>
  <c r="C182" i="39"/>
  <c r="B182" i="39"/>
  <c r="K181" i="39"/>
  <c r="J181" i="39"/>
  <c r="G181" i="39"/>
  <c r="D181" i="39"/>
  <c r="C181" i="39"/>
  <c r="B181" i="39"/>
  <c r="J180" i="39"/>
  <c r="K180" i="39" s="1"/>
  <c r="G180" i="39"/>
  <c r="D180" i="39"/>
  <c r="C180" i="39"/>
  <c r="B180" i="39"/>
  <c r="K179" i="39"/>
  <c r="J179" i="39"/>
  <c r="G179" i="39"/>
  <c r="D179" i="39"/>
  <c r="C179" i="39"/>
  <c r="B179" i="39"/>
  <c r="K178" i="39"/>
  <c r="J178" i="39"/>
  <c r="G178" i="39"/>
  <c r="D178" i="39"/>
  <c r="C178" i="39"/>
  <c r="B178" i="39"/>
  <c r="K177" i="39"/>
  <c r="J177" i="39"/>
  <c r="G177" i="39"/>
  <c r="D177" i="39"/>
  <c r="C177" i="39"/>
  <c r="B177" i="39"/>
  <c r="J176" i="39"/>
  <c r="K176" i="39" s="1"/>
  <c r="G176" i="39"/>
  <c r="D176" i="39"/>
  <c r="C176" i="39"/>
  <c r="B176" i="39"/>
  <c r="K175" i="39"/>
  <c r="J175" i="39"/>
  <c r="G175" i="39"/>
  <c r="D175" i="39"/>
  <c r="C175" i="39"/>
  <c r="B175" i="39"/>
  <c r="K174" i="39"/>
  <c r="J174" i="39"/>
  <c r="G174" i="39"/>
  <c r="D174" i="39"/>
  <c r="C174" i="39"/>
  <c r="B174" i="39"/>
  <c r="K173" i="39"/>
  <c r="J173" i="39"/>
  <c r="G173" i="39"/>
  <c r="D173" i="39"/>
  <c r="C173" i="39"/>
  <c r="B173" i="39"/>
  <c r="J172" i="39"/>
  <c r="K172" i="39" s="1"/>
  <c r="G172" i="39"/>
  <c r="D172" i="39"/>
  <c r="C172" i="39"/>
  <c r="B172" i="39"/>
  <c r="K171" i="39"/>
  <c r="J171" i="39"/>
  <c r="G171" i="39"/>
  <c r="D171" i="39"/>
  <c r="C171" i="39"/>
  <c r="B171" i="39"/>
  <c r="K170" i="39"/>
  <c r="J170" i="39"/>
  <c r="G170" i="39"/>
  <c r="D170" i="39"/>
  <c r="C170" i="39"/>
  <c r="B170" i="39"/>
  <c r="K169" i="39"/>
  <c r="J169" i="39"/>
  <c r="G169" i="39"/>
  <c r="D169" i="39"/>
  <c r="C169" i="39"/>
  <c r="B169" i="39"/>
  <c r="J168" i="39"/>
  <c r="K168" i="39" s="1"/>
  <c r="G168" i="39"/>
  <c r="D168" i="39"/>
  <c r="C168" i="39"/>
  <c r="B168" i="39"/>
  <c r="K167" i="39"/>
  <c r="J167" i="39"/>
  <c r="G167" i="39"/>
  <c r="D167" i="39"/>
  <c r="C167" i="39"/>
  <c r="B167" i="39"/>
  <c r="K166" i="39"/>
  <c r="J166" i="39"/>
  <c r="G166" i="39"/>
  <c r="D166" i="39"/>
  <c r="C166" i="39"/>
  <c r="B166" i="39"/>
  <c r="K165" i="39"/>
  <c r="J165" i="39"/>
  <c r="G165" i="39"/>
  <c r="D165" i="39"/>
  <c r="C165" i="39"/>
  <c r="B165" i="39"/>
  <c r="J164" i="39"/>
  <c r="K164" i="39" s="1"/>
  <c r="G164" i="39"/>
  <c r="D164" i="39"/>
  <c r="C164" i="39"/>
  <c r="B164" i="39"/>
  <c r="K163" i="39"/>
  <c r="J163" i="39"/>
  <c r="G163" i="39"/>
  <c r="D163" i="39"/>
  <c r="C163" i="39"/>
  <c r="B163" i="39"/>
  <c r="K162" i="39"/>
  <c r="J162" i="39"/>
  <c r="G162" i="39"/>
  <c r="D162" i="39"/>
  <c r="C162" i="39"/>
  <c r="B162" i="39"/>
  <c r="K161" i="39"/>
  <c r="J161" i="39"/>
  <c r="G161" i="39"/>
  <c r="D161" i="39"/>
  <c r="C161" i="39"/>
  <c r="B161" i="39"/>
  <c r="J160" i="39"/>
  <c r="K160" i="39" s="1"/>
  <c r="G160" i="39"/>
  <c r="D160" i="39"/>
  <c r="C160" i="39"/>
  <c r="B160" i="39"/>
  <c r="K159" i="39"/>
  <c r="J159" i="39"/>
  <c r="G159" i="39"/>
  <c r="D159" i="39"/>
  <c r="C159" i="39"/>
  <c r="B159" i="39"/>
  <c r="K158" i="39"/>
  <c r="J158" i="39"/>
  <c r="G158" i="39"/>
  <c r="D158" i="39"/>
  <c r="C158" i="39"/>
  <c r="B158" i="39"/>
  <c r="K157" i="39"/>
  <c r="J157" i="39"/>
  <c r="G157" i="39"/>
  <c r="D157" i="39"/>
  <c r="C157" i="39"/>
  <c r="B157" i="39"/>
  <c r="J156" i="39"/>
  <c r="K156" i="39" s="1"/>
  <c r="G156" i="39"/>
  <c r="D156" i="39"/>
  <c r="C156" i="39"/>
  <c r="B156" i="39"/>
  <c r="K155" i="39"/>
  <c r="J155" i="39"/>
  <c r="G155" i="39"/>
  <c r="D155" i="39"/>
  <c r="C155" i="39"/>
  <c r="B155" i="39"/>
  <c r="K154" i="39"/>
  <c r="J154" i="39"/>
  <c r="G154" i="39"/>
  <c r="D154" i="39"/>
  <c r="C154" i="39"/>
  <c r="B154" i="39"/>
  <c r="K153" i="39"/>
  <c r="J153" i="39"/>
  <c r="G153" i="39"/>
  <c r="D153" i="39"/>
  <c r="C153" i="39"/>
  <c r="B153" i="39"/>
  <c r="J152" i="39"/>
  <c r="K152" i="39" s="1"/>
  <c r="G152" i="39"/>
  <c r="D152" i="39"/>
  <c r="C152" i="39"/>
  <c r="B152" i="39"/>
  <c r="K151" i="39"/>
  <c r="J151" i="39"/>
  <c r="G151" i="39"/>
  <c r="D151" i="39"/>
  <c r="C151" i="39"/>
  <c r="B151" i="39"/>
  <c r="K150" i="39"/>
  <c r="J150" i="39"/>
  <c r="G150" i="39"/>
  <c r="D150" i="39"/>
  <c r="C150" i="39"/>
  <c r="B150" i="39"/>
  <c r="K149" i="39"/>
  <c r="J149" i="39"/>
  <c r="G149" i="39"/>
  <c r="D149" i="39"/>
  <c r="C149" i="39"/>
  <c r="B149" i="39"/>
  <c r="J148" i="39"/>
  <c r="K148" i="39" s="1"/>
  <c r="G148" i="39"/>
  <c r="D148" i="39"/>
  <c r="C148" i="39"/>
  <c r="B148" i="39"/>
  <c r="K147" i="39"/>
  <c r="J147" i="39"/>
  <c r="G147" i="39"/>
  <c r="D147" i="39"/>
  <c r="C147" i="39"/>
  <c r="B147" i="39"/>
  <c r="K146" i="39"/>
  <c r="J146" i="39"/>
  <c r="G146" i="39"/>
  <c r="D146" i="39"/>
  <c r="C146" i="39"/>
  <c r="B146" i="39"/>
  <c r="K145" i="39"/>
  <c r="J145" i="39"/>
  <c r="G145" i="39"/>
  <c r="D145" i="39"/>
  <c r="C145" i="39"/>
  <c r="B145" i="39"/>
  <c r="J144" i="39"/>
  <c r="K144" i="39" s="1"/>
  <c r="G144" i="39"/>
  <c r="D144" i="39"/>
  <c r="C144" i="39"/>
  <c r="B144" i="39"/>
  <c r="K143" i="39"/>
  <c r="J143" i="39"/>
  <c r="G143" i="39"/>
  <c r="D143" i="39"/>
  <c r="C143" i="39"/>
  <c r="B143" i="39"/>
  <c r="K142" i="39"/>
  <c r="J142" i="39"/>
  <c r="G142" i="39"/>
  <c r="D142" i="39"/>
  <c r="C142" i="39"/>
  <c r="B142" i="39"/>
  <c r="K141" i="39"/>
  <c r="J141" i="39"/>
  <c r="G141" i="39"/>
  <c r="D141" i="39"/>
  <c r="C141" i="39"/>
  <c r="B141" i="39"/>
  <c r="J140" i="39"/>
  <c r="K140" i="39" s="1"/>
  <c r="G140" i="39"/>
  <c r="D140" i="39"/>
  <c r="C140" i="39"/>
  <c r="B140" i="39"/>
  <c r="K139" i="39"/>
  <c r="J139" i="39"/>
  <c r="G139" i="39"/>
  <c r="D139" i="39"/>
  <c r="C139" i="39"/>
  <c r="B139" i="39"/>
  <c r="K138" i="39"/>
  <c r="J138" i="39"/>
  <c r="G138" i="39"/>
  <c r="D138" i="39"/>
  <c r="C138" i="39"/>
  <c r="B138" i="39"/>
  <c r="K137" i="39"/>
  <c r="J137" i="39"/>
  <c r="G137" i="39"/>
  <c r="D137" i="39"/>
  <c r="C137" i="39"/>
  <c r="B137" i="39"/>
  <c r="J136" i="39"/>
  <c r="K136" i="39" s="1"/>
  <c r="G136" i="39"/>
  <c r="D136" i="39"/>
  <c r="C136" i="39"/>
  <c r="B136" i="39"/>
  <c r="K135" i="39"/>
  <c r="J135" i="39"/>
  <c r="G135" i="39"/>
  <c r="D135" i="39"/>
  <c r="C135" i="39"/>
  <c r="B135" i="39"/>
  <c r="K134" i="39"/>
  <c r="J134" i="39"/>
  <c r="G134" i="39"/>
  <c r="D134" i="39"/>
  <c r="C134" i="39"/>
  <c r="B134" i="39"/>
  <c r="J133" i="39"/>
  <c r="K133" i="39" s="1"/>
  <c r="G133" i="39"/>
  <c r="D133" i="39"/>
  <c r="C133" i="39"/>
  <c r="B133" i="39"/>
  <c r="J132" i="39"/>
  <c r="K132" i="39" s="1"/>
  <c r="G132" i="39"/>
  <c r="D132" i="39"/>
  <c r="C132" i="39"/>
  <c r="B132" i="39"/>
  <c r="K131" i="39"/>
  <c r="J131" i="39"/>
  <c r="G131" i="39"/>
  <c r="D131" i="39"/>
  <c r="C131" i="39"/>
  <c r="B131" i="39"/>
  <c r="K130" i="39"/>
  <c r="J130" i="39"/>
  <c r="G130" i="39"/>
  <c r="D130" i="39"/>
  <c r="C130" i="39"/>
  <c r="B130" i="39"/>
  <c r="K129" i="39"/>
  <c r="J129" i="39"/>
  <c r="G129" i="39"/>
  <c r="D129" i="39"/>
  <c r="C129" i="39"/>
  <c r="B129" i="39"/>
  <c r="J128" i="39"/>
  <c r="K128" i="39" s="1"/>
  <c r="G128" i="39"/>
  <c r="D128" i="39"/>
  <c r="C128" i="39"/>
  <c r="B128" i="39"/>
  <c r="K127" i="39"/>
  <c r="J127" i="39"/>
  <c r="G127" i="39"/>
  <c r="D127" i="39"/>
  <c r="C127" i="39"/>
  <c r="B127" i="39"/>
  <c r="K126" i="39"/>
  <c r="J126" i="39"/>
  <c r="G126" i="39"/>
  <c r="D126" i="39"/>
  <c r="C126" i="39"/>
  <c r="B126" i="39"/>
  <c r="J125" i="39"/>
  <c r="K125" i="39" s="1"/>
  <c r="G125" i="39"/>
  <c r="D125" i="39"/>
  <c r="C125" i="39"/>
  <c r="B125" i="39"/>
  <c r="J124" i="39"/>
  <c r="K124" i="39" s="1"/>
  <c r="G124" i="39"/>
  <c r="D124" i="39"/>
  <c r="C124" i="39"/>
  <c r="B124" i="39"/>
  <c r="K123" i="39"/>
  <c r="J123" i="39"/>
  <c r="G123" i="39"/>
  <c r="D123" i="39"/>
  <c r="C123" i="39"/>
  <c r="B123" i="39"/>
  <c r="K122" i="39"/>
  <c r="J122" i="39"/>
  <c r="G122" i="39"/>
  <c r="D122" i="39"/>
  <c r="C122" i="39"/>
  <c r="B122" i="39"/>
  <c r="K121" i="39"/>
  <c r="J121" i="39"/>
  <c r="G121" i="39"/>
  <c r="D121" i="39"/>
  <c r="C121" i="39"/>
  <c r="B121" i="39"/>
  <c r="J120" i="39"/>
  <c r="K120" i="39" s="1"/>
  <c r="G120" i="39"/>
  <c r="D120" i="39"/>
  <c r="C120" i="39"/>
  <c r="B120" i="39"/>
  <c r="K119" i="39"/>
  <c r="J119" i="39"/>
  <c r="G119" i="39"/>
  <c r="D119" i="39"/>
  <c r="C119" i="39"/>
  <c r="B119" i="39"/>
  <c r="K118" i="39"/>
  <c r="J118" i="39"/>
  <c r="G118" i="39"/>
  <c r="D118" i="39"/>
  <c r="C118" i="39"/>
  <c r="B118" i="39"/>
  <c r="J117" i="39"/>
  <c r="K117" i="39" s="1"/>
  <c r="G117" i="39"/>
  <c r="D117" i="39"/>
  <c r="C117" i="39"/>
  <c r="B117" i="39"/>
  <c r="J116" i="39"/>
  <c r="K116" i="39" s="1"/>
  <c r="G116" i="39"/>
  <c r="D116" i="39"/>
  <c r="C116" i="39"/>
  <c r="B116" i="39"/>
  <c r="K115" i="39"/>
  <c r="J115" i="39"/>
  <c r="G115" i="39"/>
  <c r="D115" i="39"/>
  <c r="C115" i="39"/>
  <c r="B115" i="39"/>
  <c r="K114" i="39"/>
  <c r="J114" i="39"/>
  <c r="G114" i="39"/>
  <c r="D114" i="39"/>
  <c r="C114" i="39"/>
  <c r="B114" i="39"/>
  <c r="J113" i="39"/>
  <c r="K113" i="39" s="1"/>
  <c r="G113" i="39"/>
  <c r="D113" i="39"/>
  <c r="C113" i="39"/>
  <c r="B113" i="39"/>
  <c r="J112" i="39"/>
  <c r="K112" i="39" s="1"/>
  <c r="G112" i="39"/>
  <c r="D112" i="39"/>
  <c r="C112" i="39"/>
  <c r="B112" i="39"/>
  <c r="K111" i="39"/>
  <c r="J111" i="39"/>
  <c r="G111" i="39"/>
  <c r="D111" i="39"/>
  <c r="C111" i="39"/>
  <c r="B111" i="39"/>
  <c r="K110" i="39"/>
  <c r="J110" i="39"/>
  <c r="G110" i="39"/>
  <c r="D110" i="39"/>
  <c r="C110" i="39"/>
  <c r="B110" i="39"/>
  <c r="J109" i="39"/>
  <c r="K109" i="39" s="1"/>
  <c r="G109" i="39"/>
  <c r="D109" i="39"/>
  <c r="C109" i="39"/>
  <c r="B109" i="39"/>
  <c r="J108" i="39"/>
  <c r="K108" i="39" s="1"/>
  <c r="G108" i="39"/>
  <c r="D108" i="39"/>
  <c r="C108" i="39"/>
  <c r="B108" i="39"/>
  <c r="K107" i="39"/>
  <c r="J107" i="39"/>
  <c r="G107" i="39"/>
  <c r="D107" i="39"/>
  <c r="C107" i="39"/>
  <c r="B107" i="39"/>
  <c r="K106" i="39"/>
  <c r="J106" i="39"/>
  <c r="G106" i="39"/>
  <c r="D106" i="39"/>
  <c r="C106" i="39"/>
  <c r="B106" i="39"/>
  <c r="K105" i="39"/>
  <c r="J105" i="39"/>
  <c r="G105" i="39"/>
  <c r="D105" i="39"/>
  <c r="C105" i="39"/>
  <c r="B105" i="39"/>
  <c r="J104" i="39"/>
  <c r="K104" i="39" s="1"/>
  <c r="G104" i="39"/>
  <c r="D104" i="39"/>
  <c r="C104" i="39"/>
  <c r="B104" i="39"/>
  <c r="K103" i="39"/>
  <c r="J103" i="39"/>
  <c r="G103" i="39"/>
  <c r="D103" i="39"/>
  <c r="C103" i="39"/>
  <c r="B103" i="39"/>
  <c r="J102" i="39"/>
  <c r="K102" i="39" s="1"/>
  <c r="G102" i="39"/>
  <c r="D102" i="39"/>
  <c r="C102" i="39"/>
  <c r="B102" i="39"/>
  <c r="J101" i="39"/>
  <c r="K101" i="39" s="1"/>
  <c r="G101" i="39"/>
  <c r="D101" i="39"/>
  <c r="C101" i="39"/>
  <c r="B101" i="39"/>
  <c r="J100" i="39"/>
  <c r="K100" i="39" s="1"/>
  <c r="G100" i="39"/>
  <c r="D100" i="39"/>
  <c r="C100" i="39"/>
  <c r="B100" i="39"/>
  <c r="K99" i="39"/>
  <c r="J99" i="39"/>
  <c r="G99" i="39"/>
  <c r="D99" i="39"/>
  <c r="C99" i="39"/>
  <c r="B99" i="39"/>
  <c r="K98" i="39"/>
  <c r="J98" i="39"/>
  <c r="G98" i="39"/>
  <c r="D98" i="39"/>
  <c r="C98" i="39"/>
  <c r="B98" i="39"/>
  <c r="K97" i="39"/>
  <c r="J97" i="39"/>
  <c r="G97" i="39"/>
  <c r="D97" i="39"/>
  <c r="C97" i="39"/>
  <c r="B97" i="39"/>
  <c r="J96" i="39"/>
  <c r="K96" i="39" s="1"/>
  <c r="G96" i="39"/>
  <c r="D96" i="39"/>
  <c r="C96" i="39"/>
  <c r="B96" i="39"/>
  <c r="K95" i="39"/>
  <c r="J95" i="39"/>
  <c r="G95" i="39"/>
  <c r="D95" i="39"/>
  <c r="C95" i="39"/>
  <c r="B95" i="39"/>
  <c r="J94" i="39"/>
  <c r="K94" i="39" s="1"/>
  <c r="G94" i="39"/>
  <c r="D94" i="39"/>
  <c r="C94" i="39"/>
  <c r="B94" i="39"/>
  <c r="J93" i="39"/>
  <c r="K93" i="39" s="1"/>
  <c r="G93" i="39"/>
  <c r="D93" i="39"/>
  <c r="C93" i="39"/>
  <c r="B93" i="39"/>
  <c r="J92" i="39"/>
  <c r="K92" i="39" s="1"/>
  <c r="G92" i="39"/>
  <c r="D92" i="39"/>
  <c r="C92" i="39"/>
  <c r="B92" i="39"/>
  <c r="K91" i="39"/>
  <c r="J91" i="39"/>
  <c r="G91" i="39"/>
  <c r="D91" i="39"/>
  <c r="C91" i="39"/>
  <c r="B91" i="39"/>
  <c r="K90" i="39"/>
  <c r="J90" i="39"/>
  <c r="G90" i="39"/>
  <c r="D90" i="39"/>
  <c r="C90" i="39"/>
  <c r="B90" i="39"/>
  <c r="K89" i="39"/>
  <c r="J89" i="39"/>
  <c r="G89" i="39"/>
  <c r="D89" i="39"/>
  <c r="C89" i="39"/>
  <c r="B89" i="39"/>
  <c r="J88" i="39"/>
  <c r="K88" i="39" s="1"/>
  <c r="G88" i="39"/>
  <c r="D88" i="39"/>
  <c r="C88" i="39"/>
  <c r="B88" i="39"/>
  <c r="K87" i="39"/>
  <c r="J87" i="39"/>
  <c r="G87" i="39"/>
  <c r="D87" i="39"/>
  <c r="C87" i="39"/>
  <c r="B87" i="39"/>
  <c r="J86" i="39"/>
  <c r="K86" i="39" s="1"/>
  <c r="G86" i="39"/>
  <c r="D86" i="39"/>
  <c r="C86" i="39"/>
  <c r="B86" i="39"/>
  <c r="K85" i="39"/>
  <c r="J85" i="39"/>
  <c r="G85" i="39"/>
  <c r="D85" i="39"/>
  <c r="C85" i="39"/>
  <c r="B85" i="39"/>
  <c r="J84" i="39"/>
  <c r="K84" i="39" s="1"/>
  <c r="G84" i="39"/>
  <c r="D84" i="39"/>
  <c r="C84" i="39"/>
  <c r="B84" i="39"/>
  <c r="K83" i="39"/>
  <c r="J83" i="39"/>
  <c r="G83" i="39"/>
  <c r="D83" i="39"/>
  <c r="C83" i="39"/>
  <c r="B83" i="39"/>
  <c r="K82" i="39"/>
  <c r="J82" i="39"/>
  <c r="G82" i="39"/>
  <c r="D82" i="39"/>
  <c r="C82" i="39"/>
  <c r="B82" i="39"/>
  <c r="J81" i="39"/>
  <c r="K81" i="39" s="1"/>
  <c r="G81" i="39"/>
  <c r="D81" i="39"/>
  <c r="C81" i="39"/>
  <c r="B81" i="39"/>
  <c r="J80" i="39"/>
  <c r="K80" i="39" s="1"/>
  <c r="G80" i="39"/>
  <c r="D80" i="39"/>
  <c r="C80" i="39"/>
  <c r="B80" i="39"/>
  <c r="K79" i="39"/>
  <c r="J79" i="39"/>
  <c r="G79" i="39"/>
  <c r="D79" i="39"/>
  <c r="C79" i="39"/>
  <c r="B79" i="39"/>
  <c r="K78" i="39"/>
  <c r="J78" i="39"/>
  <c r="G78" i="39"/>
  <c r="D78" i="39"/>
  <c r="C78" i="39"/>
  <c r="B78" i="39"/>
  <c r="J77" i="39"/>
  <c r="K77" i="39" s="1"/>
  <c r="G77" i="39"/>
  <c r="D77" i="39"/>
  <c r="C77" i="39"/>
  <c r="B77" i="39"/>
  <c r="J76" i="39"/>
  <c r="K76" i="39" s="1"/>
  <c r="G76" i="39"/>
  <c r="D76" i="39"/>
  <c r="C76" i="39"/>
  <c r="B76" i="39"/>
  <c r="K75" i="39"/>
  <c r="J75" i="39"/>
  <c r="G75" i="39"/>
  <c r="D75" i="39"/>
  <c r="C75" i="39"/>
  <c r="B75" i="39"/>
  <c r="J74" i="39"/>
  <c r="K74" i="39" s="1"/>
  <c r="G74" i="39"/>
  <c r="D74" i="39"/>
  <c r="C74" i="39"/>
  <c r="B74" i="39"/>
  <c r="J73" i="39"/>
  <c r="K73" i="39" s="1"/>
  <c r="G73" i="39"/>
  <c r="D73" i="39"/>
  <c r="C73" i="39"/>
  <c r="B73" i="39"/>
  <c r="J72" i="39"/>
  <c r="K72" i="39" s="1"/>
  <c r="G72" i="39"/>
  <c r="D72" i="39"/>
  <c r="C72" i="39"/>
  <c r="B72" i="39"/>
  <c r="K71" i="39"/>
  <c r="J71" i="39"/>
  <c r="G71" i="39"/>
  <c r="D71" i="39"/>
  <c r="C71" i="39"/>
  <c r="B71" i="39"/>
  <c r="J70" i="39"/>
  <c r="K70" i="39" s="1"/>
  <c r="G70" i="39"/>
  <c r="D70" i="39"/>
  <c r="C70" i="39"/>
  <c r="B70" i="39"/>
  <c r="J69" i="39"/>
  <c r="K69" i="39" s="1"/>
  <c r="G69" i="39"/>
  <c r="D69" i="39"/>
  <c r="C69" i="39"/>
  <c r="B69" i="39"/>
  <c r="J68" i="39"/>
  <c r="K68" i="39" s="1"/>
  <c r="G68" i="39"/>
  <c r="D68" i="39"/>
  <c r="C68" i="39"/>
  <c r="B68" i="39"/>
  <c r="K67" i="39"/>
  <c r="J67" i="39"/>
  <c r="G67" i="39"/>
  <c r="D67" i="39"/>
  <c r="C67" i="39"/>
  <c r="B67" i="39"/>
  <c r="J66" i="39"/>
  <c r="K66" i="39" s="1"/>
  <c r="G66" i="39"/>
  <c r="D66" i="39"/>
  <c r="C66" i="39"/>
  <c r="B66" i="39"/>
  <c r="J65" i="39"/>
  <c r="K65" i="39" s="1"/>
  <c r="G65" i="39"/>
  <c r="D65" i="39"/>
  <c r="C65" i="39"/>
  <c r="B65" i="39"/>
  <c r="J64" i="39"/>
  <c r="K64" i="39" s="1"/>
  <c r="G64" i="39"/>
  <c r="D64" i="39"/>
  <c r="C64" i="39"/>
  <c r="B64" i="39"/>
  <c r="K63" i="39"/>
  <c r="J63" i="39"/>
  <c r="G63" i="39"/>
  <c r="D63" i="39"/>
  <c r="C63" i="39"/>
  <c r="B63" i="39"/>
  <c r="J62" i="39"/>
  <c r="K62" i="39" s="1"/>
  <c r="G62" i="39"/>
  <c r="D62" i="39"/>
  <c r="C62" i="39"/>
  <c r="B62" i="39"/>
  <c r="J61" i="39"/>
  <c r="K61" i="39" s="1"/>
  <c r="G61" i="39"/>
  <c r="D61" i="39"/>
  <c r="C61" i="39"/>
  <c r="B61" i="39"/>
  <c r="J60" i="39"/>
  <c r="K60" i="39" s="1"/>
  <c r="G60" i="39"/>
  <c r="D60" i="39"/>
  <c r="C60" i="39"/>
  <c r="B60" i="39"/>
  <c r="K59" i="39"/>
  <c r="J59" i="39"/>
  <c r="G59" i="39"/>
  <c r="D59" i="39"/>
  <c r="C59" i="39"/>
  <c r="B59" i="39"/>
  <c r="J58" i="39"/>
  <c r="K58" i="39" s="1"/>
  <c r="G58" i="39"/>
  <c r="D58" i="39"/>
  <c r="C58" i="39"/>
  <c r="B58" i="39"/>
  <c r="J57" i="39"/>
  <c r="K57" i="39" s="1"/>
  <c r="G57" i="39"/>
  <c r="D57" i="39"/>
  <c r="C57" i="39"/>
  <c r="B57" i="39"/>
  <c r="J56" i="39"/>
  <c r="K56" i="39" s="1"/>
  <c r="G56" i="39"/>
  <c r="D56" i="39"/>
  <c r="C56" i="39"/>
  <c r="B56" i="39"/>
  <c r="K55" i="39"/>
  <c r="J55" i="39"/>
  <c r="G55" i="39"/>
  <c r="D55" i="39"/>
  <c r="C55" i="39"/>
  <c r="B55" i="39"/>
  <c r="K54" i="39"/>
  <c r="J54" i="39"/>
  <c r="G54" i="39"/>
  <c r="D54" i="39"/>
  <c r="C54" i="39"/>
  <c r="B54" i="39"/>
  <c r="J53" i="39"/>
  <c r="K53" i="39" s="1"/>
  <c r="G53" i="39"/>
  <c r="D53" i="39"/>
  <c r="C53" i="39"/>
  <c r="B53" i="39"/>
  <c r="J52" i="39"/>
  <c r="K52" i="39" s="1"/>
  <c r="G52" i="39"/>
  <c r="D52" i="39"/>
  <c r="C52" i="39"/>
  <c r="B52" i="39"/>
  <c r="K51" i="39"/>
  <c r="J51" i="39"/>
  <c r="G51" i="39"/>
  <c r="D51" i="39"/>
  <c r="C51" i="39"/>
  <c r="B51" i="39"/>
  <c r="K50" i="39"/>
  <c r="J50" i="39"/>
  <c r="G50" i="39"/>
  <c r="D50" i="39"/>
  <c r="C50" i="39"/>
  <c r="B50" i="39"/>
  <c r="J49" i="39"/>
  <c r="K49" i="39" s="1"/>
  <c r="G49" i="39"/>
  <c r="D49" i="39"/>
  <c r="C49" i="39"/>
  <c r="B49" i="39"/>
  <c r="J48" i="39"/>
  <c r="K48" i="39" s="1"/>
  <c r="G48" i="39"/>
  <c r="D48" i="39"/>
  <c r="C48" i="39"/>
  <c r="B48" i="39"/>
  <c r="K47" i="39"/>
  <c r="J47" i="39"/>
  <c r="G47" i="39"/>
  <c r="D47" i="39"/>
  <c r="C47" i="39"/>
  <c r="B47" i="39"/>
  <c r="K46" i="39"/>
  <c r="J46" i="39"/>
  <c r="G46" i="39"/>
  <c r="D46" i="39"/>
  <c r="C46" i="39"/>
  <c r="B46" i="39"/>
  <c r="J45" i="39"/>
  <c r="K45" i="39" s="1"/>
  <c r="G45" i="39"/>
  <c r="D45" i="39"/>
  <c r="C45" i="39"/>
  <c r="B45" i="39"/>
  <c r="J44" i="39"/>
  <c r="K44" i="39" s="1"/>
  <c r="G44" i="39"/>
  <c r="D44" i="39"/>
  <c r="C44" i="39"/>
  <c r="B44" i="39"/>
  <c r="K43" i="39"/>
  <c r="J43" i="39"/>
  <c r="G43" i="39"/>
  <c r="D43" i="39"/>
  <c r="C43" i="39"/>
  <c r="B43" i="39"/>
  <c r="K42" i="39"/>
  <c r="J42" i="39"/>
  <c r="G42" i="39"/>
  <c r="D42" i="39"/>
  <c r="C42" i="39"/>
  <c r="B42" i="39"/>
  <c r="J41" i="39"/>
  <c r="K41" i="39" s="1"/>
  <c r="G41" i="39"/>
  <c r="D41" i="39"/>
  <c r="C41" i="39"/>
  <c r="B41" i="39"/>
  <c r="J40" i="39"/>
  <c r="K40" i="39" s="1"/>
  <c r="G40" i="39"/>
  <c r="D40" i="39"/>
  <c r="C40" i="39"/>
  <c r="B40" i="39"/>
  <c r="K39" i="39"/>
  <c r="J39" i="39"/>
  <c r="G39" i="39"/>
  <c r="D39" i="39"/>
  <c r="C39" i="39"/>
  <c r="B39" i="39"/>
  <c r="K38" i="39"/>
  <c r="J38" i="39"/>
  <c r="G38" i="39"/>
  <c r="D38" i="39"/>
  <c r="C38" i="39"/>
  <c r="B38" i="39"/>
  <c r="J37" i="39"/>
  <c r="K37" i="39" s="1"/>
  <c r="G37" i="39"/>
  <c r="D37" i="39"/>
  <c r="C37" i="39"/>
  <c r="B37" i="39"/>
  <c r="J36" i="39"/>
  <c r="K36" i="39" s="1"/>
  <c r="G36" i="39"/>
  <c r="D36" i="39"/>
  <c r="C36" i="39"/>
  <c r="B36" i="39"/>
  <c r="K35" i="39"/>
  <c r="J35" i="39"/>
  <c r="G35" i="39"/>
  <c r="D35" i="39"/>
  <c r="C35" i="39"/>
  <c r="B35" i="39"/>
  <c r="K34" i="39"/>
  <c r="J34" i="39"/>
  <c r="G34" i="39"/>
  <c r="D34" i="39"/>
  <c r="C34" i="39"/>
  <c r="B34" i="39"/>
  <c r="J33" i="39"/>
  <c r="K33" i="39" s="1"/>
  <c r="G33" i="39"/>
  <c r="D33" i="39"/>
  <c r="C33" i="39"/>
  <c r="B33" i="39"/>
  <c r="J32" i="39"/>
  <c r="K32" i="39" s="1"/>
  <c r="G32" i="39"/>
  <c r="D32" i="39"/>
  <c r="C32" i="39"/>
  <c r="B32" i="39"/>
  <c r="K31" i="39"/>
  <c r="J31" i="39"/>
  <c r="G31" i="39"/>
  <c r="D31" i="39"/>
  <c r="C31" i="39"/>
  <c r="B31" i="39"/>
  <c r="K30" i="39"/>
  <c r="J30" i="39"/>
  <c r="G30" i="39"/>
  <c r="D30" i="39"/>
  <c r="C30" i="39"/>
  <c r="B30" i="39"/>
  <c r="J29" i="39"/>
  <c r="K29" i="39" s="1"/>
  <c r="G29" i="39"/>
  <c r="D29" i="39"/>
  <c r="C29" i="39"/>
  <c r="B29" i="39"/>
  <c r="J28" i="39"/>
  <c r="K28" i="39" s="1"/>
  <c r="G28" i="39"/>
  <c r="D28" i="39"/>
  <c r="C28" i="39"/>
  <c r="B28" i="39"/>
  <c r="K27" i="39"/>
  <c r="J27" i="39"/>
  <c r="G27" i="39"/>
  <c r="D27" i="39"/>
  <c r="C27" i="39"/>
  <c r="B27" i="39"/>
  <c r="K26" i="39"/>
  <c r="J26" i="39"/>
  <c r="G26" i="39"/>
  <c r="D26" i="39"/>
  <c r="C26" i="39"/>
  <c r="B26" i="39"/>
  <c r="J25" i="39"/>
  <c r="K25" i="39" s="1"/>
  <c r="G25" i="39"/>
  <c r="D25" i="39"/>
  <c r="C25" i="39"/>
  <c r="B25" i="39"/>
  <c r="J24" i="39"/>
  <c r="K24" i="39" s="1"/>
  <c r="G24" i="39"/>
  <c r="D24" i="39"/>
  <c r="C24" i="39"/>
  <c r="B24" i="39"/>
  <c r="K23" i="39"/>
  <c r="J23" i="39"/>
  <c r="G23" i="39"/>
  <c r="D23" i="39"/>
  <c r="C23" i="39"/>
  <c r="B23" i="39"/>
  <c r="K22" i="39"/>
  <c r="J22" i="39"/>
  <c r="G22" i="39"/>
  <c r="D22" i="39"/>
  <c r="C22" i="39"/>
  <c r="B22" i="39"/>
  <c r="J21" i="39"/>
  <c r="K21" i="39" s="1"/>
  <c r="G21" i="39"/>
  <c r="D21" i="39"/>
  <c r="C21" i="39"/>
  <c r="B21" i="39"/>
  <c r="J20" i="39"/>
  <c r="K20" i="39" s="1"/>
  <c r="G20" i="39"/>
  <c r="D20" i="39"/>
  <c r="C20" i="39"/>
  <c r="B20" i="39"/>
  <c r="K19" i="39"/>
  <c r="J19" i="39"/>
  <c r="G19" i="39"/>
  <c r="D19" i="39"/>
  <c r="C19" i="39"/>
  <c r="B19" i="39"/>
  <c r="K18" i="39"/>
  <c r="J18" i="39"/>
  <c r="G18" i="39"/>
  <c r="D18" i="39"/>
  <c r="C18" i="39"/>
  <c r="B18" i="39"/>
  <c r="J17" i="39"/>
  <c r="K17" i="39" s="1"/>
  <c r="G17" i="39"/>
  <c r="D17" i="39"/>
  <c r="C17" i="39"/>
  <c r="B17" i="39"/>
  <c r="J16" i="39"/>
  <c r="K16" i="39" s="1"/>
  <c r="G16" i="39"/>
  <c r="D16" i="39"/>
  <c r="C16" i="39"/>
  <c r="B16" i="39"/>
  <c r="K15" i="39"/>
  <c r="J15" i="39"/>
  <c r="G15" i="39"/>
  <c r="D15" i="39"/>
  <c r="C15" i="39"/>
  <c r="B15" i="39"/>
  <c r="K14" i="39"/>
  <c r="J14" i="39"/>
  <c r="G14" i="39"/>
  <c r="D14" i="39"/>
  <c r="C14" i="39"/>
  <c r="B14" i="39"/>
  <c r="J13" i="39"/>
  <c r="K13" i="39" s="1"/>
  <c r="G13" i="39"/>
  <c r="D13" i="39"/>
  <c r="C13" i="39"/>
  <c r="B13" i="39"/>
  <c r="J12" i="39"/>
  <c r="K12" i="39" s="1"/>
  <c r="G12" i="39"/>
  <c r="D12" i="39"/>
  <c r="C12" i="39"/>
  <c r="B12" i="39"/>
  <c r="K11" i="39"/>
  <c r="J11" i="39"/>
  <c r="G11" i="39"/>
  <c r="D11" i="39"/>
  <c r="C11" i="39"/>
  <c r="B11" i="39"/>
  <c r="K10" i="39"/>
  <c r="J10" i="39"/>
  <c r="G10" i="39"/>
  <c r="D10" i="39"/>
  <c r="C10" i="39"/>
  <c r="B10" i="39"/>
  <c r="J9" i="39"/>
  <c r="K9" i="39" s="1"/>
  <c r="G9" i="39"/>
  <c r="D9" i="39"/>
  <c r="C9" i="39"/>
  <c r="B9" i="39"/>
  <c r="J4" i="39"/>
  <c r="J208" i="38"/>
  <c r="I208" i="38"/>
  <c r="F208" i="38"/>
  <c r="D208" i="38"/>
  <c r="C208" i="38"/>
  <c r="B208" i="38"/>
  <c r="I207" i="38"/>
  <c r="J207" i="38" s="1"/>
  <c r="F207" i="38"/>
  <c r="D207" i="38"/>
  <c r="C207" i="38"/>
  <c r="B207" i="38"/>
  <c r="I206" i="38"/>
  <c r="J206" i="38" s="1"/>
  <c r="F206" i="38"/>
  <c r="D206" i="38"/>
  <c r="C206" i="38"/>
  <c r="B206" i="38"/>
  <c r="J205" i="38"/>
  <c r="I205" i="38"/>
  <c r="F205" i="38"/>
  <c r="D205" i="38"/>
  <c r="C205" i="38"/>
  <c r="B205" i="38"/>
  <c r="J204" i="38"/>
  <c r="I204" i="38"/>
  <c r="F204" i="38"/>
  <c r="D204" i="38"/>
  <c r="C204" i="38"/>
  <c r="B204" i="38"/>
  <c r="J203" i="38"/>
  <c r="I203" i="38"/>
  <c r="F203" i="38"/>
  <c r="D203" i="38"/>
  <c r="C203" i="38"/>
  <c r="B203" i="38"/>
  <c r="I202" i="38"/>
  <c r="J202" i="38" s="1"/>
  <c r="F202" i="38"/>
  <c r="D202" i="38"/>
  <c r="C202" i="38"/>
  <c r="B202" i="38"/>
  <c r="J201" i="38"/>
  <c r="I201" i="38"/>
  <c r="F201" i="38"/>
  <c r="D201" i="38"/>
  <c r="C201" i="38"/>
  <c r="B201" i="38"/>
  <c r="J200" i="38"/>
  <c r="I200" i="38"/>
  <c r="F200" i="38"/>
  <c r="D200" i="38"/>
  <c r="C200" i="38"/>
  <c r="B200" i="38"/>
  <c r="J199" i="38"/>
  <c r="I199" i="38"/>
  <c r="F199" i="38"/>
  <c r="D199" i="38"/>
  <c r="C199" i="38"/>
  <c r="B199" i="38"/>
  <c r="I198" i="38"/>
  <c r="J198" i="38" s="1"/>
  <c r="F198" i="38"/>
  <c r="D198" i="38"/>
  <c r="C198" i="38"/>
  <c r="B198" i="38"/>
  <c r="J197" i="38"/>
  <c r="I197" i="38"/>
  <c r="F197" i="38"/>
  <c r="D197" i="38"/>
  <c r="C197" i="38"/>
  <c r="B197" i="38"/>
  <c r="J196" i="38"/>
  <c r="I196" i="38"/>
  <c r="F196" i="38"/>
  <c r="D196" i="38"/>
  <c r="C196" i="38"/>
  <c r="B196" i="38"/>
  <c r="J195" i="38"/>
  <c r="I195" i="38"/>
  <c r="F195" i="38"/>
  <c r="D195" i="38"/>
  <c r="C195" i="38"/>
  <c r="B195" i="38"/>
  <c r="I194" i="38"/>
  <c r="J194" i="38" s="1"/>
  <c r="F194" i="38"/>
  <c r="D194" i="38"/>
  <c r="C194" i="38"/>
  <c r="B194" i="38"/>
  <c r="J193" i="38"/>
  <c r="I193" i="38"/>
  <c r="F193" i="38"/>
  <c r="D193" i="38"/>
  <c r="C193" i="38"/>
  <c r="B193" i="38"/>
  <c r="J192" i="38"/>
  <c r="I192" i="38"/>
  <c r="F192" i="38"/>
  <c r="D192" i="38"/>
  <c r="C192" i="38"/>
  <c r="B192" i="38"/>
  <c r="J191" i="38"/>
  <c r="I191" i="38"/>
  <c r="F191" i="38"/>
  <c r="D191" i="38"/>
  <c r="C191" i="38"/>
  <c r="B191" i="38"/>
  <c r="I190" i="38"/>
  <c r="J190" i="38" s="1"/>
  <c r="F190" i="38"/>
  <c r="D190" i="38"/>
  <c r="C190" i="38"/>
  <c r="B190" i="38"/>
  <c r="J189" i="38"/>
  <c r="I189" i="38"/>
  <c r="F189" i="38"/>
  <c r="D189" i="38"/>
  <c r="C189" i="38"/>
  <c r="B189" i="38"/>
  <c r="J188" i="38"/>
  <c r="I188" i="38"/>
  <c r="F188" i="38"/>
  <c r="D188" i="38"/>
  <c r="C188" i="38"/>
  <c r="B188" i="38"/>
  <c r="J187" i="38"/>
  <c r="I187" i="38"/>
  <c r="F187" i="38"/>
  <c r="D187" i="38"/>
  <c r="C187" i="38"/>
  <c r="B187" i="38"/>
  <c r="I186" i="38"/>
  <c r="J186" i="38" s="1"/>
  <c r="F186" i="38"/>
  <c r="D186" i="38"/>
  <c r="C186" i="38"/>
  <c r="B186" i="38"/>
  <c r="J185" i="38"/>
  <c r="I185" i="38"/>
  <c r="F185" i="38"/>
  <c r="D185" i="38"/>
  <c r="C185" i="38"/>
  <c r="B185" i="38"/>
  <c r="J184" i="38"/>
  <c r="I184" i="38"/>
  <c r="F184" i="38"/>
  <c r="D184" i="38"/>
  <c r="C184" i="38"/>
  <c r="B184" i="38"/>
  <c r="J183" i="38"/>
  <c r="I183" i="38"/>
  <c r="F183" i="38"/>
  <c r="D183" i="38"/>
  <c r="C183" i="38"/>
  <c r="B183" i="38"/>
  <c r="I182" i="38"/>
  <c r="J182" i="38" s="1"/>
  <c r="F182" i="38"/>
  <c r="D182" i="38"/>
  <c r="C182" i="38"/>
  <c r="B182" i="38"/>
  <c r="J181" i="38"/>
  <c r="I181" i="38"/>
  <c r="F181" i="38"/>
  <c r="D181" i="38"/>
  <c r="C181" i="38"/>
  <c r="B181" i="38"/>
  <c r="J180" i="38"/>
  <c r="I180" i="38"/>
  <c r="F180" i="38"/>
  <c r="D180" i="38"/>
  <c r="C180" i="38"/>
  <c r="B180" i="38"/>
  <c r="J179" i="38"/>
  <c r="I179" i="38"/>
  <c r="F179" i="38"/>
  <c r="D179" i="38"/>
  <c r="C179" i="38"/>
  <c r="B179" i="38"/>
  <c r="I178" i="38"/>
  <c r="J178" i="38" s="1"/>
  <c r="F178" i="38"/>
  <c r="D178" i="38"/>
  <c r="C178" i="38"/>
  <c r="B178" i="38"/>
  <c r="J177" i="38"/>
  <c r="I177" i="38"/>
  <c r="F177" i="38"/>
  <c r="D177" i="38"/>
  <c r="C177" i="38"/>
  <c r="B177" i="38"/>
  <c r="J176" i="38"/>
  <c r="I176" i="38"/>
  <c r="F176" i="38"/>
  <c r="D176" i="38"/>
  <c r="C176" i="38"/>
  <c r="B176" i="38"/>
  <c r="J175" i="38"/>
  <c r="I175" i="38"/>
  <c r="F175" i="38"/>
  <c r="D175" i="38"/>
  <c r="C175" i="38"/>
  <c r="B175" i="38"/>
  <c r="I174" i="38"/>
  <c r="J174" i="38" s="1"/>
  <c r="F174" i="38"/>
  <c r="D174" i="38"/>
  <c r="C174" i="38"/>
  <c r="B174" i="38"/>
  <c r="J173" i="38"/>
  <c r="I173" i="38"/>
  <c r="F173" i="38"/>
  <c r="D173" i="38"/>
  <c r="C173" i="38"/>
  <c r="B173" i="38"/>
  <c r="J172" i="38"/>
  <c r="I172" i="38"/>
  <c r="F172" i="38"/>
  <c r="D172" i="38"/>
  <c r="C172" i="38"/>
  <c r="B172" i="38"/>
  <c r="J171" i="38"/>
  <c r="I171" i="38"/>
  <c r="F171" i="38"/>
  <c r="D171" i="38"/>
  <c r="C171" i="38"/>
  <c r="B171" i="38"/>
  <c r="I170" i="38"/>
  <c r="J170" i="38" s="1"/>
  <c r="F170" i="38"/>
  <c r="D170" i="38"/>
  <c r="C170" i="38"/>
  <c r="B170" i="38"/>
  <c r="J169" i="38"/>
  <c r="I169" i="38"/>
  <c r="F169" i="38"/>
  <c r="D169" i="38"/>
  <c r="C169" i="38"/>
  <c r="B169" i="38"/>
  <c r="J168" i="38"/>
  <c r="I168" i="38"/>
  <c r="F168" i="38"/>
  <c r="D168" i="38"/>
  <c r="C168" i="38"/>
  <c r="B168" i="38"/>
  <c r="J167" i="38"/>
  <c r="I167" i="38"/>
  <c r="F167" i="38"/>
  <c r="D167" i="38"/>
  <c r="C167" i="38"/>
  <c r="B167" i="38"/>
  <c r="I166" i="38"/>
  <c r="J166" i="38" s="1"/>
  <c r="F166" i="38"/>
  <c r="D166" i="38"/>
  <c r="C166" i="38"/>
  <c r="B166" i="38"/>
  <c r="J165" i="38"/>
  <c r="I165" i="38"/>
  <c r="F165" i="38"/>
  <c r="D165" i="38"/>
  <c r="C165" i="38"/>
  <c r="B165" i="38"/>
  <c r="J164" i="38"/>
  <c r="I164" i="38"/>
  <c r="F164" i="38"/>
  <c r="D164" i="38"/>
  <c r="C164" i="38"/>
  <c r="B164" i="38"/>
  <c r="J163" i="38"/>
  <c r="I163" i="38"/>
  <c r="F163" i="38"/>
  <c r="D163" i="38"/>
  <c r="C163" i="38"/>
  <c r="B163" i="38"/>
  <c r="I162" i="38"/>
  <c r="J162" i="38" s="1"/>
  <c r="F162" i="38"/>
  <c r="D162" i="38"/>
  <c r="C162" i="38"/>
  <c r="B162" i="38"/>
  <c r="J161" i="38"/>
  <c r="I161" i="38"/>
  <c r="F161" i="38"/>
  <c r="D161" i="38"/>
  <c r="C161" i="38"/>
  <c r="B161" i="38"/>
  <c r="J160" i="38"/>
  <c r="I160" i="38"/>
  <c r="F160" i="38"/>
  <c r="D160" i="38"/>
  <c r="C160" i="38"/>
  <c r="B160" i="38"/>
  <c r="J159" i="38"/>
  <c r="I159" i="38"/>
  <c r="F159" i="38"/>
  <c r="D159" i="38"/>
  <c r="C159" i="38"/>
  <c r="B159" i="38"/>
  <c r="I158" i="38"/>
  <c r="J158" i="38" s="1"/>
  <c r="F158" i="38"/>
  <c r="D158" i="38"/>
  <c r="C158" i="38"/>
  <c r="B158" i="38"/>
  <c r="J157" i="38"/>
  <c r="I157" i="38"/>
  <c r="F157" i="38"/>
  <c r="D157" i="38"/>
  <c r="C157" i="38"/>
  <c r="B157" i="38"/>
  <c r="J156" i="38"/>
  <c r="I156" i="38"/>
  <c r="F156" i="38"/>
  <c r="D156" i="38"/>
  <c r="C156" i="38"/>
  <c r="B156" i="38"/>
  <c r="J155" i="38"/>
  <c r="I155" i="38"/>
  <c r="F155" i="38"/>
  <c r="D155" i="38"/>
  <c r="C155" i="38"/>
  <c r="B155" i="38"/>
  <c r="I154" i="38"/>
  <c r="J154" i="38" s="1"/>
  <c r="F154" i="38"/>
  <c r="D154" i="38"/>
  <c r="C154" i="38"/>
  <c r="B154" i="38"/>
  <c r="J153" i="38"/>
  <c r="I153" i="38"/>
  <c r="F153" i="38"/>
  <c r="D153" i="38"/>
  <c r="C153" i="38"/>
  <c r="B153" i="38"/>
  <c r="J152" i="38"/>
  <c r="I152" i="38"/>
  <c r="F152" i="38"/>
  <c r="D152" i="38"/>
  <c r="C152" i="38"/>
  <c r="B152" i="38"/>
  <c r="J151" i="38"/>
  <c r="I151" i="38"/>
  <c r="F151" i="38"/>
  <c r="D151" i="38"/>
  <c r="C151" i="38"/>
  <c r="B151" i="38"/>
  <c r="I150" i="38"/>
  <c r="J150" i="38" s="1"/>
  <c r="F150" i="38"/>
  <c r="D150" i="38"/>
  <c r="C150" i="38"/>
  <c r="B150" i="38"/>
  <c r="J149" i="38"/>
  <c r="I149" i="38"/>
  <c r="F149" i="38"/>
  <c r="D149" i="38"/>
  <c r="C149" i="38"/>
  <c r="B149" i="38"/>
  <c r="J148" i="38"/>
  <c r="I148" i="38"/>
  <c r="F148" i="38"/>
  <c r="D148" i="38"/>
  <c r="C148" i="38"/>
  <c r="B148" i="38"/>
  <c r="J147" i="38"/>
  <c r="I147" i="38"/>
  <c r="F147" i="38"/>
  <c r="D147" i="38"/>
  <c r="C147" i="38"/>
  <c r="B147" i="38"/>
  <c r="I146" i="38"/>
  <c r="J146" i="38" s="1"/>
  <c r="F146" i="38"/>
  <c r="D146" i="38"/>
  <c r="C146" i="38"/>
  <c r="B146" i="38"/>
  <c r="J145" i="38"/>
  <c r="I145" i="38"/>
  <c r="F145" i="38"/>
  <c r="D145" i="38"/>
  <c r="C145" i="38"/>
  <c r="B145" i="38"/>
  <c r="J144" i="38"/>
  <c r="I144" i="38"/>
  <c r="F144" i="38"/>
  <c r="D144" i="38"/>
  <c r="C144" i="38"/>
  <c r="B144" i="38"/>
  <c r="J143" i="38"/>
  <c r="I143" i="38"/>
  <c r="F143" i="38"/>
  <c r="D143" i="38"/>
  <c r="C143" i="38"/>
  <c r="B143" i="38"/>
  <c r="I142" i="38"/>
  <c r="J142" i="38" s="1"/>
  <c r="F142" i="38"/>
  <c r="D142" i="38"/>
  <c r="C142" i="38"/>
  <c r="B142" i="38"/>
  <c r="J141" i="38"/>
  <c r="I141" i="38"/>
  <c r="F141" i="38"/>
  <c r="D141" i="38"/>
  <c r="C141" i="38"/>
  <c r="B141" i="38"/>
  <c r="J140" i="38"/>
  <c r="I140" i="38"/>
  <c r="F140" i="38"/>
  <c r="D140" i="38"/>
  <c r="C140" i="38"/>
  <c r="B140" i="38"/>
  <c r="J139" i="38"/>
  <c r="I139" i="38"/>
  <c r="F139" i="38"/>
  <c r="D139" i="38"/>
  <c r="C139" i="38"/>
  <c r="B139" i="38"/>
  <c r="I138" i="38"/>
  <c r="J138" i="38" s="1"/>
  <c r="F138" i="38"/>
  <c r="D138" i="38"/>
  <c r="C138" i="38"/>
  <c r="B138" i="38"/>
  <c r="J137" i="38"/>
  <c r="I137" i="38"/>
  <c r="F137" i="38"/>
  <c r="D137" i="38"/>
  <c r="C137" i="38"/>
  <c r="B137" i="38"/>
  <c r="J136" i="38"/>
  <c r="I136" i="38"/>
  <c r="F136" i="38"/>
  <c r="D136" i="38"/>
  <c r="C136" i="38"/>
  <c r="B136" i="38"/>
  <c r="J135" i="38"/>
  <c r="I135" i="38"/>
  <c r="F135" i="38"/>
  <c r="D135" i="38"/>
  <c r="C135" i="38"/>
  <c r="B135" i="38"/>
  <c r="I134" i="38"/>
  <c r="J134" i="38" s="1"/>
  <c r="F134" i="38"/>
  <c r="D134" i="38"/>
  <c r="C134" i="38"/>
  <c r="B134" i="38"/>
  <c r="J133" i="38"/>
  <c r="I133" i="38"/>
  <c r="F133" i="38"/>
  <c r="D133" i="38"/>
  <c r="C133" i="38"/>
  <c r="B133" i="38"/>
  <c r="J132" i="38"/>
  <c r="I132" i="38"/>
  <c r="F132" i="38"/>
  <c r="D132" i="38"/>
  <c r="C132" i="38"/>
  <c r="B132" i="38"/>
  <c r="J131" i="38"/>
  <c r="I131" i="38"/>
  <c r="F131" i="38"/>
  <c r="D131" i="38"/>
  <c r="C131" i="38"/>
  <c r="B131" i="38"/>
  <c r="I130" i="38"/>
  <c r="J130" i="38" s="1"/>
  <c r="F130" i="38"/>
  <c r="D130" i="38"/>
  <c r="C130" i="38"/>
  <c r="B130" i="38"/>
  <c r="J129" i="38"/>
  <c r="I129" i="38"/>
  <c r="F129" i="38"/>
  <c r="D129" i="38"/>
  <c r="C129" i="38"/>
  <c r="B129" i="38"/>
  <c r="J128" i="38"/>
  <c r="I128" i="38"/>
  <c r="F128" i="38"/>
  <c r="D128" i="38"/>
  <c r="C128" i="38"/>
  <c r="B128" i="38"/>
  <c r="J127" i="38"/>
  <c r="I127" i="38"/>
  <c r="F127" i="38"/>
  <c r="D127" i="38"/>
  <c r="C127" i="38"/>
  <c r="B127" i="38"/>
  <c r="I126" i="38"/>
  <c r="J126" i="38" s="1"/>
  <c r="F126" i="38"/>
  <c r="D126" i="38"/>
  <c r="C126" i="38"/>
  <c r="B126" i="38"/>
  <c r="J125" i="38"/>
  <c r="I125" i="38"/>
  <c r="F125" i="38"/>
  <c r="D125" i="38"/>
  <c r="C125" i="38"/>
  <c r="B125" i="38"/>
  <c r="J124" i="38"/>
  <c r="I124" i="38"/>
  <c r="F124" i="38"/>
  <c r="D124" i="38"/>
  <c r="C124" i="38"/>
  <c r="B124" i="38"/>
  <c r="J123" i="38"/>
  <c r="I123" i="38"/>
  <c r="F123" i="38"/>
  <c r="D123" i="38"/>
  <c r="C123" i="38"/>
  <c r="B123" i="38"/>
  <c r="I122" i="38"/>
  <c r="J122" i="38" s="1"/>
  <c r="F122" i="38"/>
  <c r="D122" i="38"/>
  <c r="C122" i="38"/>
  <c r="B122" i="38"/>
  <c r="J121" i="38"/>
  <c r="I121" i="38"/>
  <c r="F121" i="38"/>
  <c r="D121" i="38"/>
  <c r="C121" i="38"/>
  <c r="B121" i="38"/>
  <c r="J120" i="38"/>
  <c r="I120" i="38"/>
  <c r="F120" i="38"/>
  <c r="D120" i="38"/>
  <c r="C120" i="38"/>
  <c r="B120" i="38"/>
  <c r="J119" i="38"/>
  <c r="I119" i="38"/>
  <c r="F119" i="38"/>
  <c r="D119" i="38"/>
  <c r="C119" i="38"/>
  <c r="B119" i="38"/>
  <c r="I118" i="38"/>
  <c r="J118" i="38" s="1"/>
  <c r="F118" i="38"/>
  <c r="D118" i="38"/>
  <c r="C118" i="38"/>
  <c r="B118" i="38"/>
  <c r="J117" i="38"/>
  <c r="I117" i="38"/>
  <c r="F117" i="38"/>
  <c r="D117" i="38"/>
  <c r="C117" i="38"/>
  <c r="B117" i="38"/>
  <c r="J116" i="38"/>
  <c r="I116" i="38"/>
  <c r="F116" i="38"/>
  <c r="D116" i="38"/>
  <c r="C116" i="38"/>
  <c r="B116" i="38"/>
  <c r="J115" i="38"/>
  <c r="I115" i="38"/>
  <c r="F115" i="38"/>
  <c r="D115" i="38"/>
  <c r="C115" i="38"/>
  <c r="B115" i="38"/>
  <c r="I114" i="38"/>
  <c r="J114" i="38" s="1"/>
  <c r="F114" i="38"/>
  <c r="D114" i="38"/>
  <c r="C114" i="38"/>
  <c r="B114" i="38"/>
  <c r="J113" i="38"/>
  <c r="I113" i="38"/>
  <c r="F113" i="38"/>
  <c r="D113" i="38"/>
  <c r="C113" i="38"/>
  <c r="B113" i="38"/>
  <c r="J112" i="38"/>
  <c r="I112" i="38"/>
  <c r="F112" i="38"/>
  <c r="D112" i="38"/>
  <c r="C112" i="38"/>
  <c r="B112" i="38"/>
  <c r="J111" i="38"/>
  <c r="I111" i="38"/>
  <c r="F111" i="38"/>
  <c r="D111" i="38"/>
  <c r="C111" i="38"/>
  <c r="B111" i="38"/>
  <c r="I110" i="38"/>
  <c r="J110" i="38" s="1"/>
  <c r="F110" i="38"/>
  <c r="D110" i="38"/>
  <c r="C110" i="38"/>
  <c r="B110" i="38"/>
  <c r="J109" i="38"/>
  <c r="I109" i="38"/>
  <c r="F109" i="38"/>
  <c r="D109" i="38"/>
  <c r="C109" i="38"/>
  <c r="B109" i="38"/>
  <c r="J108" i="38"/>
  <c r="I108" i="38"/>
  <c r="F108" i="38"/>
  <c r="D108" i="38"/>
  <c r="C108" i="38"/>
  <c r="B108" i="38"/>
  <c r="J107" i="38"/>
  <c r="I107" i="38"/>
  <c r="F107" i="38"/>
  <c r="D107" i="38"/>
  <c r="C107" i="38"/>
  <c r="B107" i="38"/>
  <c r="I106" i="38"/>
  <c r="J106" i="38" s="1"/>
  <c r="F106" i="38"/>
  <c r="D106" i="38"/>
  <c r="C106" i="38"/>
  <c r="B106" i="38"/>
  <c r="J105" i="38"/>
  <c r="I105" i="38"/>
  <c r="F105" i="38"/>
  <c r="D105" i="38"/>
  <c r="C105" i="38"/>
  <c r="B105" i="38"/>
  <c r="J104" i="38"/>
  <c r="I104" i="38"/>
  <c r="F104" i="38"/>
  <c r="D104" i="38"/>
  <c r="C104" i="38"/>
  <c r="B104" i="38"/>
  <c r="J103" i="38"/>
  <c r="I103" i="38"/>
  <c r="F103" i="38"/>
  <c r="D103" i="38"/>
  <c r="C103" i="38"/>
  <c r="B103" i="38"/>
  <c r="I102" i="38"/>
  <c r="J102" i="38" s="1"/>
  <c r="F102" i="38"/>
  <c r="D102" i="38"/>
  <c r="C102" i="38"/>
  <c r="B102" i="38"/>
  <c r="J101" i="38"/>
  <c r="I101" i="38"/>
  <c r="F101" i="38"/>
  <c r="D101" i="38"/>
  <c r="C101" i="38"/>
  <c r="B101" i="38"/>
  <c r="J100" i="38"/>
  <c r="I100" i="38"/>
  <c r="F100" i="38"/>
  <c r="D100" i="38"/>
  <c r="C100" i="38"/>
  <c r="B100" i="38"/>
  <c r="J99" i="38"/>
  <c r="I99" i="38"/>
  <c r="F99" i="38"/>
  <c r="D99" i="38"/>
  <c r="C99" i="38"/>
  <c r="B99" i="38"/>
  <c r="I98" i="38"/>
  <c r="J98" i="38" s="1"/>
  <c r="F98" i="38"/>
  <c r="D98" i="38"/>
  <c r="C98" i="38"/>
  <c r="B98" i="38"/>
  <c r="J97" i="38"/>
  <c r="I97" i="38"/>
  <c r="F97" i="38"/>
  <c r="D97" i="38"/>
  <c r="C97" i="38"/>
  <c r="B97" i="38"/>
  <c r="J96" i="38"/>
  <c r="I96" i="38"/>
  <c r="F96" i="38"/>
  <c r="D96" i="38"/>
  <c r="C96" i="38"/>
  <c r="B96" i="38"/>
  <c r="J95" i="38"/>
  <c r="I95" i="38"/>
  <c r="F95" i="38"/>
  <c r="D95" i="38"/>
  <c r="C95" i="38"/>
  <c r="B95" i="38"/>
  <c r="I94" i="38"/>
  <c r="J94" i="38" s="1"/>
  <c r="F94" i="38"/>
  <c r="D94" i="38"/>
  <c r="C94" i="38"/>
  <c r="B94" i="38"/>
  <c r="J93" i="38"/>
  <c r="I93" i="38"/>
  <c r="F93" i="38"/>
  <c r="D93" i="38"/>
  <c r="C93" i="38"/>
  <c r="B93" i="38"/>
  <c r="J92" i="38"/>
  <c r="I92" i="38"/>
  <c r="F92" i="38"/>
  <c r="D92" i="38"/>
  <c r="C92" i="38"/>
  <c r="B92" i="38"/>
  <c r="J91" i="38"/>
  <c r="I91" i="38"/>
  <c r="F91" i="38"/>
  <c r="D91" i="38"/>
  <c r="C91" i="38"/>
  <c r="B91" i="38"/>
  <c r="I90" i="38"/>
  <c r="J90" i="38" s="1"/>
  <c r="F90" i="38"/>
  <c r="D90" i="38"/>
  <c r="C90" i="38"/>
  <c r="B90" i="38"/>
  <c r="J89" i="38"/>
  <c r="I89" i="38"/>
  <c r="F89" i="38"/>
  <c r="D89" i="38"/>
  <c r="C89" i="38"/>
  <c r="B89" i="38"/>
  <c r="J88" i="38"/>
  <c r="I88" i="38"/>
  <c r="F88" i="38"/>
  <c r="D88" i="38"/>
  <c r="C88" i="38"/>
  <c r="B88" i="38"/>
  <c r="J87" i="38"/>
  <c r="I87" i="38"/>
  <c r="F87" i="38"/>
  <c r="D87" i="38"/>
  <c r="C87" i="38"/>
  <c r="B87" i="38"/>
  <c r="I86" i="38"/>
  <c r="J86" i="38" s="1"/>
  <c r="F86" i="38"/>
  <c r="D86" i="38"/>
  <c r="C86" i="38"/>
  <c r="B86" i="38"/>
  <c r="J85" i="38"/>
  <c r="I85" i="38"/>
  <c r="F85" i="38"/>
  <c r="D85" i="38"/>
  <c r="C85" i="38"/>
  <c r="B85" i="38"/>
  <c r="J84" i="38"/>
  <c r="I84" i="38"/>
  <c r="F84" i="38"/>
  <c r="D84" i="38"/>
  <c r="C84" i="38"/>
  <c r="B84" i="38"/>
  <c r="J83" i="38"/>
  <c r="I83" i="38"/>
  <c r="F83" i="38"/>
  <c r="D83" i="38"/>
  <c r="C83" i="38"/>
  <c r="B83" i="38"/>
  <c r="I82" i="38"/>
  <c r="J82" i="38" s="1"/>
  <c r="F82" i="38"/>
  <c r="D82" i="38"/>
  <c r="C82" i="38"/>
  <c r="B82" i="38"/>
  <c r="J81" i="38"/>
  <c r="I81" i="38"/>
  <c r="F81" i="38"/>
  <c r="D81" i="38"/>
  <c r="C81" i="38"/>
  <c r="B81" i="38"/>
  <c r="J80" i="38"/>
  <c r="I80" i="38"/>
  <c r="F80" i="38"/>
  <c r="D80" i="38"/>
  <c r="C80" i="38"/>
  <c r="B80" i="38"/>
  <c r="J79" i="38"/>
  <c r="I79" i="38"/>
  <c r="F79" i="38"/>
  <c r="D79" i="38"/>
  <c r="C79" i="38"/>
  <c r="B79" i="38"/>
  <c r="I78" i="38"/>
  <c r="J78" i="38" s="1"/>
  <c r="F78" i="38"/>
  <c r="D78" i="38"/>
  <c r="C78" i="38"/>
  <c r="B78" i="38"/>
  <c r="J77" i="38"/>
  <c r="I77" i="38"/>
  <c r="F77" i="38"/>
  <c r="D77" i="38"/>
  <c r="C77" i="38"/>
  <c r="B77" i="38"/>
  <c r="J76" i="38"/>
  <c r="I76" i="38"/>
  <c r="F76" i="38"/>
  <c r="D76" i="38"/>
  <c r="C76" i="38"/>
  <c r="B76" i="38"/>
  <c r="J75" i="38"/>
  <c r="I75" i="38"/>
  <c r="F75" i="38"/>
  <c r="D75" i="38"/>
  <c r="C75" i="38"/>
  <c r="B75" i="38"/>
  <c r="I74" i="38"/>
  <c r="J74" i="38" s="1"/>
  <c r="F74" i="38"/>
  <c r="D74" i="38"/>
  <c r="C74" i="38"/>
  <c r="B74" i="38"/>
  <c r="J73" i="38"/>
  <c r="I73" i="38"/>
  <c r="F73" i="38"/>
  <c r="D73" i="38"/>
  <c r="C73" i="38"/>
  <c r="B73" i="38"/>
  <c r="J72" i="38"/>
  <c r="I72" i="38"/>
  <c r="F72" i="38"/>
  <c r="D72" i="38"/>
  <c r="C72" i="38"/>
  <c r="B72" i="38"/>
  <c r="J71" i="38"/>
  <c r="I71" i="38"/>
  <c r="F71" i="38"/>
  <c r="D71" i="38"/>
  <c r="C71" i="38"/>
  <c r="B71" i="38"/>
  <c r="I70" i="38"/>
  <c r="J70" i="38" s="1"/>
  <c r="F70" i="38"/>
  <c r="D70" i="38"/>
  <c r="C70" i="38"/>
  <c r="B70" i="38"/>
  <c r="J69" i="38"/>
  <c r="I69" i="38"/>
  <c r="F69" i="38"/>
  <c r="D69" i="38"/>
  <c r="C69" i="38"/>
  <c r="B69" i="38"/>
  <c r="J68" i="38"/>
  <c r="I68" i="38"/>
  <c r="F68" i="38"/>
  <c r="D68" i="38"/>
  <c r="C68" i="38"/>
  <c r="B68" i="38"/>
  <c r="J67" i="38"/>
  <c r="I67" i="38"/>
  <c r="F67" i="38"/>
  <c r="D67" i="38"/>
  <c r="C67" i="38"/>
  <c r="B67" i="38"/>
  <c r="I66" i="38"/>
  <c r="J66" i="38" s="1"/>
  <c r="F66" i="38"/>
  <c r="D66" i="38"/>
  <c r="C66" i="38"/>
  <c r="B66" i="38"/>
  <c r="J65" i="38"/>
  <c r="I65" i="38"/>
  <c r="F65" i="38"/>
  <c r="D65" i="38"/>
  <c r="C65" i="38"/>
  <c r="B65" i="38"/>
  <c r="J64" i="38"/>
  <c r="I64" i="38"/>
  <c r="F64" i="38"/>
  <c r="D64" i="38"/>
  <c r="C64" i="38"/>
  <c r="B64" i="38"/>
  <c r="J63" i="38"/>
  <c r="I63" i="38"/>
  <c r="F63" i="38"/>
  <c r="D63" i="38"/>
  <c r="C63" i="38"/>
  <c r="B63" i="38"/>
  <c r="I62" i="38"/>
  <c r="J62" i="38" s="1"/>
  <c r="F62" i="38"/>
  <c r="D62" i="38"/>
  <c r="C62" i="38"/>
  <c r="B62" i="38"/>
  <c r="J61" i="38"/>
  <c r="I61" i="38"/>
  <c r="F61" i="38"/>
  <c r="D61" i="38"/>
  <c r="C61" i="38"/>
  <c r="B61" i="38"/>
  <c r="J60" i="38"/>
  <c r="I60" i="38"/>
  <c r="F60" i="38"/>
  <c r="D60" i="38"/>
  <c r="C60" i="38"/>
  <c r="B60" i="38"/>
  <c r="J59" i="38"/>
  <c r="I59" i="38"/>
  <c r="F59" i="38"/>
  <c r="D59" i="38"/>
  <c r="C59" i="38"/>
  <c r="B59" i="38"/>
  <c r="I58" i="38"/>
  <c r="J58" i="38" s="1"/>
  <c r="F58" i="38"/>
  <c r="D58" i="38"/>
  <c r="C58" i="38"/>
  <c r="B58" i="38"/>
  <c r="J57" i="38"/>
  <c r="I57" i="38"/>
  <c r="F57" i="38"/>
  <c r="D57" i="38"/>
  <c r="C57" i="38"/>
  <c r="B57" i="38"/>
  <c r="J56" i="38"/>
  <c r="I56" i="38"/>
  <c r="F56" i="38"/>
  <c r="D56" i="38"/>
  <c r="C56" i="38"/>
  <c r="B56" i="38"/>
  <c r="J55" i="38"/>
  <c r="I55" i="38"/>
  <c r="F55" i="38"/>
  <c r="D55" i="38"/>
  <c r="C55" i="38"/>
  <c r="B55" i="38"/>
  <c r="I54" i="38"/>
  <c r="J54" i="38" s="1"/>
  <c r="F54" i="38"/>
  <c r="D54" i="38"/>
  <c r="C54" i="38"/>
  <c r="B54" i="38"/>
  <c r="J53" i="38"/>
  <c r="I53" i="38"/>
  <c r="F53" i="38"/>
  <c r="D53" i="38"/>
  <c r="C53" i="38"/>
  <c r="B53" i="38"/>
  <c r="J52" i="38"/>
  <c r="I52" i="38"/>
  <c r="F52" i="38"/>
  <c r="D52" i="38"/>
  <c r="C52" i="38"/>
  <c r="B52" i="38"/>
  <c r="J51" i="38"/>
  <c r="I51" i="38"/>
  <c r="F51" i="38"/>
  <c r="D51" i="38"/>
  <c r="C51" i="38"/>
  <c r="B51" i="38"/>
  <c r="I50" i="38"/>
  <c r="J50" i="38" s="1"/>
  <c r="F50" i="38"/>
  <c r="D50" i="38"/>
  <c r="C50" i="38"/>
  <c r="B50" i="38"/>
  <c r="J49" i="38"/>
  <c r="I49" i="38"/>
  <c r="F49" i="38"/>
  <c r="D49" i="38"/>
  <c r="C49" i="38"/>
  <c r="B49" i="38"/>
  <c r="J48" i="38"/>
  <c r="I48" i="38"/>
  <c r="F48" i="38"/>
  <c r="D48" i="38"/>
  <c r="C48" i="38"/>
  <c r="B48" i="38"/>
  <c r="J47" i="38"/>
  <c r="I47" i="38"/>
  <c r="F47" i="38"/>
  <c r="D47" i="38"/>
  <c r="C47" i="38"/>
  <c r="B47" i="38"/>
  <c r="I46" i="38"/>
  <c r="J46" i="38" s="1"/>
  <c r="F46" i="38"/>
  <c r="D46" i="38"/>
  <c r="C46" i="38"/>
  <c r="B46" i="38"/>
  <c r="J45" i="38"/>
  <c r="I45" i="38"/>
  <c r="F45" i="38"/>
  <c r="D45" i="38"/>
  <c r="C45" i="38"/>
  <c r="B45" i="38"/>
  <c r="J44" i="38"/>
  <c r="I44" i="38"/>
  <c r="F44" i="38"/>
  <c r="D44" i="38"/>
  <c r="C44" i="38"/>
  <c r="B44" i="38"/>
  <c r="J43" i="38"/>
  <c r="I43" i="38"/>
  <c r="F43" i="38"/>
  <c r="D43" i="38"/>
  <c r="C43" i="38"/>
  <c r="B43" i="38"/>
  <c r="I42" i="38"/>
  <c r="J42" i="38" s="1"/>
  <c r="F42" i="38"/>
  <c r="D42" i="38"/>
  <c r="C42" i="38"/>
  <c r="B42" i="38"/>
  <c r="J41" i="38"/>
  <c r="I41" i="38"/>
  <c r="F41" i="38"/>
  <c r="D41" i="38"/>
  <c r="C41" i="38"/>
  <c r="B41" i="38"/>
  <c r="J40" i="38"/>
  <c r="I40" i="38"/>
  <c r="F40" i="38"/>
  <c r="D40" i="38"/>
  <c r="C40" i="38"/>
  <c r="B40" i="38"/>
  <c r="J39" i="38"/>
  <c r="I39" i="38"/>
  <c r="F39" i="38"/>
  <c r="D39" i="38"/>
  <c r="C39" i="38"/>
  <c r="B39" i="38"/>
  <c r="I38" i="38"/>
  <c r="J38" i="38" s="1"/>
  <c r="F38" i="38"/>
  <c r="D38" i="38"/>
  <c r="C38" i="38"/>
  <c r="B38" i="38"/>
  <c r="J37" i="38"/>
  <c r="I37" i="38"/>
  <c r="F37" i="38"/>
  <c r="D37" i="38"/>
  <c r="C37" i="38"/>
  <c r="B37" i="38"/>
  <c r="J36" i="38"/>
  <c r="I36" i="38"/>
  <c r="F36" i="38"/>
  <c r="D36" i="38"/>
  <c r="C36" i="38"/>
  <c r="B36" i="38"/>
  <c r="J35" i="38"/>
  <c r="I35" i="38"/>
  <c r="F35" i="38"/>
  <c r="D35" i="38"/>
  <c r="C35" i="38"/>
  <c r="B35" i="38"/>
  <c r="I34" i="38"/>
  <c r="J34" i="38" s="1"/>
  <c r="F34" i="38"/>
  <c r="D34" i="38"/>
  <c r="C34" i="38"/>
  <c r="B34" i="38"/>
  <c r="J33" i="38"/>
  <c r="I33" i="38"/>
  <c r="F33" i="38"/>
  <c r="D33" i="38"/>
  <c r="C33" i="38"/>
  <c r="B33" i="38"/>
  <c r="J32" i="38"/>
  <c r="I32" i="38"/>
  <c r="F32" i="38"/>
  <c r="D32" i="38"/>
  <c r="C32" i="38"/>
  <c r="B32" i="38"/>
  <c r="J31" i="38"/>
  <c r="I31" i="38"/>
  <c r="F31" i="38"/>
  <c r="D31" i="38"/>
  <c r="C31" i="38"/>
  <c r="B31" i="38"/>
  <c r="I30" i="38"/>
  <c r="J30" i="38" s="1"/>
  <c r="F30" i="38"/>
  <c r="D30" i="38"/>
  <c r="C30" i="38"/>
  <c r="B30" i="38"/>
  <c r="J29" i="38"/>
  <c r="I29" i="38"/>
  <c r="F29" i="38"/>
  <c r="D29" i="38"/>
  <c r="C29" i="38"/>
  <c r="B29" i="38"/>
  <c r="J28" i="38"/>
  <c r="I28" i="38"/>
  <c r="F28" i="38"/>
  <c r="D28" i="38"/>
  <c r="C28" i="38"/>
  <c r="B28" i="38"/>
  <c r="J27" i="38"/>
  <c r="I27" i="38"/>
  <c r="F27" i="38"/>
  <c r="D27" i="38"/>
  <c r="C27" i="38"/>
  <c r="B27" i="38"/>
  <c r="I26" i="38"/>
  <c r="J26" i="38" s="1"/>
  <c r="F26" i="38"/>
  <c r="D26" i="38"/>
  <c r="C26" i="38"/>
  <c r="B26" i="38"/>
  <c r="J25" i="38"/>
  <c r="I25" i="38"/>
  <c r="F25" i="38"/>
  <c r="D25" i="38"/>
  <c r="C25" i="38"/>
  <c r="B25" i="38"/>
  <c r="J24" i="38"/>
  <c r="I24" i="38"/>
  <c r="F24" i="38"/>
  <c r="D24" i="38"/>
  <c r="C24" i="38"/>
  <c r="B24" i="38"/>
  <c r="J23" i="38"/>
  <c r="I23" i="38"/>
  <c r="F23" i="38"/>
  <c r="D23" i="38"/>
  <c r="C23" i="38"/>
  <c r="B23" i="38"/>
  <c r="I22" i="38"/>
  <c r="J22" i="38" s="1"/>
  <c r="F22" i="38"/>
  <c r="D22" i="38"/>
  <c r="C22" i="38"/>
  <c r="B22" i="38"/>
  <c r="J21" i="38"/>
  <c r="I21" i="38"/>
  <c r="F21" i="38"/>
  <c r="D21" i="38"/>
  <c r="C21" i="38"/>
  <c r="B21" i="38"/>
  <c r="J20" i="38"/>
  <c r="I20" i="38"/>
  <c r="F20" i="38"/>
  <c r="D20" i="38"/>
  <c r="C20" i="38"/>
  <c r="B20" i="38"/>
  <c r="J19" i="38"/>
  <c r="I19" i="38"/>
  <c r="F19" i="38"/>
  <c r="D19" i="38"/>
  <c r="C19" i="38"/>
  <c r="B19" i="38"/>
  <c r="I18" i="38"/>
  <c r="J18" i="38" s="1"/>
  <c r="F18" i="38"/>
  <c r="D18" i="38"/>
  <c r="C18" i="38"/>
  <c r="B18" i="38"/>
  <c r="J17" i="38"/>
  <c r="I17" i="38"/>
  <c r="F17" i="38"/>
  <c r="D17" i="38"/>
  <c r="C17" i="38"/>
  <c r="B17" i="38"/>
  <c r="J16" i="38"/>
  <c r="I16" i="38"/>
  <c r="F16" i="38"/>
  <c r="D16" i="38"/>
  <c r="C16" i="38"/>
  <c r="B16" i="38"/>
  <c r="J15" i="38"/>
  <c r="I15" i="38"/>
  <c r="F15" i="38"/>
  <c r="D15" i="38"/>
  <c r="C15" i="38"/>
  <c r="B15" i="38"/>
  <c r="I14" i="38"/>
  <c r="J14" i="38" s="1"/>
  <c r="F14" i="38"/>
  <c r="D14" i="38"/>
  <c r="C14" i="38"/>
  <c r="B14" i="38"/>
  <c r="J13" i="38"/>
  <c r="I13" i="38"/>
  <c r="F13" i="38"/>
  <c r="D13" i="38"/>
  <c r="C13" i="38"/>
  <c r="B13" i="38"/>
  <c r="J12" i="38"/>
  <c r="I12" i="38"/>
  <c r="F12" i="38"/>
  <c r="D12" i="38"/>
  <c r="C12" i="38"/>
  <c r="B12" i="38"/>
  <c r="J11" i="38"/>
  <c r="I11" i="38"/>
  <c r="F11" i="38"/>
  <c r="D11" i="38"/>
  <c r="C11" i="38"/>
  <c r="B11" i="38"/>
  <c r="I10" i="38"/>
  <c r="J10" i="38" s="1"/>
  <c r="F10" i="38"/>
  <c r="D10" i="38"/>
  <c r="C10" i="38"/>
  <c r="B10" i="38"/>
  <c r="J9" i="38"/>
  <c r="I9" i="38"/>
  <c r="F9" i="38"/>
  <c r="D9" i="38"/>
  <c r="C9" i="38"/>
  <c r="B9" i="38"/>
  <c r="G4" i="38"/>
  <c r="K213" i="37"/>
  <c r="I213" i="37"/>
  <c r="J213" i="37" s="1"/>
  <c r="D213" i="37"/>
  <c r="C213" i="37"/>
  <c r="A213" i="37"/>
  <c r="K212" i="37"/>
  <c r="J212" i="37"/>
  <c r="I212" i="37"/>
  <c r="D212" i="37"/>
  <c r="C212" i="37"/>
  <c r="A212" i="37"/>
  <c r="K211" i="37"/>
  <c r="J211" i="37"/>
  <c r="I211" i="37"/>
  <c r="D211" i="37"/>
  <c r="C211" i="37"/>
  <c r="A211" i="37"/>
  <c r="K210" i="37"/>
  <c r="J210" i="37"/>
  <c r="I210" i="37"/>
  <c r="D210" i="37"/>
  <c r="C210" i="37"/>
  <c r="A210" i="37"/>
  <c r="K209" i="37"/>
  <c r="I209" i="37"/>
  <c r="J209" i="37" s="1"/>
  <c r="D209" i="37"/>
  <c r="C209" i="37"/>
  <c r="A209" i="37"/>
  <c r="K208" i="37"/>
  <c r="J208" i="37"/>
  <c r="I208" i="37"/>
  <c r="D208" i="37"/>
  <c r="C208" i="37"/>
  <c r="A208" i="37"/>
  <c r="K207" i="37"/>
  <c r="J207" i="37"/>
  <c r="I207" i="37"/>
  <c r="D207" i="37"/>
  <c r="C207" i="37"/>
  <c r="A207" i="37"/>
  <c r="K206" i="37"/>
  <c r="I206" i="37"/>
  <c r="J206" i="37" s="1"/>
  <c r="D206" i="37"/>
  <c r="C206" i="37"/>
  <c r="A206" i="37"/>
  <c r="K205" i="37"/>
  <c r="I205" i="37"/>
  <c r="J205" i="37" s="1"/>
  <c r="D205" i="37"/>
  <c r="C205" i="37"/>
  <c r="A205" i="37"/>
  <c r="K204" i="37"/>
  <c r="J204" i="37"/>
  <c r="I204" i="37"/>
  <c r="D204" i="37"/>
  <c r="C204" i="37"/>
  <c r="A204" i="37"/>
  <c r="K203" i="37"/>
  <c r="J203" i="37"/>
  <c r="I203" i="37"/>
  <c r="D203" i="37"/>
  <c r="C203" i="37"/>
  <c r="A203" i="37"/>
  <c r="K202" i="37"/>
  <c r="J202" i="37"/>
  <c r="I202" i="37"/>
  <c r="D202" i="37"/>
  <c r="C202" i="37"/>
  <c r="A202" i="37"/>
  <c r="K201" i="37"/>
  <c r="I201" i="37"/>
  <c r="J201" i="37" s="1"/>
  <c r="D201" i="37"/>
  <c r="C201" i="37"/>
  <c r="A201" i="37"/>
  <c r="K200" i="37"/>
  <c r="J200" i="37"/>
  <c r="I200" i="37"/>
  <c r="D200" i="37"/>
  <c r="C200" i="37"/>
  <c r="A200" i="37"/>
  <c r="K199" i="37"/>
  <c r="J199" i="37"/>
  <c r="I199" i="37"/>
  <c r="D199" i="37"/>
  <c r="C199" i="37"/>
  <c r="A199" i="37"/>
  <c r="K198" i="37"/>
  <c r="I198" i="37"/>
  <c r="J198" i="37" s="1"/>
  <c r="D198" i="37"/>
  <c r="C198" i="37"/>
  <c r="A198" i="37"/>
  <c r="K197" i="37"/>
  <c r="I197" i="37"/>
  <c r="J197" i="37" s="1"/>
  <c r="D197" i="37"/>
  <c r="C197" i="37"/>
  <c r="A197" i="37"/>
  <c r="K196" i="37"/>
  <c r="J196" i="37"/>
  <c r="I196" i="37"/>
  <c r="D196" i="37"/>
  <c r="C196" i="37"/>
  <c r="A196" i="37"/>
  <c r="K195" i="37"/>
  <c r="J195" i="37"/>
  <c r="I195" i="37"/>
  <c r="D195" i="37"/>
  <c r="C195" i="37"/>
  <c r="A195" i="37"/>
  <c r="K194" i="37"/>
  <c r="J194" i="37"/>
  <c r="I194" i="37"/>
  <c r="D194" i="37"/>
  <c r="C194" i="37"/>
  <c r="A194" i="37"/>
  <c r="K193" i="37"/>
  <c r="I193" i="37"/>
  <c r="J193" i="37" s="1"/>
  <c r="D193" i="37"/>
  <c r="C193" i="37"/>
  <c r="A193" i="37"/>
  <c r="K192" i="37"/>
  <c r="J192" i="37"/>
  <c r="I192" i="37"/>
  <c r="D192" i="37"/>
  <c r="C192" i="37"/>
  <c r="A192" i="37"/>
  <c r="K191" i="37"/>
  <c r="J191" i="37"/>
  <c r="I191" i="37"/>
  <c r="D191" i="37"/>
  <c r="C191" i="37"/>
  <c r="A191" i="37"/>
  <c r="K190" i="37"/>
  <c r="I190" i="37"/>
  <c r="J190" i="37" s="1"/>
  <c r="D190" i="37"/>
  <c r="C190" i="37"/>
  <c r="A190" i="37"/>
  <c r="K189" i="37"/>
  <c r="I189" i="37"/>
  <c r="J189" i="37" s="1"/>
  <c r="D189" i="37"/>
  <c r="C189" i="37"/>
  <c r="A189" i="37"/>
  <c r="K188" i="37"/>
  <c r="J188" i="37"/>
  <c r="I188" i="37"/>
  <c r="D188" i="37"/>
  <c r="C188" i="37"/>
  <c r="A188" i="37"/>
  <c r="K187" i="37"/>
  <c r="J187" i="37"/>
  <c r="I187" i="37"/>
  <c r="D187" i="37"/>
  <c r="C187" i="37"/>
  <c r="A187" i="37"/>
  <c r="K186" i="37"/>
  <c r="J186" i="37"/>
  <c r="I186" i="37"/>
  <c r="D186" i="37"/>
  <c r="C186" i="37"/>
  <c r="A186" i="37"/>
  <c r="K185" i="37"/>
  <c r="I185" i="37"/>
  <c r="J185" i="37" s="1"/>
  <c r="D185" i="37"/>
  <c r="C185" i="37"/>
  <c r="A185" i="37"/>
  <c r="K184" i="37"/>
  <c r="J184" i="37"/>
  <c r="I184" i="37"/>
  <c r="D184" i="37"/>
  <c r="C184" i="37"/>
  <c r="A184" i="37"/>
  <c r="K183" i="37"/>
  <c r="J183" i="37"/>
  <c r="I183" i="37"/>
  <c r="D183" i="37"/>
  <c r="C183" i="37"/>
  <c r="A183" i="37"/>
  <c r="K182" i="37"/>
  <c r="I182" i="37"/>
  <c r="J182" i="37" s="1"/>
  <c r="D182" i="37"/>
  <c r="C182" i="37"/>
  <c r="A182" i="37"/>
  <c r="K181" i="37"/>
  <c r="I181" i="37"/>
  <c r="J181" i="37" s="1"/>
  <c r="D181" i="37"/>
  <c r="C181" i="37"/>
  <c r="A181" i="37"/>
  <c r="K180" i="37"/>
  <c r="J180" i="37"/>
  <c r="I180" i="37"/>
  <c r="D180" i="37"/>
  <c r="C180" i="37"/>
  <c r="A180" i="37"/>
  <c r="K179" i="37"/>
  <c r="J179" i="37"/>
  <c r="I179" i="37"/>
  <c r="D179" i="37"/>
  <c r="C179" i="37"/>
  <c r="A179" i="37"/>
  <c r="K178" i="37"/>
  <c r="I178" i="37"/>
  <c r="J178" i="37" s="1"/>
  <c r="D178" i="37"/>
  <c r="C178" i="37"/>
  <c r="A178" i="37"/>
  <c r="K177" i="37"/>
  <c r="I177" i="37"/>
  <c r="J177" i="37" s="1"/>
  <c r="D177" i="37"/>
  <c r="C177" i="37"/>
  <c r="A177" i="37"/>
  <c r="K176" i="37"/>
  <c r="J176" i="37"/>
  <c r="I176" i="37"/>
  <c r="D176" i="37"/>
  <c r="C176" i="37"/>
  <c r="A176" i="37"/>
  <c r="K175" i="37"/>
  <c r="J175" i="37"/>
  <c r="I175" i="37"/>
  <c r="D175" i="37"/>
  <c r="C175" i="37"/>
  <c r="A175" i="37"/>
  <c r="K174" i="37"/>
  <c r="J174" i="37"/>
  <c r="I174" i="37"/>
  <c r="D174" i="37"/>
  <c r="C174" i="37"/>
  <c r="A174" i="37"/>
  <c r="K173" i="37"/>
  <c r="I173" i="37"/>
  <c r="J173" i="37" s="1"/>
  <c r="D173" i="37"/>
  <c r="C173" i="37"/>
  <c r="A173" i="37"/>
  <c r="K172" i="37"/>
  <c r="J172" i="37"/>
  <c r="I172" i="37"/>
  <c r="D172" i="37"/>
  <c r="C172" i="37"/>
  <c r="A172" i="37"/>
  <c r="K171" i="37"/>
  <c r="J171" i="37"/>
  <c r="I171" i="37"/>
  <c r="D171" i="37"/>
  <c r="C171" i="37"/>
  <c r="A171" i="37"/>
  <c r="K170" i="37"/>
  <c r="J170" i="37"/>
  <c r="I170" i="37"/>
  <c r="D170" i="37"/>
  <c r="C170" i="37"/>
  <c r="A170" i="37"/>
  <c r="K169" i="37"/>
  <c r="I169" i="37"/>
  <c r="J169" i="37" s="1"/>
  <c r="D169" i="37"/>
  <c r="C169" i="37"/>
  <c r="A169" i="37"/>
  <c r="K168" i="37"/>
  <c r="J168" i="37"/>
  <c r="I168" i="37"/>
  <c r="D168" i="37"/>
  <c r="C168" i="37"/>
  <c r="A168" i="37"/>
  <c r="K167" i="37"/>
  <c r="J167" i="37"/>
  <c r="I167" i="37"/>
  <c r="D167" i="37"/>
  <c r="C167" i="37"/>
  <c r="A167" i="37"/>
  <c r="K166" i="37"/>
  <c r="I166" i="37"/>
  <c r="J166" i="37" s="1"/>
  <c r="D166" i="37"/>
  <c r="C166" i="37"/>
  <c r="A166" i="37"/>
  <c r="K165" i="37"/>
  <c r="I165" i="37"/>
  <c r="J165" i="37" s="1"/>
  <c r="D165" i="37"/>
  <c r="C165" i="37"/>
  <c r="A165" i="37"/>
  <c r="K164" i="37"/>
  <c r="J164" i="37"/>
  <c r="I164" i="37"/>
  <c r="D164" i="37"/>
  <c r="C164" i="37"/>
  <c r="A164" i="37"/>
  <c r="K163" i="37"/>
  <c r="J163" i="37"/>
  <c r="I163" i="37"/>
  <c r="D163" i="37"/>
  <c r="C163" i="37"/>
  <c r="A163" i="37"/>
  <c r="K162" i="37"/>
  <c r="J162" i="37"/>
  <c r="I162" i="37"/>
  <c r="D162" i="37"/>
  <c r="C162" i="37"/>
  <c r="A162" i="37"/>
  <c r="K161" i="37"/>
  <c r="I161" i="37"/>
  <c r="J161" i="37" s="1"/>
  <c r="D161" i="37"/>
  <c r="C161" i="37"/>
  <c r="A161" i="37"/>
  <c r="K160" i="37"/>
  <c r="J160" i="37"/>
  <c r="I160" i="37"/>
  <c r="D160" i="37"/>
  <c r="C160" i="37"/>
  <c r="A160" i="37"/>
  <c r="K159" i="37"/>
  <c r="J159" i="37"/>
  <c r="I159" i="37"/>
  <c r="D159" i="37"/>
  <c r="C159" i="37"/>
  <c r="A159" i="37"/>
  <c r="K158" i="37"/>
  <c r="I158" i="37"/>
  <c r="J158" i="37" s="1"/>
  <c r="D158" i="37"/>
  <c r="C158" i="37"/>
  <c r="A158" i="37"/>
  <c r="K157" i="37"/>
  <c r="I157" i="37"/>
  <c r="J157" i="37" s="1"/>
  <c r="D157" i="37"/>
  <c r="C157" i="37"/>
  <c r="A157" i="37"/>
  <c r="K156" i="37"/>
  <c r="J156" i="37"/>
  <c r="I156" i="37"/>
  <c r="D156" i="37"/>
  <c r="C156" i="37"/>
  <c r="A156" i="37"/>
  <c r="K155" i="37"/>
  <c r="J155" i="37"/>
  <c r="I155" i="37"/>
  <c r="D155" i="37"/>
  <c r="C155" i="37"/>
  <c r="A155" i="37"/>
  <c r="K154" i="37"/>
  <c r="J154" i="37"/>
  <c r="I154" i="37"/>
  <c r="D154" i="37"/>
  <c r="C154" i="37"/>
  <c r="A154" i="37"/>
  <c r="K153" i="37"/>
  <c r="I153" i="37"/>
  <c r="J153" i="37" s="1"/>
  <c r="D153" i="37"/>
  <c r="C153" i="37"/>
  <c r="A153" i="37"/>
  <c r="K152" i="37"/>
  <c r="J152" i="37"/>
  <c r="I152" i="37"/>
  <c r="D152" i="37"/>
  <c r="C152" i="37"/>
  <c r="A152" i="37"/>
  <c r="K151" i="37"/>
  <c r="J151" i="37"/>
  <c r="I151" i="37"/>
  <c r="D151" i="37"/>
  <c r="C151" i="37"/>
  <c r="A151" i="37"/>
  <c r="K150" i="37"/>
  <c r="J150" i="37"/>
  <c r="I150" i="37"/>
  <c r="D150" i="37"/>
  <c r="C150" i="37"/>
  <c r="A150" i="37"/>
  <c r="K149" i="37"/>
  <c r="I149" i="37"/>
  <c r="J149" i="37" s="1"/>
  <c r="D149" i="37"/>
  <c r="C149" i="37"/>
  <c r="A149" i="37"/>
  <c r="K148" i="37"/>
  <c r="J148" i="37"/>
  <c r="I148" i="37"/>
  <c r="D148" i="37"/>
  <c r="C148" i="37"/>
  <c r="A148" i="37"/>
  <c r="K147" i="37"/>
  <c r="J147" i="37"/>
  <c r="I147" i="37"/>
  <c r="D147" i="37"/>
  <c r="C147" i="37"/>
  <c r="A147" i="37"/>
  <c r="K146" i="37"/>
  <c r="J146" i="37"/>
  <c r="I146" i="37"/>
  <c r="D146" i="37"/>
  <c r="C146" i="37"/>
  <c r="A146" i="37"/>
  <c r="K145" i="37"/>
  <c r="I145" i="37"/>
  <c r="J145" i="37" s="1"/>
  <c r="D145" i="37"/>
  <c r="C145" i="37"/>
  <c r="A145" i="37"/>
  <c r="K144" i="37"/>
  <c r="J144" i="37"/>
  <c r="I144" i="37"/>
  <c r="D144" i="37"/>
  <c r="C144" i="37"/>
  <c r="A144" i="37"/>
  <c r="K143" i="37"/>
  <c r="J143" i="37"/>
  <c r="I143" i="37"/>
  <c r="D143" i="37"/>
  <c r="C143" i="37"/>
  <c r="A143" i="37"/>
  <c r="K142" i="37"/>
  <c r="J142" i="37"/>
  <c r="I142" i="37"/>
  <c r="D142" i="37"/>
  <c r="C142" i="37"/>
  <c r="A142" i="37"/>
  <c r="K141" i="37"/>
  <c r="I141" i="37"/>
  <c r="J141" i="37" s="1"/>
  <c r="D141" i="37"/>
  <c r="C141" i="37"/>
  <c r="A141" i="37"/>
  <c r="K140" i="37"/>
  <c r="J140" i="37"/>
  <c r="I140" i="37"/>
  <c r="D140" i="37"/>
  <c r="C140" i="37"/>
  <c r="A140" i="37"/>
  <c r="K139" i="37"/>
  <c r="J139" i="37"/>
  <c r="I139" i="37"/>
  <c r="D139" i="37"/>
  <c r="C139" i="37"/>
  <c r="A139" i="37"/>
  <c r="K138" i="37"/>
  <c r="J138" i="37"/>
  <c r="I138" i="37"/>
  <c r="D138" i="37"/>
  <c r="C138" i="37"/>
  <c r="A138" i="37"/>
  <c r="K137" i="37"/>
  <c r="I137" i="37"/>
  <c r="J137" i="37" s="1"/>
  <c r="D137" i="37"/>
  <c r="C137" i="37"/>
  <c r="A137" i="37"/>
  <c r="K136" i="37"/>
  <c r="J136" i="37"/>
  <c r="I136" i="37"/>
  <c r="D136" i="37"/>
  <c r="C136" i="37"/>
  <c r="A136" i="37"/>
  <c r="K135" i="37"/>
  <c r="J135" i="37"/>
  <c r="I135" i="37"/>
  <c r="D135" i="37"/>
  <c r="C135" i="37"/>
  <c r="A135" i="37"/>
  <c r="K134" i="37"/>
  <c r="J134" i="37"/>
  <c r="I134" i="37"/>
  <c r="D134" i="37"/>
  <c r="C134" i="37"/>
  <c r="A134" i="37"/>
  <c r="K133" i="37"/>
  <c r="I133" i="37"/>
  <c r="J133" i="37" s="1"/>
  <c r="D133" i="37"/>
  <c r="C133" i="37"/>
  <c r="A133" i="37"/>
  <c r="K132" i="37"/>
  <c r="J132" i="37"/>
  <c r="I132" i="37"/>
  <c r="D132" i="37"/>
  <c r="C132" i="37"/>
  <c r="A132" i="37"/>
  <c r="K131" i="37"/>
  <c r="J131" i="37"/>
  <c r="I131" i="37"/>
  <c r="D131" i="37"/>
  <c r="C131" i="37"/>
  <c r="A131" i="37"/>
  <c r="K130" i="37"/>
  <c r="J130" i="37"/>
  <c r="I130" i="37"/>
  <c r="D130" i="37"/>
  <c r="C130" i="37"/>
  <c r="A130" i="37"/>
  <c r="K129" i="37"/>
  <c r="I129" i="37"/>
  <c r="J129" i="37" s="1"/>
  <c r="D129" i="37"/>
  <c r="C129" i="37"/>
  <c r="A129" i="37"/>
  <c r="K128" i="37"/>
  <c r="J128" i="37"/>
  <c r="I128" i="37"/>
  <c r="D128" i="37"/>
  <c r="C128" i="37"/>
  <c r="A128" i="37"/>
  <c r="K127" i="37"/>
  <c r="J127" i="37"/>
  <c r="I127" i="37"/>
  <c r="D127" i="37"/>
  <c r="C127" i="37"/>
  <c r="A127" i="37"/>
  <c r="K126" i="37"/>
  <c r="J126" i="37"/>
  <c r="I126" i="37"/>
  <c r="D126" i="37"/>
  <c r="C126" i="37"/>
  <c r="A126" i="37"/>
  <c r="K125" i="37"/>
  <c r="I125" i="37"/>
  <c r="J125" i="37" s="1"/>
  <c r="D125" i="37"/>
  <c r="C125" i="37"/>
  <c r="A125" i="37"/>
  <c r="K124" i="37"/>
  <c r="J124" i="37"/>
  <c r="I124" i="37"/>
  <c r="D124" i="37"/>
  <c r="C124" i="37"/>
  <c r="A124" i="37"/>
  <c r="K123" i="37"/>
  <c r="J123" i="37"/>
  <c r="I123" i="37"/>
  <c r="D123" i="37"/>
  <c r="C123" i="37"/>
  <c r="A123" i="37"/>
  <c r="K122" i="37"/>
  <c r="J122" i="37"/>
  <c r="I122" i="37"/>
  <c r="D122" i="37"/>
  <c r="C122" i="37"/>
  <c r="A122" i="37"/>
  <c r="K121" i="37"/>
  <c r="I121" i="37"/>
  <c r="J121" i="37" s="1"/>
  <c r="D121" i="37"/>
  <c r="C121" i="37"/>
  <c r="A121" i="37"/>
  <c r="K120" i="37"/>
  <c r="J120" i="37"/>
  <c r="I120" i="37"/>
  <c r="D120" i="37"/>
  <c r="C120" i="37"/>
  <c r="A120" i="37"/>
  <c r="K119" i="37"/>
  <c r="J119" i="37"/>
  <c r="I119" i="37"/>
  <c r="D119" i="37"/>
  <c r="C119" i="37"/>
  <c r="A119" i="37"/>
  <c r="K118" i="37"/>
  <c r="J118" i="37"/>
  <c r="I118" i="37"/>
  <c r="D118" i="37"/>
  <c r="C118" i="37"/>
  <c r="A118" i="37"/>
  <c r="K117" i="37"/>
  <c r="I117" i="37"/>
  <c r="J117" i="37" s="1"/>
  <c r="D117" i="37"/>
  <c r="C117" i="37"/>
  <c r="A117" i="37"/>
  <c r="K116" i="37"/>
  <c r="J116" i="37"/>
  <c r="I116" i="37"/>
  <c r="D116" i="37"/>
  <c r="C116" i="37"/>
  <c r="A116" i="37"/>
  <c r="K115" i="37"/>
  <c r="J115" i="37"/>
  <c r="I115" i="37"/>
  <c r="D115" i="37"/>
  <c r="C115" i="37"/>
  <c r="A115" i="37"/>
  <c r="K114" i="37"/>
  <c r="J114" i="37"/>
  <c r="I114" i="37"/>
  <c r="D114" i="37"/>
  <c r="C114" i="37"/>
  <c r="A114" i="37"/>
  <c r="K113" i="37"/>
  <c r="I113" i="37"/>
  <c r="J113" i="37" s="1"/>
  <c r="D113" i="37"/>
  <c r="C113" i="37"/>
  <c r="A113" i="37"/>
  <c r="K112" i="37"/>
  <c r="J112" i="37"/>
  <c r="I112" i="37"/>
  <c r="D112" i="37"/>
  <c r="C112" i="37"/>
  <c r="A112" i="37"/>
  <c r="K111" i="37"/>
  <c r="J111" i="37"/>
  <c r="I111" i="37"/>
  <c r="D111" i="37"/>
  <c r="C111" i="37"/>
  <c r="A111" i="37"/>
  <c r="K110" i="37"/>
  <c r="J110" i="37"/>
  <c r="I110" i="37"/>
  <c r="D110" i="37"/>
  <c r="C110" i="37"/>
  <c r="A110" i="37"/>
  <c r="K109" i="37"/>
  <c r="I109" i="37"/>
  <c r="J109" i="37" s="1"/>
  <c r="D109" i="37"/>
  <c r="C109" i="37"/>
  <c r="A109" i="37"/>
  <c r="K108" i="37"/>
  <c r="J108" i="37"/>
  <c r="I108" i="37"/>
  <c r="D108" i="37"/>
  <c r="C108" i="37"/>
  <c r="A108" i="37"/>
  <c r="K107" i="37"/>
  <c r="J107" i="37"/>
  <c r="I107" i="37"/>
  <c r="D107" i="37"/>
  <c r="C107" i="37"/>
  <c r="A107" i="37"/>
  <c r="K106" i="37"/>
  <c r="J106" i="37"/>
  <c r="I106" i="37"/>
  <c r="D106" i="37"/>
  <c r="C106" i="37"/>
  <c r="A106" i="37"/>
  <c r="K105" i="37"/>
  <c r="I105" i="37"/>
  <c r="J105" i="37" s="1"/>
  <c r="D105" i="37"/>
  <c r="C105" i="37"/>
  <c r="A105" i="37"/>
  <c r="K104" i="37"/>
  <c r="J104" i="37"/>
  <c r="I104" i="37"/>
  <c r="D104" i="37"/>
  <c r="C104" i="37"/>
  <c r="A104" i="37"/>
  <c r="K103" i="37"/>
  <c r="J103" i="37"/>
  <c r="I103" i="37"/>
  <c r="D103" i="37"/>
  <c r="C103" i="37"/>
  <c r="A103" i="37"/>
  <c r="K102" i="37"/>
  <c r="J102" i="37"/>
  <c r="I102" i="37"/>
  <c r="D102" i="37"/>
  <c r="C102" i="37"/>
  <c r="A102" i="37"/>
  <c r="K101" i="37"/>
  <c r="I101" i="37"/>
  <c r="J101" i="37" s="1"/>
  <c r="D101" i="37"/>
  <c r="C101" i="37"/>
  <c r="A101" i="37"/>
  <c r="K100" i="37"/>
  <c r="J100" i="37"/>
  <c r="I100" i="37"/>
  <c r="D100" i="37"/>
  <c r="C100" i="37"/>
  <c r="A100" i="37"/>
  <c r="K99" i="37"/>
  <c r="J99" i="37"/>
  <c r="I99" i="37"/>
  <c r="D99" i="37"/>
  <c r="C99" i="37"/>
  <c r="A99" i="37"/>
  <c r="K98" i="37"/>
  <c r="J98" i="37"/>
  <c r="I98" i="37"/>
  <c r="D98" i="37"/>
  <c r="C98" i="37"/>
  <c r="A98" i="37"/>
  <c r="K97" i="37"/>
  <c r="I97" i="37"/>
  <c r="J97" i="37" s="1"/>
  <c r="D97" i="37"/>
  <c r="C97" i="37"/>
  <c r="A97" i="37"/>
  <c r="K96" i="37"/>
  <c r="J96" i="37"/>
  <c r="I96" i="37"/>
  <c r="D96" i="37"/>
  <c r="C96" i="37"/>
  <c r="A96" i="37"/>
  <c r="K95" i="37"/>
  <c r="J95" i="37"/>
  <c r="I95" i="37"/>
  <c r="D95" i="37"/>
  <c r="C95" i="37"/>
  <c r="A95" i="37"/>
  <c r="K94" i="37"/>
  <c r="J94" i="37"/>
  <c r="I94" i="37"/>
  <c r="D94" i="37"/>
  <c r="C94" i="37"/>
  <c r="A94" i="37"/>
  <c r="K93" i="37"/>
  <c r="I93" i="37"/>
  <c r="J93" i="37" s="1"/>
  <c r="D93" i="37"/>
  <c r="C93" i="37"/>
  <c r="A93" i="37"/>
  <c r="K92" i="37"/>
  <c r="J92" i="37"/>
  <c r="I92" i="37"/>
  <c r="D92" i="37"/>
  <c r="C92" i="37"/>
  <c r="A92" i="37"/>
  <c r="K91" i="37"/>
  <c r="J91" i="37"/>
  <c r="I91" i="37"/>
  <c r="D91" i="37"/>
  <c r="C91" i="37"/>
  <c r="A91" i="37"/>
  <c r="K90" i="37"/>
  <c r="J90" i="37"/>
  <c r="I90" i="37"/>
  <c r="D90" i="37"/>
  <c r="C90" i="37"/>
  <c r="A90" i="37"/>
  <c r="K89" i="37"/>
  <c r="I89" i="37"/>
  <c r="J89" i="37" s="1"/>
  <c r="D89" i="37"/>
  <c r="C89" i="37"/>
  <c r="A89" i="37"/>
  <c r="K88" i="37"/>
  <c r="J88" i="37"/>
  <c r="I88" i="37"/>
  <c r="D88" i="37"/>
  <c r="C88" i="37"/>
  <c r="A88" i="37"/>
  <c r="K87" i="37"/>
  <c r="J87" i="37"/>
  <c r="I87" i="37"/>
  <c r="D87" i="37"/>
  <c r="C87" i="37"/>
  <c r="A87" i="37"/>
  <c r="K86" i="37"/>
  <c r="J86" i="37"/>
  <c r="I86" i="37"/>
  <c r="D86" i="37"/>
  <c r="C86" i="37"/>
  <c r="A86" i="37"/>
  <c r="K85" i="37"/>
  <c r="I85" i="37"/>
  <c r="J85" i="37" s="1"/>
  <c r="D85" i="37"/>
  <c r="C85" i="37"/>
  <c r="A85" i="37"/>
  <c r="K84" i="37"/>
  <c r="J84" i="37"/>
  <c r="I84" i="37"/>
  <c r="D84" i="37"/>
  <c r="C84" i="37"/>
  <c r="A84" i="37"/>
  <c r="K83" i="37"/>
  <c r="J83" i="37"/>
  <c r="I83" i="37"/>
  <c r="D83" i="37"/>
  <c r="C83" i="37"/>
  <c r="A83" i="37"/>
  <c r="K82" i="37"/>
  <c r="J82" i="37"/>
  <c r="I82" i="37"/>
  <c r="D82" i="37"/>
  <c r="C82" i="37"/>
  <c r="A82" i="37"/>
  <c r="K81" i="37"/>
  <c r="I81" i="37"/>
  <c r="J81" i="37" s="1"/>
  <c r="D81" i="37"/>
  <c r="C81" i="37"/>
  <c r="A81" i="37"/>
  <c r="K80" i="37"/>
  <c r="J80" i="37"/>
  <c r="I80" i="37"/>
  <c r="D80" i="37"/>
  <c r="C80" i="37"/>
  <c r="A80" i="37"/>
  <c r="K79" i="37"/>
  <c r="J79" i="37"/>
  <c r="I79" i="37"/>
  <c r="D79" i="37"/>
  <c r="C79" i="37"/>
  <c r="A79" i="37"/>
  <c r="K78" i="37"/>
  <c r="J78" i="37"/>
  <c r="I78" i="37"/>
  <c r="D78" i="37"/>
  <c r="C78" i="37"/>
  <c r="A78" i="37"/>
  <c r="K77" i="37"/>
  <c r="I77" i="37"/>
  <c r="J77" i="37" s="1"/>
  <c r="D77" i="37"/>
  <c r="C77" i="37"/>
  <c r="A77" i="37"/>
  <c r="K76" i="37"/>
  <c r="J76" i="37"/>
  <c r="I76" i="37"/>
  <c r="D76" i="37"/>
  <c r="C76" i="37"/>
  <c r="A76" i="37"/>
  <c r="K75" i="37"/>
  <c r="J75" i="37"/>
  <c r="I75" i="37"/>
  <c r="D75" i="37"/>
  <c r="C75" i="37"/>
  <c r="A75" i="37"/>
  <c r="K74" i="37"/>
  <c r="J74" i="37"/>
  <c r="I74" i="37"/>
  <c r="D74" i="37"/>
  <c r="C74" i="37"/>
  <c r="A74" i="37"/>
  <c r="K73" i="37"/>
  <c r="I73" i="37"/>
  <c r="J73" i="37" s="1"/>
  <c r="D73" i="37"/>
  <c r="C73" i="37"/>
  <c r="A73" i="37"/>
  <c r="K72" i="37"/>
  <c r="J72" i="37"/>
  <c r="I72" i="37"/>
  <c r="D72" i="37"/>
  <c r="C72" i="37"/>
  <c r="A72" i="37"/>
  <c r="K71" i="37"/>
  <c r="J71" i="37"/>
  <c r="I71" i="37"/>
  <c r="D71" i="37"/>
  <c r="C71" i="37"/>
  <c r="A71" i="37"/>
  <c r="K70" i="37"/>
  <c r="J70" i="37"/>
  <c r="I70" i="37"/>
  <c r="D70" i="37"/>
  <c r="C70" i="37"/>
  <c r="A70" i="37"/>
  <c r="K69" i="37"/>
  <c r="I69" i="37"/>
  <c r="J69" i="37" s="1"/>
  <c r="D69" i="37"/>
  <c r="C69" i="37"/>
  <c r="A69" i="37"/>
  <c r="K68" i="37"/>
  <c r="J68" i="37"/>
  <c r="I68" i="37"/>
  <c r="D68" i="37"/>
  <c r="C68" i="37"/>
  <c r="A68" i="37"/>
  <c r="K67" i="37"/>
  <c r="J67" i="37"/>
  <c r="I67" i="37"/>
  <c r="D67" i="37"/>
  <c r="C67" i="37"/>
  <c r="A67" i="37"/>
  <c r="K66" i="37"/>
  <c r="J66" i="37"/>
  <c r="I66" i="37"/>
  <c r="D66" i="37"/>
  <c r="C66" i="37"/>
  <c r="A66" i="37"/>
  <c r="K65" i="37"/>
  <c r="I65" i="37"/>
  <c r="J65" i="37" s="1"/>
  <c r="D65" i="37"/>
  <c r="C65" i="37"/>
  <c r="A65" i="37"/>
  <c r="K64" i="37"/>
  <c r="J64" i="37"/>
  <c r="I64" i="37"/>
  <c r="D64" i="37"/>
  <c r="C64" i="37"/>
  <c r="A64" i="37"/>
  <c r="K63" i="37"/>
  <c r="J63" i="37"/>
  <c r="I63" i="37"/>
  <c r="D63" i="37"/>
  <c r="C63" i="37"/>
  <c r="A63" i="37"/>
  <c r="K62" i="37"/>
  <c r="J62" i="37"/>
  <c r="I62" i="37"/>
  <c r="D62" i="37"/>
  <c r="C62" i="37"/>
  <c r="A62" i="37"/>
  <c r="K61" i="37"/>
  <c r="I61" i="37"/>
  <c r="J61" i="37" s="1"/>
  <c r="D61" i="37"/>
  <c r="C61" i="37"/>
  <c r="A61" i="37"/>
  <c r="K60" i="37"/>
  <c r="J60" i="37"/>
  <c r="I60" i="37"/>
  <c r="D60" i="37"/>
  <c r="C60" i="37"/>
  <c r="A60" i="37"/>
  <c r="K59" i="37"/>
  <c r="J59" i="37"/>
  <c r="I59" i="37"/>
  <c r="D59" i="37"/>
  <c r="C59" i="37"/>
  <c r="A59" i="37"/>
  <c r="K58" i="37"/>
  <c r="J58" i="37"/>
  <c r="I58" i="37"/>
  <c r="D58" i="37"/>
  <c r="C58" i="37"/>
  <c r="A58" i="37"/>
  <c r="K57" i="37"/>
  <c r="I57" i="37"/>
  <c r="J57" i="37" s="1"/>
  <c r="D57" i="37"/>
  <c r="C57" i="37"/>
  <c r="A57" i="37"/>
  <c r="K56" i="37"/>
  <c r="J56" i="37"/>
  <c r="I56" i="37"/>
  <c r="D56" i="37"/>
  <c r="C56" i="37"/>
  <c r="A56" i="37"/>
  <c r="K55" i="37"/>
  <c r="J55" i="37"/>
  <c r="I55" i="37"/>
  <c r="D55" i="37"/>
  <c r="C55" i="37"/>
  <c r="A55" i="37"/>
  <c r="K54" i="37"/>
  <c r="J54" i="37"/>
  <c r="I54" i="37"/>
  <c r="D54" i="37"/>
  <c r="C54" i="37"/>
  <c r="A54" i="37"/>
  <c r="K53" i="37"/>
  <c r="I53" i="37"/>
  <c r="J53" i="37" s="1"/>
  <c r="D53" i="37"/>
  <c r="C53" i="37"/>
  <c r="A53" i="37"/>
  <c r="K52" i="37"/>
  <c r="J52" i="37"/>
  <c r="I52" i="37"/>
  <c r="D52" i="37"/>
  <c r="C52" i="37"/>
  <c r="A52" i="37"/>
  <c r="K51" i="37"/>
  <c r="J51" i="37"/>
  <c r="I51" i="37"/>
  <c r="D51" i="37"/>
  <c r="C51" i="37"/>
  <c r="A51" i="37"/>
  <c r="K50" i="37"/>
  <c r="J50" i="37"/>
  <c r="I50" i="37"/>
  <c r="D50" i="37"/>
  <c r="C50" i="37"/>
  <c r="A50" i="37"/>
  <c r="K49" i="37"/>
  <c r="I49" i="37"/>
  <c r="J49" i="37" s="1"/>
  <c r="D49" i="37"/>
  <c r="C49" i="37"/>
  <c r="A49" i="37"/>
  <c r="K48" i="37"/>
  <c r="J48" i="37"/>
  <c r="I48" i="37"/>
  <c r="D48" i="37"/>
  <c r="C48" i="37"/>
  <c r="A48" i="37"/>
  <c r="K47" i="37"/>
  <c r="J47" i="37"/>
  <c r="I47" i="37"/>
  <c r="D47" i="37"/>
  <c r="C47" i="37"/>
  <c r="A47" i="37"/>
  <c r="K46" i="37"/>
  <c r="J46" i="37"/>
  <c r="I46" i="37"/>
  <c r="D46" i="37"/>
  <c r="C46" i="37"/>
  <c r="A46" i="37"/>
  <c r="K45" i="37"/>
  <c r="I45" i="37"/>
  <c r="J45" i="37" s="1"/>
  <c r="D45" i="37"/>
  <c r="C45" i="37"/>
  <c r="A45" i="37"/>
  <c r="K44" i="37"/>
  <c r="J44" i="37"/>
  <c r="I44" i="37"/>
  <c r="D44" i="37"/>
  <c r="C44" i="37"/>
  <c r="A44" i="37"/>
  <c r="K43" i="37"/>
  <c r="J43" i="37"/>
  <c r="I43" i="37"/>
  <c r="D43" i="37"/>
  <c r="C43" i="37"/>
  <c r="A43" i="37"/>
  <c r="K42" i="37"/>
  <c r="J42" i="37"/>
  <c r="I42" i="37"/>
  <c r="D42" i="37"/>
  <c r="C42" i="37"/>
  <c r="A42" i="37"/>
  <c r="K41" i="37"/>
  <c r="I41" i="37"/>
  <c r="J41" i="37" s="1"/>
  <c r="D41" i="37"/>
  <c r="C41" i="37"/>
  <c r="A41" i="37"/>
  <c r="K40" i="37"/>
  <c r="I40" i="37"/>
  <c r="J40" i="37" s="1"/>
  <c r="D40" i="37"/>
  <c r="C40" i="37"/>
  <c r="A40" i="37"/>
  <c r="K39" i="37"/>
  <c r="J39" i="37"/>
  <c r="I39" i="37"/>
  <c r="D39" i="37"/>
  <c r="C39" i="37"/>
  <c r="A39" i="37"/>
  <c r="K38" i="37"/>
  <c r="J38" i="37"/>
  <c r="I38" i="37"/>
  <c r="D38" i="37"/>
  <c r="C38" i="37"/>
  <c r="A38" i="37"/>
  <c r="K37" i="37"/>
  <c r="I37" i="37"/>
  <c r="J37" i="37" s="1"/>
  <c r="D37" i="37"/>
  <c r="C37" i="37"/>
  <c r="A37" i="37"/>
  <c r="K36" i="37"/>
  <c r="I36" i="37"/>
  <c r="J36" i="37" s="1"/>
  <c r="D36" i="37"/>
  <c r="C36" i="37"/>
  <c r="A36" i="37"/>
  <c r="K35" i="37"/>
  <c r="J35" i="37"/>
  <c r="I35" i="37"/>
  <c r="D35" i="37"/>
  <c r="C35" i="37"/>
  <c r="A35" i="37"/>
  <c r="K34" i="37"/>
  <c r="J34" i="37"/>
  <c r="I34" i="37"/>
  <c r="D34" i="37"/>
  <c r="C34" i="37"/>
  <c r="A34" i="37"/>
  <c r="K33" i="37"/>
  <c r="I33" i="37"/>
  <c r="J33" i="37" s="1"/>
  <c r="D33" i="37"/>
  <c r="C33" i="37"/>
  <c r="A33" i="37"/>
  <c r="K32" i="37"/>
  <c r="I32" i="37"/>
  <c r="J32" i="37" s="1"/>
  <c r="D32" i="37"/>
  <c r="C32" i="37"/>
  <c r="A32" i="37"/>
  <c r="K31" i="37"/>
  <c r="J31" i="37"/>
  <c r="I31" i="37"/>
  <c r="D31" i="37"/>
  <c r="C31" i="37"/>
  <c r="A31" i="37"/>
  <c r="K30" i="37"/>
  <c r="J30" i="37"/>
  <c r="I30" i="37"/>
  <c r="D30" i="37"/>
  <c r="C30" i="37"/>
  <c r="A30" i="37"/>
  <c r="K29" i="37"/>
  <c r="I29" i="37"/>
  <c r="J29" i="37" s="1"/>
  <c r="D29" i="37"/>
  <c r="C29" i="37"/>
  <c r="A29" i="37"/>
  <c r="K28" i="37"/>
  <c r="I28" i="37"/>
  <c r="J28" i="37" s="1"/>
  <c r="D28" i="37"/>
  <c r="C28" i="37"/>
  <c r="A28" i="37"/>
  <c r="K27" i="37"/>
  <c r="J27" i="37"/>
  <c r="I27" i="37"/>
  <c r="D27" i="37"/>
  <c r="C27" i="37"/>
  <c r="A27" i="37"/>
  <c r="K26" i="37"/>
  <c r="J26" i="37"/>
  <c r="I26" i="37"/>
  <c r="D26" i="37"/>
  <c r="C26" i="37"/>
  <c r="A26" i="37"/>
  <c r="K25" i="37"/>
  <c r="I25" i="37"/>
  <c r="J25" i="37" s="1"/>
  <c r="D25" i="37"/>
  <c r="C25" i="37"/>
  <c r="A25" i="37"/>
  <c r="K24" i="37"/>
  <c r="I24" i="37"/>
  <c r="J24" i="37" s="1"/>
  <c r="D24" i="37"/>
  <c r="C24" i="37"/>
  <c r="A24" i="37"/>
  <c r="K23" i="37"/>
  <c r="J23" i="37"/>
  <c r="I23" i="37"/>
  <c r="D23" i="37"/>
  <c r="C23" i="37"/>
  <c r="A23" i="37"/>
  <c r="K22" i="37"/>
  <c r="J22" i="37"/>
  <c r="I22" i="37"/>
  <c r="D22" i="37"/>
  <c r="C22" i="37"/>
  <c r="A22" i="37"/>
  <c r="K21" i="37"/>
  <c r="I21" i="37"/>
  <c r="J21" i="37" s="1"/>
  <c r="D21" i="37"/>
  <c r="C21" i="37"/>
  <c r="A21" i="37"/>
  <c r="K20" i="37"/>
  <c r="I20" i="37"/>
  <c r="J20" i="37" s="1"/>
  <c r="D20" i="37"/>
  <c r="C20" i="37"/>
  <c r="A20" i="37"/>
  <c r="K19" i="37"/>
  <c r="J19" i="37"/>
  <c r="I19" i="37"/>
  <c r="D19" i="37"/>
  <c r="C19" i="37"/>
  <c r="A19" i="37"/>
  <c r="K18" i="37"/>
  <c r="J18" i="37"/>
  <c r="I18" i="37"/>
  <c r="D18" i="37"/>
  <c r="C18" i="37"/>
  <c r="A18" i="37"/>
  <c r="K17" i="37"/>
  <c r="I17" i="37"/>
  <c r="J17" i="37" s="1"/>
  <c r="D17" i="37"/>
  <c r="C17" i="37"/>
  <c r="A17" i="37"/>
  <c r="K16" i="37"/>
  <c r="I16" i="37"/>
  <c r="J16" i="37" s="1"/>
  <c r="D16" i="37"/>
  <c r="C16" i="37"/>
  <c r="A16" i="37"/>
  <c r="K15" i="37"/>
  <c r="J15" i="37"/>
  <c r="I15" i="37"/>
  <c r="D15" i="37"/>
  <c r="C15" i="37"/>
  <c r="A15" i="37"/>
  <c r="K14" i="37"/>
  <c r="J14" i="37"/>
  <c r="I14" i="37"/>
  <c r="D14" i="37"/>
  <c r="C14" i="37"/>
  <c r="A14" i="37"/>
  <c r="B10" i="37"/>
  <c r="B9" i="37"/>
  <c r="B8" i="37"/>
  <c r="K208" i="36"/>
  <c r="J208" i="36"/>
  <c r="G208" i="36"/>
  <c r="D208" i="36"/>
  <c r="C208" i="36"/>
  <c r="B208" i="36"/>
  <c r="J207" i="36"/>
  <c r="K207" i="36" s="1"/>
  <c r="G207" i="36"/>
  <c r="D207" i="36"/>
  <c r="C207" i="36"/>
  <c r="B207" i="36"/>
  <c r="J206" i="36"/>
  <c r="K206" i="36" s="1"/>
  <c r="G206" i="36"/>
  <c r="D206" i="36"/>
  <c r="C206" i="36"/>
  <c r="B206" i="36"/>
  <c r="K205" i="36"/>
  <c r="J205" i="36"/>
  <c r="G205" i="36"/>
  <c r="D205" i="36"/>
  <c r="C205" i="36"/>
  <c r="B205" i="36"/>
  <c r="K204" i="36"/>
  <c r="J204" i="36"/>
  <c r="G204" i="36"/>
  <c r="D204" i="36"/>
  <c r="C204" i="36"/>
  <c r="B204" i="36"/>
  <c r="J203" i="36"/>
  <c r="K203" i="36" s="1"/>
  <c r="G203" i="36"/>
  <c r="D203" i="36"/>
  <c r="C203" i="36"/>
  <c r="B203" i="36"/>
  <c r="J202" i="36"/>
  <c r="K202" i="36" s="1"/>
  <c r="G202" i="36"/>
  <c r="D202" i="36"/>
  <c r="C202" i="36"/>
  <c r="B202" i="36"/>
  <c r="K201" i="36"/>
  <c r="J201" i="36"/>
  <c r="G201" i="36"/>
  <c r="D201" i="36"/>
  <c r="C201" i="36"/>
  <c r="B201" i="36"/>
  <c r="K200" i="36"/>
  <c r="J200" i="36"/>
  <c r="G200" i="36"/>
  <c r="D200" i="36"/>
  <c r="C200" i="36"/>
  <c r="B200" i="36"/>
  <c r="J199" i="36"/>
  <c r="K199" i="36" s="1"/>
  <c r="G199" i="36"/>
  <c r="D199" i="36"/>
  <c r="C199" i="36"/>
  <c r="B199" i="36"/>
  <c r="J198" i="36"/>
  <c r="K198" i="36" s="1"/>
  <c r="G198" i="36"/>
  <c r="D198" i="36"/>
  <c r="C198" i="36"/>
  <c r="B198" i="36"/>
  <c r="K197" i="36"/>
  <c r="J197" i="36"/>
  <c r="G197" i="36"/>
  <c r="D197" i="36"/>
  <c r="C197" i="36"/>
  <c r="B197" i="36"/>
  <c r="K196" i="36"/>
  <c r="J196" i="36"/>
  <c r="G196" i="36"/>
  <c r="D196" i="36"/>
  <c r="C196" i="36"/>
  <c r="B196" i="36"/>
  <c r="J195" i="36"/>
  <c r="K195" i="36" s="1"/>
  <c r="G195" i="36"/>
  <c r="D195" i="36"/>
  <c r="C195" i="36"/>
  <c r="B195" i="36"/>
  <c r="J194" i="36"/>
  <c r="K194" i="36" s="1"/>
  <c r="G194" i="36"/>
  <c r="D194" i="36"/>
  <c r="C194" i="36"/>
  <c r="B194" i="36"/>
  <c r="K193" i="36"/>
  <c r="J193" i="36"/>
  <c r="G193" i="36"/>
  <c r="D193" i="36"/>
  <c r="C193" i="36"/>
  <c r="B193" i="36"/>
  <c r="K192" i="36"/>
  <c r="J192" i="36"/>
  <c r="G192" i="36"/>
  <c r="D192" i="36"/>
  <c r="C192" i="36"/>
  <c r="B192" i="36"/>
  <c r="J191" i="36"/>
  <c r="K191" i="36" s="1"/>
  <c r="G191" i="36"/>
  <c r="D191" i="36"/>
  <c r="C191" i="36"/>
  <c r="B191" i="36"/>
  <c r="J190" i="36"/>
  <c r="K190" i="36" s="1"/>
  <c r="G190" i="36"/>
  <c r="D190" i="36"/>
  <c r="C190" i="36"/>
  <c r="B190" i="36"/>
  <c r="K189" i="36"/>
  <c r="J189" i="36"/>
  <c r="G189" i="36"/>
  <c r="D189" i="36"/>
  <c r="C189" i="36"/>
  <c r="B189" i="36"/>
  <c r="K188" i="36"/>
  <c r="J188" i="36"/>
  <c r="G188" i="36"/>
  <c r="D188" i="36"/>
  <c r="C188" i="36"/>
  <c r="B188" i="36"/>
  <c r="J187" i="36"/>
  <c r="K187" i="36" s="1"/>
  <c r="G187" i="36"/>
  <c r="D187" i="36"/>
  <c r="C187" i="36"/>
  <c r="B187" i="36"/>
  <c r="J186" i="36"/>
  <c r="K186" i="36" s="1"/>
  <c r="G186" i="36"/>
  <c r="D186" i="36"/>
  <c r="C186" i="36"/>
  <c r="B186" i="36"/>
  <c r="K185" i="36"/>
  <c r="J185" i="36"/>
  <c r="G185" i="36"/>
  <c r="D185" i="36"/>
  <c r="C185" i="36"/>
  <c r="B185" i="36"/>
  <c r="K184" i="36"/>
  <c r="J184" i="36"/>
  <c r="G184" i="36"/>
  <c r="D184" i="36"/>
  <c r="C184" i="36"/>
  <c r="B184" i="36"/>
  <c r="J183" i="36"/>
  <c r="K183" i="36" s="1"/>
  <c r="G183" i="36"/>
  <c r="D183" i="36"/>
  <c r="C183" i="36"/>
  <c r="B183" i="36"/>
  <c r="J182" i="36"/>
  <c r="K182" i="36" s="1"/>
  <c r="G182" i="36"/>
  <c r="D182" i="36"/>
  <c r="C182" i="36"/>
  <c r="B182" i="36"/>
  <c r="K181" i="36"/>
  <c r="J181" i="36"/>
  <c r="G181" i="36"/>
  <c r="D181" i="36"/>
  <c r="C181" i="36"/>
  <c r="B181" i="36"/>
  <c r="K180" i="36"/>
  <c r="J180" i="36"/>
  <c r="G180" i="36"/>
  <c r="D180" i="36"/>
  <c r="C180" i="36"/>
  <c r="B180" i="36"/>
  <c r="J179" i="36"/>
  <c r="K179" i="36" s="1"/>
  <c r="G179" i="36"/>
  <c r="D179" i="36"/>
  <c r="C179" i="36"/>
  <c r="B179" i="36"/>
  <c r="J178" i="36"/>
  <c r="K178" i="36" s="1"/>
  <c r="G178" i="36"/>
  <c r="D178" i="36"/>
  <c r="C178" i="36"/>
  <c r="B178" i="36"/>
  <c r="K177" i="36"/>
  <c r="J177" i="36"/>
  <c r="G177" i="36"/>
  <c r="D177" i="36"/>
  <c r="C177" i="36"/>
  <c r="B177" i="36"/>
  <c r="K176" i="36"/>
  <c r="J176" i="36"/>
  <c r="G176" i="36"/>
  <c r="D176" i="36"/>
  <c r="C176" i="36"/>
  <c r="B176" i="36"/>
  <c r="J175" i="36"/>
  <c r="K175" i="36" s="1"/>
  <c r="G175" i="36"/>
  <c r="D175" i="36"/>
  <c r="C175" i="36"/>
  <c r="B175" i="36"/>
  <c r="J174" i="36"/>
  <c r="K174" i="36" s="1"/>
  <c r="G174" i="36"/>
  <c r="D174" i="36"/>
  <c r="C174" i="36"/>
  <c r="B174" i="36"/>
  <c r="K173" i="36"/>
  <c r="J173" i="36"/>
  <c r="G173" i="36"/>
  <c r="D173" i="36"/>
  <c r="C173" i="36"/>
  <c r="B173" i="36"/>
  <c r="K172" i="36"/>
  <c r="J172" i="36"/>
  <c r="G172" i="36"/>
  <c r="D172" i="36"/>
  <c r="C172" i="36"/>
  <c r="B172" i="36"/>
  <c r="J171" i="36"/>
  <c r="K171" i="36" s="1"/>
  <c r="G171" i="36"/>
  <c r="D171" i="36"/>
  <c r="C171" i="36"/>
  <c r="B171" i="36"/>
  <c r="J170" i="36"/>
  <c r="K170" i="36" s="1"/>
  <c r="G170" i="36"/>
  <c r="D170" i="36"/>
  <c r="C170" i="36"/>
  <c r="B170" i="36"/>
  <c r="K169" i="36"/>
  <c r="J169" i="36"/>
  <c r="G169" i="36"/>
  <c r="D169" i="36"/>
  <c r="C169" i="36"/>
  <c r="B169" i="36"/>
  <c r="K168" i="36"/>
  <c r="J168" i="36"/>
  <c r="G168" i="36"/>
  <c r="D168" i="36"/>
  <c r="C168" i="36"/>
  <c r="B168" i="36"/>
  <c r="J167" i="36"/>
  <c r="K167" i="36" s="1"/>
  <c r="G167" i="36"/>
  <c r="D167" i="36"/>
  <c r="C167" i="36"/>
  <c r="B167" i="36"/>
  <c r="J166" i="36"/>
  <c r="K166" i="36" s="1"/>
  <c r="G166" i="36"/>
  <c r="D166" i="36"/>
  <c r="C166" i="36"/>
  <c r="B166" i="36"/>
  <c r="K165" i="36"/>
  <c r="J165" i="36"/>
  <c r="G165" i="36"/>
  <c r="D165" i="36"/>
  <c r="C165" i="36"/>
  <c r="B165" i="36"/>
  <c r="K164" i="36"/>
  <c r="J164" i="36"/>
  <c r="G164" i="36"/>
  <c r="D164" i="36"/>
  <c r="C164" i="36"/>
  <c r="B164" i="36"/>
  <c r="J163" i="36"/>
  <c r="K163" i="36" s="1"/>
  <c r="G163" i="36"/>
  <c r="D163" i="36"/>
  <c r="C163" i="36"/>
  <c r="B163" i="36"/>
  <c r="J162" i="36"/>
  <c r="K162" i="36" s="1"/>
  <c r="G162" i="36"/>
  <c r="D162" i="36"/>
  <c r="C162" i="36"/>
  <c r="B162" i="36"/>
  <c r="K161" i="36"/>
  <c r="J161" i="36"/>
  <c r="G161" i="36"/>
  <c r="D161" i="36"/>
  <c r="C161" i="36"/>
  <c r="B161" i="36"/>
  <c r="K160" i="36"/>
  <c r="J160" i="36"/>
  <c r="G160" i="36"/>
  <c r="D160" i="36"/>
  <c r="C160" i="36"/>
  <c r="B160" i="36"/>
  <c r="J159" i="36"/>
  <c r="K159" i="36" s="1"/>
  <c r="G159" i="36"/>
  <c r="D159" i="36"/>
  <c r="C159" i="36"/>
  <c r="B159" i="36"/>
  <c r="J158" i="36"/>
  <c r="K158" i="36" s="1"/>
  <c r="G158" i="36"/>
  <c r="D158" i="36"/>
  <c r="C158" i="36"/>
  <c r="B158" i="36"/>
  <c r="K157" i="36"/>
  <c r="J157" i="36"/>
  <c r="G157" i="36"/>
  <c r="D157" i="36"/>
  <c r="C157" i="36"/>
  <c r="B157" i="36"/>
  <c r="K156" i="36"/>
  <c r="J156" i="36"/>
  <c r="G156" i="36"/>
  <c r="D156" i="36"/>
  <c r="C156" i="36"/>
  <c r="B156" i="36"/>
  <c r="J155" i="36"/>
  <c r="K155" i="36" s="1"/>
  <c r="G155" i="36"/>
  <c r="D155" i="36"/>
  <c r="C155" i="36"/>
  <c r="B155" i="36"/>
  <c r="J154" i="36"/>
  <c r="K154" i="36" s="1"/>
  <c r="G154" i="36"/>
  <c r="D154" i="36"/>
  <c r="C154" i="36"/>
  <c r="B154" i="36"/>
  <c r="K153" i="36"/>
  <c r="J153" i="36"/>
  <c r="G153" i="36"/>
  <c r="D153" i="36"/>
  <c r="C153" i="36"/>
  <c r="B153" i="36"/>
  <c r="K152" i="36"/>
  <c r="J152" i="36"/>
  <c r="G152" i="36"/>
  <c r="D152" i="36"/>
  <c r="C152" i="36"/>
  <c r="B152" i="36"/>
  <c r="J151" i="36"/>
  <c r="K151" i="36" s="1"/>
  <c r="G151" i="36"/>
  <c r="D151" i="36"/>
  <c r="C151" i="36"/>
  <c r="B151" i="36"/>
  <c r="J150" i="36"/>
  <c r="K150" i="36" s="1"/>
  <c r="G150" i="36"/>
  <c r="D150" i="36"/>
  <c r="C150" i="36"/>
  <c r="B150" i="36"/>
  <c r="K149" i="36"/>
  <c r="J149" i="36"/>
  <c r="G149" i="36"/>
  <c r="D149" i="36"/>
  <c r="C149" i="36"/>
  <c r="B149" i="36"/>
  <c r="K148" i="36"/>
  <c r="J148" i="36"/>
  <c r="G148" i="36"/>
  <c r="D148" i="36"/>
  <c r="C148" i="36"/>
  <c r="B148" i="36"/>
  <c r="J147" i="36"/>
  <c r="K147" i="36" s="1"/>
  <c r="G147" i="36"/>
  <c r="D147" i="36"/>
  <c r="C147" i="36"/>
  <c r="B147" i="36"/>
  <c r="J146" i="36"/>
  <c r="K146" i="36" s="1"/>
  <c r="G146" i="36"/>
  <c r="D146" i="36"/>
  <c r="C146" i="36"/>
  <c r="B146" i="36"/>
  <c r="K145" i="36"/>
  <c r="J145" i="36"/>
  <c r="G145" i="36"/>
  <c r="D145" i="36"/>
  <c r="C145" i="36"/>
  <c r="B145" i="36"/>
  <c r="K144" i="36"/>
  <c r="J144" i="36"/>
  <c r="G144" i="36"/>
  <c r="D144" i="36"/>
  <c r="C144" i="36"/>
  <c r="B144" i="36"/>
  <c r="J143" i="36"/>
  <c r="K143" i="36" s="1"/>
  <c r="G143" i="36"/>
  <c r="D143" i="36"/>
  <c r="C143" i="36"/>
  <c r="B143" i="36"/>
  <c r="J142" i="36"/>
  <c r="K142" i="36" s="1"/>
  <c r="G142" i="36"/>
  <c r="D142" i="36"/>
  <c r="C142" i="36"/>
  <c r="B142" i="36"/>
  <c r="K141" i="36"/>
  <c r="J141" i="36"/>
  <c r="G141" i="36"/>
  <c r="D141" i="36"/>
  <c r="C141" i="36"/>
  <c r="B141" i="36"/>
  <c r="K140" i="36"/>
  <c r="J140" i="36"/>
  <c r="G140" i="36"/>
  <c r="D140" i="36"/>
  <c r="C140" i="36"/>
  <c r="B140" i="36"/>
  <c r="J139" i="36"/>
  <c r="K139" i="36" s="1"/>
  <c r="G139" i="36"/>
  <c r="D139" i="36"/>
  <c r="C139" i="36"/>
  <c r="B139" i="36"/>
  <c r="J138" i="36"/>
  <c r="K138" i="36" s="1"/>
  <c r="G138" i="36"/>
  <c r="D138" i="36"/>
  <c r="C138" i="36"/>
  <c r="B138" i="36"/>
  <c r="K137" i="36"/>
  <c r="J137" i="36"/>
  <c r="G137" i="36"/>
  <c r="D137" i="36"/>
  <c r="C137" i="36"/>
  <c r="B137" i="36"/>
  <c r="K136" i="36"/>
  <c r="J136" i="36"/>
  <c r="G136" i="36"/>
  <c r="D136" i="36"/>
  <c r="C136" i="36"/>
  <c r="B136" i="36"/>
  <c r="J135" i="36"/>
  <c r="K135" i="36" s="1"/>
  <c r="G135" i="36"/>
  <c r="D135" i="36"/>
  <c r="C135" i="36"/>
  <c r="B135" i="36"/>
  <c r="J134" i="36"/>
  <c r="K134" i="36" s="1"/>
  <c r="G134" i="36"/>
  <c r="D134" i="36"/>
  <c r="C134" i="36"/>
  <c r="B134" i="36"/>
  <c r="K133" i="36"/>
  <c r="J133" i="36"/>
  <c r="G133" i="36"/>
  <c r="D133" i="36"/>
  <c r="C133" i="36"/>
  <c r="B133" i="36"/>
  <c r="K132" i="36"/>
  <c r="J132" i="36"/>
  <c r="G132" i="36"/>
  <c r="D132" i="36"/>
  <c r="C132" i="36"/>
  <c r="B132" i="36"/>
  <c r="J131" i="36"/>
  <c r="K131" i="36" s="1"/>
  <c r="G131" i="36"/>
  <c r="D131" i="36"/>
  <c r="C131" i="36"/>
  <c r="B131" i="36"/>
  <c r="J130" i="36"/>
  <c r="K130" i="36" s="1"/>
  <c r="G130" i="36"/>
  <c r="D130" i="36"/>
  <c r="C130" i="36"/>
  <c r="B130" i="36"/>
  <c r="K129" i="36"/>
  <c r="J129" i="36"/>
  <c r="G129" i="36"/>
  <c r="D129" i="36"/>
  <c r="C129" i="36"/>
  <c r="B129" i="36"/>
  <c r="K128" i="36"/>
  <c r="J128" i="36"/>
  <c r="G128" i="36"/>
  <c r="D128" i="36"/>
  <c r="C128" i="36"/>
  <c r="B128" i="36"/>
  <c r="J127" i="36"/>
  <c r="K127" i="36" s="1"/>
  <c r="G127" i="36"/>
  <c r="D127" i="36"/>
  <c r="C127" i="36"/>
  <c r="B127" i="36"/>
  <c r="J126" i="36"/>
  <c r="K126" i="36" s="1"/>
  <c r="G126" i="36"/>
  <c r="D126" i="36"/>
  <c r="C126" i="36"/>
  <c r="B126" i="36"/>
  <c r="K125" i="36"/>
  <c r="J125" i="36"/>
  <c r="G125" i="36"/>
  <c r="D125" i="36"/>
  <c r="C125" i="36"/>
  <c r="B125" i="36"/>
  <c r="K124" i="36"/>
  <c r="J124" i="36"/>
  <c r="G124" i="36"/>
  <c r="D124" i="36"/>
  <c r="C124" i="36"/>
  <c r="B124" i="36"/>
  <c r="J123" i="36"/>
  <c r="K123" i="36" s="1"/>
  <c r="G123" i="36"/>
  <c r="D123" i="36"/>
  <c r="C123" i="36"/>
  <c r="B123" i="36"/>
  <c r="J122" i="36"/>
  <c r="K122" i="36" s="1"/>
  <c r="G122" i="36"/>
  <c r="D122" i="36"/>
  <c r="C122" i="36"/>
  <c r="B122" i="36"/>
  <c r="K121" i="36"/>
  <c r="J121" i="36"/>
  <c r="G121" i="36"/>
  <c r="D121" i="36"/>
  <c r="C121" i="36"/>
  <c r="B121" i="36"/>
  <c r="K120" i="36"/>
  <c r="J120" i="36"/>
  <c r="G120" i="36"/>
  <c r="D120" i="36"/>
  <c r="C120" i="36"/>
  <c r="B120" i="36"/>
  <c r="J119" i="36"/>
  <c r="K119" i="36" s="1"/>
  <c r="G119" i="36"/>
  <c r="D119" i="36"/>
  <c r="C119" i="36"/>
  <c r="B119" i="36"/>
  <c r="J118" i="36"/>
  <c r="K118" i="36" s="1"/>
  <c r="G118" i="36"/>
  <c r="D118" i="36"/>
  <c r="C118" i="36"/>
  <c r="B118" i="36"/>
  <c r="K117" i="36"/>
  <c r="J117" i="36"/>
  <c r="G117" i="36"/>
  <c r="D117" i="36"/>
  <c r="C117" i="36"/>
  <c r="B117" i="36"/>
  <c r="K116" i="36"/>
  <c r="J116" i="36"/>
  <c r="G116" i="36"/>
  <c r="D116" i="36"/>
  <c r="C116" i="36"/>
  <c r="B116" i="36"/>
  <c r="J115" i="36"/>
  <c r="K115" i="36" s="1"/>
  <c r="G115" i="36"/>
  <c r="D115" i="36"/>
  <c r="C115" i="36"/>
  <c r="B115" i="36"/>
  <c r="J114" i="36"/>
  <c r="K114" i="36" s="1"/>
  <c r="G114" i="36"/>
  <c r="D114" i="36"/>
  <c r="C114" i="36"/>
  <c r="B114" i="36"/>
  <c r="K113" i="36"/>
  <c r="J113" i="36"/>
  <c r="G113" i="36"/>
  <c r="D113" i="36"/>
  <c r="C113" i="36"/>
  <c r="B113" i="36"/>
  <c r="K112" i="36"/>
  <c r="J112" i="36"/>
  <c r="G112" i="36"/>
  <c r="D112" i="36"/>
  <c r="C112" i="36"/>
  <c r="B112" i="36"/>
  <c r="J111" i="36"/>
  <c r="K111" i="36" s="1"/>
  <c r="G111" i="36"/>
  <c r="D111" i="36"/>
  <c r="C111" i="36"/>
  <c r="B111" i="36"/>
  <c r="J110" i="36"/>
  <c r="K110" i="36" s="1"/>
  <c r="G110" i="36"/>
  <c r="D110" i="36"/>
  <c r="C110" i="36"/>
  <c r="B110" i="36"/>
  <c r="K109" i="36"/>
  <c r="J109" i="36"/>
  <c r="G109" i="36"/>
  <c r="D109" i="36"/>
  <c r="C109" i="36"/>
  <c r="B109" i="36"/>
  <c r="K108" i="36"/>
  <c r="J108" i="36"/>
  <c r="G108" i="36"/>
  <c r="D108" i="36"/>
  <c r="C108" i="36"/>
  <c r="B108" i="36"/>
  <c r="J107" i="36"/>
  <c r="K107" i="36" s="1"/>
  <c r="G107" i="36"/>
  <c r="D107" i="36"/>
  <c r="C107" i="36"/>
  <c r="B107" i="36"/>
  <c r="J106" i="36"/>
  <c r="K106" i="36" s="1"/>
  <c r="G106" i="36"/>
  <c r="D106" i="36"/>
  <c r="C106" i="36"/>
  <c r="B106" i="36"/>
  <c r="K105" i="36"/>
  <c r="J105" i="36"/>
  <c r="G105" i="36"/>
  <c r="D105" i="36"/>
  <c r="C105" i="36"/>
  <c r="B105" i="36"/>
  <c r="K104" i="36"/>
  <c r="J104" i="36"/>
  <c r="G104" i="36"/>
  <c r="D104" i="36"/>
  <c r="C104" i="36"/>
  <c r="B104" i="36"/>
  <c r="J103" i="36"/>
  <c r="K103" i="36" s="1"/>
  <c r="G103" i="36"/>
  <c r="D103" i="36"/>
  <c r="C103" i="36"/>
  <c r="B103" i="36"/>
  <c r="J102" i="36"/>
  <c r="K102" i="36" s="1"/>
  <c r="G102" i="36"/>
  <c r="D102" i="36"/>
  <c r="C102" i="36"/>
  <c r="B102" i="36"/>
  <c r="K101" i="36"/>
  <c r="J101" i="36"/>
  <c r="G101" i="36"/>
  <c r="D101" i="36"/>
  <c r="C101" i="36"/>
  <c r="B101" i="36"/>
  <c r="K100" i="36"/>
  <c r="J100" i="36"/>
  <c r="G100" i="36"/>
  <c r="D100" i="36"/>
  <c r="C100" i="36"/>
  <c r="B100" i="36"/>
  <c r="J99" i="36"/>
  <c r="K99" i="36" s="1"/>
  <c r="G99" i="36"/>
  <c r="D99" i="36"/>
  <c r="C99" i="36"/>
  <c r="B99" i="36"/>
  <c r="J98" i="36"/>
  <c r="K98" i="36" s="1"/>
  <c r="G98" i="36"/>
  <c r="D98" i="36"/>
  <c r="C98" i="36"/>
  <c r="B98" i="36"/>
  <c r="K97" i="36"/>
  <c r="J97" i="36"/>
  <c r="G97" i="36"/>
  <c r="D97" i="36"/>
  <c r="C97" i="36"/>
  <c r="B97" i="36"/>
  <c r="K96" i="36"/>
  <c r="J96" i="36"/>
  <c r="G96" i="36"/>
  <c r="D96" i="36"/>
  <c r="C96" i="36"/>
  <c r="B96" i="36"/>
  <c r="J95" i="36"/>
  <c r="K95" i="36" s="1"/>
  <c r="G95" i="36"/>
  <c r="D95" i="36"/>
  <c r="C95" i="36"/>
  <c r="B95" i="36"/>
  <c r="J94" i="36"/>
  <c r="K94" i="36" s="1"/>
  <c r="G94" i="36"/>
  <c r="D94" i="36"/>
  <c r="C94" i="36"/>
  <c r="B94" i="36"/>
  <c r="K93" i="36"/>
  <c r="J93" i="36"/>
  <c r="G93" i="36"/>
  <c r="D93" i="36"/>
  <c r="C93" i="36"/>
  <c r="B93" i="36"/>
  <c r="K92" i="36"/>
  <c r="J92" i="36"/>
  <c r="G92" i="36"/>
  <c r="D92" i="36"/>
  <c r="C92" i="36"/>
  <c r="B92" i="36"/>
  <c r="J91" i="36"/>
  <c r="K91" i="36" s="1"/>
  <c r="G91" i="36"/>
  <c r="D91" i="36"/>
  <c r="C91" i="36"/>
  <c r="B91" i="36"/>
  <c r="J90" i="36"/>
  <c r="K90" i="36" s="1"/>
  <c r="G90" i="36"/>
  <c r="D90" i="36"/>
  <c r="C90" i="36"/>
  <c r="B90" i="36"/>
  <c r="K89" i="36"/>
  <c r="J89" i="36"/>
  <c r="G89" i="36"/>
  <c r="D89" i="36"/>
  <c r="C89" i="36"/>
  <c r="B89" i="36"/>
  <c r="K88" i="36"/>
  <c r="J88" i="36"/>
  <c r="G88" i="36"/>
  <c r="D88" i="36"/>
  <c r="C88" i="36"/>
  <c r="B88" i="36"/>
  <c r="J87" i="36"/>
  <c r="K87" i="36" s="1"/>
  <c r="G87" i="36"/>
  <c r="D87" i="36"/>
  <c r="C87" i="36"/>
  <c r="B87" i="36"/>
  <c r="J86" i="36"/>
  <c r="K86" i="36" s="1"/>
  <c r="G86" i="36"/>
  <c r="D86" i="36"/>
  <c r="C86" i="36"/>
  <c r="B86" i="36"/>
  <c r="K85" i="36"/>
  <c r="J85" i="36"/>
  <c r="G85" i="36"/>
  <c r="D85" i="36"/>
  <c r="C85" i="36"/>
  <c r="B85" i="36"/>
  <c r="K84" i="36"/>
  <c r="J84" i="36"/>
  <c r="G84" i="36"/>
  <c r="D84" i="36"/>
  <c r="C84" i="36"/>
  <c r="B84" i="36"/>
  <c r="J83" i="36"/>
  <c r="K83" i="36" s="1"/>
  <c r="G83" i="36"/>
  <c r="D83" i="36"/>
  <c r="C83" i="36"/>
  <c r="B83" i="36"/>
  <c r="J82" i="36"/>
  <c r="K82" i="36" s="1"/>
  <c r="G82" i="36"/>
  <c r="D82" i="36"/>
  <c r="C82" i="36"/>
  <c r="B82" i="36"/>
  <c r="K81" i="36"/>
  <c r="J81" i="36"/>
  <c r="G81" i="36"/>
  <c r="D81" i="36"/>
  <c r="C81" i="36"/>
  <c r="B81" i="36"/>
  <c r="K80" i="36"/>
  <c r="J80" i="36"/>
  <c r="G80" i="36"/>
  <c r="D80" i="36"/>
  <c r="C80" i="36"/>
  <c r="B80" i="36"/>
  <c r="J79" i="36"/>
  <c r="K79" i="36" s="1"/>
  <c r="G79" i="36"/>
  <c r="D79" i="36"/>
  <c r="C79" i="36"/>
  <c r="B79" i="36"/>
  <c r="J78" i="36"/>
  <c r="K78" i="36" s="1"/>
  <c r="G78" i="36"/>
  <c r="D78" i="36"/>
  <c r="C78" i="36"/>
  <c r="B78" i="36"/>
  <c r="K77" i="36"/>
  <c r="J77" i="36"/>
  <c r="G77" i="36"/>
  <c r="D77" i="36"/>
  <c r="C77" i="36"/>
  <c r="B77" i="36"/>
  <c r="K76" i="36"/>
  <c r="J76" i="36"/>
  <c r="G76" i="36"/>
  <c r="D76" i="36"/>
  <c r="C76" i="36"/>
  <c r="B76" i="36"/>
  <c r="J75" i="36"/>
  <c r="K75" i="36" s="1"/>
  <c r="G75" i="36"/>
  <c r="D75" i="36"/>
  <c r="C75" i="36"/>
  <c r="B75" i="36"/>
  <c r="J74" i="36"/>
  <c r="K74" i="36" s="1"/>
  <c r="G74" i="36"/>
  <c r="D74" i="36"/>
  <c r="C74" i="36"/>
  <c r="B74" i="36"/>
  <c r="K73" i="36"/>
  <c r="J73" i="36"/>
  <c r="G73" i="36"/>
  <c r="D73" i="36"/>
  <c r="C73" i="36"/>
  <c r="B73" i="36"/>
  <c r="K72" i="36"/>
  <c r="J72" i="36"/>
  <c r="G72" i="36"/>
  <c r="D72" i="36"/>
  <c r="C72" i="36"/>
  <c r="B72" i="36"/>
  <c r="J71" i="36"/>
  <c r="K71" i="36" s="1"/>
  <c r="G71" i="36"/>
  <c r="D71" i="36"/>
  <c r="C71" i="36"/>
  <c r="B71" i="36"/>
  <c r="J70" i="36"/>
  <c r="K70" i="36" s="1"/>
  <c r="G70" i="36"/>
  <c r="D70" i="36"/>
  <c r="C70" i="36"/>
  <c r="B70" i="36"/>
  <c r="K69" i="36"/>
  <c r="J69" i="36"/>
  <c r="G69" i="36"/>
  <c r="D69" i="36"/>
  <c r="C69" i="36"/>
  <c r="B69" i="36"/>
  <c r="K68" i="36"/>
  <c r="J68" i="36"/>
  <c r="G68" i="36"/>
  <c r="D68" i="36"/>
  <c r="C68" i="36"/>
  <c r="B68" i="36"/>
  <c r="J67" i="36"/>
  <c r="K67" i="36" s="1"/>
  <c r="G67" i="36"/>
  <c r="D67" i="36"/>
  <c r="C67" i="36"/>
  <c r="B67" i="36"/>
  <c r="J66" i="36"/>
  <c r="K66" i="36" s="1"/>
  <c r="G66" i="36"/>
  <c r="D66" i="36"/>
  <c r="C66" i="36"/>
  <c r="B66" i="36"/>
  <c r="K65" i="36"/>
  <c r="J65" i="36"/>
  <c r="G65" i="36"/>
  <c r="D65" i="36"/>
  <c r="C65" i="36"/>
  <c r="B65" i="36"/>
  <c r="K64" i="36"/>
  <c r="J64" i="36"/>
  <c r="G64" i="36"/>
  <c r="D64" i="36"/>
  <c r="C64" i="36"/>
  <c r="B64" i="36"/>
  <c r="J63" i="36"/>
  <c r="K63" i="36" s="1"/>
  <c r="G63" i="36"/>
  <c r="D63" i="36"/>
  <c r="C63" i="36"/>
  <c r="B63" i="36"/>
  <c r="J62" i="36"/>
  <c r="K62" i="36" s="1"/>
  <c r="G62" i="36"/>
  <c r="D62" i="36"/>
  <c r="C62" i="36"/>
  <c r="B62" i="36"/>
  <c r="K61" i="36"/>
  <c r="J61" i="36"/>
  <c r="G61" i="36"/>
  <c r="D61" i="36"/>
  <c r="C61" i="36"/>
  <c r="B61" i="36"/>
  <c r="K60" i="36"/>
  <c r="J60" i="36"/>
  <c r="G60" i="36"/>
  <c r="D60" i="36"/>
  <c r="C60" i="36"/>
  <c r="B60" i="36"/>
  <c r="J59" i="36"/>
  <c r="K59" i="36" s="1"/>
  <c r="G59" i="36"/>
  <c r="D59" i="36"/>
  <c r="C59" i="36"/>
  <c r="B59" i="36"/>
  <c r="J58" i="36"/>
  <c r="K58" i="36" s="1"/>
  <c r="G58" i="36"/>
  <c r="D58" i="36"/>
  <c r="C58" i="36"/>
  <c r="B58" i="36"/>
  <c r="K57" i="36"/>
  <c r="J57" i="36"/>
  <c r="G57" i="36"/>
  <c r="D57" i="36"/>
  <c r="C57" i="36"/>
  <c r="B57" i="36"/>
  <c r="K56" i="36"/>
  <c r="J56" i="36"/>
  <c r="G56" i="36"/>
  <c r="D56" i="36"/>
  <c r="C56" i="36"/>
  <c r="B56" i="36"/>
  <c r="J55" i="36"/>
  <c r="K55" i="36" s="1"/>
  <c r="G55" i="36"/>
  <c r="D55" i="36"/>
  <c r="C55" i="36"/>
  <c r="B55" i="36"/>
  <c r="J54" i="36"/>
  <c r="K54" i="36" s="1"/>
  <c r="G54" i="36"/>
  <c r="D54" i="36"/>
  <c r="C54" i="36"/>
  <c r="B54" i="36"/>
  <c r="K53" i="36"/>
  <c r="J53" i="36"/>
  <c r="G53" i="36"/>
  <c r="D53" i="36"/>
  <c r="C53" i="36"/>
  <c r="B53" i="36"/>
  <c r="K52" i="36"/>
  <c r="J52" i="36"/>
  <c r="G52" i="36"/>
  <c r="D52" i="36"/>
  <c r="C52" i="36"/>
  <c r="B52" i="36"/>
  <c r="J51" i="36"/>
  <c r="K51" i="36" s="1"/>
  <c r="G51" i="36"/>
  <c r="D51" i="36"/>
  <c r="C51" i="36"/>
  <c r="B51" i="36"/>
  <c r="J50" i="36"/>
  <c r="K50" i="36" s="1"/>
  <c r="G50" i="36"/>
  <c r="D50" i="36"/>
  <c r="C50" i="36"/>
  <c r="B50" i="36"/>
  <c r="K49" i="36"/>
  <c r="J49" i="36"/>
  <c r="G49" i="36"/>
  <c r="D49" i="36"/>
  <c r="C49" i="36"/>
  <c r="B49" i="36"/>
  <c r="K48" i="36"/>
  <c r="J48" i="36"/>
  <c r="G48" i="36"/>
  <c r="D48" i="36"/>
  <c r="C48" i="36"/>
  <c r="B48" i="36"/>
  <c r="J47" i="36"/>
  <c r="K47" i="36" s="1"/>
  <c r="G47" i="36"/>
  <c r="D47" i="36"/>
  <c r="C47" i="36"/>
  <c r="B47" i="36"/>
  <c r="J46" i="36"/>
  <c r="K46" i="36" s="1"/>
  <c r="G46" i="36"/>
  <c r="D46" i="36"/>
  <c r="C46" i="36"/>
  <c r="B46" i="36"/>
  <c r="K45" i="36"/>
  <c r="J45" i="36"/>
  <c r="G45" i="36"/>
  <c r="D45" i="36"/>
  <c r="C45" i="36"/>
  <c r="B45" i="36"/>
  <c r="K44" i="36"/>
  <c r="J44" i="36"/>
  <c r="G44" i="36"/>
  <c r="D44" i="36"/>
  <c r="C44" i="36"/>
  <c r="B44" i="36"/>
  <c r="J43" i="36"/>
  <c r="K43" i="36" s="1"/>
  <c r="G43" i="36"/>
  <c r="D43" i="36"/>
  <c r="C43" i="36"/>
  <c r="B43" i="36"/>
  <c r="J42" i="36"/>
  <c r="K42" i="36" s="1"/>
  <c r="G42" i="36"/>
  <c r="D42" i="36"/>
  <c r="C42" i="36"/>
  <c r="B42" i="36"/>
  <c r="K41" i="36"/>
  <c r="J41" i="36"/>
  <c r="G41" i="36"/>
  <c r="D41" i="36"/>
  <c r="C41" i="36"/>
  <c r="B41" i="36"/>
  <c r="K40" i="36"/>
  <c r="J40" i="36"/>
  <c r="G40" i="36"/>
  <c r="D40" i="36"/>
  <c r="C40" i="36"/>
  <c r="B40" i="36"/>
  <c r="J39" i="36"/>
  <c r="K39" i="36" s="1"/>
  <c r="G39" i="36"/>
  <c r="D39" i="36"/>
  <c r="C39" i="36"/>
  <c r="B39" i="36"/>
  <c r="J38" i="36"/>
  <c r="K38" i="36" s="1"/>
  <c r="G38" i="36"/>
  <c r="D38" i="36"/>
  <c r="C38" i="36"/>
  <c r="B38" i="36"/>
  <c r="K37" i="36"/>
  <c r="J37" i="36"/>
  <c r="G37" i="36"/>
  <c r="D37" i="36"/>
  <c r="C37" i="36"/>
  <c r="B37" i="36"/>
  <c r="K36" i="36"/>
  <c r="J36" i="36"/>
  <c r="G36" i="36"/>
  <c r="D36" i="36"/>
  <c r="C36" i="36"/>
  <c r="B36" i="36"/>
  <c r="J35" i="36"/>
  <c r="K35" i="36" s="1"/>
  <c r="G35" i="36"/>
  <c r="D35" i="36"/>
  <c r="C35" i="36"/>
  <c r="B35" i="36"/>
  <c r="J34" i="36"/>
  <c r="K34" i="36" s="1"/>
  <c r="G34" i="36"/>
  <c r="D34" i="36"/>
  <c r="C34" i="36"/>
  <c r="B34" i="36"/>
  <c r="K33" i="36"/>
  <c r="J33" i="36"/>
  <c r="G33" i="36"/>
  <c r="D33" i="36"/>
  <c r="C33" i="36"/>
  <c r="B33" i="36"/>
  <c r="K32" i="36"/>
  <c r="J32" i="36"/>
  <c r="G32" i="36"/>
  <c r="D32" i="36"/>
  <c r="C32" i="36"/>
  <c r="B32" i="36"/>
  <c r="J31" i="36"/>
  <c r="K31" i="36" s="1"/>
  <c r="G31" i="36"/>
  <c r="D31" i="36"/>
  <c r="C31" i="36"/>
  <c r="B31" i="36"/>
  <c r="J30" i="36"/>
  <c r="K30" i="36" s="1"/>
  <c r="G30" i="36"/>
  <c r="D30" i="36"/>
  <c r="C30" i="36"/>
  <c r="B30" i="36"/>
  <c r="K29" i="36"/>
  <c r="J29" i="36"/>
  <c r="G29" i="36"/>
  <c r="D29" i="36"/>
  <c r="C29" i="36"/>
  <c r="B29" i="36"/>
  <c r="K28" i="36"/>
  <c r="J28" i="36"/>
  <c r="G28" i="36"/>
  <c r="D28" i="36"/>
  <c r="C28" i="36"/>
  <c r="B28" i="36"/>
  <c r="J27" i="36"/>
  <c r="K27" i="36" s="1"/>
  <c r="G27" i="36"/>
  <c r="D27" i="36"/>
  <c r="C27" i="36"/>
  <c r="B27" i="36"/>
  <c r="J26" i="36"/>
  <c r="K26" i="36" s="1"/>
  <c r="G26" i="36"/>
  <c r="D26" i="36"/>
  <c r="C26" i="36"/>
  <c r="B26" i="36"/>
  <c r="K25" i="36"/>
  <c r="J25" i="36"/>
  <c r="G25" i="36"/>
  <c r="D25" i="36"/>
  <c r="C25" i="36"/>
  <c r="B25" i="36"/>
  <c r="K24" i="36"/>
  <c r="J24" i="36"/>
  <c r="G24" i="36"/>
  <c r="D24" i="36"/>
  <c r="C24" i="36"/>
  <c r="B24" i="36"/>
  <c r="J23" i="36"/>
  <c r="K23" i="36" s="1"/>
  <c r="G23" i="36"/>
  <c r="D23" i="36"/>
  <c r="C23" i="36"/>
  <c r="B23" i="36"/>
  <c r="J22" i="36"/>
  <c r="K22" i="36" s="1"/>
  <c r="G22" i="36"/>
  <c r="D22" i="36"/>
  <c r="C22" i="36"/>
  <c r="B22" i="36"/>
  <c r="K21" i="36"/>
  <c r="J21" i="36"/>
  <c r="G21" i="36"/>
  <c r="D21" i="36"/>
  <c r="C21" i="36"/>
  <c r="B21" i="36"/>
  <c r="K20" i="36"/>
  <c r="J20" i="36"/>
  <c r="G20" i="36"/>
  <c r="D20" i="36"/>
  <c r="C20" i="36"/>
  <c r="B20" i="36"/>
  <c r="J19" i="36"/>
  <c r="K19" i="36" s="1"/>
  <c r="G19" i="36"/>
  <c r="D19" i="36"/>
  <c r="C19" i="36"/>
  <c r="B19" i="36"/>
  <c r="J18" i="36"/>
  <c r="K18" i="36" s="1"/>
  <c r="G18" i="36"/>
  <c r="D18" i="36"/>
  <c r="C18" i="36"/>
  <c r="B18" i="36"/>
  <c r="K17" i="36"/>
  <c r="J17" i="36"/>
  <c r="G17" i="36"/>
  <c r="D17" i="36"/>
  <c r="C17" i="36"/>
  <c r="B17" i="36"/>
  <c r="K16" i="36"/>
  <c r="J16" i="36"/>
  <c r="G16" i="36"/>
  <c r="D16" i="36"/>
  <c r="C16" i="36"/>
  <c r="B16" i="36"/>
  <c r="J15" i="36"/>
  <c r="K15" i="36" s="1"/>
  <c r="G15" i="36"/>
  <c r="D15" i="36"/>
  <c r="C15" i="36"/>
  <c r="B15" i="36"/>
  <c r="J14" i="36"/>
  <c r="K14" i="36" s="1"/>
  <c r="G14" i="36"/>
  <c r="D14" i="36"/>
  <c r="C14" i="36"/>
  <c r="B14" i="36"/>
  <c r="K13" i="36"/>
  <c r="J13" i="36"/>
  <c r="G13" i="36"/>
  <c r="D13" i="36"/>
  <c r="C13" i="36"/>
  <c r="B13" i="36"/>
  <c r="K12" i="36"/>
  <c r="J12" i="36"/>
  <c r="G12" i="36"/>
  <c r="D12" i="36"/>
  <c r="C12" i="36"/>
  <c r="B12" i="36"/>
  <c r="J11" i="36"/>
  <c r="K11" i="36" s="1"/>
  <c r="G11" i="36"/>
  <c r="D11" i="36"/>
  <c r="C11" i="36"/>
  <c r="B11" i="36"/>
  <c r="J10" i="36"/>
  <c r="K10" i="36" s="1"/>
  <c r="G10" i="36"/>
  <c r="D10" i="36"/>
  <c r="C10" i="36"/>
  <c r="B10" i="36"/>
  <c r="K9" i="36"/>
  <c r="J9" i="36"/>
  <c r="G9" i="36"/>
  <c r="D9" i="36"/>
  <c r="C9" i="36"/>
  <c r="B9" i="36"/>
  <c r="J4" i="36"/>
  <c r="I208" i="35"/>
  <c r="J208" i="35" s="1"/>
  <c r="F208" i="35"/>
  <c r="D208" i="35"/>
  <c r="C208" i="35"/>
  <c r="B208" i="35"/>
  <c r="J207" i="35"/>
  <c r="I207" i="35"/>
  <c r="F207" i="35"/>
  <c r="D207" i="35"/>
  <c r="C207" i="35"/>
  <c r="B207" i="35"/>
  <c r="J206" i="35"/>
  <c r="I206" i="35"/>
  <c r="F206" i="35"/>
  <c r="D206" i="35"/>
  <c r="C206" i="35"/>
  <c r="B206" i="35"/>
  <c r="I205" i="35"/>
  <c r="J205" i="35" s="1"/>
  <c r="F205" i="35"/>
  <c r="D205" i="35"/>
  <c r="C205" i="35"/>
  <c r="B205" i="35"/>
  <c r="I204" i="35"/>
  <c r="J204" i="35" s="1"/>
  <c r="F204" i="35"/>
  <c r="D204" i="35"/>
  <c r="C204" i="35"/>
  <c r="B204" i="35"/>
  <c r="J203" i="35"/>
  <c r="I203" i="35"/>
  <c r="F203" i="35"/>
  <c r="D203" i="35"/>
  <c r="C203" i="35"/>
  <c r="B203" i="35"/>
  <c r="J202" i="35"/>
  <c r="I202" i="35"/>
  <c r="F202" i="35"/>
  <c r="D202" i="35"/>
  <c r="C202" i="35"/>
  <c r="B202" i="35"/>
  <c r="I201" i="35"/>
  <c r="J201" i="35" s="1"/>
  <c r="F201" i="35"/>
  <c r="D201" i="35"/>
  <c r="C201" i="35"/>
  <c r="B201" i="35"/>
  <c r="I200" i="35"/>
  <c r="J200" i="35" s="1"/>
  <c r="F200" i="35"/>
  <c r="D200" i="35"/>
  <c r="C200" i="35"/>
  <c r="B200" i="35"/>
  <c r="J199" i="35"/>
  <c r="I199" i="35"/>
  <c r="F199" i="35"/>
  <c r="D199" i="35"/>
  <c r="C199" i="35"/>
  <c r="B199" i="35"/>
  <c r="J198" i="35"/>
  <c r="I198" i="35"/>
  <c r="F198" i="35"/>
  <c r="D198" i="35"/>
  <c r="C198" i="35"/>
  <c r="B198" i="35"/>
  <c r="I197" i="35"/>
  <c r="J197" i="35" s="1"/>
  <c r="F197" i="35"/>
  <c r="D197" i="35"/>
  <c r="C197" i="35"/>
  <c r="B197" i="35"/>
  <c r="I196" i="35"/>
  <c r="J196" i="35" s="1"/>
  <c r="F196" i="35"/>
  <c r="D196" i="35"/>
  <c r="C196" i="35"/>
  <c r="B196" i="35"/>
  <c r="J195" i="35"/>
  <c r="I195" i="35"/>
  <c r="F195" i="35"/>
  <c r="D195" i="35"/>
  <c r="C195" i="35"/>
  <c r="B195" i="35"/>
  <c r="J194" i="35"/>
  <c r="I194" i="35"/>
  <c r="F194" i="35"/>
  <c r="D194" i="35"/>
  <c r="C194" i="35"/>
  <c r="B194" i="35"/>
  <c r="I193" i="35"/>
  <c r="J193" i="35" s="1"/>
  <c r="F193" i="35"/>
  <c r="D193" i="35"/>
  <c r="C193" i="35"/>
  <c r="B193" i="35"/>
  <c r="I192" i="35"/>
  <c r="J192" i="35" s="1"/>
  <c r="F192" i="35"/>
  <c r="D192" i="35"/>
  <c r="C192" i="35"/>
  <c r="B192" i="35"/>
  <c r="J191" i="35"/>
  <c r="I191" i="35"/>
  <c r="F191" i="35"/>
  <c r="D191" i="35"/>
  <c r="C191" i="35"/>
  <c r="B191" i="35"/>
  <c r="J190" i="35"/>
  <c r="I190" i="35"/>
  <c r="F190" i="35"/>
  <c r="D190" i="35"/>
  <c r="C190" i="35"/>
  <c r="B190" i="35"/>
  <c r="I189" i="35"/>
  <c r="J189" i="35" s="1"/>
  <c r="F189" i="35"/>
  <c r="D189" i="35"/>
  <c r="C189" i="35"/>
  <c r="B189" i="35"/>
  <c r="I188" i="35"/>
  <c r="J188" i="35" s="1"/>
  <c r="F188" i="35"/>
  <c r="D188" i="35"/>
  <c r="C188" i="35"/>
  <c r="B188" i="35"/>
  <c r="J187" i="35"/>
  <c r="I187" i="35"/>
  <c r="F187" i="35"/>
  <c r="D187" i="35"/>
  <c r="C187" i="35"/>
  <c r="B187" i="35"/>
  <c r="J186" i="35"/>
  <c r="I186" i="35"/>
  <c r="F186" i="35"/>
  <c r="D186" i="35"/>
  <c r="C186" i="35"/>
  <c r="B186" i="35"/>
  <c r="I185" i="35"/>
  <c r="J185" i="35" s="1"/>
  <c r="F185" i="35"/>
  <c r="D185" i="35"/>
  <c r="C185" i="35"/>
  <c r="B185" i="35"/>
  <c r="I184" i="35"/>
  <c r="J184" i="35" s="1"/>
  <c r="F184" i="35"/>
  <c r="D184" i="35"/>
  <c r="C184" i="35"/>
  <c r="B184" i="35"/>
  <c r="J183" i="35"/>
  <c r="I183" i="35"/>
  <c r="F183" i="35"/>
  <c r="D183" i="35"/>
  <c r="C183" i="35"/>
  <c r="B183" i="35"/>
  <c r="J182" i="35"/>
  <c r="I182" i="35"/>
  <c r="F182" i="35"/>
  <c r="D182" i="35"/>
  <c r="C182" i="35"/>
  <c r="B182" i="35"/>
  <c r="I181" i="35"/>
  <c r="J181" i="35" s="1"/>
  <c r="F181" i="35"/>
  <c r="D181" i="35"/>
  <c r="C181" i="35"/>
  <c r="B181" i="35"/>
  <c r="I180" i="35"/>
  <c r="J180" i="35" s="1"/>
  <c r="F180" i="35"/>
  <c r="D180" i="35"/>
  <c r="C180" i="35"/>
  <c r="B180" i="35"/>
  <c r="J179" i="35"/>
  <c r="I179" i="35"/>
  <c r="F179" i="35"/>
  <c r="D179" i="35"/>
  <c r="C179" i="35"/>
  <c r="B179" i="35"/>
  <c r="J178" i="35"/>
  <c r="I178" i="35"/>
  <c r="F178" i="35"/>
  <c r="D178" i="35"/>
  <c r="C178" i="35"/>
  <c r="B178" i="35"/>
  <c r="I177" i="35"/>
  <c r="J177" i="35" s="1"/>
  <c r="F177" i="35"/>
  <c r="D177" i="35"/>
  <c r="C177" i="35"/>
  <c r="B177" i="35"/>
  <c r="I176" i="35"/>
  <c r="J176" i="35" s="1"/>
  <c r="F176" i="35"/>
  <c r="D176" i="35"/>
  <c r="C176" i="35"/>
  <c r="B176" i="35"/>
  <c r="J175" i="35"/>
  <c r="I175" i="35"/>
  <c r="F175" i="35"/>
  <c r="D175" i="35"/>
  <c r="C175" i="35"/>
  <c r="B175" i="35"/>
  <c r="I174" i="35"/>
  <c r="J174" i="35" s="1"/>
  <c r="F174" i="35"/>
  <c r="D174" i="35"/>
  <c r="C174" i="35"/>
  <c r="B174" i="35"/>
  <c r="I173" i="35"/>
  <c r="J173" i="35" s="1"/>
  <c r="F173" i="35"/>
  <c r="D173" i="35"/>
  <c r="C173" i="35"/>
  <c r="B173" i="35"/>
  <c r="I172" i="35"/>
  <c r="J172" i="35" s="1"/>
  <c r="F172" i="35"/>
  <c r="D172" i="35"/>
  <c r="C172" i="35"/>
  <c r="B172" i="35"/>
  <c r="J171" i="35"/>
  <c r="I171" i="35"/>
  <c r="F171" i="35"/>
  <c r="D171" i="35"/>
  <c r="C171" i="35"/>
  <c r="B171" i="35"/>
  <c r="J170" i="35"/>
  <c r="I170" i="35"/>
  <c r="F170" i="35"/>
  <c r="D170" i="35"/>
  <c r="C170" i="35"/>
  <c r="B170" i="35"/>
  <c r="I169" i="35"/>
  <c r="J169" i="35" s="1"/>
  <c r="F169" i="35"/>
  <c r="D169" i="35"/>
  <c r="C169" i="35"/>
  <c r="B169" i="35"/>
  <c r="I168" i="35"/>
  <c r="J168" i="35" s="1"/>
  <c r="F168" i="35"/>
  <c r="D168" i="35"/>
  <c r="C168" i="35"/>
  <c r="B168" i="35"/>
  <c r="J167" i="35"/>
  <c r="I167" i="35"/>
  <c r="F167" i="35"/>
  <c r="D167" i="35"/>
  <c r="C167" i="35"/>
  <c r="B167" i="35"/>
  <c r="J166" i="35"/>
  <c r="I166" i="35"/>
  <c r="F166" i="35"/>
  <c r="D166" i="35"/>
  <c r="C166" i="35"/>
  <c r="B166" i="35"/>
  <c r="I165" i="35"/>
  <c r="J165" i="35" s="1"/>
  <c r="F165" i="35"/>
  <c r="D165" i="35"/>
  <c r="C165" i="35"/>
  <c r="B165" i="35"/>
  <c r="I164" i="35"/>
  <c r="J164" i="35" s="1"/>
  <c r="F164" i="35"/>
  <c r="D164" i="35"/>
  <c r="C164" i="35"/>
  <c r="B164" i="35"/>
  <c r="J163" i="35"/>
  <c r="I163" i="35"/>
  <c r="F163" i="35"/>
  <c r="D163" i="35"/>
  <c r="C163" i="35"/>
  <c r="B163" i="35"/>
  <c r="I162" i="35"/>
  <c r="J162" i="35" s="1"/>
  <c r="F162" i="35"/>
  <c r="D162" i="35"/>
  <c r="C162" i="35"/>
  <c r="B162" i="35"/>
  <c r="I161" i="35"/>
  <c r="J161" i="35" s="1"/>
  <c r="F161" i="35"/>
  <c r="D161" i="35"/>
  <c r="C161" i="35"/>
  <c r="B161" i="35"/>
  <c r="I160" i="35"/>
  <c r="J160" i="35" s="1"/>
  <c r="F160" i="35"/>
  <c r="D160" i="35"/>
  <c r="C160" i="35"/>
  <c r="B160" i="35"/>
  <c r="J159" i="35"/>
  <c r="I159" i="35"/>
  <c r="F159" i="35"/>
  <c r="D159" i="35"/>
  <c r="C159" i="35"/>
  <c r="B159" i="35"/>
  <c r="I158" i="35"/>
  <c r="J158" i="35" s="1"/>
  <c r="F158" i="35"/>
  <c r="D158" i="35"/>
  <c r="C158" i="35"/>
  <c r="B158" i="35"/>
  <c r="I157" i="35"/>
  <c r="J157" i="35" s="1"/>
  <c r="F157" i="35"/>
  <c r="D157" i="35"/>
  <c r="C157" i="35"/>
  <c r="B157" i="35"/>
  <c r="I156" i="35"/>
  <c r="J156" i="35" s="1"/>
  <c r="F156" i="35"/>
  <c r="D156" i="35"/>
  <c r="C156" i="35"/>
  <c r="B156" i="35"/>
  <c r="J155" i="35"/>
  <c r="I155" i="35"/>
  <c r="F155" i="35"/>
  <c r="D155" i="35"/>
  <c r="C155" i="35"/>
  <c r="B155" i="35"/>
  <c r="J154" i="35"/>
  <c r="I154" i="35"/>
  <c r="F154" i="35"/>
  <c r="D154" i="35"/>
  <c r="C154" i="35"/>
  <c r="B154" i="35"/>
  <c r="I153" i="35"/>
  <c r="J153" i="35" s="1"/>
  <c r="F153" i="35"/>
  <c r="D153" i="35"/>
  <c r="C153" i="35"/>
  <c r="B153" i="35"/>
  <c r="I152" i="35"/>
  <c r="J152" i="35" s="1"/>
  <c r="F152" i="35"/>
  <c r="D152" i="35"/>
  <c r="C152" i="35"/>
  <c r="B152" i="35"/>
  <c r="J151" i="35"/>
  <c r="I151" i="35"/>
  <c r="F151" i="35"/>
  <c r="D151" i="35"/>
  <c r="C151" i="35"/>
  <c r="B151" i="35"/>
  <c r="I150" i="35"/>
  <c r="J150" i="35" s="1"/>
  <c r="F150" i="35"/>
  <c r="D150" i="35"/>
  <c r="C150" i="35"/>
  <c r="B150" i="35"/>
  <c r="I149" i="35"/>
  <c r="J149" i="35" s="1"/>
  <c r="F149" i="35"/>
  <c r="D149" i="35"/>
  <c r="C149" i="35"/>
  <c r="B149" i="35"/>
  <c r="I148" i="35"/>
  <c r="J148" i="35" s="1"/>
  <c r="F148" i="35"/>
  <c r="D148" i="35"/>
  <c r="C148" i="35"/>
  <c r="B148" i="35"/>
  <c r="J147" i="35"/>
  <c r="I147" i="35"/>
  <c r="F147" i="35"/>
  <c r="D147" i="35"/>
  <c r="C147" i="35"/>
  <c r="B147" i="35"/>
  <c r="J146" i="35"/>
  <c r="I146" i="35"/>
  <c r="F146" i="35"/>
  <c r="D146" i="35"/>
  <c r="C146" i="35"/>
  <c r="B146" i="35"/>
  <c r="I145" i="35"/>
  <c r="J145" i="35" s="1"/>
  <c r="F145" i="35"/>
  <c r="D145" i="35"/>
  <c r="C145" i="35"/>
  <c r="B145" i="35"/>
  <c r="I144" i="35"/>
  <c r="J144" i="35" s="1"/>
  <c r="F144" i="35"/>
  <c r="D144" i="35"/>
  <c r="C144" i="35"/>
  <c r="B144" i="35"/>
  <c r="J143" i="35"/>
  <c r="I143" i="35"/>
  <c r="F143" i="35"/>
  <c r="D143" i="35"/>
  <c r="C143" i="35"/>
  <c r="B143" i="35"/>
  <c r="I142" i="35"/>
  <c r="J142" i="35" s="1"/>
  <c r="F142" i="35"/>
  <c r="D142" i="35"/>
  <c r="C142" i="35"/>
  <c r="B142" i="35"/>
  <c r="I141" i="35"/>
  <c r="J141" i="35" s="1"/>
  <c r="F141" i="35"/>
  <c r="D141" i="35"/>
  <c r="C141" i="35"/>
  <c r="B141" i="35"/>
  <c r="I140" i="35"/>
  <c r="J140" i="35" s="1"/>
  <c r="F140" i="35"/>
  <c r="D140" i="35"/>
  <c r="C140" i="35"/>
  <c r="B140" i="35"/>
  <c r="J139" i="35"/>
  <c r="I139" i="35"/>
  <c r="F139" i="35"/>
  <c r="D139" i="35"/>
  <c r="C139" i="35"/>
  <c r="B139" i="35"/>
  <c r="J138" i="35"/>
  <c r="I138" i="35"/>
  <c r="F138" i="35"/>
  <c r="D138" i="35"/>
  <c r="C138" i="35"/>
  <c r="B138" i="35"/>
  <c r="I137" i="35"/>
  <c r="J137" i="35" s="1"/>
  <c r="F137" i="35"/>
  <c r="D137" i="35"/>
  <c r="C137" i="35"/>
  <c r="B137" i="35"/>
  <c r="I136" i="35"/>
  <c r="J136" i="35" s="1"/>
  <c r="F136" i="35"/>
  <c r="D136" i="35"/>
  <c r="C136" i="35"/>
  <c r="B136" i="35"/>
  <c r="J135" i="35"/>
  <c r="I135" i="35"/>
  <c r="F135" i="35"/>
  <c r="D135" i="35"/>
  <c r="C135" i="35"/>
  <c r="B135" i="35"/>
  <c r="I134" i="35"/>
  <c r="J134" i="35" s="1"/>
  <c r="F134" i="35"/>
  <c r="D134" i="35"/>
  <c r="C134" i="35"/>
  <c r="B134" i="35"/>
  <c r="I133" i="35"/>
  <c r="J133" i="35" s="1"/>
  <c r="F133" i="35"/>
  <c r="D133" i="35"/>
  <c r="C133" i="35"/>
  <c r="B133" i="35"/>
  <c r="I132" i="35"/>
  <c r="J132" i="35" s="1"/>
  <c r="F132" i="35"/>
  <c r="D132" i="35"/>
  <c r="C132" i="35"/>
  <c r="B132" i="35"/>
  <c r="J131" i="35"/>
  <c r="I131" i="35"/>
  <c r="F131" i="35"/>
  <c r="D131" i="35"/>
  <c r="C131" i="35"/>
  <c r="B131" i="35"/>
  <c r="I130" i="35"/>
  <c r="J130" i="35" s="1"/>
  <c r="F130" i="35"/>
  <c r="D130" i="35"/>
  <c r="C130" i="35"/>
  <c r="B130" i="35"/>
  <c r="I129" i="35"/>
  <c r="J129" i="35" s="1"/>
  <c r="F129" i="35"/>
  <c r="D129" i="35"/>
  <c r="C129" i="35"/>
  <c r="B129" i="35"/>
  <c r="I128" i="35"/>
  <c r="J128" i="35" s="1"/>
  <c r="F128" i="35"/>
  <c r="D128" i="35"/>
  <c r="C128" i="35"/>
  <c r="B128" i="35"/>
  <c r="J127" i="35"/>
  <c r="I127" i="35"/>
  <c r="F127" i="35"/>
  <c r="D127" i="35"/>
  <c r="C127" i="35"/>
  <c r="B127" i="35"/>
  <c r="I126" i="35"/>
  <c r="J126" i="35" s="1"/>
  <c r="F126" i="35"/>
  <c r="D126" i="35"/>
  <c r="C126" i="35"/>
  <c r="B126" i="35"/>
  <c r="I125" i="35"/>
  <c r="J125" i="35" s="1"/>
  <c r="F125" i="35"/>
  <c r="D125" i="35"/>
  <c r="C125" i="35"/>
  <c r="B125" i="35"/>
  <c r="I124" i="35"/>
  <c r="J124" i="35" s="1"/>
  <c r="F124" i="35"/>
  <c r="D124" i="35"/>
  <c r="C124" i="35"/>
  <c r="B124" i="35"/>
  <c r="J123" i="35"/>
  <c r="I123" i="35"/>
  <c r="F123" i="35"/>
  <c r="D123" i="35"/>
  <c r="C123" i="35"/>
  <c r="B123" i="35"/>
  <c r="I122" i="35"/>
  <c r="J122" i="35" s="1"/>
  <c r="F122" i="35"/>
  <c r="D122" i="35"/>
  <c r="C122" i="35"/>
  <c r="B122" i="35"/>
  <c r="I121" i="35"/>
  <c r="J121" i="35" s="1"/>
  <c r="F121" i="35"/>
  <c r="D121" i="35"/>
  <c r="C121" i="35"/>
  <c r="B121" i="35"/>
  <c r="I120" i="35"/>
  <c r="J120" i="35" s="1"/>
  <c r="F120" i="35"/>
  <c r="D120" i="35"/>
  <c r="C120" i="35"/>
  <c r="B120" i="35"/>
  <c r="J119" i="35"/>
  <c r="I119" i="35"/>
  <c r="F119" i="35"/>
  <c r="D119" i="35"/>
  <c r="C119" i="35"/>
  <c r="B119" i="35"/>
  <c r="I118" i="35"/>
  <c r="J118" i="35" s="1"/>
  <c r="F118" i="35"/>
  <c r="D118" i="35"/>
  <c r="C118" i="35"/>
  <c r="B118" i="35"/>
  <c r="I117" i="35"/>
  <c r="J117" i="35" s="1"/>
  <c r="F117" i="35"/>
  <c r="D117" i="35"/>
  <c r="C117" i="35"/>
  <c r="B117" i="35"/>
  <c r="I116" i="35"/>
  <c r="J116" i="35" s="1"/>
  <c r="F116" i="35"/>
  <c r="D116" i="35"/>
  <c r="C116" i="35"/>
  <c r="B116" i="35"/>
  <c r="J115" i="35"/>
  <c r="I115" i="35"/>
  <c r="F115" i="35"/>
  <c r="D115" i="35"/>
  <c r="C115" i="35"/>
  <c r="B115" i="35"/>
  <c r="I114" i="35"/>
  <c r="J114" i="35" s="1"/>
  <c r="F114" i="35"/>
  <c r="D114" i="35"/>
  <c r="C114" i="35"/>
  <c r="B114" i="35"/>
  <c r="I113" i="35"/>
  <c r="J113" i="35" s="1"/>
  <c r="F113" i="35"/>
  <c r="D113" i="35"/>
  <c r="C113" i="35"/>
  <c r="B113" i="35"/>
  <c r="I112" i="35"/>
  <c r="J112" i="35" s="1"/>
  <c r="F112" i="35"/>
  <c r="D112" i="35"/>
  <c r="C112" i="35"/>
  <c r="B112" i="35"/>
  <c r="J111" i="35"/>
  <c r="I111" i="35"/>
  <c r="F111" i="35"/>
  <c r="D111" i="35"/>
  <c r="C111" i="35"/>
  <c r="B111" i="35"/>
  <c r="I110" i="35"/>
  <c r="J110" i="35" s="1"/>
  <c r="F110" i="35"/>
  <c r="D110" i="35"/>
  <c r="C110" i="35"/>
  <c r="B110" i="35"/>
  <c r="I109" i="35"/>
  <c r="J109" i="35" s="1"/>
  <c r="F109" i="35"/>
  <c r="D109" i="35"/>
  <c r="C109" i="35"/>
  <c r="B109" i="35"/>
  <c r="I108" i="35"/>
  <c r="J108" i="35" s="1"/>
  <c r="F108" i="35"/>
  <c r="D108" i="35"/>
  <c r="C108" i="35"/>
  <c r="B108" i="35"/>
  <c r="J107" i="35"/>
  <c r="I107" i="35"/>
  <c r="F107" i="35"/>
  <c r="D107" i="35"/>
  <c r="C107" i="35"/>
  <c r="B107" i="35"/>
  <c r="I106" i="35"/>
  <c r="J106" i="35" s="1"/>
  <c r="F106" i="35"/>
  <c r="D106" i="35"/>
  <c r="C106" i="35"/>
  <c r="B106" i="35"/>
  <c r="I105" i="35"/>
  <c r="J105" i="35" s="1"/>
  <c r="F105" i="35"/>
  <c r="D105" i="35"/>
  <c r="C105" i="35"/>
  <c r="B105" i="35"/>
  <c r="I104" i="35"/>
  <c r="J104" i="35" s="1"/>
  <c r="F104" i="35"/>
  <c r="D104" i="35"/>
  <c r="C104" i="35"/>
  <c r="B104" i="35"/>
  <c r="J103" i="35"/>
  <c r="I103" i="35"/>
  <c r="F103" i="35"/>
  <c r="D103" i="35"/>
  <c r="C103" i="35"/>
  <c r="B103" i="35"/>
  <c r="I102" i="35"/>
  <c r="J102" i="35" s="1"/>
  <c r="F102" i="35"/>
  <c r="D102" i="35"/>
  <c r="C102" i="35"/>
  <c r="B102" i="35"/>
  <c r="I101" i="35"/>
  <c r="J101" i="35" s="1"/>
  <c r="F101" i="35"/>
  <c r="D101" i="35"/>
  <c r="C101" i="35"/>
  <c r="B101" i="35"/>
  <c r="I100" i="35"/>
  <c r="J100" i="35" s="1"/>
  <c r="F100" i="35"/>
  <c r="D100" i="35"/>
  <c r="C100" i="35"/>
  <c r="B100" i="35"/>
  <c r="J99" i="35"/>
  <c r="I99" i="35"/>
  <c r="F99" i="35"/>
  <c r="D99" i="35"/>
  <c r="C99" i="35"/>
  <c r="B99" i="35"/>
  <c r="I98" i="35"/>
  <c r="J98" i="35" s="1"/>
  <c r="F98" i="35"/>
  <c r="D98" i="35"/>
  <c r="C98" i="35"/>
  <c r="B98" i="35"/>
  <c r="I97" i="35"/>
  <c r="J97" i="35" s="1"/>
  <c r="F97" i="35"/>
  <c r="D97" i="35"/>
  <c r="C97" i="35"/>
  <c r="B97" i="35"/>
  <c r="J96" i="35"/>
  <c r="I96" i="35"/>
  <c r="F96" i="35"/>
  <c r="D96" i="35"/>
  <c r="C96" i="35"/>
  <c r="B96" i="35"/>
  <c r="J95" i="35"/>
  <c r="I95" i="35"/>
  <c r="F95" i="35"/>
  <c r="D95" i="35"/>
  <c r="C95" i="35"/>
  <c r="B95" i="35"/>
  <c r="J94" i="35"/>
  <c r="I94" i="35"/>
  <c r="F94" i="35"/>
  <c r="D94" i="35"/>
  <c r="C94" i="35"/>
  <c r="B94" i="35"/>
  <c r="I93" i="35"/>
  <c r="J93" i="35" s="1"/>
  <c r="F93" i="35"/>
  <c r="D93" i="35"/>
  <c r="C93" i="35"/>
  <c r="B93" i="35"/>
  <c r="I92" i="35"/>
  <c r="J92" i="35" s="1"/>
  <c r="F92" i="35"/>
  <c r="D92" i="35"/>
  <c r="C92" i="35"/>
  <c r="B92" i="35"/>
  <c r="J91" i="35"/>
  <c r="I91" i="35"/>
  <c r="F91" i="35"/>
  <c r="D91" i="35"/>
  <c r="C91" i="35"/>
  <c r="B91" i="35"/>
  <c r="I90" i="35"/>
  <c r="J90" i="35" s="1"/>
  <c r="F90" i="35"/>
  <c r="D90" i="35"/>
  <c r="C90" i="35"/>
  <c r="B90" i="35"/>
  <c r="I89" i="35"/>
  <c r="J89" i="35" s="1"/>
  <c r="F89" i="35"/>
  <c r="D89" i="35"/>
  <c r="C89" i="35"/>
  <c r="B89" i="35"/>
  <c r="I88" i="35"/>
  <c r="J88" i="35" s="1"/>
  <c r="F88" i="35"/>
  <c r="D88" i="35"/>
  <c r="C88" i="35"/>
  <c r="B88" i="35"/>
  <c r="J87" i="35"/>
  <c r="I87" i="35"/>
  <c r="F87" i="35"/>
  <c r="D87" i="35"/>
  <c r="C87" i="35"/>
  <c r="B87" i="35"/>
  <c r="I86" i="35"/>
  <c r="J86" i="35" s="1"/>
  <c r="F86" i="35"/>
  <c r="D86" i="35"/>
  <c r="C86" i="35"/>
  <c r="B86" i="35"/>
  <c r="I85" i="35"/>
  <c r="J85" i="35" s="1"/>
  <c r="F85" i="35"/>
  <c r="D85" i="35"/>
  <c r="C85" i="35"/>
  <c r="B85" i="35"/>
  <c r="I84" i="35"/>
  <c r="J84" i="35" s="1"/>
  <c r="F84" i="35"/>
  <c r="D84" i="35"/>
  <c r="C84" i="35"/>
  <c r="B84" i="35"/>
  <c r="I83" i="35"/>
  <c r="J83" i="35" s="1"/>
  <c r="F83" i="35"/>
  <c r="D83" i="35"/>
  <c r="C83" i="35"/>
  <c r="B83" i="35"/>
  <c r="I82" i="35"/>
  <c r="J82" i="35" s="1"/>
  <c r="F82" i="35"/>
  <c r="D82" i="35"/>
  <c r="C82" i="35"/>
  <c r="B82" i="35"/>
  <c r="I81" i="35"/>
  <c r="J81" i="35" s="1"/>
  <c r="F81" i="35"/>
  <c r="D81" i="35"/>
  <c r="C81" i="35"/>
  <c r="B81" i="35"/>
  <c r="J80" i="35"/>
  <c r="I80" i="35"/>
  <c r="F80" i="35"/>
  <c r="D80" i="35"/>
  <c r="C80" i="35"/>
  <c r="B80" i="35"/>
  <c r="I79" i="35"/>
  <c r="J79" i="35" s="1"/>
  <c r="F79" i="35"/>
  <c r="D79" i="35"/>
  <c r="C79" i="35"/>
  <c r="B79" i="35"/>
  <c r="J78" i="35"/>
  <c r="I78" i="35"/>
  <c r="F78" i="35"/>
  <c r="D78" i="35"/>
  <c r="C78" i="35"/>
  <c r="B78" i="35"/>
  <c r="I77" i="35"/>
  <c r="J77" i="35" s="1"/>
  <c r="F77" i="35"/>
  <c r="D77" i="35"/>
  <c r="C77" i="35"/>
  <c r="B77" i="35"/>
  <c r="I76" i="35"/>
  <c r="J76" i="35" s="1"/>
  <c r="F76" i="35"/>
  <c r="D76" i="35"/>
  <c r="C76" i="35"/>
  <c r="B76" i="35"/>
  <c r="J75" i="35"/>
  <c r="I75" i="35"/>
  <c r="F75" i="35"/>
  <c r="D75" i="35"/>
  <c r="C75" i="35"/>
  <c r="B75" i="35"/>
  <c r="I74" i="35"/>
  <c r="J74" i="35" s="1"/>
  <c r="F74" i="35"/>
  <c r="D74" i="35"/>
  <c r="C74" i="35"/>
  <c r="B74" i="35"/>
  <c r="I73" i="35"/>
  <c r="J73" i="35" s="1"/>
  <c r="F73" i="35"/>
  <c r="D73" i="35"/>
  <c r="C73" i="35"/>
  <c r="B73" i="35"/>
  <c r="I72" i="35"/>
  <c r="J72" i="35" s="1"/>
  <c r="F72" i="35"/>
  <c r="D72" i="35"/>
  <c r="C72" i="35"/>
  <c r="B72" i="35"/>
  <c r="J71" i="35"/>
  <c r="I71" i="35"/>
  <c r="F71" i="35"/>
  <c r="D71" i="35"/>
  <c r="C71" i="35"/>
  <c r="B71" i="35"/>
  <c r="I70" i="35"/>
  <c r="J70" i="35" s="1"/>
  <c r="F70" i="35"/>
  <c r="D70" i="35"/>
  <c r="C70" i="35"/>
  <c r="B70" i="35"/>
  <c r="I69" i="35"/>
  <c r="J69" i="35" s="1"/>
  <c r="F69" i="35"/>
  <c r="D69" i="35"/>
  <c r="C69" i="35"/>
  <c r="B69" i="35"/>
  <c r="J68" i="35"/>
  <c r="I68" i="35"/>
  <c r="F68" i="35"/>
  <c r="D68" i="35"/>
  <c r="C68" i="35"/>
  <c r="B68" i="35"/>
  <c r="I67" i="35"/>
  <c r="J67" i="35" s="1"/>
  <c r="F67" i="35"/>
  <c r="D67" i="35"/>
  <c r="C67" i="35"/>
  <c r="B67" i="35"/>
  <c r="I66" i="35"/>
  <c r="J66" i="35" s="1"/>
  <c r="F66" i="35"/>
  <c r="D66" i="35"/>
  <c r="C66" i="35"/>
  <c r="B66" i="35"/>
  <c r="I65" i="35"/>
  <c r="J65" i="35" s="1"/>
  <c r="F65" i="35"/>
  <c r="D65" i="35"/>
  <c r="C65" i="35"/>
  <c r="B65" i="35"/>
  <c r="J64" i="35"/>
  <c r="I64" i="35"/>
  <c r="F64" i="35"/>
  <c r="D64" i="35"/>
  <c r="C64" i="35"/>
  <c r="B64" i="35"/>
  <c r="I63" i="35"/>
  <c r="J63" i="35" s="1"/>
  <c r="F63" i="35"/>
  <c r="D63" i="35"/>
  <c r="C63" i="35"/>
  <c r="B63" i="35"/>
  <c r="J62" i="35"/>
  <c r="I62" i="35"/>
  <c r="F62" i="35"/>
  <c r="D62" i="35"/>
  <c r="C62" i="35"/>
  <c r="B62" i="35"/>
  <c r="I61" i="35"/>
  <c r="J61" i="35" s="1"/>
  <c r="F61" i="35"/>
  <c r="D61" i="35"/>
  <c r="C61" i="35"/>
  <c r="B61" i="35"/>
  <c r="I60" i="35"/>
  <c r="J60" i="35" s="1"/>
  <c r="F60" i="35"/>
  <c r="D60" i="35"/>
  <c r="C60" i="35"/>
  <c r="B60" i="35"/>
  <c r="I59" i="35"/>
  <c r="J59" i="35" s="1"/>
  <c r="F59" i="35"/>
  <c r="D59" i="35"/>
  <c r="C59" i="35"/>
  <c r="B59" i="35"/>
  <c r="I58" i="35"/>
  <c r="J58" i="35" s="1"/>
  <c r="F58" i="35"/>
  <c r="D58" i="35"/>
  <c r="C58" i="35"/>
  <c r="B58" i="35"/>
  <c r="I57" i="35"/>
  <c r="J57" i="35" s="1"/>
  <c r="F57" i="35"/>
  <c r="D57" i="35"/>
  <c r="C57" i="35"/>
  <c r="B57" i="35"/>
  <c r="I56" i="35"/>
  <c r="J56" i="35" s="1"/>
  <c r="F56" i="35"/>
  <c r="D56" i="35"/>
  <c r="C56" i="35"/>
  <c r="B56" i="35"/>
  <c r="J55" i="35"/>
  <c r="I55" i="35"/>
  <c r="F55" i="35"/>
  <c r="D55" i="35"/>
  <c r="C55" i="35"/>
  <c r="B55" i="35"/>
  <c r="I54" i="35"/>
  <c r="J54" i="35" s="1"/>
  <c r="F54" i="35"/>
  <c r="D54" i="35"/>
  <c r="C54" i="35"/>
  <c r="B54" i="35"/>
  <c r="I53" i="35"/>
  <c r="J53" i="35" s="1"/>
  <c r="F53" i="35"/>
  <c r="D53" i="35"/>
  <c r="C53" i="35"/>
  <c r="B53" i="35"/>
  <c r="I52" i="35"/>
  <c r="J52" i="35" s="1"/>
  <c r="F52" i="35"/>
  <c r="D52" i="35"/>
  <c r="C52" i="35"/>
  <c r="B52" i="35"/>
  <c r="I51" i="35"/>
  <c r="J51" i="35" s="1"/>
  <c r="F51" i="35"/>
  <c r="D51" i="35"/>
  <c r="C51" i="35"/>
  <c r="B51" i="35"/>
  <c r="J50" i="35"/>
  <c r="I50" i="35"/>
  <c r="F50" i="35"/>
  <c r="D50" i="35"/>
  <c r="C50" i="35"/>
  <c r="B50" i="35"/>
  <c r="I49" i="35"/>
  <c r="J49" i="35" s="1"/>
  <c r="F49" i="35"/>
  <c r="D49" i="35"/>
  <c r="C49" i="35"/>
  <c r="B49" i="35"/>
  <c r="J48" i="35"/>
  <c r="I48" i="35"/>
  <c r="F48" i="35"/>
  <c r="D48" i="35"/>
  <c r="C48" i="35"/>
  <c r="B48" i="35"/>
  <c r="I47" i="35"/>
  <c r="J47" i="35" s="1"/>
  <c r="F47" i="35"/>
  <c r="D47" i="35"/>
  <c r="C47" i="35"/>
  <c r="B47" i="35"/>
  <c r="J46" i="35"/>
  <c r="I46" i="35"/>
  <c r="F46" i="35"/>
  <c r="D46" i="35"/>
  <c r="C46" i="35"/>
  <c r="B46" i="35"/>
  <c r="I45" i="35"/>
  <c r="J45" i="35" s="1"/>
  <c r="F45" i="35"/>
  <c r="D45" i="35"/>
  <c r="C45" i="35"/>
  <c r="B45" i="35"/>
  <c r="I44" i="35"/>
  <c r="J44" i="35" s="1"/>
  <c r="F44" i="35"/>
  <c r="D44" i="35"/>
  <c r="C44" i="35"/>
  <c r="B44" i="35"/>
  <c r="J43" i="35"/>
  <c r="I43" i="35"/>
  <c r="F43" i="35"/>
  <c r="D43" i="35"/>
  <c r="C43" i="35"/>
  <c r="B43" i="35"/>
  <c r="I42" i="35"/>
  <c r="J42" i="35" s="1"/>
  <c r="F42" i="35"/>
  <c r="D42" i="35"/>
  <c r="C42" i="35"/>
  <c r="B42" i="35"/>
  <c r="I41" i="35"/>
  <c r="J41" i="35" s="1"/>
  <c r="F41" i="35"/>
  <c r="D41" i="35"/>
  <c r="C41" i="35"/>
  <c r="B41" i="35"/>
  <c r="I40" i="35"/>
  <c r="J40" i="35" s="1"/>
  <c r="F40" i="35"/>
  <c r="D40" i="35"/>
  <c r="C40" i="35"/>
  <c r="B40" i="35"/>
  <c r="J39" i="35"/>
  <c r="I39" i="35"/>
  <c r="F39" i="35"/>
  <c r="D39" i="35"/>
  <c r="C39" i="35"/>
  <c r="B39" i="35"/>
  <c r="I38" i="35"/>
  <c r="J38" i="35" s="1"/>
  <c r="F38" i="35"/>
  <c r="D38" i="35"/>
  <c r="C38" i="35"/>
  <c r="B38" i="35"/>
  <c r="I37" i="35"/>
  <c r="J37" i="35" s="1"/>
  <c r="F37" i="35"/>
  <c r="D37" i="35"/>
  <c r="C37" i="35"/>
  <c r="B37" i="35"/>
  <c r="J36" i="35"/>
  <c r="I36" i="35"/>
  <c r="F36" i="35"/>
  <c r="D36" i="35"/>
  <c r="C36" i="35"/>
  <c r="B36" i="35"/>
  <c r="I35" i="35"/>
  <c r="J35" i="35" s="1"/>
  <c r="F35" i="35"/>
  <c r="D35" i="35"/>
  <c r="C35" i="35"/>
  <c r="B35" i="35"/>
  <c r="J34" i="35"/>
  <c r="I34" i="35"/>
  <c r="F34" i="35"/>
  <c r="D34" i="35"/>
  <c r="C34" i="35"/>
  <c r="B34" i="35"/>
  <c r="I33" i="35"/>
  <c r="J33" i="35" s="1"/>
  <c r="F33" i="35"/>
  <c r="D33" i="35"/>
  <c r="C33" i="35"/>
  <c r="B33" i="35"/>
  <c r="J32" i="35"/>
  <c r="I32" i="35"/>
  <c r="F32" i="35"/>
  <c r="D32" i="35"/>
  <c r="C32" i="35"/>
  <c r="B32" i="35"/>
  <c r="I31" i="35"/>
  <c r="J31" i="35" s="1"/>
  <c r="F31" i="35"/>
  <c r="D31" i="35"/>
  <c r="C31" i="35"/>
  <c r="B31" i="35"/>
  <c r="J30" i="35"/>
  <c r="I30" i="35"/>
  <c r="F30" i="35"/>
  <c r="D30" i="35"/>
  <c r="C30" i="35"/>
  <c r="B30" i="35"/>
  <c r="I29" i="35"/>
  <c r="J29" i="35" s="1"/>
  <c r="F29" i="35"/>
  <c r="D29" i="35"/>
  <c r="C29" i="35"/>
  <c r="B29" i="35"/>
  <c r="I28" i="35"/>
  <c r="J28" i="35" s="1"/>
  <c r="F28" i="35"/>
  <c r="D28" i="35"/>
  <c r="C28" i="35"/>
  <c r="B28" i="35"/>
  <c r="J27" i="35"/>
  <c r="I27" i="35"/>
  <c r="F27" i="35"/>
  <c r="D27" i="35"/>
  <c r="C27" i="35"/>
  <c r="B27" i="35"/>
  <c r="I26" i="35"/>
  <c r="J26" i="35" s="1"/>
  <c r="F26" i="35"/>
  <c r="D26" i="35"/>
  <c r="C26" i="35"/>
  <c r="B26" i="35"/>
  <c r="I25" i="35"/>
  <c r="J25" i="35" s="1"/>
  <c r="F25" i="35"/>
  <c r="D25" i="35"/>
  <c r="C25" i="35"/>
  <c r="B25" i="35"/>
  <c r="I24" i="35"/>
  <c r="J24" i="35" s="1"/>
  <c r="F24" i="35"/>
  <c r="D24" i="35"/>
  <c r="C24" i="35"/>
  <c r="B24" i="35"/>
  <c r="J23" i="35"/>
  <c r="I23" i="35"/>
  <c r="F23" i="35"/>
  <c r="D23" i="35"/>
  <c r="C23" i="35"/>
  <c r="B23" i="35"/>
  <c r="J22" i="35"/>
  <c r="I22" i="35"/>
  <c r="F22" i="35"/>
  <c r="D22" i="35"/>
  <c r="C22" i="35"/>
  <c r="B22" i="35"/>
  <c r="I21" i="35"/>
  <c r="J21" i="35" s="1"/>
  <c r="F21" i="35"/>
  <c r="D21" i="35"/>
  <c r="C21" i="35"/>
  <c r="B21" i="35"/>
  <c r="J20" i="35"/>
  <c r="I20" i="35"/>
  <c r="F20" i="35"/>
  <c r="D20" i="35"/>
  <c r="C20" i="35"/>
  <c r="B20" i="35"/>
  <c r="I19" i="35"/>
  <c r="J19" i="35" s="1"/>
  <c r="F19" i="35"/>
  <c r="D19" i="35"/>
  <c r="C19" i="35"/>
  <c r="B19" i="35"/>
  <c r="I18" i="35"/>
  <c r="J18" i="35" s="1"/>
  <c r="F18" i="35"/>
  <c r="D18" i="35"/>
  <c r="C18" i="35"/>
  <c r="B18" i="35"/>
  <c r="I17" i="35"/>
  <c r="J17" i="35" s="1"/>
  <c r="F17" i="35"/>
  <c r="D17" i="35"/>
  <c r="C17" i="35"/>
  <c r="B17" i="35"/>
  <c r="J16" i="35"/>
  <c r="I16" i="35"/>
  <c r="F16" i="35"/>
  <c r="D16" i="35"/>
  <c r="C16" i="35"/>
  <c r="B16" i="35"/>
  <c r="J15" i="35"/>
  <c r="I15" i="35"/>
  <c r="F15" i="35"/>
  <c r="D15" i="35"/>
  <c r="C15" i="35"/>
  <c r="B15" i="35"/>
  <c r="J14" i="35"/>
  <c r="I14" i="35"/>
  <c r="F14" i="35"/>
  <c r="D14" i="35"/>
  <c r="C14" i="35"/>
  <c r="B14" i="35"/>
  <c r="I13" i="35"/>
  <c r="J13" i="35" s="1"/>
  <c r="F13" i="35"/>
  <c r="D13" i="35"/>
  <c r="C13" i="35"/>
  <c r="B13" i="35"/>
  <c r="I12" i="35"/>
  <c r="J12" i="35" s="1"/>
  <c r="F12" i="35"/>
  <c r="D12" i="35"/>
  <c r="C12" i="35"/>
  <c r="B12" i="35"/>
  <c r="I11" i="35"/>
  <c r="J11" i="35" s="1"/>
  <c r="F11" i="35"/>
  <c r="D11" i="35"/>
  <c r="C11" i="35"/>
  <c r="B11" i="35"/>
  <c r="I10" i="35"/>
  <c r="J10" i="35" s="1"/>
  <c r="F10" i="35"/>
  <c r="D10" i="35"/>
  <c r="C10" i="35"/>
  <c r="B10" i="35"/>
  <c r="I9" i="35"/>
  <c r="J9" i="35" s="1"/>
  <c r="F9" i="35"/>
  <c r="D9" i="35"/>
  <c r="C9" i="35"/>
  <c r="B9" i="35"/>
  <c r="G4" i="35"/>
  <c r="K213" i="34"/>
  <c r="J213" i="34"/>
  <c r="I213" i="34"/>
  <c r="D213" i="34"/>
  <c r="C213" i="34"/>
  <c r="A213" i="34"/>
  <c r="K212" i="34"/>
  <c r="I212" i="34"/>
  <c r="J212" i="34" s="1"/>
  <c r="D212" i="34"/>
  <c r="C212" i="34"/>
  <c r="A212" i="34"/>
  <c r="K211" i="34"/>
  <c r="I211" i="34"/>
  <c r="J211" i="34" s="1"/>
  <c r="D211" i="34"/>
  <c r="C211" i="34"/>
  <c r="A211" i="34"/>
  <c r="K210" i="34"/>
  <c r="I210" i="34"/>
  <c r="J210" i="34" s="1"/>
  <c r="D210" i="34"/>
  <c r="C210" i="34"/>
  <c r="A210" i="34"/>
  <c r="K209" i="34"/>
  <c r="J209" i="34"/>
  <c r="I209" i="34"/>
  <c r="D209" i="34"/>
  <c r="C209" i="34"/>
  <c r="A209" i="34"/>
  <c r="K208" i="34"/>
  <c r="I208" i="34"/>
  <c r="J208" i="34" s="1"/>
  <c r="D208" i="34"/>
  <c r="C208" i="34"/>
  <c r="A208" i="34"/>
  <c r="K207" i="34"/>
  <c r="I207" i="34"/>
  <c r="J207" i="34" s="1"/>
  <c r="D207" i="34"/>
  <c r="C207" i="34"/>
  <c r="A207" i="34"/>
  <c r="K206" i="34"/>
  <c r="I206" i="34"/>
  <c r="J206" i="34" s="1"/>
  <c r="D206" i="34"/>
  <c r="C206" i="34"/>
  <c r="A206" i="34"/>
  <c r="K205" i="34"/>
  <c r="J205" i="34"/>
  <c r="I205" i="34"/>
  <c r="D205" i="34"/>
  <c r="C205" i="34"/>
  <c r="A205" i="34"/>
  <c r="K204" i="34"/>
  <c r="I204" i="34"/>
  <c r="J204" i="34" s="1"/>
  <c r="D204" i="34"/>
  <c r="C204" i="34"/>
  <c r="A204" i="34"/>
  <c r="K203" i="34"/>
  <c r="I203" i="34"/>
  <c r="J203" i="34" s="1"/>
  <c r="D203" i="34"/>
  <c r="C203" i="34"/>
  <c r="A203" i="34"/>
  <c r="K202" i="34"/>
  <c r="I202" i="34"/>
  <c r="J202" i="34" s="1"/>
  <c r="D202" i="34"/>
  <c r="C202" i="34"/>
  <c r="A202" i="34"/>
  <c r="K201" i="34"/>
  <c r="I201" i="34"/>
  <c r="J201" i="34" s="1"/>
  <c r="D201" i="34"/>
  <c r="C201" i="34"/>
  <c r="A201" i="34"/>
  <c r="K200" i="34"/>
  <c r="I200" i="34"/>
  <c r="J200" i="34" s="1"/>
  <c r="D200" i="34"/>
  <c r="C200" i="34"/>
  <c r="A200" i="34"/>
  <c r="K199" i="34"/>
  <c r="I199" i="34"/>
  <c r="J199" i="34" s="1"/>
  <c r="D199" i="34"/>
  <c r="C199" i="34"/>
  <c r="A199" i="34"/>
  <c r="K198" i="34"/>
  <c r="I198" i="34"/>
  <c r="J198" i="34" s="1"/>
  <c r="D198" i="34"/>
  <c r="C198" i="34"/>
  <c r="A198" i="34"/>
  <c r="K197" i="34"/>
  <c r="I197" i="34"/>
  <c r="J197" i="34" s="1"/>
  <c r="D197" i="34"/>
  <c r="C197" i="34"/>
  <c r="A197" i="34"/>
  <c r="K196" i="34"/>
  <c r="I196" i="34"/>
  <c r="J196" i="34" s="1"/>
  <c r="D196" i="34"/>
  <c r="C196" i="34"/>
  <c r="A196" i="34"/>
  <c r="K195" i="34"/>
  <c r="I195" i="34"/>
  <c r="J195" i="34" s="1"/>
  <c r="D195" i="34"/>
  <c r="C195" i="34"/>
  <c r="A195" i="34"/>
  <c r="K194" i="34"/>
  <c r="I194" i="34"/>
  <c r="J194" i="34" s="1"/>
  <c r="D194" i="34"/>
  <c r="C194" i="34"/>
  <c r="A194" i="34"/>
  <c r="K193" i="34"/>
  <c r="I193" i="34"/>
  <c r="J193" i="34" s="1"/>
  <c r="D193" i="34"/>
  <c r="C193" i="34"/>
  <c r="A193" i="34"/>
  <c r="K192" i="34"/>
  <c r="I192" i="34"/>
  <c r="J192" i="34" s="1"/>
  <c r="D192" i="34"/>
  <c r="C192" i="34"/>
  <c r="A192" i="34"/>
  <c r="K191" i="34"/>
  <c r="I191" i="34"/>
  <c r="J191" i="34" s="1"/>
  <c r="D191" i="34"/>
  <c r="C191" i="34"/>
  <c r="A191" i="34"/>
  <c r="K190" i="34"/>
  <c r="I190" i="34"/>
  <c r="J190" i="34" s="1"/>
  <c r="D190" i="34"/>
  <c r="C190" i="34"/>
  <c r="A190" i="34"/>
  <c r="K189" i="34"/>
  <c r="I189" i="34"/>
  <c r="J189" i="34" s="1"/>
  <c r="D189" i="34"/>
  <c r="C189" i="34"/>
  <c r="A189" i="34"/>
  <c r="K188" i="34"/>
  <c r="I188" i="34"/>
  <c r="J188" i="34" s="1"/>
  <c r="D188" i="34"/>
  <c r="C188" i="34"/>
  <c r="A188" i="34"/>
  <c r="K187" i="34"/>
  <c r="I187" i="34"/>
  <c r="J187" i="34" s="1"/>
  <c r="D187" i="34"/>
  <c r="C187" i="34"/>
  <c r="A187" i="34"/>
  <c r="K186" i="34"/>
  <c r="I186" i="34"/>
  <c r="J186" i="34" s="1"/>
  <c r="D186" i="34"/>
  <c r="C186" i="34"/>
  <c r="A186" i="34"/>
  <c r="K185" i="34"/>
  <c r="I185" i="34"/>
  <c r="J185" i="34" s="1"/>
  <c r="D185" i="34"/>
  <c r="C185" i="34"/>
  <c r="A185" i="34"/>
  <c r="K184" i="34"/>
  <c r="I184" i="34"/>
  <c r="J184" i="34" s="1"/>
  <c r="D184" i="34"/>
  <c r="C184" i="34"/>
  <c r="A184" i="34"/>
  <c r="K183" i="34"/>
  <c r="I183" i="34"/>
  <c r="J183" i="34" s="1"/>
  <c r="D183" i="34"/>
  <c r="C183" i="34"/>
  <c r="A183" i="34"/>
  <c r="K182" i="34"/>
  <c r="I182" i="34"/>
  <c r="J182" i="34" s="1"/>
  <c r="D182" i="34"/>
  <c r="C182" i="34"/>
  <c r="A182" i="34"/>
  <c r="K181" i="34"/>
  <c r="I181" i="34"/>
  <c r="J181" i="34" s="1"/>
  <c r="D181" i="34"/>
  <c r="C181" i="34"/>
  <c r="A181" i="34"/>
  <c r="K180" i="34"/>
  <c r="I180" i="34"/>
  <c r="J180" i="34" s="1"/>
  <c r="D180" i="34"/>
  <c r="C180" i="34"/>
  <c r="A180" i="34"/>
  <c r="K179" i="34"/>
  <c r="I179" i="34"/>
  <c r="J179" i="34" s="1"/>
  <c r="D179" i="34"/>
  <c r="C179" i="34"/>
  <c r="A179" i="34"/>
  <c r="K178" i="34"/>
  <c r="I178" i="34"/>
  <c r="J178" i="34" s="1"/>
  <c r="D178" i="34"/>
  <c r="C178" i="34"/>
  <c r="A178" i="34"/>
  <c r="K177" i="34"/>
  <c r="I177" i="34"/>
  <c r="J177" i="34" s="1"/>
  <c r="D177" i="34"/>
  <c r="C177" i="34"/>
  <c r="A177" i="34"/>
  <c r="K176" i="34"/>
  <c r="I176" i="34"/>
  <c r="J176" i="34" s="1"/>
  <c r="D176" i="34"/>
  <c r="C176" i="34"/>
  <c r="A176" i="34"/>
  <c r="K175" i="34"/>
  <c r="I175" i="34"/>
  <c r="J175" i="34" s="1"/>
  <c r="D175" i="34"/>
  <c r="C175" i="34"/>
  <c r="A175" i="34"/>
  <c r="K174" i="34"/>
  <c r="I174" i="34"/>
  <c r="J174" i="34" s="1"/>
  <c r="D174" i="34"/>
  <c r="C174" i="34"/>
  <c r="A174" i="34"/>
  <c r="K173" i="34"/>
  <c r="I173" i="34"/>
  <c r="J173" i="34" s="1"/>
  <c r="D173" i="34"/>
  <c r="C173" i="34"/>
  <c r="A173" i="34"/>
  <c r="K172" i="34"/>
  <c r="I172" i="34"/>
  <c r="J172" i="34" s="1"/>
  <c r="D172" i="34"/>
  <c r="C172" i="34"/>
  <c r="A172" i="34"/>
  <c r="K171" i="34"/>
  <c r="I171" i="34"/>
  <c r="J171" i="34" s="1"/>
  <c r="D171" i="34"/>
  <c r="C171" i="34"/>
  <c r="A171" i="34"/>
  <c r="K170" i="34"/>
  <c r="I170" i="34"/>
  <c r="J170" i="34" s="1"/>
  <c r="D170" i="34"/>
  <c r="C170" i="34"/>
  <c r="A170" i="34"/>
  <c r="K169" i="34"/>
  <c r="I169" i="34"/>
  <c r="J169" i="34" s="1"/>
  <c r="D169" i="34"/>
  <c r="C169" i="34"/>
  <c r="A169" i="34"/>
  <c r="K168" i="34"/>
  <c r="I168" i="34"/>
  <c r="J168" i="34" s="1"/>
  <c r="D168" i="34"/>
  <c r="C168" i="34"/>
  <c r="A168" i="34"/>
  <c r="K167" i="34"/>
  <c r="I167" i="34"/>
  <c r="J167" i="34" s="1"/>
  <c r="D167" i="34"/>
  <c r="C167" i="34"/>
  <c r="A167" i="34"/>
  <c r="K166" i="34"/>
  <c r="I166" i="34"/>
  <c r="J166" i="34" s="1"/>
  <c r="D166" i="34"/>
  <c r="C166" i="34"/>
  <c r="A166" i="34"/>
  <c r="K165" i="34"/>
  <c r="I165" i="34"/>
  <c r="J165" i="34" s="1"/>
  <c r="D165" i="34"/>
  <c r="C165" i="34"/>
  <c r="A165" i="34"/>
  <c r="K164" i="34"/>
  <c r="I164" i="34"/>
  <c r="J164" i="34" s="1"/>
  <c r="D164" i="34"/>
  <c r="C164" i="34"/>
  <c r="A164" i="34"/>
  <c r="K163" i="34"/>
  <c r="I163" i="34"/>
  <c r="J163" i="34" s="1"/>
  <c r="D163" i="34"/>
  <c r="C163" i="34"/>
  <c r="A163" i="34"/>
  <c r="K162" i="34"/>
  <c r="I162" i="34"/>
  <c r="J162" i="34" s="1"/>
  <c r="D162" i="34"/>
  <c r="C162" i="34"/>
  <c r="A162" i="34"/>
  <c r="K161" i="34"/>
  <c r="I161" i="34"/>
  <c r="J161" i="34" s="1"/>
  <c r="D161" i="34"/>
  <c r="C161" i="34"/>
  <c r="A161" i="34"/>
  <c r="K160" i="34"/>
  <c r="I160" i="34"/>
  <c r="J160" i="34" s="1"/>
  <c r="D160" i="34"/>
  <c r="C160" i="34"/>
  <c r="A160" i="34"/>
  <c r="K159" i="34"/>
  <c r="I159" i="34"/>
  <c r="J159" i="34" s="1"/>
  <c r="D159" i="34"/>
  <c r="C159" i="34"/>
  <c r="A159" i="34"/>
  <c r="K158" i="34"/>
  <c r="I158" i="34"/>
  <c r="J158" i="34" s="1"/>
  <c r="D158" i="34"/>
  <c r="C158" i="34"/>
  <c r="A158" i="34"/>
  <c r="K157" i="34"/>
  <c r="I157" i="34"/>
  <c r="J157" i="34" s="1"/>
  <c r="D157" i="34"/>
  <c r="C157" i="34"/>
  <c r="A157" i="34"/>
  <c r="K156" i="34"/>
  <c r="I156" i="34"/>
  <c r="J156" i="34" s="1"/>
  <c r="D156" i="34"/>
  <c r="C156" i="34"/>
  <c r="A156" i="34"/>
  <c r="K155" i="34"/>
  <c r="I155" i="34"/>
  <c r="J155" i="34" s="1"/>
  <c r="D155" i="34"/>
  <c r="C155" i="34"/>
  <c r="A155" i="34"/>
  <c r="K154" i="34"/>
  <c r="I154" i="34"/>
  <c r="J154" i="34" s="1"/>
  <c r="D154" i="34"/>
  <c r="C154" i="34"/>
  <c r="A154" i="34"/>
  <c r="K153" i="34"/>
  <c r="I153" i="34"/>
  <c r="J153" i="34" s="1"/>
  <c r="D153" i="34"/>
  <c r="C153" i="34"/>
  <c r="A153" i="34"/>
  <c r="K152" i="34"/>
  <c r="I152" i="34"/>
  <c r="J152" i="34" s="1"/>
  <c r="D152" i="34"/>
  <c r="C152" i="34"/>
  <c r="A152" i="34"/>
  <c r="K151" i="34"/>
  <c r="I151" i="34"/>
  <c r="J151" i="34" s="1"/>
  <c r="D151" i="34"/>
  <c r="C151" i="34"/>
  <c r="A151" i="34"/>
  <c r="K150" i="34"/>
  <c r="I150" i="34"/>
  <c r="J150" i="34" s="1"/>
  <c r="D150" i="34"/>
  <c r="C150" i="34"/>
  <c r="A150" i="34"/>
  <c r="K149" i="34"/>
  <c r="I149" i="34"/>
  <c r="J149" i="34" s="1"/>
  <c r="D149" i="34"/>
  <c r="C149" i="34"/>
  <c r="A149" i="34"/>
  <c r="K148" i="34"/>
  <c r="I148" i="34"/>
  <c r="J148" i="34" s="1"/>
  <c r="D148" i="34"/>
  <c r="C148" i="34"/>
  <c r="A148" i="34"/>
  <c r="K147" i="34"/>
  <c r="I147" i="34"/>
  <c r="J147" i="34" s="1"/>
  <c r="D147" i="34"/>
  <c r="C147" i="34"/>
  <c r="A147" i="34"/>
  <c r="K146" i="34"/>
  <c r="I146" i="34"/>
  <c r="J146" i="34" s="1"/>
  <c r="D146" i="34"/>
  <c r="C146" i="34"/>
  <c r="A146" i="34"/>
  <c r="K145" i="34"/>
  <c r="I145" i="34"/>
  <c r="J145" i="34" s="1"/>
  <c r="D145" i="34"/>
  <c r="C145" i="34"/>
  <c r="A145" i="34"/>
  <c r="K144" i="34"/>
  <c r="I144" i="34"/>
  <c r="J144" i="34" s="1"/>
  <c r="D144" i="34"/>
  <c r="C144" i="34"/>
  <c r="A144" i="34"/>
  <c r="K143" i="34"/>
  <c r="I143" i="34"/>
  <c r="J143" i="34" s="1"/>
  <c r="D143" i="34"/>
  <c r="C143" i="34"/>
  <c r="A143" i="34"/>
  <c r="K142" i="34"/>
  <c r="I142" i="34"/>
  <c r="J142" i="34" s="1"/>
  <c r="D142" i="34"/>
  <c r="C142" i="34"/>
  <c r="A142" i="34"/>
  <c r="K141" i="34"/>
  <c r="I141" i="34"/>
  <c r="J141" i="34" s="1"/>
  <c r="D141" i="34"/>
  <c r="C141" i="34"/>
  <c r="A141" i="34"/>
  <c r="K140" i="34"/>
  <c r="I140" i="34"/>
  <c r="J140" i="34" s="1"/>
  <c r="D140" i="34"/>
  <c r="C140" i="34"/>
  <c r="A140" i="34"/>
  <c r="K139" i="34"/>
  <c r="I139" i="34"/>
  <c r="J139" i="34" s="1"/>
  <c r="D139" i="34"/>
  <c r="C139" i="34"/>
  <c r="A139" i="34"/>
  <c r="K138" i="34"/>
  <c r="I138" i="34"/>
  <c r="J138" i="34" s="1"/>
  <c r="D138" i="34"/>
  <c r="C138" i="34"/>
  <c r="A138" i="34"/>
  <c r="K137" i="34"/>
  <c r="I137" i="34"/>
  <c r="J137" i="34" s="1"/>
  <c r="D137" i="34"/>
  <c r="C137" i="34"/>
  <c r="A137" i="34"/>
  <c r="K136" i="34"/>
  <c r="I136" i="34"/>
  <c r="J136" i="34" s="1"/>
  <c r="D136" i="34"/>
  <c r="C136" i="34"/>
  <c r="A136" i="34"/>
  <c r="K135" i="34"/>
  <c r="I135" i="34"/>
  <c r="J135" i="34" s="1"/>
  <c r="D135" i="34"/>
  <c r="C135" i="34"/>
  <c r="A135" i="34"/>
  <c r="K134" i="34"/>
  <c r="I134" i="34"/>
  <c r="J134" i="34" s="1"/>
  <c r="D134" i="34"/>
  <c r="C134" i="34"/>
  <c r="A134" i="34"/>
  <c r="K133" i="34"/>
  <c r="I133" i="34"/>
  <c r="J133" i="34" s="1"/>
  <c r="D133" i="34"/>
  <c r="C133" i="34"/>
  <c r="A133" i="34"/>
  <c r="K132" i="34"/>
  <c r="I132" i="34"/>
  <c r="J132" i="34" s="1"/>
  <c r="D132" i="34"/>
  <c r="C132" i="34"/>
  <c r="A132" i="34"/>
  <c r="K131" i="34"/>
  <c r="I131" i="34"/>
  <c r="J131" i="34" s="1"/>
  <c r="D131" i="34"/>
  <c r="C131" i="34"/>
  <c r="A131" i="34"/>
  <c r="K130" i="34"/>
  <c r="I130" i="34"/>
  <c r="J130" i="34" s="1"/>
  <c r="D130" i="34"/>
  <c r="C130" i="34"/>
  <c r="A130" i="34"/>
  <c r="K129" i="34"/>
  <c r="I129" i="34"/>
  <c r="J129" i="34" s="1"/>
  <c r="D129" i="34"/>
  <c r="C129" i="34"/>
  <c r="A129" i="34"/>
  <c r="K128" i="34"/>
  <c r="I128" i="34"/>
  <c r="J128" i="34" s="1"/>
  <c r="D128" i="34"/>
  <c r="C128" i="34"/>
  <c r="A128" i="34"/>
  <c r="K127" i="34"/>
  <c r="I127" i="34"/>
  <c r="J127" i="34" s="1"/>
  <c r="D127" i="34"/>
  <c r="C127" i="34"/>
  <c r="A127" i="34"/>
  <c r="K126" i="34"/>
  <c r="I126" i="34"/>
  <c r="J126" i="34" s="1"/>
  <c r="D126" i="34"/>
  <c r="C126" i="34"/>
  <c r="A126" i="34"/>
  <c r="K125" i="34"/>
  <c r="I125" i="34"/>
  <c r="J125" i="34" s="1"/>
  <c r="D125" i="34"/>
  <c r="C125" i="34"/>
  <c r="A125" i="34"/>
  <c r="K124" i="34"/>
  <c r="I124" i="34"/>
  <c r="J124" i="34" s="1"/>
  <c r="D124" i="34"/>
  <c r="C124" i="34"/>
  <c r="A124" i="34"/>
  <c r="K123" i="34"/>
  <c r="I123" i="34"/>
  <c r="J123" i="34" s="1"/>
  <c r="D123" i="34"/>
  <c r="C123" i="34"/>
  <c r="A123" i="34"/>
  <c r="K122" i="34"/>
  <c r="I122" i="34"/>
  <c r="J122" i="34" s="1"/>
  <c r="D122" i="34"/>
  <c r="C122" i="34"/>
  <c r="A122" i="34"/>
  <c r="K121" i="34"/>
  <c r="I121" i="34"/>
  <c r="J121" i="34" s="1"/>
  <c r="D121" i="34"/>
  <c r="C121" i="34"/>
  <c r="A121" i="34"/>
  <c r="K120" i="34"/>
  <c r="I120" i="34"/>
  <c r="J120" i="34" s="1"/>
  <c r="D120" i="34"/>
  <c r="C120" i="34"/>
  <c r="A120" i="34"/>
  <c r="K119" i="34"/>
  <c r="I119" i="34"/>
  <c r="J119" i="34" s="1"/>
  <c r="D119" i="34"/>
  <c r="C119" i="34"/>
  <c r="A119" i="34"/>
  <c r="K118" i="34"/>
  <c r="I118" i="34"/>
  <c r="J118" i="34" s="1"/>
  <c r="D118" i="34"/>
  <c r="C118" i="34"/>
  <c r="A118" i="34"/>
  <c r="K117" i="34"/>
  <c r="I117" i="34"/>
  <c r="J117" i="34" s="1"/>
  <c r="D117" i="34"/>
  <c r="C117" i="34"/>
  <c r="A117" i="34"/>
  <c r="K116" i="34"/>
  <c r="I116" i="34"/>
  <c r="J116" i="34" s="1"/>
  <c r="D116" i="34"/>
  <c r="C116" i="34"/>
  <c r="A116" i="34"/>
  <c r="K115" i="34"/>
  <c r="I115" i="34"/>
  <c r="J115" i="34" s="1"/>
  <c r="D115" i="34"/>
  <c r="C115" i="34"/>
  <c r="A115" i="34"/>
  <c r="K114" i="34"/>
  <c r="I114" i="34"/>
  <c r="J114" i="34" s="1"/>
  <c r="D114" i="34"/>
  <c r="C114" i="34"/>
  <c r="A114" i="34"/>
  <c r="K113" i="34"/>
  <c r="I113" i="34"/>
  <c r="J113" i="34" s="1"/>
  <c r="D113" i="34"/>
  <c r="C113" i="34"/>
  <c r="A113" i="34"/>
  <c r="K112" i="34"/>
  <c r="I112" i="34"/>
  <c r="J112" i="34" s="1"/>
  <c r="D112" i="34"/>
  <c r="C112" i="34"/>
  <c r="A112" i="34"/>
  <c r="K111" i="34"/>
  <c r="I111" i="34"/>
  <c r="J111" i="34" s="1"/>
  <c r="D111" i="34"/>
  <c r="C111" i="34"/>
  <c r="A111" i="34"/>
  <c r="K110" i="34"/>
  <c r="I110" i="34"/>
  <c r="J110" i="34" s="1"/>
  <c r="D110" i="34"/>
  <c r="C110" i="34"/>
  <c r="A110" i="34"/>
  <c r="K109" i="34"/>
  <c r="I109" i="34"/>
  <c r="J109" i="34" s="1"/>
  <c r="D109" i="34"/>
  <c r="C109" i="34"/>
  <c r="A109" i="34"/>
  <c r="K108" i="34"/>
  <c r="I108" i="34"/>
  <c r="J108" i="34" s="1"/>
  <c r="D108" i="34"/>
  <c r="C108" i="34"/>
  <c r="A108" i="34"/>
  <c r="K107" i="34"/>
  <c r="I107" i="34"/>
  <c r="J107" i="34" s="1"/>
  <c r="D107" i="34"/>
  <c r="C107" i="34"/>
  <c r="A107" i="34"/>
  <c r="K106" i="34"/>
  <c r="I106" i="34"/>
  <c r="J106" i="34" s="1"/>
  <c r="D106" i="34"/>
  <c r="C106" i="34"/>
  <c r="A106" i="34"/>
  <c r="K105" i="34"/>
  <c r="I105" i="34"/>
  <c r="J105" i="34" s="1"/>
  <c r="D105" i="34"/>
  <c r="C105" i="34"/>
  <c r="A105" i="34"/>
  <c r="K104" i="34"/>
  <c r="I104" i="34"/>
  <c r="J104" i="34" s="1"/>
  <c r="D104" i="34"/>
  <c r="C104" i="34"/>
  <c r="A104" i="34"/>
  <c r="K103" i="34"/>
  <c r="I103" i="34"/>
  <c r="J103" i="34" s="1"/>
  <c r="D103" i="34"/>
  <c r="C103" i="34"/>
  <c r="A103" i="34"/>
  <c r="K102" i="34"/>
  <c r="I102" i="34"/>
  <c r="J102" i="34" s="1"/>
  <c r="D102" i="34"/>
  <c r="C102" i="34"/>
  <c r="A102" i="34"/>
  <c r="K101" i="34"/>
  <c r="I101" i="34"/>
  <c r="J101" i="34" s="1"/>
  <c r="D101" i="34"/>
  <c r="C101" i="34"/>
  <c r="A101" i="34"/>
  <c r="K100" i="34"/>
  <c r="I100" i="34"/>
  <c r="J100" i="34" s="1"/>
  <c r="D100" i="34"/>
  <c r="C100" i="34"/>
  <c r="A100" i="34"/>
  <c r="K99" i="34"/>
  <c r="I99" i="34"/>
  <c r="J99" i="34" s="1"/>
  <c r="D99" i="34"/>
  <c r="C99" i="34"/>
  <c r="A99" i="34"/>
  <c r="K98" i="34"/>
  <c r="I98" i="34"/>
  <c r="J98" i="34" s="1"/>
  <c r="D98" i="34"/>
  <c r="C98" i="34"/>
  <c r="A98" i="34"/>
  <c r="K97" i="34"/>
  <c r="I97" i="34"/>
  <c r="J97" i="34" s="1"/>
  <c r="D97" i="34"/>
  <c r="C97" i="34"/>
  <c r="A97" i="34"/>
  <c r="K96" i="34"/>
  <c r="I96" i="34"/>
  <c r="J96" i="34" s="1"/>
  <c r="D96" i="34"/>
  <c r="C96" i="34"/>
  <c r="A96" i="34"/>
  <c r="K95" i="34"/>
  <c r="I95" i="34"/>
  <c r="J95" i="34" s="1"/>
  <c r="D95" i="34"/>
  <c r="C95" i="34"/>
  <c r="A95" i="34"/>
  <c r="K94" i="34"/>
  <c r="I94" i="34"/>
  <c r="J94" i="34" s="1"/>
  <c r="D94" i="34"/>
  <c r="C94" i="34"/>
  <c r="A94" i="34"/>
  <c r="K93" i="34"/>
  <c r="I93" i="34"/>
  <c r="J93" i="34" s="1"/>
  <c r="D93" i="34"/>
  <c r="C93" i="34"/>
  <c r="A93" i="34"/>
  <c r="K92" i="34"/>
  <c r="I92" i="34"/>
  <c r="J92" i="34" s="1"/>
  <c r="D92" i="34"/>
  <c r="C92" i="34"/>
  <c r="A92" i="34"/>
  <c r="K91" i="34"/>
  <c r="I91" i="34"/>
  <c r="J91" i="34" s="1"/>
  <c r="D91" i="34"/>
  <c r="C91" i="34"/>
  <c r="A91" i="34"/>
  <c r="K90" i="34"/>
  <c r="I90" i="34"/>
  <c r="J90" i="34" s="1"/>
  <c r="D90" i="34"/>
  <c r="C90" i="34"/>
  <c r="A90" i="34"/>
  <c r="K89" i="34"/>
  <c r="I89" i="34"/>
  <c r="J89" i="34" s="1"/>
  <c r="D89" i="34"/>
  <c r="C89" i="34"/>
  <c r="A89" i="34"/>
  <c r="K88" i="34"/>
  <c r="I88" i="34"/>
  <c r="J88" i="34" s="1"/>
  <c r="D88" i="34"/>
  <c r="C88" i="34"/>
  <c r="A88" i="34"/>
  <c r="K87" i="34"/>
  <c r="I87" i="34"/>
  <c r="J87" i="34" s="1"/>
  <c r="D87" i="34"/>
  <c r="C87" i="34"/>
  <c r="A87" i="34"/>
  <c r="K86" i="34"/>
  <c r="I86" i="34"/>
  <c r="J86" i="34" s="1"/>
  <c r="D86" i="34"/>
  <c r="C86" i="34"/>
  <c r="A86" i="34"/>
  <c r="K85" i="34"/>
  <c r="I85" i="34"/>
  <c r="J85" i="34" s="1"/>
  <c r="D85" i="34"/>
  <c r="C85" i="34"/>
  <c r="A85" i="34"/>
  <c r="K84" i="34"/>
  <c r="I84" i="34"/>
  <c r="J84" i="34" s="1"/>
  <c r="D84" i="34"/>
  <c r="C84" i="34"/>
  <c r="A84" i="34"/>
  <c r="K83" i="34"/>
  <c r="I83" i="34"/>
  <c r="J83" i="34" s="1"/>
  <c r="D83" i="34"/>
  <c r="C83" i="34"/>
  <c r="A83" i="34"/>
  <c r="K82" i="34"/>
  <c r="I82" i="34"/>
  <c r="J82" i="34" s="1"/>
  <c r="D82" i="34"/>
  <c r="C82" i="34"/>
  <c r="A82" i="34"/>
  <c r="K81" i="34"/>
  <c r="I81" i="34"/>
  <c r="J81" i="34" s="1"/>
  <c r="D81" i="34"/>
  <c r="C81" i="34"/>
  <c r="A81" i="34"/>
  <c r="K80" i="34"/>
  <c r="I80" i="34"/>
  <c r="J80" i="34" s="1"/>
  <c r="D80" i="34"/>
  <c r="C80" i="34"/>
  <c r="A80" i="34"/>
  <c r="K79" i="34"/>
  <c r="I79" i="34"/>
  <c r="J79" i="34" s="1"/>
  <c r="D79" i="34"/>
  <c r="C79" i="34"/>
  <c r="A79" i="34"/>
  <c r="K78" i="34"/>
  <c r="I78" i="34"/>
  <c r="J78" i="34" s="1"/>
  <c r="D78" i="34"/>
  <c r="C78" i="34"/>
  <c r="A78" i="34"/>
  <c r="K77" i="34"/>
  <c r="I77" i="34"/>
  <c r="J77" i="34" s="1"/>
  <c r="D77" i="34"/>
  <c r="C77" i="34"/>
  <c r="A77" i="34"/>
  <c r="K76" i="34"/>
  <c r="I76" i="34"/>
  <c r="J76" i="34" s="1"/>
  <c r="D76" i="34"/>
  <c r="C76" i="34"/>
  <c r="A76" i="34"/>
  <c r="K75" i="34"/>
  <c r="I75" i="34"/>
  <c r="J75" i="34" s="1"/>
  <c r="D75" i="34"/>
  <c r="C75" i="34"/>
  <c r="A75" i="34"/>
  <c r="K74" i="34"/>
  <c r="I74" i="34"/>
  <c r="J74" i="34" s="1"/>
  <c r="D74" i="34"/>
  <c r="C74" i="34"/>
  <c r="A74" i="34"/>
  <c r="K73" i="34"/>
  <c r="I73" i="34"/>
  <c r="J73" i="34" s="1"/>
  <c r="D73" i="34"/>
  <c r="C73" i="34"/>
  <c r="A73" i="34"/>
  <c r="K72" i="34"/>
  <c r="I72" i="34"/>
  <c r="J72" i="34" s="1"/>
  <c r="D72" i="34"/>
  <c r="C72" i="34"/>
  <c r="A72" i="34"/>
  <c r="K71" i="34"/>
  <c r="I71" i="34"/>
  <c r="J71" i="34" s="1"/>
  <c r="D71" i="34"/>
  <c r="C71" i="34"/>
  <c r="A71" i="34"/>
  <c r="K70" i="34"/>
  <c r="I70" i="34"/>
  <c r="J70" i="34" s="1"/>
  <c r="D70" i="34"/>
  <c r="C70" i="34"/>
  <c r="A70" i="34"/>
  <c r="K69" i="34"/>
  <c r="I69" i="34"/>
  <c r="J69" i="34" s="1"/>
  <c r="D69" i="34"/>
  <c r="C69" i="34"/>
  <c r="A69" i="34"/>
  <c r="K68" i="34"/>
  <c r="I68" i="34"/>
  <c r="J68" i="34" s="1"/>
  <c r="D68" i="34"/>
  <c r="C68" i="34"/>
  <c r="A68" i="34"/>
  <c r="K67" i="34"/>
  <c r="I67" i="34"/>
  <c r="J67" i="34" s="1"/>
  <c r="D67" i="34"/>
  <c r="C67" i="34"/>
  <c r="A67" i="34"/>
  <c r="K66" i="34"/>
  <c r="I66" i="34"/>
  <c r="J66" i="34" s="1"/>
  <c r="D66" i="34"/>
  <c r="C66" i="34"/>
  <c r="A66" i="34"/>
  <c r="K65" i="34"/>
  <c r="I65" i="34"/>
  <c r="J65" i="34" s="1"/>
  <c r="D65" i="34"/>
  <c r="C65" i="34"/>
  <c r="A65" i="34"/>
  <c r="K64" i="34"/>
  <c r="I64" i="34"/>
  <c r="J64" i="34" s="1"/>
  <c r="D64" i="34"/>
  <c r="C64" i="34"/>
  <c r="A64" i="34"/>
  <c r="K63" i="34"/>
  <c r="I63" i="34"/>
  <c r="J63" i="34" s="1"/>
  <c r="D63" i="34"/>
  <c r="C63" i="34"/>
  <c r="A63" i="34"/>
  <c r="K62" i="34"/>
  <c r="I62" i="34"/>
  <c r="J62" i="34" s="1"/>
  <c r="D62" i="34"/>
  <c r="C62" i="34"/>
  <c r="A62" i="34"/>
  <c r="K61" i="34"/>
  <c r="I61" i="34"/>
  <c r="J61" i="34" s="1"/>
  <c r="D61" i="34"/>
  <c r="C61" i="34"/>
  <c r="A61" i="34"/>
  <c r="K60" i="34"/>
  <c r="I60" i="34"/>
  <c r="J60" i="34" s="1"/>
  <c r="D60" i="34"/>
  <c r="C60" i="34"/>
  <c r="A60" i="34"/>
  <c r="K59" i="34"/>
  <c r="I59" i="34"/>
  <c r="J59" i="34" s="1"/>
  <c r="D59" i="34"/>
  <c r="C59" i="34"/>
  <c r="A59" i="34"/>
  <c r="K58" i="34"/>
  <c r="I58" i="34"/>
  <c r="J58" i="34" s="1"/>
  <c r="D58" i="34"/>
  <c r="C58" i="34"/>
  <c r="A58" i="34"/>
  <c r="K57" i="34"/>
  <c r="I57" i="34"/>
  <c r="J57" i="34" s="1"/>
  <c r="D57" i="34"/>
  <c r="C57" i="34"/>
  <c r="A57" i="34"/>
  <c r="K56" i="34"/>
  <c r="I56" i="34"/>
  <c r="J56" i="34" s="1"/>
  <c r="D56" i="34"/>
  <c r="C56" i="34"/>
  <c r="A56" i="34"/>
  <c r="K55" i="34"/>
  <c r="I55" i="34"/>
  <c r="J55" i="34" s="1"/>
  <c r="D55" i="34"/>
  <c r="C55" i="34"/>
  <c r="A55" i="34"/>
  <c r="K54" i="34"/>
  <c r="I54" i="34"/>
  <c r="J54" i="34" s="1"/>
  <c r="D54" i="34"/>
  <c r="C54" i="34"/>
  <c r="A54" i="34"/>
  <c r="K53" i="34"/>
  <c r="I53" i="34"/>
  <c r="J53" i="34" s="1"/>
  <c r="D53" i="34"/>
  <c r="C53" i="34"/>
  <c r="A53" i="34"/>
  <c r="K52" i="34"/>
  <c r="I52" i="34"/>
  <c r="J52" i="34" s="1"/>
  <c r="D52" i="34"/>
  <c r="C52" i="34"/>
  <c r="A52" i="34"/>
  <c r="K51" i="34"/>
  <c r="I51" i="34"/>
  <c r="J51" i="34" s="1"/>
  <c r="D51" i="34"/>
  <c r="C51" i="34"/>
  <c r="A51" i="34"/>
  <c r="K50" i="34"/>
  <c r="I50" i="34"/>
  <c r="J50" i="34" s="1"/>
  <c r="D50" i="34"/>
  <c r="C50" i="34"/>
  <c r="A50" i="34"/>
  <c r="K49" i="34"/>
  <c r="I49" i="34"/>
  <c r="J49" i="34" s="1"/>
  <c r="D49" i="34"/>
  <c r="C49" i="34"/>
  <c r="A49" i="34"/>
  <c r="K48" i="34"/>
  <c r="I48" i="34"/>
  <c r="J48" i="34" s="1"/>
  <c r="D48" i="34"/>
  <c r="C48" i="34"/>
  <c r="A48" i="34"/>
  <c r="K47" i="34"/>
  <c r="I47" i="34"/>
  <c r="J47" i="34" s="1"/>
  <c r="D47" i="34"/>
  <c r="C47" i="34"/>
  <c r="A47" i="34"/>
  <c r="K46" i="34"/>
  <c r="I46" i="34"/>
  <c r="J46" i="34" s="1"/>
  <c r="D46" i="34"/>
  <c r="C46" i="34"/>
  <c r="A46" i="34"/>
  <c r="K45" i="34"/>
  <c r="I45" i="34"/>
  <c r="J45" i="34" s="1"/>
  <c r="D45" i="34"/>
  <c r="C45" i="34"/>
  <c r="A45" i="34"/>
  <c r="K44" i="34"/>
  <c r="I44" i="34"/>
  <c r="J44" i="34" s="1"/>
  <c r="D44" i="34"/>
  <c r="C44" i="34"/>
  <c r="A44" i="34"/>
  <c r="K43" i="34"/>
  <c r="I43" i="34"/>
  <c r="J43" i="34" s="1"/>
  <c r="D43" i="34"/>
  <c r="C43" i="34"/>
  <c r="A43" i="34"/>
  <c r="K42" i="34"/>
  <c r="I42" i="34"/>
  <c r="J42" i="34" s="1"/>
  <c r="D42" i="34"/>
  <c r="C42" i="34"/>
  <c r="A42" i="34"/>
  <c r="K41" i="34"/>
  <c r="I41" i="34"/>
  <c r="J41" i="34" s="1"/>
  <c r="D41" i="34"/>
  <c r="C41" i="34"/>
  <c r="A41" i="34"/>
  <c r="K40" i="34"/>
  <c r="I40" i="34"/>
  <c r="J40" i="34" s="1"/>
  <c r="D40" i="34"/>
  <c r="C40" i="34"/>
  <c r="A40" i="34"/>
  <c r="K39" i="34"/>
  <c r="I39" i="34"/>
  <c r="J39" i="34" s="1"/>
  <c r="D39" i="34"/>
  <c r="C39" i="34"/>
  <c r="A39" i="34"/>
  <c r="K38" i="34"/>
  <c r="I38" i="34"/>
  <c r="J38" i="34" s="1"/>
  <c r="D38" i="34"/>
  <c r="C38" i="34"/>
  <c r="A38" i="34"/>
  <c r="K37" i="34"/>
  <c r="I37" i="34"/>
  <c r="J37" i="34" s="1"/>
  <c r="D37" i="34"/>
  <c r="C37" i="34"/>
  <c r="A37" i="34"/>
  <c r="K36" i="34"/>
  <c r="I36" i="34"/>
  <c r="J36" i="34" s="1"/>
  <c r="D36" i="34"/>
  <c r="C36" i="34"/>
  <c r="A36" i="34"/>
  <c r="K35" i="34"/>
  <c r="I35" i="34"/>
  <c r="J35" i="34" s="1"/>
  <c r="D35" i="34"/>
  <c r="C35" i="34"/>
  <c r="A35" i="34"/>
  <c r="K34" i="34"/>
  <c r="I34" i="34"/>
  <c r="J34" i="34" s="1"/>
  <c r="D34" i="34"/>
  <c r="C34" i="34"/>
  <c r="A34" i="34"/>
  <c r="K33" i="34"/>
  <c r="I33" i="34"/>
  <c r="J33" i="34" s="1"/>
  <c r="D33" i="34"/>
  <c r="C33" i="34"/>
  <c r="A33" i="34"/>
  <c r="K32" i="34"/>
  <c r="I32" i="34"/>
  <c r="J32" i="34" s="1"/>
  <c r="D32" i="34"/>
  <c r="C32" i="34"/>
  <c r="A32" i="34"/>
  <c r="K31" i="34"/>
  <c r="I31" i="34"/>
  <c r="J31" i="34" s="1"/>
  <c r="D31" i="34"/>
  <c r="C31" i="34"/>
  <c r="A31" i="34"/>
  <c r="K30" i="34"/>
  <c r="I30" i="34"/>
  <c r="J30" i="34" s="1"/>
  <c r="D30" i="34"/>
  <c r="C30" i="34"/>
  <c r="A30" i="34"/>
  <c r="K29" i="34"/>
  <c r="I29" i="34"/>
  <c r="J29" i="34" s="1"/>
  <c r="D29" i="34"/>
  <c r="C29" i="34"/>
  <c r="A29" i="34"/>
  <c r="K28" i="34"/>
  <c r="I28" i="34"/>
  <c r="J28" i="34" s="1"/>
  <c r="D28" i="34"/>
  <c r="C28" i="34"/>
  <c r="A28" i="34"/>
  <c r="K27" i="34"/>
  <c r="I27" i="34"/>
  <c r="J27" i="34" s="1"/>
  <c r="D27" i="34"/>
  <c r="C27" i="34"/>
  <c r="A27" i="34"/>
  <c r="K26" i="34"/>
  <c r="I26" i="34"/>
  <c r="J26" i="34" s="1"/>
  <c r="D26" i="34"/>
  <c r="C26" i="34"/>
  <c r="A26" i="34"/>
  <c r="K25" i="34"/>
  <c r="I25" i="34"/>
  <c r="J25" i="34" s="1"/>
  <c r="D25" i="34"/>
  <c r="C25" i="34"/>
  <c r="A25" i="34"/>
  <c r="K24" i="34"/>
  <c r="I24" i="34"/>
  <c r="J24" i="34" s="1"/>
  <c r="D24" i="34"/>
  <c r="C24" i="34"/>
  <c r="A24" i="34"/>
  <c r="K23" i="34"/>
  <c r="I23" i="34"/>
  <c r="J23" i="34" s="1"/>
  <c r="D23" i="34"/>
  <c r="C23" i="34"/>
  <c r="A23" i="34"/>
  <c r="K22" i="34"/>
  <c r="I22" i="34"/>
  <c r="J22" i="34" s="1"/>
  <c r="D22" i="34"/>
  <c r="C22" i="34"/>
  <c r="A22" i="34"/>
  <c r="K21" i="34"/>
  <c r="I21" i="34"/>
  <c r="J21" i="34" s="1"/>
  <c r="D21" i="34"/>
  <c r="C21" i="34"/>
  <c r="A21" i="34"/>
  <c r="K20" i="34"/>
  <c r="I20" i="34"/>
  <c r="J20" i="34" s="1"/>
  <c r="D20" i="34"/>
  <c r="C20" i="34"/>
  <c r="A20" i="34"/>
  <c r="K19" i="34"/>
  <c r="I19" i="34"/>
  <c r="J19" i="34" s="1"/>
  <c r="D19" i="34"/>
  <c r="C19" i="34"/>
  <c r="A19" i="34"/>
  <c r="K18" i="34"/>
  <c r="I18" i="34"/>
  <c r="J18" i="34" s="1"/>
  <c r="D18" i="34"/>
  <c r="C18" i="34"/>
  <c r="A18" i="34"/>
  <c r="K17" i="34"/>
  <c r="I17" i="34"/>
  <c r="J17" i="34" s="1"/>
  <c r="D17" i="34"/>
  <c r="C17" i="34"/>
  <c r="A17" i="34"/>
  <c r="K16" i="34"/>
  <c r="I16" i="34"/>
  <c r="J16" i="34" s="1"/>
  <c r="D16" i="34"/>
  <c r="C16" i="34"/>
  <c r="A16" i="34"/>
  <c r="K15" i="34"/>
  <c r="I15" i="34"/>
  <c r="J15" i="34" s="1"/>
  <c r="D15" i="34"/>
  <c r="C15" i="34"/>
  <c r="A15" i="34"/>
  <c r="K14" i="34"/>
  <c r="I14" i="34"/>
  <c r="J14" i="34" s="1"/>
  <c r="D14" i="34"/>
  <c r="C14" i="34"/>
  <c r="A14" i="34"/>
  <c r="B10" i="34"/>
  <c r="B9" i="34"/>
  <c r="B8" i="34"/>
  <c r="J208" i="33"/>
  <c r="K208" i="33" s="1"/>
  <c r="G208" i="33"/>
  <c r="D208" i="33"/>
  <c r="C208" i="33"/>
  <c r="B208" i="33"/>
  <c r="J207" i="33"/>
  <c r="K207" i="33" s="1"/>
  <c r="G207" i="33"/>
  <c r="D207" i="33"/>
  <c r="C207" i="33"/>
  <c r="B207" i="33"/>
  <c r="J206" i="33"/>
  <c r="K206" i="33" s="1"/>
  <c r="G206" i="33"/>
  <c r="D206" i="33"/>
  <c r="C206" i="33"/>
  <c r="B206" i="33"/>
  <c r="J205" i="33"/>
  <c r="K205" i="33" s="1"/>
  <c r="G205" i="33"/>
  <c r="D205" i="33"/>
  <c r="C205" i="33"/>
  <c r="B205" i="33"/>
  <c r="J204" i="33"/>
  <c r="K204" i="33" s="1"/>
  <c r="G204" i="33"/>
  <c r="D204" i="33"/>
  <c r="C204" i="33"/>
  <c r="B204" i="33"/>
  <c r="J203" i="33"/>
  <c r="K203" i="33" s="1"/>
  <c r="G203" i="33"/>
  <c r="D203" i="33"/>
  <c r="C203" i="33"/>
  <c r="B203" i="33"/>
  <c r="J202" i="33"/>
  <c r="K202" i="33" s="1"/>
  <c r="G202" i="33"/>
  <c r="D202" i="33"/>
  <c r="C202" i="33"/>
  <c r="B202" i="33"/>
  <c r="J201" i="33"/>
  <c r="K201" i="33" s="1"/>
  <c r="G201" i="33"/>
  <c r="D201" i="33"/>
  <c r="C201" i="33"/>
  <c r="B201" i="33"/>
  <c r="J200" i="33"/>
  <c r="K200" i="33" s="1"/>
  <c r="G200" i="33"/>
  <c r="D200" i="33"/>
  <c r="C200" i="33"/>
  <c r="B200" i="33"/>
  <c r="J199" i="33"/>
  <c r="K199" i="33" s="1"/>
  <c r="G199" i="33"/>
  <c r="D199" i="33"/>
  <c r="C199" i="33"/>
  <c r="B199" i="33"/>
  <c r="J198" i="33"/>
  <c r="K198" i="33" s="1"/>
  <c r="G198" i="33"/>
  <c r="D198" i="33"/>
  <c r="C198" i="33"/>
  <c r="B198" i="33"/>
  <c r="J197" i="33"/>
  <c r="K197" i="33" s="1"/>
  <c r="G197" i="33"/>
  <c r="D197" i="33"/>
  <c r="C197" i="33"/>
  <c r="B197" i="33"/>
  <c r="J196" i="33"/>
  <c r="K196" i="33" s="1"/>
  <c r="G196" i="33"/>
  <c r="D196" i="33"/>
  <c r="C196" i="33"/>
  <c r="B196" i="33"/>
  <c r="J195" i="33"/>
  <c r="K195" i="33" s="1"/>
  <c r="G195" i="33"/>
  <c r="D195" i="33"/>
  <c r="C195" i="33"/>
  <c r="B195" i="33"/>
  <c r="J194" i="33"/>
  <c r="K194" i="33" s="1"/>
  <c r="G194" i="33"/>
  <c r="D194" i="33"/>
  <c r="C194" i="33"/>
  <c r="B194" i="33"/>
  <c r="J193" i="33"/>
  <c r="K193" i="33" s="1"/>
  <c r="G193" i="33"/>
  <c r="D193" i="33"/>
  <c r="C193" i="33"/>
  <c r="B193" i="33"/>
  <c r="J192" i="33"/>
  <c r="K192" i="33" s="1"/>
  <c r="G192" i="33"/>
  <c r="D192" i="33"/>
  <c r="C192" i="33"/>
  <c r="B192" i="33"/>
  <c r="J191" i="33"/>
  <c r="K191" i="33" s="1"/>
  <c r="G191" i="33"/>
  <c r="D191" i="33"/>
  <c r="C191" i="33"/>
  <c r="B191" i="33"/>
  <c r="J190" i="33"/>
  <c r="K190" i="33" s="1"/>
  <c r="G190" i="33"/>
  <c r="D190" i="33"/>
  <c r="C190" i="33"/>
  <c r="B190" i="33"/>
  <c r="J189" i="33"/>
  <c r="K189" i="33" s="1"/>
  <c r="G189" i="33"/>
  <c r="D189" i="33"/>
  <c r="C189" i="33"/>
  <c r="B189" i="33"/>
  <c r="J188" i="33"/>
  <c r="K188" i="33" s="1"/>
  <c r="G188" i="33"/>
  <c r="D188" i="33"/>
  <c r="C188" i="33"/>
  <c r="B188" i="33"/>
  <c r="J187" i="33"/>
  <c r="K187" i="33" s="1"/>
  <c r="G187" i="33"/>
  <c r="D187" i="33"/>
  <c r="C187" i="33"/>
  <c r="B187" i="33"/>
  <c r="J186" i="33"/>
  <c r="K186" i="33" s="1"/>
  <c r="G186" i="33"/>
  <c r="D186" i="33"/>
  <c r="C186" i="33"/>
  <c r="B186" i="33"/>
  <c r="J185" i="33"/>
  <c r="K185" i="33" s="1"/>
  <c r="G185" i="33"/>
  <c r="D185" i="33"/>
  <c r="C185" i="33"/>
  <c r="B185" i="33"/>
  <c r="J184" i="33"/>
  <c r="K184" i="33" s="1"/>
  <c r="G184" i="33"/>
  <c r="D184" i="33"/>
  <c r="C184" i="33"/>
  <c r="B184" i="33"/>
  <c r="J183" i="33"/>
  <c r="K183" i="33" s="1"/>
  <c r="G183" i="33"/>
  <c r="D183" i="33"/>
  <c r="C183" i="33"/>
  <c r="B183" i="33"/>
  <c r="J182" i="33"/>
  <c r="K182" i="33" s="1"/>
  <c r="G182" i="33"/>
  <c r="D182" i="33"/>
  <c r="C182" i="33"/>
  <c r="B182" i="33"/>
  <c r="J181" i="33"/>
  <c r="K181" i="33" s="1"/>
  <c r="G181" i="33"/>
  <c r="D181" i="33"/>
  <c r="C181" i="33"/>
  <c r="B181" i="33"/>
  <c r="J180" i="33"/>
  <c r="K180" i="33" s="1"/>
  <c r="G180" i="33"/>
  <c r="D180" i="33"/>
  <c r="C180" i="33"/>
  <c r="B180" i="33"/>
  <c r="J179" i="33"/>
  <c r="K179" i="33" s="1"/>
  <c r="G179" i="33"/>
  <c r="D179" i="33"/>
  <c r="C179" i="33"/>
  <c r="B179" i="33"/>
  <c r="J178" i="33"/>
  <c r="K178" i="33" s="1"/>
  <c r="G178" i="33"/>
  <c r="D178" i="33"/>
  <c r="C178" i="33"/>
  <c r="B178" i="33"/>
  <c r="J177" i="33"/>
  <c r="K177" i="33" s="1"/>
  <c r="G177" i="33"/>
  <c r="D177" i="33"/>
  <c r="C177" i="33"/>
  <c r="B177" i="33"/>
  <c r="J176" i="33"/>
  <c r="K176" i="33" s="1"/>
  <c r="G176" i="33"/>
  <c r="D176" i="33"/>
  <c r="C176" i="33"/>
  <c r="B176" i="33"/>
  <c r="J175" i="33"/>
  <c r="K175" i="33" s="1"/>
  <c r="G175" i="33"/>
  <c r="D175" i="33"/>
  <c r="C175" i="33"/>
  <c r="B175" i="33"/>
  <c r="J174" i="33"/>
  <c r="K174" i="33" s="1"/>
  <c r="G174" i="33"/>
  <c r="D174" i="33"/>
  <c r="C174" i="33"/>
  <c r="B174" i="33"/>
  <c r="J173" i="33"/>
  <c r="K173" i="33" s="1"/>
  <c r="G173" i="33"/>
  <c r="D173" i="33"/>
  <c r="C173" i="33"/>
  <c r="B173" i="33"/>
  <c r="J172" i="33"/>
  <c r="K172" i="33" s="1"/>
  <c r="G172" i="33"/>
  <c r="D172" i="33"/>
  <c r="C172" i="33"/>
  <c r="B172" i="33"/>
  <c r="J171" i="33"/>
  <c r="K171" i="33" s="1"/>
  <c r="G171" i="33"/>
  <c r="D171" i="33"/>
  <c r="C171" i="33"/>
  <c r="B171" i="33"/>
  <c r="J170" i="33"/>
  <c r="K170" i="33" s="1"/>
  <c r="G170" i="33"/>
  <c r="D170" i="33"/>
  <c r="C170" i="33"/>
  <c r="B170" i="33"/>
  <c r="J169" i="33"/>
  <c r="K169" i="33" s="1"/>
  <c r="G169" i="33"/>
  <c r="D169" i="33"/>
  <c r="C169" i="33"/>
  <c r="B169" i="33"/>
  <c r="J168" i="33"/>
  <c r="K168" i="33" s="1"/>
  <c r="G168" i="33"/>
  <c r="D168" i="33"/>
  <c r="C168" i="33"/>
  <c r="B168" i="33"/>
  <c r="J167" i="33"/>
  <c r="K167" i="33" s="1"/>
  <c r="G167" i="33"/>
  <c r="D167" i="33"/>
  <c r="C167" i="33"/>
  <c r="B167" i="33"/>
  <c r="J166" i="33"/>
  <c r="K166" i="33" s="1"/>
  <c r="G166" i="33"/>
  <c r="D166" i="33"/>
  <c r="C166" i="33"/>
  <c r="B166" i="33"/>
  <c r="J165" i="33"/>
  <c r="K165" i="33" s="1"/>
  <c r="G165" i="33"/>
  <c r="D165" i="33"/>
  <c r="C165" i="33"/>
  <c r="B165" i="33"/>
  <c r="J164" i="33"/>
  <c r="K164" i="33" s="1"/>
  <c r="G164" i="33"/>
  <c r="D164" i="33"/>
  <c r="C164" i="33"/>
  <c r="B164" i="33"/>
  <c r="J163" i="33"/>
  <c r="K163" i="33" s="1"/>
  <c r="G163" i="33"/>
  <c r="D163" i="33"/>
  <c r="C163" i="33"/>
  <c r="B163" i="33"/>
  <c r="J162" i="33"/>
  <c r="K162" i="33" s="1"/>
  <c r="G162" i="33"/>
  <c r="D162" i="33"/>
  <c r="C162" i="33"/>
  <c r="B162" i="33"/>
  <c r="J161" i="33"/>
  <c r="K161" i="33" s="1"/>
  <c r="G161" i="33"/>
  <c r="D161" i="33"/>
  <c r="C161" i="33"/>
  <c r="B161" i="33"/>
  <c r="J160" i="33"/>
  <c r="K160" i="33" s="1"/>
  <c r="G160" i="33"/>
  <c r="D160" i="33"/>
  <c r="C160" i="33"/>
  <c r="B160" i="33"/>
  <c r="J159" i="33"/>
  <c r="K159" i="33" s="1"/>
  <c r="G159" i="33"/>
  <c r="D159" i="33"/>
  <c r="C159" i="33"/>
  <c r="B159" i="33"/>
  <c r="J158" i="33"/>
  <c r="K158" i="33" s="1"/>
  <c r="G158" i="33"/>
  <c r="D158" i="33"/>
  <c r="C158" i="33"/>
  <c r="B158" i="33"/>
  <c r="J157" i="33"/>
  <c r="K157" i="33" s="1"/>
  <c r="G157" i="33"/>
  <c r="D157" i="33"/>
  <c r="C157" i="33"/>
  <c r="B157" i="33"/>
  <c r="J156" i="33"/>
  <c r="K156" i="33" s="1"/>
  <c r="G156" i="33"/>
  <c r="D156" i="33"/>
  <c r="C156" i="33"/>
  <c r="B156" i="33"/>
  <c r="J155" i="33"/>
  <c r="K155" i="33" s="1"/>
  <c r="G155" i="33"/>
  <c r="D155" i="33"/>
  <c r="C155" i="33"/>
  <c r="B155" i="33"/>
  <c r="J154" i="33"/>
  <c r="K154" i="33" s="1"/>
  <c r="G154" i="33"/>
  <c r="D154" i="33"/>
  <c r="C154" i="33"/>
  <c r="B154" i="33"/>
  <c r="J153" i="33"/>
  <c r="K153" i="33" s="1"/>
  <c r="G153" i="33"/>
  <c r="D153" i="33"/>
  <c r="C153" i="33"/>
  <c r="B153" i="33"/>
  <c r="J152" i="33"/>
  <c r="K152" i="33" s="1"/>
  <c r="G152" i="33"/>
  <c r="D152" i="33"/>
  <c r="C152" i="33"/>
  <c r="B152" i="33"/>
  <c r="J151" i="33"/>
  <c r="K151" i="33" s="1"/>
  <c r="G151" i="33"/>
  <c r="D151" i="33"/>
  <c r="C151" i="33"/>
  <c r="B151" i="33"/>
  <c r="J150" i="33"/>
  <c r="K150" i="33" s="1"/>
  <c r="G150" i="33"/>
  <c r="D150" i="33"/>
  <c r="C150" i="33"/>
  <c r="B150" i="33"/>
  <c r="J149" i="33"/>
  <c r="K149" i="33" s="1"/>
  <c r="G149" i="33"/>
  <c r="D149" i="33"/>
  <c r="C149" i="33"/>
  <c r="B149" i="33"/>
  <c r="J148" i="33"/>
  <c r="K148" i="33" s="1"/>
  <c r="G148" i="33"/>
  <c r="D148" i="33"/>
  <c r="C148" i="33"/>
  <c r="B148" i="33"/>
  <c r="J147" i="33"/>
  <c r="K147" i="33" s="1"/>
  <c r="G147" i="33"/>
  <c r="D147" i="33"/>
  <c r="C147" i="33"/>
  <c r="B147" i="33"/>
  <c r="J146" i="33"/>
  <c r="K146" i="33" s="1"/>
  <c r="G146" i="33"/>
  <c r="D146" i="33"/>
  <c r="C146" i="33"/>
  <c r="B146" i="33"/>
  <c r="J145" i="33"/>
  <c r="K145" i="33" s="1"/>
  <c r="G145" i="33"/>
  <c r="D145" i="33"/>
  <c r="C145" i="33"/>
  <c r="B145" i="33"/>
  <c r="J144" i="33"/>
  <c r="K144" i="33" s="1"/>
  <c r="G144" i="33"/>
  <c r="D144" i="33"/>
  <c r="C144" i="33"/>
  <c r="B144" i="33"/>
  <c r="J143" i="33"/>
  <c r="K143" i="33" s="1"/>
  <c r="G143" i="33"/>
  <c r="D143" i="33"/>
  <c r="C143" i="33"/>
  <c r="B143" i="33"/>
  <c r="J142" i="33"/>
  <c r="K142" i="33" s="1"/>
  <c r="G142" i="33"/>
  <c r="D142" i="33"/>
  <c r="C142" i="33"/>
  <c r="B142" i="33"/>
  <c r="J141" i="33"/>
  <c r="K141" i="33" s="1"/>
  <c r="G141" i="33"/>
  <c r="D141" i="33"/>
  <c r="C141" i="33"/>
  <c r="B141" i="33"/>
  <c r="J140" i="33"/>
  <c r="K140" i="33" s="1"/>
  <c r="G140" i="33"/>
  <c r="D140" i="33"/>
  <c r="C140" i="33"/>
  <c r="B140" i="33"/>
  <c r="J139" i="33"/>
  <c r="K139" i="33" s="1"/>
  <c r="G139" i="33"/>
  <c r="D139" i="33"/>
  <c r="C139" i="33"/>
  <c r="B139" i="33"/>
  <c r="J138" i="33"/>
  <c r="K138" i="33" s="1"/>
  <c r="G138" i="33"/>
  <c r="D138" i="33"/>
  <c r="C138" i="33"/>
  <c r="B138" i="33"/>
  <c r="J137" i="33"/>
  <c r="K137" i="33" s="1"/>
  <c r="G137" i="33"/>
  <c r="D137" i="33"/>
  <c r="C137" i="33"/>
  <c r="B137" i="33"/>
  <c r="J136" i="33"/>
  <c r="K136" i="33" s="1"/>
  <c r="G136" i="33"/>
  <c r="D136" i="33"/>
  <c r="C136" i="33"/>
  <c r="B136" i="33"/>
  <c r="J135" i="33"/>
  <c r="K135" i="33" s="1"/>
  <c r="G135" i="33"/>
  <c r="D135" i="33"/>
  <c r="C135" i="33"/>
  <c r="B135" i="33"/>
  <c r="J134" i="33"/>
  <c r="K134" i="33" s="1"/>
  <c r="G134" i="33"/>
  <c r="D134" i="33"/>
  <c r="C134" i="33"/>
  <c r="B134" i="33"/>
  <c r="J133" i="33"/>
  <c r="K133" i="33" s="1"/>
  <c r="G133" i="33"/>
  <c r="D133" i="33"/>
  <c r="C133" i="33"/>
  <c r="B133" i="33"/>
  <c r="J132" i="33"/>
  <c r="K132" i="33" s="1"/>
  <c r="G132" i="33"/>
  <c r="D132" i="33"/>
  <c r="C132" i="33"/>
  <c r="B132" i="33"/>
  <c r="J131" i="33"/>
  <c r="K131" i="33" s="1"/>
  <c r="G131" i="33"/>
  <c r="D131" i="33"/>
  <c r="C131" i="33"/>
  <c r="B131" i="33"/>
  <c r="J130" i="33"/>
  <c r="K130" i="33" s="1"/>
  <c r="G130" i="33"/>
  <c r="D130" i="33"/>
  <c r="C130" i="33"/>
  <c r="B130" i="33"/>
  <c r="J129" i="33"/>
  <c r="K129" i="33" s="1"/>
  <c r="G129" i="33"/>
  <c r="D129" i="33"/>
  <c r="C129" i="33"/>
  <c r="B129" i="33"/>
  <c r="J128" i="33"/>
  <c r="K128" i="33" s="1"/>
  <c r="G128" i="33"/>
  <c r="D128" i="33"/>
  <c r="C128" i="33"/>
  <c r="B128" i="33"/>
  <c r="J127" i="33"/>
  <c r="K127" i="33" s="1"/>
  <c r="G127" i="33"/>
  <c r="D127" i="33"/>
  <c r="C127" i="33"/>
  <c r="B127" i="33"/>
  <c r="K126" i="33"/>
  <c r="J126" i="33"/>
  <c r="G126" i="33"/>
  <c r="D126" i="33"/>
  <c r="C126" i="33"/>
  <c r="B126" i="33"/>
  <c r="J125" i="33"/>
  <c r="K125" i="33" s="1"/>
  <c r="G125" i="33"/>
  <c r="D125" i="33"/>
  <c r="C125" i="33"/>
  <c r="B125" i="33"/>
  <c r="K124" i="33"/>
  <c r="J124" i="33"/>
  <c r="G124" i="33"/>
  <c r="D124" i="33"/>
  <c r="C124" i="33"/>
  <c r="B124" i="33"/>
  <c r="J123" i="33"/>
  <c r="K123" i="33" s="1"/>
  <c r="G123" i="33"/>
  <c r="D123" i="33"/>
  <c r="C123" i="33"/>
  <c r="B123" i="33"/>
  <c r="K122" i="33"/>
  <c r="J122" i="33"/>
  <c r="G122" i="33"/>
  <c r="D122" i="33"/>
  <c r="C122" i="33"/>
  <c r="B122" i="33"/>
  <c r="J121" i="33"/>
  <c r="K121" i="33" s="1"/>
  <c r="G121" i="33"/>
  <c r="D121" i="33"/>
  <c r="C121" i="33"/>
  <c r="B121" i="33"/>
  <c r="J120" i="33"/>
  <c r="K120" i="33" s="1"/>
  <c r="G120" i="33"/>
  <c r="D120" i="33"/>
  <c r="C120" i="33"/>
  <c r="B120" i="33"/>
  <c r="J119" i="33"/>
  <c r="K119" i="33" s="1"/>
  <c r="G119" i="33"/>
  <c r="D119" i="33"/>
  <c r="C119" i="33"/>
  <c r="B119" i="33"/>
  <c r="J118" i="33"/>
  <c r="K118" i="33" s="1"/>
  <c r="G118" i="33"/>
  <c r="D118" i="33"/>
  <c r="C118" i="33"/>
  <c r="B118" i="33"/>
  <c r="J117" i="33"/>
  <c r="K117" i="33" s="1"/>
  <c r="G117" i="33"/>
  <c r="D117" i="33"/>
  <c r="C117" i="33"/>
  <c r="B117" i="33"/>
  <c r="J116" i="33"/>
  <c r="K116" i="33" s="1"/>
  <c r="G116" i="33"/>
  <c r="D116" i="33"/>
  <c r="C116" i="33"/>
  <c r="B116" i="33"/>
  <c r="J115" i="33"/>
  <c r="K115" i="33" s="1"/>
  <c r="G115" i="33"/>
  <c r="D115" i="33"/>
  <c r="C115" i="33"/>
  <c r="B115" i="33"/>
  <c r="J114" i="33"/>
  <c r="K114" i="33" s="1"/>
  <c r="G114" i="33"/>
  <c r="D114" i="33"/>
  <c r="C114" i="33"/>
  <c r="B114" i="33"/>
  <c r="J113" i="33"/>
  <c r="K113" i="33" s="1"/>
  <c r="G113" i="33"/>
  <c r="D113" i="33"/>
  <c r="C113" i="33"/>
  <c r="B113" i="33"/>
  <c r="J112" i="33"/>
  <c r="K112" i="33" s="1"/>
  <c r="G112" i="33"/>
  <c r="D112" i="33"/>
  <c r="C112" i="33"/>
  <c r="B112" i="33"/>
  <c r="J111" i="33"/>
  <c r="K111" i="33" s="1"/>
  <c r="G111" i="33"/>
  <c r="D111" i="33"/>
  <c r="C111" i="33"/>
  <c r="B111" i="33"/>
  <c r="K110" i="33"/>
  <c r="J110" i="33"/>
  <c r="G110" i="33"/>
  <c r="D110" i="33"/>
  <c r="C110" i="33"/>
  <c r="B110" i="33"/>
  <c r="J109" i="33"/>
  <c r="K109" i="33" s="1"/>
  <c r="G109" i="33"/>
  <c r="D109" i="33"/>
  <c r="C109" i="33"/>
  <c r="B109" i="33"/>
  <c r="K108" i="33"/>
  <c r="J108" i="33"/>
  <c r="G108" i="33"/>
  <c r="D108" i="33"/>
  <c r="C108" i="33"/>
  <c r="B108" i="33"/>
  <c r="J107" i="33"/>
  <c r="K107" i="33" s="1"/>
  <c r="G107" i="33"/>
  <c r="D107" i="33"/>
  <c r="C107" i="33"/>
  <c r="B107" i="33"/>
  <c r="K106" i="33"/>
  <c r="J106" i="33"/>
  <c r="G106" i="33"/>
  <c r="D106" i="33"/>
  <c r="C106" i="33"/>
  <c r="B106" i="33"/>
  <c r="J105" i="33"/>
  <c r="K105" i="33" s="1"/>
  <c r="G105" i="33"/>
  <c r="D105" i="33"/>
  <c r="C105" i="33"/>
  <c r="B105" i="33"/>
  <c r="J104" i="33"/>
  <c r="K104" i="33" s="1"/>
  <c r="G104" i="33"/>
  <c r="D104" i="33"/>
  <c r="C104" i="33"/>
  <c r="B104" i="33"/>
  <c r="J103" i="33"/>
  <c r="K103" i="33" s="1"/>
  <c r="G103" i="33"/>
  <c r="D103" i="33"/>
  <c r="C103" i="33"/>
  <c r="B103" i="33"/>
  <c r="J102" i="33"/>
  <c r="K102" i="33" s="1"/>
  <c r="G102" i="33"/>
  <c r="D102" i="33"/>
  <c r="C102" i="33"/>
  <c r="B102" i="33"/>
  <c r="J101" i="33"/>
  <c r="K101" i="33" s="1"/>
  <c r="G101" i="33"/>
  <c r="D101" i="33"/>
  <c r="C101" i="33"/>
  <c r="B101" i="33"/>
  <c r="J100" i="33"/>
  <c r="K100" i="33" s="1"/>
  <c r="G100" i="33"/>
  <c r="D100" i="33"/>
  <c r="C100" i="33"/>
  <c r="B100" i="33"/>
  <c r="J99" i="33"/>
  <c r="K99" i="33" s="1"/>
  <c r="G99" i="33"/>
  <c r="D99" i="33"/>
  <c r="C99" i="33"/>
  <c r="B99" i="33"/>
  <c r="J98" i="33"/>
  <c r="K98" i="33" s="1"/>
  <c r="G98" i="33"/>
  <c r="D98" i="33"/>
  <c r="C98" i="33"/>
  <c r="B98" i="33"/>
  <c r="J97" i="33"/>
  <c r="K97" i="33" s="1"/>
  <c r="G97" i="33"/>
  <c r="D97" i="33"/>
  <c r="C97" i="33"/>
  <c r="B97" i="33"/>
  <c r="J96" i="33"/>
  <c r="K96" i="33" s="1"/>
  <c r="G96" i="33"/>
  <c r="D96" i="33"/>
  <c r="C96" i="33"/>
  <c r="B96" i="33"/>
  <c r="J95" i="33"/>
  <c r="K95" i="33" s="1"/>
  <c r="G95" i="33"/>
  <c r="D95" i="33"/>
  <c r="C95" i="33"/>
  <c r="B95" i="33"/>
  <c r="K94" i="33"/>
  <c r="J94" i="33"/>
  <c r="G94" i="33"/>
  <c r="D94" i="33"/>
  <c r="C94" i="33"/>
  <c r="B94" i="33"/>
  <c r="J93" i="33"/>
  <c r="K93" i="33" s="1"/>
  <c r="G93" i="33"/>
  <c r="D93" i="33"/>
  <c r="C93" i="33"/>
  <c r="B93" i="33"/>
  <c r="K92" i="33"/>
  <c r="J92" i="33"/>
  <c r="G92" i="33"/>
  <c r="D92" i="33"/>
  <c r="C92" i="33"/>
  <c r="B92" i="33"/>
  <c r="J91" i="33"/>
  <c r="K91" i="33" s="1"/>
  <c r="G91" i="33"/>
  <c r="D91" i="33"/>
  <c r="C91" i="33"/>
  <c r="B91" i="33"/>
  <c r="K90" i="33"/>
  <c r="J90" i="33"/>
  <c r="G90" i="33"/>
  <c r="D90" i="33"/>
  <c r="C90" i="33"/>
  <c r="B90" i="33"/>
  <c r="J89" i="33"/>
  <c r="K89" i="33" s="1"/>
  <c r="G89" i="33"/>
  <c r="D89" i="33"/>
  <c r="C89" i="33"/>
  <c r="B89" i="33"/>
  <c r="J88" i="33"/>
  <c r="K88" i="33" s="1"/>
  <c r="G88" i="33"/>
  <c r="D88" i="33"/>
  <c r="C88" i="33"/>
  <c r="B88" i="33"/>
  <c r="K87" i="33"/>
  <c r="J87" i="33"/>
  <c r="G87" i="33"/>
  <c r="D87" i="33"/>
  <c r="C87" i="33"/>
  <c r="B87" i="33"/>
  <c r="K86" i="33"/>
  <c r="J86" i="33"/>
  <c r="G86" i="33"/>
  <c r="D86" i="33"/>
  <c r="C86" i="33"/>
  <c r="B86" i="33"/>
  <c r="J85" i="33"/>
  <c r="K85" i="33" s="1"/>
  <c r="G85" i="33"/>
  <c r="D85" i="33"/>
  <c r="C85" i="33"/>
  <c r="B85" i="33"/>
  <c r="J84" i="33"/>
  <c r="K84" i="33" s="1"/>
  <c r="G84" i="33"/>
  <c r="D84" i="33"/>
  <c r="C84" i="33"/>
  <c r="B84" i="33"/>
  <c r="K83" i="33"/>
  <c r="J83" i="33"/>
  <c r="G83" i="33"/>
  <c r="D83" i="33"/>
  <c r="C83" i="33"/>
  <c r="B83" i="33"/>
  <c r="K82" i="33"/>
  <c r="J82" i="33"/>
  <c r="G82" i="33"/>
  <c r="D82" i="33"/>
  <c r="C82" i="33"/>
  <c r="B82" i="33"/>
  <c r="J81" i="33"/>
  <c r="K81" i="33" s="1"/>
  <c r="G81" i="33"/>
  <c r="D81" i="33"/>
  <c r="C81" i="33"/>
  <c r="B81" i="33"/>
  <c r="J80" i="33"/>
  <c r="K80" i="33" s="1"/>
  <c r="G80" i="33"/>
  <c r="D80" i="33"/>
  <c r="C80" i="33"/>
  <c r="B80" i="33"/>
  <c r="K79" i="33"/>
  <c r="J79" i="33"/>
  <c r="G79" i="33"/>
  <c r="D79" i="33"/>
  <c r="C79" i="33"/>
  <c r="B79" i="33"/>
  <c r="K78" i="33"/>
  <c r="J78" i="33"/>
  <c r="G78" i="33"/>
  <c r="D78" i="33"/>
  <c r="C78" i="33"/>
  <c r="B78" i="33"/>
  <c r="J77" i="33"/>
  <c r="K77" i="33" s="1"/>
  <c r="G77" i="33"/>
  <c r="D77" i="33"/>
  <c r="C77" i="33"/>
  <c r="B77" i="33"/>
  <c r="J76" i="33"/>
  <c r="K76" i="33" s="1"/>
  <c r="G76" i="33"/>
  <c r="D76" i="33"/>
  <c r="C76" i="33"/>
  <c r="B76" i="33"/>
  <c r="K75" i="33"/>
  <c r="J75" i="33"/>
  <c r="G75" i="33"/>
  <c r="D75" i="33"/>
  <c r="C75" i="33"/>
  <c r="B75" i="33"/>
  <c r="K74" i="33"/>
  <c r="J74" i="33"/>
  <c r="G74" i="33"/>
  <c r="D74" i="33"/>
  <c r="C74" i="33"/>
  <c r="B74" i="33"/>
  <c r="J73" i="33"/>
  <c r="K73" i="33" s="1"/>
  <c r="G73" i="33"/>
  <c r="D73" i="33"/>
  <c r="C73" i="33"/>
  <c r="B73" i="33"/>
  <c r="J72" i="33"/>
  <c r="K72" i="33" s="1"/>
  <c r="G72" i="33"/>
  <c r="D72" i="33"/>
  <c r="C72" i="33"/>
  <c r="B72" i="33"/>
  <c r="K71" i="33"/>
  <c r="J71" i="33"/>
  <c r="G71" i="33"/>
  <c r="D71" i="33"/>
  <c r="C71" i="33"/>
  <c r="B71" i="33"/>
  <c r="K70" i="33"/>
  <c r="J70" i="33"/>
  <c r="G70" i="33"/>
  <c r="D70" i="33"/>
  <c r="C70" i="33"/>
  <c r="B70" i="33"/>
  <c r="J69" i="33"/>
  <c r="K69" i="33" s="1"/>
  <c r="G69" i="33"/>
  <c r="D69" i="33"/>
  <c r="C69" i="33"/>
  <c r="B69" i="33"/>
  <c r="J68" i="33"/>
  <c r="K68" i="33" s="1"/>
  <c r="G68" i="33"/>
  <c r="D68" i="33"/>
  <c r="C68" i="33"/>
  <c r="B68" i="33"/>
  <c r="K67" i="33"/>
  <c r="J67" i="33"/>
  <c r="G67" i="33"/>
  <c r="D67" i="33"/>
  <c r="C67" i="33"/>
  <c r="B67" i="33"/>
  <c r="K66" i="33"/>
  <c r="J66" i="33"/>
  <c r="G66" i="33"/>
  <c r="D66" i="33"/>
  <c r="C66" i="33"/>
  <c r="B66" i="33"/>
  <c r="J65" i="33"/>
  <c r="K65" i="33" s="1"/>
  <c r="G65" i="33"/>
  <c r="D65" i="33"/>
  <c r="C65" i="33"/>
  <c r="B65" i="33"/>
  <c r="J64" i="33"/>
  <c r="K64" i="33" s="1"/>
  <c r="G64" i="33"/>
  <c r="D64" i="33"/>
  <c r="C64" i="33"/>
  <c r="B64" i="33"/>
  <c r="K63" i="33"/>
  <c r="J63" i="33"/>
  <c r="G63" i="33"/>
  <c r="D63" i="33"/>
  <c r="C63" i="33"/>
  <c r="B63" i="33"/>
  <c r="K62" i="33"/>
  <c r="J62" i="33"/>
  <c r="G62" i="33"/>
  <c r="D62" i="33"/>
  <c r="C62" i="33"/>
  <c r="B62" i="33"/>
  <c r="J61" i="33"/>
  <c r="K61" i="33" s="1"/>
  <c r="G61" i="33"/>
  <c r="D61" i="33"/>
  <c r="C61" i="33"/>
  <c r="B61" i="33"/>
  <c r="J60" i="33"/>
  <c r="K60" i="33" s="1"/>
  <c r="G60" i="33"/>
  <c r="D60" i="33"/>
  <c r="C60" i="33"/>
  <c r="B60" i="33"/>
  <c r="K59" i="33"/>
  <c r="J59" i="33"/>
  <c r="G59" i="33"/>
  <c r="D59" i="33"/>
  <c r="C59" i="33"/>
  <c r="B59" i="33"/>
  <c r="K58" i="33"/>
  <c r="J58" i="33"/>
  <c r="G58" i="33"/>
  <c r="D58" i="33"/>
  <c r="C58" i="33"/>
  <c r="B58" i="33"/>
  <c r="J57" i="33"/>
  <c r="K57" i="33" s="1"/>
  <c r="G57" i="33"/>
  <c r="D57" i="33"/>
  <c r="C57" i="33"/>
  <c r="B57" i="33"/>
  <c r="J56" i="33"/>
  <c r="K56" i="33" s="1"/>
  <c r="G56" i="33"/>
  <c r="D56" i="33"/>
  <c r="C56" i="33"/>
  <c r="B56" i="33"/>
  <c r="K55" i="33"/>
  <c r="J55" i="33"/>
  <c r="G55" i="33"/>
  <c r="D55" i="33"/>
  <c r="C55" i="33"/>
  <c r="B55" i="33"/>
  <c r="K54" i="33"/>
  <c r="J54" i="33"/>
  <c r="G54" i="33"/>
  <c r="D54" i="33"/>
  <c r="C54" i="33"/>
  <c r="B54" i="33"/>
  <c r="J53" i="33"/>
  <c r="K53" i="33" s="1"/>
  <c r="G53" i="33"/>
  <c r="D53" i="33"/>
  <c r="C53" i="33"/>
  <c r="B53" i="33"/>
  <c r="J52" i="33"/>
  <c r="K52" i="33" s="1"/>
  <c r="G52" i="33"/>
  <c r="D52" i="33"/>
  <c r="C52" i="33"/>
  <c r="B52" i="33"/>
  <c r="K51" i="33"/>
  <c r="J51" i="33"/>
  <c r="G51" i="33"/>
  <c r="D51" i="33"/>
  <c r="C51" i="33"/>
  <c r="B51" i="33"/>
  <c r="K50" i="33"/>
  <c r="J50" i="33"/>
  <c r="G50" i="33"/>
  <c r="D50" i="33"/>
  <c r="C50" i="33"/>
  <c r="B50" i="33"/>
  <c r="J49" i="33"/>
  <c r="K49" i="33" s="1"/>
  <c r="G49" i="33"/>
  <c r="D49" i="33"/>
  <c r="C49" i="33"/>
  <c r="B49" i="33"/>
  <c r="J48" i="33"/>
  <c r="K48" i="33" s="1"/>
  <c r="G48" i="33"/>
  <c r="D48" i="33"/>
  <c r="C48" i="33"/>
  <c r="B48" i="33"/>
  <c r="K47" i="33"/>
  <c r="J47" i="33"/>
  <c r="G47" i="33"/>
  <c r="D47" i="33"/>
  <c r="C47" i="33"/>
  <c r="B47" i="33"/>
  <c r="K46" i="33"/>
  <c r="J46" i="33"/>
  <c r="G46" i="33"/>
  <c r="D46" i="33"/>
  <c r="C46" i="33"/>
  <c r="B46" i="33"/>
  <c r="J45" i="33"/>
  <c r="K45" i="33" s="1"/>
  <c r="G45" i="33"/>
  <c r="D45" i="33"/>
  <c r="C45" i="33"/>
  <c r="B45" i="33"/>
  <c r="J44" i="33"/>
  <c r="K44" i="33" s="1"/>
  <c r="G44" i="33"/>
  <c r="D44" i="33"/>
  <c r="C44" i="33"/>
  <c r="B44" i="33"/>
  <c r="K43" i="33"/>
  <c r="J43" i="33"/>
  <c r="G43" i="33"/>
  <c r="D43" i="33"/>
  <c r="C43" i="33"/>
  <c r="B43" i="33"/>
  <c r="K42" i="33"/>
  <c r="J42" i="33"/>
  <c r="G42" i="33"/>
  <c r="D42" i="33"/>
  <c r="C42" i="33"/>
  <c r="B42" i="33"/>
  <c r="J41" i="33"/>
  <c r="K41" i="33" s="1"/>
  <c r="G41" i="33"/>
  <c r="D41" i="33"/>
  <c r="C41" i="33"/>
  <c r="B41" i="33"/>
  <c r="J40" i="33"/>
  <c r="K40" i="33" s="1"/>
  <c r="G40" i="33"/>
  <c r="D40" i="33"/>
  <c r="C40" i="33"/>
  <c r="B40" i="33"/>
  <c r="K39" i="33"/>
  <c r="J39" i="33"/>
  <c r="G39" i="33"/>
  <c r="D39" i="33"/>
  <c r="C39" i="33"/>
  <c r="B39" i="33"/>
  <c r="K38" i="33"/>
  <c r="J38" i="33"/>
  <c r="G38" i="33"/>
  <c r="D38" i="33"/>
  <c r="C38" i="33"/>
  <c r="B38" i="33"/>
  <c r="J37" i="33"/>
  <c r="K37" i="33" s="1"/>
  <c r="G37" i="33"/>
  <c r="D37" i="33"/>
  <c r="C37" i="33"/>
  <c r="B37" i="33"/>
  <c r="J36" i="33"/>
  <c r="K36" i="33" s="1"/>
  <c r="G36" i="33"/>
  <c r="D36" i="33"/>
  <c r="C36" i="33"/>
  <c r="B36" i="33"/>
  <c r="K35" i="33"/>
  <c r="J35" i="33"/>
  <c r="G35" i="33"/>
  <c r="D35" i="33"/>
  <c r="C35" i="33"/>
  <c r="B35" i="33"/>
  <c r="K34" i="33"/>
  <c r="J34" i="33"/>
  <c r="G34" i="33"/>
  <c r="D34" i="33"/>
  <c r="C34" i="33"/>
  <c r="B34" i="33"/>
  <c r="J33" i="33"/>
  <c r="K33" i="33" s="1"/>
  <c r="G33" i="33"/>
  <c r="D33" i="33"/>
  <c r="C33" i="33"/>
  <c r="B33" i="33"/>
  <c r="J32" i="33"/>
  <c r="K32" i="33" s="1"/>
  <c r="G32" i="33"/>
  <c r="D32" i="33"/>
  <c r="C32" i="33"/>
  <c r="B32" i="33"/>
  <c r="K31" i="33"/>
  <c r="J31" i="33"/>
  <c r="G31" i="33"/>
  <c r="D31" i="33"/>
  <c r="C31" i="33"/>
  <c r="B31" i="33"/>
  <c r="K30" i="33"/>
  <c r="J30" i="33"/>
  <c r="G30" i="33"/>
  <c r="D30" i="33"/>
  <c r="C30" i="33"/>
  <c r="B30" i="33"/>
  <c r="J29" i="33"/>
  <c r="K29" i="33" s="1"/>
  <c r="G29" i="33"/>
  <c r="D29" i="33"/>
  <c r="C29" i="33"/>
  <c r="B29" i="33"/>
  <c r="J28" i="33"/>
  <c r="K28" i="33" s="1"/>
  <c r="G28" i="33"/>
  <c r="D28" i="33"/>
  <c r="C28" i="33"/>
  <c r="B28" i="33"/>
  <c r="K27" i="33"/>
  <c r="J27" i="33"/>
  <c r="G27" i="33"/>
  <c r="D27" i="33"/>
  <c r="C27" i="33"/>
  <c r="B27" i="33"/>
  <c r="K26" i="33"/>
  <c r="J26" i="33"/>
  <c r="G26" i="33"/>
  <c r="D26" i="33"/>
  <c r="C26" i="33"/>
  <c r="B26" i="33"/>
  <c r="J25" i="33"/>
  <c r="K25" i="33" s="1"/>
  <c r="G25" i="33"/>
  <c r="D25" i="33"/>
  <c r="C25" i="33"/>
  <c r="B25" i="33"/>
  <c r="J24" i="33"/>
  <c r="K24" i="33" s="1"/>
  <c r="G24" i="33"/>
  <c r="D24" i="33"/>
  <c r="C24" i="33"/>
  <c r="B24" i="33"/>
  <c r="K23" i="33"/>
  <c r="J23" i="33"/>
  <c r="G23" i="33"/>
  <c r="D23" i="33"/>
  <c r="C23" i="33"/>
  <c r="B23" i="33"/>
  <c r="K22" i="33"/>
  <c r="J22" i="33"/>
  <c r="G22" i="33"/>
  <c r="D22" i="33"/>
  <c r="C22" i="33"/>
  <c r="B22" i="33"/>
  <c r="J21" i="33"/>
  <c r="K21" i="33" s="1"/>
  <c r="G21" i="33"/>
  <c r="D21" i="33"/>
  <c r="C21" i="33"/>
  <c r="B21" i="33"/>
  <c r="J20" i="33"/>
  <c r="K20" i="33" s="1"/>
  <c r="G20" i="33"/>
  <c r="D20" i="33"/>
  <c r="C20" i="33"/>
  <c r="B20" i="33"/>
  <c r="K19" i="33"/>
  <c r="J19" i="33"/>
  <c r="G19" i="33"/>
  <c r="D19" i="33"/>
  <c r="C19" i="33"/>
  <c r="B19" i="33"/>
  <c r="K18" i="33"/>
  <c r="J18" i="33"/>
  <c r="G18" i="33"/>
  <c r="D18" i="33"/>
  <c r="C18" i="33"/>
  <c r="B18" i="33"/>
  <c r="J17" i="33"/>
  <c r="K17" i="33" s="1"/>
  <c r="G17" i="33"/>
  <c r="D17" i="33"/>
  <c r="C17" i="33"/>
  <c r="B17" i="33"/>
  <c r="J16" i="33"/>
  <c r="K16" i="33" s="1"/>
  <c r="G16" i="33"/>
  <c r="D16" i="33"/>
  <c r="C16" i="33"/>
  <c r="B16" i="33"/>
  <c r="K15" i="33"/>
  <c r="J15" i="33"/>
  <c r="G15" i="33"/>
  <c r="D15" i="33"/>
  <c r="C15" i="33"/>
  <c r="B15" i="33"/>
  <c r="K14" i="33"/>
  <c r="J14" i="33"/>
  <c r="G14" i="33"/>
  <c r="D14" i="33"/>
  <c r="C14" i="33"/>
  <c r="B14" i="33"/>
  <c r="J13" i="33"/>
  <c r="K13" i="33" s="1"/>
  <c r="G13" i="33"/>
  <c r="D13" i="33"/>
  <c r="C13" i="33"/>
  <c r="B13" i="33"/>
  <c r="J12" i="33"/>
  <c r="K12" i="33" s="1"/>
  <c r="G12" i="33"/>
  <c r="D12" i="33"/>
  <c r="C12" i="33"/>
  <c r="B12" i="33"/>
  <c r="K11" i="33"/>
  <c r="J11" i="33"/>
  <c r="G11" i="33"/>
  <c r="D11" i="33"/>
  <c r="C11" i="33"/>
  <c r="B11" i="33"/>
  <c r="K10" i="33"/>
  <c r="J10" i="33"/>
  <c r="G10" i="33"/>
  <c r="D10" i="33"/>
  <c r="C10" i="33"/>
  <c r="B10" i="33"/>
  <c r="J9" i="33"/>
  <c r="K9" i="33" s="1"/>
  <c r="G9" i="33"/>
  <c r="D9" i="33"/>
  <c r="C9" i="33"/>
  <c r="B9" i="33"/>
  <c r="J4" i="33"/>
  <c r="J208" i="32"/>
  <c r="I208" i="32"/>
  <c r="F208" i="32"/>
  <c r="D208" i="32"/>
  <c r="C208" i="32"/>
  <c r="B208" i="32"/>
  <c r="I207" i="32"/>
  <c r="J207" i="32" s="1"/>
  <c r="F207" i="32"/>
  <c r="D207" i="32"/>
  <c r="C207" i="32"/>
  <c r="B207" i="32"/>
  <c r="I206" i="32"/>
  <c r="J206" i="32" s="1"/>
  <c r="F206" i="32"/>
  <c r="D206" i="32"/>
  <c r="C206" i="32"/>
  <c r="B206" i="32"/>
  <c r="J205" i="32"/>
  <c r="I205" i="32"/>
  <c r="F205" i="32"/>
  <c r="D205" i="32"/>
  <c r="C205" i="32"/>
  <c r="B205" i="32"/>
  <c r="J204" i="32"/>
  <c r="I204" i="32"/>
  <c r="F204" i="32"/>
  <c r="D204" i="32"/>
  <c r="C204" i="32"/>
  <c r="B204" i="32"/>
  <c r="I203" i="32"/>
  <c r="J203" i="32" s="1"/>
  <c r="F203" i="32"/>
  <c r="D203" i="32"/>
  <c r="C203" i="32"/>
  <c r="B203" i="32"/>
  <c r="I202" i="32"/>
  <c r="J202" i="32" s="1"/>
  <c r="F202" i="32"/>
  <c r="D202" i="32"/>
  <c r="C202" i="32"/>
  <c r="B202" i="32"/>
  <c r="J201" i="32"/>
  <c r="I201" i="32"/>
  <c r="F201" i="32"/>
  <c r="D201" i="32"/>
  <c r="C201" i="32"/>
  <c r="B201" i="32"/>
  <c r="J200" i="32"/>
  <c r="I200" i="32"/>
  <c r="F200" i="32"/>
  <c r="D200" i="32"/>
  <c r="C200" i="32"/>
  <c r="B200" i="32"/>
  <c r="I199" i="32"/>
  <c r="J199" i="32" s="1"/>
  <c r="F199" i="32"/>
  <c r="D199" i="32"/>
  <c r="C199" i="32"/>
  <c r="B199" i="32"/>
  <c r="I198" i="32"/>
  <c r="J198" i="32" s="1"/>
  <c r="F198" i="32"/>
  <c r="D198" i="32"/>
  <c r="C198" i="32"/>
  <c r="B198" i="32"/>
  <c r="J197" i="32"/>
  <c r="I197" i="32"/>
  <c r="F197" i="32"/>
  <c r="D197" i="32"/>
  <c r="C197" i="32"/>
  <c r="B197" i="32"/>
  <c r="J196" i="32"/>
  <c r="I196" i="32"/>
  <c r="F196" i="32"/>
  <c r="D196" i="32"/>
  <c r="C196" i="32"/>
  <c r="B196" i="32"/>
  <c r="I195" i="32"/>
  <c r="J195" i="32" s="1"/>
  <c r="F195" i="32"/>
  <c r="D195" i="32"/>
  <c r="C195" i="32"/>
  <c r="B195" i="32"/>
  <c r="I194" i="32"/>
  <c r="J194" i="32" s="1"/>
  <c r="F194" i="32"/>
  <c r="D194" i="32"/>
  <c r="C194" i="32"/>
  <c r="B194" i="32"/>
  <c r="J193" i="32"/>
  <c r="I193" i="32"/>
  <c r="F193" i="32"/>
  <c r="D193" i="32"/>
  <c r="C193" i="32"/>
  <c r="B193" i="32"/>
  <c r="J192" i="32"/>
  <c r="I192" i="32"/>
  <c r="F192" i="32"/>
  <c r="D192" i="32"/>
  <c r="C192" i="32"/>
  <c r="B192" i="32"/>
  <c r="I191" i="32"/>
  <c r="J191" i="32" s="1"/>
  <c r="F191" i="32"/>
  <c r="D191" i="32"/>
  <c r="C191" i="32"/>
  <c r="B191" i="32"/>
  <c r="I190" i="32"/>
  <c r="J190" i="32" s="1"/>
  <c r="F190" i="32"/>
  <c r="D190" i="32"/>
  <c r="C190" i="32"/>
  <c r="B190" i="32"/>
  <c r="J189" i="32"/>
  <c r="I189" i="32"/>
  <c r="F189" i="32"/>
  <c r="D189" i="32"/>
  <c r="C189" i="32"/>
  <c r="B189" i="32"/>
  <c r="J188" i="32"/>
  <c r="I188" i="32"/>
  <c r="F188" i="32"/>
  <c r="D188" i="32"/>
  <c r="C188" i="32"/>
  <c r="B188" i="32"/>
  <c r="I187" i="32"/>
  <c r="J187" i="32" s="1"/>
  <c r="F187" i="32"/>
  <c r="D187" i="32"/>
  <c r="C187" i="32"/>
  <c r="B187" i="32"/>
  <c r="I186" i="32"/>
  <c r="J186" i="32" s="1"/>
  <c r="F186" i="32"/>
  <c r="D186" i="32"/>
  <c r="C186" i="32"/>
  <c r="B186" i="32"/>
  <c r="J185" i="32"/>
  <c r="I185" i="32"/>
  <c r="F185" i="32"/>
  <c r="D185" i="32"/>
  <c r="C185" i="32"/>
  <c r="B185" i="32"/>
  <c r="J184" i="32"/>
  <c r="I184" i="32"/>
  <c r="F184" i="32"/>
  <c r="D184" i="32"/>
  <c r="C184" i="32"/>
  <c r="B184" i="32"/>
  <c r="I183" i="32"/>
  <c r="J183" i="32" s="1"/>
  <c r="F183" i="32"/>
  <c r="D183" i="32"/>
  <c r="C183" i="32"/>
  <c r="B183" i="32"/>
  <c r="I182" i="32"/>
  <c r="J182" i="32" s="1"/>
  <c r="F182" i="32"/>
  <c r="D182" i="32"/>
  <c r="C182" i="32"/>
  <c r="B182" i="32"/>
  <c r="J181" i="32"/>
  <c r="I181" i="32"/>
  <c r="F181" i="32"/>
  <c r="D181" i="32"/>
  <c r="C181" i="32"/>
  <c r="B181" i="32"/>
  <c r="J180" i="32"/>
  <c r="I180" i="32"/>
  <c r="F180" i="32"/>
  <c r="D180" i="32"/>
  <c r="C180" i="32"/>
  <c r="B180" i="32"/>
  <c r="I179" i="32"/>
  <c r="J179" i="32" s="1"/>
  <c r="F179" i="32"/>
  <c r="D179" i="32"/>
  <c r="C179" i="32"/>
  <c r="B179" i="32"/>
  <c r="I178" i="32"/>
  <c r="J178" i="32" s="1"/>
  <c r="F178" i="32"/>
  <c r="D178" i="32"/>
  <c r="C178" i="32"/>
  <c r="B178" i="32"/>
  <c r="J177" i="32"/>
  <c r="I177" i="32"/>
  <c r="F177" i="32"/>
  <c r="D177" i="32"/>
  <c r="C177" i="32"/>
  <c r="B177" i="32"/>
  <c r="J176" i="32"/>
  <c r="I176" i="32"/>
  <c r="F176" i="32"/>
  <c r="D176" i="32"/>
  <c r="C176" i="32"/>
  <c r="B176" i="32"/>
  <c r="I175" i="32"/>
  <c r="J175" i="32" s="1"/>
  <c r="F175" i="32"/>
  <c r="D175" i="32"/>
  <c r="C175" i="32"/>
  <c r="B175" i="32"/>
  <c r="I174" i="32"/>
  <c r="J174" i="32" s="1"/>
  <c r="F174" i="32"/>
  <c r="D174" i="32"/>
  <c r="C174" i="32"/>
  <c r="B174" i="32"/>
  <c r="J173" i="32"/>
  <c r="I173" i="32"/>
  <c r="F173" i="32"/>
  <c r="D173" i="32"/>
  <c r="C173" i="32"/>
  <c r="B173" i="32"/>
  <c r="J172" i="32"/>
  <c r="I172" i="32"/>
  <c r="F172" i="32"/>
  <c r="D172" i="32"/>
  <c r="C172" i="32"/>
  <c r="B172" i="32"/>
  <c r="I171" i="32"/>
  <c r="J171" i="32" s="1"/>
  <c r="F171" i="32"/>
  <c r="D171" i="32"/>
  <c r="C171" i="32"/>
  <c r="B171" i="32"/>
  <c r="I170" i="32"/>
  <c r="J170" i="32" s="1"/>
  <c r="F170" i="32"/>
  <c r="D170" i="32"/>
  <c r="C170" i="32"/>
  <c r="B170" i="32"/>
  <c r="J169" i="32"/>
  <c r="I169" i="32"/>
  <c r="F169" i="32"/>
  <c r="D169" i="32"/>
  <c r="C169" i="32"/>
  <c r="B169" i="32"/>
  <c r="J168" i="32"/>
  <c r="I168" i="32"/>
  <c r="F168" i="32"/>
  <c r="D168" i="32"/>
  <c r="C168" i="32"/>
  <c r="B168" i="32"/>
  <c r="I167" i="32"/>
  <c r="J167" i="32" s="1"/>
  <c r="F167" i="32"/>
  <c r="D167" i="32"/>
  <c r="C167" i="32"/>
  <c r="B167" i="32"/>
  <c r="I166" i="32"/>
  <c r="J166" i="32" s="1"/>
  <c r="F166" i="32"/>
  <c r="D166" i="32"/>
  <c r="C166" i="32"/>
  <c r="B166" i="32"/>
  <c r="J165" i="32"/>
  <c r="I165" i="32"/>
  <c r="F165" i="32"/>
  <c r="D165" i="32"/>
  <c r="C165" i="32"/>
  <c r="B165" i="32"/>
  <c r="J164" i="32"/>
  <c r="I164" i="32"/>
  <c r="F164" i="32"/>
  <c r="D164" i="32"/>
  <c r="C164" i="32"/>
  <c r="B164" i="32"/>
  <c r="I163" i="32"/>
  <c r="J163" i="32" s="1"/>
  <c r="F163" i="32"/>
  <c r="D163" i="32"/>
  <c r="C163" i="32"/>
  <c r="B163" i="32"/>
  <c r="I162" i="32"/>
  <c r="J162" i="32" s="1"/>
  <c r="F162" i="32"/>
  <c r="D162" i="32"/>
  <c r="C162" i="32"/>
  <c r="B162" i="32"/>
  <c r="J161" i="32"/>
  <c r="I161" i="32"/>
  <c r="F161" i="32"/>
  <c r="D161" i="32"/>
  <c r="C161" i="32"/>
  <c r="B161" i="32"/>
  <c r="J160" i="32"/>
  <c r="I160" i="32"/>
  <c r="F160" i="32"/>
  <c r="D160" i="32"/>
  <c r="C160" i="32"/>
  <c r="B160" i="32"/>
  <c r="I159" i="32"/>
  <c r="J159" i="32" s="1"/>
  <c r="F159" i="32"/>
  <c r="D159" i="32"/>
  <c r="C159" i="32"/>
  <c r="B159" i="32"/>
  <c r="I158" i="32"/>
  <c r="J158" i="32" s="1"/>
  <c r="F158" i="32"/>
  <c r="D158" i="32"/>
  <c r="C158" i="32"/>
  <c r="B158" i="32"/>
  <c r="J157" i="32"/>
  <c r="I157" i="32"/>
  <c r="F157" i="32"/>
  <c r="D157" i="32"/>
  <c r="C157" i="32"/>
  <c r="B157" i="32"/>
  <c r="J156" i="32"/>
  <c r="I156" i="32"/>
  <c r="F156" i="32"/>
  <c r="D156" i="32"/>
  <c r="C156" i="32"/>
  <c r="B156" i="32"/>
  <c r="I155" i="32"/>
  <c r="J155" i="32" s="1"/>
  <c r="F155" i="32"/>
  <c r="D155" i="32"/>
  <c r="C155" i="32"/>
  <c r="B155" i="32"/>
  <c r="I154" i="32"/>
  <c r="J154" i="32" s="1"/>
  <c r="F154" i="32"/>
  <c r="D154" i="32"/>
  <c r="C154" i="32"/>
  <c r="B154" i="32"/>
  <c r="J153" i="32"/>
  <c r="I153" i="32"/>
  <c r="F153" i="32"/>
  <c r="D153" i="32"/>
  <c r="C153" i="32"/>
  <c r="B153" i="32"/>
  <c r="J152" i="32"/>
  <c r="I152" i="32"/>
  <c r="F152" i="32"/>
  <c r="D152" i="32"/>
  <c r="C152" i="32"/>
  <c r="B152" i="32"/>
  <c r="I151" i="32"/>
  <c r="J151" i="32" s="1"/>
  <c r="F151" i="32"/>
  <c r="D151" i="32"/>
  <c r="C151" i="32"/>
  <c r="B151" i="32"/>
  <c r="I150" i="32"/>
  <c r="J150" i="32" s="1"/>
  <c r="F150" i="32"/>
  <c r="D150" i="32"/>
  <c r="C150" i="32"/>
  <c r="B150" i="32"/>
  <c r="J149" i="32"/>
  <c r="I149" i="32"/>
  <c r="F149" i="32"/>
  <c r="D149" i="32"/>
  <c r="C149" i="32"/>
  <c r="B149" i="32"/>
  <c r="J148" i="32"/>
  <c r="I148" i="32"/>
  <c r="F148" i="32"/>
  <c r="D148" i="32"/>
  <c r="C148" i="32"/>
  <c r="B148" i="32"/>
  <c r="I147" i="32"/>
  <c r="J147" i="32" s="1"/>
  <c r="F147" i="32"/>
  <c r="D147" i="32"/>
  <c r="C147" i="32"/>
  <c r="B147" i="32"/>
  <c r="I146" i="32"/>
  <c r="J146" i="32" s="1"/>
  <c r="F146" i="32"/>
  <c r="D146" i="32"/>
  <c r="C146" i="32"/>
  <c r="B146" i="32"/>
  <c r="J145" i="32"/>
  <c r="I145" i="32"/>
  <c r="F145" i="32"/>
  <c r="D145" i="32"/>
  <c r="C145" i="32"/>
  <c r="B145" i="32"/>
  <c r="J144" i="32"/>
  <c r="I144" i="32"/>
  <c r="F144" i="32"/>
  <c r="D144" i="32"/>
  <c r="C144" i="32"/>
  <c r="B144" i="32"/>
  <c r="I143" i="32"/>
  <c r="J143" i="32" s="1"/>
  <c r="F143" i="32"/>
  <c r="D143" i="32"/>
  <c r="C143" i="32"/>
  <c r="B143" i="32"/>
  <c r="I142" i="32"/>
  <c r="J142" i="32" s="1"/>
  <c r="F142" i="32"/>
  <c r="D142" i="32"/>
  <c r="C142" i="32"/>
  <c r="B142" i="32"/>
  <c r="J141" i="32"/>
  <c r="I141" i="32"/>
  <c r="F141" i="32"/>
  <c r="D141" i="32"/>
  <c r="C141" i="32"/>
  <c r="B141" i="32"/>
  <c r="J140" i="32"/>
  <c r="I140" i="32"/>
  <c r="F140" i="32"/>
  <c r="D140" i="32"/>
  <c r="C140" i="32"/>
  <c r="B140" i="32"/>
  <c r="I139" i="32"/>
  <c r="J139" i="32" s="1"/>
  <c r="F139" i="32"/>
  <c r="D139" i="32"/>
  <c r="C139" i="32"/>
  <c r="B139" i="32"/>
  <c r="I138" i="32"/>
  <c r="J138" i="32" s="1"/>
  <c r="F138" i="32"/>
  <c r="D138" i="32"/>
  <c r="C138" i="32"/>
  <c r="B138" i="32"/>
  <c r="J137" i="32"/>
  <c r="I137" i="32"/>
  <c r="F137" i="32"/>
  <c r="D137" i="32"/>
  <c r="C137" i="32"/>
  <c r="B137" i="32"/>
  <c r="J136" i="32"/>
  <c r="I136" i="32"/>
  <c r="F136" i="32"/>
  <c r="D136" i="32"/>
  <c r="C136" i="32"/>
  <c r="B136" i="32"/>
  <c r="I135" i="32"/>
  <c r="J135" i="32" s="1"/>
  <c r="F135" i="32"/>
  <c r="D135" i="32"/>
  <c r="C135" i="32"/>
  <c r="B135" i="32"/>
  <c r="I134" i="32"/>
  <c r="J134" i="32" s="1"/>
  <c r="F134" i="32"/>
  <c r="D134" i="32"/>
  <c r="C134" i="32"/>
  <c r="B134" i="32"/>
  <c r="J133" i="32"/>
  <c r="I133" i="32"/>
  <c r="F133" i="32"/>
  <c r="D133" i="32"/>
  <c r="C133" i="32"/>
  <c r="B133" i="32"/>
  <c r="J132" i="32"/>
  <c r="I132" i="32"/>
  <c r="F132" i="32"/>
  <c r="D132" i="32"/>
  <c r="C132" i="32"/>
  <c r="B132" i="32"/>
  <c r="I131" i="32"/>
  <c r="J131" i="32" s="1"/>
  <c r="F131" i="32"/>
  <c r="D131" i="32"/>
  <c r="C131" i="32"/>
  <c r="B131" i="32"/>
  <c r="I130" i="32"/>
  <c r="J130" i="32" s="1"/>
  <c r="F130" i="32"/>
  <c r="D130" i="32"/>
  <c r="C130" i="32"/>
  <c r="B130" i="32"/>
  <c r="J129" i="32"/>
  <c r="I129" i="32"/>
  <c r="F129" i="32"/>
  <c r="D129" i="32"/>
  <c r="C129" i="32"/>
  <c r="B129" i="32"/>
  <c r="J128" i="32"/>
  <c r="I128" i="32"/>
  <c r="F128" i="32"/>
  <c r="D128" i="32"/>
  <c r="C128" i="32"/>
  <c r="B128" i="32"/>
  <c r="I127" i="32"/>
  <c r="J127" i="32" s="1"/>
  <c r="F127" i="32"/>
  <c r="D127" i="32"/>
  <c r="C127" i="32"/>
  <c r="B127" i="32"/>
  <c r="I126" i="32"/>
  <c r="J126" i="32" s="1"/>
  <c r="F126" i="32"/>
  <c r="D126" i="32"/>
  <c r="C126" i="32"/>
  <c r="B126" i="32"/>
  <c r="J125" i="32"/>
  <c r="I125" i="32"/>
  <c r="F125" i="32"/>
  <c r="D125" i="32"/>
  <c r="C125" i="32"/>
  <c r="B125" i="32"/>
  <c r="J124" i="32"/>
  <c r="I124" i="32"/>
  <c r="F124" i="32"/>
  <c r="D124" i="32"/>
  <c r="C124" i="32"/>
  <c r="B124" i="32"/>
  <c r="I123" i="32"/>
  <c r="J123" i="32" s="1"/>
  <c r="F123" i="32"/>
  <c r="D123" i="32"/>
  <c r="C123" i="32"/>
  <c r="B123" i="32"/>
  <c r="I122" i="32"/>
  <c r="J122" i="32" s="1"/>
  <c r="F122" i="32"/>
  <c r="D122" i="32"/>
  <c r="C122" i="32"/>
  <c r="B122" i="32"/>
  <c r="J121" i="32"/>
  <c r="I121" i="32"/>
  <c r="F121" i="32"/>
  <c r="D121" i="32"/>
  <c r="C121" i="32"/>
  <c r="B121" i="32"/>
  <c r="J120" i="32"/>
  <c r="I120" i="32"/>
  <c r="F120" i="32"/>
  <c r="D120" i="32"/>
  <c r="C120" i="32"/>
  <c r="B120" i="32"/>
  <c r="I119" i="32"/>
  <c r="J119" i="32" s="1"/>
  <c r="F119" i="32"/>
  <c r="D119" i="32"/>
  <c r="C119" i="32"/>
  <c r="B119" i="32"/>
  <c r="I118" i="32"/>
  <c r="J118" i="32" s="1"/>
  <c r="F118" i="32"/>
  <c r="D118" i="32"/>
  <c r="C118" i="32"/>
  <c r="B118" i="32"/>
  <c r="J117" i="32"/>
  <c r="I117" i="32"/>
  <c r="F117" i="32"/>
  <c r="D117" i="32"/>
  <c r="C117" i="32"/>
  <c r="B117" i="32"/>
  <c r="J116" i="32"/>
  <c r="I116" i="32"/>
  <c r="F116" i="32"/>
  <c r="D116" i="32"/>
  <c r="C116" i="32"/>
  <c r="B116" i="32"/>
  <c r="I115" i="32"/>
  <c r="J115" i="32" s="1"/>
  <c r="F115" i="32"/>
  <c r="D115" i="32"/>
  <c r="C115" i="32"/>
  <c r="B115" i="32"/>
  <c r="I114" i="32"/>
  <c r="J114" i="32" s="1"/>
  <c r="F114" i="32"/>
  <c r="D114" i="32"/>
  <c r="C114" i="32"/>
  <c r="B114" i="32"/>
  <c r="J113" i="32"/>
  <c r="I113" i="32"/>
  <c r="F113" i="32"/>
  <c r="D113" i="32"/>
  <c r="C113" i="32"/>
  <c r="B113" i="32"/>
  <c r="J112" i="32"/>
  <c r="I112" i="32"/>
  <c r="F112" i="32"/>
  <c r="D112" i="32"/>
  <c r="C112" i="32"/>
  <c r="B112" i="32"/>
  <c r="I111" i="32"/>
  <c r="J111" i="32" s="1"/>
  <c r="F111" i="32"/>
  <c r="D111" i="32"/>
  <c r="C111" i="32"/>
  <c r="B111" i="32"/>
  <c r="I110" i="32"/>
  <c r="J110" i="32" s="1"/>
  <c r="F110" i="32"/>
  <c r="D110" i="32"/>
  <c r="C110" i="32"/>
  <c r="B110" i="32"/>
  <c r="J109" i="32"/>
  <c r="I109" i="32"/>
  <c r="F109" i="32"/>
  <c r="D109" i="32"/>
  <c r="C109" i="32"/>
  <c r="B109" i="32"/>
  <c r="J108" i="32"/>
  <c r="I108" i="32"/>
  <c r="F108" i="32"/>
  <c r="D108" i="32"/>
  <c r="C108" i="32"/>
  <c r="B108" i="32"/>
  <c r="I107" i="32"/>
  <c r="J107" i="32" s="1"/>
  <c r="F107" i="32"/>
  <c r="D107" i="32"/>
  <c r="C107" i="32"/>
  <c r="B107" i="32"/>
  <c r="I106" i="32"/>
  <c r="J106" i="32" s="1"/>
  <c r="F106" i="32"/>
  <c r="D106" i="32"/>
  <c r="C106" i="32"/>
  <c r="B106" i="32"/>
  <c r="J105" i="32"/>
  <c r="I105" i="32"/>
  <c r="F105" i="32"/>
  <c r="D105" i="32"/>
  <c r="C105" i="32"/>
  <c r="B105" i="32"/>
  <c r="J104" i="32"/>
  <c r="I104" i="32"/>
  <c r="F104" i="32"/>
  <c r="D104" i="32"/>
  <c r="C104" i="32"/>
  <c r="B104" i="32"/>
  <c r="I103" i="32"/>
  <c r="J103" i="32" s="1"/>
  <c r="F103" i="32"/>
  <c r="D103" i="32"/>
  <c r="C103" i="32"/>
  <c r="B103" i="32"/>
  <c r="I102" i="32"/>
  <c r="J102" i="32" s="1"/>
  <c r="F102" i="32"/>
  <c r="D102" i="32"/>
  <c r="C102" i="32"/>
  <c r="B102" i="32"/>
  <c r="J101" i="32"/>
  <c r="I101" i="32"/>
  <c r="F101" i="32"/>
  <c r="D101" i="32"/>
  <c r="C101" i="32"/>
  <c r="B101" i="32"/>
  <c r="J100" i="32"/>
  <c r="I100" i="32"/>
  <c r="F100" i="32"/>
  <c r="D100" i="32"/>
  <c r="C100" i="32"/>
  <c r="B100" i="32"/>
  <c r="I99" i="32"/>
  <c r="J99" i="32" s="1"/>
  <c r="F99" i="32"/>
  <c r="D99" i="32"/>
  <c r="C99" i="32"/>
  <c r="B99" i="32"/>
  <c r="I98" i="32"/>
  <c r="J98" i="32" s="1"/>
  <c r="F98" i="32"/>
  <c r="D98" i="32"/>
  <c r="C98" i="32"/>
  <c r="B98" i="32"/>
  <c r="J97" i="32"/>
  <c r="I97" i="32"/>
  <c r="F97" i="32"/>
  <c r="D97" i="32"/>
  <c r="C97" i="32"/>
  <c r="B97" i="32"/>
  <c r="J96" i="32"/>
  <c r="I96" i="32"/>
  <c r="F96" i="32"/>
  <c r="D96" i="32"/>
  <c r="C96" i="32"/>
  <c r="B96" i="32"/>
  <c r="I95" i="32"/>
  <c r="J95" i="32" s="1"/>
  <c r="F95" i="32"/>
  <c r="D95" i="32"/>
  <c r="C95" i="32"/>
  <c r="B95" i="32"/>
  <c r="I94" i="32"/>
  <c r="J94" i="32" s="1"/>
  <c r="F94" i="32"/>
  <c r="D94" i="32"/>
  <c r="C94" i="32"/>
  <c r="B94" i="32"/>
  <c r="J93" i="32"/>
  <c r="I93" i="32"/>
  <c r="F93" i="32"/>
  <c r="D93" i="32"/>
  <c r="C93" i="32"/>
  <c r="B93" i="32"/>
  <c r="J92" i="32"/>
  <c r="I92" i="32"/>
  <c r="F92" i="32"/>
  <c r="D92" i="32"/>
  <c r="C92" i="32"/>
  <c r="B92" i="32"/>
  <c r="I91" i="32"/>
  <c r="J91" i="32" s="1"/>
  <c r="F91" i="32"/>
  <c r="D91" i="32"/>
  <c r="C91" i="32"/>
  <c r="B91" i="32"/>
  <c r="I90" i="32"/>
  <c r="J90" i="32" s="1"/>
  <c r="F90" i="32"/>
  <c r="D90" i="32"/>
  <c r="C90" i="32"/>
  <c r="B90" i="32"/>
  <c r="J89" i="32"/>
  <c r="I89" i="32"/>
  <c r="F89" i="32"/>
  <c r="D89" i="32"/>
  <c r="C89" i="32"/>
  <c r="B89" i="32"/>
  <c r="J88" i="32"/>
  <c r="I88" i="32"/>
  <c r="F88" i="32"/>
  <c r="D88" i="32"/>
  <c r="C88" i="32"/>
  <c r="B88" i="32"/>
  <c r="I87" i="32"/>
  <c r="J87" i="32" s="1"/>
  <c r="F87" i="32"/>
  <c r="D87" i="32"/>
  <c r="C87" i="32"/>
  <c r="B87" i="32"/>
  <c r="I86" i="32"/>
  <c r="J86" i="32" s="1"/>
  <c r="F86" i="32"/>
  <c r="D86" i="32"/>
  <c r="C86" i="32"/>
  <c r="B86" i="32"/>
  <c r="J85" i="32"/>
  <c r="I85" i="32"/>
  <c r="F85" i="32"/>
  <c r="D85" i="32"/>
  <c r="C85" i="32"/>
  <c r="B85" i="32"/>
  <c r="J84" i="32"/>
  <c r="I84" i="32"/>
  <c r="F84" i="32"/>
  <c r="D84" i="32"/>
  <c r="C84" i="32"/>
  <c r="B84" i="32"/>
  <c r="I83" i="32"/>
  <c r="J83" i="32" s="1"/>
  <c r="F83" i="32"/>
  <c r="D83" i="32"/>
  <c r="C83" i="32"/>
  <c r="B83" i="32"/>
  <c r="I82" i="32"/>
  <c r="J82" i="32" s="1"/>
  <c r="F82" i="32"/>
  <c r="D82" i="32"/>
  <c r="C82" i="32"/>
  <c r="B82" i="32"/>
  <c r="J81" i="32"/>
  <c r="I81" i="32"/>
  <c r="F81" i="32"/>
  <c r="D81" i="32"/>
  <c r="C81" i="32"/>
  <c r="B81" i="32"/>
  <c r="J80" i="32"/>
  <c r="I80" i="32"/>
  <c r="F80" i="32"/>
  <c r="D80" i="32"/>
  <c r="C80" i="32"/>
  <c r="B80" i="32"/>
  <c r="I79" i="32"/>
  <c r="J79" i="32" s="1"/>
  <c r="F79" i="32"/>
  <c r="D79" i="32"/>
  <c r="C79" i="32"/>
  <c r="B79" i="32"/>
  <c r="I78" i="32"/>
  <c r="J78" i="32" s="1"/>
  <c r="F78" i="32"/>
  <c r="D78" i="32"/>
  <c r="C78" i="32"/>
  <c r="B78" i="32"/>
  <c r="J77" i="32"/>
  <c r="I77" i="32"/>
  <c r="F77" i="32"/>
  <c r="D77" i="32"/>
  <c r="C77" i="32"/>
  <c r="B77" i="32"/>
  <c r="J76" i="32"/>
  <c r="I76" i="32"/>
  <c r="F76" i="32"/>
  <c r="D76" i="32"/>
  <c r="C76" i="32"/>
  <c r="B76" i="32"/>
  <c r="I75" i="32"/>
  <c r="J75" i="32" s="1"/>
  <c r="F75" i="32"/>
  <c r="D75" i="32"/>
  <c r="C75" i="32"/>
  <c r="B75" i="32"/>
  <c r="I74" i="32"/>
  <c r="J74" i="32" s="1"/>
  <c r="F74" i="32"/>
  <c r="D74" i="32"/>
  <c r="C74" i="32"/>
  <c r="B74" i="32"/>
  <c r="J73" i="32"/>
  <c r="I73" i="32"/>
  <c r="F73" i="32"/>
  <c r="D73" i="32"/>
  <c r="C73" i="32"/>
  <c r="B73" i="32"/>
  <c r="J72" i="32"/>
  <c r="I72" i="32"/>
  <c r="F72" i="32"/>
  <c r="D72" i="32"/>
  <c r="C72" i="32"/>
  <c r="B72" i="32"/>
  <c r="I71" i="32"/>
  <c r="J71" i="32" s="1"/>
  <c r="F71" i="32"/>
  <c r="D71" i="32"/>
  <c r="C71" i="32"/>
  <c r="B71" i="32"/>
  <c r="I70" i="32"/>
  <c r="J70" i="32" s="1"/>
  <c r="F70" i="32"/>
  <c r="D70" i="32"/>
  <c r="C70" i="32"/>
  <c r="B70" i="32"/>
  <c r="J69" i="32"/>
  <c r="I69" i="32"/>
  <c r="F69" i="32"/>
  <c r="D69" i="32"/>
  <c r="C69" i="32"/>
  <c r="B69" i="32"/>
  <c r="J68" i="32"/>
  <c r="I68" i="32"/>
  <c r="F68" i="32"/>
  <c r="D68" i="32"/>
  <c r="C68" i="32"/>
  <c r="B68" i="32"/>
  <c r="I67" i="32"/>
  <c r="J67" i="32" s="1"/>
  <c r="F67" i="32"/>
  <c r="D67" i="32"/>
  <c r="C67" i="32"/>
  <c r="B67" i="32"/>
  <c r="I66" i="32"/>
  <c r="J66" i="32" s="1"/>
  <c r="F66" i="32"/>
  <c r="D66" i="32"/>
  <c r="C66" i="32"/>
  <c r="B66" i="32"/>
  <c r="J65" i="32"/>
  <c r="I65" i="32"/>
  <c r="F65" i="32"/>
  <c r="D65" i="32"/>
  <c r="C65" i="32"/>
  <c r="B65" i="32"/>
  <c r="J64" i="32"/>
  <c r="I64" i="32"/>
  <c r="F64" i="32"/>
  <c r="D64" i="32"/>
  <c r="C64" i="32"/>
  <c r="B64" i="32"/>
  <c r="I63" i="32"/>
  <c r="J63" i="32" s="1"/>
  <c r="F63" i="32"/>
  <c r="D63" i="32"/>
  <c r="C63" i="32"/>
  <c r="B63" i="32"/>
  <c r="I62" i="32"/>
  <c r="J62" i="32" s="1"/>
  <c r="F62" i="32"/>
  <c r="D62" i="32"/>
  <c r="C62" i="32"/>
  <c r="B62" i="32"/>
  <c r="J61" i="32"/>
  <c r="I61" i="32"/>
  <c r="F61" i="32"/>
  <c r="D61" i="32"/>
  <c r="C61" i="32"/>
  <c r="B61" i="32"/>
  <c r="J60" i="32"/>
  <c r="I60" i="32"/>
  <c r="F60" i="32"/>
  <c r="D60" i="32"/>
  <c r="C60" i="32"/>
  <c r="B60" i="32"/>
  <c r="I59" i="32"/>
  <c r="J59" i="32" s="1"/>
  <c r="F59" i="32"/>
  <c r="D59" i="32"/>
  <c r="C59" i="32"/>
  <c r="B59" i="32"/>
  <c r="I58" i="32"/>
  <c r="J58" i="32" s="1"/>
  <c r="F58" i="32"/>
  <c r="D58" i="32"/>
  <c r="C58" i="32"/>
  <c r="B58" i="32"/>
  <c r="J57" i="32"/>
  <c r="I57" i="32"/>
  <c r="F57" i="32"/>
  <c r="D57" i="32"/>
  <c r="C57" i="32"/>
  <c r="B57" i="32"/>
  <c r="J56" i="32"/>
  <c r="I56" i="32"/>
  <c r="F56" i="32"/>
  <c r="D56" i="32"/>
  <c r="C56" i="32"/>
  <c r="B56" i="32"/>
  <c r="I55" i="32"/>
  <c r="J55" i="32" s="1"/>
  <c r="F55" i="32"/>
  <c r="D55" i="32"/>
  <c r="C55" i="32"/>
  <c r="B55" i="32"/>
  <c r="I54" i="32"/>
  <c r="J54" i="32" s="1"/>
  <c r="F54" i="32"/>
  <c r="D54" i="32"/>
  <c r="C54" i="32"/>
  <c r="B54" i="32"/>
  <c r="J53" i="32"/>
  <c r="I53" i="32"/>
  <c r="F53" i="32"/>
  <c r="D53" i="32"/>
  <c r="C53" i="32"/>
  <c r="B53" i="32"/>
  <c r="J52" i="32"/>
  <c r="I52" i="32"/>
  <c r="F52" i="32"/>
  <c r="D52" i="32"/>
  <c r="C52" i="32"/>
  <c r="B52" i="32"/>
  <c r="I51" i="32"/>
  <c r="J51" i="32" s="1"/>
  <c r="F51" i="32"/>
  <c r="D51" i="32"/>
  <c r="C51" i="32"/>
  <c r="B51" i="32"/>
  <c r="I50" i="32"/>
  <c r="J50" i="32" s="1"/>
  <c r="F50" i="32"/>
  <c r="D50" i="32"/>
  <c r="C50" i="32"/>
  <c r="B50" i="32"/>
  <c r="J49" i="32"/>
  <c r="I49" i="32"/>
  <c r="F49" i="32"/>
  <c r="D49" i="32"/>
  <c r="C49" i="32"/>
  <c r="B49" i="32"/>
  <c r="J48" i="32"/>
  <c r="I48" i="32"/>
  <c r="F48" i="32"/>
  <c r="D48" i="32"/>
  <c r="C48" i="32"/>
  <c r="B48" i="32"/>
  <c r="I47" i="32"/>
  <c r="J47" i="32" s="1"/>
  <c r="F47" i="32"/>
  <c r="D47" i="32"/>
  <c r="C47" i="32"/>
  <c r="B47" i="32"/>
  <c r="I46" i="32"/>
  <c r="J46" i="32" s="1"/>
  <c r="F46" i="32"/>
  <c r="D46" i="32"/>
  <c r="C46" i="32"/>
  <c r="B46" i="32"/>
  <c r="J45" i="32"/>
  <c r="I45" i="32"/>
  <c r="F45" i="32"/>
  <c r="D45" i="32"/>
  <c r="C45" i="32"/>
  <c r="B45" i="32"/>
  <c r="J44" i="32"/>
  <c r="I44" i="32"/>
  <c r="F44" i="32"/>
  <c r="D44" i="32"/>
  <c r="C44" i="32"/>
  <c r="B44" i="32"/>
  <c r="I43" i="32"/>
  <c r="J43" i="32" s="1"/>
  <c r="F43" i="32"/>
  <c r="D43" i="32"/>
  <c r="C43" i="32"/>
  <c r="B43" i="32"/>
  <c r="I42" i="32"/>
  <c r="J42" i="32" s="1"/>
  <c r="F42" i="32"/>
  <c r="D42" i="32"/>
  <c r="C42" i="32"/>
  <c r="B42" i="32"/>
  <c r="J41" i="32"/>
  <c r="I41" i="32"/>
  <c r="F41" i="32"/>
  <c r="D41" i="32"/>
  <c r="C41" i="32"/>
  <c r="B41" i="32"/>
  <c r="J40" i="32"/>
  <c r="I40" i="32"/>
  <c r="F40" i="32"/>
  <c r="D40" i="32"/>
  <c r="C40" i="32"/>
  <c r="B40" i="32"/>
  <c r="I39" i="32"/>
  <c r="J39" i="32" s="1"/>
  <c r="F39" i="32"/>
  <c r="D39" i="32"/>
  <c r="C39" i="32"/>
  <c r="B39" i="32"/>
  <c r="I38" i="32"/>
  <c r="J38" i="32" s="1"/>
  <c r="F38" i="32"/>
  <c r="D38" i="32"/>
  <c r="C38" i="32"/>
  <c r="B38" i="32"/>
  <c r="J37" i="32"/>
  <c r="I37" i="32"/>
  <c r="F37" i="32"/>
  <c r="D37" i="32"/>
  <c r="C37" i="32"/>
  <c r="B37" i="32"/>
  <c r="J36" i="32"/>
  <c r="I36" i="32"/>
  <c r="F36" i="32"/>
  <c r="D36" i="32"/>
  <c r="C36" i="32"/>
  <c r="B36" i="32"/>
  <c r="I35" i="32"/>
  <c r="J35" i="32" s="1"/>
  <c r="F35" i="32"/>
  <c r="D35" i="32"/>
  <c r="C35" i="32"/>
  <c r="B35" i="32"/>
  <c r="I34" i="32"/>
  <c r="J34" i="32" s="1"/>
  <c r="F34" i="32"/>
  <c r="D34" i="32"/>
  <c r="C34" i="32"/>
  <c r="B34" i="32"/>
  <c r="J33" i="32"/>
  <c r="I33" i="32"/>
  <c r="F33" i="32"/>
  <c r="D33" i="32"/>
  <c r="C33" i="32"/>
  <c r="B33" i="32"/>
  <c r="J32" i="32"/>
  <c r="I32" i="32"/>
  <c r="F32" i="32"/>
  <c r="D32" i="32"/>
  <c r="C32" i="32"/>
  <c r="B32" i="32"/>
  <c r="I31" i="32"/>
  <c r="J31" i="32" s="1"/>
  <c r="F31" i="32"/>
  <c r="D31" i="32"/>
  <c r="C31" i="32"/>
  <c r="B31" i="32"/>
  <c r="I30" i="32"/>
  <c r="J30" i="32" s="1"/>
  <c r="F30" i="32"/>
  <c r="D30" i="32"/>
  <c r="C30" i="32"/>
  <c r="B30" i="32"/>
  <c r="J29" i="32"/>
  <c r="I29" i="32"/>
  <c r="F29" i="32"/>
  <c r="D29" i="32"/>
  <c r="C29" i="32"/>
  <c r="B29" i="32"/>
  <c r="J28" i="32"/>
  <c r="I28" i="32"/>
  <c r="F28" i="32"/>
  <c r="D28" i="32"/>
  <c r="C28" i="32"/>
  <c r="B28" i="32"/>
  <c r="I27" i="32"/>
  <c r="J27" i="32" s="1"/>
  <c r="F27" i="32"/>
  <c r="D27" i="32"/>
  <c r="C27" i="32"/>
  <c r="B27" i="32"/>
  <c r="I26" i="32"/>
  <c r="J26" i="32" s="1"/>
  <c r="F26" i="32"/>
  <c r="D26" i="32"/>
  <c r="C26" i="32"/>
  <c r="B26" i="32"/>
  <c r="J25" i="32"/>
  <c r="I25" i="32"/>
  <c r="F25" i="32"/>
  <c r="D25" i="32"/>
  <c r="C25" i="32"/>
  <c r="B25" i="32"/>
  <c r="J24" i="32"/>
  <c r="I24" i="32"/>
  <c r="F24" i="32"/>
  <c r="D24" i="32"/>
  <c r="C24" i="32"/>
  <c r="B24" i="32"/>
  <c r="I23" i="32"/>
  <c r="J23" i="32" s="1"/>
  <c r="F23" i="32"/>
  <c r="D23" i="32"/>
  <c r="C23" i="32"/>
  <c r="B23" i="32"/>
  <c r="I22" i="32"/>
  <c r="J22" i="32" s="1"/>
  <c r="F22" i="32"/>
  <c r="D22" i="32"/>
  <c r="C22" i="32"/>
  <c r="B22" i="32"/>
  <c r="J21" i="32"/>
  <c r="I21" i="32"/>
  <c r="F21" i="32"/>
  <c r="D21" i="32"/>
  <c r="C21" i="32"/>
  <c r="B21" i="32"/>
  <c r="J20" i="32"/>
  <c r="I20" i="32"/>
  <c r="F20" i="32"/>
  <c r="D20" i="32"/>
  <c r="C20" i="32"/>
  <c r="B20" i="32"/>
  <c r="I19" i="32"/>
  <c r="J19" i="32" s="1"/>
  <c r="F19" i="32"/>
  <c r="D19" i="32"/>
  <c r="C19" i="32"/>
  <c r="B19" i="32"/>
  <c r="I18" i="32"/>
  <c r="J18" i="32" s="1"/>
  <c r="F18" i="32"/>
  <c r="D18" i="32"/>
  <c r="C18" i="32"/>
  <c r="B18" i="32"/>
  <c r="J17" i="32"/>
  <c r="I17" i="32"/>
  <c r="F17" i="32"/>
  <c r="D17" i="32"/>
  <c r="C17" i="32"/>
  <c r="B17" i="32"/>
  <c r="J16" i="32"/>
  <c r="I16" i="32"/>
  <c r="F16" i="32"/>
  <c r="D16" i="32"/>
  <c r="C16" i="32"/>
  <c r="B16" i="32"/>
  <c r="I15" i="32"/>
  <c r="J15" i="32" s="1"/>
  <c r="F15" i="32"/>
  <c r="D15" i="32"/>
  <c r="C15" i="32"/>
  <c r="B15" i="32"/>
  <c r="I14" i="32"/>
  <c r="J14" i="32" s="1"/>
  <c r="F14" i="32"/>
  <c r="D14" i="32"/>
  <c r="C14" i="32"/>
  <c r="B14" i="32"/>
  <c r="J13" i="32"/>
  <c r="I13" i="32"/>
  <c r="F13" i="32"/>
  <c r="D13" i="32"/>
  <c r="C13" i="32"/>
  <c r="B13" i="32"/>
  <c r="J12" i="32"/>
  <c r="I12" i="32"/>
  <c r="F12" i="32"/>
  <c r="D12" i="32"/>
  <c r="C12" i="32"/>
  <c r="B12" i="32"/>
  <c r="I11" i="32"/>
  <c r="J11" i="32" s="1"/>
  <c r="F11" i="32"/>
  <c r="D11" i="32"/>
  <c r="C11" i="32"/>
  <c r="B11" i="32"/>
  <c r="I10" i="32"/>
  <c r="J10" i="32" s="1"/>
  <c r="F10" i="32"/>
  <c r="D10" i="32"/>
  <c r="C10" i="32"/>
  <c r="B10" i="32"/>
  <c r="J9" i="32"/>
  <c r="I9" i="32"/>
  <c r="F9" i="32"/>
  <c r="D9" i="32"/>
  <c r="C9" i="32"/>
  <c r="B9" i="32"/>
  <c r="G4" i="32"/>
  <c r="K213" i="31"/>
  <c r="I213" i="31"/>
  <c r="J213" i="31" s="1"/>
  <c r="D213" i="31"/>
  <c r="C213" i="31"/>
  <c r="A213" i="31"/>
  <c r="K212" i="31"/>
  <c r="J212" i="31"/>
  <c r="I212" i="31"/>
  <c r="D212" i="31"/>
  <c r="C212" i="31"/>
  <c r="A212" i="31"/>
  <c r="K211" i="31"/>
  <c r="J211" i="31"/>
  <c r="I211" i="31"/>
  <c r="D211" i="31"/>
  <c r="C211" i="31"/>
  <c r="A211" i="31"/>
  <c r="K210" i="31"/>
  <c r="I210" i="31"/>
  <c r="J210" i="31" s="1"/>
  <c r="D210" i="31"/>
  <c r="C210" i="31"/>
  <c r="A210" i="31"/>
  <c r="K209" i="31"/>
  <c r="I209" i="31"/>
  <c r="J209" i="31" s="1"/>
  <c r="D209" i="31"/>
  <c r="C209" i="31"/>
  <c r="A209" i="31"/>
  <c r="K208" i="31"/>
  <c r="J208" i="31"/>
  <c r="I208" i="31"/>
  <c r="D208" i="31"/>
  <c r="C208" i="31"/>
  <c r="A208" i="31"/>
  <c r="K207" i="31"/>
  <c r="J207" i="31"/>
  <c r="I207" i="31"/>
  <c r="D207" i="31"/>
  <c r="C207" i="31"/>
  <c r="A207" i="31"/>
  <c r="K206" i="31"/>
  <c r="I206" i="31"/>
  <c r="J206" i="31" s="1"/>
  <c r="D206" i="31"/>
  <c r="C206" i="31"/>
  <c r="A206" i="31"/>
  <c r="K205" i="31"/>
  <c r="I205" i="31"/>
  <c r="J205" i="31" s="1"/>
  <c r="D205" i="31"/>
  <c r="C205" i="31"/>
  <c r="A205" i="31"/>
  <c r="K204" i="31"/>
  <c r="J204" i="31"/>
  <c r="I204" i="31"/>
  <c r="D204" i="31"/>
  <c r="C204" i="31"/>
  <c r="A204" i="31"/>
  <c r="K203" i="31"/>
  <c r="J203" i="31"/>
  <c r="I203" i="31"/>
  <c r="D203" i="31"/>
  <c r="C203" i="31"/>
  <c r="A203" i="31"/>
  <c r="K202" i="31"/>
  <c r="I202" i="31"/>
  <c r="J202" i="31" s="1"/>
  <c r="D202" i="31"/>
  <c r="C202" i="31"/>
  <c r="A202" i="31"/>
  <c r="K201" i="31"/>
  <c r="I201" i="31"/>
  <c r="J201" i="31" s="1"/>
  <c r="D201" i="31"/>
  <c r="C201" i="31"/>
  <c r="A201" i="31"/>
  <c r="K200" i="31"/>
  <c r="J200" i="31"/>
  <c r="I200" i="31"/>
  <c r="D200" i="31"/>
  <c r="C200" i="31"/>
  <c r="A200" i="31"/>
  <c r="K199" i="31"/>
  <c r="J199" i="31"/>
  <c r="I199" i="31"/>
  <c r="D199" i="31"/>
  <c r="C199" i="31"/>
  <c r="A199" i="31"/>
  <c r="K198" i="31"/>
  <c r="I198" i="31"/>
  <c r="J198" i="31" s="1"/>
  <c r="D198" i="31"/>
  <c r="C198" i="31"/>
  <c r="A198" i="31"/>
  <c r="K197" i="31"/>
  <c r="I197" i="31"/>
  <c r="J197" i="31" s="1"/>
  <c r="D197" i="31"/>
  <c r="C197" i="31"/>
  <c r="A197" i="31"/>
  <c r="K196" i="31"/>
  <c r="J196" i="31"/>
  <c r="I196" i="31"/>
  <c r="D196" i="31"/>
  <c r="C196" i="31"/>
  <c r="A196" i="31"/>
  <c r="K195" i="31"/>
  <c r="J195" i="31"/>
  <c r="I195" i="31"/>
  <c r="D195" i="31"/>
  <c r="C195" i="31"/>
  <c r="A195" i="31"/>
  <c r="K194" i="31"/>
  <c r="I194" i="31"/>
  <c r="J194" i="31" s="1"/>
  <c r="D194" i="31"/>
  <c r="C194" i="31"/>
  <c r="A194" i="31"/>
  <c r="K193" i="31"/>
  <c r="I193" i="31"/>
  <c r="J193" i="31" s="1"/>
  <c r="D193" i="31"/>
  <c r="C193" i="31"/>
  <c r="A193" i="31"/>
  <c r="K192" i="31"/>
  <c r="J192" i="31"/>
  <c r="I192" i="31"/>
  <c r="D192" i="31"/>
  <c r="C192" i="31"/>
  <c r="A192" i="31"/>
  <c r="K191" i="31"/>
  <c r="J191" i="31"/>
  <c r="I191" i="31"/>
  <c r="D191" i="31"/>
  <c r="C191" i="31"/>
  <c r="A191" i="31"/>
  <c r="K190" i="31"/>
  <c r="I190" i="31"/>
  <c r="J190" i="31" s="1"/>
  <c r="D190" i="31"/>
  <c r="C190" i="31"/>
  <c r="A190" i="31"/>
  <c r="K189" i="31"/>
  <c r="I189" i="31"/>
  <c r="J189" i="31" s="1"/>
  <c r="D189" i="31"/>
  <c r="C189" i="31"/>
  <c r="A189" i="31"/>
  <c r="K188" i="31"/>
  <c r="J188" i="31"/>
  <c r="I188" i="31"/>
  <c r="D188" i="31"/>
  <c r="C188" i="31"/>
  <c r="A188" i="31"/>
  <c r="K187" i="31"/>
  <c r="J187" i="31"/>
  <c r="I187" i="31"/>
  <c r="D187" i="31"/>
  <c r="C187" i="31"/>
  <c r="A187" i="31"/>
  <c r="K186" i="31"/>
  <c r="I186" i="31"/>
  <c r="J186" i="31" s="1"/>
  <c r="D186" i="31"/>
  <c r="C186" i="31"/>
  <c r="A186" i="31"/>
  <c r="K185" i="31"/>
  <c r="I185" i="31"/>
  <c r="J185" i="31" s="1"/>
  <c r="D185" i="31"/>
  <c r="C185" i="31"/>
  <c r="A185" i="31"/>
  <c r="K184" i="31"/>
  <c r="J184" i="31"/>
  <c r="I184" i="31"/>
  <c r="D184" i="31"/>
  <c r="C184" i="31"/>
  <c r="A184" i="31"/>
  <c r="K183" i="31"/>
  <c r="J183" i="31"/>
  <c r="I183" i="31"/>
  <c r="D183" i="31"/>
  <c r="C183" i="31"/>
  <c r="A183" i="31"/>
  <c r="K182" i="31"/>
  <c r="I182" i="31"/>
  <c r="J182" i="31" s="1"/>
  <c r="D182" i="31"/>
  <c r="C182" i="31"/>
  <c r="A182" i="31"/>
  <c r="K181" i="31"/>
  <c r="I181" i="31"/>
  <c r="J181" i="31" s="1"/>
  <c r="D181" i="31"/>
  <c r="C181" i="31"/>
  <c r="A181" i="31"/>
  <c r="K180" i="31"/>
  <c r="J180" i="31"/>
  <c r="I180" i="31"/>
  <c r="D180" i="31"/>
  <c r="C180" i="31"/>
  <c r="A180" i="31"/>
  <c r="K179" i="31"/>
  <c r="J179" i="31"/>
  <c r="I179" i="31"/>
  <c r="D179" i="31"/>
  <c r="C179" i="31"/>
  <c r="A179" i="31"/>
  <c r="K178" i="31"/>
  <c r="I178" i="31"/>
  <c r="J178" i="31" s="1"/>
  <c r="D178" i="31"/>
  <c r="C178" i="31"/>
  <c r="A178" i="31"/>
  <c r="K177" i="31"/>
  <c r="I177" i="31"/>
  <c r="J177" i="31" s="1"/>
  <c r="D177" i="31"/>
  <c r="C177" i="31"/>
  <c r="A177" i="31"/>
  <c r="K176" i="31"/>
  <c r="J176" i="31"/>
  <c r="I176" i="31"/>
  <c r="D176" i="31"/>
  <c r="C176" i="31"/>
  <c r="A176" i="31"/>
  <c r="K175" i="31"/>
  <c r="J175" i="31"/>
  <c r="I175" i="31"/>
  <c r="D175" i="31"/>
  <c r="C175" i="31"/>
  <c r="A175" i="31"/>
  <c r="K174" i="31"/>
  <c r="I174" i="31"/>
  <c r="J174" i="31" s="1"/>
  <c r="D174" i="31"/>
  <c r="C174" i="31"/>
  <c r="A174" i="31"/>
  <c r="K173" i="31"/>
  <c r="I173" i="31"/>
  <c r="J173" i="31" s="1"/>
  <c r="D173" i="31"/>
  <c r="C173" i="31"/>
  <c r="A173" i="31"/>
  <c r="K172" i="31"/>
  <c r="J172" i="31"/>
  <c r="I172" i="31"/>
  <c r="D172" i="31"/>
  <c r="C172" i="31"/>
  <c r="A172" i="31"/>
  <c r="K171" i="31"/>
  <c r="J171" i="31"/>
  <c r="I171" i="31"/>
  <c r="D171" i="31"/>
  <c r="C171" i="31"/>
  <c r="A171" i="31"/>
  <c r="K170" i="31"/>
  <c r="I170" i="31"/>
  <c r="J170" i="31" s="1"/>
  <c r="D170" i="31"/>
  <c r="C170" i="31"/>
  <c r="A170" i="31"/>
  <c r="K169" i="31"/>
  <c r="I169" i="31"/>
  <c r="J169" i="31" s="1"/>
  <c r="D169" i="31"/>
  <c r="C169" i="31"/>
  <c r="A169" i="31"/>
  <c r="K168" i="31"/>
  <c r="J168" i="31"/>
  <c r="I168" i="31"/>
  <c r="D168" i="31"/>
  <c r="C168" i="31"/>
  <c r="A168" i="31"/>
  <c r="K167" i="31"/>
  <c r="J167" i="31"/>
  <c r="I167" i="31"/>
  <c r="D167" i="31"/>
  <c r="C167" i="31"/>
  <c r="A167" i="31"/>
  <c r="K166" i="31"/>
  <c r="I166" i="31"/>
  <c r="J166" i="31" s="1"/>
  <c r="D166" i="31"/>
  <c r="C166" i="31"/>
  <c r="A166" i="31"/>
  <c r="K165" i="31"/>
  <c r="I165" i="31"/>
  <c r="J165" i="31" s="1"/>
  <c r="D165" i="31"/>
  <c r="C165" i="31"/>
  <c r="A165" i="31"/>
  <c r="K164" i="31"/>
  <c r="J164" i="31"/>
  <c r="I164" i="31"/>
  <c r="D164" i="31"/>
  <c r="C164" i="31"/>
  <c r="A164" i="31"/>
  <c r="K163" i="31"/>
  <c r="J163" i="31"/>
  <c r="I163" i="31"/>
  <c r="D163" i="31"/>
  <c r="C163" i="31"/>
  <c r="A163" i="31"/>
  <c r="K162" i="31"/>
  <c r="I162" i="31"/>
  <c r="J162" i="31" s="1"/>
  <c r="D162" i="31"/>
  <c r="C162" i="31"/>
  <c r="A162" i="31"/>
  <c r="K161" i="31"/>
  <c r="J161" i="31"/>
  <c r="I161" i="31"/>
  <c r="D161" i="31"/>
  <c r="C161" i="31"/>
  <c r="A161" i="31"/>
  <c r="K160" i="31"/>
  <c r="J160" i="31"/>
  <c r="I160" i="31"/>
  <c r="D160" i="31"/>
  <c r="C160" i="31"/>
  <c r="A160" i="31"/>
  <c r="K159" i="31"/>
  <c r="J159" i="31"/>
  <c r="I159" i="31"/>
  <c r="D159" i="31"/>
  <c r="C159" i="31"/>
  <c r="A159" i="31"/>
  <c r="K158" i="31"/>
  <c r="I158" i="31"/>
  <c r="J158" i="31" s="1"/>
  <c r="D158" i="31"/>
  <c r="C158" i="31"/>
  <c r="A158" i="31"/>
  <c r="K157" i="31"/>
  <c r="J157" i="31"/>
  <c r="I157" i="31"/>
  <c r="D157" i="31"/>
  <c r="C157" i="31"/>
  <c r="A157" i="31"/>
  <c r="K156" i="31"/>
  <c r="J156" i="31"/>
  <c r="I156" i="31"/>
  <c r="D156" i="31"/>
  <c r="C156" i="31"/>
  <c r="A156" i="31"/>
  <c r="K155" i="31"/>
  <c r="J155" i="31"/>
  <c r="I155" i="31"/>
  <c r="D155" i="31"/>
  <c r="C155" i="31"/>
  <c r="A155" i="31"/>
  <c r="K154" i="31"/>
  <c r="I154" i="31"/>
  <c r="J154" i="31" s="1"/>
  <c r="D154" i="31"/>
  <c r="C154" i="31"/>
  <c r="A154" i="31"/>
  <c r="K153" i="31"/>
  <c r="I153" i="31"/>
  <c r="J153" i="31" s="1"/>
  <c r="D153" i="31"/>
  <c r="C153" i="31"/>
  <c r="A153" i="31"/>
  <c r="K152" i="31"/>
  <c r="J152" i="31"/>
  <c r="I152" i="31"/>
  <c r="D152" i="31"/>
  <c r="C152" i="31"/>
  <c r="A152" i="31"/>
  <c r="K151" i="31"/>
  <c r="J151" i="31"/>
  <c r="I151" i="31"/>
  <c r="D151" i="31"/>
  <c r="C151" i="31"/>
  <c r="A151" i="31"/>
  <c r="K150" i="31"/>
  <c r="I150" i="31"/>
  <c r="J150" i="31" s="1"/>
  <c r="D150" i="31"/>
  <c r="C150" i="31"/>
  <c r="A150" i="31"/>
  <c r="K149" i="31"/>
  <c r="J149" i="31"/>
  <c r="I149" i="31"/>
  <c r="D149" i="31"/>
  <c r="C149" i="31"/>
  <c r="A149" i="31"/>
  <c r="K148" i="31"/>
  <c r="J148" i="31"/>
  <c r="I148" i="31"/>
  <c r="D148" i="31"/>
  <c r="C148" i="31"/>
  <c r="A148" i="31"/>
  <c r="K147" i="31"/>
  <c r="J147" i="31"/>
  <c r="I147" i="31"/>
  <c r="D147" i="31"/>
  <c r="C147" i="31"/>
  <c r="A147" i="31"/>
  <c r="K146" i="31"/>
  <c r="I146" i="31"/>
  <c r="J146" i="31" s="1"/>
  <c r="D146" i="31"/>
  <c r="C146" i="31"/>
  <c r="A146" i="31"/>
  <c r="K145" i="31"/>
  <c r="J145" i="31"/>
  <c r="I145" i="31"/>
  <c r="D145" i="31"/>
  <c r="C145" i="31"/>
  <c r="A145" i="31"/>
  <c r="K144" i="31"/>
  <c r="J144" i="31"/>
  <c r="I144" i="31"/>
  <c r="D144" i="31"/>
  <c r="C144" i="31"/>
  <c r="A144" i="31"/>
  <c r="K143" i="31"/>
  <c r="J143" i="31"/>
  <c r="I143" i="31"/>
  <c r="D143" i="31"/>
  <c r="C143" i="31"/>
  <c r="A143" i="31"/>
  <c r="K142" i="31"/>
  <c r="I142" i="31"/>
  <c r="J142" i="31" s="1"/>
  <c r="D142" i="31"/>
  <c r="C142" i="31"/>
  <c r="A142" i="31"/>
  <c r="K141" i="31"/>
  <c r="J141" i="31"/>
  <c r="I141" i="31"/>
  <c r="D141" i="31"/>
  <c r="C141" i="31"/>
  <c r="A141" i="31"/>
  <c r="K140" i="31"/>
  <c r="J140" i="31"/>
  <c r="I140" i="31"/>
  <c r="D140" i="31"/>
  <c r="C140" i="31"/>
  <c r="A140" i="31"/>
  <c r="K139" i="31"/>
  <c r="J139" i="31"/>
  <c r="I139" i="31"/>
  <c r="D139" i="31"/>
  <c r="C139" i="31"/>
  <c r="A139" i="31"/>
  <c r="K138" i="31"/>
  <c r="I138" i="31"/>
  <c r="J138" i="31" s="1"/>
  <c r="D138" i="31"/>
  <c r="C138" i="31"/>
  <c r="A138" i="31"/>
  <c r="K137" i="31"/>
  <c r="I137" i="31"/>
  <c r="J137" i="31" s="1"/>
  <c r="D137" i="31"/>
  <c r="C137" i="31"/>
  <c r="A137" i="31"/>
  <c r="K136" i="31"/>
  <c r="J136" i="31"/>
  <c r="I136" i="31"/>
  <c r="D136" i="31"/>
  <c r="C136" i="31"/>
  <c r="A136" i="31"/>
  <c r="K135" i="31"/>
  <c r="J135" i="31"/>
  <c r="I135" i="31"/>
  <c r="D135" i="31"/>
  <c r="C135" i="31"/>
  <c r="A135" i="31"/>
  <c r="K134" i="31"/>
  <c r="I134" i="31"/>
  <c r="J134" i="31" s="1"/>
  <c r="D134" i="31"/>
  <c r="C134" i="31"/>
  <c r="A134" i="31"/>
  <c r="K133" i="31"/>
  <c r="I133" i="31"/>
  <c r="J133" i="31" s="1"/>
  <c r="D133" i="31"/>
  <c r="C133" i="31"/>
  <c r="A133" i="31"/>
  <c r="K132" i="31"/>
  <c r="J132" i="31"/>
  <c r="I132" i="31"/>
  <c r="D132" i="31"/>
  <c r="C132" i="31"/>
  <c r="A132" i="31"/>
  <c r="K131" i="31"/>
  <c r="J131" i="31"/>
  <c r="I131" i="31"/>
  <c r="D131" i="31"/>
  <c r="C131" i="31"/>
  <c r="A131" i="31"/>
  <c r="K130" i="31"/>
  <c r="I130" i="31"/>
  <c r="J130" i="31" s="1"/>
  <c r="D130" i="31"/>
  <c r="C130" i="31"/>
  <c r="A130" i="31"/>
  <c r="K129" i="31"/>
  <c r="J129" i="31"/>
  <c r="I129" i="31"/>
  <c r="D129" i="31"/>
  <c r="C129" i="31"/>
  <c r="A129" i="31"/>
  <c r="K128" i="31"/>
  <c r="J128" i="31"/>
  <c r="I128" i="31"/>
  <c r="D128" i="31"/>
  <c r="C128" i="31"/>
  <c r="A128" i="31"/>
  <c r="K127" i="31"/>
  <c r="J127" i="31"/>
  <c r="I127" i="31"/>
  <c r="D127" i="31"/>
  <c r="C127" i="31"/>
  <c r="A127" i="31"/>
  <c r="K126" i="31"/>
  <c r="I126" i="31"/>
  <c r="J126" i="31" s="1"/>
  <c r="D126" i="31"/>
  <c r="C126" i="31"/>
  <c r="A126" i="31"/>
  <c r="K125" i="31"/>
  <c r="J125" i="31"/>
  <c r="I125" i="31"/>
  <c r="D125" i="31"/>
  <c r="C125" i="31"/>
  <c r="A125" i="31"/>
  <c r="K124" i="31"/>
  <c r="J124" i="31"/>
  <c r="I124" i="31"/>
  <c r="D124" i="31"/>
  <c r="C124" i="31"/>
  <c r="A124" i="31"/>
  <c r="K123" i="31"/>
  <c r="J123" i="31"/>
  <c r="I123" i="31"/>
  <c r="D123" i="31"/>
  <c r="C123" i="31"/>
  <c r="A123" i="31"/>
  <c r="K122" i="31"/>
  <c r="I122" i="31"/>
  <c r="J122" i="31" s="1"/>
  <c r="D122" i="31"/>
  <c r="C122" i="31"/>
  <c r="A122" i="31"/>
  <c r="K121" i="31"/>
  <c r="I121" i="31"/>
  <c r="J121" i="31" s="1"/>
  <c r="D121" i="31"/>
  <c r="C121" i="31"/>
  <c r="A121" i="31"/>
  <c r="K120" i="31"/>
  <c r="J120" i="31"/>
  <c r="I120" i="31"/>
  <c r="D120" i="31"/>
  <c r="C120" i="31"/>
  <c r="A120" i="31"/>
  <c r="K119" i="31"/>
  <c r="J119" i="31"/>
  <c r="I119" i="31"/>
  <c r="D119" i="31"/>
  <c r="C119" i="31"/>
  <c r="A119" i="31"/>
  <c r="K118" i="31"/>
  <c r="I118" i="31"/>
  <c r="J118" i="31" s="1"/>
  <c r="D118" i="31"/>
  <c r="C118" i="31"/>
  <c r="A118" i="31"/>
  <c r="K117" i="31"/>
  <c r="J117" i="31"/>
  <c r="I117" i="31"/>
  <c r="D117" i="31"/>
  <c r="C117" i="31"/>
  <c r="A117" i="31"/>
  <c r="K116" i="31"/>
  <c r="J116" i="31"/>
  <c r="I116" i="31"/>
  <c r="D116" i="31"/>
  <c r="C116" i="31"/>
  <c r="A116" i="31"/>
  <c r="K115" i="31"/>
  <c r="I115" i="31"/>
  <c r="J115" i="31" s="1"/>
  <c r="D115" i="31"/>
  <c r="C115" i="31"/>
  <c r="A115" i="31"/>
  <c r="K114" i="31"/>
  <c r="I114" i="31"/>
  <c r="J114" i="31" s="1"/>
  <c r="D114" i="31"/>
  <c r="C114" i="31"/>
  <c r="A114" i="31"/>
  <c r="K113" i="31"/>
  <c r="J113" i="31"/>
  <c r="I113" i="31"/>
  <c r="D113" i="31"/>
  <c r="C113" i="31"/>
  <c r="A113" i="31"/>
  <c r="K112" i="31"/>
  <c r="J112" i="31"/>
  <c r="I112" i="31"/>
  <c r="D112" i="31"/>
  <c r="C112" i="31"/>
  <c r="A112" i="31"/>
  <c r="K111" i="31"/>
  <c r="J111" i="31"/>
  <c r="I111" i="31"/>
  <c r="D111" i="31"/>
  <c r="C111" i="31"/>
  <c r="A111" i="31"/>
  <c r="K110" i="31"/>
  <c r="I110" i="31"/>
  <c r="J110" i="31" s="1"/>
  <c r="D110" i="31"/>
  <c r="C110" i="31"/>
  <c r="A110" i="31"/>
  <c r="K109" i="31"/>
  <c r="I109" i="31"/>
  <c r="J109" i="31" s="1"/>
  <c r="D109" i="31"/>
  <c r="C109" i="31"/>
  <c r="A109" i="31"/>
  <c r="K108" i="31"/>
  <c r="J108" i="31"/>
  <c r="I108" i="31"/>
  <c r="D108" i="31"/>
  <c r="C108" i="31"/>
  <c r="A108" i="31"/>
  <c r="K107" i="31"/>
  <c r="J107" i="31"/>
  <c r="I107" i="31"/>
  <c r="D107" i="31"/>
  <c r="C107" i="31"/>
  <c r="A107" i="31"/>
  <c r="K106" i="31"/>
  <c r="I106" i="31"/>
  <c r="J106" i="31" s="1"/>
  <c r="D106" i="31"/>
  <c r="C106" i="31"/>
  <c r="A106" i="31"/>
  <c r="K105" i="31"/>
  <c r="I105" i="31"/>
  <c r="J105" i="31" s="1"/>
  <c r="D105" i="31"/>
  <c r="C105" i="31"/>
  <c r="A105" i="31"/>
  <c r="K104" i="31"/>
  <c r="J104" i="31"/>
  <c r="I104" i="31"/>
  <c r="D104" i="31"/>
  <c r="C104" i="31"/>
  <c r="A104" i="31"/>
  <c r="K103" i="31"/>
  <c r="I103" i="31"/>
  <c r="J103" i="31" s="1"/>
  <c r="D103" i="31"/>
  <c r="C103" i="31"/>
  <c r="A103" i="31"/>
  <c r="K102" i="31"/>
  <c r="I102" i="31"/>
  <c r="J102" i="31" s="1"/>
  <c r="D102" i="31"/>
  <c r="C102" i="31"/>
  <c r="A102" i="31"/>
  <c r="K101" i="31"/>
  <c r="I101" i="31"/>
  <c r="J101" i="31" s="1"/>
  <c r="D101" i="31"/>
  <c r="C101" i="31"/>
  <c r="A101" i="31"/>
  <c r="K100" i="31"/>
  <c r="J100" i="31"/>
  <c r="I100" i="31"/>
  <c r="D100" i="31"/>
  <c r="C100" i="31"/>
  <c r="A100" i="31"/>
  <c r="K99" i="31"/>
  <c r="J99" i="31"/>
  <c r="I99" i="31"/>
  <c r="D99" i="31"/>
  <c r="C99" i="31"/>
  <c r="A99" i="31"/>
  <c r="K98" i="31"/>
  <c r="I98" i="31"/>
  <c r="J98" i="31" s="1"/>
  <c r="D98" i="31"/>
  <c r="C98" i="31"/>
  <c r="A98" i="31"/>
  <c r="K97" i="31"/>
  <c r="J97" i="31"/>
  <c r="I97" i="31"/>
  <c r="D97" i="31"/>
  <c r="C97" i="31"/>
  <c r="A97" i="31"/>
  <c r="K96" i="31"/>
  <c r="J96" i="31"/>
  <c r="I96" i="31"/>
  <c r="D96" i="31"/>
  <c r="C96" i="31"/>
  <c r="A96" i="31"/>
  <c r="K95" i="31"/>
  <c r="J95" i="31"/>
  <c r="I95" i="31"/>
  <c r="D95" i="31"/>
  <c r="C95" i="31"/>
  <c r="A95" i="31"/>
  <c r="K94" i="31"/>
  <c r="I94" i="31"/>
  <c r="J94" i="31" s="1"/>
  <c r="D94" i="31"/>
  <c r="C94" i="31"/>
  <c r="A94" i="31"/>
  <c r="K93" i="31"/>
  <c r="J93" i="31"/>
  <c r="I93" i="31"/>
  <c r="D93" i="31"/>
  <c r="C93" i="31"/>
  <c r="A93" i="31"/>
  <c r="K92" i="31"/>
  <c r="J92" i="31"/>
  <c r="I92" i="31"/>
  <c r="D92" i="31"/>
  <c r="C92" i="31"/>
  <c r="A92" i="31"/>
  <c r="K91" i="31"/>
  <c r="I91" i="31"/>
  <c r="J91" i="31" s="1"/>
  <c r="D91" i="31"/>
  <c r="C91" i="31"/>
  <c r="A91" i="31"/>
  <c r="K90" i="31"/>
  <c r="I90" i="31"/>
  <c r="J90" i="31" s="1"/>
  <c r="D90" i="31"/>
  <c r="C90" i="31"/>
  <c r="A90" i="31"/>
  <c r="K89" i="31"/>
  <c r="I89" i="31"/>
  <c r="J89" i="31" s="1"/>
  <c r="D89" i="31"/>
  <c r="C89" i="31"/>
  <c r="A89" i="31"/>
  <c r="K88" i="31"/>
  <c r="J88" i="31"/>
  <c r="I88" i="31"/>
  <c r="D88" i="31"/>
  <c r="C88" i="31"/>
  <c r="A88" i="31"/>
  <c r="K87" i="31"/>
  <c r="I87" i="31"/>
  <c r="J87" i="31" s="1"/>
  <c r="D87" i="31"/>
  <c r="C87" i="31"/>
  <c r="A87" i="31"/>
  <c r="K86" i="31"/>
  <c r="I86" i="31"/>
  <c r="J86" i="31" s="1"/>
  <c r="D86" i="31"/>
  <c r="C86" i="31"/>
  <c r="A86" i="31"/>
  <c r="K85" i="31"/>
  <c r="J85" i="31"/>
  <c r="I85" i="31"/>
  <c r="D85" i="31"/>
  <c r="C85" i="31"/>
  <c r="A85" i="31"/>
  <c r="K84" i="31"/>
  <c r="J84" i="31"/>
  <c r="I84" i="31"/>
  <c r="D84" i="31"/>
  <c r="C84" i="31"/>
  <c r="A84" i="31"/>
  <c r="K83" i="31"/>
  <c r="I83" i="31"/>
  <c r="J83" i="31" s="1"/>
  <c r="D83" i="31"/>
  <c r="C83" i="31"/>
  <c r="A83" i="31"/>
  <c r="K82" i="31"/>
  <c r="I82" i="31"/>
  <c r="J82" i="31" s="1"/>
  <c r="D82" i="31"/>
  <c r="C82" i="31"/>
  <c r="A82" i="31"/>
  <c r="K81" i="31"/>
  <c r="J81" i="31"/>
  <c r="I81" i="31"/>
  <c r="D81" i="31"/>
  <c r="C81" i="31"/>
  <c r="A81" i="31"/>
  <c r="K80" i="31"/>
  <c r="J80" i="31"/>
  <c r="I80" i="31"/>
  <c r="D80" i="31"/>
  <c r="C80" i="31"/>
  <c r="A80" i="31"/>
  <c r="K79" i="31"/>
  <c r="J79" i="31"/>
  <c r="I79" i="31"/>
  <c r="D79" i="31"/>
  <c r="C79" i="31"/>
  <c r="A79" i="31"/>
  <c r="K78" i="31"/>
  <c r="I78" i="31"/>
  <c r="J78" i="31" s="1"/>
  <c r="D78" i="31"/>
  <c r="C78" i="31"/>
  <c r="A78" i="31"/>
  <c r="K77" i="31"/>
  <c r="I77" i="31"/>
  <c r="J77" i="31" s="1"/>
  <c r="D77" i="31"/>
  <c r="C77" i="31"/>
  <c r="A77" i="31"/>
  <c r="K76" i="31"/>
  <c r="J76" i="31"/>
  <c r="I76" i="31"/>
  <c r="D76" i="31"/>
  <c r="C76" i="31"/>
  <c r="A76" i="31"/>
  <c r="K75" i="31"/>
  <c r="J75" i="31"/>
  <c r="I75" i="31"/>
  <c r="D75" i="31"/>
  <c r="C75" i="31"/>
  <c r="A75" i="31"/>
  <c r="K74" i="31"/>
  <c r="I74" i="31"/>
  <c r="J74" i="31" s="1"/>
  <c r="D74" i="31"/>
  <c r="C74" i="31"/>
  <c r="A74" i="31"/>
  <c r="K73" i="31"/>
  <c r="I73" i="31"/>
  <c r="J73" i="31" s="1"/>
  <c r="D73" i="31"/>
  <c r="C73" i="31"/>
  <c r="A73" i="31"/>
  <c r="K72" i="31"/>
  <c r="J72" i="31"/>
  <c r="I72" i="31"/>
  <c r="D72" i="31"/>
  <c r="C72" i="31"/>
  <c r="A72" i="31"/>
  <c r="K71" i="31"/>
  <c r="I71" i="31"/>
  <c r="J71" i="31" s="1"/>
  <c r="D71" i="31"/>
  <c r="C71" i="31"/>
  <c r="A71" i="31"/>
  <c r="K70" i="31"/>
  <c r="I70" i="31"/>
  <c r="J70" i="31" s="1"/>
  <c r="D70" i="31"/>
  <c r="C70" i="31"/>
  <c r="A70" i="31"/>
  <c r="K69" i="31"/>
  <c r="I69" i="31"/>
  <c r="J69" i="31" s="1"/>
  <c r="D69" i="31"/>
  <c r="C69" i="31"/>
  <c r="A69" i="31"/>
  <c r="K68" i="31"/>
  <c r="J68" i="31"/>
  <c r="I68" i="31"/>
  <c r="D68" i="31"/>
  <c r="C68" i="31"/>
  <c r="A68" i="31"/>
  <c r="K67" i="31"/>
  <c r="J67" i="31"/>
  <c r="I67" i="31"/>
  <c r="D67" i="31"/>
  <c r="C67" i="31"/>
  <c r="A67" i="31"/>
  <c r="K66" i="31"/>
  <c r="I66" i="31"/>
  <c r="J66" i="31" s="1"/>
  <c r="D66" i="31"/>
  <c r="C66" i="31"/>
  <c r="A66" i="31"/>
  <c r="K65" i="31"/>
  <c r="J65" i="31"/>
  <c r="I65" i="31"/>
  <c r="D65" i="31"/>
  <c r="C65" i="31"/>
  <c r="A65" i="31"/>
  <c r="K64" i="31"/>
  <c r="J64" i="31"/>
  <c r="I64" i="31"/>
  <c r="D64" i="31"/>
  <c r="C64" i="31"/>
  <c r="A64" i="31"/>
  <c r="K63" i="31"/>
  <c r="I63" i="31"/>
  <c r="J63" i="31" s="1"/>
  <c r="D63" i="31"/>
  <c r="C63" i="31"/>
  <c r="A63" i="31"/>
  <c r="K62" i="31"/>
  <c r="I62" i="31"/>
  <c r="J62" i="31" s="1"/>
  <c r="D62" i="31"/>
  <c r="C62" i="31"/>
  <c r="A62" i="31"/>
  <c r="K61" i="31"/>
  <c r="J61" i="31"/>
  <c r="I61" i="31"/>
  <c r="D61" i="31"/>
  <c r="C61" i="31"/>
  <c r="A61" i="31"/>
  <c r="K60" i="31"/>
  <c r="J60" i="31"/>
  <c r="I60" i="31"/>
  <c r="D60" i="31"/>
  <c r="C60" i="31"/>
  <c r="A60" i="31"/>
  <c r="K59" i="31"/>
  <c r="I59" i="31"/>
  <c r="J59" i="31" s="1"/>
  <c r="D59" i="31"/>
  <c r="C59" i="31"/>
  <c r="A59" i="31"/>
  <c r="K58" i="31"/>
  <c r="I58" i="31"/>
  <c r="J58" i="31" s="1"/>
  <c r="D58" i="31"/>
  <c r="C58" i="31"/>
  <c r="A58" i="31"/>
  <c r="K57" i="31"/>
  <c r="I57" i="31"/>
  <c r="J57" i="31" s="1"/>
  <c r="D57" i="31"/>
  <c r="C57" i="31"/>
  <c r="A57" i="31"/>
  <c r="K56" i="31"/>
  <c r="J56" i="31"/>
  <c r="I56" i="31"/>
  <c r="D56" i="31"/>
  <c r="C56" i="31"/>
  <c r="A56" i="31"/>
  <c r="K55" i="31"/>
  <c r="I55" i="31"/>
  <c r="J55" i="31" s="1"/>
  <c r="D55" i="31"/>
  <c r="C55" i="31"/>
  <c r="A55" i="31"/>
  <c r="K54" i="31"/>
  <c r="I54" i="31"/>
  <c r="J54" i="31" s="1"/>
  <c r="D54" i="31"/>
  <c r="C54" i="31"/>
  <c r="A54" i="31"/>
  <c r="K53" i="31"/>
  <c r="J53" i="31"/>
  <c r="I53" i="31"/>
  <c r="D53" i="31"/>
  <c r="C53" i="31"/>
  <c r="A53" i="31"/>
  <c r="K52" i="31"/>
  <c r="J52" i="31"/>
  <c r="I52" i="31"/>
  <c r="D52" i="31"/>
  <c r="C52" i="31"/>
  <c r="A52" i="31"/>
  <c r="K51" i="31"/>
  <c r="I51" i="31"/>
  <c r="J51" i="31" s="1"/>
  <c r="D51" i="31"/>
  <c r="C51" i="31"/>
  <c r="A51" i="31"/>
  <c r="K50" i="31"/>
  <c r="I50" i="31"/>
  <c r="J50" i="31" s="1"/>
  <c r="D50" i="31"/>
  <c r="C50" i="31"/>
  <c r="A50" i="31"/>
  <c r="K49" i="31"/>
  <c r="I49" i="31"/>
  <c r="J49" i="31" s="1"/>
  <c r="D49" i="31"/>
  <c r="C49" i="31"/>
  <c r="A49" i="31"/>
  <c r="K48" i="31"/>
  <c r="J48" i="31"/>
  <c r="I48" i="31"/>
  <c r="D48" i="31"/>
  <c r="C48" i="31"/>
  <c r="A48" i="31"/>
  <c r="K47" i="31"/>
  <c r="J47" i="31"/>
  <c r="I47" i="31"/>
  <c r="D47" i="31"/>
  <c r="C47" i="31"/>
  <c r="A47" i="31"/>
  <c r="K46" i="31"/>
  <c r="I46" i="31"/>
  <c r="J46" i="31" s="1"/>
  <c r="D46" i="31"/>
  <c r="C46" i="31"/>
  <c r="A46" i="31"/>
  <c r="K45" i="31"/>
  <c r="I45" i="31"/>
  <c r="J45" i="31" s="1"/>
  <c r="D45" i="31"/>
  <c r="C45" i="31"/>
  <c r="A45" i="31"/>
  <c r="K44" i="31"/>
  <c r="J44" i="31"/>
  <c r="I44" i="31"/>
  <c r="D44" i="31"/>
  <c r="C44" i="31"/>
  <c r="A44" i="31"/>
  <c r="K43" i="31"/>
  <c r="J43" i="31"/>
  <c r="I43" i="31"/>
  <c r="D43" i="31"/>
  <c r="C43" i="31"/>
  <c r="A43" i="31"/>
  <c r="K42" i="31"/>
  <c r="I42" i="31"/>
  <c r="J42" i="31" s="1"/>
  <c r="D42" i="31"/>
  <c r="C42" i="31"/>
  <c r="A42" i="31"/>
  <c r="K41" i="31"/>
  <c r="I41" i="31"/>
  <c r="J41" i="31" s="1"/>
  <c r="D41" i="31"/>
  <c r="C41" i="31"/>
  <c r="A41" i="31"/>
  <c r="K40" i="31"/>
  <c r="J40" i="31"/>
  <c r="I40" i="31"/>
  <c r="D40" i="31"/>
  <c r="C40" i="31"/>
  <c r="A40" i="31"/>
  <c r="K39" i="31"/>
  <c r="I39" i="31"/>
  <c r="J39" i="31" s="1"/>
  <c r="D39" i="31"/>
  <c r="C39" i="31"/>
  <c r="A39" i="31"/>
  <c r="K38" i="31"/>
  <c r="I38" i="31"/>
  <c r="J38" i="31" s="1"/>
  <c r="D38" i="31"/>
  <c r="C38" i="31"/>
  <c r="A38" i="31"/>
  <c r="K37" i="31"/>
  <c r="I37" i="31"/>
  <c r="J37" i="31" s="1"/>
  <c r="D37" i="31"/>
  <c r="C37" i="31"/>
  <c r="A37" i="31"/>
  <c r="K36" i="31"/>
  <c r="J36" i="31"/>
  <c r="I36" i="31"/>
  <c r="D36" i="31"/>
  <c r="C36" i="31"/>
  <c r="A36" i="31"/>
  <c r="K35" i="31"/>
  <c r="J35" i="31"/>
  <c r="I35" i="31"/>
  <c r="D35" i="31"/>
  <c r="C35" i="31"/>
  <c r="A35" i="31"/>
  <c r="K34" i="31"/>
  <c r="I34" i="31"/>
  <c r="J34" i="31" s="1"/>
  <c r="D34" i="31"/>
  <c r="C34" i="31"/>
  <c r="A34" i="31"/>
  <c r="K33" i="31"/>
  <c r="J33" i="31"/>
  <c r="I33" i="31"/>
  <c r="D33" i="31"/>
  <c r="C33" i="31"/>
  <c r="A33" i="31"/>
  <c r="K32" i="31"/>
  <c r="J32" i="31"/>
  <c r="I32" i="31"/>
  <c r="D32" i="31"/>
  <c r="C32" i="31"/>
  <c r="A32" i="31"/>
  <c r="K31" i="31"/>
  <c r="I31" i="31"/>
  <c r="J31" i="31" s="1"/>
  <c r="D31" i="31"/>
  <c r="C31" i="31"/>
  <c r="A31" i="31"/>
  <c r="K30" i="31"/>
  <c r="I30" i="31"/>
  <c r="J30" i="31" s="1"/>
  <c r="D30" i="31"/>
  <c r="C30" i="31"/>
  <c r="A30" i="31"/>
  <c r="K29" i="31"/>
  <c r="J29" i="31"/>
  <c r="I29" i="31"/>
  <c r="D29" i="31"/>
  <c r="C29" i="31"/>
  <c r="A29" i="31"/>
  <c r="K28" i="31"/>
  <c r="J28" i="31"/>
  <c r="I28" i="31"/>
  <c r="D28" i="31"/>
  <c r="C28" i="31"/>
  <c r="A28" i="31"/>
  <c r="K27" i="31"/>
  <c r="I27" i="31"/>
  <c r="J27" i="31" s="1"/>
  <c r="D27" i="31"/>
  <c r="C27" i="31"/>
  <c r="A27" i="31"/>
  <c r="K26" i="31"/>
  <c r="I26" i="31"/>
  <c r="J26" i="31" s="1"/>
  <c r="D26" i="31"/>
  <c r="C26" i="31"/>
  <c r="A26" i="31"/>
  <c r="K25" i="31"/>
  <c r="I25" i="31"/>
  <c r="J25" i="31" s="1"/>
  <c r="D25" i="31"/>
  <c r="C25" i="31"/>
  <c r="A25" i="31"/>
  <c r="K24" i="31"/>
  <c r="J24" i="31"/>
  <c r="I24" i="31"/>
  <c r="D24" i="31"/>
  <c r="C24" i="31"/>
  <c r="A24" i="31"/>
  <c r="K23" i="31"/>
  <c r="I23" i="31"/>
  <c r="J23" i="31" s="1"/>
  <c r="D23" i="31"/>
  <c r="C23" i="31"/>
  <c r="A23" i="31"/>
  <c r="K22" i="31"/>
  <c r="I22" i="31"/>
  <c r="J22" i="31" s="1"/>
  <c r="D22" i="31"/>
  <c r="C22" i="31"/>
  <c r="A22" i="31"/>
  <c r="K21" i="31"/>
  <c r="J21" i="31"/>
  <c r="I21" i="31"/>
  <c r="D21" i="31"/>
  <c r="C21" i="31"/>
  <c r="A21" i="31"/>
  <c r="K20" i="31"/>
  <c r="J20" i="31"/>
  <c r="I20" i="31"/>
  <c r="D20" i="31"/>
  <c r="C20" i="31"/>
  <c r="A20" i="31"/>
  <c r="K19" i="31"/>
  <c r="I19" i="31"/>
  <c r="J19" i="31" s="1"/>
  <c r="D19" i="31"/>
  <c r="C19" i="31"/>
  <c r="A19" i="31"/>
  <c r="K18" i="31"/>
  <c r="I18" i="31"/>
  <c r="J18" i="31" s="1"/>
  <c r="D18" i="31"/>
  <c r="C18" i="31"/>
  <c r="A18" i="31"/>
  <c r="K17" i="31"/>
  <c r="I17" i="31"/>
  <c r="J17" i="31" s="1"/>
  <c r="D17" i="31"/>
  <c r="C17" i="31"/>
  <c r="A17" i="31"/>
  <c r="K16" i="31"/>
  <c r="J16" i="31"/>
  <c r="I16" i="31"/>
  <c r="D16" i="31"/>
  <c r="C16" i="31"/>
  <c r="A16" i="31"/>
  <c r="K15" i="31"/>
  <c r="J15" i="31"/>
  <c r="I15" i="31"/>
  <c r="D15" i="31"/>
  <c r="C15" i="31"/>
  <c r="A15" i="31"/>
  <c r="K14" i="31"/>
  <c r="I14" i="31"/>
  <c r="J14" i="31" s="1"/>
  <c r="D14" i="31"/>
  <c r="C14" i="31"/>
  <c r="A14" i="31"/>
  <c r="B10" i="31"/>
  <c r="B9" i="31"/>
  <c r="B8" i="31"/>
  <c r="J208" i="30"/>
  <c r="K208" i="30" s="1"/>
  <c r="G208" i="30"/>
  <c r="D208" i="30"/>
  <c r="C208" i="30"/>
  <c r="B208" i="30"/>
  <c r="K207" i="30"/>
  <c r="J207" i="30"/>
  <c r="G207" i="30"/>
  <c r="D207" i="30"/>
  <c r="C207" i="30"/>
  <c r="B207" i="30"/>
  <c r="K206" i="30"/>
  <c r="J206" i="30"/>
  <c r="G206" i="30"/>
  <c r="D206" i="30"/>
  <c r="C206" i="30"/>
  <c r="B206" i="30"/>
  <c r="J205" i="30"/>
  <c r="K205" i="30" s="1"/>
  <c r="G205" i="30"/>
  <c r="D205" i="30"/>
  <c r="C205" i="30"/>
  <c r="B205" i="30"/>
  <c r="J204" i="30"/>
  <c r="K204" i="30" s="1"/>
  <c r="G204" i="30"/>
  <c r="D204" i="30"/>
  <c r="C204" i="30"/>
  <c r="B204" i="30"/>
  <c r="K203" i="30"/>
  <c r="J203" i="30"/>
  <c r="G203" i="30"/>
  <c r="D203" i="30"/>
  <c r="C203" i="30"/>
  <c r="B203" i="30"/>
  <c r="K202" i="30"/>
  <c r="J202" i="30"/>
  <c r="G202" i="30"/>
  <c r="D202" i="30"/>
  <c r="C202" i="30"/>
  <c r="B202" i="30"/>
  <c r="J201" i="30"/>
  <c r="K201" i="30" s="1"/>
  <c r="G201" i="30"/>
  <c r="D201" i="30"/>
  <c r="C201" i="30"/>
  <c r="B201" i="30"/>
  <c r="J200" i="30"/>
  <c r="K200" i="30" s="1"/>
  <c r="G200" i="30"/>
  <c r="D200" i="30"/>
  <c r="C200" i="30"/>
  <c r="B200" i="30"/>
  <c r="K199" i="30"/>
  <c r="J199" i="30"/>
  <c r="G199" i="30"/>
  <c r="D199" i="30"/>
  <c r="C199" i="30"/>
  <c r="B199" i="30"/>
  <c r="K198" i="30"/>
  <c r="J198" i="30"/>
  <c r="G198" i="30"/>
  <c r="D198" i="30"/>
  <c r="C198" i="30"/>
  <c r="B198" i="30"/>
  <c r="J197" i="30"/>
  <c r="K197" i="30" s="1"/>
  <c r="G197" i="30"/>
  <c r="D197" i="30"/>
  <c r="C197" i="30"/>
  <c r="B197" i="30"/>
  <c r="J196" i="30"/>
  <c r="K196" i="30" s="1"/>
  <c r="G196" i="30"/>
  <c r="D196" i="30"/>
  <c r="C196" i="30"/>
  <c r="B196" i="30"/>
  <c r="K195" i="30"/>
  <c r="J195" i="30"/>
  <c r="G195" i="30"/>
  <c r="D195" i="30"/>
  <c r="C195" i="30"/>
  <c r="B195" i="30"/>
  <c r="K194" i="30"/>
  <c r="J194" i="30"/>
  <c r="G194" i="30"/>
  <c r="D194" i="30"/>
  <c r="C194" i="30"/>
  <c r="B194" i="30"/>
  <c r="J193" i="30"/>
  <c r="K193" i="30" s="1"/>
  <c r="G193" i="30"/>
  <c r="D193" i="30"/>
  <c r="C193" i="30"/>
  <c r="B193" i="30"/>
  <c r="J192" i="30"/>
  <c r="K192" i="30" s="1"/>
  <c r="G192" i="30"/>
  <c r="D192" i="30"/>
  <c r="C192" i="30"/>
  <c r="B192" i="30"/>
  <c r="K191" i="30"/>
  <c r="J191" i="30"/>
  <c r="G191" i="30"/>
  <c r="D191" i="30"/>
  <c r="C191" i="30"/>
  <c r="B191" i="30"/>
  <c r="K190" i="30"/>
  <c r="J190" i="30"/>
  <c r="G190" i="30"/>
  <c r="D190" i="30"/>
  <c r="C190" i="30"/>
  <c r="B190" i="30"/>
  <c r="J189" i="30"/>
  <c r="K189" i="30" s="1"/>
  <c r="G189" i="30"/>
  <c r="D189" i="30"/>
  <c r="C189" i="30"/>
  <c r="B189" i="30"/>
  <c r="J188" i="30"/>
  <c r="K188" i="30" s="1"/>
  <c r="G188" i="30"/>
  <c r="D188" i="30"/>
  <c r="C188" i="30"/>
  <c r="B188" i="30"/>
  <c r="K187" i="30"/>
  <c r="J187" i="30"/>
  <c r="G187" i="30"/>
  <c r="D187" i="30"/>
  <c r="C187" i="30"/>
  <c r="B187" i="30"/>
  <c r="K186" i="30"/>
  <c r="J186" i="30"/>
  <c r="G186" i="30"/>
  <c r="D186" i="30"/>
  <c r="C186" i="30"/>
  <c r="B186" i="30"/>
  <c r="J185" i="30"/>
  <c r="K185" i="30" s="1"/>
  <c r="G185" i="30"/>
  <c r="D185" i="30"/>
  <c r="C185" i="30"/>
  <c r="B185" i="30"/>
  <c r="J184" i="30"/>
  <c r="K184" i="30" s="1"/>
  <c r="G184" i="30"/>
  <c r="D184" i="30"/>
  <c r="C184" i="30"/>
  <c r="B184" i="30"/>
  <c r="K183" i="30"/>
  <c r="J183" i="30"/>
  <c r="G183" i="30"/>
  <c r="D183" i="30"/>
  <c r="C183" i="30"/>
  <c r="B183" i="30"/>
  <c r="K182" i="30"/>
  <c r="J182" i="30"/>
  <c r="G182" i="30"/>
  <c r="D182" i="30"/>
  <c r="C182" i="30"/>
  <c r="B182" i="30"/>
  <c r="J181" i="30"/>
  <c r="K181" i="30" s="1"/>
  <c r="G181" i="30"/>
  <c r="D181" i="30"/>
  <c r="C181" i="30"/>
  <c r="B181" i="30"/>
  <c r="J180" i="30"/>
  <c r="K180" i="30" s="1"/>
  <c r="G180" i="30"/>
  <c r="D180" i="30"/>
  <c r="C180" i="30"/>
  <c r="B180" i="30"/>
  <c r="K179" i="30"/>
  <c r="J179" i="30"/>
  <c r="G179" i="30"/>
  <c r="D179" i="30"/>
  <c r="C179" i="30"/>
  <c r="B179" i="30"/>
  <c r="K178" i="30"/>
  <c r="J178" i="30"/>
  <c r="G178" i="30"/>
  <c r="D178" i="30"/>
  <c r="C178" i="30"/>
  <c r="B178" i="30"/>
  <c r="J177" i="30"/>
  <c r="K177" i="30" s="1"/>
  <c r="G177" i="30"/>
  <c r="D177" i="30"/>
  <c r="C177" i="30"/>
  <c r="B177" i="30"/>
  <c r="J176" i="30"/>
  <c r="K176" i="30" s="1"/>
  <c r="G176" i="30"/>
  <c r="D176" i="30"/>
  <c r="C176" i="30"/>
  <c r="B176" i="30"/>
  <c r="K175" i="30"/>
  <c r="J175" i="30"/>
  <c r="G175" i="30"/>
  <c r="D175" i="30"/>
  <c r="C175" i="30"/>
  <c r="B175" i="30"/>
  <c r="K174" i="30"/>
  <c r="J174" i="30"/>
  <c r="G174" i="30"/>
  <c r="D174" i="30"/>
  <c r="C174" i="30"/>
  <c r="B174" i="30"/>
  <c r="J173" i="30"/>
  <c r="K173" i="30" s="1"/>
  <c r="G173" i="30"/>
  <c r="D173" i="30"/>
  <c r="C173" i="30"/>
  <c r="B173" i="30"/>
  <c r="J172" i="30"/>
  <c r="K172" i="30" s="1"/>
  <c r="G172" i="30"/>
  <c r="D172" i="30"/>
  <c r="C172" i="30"/>
  <c r="B172" i="30"/>
  <c r="K171" i="30"/>
  <c r="J171" i="30"/>
  <c r="G171" i="30"/>
  <c r="D171" i="30"/>
  <c r="C171" i="30"/>
  <c r="B171" i="30"/>
  <c r="K170" i="30"/>
  <c r="J170" i="30"/>
  <c r="G170" i="30"/>
  <c r="D170" i="30"/>
  <c r="C170" i="30"/>
  <c r="B170" i="30"/>
  <c r="J169" i="30"/>
  <c r="K169" i="30" s="1"/>
  <c r="G169" i="30"/>
  <c r="D169" i="30"/>
  <c r="C169" i="30"/>
  <c r="B169" i="30"/>
  <c r="J168" i="30"/>
  <c r="K168" i="30" s="1"/>
  <c r="G168" i="30"/>
  <c r="D168" i="30"/>
  <c r="C168" i="30"/>
  <c r="B168" i="30"/>
  <c r="K167" i="30"/>
  <c r="J167" i="30"/>
  <c r="G167" i="30"/>
  <c r="D167" i="30"/>
  <c r="C167" i="30"/>
  <c r="B167" i="30"/>
  <c r="K166" i="30"/>
  <c r="J166" i="30"/>
  <c r="G166" i="30"/>
  <c r="D166" i="30"/>
  <c r="C166" i="30"/>
  <c r="B166" i="30"/>
  <c r="J165" i="30"/>
  <c r="K165" i="30" s="1"/>
  <c r="G165" i="30"/>
  <c r="D165" i="30"/>
  <c r="C165" i="30"/>
  <c r="B165" i="30"/>
  <c r="J164" i="30"/>
  <c r="K164" i="30" s="1"/>
  <c r="G164" i="30"/>
  <c r="D164" i="30"/>
  <c r="C164" i="30"/>
  <c r="B164" i="30"/>
  <c r="K163" i="30"/>
  <c r="J163" i="30"/>
  <c r="G163" i="30"/>
  <c r="D163" i="30"/>
  <c r="C163" i="30"/>
  <c r="B163" i="30"/>
  <c r="K162" i="30"/>
  <c r="J162" i="30"/>
  <c r="G162" i="30"/>
  <c r="D162" i="30"/>
  <c r="C162" i="30"/>
  <c r="B162" i="30"/>
  <c r="J161" i="30"/>
  <c r="K161" i="30" s="1"/>
  <c r="G161" i="30"/>
  <c r="D161" i="30"/>
  <c r="C161" i="30"/>
  <c r="B161" i="30"/>
  <c r="J160" i="30"/>
  <c r="K160" i="30" s="1"/>
  <c r="G160" i="30"/>
  <c r="D160" i="30"/>
  <c r="C160" i="30"/>
  <c r="B160" i="30"/>
  <c r="K159" i="30"/>
  <c r="J159" i="30"/>
  <c r="G159" i="30"/>
  <c r="D159" i="30"/>
  <c r="C159" i="30"/>
  <c r="B159" i="30"/>
  <c r="K158" i="30"/>
  <c r="J158" i="30"/>
  <c r="G158" i="30"/>
  <c r="D158" i="30"/>
  <c r="C158" i="30"/>
  <c r="B158" i="30"/>
  <c r="J157" i="30"/>
  <c r="K157" i="30" s="1"/>
  <c r="G157" i="30"/>
  <c r="D157" i="30"/>
  <c r="C157" i="30"/>
  <c r="B157" i="30"/>
  <c r="J156" i="30"/>
  <c r="K156" i="30" s="1"/>
  <c r="G156" i="30"/>
  <c r="D156" i="30"/>
  <c r="C156" i="30"/>
  <c r="B156" i="30"/>
  <c r="K155" i="30"/>
  <c r="J155" i="30"/>
  <c r="G155" i="30"/>
  <c r="D155" i="30"/>
  <c r="C155" i="30"/>
  <c r="B155" i="30"/>
  <c r="K154" i="30"/>
  <c r="J154" i="30"/>
  <c r="G154" i="30"/>
  <c r="D154" i="30"/>
  <c r="C154" i="30"/>
  <c r="B154" i="30"/>
  <c r="J153" i="30"/>
  <c r="K153" i="30" s="1"/>
  <c r="G153" i="30"/>
  <c r="D153" i="30"/>
  <c r="C153" i="30"/>
  <c r="B153" i="30"/>
  <c r="J152" i="30"/>
  <c r="K152" i="30" s="1"/>
  <c r="G152" i="30"/>
  <c r="D152" i="30"/>
  <c r="C152" i="30"/>
  <c r="B152" i="30"/>
  <c r="K151" i="30"/>
  <c r="J151" i="30"/>
  <c r="G151" i="30"/>
  <c r="D151" i="30"/>
  <c r="C151" i="30"/>
  <c r="B151" i="30"/>
  <c r="K150" i="30"/>
  <c r="J150" i="30"/>
  <c r="G150" i="30"/>
  <c r="D150" i="30"/>
  <c r="C150" i="30"/>
  <c r="B150" i="30"/>
  <c r="J149" i="30"/>
  <c r="K149" i="30" s="1"/>
  <c r="G149" i="30"/>
  <c r="D149" i="30"/>
  <c r="C149" i="30"/>
  <c r="B149" i="30"/>
  <c r="J148" i="30"/>
  <c r="K148" i="30" s="1"/>
  <c r="G148" i="30"/>
  <c r="D148" i="30"/>
  <c r="C148" i="30"/>
  <c r="B148" i="30"/>
  <c r="K147" i="30"/>
  <c r="J147" i="30"/>
  <c r="G147" i="30"/>
  <c r="D147" i="30"/>
  <c r="C147" i="30"/>
  <c r="B147" i="30"/>
  <c r="K146" i="30"/>
  <c r="J146" i="30"/>
  <c r="G146" i="30"/>
  <c r="D146" i="30"/>
  <c r="C146" i="30"/>
  <c r="B146" i="30"/>
  <c r="J145" i="30"/>
  <c r="K145" i="30" s="1"/>
  <c r="G145" i="30"/>
  <c r="D145" i="30"/>
  <c r="C145" i="30"/>
  <c r="B145" i="30"/>
  <c r="J144" i="30"/>
  <c r="K144" i="30" s="1"/>
  <c r="G144" i="30"/>
  <c r="D144" i="30"/>
  <c r="C144" i="30"/>
  <c r="B144" i="30"/>
  <c r="K143" i="30"/>
  <c r="J143" i="30"/>
  <c r="G143" i="30"/>
  <c r="D143" i="30"/>
  <c r="C143" i="30"/>
  <c r="B143" i="30"/>
  <c r="K142" i="30"/>
  <c r="J142" i="30"/>
  <c r="G142" i="30"/>
  <c r="D142" i="30"/>
  <c r="C142" i="30"/>
  <c r="B142" i="30"/>
  <c r="J141" i="30"/>
  <c r="K141" i="30" s="1"/>
  <c r="G141" i="30"/>
  <c r="D141" i="30"/>
  <c r="C141" i="30"/>
  <c r="B141" i="30"/>
  <c r="J140" i="30"/>
  <c r="K140" i="30" s="1"/>
  <c r="G140" i="30"/>
  <c r="D140" i="30"/>
  <c r="C140" i="30"/>
  <c r="B140" i="30"/>
  <c r="K139" i="30"/>
  <c r="J139" i="30"/>
  <c r="G139" i="30"/>
  <c r="D139" i="30"/>
  <c r="C139" i="30"/>
  <c r="B139" i="30"/>
  <c r="K138" i="30"/>
  <c r="J138" i="30"/>
  <c r="G138" i="30"/>
  <c r="D138" i="30"/>
  <c r="C138" i="30"/>
  <c r="B138" i="30"/>
  <c r="J137" i="30"/>
  <c r="K137" i="30" s="1"/>
  <c r="G137" i="30"/>
  <c r="D137" i="30"/>
  <c r="C137" i="30"/>
  <c r="B137" i="30"/>
  <c r="J136" i="30"/>
  <c r="K136" i="30" s="1"/>
  <c r="G136" i="30"/>
  <c r="D136" i="30"/>
  <c r="C136" i="30"/>
  <c r="B136" i="30"/>
  <c r="K135" i="30"/>
  <c r="J135" i="30"/>
  <c r="G135" i="30"/>
  <c r="D135" i="30"/>
  <c r="C135" i="30"/>
  <c r="B135" i="30"/>
  <c r="K134" i="30"/>
  <c r="J134" i="30"/>
  <c r="G134" i="30"/>
  <c r="D134" i="30"/>
  <c r="C134" i="30"/>
  <c r="B134" i="30"/>
  <c r="J133" i="30"/>
  <c r="K133" i="30" s="1"/>
  <c r="G133" i="30"/>
  <c r="D133" i="30"/>
  <c r="C133" i="30"/>
  <c r="B133" i="30"/>
  <c r="J132" i="30"/>
  <c r="K132" i="30" s="1"/>
  <c r="G132" i="30"/>
  <c r="D132" i="30"/>
  <c r="C132" i="30"/>
  <c r="B132" i="30"/>
  <c r="K131" i="30"/>
  <c r="J131" i="30"/>
  <c r="G131" i="30"/>
  <c r="D131" i="30"/>
  <c r="C131" i="30"/>
  <c r="B131" i="30"/>
  <c r="K130" i="30"/>
  <c r="J130" i="30"/>
  <c r="G130" i="30"/>
  <c r="D130" i="30"/>
  <c r="C130" i="30"/>
  <c r="B130" i="30"/>
  <c r="J129" i="30"/>
  <c r="K129" i="30" s="1"/>
  <c r="G129" i="30"/>
  <c r="D129" i="30"/>
  <c r="C129" i="30"/>
  <c r="B129" i="30"/>
  <c r="J128" i="30"/>
  <c r="K128" i="30" s="1"/>
  <c r="G128" i="30"/>
  <c r="D128" i="30"/>
  <c r="C128" i="30"/>
  <c r="B128" i="30"/>
  <c r="K127" i="30"/>
  <c r="J127" i="30"/>
  <c r="G127" i="30"/>
  <c r="D127" i="30"/>
  <c r="C127" i="30"/>
  <c r="B127" i="30"/>
  <c r="K126" i="30"/>
  <c r="J126" i="30"/>
  <c r="G126" i="30"/>
  <c r="D126" i="30"/>
  <c r="C126" i="30"/>
  <c r="B126" i="30"/>
  <c r="J125" i="30"/>
  <c r="K125" i="30" s="1"/>
  <c r="G125" i="30"/>
  <c r="D125" i="30"/>
  <c r="C125" i="30"/>
  <c r="B125" i="30"/>
  <c r="J124" i="30"/>
  <c r="K124" i="30" s="1"/>
  <c r="G124" i="30"/>
  <c r="D124" i="30"/>
  <c r="C124" i="30"/>
  <c r="B124" i="30"/>
  <c r="K123" i="30"/>
  <c r="J123" i="30"/>
  <c r="G123" i="30"/>
  <c r="D123" i="30"/>
  <c r="C123" i="30"/>
  <c r="B123" i="30"/>
  <c r="K122" i="30"/>
  <c r="J122" i="30"/>
  <c r="G122" i="30"/>
  <c r="D122" i="30"/>
  <c r="C122" i="30"/>
  <c r="B122" i="30"/>
  <c r="J121" i="30"/>
  <c r="K121" i="30" s="1"/>
  <c r="G121" i="30"/>
  <c r="D121" i="30"/>
  <c r="C121" i="30"/>
  <c r="B121" i="30"/>
  <c r="J120" i="30"/>
  <c r="K120" i="30" s="1"/>
  <c r="G120" i="30"/>
  <c r="D120" i="30"/>
  <c r="C120" i="30"/>
  <c r="B120" i="30"/>
  <c r="K119" i="30"/>
  <c r="J119" i="30"/>
  <c r="G119" i="30"/>
  <c r="D119" i="30"/>
  <c r="C119" i="30"/>
  <c r="B119" i="30"/>
  <c r="K118" i="30"/>
  <c r="J118" i="30"/>
  <c r="G118" i="30"/>
  <c r="D118" i="30"/>
  <c r="C118" i="30"/>
  <c r="B118" i="30"/>
  <c r="J117" i="30"/>
  <c r="K117" i="30" s="1"/>
  <c r="G117" i="30"/>
  <c r="D117" i="30"/>
  <c r="C117" i="30"/>
  <c r="B117" i="30"/>
  <c r="J116" i="30"/>
  <c r="K116" i="30" s="1"/>
  <c r="G116" i="30"/>
  <c r="D116" i="30"/>
  <c r="C116" i="30"/>
  <c r="B116" i="30"/>
  <c r="K115" i="30"/>
  <c r="J115" i="30"/>
  <c r="G115" i="30"/>
  <c r="D115" i="30"/>
  <c r="C115" i="30"/>
  <c r="B115" i="30"/>
  <c r="K114" i="30"/>
  <c r="J114" i="30"/>
  <c r="G114" i="30"/>
  <c r="D114" i="30"/>
  <c r="C114" i="30"/>
  <c r="B114" i="30"/>
  <c r="J113" i="30"/>
  <c r="K113" i="30" s="1"/>
  <c r="G113" i="30"/>
  <c r="D113" i="30"/>
  <c r="C113" i="30"/>
  <c r="B113" i="30"/>
  <c r="J112" i="30"/>
  <c r="K112" i="30" s="1"/>
  <c r="G112" i="30"/>
  <c r="D112" i="30"/>
  <c r="C112" i="30"/>
  <c r="B112" i="30"/>
  <c r="K111" i="30"/>
  <c r="J111" i="30"/>
  <c r="G111" i="30"/>
  <c r="D111" i="30"/>
  <c r="C111" i="30"/>
  <c r="B111" i="30"/>
  <c r="K110" i="30"/>
  <c r="J110" i="30"/>
  <c r="G110" i="30"/>
  <c r="D110" i="30"/>
  <c r="C110" i="30"/>
  <c r="B110" i="30"/>
  <c r="J109" i="30"/>
  <c r="K109" i="30" s="1"/>
  <c r="G109" i="30"/>
  <c r="D109" i="30"/>
  <c r="C109" i="30"/>
  <c r="B109" i="30"/>
  <c r="J108" i="30"/>
  <c r="K108" i="30" s="1"/>
  <c r="G108" i="30"/>
  <c r="D108" i="30"/>
  <c r="C108" i="30"/>
  <c r="B108" i="30"/>
  <c r="K107" i="30"/>
  <c r="J107" i="30"/>
  <c r="G107" i="30"/>
  <c r="D107" i="30"/>
  <c r="C107" i="30"/>
  <c r="B107" i="30"/>
  <c r="K106" i="30"/>
  <c r="J106" i="30"/>
  <c r="G106" i="30"/>
  <c r="D106" i="30"/>
  <c r="C106" i="30"/>
  <c r="B106" i="30"/>
  <c r="J105" i="30"/>
  <c r="K105" i="30" s="1"/>
  <c r="G105" i="30"/>
  <c r="D105" i="30"/>
  <c r="C105" i="30"/>
  <c r="B105" i="30"/>
  <c r="J104" i="30"/>
  <c r="K104" i="30" s="1"/>
  <c r="G104" i="30"/>
  <c r="D104" i="30"/>
  <c r="C104" i="30"/>
  <c r="B104" i="30"/>
  <c r="K103" i="30"/>
  <c r="J103" i="30"/>
  <c r="G103" i="30"/>
  <c r="D103" i="30"/>
  <c r="C103" i="30"/>
  <c r="B103" i="30"/>
  <c r="K102" i="30"/>
  <c r="J102" i="30"/>
  <c r="G102" i="30"/>
  <c r="D102" i="30"/>
  <c r="C102" i="30"/>
  <c r="B102" i="30"/>
  <c r="J101" i="30"/>
  <c r="K101" i="30" s="1"/>
  <c r="G101" i="30"/>
  <c r="D101" i="30"/>
  <c r="C101" i="30"/>
  <c r="B101" i="30"/>
  <c r="J100" i="30"/>
  <c r="K100" i="30" s="1"/>
  <c r="G100" i="30"/>
  <c r="D100" i="30"/>
  <c r="C100" i="30"/>
  <c r="B100" i="30"/>
  <c r="K99" i="30"/>
  <c r="J99" i="30"/>
  <c r="G99" i="30"/>
  <c r="D99" i="30"/>
  <c r="C99" i="30"/>
  <c r="B99" i="30"/>
  <c r="K98" i="30"/>
  <c r="J98" i="30"/>
  <c r="G98" i="30"/>
  <c r="D98" i="30"/>
  <c r="C98" i="30"/>
  <c r="B98" i="30"/>
  <c r="J97" i="30"/>
  <c r="K97" i="30" s="1"/>
  <c r="G97" i="30"/>
  <c r="D97" i="30"/>
  <c r="C97" i="30"/>
  <c r="B97" i="30"/>
  <c r="J96" i="30"/>
  <c r="K96" i="30" s="1"/>
  <c r="G96" i="30"/>
  <c r="D96" i="30"/>
  <c r="C96" i="30"/>
  <c r="B96" i="30"/>
  <c r="K95" i="30"/>
  <c r="J95" i="30"/>
  <c r="G95" i="30"/>
  <c r="D95" i="30"/>
  <c r="C95" i="30"/>
  <c r="B95" i="30"/>
  <c r="K94" i="30"/>
  <c r="J94" i="30"/>
  <c r="G94" i="30"/>
  <c r="D94" i="30"/>
  <c r="C94" i="30"/>
  <c r="B94" i="30"/>
  <c r="J93" i="30"/>
  <c r="K93" i="30" s="1"/>
  <c r="G93" i="30"/>
  <c r="D93" i="30"/>
  <c r="C93" i="30"/>
  <c r="B93" i="30"/>
  <c r="J92" i="30"/>
  <c r="K92" i="30" s="1"/>
  <c r="G92" i="30"/>
  <c r="D92" i="30"/>
  <c r="C92" i="30"/>
  <c r="B92" i="30"/>
  <c r="K91" i="30"/>
  <c r="J91" i="30"/>
  <c r="G91" i="30"/>
  <c r="D91" i="30"/>
  <c r="C91" i="30"/>
  <c r="B91" i="30"/>
  <c r="K90" i="30"/>
  <c r="J90" i="30"/>
  <c r="G90" i="30"/>
  <c r="D90" i="30"/>
  <c r="C90" i="30"/>
  <c r="B90" i="30"/>
  <c r="J89" i="30"/>
  <c r="K89" i="30" s="1"/>
  <c r="G89" i="30"/>
  <c r="D89" i="30"/>
  <c r="C89" i="30"/>
  <c r="B89" i="30"/>
  <c r="J88" i="30"/>
  <c r="K88" i="30" s="1"/>
  <c r="G88" i="30"/>
  <c r="D88" i="30"/>
  <c r="C88" i="30"/>
  <c r="B88" i="30"/>
  <c r="K87" i="30"/>
  <c r="J87" i="30"/>
  <c r="G87" i="30"/>
  <c r="D87" i="30"/>
  <c r="C87" i="30"/>
  <c r="B87" i="30"/>
  <c r="K86" i="30"/>
  <c r="J86" i="30"/>
  <c r="G86" i="30"/>
  <c r="D86" i="30"/>
  <c r="C86" i="30"/>
  <c r="B86" i="30"/>
  <c r="J85" i="30"/>
  <c r="K85" i="30" s="1"/>
  <c r="G85" i="30"/>
  <c r="D85" i="30"/>
  <c r="C85" i="30"/>
  <c r="B85" i="30"/>
  <c r="J84" i="30"/>
  <c r="K84" i="30" s="1"/>
  <c r="G84" i="30"/>
  <c r="D84" i="30"/>
  <c r="C84" i="30"/>
  <c r="B84" i="30"/>
  <c r="K83" i="30"/>
  <c r="J83" i="30"/>
  <c r="G83" i="30"/>
  <c r="D83" i="30"/>
  <c r="C83" i="30"/>
  <c r="B83" i="30"/>
  <c r="K82" i="30"/>
  <c r="J82" i="30"/>
  <c r="G82" i="30"/>
  <c r="D82" i="30"/>
  <c r="C82" i="30"/>
  <c r="B82" i="30"/>
  <c r="J81" i="30"/>
  <c r="K81" i="30" s="1"/>
  <c r="G81" i="30"/>
  <c r="D81" i="30"/>
  <c r="C81" i="30"/>
  <c r="B81" i="30"/>
  <c r="J80" i="30"/>
  <c r="K80" i="30" s="1"/>
  <c r="G80" i="30"/>
  <c r="D80" i="30"/>
  <c r="C80" i="30"/>
  <c r="B80" i="30"/>
  <c r="K79" i="30"/>
  <c r="J79" i="30"/>
  <c r="G79" i="30"/>
  <c r="D79" i="30"/>
  <c r="C79" i="30"/>
  <c r="B79" i="30"/>
  <c r="K78" i="30"/>
  <c r="J78" i="30"/>
  <c r="G78" i="30"/>
  <c r="D78" i="30"/>
  <c r="C78" i="30"/>
  <c r="B78" i="30"/>
  <c r="J77" i="30"/>
  <c r="K77" i="30" s="1"/>
  <c r="G77" i="30"/>
  <c r="D77" i="30"/>
  <c r="C77" i="30"/>
  <c r="B77" i="30"/>
  <c r="J76" i="30"/>
  <c r="K76" i="30" s="1"/>
  <c r="G76" i="30"/>
  <c r="D76" i="30"/>
  <c r="C76" i="30"/>
  <c r="B76" i="30"/>
  <c r="K75" i="30"/>
  <c r="J75" i="30"/>
  <c r="G75" i="30"/>
  <c r="D75" i="30"/>
  <c r="C75" i="30"/>
  <c r="B75" i="30"/>
  <c r="K74" i="30"/>
  <c r="J74" i="30"/>
  <c r="G74" i="30"/>
  <c r="D74" i="30"/>
  <c r="C74" i="30"/>
  <c r="B74" i="30"/>
  <c r="J73" i="30"/>
  <c r="K73" i="30" s="1"/>
  <c r="G73" i="30"/>
  <c r="D73" i="30"/>
  <c r="C73" i="30"/>
  <c r="B73" i="30"/>
  <c r="J72" i="30"/>
  <c r="K72" i="30" s="1"/>
  <c r="G72" i="30"/>
  <c r="D72" i="30"/>
  <c r="C72" i="30"/>
  <c r="B72" i="30"/>
  <c r="K71" i="30"/>
  <c r="J71" i="30"/>
  <c r="G71" i="30"/>
  <c r="D71" i="30"/>
  <c r="C71" i="30"/>
  <c r="B71" i="30"/>
  <c r="K70" i="30"/>
  <c r="J70" i="30"/>
  <c r="G70" i="30"/>
  <c r="D70" i="30"/>
  <c r="C70" i="30"/>
  <c r="B70" i="30"/>
  <c r="J69" i="30"/>
  <c r="K69" i="30" s="1"/>
  <c r="G69" i="30"/>
  <c r="D69" i="30"/>
  <c r="C69" i="30"/>
  <c r="B69" i="30"/>
  <c r="J68" i="30"/>
  <c r="K68" i="30" s="1"/>
  <c r="G68" i="30"/>
  <c r="D68" i="30"/>
  <c r="C68" i="30"/>
  <c r="B68" i="30"/>
  <c r="K67" i="30"/>
  <c r="J67" i="30"/>
  <c r="G67" i="30"/>
  <c r="D67" i="30"/>
  <c r="C67" i="30"/>
  <c r="B67" i="30"/>
  <c r="K66" i="30"/>
  <c r="J66" i="30"/>
  <c r="G66" i="30"/>
  <c r="D66" i="30"/>
  <c r="C66" i="30"/>
  <c r="B66" i="30"/>
  <c r="J65" i="30"/>
  <c r="K65" i="30" s="1"/>
  <c r="G65" i="30"/>
  <c r="D65" i="30"/>
  <c r="C65" i="30"/>
  <c r="B65" i="30"/>
  <c r="J64" i="30"/>
  <c r="K64" i="30" s="1"/>
  <c r="G64" i="30"/>
  <c r="D64" i="30"/>
  <c r="C64" i="30"/>
  <c r="B64" i="30"/>
  <c r="K63" i="30"/>
  <c r="J63" i="30"/>
  <c r="G63" i="30"/>
  <c r="D63" i="30"/>
  <c r="C63" i="30"/>
  <c r="B63" i="30"/>
  <c r="K62" i="30"/>
  <c r="J62" i="30"/>
  <c r="G62" i="30"/>
  <c r="D62" i="30"/>
  <c r="C62" i="30"/>
  <c r="B62" i="30"/>
  <c r="J61" i="30"/>
  <c r="K61" i="30" s="1"/>
  <c r="G61" i="30"/>
  <c r="D61" i="30"/>
  <c r="C61" i="30"/>
  <c r="B61" i="30"/>
  <c r="J60" i="30"/>
  <c r="K60" i="30" s="1"/>
  <c r="G60" i="30"/>
  <c r="D60" i="30"/>
  <c r="C60" i="30"/>
  <c r="B60" i="30"/>
  <c r="K59" i="30"/>
  <c r="J59" i="30"/>
  <c r="G59" i="30"/>
  <c r="D59" i="30"/>
  <c r="C59" i="30"/>
  <c r="B59" i="30"/>
  <c r="K58" i="30"/>
  <c r="J58" i="30"/>
  <c r="G58" i="30"/>
  <c r="D58" i="30"/>
  <c r="C58" i="30"/>
  <c r="B58" i="30"/>
  <c r="J57" i="30"/>
  <c r="K57" i="30" s="1"/>
  <c r="G57" i="30"/>
  <c r="D57" i="30"/>
  <c r="C57" i="30"/>
  <c r="B57" i="30"/>
  <c r="J56" i="30"/>
  <c r="K56" i="30" s="1"/>
  <c r="G56" i="30"/>
  <c r="D56" i="30"/>
  <c r="C56" i="30"/>
  <c r="B56" i="30"/>
  <c r="K55" i="30"/>
  <c r="J55" i="30"/>
  <c r="G55" i="30"/>
  <c r="D55" i="30"/>
  <c r="C55" i="30"/>
  <c r="B55" i="30"/>
  <c r="K54" i="30"/>
  <c r="J54" i="30"/>
  <c r="G54" i="30"/>
  <c r="D54" i="30"/>
  <c r="C54" i="30"/>
  <c r="B54" i="30"/>
  <c r="J53" i="30"/>
  <c r="K53" i="30" s="1"/>
  <c r="G53" i="30"/>
  <c r="D53" i="30"/>
  <c r="C53" i="30"/>
  <c r="B53" i="30"/>
  <c r="J52" i="30"/>
  <c r="K52" i="30" s="1"/>
  <c r="G52" i="30"/>
  <c r="D52" i="30"/>
  <c r="C52" i="30"/>
  <c r="B52" i="30"/>
  <c r="K51" i="30"/>
  <c r="J51" i="30"/>
  <c r="G51" i="30"/>
  <c r="D51" i="30"/>
  <c r="C51" i="30"/>
  <c r="B51" i="30"/>
  <c r="K50" i="30"/>
  <c r="J50" i="30"/>
  <c r="G50" i="30"/>
  <c r="D50" i="30"/>
  <c r="C50" i="30"/>
  <c r="B50" i="30"/>
  <c r="J49" i="30"/>
  <c r="K49" i="30" s="1"/>
  <c r="G49" i="30"/>
  <c r="D49" i="30"/>
  <c r="C49" i="30"/>
  <c r="B49" i="30"/>
  <c r="J48" i="30"/>
  <c r="K48" i="30" s="1"/>
  <c r="G48" i="30"/>
  <c r="D48" i="30"/>
  <c r="C48" i="30"/>
  <c r="B48" i="30"/>
  <c r="K47" i="30"/>
  <c r="J47" i="30"/>
  <c r="G47" i="30"/>
  <c r="D47" i="30"/>
  <c r="C47" i="30"/>
  <c r="B47" i="30"/>
  <c r="K46" i="30"/>
  <c r="J46" i="30"/>
  <c r="G46" i="30"/>
  <c r="D46" i="30"/>
  <c r="C46" i="30"/>
  <c r="B46" i="30"/>
  <c r="J45" i="30"/>
  <c r="K45" i="30" s="1"/>
  <c r="G45" i="30"/>
  <c r="D45" i="30"/>
  <c r="C45" i="30"/>
  <c r="B45" i="30"/>
  <c r="J44" i="30"/>
  <c r="K44" i="30" s="1"/>
  <c r="G44" i="30"/>
  <c r="D44" i="30"/>
  <c r="C44" i="30"/>
  <c r="B44" i="30"/>
  <c r="K43" i="30"/>
  <c r="J43" i="30"/>
  <c r="G43" i="30"/>
  <c r="D43" i="30"/>
  <c r="C43" i="30"/>
  <c r="B43" i="30"/>
  <c r="K42" i="30"/>
  <c r="J42" i="30"/>
  <c r="G42" i="30"/>
  <c r="D42" i="30"/>
  <c r="C42" i="30"/>
  <c r="B42" i="30"/>
  <c r="J41" i="30"/>
  <c r="K41" i="30" s="1"/>
  <c r="G41" i="30"/>
  <c r="D41" i="30"/>
  <c r="C41" i="30"/>
  <c r="B41" i="30"/>
  <c r="J40" i="30"/>
  <c r="K40" i="30" s="1"/>
  <c r="G40" i="30"/>
  <c r="D40" i="30"/>
  <c r="C40" i="30"/>
  <c r="B40" i="30"/>
  <c r="K39" i="30"/>
  <c r="J39" i="30"/>
  <c r="G39" i="30"/>
  <c r="D39" i="30"/>
  <c r="C39" i="30"/>
  <c r="B39" i="30"/>
  <c r="K38" i="30"/>
  <c r="J38" i="30"/>
  <c r="G38" i="30"/>
  <c r="D38" i="30"/>
  <c r="C38" i="30"/>
  <c r="B38" i="30"/>
  <c r="J37" i="30"/>
  <c r="K37" i="30" s="1"/>
  <c r="G37" i="30"/>
  <c r="D37" i="30"/>
  <c r="C37" i="30"/>
  <c r="B37" i="30"/>
  <c r="J36" i="30"/>
  <c r="K36" i="30" s="1"/>
  <c r="G36" i="30"/>
  <c r="D36" i="30"/>
  <c r="C36" i="30"/>
  <c r="B36" i="30"/>
  <c r="K35" i="30"/>
  <c r="J35" i="30"/>
  <c r="G35" i="30"/>
  <c r="D35" i="30"/>
  <c r="C35" i="30"/>
  <c r="B35" i="30"/>
  <c r="K34" i="30"/>
  <c r="J34" i="30"/>
  <c r="G34" i="30"/>
  <c r="D34" i="30"/>
  <c r="C34" i="30"/>
  <c r="B34" i="30"/>
  <c r="J33" i="30"/>
  <c r="K33" i="30" s="1"/>
  <c r="G33" i="30"/>
  <c r="D33" i="30"/>
  <c r="C33" i="30"/>
  <c r="B33" i="30"/>
  <c r="J32" i="30"/>
  <c r="K32" i="30" s="1"/>
  <c r="G32" i="30"/>
  <c r="D32" i="30"/>
  <c r="C32" i="30"/>
  <c r="B32" i="30"/>
  <c r="K31" i="30"/>
  <c r="J31" i="30"/>
  <c r="G31" i="30"/>
  <c r="D31" i="30"/>
  <c r="C31" i="30"/>
  <c r="B31" i="30"/>
  <c r="K30" i="30"/>
  <c r="J30" i="30"/>
  <c r="G30" i="30"/>
  <c r="D30" i="30"/>
  <c r="C30" i="30"/>
  <c r="B30" i="30"/>
  <c r="J29" i="30"/>
  <c r="K29" i="30" s="1"/>
  <c r="G29" i="30"/>
  <c r="D29" i="30"/>
  <c r="C29" i="30"/>
  <c r="B29" i="30"/>
  <c r="J28" i="30"/>
  <c r="K28" i="30" s="1"/>
  <c r="G28" i="30"/>
  <c r="D28" i="30"/>
  <c r="C28" i="30"/>
  <c r="B28" i="30"/>
  <c r="K27" i="30"/>
  <c r="J27" i="30"/>
  <c r="G27" i="30"/>
  <c r="D27" i="30"/>
  <c r="C27" i="30"/>
  <c r="B27" i="30"/>
  <c r="K26" i="30"/>
  <c r="J26" i="30"/>
  <c r="G26" i="30"/>
  <c r="D26" i="30"/>
  <c r="C26" i="30"/>
  <c r="B26" i="30"/>
  <c r="J25" i="30"/>
  <c r="K25" i="30" s="1"/>
  <c r="G25" i="30"/>
  <c r="D25" i="30"/>
  <c r="C25" i="30"/>
  <c r="B25" i="30"/>
  <c r="J24" i="30"/>
  <c r="K24" i="30" s="1"/>
  <c r="G24" i="30"/>
  <c r="D24" i="30"/>
  <c r="C24" i="30"/>
  <c r="B24" i="30"/>
  <c r="K23" i="30"/>
  <c r="J23" i="30"/>
  <c r="G23" i="30"/>
  <c r="D23" i="30"/>
  <c r="C23" i="30"/>
  <c r="B23" i="30"/>
  <c r="K22" i="30"/>
  <c r="J22" i="30"/>
  <c r="G22" i="30"/>
  <c r="D22" i="30"/>
  <c r="C22" i="30"/>
  <c r="B22" i="30"/>
  <c r="J21" i="30"/>
  <c r="K21" i="30" s="1"/>
  <c r="G21" i="30"/>
  <c r="D21" i="30"/>
  <c r="C21" i="30"/>
  <c r="B21" i="30"/>
  <c r="J20" i="30"/>
  <c r="K20" i="30" s="1"/>
  <c r="G20" i="30"/>
  <c r="D20" i="30"/>
  <c r="C20" i="30"/>
  <c r="B20" i="30"/>
  <c r="K19" i="30"/>
  <c r="J19" i="30"/>
  <c r="G19" i="30"/>
  <c r="D19" i="30"/>
  <c r="C19" i="30"/>
  <c r="B19" i="30"/>
  <c r="K18" i="30"/>
  <c r="J18" i="30"/>
  <c r="G18" i="30"/>
  <c r="D18" i="30"/>
  <c r="C18" i="30"/>
  <c r="B18" i="30"/>
  <c r="J17" i="30"/>
  <c r="K17" i="30" s="1"/>
  <c r="G17" i="30"/>
  <c r="D17" i="30"/>
  <c r="C17" i="30"/>
  <c r="B17" i="30"/>
  <c r="J16" i="30"/>
  <c r="K16" i="30" s="1"/>
  <c r="G16" i="30"/>
  <c r="D16" i="30"/>
  <c r="C16" i="30"/>
  <c r="B16" i="30"/>
  <c r="K15" i="30"/>
  <c r="J15" i="30"/>
  <c r="G15" i="30"/>
  <c r="D15" i="30"/>
  <c r="C15" i="30"/>
  <c r="B15" i="30"/>
  <c r="K14" i="30"/>
  <c r="J14" i="30"/>
  <c r="G14" i="30"/>
  <c r="D14" i="30"/>
  <c r="C14" i="30"/>
  <c r="B14" i="30"/>
  <c r="J13" i="30"/>
  <c r="K13" i="30" s="1"/>
  <c r="G13" i="30"/>
  <c r="D13" i="30"/>
  <c r="C13" i="30"/>
  <c r="B13" i="30"/>
  <c r="J12" i="30"/>
  <c r="K12" i="30" s="1"/>
  <c r="G12" i="30"/>
  <c r="D12" i="30"/>
  <c r="C12" i="30"/>
  <c r="B12" i="30"/>
  <c r="K11" i="30"/>
  <c r="J11" i="30"/>
  <c r="G11" i="30"/>
  <c r="D11" i="30"/>
  <c r="C11" i="30"/>
  <c r="B11" i="30"/>
  <c r="K10" i="30"/>
  <c r="J10" i="30"/>
  <c r="G10" i="30"/>
  <c r="D10" i="30"/>
  <c r="C10" i="30"/>
  <c r="B10" i="30"/>
  <c r="J9" i="30"/>
  <c r="K9" i="30" s="1"/>
  <c r="G9" i="30"/>
  <c r="D9" i="30"/>
  <c r="C9" i="30"/>
  <c r="B9" i="30"/>
  <c r="J4" i="30"/>
  <c r="J208" i="29"/>
  <c r="I208" i="29"/>
  <c r="F208" i="29"/>
  <c r="D208" i="29"/>
  <c r="C208" i="29"/>
  <c r="B208" i="29"/>
  <c r="I207" i="29"/>
  <c r="J207" i="29" s="1"/>
  <c r="F207" i="29"/>
  <c r="D207" i="29"/>
  <c r="C207" i="29"/>
  <c r="B207" i="29"/>
  <c r="I206" i="29"/>
  <c r="J206" i="29" s="1"/>
  <c r="F206" i="29"/>
  <c r="D206" i="29"/>
  <c r="C206" i="29"/>
  <c r="B206" i="29"/>
  <c r="J205" i="29"/>
  <c r="I205" i="29"/>
  <c r="F205" i="29"/>
  <c r="D205" i="29"/>
  <c r="C205" i="29"/>
  <c r="B205" i="29"/>
  <c r="J204" i="29"/>
  <c r="I204" i="29"/>
  <c r="F204" i="29"/>
  <c r="D204" i="29"/>
  <c r="C204" i="29"/>
  <c r="B204" i="29"/>
  <c r="I203" i="29"/>
  <c r="J203" i="29" s="1"/>
  <c r="F203" i="29"/>
  <c r="D203" i="29"/>
  <c r="C203" i="29"/>
  <c r="B203" i="29"/>
  <c r="I202" i="29"/>
  <c r="J202" i="29" s="1"/>
  <c r="F202" i="29"/>
  <c r="D202" i="29"/>
  <c r="C202" i="29"/>
  <c r="B202" i="29"/>
  <c r="J201" i="29"/>
  <c r="I201" i="29"/>
  <c r="F201" i="29"/>
  <c r="D201" i="29"/>
  <c r="C201" i="29"/>
  <c r="B201" i="29"/>
  <c r="J200" i="29"/>
  <c r="I200" i="29"/>
  <c r="F200" i="29"/>
  <c r="D200" i="29"/>
  <c r="C200" i="29"/>
  <c r="B200" i="29"/>
  <c r="I199" i="29"/>
  <c r="J199" i="29" s="1"/>
  <c r="F199" i="29"/>
  <c r="D199" i="29"/>
  <c r="C199" i="29"/>
  <c r="B199" i="29"/>
  <c r="I198" i="29"/>
  <c r="J198" i="29" s="1"/>
  <c r="F198" i="29"/>
  <c r="D198" i="29"/>
  <c r="C198" i="29"/>
  <c r="B198" i="29"/>
  <c r="J197" i="29"/>
  <c r="I197" i="29"/>
  <c r="F197" i="29"/>
  <c r="D197" i="29"/>
  <c r="C197" i="29"/>
  <c r="B197" i="29"/>
  <c r="J196" i="29"/>
  <c r="I196" i="29"/>
  <c r="F196" i="29"/>
  <c r="D196" i="29"/>
  <c r="C196" i="29"/>
  <c r="B196" i="29"/>
  <c r="I195" i="29"/>
  <c r="J195" i="29" s="1"/>
  <c r="F195" i="29"/>
  <c r="D195" i="29"/>
  <c r="C195" i="29"/>
  <c r="B195" i="29"/>
  <c r="I194" i="29"/>
  <c r="J194" i="29" s="1"/>
  <c r="F194" i="29"/>
  <c r="D194" i="29"/>
  <c r="C194" i="29"/>
  <c r="B194" i="29"/>
  <c r="J193" i="29"/>
  <c r="I193" i="29"/>
  <c r="F193" i="29"/>
  <c r="D193" i="29"/>
  <c r="C193" i="29"/>
  <c r="B193" i="29"/>
  <c r="J192" i="29"/>
  <c r="I192" i="29"/>
  <c r="F192" i="29"/>
  <c r="D192" i="29"/>
  <c r="C192" i="29"/>
  <c r="B192" i="29"/>
  <c r="I191" i="29"/>
  <c r="J191" i="29" s="1"/>
  <c r="F191" i="29"/>
  <c r="D191" i="29"/>
  <c r="C191" i="29"/>
  <c r="B191" i="29"/>
  <c r="I190" i="29"/>
  <c r="J190" i="29" s="1"/>
  <c r="F190" i="29"/>
  <c r="D190" i="29"/>
  <c r="C190" i="29"/>
  <c r="B190" i="29"/>
  <c r="J189" i="29"/>
  <c r="I189" i="29"/>
  <c r="F189" i="29"/>
  <c r="D189" i="29"/>
  <c r="C189" i="29"/>
  <c r="B189" i="29"/>
  <c r="J188" i="29"/>
  <c r="I188" i="29"/>
  <c r="F188" i="29"/>
  <c r="D188" i="29"/>
  <c r="C188" i="29"/>
  <c r="B188" i="29"/>
  <c r="I187" i="29"/>
  <c r="J187" i="29" s="1"/>
  <c r="F187" i="29"/>
  <c r="D187" i="29"/>
  <c r="C187" i="29"/>
  <c r="B187" i="29"/>
  <c r="I186" i="29"/>
  <c r="J186" i="29" s="1"/>
  <c r="F186" i="29"/>
  <c r="D186" i="29"/>
  <c r="C186" i="29"/>
  <c r="B186" i="29"/>
  <c r="J185" i="29"/>
  <c r="I185" i="29"/>
  <c r="F185" i="29"/>
  <c r="D185" i="29"/>
  <c r="C185" i="29"/>
  <c r="B185" i="29"/>
  <c r="J184" i="29"/>
  <c r="I184" i="29"/>
  <c r="F184" i="29"/>
  <c r="D184" i="29"/>
  <c r="C184" i="29"/>
  <c r="B184" i="29"/>
  <c r="I183" i="29"/>
  <c r="J183" i="29" s="1"/>
  <c r="F183" i="29"/>
  <c r="D183" i="29"/>
  <c r="C183" i="29"/>
  <c r="B183" i="29"/>
  <c r="I182" i="29"/>
  <c r="J182" i="29" s="1"/>
  <c r="F182" i="29"/>
  <c r="D182" i="29"/>
  <c r="C182" i="29"/>
  <c r="B182" i="29"/>
  <c r="J181" i="29"/>
  <c r="I181" i="29"/>
  <c r="F181" i="29"/>
  <c r="D181" i="29"/>
  <c r="C181" i="29"/>
  <c r="B181" i="29"/>
  <c r="J180" i="29"/>
  <c r="I180" i="29"/>
  <c r="F180" i="29"/>
  <c r="D180" i="29"/>
  <c r="C180" i="29"/>
  <c r="B180" i="29"/>
  <c r="I179" i="29"/>
  <c r="J179" i="29" s="1"/>
  <c r="F179" i="29"/>
  <c r="D179" i="29"/>
  <c r="C179" i="29"/>
  <c r="B179" i="29"/>
  <c r="I178" i="29"/>
  <c r="J178" i="29" s="1"/>
  <c r="F178" i="29"/>
  <c r="D178" i="29"/>
  <c r="C178" i="29"/>
  <c r="B178" i="29"/>
  <c r="J177" i="29"/>
  <c r="I177" i="29"/>
  <c r="F177" i="29"/>
  <c r="D177" i="29"/>
  <c r="C177" i="29"/>
  <c r="B177" i="29"/>
  <c r="J176" i="29"/>
  <c r="I176" i="29"/>
  <c r="F176" i="29"/>
  <c r="D176" i="29"/>
  <c r="C176" i="29"/>
  <c r="B176" i="29"/>
  <c r="I175" i="29"/>
  <c r="J175" i="29" s="1"/>
  <c r="F175" i="29"/>
  <c r="D175" i="29"/>
  <c r="C175" i="29"/>
  <c r="B175" i="29"/>
  <c r="I174" i="29"/>
  <c r="J174" i="29" s="1"/>
  <c r="F174" i="29"/>
  <c r="D174" i="29"/>
  <c r="C174" i="29"/>
  <c r="B174" i="29"/>
  <c r="J173" i="29"/>
  <c r="I173" i="29"/>
  <c r="F173" i="29"/>
  <c r="D173" i="29"/>
  <c r="C173" i="29"/>
  <c r="B173" i="29"/>
  <c r="J172" i="29"/>
  <c r="I172" i="29"/>
  <c r="F172" i="29"/>
  <c r="D172" i="29"/>
  <c r="C172" i="29"/>
  <c r="B172" i="29"/>
  <c r="I171" i="29"/>
  <c r="J171" i="29" s="1"/>
  <c r="F171" i="29"/>
  <c r="D171" i="29"/>
  <c r="C171" i="29"/>
  <c r="B171" i="29"/>
  <c r="I170" i="29"/>
  <c r="J170" i="29" s="1"/>
  <c r="F170" i="29"/>
  <c r="D170" i="29"/>
  <c r="C170" i="29"/>
  <c r="B170" i="29"/>
  <c r="J169" i="29"/>
  <c r="I169" i="29"/>
  <c r="F169" i="29"/>
  <c r="D169" i="29"/>
  <c r="C169" i="29"/>
  <c r="B169" i="29"/>
  <c r="J168" i="29"/>
  <c r="I168" i="29"/>
  <c r="F168" i="29"/>
  <c r="D168" i="29"/>
  <c r="C168" i="29"/>
  <c r="B168" i="29"/>
  <c r="I167" i="29"/>
  <c r="J167" i="29" s="1"/>
  <c r="F167" i="29"/>
  <c r="D167" i="29"/>
  <c r="C167" i="29"/>
  <c r="B167" i="29"/>
  <c r="I166" i="29"/>
  <c r="J166" i="29" s="1"/>
  <c r="F166" i="29"/>
  <c r="D166" i="29"/>
  <c r="C166" i="29"/>
  <c r="B166" i="29"/>
  <c r="J165" i="29"/>
  <c r="I165" i="29"/>
  <c r="F165" i="29"/>
  <c r="D165" i="29"/>
  <c r="C165" i="29"/>
  <c r="B165" i="29"/>
  <c r="J164" i="29"/>
  <c r="I164" i="29"/>
  <c r="F164" i="29"/>
  <c r="D164" i="29"/>
  <c r="C164" i="29"/>
  <c r="B164" i="29"/>
  <c r="I163" i="29"/>
  <c r="J163" i="29" s="1"/>
  <c r="F163" i="29"/>
  <c r="D163" i="29"/>
  <c r="C163" i="29"/>
  <c r="B163" i="29"/>
  <c r="I162" i="29"/>
  <c r="J162" i="29" s="1"/>
  <c r="F162" i="29"/>
  <c r="D162" i="29"/>
  <c r="C162" i="29"/>
  <c r="B162" i="29"/>
  <c r="J161" i="29"/>
  <c r="I161" i="29"/>
  <c r="F161" i="29"/>
  <c r="D161" i="29"/>
  <c r="C161" i="29"/>
  <c r="B161" i="29"/>
  <c r="J160" i="29"/>
  <c r="I160" i="29"/>
  <c r="F160" i="29"/>
  <c r="D160" i="29"/>
  <c r="C160" i="29"/>
  <c r="B160" i="29"/>
  <c r="I159" i="29"/>
  <c r="J159" i="29" s="1"/>
  <c r="F159" i="29"/>
  <c r="D159" i="29"/>
  <c r="C159" i="29"/>
  <c r="B159" i="29"/>
  <c r="I158" i="29"/>
  <c r="J158" i="29" s="1"/>
  <c r="F158" i="29"/>
  <c r="D158" i="29"/>
  <c r="C158" i="29"/>
  <c r="B158" i="29"/>
  <c r="J157" i="29"/>
  <c r="I157" i="29"/>
  <c r="F157" i="29"/>
  <c r="D157" i="29"/>
  <c r="C157" i="29"/>
  <c r="B157" i="29"/>
  <c r="J156" i="29"/>
  <c r="I156" i="29"/>
  <c r="F156" i="29"/>
  <c r="D156" i="29"/>
  <c r="C156" i="29"/>
  <c r="B156" i="29"/>
  <c r="I155" i="29"/>
  <c r="J155" i="29" s="1"/>
  <c r="F155" i="29"/>
  <c r="D155" i="29"/>
  <c r="C155" i="29"/>
  <c r="B155" i="29"/>
  <c r="I154" i="29"/>
  <c r="J154" i="29" s="1"/>
  <c r="F154" i="29"/>
  <c r="D154" i="29"/>
  <c r="C154" i="29"/>
  <c r="B154" i="29"/>
  <c r="J153" i="29"/>
  <c r="I153" i="29"/>
  <c r="F153" i="29"/>
  <c r="D153" i="29"/>
  <c r="C153" i="29"/>
  <c r="B153" i="29"/>
  <c r="J152" i="29"/>
  <c r="I152" i="29"/>
  <c r="F152" i="29"/>
  <c r="D152" i="29"/>
  <c r="C152" i="29"/>
  <c r="B152" i="29"/>
  <c r="I151" i="29"/>
  <c r="J151" i="29" s="1"/>
  <c r="F151" i="29"/>
  <c r="D151" i="29"/>
  <c r="C151" i="29"/>
  <c r="B151" i="29"/>
  <c r="I150" i="29"/>
  <c r="J150" i="29" s="1"/>
  <c r="F150" i="29"/>
  <c r="D150" i="29"/>
  <c r="C150" i="29"/>
  <c r="B150" i="29"/>
  <c r="J149" i="29"/>
  <c r="I149" i="29"/>
  <c r="F149" i="29"/>
  <c r="D149" i="29"/>
  <c r="C149" i="29"/>
  <c r="B149" i="29"/>
  <c r="J148" i="29"/>
  <c r="I148" i="29"/>
  <c r="F148" i="29"/>
  <c r="D148" i="29"/>
  <c r="C148" i="29"/>
  <c r="B148" i="29"/>
  <c r="I147" i="29"/>
  <c r="J147" i="29" s="1"/>
  <c r="F147" i="29"/>
  <c r="D147" i="29"/>
  <c r="C147" i="29"/>
  <c r="B147" i="29"/>
  <c r="I146" i="29"/>
  <c r="J146" i="29" s="1"/>
  <c r="F146" i="29"/>
  <c r="D146" i="29"/>
  <c r="C146" i="29"/>
  <c r="B146" i="29"/>
  <c r="J145" i="29"/>
  <c r="I145" i="29"/>
  <c r="F145" i="29"/>
  <c r="D145" i="29"/>
  <c r="C145" i="29"/>
  <c r="B145" i="29"/>
  <c r="J144" i="29"/>
  <c r="I144" i="29"/>
  <c r="F144" i="29"/>
  <c r="D144" i="29"/>
  <c r="C144" i="29"/>
  <c r="B144" i="29"/>
  <c r="I143" i="29"/>
  <c r="J143" i="29" s="1"/>
  <c r="F143" i="29"/>
  <c r="D143" i="29"/>
  <c r="C143" i="29"/>
  <c r="B143" i="29"/>
  <c r="I142" i="29"/>
  <c r="J142" i="29" s="1"/>
  <c r="F142" i="29"/>
  <c r="D142" i="29"/>
  <c r="C142" i="29"/>
  <c r="B142" i="29"/>
  <c r="J141" i="29"/>
  <c r="I141" i="29"/>
  <c r="F141" i="29"/>
  <c r="D141" i="29"/>
  <c r="C141" i="29"/>
  <c r="B141" i="29"/>
  <c r="J140" i="29"/>
  <c r="I140" i="29"/>
  <c r="F140" i="29"/>
  <c r="D140" i="29"/>
  <c r="C140" i="29"/>
  <c r="B140" i="29"/>
  <c r="I139" i="29"/>
  <c r="J139" i="29" s="1"/>
  <c r="F139" i="29"/>
  <c r="D139" i="29"/>
  <c r="C139" i="29"/>
  <c r="B139" i="29"/>
  <c r="I138" i="29"/>
  <c r="J138" i="29" s="1"/>
  <c r="F138" i="29"/>
  <c r="D138" i="29"/>
  <c r="C138" i="29"/>
  <c r="B138" i="29"/>
  <c r="J137" i="29"/>
  <c r="I137" i="29"/>
  <c r="F137" i="29"/>
  <c r="D137" i="29"/>
  <c r="C137" i="29"/>
  <c r="B137" i="29"/>
  <c r="J136" i="29"/>
  <c r="I136" i="29"/>
  <c r="F136" i="29"/>
  <c r="D136" i="29"/>
  <c r="C136" i="29"/>
  <c r="B136" i="29"/>
  <c r="I135" i="29"/>
  <c r="J135" i="29" s="1"/>
  <c r="F135" i="29"/>
  <c r="D135" i="29"/>
  <c r="C135" i="29"/>
  <c r="B135" i="29"/>
  <c r="I134" i="29"/>
  <c r="J134" i="29" s="1"/>
  <c r="F134" i="29"/>
  <c r="D134" i="29"/>
  <c r="C134" i="29"/>
  <c r="B134" i="29"/>
  <c r="J133" i="29"/>
  <c r="I133" i="29"/>
  <c r="F133" i="29"/>
  <c r="D133" i="29"/>
  <c r="C133" i="29"/>
  <c r="B133" i="29"/>
  <c r="J132" i="29"/>
  <c r="I132" i="29"/>
  <c r="F132" i="29"/>
  <c r="D132" i="29"/>
  <c r="C132" i="29"/>
  <c r="B132" i="29"/>
  <c r="I131" i="29"/>
  <c r="J131" i="29" s="1"/>
  <c r="F131" i="29"/>
  <c r="D131" i="29"/>
  <c r="C131" i="29"/>
  <c r="B131" i="29"/>
  <c r="I130" i="29"/>
  <c r="J130" i="29" s="1"/>
  <c r="F130" i="29"/>
  <c r="D130" i="29"/>
  <c r="C130" i="29"/>
  <c r="B130" i="29"/>
  <c r="J129" i="29"/>
  <c r="I129" i="29"/>
  <c r="F129" i="29"/>
  <c r="D129" i="29"/>
  <c r="C129" i="29"/>
  <c r="B129" i="29"/>
  <c r="J128" i="29"/>
  <c r="I128" i="29"/>
  <c r="F128" i="29"/>
  <c r="D128" i="29"/>
  <c r="C128" i="29"/>
  <c r="B128" i="29"/>
  <c r="I127" i="29"/>
  <c r="J127" i="29" s="1"/>
  <c r="F127" i="29"/>
  <c r="D127" i="29"/>
  <c r="C127" i="29"/>
  <c r="B127" i="29"/>
  <c r="I126" i="29"/>
  <c r="J126" i="29" s="1"/>
  <c r="F126" i="29"/>
  <c r="D126" i="29"/>
  <c r="C126" i="29"/>
  <c r="B126" i="29"/>
  <c r="J125" i="29"/>
  <c r="I125" i="29"/>
  <c r="F125" i="29"/>
  <c r="D125" i="29"/>
  <c r="C125" i="29"/>
  <c r="B125" i="29"/>
  <c r="J124" i="29"/>
  <c r="I124" i="29"/>
  <c r="F124" i="29"/>
  <c r="D124" i="29"/>
  <c r="C124" i="29"/>
  <c r="B124" i="29"/>
  <c r="I123" i="29"/>
  <c r="J123" i="29" s="1"/>
  <c r="F123" i="29"/>
  <c r="D123" i="29"/>
  <c r="C123" i="29"/>
  <c r="B123" i="29"/>
  <c r="I122" i="29"/>
  <c r="J122" i="29" s="1"/>
  <c r="F122" i="29"/>
  <c r="D122" i="29"/>
  <c r="C122" i="29"/>
  <c r="B122" i="29"/>
  <c r="J121" i="29"/>
  <c r="I121" i="29"/>
  <c r="F121" i="29"/>
  <c r="D121" i="29"/>
  <c r="C121" i="29"/>
  <c r="B121" i="29"/>
  <c r="J120" i="29"/>
  <c r="I120" i="29"/>
  <c r="F120" i="29"/>
  <c r="D120" i="29"/>
  <c r="C120" i="29"/>
  <c r="B120" i="29"/>
  <c r="I119" i="29"/>
  <c r="J119" i="29" s="1"/>
  <c r="F119" i="29"/>
  <c r="D119" i="29"/>
  <c r="C119" i="29"/>
  <c r="B119" i="29"/>
  <c r="I118" i="29"/>
  <c r="J118" i="29" s="1"/>
  <c r="F118" i="29"/>
  <c r="D118" i="29"/>
  <c r="C118" i="29"/>
  <c r="B118" i="29"/>
  <c r="J117" i="29"/>
  <c r="I117" i="29"/>
  <c r="F117" i="29"/>
  <c r="D117" i="29"/>
  <c r="C117" i="29"/>
  <c r="B117" i="29"/>
  <c r="J116" i="29"/>
  <c r="I116" i="29"/>
  <c r="F116" i="29"/>
  <c r="D116" i="29"/>
  <c r="C116" i="29"/>
  <c r="B116" i="29"/>
  <c r="I115" i="29"/>
  <c r="J115" i="29" s="1"/>
  <c r="F115" i="29"/>
  <c r="D115" i="29"/>
  <c r="C115" i="29"/>
  <c r="B115" i="29"/>
  <c r="I114" i="29"/>
  <c r="J114" i="29" s="1"/>
  <c r="F114" i="29"/>
  <c r="D114" i="29"/>
  <c r="C114" i="29"/>
  <c r="B114" i="29"/>
  <c r="J113" i="29"/>
  <c r="I113" i="29"/>
  <c r="F113" i="29"/>
  <c r="D113" i="29"/>
  <c r="C113" i="29"/>
  <c r="B113" i="29"/>
  <c r="J112" i="29"/>
  <c r="I112" i="29"/>
  <c r="F112" i="29"/>
  <c r="D112" i="29"/>
  <c r="C112" i="29"/>
  <c r="B112" i="29"/>
  <c r="I111" i="29"/>
  <c r="J111" i="29" s="1"/>
  <c r="F111" i="29"/>
  <c r="D111" i="29"/>
  <c r="C111" i="29"/>
  <c r="B111" i="29"/>
  <c r="I110" i="29"/>
  <c r="J110" i="29" s="1"/>
  <c r="F110" i="29"/>
  <c r="D110" i="29"/>
  <c r="C110" i="29"/>
  <c r="B110" i="29"/>
  <c r="J109" i="29"/>
  <c r="I109" i="29"/>
  <c r="F109" i="29"/>
  <c r="D109" i="29"/>
  <c r="C109" i="29"/>
  <c r="B109" i="29"/>
  <c r="J108" i="29"/>
  <c r="I108" i="29"/>
  <c r="F108" i="29"/>
  <c r="D108" i="29"/>
  <c r="C108" i="29"/>
  <c r="B108" i="29"/>
  <c r="I107" i="29"/>
  <c r="J107" i="29" s="1"/>
  <c r="F107" i="29"/>
  <c r="D107" i="29"/>
  <c r="C107" i="29"/>
  <c r="B107" i="29"/>
  <c r="I106" i="29"/>
  <c r="J106" i="29" s="1"/>
  <c r="F106" i="29"/>
  <c r="D106" i="29"/>
  <c r="C106" i="29"/>
  <c r="B106" i="29"/>
  <c r="J105" i="29"/>
  <c r="I105" i="29"/>
  <c r="F105" i="29"/>
  <c r="D105" i="29"/>
  <c r="C105" i="29"/>
  <c r="B105" i="29"/>
  <c r="J104" i="29"/>
  <c r="I104" i="29"/>
  <c r="F104" i="29"/>
  <c r="D104" i="29"/>
  <c r="C104" i="29"/>
  <c r="B104" i="29"/>
  <c r="I103" i="29"/>
  <c r="J103" i="29" s="1"/>
  <c r="F103" i="29"/>
  <c r="D103" i="29"/>
  <c r="C103" i="29"/>
  <c r="B103" i="29"/>
  <c r="I102" i="29"/>
  <c r="J102" i="29" s="1"/>
  <c r="F102" i="29"/>
  <c r="D102" i="29"/>
  <c r="C102" i="29"/>
  <c r="B102" i="29"/>
  <c r="J101" i="29"/>
  <c r="I101" i="29"/>
  <c r="F101" i="29"/>
  <c r="D101" i="29"/>
  <c r="C101" i="29"/>
  <c r="B101" i="29"/>
  <c r="J100" i="29"/>
  <c r="I100" i="29"/>
  <c r="F100" i="29"/>
  <c r="D100" i="29"/>
  <c r="C100" i="29"/>
  <c r="B100" i="29"/>
  <c r="I99" i="29"/>
  <c r="J99" i="29" s="1"/>
  <c r="F99" i="29"/>
  <c r="D99" i="29"/>
  <c r="C99" i="29"/>
  <c r="B99" i="29"/>
  <c r="I98" i="29"/>
  <c r="J98" i="29" s="1"/>
  <c r="F98" i="29"/>
  <c r="D98" i="29"/>
  <c r="C98" i="29"/>
  <c r="B98" i="29"/>
  <c r="J97" i="29"/>
  <c r="I97" i="29"/>
  <c r="F97" i="29"/>
  <c r="D97" i="29"/>
  <c r="C97" i="29"/>
  <c r="B97" i="29"/>
  <c r="J96" i="29"/>
  <c r="I96" i="29"/>
  <c r="F96" i="29"/>
  <c r="D96" i="29"/>
  <c r="C96" i="29"/>
  <c r="B96" i="29"/>
  <c r="I95" i="29"/>
  <c r="J95" i="29" s="1"/>
  <c r="F95" i="29"/>
  <c r="D95" i="29"/>
  <c r="C95" i="29"/>
  <c r="B95" i="29"/>
  <c r="I94" i="29"/>
  <c r="J94" i="29" s="1"/>
  <c r="F94" i="29"/>
  <c r="D94" i="29"/>
  <c r="C94" i="29"/>
  <c r="B94" i="29"/>
  <c r="J93" i="29"/>
  <c r="I93" i="29"/>
  <c r="F93" i="29"/>
  <c r="D93" i="29"/>
  <c r="C93" i="29"/>
  <c r="B93" i="29"/>
  <c r="J92" i="29"/>
  <c r="I92" i="29"/>
  <c r="F92" i="29"/>
  <c r="D92" i="29"/>
  <c r="C92" i="29"/>
  <c r="B92" i="29"/>
  <c r="I91" i="29"/>
  <c r="J91" i="29" s="1"/>
  <c r="F91" i="29"/>
  <c r="D91" i="29"/>
  <c r="C91" i="29"/>
  <c r="B91" i="29"/>
  <c r="I90" i="29"/>
  <c r="J90" i="29" s="1"/>
  <c r="F90" i="29"/>
  <c r="D90" i="29"/>
  <c r="C90" i="29"/>
  <c r="B90" i="29"/>
  <c r="J89" i="29"/>
  <c r="I89" i="29"/>
  <c r="F89" i="29"/>
  <c r="D89" i="29"/>
  <c r="C89" i="29"/>
  <c r="B89" i="29"/>
  <c r="J88" i="29"/>
  <c r="I88" i="29"/>
  <c r="F88" i="29"/>
  <c r="D88" i="29"/>
  <c r="C88" i="29"/>
  <c r="B88" i="29"/>
  <c r="I87" i="29"/>
  <c r="J87" i="29" s="1"/>
  <c r="F87" i="29"/>
  <c r="D87" i="29"/>
  <c r="C87" i="29"/>
  <c r="B87" i="29"/>
  <c r="I86" i="29"/>
  <c r="J86" i="29" s="1"/>
  <c r="F86" i="29"/>
  <c r="D86" i="29"/>
  <c r="C86" i="29"/>
  <c r="B86" i="29"/>
  <c r="J85" i="29"/>
  <c r="I85" i="29"/>
  <c r="F85" i="29"/>
  <c r="D85" i="29"/>
  <c r="C85" i="29"/>
  <c r="B85" i="29"/>
  <c r="J84" i="29"/>
  <c r="I84" i="29"/>
  <c r="F84" i="29"/>
  <c r="D84" i="29"/>
  <c r="C84" i="29"/>
  <c r="B84" i="29"/>
  <c r="I83" i="29"/>
  <c r="J83" i="29" s="1"/>
  <c r="F83" i="29"/>
  <c r="D83" i="29"/>
  <c r="C83" i="29"/>
  <c r="B83" i="29"/>
  <c r="I82" i="29"/>
  <c r="J82" i="29" s="1"/>
  <c r="F82" i="29"/>
  <c r="D82" i="29"/>
  <c r="C82" i="29"/>
  <c r="B82" i="29"/>
  <c r="J81" i="29"/>
  <c r="I81" i="29"/>
  <c r="F81" i="29"/>
  <c r="D81" i="29"/>
  <c r="C81" i="29"/>
  <c r="B81" i="29"/>
  <c r="J80" i="29"/>
  <c r="I80" i="29"/>
  <c r="F80" i="29"/>
  <c r="D80" i="29"/>
  <c r="C80" i="29"/>
  <c r="B80" i="29"/>
  <c r="I79" i="29"/>
  <c r="J79" i="29" s="1"/>
  <c r="F79" i="29"/>
  <c r="D79" i="29"/>
  <c r="C79" i="29"/>
  <c r="B79" i="29"/>
  <c r="I78" i="29"/>
  <c r="J78" i="29" s="1"/>
  <c r="F78" i="29"/>
  <c r="D78" i="29"/>
  <c r="C78" i="29"/>
  <c r="B78" i="29"/>
  <c r="J77" i="29"/>
  <c r="I77" i="29"/>
  <c r="F77" i="29"/>
  <c r="D77" i="29"/>
  <c r="C77" i="29"/>
  <c r="B77" i="29"/>
  <c r="J76" i="29"/>
  <c r="I76" i="29"/>
  <c r="F76" i="29"/>
  <c r="D76" i="29"/>
  <c r="C76" i="29"/>
  <c r="B76" i="29"/>
  <c r="I75" i="29"/>
  <c r="J75" i="29" s="1"/>
  <c r="F75" i="29"/>
  <c r="D75" i="29"/>
  <c r="C75" i="29"/>
  <c r="B75" i="29"/>
  <c r="I74" i="29"/>
  <c r="J74" i="29" s="1"/>
  <c r="F74" i="29"/>
  <c r="D74" i="29"/>
  <c r="C74" i="29"/>
  <c r="B74" i="29"/>
  <c r="J73" i="29"/>
  <c r="I73" i="29"/>
  <c r="F73" i="29"/>
  <c r="D73" i="29"/>
  <c r="C73" i="29"/>
  <c r="B73" i="29"/>
  <c r="J72" i="29"/>
  <c r="I72" i="29"/>
  <c r="F72" i="29"/>
  <c r="D72" i="29"/>
  <c r="C72" i="29"/>
  <c r="B72" i="29"/>
  <c r="I71" i="29"/>
  <c r="J71" i="29" s="1"/>
  <c r="F71" i="29"/>
  <c r="D71" i="29"/>
  <c r="C71" i="29"/>
  <c r="B71" i="29"/>
  <c r="I70" i="29"/>
  <c r="J70" i="29" s="1"/>
  <c r="F70" i="29"/>
  <c r="D70" i="29"/>
  <c r="C70" i="29"/>
  <c r="B70" i="29"/>
  <c r="J69" i="29"/>
  <c r="I69" i="29"/>
  <c r="F69" i="29"/>
  <c r="D69" i="29"/>
  <c r="C69" i="29"/>
  <c r="B69" i="29"/>
  <c r="J68" i="29"/>
  <c r="I68" i="29"/>
  <c r="F68" i="29"/>
  <c r="D68" i="29"/>
  <c r="C68" i="29"/>
  <c r="B68" i="29"/>
  <c r="I67" i="29"/>
  <c r="J67" i="29" s="1"/>
  <c r="F67" i="29"/>
  <c r="D67" i="29"/>
  <c r="C67" i="29"/>
  <c r="B67" i="29"/>
  <c r="I66" i="29"/>
  <c r="J66" i="29" s="1"/>
  <c r="F66" i="29"/>
  <c r="D66" i="29"/>
  <c r="C66" i="29"/>
  <c r="B66" i="29"/>
  <c r="J65" i="29"/>
  <c r="I65" i="29"/>
  <c r="F65" i="29"/>
  <c r="D65" i="29"/>
  <c r="C65" i="29"/>
  <c r="B65" i="29"/>
  <c r="J64" i="29"/>
  <c r="I64" i="29"/>
  <c r="F64" i="29"/>
  <c r="D64" i="29"/>
  <c r="C64" i="29"/>
  <c r="B64" i="29"/>
  <c r="I63" i="29"/>
  <c r="J63" i="29" s="1"/>
  <c r="F63" i="29"/>
  <c r="D63" i="29"/>
  <c r="C63" i="29"/>
  <c r="B63" i="29"/>
  <c r="I62" i="29"/>
  <c r="J62" i="29" s="1"/>
  <c r="F62" i="29"/>
  <c r="D62" i="29"/>
  <c r="C62" i="29"/>
  <c r="B62" i="29"/>
  <c r="J61" i="29"/>
  <c r="I61" i="29"/>
  <c r="F61" i="29"/>
  <c r="D61" i="29"/>
  <c r="C61" i="29"/>
  <c r="B61" i="29"/>
  <c r="J60" i="29"/>
  <c r="I60" i="29"/>
  <c r="F60" i="29"/>
  <c r="D60" i="29"/>
  <c r="C60" i="29"/>
  <c r="B60" i="29"/>
  <c r="I59" i="29"/>
  <c r="J59" i="29" s="1"/>
  <c r="F59" i="29"/>
  <c r="D59" i="29"/>
  <c r="C59" i="29"/>
  <c r="B59" i="29"/>
  <c r="I58" i="29"/>
  <c r="J58" i="29" s="1"/>
  <c r="F58" i="29"/>
  <c r="D58" i="29"/>
  <c r="C58" i="29"/>
  <c r="B58" i="29"/>
  <c r="J57" i="29"/>
  <c r="I57" i="29"/>
  <c r="F57" i="29"/>
  <c r="D57" i="29"/>
  <c r="C57" i="29"/>
  <c r="B57" i="29"/>
  <c r="J56" i="29"/>
  <c r="I56" i="29"/>
  <c r="F56" i="29"/>
  <c r="D56" i="29"/>
  <c r="C56" i="29"/>
  <c r="B56" i="29"/>
  <c r="I55" i="29"/>
  <c r="J55" i="29" s="1"/>
  <c r="F55" i="29"/>
  <c r="D55" i="29"/>
  <c r="C55" i="29"/>
  <c r="B55" i="29"/>
  <c r="I54" i="29"/>
  <c r="J54" i="29" s="1"/>
  <c r="F54" i="29"/>
  <c r="D54" i="29"/>
  <c r="C54" i="29"/>
  <c r="B54" i="29"/>
  <c r="J53" i="29"/>
  <c r="I53" i="29"/>
  <c r="F53" i="29"/>
  <c r="D53" i="29"/>
  <c r="C53" i="29"/>
  <c r="B53" i="29"/>
  <c r="J52" i="29"/>
  <c r="I52" i="29"/>
  <c r="F52" i="29"/>
  <c r="D52" i="29"/>
  <c r="C52" i="29"/>
  <c r="B52" i="29"/>
  <c r="I51" i="29"/>
  <c r="J51" i="29" s="1"/>
  <c r="F51" i="29"/>
  <c r="D51" i="29"/>
  <c r="C51" i="29"/>
  <c r="B51" i="29"/>
  <c r="I50" i="29"/>
  <c r="J50" i="29" s="1"/>
  <c r="F50" i="29"/>
  <c r="D50" i="29"/>
  <c r="C50" i="29"/>
  <c r="B50" i="29"/>
  <c r="J49" i="29"/>
  <c r="I49" i="29"/>
  <c r="F49" i="29"/>
  <c r="D49" i="29"/>
  <c r="C49" i="29"/>
  <c r="B49" i="29"/>
  <c r="J48" i="29"/>
  <c r="I48" i="29"/>
  <c r="F48" i="29"/>
  <c r="D48" i="29"/>
  <c r="C48" i="29"/>
  <c r="B48" i="29"/>
  <c r="I47" i="29"/>
  <c r="J47" i="29" s="1"/>
  <c r="F47" i="29"/>
  <c r="D47" i="29"/>
  <c r="C47" i="29"/>
  <c r="B47" i="29"/>
  <c r="I46" i="29"/>
  <c r="J46" i="29" s="1"/>
  <c r="F46" i="29"/>
  <c r="D46" i="29"/>
  <c r="C46" i="29"/>
  <c r="B46" i="29"/>
  <c r="J45" i="29"/>
  <c r="I45" i="29"/>
  <c r="F45" i="29"/>
  <c r="D45" i="29"/>
  <c r="C45" i="29"/>
  <c r="B45" i="29"/>
  <c r="J44" i="29"/>
  <c r="I44" i="29"/>
  <c r="F44" i="29"/>
  <c r="D44" i="29"/>
  <c r="C44" i="29"/>
  <c r="B44" i="29"/>
  <c r="I43" i="29"/>
  <c r="J43" i="29" s="1"/>
  <c r="F43" i="29"/>
  <c r="D43" i="29"/>
  <c r="C43" i="29"/>
  <c r="B43" i="29"/>
  <c r="I42" i="29"/>
  <c r="J42" i="29" s="1"/>
  <c r="F42" i="29"/>
  <c r="D42" i="29"/>
  <c r="C42" i="29"/>
  <c r="B42" i="29"/>
  <c r="J41" i="29"/>
  <c r="I41" i="29"/>
  <c r="F41" i="29"/>
  <c r="D41" i="29"/>
  <c r="C41" i="29"/>
  <c r="B41" i="29"/>
  <c r="J40" i="29"/>
  <c r="I40" i="29"/>
  <c r="F40" i="29"/>
  <c r="D40" i="29"/>
  <c r="C40" i="29"/>
  <c r="B40" i="29"/>
  <c r="I39" i="29"/>
  <c r="J39" i="29" s="1"/>
  <c r="F39" i="29"/>
  <c r="D39" i="29"/>
  <c r="C39" i="29"/>
  <c r="B39" i="29"/>
  <c r="I38" i="29"/>
  <c r="J38" i="29" s="1"/>
  <c r="F38" i="29"/>
  <c r="D38" i="29"/>
  <c r="C38" i="29"/>
  <c r="B38" i="29"/>
  <c r="J37" i="29"/>
  <c r="I37" i="29"/>
  <c r="F37" i="29"/>
  <c r="D37" i="29"/>
  <c r="C37" i="29"/>
  <c r="B37" i="29"/>
  <c r="J36" i="29"/>
  <c r="I36" i="29"/>
  <c r="F36" i="29"/>
  <c r="D36" i="29"/>
  <c r="C36" i="29"/>
  <c r="B36" i="29"/>
  <c r="I35" i="29"/>
  <c r="J35" i="29" s="1"/>
  <c r="F35" i="29"/>
  <c r="D35" i="29"/>
  <c r="C35" i="29"/>
  <c r="B35" i="29"/>
  <c r="I34" i="29"/>
  <c r="J34" i="29" s="1"/>
  <c r="F34" i="29"/>
  <c r="D34" i="29"/>
  <c r="C34" i="29"/>
  <c r="B34" i="29"/>
  <c r="J33" i="29"/>
  <c r="I33" i="29"/>
  <c r="F33" i="29"/>
  <c r="D33" i="29"/>
  <c r="C33" i="29"/>
  <c r="B33" i="29"/>
  <c r="J32" i="29"/>
  <c r="I32" i="29"/>
  <c r="F32" i="29"/>
  <c r="D32" i="29"/>
  <c r="C32" i="29"/>
  <c r="B32" i="29"/>
  <c r="I31" i="29"/>
  <c r="J31" i="29" s="1"/>
  <c r="F31" i="29"/>
  <c r="D31" i="29"/>
  <c r="C31" i="29"/>
  <c r="B31" i="29"/>
  <c r="I30" i="29"/>
  <c r="J30" i="29" s="1"/>
  <c r="F30" i="29"/>
  <c r="D30" i="29"/>
  <c r="C30" i="29"/>
  <c r="B30" i="29"/>
  <c r="J29" i="29"/>
  <c r="I29" i="29"/>
  <c r="F29" i="29"/>
  <c r="D29" i="29"/>
  <c r="C29" i="29"/>
  <c r="B29" i="29"/>
  <c r="J28" i="29"/>
  <c r="I28" i="29"/>
  <c r="F28" i="29"/>
  <c r="D28" i="29"/>
  <c r="C28" i="29"/>
  <c r="B28" i="29"/>
  <c r="I27" i="29"/>
  <c r="J27" i="29" s="1"/>
  <c r="F27" i="29"/>
  <c r="D27" i="29"/>
  <c r="C27" i="29"/>
  <c r="B27" i="29"/>
  <c r="I26" i="29"/>
  <c r="J26" i="29" s="1"/>
  <c r="F26" i="29"/>
  <c r="D26" i="29"/>
  <c r="C26" i="29"/>
  <c r="B26" i="29"/>
  <c r="J25" i="29"/>
  <c r="I25" i="29"/>
  <c r="F25" i="29"/>
  <c r="D25" i="29"/>
  <c r="C25" i="29"/>
  <c r="B25" i="29"/>
  <c r="J24" i="29"/>
  <c r="I24" i="29"/>
  <c r="F24" i="29"/>
  <c r="D24" i="29"/>
  <c r="C24" i="29"/>
  <c r="B24" i="29"/>
  <c r="I23" i="29"/>
  <c r="J23" i="29" s="1"/>
  <c r="F23" i="29"/>
  <c r="D23" i="29"/>
  <c r="C23" i="29"/>
  <c r="B23" i="29"/>
  <c r="I22" i="29"/>
  <c r="J22" i="29" s="1"/>
  <c r="F22" i="29"/>
  <c r="D22" i="29"/>
  <c r="C22" i="29"/>
  <c r="B22" i="29"/>
  <c r="J21" i="29"/>
  <c r="I21" i="29"/>
  <c r="F21" i="29"/>
  <c r="D21" i="29"/>
  <c r="C21" i="29"/>
  <c r="B21" i="29"/>
  <c r="J20" i="29"/>
  <c r="I20" i="29"/>
  <c r="F20" i="29"/>
  <c r="D20" i="29"/>
  <c r="C20" i="29"/>
  <c r="B20" i="29"/>
  <c r="I19" i="29"/>
  <c r="J19" i="29" s="1"/>
  <c r="F19" i="29"/>
  <c r="D19" i="29"/>
  <c r="C19" i="29"/>
  <c r="B19" i="29"/>
  <c r="I18" i="29"/>
  <c r="J18" i="29" s="1"/>
  <c r="F18" i="29"/>
  <c r="D18" i="29"/>
  <c r="C18" i="29"/>
  <c r="B18" i="29"/>
  <c r="J17" i="29"/>
  <c r="I17" i="29"/>
  <c r="F17" i="29"/>
  <c r="D17" i="29"/>
  <c r="C17" i="29"/>
  <c r="B17" i="29"/>
  <c r="J16" i="29"/>
  <c r="I16" i="29"/>
  <c r="F16" i="29"/>
  <c r="D16" i="29"/>
  <c r="C16" i="29"/>
  <c r="B16" i="29"/>
  <c r="I15" i="29"/>
  <c r="J15" i="29" s="1"/>
  <c r="F15" i="29"/>
  <c r="D15" i="29"/>
  <c r="C15" i="29"/>
  <c r="B15" i="29"/>
  <c r="I14" i="29"/>
  <c r="J14" i="29" s="1"/>
  <c r="F14" i="29"/>
  <c r="D14" i="29"/>
  <c r="C14" i="29"/>
  <c r="B14" i="29"/>
  <c r="J13" i="29"/>
  <c r="I13" i="29"/>
  <c r="F13" i="29"/>
  <c r="D13" i="29"/>
  <c r="C13" i="29"/>
  <c r="B13" i="29"/>
  <c r="J12" i="29"/>
  <c r="I12" i="29"/>
  <c r="F12" i="29"/>
  <c r="D12" i="29"/>
  <c r="C12" i="29"/>
  <c r="B12" i="29"/>
  <c r="I11" i="29"/>
  <c r="J11" i="29" s="1"/>
  <c r="F11" i="29"/>
  <c r="D11" i="29"/>
  <c r="C11" i="29"/>
  <c r="B11" i="29"/>
  <c r="I10" i="29"/>
  <c r="J10" i="29" s="1"/>
  <c r="F10" i="29"/>
  <c r="D10" i="29"/>
  <c r="C10" i="29"/>
  <c r="B10" i="29"/>
  <c r="J9" i="29"/>
  <c r="I9" i="29"/>
  <c r="F9" i="29"/>
  <c r="D9" i="29"/>
  <c r="C9" i="29"/>
  <c r="B9" i="29"/>
  <c r="G4" i="29"/>
  <c r="K213" i="28"/>
  <c r="I213" i="28"/>
  <c r="J213" i="28" s="1"/>
  <c r="D213" i="28"/>
  <c r="C213" i="28"/>
  <c r="A213" i="28"/>
  <c r="K212" i="28"/>
  <c r="J212" i="28"/>
  <c r="I212" i="28"/>
  <c r="D212" i="28"/>
  <c r="C212" i="28"/>
  <c r="A212" i="28"/>
  <c r="K211" i="28"/>
  <c r="J211" i="28"/>
  <c r="I211" i="28"/>
  <c r="D211" i="28"/>
  <c r="C211" i="28"/>
  <c r="A211" i="28"/>
  <c r="K210" i="28"/>
  <c r="I210" i="28"/>
  <c r="J210" i="28" s="1"/>
  <c r="D210" i="28"/>
  <c r="C210" i="28"/>
  <c r="A210" i="28"/>
  <c r="K209" i="28"/>
  <c r="I209" i="28"/>
  <c r="J209" i="28" s="1"/>
  <c r="D209" i="28"/>
  <c r="C209" i="28"/>
  <c r="A209" i="28"/>
  <c r="K208" i="28"/>
  <c r="J208" i="28"/>
  <c r="I208" i="28"/>
  <c r="D208" i="28"/>
  <c r="C208" i="28"/>
  <c r="A208" i="28"/>
  <c r="K207" i="28"/>
  <c r="J207" i="28"/>
  <c r="I207" i="28"/>
  <c r="D207" i="28"/>
  <c r="C207" i="28"/>
  <c r="A207" i="28"/>
  <c r="K206" i="28"/>
  <c r="I206" i="28"/>
  <c r="J206" i="28" s="1"/>
  <c r="D206" i="28"/>
  <c r="C206" i="28"/>
  <c r="A206" i="28"/>
  <c r="K205" i="28"/>
  <c r="I205" i="28"/>
  <c r="J205" i="28" s="1"/>
  <c r="D205" i="28"/>
  <c r="C205" i="28"/>
  <c r="A205" i="28"/>
  <c r="K204" i="28"/>
  <c r="J204" i="28"/>
  <c r="I204" i="28"/>
  <c r="D204" i="28"/>
  <c r="C204" i="28"/>
  <c r="A204" i="28"/>
  <c r="K203" i="28"/>
  <c r="J203" i="28"/>
  <c r="I203" i="28"/>
  <c r="D203" i="28"/>
  <c r="C203" i="28"/>
  <c r="A203" i="28"/>
  <c r="K202" i="28"/>
  <c r="I202" i="28"/>
  <c r="J202" i="28" s="1"/>
  <c r="D202" i="28"/>
  <c r="C202" i="28"/>
  <c r="A202" i="28"/>
  <c r="K201" i="28"/>
  <c r="I201" i="28"/>
  <c r="J201" i="28" s="1"/>
  <c r="D201" i="28"/>
  <c r="C201" i="28"/>
  <c r="A201" i="28"/>
  <c r="K200" i="28"/>
  <c r="J200" i="28"/>
  <c r="I200" i="28"/>
  <c r="D200" i="28"/>
  <c r="C200" i="28"/>
  <c r="A200" i="28"/>
  <c r="K199" i="28"/>
  <c r="J199" i="28"/>
  <c r="I199" i="28"/>
  <c r="D199" i="28"/>
  <c r="C199" i="28"/>
  <c r="A199" i="28"/>
  <c r="K198" i="28"/>
  <c r="I198" i="28"/>
  <c r="J198" i="28" s="1"/>
  <c r="D198" i="28"/>
  <c r="C198" i="28"/>
  <c r="A198" i="28"/>
  <c r="K197" i="28"/>
  <c r="I197" i="28"/>
  <c r="J197" i="28" s="1"/>
  <c r="D197" i="28"/>
  <c r="C197" i="28"/>
  <c r="A197" i="28"/>
  <c r="K196" i="28"/>
  <c r="J196" i="28"/>
  <c r="I196" i="28"/>
  <c r="D196" i="28"/>
  <c r="C196" i="28"/>
  <c r="A196" i="28"/>
  <c r="K195" i="28"/>
  <c r="J195" i="28"/>
  <c r="I195" i="28"/>
  <c r="D195" i="28"/>
  <c r="C195" i="28"/>
  <c r="A195" i="28"/>
  <c r="K194" i="28"/>
  <c r="I194" i="28"/>
  <c r="J194" i="28" s="1"/>
  <c r="D194" i="28"/>
  <c r="C194" i="28"/>
  <c r="A194" i="28"/>
  <c r="K193" i="28"/>
  <c r="I193" i="28"/>
  <c r="J193" i="28" s="1"/>
  <c r="D193" i="28"/>
  <c r="C193" i="28"/>
  <c r="A193" i="28"/>
  <c r="K192" i="28"/>
  <c r="J192" i="28"/>
  <c r="I192" i="28"/>
  <c r="D192" i="28"/>
  <c r="C192" i="28"/>
  <c r="A192" i="28"/>
  <c r="K191" i="28"/>
  <c r="J191" i="28"/>
  <c r="I191" i="28"/>
  <c r="D191" i="28"/>
  <c r="C191" i="28"/>
  <c r="A191" i="28"/>
  <c r="K190" i="28"/>
  <c r="I190" i="28"/>
  <c r="J190" i="28" s="1"/>
  <c r="D190" i="28"/>
  <c r="C190" i="28"/>
  <c r="A190" i="28"/>
  <c r="K189" i="28"/>
  <c r="I189" i="28"/>
  <c r="J189" i="28" s="1"/>
  <c r="D189" i="28"/>
  <c r="C189" i="28"/>
  <c r="A189" i="28"/>
  <c r="K188" i="28"/>
  <c r="J188" i="28"/>
  <c r="I188" i="28"/>
  <c r="D188" i="28"/>
  <c r="C188" i="28"/>
  <c r="A188" i="28"/>
  <c r="K187" i="28"/>
  <c r="J187" i="28"/>
  <c r="I187" i="28"/>
  <c r="D187" i="28"/>
  <c r="C187" i="28"/>
  <c r="A187" i="28"/>
  <c r="K186" i="28"/>
  <c r="I186" i="28"/>
  <c r="J186" i="28" s="1"/>
  <c r="D186" i="28"/>
  <c r="C186" i="28"/>
  <c r="A186" i="28"/>
  <c r="K185" i="28"/>
  <c r="I185" i="28"/>
  <c r="J185" i="28" s="1"/>
  <c r="D185" i="28"/>
  <c r="C185" i="28"/>
  <c r="A185" i="28"/>
  <c r="K184" i="28"/>
  <c r="J184" i="28"/>
  <c r="I184" i="28"/>
  <c r="D184" i="28"/>
  <c r="C184" i="28"/>
  <c r="A184" i="28"/>
  <c r="K183" i="28"/>
  <c r="J183" i="28"/>
  <c r="I183" i="28"/>
  <c r="D183" i="28"/>
  <c r="C183" i="28"/>
  <c r="A183" i="28"/>
  <c r="K182" i="28"/>
  <c r="I182" i="28"/>
  <c r="J182" i="28" s="1"/>
  <c r="D182" i="28"/>
  <c r="C182" i="28"/>
  <c r="A182" i="28"/>
  <c r="K181" i="28"/>
  <c r="I181" i="28"/>
  <c r="J181" i="28" s="1"/>
  <c r="D181" i="28"/>
  <c r="C181" i="28"/>
  <c r="A181" i="28"/>
  <c r="K180" i="28"/>
  <c r="J180" i="28"/>
  <c r="I180" i="28"/>
  <c r="D180" i="28"/>
  <c r="C180" i="28"/>
  <c r="A180" i="28"/>
  <c r="K179" i="28"/>
  <c r="J179" i="28"/>
  <c r="I179" i="28"/>
  <c r="D179" i="28"/>
  <c r="C179" i="28"/>
  <c r="A179" i="28"/>
  <c r="K178" i="28"/>
  <c r="I178" i="28"/>
  <c r="J178" i="28" s="1"/>
  <c r="D178" i="28"/>
  <c r="C178" i="28"/>
  <c r="A178" i="28"/>
  <c r="K177" i="28"/>
  <c r="J177" i="28"/>
  <c r="I177" i="28"/>
  <c r="D177" i="28"/>
  <c r="C177" i="28"/>
  <c r="A177" i="28"/>
  <c r="K176" i="28"/>
  <c r="J176" i="28"/>
  <c r="I176" i="28"/>
  <c r="D176" i="28"/>
  <c r="C176" i="28"/>
  <c r="A176" i="28"/>
  <c r="K175" i="28"/>
  <c r="J175" i="28"/>
  <c r="I175" i="28"/>
  <c r="D175" i="28"/>
  <c r="C175" i="28"/>
  <c r="A175" i="28"/>
  <c r="K174" i="28"/>
  <c r="I174" i="28"/>
  <c r="J174" i="28" s="1"/>
  <c r="D174" i="28"/>
  <c r="C174" i="28"/>
  <c r="A174" i="28"/>
  <c r="K173" i="28"/>
  <c r="J173" i="28"/>
  <c r="I173" i="28"/>
  <c r="D173" i="28"/>
  <c r="C173" i="28"/>
  <c r="A173" i="28"/>
  <c r="K172" i="28"/>
  <c r="J172" i="28"/>
  <c r="I172" i="28"/>
  <c r="D172" i="28"/>
  <c r="C172" i="28"/>
  <c r="A172" i="28"/>
  <c r="K171" i="28"/>
  <c r="J171" i="28"/>
  <c r="I171" i="28"/>
  <c r="D171" i="28"/>
  <c r="C171" i="28"/>
  <c r="A171" i="28"/>
  <c r="K170" i="28"/>
  <c r="I170" i="28"/>
  <c r="J170" i="28" s="1"/>
  <c r="D170" i="28"/>
  <c r="C170" i="28"/>
  <c r="A170" i="28"/>
  <c r="K169" i="28"/>
  <c r="I169" i="28"/>
  <c r="J169" i="28" s="1"/>
  <c r="D169" i="28"/>
  <c r="C169" i="28"/>
  <c r="A169" i="28"/>
  <c r="K168" i="28"/>
  <c r="J168" i="28"/>
  <c r="I168" i="28"/>
  <c r="D168" i="28"/>
  <c r="C168" i="28"/>
  <c r="A168" i="28"/>
  <c r="K167" i="28"/>
  <c r="J167" i="28"/>
  <c r="I167" i="28"/>
  <c r="D167" i="28"/>
  <c r="C167" i="28"/>
  <c r="A167" i="28"/>
  <c r="K166" i="28"/>
  <c r="I166" i="28"/>
  <c r="J166" i="28" s="1"/>
  <c r="D166" i="28"/>
  <c r="C166" i="28"/>
  <c r="A166" i="28"/>
  <c r="K165" i="28"/>
  <c r="J165" i="28"/>
  <c r="I165" i="28"/>
  <c r="D165" i="28"/>
  <c r="C165" i="28"/>
  <c r="A165" i="28"/>
  <c r="K164" i="28"/>
  <c r="J164" i="28"/>
  <c r="I164" i="28"/>
  <c r="D164" i="28"/>
  <c r="C164" i="28"/>
  <c r="A164" i="28"/>
  <c r="K163" i="28"/>
  <c r="J163" i="28"/>
  <c r="I163" i="28"/>
  <c r="D163" i="28"/>
  <c r="C163" i="28"/>
  <c r="A163" i="28"/>
  <c r="K162" i="28"/>
  <c r="I162" i="28"/>
  <c r="J162" i="28" s="1"/>
  <c r="D162" i="28"/>
  <c r="C162" i="28"/>
  <c r="A162" i="28"/>
  <c r="K161" i="28"/>
  <c r="J161" i="28"/>
  <c r="I161" i="28"/>
  <c r="D161" i="28"/>
  <c r="C161" i="28"/>
  <c r="A161" i="28"/>
  <c r="K160" i="28"/>
  <c r="J160" i="28"/>
  <c r="I160" i="28"/>
  <c r="D160" i="28"/>
  <c r="C160" i="28"/>
  <c r="A160" i="28"/>
  <c r="K159" i="28"/>
  <c r="J159" i="28"/>
  <c r="I159" i="28"/>
  <c r="D159" i="28"/>
  <c r="C159" i="28"/>
  <c r="A159" i="28"/>
  <c r="K158" i="28"/>
  <c r="I158" i="28"/>
  <c r="J158" i="28" s="1"/>
  <c r="D158" i="28"/>
  <c r="C158" i="28"/>
  <c r="A158" i="28"/>
  <c r="K157" i="28"/>
  <c r="I157" i="28"/>
  <c r="J157" i="28" s="1"/>
  <c r="D157" i="28"/>
  <c r="C157" i="28"/>
  <c r="A157" i="28"/>
  <c r="K156" i="28"/>
  <c r="J156" i="28"/>
  <c r="I156" i="28"/>
  <c r="D156" i="28"/>
  <c r="C156" i="28"/>
  <c r="A156" i="28"/>
  <c r="K155" i="28"/>
  <c r="J155" i="28"/>
  <c r="I155" i="28"/>
  <c r="D155" i="28"/>
  <c r="C155" i="28"/>
  <c r="A155" i="28"/>
  <c r="K154" i="28"/>
  <c r="I154" i="28"/>
  <c r="J154" i="28" s="1"/>
  <c r="D154" i="28"/>
  <c r="C154" i="28"/>
  <c r="A154" i="28"/>
  <c r="K153" i="28"/>
  <c r="J153" i="28"/>
  <c r="I153" i="28"/>
  <c r="D153" i="28"/>
  <c r="C153" i="28"/>
  <c r="A153" i="28"/>
  <c r="K152" i="28"/>
  <c r="J152" i="28"/>
  <c r="I152" i="28"/>
  <c r="D152" i="28"/>
  <c r="C152" i="28"/>
  <c r="A152" i="28"/>
  <c r="K151" i="28"/>
  <c r="J151" i="28"/>
  <c r="I151" i="28"/>
  <c r="D151" i="28"/>
  <c r="C151" i="28"/>
  <c r="A151" i="28"/>
  <c r="K150" i="28"/>
  <c r="I150" i="28"/>
  <c r="J150" i="28" s="1"/>
  <c r="D150" i="28"/>
  <c r="C150" i="28"/>
  <c r="A150" i="28"/>
  <c r="K149" i="28"/>
  <c r="I149" i="28"/>
  <c r="J149" i="28" s="1"/>
  <c r="D149" i="28"/>
  <c r="C149" i="28"/>
  <c r="A149" i="28"/>
  <c r="K148" i="28"/>
  <c r="J148" i="28"/>
  <c r="I148" i="28"/>
  <c r="D148" i="28"/>
  <c r="C148" i="28"/>
  <c r="A148" i="28"/>
  <c r="K147" i="28"/>
  <c r="J147" i="28"/>
  <c r="I147" i="28"/>
  <c r="D147" i="28"/>
  <c r="C147" i="28"/>
  <c r="A147" i="28"/>
  <c r="K146" i="28"/>
  <c r="I146" i="28"/>
  <c r="J146" i="28" s="1"/>
  <c r="D146" i="28"/>
  <c r="C146" i="28"/>
  <c r="A146" i="28"/>
  <c r="K145" i="28"/>
  <c r="J145" i="28"/>
  <c r="I145" i="28"/>
  <c r="D145" i="28"/>
  <c r="C145" i="28"/>
  <c r="A145" i="28"/>
  <c r="K144" i="28"/>
  <c r="J144" i="28"/>
  <c r="I144" i="28"/>
  <c r="D144" i="28"/>
  <c r="C144" i="28"/>
  <c r="A144" i="28"/>
  <c r="K143" i="28"/>
  <c r="J143" i="28"/>
  <c r="I143" i="28"/>
  <c r="D143" i="28"/>
  <c r="C143" i="28"/>
  <c r="A143" i="28"/>
  <c r="K142" i="28"/>
  <c r="I142" i="28"/>
  <c r="J142" i="28" s="1"/>
  <c r="D142" i="28"/>
  <c r="C142" i="28"/>
  <c r="A142" i="28"/>
  <c r="K141" i="28"/>
  <c r="J141" i="28"/>
  <c r="I141" i="28"/>
  <c r="D141" i="28"/>
  <c r="C141" i="28"/>
  <c r="A141" i="28"/>
  <c r="K140" i="28"/>
  <c r="J140" i="28"/>
  <c r="I140" i="28"/>
  <c r="D140" i="28"/>
  <c r="C140" i="28"/>
  <c r="A140" i="28"/>
  <c r="K139" i="28"/>
  <c r="J139" i="28"/>
  <c r="I139" i="28"/>
  <c r="D139" i="28"/>
  <c r="C139" i="28"/>
  <c r="A139" i="28"/>
  <c r="K138" i="28"/>
  <c r="I138" i="28"/>
  <c r="J138" i="28" s="1"/>
  <c r="D138" i="28"/>
  <c r="C138" i="28"/>
  <c r="A138" i="28"/>
  <c r="K137" i="28"/>
  <c r="I137" i="28"/>
  <c r="J137" i="28" s="1"/>
  <c r="D137" i="28"/>
  <c r="C137" i="28"/>
  <c r="A137" i="28"/>
  <c r="K136" i="28"/>
  <c r="J136" i="28"/>
  <c r="I136" i="28"/>
  <c r="D136" i="28"/>
  <c r="C136" i="28"/>
  <c r="A136" i="28"/>
  <c r="K135" i="28"/>
  <c r="J135" i="28"/>
  <c r="I135" i="28"/>
  <c r="D135" i="28"/>
  <c r="C135" i="28"/>
  <c r="A135" i="28"/>
  <c r="K134" i="28"/>
  <c r="I134" i="28"/>
  <c r="J134" i="28" s="1"/>
  <c r="D134" i="28"/>
  <c r="C134" i="28"/>
  <c r="A134" i="28"/>
  <c r="K133" i="28"/>
  <c r="J133" i="28"/>
  <c r="I133" i="28"/>
  <c r="D133" i="28"/>
  <c r="C133" i="28"/>
  <c r="A133" i="28"/>
  <c r="K132" i="28"/>
  <c r="J132" i="28"/>
  <c r="I132" i="28"/>
  <c r="D132" i="28"/>
  <c r="C132" i="28"/>
  <c r="A132" i="28"/>
  <c r="K131" i="28"/>
  <c r="J131" i="28"/>
  <c r="I131" i="28"/>
  <c r="D131" i="28"/>
  <c r="C131" i="28"/>
  <c r="A131" i="28"/>
  <c r="K130" i="28"/>
  <c r="I130" i="28"/>
  <c r="J130" i="28" s="1"/>
  <c r="D130" i="28"/>
  <c r="C130" i="28"/>
  <c r="A130" i="28"/>
  <c r="K129" i="28"/>
  <c r="J129" i="28"/>
  <c r="I129" i="28"/>
  <c r="D129" i="28"/>
  <c r="C129" i="28"/>
  <c r="A129" i="28"/>
  <c r="K128" i="28"/>
  <c r="J128" i="28"/>
  <c r="I128" i="28"/>
  <c r="D128" i="28"/>
  <c r="C128" i="28"/>
  <c r="A128" i="28"/>
  <c r="K127" i="28"/>
  <c r="J127" i="28"/>
  <c r="I127" i="28"/>
  <c r="D127" i="28"/>
  <c r="C127" i="28"/>
  <c r="A127" i="28"/>
  <c r="K126" i="28"/>
  <c r="I126" i="28"/>
  <c r="J126" i="28" s="1"/>
  <c r="D126" i="28"/>
  <c r="C126" i="28"/>
  <c r="A126" i="28"/>
  <c r="K125" i="28"/>
  <c r="I125" i="28"/>
  <c r="J125" i="28" s="1"/>
  <c r="D125" i="28"/>
  <c r="C125" i="28"/>
  <c r="A125" i="28"/>
  <c r="K124" i="28"/>
  <c r="J124" i="28"/>
  <c r="I124" i="28"/>
  <c r="D124" i="28"/>
  <c r="C124" i="28"/>
  <c r="A124" i="28"/>
  <c r="K123" i="28"/>
  <c r="J123" i="28"/>
  <c r="I123" i="28"/>
  <c r="D123" i="28"/>
  <c r="C123" i="28"/>
  <c r="A123" i="28"/>
  <c r="K122" i="28"/>
  <c r="I122" i="28"/>
  <c r="J122" i="28" s="1"/>
  <c r="D122" i="28"/>
  <c r="C122" i="28"/>
  <c r="A122" i="28"/>
  <c r="K121" i="28"/>
  <c r="J121" i="28"/>
  <c r="I121" i="28"/>
  <c r="D121" i="28"/>
  <c r="C121" i="28"/>
  <c r="A121" i="28"/>
  <c r="K120" i="28"/>
  <c r="J120" i="28"/>
  <c r="I120" i="28"/>
  <c r="D120" i="28"/>
  <c r="C120" i="28"/>
  <c r="A120" i="28"/>
  <c r="K119" i="28"/>
  <c r="J119" i="28"/>
  <c r="I119" i="28"/>
  <c r="D119" i="28"/>
  <c r="C119" i="28"/>
  <c r="A119" i="28"/>
  <c r="K118" i="28"/>
  <c r="I118" i="28"/>
  <c r="J118" i="28" s="1"/>
  <c r="D118" i="28"/>
  <c r="C118" i="28"/>
  <c r="A118" i="28"/>
  <c r="K117" i="28"/>
  <c r="I117" i="28"/>
  <c r="J117" i="28" s="1"/>
  <c r="D117" i="28"/>
  <c r="C117" i="28"/>
  <c r="A117" i="28"/>
  <c r="K116" i="28"/>
  <c r="J116" i="28"/>
  <c r="I116" i="28"/>
  <c r="D116" i="28"/>
  <c r="C116" i="28"/>
  <c r="A116" i="28"/>
  <c r="K115" i="28"/>
  <c r="J115" i="28"/>
  <c r="I115" i="28"/>
  <c r="D115" i="28"/>
  <c r="C115" i="28"/>
  <c r="A115" i="28"/>
  <c r="K114" i="28"/>
  <c r="I114" i="28"/>
  <c r="J114" i="28" s="1"/>
  <c r="D114" i="28"/>
  <c r="C114" i="28"/>
  <c r="A114" i="28"/>
  <c r="K113" i="28"/>
  <c r="J113" i="28"/>
  <c r="I113" i="28"/>
  <c r="D113" i="28"/>
  <c r="C113" i="28"/>
  <c r="A113" i="28"/>
  <c r="K112" i="28"/>
  <c r="J112" i="28"/>
  <c r="I112" i="28"/>
  <c r="D112" i="28"/>
  <c r="C112" i="28"/>
  <c r="A112" i="28"/>
  <c r="K111" i="28"/>
  <c r="J111" i="28"/>
  <c r="I111" i="28"/>
  <c r="D111" i="28"/>
  <c r="C111" i="28"/>
  <c r="A111" i="28"/>
  <c r="K110" i="28"/>
  <c r="I110" i="28"/>
  <c r="J110" i="28" s="1"/>
  <c r="D110" i="28"/>
  <c r="C110" i="28"/>
  <c r="A110" i="28"/>
  <c r="K109" i="28"/>
  <c r="J109" i="28"/>
  <c r="I109" i="28"/>
  <c r="D109" i="28"/>
  <c r="C109" i="28"/>
  <c r="A109" i="28"/>
  <c r="K108" i="28"/>
  <c r="J108" i="28"/>
  <c r="I108" i="28"/>
  <c r="D108" i="28"/>
  <c r="C108" i="28"/>
  <c r="A108" i="28"/>
  <c r="K107" i="28"/>
  <c r="J107" i="28"/>
  <c r="I107" i="28"/>
  <c r="D107" i="28"/>
  <c r="C107" i="28"/>
  <c r="A107" i="28"/>
  <c r="K106" i="28"/>
  <c r="I106" i="28"/>
  <c r="J106" i="28" s="1"/>
  <c r="D106" i="28"/>
  <c r="C106" i="28"/>
  <c r="A106" i="28"/>
  <c r="K105" i="28"/>
  <c r="I105" i="28"/>
  <c r="J105" i="28" s="1"/>
  <c r="D105" i="28"/>
  <c r="C105" i="28"/>
  <c r="A105" i="28"/>
  <c r="K104" i="28"/>
  <c r="J104" i="28"/>
  <c r="I104" i="28"/>
  <c r="D104" i="28"/>
  <c r="C104" i="28"/>
  <c r="A104" i="28"/>
  <c r="K103" i="28"/>
  <c r="J103" i="28"/>
  <c r="I103" i="28"/>
  <c r="D103" i="28"/>
  <c r="C103" i="28"/>
  <c r="A103" i="28"/>
  <c r="K102" i="28"/>
  <c r="I102" i="28"/>
  <c r="J102" i="28" s="1"/>
  <c r="D102" i="28"/>
  <c r="C102" i="28"/>
  <c r="A102" i="28"/>
  <c r="K101" i="28"/>
  <c r="J101" i="28"/>
  <c r="I101" i="28"/>
  <c r="D101" i="28"/>
  <c r="C101" i="28"/>
  <c r="A101" i="28"/>
  <c r="K100" i="28"/>
  <c r="J100" i="28"/>
  <c r="I100" i="28"/>
  <c r="D100" i="28"/>
  <c r="C100" i="28"/>
  <c r="A100" i="28"/>
  <c r="K99" i="28"/>
  <c r="J99" i="28"/>
  <c r="I99" i="28"/>
  <c r="D99" i="28"/>
  <c r="C99" i="28"/>
  <c r="A99" i="28"/>
  <c r="K98" i="28"/>
  <c r="I98" i="28"/>
  <c r="J98" i="28" s="1"/>
  <c r="D98" i="28"/>
  <c r="C98" i="28"/>
  <c r="A98" i="28"/>
  <c r="K97" i="28"/>
  <c r="J97" i="28"/>
  <c r="I97" i="28"/>
  <c r="D97" i="28"/>
  <c r="C97" i="28"/>
  <c r="A97" i="28"/>
  <c r="K96" i="28"/>
  <c r="J96" i="28"/>
  <c r="I96" i="28"/>
  <c r="D96" i="28"/>
  <c r="C96" i="28"/>
  <c r="A96" i="28"/>
  <c r="K95" i="28"/>
  <c r="J95" i="28"/>
  <c r="I95" i="28"/>
  <c r="D95" i="28"/>
  <c r="C95" i="28"/>
  <c r="A95" i="28"/>
  <c r="K94" i="28"/>
  <c r="I94" i="28"/>
  <c r="J94" i="28" s="1"/>
  <c r="D94" i="28"/>
  <c r="C94" i="28"/>
  <c r="A94" i="28"/>
  <c r="K93" i="28"/>
  <c r="I93" i="28"/>
  <c r="J93" i="28" s="1"/>
  <c r="D93" i="28"/>
  <c r="C93" i="28"/>
  <c r="A93" i="28"/>
  <c r="K92" i="28"/>
  <c r="J92" i="28"/>
  <c r="I92" i="28"/>
  <c r="D92" i="28"/>
  <c r="C92" i="28"/>
  <c r="A92" i="28"/>
  <c r="K91" i="28"/>
  <c r="J91" i="28"/>
  <c r="I91" i="28"/>
  <c r="D91" i="28"/>
  <c r="C91" i="28"/>
  <c r="A91" i="28"/>
  <c r="K90" i="28"/>
  <c r="I90" i="28"/>
  <c r="J90" i="28" s="1"/>
  <c r="D90" i="28"/>
  <c r="C90" i="28"/>
  <c r="A90" i="28"/>
  <c r="K89" i="28"/>
  <c r="J89" i="28"/>
  <c r="I89" i="28"/>
  <c r="D89" i="28"/>
  <c r="C89" i="28"/>
  <c r="A89" i="28"/>
  <c r="K88" i="28"/>
  <c r="J88" i="28"/>
  <c r="I88" i="28"/>
  <c r="D88" i="28"/>
  <c r="C88" i="28"/>
  <c r="A88" i="28"/>
  <c r="K87" i="28"/>
  <c r="J87" i="28"/>
  <c r="I87" i="28"/>
  <c r="D87" i="28"/>
  <c r="C87" i="28"/>
  <c r="A87" i="28"/>
  <c r="K86" i="28"/>
  <c r="I86" i="28"/>
  <c r="J86" i="28" s="1"/>
  <c r="D86" i="28"/>
  <c r="C86" i="28"/>
  <c r="A86" i="28"/>
  <c r="K85" i="28"/>
  <c r="I85" i="28"/>
  <c r="J85" i="28" s="1"/>
  <c r="D85" i="28"/>
  <c r="C85" i="28"/>
  <c r="A85" i="28"/>
  <c r="K84" i="28"/>
  <c r="J84" i="28"/>
  <c r="I84" i="28"/>
  <c r="D84" i="28"/>
  <c r="C84" i="28"/>
  <c r="A84" i="28"/>
  <c r="K83" i="28"/>
  <c r="J83" i="28"/>
  <c r="I83" i="28"/>
  <c r="D83" i="28"/>
  <c r="C83" i="28"/>
  <c r="A83" i="28"/>
  <c r="K82" i="28"/>
  <c r="I82" i="28"/>
  <c r="J82" i="28" s="1"/>
  <c r="D82" i="28"/>
  <c r="C82" i="28"/>
  <c r="A82" i="28"/>
  <c r="K81" i="28"/>
  <c r="J81" i="28"/>
  <c r="I81" i="28"/>
  <c r="D81" i="28"/>
  <c r="C81" i="28"/>
  <c r="A81" i="28"/>
  <c r="K80" i="28"/>
  <c r="J80" i="28"/>
  <c r="I80" i="28"/>
  <c r="D80" i="28"/>
  <c r="C80" i="28"/>
  <c r="A80" i="28"/>
  <c r="K79" i="28"/>
  <c r="J79" i="28"/>
  <c r="I79" i="28"/>
  <c r="D79" i="28"/>
  <c r="C79" i="28"/>
  <c r="A79" i="28"/>
  <c r="K78" i="28"/>
  <c r="I78" i="28"/>
  <c r="J78" i="28" s="1"/>
  <c r="D78" i="28"/>
  <c r="C78" i="28"/>
  <c r="A78" i="28"/>
  <c r="K77" i="28"/>
  <c r="J77" i="28"/>
  <c r="I77" i="28"/>
  <c r="D77" i="28"/>
  <c r="C77" i="28"/>
  <c r="A77" i="28"/>
  <c r="K76" i="28"/>
  <c r="J76" i="28"/>
  <c r="I76" i="28"/>
  <c r="D76" i="28"/>
  <c r="C76" i="28"/>
  <c r="A76" i="28"/>
  <c r="K75" i="28"/>
  <c r="J75" i="28"/>
  <c r="I75" i="28"/>
  <c r="D75" i="28"/>
  <c r="C75" i="28"/>
  <c r="A75" i="28"/>
  <c r="K74" i="28"/>
  <c r="I74" i="28"/>
  <c r="J74" i="28" s="1"/>
  <c r="D74" i="28"/>
  <c r="C74" i="28"/>
  <c r="A74" i="28"/>
  <c r="K73" i="28"/>
  <c r="I73" i="28"/>
  <c r="J73" i="28" s="1"/>
  <c r="D73" i="28"/>
  <c r="C73" i="28"/>
  <c r="A73" i="28"/>
  <c r="K72" i="28"/>
  <c r="J72" i="28"/>
  <c r="I72" i="28"/>
  <c r="D72" i="28"/>
  <c r="C72" i="28"/>
  <c r="A72" i="28"/>
  <c r="K71" i="28"/>
  <c r="J71" i="28"/>
  <c r="I71" i="28"/>
  <c r="D71" i="28"/>
  <c r="C71" i="28"/>
  <c r="A71" i="28"/>
  <c r="K70" i="28"/>
  <c r="I70" i="28"/>
  <c r="J70" i="28" s="1"/>
  <c r="D70" i="28"/>
  <c r="C70" i="28"/>
  <c r="A70" i="28"/>
  <c r="K69" i="28"/>
  <c r="J69" i="28"/>
  <c r="I69" i="28"/>
  <c r="D69" i="28"/>
  <c r="C69" i="28"/>
  <c r="A69" i="28"/>
  <c r="K68" i="28"/>
  <c r="I68" i="28"/>
  <c r="J68" i="28" s="1"/>
  <c r="D68" i="28"/>
  <c r="C68" i="28"/>
  <c r="A68" i="28"/>
  <c r="K67" i="28"/>
  <c r="J67" i="28"/>
  <c r="I67" i="28"/>
  <c r="D67" i="28"/>
  <c r="C67" i="28"/>
  <c r="A67" i="28"/>
  <c r="K66" i="28"/>
  <c r="I66" i="28"/>
  <c r="J66" i="28" s="1"/>
  <c r="D66" i="28"/>
  <c r="C66" i="28"/>
  <c r="A66" i="28"/>
  <c r="K65" i="28"/>
  <c r="J65" i="28"/>
  <c r="I65" i="28"/>
  <c r="D65" i="28"/>
  <c r="C65" i="28"/>
  <c r="A65" i="28"/>
  <c r="K64" i="28"/>
  <c r="J64" i="28"/>
  <c r="I64" i="28"/>
  <c r="D64" i="28"/>
  <c r="C64" i="28"/>
  <c r="A64" i="28"/>
  <c r="K63" i="28"/>
  <c r="J63" i="28"/>
  <c r="I63" i="28"/>
  <c r="D63" i="28"/>
  <c r="C63" i="28"/>
  <c r="A63" i="28"/>
  <c r="K62" i="28"/>
  <c r="I62" i="28"/>
  <c r="J62" i="28" s="1"/>
  <c r="D62" i="28"/>
  <c r="C62" i="28"/>
  <c r="A62" i="28"/>
  <c r="K61" i="28"/>
  <c r="I61" i="28"/>
  <c r="J61" i="28" s="1"/>
  <c r="D61" i="28"/>
  <c r="C61" i="28"/>
  <c r="A61" i="28"/>
  <c r="K60" i="28"/>
  <c r="I60" i="28"/>
  <c r="J60" i="28" s="1"/>
  <c r="D60" i="28"/>
  <c r="C60" i="28"/>
  <c r="A60" i="28"/>
  <c r="K59" i="28"/>
  <c r="J59" i="28"/>
  <c r="I59" i="28"/>
  <c r="D59" i="28"/>
  <c r="C59" i="28"/>
  <c r="A59" i="28"/>
  <c r="K58" i="28"/>
  <c r="I58" i="28"/>
  <c r="J58" i="28" s="1"/>
  <c r="D58" i="28"/>
  <c r="C58" i="28"/>
  <c r="A58" i="28"/>
  <c r="K57" i="28"/>
  <c r="J57" i="28"/>
  <c r="I57" i="28"/>
  <c r="D57" i="28"/>
  <c r="C57" i="28"/>
  <c r="A57" i="28"/>
  <c r="K56" i="28"/>
  <c r="J56" i="28"/>
  <c r="I56" i="28"/>
  <c r="D56" i="28"/>
  <c r="C56" i="28"/>
  <c r="A56" i="28"/>
  <c r="K55" i="28"/>
  <c r="J55" i="28"/>
  <c r="I55" i="28"/>
  <c r="D55" i="28"/>
  <c r="C55" i="28"/>
  <c r="A55" i="28"/>
  <c r="K54" i="28"/>
  <c r="I54" i="28"/>
  <c r="J54" i="28" s="1"/>
  <c r="D54" i="28"/>
  <c r="C54" i="28"/>
  <c r="A54" i="28"/>
  <c r="K53" i="28"/>
  <c r="I53" i="28"/>
  <c r="J53" i="28" s="1"/>
  <c r="D53" i="28"/>
  <c r="C53" i="28"/>
  <c r="A53" i="28"/>
  <c r="K52" i="28"/>
  <c r="J52" i="28"/>
  <c r="I52" i="28"/>
  <c r="D52" i="28"/>
  <c r="C52" i="28"/>
  <c r="A52" i="28"/>
  <c r="K51" i="28"/>
  <c r="J51" i="28"/>
  <c r="I51" i="28"/>
  <c r="D51" i="28"/>
  <c r="C51" i="28"/>
  <c r="A51" i="28"/>
  <c r="K50" i="28"/>
  <c r="I50" i="28"/>
  <c r="J50" i="28" s="1"/>
  <c r="D50" i="28"/>
  <c r="C50" i="28"/>
  <c r="A50" i="28"/>
  <c r="K49" i="28"/>
  <c r="J49" i="28"/>
  <c r="I49" i="28"/>
  <c r="D49" i="28"/>
  <c r="C49" i="28"/>
  <c r="A49" i="28"/>
  <c r="K48" i="28"/>
  <c r="I48" i="28"/>
  <c r="J48" i="28" s="1"/>
  <c r="D48" i="28"/>
  <c r="C48" i="28"/>
  <c r="A48" i="28"/>
  <c r="K47" i="28"/>
  <c r="J47" i="28"/>
  <c r="I47" i="28"/>
  <c r="D47" i="28"/>
  <c r="C47" i="28"/>
  <c r="A47" i="28"/>
  <c r="K46" i="28"/>
  <c r="I46" i="28"/>
  <c r="J46" i="28" s="1"/>
  <c r="D46" i="28"/>
  <c r="C46" i="28"/>
  <c r="A46" i="28"/>
  <c r="K45" i="28"/>
  <c r="J45" i="28"/>
  <c r="I45" i="28"/>
  <c r="D45" i="28"/>
  <c r="C45" i="28"/>
  <c r="A45" i="28"/>
  <c r="K44" i="28"/>
  <c r="J44" i="28"/>
  <c r="I44" i="28"/>
  <c r="D44" i="28"/>
  <c r="C44" i="28"/>
  <c r="A44" i="28"/>
  <c r="K43" i="28"/>
  <c r="J43" i="28"/>
  <c r="I43" i="28"/>
  <c r="D43" i="28"/>
  <c r="C43" i="28"/>
  <c r="A43" i="28"/>
  <c r="K42" i="28"/>
  <c r="I42" i="28"/>
  <c r="J42" i="28" s="1"/>
  <c r="D42" i="28"/>
  <c r="C42" i="28"/>
  <c r="A42" i="28"/>
  <c r="K41" i="28"/>
  <c r="I41" i="28"/>
  <c r="J41" i="28" s="1"/>
  <c r="D41" i="28"/>
  <c r="C41" i="28"/>
  <c r="A41" i="28"/>
  <c r="K40" i="28"/>
  <c r="J40" i="28"/>
  <c r="I40" i="28"/>
  <c r="D40" i="28"/>
  <c r="C40" i="28"/>
  <c r="A40" i="28"/>
  <c r="K39" i="28"/>
  <c r="J39" i="28"/>
  <c r="I39" i="28"/>
  <c r="D39" i="28"/>
  <c r="C39" i="28"/>
  <c r="A39" i="28"/>
  <c r="K38" i="28"/>
  <c r="I38" i="28"/>
  <c r="J38" i="28" s="1"/>
  <c r="D38" i="28"/>
  <c r="C38" i="28"/>
  <c r="A38" i="28"/>
  <c r="K37" i="28"/>
  <c r="J37" i="28"/>
  <c r="I37" i="28"/>
  <c r="D37" i="28"/>
  <c r="C37" i="28"/>
  <c r="A37" i="28"/>
  <c r="K36" i="28"/>
  <c r="I36" i="28"/>
  <c r="J36" i="28" s="1"/>
  <c r="D36" i="28"/>
  <c r="C36" i="28"/>
  <c r="A36" i="28"/>
  <c r="K35" i="28"/>
  <c r="J35" i="28"/>
  <c r="I35" i="28"/>
  <c r="D35" i="28"/>
  <c r="C35" i="28"/>
  <c r="A35" i="28"/>
  <c r="K34" i="28"/>
  <c r="I34" i="28"/>
  <c r="J34" i="28" s="1"/>
  <c r="D34" i="28"/>
  <c r="C34" i="28"/>
  <c r="A34" i="28"/>
  <c r="K33" i="28"/>
  <c r="J33" i="28"/>
  <c r="I33" i="28"/>
  <c r="D33" i="28"/>
  <c r="C33" i="28"/>
  <c r="A33" i="28"/>
  <c r="K32" i="28"/>
  <c r="J32" i="28"/>
  <c r="I32" i="28"/>
  <c r="D32" i="28"/>
  <c r="C32" i="28"/>
  <c r="A32" i="28"/>
  <c r="K31" i="28"/>
  <c r="J31" i="28"/>
  <c r="I31" i="28"/>
  <c r="D31" i="28"/>
  <c r="C31" i="28"/>
  <c r="A31" i="28"/>
  <c r="K30" i="28"/>
  <c r="I30" i="28"/>
  <c r="J30" i="28" s="1"/>
  <c r="D30" i="28"/>
  <c r="C30" i="28"/>
  <c r="A30" i="28"/>
  <c r="K29" i="28"/>
  <c r="I29" i="28"/>
  <c r="J29" i="28" s="1"/>
  <c r="D29" i="28"/>
  <c r="C29" i="28"/>
  <c r="A29" i="28"/>
  <c r="K28" i="28"/>
  <c r="I28" i="28"/>
  <c r="J28" i="28" s="1"/>
  <c r="D28" i="28"/>
  <c r="C28" i="28"/>
  <c r="A28" i="28"/>
  <c r="K27" i="28"/>
  <c r="J27" i="28"/>
  <c r="I27" i="28"/>
  <c r="D27" i="28"/>
  <c r="C27" i="28"/>
  <c r="A27" i="28"/>
  <c r="K26" i="28"/>
  <c r="I26" i="28"/>
  <c r="J26" i="28" s="1"/>
  <c r="D26" i="28"/>
  <c r="C26" i="28"/>
  <c r="A26" i="28"/>
  <c r="K25" i="28"/>
  <c r="J25" i="28"/>
  <c r="I25" i="28"/>
  <c r="D25" i="28"/>
  <c r="C25" i="28"/>
  <c r="A25" i="28"/>
  <c r="K24" i="28"/>
  <c r="J24" i="28"/>
  <c r="I24" i="28"/>
  <c r="D24" i="28"/>
  <c r="C24" i="28"/>
  <c r="A24" i="28"/>
  <c r="K23" i="28"/>
  <c r="I23" i="28"/>
  <c r="J23" i="28" s="1"/>
  <c r="D23" i="28"/>
  <c r="C23" i="28"/>
  <c r="A23" i="28"/>
  <c r="K22" i="28"/>
  <c r="I22" i="28"/>
  <c r="J22" i="28" s="1"/>
  <c r="D22" i="28"/>
  <c r="C22" i="28"/>
  <c r="A22" i="28"/>
  <c r="K21" i="28"/>
  <c r="I21" i="28"/>
  <c r="J21" i="28" s="1"/>
  <c r="D21" i="28"/>
  <c r="C21" i="28"/>
  <c r="A21" i="28"/>
  <c r="K20" i="28"/>
  <c r="J20" i="28"/>
  <c r="I20" i="28"/>
  <c r="D20" i="28"/>
  <c r="C20" i="28"/>
  <c r="A20" i="28"/>
  <c r="K19" i="28"/>
  <c r="J19" i="28"/>
  <c r="I19" i="28"/>
  <c r="D19" i="28"/>
  <c r="C19" i="28"/>
  <c r="A19" i="28"/>
  <c r="K18" i="28"/>
  <c r="I18" i="28"/>
  <c r="J18" i="28" s="1"/>
  <c r="D18" i="28"/>
  <c r="C18" i="28"/>
  <c r="A18" i="28"/>
  <c r="K17" i="28"/>
  <c r="J17" i="28"/>
  <c r="I17" i="28"/>
  <c r="D17" i="28"/>
  <c r="C17" i="28"/>
  <c r="A17" i="28"/>
  <c r="K16" i="28"/>
  <c r="I16" i="28"/>
  <c r="J16" i="28" s="1"/>
  <c r="D16" i="28"/>
  <c r="C16" i="28"/>
  <c r="A16" i="28"/>
  <c r="K15" i="28"/>
  <c r="J15" i="28"/>
  <c r="I15" i="28"/>
  <c r="D15" i="28"/>
  <c r="C15" i="28"/>
  <c r="A15" i="28"/>
  <c r="K14" i="28"/>
  <c r="I14" i="28"/>
  <c r="J14" i="28" s="1"/>
  <c r="D14" i="28"/>
  <c r="C14" i="28"/>
  <c r="A14" i="28"/>
  <c r="B9" i="28"/>
  <c r="B10" i="28" s="1"/>
  <c r="B8" i="28"/>
  <c r="J208" i="27"/>
  <c r="K208" i="27" s="1"/>
  <c r="G208" i="27"/>
  <c r="D208" i="27"/>
  <c r="C208" i="27"/>
  <c r="B208" i="27"/>
  <c r="J207" i="27"/>
  <c r="K207" i="27" s="1"/>
  <c r="G207" i="27"/>
  <c r="D207" i="27"/>
  <c r="C207" i="27"/>
  <c r="B207" i="27"/>
  <c r="K206" i="27"/>
  <c r="J206" i="27"/>
  <c r="G206" i="27"/>
  <c r="D206" i="27"/>
  <c r="C206" i="27"/>
  <c r="B206" i="27"/>
  <c r="K205" i="27"/>
  <c r="J205" i="27"/>
  <c r="G205" i="27"/>
  <c r="D205" i="27"/>
  <c r="C205" i="27"/>
  <c r="B205" i="27"/>
  <c r="J204" i="27"/>
  <c r="K204" i="27" s="1"/>
  <c r="G204" i="27"/>
  <c r="D204" i="27"/>
  <c r="C204" i="27"/>
  <c r="B204" i="27"/>
  <c r="K203" i="27"/>
  <c r="J203" i="27"/>
  <c r="G203" i="27"/>
  <c r="D203" i="27"/>
  <c r="C203" i="27"/>
  <c r="B203" i="27"/>
  <c r="J202" i="27"/>
  <c r="K202" i="27" s="1"/>
  <c r="G202" i="27"/>
  <c r="D202" i="27"/>
  <c r="C202" i="27"/>
  <c r="B202" i="27"/>
  <c r="J201" i="27"/>
  <c r="K201" i="27" s="1"/>
  <c r="G201" i="27"/>
  <c r="D201" i="27"/>
  <c r="C201" i="27"/>
  <c r="B201" i="27"/>
  <c r="J200" i="27"/>
  <c r="K200" i="27" s="1"/>
  <c r="G200" i="27"/>
  <c r="D200" i="27"/>
  <c r="C200" i="27"/>
  <c r="B200" i="27"/>
  <c r="K199" i="27"/>
  <c r="J199" i="27"/>
  <c r="G199" i="27"/>
  <c r="D199" i="27"/>
  <c r="C199" i="27"/>
  <c r="B199" i="27"/>
  <c r="K198" i="27"/>
  <c r="J198" i="27"/>
  <c r="G198" i="27"/>
  <c r="D198" i="27"/>
  <c r="C198" i="27"/>
  <c r="B198" i="27"/>
  <c r="K197" i="27"/>
  <c r="J197" i="27"/>
  <c r="G197" i="27"/>
  <c r="D197" i="27"/>
  <c r="C197" i="27"/>
  <c r="B197" i="27"/>
  <c r="J196" i="27"/>
  <c r="K196" i="27" s="1"/>
  <c r="G196" i="27"/>
  <c r="D196" i="27"/>
  <c r="C196" i="27"/>
  <c r="B196" i="27"/>
  <c r="J195" i="27"/>
  <c r="K195" i="27" s="1"/>
  <c r="G195" i="27"/>
  <c r="D195" i="27"/>
  <c r="C195" i="27"/>
  <c r="B195" i="27"/>
  <c r="J194" i="27"/>
  <c r="K194" i="27" s="1"/>
  <c r="G194" i="27"/>
  <c r="D194" i="27"/>
  <c r="C194" i="27"/>
  <c r="B194" i="27"/>
  <c r="K193" i="27"/>
  <c r="J193" i="27"/>
  <c r="G193" i="27"/>
  <c r="D193" i="27"/>
  <c r="C193" i="27"/>
  <c r="B193" i="27"/>
  <c r="J192" i="27"/>
  <c r="K192" i="27" s="1"/>
  <c r="G192" i="27"/>
  <c r="D192" i="27"/>
  <c r="C192" i="27"/>
  <c r="B192" i="27"/>
  <c r="K191" i="27"/>
  <c r="J191" i="27"/>
  <c r="G191" i="27"/>
  <c r="D191" i="27"/>
  <c r="C191" i="27"/>
  <c r="B191" i="27"/>
  <c r="K190" i="27"/>
  <c r="J190" i="27"/>
  <c r="G190" i="27"/>
  <c r="D190" i="27"/>
  <c r="C190" i="27"/>
  <c r="B190" i="27"/>
  <c r="J189" i="27"/>
  <c r="K189" i="27" s="1"/>
  <c r="G189" i="27"/>
  <c r="D189" i="27"/>
  <c r="C189" i="27"/>
  <c r="B189" i="27"/>
  <c r="J188" i="27"/>
  <c r="K188" i="27" s="1"/>
  <c r="G188" i="27"/>
  <c r="D188" i="27"/>
  <c r="C188" i="27"/>
  <c r="B188" i="27"/>
  <c r="J187" i="27"/>
  <c r="K187" i="27" s="1"/>
  <c r="G187" i="27"/>
  <c r="D187" i="27"/>
  <c r="C187" i="27"/>
  <c r="B187" i="27"/>
  <c r="K186" i="27"/>
  <c r="J186" i="27"/>
  <c r="G186" i="27"/>
  <c r="D186" i="27"/>
  <c r="C186" i="27"/>
  <c r="B186" i="27"/>
  <c r="K185" i="27"/>
  <c r="J185" i="27"/>
  <c r="G185" i="27"/>
  <c r="D185" i="27"/>
  <c r="C185" i="27"/>
  <c r="B185" i="27"/>
  <c r="J184" i="27"/>
  <c r="K184" i="27" s="1"/>
  <c r="G184" i="27"/>
  <c r="D184" i="27"/>
  <c r="C184" i="27"/>
  <c r="B184" i="27"/>
  <c r="K183" i="27"/>
  <c r="J183" i="27"/>
  <c r="G183" i="27"/>
  <c r="D183" i="27"/>
  <c r="C183" i="27"/>
  <c r="B183" i="27"/>
  <c r="J182" i="27"/>
  <c r="K182" i="27" s="1"/>
  <c r="G182" i="27"/>
  <c r="D182" i="27"/>
  <c r="C182" i="27"/>
  <c r="B182" i="27"/>
  <c r="K181" i="27"/>
  <c r="J181" i="27"/>
  <c r="G181" i="27"/>
  <c r="D181" i="27"/>
  <c r="C181" i="27"/>
  <c r="B181" i="27"/>
  <c r="J180" i="27"/>
  <c r="K180" i="27" s="1"/>
  <c r="G180" i="27"/>
  <c r="D180" i="27"/>
  <c r="C180" i="27"/>
  <c r="B180" i="27"/>
  <c r="K179" i="27"/>
  <c r="J179" i="27"/>
  <c r="G179" i="27"/>
  <c r="D179" i="27"/>
  <c r="C179" i="27"/>
  <c r="B179" i="27"/>
  <c r="K178" i="27"/>
  <c r="J178" i="27"/>
  <c r="G178" i="27"/>
  <c r="D178" i="27"/>
  <c r="C178" i="27"/>
  <c r="B178" i="27"/>
  <c r="J177" i="27"/>
  <c r="K177" i="27" s="1"/>
  <c r="G177" i="27"/>
  <c r="D177" i="27"/>
  <c r="C177" i="27"/>
  <c r="B177" i="27"/>
  <c r="J176" i="27"/>
  <c r="K176" i="27" s="1"/>
  <c r="G176" i="27"/>
  <c r="D176" i="27"/>
  <c r="C176" i="27"/>
  <c r="B176" i="27"/>
  <c r="J175" i="27"/>
  <c r="K175" i="27" s="1"/>
  <c r="G175" i="27"/>
  <c r="D175" i="27"/>
  <c r="C175" i="27"/>
  <c r="B175" i="27"/>
  <c r="K174" i="27"/>
  <c r="J174" i="27"/>
  <c r="G174" i="27"/>
  <c r="D174" i="27"/>
  <c r="C174" i="27"/>
  <c r="B174" i="27"/>
  <c r="K173" i="27"/>
  <c r="J173" i="27"/>
  <c r="G173" i="27"/>
  <c r="D173" i="27"/>
  <c r="C173" i="27"/>
  <c r="B173" i="27"/>
  <c r="J172" i="27"/>
  <c r="K172" i="27" s="1"/>
  <c r="G172" i="27"/>
  <c r="D172" i="27"/>
  <c r="C172" i="27"/>
  <c r="B172" i="27"/>
  <c r="K171" i="27"/>
  <c r="J171" i="27"/>
  <c r="G171" i="27"/>
  <c r="D171" i="27"/>
  <c r="C171" i="27"/>
  <c r="B171" i="27"/>
  <c r="J170" i="27"/>
  <c r="K170" i="27" s="1"/>
  <c r="G170" i="27"/>
  <c r="D170" i="27"/>
  <c r="C170" i="27"/>
  <c r="B170" i="27"/>
  <c r="J169" i="27"/>
  <c r="K169" i="27" s="1"/>
  <c r="G169" i="27"/>
  <c r="D169" i="27"/>
  <c r="C169" i="27"/>
  <c r="B169" i="27"/>
  <c r="J168" i="27"/>
  <c r="K168" i="27" s="1"/>
  <c r="G168" i="27"/>
  <c r="D168" i="27"/>
  <c r="C168" i="27"/>
  <c r="B168" i="27"/>
  <c r="K167" i="27"/>
  <c r="J167" i="27"/>
  <c r="G167" i="27"/>
  <c r="D167" i="27"/>
  <c r="C167" i="27"/>
  <c r="B167" i="27"/>
  <c r="K166" i="27"/>
  <c r="J166" i="27"/>
  <c r="G166" i="27"/>
  <c r="D166" i="27"/>
  <c r="C166" i="27"/>
  <c r="B166" i="27"/>
  <c r="K165" i="27"/>
  <c r="J165" i="27"/>
  <c r="G165" i="27"/>
  <c r="D165" i="27"/>
  <c r="C165" i="27"/>
  <c r="B165" i="27"/>
  <c r="J164" i="27"/>
  <c r="K164" i="27" s="1"/>
  <c r="G164" i="27"/>
  <c r="D164" i="27"/>
  <c r="C164" i="27"/>
  <c r="B164" i="27"/>
  <c r="K163" i="27"/>
  <c r="J163" i="27"/>
  <c r="G163" i="27"/>
  <c r="D163" i="27"/>
  <c r="C163" i="27"/>
  <c r="B163" i="27"/>
  <c r="K162" i="27"/>
  <c r="J162" i="27"/>
  <c r="G162" i="27"/>
  <c r="D162" i="27"/>
  <c r="C162" i="27"/>
  <c r="B162" i="27"/>
  <c r="K161" i="27"/>
  <c r="J161" i="27"/>
  <c r="G161" i="27"/>
  <c r="D161" i="27"/>
  <c r="C161" i="27"/>
  <c r="B161" i="27"/>
  <c r="J160" i="27"/>
  <c r="K160" i="27" s="1"/>
  <c r="G160" i="27"/>
  <c r="D160" i="27"/>
  <c r="C160" i="27"/>
  <c r="B160" i="27"/>
  <c r="K159" i="27"/>
  <c r="J159" i="27"/>
  <c r="G159" i="27"/>
  <c r="D159" i="27"/>
  <c r="C159" i="27"/>
  <c r="B159" i="27"/>
  <c r="K158" i="27"/>
  <c r="J158" i="27"/>
  <c r="G158" i="27"/>
  <c r="D158" i="27"/>
  <c r="C158" i="27"/>
  <c r="B158" i="27"/>
  <c r="K157" i="27"/>
  <c r="J157" i="27"/>
  <c r="G157" i="27"/>
  <c r="D157" i="27"/>
  <c r="C157" i="27"/>
  <c r="B157" i="27"/>
  <c r="J156" i="27"/>
  <c r="K156" i="27" s="1"/>
  <c r="G156" i="27"/>
  <c r="D156" i="27"/>
  <c r="C156" i="27"/>
  <c r="B156" i="27"/>
  <c r="K155" i="27"/>
  <c r="J155" i="27"/>
  <c r="G155" i="27"/>
  <c r="D155" i="27"/>
  <c r="C155" i="27"/>
  <c r="B155" i="27"/>
  <c r="K154" i="27"/>
  <c r="J154" i="27"/>
  <c r="G154" i="27"/>
  <c r="D154" i="27"/>
  <c r="C154" i="27"/>
  <c r="B154" i="27"/>
  <c r="K153" i="27"/>
  <c r="J153" i="27"/>
  <c r="G153" i="27"/>
  <c r="D153" i="27"/>
  <c r="C153" i="27"/>
  <c r="B153" i="27"/>
  <c r="J152" i="27"/>
  <c r="K152" i="27" s="1"/>
  <c r="G152" i="27"/>
  <c r="D152" i="27"/>
  <c r="C152" i="27"/>
  <c r="B152" i="27"/>
  <c r="K151" i="27"/>
  <c r="J151" i="27"/>
  <c r="G151" i="27"/>
  <c r="D151" i="27"/>
  <c r="C151" i="27"/>
  <c r="B151" i="27"/>
  <c r="K150" i="27"/>
  <c r="J150" i="27"/>
  <c r="G150" i="27"/>
  <c r="D150" i="27"/>
  <c r="C150" i="27"/>
  <c r="B150" i="27"/>
  <c r="K149" i="27"/>
  <c r="J149" i="27"/>
  <c r="G149" i="27"/>
  <c r="D149" i="27"/>
  <c r="C149" i="27"/>
  <c r="B149" i="27"/>
  <c r="J148" i="27"/>
  <c r="K148" i="27" s="1"/>
  <c r="G148" i="27"/>
  <c r="D148" i="27"/>
  <c r="C148" i="27"/>
  <c r="B148" i="27"/>
  <c r="K147" i="27"/>
  <c r="J147" i="27"/>
  <c r="G147" i="27"/>
  <c r="D147" i="27"/>
  <c r="C147" i="27"/>
  <c r="B147" i="27"/>
  <c r="K146" i="27"/>
  <c r="J146" i="27"/>
  <c r="G146" i="27"/>
  <c r="D146" i="27"/>
  <c r="C146" i="27"/>
  <c r="B146" i="27"/>
  <c r="K145" i="27"/>
  <c r="J145" i="27"/>
  <c r="G145" i="27"/>
  <c r="D145" i="27"/>
  <c r="C145" i="27"/>
  <c r="B145" i="27"/>
  <c r="J144" i="27"/>
  <c r="K144" i="27" s="1"/>
  <c r="G144" i="27"/>
  <c r="D144" i="27"/>
  <c r="C144" i="27"/>
  <c r="B144" i="27"/>
  <c r="K143" i="27"/>
  <c r="J143" i="27"/>
  <c r="G143" i="27"/>
  <c r="D143" i="27"/>
  <c r="C143" i="27"/>
  <c r="B143" i="27"/>
  <c r="K142" i="27"/>
  <c r="J142" i="27"/>
  <c r="G142" i="27"/>
  <c r="D142" i="27"/>
  <c r="C142" i="27"/>
  <c r="B142" i="27"/>
  <c r="K141" i="27"/>
  <c r="J141" i="27"/>
  <c r="G141" i="27"/>
  <c r="D141" i="27"/>
  <c r="C141" i="27"/>
  <c r="B141" i="27"/>
  <c r="J140" i="27"/>
  <c r="K140" i="27" s="1"/>
  <c r="G140" i="27"/>
  <c r="D140" i="27"/>
  <c r="C140" i="27"/>
  <c r="B140" i="27"/>
  <c r="K139" i="27"/>
  <c r="J139" i="27"/>
  <c r="G139" i="27"/>
  <c r="D139" i="27"/>
  <c r="C139" i="27"/>
  <c r="B139" i="27"/>
  <c r="K138" i="27"/>
  <c r="J138" i="27"/>
  <c r="G138" i="27"/>
  <c r="D138" i="27"/>
  <c r="C138" i="27"/>
  <c r="B138" i="27"/>
  <c r="K137" i="27"/>
  <c r="J137" i="27"/>
  <c r="G137" i="27"/>
  <c r="D137" i="27"/>
  <c r="C137" i="27"/>
  <c r="B137" i="27"/>
  <c r="J136" i="27"/>
  <c r="K136" i="27" s="1"/>
  <c r="G136" i="27"/>
  <c r="D136" i="27"/>
  <c r="C136" i="27"/>
  <c r="B136" i="27"/>
  <c r="K135" i="27"/>
  <c r="J135" i="27"/>
  <c r="G135" i="27"/>
  <c r="D135" i="27"/>
  <c r="C135" i="27"/>
  <c r="B135" i="27"/>
  <c r="K134" i="27"/>
  <c r="J134" i="27"/>
  <c r="G134" i="27"/>
  <c r="D134" i="27"/>
  <c r="C134" i="27"/>
  <c r="B134" i="27"/>
  <c r="K133" i="27"/>
  <c r="J133" i="27"/>
  <c r="G133" i="27"/>
  <c r="D133" i="27"/>
  <c r="C133" i="27"/>
  <c r="B133" i="27"/>
  <c r="J132" i="27"/>
  <c r="K132" i="27" s="1"/>
  <c r="G132" i="27"/>
  <c r="D132" i="27"/>
  <c r="C132" i="27"/>
  <c r="B132" i="27"/>
  <c r="K131" i="27"/>
  <c r="J131" i="27"/>
  <c r="G131" i="27"/>
  <c r="D131" i="27"/>
  <c r="C131" i="27"/>
  <c r="B131" i="27"/>
  <c r="K130" i="27"/>
  <c r="J130" i="27"/>
  <c r="G130" i="27"/>
  <c r="D130" i="27"/>
  <c r="C130" i="27"/>
  <c r="B130" i="27"/>
  <c r="K129" i="27"/>
  <c r="J129" i="27"/>
  <c r="G129" i="27"/>
  <c r="D129" i="27"/>
  <c r="C129" i="27"/>
  <c r="B129" i="27"/>
  <c r="J128" i="27"/>
  <c r="K128" i="27" s="1"/>
  <c r="G128" i="27"/>
  <c r="D128" i="27"/>
  <c r="C128" i="27"/>
  <c r="B128" i="27"/>
  <c r="K127" i="27"/>
  <c r="J127" i="27"/>
  <c r="G127" i="27"/>
  <c r="D127" i="27"/>
  <c r="C127" i="27"/>
  <c r="B127" i="27"/>
  <c r="K126" i="27"/>
  <c r="J126" i="27"/>
  <c r="G126" i="27"/>
  <c r="D126" i="27"/>
  <c r="C126" i="27"/>
  <c r="B126" i="27"/>
  <c r="K125" i="27"/>
  <c r="J125" i="27"/>
  <c r="G125" i="27"/>
  <c r="D125" i="27"/>
  <c r="C125" i="27"/>
  <c r="B125" i="27"/>
  <c r="J124" i="27"/>
  <c r="K124" i="27" s="1"/>
  <c r="G124" i="27"/>
  <c r="D124" i="27"/>
  <c r="C124" i="27"/>
  <c r="B124" i="27"/>
  <c r="K123" i="27"/>
  <c r="J123" i="27"/>
  <c r="G123" i="27"/>
  <c r="D123" i="27"/>
  <c r="C123" i="27"/>
  <c r="B123" i="27"/>
  <c r="K122" i="27"/>
  <c r="J122" i="27"/>
  <c r="G122" i="27"/>
  <c r="D122" i="27"/>
  <c r="C122" i="27"/>
  <c r="B122" i="27"/>
  <c r="K121" i="27"/>
  <c r="J121" i="27"/>
  <c r="G121" i="27"/>
  <c r="D121" i="27"/>
  <c r="C121" i="27"/>
  <c r="B121" i="27"/>
  <c r="J120" i="27"/>
  <c r="K120" i="27" s="1"/>
  <c r="G120" i="27"/>
  <c r="D120" i="27"/>
  <c r="C120" i="27"/>
  <c r="B120" i="27"/>
  <c r="K119" i="27"/>
  <c r="J119" i="27"/>
  <c r="G119" i="27"/>
  <c r="D119" i="27"/>
  <c r="C119" i="27"/>
  <c r="B119" i="27"/>
  <c r="K118" i="27"/>
  <c r="J118" i="27"/>
  <c r="G118" i="27"/>
  <c r="D118" i="27"/>
  <c r="C118" i="27"/>
  <c r="B118" i="27"/>
  <c r="K117" i="27"/>
  <c r="J117" i="27"/>
  <c r="G117" i="27"/>
  <c r="D117" i="27"/>
  <c r="C117" i="27"/>
  <c r="B117" i="27"/>
  <c r="J116" i="27"/>
  <c r="K116" i="27" s="1"/>
  <c r="G116" i="27"/>
  <c r="D116" i="27"/>
  <c r="C116" i="27"/>
  <c r="B116" i="27"/>
  <c r="K115" i="27"/>
  <c r="J115" i="27"/>
  <c r="G115" i="27"/>
  <c r="D115" i="27"/>
  <c r="C115" i="27"/>
  <c r="B115" i="27"/>
  <c r="K114" i="27"/>
  <c r="J114" i="27"/>
  <c r="G114" i="27"/>
  <c r="D114" i="27"/>
  <c r="C114" i="27"/>
  <c r="B114" i="27"/>
  <c r="K113" i="27"/>
  <c r="J113" i="27"/>
  <c r="G113" i="27"/>
  <c r="D113" i="27"/>
  <c r="C113" i="27"/>
  <c r="B113" i="27"/>
  <c r="J112" i="27"/>
  <c r="K112" i="27" s="1"/>
  <c r="G112" i="27"/>
  <c r="D112" i="27"/>
  <c r="C112" i="27"/>
  <c r="B112" i="27"/>
  <c r="K111" i="27"/>
  <c r="J111" i="27"/>
  <c r="G111" i="27"/>
  <c r="D111" i="27"/>
  <c r="C111" i="27"/>
  <c r="B111" i="27"/>
  <c r="K110" i="27"/>
  <c r="J110" i="27"/>
  <c r="G110" i="27"/>
  <c r="D110" i="27"/>
  <c r="C110" i="27"/>
  <c r="B110" i="27"/>
  <c r="K109" i="27"/>
  <c r="J109" i="27"/>
  <c r="G109" i="27"/>
  <c r="D109" i="27"/>
  <c r="C109" i="27"/>
  <c r="B109" i="27"/>
  <c r="J108" i="27"/>
  <c r="K108" i="27" s="1"/>
  <c r="G108" i="27"/>
  <c r="D108" i="27"/>
  <c r="C108" i="27"/>
  <c r="B108" i="27"/>
  <c r="K107" i="27"/>
  <c r="J107" i="27"/>
  <c r="G107" i="27"/>
  <c r="D107" i="27"/>
  <c r="C107" i="27"/>
  <c r="B107" i="27"/>
  <c r="K106" i="27"/>
  <c r="J106" i="27"/>
  <c r="G106" i="27"/>
  <c r="D106" i="27"/>
  <c r="C106" i="27"/>
  <c r="B106" i="27"/>
  <c r="K105" i="27"/>
  <c r="J105" i="27"/>
  <c r="G105" i="27"/>
  <c r="D105" i="27"/>
  <c r="C105" i="27"/>
  <c r="B105" i="27"/>
  <c r="J104" i="27"/>
  <c r="K104" i="27" s="1"/>
  <c r="G104" i="27"/>
  <c r="D104" i="27"/>
  <c r="C104" i="27"/>
  <c r="B104" i="27"/>
  <c r="K103" i="27"/>
  <c r="J103" i="27"/>
  <c r="G103" i="27"/>
  <c r="D103" i="27"/>
  <c r="C103" i="27"/>
  <c r="B103" i="27"/>
  <c r="K102" i="27"/>
  <c r="J102" i="27"/>
  <c r="G102" i="27"/>
  <c r="D102" i="27"/>
  <c r="C102" i="27"/>
  <c r="B102" i="27"/>
  <c r="K101" i="27"/>
  <c r="J101" i="27"/>
  <c r="G101" i="27"/>
  <c r="D101" i="27"/>
  <c r="C101" i="27"/>
  <c r="B101" i="27"/>
  <c r="J100" i="27"/>
  <c r="K100" i="27" s="1"/>
  <c r="G100" i="27"/>
  <c r="D100" i="27"/>
  <c r="C100" i="27"/>
  <c r="B100" i="27"/>
  <c r="K99" i="27"/>
  <c r="J99" i="27"/>
  <c r="G99" i="27"/>
  <c r="D99" i="27"/>
  <c r="C99" i="27"/>
  <c r="B99" i="27"/>
  <c r="K98" i="27"/>
  <c r="J98" i="27"/>
  <c r="G98" i="27"/>
  <c r="D98" i="27"/>
  <c r="C98" i="27"/>
  <c r="B98" i="27"/>
  <c r="K97" i="27"/>
  <c r="J97" i="27"/>
  <c r="G97" i="27"/>
  <c r="D97" i="27"/>
  <c r="C97" i="27"/>
  <c r="B97" i="27"/>
  <c r="J96" i="27"/>
  <c r="K96" i="27" s="1"/>
  <c r="G96" i="27"/>
  <c r="D96" i="27"/>
  <c r="C96" i="27"/>
  <c r="B96" i="27"/>
  <c r="K95" i="27"/>
  <c r="J95" i="27"/>
  <c r="G95" i="27"/>
  <c r="D95" i="27"/>
  <c r="C95" i="27"/>
  <c r="B95" i="27"/>
  <c r="K94" i="27"/>
  <c r="J94" i="27"/>
  <c r="G94" i="27"/>
  <c r="D94" i="27"/>
  <c r="C94" i="27"/>
  <c r="B94" i="27"/>
  <c r="K93" i="27"/>
  <c r="J93" i="27"/>
  <c r="G93" i="27"/>
  <c r="D93" i="27"/>
  <c r="C93" i="27"/>
  <c r="B93" i="27"/>
  <c r="J92" i="27"/>
  <c r="K92" i="27" s="1"/>
  <c r="G92" i="27"/>
  <c r="D92" i="27"/>
  <c r="C92" i="27"/>
  <c r="B92" i="27"/>
  <c r="K91" i="27"/>
  <c r="J91" i="27"/>
  <c r="G91" i="27"/>
  <c r="D91" i="27"/>
  <c r="C91" i="27"/>
  <c r="B91" i="27"/>
  <c r="K90" i="27"/>
  <c r="J90" i="27"/>
  <c r="G90" i="27"/>
  <c r="D90" i="27"/>
  <c r="C90" i="27"/>
  <c r="B90" i="27"/>
  <c r="K89" i="27"/>
  <c r="J89" i="27"/>
  <c r="G89" i="27"/>
  <c r="D89" i="27"/>
  <c r="C89" i="27"/>
  <c r="B89" i="27"/>
  <c r="J88" i="27"/>
  <c r="K88" i="27" s="1"/>
  <c r="G88" i="27"/>
  <c r="D88" i="27"/>
  <c r="C88" i="27"/>
  <c r="B88" i="27"/>
  <c r="K87" i="27"/>
  <c r="J87" i="27"/>
  <c r="G87" i="27"/>
  <c r="D87" i="27"/>
  <c r="C87" i="27"/>
  <c r="B87" i="27"/>
  <c r="K86" i="27"/>
  <c r="J86" i="27"/>
  <c r="G86" i="27"/>
  <c r="D86" i="27"/>
  <c r="C86" i="27"/>
  <c r="B86" i="27"/>
  <c r="K85" i="27"/>
  <c r="J85" i="27"/>
  <c r="G85" i="27"/>
  <c r="D85" i="27"/>
  <c r="C85" i="27"/>
  <c r="B85" i="27"/>
  <c r="J84" i="27"/>
  <c r="K84" i="27" s="1"/>
  <c r="G84" i="27"/>
  <c r="D84" i="27"/>
  <c r="C84" i="27"/>
  <c r="B84" i="27"/>
  <c r="K83" i="27"/>
  <c r="J83" i="27"/>
  <c r="G83" i="27"/>
  <c r="D83" i="27"/>
  <c r="C83" i="27"/>
  <c r="B83" i="27"/>
  <c r="K82" i="27"/>
  <c r="J82" i="27"/>
  <c r="G82" i="27"/>
  <c r="D82" i="27"/>
  <c r="C82" i="27"/>
  <c r="B82" i="27"/>
  <c r="K81" i="27"/>
  <c r="J81" i="27"/>
  <c r="G81" i="27"/>
  <c r="D81" i="27"/>
  <c r="C81" i="27"/>
  <c r="B81" i="27"/>
  <c r="J80" i="27"/>
  <c r="K80" i="27" s="1"/>
  <c r="G80" i="27"/>
  <c r="D80" i="27"/>
  <c r="C80" i="27"/>
  <c r="B80" i="27"/>
  <c r="K79" i="27"/>
  <c r="J79" i="27"/>
  <c r="G79" i="27"/>
  <c r="D79" i="27"/>
  <c r="C79" i="27"/>
  <c r="B79" i="27"/>
  <c r="K78" i="27"/>
  <c r="J78" i="27"/>
  <c r="G78" i="27"/>
  <c r="D78" i="27"/>
  <c r="C78" i="27"/>
  <c r="B78" i="27"/>
  <c r="K77" i="27"/>
  <c r="J77" i="27"/>
  <c r="G77" i="27"/>
  <c r="D77" i="27"/>
  <c r="C77" i="27"/>
  <c r="B77" i="27"/>
  <c r="J76" i="27"/>
  <c r="K76" i="27" s="1"/>
  <c r="G76" i="27"/>
  <c r="D76" i="27"/>
  <c r="C76" i="27"/>
  <c r="B76" i="27"/>
  <c r="K75" i="27"/>
  <c r="J75" i="27"/>
  <c r="G75" i="27"/>
  <c r="D75" i="27"/>
  <c r="C75" i="27"/>
  <c r="B75" i="27"/>
  <c r="K74" i="27"/>
  <c r="J74" i="27"/>
  <c r="G74" i="27"/>
  <c r="D74" i="27"/>
  <c r="C74" i="27"/>
  <c r="B74" i="27"/>
  <c r="K73" i="27"/>
  <c r="J73" i="27"/>
  <c r="G73" i="27"/>
  <c r="D73" i="27"/>
  <c r="C73" i="27"/>
  <c r="B73" i="27"/>
  <c r="J72" i="27"/>
  <c r="K72" i="27" s="1"/>
  <c r="G72" i="27"/>
  <c r="D72" i="27"/>
  <c r="C72" i="27"/>
  <c r="B72" i="27"/>
  <c r="K71" i="27"/>
  <c r="J71" i="27"/>
  <c r="G71" i="27"/>
  <c r="D71" i="27"/>
  <c r="C71" i="27"/>
  <c r="B71" i="27"/>
  <c r="K70" i="27"/>
  <c r="J70" i="27"/>
  <c r="G70" i="27"/>
  <c r="D70" i="27"/>
  <c r="C70" i="27"/>
  <c r="B70" i="27"/>
  <c r="K69" i="27"/>
  <c r="J69" i="27"/>
  <c r="G69" i="27"/>
  <c r="D69" i="27"/>
  <c r="C69" i="27"/>
  <c r="B69" i="27"/>
  <c r="J68" i="27"/>
  <c r="K68" i="27" s="1"/>
  <c r="G68" i="27"/>
  <c r="D68" i="27"/>
  <c r="C68" i="27"/>
  <c r="B68" i="27"/>
  <c r="K67" i="27"/>
  <c r="J67" i="27"/>
  <c r="G67" i="27"/>
  <c r="D67" i="27"/>
  <c r="C67" i="27"/>
  <c r="B67" i="27"/>
  <c r="K66" i="27"/>
  <c r="J66" i="27"/>
  <c r="G66" i="27"/>
  <c r="D66" i="27"/>
  <c r="C66" i="27"/>
  <c r="B66" i="27"/>
  <c r="K65" i="27"/>
  <c r="J65" i="27"/>
  <c r="G65" i="27"/>
  <c r="D65" i="27"/>
  <c r="C65" i="27"/>
  <c r="B65" i="27"/>
  <c r="J64" i="27"/>
  <c r="K64" i="27" s="1"/>
  <c r="G64" i="27"/>
  <c r="D64" i="27"/>
  <c r="C64" i="27"/>
  <c r="B64" i="27"/>
  <c r="K63" i="27"/>
  <c r="J63" i="27"/>
  <c r="G63" i="27"/>
  <c r="D63" i="27"/>
  <c r="C63" i="27"/>
  <c r="B63" i="27"/>
  <c r="K62" i="27"/>
  <c r="J62" i="27"/>
  <c r="G62" i="27"/>
  <c r="D62" i="27"/>
  <c r="C62" i="27"/>
  <c r="B62" i="27"/>
  <c r="K61" i="27"/>
  <c r="J61" i="27"/>
  <c r="G61" i="27"/>
  <c r="D61" i="27"/>
  <c r="C61" i="27"/>
  <c r="B61" i="27"/>
  <c r="J60" i="27"/>
  <c r="K60" i="27" s="1"/>
  <c r="G60" i="27"/>
  <c r="D60" i="27"/>
  <c r="C60" i="27"/>
  <c r="B60" i="27"/>
  <c r="K59" i="27"/>
  <c r="J59" i="27"/>
  <c r="G59" i="27"/>
  <c r="D59" i="27"/>
  <c r="C59" i="27"/>
  <c r="B59" i="27"/>
  <c r="K58" i="27"/>
  <c r="J58" i="27"/>
  <c r="G58" i="27"/>
  <c r="D58" i="27"/>
  <c r="C58" i="27"/>
  <c r="B58" i="27"/>
  <c r="K57" i="27"/>
  <c r="J57" i="27"/>
  <c r="G57" i="27"/>
  <c r="D57" i="27"/>
  <c r="C57" i="27"/>
  <c r="B57" i="27"/>
  <c r="J56" i="27"/>
  <c r="K56" i="27" s="1"/>
  <c r="G56" i="27"/>
  <c r="D56" i="27"/>
  <c r="C56" i="27"/>
  <c r="B56" i="27"/>
  <c r="K55" i="27"/>
  <c r="J55" i="27"/>
  <c r="G55" i="27"/>
  <c r="D55" i="27"/>
  <c r="C55" i="27"/>
  <c r="B55" i="27"/>
  <c r="K54" i="27"/>
  <c r="J54" i="27"/>
  <c r="G54" i="27"/>
  <c r="D54" i="27"/>
  <c r="C54" i="27"/>
  <c r="B54" i="27"/>
  <c r="K53" i="27"/>
  <c r="J53" i="27"/>
  <c r="G53" i="27"/>
  <c r="D53" i="27"/>
  <c r="C53" i="27"/>
  <c r="B53" i="27"/>
  <c r="J52" i="27"/>
  <c r="K52" i="27" s="1"/>
  <c r="G52" i="27"/>
  <c r="D52" i="27"/>
  <c r="C52" i="27"/>
  <c r="B52" i="27"/>
  <c r="K51" i="27"/>
  <c r="J51" i="27"/>
  <c r="G51" i="27"/>
  <c r="D51" i="27"/>
  <c r="C51" i="27"/>
  <c r="B51" i="27"/>
  <c r="K50" i="27"/>
  <c r="J50" i="27"/>
  <c r="G50" i="27"/>
  <c r="D50" i="27"/>
  <c r="C50" i="27"/>
  <c r="B50" i="27"/>
  <c r="K49" i="27"/>
  <c r="J49" i="27"/>
  <c r="G49" i="27"/>
  <c r="D49" i="27"/>
  <c r="C49" i="27"/>
  <c r="B49" i="27"/>
  <c r="J48" i="27"/>
  <c r="K48" i="27" s="1"/>
  <c r="G48" i="27"/>
  <c r="D48" i="27"/>
  <c r="C48" i="27"/>
  <c r="B48" i="27"/>
  <c r="K47" i="27"/>
  <c r="J47" i="27"/>
  <c r="G47" i="27"/>
  <c r="D47" i="27"/>
  <c r="C47" i="27"/>
  <c r="B47" i="27"/>
  <c r="K46" i="27"/>
  <c r="J46" i="27"/>
  <c r="G46" i="27"/>
  <c r="D46" i="27"/>
  <c r="C46" i="27"/>
  <c r="B46" i="27"/>
  <c r="K45" i="27"/>
  <c r="J45" i="27"/>
  <c r="G45" i="27"/>
  <c r="D45" i="27"/>
  <c r="C45" i="27"/>
  <c r="B45" i="27"/>
  <c r="J44" i="27"/>
  <c r="K44" i="27" s="1"/>
  <c r="G44" i="27"/>
  <c r="D44" i="27"/>
  <c r="C44" i="27"/>
  <c r="B44" i="27"/>
  <c r="K43" i="27"/>
  <c r="J43" i="27"/>
  <c r="G43" i="27"/>
  <c r="D43" i="27"/>
  <c r="C43" i="27"/>
  <c r="B43" i="27"/>
  <c r="K42" i="27"/>
  <c r="J42" i="27"/>
  <c r="G42" i="27"/>
  <c r="D42" i="27"/>
  <c r="C42" i="27"/>
  <c r="B42" i="27"/>
  <c r="K41" i="27"/>
  <c r="J41" i="27"/>
  <c r="G41" i="27"/>
  <c r="D41" i="27"/>
  <c r="C41" i="27"/>
  <c r="B41" i="27"/>
  <c r="J40" i="27"/>
  <c r="K40" i="27" s="1"/>
  <c r="G40" i="27"/>
  <c r="D40" i="27"/>
  <c r="C40" i="27"/>
  <c r="B40" i="27"/>
  <c r="K39" i="27"/>
  <c r="J39" i="27"/>
  <c r="G39" i="27"/>
  <c r="D39" i="27"/>
  <c r="C39" i="27"/>
  <c r="B39" i="27"/>
  <c r="K38" i="27"/>
  <c r="J38" i="27"/>
  <c r="G38" i="27"/>
  <c r="D38" i="27"/>
  <c r="C38" i="27"/>
  <c r="B38" i="27"/>
  <c r="K37" i="27"/>
  <c r="J37" i="27"/>
  <c r="G37" i="27"/>
  <c r="D37" i="27"/>
  <c r="C37" i="27"/>
  <c r="B37" i="27"/>
  <c r="J36" i="27"/>
  <c r="K36" i="27" s="1"/>
  <c r="G36" i="27"/>
  <c r="D36" i="27"/>
  <c r="C36" i="27"/>
  <c r="B36" i="27"/>
  <c r="K35" i="27"/>
  <c r="J35" i="27"/>
  <c r="G35" i="27"/>
  <c r="D35" i="27"/>
  <c r="C35" i="27"/>
  <c r="B35" i="27"/>
  <c r="K34" i="27"/>
  <c r="J34" i="27"/>
  <c r="G34" i="27"/>
  <c r="D34" i="27"/>
  <c r="C34" i="27"/>
  <c r="B34" i="27"/>
  <c r="K33" i="27"/>
  <c r="J33" i="27"/>
  <c r="G33" i="27"/>
  <c r="D33" i="27"/>
  <c r="C33" i="27"/>
  <c r="B33" i="27"/>
  <c r="J32" i="27"/>
  <c r="K32" i="27" s="1"/>
  <c r="G32" i="27"/>
  <c r="D32" i="27"/>
  <c r="C32" i="27"/>
  <c r="B32" i="27"/>
  <c r="K31" i="27"/>
  <c r="J31" i="27"/>
  <c r="G31" i="27"/>
  <c r="D31" i="27"/>
  <c r="C31" i="27"/>
  <c r="B31" i="27"/>
  <c r="K30" i="27"/>
  <c r="J30" i="27"/>
  <c r="G30" i="27"/>
  <c r="D30" i="27"/>
  <c r="C30" i="27"/>
  <c r="B30" i="27"/>
  <c r="K29" i="27"/>
  <c r="J29" i="27"/>
  <c r="G29" i="27"/>
  <c r="D29" i="27"/>
  <c r="C29" i="27"/>
  <c r="B29" i="27"/>
  <c r="J28" i="27"/>
  <c r="K28" i="27" s="1"/>
  <c r="G28" i="27"/>
  <c r="D28" i="27"/>
  <c r="C28" i="27"/>
  <c r="B28" i="27"/>
  <c r="K27" i="27"/>
  <c r="J27" i="27"/>
  <c r="G27" i="27"/>
  <c r="D27" i="27"/>
  <c r="C27" i="27"/>
  <c r="B27" i="27"/>
  <c r="K26" i="27"/>
  <c r="J26" i="27"/>
  <c r="G26" i="27"/>
  <c r="D26" i="27"/>
  <c r="C26" i="27"/>
  <c r="B26" i="27"/>
  <c r="K25" i="27"/>
  <c r="J25" i="27"/>
  <c r="G25" i="27"/>
  <c r="D25" i="27"/>
  <c r="C25" i="27"/>
  <c r="B25" i="27"/>
  <c r="J24" i="27"/>
  <c r="K24" i="27" s="1"/>
  <c r="G24" i="27"/>
  <c r="D24" i="27"/>
  <c r="C24" i="27"/>
  <c r="B24" i="27"/>
  <c r="K23" i="27"/>
  <c r="J23" i="27"/>
  <c r="G23" i="27"/>
  <c r="D23" i="27"/>
  <c r="C23" i="27"/>
  <c r="B23" i="27"/>
  <c r="K22" i="27"/>
  <c r="J22" i="27"/>
  <c r="G22" i="27"/>
  <c r="D22" i="27"/>
  <c r="C22" i="27"/>
  <c r="B22" i="27"/>
  <c r="K21" i="27"/>
  <c r="J21" i="27"/>
  <c r="G21" i="27"/>
  <c r="D21" i="27"/>
  <c r="C21" i="27"/>
  <c r="B21" i="27"/>
  <c r="J20" i="27"/>
  <c r="K20" i="27" s="1"/>
  <c r="G20" i="27"/>
  <c r="D20" i="27"/>
  <c r="C20" i="27"/>
  <c r="B20" i="27"/>
  <c r="K19" i="27"/>
  <c r="J19" i="27"/>
  <c r="G19" i="27"/>
  <c r="D19" i="27"/>
  <c r="C19" i="27"/>
  <c r="B19" i="27"/>
  <c r="K18" i="27"/>
  <c r="J18" i="27"/>
  <c r="G18" i="27"/>
  <c r="D18" i="27"/>
  <c r="C18" i="27"/>
  <c r="B18" i="27"/>
  <c r="K17" i="27"/>
  <c r="J17" i="27"/>
  <c r="G17" i="27"/>
  <c r="D17" i="27"/>
  <c r="C17" i="27"/>
  <c r="B17" i="27"/>
  <c r="J16" i="27"/>
  <c r="K16" i="27" s="1"/>
  <c r="G16" i="27"/>
  <c r="D16" i="27"/>
  <c r="C16" i="27"/>
  <c r="B16" i="27"/>
  <c r="K15" i="27"/>
  <c r="J15" i="27"/>
  <c r="G15" i="27"/>
  <c r="D15" i="27"/>
  <c r="C15" i="27"/>
  <c r="B15" i="27"/>
  <c r="K14" i="27"/>
  <c r="J14" i="27"/>
  <c r="G14" i="27"/>
  <c r="D14" i="27"/>
  <c r="C14" i="27"/>
  <c r="B14" i="27"/>
  <c r="K13" i="27"/>
  <c r="J13" i="27"/>
  <c r="G13" i="27"/>
  <c r="D13" i="27"/>
  <c r="C13" i="27"/>
  <c r="B13" i="27"/>
  <c r="J12" i="27"/>
  <c r="K12" i="27" s="1"/>
  <c r="G12" i="27"/>
  <c r="D12" i="27"/>
  <c r="C12" i="27"/>
  <c r="B12" i="27"/>
  <c r="K11" i="27"/>
  <c r="J11" i="27"/>
  <c r="G11" i="27"/>
  <c r="D11" i="27"/>
  <c r="C11" i="27"/>
  <c r="B11" i="27"/>
  <c r="K10" i="27"/>
  <c r="J10" i="27"/>
  <c r="G10" i="27"/>
  <c r="D10" i="27"/>
  <c r="C10" i="27"/>
  <c r="B10" i="27"/>
  <c r="K9" i="27"/>
  <c r="J9" i="27"/>
  <c r="G9" i="27"/>
  <c r="D9" i="27"/>
  <c r="C9" i="27"/>
  <c r="B9" i="27"/>
  <c r="J4" i="27"/>
  <c r="J208" i="26"/>
  <c r="I208" i="26"/>
  <c r="F208" i="26"/>
  <c r="D208" i="26"/>
  <c r="C208" i="26"/>
  <c r="B208" i="26"/>
  <c r="J207" i="26"/>
  <c r="I207" i="26"/>
  <c r="F207" i="26"/>
  <c r="D207" i="26"/>
  <c r="C207" i="26"/>
  <c r="B207" i="26"/>
  <c r="I206" i="26"/>
  <c r="J206" i="26" s="1"/>
  <c r="F206" i="26"/>
  <c r="D206" i="26"/>
  <c r="C206" i="26"/>
  <c r="B206" i="26"/>
  <c r="J205" i="26"/>
  <c r="I205" i="26"/>
  <c r="F205" i="26"/>
  <c r="D205" i="26"/>
  <c r="C205" i="26"/>
  <c r="B205" i="26"/>
  <c r="J204" i="26"/>
  <c r="I204" i="26"/>
  <c r="F204" i="26"/>
  <c r="D204" i="26"/>
  <c r="C204" i="26"/>
  <c r="B204" i="26"/>
  <c r="J203" i="26"/>
  <c r="I203" i="26"/>
  <c r="F203" i="26"/>
  <c r="D203" i="26"/>
  <c r="C203" i="26"/>
  <c r="B203" i="26"/>
  <c r="I202" i="26"/>
  <c r="J202" i="26" s="1"/>
  <c r="F202" i="26"/>
  <c r="D202" i="26"/>
  <c r="C202" i="26"/>
  <c r="B202" i="26"/>
  <c r="J201" i="26"/>
  <c r="I201" i="26"/>
  <c r="F201" i="26"/>
  <c r="D201" i="26"/>
  <c r="C201" i="26"/>
  <c r="B201" i="26"/>
  <c r="J200" i="26"/>
  <c r="I200" i="26"/>
  <c r="F200" i="26"/>
  <c r="D200" i="26"/>
  <c r="C200" i="26"/>
  <c r="B200" i="26"/>
  <c r="J199" i="26"/>
  <c r="I199" i="26"/>
  <c r="F199" i="26"/>
  <c r="D199" i="26"/>
  <c r="C199" i="26"/>
  <c r="B199" i="26"/>
  <c r="I198" i="26"/>
  <c r="J198" i="26" s="1"/>
  <c r="F198" i="26"/>
  <c r="D198" i="26"/>
  <c r="C198" i="26"/>
  <c r="B198" i="26"/>
  <c r="J197" i="26"/>
  <c r="I197" i="26"/>
  <c r="F197" i="26"/>
  <c r="D197" i="26"/>
  <c r="C197" i="26"/>
  <c r="B197" i="26"/>
  <c r="J196" i="26"/>
  <c r="I196" i="26"/>
  <c r="F196" i="26"/>
  <c r="D196" i="26"/>
  <c r="C196" i="26"/>
  <c r="B196" i="26"/>
  <c r="J195" i="26"/>
  <c r="I195" i="26"/>
  <c r="F195" i="26"/>
  <c r="D195" i="26"/>
  <c r="C195" i="26"/>
  <c r="B195" i="26"/>
  <c r="I194" i="26"/>
  <c r="J194" i="26" s="1"/>
  <c r="F194" i="26"/>
  <c r="D194" i="26"/>
  <c r="C194" i="26"/>
  <c r="B194" i="26"/>
  <c r="J193" i="26"/>
  <c r="I193" i="26"/>
  <c r="F193" i="26"/>
  <c r="D193" i="26"/>
  <c r="C193" i="26"/>
  <c r="B193" i="26"/>
  <c r="J192" i="26"/>
  <c r="I192" i="26"/>
  <c r="F192" i="26"/>
  <c r="D192" i="26"/>
  <c r="C192" i="26"/>
  <c r="B192" i="26"/>
  <c r="J191" i="26"/>
  <c r="I191" i="26"/>
  <c r="F191" i="26"/>
  <c r="D191" i="26"/>
  <c r="C191" i="26"/>
  <c r="B191" i="26"/>
  <c r="I190" i="26"/>
  <c r="J190" i="26" s="1"/>
  <c r="F190" i="26"/>
  <c r="D190" i="26"/>
  <c r="C190" i="26"/>
  <c r="B190" i="26"/>
  <c r="J189" i="26"/>
  <c r="I189" i="26"/>
  <c r="F189" i="26"/>
  <c r="D189" i="26"/>
  <c r="C189" i="26"/>
  <c r="B189" i="26"/>
  <c r="J188" i="26"/>
  <c r="I188" i="26"/>
  <c r="F188" i="26"/>
  <c r="D188" i="26"/>
  <c r="C188" i="26"/>
  <c r="B188" i="26"/>
  <c r="J187" i="26"/>
  <c r="I187" i="26"/>
  <c r="F187" i="26"/>
  <c r="D187" i="26"/>
  <c r="C187" i="26"/>
  <c r="B187" i="26"/>
  <c r="I186" i="26"/>
  <c r="J186" i="26" s="1"/>
  <c r="F186" i="26"/>
  <c r="D186" i="26"/>
  <c r="C186" i="26"/>
  <c r="B186" i="26"/>
  <c r="J185" i="26"/>
  <c r="I185" i="26"/>
  <c r="F185" i="26"/>
  <c r="D185" i="26"/>
  <c r="C185" i="26"/>
  <c r="B185" i="26"/>
  <c r="J184" i="26"/>
  <c r="I184" i="26"/>
  <c r="F184" i="26"/>
  <c r="D184" i="26"/>
  <c r="C184" i="26"/>
  <c r="B184" i="26"/>
  <c r="J183" i="26"/>
  <c r="I183" i="26"/>
  <c r="F183" i="26"/>
  <c r="D183" i="26"/>
  <c r="C183" i="26"/>
  <c r="B183" i="26"/>
  <c r="I182" i="26"/>
  <c r="J182" i="26" s="1"/>
  <c r="F182" i="26"/>
  <c r="D182" i="26"/>
  <c r="C182" i="26"/>
  <c r="B182" i="26"/>
  <c r="J181" i="26"/>
  <c r="I181" i="26"/>
  <c r="F181" i="26"/>
  <c r="D181" i="26"/>
  <c r="C181" i="26"/>
  <c r="B181" i="26"/>
  <c r="J180" i="26"/>
  <c r="I180" i="26"/>
  <c r="F180" i="26"/>
  <c r="D180" i="26"/>
  <c r="C180" i="26"/>
  <c r="B180" i="26"/>
  <c r="J179" i="26"/>
  <c r="I179" i="26"/>
  <c r="F179" i="26"/>
  <c r="D179" i="26"/>
  <c r="C179" i="26"/>
  <c r="B179" i="26"/>
  <c r="I178" i="26"/>
  <c r="J178" i="26" s="1"/>
  <c r="F178" i="26"/>
  <c r="D178" i="26"/>
  <c r="C178" i="26"/>
  <c r="B178" i="26"/>
  <c r="J177" i="26"/>
  <c r="I177" i="26"/>
  <c r="F177" i="26"/>
  <c r="D177" i="26"/>
  <c r="C177" i="26"/>
  <c r="B177" i="26"/>
  <c r="J176" i="26"/>
  <c r="I176" i="26"/>
  <c r="F176" i="26"/>
  <c r="D176" i="26"/>
  <c r="C176" i="26"/>
  <c r="B176" i="26"/>
  <c r="J175" i="26"/>
  <c r="I175" i="26"/>
  <c r="F175" i="26"/>
  <c r="D175" i="26"/>
  <c r="C175" i="26"/>
  <c r="B175" i="26"/>
  <c r="I174" i="26"/>
  <c r="J174" i="26" s="1"/>
  <c r="F174" i="26"/>
  <c r="D174" i="26"/>
  <c r="C174" i="26"/>
  <c r="B174" i="26"/>
  <c r="J173" i="26"/>
  <c r="I173" i="26"/>
  <c r="F173" i="26"/>
  <c r="D173" i="26"/>
  <c r="C173" i="26"/>
  <c r="B173" i="26"/>
  <c r="J172" i="26"/>
  <c r="I172" i="26"/>
  <c r="F172" i="26"/>
  <c r="D172" i="26"/>
  <c r="C172" i="26"/>
  <c r="B172" i="26"/>
  <c r="J171" i="26"/>
  <c r="I171" i="26"/>
  <c r="F171" i="26"/>
  <c r="D171" i="26"/>
  <c r="C171" i="26"/>
  <c r="B171" i="26"/>
  <c r="I170" i="26"/>
  <c r="J170" i="26" s="1"/>
  <c r="F170" i="26"/>
  <c r="D170" i="26"/>
  <c r="C170" i="26"/>
  <c r="B170" i="26"/>
  <c r="J169" i="26"/>
  <c r="I169" i="26"/>
  <c r="F169" i="26"/>
  <c r="D169" i="26"/>
  <c r="C169" i="26"/>
  <c r="B169" i="26"/>
  <c r="J168" i="26"/>
  <c r="I168" i="26"/>
  <c r="F168" i="26"/>
  <c r="D168" i="26"/>
  <c r="C168" i="26"/>
  <c r="B168" i="26"/>
  <c r="J167" i="26"/>
  <c r="I167" i="26"/>
  <c r="F167" i="26"/>
  <c r="D167" i="26"/>
  <c r="C167" i="26"/>
  <c r="B167" i="26"/>
  <c r="I166" i="26"/>
  <c r="J166" i="26" s="1"/>
  <c r="F166" i="26"/>
  <c r="D166" i="26"/>
  <c r="C166" i="26"/>
  <c r="B166" i="26"/>
  <c r="J165" i="26"/>
  <c r="I165" i="26"/>
  <c r="F165" i="26"/>
  <c r="D165" i="26"/>
  <c r="C165" i="26"/>
  <c r="B165" i="26"/>
  <c r="J164" i="26"/>
  <c r="I164" i="26"/>
  <c r="F164" i="26"/>
  <c r="D164" i="26"/>
  <c r="C164" i="26"/>
  <c r="B164" i="26"/>
  <c r="J163" i="26"/>
  <c r="I163" i="26"/>
  <c r="F163" i="26"/>
  <c r="D163" i="26"/>
  <c r="C163" i="26"/>
  <c r="B163" i="26"/>
  <c r="I162" i="26"/>
  <c r="J162" i="26" s="1"/>
  <c r="F162" i="26"/>
  <c r="D162" i="26"/>
  <c r="C162" i="26"/>
  <c r="B162" i="26"/>
  <c r="J161" i="26"/>
  <c r="I161" i="26"/>
  <c r="F161" i="26"/>
  <c r="D161" i="26"/>
  <c r="C161" i="26"/>
  <c r="B161" i="26"/>
  <c r="J160" i="26"/>
  <c r="I160" i="26"/>
  <c r="F160" i="26"/>
  <c r="D160" i="26"/>
  <c r="C160" i="26"/>
  <c r="B160" i="26"/>
  <c r="J159" i="26"/>
  <c r="I159" i="26"/>
  <c r="F159" i="26"/>
  <c r="D159" i="26"/>
  <c r="C159" i="26"/>
  <c r="B159" i="26"/>
  <c r="I158" i="26"/>
  <c r="J158" i="26" s="1"/>
  <c r="F158" i="26"/>
  <c r="D158" i="26"/>
  <c r="C158" i="26"/>
  <c r="B158" i="26"/>
  <c r="J157" i="26"/>
  <c r="I157" i="26"/>
  <c r="F157" i="26"/>
  <c r="D157" i="26"/>
  <c r="C157" i="26"/>
  <c r="B157" i="26"/>
  <c r="J156" i="26"/>
  <c r="I156" i="26"/>
  <c r="F156" i="26"/>
  <c r="D156" i="26"/>
  <c r="C156" i="26"/>
  <c r="B156" i="26"/>
  <c r="J155" i="26"/>
  <c r="I155" i="26"/>
  <c r="F155" i="26"/>
  <c r="D155" i="26"/>
  <c r="C155" i="26"/>
  <c r="B155" i="26"/>
  <c r="I154" i="26"/>
  <c r="J154" i="26" s="1"/>
  <c r="F154" i="26"/>
  <c r="D154" i="26"/>
  <c r="C154" i="26"/>
  <c r="B154" i="26"/>
  <c r="J153" i="26"/>
  <c r="I153" i="26"/>
  <c r="F153" i="26"/>
  <c r="D153" i="26"/>
  <c r="C153" i="26"/>
  <c r="B153" i="26"/>
  <c r="J152" i="26"/>
  <c r="I152" i="26"/>
  <c r="F152" i="26"/>
  <c r="D152" i="26"/>
  <c r="C152" i="26"/>
  <c r="B152" i="26"/>
  <c r="J151" i="26"/>
  <c r="I151" i="26"/>
  <c r="F151" i="26"/>
  <c r="D151" i="26"/>
  <c r="C151" i="26"/>
  <c r="B151" i="26"/>
  <c r="I150" i="26"/>
  <c r="J150" i="26" s="1"/>
  <c r="F150" i="26"/>
  <c r="D150" i="26"/>
  <c r="C150" i="26"/>
  <c r="B150" i="26"/>
  <c r="J149" i="26"/>
  <c r="I149" i="26"/>
  <c r="F149" i="26"/>
  <c r="D149" i="26"/>
  <c r="C149" i="26"/>
  <c r="B149" i="26"/>
  <c r="J148" i="26"/>
  <c r="I148" i="26"/>
  <c r="F148" i="26"/>
  <c r="D148" i="26"/>
  <c r="C148" i="26"/>
  <c r="B148" i="26"/>
  <c r="J147" i="26"/>
  <c r="I147" i="26"/>
  <c r="F147" i="26"/>
  <c r="D147" i="26"/>
  <c r="C147" i="26"/>
  <c r="B147" i="26"/>
  <c r="I146" i="26"/>
  <c r="J146" i="26" s="1"/>
  <c r="F146" i="26"/>
  <c r="D146" i="26"/>
  <c r="C146" i="26"/>
  <c r="B146" i="26"/>
  <c r="J145" i="26"/>
  <c r="I145" i="26"/>
  <c r="F145" i="26"/>
  <c r="D145" i="26"/>
  <c r="C145" i="26"/>
  <c r="B145" i="26"/>
  <c r="J144" i="26"/>
  <c r="I144" i="26"/>
  <c r="F144" i="26"/>
  <c r="D144" i="26"/>
  <c r="C144" i="26"/>
  <c r="B144" i="26"/>
  <c r="J143" i="26"/>
  <c r="I143" i="26"/>
  <c r="F143" i="26"/>
  <c r="D143" i="26"/>
  <c r="C143" i="26"/>
  <c r="B143" i="26"/>
  <c r="I142" i="26"/>
  <c r="J142" i="26" s="1"/>
  <c r="F142" i="26"/>
  <c r="D142" i="26"/>
  <c r="C142" i="26"/>
  <c r="B142" i="26"/>
  <c r="J141" i="26"/>
  <c r="I141" i="26"/>
  <c r="F141" i="26"/>
  <c r="D141" i="26"/>
  <c r="C141" i="26"/>
  <c r="B141" i="26"/>
  <c r="J140" i="26"/>
  <c r="I140" i="26"/>
  <c r="F140" i="26"/>
  <c r="D140" i="26"/>
  <c r="C140" i="26"/>
  <c r="B140" i="26"/>
  <c r="J139" i="26"/>
  <c r="I139" i="26"/>
  <c r="F139" i="26"/>
  <c r="D139" i="26"/>
  <c r="C139" i="26"/>
  <c r="B139" i="26"/>
  <c r="I138" i="26"/>
  <c r="J138" i="26" s="1"/>
  <c r="F138" i="26"/>
  <c r="D138" i="26"/>
  <c r="C138" i="26"/>
  <c r="B138" i="26"/>
  <c r="J137" i="26"/>
  <c r="I137" i="26"/>
  <c r="F137" i="26"/>
  <c r="D137" i="26"/>
  <c r="C137" i="26"/>
  <c r="B137" i="26"/>
  <c r="J136" i="26"/>
  <c r="I136" i="26"/>
  <c r="F136" i="26"/>
  <c r="D136" i="26"/>
  <c r="C136" i="26"/>
  <c r="B136" i="26"/>
  <c r="J135" i="26"/>
  <c r="I135" i="26"/>
  <c r="F135" i="26"/>
  <c r="D135" i="26"/>
  <c r="C135" i="26"/>
  <c r="B135" i="26"/>
  <c r="I134" i="26"/>
  <c r="J134" i="26" s="1"/>
  <c r="F134" i="26"/>
  <c r="D134" i="26"/>
  <c r="C134" i="26"/>
  <c r="B134" i="26"/>
  <c r="J133" i="26"/>
  <c r="I133" i="26"/>
  <c r="F133" i="26"/>
  <c r="D133" i="26"/>
  <c r="C133" i="26"/>
  <c r="B133" i="26"/>
  <c r="J132" i="26"/>
  <c r="I132" i="26"/>
  <c r="F132" i="26"/>
  <c r="D132" i="26"/>
  <c r="C132" i="26"/>
  <c r="B132" i="26"/>
  <c r="J131" i="26"/>
  <c r="I131" i="26"/>
  <c r="F131" i="26"/>
  <c r="D131" i="26"/>
  <c r="C131" i="26"/>
  <c r="B131" i="26"/>
  <c r="I130" i="26"/>
  <c r="J130" i="26" s="1"/>
  <c r="F130" i="26"/>
  <c r="D130" i="26"/>
  <c r="C130" i="26"/>
  <c r="B130" i="26"/>
  <c r="J129" i="26"/>
  <c r="I129" i="26"/>
  <c r="F129" i="26"/>
  <c r="D129" i="26"/>
  <c r="C129" i="26"/>
  <c r="B129" i="26"/>
  <c r="J128" i="26"/>
  <c r="I128" i="26"/>
  <c r="F128" i="26"/>
  <c r="D128" i="26"/>
  <c r="C128" i="26"/>
  <c r="B128" i="26"/>
  <c r="J127" i="26"/>
  <c r="I127" i="26"/>
  <c r="F127" i="26"/>
  <c r="D127" i="26"/>
  <c r="C127" i="26"/>
  <c r="B127" i="26"/>
  <c r="I126" i="26"/>
  <c r="J126" i="26" s="1"/>
  <c r="F126" i="26"/>
  <c r="D126" i="26"/>
  <c r="C126" i="26"/>
  <c r="B126" i="26"/>
  <c r="J125" i="26"/>
  <c r="I125" i="26"/>
  <c r="F125" i="26"/>
  <c r="D125" i="26"/>
  <c r="C125" i="26"/>
  <c r="B125" i="26"/>
  <c r="J124" i="26"/>
  <c r="I124" i="26"/>
  <c r="F124" i="26"/>
  <c r="D124" i="26"/>
  <c r="C124" i="26"/>
  <c r="B124" i="26"/>
  <c r="J123" i="26"/>
  <c r="I123" i="26"/>
  <c r="F123" i="26"/>
  <c r="D123" i="26"/>
  <c r="C123" i="26"/>
  <c r="B123" i="26"/>
  <c r="I122" i="26"/>
  <c r="J122" i="26" s="1"/>
  <c r="F122" i="26"/>
  <c r="D122" i="26"/>
  <c r="C122" i="26"/>
  <c r="B122" i="26"/>
  <c r="J121" i="26"/>
  <c r="I121" i="26"/>
  <c r="F121" i="26"/>
  <c r="D121" i="26"/>
  <c r="C121" i="26"/>
  <c r="B121" i="26"/>
  <c r="J120" i="26"/>
  <c r="I120" i="26"/>
  <c r="F120" i="26"/>
  <c r="D120" i="26"/>
  <c r="C120" i="26"/>
  <c r="B120" i="26"/>
  <c r="J119" i="26"/>
  <c r="I119" i="26"/>
  <c r="F119" i="26"/>
  <c r="D119" i="26"/>
  <c r="C119" i="26"/>
  <c r="B119" i="26"/>
  <c r="I118" i="26"/>
  <c r="J118" i="26" s="1"/>
  <c r="F118" i="26"/>
  <c r="D118" i="26"/>
  <c r="C118" i="26"/>
  <c r="B118" i="26"/>
  <c r="J117" i="26"/>
  <c r="I117" i="26"/>
  <c r="F117" i="26"/>
  <c r="D117" i="26"/>
  <c r="C117" i="26"/>
  <c r="B117" i="26"/>
  <c r="J116" i="26"/>
  <c r="I116" i="26"/>
  <c r="F116" i="26"/>
  <c r="D116" i="26"/>
  <c r="C116" i="26"/>
  <c r="B116" i="26"/>
  <c r="J115" i="26"/>
  <c r="I115" i="26"/>
  <c r="F115" i="26"/>
  <c r="D115" i="26"/>
  <c r="C115" i="26"/>
  <c r="B115" i="26"/>
  <c r="I114" i="26"/>
  <c r="J114" i="26" s="1"/>
  <c r="F114" i="26"/>
  <c r="D114" i="26"/>
  <c r="C114" i="26"/>
  <c r="B114" i="26"/>
  <c r="J113" i="26"/>
  <c r="I113" i="26"/>
  <c r="F113" i="26"/>
  <c r="D113" i="26"/>
  <c r="C113" i="26"/>
  <c r="B113" i="26"/>
  <c r="J112" i="26"/>
  <c r="I112" i="26"/>
  <c r="F112" i="26"/>
  <c r="D112" i="26"/>
  <c r="C112" i="26"/>
  <c r="B112" i="26"/>
  <c r="J111" i="26"/>
  <c r="I111" i="26"/>
  <c r="F111" i="26"/>
  <c r="D111" i="26"/>
  <c r="C111" i="26"/>
  <c r="B111" i="26"/>
  <c r="I110" i="26"/>
  <c r="J110" i="26" s="1"/>
  <c r="F110" i="26"/>
  <c r="D110" i="26"/>
  <c r="C110" i="26"/>
  <c r="B110" i="26"/>
  <c r="J109" i="26"/>
  <c r="I109" i="26"/>
  <c r="F109" i="26"/>
  <c r="D109" i="26"/>
  <c r="C109" i="26"/>
  <c r="B109" i="26"/>
  <c r="J108" i="26"/>
  <c r="I108" i="26"/>
  <c r="F108" i="26"/>
  <c r="D108" i="26"/>
  <c r="C108" i="26"/>
  <c r="B108" i="26"/>
  <c r="J107" i="26"/>
  <c r="I107" i="26"/>
  <c r="F107" i="26"/>
  <c r="D107" i="26"/>
  <c r="C107" i="26"/>
  <c r="B107" i="26"/>
  <c r="I106" i="26"/>
  <c r="J106" i="26" s="1"/>
  <c r="F106" i="26"/>
  <c r="D106" i="26"/>
  <c r="C106" i="26"/>
  <c r="B106" i="26"/>
  <c r="J105" i="26"/>
  <c r="I105" i="26"/>
  <c r="F105" i="26"/>
  <c r="D105" i="26"/>
  <c r="C105" i="26"/>
  <c r="B105" i="26"/>
  <c r="J104" i="26"/>
  <c r="I104" i="26"/>
  <c r="F104" i="26"/>
  <c r="D104" i="26"/>
  <c r="C104" i="26"/>
  <c r="B104" i="26"/>
  <c r="J103" i="26"/>
  <c r="I103" i="26"/>
  <c r="F103" i="26"/>
  <c r="D103" i="26"/>
  <c r="C103" i="26"/>
  <c r="B103" i="26"/>
  <c r="I102" i="26"/>
  <c r="J102" i="26" s="1"/>
  <c r="F102" i="26"/>
  <c r="D102" i="26"/>
  <c r="C102" i="26"/>
  <c r="B102" i="26"/>
  <c r="J101" i="26"/>
  <c r="I101" i="26"/>
  <c r="F101" i="26"/>
  <c r="D101" i="26"/>
  <c r="C101" i="26"/>
  <c r="B101" i="26"/>
  <c r="J100" i="26"/>
  <c r="I100" i="26"/>
  <c r="F100" i="26"/>
  <c r="D100" i="26"/>
  <c r="C100" i="26"/>
  <c r="B100" i="26"/>
  <c r="J99" i="26"/>
  <c r="I99" i="26"/>
  <c r="F99" i="26"/>
  <c r="D99" i="26"/>
  <c r="C99" i="26"/>
  <c r="B99" i="26"/>
  <c r="I98" i="26"/>
  <c r="J98" i="26" s="1"/>
  <c r="F98" i="26"/>
  <c r="D98" i="26"/>
  <c r="C98" i="26"/>
  <c r="B98" i="26"/>
  <c r="J97" i="26"/>
  <c r="I97" i="26"/>
  <c r="F97" i="26"/>
  <c r="D97" i="26"/>
  <c r="C97" i="26"/>
  <c r="B97" i="26"/>
  <c r="J96" i="26"/>
  <c r="I96" i="26"/>
  <c r="F96" i="26"/>
  <c r="D96" i="26"/>
  <c r="C96" i="26"/>
  <c r="B96" i="26"/>
  <c r="J95" i="26"/>
  <c r="I95" i="26"/>
  <c r="F95" i="26"/>
  <c r="D95" i="26"/>
  <c r="C95" i="26"/>
  <c r="B95" i="26"/>
  <c r="I94" i="26"/>
  <c r="J94" i="26" s="1"/>
  <c r="F94" i="26"/>
  <c r="D94" i="26"/>
  <c r="C94" i="26"/>
  <c r="B94" i="26"/>
  <c r="J93" i="26"/>
  <c r="I93" i="26"/>
  <c r="F93" i="26"/>
  <c r="D93" i="26"/>
  <c r="C93" i="26"/>
  <c r="B93" i="26"/>
  <c r="J92" i="26"/>
  <c r="I92" i="26"/>
  <c r="F92" i="26"/>
  <c r="D92" i="26"/>
  <c r="C92" i="26"/>
  <c r="B92" i="26"/>
  <c r="J91" i="26"/>
  <c r="I91" i="26"/>
  <c r="F91" i="26"/>
  <c r="D91" i="26"/>
  <c r="C91" i="26"/>
  <c r="B91" i="26"/>
  <c r="I90" i="26"/>
  <c r="J90" i="26" s="1"/>
  <c r="F90" i="26"/>
  <c r="D90" i="26"/>
  <c r="C90" i="26"/>
  <c r="B90" i="26"/>
  <c r="J89" i="26"/>
  <c r="I89" i="26"/>
  <c r="F89" i="26"/>
  <c r="D89" i="26"/>
  <c r="C89" i="26"/>
  <c r="B89" i="26"/>
  <c r="J88" i="26"/>
  <c r="I88" i="26"/>
  <c r="F88" i="26"/>
  <c r="D88" i="26"/>
  <c r="C88" i="26"/>
  <c r="B88" i="26"/>
  <c r="J87" i="26"/>
  <c r="I87" i="26"/>
  <c r="F87" i="26"/>
  <c r="D87" i="26"/>
  <c r="C87" i="26"/>
  <c r="B87" i="26"/>
  <c r="I86" i="26"/>
  <c r="J86" i="26" s="1"/>
  <c r="F86" i="26"/>
  <c r="D86" i="26"/>
  <c r="C86" i="26"/>
  <c r="B86" i="26"/>
  <c r="J85" i="26"/>
  <c r="I85" i="26"/>
  <c r="F85" i="26"/>
  <c r="D85" i="26"/>
  <c r="C85" i="26"/>
  <c r="B85" i="26"/>
  <c r="J84" i="26"/>
  <c r="I84" i="26"/>
  <c r="F84" i="26"/>
  <c r="D84" i="26"/>
  <c r="C84" i="26"/>
  <c r="B84" i="26"/>
  <c r="J83" i="26"/>
  <c r="I83" i="26"/>
  <c r="F83" i="26"/>
  <c r="D83" i="26"/>
  <c r="C83" i="26"/>
  <c r="B83" i="26"/>
  <c r="I82" i="26"/>
  <c r="J82" i="26" s="1"/>
  <c r="F82" i="26"/>
  <c r="D82" i="26"/>
  <c r="C82" i="26"/>
  <c r="B82" i="26"/>
  <c r="J81" i="26"/>
  <c r="I81" i="26"/>
  <c r="F81" i="26"/>
  <c r="D81" i="26"/>
  <c r="C81" i="26"/>
  <c r="B81" i="26"/>
  <c r="J80" i="26"/>
  <c r="I80" i="26"/>
  <c r="F80" i="26"/>
  <c r="D80" i="26"/>
  <c r="C80" i="26"/>
  <c r="B80" i="26"/>
  <c r="J79" i="26"/>
  <c r="I79" i="26"/>
  <c r="F79" i="26"/>
  <c r="D79" i="26"/>
  <c r="C79" i="26"/>
  <c r="B79" i="26"/>
  <c r="I78" i="26"/>
  <c r="J78" i="26" s="1"/>
  <c r="F78" i="26"/>
  <c r="D78" i="26"/>
  <c r="C78" i="26"/>
  <c r="B78" i="26"/>
  <c r="J77" i="26"/>
  <c r="I77" i="26"/>
  <c r="F77" i="26"/>
  <c r="D77" i="26"/>
  <c r="C77" i="26"/>
  <c r="B77" i="26"/>
  <c r="J76" i="26"/>
  <c r="I76" i="26"/>
  <c r="F76" i="26"/>
  <c r="D76" i="26"/>
  <c r="C76" i="26"/>
  <c r="B76" i="26"/>
  <c r="J75" i="26"/>
  <c r="I75" i="26"/>
  <c r="F75" i="26"/>
  <c r="D75" i="26"/>
  <c r="C75" i="26"/>
  <c r="B75" i="26"/>
  <c r="I74" i="26"/>
  <c r="J74" i="26" s="1"/>
  <c r="F74" i="26"/>
  <c r="D74" i="26"/>
  <c r="C74" i="26"/>
  <c r="B74" i="26"/>
  <c r="J73" i="26"/>
  <c r="I73" i="26"/>
  <c r="F73" i="26"/>
  <c r="D73" i="26"/>
  <c r="C73" i="26"/>
  <c r="B73" i="26"/>
  <c r="J72" i="26"/>
  <c r="I72" i="26"/>
  <c r="F72" i="26"/>
  <c r="D72" i="26"/>
  <c r="C72" i="26"/>
  <c r="B72" i="26"/>
  <c r="J71" i="26"/>
  <c r="I71" i="26"/>
  <c r="F71" i="26"/>
  <c r="D71" i="26"/>
  <c r="C71" i="26"/>
  <c r="B71" i="26"/>
  <c r="I70" i="26"/>
  <c r="J70" i="26" s="1"/>
  <c r="F70" i="26"/>
  <c r="D70" i="26"/>
  <c r="C70" i="26"/>
  <c r="B70" i="26"/>
  <c r="J69" i="26"/>
  <c r="I69" i="26"/>
  <c r="F69" i="26"/>
  <c r="D69" i="26"/>
  <c r="C69" i="26"/>
  <c r="B69" i="26"/>
  <c r="J68" i="26"/>
  <c r="I68" i="26"/>
  <c r="F68" i="26"/>
  <c r="D68" i="26"/>
  <c r="C68" i="26"/>
  <c r="B68" i="26"/>
  <c r="J67" i="26"/>
  <c r="I67" i="26"/>
  <c r="F67" i="26"/>
  <c r="D67" i="26"/>
  <c r="C67" i="26"/>
  <c r="B67" i="26"/>
  <c r="I66" i="26"/>
  <c r="J66" i="26" s="1"/>
  <c r="F66" i="26"/>
  <c r="D66" i="26"/>
  <c r="C66" i="26"/>
  <c r="B66" i="26"/>
  <c r="J65" i="26"/>
  <c r="I65" i="26"/>
  <c r="F65" i="26"/>
  <c r="D65" i="26"/>
  <c r="C65" i="26"/>
  <c r="B65" i="26"/>
  <c r="J64" i="26"/>
  <c r="I64" i="26"/>
  <c r="F64" i="26"/>
  <c r="D64" i="26"/>
  <c r="C64" i="26"/>
  <c r="B64" i="26"/>
  <c r="J63" i="26"/>
  <c r="I63" i="26"/>
  <c r="F63" i="26"/>
  <c r="D63" i="26"/>
  <c r="C63" i="26"/>
  <c r="B63" i="26"/>
  <c r="I62" i="26"/>
  <c r="J62" i="26" s="1"/>
  <c r="F62" i="26"/>
  <c r="D62" i="26"/>
  <c r="C62" i="26"/>
  <c r="B62" i="26"/>
  <c r="J61" i="26"/>
  <c r="I61" i="26"/>
  <c r="F61" i="26"/>
  <c r="D61" i="26"/>
  <c r="C61" i="26"/>
  <c r="B61" i="26"/>
  <c r="J60" i="26"/>
  <c r="I60" i="26"/>
  <c r="F60" i="26"/>
  <c r="D60" i="26"/>
  <c r="C60" i="26"/>
  <c r="B60" i="26"/>
  <c r="J59" i="26"/>
  <c r="I59" i="26"/>
  <c r="F59" i="26"/>
  <c r="D59" i="26"/>
  <c r="C59" i="26"/>
  <c r="B59" i="26"/>
  <c r="I58" i="26"/>
  <c r="J58" i="26" s="1"/>
  <c r="F58" i="26"/>
  <c r="D58" i="26"/>
  <c r="C58" i="26"/>
  <c r="B58" i="26"/>
  <c r="J57" i="26"/>
  <c r="I57" i="26"/>
  <c r="F57" i="26"/>
  <c r="D57" i="26"/>
  <c r="C57" i="26"/>
  <c r="B57" i="26"/>
  <c r="J56" i="26"/>
  <c r="I56" i="26"/>
  <c r="F56" i="26"/>
  <c r="D56" i="26"/>
  <c r="C56" i="26"/>
  <c r="B56" i="26"/>
  <c r="J55" i="26"/>
  <c r="I55" i="26"/>
  <c r="F55" i="26"/>
  <c r="D55" i="26"/>
  <c r="C55" i="26"/>
  <c r="B55" i="26"/>
  <c r="I54" i="26"/>
  <c r="J54" i="26" s="1"/>
  <c r="F54" i="26"/>
  <c r="D54" i="26"/>
  <c r="C54" i="26"/>
  <c r="B54" i="26"/>
  <c r="J53" i="26"/>
  <c r="I53" i="26"/>
  <c r="F53" i="26"/>
  <c r="D53" i="26"/>
  <c r="C53" i="26"/>
  <c r="B53" i="26"/>
  <c r="J52" i="26"/>
  <c r="I52" i="26"/>
  <c r="F52" i="26"/>
  <c r="D52" i="26"/>
  <c r="C52" i="26"/>
  <c r="B52" i="26"/>
  <c r="J51" i="26"/>
  <c r="I51" i="26"/>
  <c r="F51" i="26"/>
  <c r="D51" i="26"/>
  <c r="C51" i="26"/>
  <c r="B51" i="26"/>
  <c r="I50" i="26"/>
  <c r="J50" i="26" s="1"/>
  <c r="F50" i="26"/>
  <c r="D50" i="26"/>
  <c r="C50" i="26"/>
  <c r="B50" i="26"/>
  <c r="J49" i="26"/>
  <c r="I49" i="26"/>
  <c r="F49" i="26"/>
  <c r="D49" i="26"/>
  <c r="C49" i="26"/>
  <c r="B49" i="26"/>
  <c r="J48" i="26"/>
  <c r="I48" i="26"/>
  <c r="F48" i="26"/>
  <c r="D48" i="26"/>
  <c r="C48" i="26"/>
  <c r="B48" i="26"/>
  <c r="J47" i="26"/>
  <c r="I47" i="26"/>
  <c r="F47" i="26"/>
  <c r="D47" i="26"/>
  <c r="C47" i="26"/>
  <c r="B47" i="26"/>
  <c r="I46" i="26"/>
  <c r="J46" i="26" s="1"/>
  <c r="F46" i="26"/>
  <c r="D46" i="26"/>
  <c r="C46" i="26"/>
  <c r="B46" i="26"/>
  <c r="J45" i="26"/>
  <c r="I45" i="26"/>
  <c r="F45" i="26"/>
  <c r="D45" i="26"/>
  <c r="C45" i="26"/>
  <c r="B45" i="26"/>
  <c r="J44" i="26"/>
  <c r="I44" i="26"/>
  <c r="F44" i="26"/>
  <c r="D44" i="26"/>
  <c r="C44" i="26"/>
  <c r="B44" i="26"/>
  <c r="J43" i="26"/>
  <c r="I43" i="26"/>
  <c r="F43" i="26"/>
  <c r="D43" i="26"/>
  <c r="C43" i="26"/>
  <c r="B43" i="26"/>
  <c r="I42" i="26"/>
  <c r="J42" i="26" s="1"/>
  <c r="F42" i="26"/>
  <c r="D42" i="26"/>
  <c r="C42" i="26"/>
  <c r="B42" i="26"/>
  <c r="J41" i="26"/>
  <c r="I41" i="26"/>
  <c r="F41" i="26"/>
  <c r="D41" i="26"/>
  <c r="C41" i="26"/>
  <c r="B41" i="26"/>
  <c r="J40" i="26"/>
  <c r="I40" i="26"/>
  <c r="F40" i="26"/>
  <c r="D40" i="26"/>
  <c r="C40" i="26"/>
  <c r="B40" i="26"/>
  <c r="J39" i="26"/>
  <c r="I39" i="26"/>
  <c r="F39" i="26"/>
  <c r="D39" i="26"/>
  <c r="C39" i="26"/>
  <c r="B39" i="26"/>
  <c r="I38" i="26"/>
  <c r="J38" i="26" s="1"/>
  <c r="F38" i="26"/>
  <c r="D38" i="26"/>
  <c r="C38" i="26"/>
  <c r="B38" i="26"/>
  <c r="J37" i="26"/>
  <c r="I37" i="26"/>
  <c r="F37" i="26"/>
  <c r="D37" i="26"/>
  <c r="C37" i="26"/>
  <c r="B37" i="26"/>
  <c r="J36" i="26"/>
  <c r="I36" i="26"/>
  <c r="F36" i="26"/>
  <c r="D36" i="26"/>
  <c r="C36" i="26"/>
  <c r="B36" i="26"/>
  <c r="J35" i="26"/>
  <c r="I35" i="26"/>
  <c r="F35" i="26"/>
  <c r="D35" i="26"/>
  <c r="C35" i="26"/>
  <c r="B35" i="26"/>
  <c r="I34" i="26"/>
  <c r="J34" i="26" s="1"/>
  <c r="F34" i="26"/>
  <c r="D34" i="26"/>
  <c r="C34" i="26"/>
  <c r="B34" i="26"/>
  <c r="J33" i="26"/>
  <c r="I33" i="26"/>
  <c r="F33" i="26"/>
  <c r="D33" i="26"/>
  <c r="C33" i="26"/>
  <c r="B33" i="26"/>
  <c r="J32" i="26"/>
  <c r="I32" i="26"/>
  <c r="F32" i="26"/>
  <c r="D32" i="26"/>
  <c r="C32" i="26"/>
  <c r="B32" i="26"/>
  <c r="J31" i="26"/>
  <c r="I31" i="26"/>
  <c r="F31" i="26"/>
  <c r="D31" i="26"/>
  <c r="C31" i="26"/>
  <c r="B31" i="26"/>
  <c r="I30" i="26"/>
  <c r="J30" i="26" s="1"/>
  <c r="F30" i="26"/>
  <c r="D30" i="26"/>
  <c r="C30" i="26"/>
  <c r="B30" i="26"/>
  <c r="J29" i="26"/>
  <c r="I29" i="26"/>
  <c r="F29" i="26"/>
  <c r="D29" i="26"/>
  <c r="C29" i="26"/>
  <c r="B29" i="26"/>
  <c r="J28" i="26"/>
  <c r="I28" i="26"/>
  <c r="F28" i="26"/>
  <c r="D28" i="26"/>
  <c r="C28" i="26"/>
  <c r="B28" i="26"/>
  <c r="J27" i="26"/>
  <c r="I27" i="26"/>
  <c r="F27" i="26"/>
  <c r="D27" i="26"/>
  <c r="C27" i="26"/>
  <c r="B27" i="26"/>
  <c r="I26" i="26"/>
  <c r="J26" i="26" s="1"/>
  <c r="F26" i="26"/>
  <c r="D26" i="26"/>
  <c r="C26" i="26"/>
  <c r="B26" i="26"/>
  <c r="J25" i="26"/>
  <c r="I25" i="26"/>
  <c r="F25" i="26"/>
  <c r="D25" i="26"/>
  <c r="C25" i="26"/>
  <c r="B25" i="26"/>
  <c r="J24" i="26"/>
  <c r="I24" i="26"/>
  <c r="F24" i="26"/>
  <c r="D24" i="26"/>
  <c r="C24" i="26"/>
  <c r="B24" i="26"/>
  <c r="J23" i="26"/>
  <c r="I23" i="26"/>
  <c r="F23" i="26"/>
  <c r="D23" i="26"/>
  <c r="C23" i="26"/>
  <c r="B23" i="26"/>
  <c r="I22" i="26"/>
  <c r="J22" i="26" s="1"/>
  <c r="F22" i="26"/>
  <c r="D22" i="26"/>
  <c r="C22" i="26"/>
  <c r="B22" i="26"/>
  <c r="J21" i="26"/>
  <c r="I21" i="26"/>
  <c r="F21" i="26"/>
  <c r="D21" i="26"/>
  <c r="C21" i="26"/>
  <c r="B21" i="26"/>
  <c r="J20" i="26"/>
  <c r="I20" i="26"/>
  <c r="F20" i="26"/>
  <c r="D20" i="26"/>
  <c r="C20" i="26"/>
  <c r="B20" i="26"/>
  <c r="J19" i="26"/>
  <c r="I19" i="26"/>
  <c r="F19" i="26"/>
  <c r="D19" i="26"/>
  <c r="C19" i="26"/>
  <c r="B19" i="26"/>
  <c r="I18" i="26"/>
  <c r="J18" i="26" s="1"/>
  <c r="F18" i="26"/>
  <c r="D18" i="26"/>
  <c r="C18" i="26"/>
  <c r="B18" i="26"/>
  <c r="J17" i="26"/>
  <c r="I17" i="26"/>
  <c r="F17" i="26"/>
  <c r="D17" i="26"/>
  <c r="C17" i="26"/>
  <c r="B17" i="26"/>
  <c r="J16" i="26"/>
  <c r="I16" i="26"/>
  <c r="F16" i="26"/>
  <c r="D16" i="26"/>
  <c r="C16" i="26"/>
  <c r="B16" i="26"/>
  <c r="J15" i="26"/>
  <c r="I15" i="26"/>
  <c r="F15" i="26"/>
  <c r="D15" i="26"/>
  <c r="C15" i="26"/>
  <c r="B15" i="26"/>
  <c r="I14" i="26"/>
  <c r="J14" i="26" s="1"/>
  <c r="F14" i="26"/>
  <c r="D14" i="26"/>
  <c r="C14" i="26"/>
  <c r="B14" i="26"/>
  <c r="J13" i="26"/>
  <c r="I13" i="26"/>
  <c r="F13" i="26"/>
  <c r="D13" i="26"/>
  <c r="C13" i="26"/>
  <c r="B13" i="26"/>
  <c r="J12" i="26"/>
  <c r="I12" i="26"/>
  <c r="F12" i="26"/>
  <c r="D12" i="26"/>
  <c r="C12" i="26"/>
  <c r="B12" i="26"/>
  <c r="J11" i="26"/>
  <c r="I11" i="26"/>
  <c r="F11" i="26"/>
  <c r="D11" i="26"/>
  <c r="C11" i="26"/>
  <c r="B11" i="26"/>
  <c r="I10" i="26"/>
  <c r="J10" i="26" s="1"/>
  <c r="F10" i="26"/>
  <c r="D10" i="26"/>
  <c r="C10" i="26"/>
  <c r="B10" i="26"/>
  <c r="J9" i="26"/>
  <c r="I9" i="26"/>
  <c r="F9" i="26"/>
  <c r="D9" i="26"/>
  <c r="C9" i="26"/>
  <c r="B9" i="26"/>
  <c r="G4" i="26"/>
  <c r="K213" i="25"/>
  <c r="I213" i="25"/>
  <c r="J213" i="25" s="1"/>
  <c r="D213" i="25"/>
  <c r="C213" i="25"/>
  <c r="A213" i="25"/>
  <c r="K212" i="25"/>
  <c r="J212" i="25"/>
  <c r="I212" i="25"/>
  <c r="D212" i="25"/>
  <c r="C212" i="25"/>
  <c r="A212" i="25"/>
  <c r="K211" i="25"/>
  <c r="J211" i="25"/>
  <c r="I211" i="25"/>
  <c r="D211" i="25"/>
  <c r="C211" i="25"/>
  <c r="A211" i="25"/>
  <c r="K210" i="25"/>
  <c r="J210" i="25"/>
  <c r="I210" i="25"/>
  <c r="D210" i="25"/>
  <c r="C210" i="25"/>
  <c r="A210" i="25"/>
  <c r="K209" i="25"/>
  <c r="I209" i="25"/>
  <c r="J209" i="25" s="1"/>
  <c r="D209" i="25"/>
  <c r="C209" i="25"/>
  <c r="A209" i="25"/>
  <c r="K208" i="25"/>
  <c r="J208" i="25"/>
  <c r="I208" i="25"/>
  <c r="D208" i="25"/>
  <c r="C208" i="25"/>
  <c r="A208" i="25"/>
  <c r="K207" i="25"/>
  <c r="J207" i="25"/>
  <c r="I207" i="25"/>
  <c r="D207" i="25"/>
  <c r="C207" i="25"/>
  <c r="A207" i="25"/>
  <c r="K206" i="25"/>
  <c r="J206" i="25"/>
  <c r="I206" i="25"/>
  <c r="D206" i="25"/>
  <c r="C206" i="25"/>
  <c r="A206" i="25"/>
  <c r="K205" i="25"/>
  <c r="I205" i="25"/>
  <c r="J205" i="25" s="1"/>
  <c r="D205" i="25"/>
  <c r="C205" i="25"/>
  <c r="A205" i="25"/>
  <c r="K204" i="25"/>
  <c r="J204" i="25"/>
  <c r="I204" i="25"/>
  <c r="D204" i="25"/>
  <c r="C204" i="25"/>
  <c r="A204" i="25"/>
  <c r="K203" i="25"/>
  <c r="J203" i="25"/>
  <c r="I203" i="25"/>
  <c r="D203" i="25"/>
  <c r="C203" i="25"/>
  <c r="A203" i="25"/>
  <c r="K202" i="25"/>
  <c r="J202" i="25"/>
  <c r="I202" i="25"/>
  <c r="D202" i="25"/>
  <c r="C202" i="25"/>
  <c r="A202" i="25"/>
  <c r="K201" i="25"/>
  <c r="I201" i="25"/>
  <c r="J201" i="25" s="1"/>
  <c r="D201" i="25"/>
  <c r="C201" i="25"/>
  <c r="A201" i="25"/>
  <c r="K200" i="25"/>
  <c r="J200" i="25"/>
  <c r="I200" i="25"/>
  <c r="D200" i="25"/>
  <c r="C200" i="25"/>
  <c r="A200" i="25"/>
  <c r="K199" i="25"/>
  <c r="J199" i="25"/>
  <c r="I199" i="25"/>
  <c r="D199" i="25"/>
  <c r="C199" i="25"/>
  <c r="A199" i="25"/>
  <c r="K198" i="25"/>
  <c r="J198" i="25"/>
  <c r="I198" i="25"/>
  <c r="D198" i="25"/>
  <c r="C198" i="25"/>
  <c r="A198" i="25"/>
  <c r="K197" i="25"/>
  <c r="I197" i="25"/>
  <c r="J197" i="25" s="1"/>
  <c r="D197" i="25"/>
  <c r="C197" i="25"/>
  <c r="A197" i="25"/>
  <c r="K196" i="25"/>
  <c r="J196" i="25"/>
  <c r="I196" i="25"/>
  <c r="D196" i="25"/>
  <c r="C196" i="25"/>
  <c r="A196" i="25"/>
  <c r="K195" i="25"/>
  <c r="J195" i="25"/>
  <c r="I195" i="25"/>
  <c r="D195" i="25"/>
  <c r="C195" i="25"/>
  <c r="A195" i="25"/>
  <c r="K194" i="25"/>
  <c r="J194" i="25"/>
  <c r="I194" i="25"/>
  <c r="D194" i="25"/>
  <c r="C194" i="25"/>
  <c r="A194" i="25"/>
  <c r="K193" i="25"/>
  <c r="I193" i="25"/>
  <c r="J193" i="25" s="1"/>
  <c r="D193" i="25"/>
  <c r="C193" i="25"/>
  <c r="A193" i="25"/>
  <c r="K192" i="25"/>
  <c r="J192" i="25"/>
  <c r="I192" i="25"/>
  <c r="D192" i="25"/>
  <c r="C192" i="25"/>
  <c r="A192" i="25"/>
  <c r="K191" i="25"/>
  <c r="J191" i="25"/>
  <c r="I191" i="25"/>
  <c r="D191" i="25"/>
  <c r="C191" i="25"/>
  <c r="A191" i="25"/>
  <c r="K190" i="25"/>
  <c r="J190" i="25"/>
  <c r="I190" i="25"/>
  <c r="D190" i="25"/>
  <c r="C190" i="25"/>
  <c r="A190" i="25"/>
  <c r="K189" i="25"/>
  <c r="I189" i="25"/>
  <c r="J189" i="25" s="1"/>
  <c r="D189" i="25"/>
  <c r="C189" i="25"/>
  <c r="A189" i="25"/>
  <c r="K188" i="25"/>
  <c r="J188" i="25"/>
  <c r="I188" i="25"/>
  <c r="D188" i="25"/>
  <c r="C188" i="25"/>
  <c r="A188" i="25"/>
  <c r="K187" i="25"/>
  <c r="J187" i="25"/>
  <c r="I187" i="25"/>
  <c r="D187" i="25"/>
  <c r="C187" i="25"/>
  <c r="A187" i="25"/>
  <c r="K186" i="25"/>
  <c r="J186" i="25"/>
  <c r="I186" i="25"/>
  <c r="D186" i="25"/>
  <c r="C186" i="25"/>
  <c r="A186" i="25"/>
  <c r="K185" i="25"/>
  <c r="I185" i="25"/>
  <c r="J185" i="25" s="1"/>
  <c r="D185" i="25"/>
  <c r="C185" i="25"/>
  <c r="A185" i="25"/>
  <c r="K184" i="25"/>
  <c r="J184" i="25"/>
  <c r="I184" i="25"/>
  <c r="D184" i="25"/>
  <c r="C184" i="25"/>
  <c r="A184" i="25"/>
  <c r="K183" i="25"/>
  <c r="J183" i="25"/>
  <c r="I183" i="25"/>
  <c r="D183" i="25"/>
  <c r="C183" i="25"/>
  <c r="A183" i="25"/>
  <c r="K182" i="25"/>
  <c r="J182" i="25"/>
  <c r="I182" i="25"/>
  <c r="D182" i="25"/>
  <c r="C182" i="25"/>
  <c r="A182" i="25"/>
  <c r="K181" i="25"/>
  <c r="I181" i="25"/>
  <c r="J181" i="25" s="1"/>
  <c r="D181" i="25"/>
  <c r="C181" i="25"/>
  <c r="A181" i="25"/>
  <c r="K180" i="25"/>
  <c r="J180" i="25"/>
  <c r="I180" i="25"/>
  <c r="D180" i="25"/>
  <c r="C180" i="25"/>
  <c r="A180" i="25"/>
  <c r="K179" i="25"/>
  <c r="J179" i="25"/>
  <c r="I179" i="25"/>
  <c r="D179" i="25"/>
  <c r="C179" i="25"/>
  <c r="A179" i="25"/>
  <c r="K178" i="25"/>
  <c r="J178" i="25"/>
  <c r="I178" i="25"/>
  <c r="D178" i="25"/>
  <c r="C178" i="25"/>
  <c r="A178" i="25"/>
  <c r="K177" i="25"/>
  <c r="I177" i="25"/>
  <c r="J177" i="25" s="1"/>
  <c r="D177" i="25"/>
  <c r="C177" i="25"/>
  <c r="A177" i="25"/>
  <c r="K176" i="25"/>
  <c r="J176" i="25"/>
  <c r="I176" i="25"/>
  <c r="D176" i="25"/>
  <c r="C176" i="25"/>
  <c r="A176" i="25"/>
  <c r="K175" i="25"/>
  <c r="J175" i="25"/>
  <c r="I175" i="25"/>
  <c r="D175" i="25"/>
  <c r="C175" i="25"/>
  <c r="A175" i="25"/>
  <c r="K174" i="25"/>
  <c r="J174" i="25"/>
  <c r="I174" i="25"/>
  <c r="D174" i="25"/>
  <c r="C174" i="25"/>
  <c r="A174" i="25"/>
  <c r="K173" i="25"/>
  <c r="I173" i="25"/>
  <c r="J173" i="25" s="1"/>
  <c r="D173" i="25"/>
  <c r="C173" i="25"/>
  <c r="A173" i="25"/>
  <c r="K172" i="25"/>
  <c r="J172" i="25"/>
  <c r="I172" i="25"/>
  <c r="D172" i="25"/>
  <c r="C172" i="25"/>
  <c r="A172" i="25"/>
  <c r="K171" i="25"/>
  <c r="J171" i="25"/>
  <c r="I171" i="25"/>
  <c r="D171" i="25"/>
  <c r="C171" i="25"/>
  <c r="A171" i="25"/>
  <c r="K170" i="25"/>
  <c r="J170" i="25"/>
  <c r="I170" i="25"/>
  <c r="D170" i="25"/>
  <c r="C170" i="25"/>
  <c r="A170" i="25"/>
  <c r="K169" i="25"/>
  <c r="I169" i="25"/>
  <c r="J169" i="25" s="1"/>
  <c r="D169" i="25"/>
  <c r="C169" i="25"/>
  <c r="A169" i="25"/>
  <c r="K168" i="25"/>
  <c r="J168" i="25"/>
  <c r="I168" i="25"/>
  <c r="D168" i="25"/>
  <c r="C168" i="25"/>
  <c r="A168" i="25"/>
  <c r="K167" i="25"/>
  <c r="J167" i="25"/>
  <c r="I167" i="25"/>
  <c r="D167" i="25"/>
  <c r="C167" i="25"/>
  <c r="A167" i="25"/>
  <c r="K166" i="25"/>
  <c r="J166" i="25"/>
  <c r="I166" i="25"/>
  <c r="D166" i="25"/>
  <c r="C166" i="25"/>
  <c r="A166" i="25"/>
  <c r="K165" i="25"/>
  <c r="I165" i="25"/>
  <c r="J165" i="25" s="1"/>
  <c r="D165" i="25"/>
  <c r="C165" i="25"/>
  <c r="A165" i="25"/>
  <c r="K164" i="25"/>
  <c r="J164" i="25"/>
  <c r="I164" i="25"/>
  <c r="D164" i="25"/>
  <c r="C164" i="25"/>
  <c r="A164" i="25"/>
  <c r="K163" i="25"/>
  <c r="J163" i="25"/>
  <c r="I163" i="25"/>
  <c r="D163" i="25"/>
  <c r="C163" i="25"/>
  <c r="A163" i="25"/>
  <c r="K162" i="25"/>
  <c r="J162" i="25"/>
  <c r="I162" i="25"/>
  <c r="D162" i="25"/>
  <c r="C162" i="25"/>
  <c r="A162" i="25"/>
  <c r="K161" i="25"/>
  <c r="I161" i="25"/>
  <c r="J161" i="25" s="1"/>
  <c r="D161" i="25"/>
  <c r="C161" i="25"/>
  <c r="A161" i="25"/>
  <c r="K160" i="25"/>
  <c r="J160" i="25"/>
  <c r="I160" i="25"/>
  <c r="D160" i="25"/>
  <c r="C160" i="25"/>
  <c r="A160" i="25"/>
  <c r="K159" i="25"/>
  <c r="J159" i="25"/>
  <c r="I159" i="25"/>
  <c r="D159" i="25"/>
  <c r="C159" i="25"/>
  <c r="A159" i="25"/>
  <c r="K158" i="25"/>
  <c r="J158" i="25"/>
  <c r="I158" i="25"/>
  <c r="D158" i="25"/>
  <c r="C158" i="25"/>
  <c r="A158" i="25"/>
  <c r="K157" i="25"/>
  <c r="I157" i="25"/>
  <c r="J157" i="25" s="1"/>
  <c r="D157" i="25"/>
  <c r="C157" i="25"/>
  <c r="A157" i="25"/>
  <c r="K156" i="25"/>
  <c r="J156" i="25"/>
  <c r="I156" i="25"/>
  <c r="D156" i="25"/>
  <c r="C156" i="25"/>
  <c r="A156" i="25"/>
  <c r="K155" i="25"/>
  <c r="J155" i="25"/>
  <c r="I155" i="25"/>
  <c r="D155" i="25"/>
  <c r="C155" i="25"/>
  <c r="A155" i="25"/>
  <c r="K154" i="25"/>
  <c r="J154" i="25"/>
  <c r="I154" i="25"/>
  <c r="D154" i="25"/>
  <c r="C154" i="25"/>
  <c r="A154" i="25"/>
  <c r="K153" i="25"/>
  <c r="I153" i="25"/>
  <c r="J153" i="25" s="1"/>
  <c r="D153" i="25"/>
  <c r="C153" i="25"/>
  <c r="A153" i="25"/>
  <c r="K152" i="25"/>
  <c r="J152" i="25"/>
  <c r="I152" i="25"/>
  <c r="D152" i="25"/>
  <c r="C152" i="25"/>
  <c r="A152" i="25"/>
  <c r="K151" i="25"/>
  <c r="J151" i="25"/>
  <c r="I151" i="25"/>
  <c r="D151" i="25"/>
  <c r="C151" i="25"/>
  <c r="A151" i="25"/>
  <c r="K150" i="25"/>
  <c r="J150" i="25"/>
  <c r="I150" i="25"/>
  <c r="D150" i="25"/>
  <c r="C150" i="25"/>
  <c r="A150" i="25"/>
  <c r="K149" i="25"/>
  <c r="I149" i="25"/>
  <c r="J149" i="25" s="1"/>
  <c r="D149" i="25"/>
  <c r="C149" i="25"/>
  <c r="A149" i="25"/>
  <c r="K148" i="25"/>
  <c r="J148" i="25"/>
  <c r="I148" i="25"/>
  <c r="D148" i="25"/>
  <c r="C148" i="25"/>
  <c r="A148" i="25"/>
  <c r="K147" i="25"/>
  <c r="J147" i="25"/>
  <c r="I147" i="25"/>
  <c r="D147" i="25"/>
  <c r="C147" i="25"/>
  <c r="A147" i="25"/>
  <c r="K146" i="25"/>
  <c r="J146" i="25"/>
  <c r="I146" i="25"/>
  <c r="D146" i="25"/>
  <c r="C146" i="25"/>
  <c r="A146" i="25"/>
  <c r="K145" i="25"/>
  <c r="I145" i="25"/>
  <c r="J145" i="25" s="1"/>
  <c r="D145" i="25"/>
  <c r="C145" i="25"/>
  <c r="A145" i="25"/>
  <c r="K144" i="25"/>
  <c r="J144" i="25"/>
  <c r="I144" i="25"/>
  <c r="D144" i="25"/>
  <c r="C144" i="25"/>
  <c r="A144" i="25"/>
  <c r="K143" i="25"/>
  <c r="J143" i="25"/>
  <c r="I143" i="25"/>
  <c r="D143" i="25"/>
  <c r="C143" i="25"/>
  <c r="A143" i="25"/>
  <c r="K142" i="25"/>
  <c r="J142" i="25"/>
  <c r="I142" i="25"/>
  <c r="D142" i="25"/>
  <c r="C142" i="25"/>
  <c r="A142" i="25"/>
  <c r="K141" i="25"/>
  <c r="I141" i="25"/>
  <c r="J141" i="25" s="1"/>
  <c r="D141" i="25"/>
  <c r="C141" i="25"/>
  <c r="A141" i="25"/>
  <c r="K140" i="25"/>
  <c r="J140" i="25"/>
  <c r="I140" i="25"/>
  <c r="D140" i="25"/>
  <c r="C140" i="25"/>
  <c r="A140" i="25"/>
  <c r="K139" i="25"/>
  <c r="J139" i="25"/>
  <c r="I139" i="25"/>
  <c r="D139" i="25"/>
  <c r="C139" i="25"/>
  <c r="A139" i="25"/>
  <c r="K138" i="25"/>
  <c r="J138" i="25"/>
  <c r="I138" i="25"/>
  <c r="D138" i="25"/>
  <c r="C138" i="25"/>
  <c r="A138" i="25"/>
  <c r="K137" i="25"/>
  <c r="I137" i="25"/>
  <c r="J137" i="25" s="1"/>
  <c r="D137" i="25"/>
  <c r="C137" i="25"/>
  <c r="A137" i="25"/>
  <c r="K136" i="25"/>
  <c r="J136" i="25"/>
  <c r="I136" i="25"/>
  <c r="D136" i="25"/>
  <c r="C136" i="25"/>
  <c r="A136" i="25"/>
  <c r="K135" i="25"/>
  <c r="J135" i="25"/>
  <c r="I135" i="25"/>
  <c r="D135" i="25"/>
  <c r="C135" i="25"/>
  <c r="A135" i="25"/>
  <c r="K134" i="25"/>
  <c r="J134" i="25"/>
  <c r="I134" i="25"/>
  <c r="D134" i="25"/>
  <c r="C134" i="25"/>
  <c r="A134" i="25"/>
  <c r="K133" i="25"/>
  <c r="I133" i="25"/>
  <c r="J133" i="25" s="1"/>
  <c r="D133" i="25"/>
  <c r="C133" i="25"/>
  <c r="A133" i="25"/>
  <c r="K132" i="25"/>
  <c r="J132" i="25"/>
  <c r="I132" i="25"/>
  <c r="D132" i="25"/>
  <c r="C132" i="25"/>
  <c r="A132" i="25"/>
  <c r="K131" i="25"/>
  <c r="J131" i="25"/>
  <c r="I131" i="25"/>
  <c r="D131" i="25"/>
  <c r="C131" i="25"/>
  <c r="A131" i="25"/>
  <c r="K130" i="25"/>
  <c r="J130" i="25"/>
  <c r="I130" i="25"/>
  <c r="D130" i="25"/>
  <c r="C130" i="25"/>
  <c r="A130" i="25"/>
  <c r="K129" i="25"/>
  <c r="I129" i="25"/>
  <c r="J129" i="25" s="1"/>
  <c r="D129" i="25"/>
  <c r="C129" i="25"/>
  <c r="A129" i="25"/>
  <c r="K128" i="25"/>
  <c r="J128" i="25"/>
  <c r="I128" i="25"/>
  <c r="D128" i="25"/>
  <c r="C128" i="25"/>
  <c r="A128" i="25"/>
  <c r="K127" i="25"/>
  <c r="I127" i="25"/>
  <c r="J127" i="25" s="1"/>
  <c r="D127" i="25"/>
  <c r="C127" i="25"/>
  <c r="A127" i="25"/>
  <c r="K126" i="25"/>
  <c r="J126" i="25"/>
  <c r="I126" i="25"/>
  <c r="D126" i="25"/>
  <c r="C126" i="25"/>
  <c r="A126" i="25"/>
  <c r="K125" i="25"/>
  <c r="I125" i="25"/>
  <c r="J125" i="25" s="1"/>
  <c r="D125" i="25"/>
  <c r="C125" i="25"/>
  <c r="A125" i="25"/>
  <c r="K124" i="25"/>
  <c r="J124" i="25"/>
  <c r="I124" i="25"/>
  <c r="D124" i="25"/>
  <c r="C124" i="25"/>
  <c r="A124" i="25"/>
  <c r="K123" i="25"/>
  <c r="I123" i="25"/>
  <c r="J123" i="25" s="1"/>
  <c r="D123" i="25"/>
  <c r="C123" i="25"/>
  <c r="A123" i="25"/>
  <c r="K122" i="25"/>
  <c r="J122" i="25"/>
  <c r="I122" i="25"/>
  <c r="D122" i="25"/>
  <c r="C122" i="25"/>
  <c r="A122" i="25"/>
  <c r="K121" i="25"/>
  <c r="I121" i="25"/>
  <c r="J121" i="25" s="1"/>
  <c r="D121" i="25"/>
  <c r="C121" i="25"/>
  <c r="A121" i="25"/>
  <c r="K120" i="25"/>
  <c r="J120" i="25"/>
  <c r="I120" i="25"/>
  <c r="D120" i="25"/>
  <c r="C120" i="25"/>
  <c r="A120" i="25"/>
  <c r="K119" i="25"/>
  <c r="I119" i="25"/>
  <c r="J119" i="25" s="1"/>
  <c r="D119" i="25"/>
  <c r="C119" i="25"/>
  <c r="A119" i="25"/>
  <c r="K118" i="25"/>
  <c r="J118" i="25"/>
  <c r="I118" i="25"/>
  <c r="D118" i="25"/>
  <c r="C118" i="25"/>
  <c r="A118" i="25"/>
  <c r="K117" i="25"/>
  <c r="I117" i="25"/>
  <c r="J117" i="25" s="1"/>
  <c r="D117" i="25"/>
  <c r="C117" i="25"/>
  <c r="A117" i="25"/>
  <c r="K116" i="25"/>
  <c r="J116" i="25"/>
  <c r="I116" i="25"/>
  <c r="D116" i="25"/>
  <c r="C116" i="25"/>
  <c r="A116" i="25"/>
  <c r="K115" i="25"/>
  <c r="J115" i="25"/>
  <c r="I115" i="25"/>
  <c r="D115" i="25"/>
  <c r="C115" i="25"/>
  <c r="A115" i="25"/>
  <c r="K114" i="25"/>
  <c r="J114" i="25"/>
  <c r="I114" i="25"/>
  <c r="D114" i="25"/>
  <c r="C114" i="25"/>
  <c r="A114" i="25"/>
  <c r="K113" i="25"/>
  <c r="I113" i="25"/>
  <c r="J113" i="25" s="1"/>
  <c r="D113" i="25"/>
  <c r="C113" i="25"/>
  <c r="A113" i="25"/>
  <c r="K112" i="25"/>
  <c r="J112" i="25"/>
  <c r="I112" i="25"/>
  <c r="D112" i="25"/>
  <c r="C112" i="25"/>
  <c r="A112" i="25"/>
  <c r="K111" i="25"/>
  <c r="I111" i="25"/>
  <c r="J111" i="25" s="1"/>
  <c r="D111" i="25"/>
  <c r="C111" i="25"/>
  <c r="A111" i="25"/>
  <c r="K110" i="25"/>
  <c r="J110" i="25"/>
  <c r="I110" i="25"/>
  <c r="D110" i="25"/>
  <c r="C110" i="25"/>
  <c r="A110" i="25"/>
  <c r="K109" i="25"/>
  <c r="I109" i="25"/>
  <c r="J109" i="25" s="1"/>
  <c r="D109" i="25"/>
  <c r="C109" i="25"/>
  <c r="A109" i="25"/>
  <c r="K108" i="25"/>
  <c r="J108" i="25"/>
  <c r="I108" i="25"/>
  <c r="D108" i="25"/>
  <c r="C108" i="25"/>
  <c r="A108" i="25"/>
  <c r="K107" i="25"/>
  <c r="J107" i="25"/>
  <c r="I107" i="25"/>
  <c r="D107" i="25"/>
  <c r="C107" i="25"/>
  <c r="A107" i="25"/>
  <c r="K106" i="25"/>
  <c r="J106" i="25"/>
  <c r="I106" i="25"/>
  <c r="D106" i="25"/>
  <c r="C106" i="25"/>
  <c r="A106" i="25"/>
  <c r="K105" i="25"/>
  <c r="I105" i="25"/>
  <c r="J105" i="25" s="1"/>
  <c r="D105" i="25"/>
  <c r="C105" i="25"/>
  <c r="A105" i="25"/>
  <c r="K104" i="25"/>
  <c r="J104" i="25"/>
  <c r="I104" i="25"/>
  <c r="D104" i="25"/>
  <c r="C104" i="25"/>
  <c r="A104" i="25"/>
  <c r="K103" i="25"/>
  <c r="I103" i="25"/>
  <c r="J103" i="25" s="1"/>
  <c r="D103" i="25"/>
  <c r="C103" i="25"/>
  <c r="A103" i="25"/>
  <c r="K102" i="25"/>
  <c r="J102" i="25"/>
  <c r="I102" i="25"/>
  <c r="D102" i="25"/>
  <c r="C102" i="25"/>
  <c r="A102" i="25"/>
  <c r="K101" i="25"/>
  <c r="I101" i="25"/>
  <c r="J101" i="25" s="1"/>
  <c r="D101" i="25"/>
  <c r="C101" i="25"/>
  <c r="A101" i="25"/>
  <c r="K100" i="25"/>
  <c r="J100" i="25"/>
  <c r="I100" i="25"/>
  <c r="D100" i="25"/>
  <c r="C100" i="25"/>
  <c r="A100" i="25"/>
  <c r="K99" i="25"/>
  <c r="J99" i="25"/>
  <c r="I99" i="25"/>
  <c r="D99" i="25"/>
  <c r="C99" i="25"/>
  <c r="A99" i="25"/>
  <c r="K98" i="25"/>
  <c r="J98" i="25"/>
  <c r="I98" i="25"/>
  <c r="D98" i="25"/>
  <c r="C98" i="25"/>
  <c r="A98" i="25"/>
  <c r="K97" i="25"/>
  <c r="I97" i="25"/>
  <c r="J97" i="25" s="1"/>
  <c r="D97" i="25"/>
  <c r="C97" i="25"/>
  <c r="A97" i="25"/>
  <c r="K96" i="25"/>
  <c r="J96" i="25"/>
  <c r="I96" i="25"/>
  <c r="D96" i="25"/>
  <c r="C96" i="25"/>
  <c r="A96" i="25"/>
  <c r="K95" i="25"/>
  <c r="I95" i="25"/>
  <c r="J95" i="25" s="1"/>
  <c r="D95" i="25"/>
  <c r="C95" i="25"/>
  <c r="A95" i="25"/>
  <c r="K94" i="25"/>
  <c r="J94" i="25"/>
  <c r="I94" i="25"/>
  <c r="D94" i="25"/>
  <c r="C94" i="25"/>
  <c r="A94" i="25"/>
  <c r="K93" i="25"/>
  <c r="I93" i="25"/>
  <c r="J93" i="25" s="1"/>
  <c r="D93" i="25"/>
  <c r="C93" i="25"/>
  <c r="A93" i="25"/>
  <c r="K92" i="25"/>
  <c r="J92" i="25"/>
  <c r="I92" i="25"/>
  <c r="D92" i="25"/>
  <c r="C92" i="25"/>
  <c r="A92" i="25"/>
  <c r="K91" i="25"/>
  <c r="I91" i="25"/>
  <c r="J91" i="25" s="1"/>
  <c r="D91" i="25"/>
  <c r="C91" i="25"/>
  <c r="A91" i="25"/>
  <c r="K90" i="25"/>
  <c r="J90" i="25"/>
  <c r="I90" i="25"/>
  <c r="D90" i="25"/>
  <c r="C90" i="25"/>
  <c r="A90" i="25"/>
  <c r="K89" i="25"/>
  <c r="I89" i="25"/>
  <c r="J89" i="25" s="1"/>
  <c r="D89" i="25"/>
  <c r="C89" i="25"/>
  <c r="A89" i="25"/>
  <c r="K88" i="25"/>
  <c r="J88" i="25"/>
  <c r="I88" i="25"/>
  <c r="D88" i="25"/>
  <c r="C88" i="25"/>
  <c r="A88" i="25"/>
  <c r="K87" i="25"/>
  <c r="I87" i="25"/>
  <c r="J87" i="25" s="1"/>
  <c r="D87" i="25"/>
  <c r="C87" i="25"/>
  <c r="A87" i="25"/>
  <c r="K86" i="25"/>
  <c r="J86" i="25"/>
  <c r="I86" i="25"/>
  <c r="D86" i="25"/>
  <c r="C86" i="25"/>
  <c r="A86" i="25"/>
  <c r="K85" i="25"/>
  <c r="I85" i="25"/>
  <c r="J85" i="25" s="1"/>
  <c r="D85" i="25"/>
  <c r="C85" i="25"/>
  <c r="A85" i="25"/>
  <c r="K84" i="25"/>
  <c r="J84" i="25"/>
  <c r="I84" i="25"/>
  <c r="D84" i="25"/>
  <c r="C84" i="25"/>
  <c r="A84" i="25"/>
  <c r="K83" i="25"/>
  <c r="J83" i="25"/>
  <c r="I83" i="25"/>
  <c r="D83" i="25"/>
  <c r="C83" i="25"/>
  <c r="A83" i="25"/>
  <c r="K82" i="25"/>
  <c r="J82" i="25"/>
  <c r="I82" i="25"/>
  <c r="D82" i="25"/>
  <c r="C82" i="25"/>
  <c r="A82" i="25"/>
  <c r="K81" i="25"/>
  <c r="I81" i="25"/>
  <c r="J81" i="25" s="1"/>
  <c r="D81" i="25"/>
  <c r="C81" i="25"/>
  <c r="A81" i="25"/>
  <c r="K80" i="25"/>
  <c r="I80" i="25"/>
  <c r="J80" i="25" s="1"/>
  <c r="D80" i="25"/>
  <c r="C80" i="25"/>
  <c r="A80" i="25"/>
  <c r="K79" i="25"/>
  <c r="I79" i="25"/>
  <c r="J79" i="25" s="1"/>
  <c r="D79" i="25"/>
  <c r="C79" i="25"/>
  <c r="A79" i="25"/>
  <c r="K78" i="25"/>
  <c r="J78" i="25"/>
  <c r="I78" i="25"/>
  <c r="D78" i="25"/>
  <c r="C78" i="25"/>
  <c r="A78" i="25"/>
  <c r="K77" i="25"/>
  <c r="I77" i="25"/>
  <c r="J77" i="25" s="1"/>
  <c r="D77" i="25"/>
  <c r="C77" i="25"/>
  <c r="A77" i="25"/>
  <c r="K76" i="25"/>
  <c r="J76" i="25"/>
  <c r="I76" i="25"/>
  <c r="D76" i="25"/>
  <c r="C76" i="25"/>
  <c r="A76" i="25"/>
  <c r="K75" i="25"/>
  <c r="J75" i="25"/>
  <c r="I75" i="25"/>
  <c r="D75" i="25"/>
  <c r="C75" i="25"/>
  <c r="A75" i="25"/>
  <c r="K74" i="25"/>
  <c r="I74" i="25"/>
  <c r="J74" i="25" s="1"/>
  <c r="D74" i="25"/>
  <c r="C74" i="25"/>
  <c r="A74" i="25"/>
  <c r="K73" i="25"/>
  <c r="I73" i="25"/>
  <c r="J73" i="25" s="1"/>
  <c r="D73" i="25"/>
  <c r="C73" i="25"/>
  <c r="A73" i="25"/>
  <c r="K72" i="25"/>
  <c r="I72" i="25"/>
  <c r="J72" i="25" s="1"/>
  <c r="D72" i="25"/>
  <c r="C72" i="25"/>
  <c r="A72" i="25"/>
  <c r="K71" i="25"/>
  <c r="J71" i="25"/>
  <c r="I71" i="25"/>
  <c r="D71" i="25"/>
  <c r="C71" i="25"/>
  <c r="A71" i="25"/>
  <c r="K70" i="25"/>
  <c r="I70" i="25"/>
  <c r="J70" i="25" s="1"/>
  <c r="D70" i="25"/>
  <c r="C70" i="25"/>
  <c r="A70" i="25"/>
  <c r="K69" i="25"/>
  <c r="I69" i="25"/>
  <c r="J69" i="25" s="1"/>
  <c r="D69" i="25"/>
  <c r="C69" i="25"/>
  <c r="A69" i="25"/>
  <c r="K68" i="25"/>
  <c r="J68" i="25"/>
  <c r="I68" i="25"/>
  <c r="D68" i="25"/>
  <c r="C68" i="25"/>
  <c r="A68" i="25"/>
  <c r="K67" i="25"/>
  <c r="I67" i="25"/>
  <c r="J67" i="25" s="1"/>
  <c r="D67" i="25"/>
  <c r="C67" i="25"/>
  <c r="A67" i="25"/>
  <c r="K66" i="25"/>
  <c r="J66" i="25"/>
  <c r="I66" i="25"/>
  <c r="D66" i="25"/>
  <c r="C66" i="25"/>
  <c r="A66" i="25"/>
  <c r="K65" i="25"/>
  <c r="I65" i="25"/>
  <c r="J65" i="25" s="1"/>
  <c r="D65" i="25"/>
  <c r="C65" i="25"/>
  <c r="A65" i="25"/>
  <c r="K64" i="25"/>
  <c r="J64" i="25"/>
  <c r="I64" i="25"/>
  <c r="D64" i="25"/>
  <c r="C64" i="25"/>
  <c r="A64" i="25"/>
  <c r="K63" i="25"/>
  <c r="I63" i="25"/>
  <c r="J63" i="25" s="1"/>
  <c r="D63" i="25"/>
  <c r="C63" i="25"/>
  <c r="A63" i="25"/>
  <c r="K62" i="25"/>
  <c r="I62" i="25"/>
  <c r="J62" i="25" s="1"/>
  <c r="D62" i="25"/>
  <c r="C62" i="25"/>
  <c r="A62" i="25"/>
  <c r="K61" i="25"/>
  <c r="I61" i="25"/>
  <c r="J61" i="25" s="1"/>
  <c r="D61" i="25"/>
  <c r="C61" i="25"/>
  <c r="A61" i="25"/>
  <c r="K60" i="25"/>
  <c r="I60" i="25"/>
  <c r="J60" i="25" s="1"/>
  <c r="D60" i="25"/>
  <c r="C60" i="25"/>
  <c r="A60" i="25"/>
  <c r="K59" i="25"/>
  <c r="J59" i="25"/>
  <c r="I59" i="25"/>
  <c r="D59" i="25"/>
  <c r="C59" i="25"/>
  <c r="A59" i="25"/>
  <c r="K58" i="25"/>
  <c r="J58" i="25"/>
  <c r="I58" i="25"/>
  <c r="D58" i="25"/>
  <c r="C58" i="25"/>
  <c r="A58" i="25"/>
  <c r="K57" i="25"/>
  <c r="I57" i="25"/>
  <c r="J57" i="25" s="1"/>
  <c r="D57" i="25"/>
  <c r="C57" i="25"/>
  <c r="A57" i="25"/>
  <c r="K56" i="25"/>
  <c r="I56" i="25"/>
  <c r="J56" i="25" s="1"/>
  <c r="D56" i="25"/>
  <c r="C56" i="25"/>
  <c r="A56" i="25"/>
  <c r="K55" i="25"/>
  <c r="I55" i="25"/>
  <c r="J55" i="25" s="1"/>
  <c r="D55" i="25"/>
  <c r="C55" i="25"/>
  <c r="A55" i="25"/>
  <c r="K54" i="25"/>
  <c r="I54" i="25"/>
  <c r="J54" i="25" s="1"/>
  <c r="D54" i="25"/>
  <c r="C54" i="25"/>
  <c r="A54" i="25"/>
  <c r="K53" i="25"/>
  <c r="I53" i="25"/>
  <c r="J53" i="25" s="1"/>
  <c r="D53" i="25"/>
  <c r="C53" i="25"/>
  <c r="A53" i="25"/>
  <c r="K52" i="25"/>
  <c r="J52" i="25"/>
  <c r="I52" i="25"/>
  <c r="D52" i="25"/>
  <c r="C52" i="25"/>
  <c r="A52" i="25"/>
  <c r="K51" i="25"/>
  <c r="J51" i="25"/>
  <c r="I51" i="25"/>
  <c r="D51" i="25"/>
  <c r="C51" i="25"/>
  <c r="A51" i="25"/>
  <c r="K50" i="25"/>
  <c r="J50" i="25"/>
  <c r="I50" i="25"/>
  <c r="D50" i="25"/>
  <c r="C50" i="25"/>
  <c r="A50" i="25"/>
  <c r="K49" i="25"/>
  <c r="I49" i="25"/>
  <c r="J49" i="25" s="1"/>
  <c r="D49" i="25"/>
  <c r="C49" i="25"/>
  <c r="A49" i="25"/>
  <c r="K48" i="25"/>
  <c r="I48" i="25"/>
  <c r="J48" i="25" s="1"/>
  <c r="D48" i="25"/>
  <c r="C48" i="25"/>
  <c r="A48" i="25"/>
  <c r="K47" i="25"/>
  <c r="I47" i="25"/>
  <c r="J47" i="25" s="1"/>
  <c r="D47" i="25"/>
  <c r="C47" i="25"/>
  <c r="A47" i="25"/>
  <c r="K46" i="25"/>
  <c r="J46" i="25"/>
  <c r="I46" i="25"/>
  <c r="D46" i="25"/>
  <c r="C46" i="25"/>
  <c r="A46" i="25"/>
  <c r="K45" i="25"/>
  <c r="I45" i="25"/>
  <c r="J45" i="25" s="1"/>
  <c r="D45" i="25"/>
  <c r="C45" i="25"/>
  <c r="A45" i="25"/>
  <c r="K44" i="25"/>
  <c r="J44" i="25"/>
  <c r="I44" i="25"/>
  <c r="D44" i="25"/>
  <c r="C44" i="25"/>
  <c r="A44" i="25"/>
  <c r="K43" i="25"/>
  <c r="J43" i="25"/>
  <c r="I43" i="25"/>
  <c r="D43" i="25"/>
  <c r="C43" i="25"/>
  <c r="A43" i="25"/>
  <c r="K42" i="25"/>
  <c r="I42" i="25"/>
  <c r="J42" i="25" s="1"/>
  <c r="D42" i="25"/>
  <c r="C42" i="25"/>
  <c r="A42" i="25"/>
  <c r="K41" i="25"/>
  <c r="I41" i="25"/>
  <c r="J41" i="25" s="1"/>
  <c r="D41" i="25"/>
  <c r="C41" i="25"/>
  <c r="A41" i="25"/>
  <c r="K40" i="25"/>
  <c r="I40" i="25"/>
  <c r="J40" i="25" s="1"/>
  <c r="D40" i="25"/>
  <c r="C40" i="25"/>
  <c r="A40" i="25"/>
  <c r="K39" i="25"/>
  <c r="J39" i="25"/>
  <c r="I39" i="25"/>
  <c r="D39" i="25"/>
  <c r="C39" i="25"/>
  <c r="A39" i="25"/>
  <c r="K38" i="25"/>
  <c r="I38" i="25"/>
  <c r="J38" i="25" s="1"/>
  <c r="D38" i="25"/>
  <c r="C38" i="25"/>
  <c r="A38" i="25"/>
  <c r="K37" i="25"/>
  <c r="I37" i="25"/>
  <c r="J37" i="25" s="1"/>
  <c r="D37" i="25"/>
  <c r="C37" i="25"/>
  <c r="A37" i="25"/>
  <c r="K36" i="25"/>
  <c r="J36" i="25"/>
  <c r="I36" i="25"/>
  <c r="D36" i="25"/>
  <c r="C36" i="25"/>
  <c r="A36" i="25"/>
  <c r="K35" i="25"/>
  <c r="I35" i="25"/>
  <c r="J35" i="25" s="1"/>
  <c r="D35" i="25"/>
  <c r="C35" i="25"/>
  <c r="A35" i="25"/>
  <c r="K34" i="25"/>
  <c r="J34" i="25"/>
  <c r="I34" i="25"/>
  <c r="D34" i="25"/>
  <c r="C34" i="25"/>
  <c r="A34" i="25"/>
  <c r="K33" i="25"/>
  <c r="I33" i="25"/>
  <c r="J33" i="25" s="1"/>
  <c r="D33" i="25"/>
  <c r="C33" i="25"/>
  <c r="A33" i="25"/>
  <c r="K32" i="25"/>
  <c r="J32" i="25"/>
  <c r="I32" i="25"/>
  <c r="D32" i="25"/>
  <c r="C32" i="25"/>
  <c r="A32" i="25"/>
  <c r="K31" i="25"/>
  <c r="I31" i="25"/>
  <c r="J31" i="25" s="1"/>
  <c r="D31" i="25"/>
  <c r="C31" i="25"/>
  <c r="A31" i="25"/>
  <c r="K30" i="25"/>
  <c r="I30" i="25"/>
  <c r="J30" i="25" s="1"/>
  <c r="D30" i="25"/>
  <c r="C30" i="25"/>
  <c r="A30" i="25"/>
  <c r="K29" i="25"/>
  <c r="I29" i="25"/>
  <c r="J29" i="25" s="1"/>
  <c r="D29" i="25"/>
  <c r="C29" i="25"/>
  <c r="A29" i="25"/>
  <c r="K28" i="25"/>
  <c r="I28" i="25"/>
  <c r="J28" i="25" s="1"/>
  <c r="D28" i="25"/>
  <c r="C28" i="25"/>
  <c r="A28" i="25"/>
  <c r="K27" i="25"/>
  <c r="J27" i="25"/>
  <c r="I27" i="25"/>
  <c r="D27" i="25"/>
  <c r="C27" i="25"/>
  <c r="A27" i="25"/>
  <c r="K26" i="25"/>
  <c r="J26" i="25"/>
  <c r="I26" i="25"/>
  <c r="D26" i="25"/>
  <c r="C26" i="25"/>
  <c r="A26" i="25"/>
  <c r="K25" i="25"/>
  <c r="I25" i="25"/>
  <c r="J25" i="25" s="1"/>
  <c r="D25" i="25"/>
  <c r="C25" i="25"/>
  <c r="A25" i="25"/>
  <c r="K24" i="25"/>
  <c r="I24" i="25"/>
  <c r="J24" i="25" s="1"/>
  <c r="D24" i="25"/>
  <c r="C24" i="25"/>
  <c r="A24" i="25"/>
  <c r="K23" i="25"/>
  <c r="I23" i="25"/>
  <c r="J23" i="25" s="1"/>
  <c r="D23" i="25"/>
  <c r="C23" i="25"/>
  <c r="A23" i="25"/>
  <c r="K22" i="25"/>
  <c r="I22" i="25"/>
  <c r="J22" i="25" s="1"/>
  <c r="D22" i="25"/>
  <c r="C22" i="25"/>
  <c r="A22" i="25"/>
  <c r="K21" i="25"/>
  <c r="I21" i="25"/>
  <c r="J21" i="25" s="1"/>
  <c r="D21" i="25"/>
  <c r="C21" i="25"/>
  <c r="A21" i="25"/>
  <c r="K20" i="25"/>
  <c r="J20" i="25"/>
  <c r="I20" i="25"/>
  <c r="D20" i="25"/>
  <c r="C20" i="25"/>
  <c r="A20" i="25"/>
  <c r="K19" i="25"/>
  <c r="J19" i="25"/>
  <c r="I19" i="25"/>
  <c r="D19" i="25"/>
  <c r="C19" i="25"/>
  <c r="A19" i="25"/>
  <c r="K18" i="25"/>
  <c r="J18" i="25"/>
  <c r="I18" i="25"/>
  <c r="D18" i="25"/>
  <c r="C18" i="25"/>
  <c r="A18" i="25"/>
  <c r="K17" i="25"/>
  <c r="I17" i="25"/>
  <c r="J17" i="25" s="1"/>
  <c r="D17" i="25"/>
  <c r="C17" i="25"/>
  <c r="A17" i="25"/>
  <c r="K16" i="25"/>
  <c r="I16" i="25"/>
  <c r="J16" i="25" s="1"/>
  <c r="D16" i="25"/>
  <c r="C16" i="25"/>
  <c r="A16" i="25"/>
  <c r="K15" i="25"/>
  <c r="I15" i="25"/>
  <c r="J15" i="25" s="1"/>
  <c r="D15" i="25"/>
  <c r="C15" i="25"/>
  <c r="A15" i="25"/>
  <c r="K14" i="25"/>
  <c r="J14" i="25"/>
  <c r="I14" i="25"/>
  <c r="D14" i="25"/>
  <c r="C14" i="25"/>
  <c r="A14" i="25"/>
  <c r="B10" i="25"/>
  <c r="B9" i="25"/>
  <c r="B8" i="25"/>
  <c r="K208" i="24"/>
  <c r="J208" i="24"/>
  <c r="G208" i="24"/>
  <c r="D208" i="24"/>
  <c r="C208" i="24"/>
  <c r="B208" i="24"/>
  <c r="J207" i="24"/>
  <c r="K207" i="24" s="1"/>
  <c r="G207" i="24"/>
  <c r="D207" i="24"/>
  <c r="C207" i="24"/>
  <c r="B207" i="24"/>
  <c r="K206" i="24"/>
  <c r="J206" i="24"/>
  <c r="G206" i="24"/>
  <c r="D206" i="24"/>
  <c r="C206" i="24"/>
  <c r="B206" i="24"/>
  <c r="K205" i="24"/>
  <c r="J205" i="24"/>
  <c r="G205" i="24"/>
  <c r="D205" i="24"/>
  <c r="C205" i="24"/>
  <c r="B205" i="24"/>
  <c r="J204" i="24"/>
  <c r="K204" i="24" s="1"/>
  <c r="G204" i="24"/>
  <c r="D204" i="24"/>
  <c r="C204" i="24"/>
  <c r="B204" i="24"/>
  <c r="J203" i="24"/>
  <c r="K203" i="24" s="1"/>
  <c r="G203" i="24"/>
  <c r="D203" i="24"/>
  <c r="C203" i="24"/>
  <c r="B203" i="24"/>
  <c r="J202" i="24"/>
  <c r="K202" i="24" s="1"/>
  <c r="G202" i="24"/>
  <c r="D202" i="24"/>
  <c r="C202" i="24"/>
  <c r="B202" i="24"/>
  <c r="K201" i="24"/>
  <c r="J201" i="24"/>
  <c r="G201" i="24"/>
  <c r="D201" i="24"/>
  <c r="C201" i="24"/>
  <c r="B201" i="24"/>
  <c r="J200" i="24"/>
  <c r="K200" i="24" s="1"/>
  <c r="G200" i="24"/>
  <c r="D200" i="24"/>
  <c r="C200" i="24"/>
  <c r="B200" i="24"/>
  <c r="J199" i="24"/>
  <c r="K199" i="24" s="1"/>
  <c r="G199" i="24"/>
  <c r="D199" i="24"/>
  <c r="C199" i="24"/>
  <c r="B199" i="24"/>
  <c r="K198" i="24"/>
  <c r="J198" i="24"/>
  <c r="G198" i="24"/>
  <c r="D198" i="24"/>
  <c r="C198" i="24"/>
  <c r="B198" i="24"/>
  <c r="J197" i="24"/>
  <c r="K197" i="24" s="1"/>
  <c r="G197" i="24"/>
  <c r="D197" i="24"/>
  <c r="C197" i="24"/>
  <c r="B197" i="24"/>
  <c r="K196" i="24"/>
  <c r="J196" i="24"/>
  <c r="G196" i="24"/>
  <c r="D196" i="24"/>
  <c r="C196" i="24"/>
  <c r="B196" i="24"/>
  <c r="J195" i="24"/>
  <c r="K195" i="24" s="1"/>
  <c r="G195" i="24"/>
  <c r="D195" i="24"/>
  <c r="C195" i="24"/>
  <c r="B195" i="24"/>
  <c r="K194" i="24"/>
  <c r="J194" i="24"/>
  <c r="G194" i="24"/>
  <c r="D194" i="24"/>
  <c r="C194" i="24"/>
  <c r="B194" i="24"/>
  <c r="J193" i="24"/>
  <c r="K193" i="24" s="1"/>
  <c r="G193" i="24"/>
  <c r="D193" i="24"/>
  <c r="C193" i="24"/>
  <c r="B193" i="24"/>
  <c r="J192" i="24"/>
  <c r="K192" i="24" s="1"/>
  <c r="G192" i="24"/>
  <c r="D192" i="24"/>
  <c r="C192" i="24"/>
  <c r="B192" i="24"/>
  <c r="J191" i="24"/>
  <c r="K191" i="24" s="1"/>
  <c r="G191" i="24"/>
  <c r="D191" i="24"/>
  <c r="C191" i="24"/>
  <c r="B191" i="24"/>
  <c r="J190" i="24"/>
  <c r="K190" i="24" s="1"/>
  <c r="G190" i="24"/>
  <c r="D190" i="24"/>
  <c r="C190" i="24"/>
  <c r="B190" i="24"/>
  <c r="K189" i="24"/>
  <c r="J189" i="24"/>
  <c r="G189" i="24"/>
  <c r="D189" i="24"/>
  <c r="C189" i="24"/>
  <c r="B189" i="24"/>
  <c r="K188" i="24"/>
  <c r="J188" i="24"/>
  <c r="G188" i="24"/>
  <c r="D188" i="24"/>
  <c r="C188" i="24"/>
  <c r="B188" i="24"/>
  <c r="J187" i="24"/>
  <c r="K187" i="24" s="1"/>
  <c r="G187" i="24"/>
  <c r="D187" i="24"/>
  <c r="C187" i="24"/>
  <c r="B187" i="24"/>
  <c r="J186" i="24"/>
  <c r="K186" i="24" s="1"/>
  <c r="G186" i="24"/>
  <c r="D186" i="24"/>
  <c r="C186" i="24"/>
  <c r="B186" i="24"/>
  <c r="J185" i="24"/>
  <c r="K185" i="24" s="1"/>
  <c r="G185" i="24"/>
  <c r="D185" i="24"/>
  <c r="C185" i="24"/>
  <c r="B185" i="24"/>
  <c r="J184" i="24"/>
  <c r="K184" i="24" s="1"/>
  <c r="G184" i="24"/>
  <c r="D184" i="24"/>
  <c r="C184" i="24"/>
  <c r="B184" i="24"/>
  <c r="J183" i="24"/>
  <c r="K183" i="24" s="1"/>
  <c r="G183" i="24"/>
  <c r="D183" i="24"/>
  <c r="C183" i="24"/>
  <c r="B183" i="24"/>
  <c r="K182" i="24"/>
  <c r="J182" i="24"/>
  <c r="G182" i="24"/>
  <c r="D182" i="24"/>
  <c r="C182" i="24"/>
  <c r="B182" i="24"/>
  <c r="K181" i="24"/>
  <c r="J181" i="24"/>
  <c r="G181" i="24"/>
  <c r="D181" i="24"/>
  <c r="C181" i="24"/>
  <c r="B181" i="24"/>
  <c r="K180" i="24"/>
  <c r="J180" i="24"/>
  <c r="G180" i="24"/>
  <c r="D180" i="24"/>
  <c r="C180" i="24"/>
  <c r="B180" i="24"/>
  <c r="J179" i="24"/>
  <c r="K179" i="24" s="1"/>
  <c r="G179" i="24"/>
  <c r="D179" i="24"/>
  <c r="C179" i="24"/>
  <c r="B179" i="24"/>
  <c r="J178" i="24"/>
  <c r="K178" i="24" s="1"/>
  <c r="G178" i="24"/>
  <c r="D178" i="24"/>
  <c r="C178" i="24"/>
  <c r="B178" i="24"/>
  <c r="J177" i="24"/>
  <c r="K177" i="24" s="1"/>
  <c r="G177" i="24"/>
  <c r="D177" i="24"/>
  <c r="C177" i="24"/>
  <c r="B177" i="24"/>
  <c r="K176" i="24"/>
  <c r="J176" i="24"/>
  <c r="G176" i="24"/>
  <c r="D176" i="24"/>
  <c r="C176" i="24"/>
  <c r="B176" i="24"/>
  <c r="J175" i="24"/>
  <c r="K175" i="24" s="1"/>
  <c r="G175" i="24"/>
  <c r="D175" i="24"/>
  <c r="C175" i="24"/>
  <c r="B175" i="24"/>
  <c r="K174" i="24"/>
  <c r="J174" i="24"/>
  <c r="G174" i="24"/>
  <c r="D174" i="24"/>
  <c r="C174" i="24"/>
  <c r="B174" i="24"/>
  <c r="K173" i="24"/>
  <c r="J173" i="24"/>
  <c r="G173" i="24"/>
  <c r="D173" i="24"/>
  <c r="C173" i="24"/>
  <c r="B173" i="24"/>
  <c r="J172" i="24"/>
  <c r="K172" i="24" s="1"/>
  <c r="G172" i="24"/>
  <c r="D172" i="24"/>
  <c r="C172" i="24"/>
  <c r="B172" i="24"/>
  <c r="J171" i="24"/>
  <c r="K171" i="24" s="1"/>
  <c r="G171" i="24"/>
  <c r="D171" i="24"/>
  <c r="C171" i="24"/>
  <c r="B171" i="24"/>
  <c r="J170" i="24"/>
  <c r="K170" i="24" s="1"/>
  <c r="G170" i="24"/>
  <c r="D170" i="24"/>
  <c r="C170" i="24"/>
  <c r="B170" i="24"/>
  <c r="K169" i="24"/>
  <c r="J169" i="24"/>
  <c r="G169" i="24"/>
  <c r="D169" i="24"/>
  <c r="C169" i="24"/>
  <c r="B169" i="24"/>
  <c r="J168" i="24"/>
  <c r="K168" i="24" s="1"/>
  <c r="G168" i="24"/>
  <c r="D168" i="24"/>
  <c r="C168" i="24"/>
  <c r="B168" i="24"/>
  <c r="J167" i="24"/>
  <c r="K167" i="24" s="1"/>
  <c r="G167" i="24"/>
  <c r="D167" i="24"/>
  <c r="C167" i="24"/>
  <c r="B167" i="24"/>
  <c r="K166" i="24"/>
  <c r="J166" i="24"/>
  <c r="G166" i="24"/>
  <c r="D166" i="24"/>
  <c r="C166" i="24"/>
  <c r="B166" i="24"/>
  <c r="J165" i="24"/>
  <c r="K165" i="24" s="1"/>
  <c r="G165" i="24"/>
  <c r="D165" i="24"/>
  <c r="C165" i="24"/>
  <c r="B165" i="24"/>
  <c r="K164" i="24"/>
  <c r="J164" i="24"/>
  <c r="G164" i="24"/>
  <c r="D164" i="24"/>
  <c r="C164" i="24"/>
  <c r="B164" i="24"/>
  <c r="J163" i="24"/>
  <c r="K163" i="24" s="1"/>
  <c r="G163" i="24"/>
  <c r="D163" i="24"/>
  <c r="C163" i="24"/>
  <c r="B163" i="24"/>
  <c r="K162" i="24"/>
  <c r="J162" i="24"/>
  <c r="G162" i="24"/>
  <c r="D162" i="24"/>
  <c r="C162" i="24"/>
  <c r="B162" i="24"/>
  <c r="J161" i="24"/>
  <c r="K161" i="24" s="1"/>
  <c r="G161" i="24"/>
  <c r="D161" i="24"/>
  <c r="C161" i="24"/>
  <c r="B161" i="24"/>
  <c r="J160" i="24"/>
  <c r="K160" i="24" s="1"/>
  <c r="G160" i="24"/>
  <c r="D160" i="24"/>
  <c r="C160" i="24"/>
  <c r="B160" i="24"/>
  <c r="J159" i="24"/>
  <c r="K159" i="24" s="1"/>
  <c r="G159" i="24"/>
  <c r="D159" i="24"/>
  <c r="C159" i="24"/>
  <c r="B159" i="24"/>
  <c r="J158" i="24"/>
  <c r="K158" i="24" s="1"/>
  <c r="G158" i="24"/>
  <c r="D158" i="24"/>
  <c r="C158" i="24"/>
  <c r="B158" i="24"/>
  <c r="K157" i="24"/>
  <c r="J157" i="24"/>
  <c r="G157" i="24"/>
  <c r="D157" i="24"/>
  <c r="C157" i="24"/>
  <c r="B157" i="24"/>
  <c r="K156" i="24"/>
  <c r="J156" i="24"/>
  <c r="G156" i="24"/>
  <c r="D156" i="24"/>
  <c r="C156" i="24"/>
  <c r="B156" i="24"/>
  <c r="J155" i="24"/>
  <c r="K155" i="24" s="1"/>
  <c r="G155" i="24"/>
  <c r="D155" i="24"/>
  <c r="C155" i="24"/>
  <c r="B155" i="24"/>
  <c r="J154" i="24"/>
  <c r="K154" i="24" s="1"/>
  <c r="G154" i="24"/>
  <c r="D154" i="24"/>
  <c r="C154" i="24"/>
  <c r="B154" i="24"/>
  <c r="J153" i="24"/>
  <c r="K153" i="24" s="1"/>
  <c r="G153" i="24"/>
  <c r="D153" i="24"/>
  <c r="C153" i="24"/>
  <c r="B153" i="24"/>
  <c r="J152" i="24"/>
  <c r="K152" i="24" s="1"/>
  <c r="G152" i="24"/>
  <c r="D152" i="24"/>
  <c r="C152" i="24"/>
  <c r="B152" i="24"/>
  <c r="J151" i="24"/>
  <c r="K151" i="24" s="1"/>
  <c r="G151" i="24"/>
  <c r="D151" i="24"/>
  <c r="C151" i="24"/>
  <c r="B151" i="24"/>
  <c r="K150" i="24"/>
  <c r="J150" i="24"/>
  <c r="G150" i="24"/>
  <c r="D150" i="24"/>
  <c r="C150" i="24"/>
  <c r="B150" i="24"/>
  <c r="K149" i="24"/>
  <c r="J149" i="24"/>
  <c r="G149" i="24"/>
  <c r="D149" i="24"/>
  <c r="C149" i="24"/>
  <c r="B149" i="24"/>
  <c r="K148" i="24"/>
  <c r="J148" i="24"/>
  <c r="G148" i="24"/>
  <c r="D148" i="24"/>
  <c r="C148" i="24"/>
  <c r="B148" i="24"/>
  <c r="J147" i="24"/>
  <c r="K147" i="24" s="1"/>
  <c r="G147" i="24"/>
  <c r="D147" i="24"/>
  <c r="C147" i="24"/>
  <c r="B147" i="24"/>
  <c r="J146" i="24"/>
  <c r="K146" i="24" s="1"/>
  <c r="G146" i="24"/>
  <c r="D146" i="24"/>
  <c r="C146" i="24"/>
  <c r="B146" i="24"/>
  <c r="J145" i="24"/>
  <c r="K145" i="24" s="1"/>
  <c r="G145" i="24"/>
  <c r="D145" i="24"/>
  <c r="C145" i="24"/>
  <c r="B145" i="24"/>
  <c r="K144" i="24"/>
  <c r="J144" i="24"/>
  <c r="G144" i="24"/>
  <c r="D144" i="24"/>
  <c r="C144" i="24"/>
  <c r="B144" i="24"/>
  <c r="J143" i="24"/>
  <c r="K143" i="24" s="1"/>
  <c r="G143" i="24"/>
  <c r="D143" i="24"/>
  <c r="C143" i="24"/>
  <c r="B143" i="24"/>
  <c r="K142" i="24"/>
  <c r="J142" i="24"/>
  <c r="G142" i="24"/>
  <c r="D142" i="24"/>
  <c r="C142" i="24"/>
  <c r="B142" i="24"/>
  <c r="K141" i="24"/>
  <c r="J141" i="24"/>
  <c r="G141" i="24"/>
  <c r="D141" i="24"/>
  <c r="C141" i="24"/>
  <c r="B141" i="24"/>
  <c r="J140" i="24"/>
  <c r="K140" i="24" s="1"/>
  <c r="G140" i="24"/>
  <c r="D140" i="24"/>
  <c r="C140" i="24"/>
  <c r="B140" i="24"/>
  <c r="J139" i="24"/>
  <c r="K139" i="24" s="1"/>
  <c r="G139" i="24"/>
  <c r="D139" i="24"/>
  <c r="C139" i="24"/>
  <c r="B139" i="24"/>
  <c r="J138" i="24"/>
  <c r="K138" i="24" s="1"/>
  <c r="G138" i="24"/>
  <c r="D138" i="24"/>
  <c r="C138" i="24"/>
  <c r="B138" i="24"/>
  <c r="K137" i="24"/>
  <c r="J137" i="24"/>
  <c r="G137" i="24"/>
  <c r="D137" i="24"/>
  <c r="C137" i="24"/>
  <c r="B137" i="24"/>
  <c r="J136" i="24"/>
  <c r="K136" i="24" s="1"/>
  <c r="G136" i="24"/>
  <c r="D136" i="24"/>
  <c r="C136" i="24"/>
  <c r="B136" i="24"/>
  <c r="J135" i="24"/>
  <c r="K135" i="24" s="1"/>
  <c r="G135" i="24"/>
  <c r="D135" i="24"/>
  <c r="C135" i="24"/>
  <c r="B135" i="24"/>
  <c r="J134" i="24"/>
  <c r="K134" i="24" s="1"/>
  <c r="G134" i="24"/>
  <c r="D134" i="24"/>
  <c r="C134" i="24"/>
  <c r="B134" i="24"/>
  <c r="K133" i="24"/>
  <c r="J133" i="24"/>
  <c r="G133" i="24"/>
  <c r="D133" i="24"/>
  <c r="C133" i="24"/>
  <c r="B133" i="24"/>
  <c r="J132" i="24"/>
  <c r="K132" i="24" s="1"/>
  <c r="G132" i="24"/>
  <c r="D132" i="24"/>
  <c r="C132" i="24"/>
  <c r="B132" i="24"/>
  <c r="J131" i="24"/>
  <c r="K131" i="24" s="1"/>
  <c r="G131" i="24"/>
  <c r="D131" i="24"/>
  <c r="C131" i="24"/>
  <c r="B131" i="24"/>
  <c r="J130" i="24"/>
  <c r="K130" i="24" s="1"/>
  <c r="G130" i="24"/>
  <c r="D130" i="24"/>
  <c r="C130" i="24"/>
  <c r="B130" i="24"/>
  <c r="K129" i="24"/>
  <c r="J129" i="24"/>
  <c r="G129" i="24"/>
  <c r="D129" i="24"/>
  <c r="C129" i="24"/>
  <c r="B129" i="24"/>
  <c r="J128" i="24"/>
  <c r="K128" i="24" s="1"/>
  <c r="G128" i="24"/>
  <c r="D128" i="24"/>
  <c r="C128" i="24"/>
  <c r="B128" i="24"/>
  <c r="J127" i="24"/>
  <c r="K127" i="24" s="1"/>
  <c r="G127" i="24"/>
  <c r="D127" i="24"/>
  <c r="C127" i="24"/>
  <c r="B127" i="24"/>
  <c r="J126" i="24"/>
  <c r="K126" i="24" s="1"/>
  <c r="G126" i="24"/>
  <c r="D126" i="24"/>
  <c r="C126" i="24"/>
  <c r="B126" i="24"/>
  <c r="K125" i="24"/>
  <c r="J125" i="24"/>
  <c r="G125" i="24"/>
  <c r="D125" i="24"/>
  <c r="C125" i="24"/>
  <c r="B125" i="24"/>
  <c r="J124" i="24"/>
  <c r="K124" i="24" s="1"/>
  <c r="G124" i="24"/>
  <c r="D124" i="24"/>
  <c r="C124" i="24"/>
  <c r="B124" i="24"/>
  <c r="J123" i="24"/>
  <c r="K123" i="24" s="1"/>
  <c r="G123" i="24"/>
  <c r="D123" i="24"/>
  <c r="C123" i="24"/>
  <c r="B123" i="24"/>
  <c r="J122" i="24"/>
  <c r="K122" i="24" s="1"/>
  <c r="G122" i="24"/>
  <c r="D122" i="24"/>
  <c r="C122" i="24"/>
  <c r="B122" i="24"/>
  <c r="K121" i="24"/>
  <c r="J121" i="24"/>
  <c r="G121" i="24"/>
  <c r="D121" i="24"/>
  <c r="C121" i="24"/>
  <c r="B121" i="24"/>
  <c r="J120" i="24"/>
  <c r="K120" i="24" s="1"/>
  <c r="G120" i="24"/>
  <c r="D120" i="24"/>
  <c r="C120" i="24"/>
  <c r="B120" i="24"/>
  <c r="J119" i="24"/>
  <c r="K119" i="24" s="1"/>
  <c r="G119" i="24"/>
  <c r="D119" i="24"/>
  <c r="C119" i="24"/>
  <c r="B119" i="24"/>
  <c r="J118" i="24"/>
  <c r="K118" i="24" s="1"/>
  <c r="G118" i="24"/>
  <c r="D118" i="24"/>
  <c r="C118" i="24"/>
  <c r="B118" i="24"/>
  <c r="K117" i="24"/>
  <c r="J117" i="24"/>
  <c r="G117" i="24"/>
  <c r="D117" i="24"/>
  <c r="C117" i="24"/>
  <c r="B117" i="24"/>
  <c r="J116" i="24"/>
  <c r="K116" i="24" s="1"/>
  <c r="G116" i="24"/>
  <c r="D116" i="24"/>
  <c r="C116" i="24"/>
  <c r="B116" i="24"/>
  <c r="J115" i="24"/>
  <c r="K115" i="24" s="1"/>
  <c r="G115" i="24"/>
  <c r="D115" i="24"/>
  <c r="C115" i="24"/>
  <c r="B115" i="24"/>
  <c r="J114" i="24"/>
  <c r="K114" i="24" s="1"/>
  <c r="G114" i="24"/>
  <c r="D114" i="24"/>
  <c r="C114" i="24"/>
  <c r="B114" i="24"/>
  <c r="K113" i="24"/>
  <c r="J113" i="24"/>
  <c r="G113" i="24"/>
  <c r="D113" i="24"/>
  <c r="C113" i="24"/>
  <c r="B113" i="24"/>
  <c r="J112" i="24"/>
  <c r="K112" i="24" s="1"/>
  <c r="G112" i="24"/>
  <c r="D112" i="24"/>
  <c r="C112" i="24"/>
  <c r="B112" i="24"/>
  <c r="J111" i="24"/>
  <c r="K111" i="24" s="1"/>
  <c r="G111" i="24"/>
  <c r="D111" i="24"/>
  <c r="C111" i="24"/>
  <c r="B111" i="24"/>
  <c r="J110" i="24"/>
  <c r="K110" i="24" s="1"/>
  <c r="G110" i="24"/>
  <c r="D110" i="24"/>
  <c r="C110" i="24"/>
  <c r="B110" i="24"/>
  <c r="K109" i="24"/>
  <c r="J109" i="24"/>
  <c r="G109" i="24"/>
  <c r="D109" i="24"/>
  <c r="C109" i="24"/>
  <c r="B109" i="24"/>
  <c r="J108" i="24"/>
  <c r="K108" i="24" s="1"/>
  <c r="G108" i="24"/>
  <c r="D108" i="24"/>
  <c r="C108" i="24"/>
  <c r="B108" i="24"/>
  <c r="J107" i="24"/>
  <c r="K107" i="24" s="1"/>
  <c r="G107" i="24"/>
  <c r="D107" i="24"/>
  <c r="C107" i="24"/>
  <c r="B107" i="24"/>
  <c r="J106" i="24"/>
  <c r="K106" i="24" s="1"/>
  <c r="G106" i="24"/>
  <c r="D106" i="24"/>
  <c r="C106" i="24"/>
  <c r="B106" i="24"/>
  <c r="K105" i="24"/>
  <c r="J105" i="24"/>
  <c r="G105" i="24"/>
  <c r="D105" i="24"/>
  <c r="C105" i="24"/>
  <c r="B105" i="24"/>
  <c r="J104" i="24"/>
  <c r="K104" i="24" s="1"/>
  <c r="G104" i="24"/>
  <c r="D104" i="24"/>
  <c r="C104" i="24"/>
  <c r="B104" i="24"/>
  <c r="J103" i="24"/>
  <c r="K103" i="24" s="1"/>
  <c r="G103" i="24"/>
  <c r="D103" i="24"/>
  <c r="C103" i="24"/>
  <c r="B103" i="24"/>
  <c r="J102" i="24"/>
  <c r="K102" i="24" s="1"/>
  <c r="G102" i="24"/>
  <c r="D102" i="24"/>
  <c r="C102" i="24"/>
  <c r="B102" i="24"/>
  <c r="K101" i="24"/>
  <c r="J101" i="24"/>
  <c r="G101" i="24"/>
  <c r="D101" i="24"/>
  <c r="C101" i="24"/>
  <c r="B101" i="24"/>
  <c r="J100" i="24"/>
  <c r="K100" i="24" s="1"/>
  <c r="G100" i="24"/>
  <c r="D100" i="24"/>
  <c r="C100" i="24"/>
  <c r="B100" i="24"/>
  <c r="J99" i="24"/>
  <c r="K99" i="24" s="1"/>
  <c r="G99" i="24"/>
  <c r="D99" i="24"/>
  <c r="C99" i="24"/>
  <c r="B99" i="24"/>
  <c r="J98" i="24"/>
  <c r="K98" i="24" s="1"/>
  <c r="G98" i="24"/>
  <c r="D98" i="24"/>
  <c r="C98" i="24"/>
  <c r="B98" i="24"/>
  <c r="K97" i="24"/>
  <c r="J97" i="24"/>
  <c r="G97" i="24"/>
  <c r="D97" i="24"/>
  <c r="C97" i="24"/>
  <c r="B97" i="24"/>
  <c r="J96" i="24"/>
  <c r="K96" i="24" s="1"/>
  <c r="G96" i="24"/>
  <c r="D96" i="24"/>
  <c r="C96" i="24"/>
  <c r="B96" i="24"/>
  <c r="J95" i="24"/>
  <c r="K95" i="24" s="1"/>
  <c r="G95" i="24"/>
  <c r="D95" i="24"/>
  <c r="C95" i="24"/>
  <c r="B95" i="24"/>
  <c r="J94" i="24"/>
  <c r="K94" i="24" s="1"/>
  <c r="G94" i="24"/>
  <c r="D94" i="24"/>
  <c r="C94" i="24"/>
  <c r="B94" i="24"/>
  <c r="K93" i="24"/>
  <c r="J93" i="24"/>
  <c r="G93" i="24"/>
  <c r="D93" i="24"/>
  <c r="C93" i="24"/>
  <c r="B93" i="24"/>
  <c r="J92" i="24"/>
  <c r="K92" i="24" s="1"/>
  <c r="G92" i="24"/>
  <c r="D92" i="24"/>
  <c r="C92" i="24"/>
  <c r="B92" i="24"/>
  <c r="J91" i="24"/>
  <c r="K91" i="24" s="1"/>
  <c r="G91" i="24"/>
  <c r="D91" i="24"/>
  <c r="C91" i="24"/>
  <c r="B91" i="24"/>
  <c r="J90" i="24"/>
  <c r="K90" i="24" s="1"/>
  <c r="G90" i="24"/>
  <c r="D90" i="24"/>
  <c r="C90" i="24"/>
  <c r="B90" i="24"/>
  <c r="K89" i="24"/>
  <c r="J89" i="24"/>
  <c r="G89" i="24"/>
  <c r="D89" i="24"/>
  <c r="C89" i="24"/>
  <c r="B89" i="24"/>
  <c r="J88" i="24"/>
  <c r="K88" i="24" s="1"/>
  <c r="G88" i="24"/>
  <c r="D88" i="24"/>
  <c r="C88" i="24"/>
  <c r="B88" i="24"/>
  <c r="J87" i="24"/>
  <c r="K87" i="24" s="1"/>
  <c r="G87" i="24"/>
  <c r="D87" i="24"/>
  <c r="C87" i="24"/>
  <c r="B87" i="24"/>
  <c r="J86" i="24"/>
  <c r="K86" i="24" s="1"/>
  <c r="G86" i="24"/>
  <c r="D86" i="24"/>
  <c r="C86" i="24"/>
  <c r="B86" i="24"/>
  <c r="K85" i="24"/>
  <c r="J85" i="24"/>
  <c r="G85" i="24"/>
  <c r="D85" i="24"/>
  <c r="C85" i="24"/>
  <c r="B85" i="24"/>
  <c r="J84" i="24"/>
  <c r="K84" i="24" s="1"/>
  <c r="G84" i="24"/>
  <c r="D84" i="24"/>
  <c r="C84" i="24"/>
  <c r="B84" i="24"/>
  <c r="J83" i="24"/>
  <c r="K83" i="24" s="1"/>
  <c r="G83" i="24"/>
  <c r="D83" i="24"/>
  <c r="C83" i="24"/>
  <c r="B83" i="24"/>
  <c r="J82" i="24"/>
  <c r="K82" i="24" s="1"/>
  <c r="G82" i="24"/>
  <c r="D82" i="24"/>
  <c r="C82" i="24"/>
  <c r="B82" i="24"/>
  <c r="K81" i="24"/>
  <c r="J81" i="24"/>
  <c r="G81" i="24"/>
  <c r="D81" i="24"/>
  <c r="C81" i="24"/>
  <c r="B81" i="24"/>
  <c r="J80" i="24"/>
  <c r="K80" i="24" s="1"/>
  <c r="G80" i="24"/>
  <c r="D80" i="24"/>
  <c r="C80" i="24"/>
  <c r="B80" i="24"/>
  <c r="J79" i="24"/>
  <c r="K79" i="24" s="1"/>
  <c r="G79" i="24"/>
  <c r="D79" i="24"/>
  <c r="C79" i="24"/>
  <c r="B79" i="24"/>
  <c r="J78" i="24"/>
  <c r="K78" i="24" s="1"/>
  <c r="G78" i="24"/>
  <c r="D78" i="24"/>
  <c r="C78" i="24"/>
  <c r="B78" i="24"/>
  <c r="K77" i="24"/>
  <c r="J77" i="24"/>
  <c r="G77" i="24"/>
  <c r="D77" i="24"/>
  <c r="C77" i="24"/>
  <c r="B77" i="24"/>
  <c r="J76" i="24"/>
  <c r="K76" i="24" s="1"/>
  <c r="G76" i="24"/>
  <c r="D76" i="24"/>
  <c r="C76" i="24"/>
  <c r="B76" i="24"/>
  <c r="J75" i="24"/>
  <c r="K75" i="24" s="1"/>
  <c r="G75" i="24"/>
  <c r="D75" i="24"/>
  <c r="C75" i="24"/>
  <c r="B75" i="24"/>
  <c r="J74" i="24"/>
  <c r="K74" i="24" s="1"/>
  <c r="G74" i="24"/>
  <c r="D74" i="24"/>
  <c r="C74" i="24"/>
  <c r="B74" i="24"/>
  <c r="K73" i="24"/>
  <c r="J73" i="24"/>
  <c r="G73" i="24"/>
  <c r="D73" i="24"/>
  <c r="C73" i="24"/>
  <c r="B73" i="24"/>
  <c r="J72" i="24"/>
  <c r="K72" i="24" s="1"/>
  <c r="G72" i="24"/>
  <c r="D72" i="24"/>
  <c r="C72" i="24"/>
  <c r="B72" i="24"/>
  <c r="J71" i="24"/>
  <c r="K71" i="24" s="1"/>
  <c r="G71" i="24"/>
  <c r="D71" i="24"/>
  <c r="C71" i="24"/>
  <c r="B71" i="24"/>
  <c r="J70" i="24"/>
  <c r="K70" i="24" s="1"/>
  <c r="G70" i="24"/>
  <c r="D70" i="24"/>
  <c r="C70" i="24"/>
  <c r="B70" i="24"/>
  <c r="K69" i="24"/>
  <c r="J69" i="24"/>
  <c r="G69" i="24"/>
  <c r="D69" i="24"/>
  <c r="C69" i="24"/>
  <c r="B69" i="24"/>
  <c r="J68" i="24"/>
  <c r="K68" i="24" s="1"/>
  <c r="G68" i="24"/>
  <c r="D68" i="24"/>
  <c r="C68" i="24"/>
  <c r="B68" i="24"/>
  <c r="J67" i="24"/>
  <c r="K67" i="24" s="1"/>
  <c r="G67" i="24"/>
  <c r="D67" i="24"/>
  <c r="C67" i="24"/>
  <c r="B67" i="24"/>
  <c r="J66" i="24"/>
  <c r="K66" i="24" s="1"/>
  <c r="G66" i="24"/>
  <c r="D66" i="24"/>
  <c r="C66" i="24"/>
  <c r="B66" i="24"/>
  <c r="K65" i="24"/>
  <c r="J65" i="24"/>
  <c r="G65" i="24"/>
  <c r="D65" i="24"/>
  <c r="C65" i="24"/>
  <c r="B65" i="24"/>
  <c r="J64" i="24"/>
  <c r="K64" i="24" s="1"/>
  <c r="G64" i="24"/>
  <c r="D64" i="24"/>
  <c r="C64" i="24"/>
  <c r="B64" i="24"/>
  <c r="J63" i="24"/>
  <c r="K63" i="24" s="1"/>
  <c r="G63" i="24"/>
  <c r="D63" i="24"/>
  <c r="C63" i="24"/>
  <c r="B63" i="24"/>
  <c r="J62" i="24"/>
  <c r="K62" i="24" s="1"/>
  <c r="G62" i="24"/>
  <c r="D62" i="24"/>
  <c r="C62" i="24"/>
  <c r="B62" i="24"/>
  <c r="K61" i="24"/>
  <c r="J61" i="24"/>
  <c r="G61" i="24"/>
  <c r="D61" i="24"/>
  <c r="C61" i="24"/>
  <c r="B61" i="24"/>
  <c r="J60" i="24"/>
  <c r="K60" i="24" s="1"/>
  <c r="G60" i="24"/>
  <c r="D60" i="24"/>
  <c r="C60" i="24"/>
  <c r="B60" i="24"/>
  <c r="J59" i="24"/>
  <c r="K59" i="24" s="1"/>
  <c r="G59" i="24"/>
  <c r="D59" i="24"/>
  <c r="C59" i="24"/>
  <c r="B59" i="24"/>
  <c r="J58" i="24"/>
  <c r="K58" i="24" s="1"/>
  <c r="G58" i="24"/>
  <c r="D58" i="24"/>
  <c r="C58" i="24"/>
  <c r="B58" i="24"/>
  <c r="K57" i="24"/>
  <c r="J57" i="24"/>
  <c r="G57" i="24"/>
  <c r="D57" i="24"/>
  <c r="C57" i="24"/>
  <c r="B57" i="24"/>
  <c r="J56" i="24"/>
  <c r="K56" i="24" s="1"/>
  <c r="G56" i="24"/>
  <c r="D56" i="24"/>
  <c r="C56" i="24"/>
  <c r="B56" i="24"/>
  <c r="J55" i="24"/>
  <c r="K55" i="24" s="1"/>
  <c r="G55" i="24"/>
  <c r="D55" i="24"/>
  <c r="C55" i="24"/>
  <c r="B55" i="24"/>
  <c r="J54" i="24"/>
  <c r="K54" i="24" s="1"/>
  <c r="G54" i="24"/>
  <c r="D54" i="24"/>
  <c r="C54" i="24"/>
  <c r="B54" i="24"/>
  <c r="K53" i="24"/>
  <c r="J53" i="24"/>
  <c r="G53" i="24"/>
  <c r="D53" i="24"/>
  <c r="C53" i="24"/>
  <c r="B53" i="24"/>
  <c r="J52" i="24"/>
  <c r="K52" i="24" s="1"/>
  <c r="G52" i="24"/>
  <c r="D52" i="24"/>
  <c r="C52" i="24"/>
  <c r="B52" i="24"/>
  <c r="J51" i="24"/>
  <c r="K51" i="24" s="1"/>
  <c r="G51" i="24"/>
  <c r="D51" i="24"/>
  <c r="C51" i="24"/>
  <c r="B51" i="24"/>
  <c r="J50" i="24"/>
  <c r="K50" i="24" s="1"/>
  <c r="G50" i="24"/>
  <c r="D50" i="24"/>
  <c r="C50" i="24"/>
  <c r="B50" i="24"/>
  <c r="K49" i="24"/>
  <c r="J49" i="24"/>
  <c r="G49" i="24"/>
  <c r="D49" i="24"/>
  <c r="C49" i="24"/>
  <c r="B49" i="24"/>
  <c r="J48" i="24"/>
  <c r="K48" i="24" s="1"/>
  <c r="G48" i="24"/>
  <c r="D48" i="24"/>
  <c r="C48" i="24"/>
  <c r="B48" i="24"/>
  <c r="J47" i="24"/>
  <c r="K47" i="24" s="1"/>
  <c r="G47" i="24"/>
  <c r="D47" i="24"/>
  <c r="C47" i="24"/>
  <c r="B47" i="24"/>
  <c r="J46" i="24"/>
  <c r="K46" i="24" s="1"/>
  <c r="G46" i="24"/>
  <c r="D46" i="24"/>
  <c r="C46" i="24"/>
  <c r="B46" i="24"/>
  <c r="K45" i="24"/>
  <c r="J45" i="24"/>
  <c r="G45" i="24"/>
  <c r="D45" i="24"/>
  <c r="C45" i="24"/>
  <c r="B45" i="24"/>
  <c r="J44" i="24"/>
  <c r="K44" i="24" s="1"/>
  <c r="G44" i="24"/>
  <c r="D44" i="24"/>
  <c r="C44" i="24"/>
  <c r="B44" i="24"/>
  <c r="J43" i="24"/>
  <c r="K43" i="24" s="1"/>
  <c r="G43" i="24"/>
  <c r="D43" i="24"/>
  <c r="C43" i="24"/>
  <c r="B43" i="24"/>
  <c r="J42" i="24"/>
  <c r="K42" i="24" s="1"/>
  <c r="G42" i="24"/>
  <c r="D42" i="24"/>
  <c r="C42" i="24"/>
  <c r="B42" i="24"/>
  <c r="K41" i="24"/>
  <c r="J41" i="24"/>
  <c r="G41" i="24"/>
  <c r="D41" i="24"/>
  <c r="C41" i="24"/>
  <c r="B41" i="24"/>
  <c r="J40" i="24"/>
  <c r="K40" i="24" s="1"/>
  <c r="G40" i="24"/>
  <c r="D40" i="24"/>
  <c r="C40" i="24"/>
  <c r="B40" i="24"/>
  <c r="J39" i="24"/>
  <c r="K39" i="24" s="1"/>
  <c r="G39" i="24"/>
  <c r="D39" i="24"/>
  <c r="C39" i="24"/>
  <c r="B39" i="24"/>
  <c r="J38" i="24"/>
  <c r="K38" i="24" s="1"/>
  <c r="G38" i="24"/>
  <c r="D38" i="24"/>
  <c r="C38" i="24"/>
  <c r="B38" i="24"/>
  <c r="K37" i="24"/>
  <c r="J37" i="24"/>
  <c r="G37" i="24"/>
  <c r="D37" i="24"/>
  <c r="C37" i="24"/>
  <c r="B37" i="24"/>
  <c r="J36" i="24"/>
  <c r="K36" i="24" s="1"/>
  <c r="G36" i="24"/>
  <c r="D36" i="24"/>
  <c r="C36" i="24"/>
  <c r="B36" i="24"/>
  <c r="J35" i="24"/>
  <c r="K35" i="24" s="1"/>
  <c r="G35" i="24"/>
  <c r="D35" i="24"/>
  <c r="C35" i="24"/>
  <c r="B35" i="24"/>
  <c r="J34" i="24"/>
  <c r="K34" i="24" s="1"/>
  <c r="G34" i="24"/>
  <c r="D34" i="24"/>
  <c r="C34" i="24"/>
  <c r="B34" i="24"/>
  <c r="K33" i="24"/>
  <c r="J33" i="24"/>
  <c r="G33" i="24"/>
  <c r="D33" i="24"/>
  <c r="C33" i="24"/>
  <c r="B33" i="24"/>
  <c r="J32" i="24"/>
  <c r="K32" i="24" s="1"/>
  <c r="G32" i="24"/>
  <c r="D32" i="24"/>
  <c r="C32" i="24"/>
  <c r="B32" i="24"/>
  <c r="J31" i="24"/>
  <c r="K31" i="24" s="1"/>
  <c r="G31" i="24"/>
  <c r="D31" i="24"/>
  <c r="C31" i="24"/>
  <c r="B31" i="24"/>
  <c r="J30" i="24"/>
  <c r="K30" i="24" s="1"/>
  <c r="G30" i="24"/>
  <c r="D30" i="24"/>
  <c r="C30" i="24"/>
  <c r="B30" i="24"/>
  <c r="K29" i="24"/>
  <c r="J29" i="24"/>
  <c r="G29" i="24"/>
  <c r="D29" i="24"/>
  <c r="C29" i="24"/>
  <c r="B29" i="24"/>
  <c r="J28" i="24"/>
  <c r="K28" i="24" s="1"/>
  <c r="G28" i="24"/>
  <c r="D28" i="24"/>
  <c r="C28" i="24"/>
  <c r="B28" i="24"/>
  <c r="J27" i="24"/>
  <c r="K27" i="24" s="1"/>
  <c r="G27" i="24"/>
  <c r="D27" i="24"/>
  <c r="C27" i="24"/>
  <c r="B27" i="24"/>
  <c r="J26" i="24"/>
  <c r="K26" i="24" s="1"/>
  <c r="G26" i="24"/>
  <c r="D26" i="24"/>
  <c r="C26" i="24"/>
  <c r="B26" i="24"/>
  <c r="K25" i="24"/>
  <c r="J25" i="24"/>
  <c r="G25" i="24"/>
  <c r="D25" i="24"/>
  <c r="C25" i="24"/>
  <c r="B25" i="24"/>
  <c r="J24" i="24"/>
  <c r="K24" i="24" s="1"/>
  <c r="G24" i="24"/>
  <c r="D24" i="24"/>
  <c r="C24" i="24"/>
  <c r="B24" i="24"/>
  <c r="J23" i="24"/>
  <c r="K23" i="24" s="1"/>
  <c r="G23" i="24"/>
  <c r="D23" i="24"/>
  <c r="C23" i="24"/>
  <c r="B23" i="24"/>
  <c r="J22" i="24"/>
  <c r="K22" i="24" s="1"/>
  <c r="G22" i="24"/>
  <c r="D22" i="24"/>
  <c r="C22" i="24"/>
  <c r="B22" i="24"/>
  <c r="K21" i="24"/>
  <c r="J21" i="24"/>
  <c r="G21" i="24"/>
  <c r="D21" i="24"/>
  <c r="C21" i="24"/>
  <c r="B21" i="24"/>
  <c r="J20" i="24"/>
  <c r="K20" i="24" s="1"/>
  <c r="G20" i="24"/>
  <c r="D20" i="24"/>
  <c r="C20" i="24"/>
  <c r="B20" i="24"/>
  <c r="J19" i="24"/>
  <c r="K19" i="24" s="1"/>
  <c r="G19" i="24"/>
  <c r="D19" i="24"/>
  <c r="C19" i="24"/>
  <c r="B19" i="24"/>
  <c r="J18" i="24"/>
  <c r="K18" i="24" s="1"/>
  <c r="G18" i="24"/>
  <c r="D18" i="24"/>
  <c r="C18" i="24"/>
  <c r="B18" i="24"/>
  <c r="K17" i="24"/>
  <c r="J17" i="24"/>
  <c r="G17" i="24"/>
  <c r="D17" i="24"/>
  <c r="C17" i="24"/>
  <c r="B17" i="24"/>
  <c r="J16" i="24"/>
  <c r="K16" i="24" s="1"/>
  <c r="G16" i="24"/>
  <c r="D16" i="24"/>
  <c r="C16" i="24"/>
  <c r="B16" i="24"/>
  <c r="J15" i="24"/>
  <c r="K15" i="24" s="1"/>
  <c r="G15" i="24"/>
  <c r="D15" i="24"/>
  <c r="C15" i="24"/>
  <c r="B15" i="24"/>
  <c r="J14" i="24"/>
  <c r="K14" i="24" s="1"/>
  <c r="G14" i="24"/>
  <c r="D14" i="24"/>
  <c r="C14" i="24"/>
  <c r="B14" i="24"/>
  <c r="K13" i="24"/>
  <c r="J13" i="24"/>
  <c r="G13" i="24"/>
  <c r="D13" i="24"/>
  <c r="C13" i="24"/>
  <c r="B13" i="24"/>
  <c r="J12" i="24"/>
  <c r="K12" i="24" s="1"/>
  <c r="G12" i="24"/>
  <c r="D12" i="24"/>
  <c r="C12" i="24"/>
  <c r="B12" i="24"/>
  <c r="J11" i="24"/>
  <c r="K11" i="24" s="1"/>
  <c r="G11" i="24"/>
  <c r="D11" i="24"/>
  <c r="C11" i="24"/>
  <c r="B11" i="24"/>
  <c r="J10" i="24"/>
  <c r="K10" i="24" s="1"/>
  <c r="G10" i="24"/>
  <c r="D10" i="24"/>
  <c r="C10" i="24"/>
  <c r="B10" i="24"/>
  <c r="K9" i="24"/>
  <c r="J9" i="24"/>
  <c r="G9" i="24"/>
  <c r="D9" i="24"/>
  <c r="C9" i="24"/>
  <c r="B9" i="24"/>
  <c r="J4" i="24"/>
  <c r="I208" i="23"/>
  <c r="J208" i="23" s="1"/>
  <c r="F208" i="23"/>
  <c r="D208" i="23"/>
  <c r="C208" i="23"/>
  <c r="B208" i="23"/>
  <c r="J207" i="23"/>
  <c r="I207" i="23"/>
  <c r="F207" i="23"/>
  <c r="D207" i="23"/>
  <c r="C207" i="23"/>
  <c r="B207" i="23"/>
  <c r="I206" i="23"/>
  <c r="J206" i="23" s="1"/>
  <c r="F206" i="23"/>
  <c r="D206" i="23"/>
  <c r="C206" i="23"/>
  <c r="B206" i="23"/>
  <c r="I205" i="23"/>
  <c r="J205" i="23" s="1"/>
  <c r="F205" i="23"/>
  <c r="D205" i="23"/>
  <c r="C205" i="23"/>
  <c r="B205" i="23"/>
  <c r="I204" i="23"/>
  <c r="J204" i="23" s="1"/>
  <c r="F204" i="23"/>
  <c r="D204" i="23"/>
  <c r="C204" i="23"/>
  <c r="B204" i="23"/>
  <c r="J203" i="23"/>
  <c r="I203" i="23"/>
  <c r="F203" i="23"/>
  <c r="D203" i="23"/>
  <c r="C203" i="23"/>
  <c r="B203" i="23"/>
  <c r="I202" i="23"/>
  <c r="J202" i="23" s="1"/>
  <c r="F202" i="23"/>
  <c r="D202" i="23"/>
  <c r="C202" i="23"/>
  <c r="B202" i="23"/>
  <c r="I201" i="23"/>
  <c r="J201" i="23" s="1"/>
  <c r="F201" i="23"/>
  <c r="D201" i="23"/>
  <c r="C201" i="23"/>
  <c r="B201" i="23"/>
  <c r="I200" i="23"/>
  <c r="J200" i="23" s="1"/>
  <c r="F200" i="23"/>
  <c r="D200" i="23"/>
  <c r="C200" i="23"/>
  <c r="B200" i="23"/>
  <c r="J199" i="23"/>
  <c r="I199" i="23"/>
  <c r="F199" i="23"/>
  <c r="D199" i="23"/>
  <c r="C199" i="23"/>
  <c r="B199" i="23"/>
  <c r="I198" i="23"/>
  <c r="J198" i="23" s="1"/>
  <c r="F198" i="23"/>
  <c r="D198" i="23"/>
  <c r="C198" i="23"/>
  <c r="B198" i="23"/>
  <c r="I197" i="23"/>
  <c r="J197" i="23" s="1"/>
  <c r="F197" i="23"/>
  <c r="D197" i="23"/>
  <c r="C197" i="23"/>
  <c r="B197" i="23"/>
  <c r="I196" i="23"/>
  <c r="J196" i="23" s="1"/>
  <c r="F196" i="23"/>
  <c r="D196" i="23"/>
  <c r="C196" i="23"/>
  <c r="B196" i="23"/>
  <c r="J195" i="23"/>
  <c r="I195" i="23"/>
  <c r="F195" i="23"/>
  <c r="D195" i="23"/>
  <c r="C195" i="23"/>
  <c r="B195" i="23"/>
  <c r="I194" i="23"/>
  <c r="J194" i="23" s="1"/>
  <c r="F194" i="23"/>
  <c r="D194" i="23"/>
  <c r="C194" i="23"/>
  <c r="B194" i="23"/>
  <c r="I193" i="23"/>
  <c r="J193" i="23" s="1"/>
  <c r="F193" i="23"/>
  <c r="D193" i="23"/>
  <c r="C193" i="23"/>
  <c r="B193" i="23"/>
  <c r="I192" i="23"/>
  <c r="J192" i="23" s="1"/>
  <c r="F192" i="23"/>
  <c r="D192" i="23"/>
  <c r="C192" i="23"/>
  <c r="B192" i="23"/>
  <c r="J191" i="23"/>
  <c r="I191" i="23"/>
  <c r="F191" i="23"/>
  <c r="D191" i="23"/>
  <c r="C191" i="23"/>
  <c r="B191" i="23"/>
  <c r="I190" i="23"/>
  <c r="J190" i="23" s="1"/>
  <c r="F190" i="23"/>
  <c r="D190" i="23"/>
  <c r="C190" i="23"/>
  <c r="B190" i="23"/>
  <c r="I189" i="23"/>
  <c r="J189" i="23" s="1"/>
  <c r="F189" i="23"/>
  <c r="D189" i="23"/>
  <c r="C189" i="23"/>
  <c r="B189" i="23"/>
  <c r="I188" i="23"/>
  <c r="J188" i="23" s="1"/>
  <c r="F188" i="23"/>
  <c r="D188" i="23"/>
  <c r="C188" i="23"/>
  <c r="B188" i="23"/>
  <c r="J187" i="23"/>
  <c r="I187" i="23"/>
  <c r="F187" i="23"/>
  <c r="D187" i="23"/>
  <c r="C187" i="23"/>
  <c r="B187" i="23"/>
  <c r="I186" i="23"/>
  <c r="J186" i="23" s="1"/>
  <c r="F186" i="23"/>
  <c r="D186" i="23"/>
  <c r="C186" i="23"/>
  <c r="B186" i="23"/>
  <c r="I185" i="23"/>
  <c r="J185" i="23" s="1"/>
  <c r="F185" i="23"/>
  <c r="D185" i="23"/>
  <c r="C185" i="23"/>
  <c r="B185" i="23"/>
  <c r="I184" i="23"/>
  <c r="J184" i="23" s="1"/>
  <c r="F184" i="23"/>
  <c r="D184" i="23"/>
  <c r="C184" i="23"/>
  <c r="B184" i="23"/>
  <c r="J183" i="23"/>
  <c r="I183" i="23"/>
  <c r="F183" i="23"/>
  <c r="D183" i="23"/>
  <c r="C183" i="23"/>
  <c r="B183" i="23"/>
  <c r="I182" i="23"/>
  <c r="J182" i="23" s="1"/>
  <c r="F182" i="23"/>
  <c r="D182" i="23"/>
  <c r="C182" i="23"/>
  <c r="B182" i="23"/>
  <c r="I181" i="23"/>
  <c r="J181" i="23" s="1"/>
  <c r="F181" i="23"/>
  <c r="D181" i="23"/>
  <c r="C181" i="23"/>
  <c r="B181" i="23"/>
  <c r="I180" i="23"/>
  <c r="J180" i="23" s="1"/>
  <c r="F180" i="23"/>
  <c r="D180" i="23"/>
  <c r="C180" i="23"/>
  <c r="B180" i="23"/>
  <c r="J179" i="23"/>
  <c r="I179" i="23"/>
  <c r="F179" i="23"/>
  <c r="D179" i="23"/>
  <c r="C179" i="23"/>
  <c r="B179" i="23"/>
  <c r="I178" i="23"/>
  <c r="J178" i="23" s="1"/>
  <c r="F178" i="23"/>
  <c r="D178" i="23"/>
  <c r="C178" i="23"/>
  <c r="B178" i="23"/>
  <c r="I177" i="23"/>
  <c r="J177" i="23" s="1"/>
  <c r="F177" i="23"/>
  <c r="D177" i="23"/>
  <c r="C177" i="23"/>
  <c r="B177" i="23"/>
  <c r="I176" i="23"/>
  <c r="J176" i="23" s="1"/>
  <c r="F176" i="23"/>
  <c r="D176" i="23"/>
  <c r="C176" i="23"/>
  <c r="B176" i="23"/>
  <c r="I175" i="23"/>
  <c r="J175" i="23" s="1"/>
  <c r="F175" i="23"/>
  <c r="D175" i="23"/>
  <c r="C175" i="23"/>
  <c r="B175" i="23"/>
  <c r="I174" i="23"/>
  <c r="J174" i="23" s="1"/>
  <c r="F174" i="23"/>
  <c r="D174" i="23"/>
  <c r="C174" i="23"/>
  <c r="B174" i="23"/>
  <c r="I173" i="23"/>
  <c r="J173" i="23" s="1"/>
  <c r="F173" i="23"/>
  <c r="D173" i="23"/>
  <c r="C173" i="23"/>
  <c r="B173" i="23"/>
  <c r="I172" i="23"/>
  <c r="J172" i="23" s="1"/>
  <c r="F172" i="23"/>
  <c r="D172" i="23"/>
  <c r="C172" i="23"/>
  <c r="B172" i="23"/>
  <c r="J171" i="23"/>
  <c r="I171" i="23"/>
  <c r="F171" i="23"/>
  <c r="D171" i="23"/>
  <c r="C171" i="23"/>
  <c r="B171" i="23"/>
  <c r="I170" i="23"/>
  <c r="J170" i="23" s="1"/>
  <c r="F170" i="23"/>
  <c r="D170" i="23"/>
  <c r="C170" i="23"/>
  <c r="B170" i="23"/>
  <c r="I169" i="23"/>
  <c r="J169" i="23" s="1"/>
  <c r="F169" i="23"/>
  <c r="D169" i="23"/>
  <c r="C169" i="23"/>
  <c r="B169" i="23"/>
  <c r="I168" i="23"/>
  <c r="J168" i="23" s="1"/>
  <c r="F168" i="23"/>
  <c r="D168" i="23"/>
  <c r="C168" i="23"/>
  <c r="B168" i="23"/>
  <c r="I167" i="23"/>
  <c r="J167" i="23" s="1"/>
  <c r="F167" i="23"/>
  <c r="D167" i="23"/>
  <c r="C167" i="23"/>
  <c r="B167" i="23"/>
  <c r="I166" i="23"/>
  <c r="J166" i="23" s="1"/>
  <c r="F166" i="23"/>
  <c r="D166" i="23"/>
  <c r="C166" i="23"/>
  <c r="B166" i="23"/>
  <c r="I165" i="23"/>
  <c r="J165" i="23" s="1"/>
  <c r="F165" i="23"/>
  <c r="D165" i="23"/>
  <c r="C165" i="23"/>
  <c r="B165" i="23"/>
  <c r="I164" i="23"/>
  <c r="J164" i="23" s="1"/>
  <c r="F164" i="23"/>
  <c r="D164" i="23"/>
  <c r="C164" i="23"/>
  <c r="B164" i="23"/>
  <c r="J163" i="23"/>
  <c r="I163" i="23"/>
  <c r="F163" i="23"/>
  <c r="D163" i="23"/>
  <c r="C163" i="23"/>
  <c r="B163" i="23"/>
  <c r="I162" i="23"/>
  <c r="J162" i="23" s="1"/>
  <c r="F162" i="23"/>
  <c r="D162" i="23"/>
  <c r="C162" i="23"/>
  <c r="B162" i="23"/>
  <c r="I161" i="23"/>
  <c r="J161" i="23" s="1"/>
  <c r="F161" i="23"/>
  <c r="D161" i="23"/>
  <c r="C161" i="23"/>
  <c r="B161" i="23"/>
  <c r="I160" i="23"/>
  <c r="J160" i="23" s="1"/>
  <c r="F160" i="23"/>
  <c r="D160" i="23"/>
  <c r="C160" i="23"/>
  <c r="B160" i="23"/>
  <c r="I159" i="23"/>
  <c r="J159" i="23" s="1"/>
  <c r="F159" i="23"/>
  <c r="D159" i="23"/>
  <c r="C159" i="23"/>
  <c r="B159" i="23"/>
  <c r="I158" i="23"/>
  <c r="J158" i="23" s="1"/>
  <c r="F158" i="23"/>
  <c r="D158" i="23"/>
  <c r="C158" i="23"/>
  <c r="B158" i="23"/>
  <c r="I157" i="23"/>
  <c r="J157" i="23" s="1"/>
  <c r="F157" i="23"/>
  <c r="D157" i="23"/>
  <c r="C157" i="23"/>
  <c r="B157" i="23"/>
  <c r="I156" i="23"/>
  <c r="J156" i="23" s="1"/>
  <c r="F156" i="23"/>
  <c r="D156" i="23"/>
  <c r="C156" i="23"/>
  <c r="B156" i="23"/>
  <c r="J155" i="23"/>
  <c r="I155" i="23"/>
  <c r="F155" i="23"/>
  <c r="D155" i="23"/>
  <c r="C155" i="23"/>
  <c r="B155" i="23"/>
  <c r="I154" i="23"/>
  <c r="J154" i="23" s="1"/>
  <c r="F154" i="23"/>
  <c r="D154" i="23"/>
  <c r="C154" i="23"/>
  <c r="B154" i="23"/>
  <c r="I153" i="23"/>
  <c r="J153" i="23" s="1"/>
  <c r="F153" i="23"/>
  <c r="D153" i="23"/>
  <c r="C153" i="23"/>
  <c r="B153" i="23"/>
  <c r="I152" i="23"/>
  <c r="J152" i="23" s="1"/>
  <c r="F152" i="23"/>
  <c r="D152" i="23"/>
  <c r="C152" i="23"/>
  <c r="B152" i="23"/>
  <c r="I151" i="23"/>
  <c r="J151" i="23" s="1"/>
  <c r="F151" i="23"/>
  <c r="D151" i="23"/>
  <c r="C151" i="23"/>
  <c r="B151" i="23"/>
  <c r="I150" i="23"/>
  <c r="J150" i="23" s="1"/>
  <c r="F150" i="23"/>
  <c r="D150" i="23"/>
  <c r="C150" i="23"/>
  <c r="B150" i="23"/>
  <c r="I149" i="23"/>
  <c r="J149" i="23" s="1"/>
  <c r="F149" i="23"/>
  <c r="D149" i="23"/>
  <c r="C149" i="23"/>
  <c r="B149" i="23"/>
  <c r="I148" i="23"/>
  <c r="J148" i="23" s="1"/>
  <c r="F148" i="23"/>
  <c r="D148" i="23"/>
  <c r="C148" i="23"/>
  <c r="B148" i="23"/>
  <c r="J147" i="23"/>
  <c r="I147" i="23"/>
  <c r="F147" i="23"/>
  <c r="D147" i="23"/>
  <c r="C147" i="23"/>
  <c r="B147" i="23"/>
  <c r="I146" i="23"/>
  <c r="J146" i="23" s="1"/>
  <c r="F146" i="23"/>
  <c r="D146" i="23"/>
  <c r="C146" i="23"/>
  <c r="B146" i="23"/>
  <c r="I145" i="23"/>
  <c r="J145" i="23" s="1"/>
  <c r="F145" i="23"/>
  <c r="D145" i="23"/>
  <c r="C145" i="23"/>
  <c r="B145" i="23"/>
  <c r="I144" i="23"/>
  <c r="J144" i="23" s="1"/>
  <c r="F144" i="23"/>
  <c r="D144" i="23"/>
  <c r="C144" i="23"/>
  <c r="B144" i="23"/>
  <c r="I143" i="23"/>
  <c r="J143" i="23" s="1"/>
  <c r="F143" i="23"/>
  <c r="D143" i="23"/>
  <c r="C143" i="23"/>
  <c r="B143" i="23"/>
  <c r="I142" i="23"/>
  <c r="J142" i="23" s="1"/>
  <c r="F142" i="23"/>
  <c r="D142" i="23"/>
  <c r="C142" i="23"/>
  <c r="B142" i="23"/>
  <c r="I141" i="23"/>
  <c r="J141" i="23" s="1"/>
  <c r="F141" i="23"/>
  <c r="D141" i="23"/>
  <c r="C141" i="23"/>
  <c r="B141" i="23"/>
  <c r="I140" i="23"/>
  <c r="J140" i="23" s="1"/>
  <c r="F140" i="23"/>
  <c r="D140" i="23"/>
  <c r="C140" i="23"/>
  <c r="B140" i="23"/>
  <c r="J139" i="23"/>
  <c r="I139" i="23"/>
  <c r="F139" i="23"/>
  <c r="D139" i="23"/>
  <c r="C139" i="23"/>
  <c r="B139" i="23"/>
  <c r="I138" i="23"/>
  <c r="J138" i="23" s="1"/>
  <c r="F138" i="23"/>
  <c r="D138" i="23"/>
  <c r="C138" i="23"/>
  <c r="B138" i="23"/>
  <c r="I137" i="23"/>
  <c r="J137" i="23" s="1"/>
  <c r="F137" i="23"/>
  <c r="D137" i="23"/>
  <c r="C137" i="23"/>
  <c r="B137" i="23"/>
  <c r="I136" i="23"/>
  <c r="J136" i="23" s="1"/>
  <c r="F136" i="23"/>
  <c r="D136" i="23"/>
  <c r="C136" i="23"/>
  <c r="B136" i="23"/>
  <c r="I135" i="23"/>
  <c r="J135" i="23" s="1"/>
  <c r="F135" i="23"/>
  <c r="D135" i="23"/>
  <c r="C135" i="23"/>
  <c r="B135" i="23"/>
  <c r="I134" i="23"/>
  <c r="J134" i="23" s="1"/>
  <c r="F134" i="23"/>
  <c r="D134" i="23"/>
  <c r="C134" i="23"/>
  <c r="B134" i="23"/>
  <c r="I133" i="23"/>
  <c r="J133" i="23" s="1"/>
  <c r="F133" i="23"/>
  <c r="D133" i="23"/>
  <c r="C133" i="23"/>
  <c r="B133" i="23"/>
  <c r="I132" i="23"/>
  <c r="J132" i="23" s="1"/>
  <c r="F132" i="23"/>
  <c r="D132" i="23"/>
  <c r="C132" i="23"/>
  <c r="B132" i="23"/>
  <c r="J131" i="23"/>
  <c r="I131" i="23"/>
  <c r="F131" i="23"/>
  <c r="D131" i="23"/>
  <c r="C131" i="23"/>
  <c r="B131" i="23"/>
  <c r="I130" i="23"/>
  <c r="J130" i="23" s="1"/>
  <c r="F130" i="23"/>
  <c r="D130" i="23"/>
  <c r="C130" i="23"/>
  <c r="B130" i="23"/>
  <c r="I129" i="23"/>
  <c r="J129" i="23" s="1"/>
  <c r="F129" i="23"/>
  <c r="D129" i="23"/>
  <c r="C129" i="23"/>
  <c r="B129" i="23"/>
  <c r="I128" i="23"/>
  <c r="J128" i="23" s="1"/>
  <c r="F128" i="23"/>
  <c r="D128" i="23"/>
  <c r="C128" i="23"/>
  <c r="B128" i="23"/>
  <c r="I127" i="23"/>
  <c r="J127" i="23" s="1"/>
  <c r="F127" i="23"/>
  <c r="D127" i="23"/>
  <c r="C127" i="23"/>
  <c r="B127" i="23"/>
  <c r="I126" i="23"/>
  <c r="J126" i="23" s="1"/>
  <c r="F126" i="23"/>
  <c r="D126" i="23"/>
  <c r="C126" i="23"/>
  <c r="B126" i="23"/>
  <c r="I125" i="23"/>
  <c r="J125" i="23" s="1"/>
  <c r="F125" i="23"/>
  <c r="D125" i="23"/>
  <c r="C125" i="23"/>
  <c r="B125" i="23"/>
  <c r="I124" i="23"/>
  <c r="J124" i="23" s="1"/>
  <c r="F124" i="23"/>
  <c r="D124" i="23"/>
  <c r="C124" i="23"/>
  <c r="B124" i="23"/>
  <c r="J123" i="23"/>
  <c r="I123" i="23"/>
  <c r="F123" i="23"/>
  <c r="D123" i="23"/>
  <c r="C123" i="23"/>
  <c r="B123" i="23"/>
  <c r="I122" i="23"/>
  <c r="J122" i="23" s="1"/>
  <c r="F122" i="23"/>
  <c r="D122" i="23"/>
  <c r="C122" i="23"/>
  <c r="B122" i="23"/>
  <c r="I121" i="23"/>
  <c r="J121" i="23" s="1"/>
  <c r="F121" i="23"/>
  <c r="D121" i="23"/>
  <c r="C121" i="23"/>
  <c r="B121" i="23"/>
  <c r="I120" i="23"/>
  <c r="J120" i="23" s="1"/>
  <c r="F120" i="23"/>
  <c r="D120" i="23"/>
  <c r="C120" i="23"/>
  <c r="B120" i="23"/>
  <c r="I119" i="23"/>
  <c r="J119" i="23" s="1"/>
  <c r="F119" i="23"/>
  <c r="D119" i="23"/>
  <c r="C119" i="23"/>
  <c r="B119" i="23"/>
  <c r="I118" i="23"/>
  <c r="J118" i="23" s="1"/>
  <c r="F118" i="23"/>
  <c r="D118" i="23"/>
  <c r="C118" i="23"/>
  <c r="B118" i="23"/>
  <c r="I117" i="23"/>
  <c r="J117" i="23" s="1"/>
  <c r="F117" i="23"/>
  <c r="D117" i="23"/>
  <c r="C117" i="23"/>
  <c r="B117" i="23"/>
  <c r="I116" i="23"/>
  <c r="J116" i="23" s="1"/>
  <c r="F116" i="23"/>
  <c r="D116" i="23"/>
  <c r="C116" i="23"/>
  <c r="B116" i="23"/>
  <c r="J115" i="23"/>
  <c r="I115" i="23"/>
  <c r="F115" i="23"/>
  <c r="D115" i="23"/>
  <c r="C115" i="23"/>
  <c r="B115" i="23"/>
  <c r="J114" i="23"/>
  <c r="I114" i="23"/>
  <c r="F114" i="23"/>
  <c r="D114" i="23"/>
  <c r="C114" i="23"/>
  <c r="B114" i="23"/>
  <c r="I113" i="23"/>
  <c r="J113" i="23" s="1"/>
  <c r="F113" i="23"/>
  <c r="D113" i="23"/>
  <c r="C113" i="23"/>
  <c r="B113" i="23"/>
  <c r="I112" i="23"/>
  <c r="J112" i="23" s="1"/>
  <c r="F112" i="23"/>
  <c r="D112" i="23"/>
  <c r="C112" i="23"/>
  <c r="B112" i="23"/>
  <c r="J111" i="23"/>
  <c r="I111" i="23"/>
  <c r="F111" i="23"/>
  <c r="D111" i="23"/>
  <c r="C111" i="23"/>
  <c r="B111" i="23"/>
  <c r="J110" i="23"/>
  <c r="I110" i="23"/>
  <c r="F110" i="23"/>
  <c r="D110" i="23"/>
  <c r="C110" i="23"/>
  <c r="B110" i="23"/>
  <c r="I109" i="23"/>
  <c r="J109" i="23" s="1"/>
  <c r="F109" i="23"/>
  <c r="D109" i="23"/>
  <c r="C109" i="23"/>
  <c r="B109" i="23"/>
  <c r="I108" i="23"/>
  <c r="J108" i="23" s="1"/>
  <c r="F108" i="23"/>
  <c r="D108" i="23"/>
  <c r="C108" i="23"/>
  <c r="B108" i="23"/>
  <c r="J107" i="23"/>
  <c r="I107" i="23"/>
  <c r="F107" i="23"/>
  <c r="D107" i="23"/>
  <c r="C107" i="23"/>
  <c r="B107" i="23"/>
  <c r="J106" i="23"/>
  <c r="I106" i="23"/>
  <c r="F106" i="23"/>
  <c r="D106" i="23"/>
  <c r="C106" i="23"/>
  <c r="B106" i="23"/>
  <c r="I105" i="23"/>
  <c r="J105" i="23" s="1"/>
  <c r="F105" i="23"/>
  <c r="D105" i="23"/>
  <c r="C105" i="23"/>
  <c r="B105" i="23"/>
  <c r="I104" i="23"/>
  <c r="J104" i="23" s="1"/>
  <c r="F104" i="23"/>
  <c r="D104" i="23"/>
  <c r="C104" i="23"/>
  <c r="B104" i="23"/>
  <c r="J103" i="23"/>
  <c r="I103" i="23"/>
  <c r="F103" i="23"/>
  <c r="D103" i="23"/>
  <c r="C103" i="23"/>
  <c r="B103" i="23"/>
  <c r="J102" i="23"/>
  <c r="I102" i="23"/>
  <c r="F102" i="23"/>
  <c r="D102" i="23"/>
  <c r="C102" i="23"/>
  <c r="B102" i="23"/>
  <c r="I101" i="23"/>
  <c r="J101" i="23" s="1"/>
  <c r="F101" i="23"/>
  <c r="D101" i="23"/>
  <c r="C101" i="23"/>
  <c r="B101" i="23"/>
  <c r="I100" i="23"/>
  <c r="J100" i="23" s="1"/>
  <c r="F100" i="23"/>
  <c r="D100" i="23"/>
  <c r="C100" i="23"/>
  <c r="B100" i="23"/>
  <c r="J99" i="23"/>
  <c r="I99" i="23"/>
  <c r="F99" i="23"/>
  <c r="D99" i="23"/>
  <c r="C99" i="23"/>
  <c r="B99" i="23"/>
  <c r="J98" i="23"/>
  <c r="I98" i="23"/>
  <c r="F98" i="23"/>
  <c r="D98" i="23"/>
  <c r="C98" i="23"/>
  <c r="B98" i="23"/>
  <c r="I97" i="23"/>
  <c r="J97" i="23" s="1"/>
  <c r="F97" i="23"/>
  <c r="D97" i="23"/>
  <c r="C97" i="23"/>
  <c r="B97" i="23"/>
  <c r="I96" i="23"/>
  <c r="J96" i="23" s="1"/>
  <c r="F96" i="23"/>
  <c r="D96" i="23"/>
  <c r="C96" i="23"/>
  <c r="B96" i="23"/>
  <c r="J95" i="23"/>
  <c r="I95" i="23"/>
  <c r="F95" i="23"/>
  <c r="D95" i="23"/>
  <c r="C95" i="23"/>
  <c r="B95" i="23"/>
  <c r="J94" i="23"/>
  <c r="I94" i="23"/>
  <c r="F94" i="23"/>
  <c r="D94" i="23"/>
  <c r="C94" i="23"/>
  <c r="B94" i="23"/>
  <c r="I93" i="23"/>
  <c r="J93" i="23" s="1"/>
  <c r="F93" i="23"/>
  <c r="D93" i="23"/>
  <c r="C93" i="23"/>
  <c r="B93" i="23"/>
  <c r="I92" i="23"/>
  <c r="J92" i="23" s="1"/>
  <c r="F92" i="23"/>
  <c r="D92" i="23"/>
  <c r="C92" i="23"/>
  <c r="B92" i="23"/>
  <c r="J91" i="23"/>
  <c r="I91" i="23"/>
  <c r="F91" i="23"/>
  <c r="D91" i="23"/>
  <c r="C91" i="23"/>
  <c r="B91" i="23"/>
  <c r="J90" i="23"/>
  <c r="I90" i="23"/>
  <c r="F90" i="23"/>
  <c r="D90" i="23"/>
  <c r="C90" i="23"/>
  <c r="B90" i="23"/>
  <c r="I89" i="23"/>
  <c r="J89" i="23" s="1"/>
  <c r="F89" i="23"/>
  <c r="D89" i="23"/>
  <c r="C89" i="23"/>
  <c r="B89" i="23"/>
  <c r="I88" i="23"/>
  <c r="J88" i="23" s="1"/>
  <c r="F88" i="23"/>
  <c r="D88" i="23"/>
  <c r="C88" i="23"/>
  <c r="B88" i="23"/>
  <c r="J87" i="23"/>
  <c r="I87" i="23"/>
  <c r="F87" i="23"/>
  <c r="D87" i="23"/>
  <c r="C87" i="23"/>
  <c r="B87" i="23"/>
  <c r="J86" i="23"/>
  <c r="I86" i="23"/>
  <c r="F86" i="23"/>
  <c r="D86" i="23"/>
  <c r="C86" i="23"/>
  <c r="B86" i="23"/>
  <c r="I85" i="23"/>
  <c r="J85" i="23" s="1"/>
  <c r="F85" i="23"/>
  <c r="D85" i="23"/>
  <c r="C85" i="23"/>
  <c r="B85" i="23"/>
  <c r="I84" i="23"/>
  <c r="J84" i="23" s="1"/>
  <c r="F84" i="23"/>
  <c r="D84" i="23"/>
  <c r="C84" i="23"/>
  <c r="B84" i="23"/>
  <c r="J83" i="23"/>
  <c r="I83" i="23"/>
  <c r="F83" i="23"/>
  <c r="D83" i="23"/>
  <c r="C83" i="23"/>
  <c r="B83" i="23"/>
  <c r="J82" i="23"/>
  <c r="I82" i="23"/>
  <c r="F82" i="23"/>
  <c r="D82" i="23"/>
  <c r="C82" i="23"/>
  <c r="B82" i="23"/>
  <c r="I81" i="23"/>
  <c r="J81" i="23" s="1"/>
  <c r="F81" i="23"/>
  <c r="D81" i="23"/>
  <c r="C81" i="23"/>
  <c r="B81" i="23"/>
  <c r="I80" i="23"/>
  <c r="J80" i="23" s="1"/>
  <c r="F80" i="23"/>
  <c r="D80" i="23"/>
  <c r="C80" i="23"/>
  <c r="B80" i="23"/>
  <c r="J79" i="23"/>
  <c r="I79" i="23"/>
  <c r="F79" i="23"/>
  <c r="D79" i="23"/>
  <c r="C79" i="23"/>
  <c r="B79" i="23"/>
  <c r="J78" i="23"/>
  <c r="I78" i="23"/>
  <c r="F78" i="23"/>
  <c r="D78" i="23"/>
  <c r="C78" i="23"/>
  <c r="B78" i="23"/>
  <c r="I77" i="23"/>
  <c r="J77" i="23" s="1"/>
  <c r="F77" i="23"/>
  <c r="D77" i="23"/>
  <c r="C77" i="23"/>
  <c r="B77" i="23"/>
  <c r="I76" i="23"/>
  <c r="J76" i="23" s="1"/>
  <c r="F76" i="23"/>
  <c r="D76" i="23"/>
  <c r="C76" i="23"/>
  <c r="B76" i="23"/>
  <c r="J75" i="23"/>
  <c r="I75" i="23"/>
  <c r="F75" i="23"/>
  <c r="D75" i="23"/>
  <c r="C75" i="23"/>
  <c r="B75" i="23"/>
  <c r="J74" i="23"/>
  <c r="I74" i="23"/>
  <c r="F74" i="23"/>
  <c r="D74" i="23"/>
  <c r="C74" i="23"/>
  <c r="B74" i="23"/>
  <c r="I73" i="23"/>
  <c r="J73" i="23" s="1"/>
  <c r="F73" i="23"/>
  <c r="D73" i="23"/>
  <c r="C73" i="23"/>
  <c r="B73" i="23"/>
  <c r="I72" i="23"/>
  <c r="J72" i="23" s="1"/>
  <c r="F72" i="23"/>
  <c r="D72" i="23"/>
  <c r="C72" i="23"/>
  <c r="B72" i="23"/>
  <c r="J71" i="23"/>
  <c r="I71" i="23"/>
  <c r="F71" i="23"/>
  <c r="D71" i="23"/>
  <c r="C71" i="23"/>
  <c r="B71" i="23"/>
  <c r="J70" i="23"/>
  <c r="I70" i="23"/>
  <c r="F70" i="23"/>
  <c r="D70" i="23"/>
  <c r="C70" i="23"/>
  <c r="B70" i="23"/>
  <c r="I69" i="23"/>
  <c r="J69" i="23" s="1"/>
  <c r="F69" i="23"/>
  <c r="D69" i="23"/>
  <c r="C69" i="23"/>
  <c r="B69" i="23"/>
  <c r="I68" i="23"/>
  <c r="J68" i="23" s="1"/>
  <c r="F68" i="23"/>
  <c r="D68" i="23"/>
  <c r="C68" i="23"/>
  <c r="B68" i="23"/>
  <c r="J67" i="23"/>
  <c r="I67" i="23"/>
  <c r="F67" i="23"/>
  <c r="D67" i="23"/>
  <c r="C67" i="23"/>
  <c r="B67" i="23"/>
  <c r="J66" i="23"/>
  <c r="I66" i="23"/>
  <c r="F66" i="23"/>
  <c r="D66" i="23"/>
  <c r="C66" i="23"/>
  <c r="B66" i="23"/>
  <c r="I65" i="23"/>
  <c r="J65" i="23" s="1"/>
  <c r="F65" i="23"/>
  <c r="D65" i="23"/>
  <c r="C65" i="23"/>
  <c r="B65" i="23"/>
  <c r="I64" i="23"/>
  <c r="J64" i="23" s="1"/>
  <c r="F64" i="23"/>
  <c r="D64" i="23"/>
  <c r="C64" i="23"/>
  <c r="B64" i="23"/>
  <c r="J63" i="23"/>
  <c r="I63" i="23"/>
  <c r="F63" i="23"/>
  <c r="D63" i="23"/>
  <c r="C63" i="23"/>
  <c r="B63" i="23"/>
  <c r="J62" i="23"/>
  <c r="I62" i="23"/>
  <c r="F62" i="23"/>
  <c r="D62" i="23"/>
  <c r="C62" i="23"/>
  <c r="B62" i="23"/>
  <c r="J61" i="23"/>
  <c r="I61" i="23"/>
  <c r="F61" i="23"/>
  <c r="D61" i="23"/>
  <c r="C61" i="23"/>
  <c r="B61" i="23"/>
  <c r="I60" i="23"/>
  <c r="J60" i="23" s="1"/>
  <c r="F60" i="23"/>
  <c r="D60" i="23"/>
  <c r="C60" i="23"/>
  <c r="B60" i="23"/>
  <c r="I59" i="23"/>
  <c r="J59" i="23" s="1"/>
  <c r="F59" i="23"/>
  <c r="D59" i="23"/>
  <c r="C59" i="23"/>
  <c r="B59" i="23"/>
  <c r="I58" i="23"/>
  <c r="J58" i="23" s="1"/>
  <c r="F58" i="23"/>
  <c r="D58" i="23"/>
  <c r="C58" i="23"/>
  <c r="B58" i="23"/>
  <c r="I57" i="23"/>
  <c r="J57" i="23" s="1"/>
  <c r="F57" i="23"/>
  <c r="D57" i="23"/>
  <c r="C57" i="23"/>
  <c r="B57" i="23"/>
  <c r="I56" i="23"/>
  <c r="J56" i="23" s="1"/>
  <c r="F56" i="23"/>
  <c r="D56" i="23"/>
  <c r="C56" i="23"/>
  <c r="B56" i="23"/>
  <c r="I55" i="23"/>
  <c r="J55" i="23" s="1"/>
  <c r="F55" i="23"/>
  <c r="D55" i="23"/>
  <c r="C55" i="23"/>
  <c r="B55" i="23"/>
  <c r="I54" i="23"/>
  <c r="J54" i="23" s="1"/>
  <c r="F54" i="23"/>
  <c r="D54" i="23"/>
  <c r="C54" i="23"/>
  <c r="B54" i="23"/>
  <c r="I53" i="23"/>
  <c r="J53" i="23" s="1"/>
  <c r="F53" i="23"/>
  <c r="D53" i="23"/>
  <c r="C53" i="23"/>
  <c r="B53" i="23"/>
  <c r="I52" i="23"/>
  <c r="J52" i="23" s="1"/>
  <c r="F52" i="23"/>
  <c r="D52" i="23"/>
  <c r="C52" i="23"/>
  <c r="B52" i="23"/>
  <c r="I51" i="23"/>
  <c r="J51" i="23" s="1"/>
  <c r="F51" i="23"/>
  <c r="D51" i="23"/>
  <c r="C51" i="23"/>
  <c r="B51" i="23"/>
  <c r="I50" i="23"/>
  <c r="J50" i="23" s="1"/>
  <c r="F50" i="23"/>
  <c r="D50" i="23"/>
  <c r="C50" i="23"/>
  <c r="B50" i="23"/>
  <c r="I49" i="23"/>
  <c r="J49" i="23" s="1"/>
  <c r="F49" i="23"/>
  <c r="D49" i="23"/>
  <c r="C49" i="23"/>
  <c r="B49" i="23"/>
  <c r="I48" i="23"/>
  <c r="J48" i="23" s="1"/>
  <c r="F48" i="23"/>
  <c r="D48" i="23"/>
  <c r="C48" i="23"/>
  <c r="B48" i="23"/>
  <c r="I47" i="23"/>
  <c r="J47" i="23" s="1"/>
  <c r="F47" i="23"/>
  <c r="D47" i="23"/>
  <c r="C47" i="23"/>
  <c r="B47" i="23"/>
  <c r="I46" i="23"/>
  <c r="J46" i="23" s="1"/>
  <c r="F46" i="23"/>
  <c r="D46" i="23"/>
  <c r="C46" i="23"/>
  <c r="B46" i="23"/>
  <c r="I45" i="23"/>
  <c r="J45" i="23" s="1"/>
  <c r="F45" i="23"/>
  <c r="D45" i="23"/>
  <c r="C45" i="23"/>
  <c r="B45" i="23"/>
  <c r="I44" i="23"/>
  <c r="J44" i="23" s="1"/>
  <c r="F44" i="23"/>
  <c r="D44" i="23"/>
  <c r="C44" i="23"/>
  <c r="B44" i="23"/>
  <c r="I43" i="23"/>
  <c r="J43" i="23" s="1"/>
  <c r="F43" i="23"/>
  <c r="D43" i="23"/>
  <c r="C43" i="23"/>
  <c r="B43" i="23"/>
  <c r="I42" i="23"/>
  <c r="J42" i="23" s="1"/>
  <c r="F42" i="23"/>
  <c r="D42" i="23"/>
  <c r="C42" i="23"/>
  <c r="B42" i="23"/>
  <c r="I41" i="23"/>
  <c r="J41" i="23" s="1"/>
  <c r="F41" i="23"/>
  <c r="D41" i="23"/>
  <c r="C41" i="23"/>
  <c r="B41" i="23"/>
  <c r="I40" i="23"/>
  <c r="J40" i="23" s="1"/>
  <c r="F40" i="23"/>
  <c r="D40" i="23"/>
  <c r="C40" i="23"/>
  <c r="B40" i="23"/>
  <c r="I39" i="23"/>
  <c r="J39" i="23" s="1"/>
  <c r="F39" i="23"/>
  <c r="D39" i="23"/>
  <c r="C39" i="23"/>
  <c r="B39" i="23"/>
  <c r="I38" i="23"/>
  <c r="J38" i="23" s="1"/>
  <c r="F38" i="23"/>
  <c r="D38" i="23"/>
  <c r="C38" i="23"/>
  <c r="B38" i="23"/>
  <c r="I37" i="23"/>
  <c r="J37" i="23" s="1"/>
  <c r="F37" i="23"/>
  <c r="D37" i="23"/>
  <c r="C37" i="23"/>
  <c r="B37" i="23"/>
  <c r="I36" i="23"/>
  <c r="J36" i="23" s="1"/>
  <c r="F36" i="23"/>
  <c r="D36" i="23"/>
  <c r="C36" i="23"/>
  <c r="B36" i="23"/>
  <c r="I35" i="23"/>
  <c r="J35" i="23" s="1"/>
  <c r="F35" i="23"/>
  <c r="D35" i="23"/>
  <c r="C35" i="23"/>
  <c r="B35" i="23"/>
  <c r="I34" i="23"/>
  <c r="J34" i="23" s="1"/>
  <c r="F34" i="23"/>
  <c r="D34" i="23"/>
  <c r="C34" i="23"/>
  <c r="B34" i="23"/>
  <c r="I33" i="23"/>
  <c r="J33" i="23" s="1"/>
  <c r="F33" i="23"/>
  <c r="D33" i="23"/>
  <c r="C33" i="23"/>
  <c r="B33" i="23"/>
  <c r="I32" i="23"/>
  <c r="J32" i="23" s="1"/>
  <c r="F32" i="23"/>
  <c r="D32" i="23"/>
  <c r="C32" i="23"/>
  <c r="B32" i="23"/>
  <c r="I31" i="23"/>
  <c r="J31" i="23" s="1"/>
  <c r="F31" i="23"/>
  <c r="D31" i="23"/>
  <c r="C31" i="23"/>
  <c r="B31" i="23"/>
  <c r="I30" i="23"/>
  <c r="J30" i="23" s="1"/>
  <c r="F30" i="23"/>
  <c r="D30" i="23"/>
  <c r="C30" i="23"/>
  <c r="B30" i="23"/>
  <c r="I29" i="23"/>
  <c r="J29" i="23" s="1"/>
  <c r="F29" i="23"/>
  <c r="D29" i="23"/>
  <c r="C29" i="23"/>
  <c r="B29" i="23"/>
  <c r="I28" i="23"/>
  <c r="J28" i="23" s="1"/>
  <c r="F28" i="23"/>
  <c r="D28" i="23"/>
  <c r="C28" i="23"/>
  <c r="B28" i="23"/>
  <c r="I27" i="23"/>
  <c r="J27" i="23" s="1"/>
  <c r="F27" i="23"/>
  <c r="D27" i="23"/>
  <c r="C27" i="23"/>
  <c r="B27" i="23"/>
  <c r="I26" i="23"/>
  <c r="J26" i="23" s="1"/>
  <c r="F26" i="23"/>
  <c r="D26" i="23"/>
  <c r="C26" i="23"/>
  <c r="B26" i="23"/>
  <c r="I25" i="23"/>
  <c r="J25" i="23" s="1"/>
  <c r="F25" i="23"/>
  <c r="D25" i="23"/>
  <c r="C25" i="23"/>
  <c r="B25" i="23"/>
  <c r="I24" i="23"/>
  <c r="J24" i="23" s="1"/>
  <c r="F24" i="23"/>
  <c r="D24" i="23"/>
  <c r="C24" i="23"/>
  <c r="B24" i="23"/>
  <c r="I23" i="23"/>
  <c r="J23" i="23" s="1"/>
  <c r="F23" i="23"/>
  <c r="D23" i="23"/>
  <c r="C23" i="23"/>
  <c r="B23" i="23"/>
  <c r="I22" i="23"/>
  <c r="J22" i="23" s="1"/>
  <c r="F22" i="23"/>
  <c r="D22" i="23"/>
  <c r="C22" i="23"/>
  <c r="B22" i="23"/>
  <c r="I21" i="23"/>
  <c r="J21" i="23" s="1"/>
  <c r="F21" i="23"/>
  <c r="D21" i="23"/>
  <c r="C21" i="23"/>
  <c r="B21" i="23"/>
  <c r="I20" i="23"/>
  <c r="J20" i="23" s="1"/>
  <c r="F20" i="23"/>
  <c r="D20" i="23"/>
  <c r="C20" i="23"/>
  <c r="B20" i="23"/>
  <c r="I19" i="23"/>
  <c r="J19" i="23" s="1"/>
  <c r="F19" i="23"/>
  <c r="D19" i="23"/>
  <c r="C19" i="23"/>
  <c r="B19" i="23"/>
  <c r="I18" i="23"/>
  <c r="J18" i="23" s="1"/>
  <c r="F18" i="23"/>
  <c r="D18" i="23"/>
  <c r="C18" i="23"/>
  <c r="B18" i="23"/>
  <c r="I17" i="23"/>
  <c r="J17" i="23" s="1"/>
  <c r="F17" i="23"/>
  <c r="D17" i="23"/>
  <c r="C17" i="23"/>
  <c r="B17" i="23"/>
  <c r="I16" i="23"/>
  <c r="J16" i="23" s="1"/>
  <c r="F16" i="23"/>
  <c r="D16" i="23"/>
  <c r="C16" i="23"/>
  <c r="B16" i="23"/>
  <c r="I15" i="23"/>
  <c r="J15" i="23" s="1"/>
  <c r="F15" i="23"/>
  <c r="D15" i="23"/>
  <c r="C15" i="23"/>
  <c r="B15" i="23"/>
  <c r="I14" i="23"/>
  <c r="J14" i="23" s="1"/>
  <c r="F14" i="23"/>
  <c r="D14" i="23"/>
  <c r="C14" i="23"/>
  <c r="B14" i="23"/>
  <c r="I13" i="23"/>
  <c r="J13" i="23" s="1"/>
  <c r="F13" i="23"/>
  <c r="D13" i="23"/>
  <c r="C13" i="23"/>
  <c r="B13" i="23"/>
  <c r="I12" i="23"/>
  <c r="J12" i="23" s="1"/>
  <c r="F12" i="23"/>
  <c r="D12" i="23"/>
  <c r="C12" i="23"/>
  <c r="B12" i="23"/>
  <c r="I11" i="23"/>
  <c r="J11" i="23" s="1"/>
  <c r="F11" i="23"/>
  <c r="D11" i="23"/>
  <c r="C11" i="23"/>
  <c r="B11" i="23"/>
  <c r="I10" i="23"/>
  <c r="J10" i="23" s="1"/>
  <c r="F10" i="23"/>
  <c r="D10" i="23"/>
  <c r="C10" i="23"/>
  <c r="B10" i="23"/>
  <c r="I9" i="23"/>
  <c r="J9" i="23" s="1"/>
  <c r="F9" i="23"/>
  <c r="D9" i="23"/>
  <c r="C9" i="23"/>
  <c r="B9" i="23"/>
  <c r="G4" i="23"/>
  <c r="K213" i="22"/>
  <c r="I213" i="22"/>
  <c r="J213" i="22" s="1"/>
  <c r="D213" i="22"/>
  <c r="C213" i="22"/>
  <c r="A213" i="22"/>
  <c r="K212" i="22"/>
  <c r="I212" i="22"/>
  <c r="J212" i="22" s="1"/>
  <c r="D212" i="22"/>
  <c r="C212" i="22"/>
  <c r="A212" i="22"/>
  <c r="K211" i="22"/>
  <c r="I211" i="22"/>
  <c r="J211" i="22" s="1"/>
  <c r="D211" i="22"/>
  <c r="C211" i="22"/>
  <c r="A211" i="22"/>
  <c r="K210" i="22"/>
  <c r="I210" i="22"/>
  <c r="J210" i="22" s="1"/>
  <c r="D210" i="22"/>
  <c r="C210" i="22"/>
  <c r="A210" i="22"/>
  <c r="K209" i="22"/>
  <c r="I209" i="22"/>
  <c r="J209" i="22" s="1"/>
  <c r="D209" i="22"/>
  <c r="C209" i="22"/>
  <c r="A209" i="22"/>
  <c r="K208" i="22"/>
  <c r="I208" i="22"/>
  <c r="J208" i="22" s="1"/>
  <c r="D208" i="22"/>
  <c r="C208" i="22"/>
  <c r="A208" i="22"/>
  <c r="K207" i="22"/>
  <c r="I207" i="22"/>
  <c r="J207" i="22" s="1"/>
  <c r="D207" i="22"/>
  <c r="C207" i="22"/>
  <c r="A207" i="22"/>
  <c r="K206" i="22"/>
  <c r="I206" i="22"/>
  <c r="J206" i="22" s="1"/>
  <c r="D206" i="22"/>
  <c r="C206" i="22"/>
  <c r="A206" i="22"/>
  <c r="K205" i="22"/>
  <c r="I205" i="22"/>
  <c r="J205" i="22" s="1"/>
  <c r="D205" i="22"/>
  <c r="C205" i="22"/>
  <c r="A205" i="22"/>
  <c r="K204" i="22"/>
  <c r="I204" i="22"/>
  <c r="J204" i="22" s="1"/>
  <c r="D204" i="22"/>
  <c r="C204" i="22"/>
  <c r="A204" i="22"/>
  <c r="K203" i="22"/>
  <c r="I203" i="22"/>
  <c r="J203" i="22" s="1"/>
  <c r="D203" i="22"/>
  <c r="C203" i="22"/>
  <c r="A203" i="22"/>
  <c r="K202" i="22"/>
  <c r="I202" i="22"/>
  <c r="J202" i="22" s="1"/>
  <c r="D202" i="22"/>
  <c r="C202" i="22"/>
  <c r="A202" i="22"/>
  <c r="K201" i="22"/>
  <c r="I201" i="22"/>
  <c r="J201" i="22" s="1"/>
  <c r="D201" i="22"/>
  <c r="C201" i="22"/>
  <c r="A201" i="22"/>
  <c r="K200" i="22"/>
  <c r="I200" i="22"/>
  <c r="J200" i="22" s="1"/>
  <c r="D200" i="22"/>
  <c r="C200" i="22"/>
  <c r="A200" i="22"/>
  <c r="K199" i="22"/>
  <c r="I199" i="22"/>
  <c r="J199" i="22" s="1"/>
  <c r="D199" i="22"/>
  <c r="C199" i="22"/>
  <c r="A199" i="22"/>
  <c r="K198" i="22"/>
  <c r="I198" i="22"/>
  <c r="J198" i="22" s="1"/>
  <c r="D198" i="22"/>
  <c r="C198" i="22"/>
  <c r="A198" i="22"/>
  <c r="K197" i="22"/>
  <c r="I197" i="22"/>
  <c r="J197" i="22" s="1"/>
  <c r="D197" i="22"/>
  <c r="C197" i="22"/>
  <c r="A197" i="22"/>
  <c r="K196" i="22"/>
  <c r="I196" i="22"/>
  <c r="J196" i="22" s="1"/>
  <c r="D196" i="22"/>
  <c r="C196" i="22"/>
  <c r="A196" i="22"/>
  <c r="K195" i="22"/>
  <c r="I195" i="22"/>
  <c r="J195" i="22" s="1"/>
  <c r="D195" i="22"/>
  <c r="C195" i="22"/>
  <c r="A195" i="22"/>
  <c r="K194" i="22"/>
  <c r="I194" i="22"/>
  <c r="J194" i="22" s="1"/>
  <c r="D194" i="22"/>
  <c r="C194" i="22"/>
  <c r="A194" i="22"/>
  <c r="K193" i="22"/>
  <c r="I193" i="22"/>
  <c r="J193" i="22" s="1"/>
  <c r="D193" i="22"/>
  <c r="C193" i="22"/>
  <c r="A193" i="22"/>
  <c r="K192" i="22"/>
  <c r="I192" i="22"/>
  <c r="J192" i="22" s="1"/>
  <c r="D192" i="22"/>
  <c r="C192" i="22"/>
  <c r="A192" i="22"/>
  <c r="K191" i="22"/>
  <c r="I191" i="22"/>
  <c r="J191" i="22" s="1"/>
  <c r="D191" i="22"/>
  <c r="C191" i="22"/>
  <c r="A191" i="22"/>
  <c r="K190" i="22"/>
  <c r="I190" i="22"/>
  <c r="J190" i="22" s="1"/>
  <c r="D190" i="22"/>
  <c r="C190" i="22"/>
  <c r="A190" i="22"/>
  <c r="K189" i="22"/>
  <c r="I189" i="22"/>
  <c r="J189" i="22" s="1"/>
  <c r="D189" i="22"/>
  <c r="C189" i="22"/>
  <c r="A189" i="22"/>
  <c r="K188" i="22"/>
  <c r="I188" i="22"/>
  <c r="J188" i="22" s="1"/>
  <c r="D188" i="22"/>
  <c r="C188" i="22"/>
  <c r="A188" i="22"/>
  <c r="K187" i="22"/>
  <c r="I187" i="22"/>
  <c r="J187" i="22" s="1"/>
  <c r="D187" i="22"/>
  <c r="C187" i="22"/>
  <c r="A187" i="22"/>
  <c r="K186" i="22"/>
  <c r="I186" i="22"/>
  <c r="J186" i="22" s="1"/>
  <c r="D186" i="22"/>
  <c r="C186" i="22"/>
  <c r="A186" i="22"/>
  <c r="K185" i="22"/>
  <c r="I185" i="22"/>
  <c r="J185" i="22" s="1"/>
  <c r="D185" i="22"/>
  <c r="C185" i="22"/>
  <c r="A185" i="22"/>
  <c r="K184" i="22"/>
  <c r="I184" i="22"/>
  <c r="J184" i="22" s="1"/>
  <c r="D184" i="22"/>
  <c r="C184" i="22"/>
  <c r="A184" i="22"/>
  <c r="K183" i="22"/>
  <c r="I183" i="22"/>
  <c r="J183" i="22" s="1"/>
  <c r="D183" i="22"/>
  <c r="C183" i="22"/>
  <c r="A183" i="22"/>
  <c r="K182" i="22"/>
  <c r="I182" i="22"/>
  <c r="J182" i="22" s="1"/>
  <c r="D182" i="22"/>
  <c r="C182" i="22"/>
  <c r="A182" i="22"/>
  <c r="K181" i="22"/>
  <c r="I181" i="22"/>
  <c r="J181" i="22" s="1"/>
  <c r="D181" i="22"/>
  <c r="C181" i="22"/>
  <c r="A181" i="22"/>
  <c r="K180" i="22"/>
  <c r="I180" i="22"/>
  <c r="J180" i="22" s="1"/>
  <c r="D180" i="22"/>
  <c r="C180" i="22"/>
  <c r="A180" i="22"/>
  <c r="K179" i="22"/>
  <c r="I179" i="22"/>
  <c r="J179" i="22" s="1"/>
  <c r="D179" i="22"/>
  <c r="C179" i="22"/>
  <c r="A179" i="22"/>
  <c r="K178" i="22"/>
  <c r="I178" i="22"/>
  <c r="J178" i="22" s="1"/>
  <c r="D178" i="22"/>
  <c r="C178" i="22"/>
  <c r="A178" i="22"/>
  <c r="K177" i="22"/>
  <c r="I177" i="22"/>
  <c r="J177" i="22" s="1"/>
  <c r="D177" i="22"/>
  <c r="C177" i="22"/>
  <c r="A177" i="22"/>
  <c r="K176" i="22"/>
  <c r="I176" i="22"/>
  <c r="J176" i="22" s="1"/>
  <c r="D176" i="22"/>
  <c r="C176" i="22"/>
  <c r="A176" i="22"/>
  <c r="K175" i="22"/>
  <c r="I175" i="22"/>
  <c r="J175" i="22" s="1"/>
  <c r="D175" i="22"/>
  <c r="C175" i="22"/>
  <c r="A175" i="22"/>
  <c r="K174" i="22"/>
  <c r="I174" i="22"/>
  <c r="J174" i="22" s="1"/>
  <c r="D174" i="22"/>
  <c r="C174" i="22"/>
  <c r="A174" i="22"/>
  <c r="K173" i="22"/>
  <c r="I173" i="22"/>
  <c r="J173" i="22" s="1"/>
  <c r="D173" i="22"/>
  <c r="C173" i="22"/>
  <c r="A173" i="22"/>
  <c r="K172" i="22"/>
  <c r="I172" i="22"/>
  <c r="J172" i="22" s="1"/>
  <c r="D172" i="22"/>
  <c r="C172" i="22"/>
  <c r="A172" i="22"/>
  <c r="K171" i="22"/>
  <c r="I171" i="22"/>
  <c r="J171" i="22" s="1"/>
  <c r="D171" i="22"/>
  <c r="C171" i="22"/>
  <c r="A171" i="22"/>
  <c r="K170" i="22"/>
  <c r="I170" i="22"/>
  <c r="J170" i="22" s="1"/>
  <c r="D170" i="22"/>
  <c r="C170" i="22"/>
  <c r="A170" i="22"/>
  <c r="K169" i="22"/>
  <c r="I169" i="22"/>
  <c r="J169" i="22" s="1"/>
  <c r="D169" i="22"/>
  <c r="C169" i="22"/>
  <c r="A169" i="22"/>
  <c r="K168" i="22"/>
  <c r="I168" i="22"/>
  <c r="J168" i="22" s="1"/>
  <c r="D168" i="22"/>
  <c r="C168" i="22"/>
  <c r="A168" i="22"/>
  <c r="K167" i="22"/>
  <c r="I167" i="22"/>
  <c r="J167" i="22" s="1"/>
  <c r="D167" i="22"/>
  <c r="C167" i="22"/>
  <c r="A167" i="22"/>
  <c r="K166" i="22"/>
  <c r="I166" i="22"/>
  <c r="J166" i="22" s="1"/>
  <c r="D166" i="22"/>
  <c r="C166" i="22"/>
  <c r="A166" i="22"/>
  <c r="K165" i="22"/>
  <c r="I165" i="22"/>
  <c r="J165" i="22" s="1"/>
  <c r="D165" i="22"/>
  <c r="C165" i="22"/>
  <c r="A165" i="22"/>
  <c r="K164" i="22"/>
  <c r="I164" i="22"/>
  <c r="J164" i="22" s="1"/>
  <c r="D164" i="22"/>
  <c r="C164" i="22"/>
  <c r="A164" i="22"/>
  <c r="K163" i="22"/>
  <c r="I163" i="22"/>
  <c r="J163" i="22" s="1"/>
  <c r="D163" i="22"/>
  <c r="C163" i="22"/>
  <c r="A163" i="22"/>
  <c r="K162" i="22"/>
  <c r="I162" i="22"/>
  <c r="J162" i="22" s="1"/>
  <c r="D162" i="22"/>
  <c r="C162" i="22"/>
  <c r="A162" i="22"/>
  <c r="K161" i="22"/>
  <c r="I161" i="22"/>
  <c r="J161" i="22" s="1"/>
  <c r="D161" i="22"/>
  <c r="C161" i="22"/>
  <c r="A161" i="22"/>
  <c r="K160" i="22"/>
  <c r="I160" i="22"/>
  <c r="J160" i="22" s="1"/>
  <c r="D160" i="22"/>
  <c r="C160" i="22"/>
  <c r="A160" i="22"/>
  <c r="K159" i="22"/>
  <c r="I159" i="22"/>
  <c r="J159" i="22" s="1"/>
  <c r="D159" i="22"/>
  <c r="C159" i="22"/>
  <c r="A159" i="22"/>
  <c r="K158" i="22"/>
  <c r="I158" i="22"/>
  <c r="J158" i="22" s="1"/>
  <c r="D158" i="22"/>
  <c r="C158" i="22"/>
  <c r="A158" i="22"/>
  <c r="K157" i="22"/>
  <c r="I157" i="22"/>
  <c r="J157" i="22" s="1"/>
  <c r="D157" i="22"/>
  <c r="C157" i="22"/>
  <c r="A157" i="22"/>
  <c r="K156" i="22"/>
  <c r="I156" i="22"/>
  <c r="J156" i="22" s="1"/>
  <c r="D156" i="22"/>
  <c r="C156" i="22"/>
  <c r="A156" i="22"/>
  <c r="K155" i="22"/>
  <c r="I155" i="22"/>
  <c r="J155" i="22" s="1"/>
  <c r="D155" i="22"/>
  <c r="C155" i="22"/>
  <c r="A155" i="22"/>
  <c r="K154" i="22"/>
  <c r="I154" i="22"/>
  <c r="J154" i="22" s="1"/>
  <c r="D154" i="22"/>
  <c r="C154" i="22"/>
  <c r="A154" i="22"/>
  <c r="K153" i="22"/>
  <c r="I153" i="22"/>
  <c r="J153" i="22" s="1"/>
  <c r="D153" i="22"/>
  <c r="C153" i="22"/>
  <c r="A153" i="22"/>
  <c r="K152" i="22"/>
  <c r="I152" i="22"/>
  <c r="J152" i="22" s="1"/>
  <c r="D152" i="22"/>
  <c r="C152" i="22"/>
  <c r="A152" i="22"/>
  <c r="K151" i="22"/>
  <c r="I151" i="22"/>
  <c r="J151" i="22" s="1"/>
  <c r="D151" i="22"/>
  <c r="C151" i="22"/>
  <c r="A151" i="22"/>
  <c r="K150" i="22"/>
  <c r="I150" i="22"/>
  <c r="J150" i="22" s="1"/>
  <c r="D150" i="22"/>
  <c r="C150" i="22"/>
  <c r="A150" i="22"/>
  <c r="K149" i="22"/>
  <c r="I149" i="22"/>
  <c r="J149" i="22" s="1"/>
  <c r="D149" i="22"/>
  <c r="C149" i="22"/>
  <c r="A149" i="22"/>
  <c r="K148" i="22"/>
  <c r="I148" i="22"/>
  <c r="J148" i="22" s="1"/>
  <c r="D148" i="22"/>
  <c r="C148" i="22"/>
  <c r="A148" i="22"/>
  <c r="K147" i="22"/>
  <c r="I147" i="22"/>
  <c r="J147" i="22" s="1"/>
  <c r="D147" i="22"/>
  <c r="C147" i="22"/>
  <c r="A147" i="22"/>
  <c r="K146" i="22"/>
  <c r="I146" i="22"/>
  <c r="J146" i="22" s="1"/>
  <c r="D146" i="22"/>
  <c r="C146" i="22"/>
  <c r="A146" i="22"/>
  <c r="K145" i="22"/>
  <c r="I145" i="22"/>
  <c r="J145" i="22" s="1"/>
  <c r="D145" i="22"/>
  <c r="C145" i="22"/>
  <c r="A145" i="22"/>
  <c r="K144" i="22"/>
  <c r="I144" i="22"/>
  <c r="J144" i="22" s="1"/>
  <c r="D144" i="22"/>
  <c r="C144" i="22"/>
  <c r="A144" i="22"/>
  <c r="K143" i="22"/>
  <c r="I143" i="22"/>
  <c r="J143" i="22" s="1"/>
  <c r="D143" i="22"/>
  <c r="C143" i="22"/>
  <c r="A143" i="22"/>
  <c r="K142" i="22"/>
  <c r="I142" i="22"/>
  <c r="J142" i="22" s="1"/>
  <c r="D142" i="22"/>
  <c r="C142" i="22"/>
  <c r="A142" i="22"/>
  <c r="K141" i="22"/>
  <c r="I141" i="22"/>
  <c r="J141" i="22" s="1"/>
  <c r="D141" i="22"/>
  <c r="C141" i="22"/>
  <c r="A141" i="22"/>
  <c r="K140" i="22"/>
  <c r="I140" i="22"/>
  <c r="J140" i="22" s="1"/>
  <c r="D140" i="22"/>
  <c r="C140" i="22"/>
  <c r="A140" i="22"/>
  <c r="K139" i="22"/>
  <c r="I139" i="22"/>
  <c r="J139" i="22" s="1"/>
  <c r="D139" i="22"/>
  <c r="C139" i="22"/>
  <c r="A139" i="22"/>
  <c r="K138" i="22"/>
  <c r="I138" i="22"/>
  <c r="J138" i="22" s="1"/>
  <c r="D138" i="22"/>
  <c r="C138" i="22"/>
  <c r="A138" i="22"/>
  <c r="K137" i="22"/>
  <c r="I137" i="22"/>
  <c r="J137" i="22" s="1"/>
  <c r="D137" i="22"/>
  <c r="C137" i="22"/>
  <c r="A137" i="22"/>
  <c r="K136" i="22"/>
  <c r="I136" i="22"/>
  <c r="J136" i="22" s="1"/>
  <c r="D136" i="22"/>
  <c r="C136" i="22"/>
  <c r="A136" i="22"/>
  <c r="K135" i="22"/>
  <c r="I135" i="22"/>
  <c r="J135" i="22" s="1"/>
  <c r="D135" i="22"/>
  <c r="C135" i="22"/>
  <c r="A135" i="22"/>
  <c r="K134" i="22"/>
  <c r="I134" i="22"/>
  <c r="J134" i="22" s="1"/>
  <c r="D134" i="22"/>
  <c r="C134" i="22"/>
  <c r="A134" i="22"/>
  <c r="K133" i="22"/>
  <c r="I133" i="22"/>
  <c r="J133" i="22" s="1"/>
  <c r="D133" i="22"/>
  <c r="C133" i="22"/>
  <c r="A133" i="22"/>
  <c r="K132" i="22"/>
  <c r="I132" i="22"/>
  <c r="J132" i="22" s="1"/>
  <c r="D132" i="22"/>
  <c r="C132" i="22"/>
  <c r="A132" i="22"/>
  <c r="K131" i="22"/>
  <c r="I131" i="22"/>
  <c r="J131" i="22" s="1"/>
  <c r="D131" i="22"/>
  <c r="C131" i="22"/>
  <c r="A131" i="22"/>
  <c r="K130" i="22"/>
  <c r="I130" i="22"/>
  <c r="J130" i="22" s="1"/>
  <c r="D130" i="22"/>
  <c r="C130" i="22"/>
  <c r="A130" i="22"/>
  <c r="K129" i="22"/>
  <c r="I129" i="22"/>
  <c r="J129" i="22" s="1"/>
  <c r="D129" i="22"/>
  <c r="C129" i="22"/>
  <c r="A129" i="22"/>
  <c r="K128" i="22"/>
  <c r="I128" i="22"/>
  <c r="J128" i="22" s="1"/>
  <c r="D128" i="22"/>
  <c r="C128" i="22"/>
  <c r="A128" i="22"/>
  <c r="K127" i="22"/>
  <c r="I127" i="22"/>
  <c r="J127" i="22" s="1"/>
  <c r="D127" i="22"/>
  <c r="C127" i="22"/>
  <c r="A127" i="22"/>
  <c r="K126" i="22"/>
  <c r="I126" i="22"/>
  <c r="J126" i="22" s="1"/>
  <c r="D126" i="22"/>
  <c r="C126" i="22"/>
  <c r="A126" i="22"/>
  <c r="K125" i="22"/>
  <c r="I125" i="22"/>
  <c r="J125" i="22" s="1"/>
  <c r="D125" i="22"/>
  <c r="C125" i="22"/>
  <c r="A125" i="22"/>
  <c r="K124" i="22"/>
  <c r="I124" i="22"/>
  <c r="J124" i="22" s="1"/>
  <c r="D124" i="22"/>
  <c r="C124" i="22"/>
  <c r="A124" i="22"/>
  <c r="K123" i="22"/>
  <c r="I123" i="22"/>
  <c r="J123" i="22" s="1"/>
  <c r="D123" i="22"/>
  <c r="C123" i="22"/>
  <c r="A123" i="22"/>
  <c r="K122" i="22"/>
  <c r="I122" i="22"/>
  <c r="J122" i="22" s="1"/>
  <c r="D122" i="22"/>
  <c r="C122" i="22"/>
  <c r="A122" i="22"/>
  <c r="K121" i="22"/>
  <c r="I121" i="22"/>
  <c r="J121" i="22" s="1"/>
  <c r="D121" i="22"/>
  <c r="C121" i="22"/>
  <c r="A121" i="22"/>
  <c r="K120" i="22"/>
  <c r="I120" i="22"/>
  <c r="J120" i="22" s="1"/>
  <c r="D120" i="22"/>
  <c r="C120" i="22"/>
  <c r="A120" i="22"/>
  <c r="K119" i="22"/>
  <c r="I119" i="22"/>
  <c r="J119" i="22" s="1"/>
  <c r="D119" i="22"/>
  <c r="C119" i="22"/>
  <c r="A119" i="22"/>
  <c r="K118" i="22"/>
  <c r="I118" i="22"/>
  <c r="J118" i="22" s="1"/>
  <c r="D118" i="22"/>
  <c r="C118" i="22"/>
  <c r="A118" i="22"/>
  <c r="K117" i="22"/>
  <c r="I117" i="22"/>
  <c r="J117" i="22" s="1"/>
  <c r="D117" i="22"/>
  <c r="C117" i="22"/>
  <c r="A117" i="22"/>
  <c r="K116" i="22"/>
  <c r="I116" i="22"/>
  <c r="J116" i="22" s="1"/>
  <c r="D116" i="22"/>
  <c r="C116" i="22"/>
  <c r="A116" i="22"/>
  <c r="K115" i="22"/>
  <c r="I115" i="22"/>
  <c r="J115" i="22" s="1"/>
  <c r="D115" i="22"/>
  <c r="C115" i="22"/>
  <c r="A115" i="22"/>
  <c r="K114" i="22"/>
  <c r="I114" i="22"/>
  <c r="J114" i="22" s="1"/>
  <c r="D114" i="22"/>
  <c r="C114" i="22"/>
  <c r="A114" i="22"/>
  <c r="K113" i="22"/>
  <c r="I113" i="22"/>
  <c r="J113" i="22" s="1"/>
  <c r="D113" i="22"/>
  <c r="C113" i="22"/>
  <c r="A113" i="22"/>
  <c r="K112" i="22"/>
  <c r="I112" i="22"/>
  <c r="J112" i="22" s="1"/>
  <c r="D112" i="22"/>
  <c r="C112" i="22"/>
  <c r="A112" i="22"/>
  <c r="K111" i="22"/>
  <c r="I111" i="22"/>
  <c r="J111" i="22" s="1"/>
  <c r="D111" i="22"/>
  <c r="C111" i="22"/>
  <c r="A111" i="22"/>
  <c r="K110" i="22"/>
  <c r="I110" i="22"/>
  <c r="J110" i="22" s="1"/>
  <c r="D110" i="22"/>
  <c r="C110" i="22"/>
  <c r="A110" i="22"/>
  <c r="K109" i="22"/>
  <c r="I109" i="22"/>
  <c r="J109" i="22" s="1"/>
  <c r="D109" i="22"/>
  <c r="C109" i="22"/>
  <c r="A109" i="22"/>
  <c r="K108" i="22"/>
  <c r="I108" i="22"/>
  <c r="J108" i="22" s="1"/>
  <c r="D108" i="22"/>
  <c r="C108" i="22"/>
  <c r="A108" i="22"/>
  <c r="K107" i="22"/>
  <c r="I107" i="22"/>
  <c r="J107" i="22" s="1"/>
  <c r="D107" i="22"/>
  <c r="C107" i="22"/>
  <c r="A107" i="22"/>
  <c r="K106" i="22"/>
  <c r="I106" i="22"/>
  <c r="J106" i="22" s="1"/>
  <c r="D106" i="22"/>
  <c r="C106" i="22"/>
  <c r="A106" i="22"/>
  <c r="K105" i="22"/>
  <c r="I105" i="22"/>
  <c r="J105" i="22" s="1"/>
  <c r="D105" i="22"/>
  <c r="C105" i="22"/>
  <c r="A105" i="22"/>
  <c r="K104" i="22"/>
  <c r="I104" i="22"/>
  <c r="J104" i="22" s="1"/>
  <c r="D104" i="22"/>
  <c r="C104" i="22"/>
  <c r="A104" i="22"/>
  <c r="K103" i="22"/>
  <c r="I103" i="22"/>
  <c r="J103" i="22" s="1"/>
  <c r="D103" i="22"/>
  <c r="C103" i="22"/>
  <c r="A103" i="22"/>
  <c r="K102" i="22"/>
  <c r="I102" i="22"/>
  <c r="J102" i="22" s="1"/>
  <c r="D102" i="22"/>
  <c r="C102" i="22"/>
  <c r="A102" i="22"/>
  <c r="K101" i="22"/>
  <c r="I101" i="22"/>
  <c r="J101" i="22" s="1"/>
  <c r="D101" i="22"/>
  <c r="C101" i="22"/>
  <c r="A101" i="22"/>
  <c r="K100" i="22"/>
  <c r="I100" i="22"/>
  <c r="J100" i="22" s="1"/>
  <c r="D100" i="22"/>
  <c r="C100" i="22"/>
  <c r="A100" i="22"/>
  <c r="K99" i="22"/>
  <c r="I99" i="22"/>
  <c r="J99" i="22" s="1"/>
  <c r="D99" i="22"/>
  <c r="C99" i="22"/>
  <c r="A99" i="22"/>
  <c r="K98" i="22"/>
  <c r="I98" i="22"/>
  <c r="J98" i="22" s="1"/>
  <c r="D98" i="22"/>
  <c r="C98" i="22"/>
  <c r="A98" i="22"/>
  <c r="K97" i="22"/>
  <c r="I97" i="22"/>
  <c r="J97" i="22" s="1"/>
  <c r="D97" i="22"/>
  <c r="C97" i="22"/>
  <c r="A97" i="22"/>
  <c r="K96" i="22"/>
  <c r="I96" i="22"/>
  <c r="J96" i="22" s="1"/>
  <c r="D96" i="22"/>
  <c r="C96" i="22"/>
  <c r="A96" i="22"/>
  <c r="K95" i="22"/>
  <c r="I95" i="22"/>
  <c r="J95" i="22" s="1"/>
  <c r="D95" i="22"/>
  <c r="C95" i="22"/>
  <c r="A95" i="22"/>
  <c r="K94" i="22"/>
  <c r="I94" i="22"/>
  <c r="J94" i="22" s="1"/>
  <c r="D94" i="22"/>
  <c r="C94" i="22"/>
  <c r="A94" i="22"/>
  <c r="K93" i="22"/>
  <c r="I93" i="22"/>
  <c r="J93" i="22" s="1"/>
  <c r="D93" i="22"/>
  <c r="C93" i="22"/>
  <c r="A93" i="22"/>
  <c r="K92" i="22"/>
  <c r="I92" i="22"/>
  <c r="J92" i="22" s="1"/>
  <c r="D92" i="22"/>
  <c r="C92" i="22"/>
  <c r="A92" i="22"/>
  <c r="K91" i="22"/>
  <c r="I91" i="22"/>
  <c r="J91" i="22" s="1"/>
  <c r="D91" i="22"/>
  <c r="C91" i="22"/>
  <c r="A91" i="22"/>
  <c r="K90" i="22"/>
  <c r="I90" i="22"/>
  <c r="J90" i="22" s="1"/>
  <c r="D90" i="22"/>
  <c r="C90" i="22"/>
  <c r="A90" i="22"/>
  <c r="K89" i="22"/>
  <c r="I89" i="22"/>
  <c r="J89" i="22" s="1"/>
  <c r="D89" i="22"/>
  <c r="C89" i="22"/>
  <c r="A89" i="22"/>
  <c r="K88" i="22"/>
  <c r="I88" i="22"/>
  <c r="J88" i="22" s="1"/>
  <c r="D88" i="22"/>
  <c r="C88" i="22"/>
  <c r="A88" i="22"/>
  <c r="K87" i="22"/>
  <c r="I87" i="22"/>
  <c r="J87" i="22" s="1"/>
  <c r="D87" i="22"/>
  <c r="C87" i="22"/>
  <c r="A87" i="22"/>
  <c r="K86" i="22"/>
  <c r="I86" i="22"/>
  <c r="J86" i="22" s="1"/>
  <c r="D86" i="22"/>
  <c r="C86" i="22"/>
  <c r="A86" i="22"/>
  <c r="K85" i="22"/>
  <c r="I85" i="22"/>
  <c r="J85" i="22" s="1"/>
  <c r="D85" i="22"/>
  <c r="C85" i="22"/>
  <c r="A85" i="22"/>
  <c r="K84" i="22"/>
  <c r="I84" i="22"/>
  <c r="J84" i="22" s="1"/>
  <c r="D84" i="22"/>
  <c r="C84" i="22"/>
  <c r="A84" i="22"/>
  <c r="K83" i="22"/>
  <c r="I83" i="22"/>
  <c r="J83" i="22" s="1"/>
  <c r="D83" i="22"/>
  <c r="C83" i="22"/>
  <c r="A83" i="22"/>
  <c r="K82" i="22"/>
  <c r="I82" i="22"/>
  <c r="J82" i="22" s="1"/>
  <c r="D82" i="22"/>
  <c r="C82" i="22"/>
  <c r="A82" i="22"/>
  <c r="K81" i="22"/>
  <c r="I81" i="22"/>
  <c r="J81" i="22" s="1"/>
  <c r="D81" i="22"/>
  <c r="C81" i="22"/>
  <c r="A81" i="22"/>
  <c r="K80" i="22"/>
  <c r="I80" i="22"/>
  <c r="J80" i="22" s="1"/>
  <c r="D80" i="22"/>
  <c r="C80" i="22"/>
  <c r="A80" i="22"/>
  <c r="K79" i="22"/>
  <c r="I79" i="22"/>
  <c r="J79" i="22" s="1"/>
  <c r="D79" i="22"/>
  <c r="C79" i="22"/>
  <c r="A79" i="22"/>
  <c r="K78" i="22"/>
  <c r="I78" i="22"/>
  <c r="J78" i="22" s="1"/>
  <c r="D78" i="22"/>
  <c r="C78" i="22"/>
  <c r="A78" i="22"/>
  <c r="K77" i="22"/>
  <c r="I77" i="22"/>
  <c r="J77" i="22" s="1"/>
  <c r="D77" i="22"/>
  <c r="C77" i="22"/>
  <c r="A77" i="22"/>
  <c r="K76" i="22"/>
  <c r="I76" i="22"/>
  <c r="J76" i="22" s="1"/>
  <c r="D76" i="22"/>
  <c r="C76" i="22"/>
  <c r="A76" i="22"/>
  <c r="K75" i="22"/>
  <c r="I75" i="22"/>
  <c r="J75" i="22" s="1"/>
  <c r="D75" i="22"/>
  <c r="C75" i="22"/>
  <c r="A75" i="22"/>
  <c r="K74" i="22"/>
  <c r="I74" i="22"/>
  <c r="J74" i="22" s="1"/>
  <c r="D74" i="22"/>
  <c r="C74" i="22"/>
  <c r="A74" i="22"/>
  <c r="K73" i="22"/>
  <c r="I73" i="22"/>
  <c r="J73" i="22" s="1"/>
  <c r="D73" i="22"/>
  <c r="C73" i="22"/>
  <c r="A73" i="22"/>
  <c r="K72" i="22"/>
  <c r="I72" i="22"/>
  <c r="J72" i="22" s="1"/>
  <c r="D72" i="22"/>
  <c r="C72" i="22"/>
  <c r="A72" i="22"/>
  <c r="K71" i="22"/>
  <c r="I71" i="22"/>
  <c r="J71" i="22" s="1"/>
  <c r="D71" i="22"/>
  <c r="C71" i="22"/>
  <c r="A71" i="22"/>
  <c r="K70" i="22"/>
  <c r="I70" i="22"/>
  <c r="J70" i="22" s="1"/>
  <c r="D70" i="22"/>
  <c r="C70" i="22"/>
  <c r="A70" i="22"/>
  <c r="K69" i="22"/>
  <c r="I69" i="22"/>
  <c r="J69" i="22" s="1"/>
  <c r="D69" i="22"/>
  <c r="C69" i="22"/>
  <c r="A69" i="22"/>
  <c r="K68" i="22"/>
  <c r="I68" i="22"/>
  <c r="J68" i="22" s="1"/>
  <c r="D68" i="22"/>
  <c r="C68" i="22"/>
  <c r="A68" i="22"/>
  <c r="K67" i="22"/>
  <c r="I67" i="22"/>
  <c r="J67" i="22" s="1"/>
  <c r="D67" i="22"/>
  <c r="C67" i="22"/>
  <c r="A67" i="22"/>
  <c r="K66" i="22"/>
  <c r="I66" i="22"/>
  <c r="J66" i="22" s="1"/>
  <c r="D66" i="22"/>
  <c r="C66" i="22"/>
  <c r="A66" i="22"/>
  <c r="K65" i="22"/>
  <c r="I65" i="22"/>
  <c r="J65" i="22" s="1"/>
  <c r="D65" i="22"/>
  <c r="C65" i="22"/>
  <c r="A65" i="22"/>
  <c r="K64" i="22"/>
  <c r="I64" i="22"/>
  <c r="J64" i="22" s="1"/>
  <c r="D64" i="22"/>
  <c r="C64" i="22"/>
  <c r="A64" i="22"/>
  <c r="K63" i="22"/>
  <c r="I63" i="22"/>
  <c r="J63" i="22" s="1"/>
  <c r="D63" i="22"/>
  <c r="C63" i="22"/>
  <c r="A63" i="22"/>
  <c r="K62" i="22"/>
  <c r="I62" i="22"/>
  <c r="J62" i="22" s="1"/>
  <c r="D62" i="22"/>
  <c r="C62" i="22"/>
  <c r="A62" i="22"/>
  <c r="K61" i="22"/>
  <c r="I61" i="22"/>
  <c r="J61" i="22" s="1"/>
  <c r="D61" i="22"/>
  <c r="C61" i="22"/>
  <c r="A61" i="22"/>
  <c r="K60" i="22"/>
  <c r="I60" i="22"/>
  <c r="J60" i="22" s="1"/>
  <c r="D60" i="22"/>
  <c r="C60" i="22"/>
  <c r="A60" i="22"/>
  <c r="K59" i="22"/>
  <c r="I59" i="22"/>
  <c r="J59" i="22" s="1"/>
  <c r="D59" i="22"/>
  <c r="C59" i="22"/>
  <c r="A59" i="22"/>
  <c r="K58" i="22"/>
  <c r="I58" i="22"/>
  <c r="J58" i="22" s="1"/>
  <c r="D58" i="22"/>
  <c r="C58" i="22"/>
  <c r="A58" i="22"/>
  <c r="K57" i="22"/>
  <c r="I57" i="22"/>
  <c r="J57" i="22" s="1"/>
  <c r="D57" i="22"/>
  <c r="C57" i="22"/>
  <c r="A57" i="22"/>
  <c r="K56" i="22"/>
  <c r="I56" i="22"/>
  <c r="J56" i="22" s="1"/>
  <c r="D56" i="22"/>
  <c r="C56" i="22"/>
  <c r="A56" i="22"/>
  <c r="K55" i="22"/>
  <c r="I55" i="22"/>
  <c r="J55" i="22" s="1"/>
  <c r="D55" i="22"/>
  <c r="C55" i="22"/>
  <c r="A55" i="22"/>
  <c r="K54" i="22"/>
  <c r="I54" i="22"/>
  <c r="J54" i="22" s="1"/>
  <c r="D54" i="22"/>
  <c r="C54" i="22"/>
  <c r="A54" i="22"/>
  <c r="K53" i="22"/>
  <c r="I53" i="22"/>
  <c r="J53" i="22" s="1"/>
  <c r="D53" i="22"/>
  <c r="C53" i="22"/>
  <c r="A53" i="22"/>
  <c r="K52" i="22"/>
  <c r="I52" i="22"/>
  <c r="J52" i="22" s="1"/>
  <c r="D52" i="22"/>
  <c r="C52" i="22"/>
  <c r="A52" i="22"/>
  <c r="K51" i="22"/>
  <c r="I51" i="22"/>
  <c r="J51" i="22" s="1"/>
  <c r="D51" i="22"/>
  <c r="C51" i="22"/>
  <c r="A51" i="22"/>
  <c r="K50" i="22"/>
  <c r="I50" i="22"/>
  <c r="J50" i="22" s="1"/>
  <c r="D50" i="22"/>
  <c r="C50" i="22"/>
  <c r="A50" i="22"/>
  <c r="K49" i="22"/>
  <c r="I49" i="22"/>
  <c r="J49" i="22" s="1"/>
  <c r="D49" i="22"/>
  <c r="C49" i="22"/>
  <c r="A49" i="22"/>
  <c r="K48" i="22"/>
  <c r="I48" i="22"/>
  <c r="J48" i="22" s="1"/>
  <c r="D48" i="22"/>
  <c r="C48" i="22"/>
  <c r="A48" i="22"/>
  <c r="K47" i="22"/>
  <c r="I47" i="22"/>
  <c r="J47" i="22" s="1"/>
  <c r="D47" i="22"/>
  <c r="C47" i="22"/>
  <c r="A47" i="22"/>
  <c r="K46" i="22"/>
  <c r="I46" i="22"/>
  <c r="J46" i="22" s="1"/>
  <c r="D46" i="22"/>
  <c r="C46" i="22"/>
  <c r="A46" i="22"/>
  <c r="K45" i="22"/>
  <c r="I45" i="22"/>
  <c r="J45" i="22" s="1"/>
  <c r="D45" i="22"/>
  <c r="C45" i="22"/>
  <c r="A45" i="22"/>
  <c r="K44" i="22"/>
  <c r="I44" i="22"/>
  <c r="J44" i="22" s="1"/>
  <c r="D44" i="22"/>
  <c r="C44" i="22"/>
  <c r="A44" i="22"/>
  <c r="K43" i="22"/>
  <c r="I43" i="22"/>
  <c r="J43" i="22" s="1"/>
  <c r="D43" i="22"/>
  <c r="C43" i="22"/>
  <c r="A43" i="22"/>
  <c r="K42" i="22"/>
  <c r="I42" i="22"/>
  <c r="J42" i="22" s="1"/>
  <c r="D42" i="22"/>
  <c r="C42" i="22"/>
  <c r="A42" i="22"/>
  <c r="K41" i="22"/>
  <c r="I41" i="22"/>
  <c r="J41" i="22" s="1"/>
  <c r="D41" i="22"/>
  <c r="C41" i="22"/>
  <c r="A41" i="22"/>
  <c r="K40" i="22"/>
  <c r="I40" i="22"/>
  <c r="J40" i="22" s="1"/>
  <c r="D40" i="22"/>
  <c r="C40" i="22"/>
  <c r="A40" i="22"/>
  <c r="K39" i="22"/>
  <c r="I39" i="22"/>
  <c r="J39" i="22" s="1"/>
  <c r="D39" i="22"/>
  <c r="C39" i="22"/>
  <c r="A39" i="22"/>
  <c r="K38" i="22"/>
  <c r="I38" i="22"/>
  <c r="J38" i="22" s="1"/>
  <c r="D38" i="22"/>
  <c r="C38" i="22"/>
  <c r="A38" i="22"/>
  <c r="K37" i="22"/>
  <c r="I37" i="22"/>
  <c r="J37" i="22" s="1"/>
  <c r="D37" i="22"/>
  <c r="C37" i="22"/>
  <c r="A37" i="22"/>
  <c r="K36" i="22"/>
  <c r="I36" i="22"/>
  <c r="J36" i="22" s="1"/>
  <c r="D36" i="22"/>
  <c r="C36" i="22"/>
  <c r="A36" i="22"/>
  <c r="K35" i="22"/>
  <c r="I35" i="22"/>
  <c r="J35" i="22" s="1"/>
  <c r="D35" i="22"/>
  <c r="C35" i="22"/>
  <c r="A35" i="22"/>
  <c r="K34" i="22"/>
  <c r="I34" i="22"/>
  <c r="J34" i="22" s="1"/>
  <c r="D34" i="22"/>
  <c r="C34" i="22"/>
  <c r="A34" i="22"/>
  <c r="K33" i="22"/>
  <c r="I33" i="22"/>
  <c r="J33" i="22" s="1"/>
  <c r="D33" i="22"/>
  <c r="C33" i="22"/>
  <c r="A33" i="22"/>
  <c r="K32" i="22"/>
  <c r="I32" i="22"/>
  <c r="J32" i="22" s="1"/>
  <c r="D32" i="22"/>
  <c r="C32" i="22"/>
  <c r="A32" i="22"/>
  <c r="K31" i="22"/>
  <c r="I31" i="22"/>
  <c r="J31" i="22" s="1"/>
  <c r="D31" i="22"/>
  <c r="C31" i="22"/>
  <c r="A31" i="22"/>
  <c r="K30" i="22"/>
  <c r="I30" i="22"/>
  <c r="J30" i="22" s="1"/>
  <c r="D30" i="22"/>
  <c r="C30" i="22"/>
  <c r="A30" i="22"/>
  <c r="K29" i="22"/>
  <c r="I29" i="22"/>
  <c r="J29" i="22" s="1"/>
  <c r="D29" i="22"/>
  <c r="C29" i="22"/>
  <c r="A29" i="22"/>
  <c r="K28" i="22"/>
  <c r="I28" i="22"/>
  <c r="J28" i="22" s="1"/>
  <c r="D28" i="22"/>
  <c r="C28" i="22"/>
  <c r="A28" i="22"/>
  <c r="K27" i="22"/>
  <c r="I27" i="22"/>
  <c r="J27" i="22" s="1"/>
  <c r="D27" i="22"/>
  <c r="C27" i="22"/>
  <c r="A27" i="22"/>
  <c r="K26" i="22"/>
  <c r="I26" i="22"/>
  <c r="J26" i="22" s="1"/>
  <c r="D26" i="22"/>
  <c r="C26" i="22"/>
  <c r="A26" i="22"/>
  <c r="K25" i="22"/>
  <c r="I25" i="22"/>
  <c r="J25" i="22" s="1"/>
  <c r="D25" i="22"/>
  <c r="C25" i="22"/>
  <c r="A25" i="22"/>
  <c r="K24" i="22"/>
  <c r="I24" i="22"/>
  <c r="J24" i="22" s="1"/>
  <c r="D24" i="22"/>
  <c r="C24" i="22"/>
  <c r="A24" i="22"/>
  <c r="K23" i="22"/>
  <c r="I23" i="22"/>
  <c r="J23" i="22" s="1"/>
  <c r="D23" i="22"/>
  <c r="C23" i="22"/>
  <c r="A23" i="22"/>
  <c r="K22" i="22"/>
  <c r="I22" i="22"/>
  <c r="J22" i="22" s="1"/>
  <c r="D22" i="22"/>
  <c r="C22" i="22"/>
  <c r="A22" i="22"/>
  <c r="K21" i="22"/>
  <c r="I21" i="22"/>
  <c r="J21" i="22" s="1"/>
  <c r="D21" i="22"/>
  <c r="C21" i="22"/>
  <c r="A21" i="22"/>
  <c r="K20" i="22"/>
  <c r="I20" i="22"/>
  <c r="J20" i="22" s="1"/>
  <c r="D20" i="22"/>
  <c r="C20" i="22"/>
  <c r="A20" i="22"/>
  <c r="K19" i="22"/>
  <c r="I19" i="22"/>
  <c r="J19" i="22" s="1"/>
  <c r="D19" i="22"/>
  <c r="C19" i="22"/>
  <c r="A19" i="22"/>
  <c r="K18" i="22"/>
  <c r="I18" i="22"/>
  <c r="J18" i="22" s="1"/>
  <c r="D18" i="22"/>
  <c r="C18" i="22"/>
  <c r="A18" i="22"/>
  <c r="K17" i="22"/>
  <c r="I17" i="22"/>
  <c r="J17" i="22" s="1"/>
  <c r="D17" i="22"/>
  <c r="C17" i="22"/>
  <c r="A17" i="22"/>
  <c r="K16" i="22"/>
  <c r="I16" i="22"/>
  <c r="J16" i="22" s="1"/>
  <c r="D16" i="22"/>
  <c r="C16" i="22"/>
  <c r="A16" i="22"/>
  <c r="K15" i="22"/>
  <c r="I15" i="22"/>
  <c r="J15" i="22" s="1"/>
  <c r="D15" i="22"/>
  <c r="C15" i="22"/>
  <c r="A15" i="22"/>
  <c r="K14" i="22"/>
  <c r="I14" i="22"/>
  <c r="J14" i="22" s="1"/>
  <c r="D14" i="22"/>
  <c r="C14" i="22"/>
  <c r="A14" i="22"/>
  <c r="B10" i="22"/>
  <c r="B9" i="22"/>
  <c r="B8" i="22"/>
  <c r="J208" i="21"/>
  <c r="K208" i="21" s="1"/>
  <c r="G208" i="21"/>
  <c r="D208" i="21"/>
  <c r="C208" i="21"/>
  <c r="B208" i="21"/>
  <c r="J207" i="21"/>
  <c r="K207" i="21" s="1"/>
  <c r="G207" i="21"/>
  <c r="D207" i="21"/>
  <c r="C207" i="21"/>
  <c r="B207" i="21"/>
  <c r="J206" i="21"/>
  <c r="K206" i="21" s="1"/>
  <c r="G206" i="21"/>
  <c r="D206" i="21"/>
  <c r="C206" i="21"/>
  <c r="B206" i="21"/>
  <c r="J205" i="21"/>
  <c r="K205" i="21" s="1"/>
  <c r="G205" i="21"/>
  <c r="D205" i="21"/>
  <c r="C205" i="21"/>
  <c r="B205" i="21"/>
  <c r="J204" i="21"/>
  <c r="K204" i="21" s="1"/>
  <c r="G204" i="21"/>
  <c r="D204" i="21"/>
  <c r="C204" i="21"/>
  <c r="B204" i="21"/>
  <c r="J203" i="21"/>
  <c r="K203" i="21" s="1"/>
  <c r="G203" i="21"/>
  <c r="D203" i="21"/>
  <c r="C203" i="21"/>
  <c r="B203" i="21"/>
  <c r="J202" i="21"/>
  <c r="K202" i="21" s="1"/>
  <c r="G202" i="21"/>
  <c r="D202" i="21"/>
  <c r="C202" i="21"/>
  <c r="B202" i="21"/>
  <c r="J201" i="21"/>
  <c r="K201" i="21" s="1"/>
  <c r="G201" i="21"/>
  <c r="D201" i="21"/>
  <c r="C201" i="21"/>
  <c r="B201" i="21"/>
  <c r="J200" i="21"/>
  <c r="K200" i="21" s="1"/>
  <c r="G200" i="21"/>
  <c r="D200" i="21"/>
  <c r="C200" i="21"/>
  <c r="B200" i="21"/>
  <c r="J199" i="21"/>
  <c r="K199" i="21" s="1"/>
  <c r="G199" i="21"/>
  <c r="D199" i="21"/>
  <c r="C199" i="21"/>
  <c r="B199" i="21"/>
  <c r="J198" i="21"/>
  <c r="K198" i="21" s="1"/>
  <c r="G198" i="21"/>
  <c r="D198" i="21"/>
  <c r="C198" i="21"/>
  <c r="B198" i="21"/>
  <c r="J197" i="21"/>
  <c r="K197" i="21" s="1"/>
  <c r="G197" i="21"/>
  <c r="D197" i="21"/>
  <c r="C197" i="21"/>
  <c r="B197" i="21"/>
  <c r="J196" i="21"/>
  <c r="K196" i="21" s="1"/>
  <c r="G196" i="21"/>
  <c r="D196" i="21"/>
  <c r="C196" i="21"/>
  <c r="B196" i="21"/>
  <c r="J195" i="21"/>
  <c r="K195" i="21" s="1"/>
  <c r="G195" i="21"/>
  <c r="D195" i="21"/>
  <c r="C195" i="21"/>
  <c r="B195" i="21"/>
  <c r="J194" i="21"/>
  <c r="K194" i="21" s="1"/>
  <c r="G194" i="21"/>
  <c r="D194" i="21"/>
  <c r="C194" i="21"/>
  <c r="B194" i="21"/>
  <c r="J193" i="21"/>
  <c r="K193" i="21" s="1"/>
  <c r="G193" i="21"/>
  <c r="D193" i="21"/>
  <c r="C193" i="21"/>
  <c r="B193" i="21"/>
  <c r="J192" i="21"/>
  <c r="K192" i="21" s="1"/>
  <c r="G192" i="21"/>
  <c r="D192" i="21"/>
  <c r="C192" i="21"/>
  <c r="B192" i="21"/>
  <c r="J191" i="21"/>
  <c r="K191" i="21" s="1"/>
  <c r="G191" i="21"/>
  <c r="D191" i="21"/>
  <c r="C191" i="21"/>
  <c r="B191" i="21"/>
  <c r="J190" i="21"/>
  <c r="K190" i="21" s="1"/>
  <c r="G190" i="21"/>
  <c r="D190" i="21"/>
  <c r="C190" i="21"/>
  <c r="B190" i="21"/>
  <c r="J189" i="21"/>
  <c r="K189" i="21" s="1"/>
  <c r="G189" i="21"/>
  <c r="D189" i="21"/>
  <c r="C189" i="21"/>
  <c r="B189" i="21"/>
  <c r="J188" i="21"/>
  <c r="K188" i="21" s="1"/>
  <c r="G188" i="21"/>
  <c r="D188" i="21"/>
  <c r="C188" i="21"/>
  <c r="B188" i="21"/>
  <c r="J187" i="21"/>
  <c r="K187" i="21" s="1"/>
  <c r="G187" i="21"/>
  <c r="D187" i="21"/>
  <c r="C187" i="21"/>
  <c r="B187" i="21"/>
  <c r="J186" i="21"/>
  <c r="K186" i="21" s="1"/>
  <c r="G186" i="21"/>
  <c r="D186" i="21"/>
  <c r="C186" i="21"/>
  <c r="B186" i="21"/>
  <c r="J185" i="21"/>
  <c r="K185" i="21" s="1"/>
  <c r="G185" i="21"/>
  <c r="D185" i="21"/>
  <c r="C185" i="21"/>
  <c r="B185" i="21"/>
  <c r="J184" i="21"/>
  <c r="K184" i="21" s="1"/>
  <c r="G184" i="21"/>
  <c r="D184" i="21"/>
  <c r="C184" i="21"/>
  <c r="B184" i="21"/>
  <c r="J183" i="21"/>
  <c r="K183" i="21" s="1"/>
  <c r="G183" i="21"/>
  <c r="D183" i="21"/>
  <c r="C183" i="21"/>
  <c r="B183" i="21"/>
  <c r="J182" i="21"/>
  <c r="K182" i="21" s="1"/>
  <c r="G182" i="21"/>
  <c r="D182" i="21"/>
  <c r="C182" i="21"/>
  <c r="B182" i="21"/>
  <c r="J181" i="21"/>
  <c r="K181" i="21" s="1"/>
  <c r="G181" i="21"/>
  <c r="D181" i="21"/>
  <c r="C181" i="21"/>
  <c r="B181" i="21"/>
  <c r="J180" i="21"/>
  <c r="K180" i="21" s="1"/>
  <c r="G180" i="21"/>
  <c r="D180" i="21"/>
  <c r="C180" i="21"/>
  <c r="B180" i="21"/>
  <c r="J179" i="21"/>
  <c r="K179" i="21" s="1"/>
  <c r="G179" i="21"/>
  <c r="D179" i="21"/>
  <c r="C179" i="21"/>
  <c r="B179" i="21"/>
  <c r="J178" i="21"/>
  <c r="K178" i="21" s="1"/>
  <c r="G178" i="21"/>
  <c r="D178" i="21"/>
  <c r="C178" i="21"/>
  <c r="B178" i="21"/>
  <c r="J177" i="21"/>
  <c r="K177" i="21" s="1"/>
  <c r="G177" i="21"/>
  <c r="D177" i="21"/>
  <c r="C177" i="21"/>
  <c r="B177" i="21"/>
  <c r="J176" i="21"/>
  <c r="K176" i="21" s="1"/>
  <c r="G176" i="21"/>
  <c r="D176" i="21"/>
  <c r="C176" i="21"/>
  <c r="B176" i="21"/>
  <c r="J175" i="21"/>
  <c r="K175" i="21" s="1"/>
  <c r="G175" i="21"/>
  <c r="D175" i="21"/>
  <c r="C175" i="21"/>
  <c r="B175" i="21"/>
  <c r="J174" i="21"/>
  <c r="K174" i="21" s="1"/>
  <c r="G174" i="21"/>
  <c r="D174" i="21"/>
  <c r="C174" i="21"/>
  <c r="B174" i="21"/>
  <c r="J173" i="21"/>
  <c r="K173" i="21" s="1"/>
  <c r="G173" i="21"/>
  <c r="D173" i="21"/>
  <c r="C173" i="21"/>
  <c r="B173" i="21"/>
  <c r="J172" i="21"/>
  <c r="K172" i="21" s="1"/>
  <c r="G172" i="21"/>
  <c r="D172" i="21"/>
  <c r="C172" i="21"/>
  <c r="B172" i="21"/>
  <c r="J171" i="21"/>
  <c r="K171" i="21" s="1"/>
  <c r="G171" i="21"/>
  <c r="D171" i="21"/>
  <c r="C171" i="21"/>
  <c r="B171" i="21"/>
  <c r="J170" i="21"/>
  <c r="K170" i="21" s="1"/>
  <c r="G170" i="21"/>
  <c r="D170" i="21"/>
  <c r="C170" i="21"/>
  <c r="B170" i="21"/>
  <c r="J169" i="21"/>
  <c r="K169" i="21" s="1"/>
  <c r="G169" i="21"/>
  <c r="D169" i="21"/>
  <c r="C169" i="21"/>
  <c r="B169" i="21"/>
  <c r="J168" i="21"/>
  <c r="K168" i="21" s="1"/>
  <c r="G168" i="21"/>
  <c r="D168" i="21"/>
  <c r="C168" i="21"/>
  <c r="B168" i="21"/>
  <c r="J167" i="21"/>
  <c r="K167" i="21" s="1"/>
  <c r="G167" i="21"/>
  <c r="D167" i="21"/>
  <c r="C167" i="21"/>
  <c r="B167" i="21"/>
  <c r="J166" i="21"/>
  <c r="K166" i="21" s="1"/>
  <c r="G166" i="21"/>
  <c r="D166" i="21"/>
  <c r="C166" i="21"/>
  <c r="B166" i="21"/>
  <c r="J165" i="21"/>
  <c r="K165" i="21" s="1"/>
  <c r="G165" i="21"/>
  <c r="D165" i="21"/>
  <c r="C165" i="21"/>
  <c r="B165" i="21"/>
  <c r="J164" i="21"/>
  <c r="K164" i="21" s="1"/>
  <c r="G164" i="21"/>
  <c r="D164" i="21"/>
  <c r="C164" i="21"/>
  <c r="B164" i="21"/>
  <c r="J163" i="21"/>
  <c r="K163" i="21" s="1"/>
  <c r="G163" i="21"/>
  <c r="D163" i="21"/>
  <c r="C163" i="21"/>
  <c r="B163" i="21"/>
  <c r="J162" i="21"/>
  <c r="K162" i="21" s="1"/>
  <c r="G162" i="21"/>
  <c r="D162" i="21"/>
  <c r="C162" i="21"/>
  <c r="B162" i="21"/>
  <c r="J161" i="21"/>
  <c r="K161" i="21" s="1"/>
  <c r="G161" i="21"/>
  <c r="D161" i="21"/>
  <c r="C161" i="21"/>
  <c r="B161" i="21"/>
  <c r="J160" i="21"/>
  <c r="K160" i="21" s="1"/>
  <c r="G160" i="21"/>
  <c r="D160" i="21"/>
  <c r="C160" i="21"/>
  <c r="B160" i="21"/>
  <c r="J159" i="21"/>
  <c r="K159" i="21" s="1"/>
  <c r="G159" i="21"/>
  <c r="D159" i="21"/>
  <c r="C159" i="21"/>
  <c r="B159" i="21"/>
  <c r="J158" i="21"/>
  <c r="K158" i="21" s="1"/>
  <c r="G158" i="21"/>
  <c r="D158" i="21"/>
  <c r="C158" i="21"/>
  <c r="B158" i="21"/>
  <c r="J157" i="21"/>
  <c r="K157" i="21" s="1"/>
  <c r="G157" i="21"/>
  <c r="D157" i="21"/>
  <c r="C157" i="21"/>
  <c r="B157" i="21"/>
  <c r="J156" i="21"/>
  <c r="K156" i="21" s="1"/>
  <c r="G156" i="21"/>
  <c r="D156" i="21"/>
  <c r="C156" i="21"/>
  <c r="B156" i="21"/>
  <c r="J155" i="21"/>
  <c r="K155" i="21" s="1"/>
  <c r="G155" i="21"/>
  <c r="D155" i="21"/>
  <c r="C155" i="21"/>
  <c r="B155" i="21"/>
  <c r="J154" i="21"/>
  <c r="K154" i="21" s="1"/>
  <c r="G154" i="21"/>
  <c r="D154" i="21"/>
  <c r="C154" i="21"/>
  <c r="B154" i="21"/>
  <c r="J153" i="21"/>
  <c r="K153" i="21" s="1"/>
  <c r="G153" i="21"/>
  <c r="D153" i="21"/>
  <c r="C153" i="21"/>
  <c r="B153" i="21"/>
  <c r="J152" i="21"/>
  <c r="K152" i="21" s="1"/>
  <c r="G152" i="21"/>
  <c r="D152" i="21"/>
  <c r="C152" i="21"/>
  <c r="B152" i="21"/>
  <c r="J151" i="21"/>
  <c r="K151" i="21" s="1"/>
  <c r="G151" i="21"/>
  <c r="D151" i="21"/>
  <c r="C151" i="21"/>
  <c r="B151" i="21"/>
  <c r="J150" i="21"/>
  <c r="K150" i="21" s="1"/>
  <c r="G150" i="21"/>
  <c r="D150" i="21"/>
  <c r="C150" i="21"/>
  <c r="B150" i="21"/>
  <c r="J149" i="21"/>
  <c r="K149" i="21" s="1"/>
  <c r="G149" i="21"/>
  <c r="D149" i="21"/>
  <c r="C149" i="21"/>
  <c r="B149" i="21"/>
  <c r="J148" i="21"/>
  <c r="K148" i="21" s="1"/>
  <c r="G148" i="21"/>
  <c r="D148" i="21"/>
  <c r="C148" i="21"/>
  <c r="B148" i="21"/>
  <c r="J147" i="21"/>
  <c r="K147" i="21" s="1"/>
  <c r="G147" i="21"/>
  <c r="D147" i="21"/>
  <c r="C147" i="21"/>
  <c r="B147" i="21"/>
  <c r="J146" i="21"/>
  <c r="K146" i="21" s="1"/>
  <c r="G146" i="21"/>
  <c r="D146" i="21"/>
  <c r="C146" i="21"/>
  <c r="B146" i="21"/>
  <c r="J145" i="21"/>
  <c r="K145" i="21" s="1"/>
  <c r="G145" i="21"/>
  <c r="D145" i="21"/>
  <c r="C145" i="21"/>
  <c r="B145" i="21"/>
  <c r="J144" i="21"/>
  <c r="K144" i="21" s="1"/>
  <c r="G144" i="21"/>
  <c r="D144" i="21"/>
  <c r="C144" i="21"/>
  <c r="B144" i="21"/>
  <c r="J143" i="21"/>
  <c r="K143" i="21" s="1"/>
  <c r="G143" i="21"/>
  <c r="D143" i="21"/>
  <c r="C143" i="21"/>
  <c r="B143" i="21"/>
  <c r="J142" i="21"/>
  <c r="K142" i="21" s="1"/>
  <c r="G142" i="21"/>
  <c r="D142" i="21"/>
  <c r="C142" i="21"/>
  <c r="B142" i="21"/>
  <c r="J141" i="21"/>
  <c r="K141" i="21" s="1"/>
  <c r="G141" i="21"/>
  <c r="D141" i="21"/>
  <c r="C141" i="21"/>
  <c r="B141" i="21"/>
  <c r="J140" i="21"/>
  <c r="K140" i="21" s="1"/>
  <c r="G140" i="21"/>
  <c r="D140" i="21"/>
  <c r="C140" i="21"/>
  <c r="B140" i="21"/>
  <c r="J139" i="21"/>
  <c r="K139" i="21" s="1"/>
  <c r="G139" i="21"/>
  <c r="D139" i="21"/>
  <c r="C139" i="21"/>
  <c r="B139" i="21"/>
  <c r="J138" i="21"/>
  <c r="K138" i="21" s="1"/>
  <c r="G138" i="21"/>
  <c r="D138" i="21"/>
  <c r="C138" i="21"/>
  <c r="B138" i="21"/>
  <c r="J137" i="21"/>
  <c r="K137" i="21" s="1"/>
  <c r="G137" i="21"/>
  <c r="D137" i="21"/>
  <c r="C137" i="21"/>
  <c r="B137" i="21"/>
  <c r="J136" i="21"/>
  <c r="K136" i="21" s="1"/>
  <c r="G136" i="21"/>
  <c r="D136" i="21"/>
  <c r="C136" i="21"/>
  <c r="B136" i="21"/>
  <c r="J135" i="21"/>
  <c r="K135" i="21" s="1"/>
  <c r="G135" i="21"/>
  <c r="D135" i="21"/>
  <c r="C135" i="21"/>
  <c r="B135" i="21"/>
  <c r="J134" i="21"/>
  <c r="K134" i="21" s="1"/>
  <c r="G134" i="21"/>
  <c r="D134" i="21"/>
  <c r="C134" i="21"/>
  <c r="B134" i="21"/>
  <c r="J133" i="21"/>
  <c r="K133" i="21" s="1"/>
  <c r="G133" i="21"/>
  <c r="D133" i="21"/>
  <c r="C133" i="21"/>
  <c r="B133" i="21"/>
  <c r="J132" i="21"/>
  <c r="K132" i="21" s="1"/>
  <c r="G132" i="21"/>
  <c r="D132" i="21"/>
  <c r="C132" i="21"/>
  <c r="B132" i="21"/>
  <c r="J131" i="21"/>
  <c r="K131" i="21" s="1"/>
  <c r="G131" i="21"/>
  <c r="D131" i="21"/>
  <c r="C131" i="21"/>
  <c r="B131" i="21"/>
  <c r="J130" i="21"/>
  <c r="K130" i="21" s="1"/>
  <c r="G130" i="21"/>
  <c r="D130" i="21"/>
  <c r="C130" i="21"/>
  <c r="B130" i="21"/>
  <c r="K129" i="21"/>
  <c r="J129" i="21"/>
  <c r="G129" i="21"/>
  <c r="D129" i="21"/>
  <c r="C129" i="21"/>
  <c r="B129" i="21"/>
  <c r="J128" i="21"/>
  <c r="K128" i="21" s="1"/>
  <c r="G128" i="21"/>
  <c r="D128" i="21"/>
  <c r="C128" i="21"/>
  <c r="B128" i="21"/>
  <c r="J127" i="21"/>
  <c r="K127" i="21" s="1"/>
  <c r="G127" i="21"/>
  <c r="D127" i="21"/>
  <c r="C127" i="21"/>
  <c r="B127" i="21"/>
  <c r="K126" i="21"/>
  <c r="J126" i="21"/>
  <c r="G126" i="21"/>
  <c r="D126" i="21"/>
  <c r="C126" i="21"/>
  <c r="B126" i="21"/>
  <c r="K125" i="21"/>
  <c r="J125" i="21"/>
  <c r="G125" i="21"/>
  <c r="D125" i="21"/>
  <c r="C125" i="21"/>
  <c r="B125" i="21"/>
  <c r="J124" i="21"/>
  <c r="K124" i="21" s="1"/>
  <c r="G124" i="21"/>
  <c r="D124" i="21"/>
  <c r="C124" i="21"/>
  <c r="B124" i="21"/>
  <c r="J123" i="21"/>
  <c r="K123" i="21" s="1"/>
  <c r="G123" i="21"/>
  <c r="D123" i="21"/>
  <c r="C123" i="21"/>
  <c r="B123" i="21"/>
  <c r="K122" i="21"/>
  <c r="J122" i="21"/>
  <c r="G122" i="21"/>
  <c r="D122" i="21"/>
  <c r="C122" i="21"/>
  <c r="B122" i="21"/>
  <c r="J121" i="21"/>
  <c r="K121" i="21" s="1"/>
  <c r="G121" i="21"/>
  <c r="D121" i="21"/>
  <c r="C121" i="21"/>
  <c r="B121" i="21"/>
  <c r="J120" i="21"/>
  <c r="K120" i="21" s="1"/>
  <c r="G120" i="21"/>
  <c r="D120" i="21"/>
  <c r="C120" i="21"/>
  <c r="B120" i="21"/>
  <c r="J119" i="21"/>
  <c r="K119" i="21" s="1"/>
  <c r="G119" i="21"/>
  <c r="D119" i="21"/>
  <c r="C119" i="21"/>
  <c r="B119" i="21"/>
  <c r="J118" i="21"/>
  <c r="K118" i="21" s="1"/>
  <c r="G118" i="21"/>
  <c r="D118" i="21"/>
  <c r="C118" i="21"/>
  <c r="B118" i="21"/>
  <c r="J117" i="21"/>
  <c r="K117" i="21" s="1"/>
  <c r="G117" i="21"/>
  <c r="D117" i="21"/>
  <c r="C117" i="21"/>
  <c r="B117" i="21"/>
  <c r="J116" i="21"/>
  <c r="K116" i="21" s="1"/>
  <c r="G116" i="21"/>
  <c r="D116" i="21"/>
  <c r="C116" i="21"/>
  <c r="B116" i="21"/>
  <c r="J115" i="21"/>
  <c r="K115" i="21" s="1"/>
  <c r="G115" i="21"/>
  <c r="D115" i="21"/>
  <c r="C115" i="21"/>
  <c r="B115" i="21"/>
  <c r="J114" i="21"/>
  <c r="K114" i="21" s="1"/>
  <c r="G114" i="21"/>
  <c r="D114" i="21"/>
  <c r="C114" i="21"/>
  <c r="B114" i="21"/>
  <c r="K113" i="21"/>
  <c r="J113" i="21"/>
  <c r="G113" i="21"/>
  <c r="D113" i="21"/>
  <c r="C113" i="21"/>
  <c r="B113" i="21"/>
  <c r="J112" i="21"/>
  <c r="K112" i="21" s="1"/>
  <c r="G112" i="21"/>
  <c r="D112" i="21"/>
  <c r="C112" i="21"/>
  <c r="B112" i="21"/>
  <c r="J111" i="21"/>
  <c r="K111" i="21" s="1"/>
  <c r="G111" i="21"/>
  <c r="D111" i="21"/>
  <c r="C111" i="21"/>
  <c r="B111" i="21"/>
  <c r="K110" i="21"/>
  <c r="J110" i="21"/>
  <c r="G110" i="21"/>
  <c r="D110" i="21"/>
  <c r="C110" i="21"/>
  <c r="B110" i="21"/>
  <c r="K109" i="21"/>
  <c r="J109" i="21"/>
  <c r="G109" i="21"/>
  <c r="D109" i="21"/>
  <c r="C109" i="21"/>
  <c r="B109" i="21"/>
  <c r="J108" i="21"/>
  <c r="K108" i="21" s="1"/>
  <c r="G108" i="21"/>
  <c r="D108" i="21"/>
  <c r="C108" i="21"/>
  <c r="B108" i="21"/>
  <c r="J107" i="21"/>
  <c r="K107" i="21" s="1"/>
  <c r="G107" i="21"/>
  <c r="D107" i="21"/>
  <c r="C107" i="21"/>
  <c r="B107" i="21"/>
  <c r="K106" i="21"/>
  <c r="J106" i="21"/>
  <c r="G106" i="21"/>
  <c r="D106" i="21"/>
  <c r="C106" i="21"/>
  <c r="B106" i="21"/>
  <c r="K105" i="21"/>
  <c r="J105" i="21"/>
  <c r="G105" i="21"/>
  <c r="D105" i="21"/>
  <c r="C105" i="21"/>
  <c r="B105" i="21"/>
  <c r="J104" i="21"/>
  <c r="K104" i="21" s="1"/>
  <c r="G104" i="21"/>
  <c r="D104" i="21"/>
  <c r="C104" i="21"/>
  <c r="B104" i="21"/>
  <c r="J103" i="21"/>
  <c r="K103" i="21" s="1"/>
  <c r="G103" i="21"/>
  <c r="D103" i="21"/>
  <c r="C103" i="21"/>
  <c r="B103" i="21"/>
  <c r="K102" i="21"/>
  <c r="J102" i="21"/>
  <c r="G102" i="21"/>
  <c r="D102" i="21"/>
  <c r="C102" i="21"/>
  <c r="B102" i="21"/>
  <c r="K101" i="21"/>
  <c r="J101" i="21"/>
  <c r="G101" i="21"/>
  <c r="D101" i="21"/>
  <c r="C101" i="21"/>
  <c r="B101" i="21"/>
  <c r="J100" i="21"/>
  <c r="K100" i="21" s="1"/>
  <c r="G100" i="21"/>
  <c r="D100" i="21"/>
  <c r="C100" i="21"/>
  <c r="B100" i="21"/>
  <c r="J99" i="21"/>
  <c r="K99" i="21" s="1"/>
  <c r="G99" i="21"/>
  <c r="D99" i="21"/>
  <c r="C99" i="21"/>
  <c r="B99" i="21"/>
  <c r="K98" i="21"/>
  <c r="J98" i="21"/>
  <c r="G98" i="21"/>
  <c r="D98" i="21"/>
  <c r="C98" i="21"/>
  <c r="B98" i="21"/>
  <c r="K97" i="21"/>
  <c r="J97" i="21"/>
  <c r="G97" i="21"/>
  <c r="D97" i="21"/>
  <c r="C97" i="21"/>
  <c r="B97" i="21"/>
  <c r="J96" i="21"/>
  <c r="K96" i="21" s="1"/>
  <c r="G96" i="21"/>
  <c r="D96" i="21"/>
  <c r="C96" i="21"/>
  <c r="B96" i="21"/>
  <c r="J95" i="21"/>
  <c r="K95" i="21" s="1"/>
  <c r="G95" i="21"/>
  <c r="D95" i="21"/>
  <c r="C95" i="21"/>
  <c r="B95" i="21"/>
  <c r="K94" i="21"/>
  <c r="J94" i="21"/>
  <c r="G94" i="21"/>
  <c r="D94" i="21"/>
  <c r="C94" i="21"/>
  <c r="B94" i="21"/>
  <c r="K93" i="21"/>
  <c r="J93" i="21"/>
  <c r="G93" i="21"/>
  <c r="D93" i="21"/>
  <c r="C93" i="21"/>
  <c r="B93" i="21"/>
  <c r="J92" i="21"/>
  <c r="K92" i="21" s="1"/>
  <c r="G92" i="21"/>
  <c r="D92" i="21"/>
  <c r="C92" i="21"/>
  <c r="B92" i="21"/>
  <c r="J91" i="21"/>
  <c r="K91" i="21" s="1"/>
  <c r="G91" i="21"/>
  <c r="D91" i="21"/>
  <c r="C91" i="21"/>
  <c r="B91" i="21"/>
  <c r="K90" i="21"/>
  <c r="J90" i="21"/>
  <c r="G90" i="21"/>
  <c r="D90" i="21"/>
  <c r="C90" i="21"/>
  <c r="B90" i="21"/>
  <c r="K89" i="21"/>
  <c r="J89" i="21"/>
  <c r="G89" i="21"/>
  <c r="D89" i="21"/>
  <c r="C89" i="21"/>
  <c r="B89" i="21"/>
  <c r="J88" i="21"/>
  <c r="K88" i="21" s="1"/>
  <c r="G88" i="21"/>
  <c r="D88" i="21"/>
  <c r="C88" i="21"/>
  <c r="B88" i="21"/>
  <c r="J87" i="21"/>
  <c r="K87" i="21" s="1"/>
  <c r="G87" i="21"/>
  <c r="D87" i="21"/>
  <c r="C87" i="21"/>
  <c r="B87" i="21"/>
  <c r="K86" i="21"/>
  <c r="J86" i="21"/>
  <c r="G86" i="21"/>
  <c r="D86" i="21"/>
  <c r="C86" i="21"/>
  <c r="B86" i="21"/>
  <c r="J85" i="21"/>
  <c r="K85" i="21" s="1"/>
  <c r="G85" i="21"/>
  <c r="D85" i="21"/>
  <c r="C85" i="21"/>
  <c r="B85" i="21"/>
  <c r="J84" i="21"/>
  <c r="K84" i="21" s="1"/>
  <c r="G84" i="21"/>
  <c r="D84" i="21"/>
  <c r="C84" i="21"/>
  <c r="B84" i="21"/>
  <c r="J83" i="21"/>
  <c r="K83" i="21" s="1"/>
  <c r="G83" i="21"/>
  <c r="D83" i="21"/>
  <c r="C83" i="21"/>
  <c r="B83" i="21"/>
  <c r="K82" i="21"/>
  <c r="J82" i="21"/>
  <c r="G82" i="21"/>
  <c r="D82" i="21"/>
  <c r="C82" i="21"/>
  <c r="B82" i="21"/>
  <c r="J81" i="21"/>
  <c r="K81" i="21" s="1"/>
  <c r="G81" i="21"/>
  <c r="D81" i="21"/>
  <c r="C81" i="21"/>
  <c r="B81" i="21"/>
  <c r="J80" i="21"/>
  <c r="K80" i="21" s="1"/>
  <c r="G80" i="21"/>
  <c r="D80" i="21"/>
  <c r="C80" i="21"/>
  <c r="B80" i="21"/>
  <c r="J79" i="21"/>
  <c r="K79" i="21" s="1"/>
  <c r="G79" i="21"/>
  <c r="D79" i="21"/>
  <c r="C79" i="21"/>
  <c r="B79" i="21"/>
  <c r="K78" i="21"/>
  <c r="J78" i="21"/>
  <c r="G78" i="21"/>
  <c r="D78" i="21"/>
  <c r="C78" i="21"/>
  <c r="B78" i="21"/>
  <c r="J77" i="21"/>
  <c r="K77" i="21" s="1"/>
  <c r="G77" i="21"/>
  <c r="D77" i="21"/>
  <c r="C77" i="21"/>
  <c r="B77" i="21"/>
  <c r="J76" i="21"/>
  <c r="K76" i="21" s="1"/>
  <c r="G76" i="21"/>
  <c r="D76" i="21"/>
  <c r="C76" i="21"/>
  <c r="B76" i="21"/>
  <c r="J75" i="21"/>
  <c r="K75" i="21" s="1"/>
  <c r="G75" i="21"/>
  <c r="D75" i="21"/>
  <c r="C75" i="21"/>
  <c r="B75" i="21"/>
  <c r="K74" i="21"/>
  <c r="J74" i="21"/>
  <c r="G74" i="21"/>
  <c r="D74" i="21"/>
  <c r="C74" i="21"/>
  <c r="B74" i="21"/>
  <c r="J73" i="21"/>
  <c r="K73" i="21" s="1"/>
  <c r="G73" i="21"/>
  <c r="D73" i="21"/>
  <c r="C73" i="21"/>
  <c r="B73" i="21"/>
  <c r="J72" i="21"/>
  <c r="K72" i="21" s="1"/>
  <c r="G72" i="21"/>
  <c r="D72" i="21"/>
  <c r="C72" i="21"/>
  <c r="B72" i="21"/>
  <c r="J71" i="21"/>
  <c r="K71" i="21" s="1"/>
  <c r="G71" i="21"/>
  <c r="D71" i="21"/>
  <c r="C71" i="21"/>
  <c r="B71" i="21"/>
  <c r="K70" i="21"/>
  <c r="J70" i="21"/>
  <c r="G70" i="21"/>
  <c r="D70" i="21"/>
  <c r="C70" i="21"/>
  <c r="B70" i="21"/>
  <c r="J69" i="21"/>
  <c r="K69" i="21" s="1"/>
  <c r="G69" i="21"/>
  <c r="D69" i="21"/>
  <c r="C69" i="21"/>
  <c r="B69" i="21"/>
  <c r="J68" i="21"/>
  <c r="K68" i="21" s="1"/>
  <c r="G68" i="21"/>
  <c r="D68" i="21"/>
  <c r="C68" i="21"/>
  <c r="B68" i="21"/>
  <c r="J67" i="21"/>
  <c r="K67" i="21" s="1"/>
  <c r="G67" i="21"/>
  <c r="D67" i="21"/>
  <c r="C67" i="21"/>
  <c r="B67" i="21"/>
  <c r="K66" i="21"/>
  <c r="J66" i="21"/>
  <c r="G66" i="21"/>
  <c r="D66" i="21"/>
  <c r="C66" i="21"/>
  <c r="B66" i="21"/>
  <c r="J65" i="21"/>
  <c r="K65" i="21" s="1"/>
  <c r="G65" i="21"/>
  <c r="D65" i="21"/>
  <c r="C65" i="21"/>
  <c r="B65" i="21"/>
  <c r="J64" i="21"/>
  <c r="K64" i="21" s="1"/>
  <c r="G64" i="21"/>
  <c r="D64" i="21"/>
  <c r="C64" i="21"/>
  <c r="B64" i="21"/>
  <c r="J63" i="21"/>
  <c r="K63" i="21" s="1"/>
  <c r="G63" i="21"/>
  <c r="D63" i="21"/>
  <c r="C63" i="21"/>
  <c r="B63" i="21"/>
  <c r="K62" i="21"/>
  <c r="J62" i="21"/>
  <c r="G62" i="21"/>
  <c r="D62" i="21"/>
  <c r="C62" i="21"/>
  <c r="B62" i="21"/>
  <c r="J61" i="21"/>
  <c r="K61" i="21" s="1"/>
  <c r="G61" i="21"/>
  <c r="D61" i="21"/>
  <c r="C61" i="21"/>
  <c r="B61" i="21"/>
  <c r="J60" i="21"/>
  <c r="K60" i="21" s="1"/>
  <c r="G60" i="21"/>
  <c r="D60" i="21"/>
  <c r="C60" i="21"/>
  <c r="B60" i="21"/>
  <c r="J59" i="21"/>
  <c r="K59" i="21" s="1"/>
  <c r="G59" i="21"/>
  <c r="D59" i="21"/>
  <c r="C59" i="21"/>
  <c r="B59" i="21"/>
  <c r="K58" i="21"/>
  <c r="J58" i="21"/>
  <c r="G58" i="21"/>
  <c r="D58" i="21"/>
  <c r="C58" i="21"/>
  <c r="B58" i="21"/>
  <c r="J57" i="21"/>
  <c r="K57" i="21" s="1"/>
  <c r="G57" i="21"/>
  <c r="D57" i="21"/>
  <c r="C57" i="21"/>
  <c r="B57" i="21"/>
  <c r="J56" i="21"/>
  <c r="K56" i="21" s="1"/>
  <c r="G56" i="21"/>
  <c r="D56" i="21"/>
  <c r="C56" i="21"/>
  <c r="B56" i="21"/>
  <c r="J55" i="21"/>
  <c r="K55" i="21" s="1"/>
  <c r="G55" i="21"/>
  <c r="D55" i="21"/>
  <c r="C55" i="21"/>
  <c r="B55" i="21"/>
  <c r="K54" i="21"/>
  <c r="J54" i="21"/>
  <c r="G54" i="21"/>
  <c r="D54" i="21"/>
  <c r="C54" i="21"/>
  <c r="B54" i="21"/>
  <c r="J53" i="21"/>
  <c r="K53" i="21" s="1"/>
  <c r="G53" i="21"/>
  <c r="D53" i="21"/>
  <c r="C53" i="21"/>
  <c r="B53" i="21"/>
  <c r="J52" i="21"/>
  <c r="K52" i="21" s="1"/>
  <c r="G52" i="21"/>
  <c r="D52" i="21"/>
  <c r="C52" i="21"/>
  <c r="B52" i="21"/>
  <c r="J51" i="21"/>
  <c r="K51" i="21" s="1"/>
  <c r="G51" i="21"/>
  <c r="D51" i="21"/>
  <c r="C51" i="21"/>
  <c r="B51" i="21"/>
  <c r="K50" i="21"/>
  <c r="J50" i="21"/>
  <c r="G50" i="21"/>
  <c r="D50" i="21"/>
  <c r="C50" i="21"/>
  <c r="B50" i="21"/>
  <c r="J49" i="21"/>
  <c r="K49" i="21" s="1"/>
  <c r="G49" i="21"/>
  <c r="D49" i="21"/>
  <c r="C49" i="21"/>
  <c r="B49" i="21"/>
  <c r="J48" i="21"/>
  <c r="K48" i="21" s="1"/>
  <c r="G48" i="21"/>
  <c r="D48" i="21"/>
  <c r="C48" i="21"/>
  <c r="B48" i="21"/>
  <c r="J47" i="21"/>
  <c r="K47" i="21" s="1"/>
  <c r="G47" i="21"/>
  <c r="D47" i="21"/>
  <c r="C47" i="21"/>
  <c r="B47" i="21"/>
  <c r="K46" i="21"/>
  <c r="J46" i="21"/>
  <c r="G46" i="21"/>
  <c r="D46" i="21"/>
  <c r="C46" i="21"/>
  <c r="B46" i="21"/>
  <c r="J45" i="21"/>
  <c r="K45" i="21" s="1"/>
  <c r="G45" i="21"/>
  <c r="D45" i="21"/>
  <c r="C45" i="21"/>
  <c r="B45" i="21"/>
  <c r="J44" i="21"/>
  <c r="K44" i="21" s="1"/>
  <c r="G44" i="21"/>
  <c r="D44" i="21"/>
  <c r="C44" i="21"/>
  <c r="B44" i="21"/>
  <c r="J43" i="21"/>
  <c r="K43" i="21" s="1"/>
  <c r="G43" i="21"/>
  <c r="D43" i="21"/>
  <c r="C43" i="21"/>
  <c r="B43" i="21"/>
  <c r="K42" i="21"/>
  <c r="J42" i="21"/>
  <c r="G42" i="21"/>
  <c r="D42" i="21"/>
  <c r="C42" i="21"/>
  <c r="B42" i="21"/>
  <c r="J41" i="21"/>
  <c r="K41" i="21" s="1"/>
  <c r="G41" i="21"/>
  <c r="D41" i="21"/>
  <c r="C41" i="21"/>
  <c r="B41" i="21"/>
  <c r="J40" i="21"/>
  <c r="K40" i="21" s="1"/>
  <c r="G40" i="21"/>
  <c r="D40" i="21"/>
  <c r="C40" i="21"/>
  <c r="B40" i="21"/>
  <c r="J39" i="21"/>
  <c r="K39" i="21" s="1"/>
  <c r="G39" i="21"/>
  <c r="D39" i="21"/>
  <c r="C39" i="21"/>
  <c r="B39" i="21"/>
  <c r="K38" i="21"/>
  <c r="J38" i="21"/>
  <c r="G38" i="21"/>
  <c r="D38" i="21"/>
  <c r="C38" i="21"/>
  <c r="B38" i="21"/>
  <c r="J37" i="21"/>
  <c r="K37" i="21" s="1"/>
  <c r="G37" i="21"/>
  <c r="D37" i="21"/>
  <c r="C37" i="21"/>
  <c r="B37" i="21"/>
  <c r="J36" i="21"/>
  <c r="K36" i="21" s="1"/>
  <c r="G36" i="21"/>
  <c r="D36" i="21"/>
  <c r="C36" i="21"/>
  <c r="B36" i="21"/>
  <c r="J35" i="21"/>
  <c r="K35" i="21" s="1"/>
  <c r="G35" i="21"/>
  <c r="D35" i="21"/>
  <c r="C35" i="21"/>
  <c r="B35" i="21"/>
  <c r="K34" i="21"/>
  <c r="J34" i="21"/>
  <c r="G34" i="21"/>
  <c r="D34" i="21"/>
  <c r="C34" i="21"/>
  <c r="B34" i="21"/>
  <c r="J33" i="21"/>
  <c r="K33" i="21" s="1"/>
  <c r="G33" i="21"/>
  <c r="D33" i="21"/>
  <c r="C33" i="21"/>
  <c r="B33" i="21"/>
  <c r="J32" i="21"/>
  <c r="K32" i="21" s="1"/>
  <c r="G32" i="21"/>
  <c r="D32" i="21"/>
  <c r="C32" i="21"/>
  <c r="B32" i="21"/>
  <c r="J31" i="21"/>
  <c r="K31" i="21" s="1"/>
  <c r="G31" i="21"/>
  <c r="D31" i="21"/>
  <c r="C31" i="21"/>
  <c r="B31" i="21"/>
  <c r="K30" i="21"/>
  <c r="J30" i="21"/>
  <c r="G30" i="21"/>
  <c r="D30" i="21"/>
  <c r="C30" i="21"/>
  <c r="B30" i="21"/>
  <c r="J29" i="21"/>
  <c r="K29" i="21" s="1"/>
  <c r="G29" i="21"/>
  <c r="D29" i="21"/>
  <c r="C29" i="21"/>
  <c r="B29" i="21"/>
  <c r="J28" i="21"/>
  <c r="K28" i="21" s="1"/>
  <c r="G28" i="21"/>
  <c r="D28" i="21"/>
  <c r="C28" i="21"/>
  <c r="B28" i="21"/>
  <c r="J27" i="21"/>
  <c r="K27" i="21" s="1"/>
  <c r="G27" i="21"/>
  <c r="D27" i="21"/>
  <c r="C27" i="21"/>
  <c r="B27" i="21"/>
  <c r="K26" i="21"/>
  <c r="J26" i="21"/>
  <c r="G26" i="21"/>
  <c r="D26" i="21"/>
  <c r="C26" i="21"/>
  <c r="B26" i="21"/>
  <c r="J25" i="21"/>
  <c r="K25" i="21" s="1"/>
  <c r="G25" i="21"/>
  <c r="D25" i="21"/>
  <c r="C25" i="21"/>
  <c r="B25" i="21"/>
  <c r="J24" i="21"/>
  <c r="K24" i="21" s="1"/>
  <c r="G24" i="21"/>
  <c r="D24" i="21"/>
  <c r="C24" i="21"/>
  <c r="B24" i="21"/>
  <c r="J23" i="21"/>
  <c r="K23" i="21" s="1"/>
  <c r="G23" i="21"/>
  <c r="D23" i="21"/>
  <c r="C23" i="21"/>
  <c r="B23" i="21"/>
  <c r="K22" i="21"/>
  <c r="J22" i="21"/>
  <c r="G22" i="21"/>
  <c r="D22" i="21"/>
  <c r="C22" i="21"/>
  <c r="B22" i="21"/>
  <c r="J21" i="21"/>
  <c r="K21" i="21" s="1"/>
  <c r="G21" i="21"/>
  <c r="D21" i="21"/>
  <c r="C21" i="21"/>
  <c r="B21" i="21"/>
  <c r="J20" i="21"/>
  <c r="K20" i="21" s="1"/>
  <c r="G20" i="21"/>
  <c r="D20" i="21"/>
  <c r="C20" i="21"/>
  <c r="B20" i="21"/>
  <c r="J19" i="21"/>
  <c r="K19" i="21" s="1"/>
  <c r="G19" i="21"/>
  <c r="D19" i="21"/>
  <c r="C19" i="21"/>
  <c r="B19" i="21"/>
  <c r="K18" i="21"/>
  <c r="J18" i="21"/>
  <c r="G18" i="21"/>
  <c r="D18" i="21"/>
  <c r="C18" i="21"/>
  <c r="B18" i="21"/>
  <c r="J17" i="21"/>
  <c r="K17" i="21" s="1"/>
  <c r="G17" i="21"/>
  <c r="D17" i="21"/>
  <c r="C17" i="21"/>
  <c r="B17" i="21"/>
  <c r="J16" i="21"/>
  <c r="K16" i="21" s="1"/>
  <c r="G16" i="21"/>
  <c r="D16" i="21"/>
  <c r="C16" i="21"/>
  <c r="B16" i="21"/>
  <c r="J15" i="21"/>
  <c r="K15" i="21" s="1"/>
  <c r="G15" i="21"/>
  <c r="D15" i="21"/>
  <c r="C15" i="21"/>
  <c r="B15" i="21"/>
  <c r="K14" i="21"/>
  <c r="J14" i="21"/>
  <c r="G14" i="21"/>
  <c r="D14" i="21"/>
  <c r="C14" i="21"/>
  <c r="B14" i="21"/>
  <c r="J13" i="21"/>
  <c r="K13" i="21" s="1"/>
  <c r="G13" i="21"/>
  <c r="D13" i="21"/>
  <c r="C13" i="21"/>
  <c r="B13" i="21"/>
  <c r="J12" i="21"/>
  <c r="K12" i="21" s="1"/>
  <c r="G12" i="21"/>
  <c r="D12" i="21"/>
  <c r="C12" i="21"/>
  <c r="B12" i="21"/>
  <c r="J11" i="21"/>
  <c r="K11" i="21" s="1"/>
  <c r="G11" i="21"/>
  <c r="D11" i="21"/>
  <c r="C11" i="21"/>
  <c r="B11" i="21"/>
  <c r="K10" i="21"/>
  <c r="J10" i="21"/>
  <c r="G10" i="21"/>
  <c r="D10" i="21"/>
  <c r="C10" i="21"/>
  <c r="B10" i="21"/>
  <c r="J9" i="21"/>
  <c r="K9" i="21" s="1"/>
  <c r="G9" i="21"/>
  <c r="D9" i="21"/>
  <c r="C9" i="21"/>
  <c r="B9" i="21"/>
  <c r="J4" i="21"/>
  <c r="J208" i="20"/>
  <c r="I208" i="20"/>
  <c r="F208" i="20"/>
  <c r="D208" i="20"/>
  <c r="C208" i="20"/>
  <c r="B208" i="20"/>
  <c r="I207" i="20"/>
  <c r="J207" i="20" s="1"/>
  <c r="F207" i="20"/>
  <c r="D207" i="20"/>
  <c r="C207" i="20"/>
  <c r="B207" i="20"/>
  <c r="I206" i="20"/>
  <c r="J206" i="20" s="1"/>
  <c r="F206" i="20"/>
  <c r="D206" i="20"/>
  <c r="C206" i="20"/>
  <c r="B206" i="20"/>
  <c r="I205" i="20"/>
  <c r="J205" i="20" s="1"/>
  <c r="F205" i="20"/>
  <c r="D205" i="20"/>
  <c r="C205" i="20"/>
  <c r="B205" i="20"/>
  <c r="J204" i="20"/>
  <c r="I204" i="20"/>
  <c r="F204" i="20"/>
  <c r="D204" i="20"/>
  <c r="C204" i="20"/>
  <c r="B204" i="20"/>
  <c r="I203" i="20"/>
  <c r="J203" i="20" s="1"/>
  <c r="F203" i="20"/>
  <c r="D203" i="20"/>
  <c r="C203" i="20"/>
  <c r="B203" i="20"/>
  <c r="I202" i="20"/>
  <c r="J202" i="20" s="1"/>
  <c r="F202" i="20"/>
  <c r="D202" i="20"/>
  <c r="C202" i="20"/>
  <c r="B202" i="20"/>
  <c r="I201" i="20"/>
  <c r="J201" i="20" s="1"/>
  <c r="F201" i="20"/>
  <c r="D201" i="20"/>
  <c r="C201" i="20"/>
  <c r="B201" i="20"/>
  <c r="J200" i="20"/>
  <c r="I200" i="20"/>
  <c r="F200" i="20"/>
  <c r="D200" i="20"/>
  <c r="C200" i="20"/>
  <c r="B200" i="20"/>
  <c r="I199" i="20"/>
  <c r="J199" i="20" s="1"/>
  <c r="F199" i="20"/>
  <c r="D199" i="20"/>
  <c r="C199" i="20"/>
  <c r="B199" i="20"/>
  <c r="I198" i="20"/>
  <c r="J198" i="20" s="1"/>
  <c r="F198" i="20"/>
  <c r="D198" i="20"/>
  <c r="C198" i="20"/>
  <c r="B198" i="20"/>
  <c r="I197" i="20"/>
  <c r="J197" i="20" s="1"/>
  <c r="F197" i="20"/>
  <c r="D197" i="20"/>
  <c r="C197" i="20"/>
  <c r="B197" i="20"/>
  <c r="J196" i="20"/>
  <c r="I196" i="20"/>
  <c r="F196" i="20"/>
  <c r="D196" i="20"/>
  <c r="C196" i="20"/>
  <c r="B196" i="20"/>
  <c r="I195" i="20"/>
  <c r="J195" i="20" s="1"/>
  <c r="F195" i="20"/>
  <c r="D195" i="20"/>
  <c r="C195" i="20"/>
  <c r="B195" i="20"/>
  <c r="I194" i="20"/>
  <c r="J194" i="20" s="1"/>
  <c r="F194" i="20"/>
  <c r="D194" i="20"/>
  <c r="C194" i="20"/>
  <c r="B194" i="20"/>
  <c r="I193" i="20"/>
  <c r="J193" i="20" s="1"/>
  <c r="F193" i="20"/>
  <c r="D193" i="20"/>
  <c r="C193" i="20"/>
  <c r="B193" i="20"/>
  <c r="J192" i="20"/>
  <c r="I192" i="20"/>
  <c r="F192" i="20"/>
  <c r="D192" i="20"/>
  <c r="C192" i="20"/>
  <c r="B192" i="20"/>
  <c r="I191" i="20"/>
  <c r="J191" i="20" s="1"/>
  <c r="F191" i="20"/>
  <c r="D191" i="20"/>
  <c r="C191" i="20"/>
  <c r="B191" i="20"/>
  <c r="I190" i="20"/>
  <c r="J190" i="20" s="1"/>
  <c r="F190" i="20"/>
  <c r="D190" i="20"/>
  <c r="C190" i="20"/>
  <c r="B190" i="20"/>
  <c r="I189" i="20"/>
  <c r="J189" i="20" s="1"/>
  <c r="F189" i="20"/>
  <c r="D189" i="20"/>
  <c r="C189" i="20"/>
  <c r="B189" i="20"/>
  <c r="J188" i="20"/>
  <c r="I188" i="20"/>
  <c r="F188" i="20"/>
  <c r="D188" i="20"/>
  <c r="C188" i="20"/>
  <c r="B188" i="20"/>
  <c r="I187" i="20"/>
  <c r="J187" i="20" s="1"/>
  <c r="F187" i="20"/>
  <c r="D187" i="20"/>
  <c r="C187" i="20"/>
  <c r="B187" i="20"/>
  <c r="I186" i="20"/>
  <c r="J186" i="20" s="1"/>
  <c r="F186" i="20"/>
  <c r="D186" i="20"/>
  <c r="C186" i="20"/>
  <c r="B186" i="20"/>
  <c r="I185" i="20"/>
  <c r="J185" i="20" s="1"/>
  <c r="F185" i="20"/>
  <c r="D185" i="20"/>
  <c r="C185" i="20"/>
  <c r="B185" i="20"/>
  <c r="J184" i="20"/>
  <c r="I184" i="20"/>
  <c r="F184" i="20"/>
  <c r="D184" i="20"/>
  <c r="C184" i="20"/>
  <c r="B184" i="20"/>
  <c r="I183" i="20"/>
  <c r="J183" i="20" s="1"/>
  <c r="F183" i="20"/>
  <c r="D183" i="20"/>
  <c r="C183" i="20"/>
  <c r="B183" i="20"/>
  <c r="I182" i="20"/>
  <c r="J182" i="20" s="1"/>
  <c r="F182" i="20"/>
  <c r="D182" i="20"/>
  <c r="C182" i="20"/>
  <c r="B182" i="20"/>
  <c r="I181" i="20"/>
  <c r="J181" i="20" s="1"/>
  <c r="F181" i="20"/>
  <c r="D181" i="20"/>
  <c r="C181" i="20"/>
  <c r="B181" i="20"/>
  <c r="J180" i="20"/>
  <c r="I180" i="20"/>
  <c r="F180" i="20"/>
  <c r="D180" i="20"/>
  <c r="C180" i="20"/>
  <c r="B180" i="20"/>
  <c r="I179" i="20"/>
  <c r="J179" i="20" s="1"/>
  <c r="F179" i="20"/>
  <c r="D179" i="20"/>
  <c r="C179" i="20"/>
  <c r="B179" i="20"/>
  <c r="I178" i="20"/>
  <c r="J178" i="20" s="1"/>
  <c r="F178" i="20"/>
  <c r="D178" i="20"/>
  <c r="C178" i="20"/>
  <c r="B178" i="20"/>
  <c r="I177" i="20"/>
  <c r="J177" i="20" s="1"/>
  <c r="F177" i="20"/>
  <c r="D177" i="20"/>
  <c r="C177" i="20"/>
  <c r="B177" i="20"/>
  <c r="J176" i="20"/>
  <c r="I176" i="20"/>
  <c r="F176" i="20"/>
  <c r="D176" i="20"/>
  <c r="C176" i="20"/>
  <c r="B176" i="20"/>
  <c r="I175" i="20"/>
  <c r="J175" i="20" s="1"/>
  <c r="F175" i="20"/>
  <c r="D175" i="20"/>
  <c r="C175" i="20"/>
  <c r="B175" i="20"/>
  <c r="I174" i="20"/>
  <c r="J174" i="20" s="1"/>
  <c r="F174" i="20"/>
  <c r="D174" i="20"/>
  <c r="C174" i="20"/>
  <c r="B174" i="20"/>
  <c r="I173" i="20"/>
  <c r="J173" i="20" s="1"/>
  <c r="F173" i="20"/>
  <c r="D173" i="20"/>
  <c r="C173" i="20"/>
  <c r="B173" i="20"/>
  <c r="J172" i="20"/>
  <c r="I172" i="20"/>
  <c r="F172" i="20"/>
  <c r="D172" i="20"/>
  <c r="C172" i="20"/>
  <c r="B172" i="20"/>
  <c r="I171" i="20"/>
  <c r="J171" i="20" s="1"/>
  <c r="F171" i="20"/>
  <c r="D171" i="20"/>
  <c r="C171" i="20"/>
  <c r="B171" i="20"/>
  <c r="I170" i="20"/>
  <c r="J170" i="20" s="1"/>
  <c r="F170" i="20"/>
  <c r="D170" i="20"/>
  <c r="C170" i="20"/>
  <c r="B170" i="20"/>
  <c r="I169" i="20"/>
  <c r="J169" i="20" s="1"/>
  <c r="F169" i="20"/>
  <c r="D169" i="20"/>
  <c r="C169" i="20"/>
  <c r="B169" i="20"/>
  <c r="J168" i="20"/>
  <c r="I168" i="20"/>
  <c r="F168" i="20"/>
  <c r="D168" i="20"/>
  <c r="C168" i="20"/>
  <c r="B168" i="20"/>
  <c r="I167" i="20"/>
  <c r="J167" i="20" s="1"/>
  <c r="F167" i="20"/>
  <c r="D167" i="20"/>
  <c r="C167" i="20"/>
  <c r="B167" i="20"/>
  <c r="I166" i="20"/>
  <c r="J166" i="20" s="1"/>
  <c r="F166" i="20"/>
  <c r="D166" i="20"/>
  <c r="C166" i="20"/>
  <c r="B166" i="20"/>
  <c r="I165" i="20"/>
  <c r="J165" i="20" s="1"/>
  <c r="F165" i="20"/>
  <c r="D165" i="20"/>
  <c r="C165" i="20"/>
  <c r="B165" i="20"/>
  <c r="J164" i="20"/>
  <c r="I164" i="20"/>
  <c r="F164" i="20"/>
  <c r="D164" i="20"/>
  <c r="C164" i="20"/>
  <c r="B164" i="20"/>
  <c r="I163" i="20"/>
  <c r="J163" i="20" s="1"/>
  <c r="F163" i="20"/>
  <c r="D163" i="20"/>
  <c r="C163" i="20"/>
  <c r="B163" i="20"/>
  <c r="I162" i="20"/>
  <c r="J162" i="20" s="1"/>
  <c r="F162" i="20"/>
  <c r="D162" i="20"/>
  <c r="C162" i="20"/>
  <c r="B162" i="20"/>
  <c r="I161" i="20"/>
  <c r="J161" i="20" s="1"/>
  <c r="F161" i="20"/>
  <c r="D161" i="20"/>
  <c r="C161" i="20"/>
  <c r="B161" i="20"/>
  <c r="J160" i="20"/>
  <c r="I160" i="20"/>
  <c r="F160" i="20"/>
  <c r="D160" i="20"/>
  <c r="C160" i="20"/>
  <c r="B160" i="20"/>
  <c r="I159" i="20"/>
  <c r="J159" i="20" s="1"/>
  <c r="F159" i="20"/>
  <c r="D159" i="20"/>
  <c r="C159" i="20"/>
  <c r="B159" i="20"/>
  <c r="I158" i="20"/>
  <c r="J158" i="20" s="1"/>
  <c r="F158" i="20"/>
  <c r="D158" i="20"/>
  <c r="C158" i="20"/>
  <c r="B158" i="20"/>
  <c r="I157" i="20"/>
  <c r="J157" i="20" s="1"/>
  <c r="F157" i="20"/>
  <c r="D157" i="20"/>
  <c r="C157" i="20"/>
  <c r="B157" i="20"/>
  <c r="J156" i="20"/>
  <c r="I156" i="20"/>
  <c r="F156" i="20"/>
  <c r="D156" i="20"/>
  <c r="C156" i="20"/>
  <c r="B156" i="20"/>
  <c r="I155" i="20"/>
  <c r="J155" i="20" s="1"/>
  <c r="F155" i="20"/>
  <c r="D155" i="20"/>
  <c r="C155" i="20"/>
  <c r="B155" i="20"/>
  <c r="I154" i="20"/>
  <c r="J154" i="20" s="1"/>
  <c r="F154" i="20"/>
  <c r="D154" i="20"/>
  <c r="C154" i="20"/>
  <c r="B154" i="20"/>
  <c r="I153" i="20"/>
  <c r="J153" i="20" s="1"/>
  <c r="F153" i="20"/>
  <c r="D153" i="20"/>
  <c r="C153" i="20"/>
  <c r="B153" i="20"/>
  <c r="J152" i="20"/>
  <c r="I152" i="20"/>
  <c r="F152" i="20"/>
  <c r="D152" i="20"/>
  <c r="C152" i="20"/>
  <c r="B152" i="20"/>
  <c r="I151" i="20"/>
  <c r="J151" i="20" s="1"/>
  <c r="F151" i="20"/>
  <c r="D151" i="20"/>
  <c r="C151" i="20"/>
  <c r="B151" i="20"/>
  <c r="I150" i="20"/>
  <c r="J150" i="20" s="1"/>
  <c r="F150" i="20"/>
  <c r="D150" i="20"/>
  <c r="C150" i="20"/>
  <c r="B150" i="20"/>
  <c r="I149" i="20"/>
  <c r="J149" i="20" s="1"/>
  <c r="F149" i="20"/>
  <c r="D149" i="20"/>
  <c r="C149" i="20"/>
  <c r="B149" i="20"/>
  <c r="J148" i="20"/>
  <c r="I148" i="20"/>
  <c r="F148" i="20"/>
  <c r="D148" i="20"/>
  <c r="C148" i="20"/>
  <c r="B148" i="20"/>
  <c r="I147" i="20"/>
  <c r="J147" i="20" s="1"/>
  <c r="F147" i="20"/>
  <c r="D147" i="20"/>
  <c r="C147" i="20"/>
  <c r="B147" i="20"/>
  <c r="I146" i="20"/>
  <c r="J146" i="20" s="1"/>
  <c r="F146" i="20"/>
  <c r="D146" i="20"/>
  <c r="C146" i="20"/>
  <c r="B146" i="20"/>
  <c r="I145" i="20"/>
  <c r="J145" i="20" s="1"/>
  <c r="F145" i="20"/>
  <c r="D145" i="20"/>
  <c r="C145" i="20"/>
  <c r="B145" i="20"/>
  <c r="J144" i="20"/>
  <c r="I144" i="20"/>
  <c r="F144" i="20"/>
  <c r="D144" i="20"/>
  <c r="C144" i="20"/>
  <c r="B144" i="20"/>
  <c r="I143" i="20"/>
  <c r="J143" i="20" s="1"/>
  <c r="F143" i="20"/>
  <c r="D143" i="20"/>
  <c r="C143" i="20"/>
  <c r="B143" i="20"/>
  <c r="I142" i="20"/>
  <c r="J142" i="20" s="1"/>
  <c r="F142" i="20"/>
  <c r="D142" i="20"/>
  <c r="C142" i="20"/>
  <c r="B142" i="20"/>
  <c r="I141" i="20"/>
  <c r="J141" i="20" s="1"/>
  <c r="F141" i="20"/>
  <c r="D141" i="20"/>
  <c r="C141" i="20"/>
  <c r="B141" i="20"/>
  <c r="J140" i="20"/>
  <c r="I140" i="20"/>
  <c r="F140" i="20"/>
  <c r="D140" i="20"/>
  <c r="C140" i="20"/>
  <c r="B140" i="20"/>
  <c r="I139" i="20"/>
  <c r="J139" i="20" s="1"/>
  <c r="F139" i="20"/>
  <c r="D139" i="20"/>
  <c r="C139" i="20"/>
  <c r="B139" i="20"/>
  <c r="I138" i="20"/>
  <c r="J138" i="20" s="1"/>
  <c r="F138" i="20"/>
  <c r="D138" i="20"/>
  <c r="C138" i="20"/>
  <c r="B138" i="20"/>
  <c r="I137" i="20"/>
  <c r="J137" i="20" s="1"/>
  <c r="F137" i="20"/>
  <c r="D137" i="20"/>
  <c r="C137" i="20"/>
  <c r="B137" i="20"/>
  <c r="J136" i="20"/>
  <c r="I136" i="20"/>
  <c r="F136" i="20"/>
  <c r="D136" i="20"/>
  <c r="C136" i="20"/>
  <c r="B136" i="20"/>
  <c r="I135" i="20"/>
  <c r="J135" i="20" s="1"/>
  <c r="F135" i="20"/>
  <c r="D135" i="20"/>
  <c r="C135" i="20"/>
  <c r="B135" i="20"/>
  <c r="I134" i="20"/>
  <c r="J134" i="20" s="1"/>
  <c r="F134" i="20"/>
  <c r="D134" i="20"/>
  <c r="C134" i="20"/>
  <c r="B134" i="20"/>
  <c r="I133" i="20"/>
  <c r="J133" i="20" s="1"/>
  <c r="F133" i="20"/>
  <c r="D133" i="20"/>
  <c r="C133" i="20"/>
  <c r="B133" i="20"/>
  <c r="J132" i="20"/>
  <c r="I132" i="20"/>
  <c r="F132" i="20"/>
  <c r="D132" i="20"/>
  <c r="C132" i="20"/>
  <c r="B132" i="20"/>
  <c r="I131" i="20"/>
  <c r="J131" i="20" s="1"/>
  <c r="F131" i="20"/>
  <c r="D131" i="20"/>
  <c r="C131" i="20"/>
  <c r="B131" i="20"/>
  <c r="I130" i="20"/>
  <c r="J130" i="20" s="1"/>
  <c r="F130" i="20"/>
  <c r="D130" i="20"/>
  <c r="C130" i="20"/>
  <c r="B130" i="20"/>
  <c r="I129" i="20"/>
  <c r="J129" i="20" s="1"/>
  <c r="F129" i="20"/>
  <c r="D129" i="20"/>
  <c r="C129" i="20"/>
  <c r="B129" i="20"/>
  <c r="J128" i="20"/>
  <c r="I128" i="20"/>
  <c r="F128" i="20"/>
  <c r="D128" i="20"/>
  <c r="C128" i="20"/>
  <c r="B128" i="20"/>
  <c r="I127" i="20"/>
  <c r="J127" i="20" s="1"/>
  <c r="F127" i="20"/>
  <c r="D127" i="20"/>
  <c r="C127" i="20"/>
  <c r="B127" i="20"/>
  <c r="I126" i="20"/>
  <c r="J126" i="20" s="1"/>
  <c r="F126" i="20"/>
  <c r="D126" i="20"/>
  <c r="C126" i="20"/>
  <c r="B126" i="20"/>
  <c r="I125" i="20"/>
  <c r="J125" i="20" s="1"/>
  <c r="F125" i="20"/>
  <c r="D125" i="20"/>
  <c r="C125" i="20"/>
  <c r="B125" i="20"/>
  <c r="J124" i="20"/>
  <c r="I124" i="20"/>
  <c r="F124" i="20"/>
  <c r="D124" i="20"/>
  <c r="C124" i="20"/>
  <c r="B124" i="20"/>
  <c r="I123" i="20"/>
  <c r="J123" i="20" s="1"/>
  <c r="F123" i="20"/>
  <c r="D123" i="20"/>
  <c r="C123" i="20"/>
  <c r="B123" i="20"/>
  <c r="I122" i="20"/>
  <c r="J122" i="20" s="1"/>
  <c r="F122" i="20"/>
  <c r="D122" i="20"/>
  <c r="C122" i="20"/>
  <c r="B122" i="20"/>
  <c r="I121" i="20"/>
  <c r="J121" i="20" s="1"/>
  <c r="F121" i="20"/>
  <c r="D121" i="20"/>
  <c r="C121" i="20"/>
  <c r="B121" i="20"/>
  <c r="J120" i="20"/>
  <c r="I120" i="20"/>
  <c r="F120" i="20"/>
  <c r="D120" i="20"/>
  <c r="C120" i="20"/>
  <c r="B120" i="20"/>
  <c r="I119" i="20"/>
  <c r="J119" i="20" s="1"/>
  <c r="F119" i="20"/>
  <c r="D119" i="20"/>
  <c r="C119" i="20"/>
  <c r="B119" i="20"/>
  <c r="I118" i="20"/>
  <c r="J118" i="20" s="1"/>
  <c r="F118" i="20"/>
  <c r="D118" i="20"/>
  <c r="C118" i="20"/>
  <c r="B118" i="20"/>
  <c r="I117" i="20"/>
  <c r="J117" i="20" s="1"/>
  <c r="F117" i="20"/>
  <c r="D117" i="20"/>
  <c r="C117" i="20"/>
  <c r="B117" i="20"/>
  <c r="J116" i="20"/>
  <c r="I116" i="20"/>
  <c r="F116" i="20"/>
  <c r="D116" i="20"/>
  <c r="C116" i="20"/>
  <c r="B116" i="20"/>
  <c r="I115" i="20"/>
  <c r="J115" i="20" s="1"/>
  <c r="F115" i="20"/>
  <c r="D115" i="20"/>
  <c r="C115" i="20"/>
  <c r="B115" i="20"/>
  <c r="I114" i="20"/>
  <c r="J114" i="20" s="1"/>
  <c r="F114" i="20"/>
  <c r="D114" i="20"/>
  <c r="C114" i="20"/>
  <c r="B114" i="20"/>
  <c r="I113" i="20"/>
  <c r="J113" i="20" s="1"/>
  <c r="F113" i="20"/>
  <c r="D113" i="20"/>
  <c r="C113" i="20"/>
  <c r="B113" i="20"/>
  <c r="J112" i="20"/>
  <c r="I112" i="20"/>
  <c r="F112" i="20"/>
  <c r="D112" i="20"/>
  <c r="C112" i="20"/>
  <c r="B112" i="20"/>
  <c r="I111" i="20"/>
  <c r="J111" i="20" s="1"/>
  <c r="F111" i="20"/>
  <c r="D111" i="20"/>
  <c r="C111" i="20"/>
  <c r="B111" i="20"/>
  <c r="I110" i="20"/>
  <c r="J110" i="20" s="1"/>
  <c r="F110" i="20"/>
  <c r="D110" i="20"/>
  <c r="C110" i="20"/>
  <c r="B110" i="20"/>
  <c r="I109" i="20"/>
  <c r="J109" i="20" s="1"/>
  <c r="F109" i="20"/>
  <c r="D109" i="20"/>
  <c r="C109" i="20"/>
  <c r="B109" i="20"/>
  <c r="J108" i="20"/>
  <c r="I108" i="20"/>
  <c r="F108" i="20"/>
  <c r="D108" i="20"/>
  <c r="C108" i="20"/>
  <c r="B108" i="20"/>
  <c r="I107" i="20"/>
  <c r="J107" i="20" s="1"/>
  <c r="F107" i="20"/>
  <c r="D107" i="20"/>
  <c r="C107" i="20"/>
  <c r="B107" i="20"/>
  <c r="I106" i="20"/>
  <c r="J106" i="20" s="1"/>
  <c r="F106" i="20"/>
  <c r="D106" i="20"/>
  <c r="C106" i="20"/>
  <c r="B106" i="20"/>
  <c r="I105" i="20"/>
  <c r="J105" i="20" s="1"/>
  <c r="F105" i="20"/>
  <c r="D105" i="20"/>
  <c r="C105" i="20"/>
  <c r="B105" i="20"/>
  <c r="J104" i="20"/>
  <c r="I104" i="20"/>
  <c r="F104" i="20"/>
  <c r="D104" i="20"/>
  <c r="C104" i="20"/>
  <c r="B104" i="20"/>
  <c r="I103" i="20"/>
  <c r="J103" i="20" s="1"/>
  <c r="F103" i="20"/>
  <c r="D103" i="20"/>
  <c r="C103" i="20"/>
  <c r="B103" i="20"/>
  <c r="I102" i="20"/>
  <c r="J102" i="20" s="1"/>
  <c r="F102" i="20"/>
  <c r="D102" i="20"/>
  <c r="C102" i="20"/>
  <c r="B102" i="20"/>
  <c r="I101" i="20"/>
  <c r="J101" i="20" s="1"/>
  <c r="F101" i="20"/>
  <c r="D101" i="20"/>
  <c r="C101" i="20"/>
  <c r="B101" i="20"/>
  <c r="J100" i="20"/>
  <c r="I100" i="20"/>
  <c r="F100" i="20"/>
  <c r="D100" i="20"/>
  <c r="C100" i="20"/>
  <c r="B100" i="20"/>
  <c r="I99" i="20"/>
  <c r="J99" i="20" s="1"/>
  <c r="F99" i="20"/>
  <c r="D99" i="20"/>
  <c r="C99" i="20"/>
  <c r="B99" i="20"/>
  <c r="I98" i="20"/>
  <c r="J98" i="20" s="1"/>
  <c r="F98" i="20"/>
  <c r="D98" i="20"/>
  <c r="C98" i="20"/>
  <c r="B98" i="20"/>
  <c r="I97" i="20"/>
  <c r="J97" i="20" s="1"/>
  <c r="F97" i="20"/>
  <c r="D97" i="20"/>
  <c r="C97" i="20"/>
  <c r="B97" i="20"/>
  <c r="J96" i="20"/>
  <c r="I96" i="20"/>
  <c r="F96" i="20"/>
  <c r="D96" i="20"/>
  <c r="C96" i="20"/>
  <c r="B96" i="20"/>
  <c r="I95" i="20"/>
  <c r="J95" i="20" s="1"/>
  <c r="F95" i="20"/>
  <c r="D95" i="20"/>
  <c r="C95" i="20"/>
  <c r="B95" i="20"/>
  <c r="I94" i="20"/>
  <c r="J94" i="20" s="1"/>
  <c r="F94" i="20"/>
  <c r="D94" i="20"/>
  <c r="C94" i="20"/>
  <c r="B94" i="20"/>
  <c r="I93" i="20"/>
  <c r="J93" i="20" s="1"/>
  <c r="F93" i="20"/>
  <c r="D93" i="20"/>
  <c r="C93" i="20"/>
  <c r="B93" i="20"/>
  <c r="J92" i="20"/>
  <c r="I92" i="20"/>
  <c r="F92" i="20"/>
  <c r="D92" i="20"/>
  <c r="C92" i="20"/>
  <c r="B92" i="20"/>
  <c r="I91" i="20"/>
  <c r="J91" i="20" s="1"/>
  <c r="F91" i="20"/>
  <c r="D91" i="20"/>
  <c r="C91" i="20"/>
  <c r="B91" i="20"/>
  <c r="I90" i="20"/>
  <c r="J90" i="20" s="1"/>
  <c r="F90" i="20"/>
  <c r="D90" i="20"/>
  <c r="C90" i="20"/>
  <c r="B90" i="20"/>
  <c r="I89" i="20"/>
  <c r="J89" i="20" s="1"/>
  <c r="F89" i="20"/>
  <c r="D89" i="20"/>
  <c r="C89" i="20"/>
  <c r="B89" i="20"/>
  <c r="J88" i="20"/>
  <c r="I88" i="20"/>
  <c r="F88" i="20"/>
  <c r="D88" i="20"/>
  <c r="C88" i="20"/>
  <c r="B88" i="20"/>
  <c r="I87" i="20"/>
  <c r="J87" i="20" s="1"/>
  <c r="F87" i="20"/>
  <c r="D87" i="20"/>
  <c r="C87" i="20"/>
  <c r="B87" i="20"/>
  <c r="I86" i="20"/>
  <c r="J86" i="20" s="1"/>
  <c r="F86" i="20"/>
  <c r="D86" i="20"/>
  <c r="C86" i="20"/>
  <c r="B86" i="20"/>
  <c r="I85" i="20"/>
  <c r="J85" i="20" s="1"/>
  <c r="F85" i="20"/>
  <c r="D85" i="20"/>
  <c r="C85" i="20"/>
  <c r="B85" i="20"/>
  <c r="J84" i="20"/>
  <c r="I84" i="20"/>
  <c r="F84" i="20"/>
  <c r="D84" i="20"/>
  <c r="C84" i="20"/>
  <c r="B84" i="20"/>
  <c r="I83" i="20"/>
  <c r="J83" i="20" s="1"/>
  <c r="F83" i="20"/>
  <c r="D83" i="20"/>
  <c r="C83" i="20"/>
  <c r="B83" i="20"/>
  <c r="I82" i="20"/>
  <c r="J82" i="20" s="1"/>
  <c r="F82" i="20"/>
  <c r="D82" i="20"/>
  <c r="C82" i="20"/>
  <c r="B82" i="20"/>
  <c r="I81" i="20"/>
  <c r="J81" i="20" s="1"/>
  <c r="F81" i="20"/>
  <c r="D81" i="20"/>
  <c r="C81" i="20"/>
  <c r="B81" i="20"/>
  <c r="J80" i="20"/>
  <c r="I80" i="20"/>
  <c r="F80" i="20"/>
  <c r="D80" i="20"/>
  <c r="C80" i="20"/>
  <c r="B80" i="20"/>
  <c r="I79" i="20"/>
  <c r="J79" i="20" s="1"/>
  <c r="F79" i="20"/>
  <c r="D79" i="20"/>
  <c r="C79" i="20"/>
  <c r="B79" i="20"/>
  <c r="I78" i="20"/>
  <c r="J78" i="20" s="1"/>
  <c r="F78" i="20"/>
  <c r="D78" i="20"/>
  <c r="C78" i="20"/>
  <c r="B78" i="20"/>
  <c r="I77" i="20"/>
  <c r="J77" i="20" s="1"/>
  <c r="F77" i="20"/>
  <c r="D77" i="20"/>
  <c r="C77" i="20"/>
  <c r="B77" i="20"/>
  <c r="J76" i="20"/>
  <c r="I76" i="20"/>
  <c r="F76" i="20"/>
  <c r="D76" i="20"/>
  <c r="C76" i="20"/>
  <c r="B76" i="20"/>
  <c r="I75" i="20"/>
  <c r="J75" i="20" s="1"/>
  <c r="F75" i="20"/>
  <c r="D75" i="20"/>
  <c r="C75" i="20"/>
  <c r="B75" i="20"/>
  <c r="I74" i="20"/>
  <c r="J74" i="20" s="1"/>
  <c r="F74" i="20"/>
  <c r="D74" i="20"/>
  <c r="C74" i="20"/>
  <c r="B74" i="20"/>
  <c r="I73" i="20"/>
  <c r="J73" i="20" s="1"/>
  <c r="F73" i="20"/>
  <c r="D73" i="20"/>
  <c r="C73" i="20"/>
  <c r="B73" i="20"/>
  <c r="J72" i="20"/>
  <c r="I72" i="20"/>
  <c r="F72" i="20"/>
  <c r="D72" i="20"/>
  <c r="C72" i="20"/>
  <c r="B72" i="20"/>
  <c r="I71" i="20"/>
  <c r="J71" i="20" s="1"/>
  <c r="F71" i="20"/>
  <c r="D71" i="20"/>
  <c r="C71" i="20"/>
  <c r="B71" i="20"/>
  <c r="I70" i="20"/>
  <c r="J70" i="20" s="1"/>
  <c r="F70" i="20"/>
  <c r="D70" i="20"/>
  <c r="C70" i="20"/>
  <c r="B70" i="20"/>
  <c r="I69" i="20"/>
  <c r="J69" i="20" s="1"/>
  <c r="F69" i="20"/>
  <c r="D69" i="20"/>
  <c r="C69" i="20"/>
  <c r="B69" i="20"/>
  <c r="J68" i="20"/>
  <c r="I68" i="20"/>
  <c r="F68" i="20"/>
  <c r="D68" i="20"/>
  <c r="C68" i="20"/>
  <c r="B68" i="20"/>
  <c r="I67" i="20"/>
  <c r="J67" i="20" s="1"/>
  <c r="F67" i="20"/>
  <c r="D67" i="20"/>
  <c r="C67" i="20"/>
  <c r="B67" i="20"/>
  <c r="I66" i="20"/>
  <c r="J66" i="20" s="1"/>
  <c r="F66" i="20"/>
  <c r="D66" i="20"/>
  <c r="C66" i="20"/>
  <c r="B66" i="20"/>
  <c r="I65" i="20"/>
  <c r="J65" i="20" s="1"/>
  <c r="F65" i="20"/>
  <c r="D65" i="20"/>
  <c r="C65" i="20"/>
  <c r="B65" i="20"/>
  <c r="J64" i="20"/>
  <c r="I64" i="20"/>
  <c r="F64" i="20"/>
  <c r="D64" i="20"/>
  <c r="C64" i="20"/>
  <c r="B64" i="20"/>
  <c r="I63" i="20"/>
  <c r="J63" i="20" s="1"/>
  <c r="F63" i="20"/>
  <c r="D63" i="20"/>
  <c r="C63" i="20"/>
  <c r="B63" i="20"/>
  <c r="I62" i="20"/>
  <c r="J62" i="20" s="1"/>
  <c r="F62" i="20"/>
  <c r="D62" i="20"/>
  <c r="C62" i="20"/>
  <c r="B62" i="20"/>
  <c r="I61" i="20"/>
  <c r="J61" i="20" s="1"/>
  <c r="F61" i="20"/>
  <c r="D61" i="20"/>
  <c r="C61" i="20"/>
  <c r="B61" i="20"/>
  <c r="J60" i="20"/>
  <c r="I60" i="20"/>
  <c r="F60" i="20"/>
  <c r="D60" i="20"/>
  <c r="C60" i="20"/>
  <c r="B60" i="20"/>
  <c r="I59" i="20"/>
  <c r="J59" i="20" s="1"/>
  <c r="F59" i="20"/>
  <c r="D59" i="20"/>
  <c r="C59" i="20"/>
  <c r="B59" i="20"/>
  <c r="I58" i="20"/>
  <c r="J58" i="20" s="1"/>
  <c r="F58" i="20"/>
  <c r="D58" i="20"/>
  <c r="C58" i="20"/>
  <c r="B58" i="20"/>
  <c r="I57" i="20"/>
  <c r="J57" i="20" s="1"/>
  <c r="F57" i="20"/>
  <c r="D57" i="20"/>
  <c r="C57" i="20"/>
  <c r="B57" i="20"/>
  <c r="J56" i="20"/>
  <c r="I56" i="20"/>
  <c r="F56" i="20"/>
  <c r="D56" i="20"/>
  <c r="C56" i="20"/>
  <c r="B56" i="20"/>
  <c r="I55" i="20"/>
  <c r="J55" i="20" s="1"/>
  <c r="F55" i="20"/>
  <c r="D55" i="20"/>
  <c r="C55" i="20"/>
  <c r="B55" i="20"/>
  <c r="I54" i="20"/>
  <c r="J54" i="20" s="1"/>
  <c r="F54" i="20"/>
  <c r="D54" i="20"/>
  <c r="C54" i="20"/>
  <c r="B54" i="20"/>
  <c r="I53" i="20"/>
  <c r="J53" i="20" s="1"/>
  <c r="F53" i="20"/>
  <c r="D53" i="20"/>
  <c r="C53" i="20"/>
  <c r="B53" i="20"/>
  <c r="J52" i="20"/>
  <c r="I52" i="20"/>
  <c r="F52" i="20"/>
  <c r="D52" i="20"/>
  <c r="C52" i="20"/>
  <c r="B52" i="20"/>
  <c r="I51" i="20"/>
  <c r="J51" i="20" s="1"/>
  <c r="F51" i="20"/>
  <c r="D51" i="20"/>
  <c r="C51" i="20"/>
  <c r="B51" i="20"/>
  <c r="I50" i="20"/>
  <c r="J50" i="20" s="1"/>
  <c r="F50" i="20"/>
  <c r="D50" i="20"/>
  <c r="C50" i="20"/>
  <c r="B50" i="20"/>
  <c r="I49" i="20"/>
  <c r="J49" i="20" s="1"/>
  <c r="F49" i="20"/>
  <c r="D49" i="20"/>
  <c r="C49" i="20"/>
  <c r="B49" i="20"/>
  <c r="J48" i="20"/>
  <c r="I48" i="20"/>
  <c r="F48" i="20"/>
  <c r="D48" i="20"/>
  <c r="C48" i="20"/>
  <c r="B48" i="20"/>
  <c r="I47" i="20"/>
  <c r="J47" i="20" s="1"/>
  <c r="F47" i="20"/>
  <c r="D47" i="20"/>
  <c r="C47" i="20"/>
  <c r="B47" i="20"/>
  <c r="I46" i="20"/>
  <c r="J46" i="20" s="1"/>
  <c r="F46" i="20"/>
  <c r="D46" i="20"/>
  <c r="C46" i="20"/>
  <c r="B46" i="20"/>
  <c r="I45" i="20"/>
  <c r="J45" i="20" s="1"/>
  <c r="F45" i="20"/>
  <c r="D45" i="20"/>
  <c r="C45" i="20"/>
  <c r="B45" i="20"/>
  <c r="J44" i="20"/>
  <c r="I44" i="20"/>
  <c r="F44" i="20"/>
  <c r="D44" i="20"/>
  <c r="C44" i="20"/>
  <c r="B44" i="20"/>
  <c r="I43" i="20"/>
  <c r="J43" i="20" s="1"/>
  <c r="F43" i="20"/>
  <c r="D43" i="20"/>
  <c r="C43" i="20"/>
  <c r="B43" i="20"/>
  <c r="I42" i="20"/>
  <c r="J42" i="20" s="1"/>
  <c r="F42" i="20"/>
  <c r="D42" i="20"/>
  <c r="C42" i="20"/>
  <c r="B42" i="20"/>
  <c r="I41" i="20"/>
  <c r="J41" i="20" s="1"/>
  <c r="F41" i="20"/>
  <c r="D41" i="20"/>
  <c r="C41" i="20"/>
  <c r="B41" i="20"/>
  <c r="J40" i="20"/>
  <c r="I40" i="20"/>
  <c r="F40" i="20"/>
  <c r="D40" i="20"/>
  <c r="C40" i="20"/>
  <c r="B40" i="20"/>
  <c r="I39" i="20"/>
  <c r="J39" i="20" s="1"/>
  <c r="F39" i="20"/>
  <c r="D39" i="20"/>
  <c r="C39" i="20"/>
  <c r="B39" i="20"/>
  <c r="I38" i="20"/>
  <c r="J38" i="20" s="1"/>
  <c r="F38" i="20"/>
  <c r="D38" i="20"/>
  <c r="C38" i="20"/>
  <c r="B38" i="20"/>
  <c r="I37" i="20"/>
  <c r="J37" i="20" s="1"/>
  <c r="F37" i="20"/>
  <c r="D37" i="20"/>
  <c r="C37" i="20"/>
  <c r="B37" i="20"/>
  <c r="J36" i="20"/>
  <c r="I36" i="20"/>
  <c r="F36" i="20"/>
  <c r="D36" i="20"/>
  <c r="C36" i="20"/>
  <c r="B36" i="20"/>
  <c r="I35" i="20"/>
  <c r="J35" i="20" s="1"/>
  <c r="F35" i="20"/>
  <c r="D35" i="20"/>
  <c r="C35" i="20"/>
  <c r="B35" i="20"/>
  <c r="I34" i="20"/>
  <c r="J34" i="20" s="1"/>
  <c r="F34" i="20"/>
  <c r="D34" i="20"/>
  <c r="C34" i="20"/>
  <c r="B34" i="20"/>
  <c r="I33" i="20"/>
  <c r="J33" i="20" s="1"/>
  <c r="F33" i="20"/>
  <c r="D33" i="20"/>
  <c r="C33" i="20"/>
  <c r="B33" i="20"/>
  <c r="J32" i="20"/>
  <c r="I32" i="20"/>
  <c r="F32" i="20"/>
  <c r="D32" i="20"/>
  <c r="C32" i="20"/>
  <c r="B32" i="20"/>
  <c r="I31" i="20"/>
  <c r="J31" i="20" s="1"/>
  <c r="F31" i="20"/>
  <c r="D31" i="20"/>
  <c r="C31" i="20"/>
  <c r="B31" i="20"/>
  <c r="I30" i="20"/>
  <c r="J30" i="20" s="1"/>
  <c r="F30" i="20"/>
  <c r="D30" i="20"/>
  <c r="C30" i="20"/>
  <c r="B30" i="20"/>
  <c r="I29" i="20"/>
  <c r="J29" i="20" s="1"/>
  <c r="F29" i="20"/>
  <c r="D29" i="20"/>
  <c r="C29" i="20"/>
  <c r="B29" i="20"/>
  <c r="J28" i="20"/>
  <c r="I28" i="20"/>
  <c r="F28" i="20"/>
  <c r="D28" i="20"/>
  <c r="C28" i="20"/>
  <c r="B28" i="20"/>
  <c r="I27" i="20"/>
  <c r="J27" i="20" s="1"/>
  <c r="F27" i="20"/>
  <c r="D27" i="20"/>
  <c r="C27" i="20"/>
  <c r="B27" i="20"/>
  <c r="I26" i="20"/>
  <c r="J26" i="20" s="1"/>
  <c r="F26" i="20"/>
  <c r="D26" i="20"/>
  <c r="C26" i="20"/>
  <c r="B26" i="20"/>
  <c r="I25" i="20"/>
  <c r="J25" i="20" s="1"/>
  <c r="F25" i="20"/>
  <c r="D25" i="20"/>
  <c r="C25" i="20"/>
  <c r="B25" i="20"/>
  <c r="J24" i="20"/>
  <c r="I24" i="20"/>
  <c r="F24" i="20"/>
  <c r="D24" i="20"/>
  <c r="C24" i="20"/>
  <c r="B24" i="20"/>
  <c r="I23" i="20"/>
  <c r="J23" i="20" s="1"/>
  <c r="F23" i="20"/>
  <c r="D23" i="20"/>
  <c r="C23" i="20"/>
  <c r="B23" i="20"/>
  <c r="I22" i="20"/>
  <c r="J22" i="20" s="1"/>
  <c r="F22" i="20"/>
  <c r="D22" i="20"/>
  <c r="C22" i="20"/>
  <c r="B22" i="20"/>
  <c r="I21" i="20"/>
  <c r="J21" i="20" s="1"/>
  <c r="F21" i="20"/>
  <c r="D21" i="20"/>
  <c r="C21" i="20"/>
  <c r="B21" i="20"/>
  <c r="J20" i="20"/>
  <c r="I20" i="20"/>
  <c r="F20" i="20"/>
  <c r="D20" i="20"/>
  <c r="C20" i="20"/>
  <c r="B20" i="20"/>
  <c r="I19" i="20"/>
  <c r="J19" i="20" s="1"/>
  <c r="F19" i="20"/>
  <c r="D19" i="20"/>
  <c r="C19" i="20"/>
  <c r="B19" i="20"/>
  <c r="I18" i="20"/>
  <c r="J18" i="20" s="1"/>
  <c r="F18" i="20"/>
  <c r="D18" i="20"/>
  <c r="C18" i="20"/>
  <c r="B18" i="20"/>
  <c r="I17" i="20"/>
  <c r="J17" i="20" s="1"/>
  <c r="F17" i="20"/>
  <c r="D17" i="20"/>
  <c r="C17" i="20"/>
  <c r="B17" i="20"/>
  <c r="J16" i="20"/>
  <c r="I16" i="20"/>
  <c r="F16" i="20"/>
  <c r="D16" i="20"/>
  <c r="C16" i="20"/>
  <c r="B16" i="20"/>
  <c r="I15" i="20"/>
  <c r="J15" i="20" s="1"/>
  <c r="F15" i="20"/>
  <c r="D15" i="20"/>
  <c r="C15" i="20"/>
  <c r="B15" i="20"/>
  <c r="I14" i="20"/>
  <c r="J14" i="20" s="1"/>
  <c r="F14" i="20"/>
  <c r="D14" i="20"/>
  <c r="C14" i="20"/>
  <c r="B14" i="20"/>
  <c r="I13" i="20"/>
  <c r="J13" i="20" s="1"/>
  <c r="F13" i="20"/>
  <c r="D13" i="20"/>
  <c r="C13" i="20"/>
  <c r="B13" i="20"/>
  <c r="J12" i="20"/>
  <c r="I12" i="20"/>
  <c r="F12" i="20"/>
  <c r="D12" i="20"/>
  <c r="C12" i="20"/>
  <c r="B12" i="20"/>
  <c r="I11" i="20"/>
  <c r="J11" i="20" s="1"/>
  <c r="F11" i="20"/>
  <c r="D11" i="20"/>
  <c r="C11" i="20"/>
  <c r="B11" i="20"/>
  <c r="I10" i="20"/>
  <c r="J10" i="20" s="1"/>
  <c r="F10" i="20"/>
  <c r="D10" i="20"/>
  <c r="C10" i="20"/>
  <c r="B10" i="20"/>
  <c r="I9" i="20"/>
  <c r="J9" i="20" s="1"/>
  <c r="F9" i="20"/>
  <c r="D9" i="20"/>
  <c r="C9" i="20"/>
  <c r="B9" i="20"/>
  <c r="G4" i="20"/>
  <c r="K213" i="19"/>
  <c r="I213" i="19"/>
  <c r="J213" i="19" s="1"/>
  <c r="D213" i="19"/>
  <c r="C213" i="19"/>
  <c r="A213" i="19"/>
  <c r="K212" i="19"/>
  <c r="I212" i="19"/>
  <c r="J212" i="19" s="1"/>
  <c r="D212" i="19"/>
  <c r="C212" i="19"/>
  <c r="A212" i="19"/>
  <c r="K211" i="19"/>
  <c r="J211" i="19"/>
  <c r="I211" i="19"/>
  <c r="D211" i="19"/>
  <c r="C211" i="19"/>
  <c r="A211" i="19"/>
  <c r="K210" i="19"/>
  <c r="I210" i="19"/>
  <c r="J210" i="19" s="1"/>
  <c r="D210" i="19"/>
  <c r="C210" i="19"/>
  <c r="A210" i="19"/>
  <c r="K209" i="19"/>
  <c r="I209" i="19"/>
  <c r="J209" i="19" s="1"/>
  <c r="D209" i="19"/>
  <c r="C209" i="19"/>
  <c r="A209" i="19"/>
  <c r="K208" i="19"/>
  <c r="I208" i="19"/>
  <c r="J208" i="19" s="1"/>
  <c r="D208" i="19"/>
  <c r="C208" i="19"/>
  <c r="A208" i="19"/>
  <c r="K207" i="19"/>
  <c r="J207" i="19"/>
  <c r="I207" i="19"/>
  <c r="D207" i="19"/>
  <c r="C207" i="19"/>
  <c r="A207" i="19"/>
  <c r="K206" i="19"/>
  <c r="I206" i="19"/>
  <c r="J206" i="19" s="1"/>
  <c r="D206" i="19"/>
  <c r="C206" i="19"/>
  <c r="A206" i="19"/>
  <c r="K205" i="19"/>
  <c r="I205" i="19"/>
  <c r="J205" i="19" s="1"/>
  <c r="D205" i="19"/>
  <c r="C205" i="19"/>
  <c r="A205" i="19"/>
  <c r="K204" i="19"/>
  <c r="I204" i="19"/>
  <c r="J204" i="19" s="1"/>
  <c r="D204" i="19"/>
  <c r="C204" i="19"/>
  <c r="A204" i="19"/>
  <c r="K203" i="19"/>
  <c r="J203" i="19"/>
  <c r="I203" i="19"/>
  <c r="D203" i="19"/>
  <c r="C203" i="19"/>
  <c r="A203" i="19"/>
  <c r="K202" i="19"/>
  <c r="I202" i="19"/>
  <c r="J202" i="19" s="1"/>
  <c r="D202" i="19"/>
  <c r="C202" i="19"/>
  <c r="A202" i="19"/>
  <c r="K201" i="19"/>
  <c r="I201" i="19"/>
  <c r="J201" i="19" s="1"/>
  <c r="D201" i="19"/>
  <c r="C201" i="19"/>
  <c r="A201" i="19"/>
  <c r="K200" i="19"/>
  <c r="I200" i="19"/>
  <c r="J200" i="19" s="1"/>
  <c r="D200" i="19"/>
  <c r="C200" i="19"/>
  <c r="A200" i="19"/>
  <c r="K199" i="19"/>
  <c r="J199" i="19"/>
  <c r="I199" i="19"/>
  <c r="D199" i="19"/>
  <c r="C199" i="19"/>
  <c r="A199" i="19"/>
  <c r="K198" i="19"/>
  <c r="I198" i="19"/>
  <c r="J198" i="19" s="1"/>
  <c r="D198" i="19"/>
  <c r="C198" i="19"/>
  <c r="A198" i="19"/>
  <c r="K197" i="19"/>
  <c r="I197" i="19"/>
  <c r="J197" i="19" s="1"/>
  <c r="D197" i="19"/>
  <c r="C197" i="19"/>
  <c r="A197" i="19"/>
  <c r="K196" i="19"/>
  <c r="I196" i="19"/>
  <c r="J196" i="19" s="1"/>
  <c r="D196" i="19"/>
  <c r="C196" i="19"/>
  <c r="A196" i="19"/>
  <c r="K195" i="19"/>
  <c r="J195" i="19"/>
  <c r="I195" i="19"/>
  <c r="D195" i="19"/>
  <c r="C195" i="19"/>
  <c r="A195" i="19"/>
  <c r="K194" i="19"/>
  <c r="I194" i="19"/>
  <c r="J194" i="19" s="1"/>
  <c r="D194" i="19"/>
  <c r="C194" i="19"/>
  <c r="A194" i="19"/>
  <c r="K193" i="19"/>
  <c r="I193" i="19"/>
  <c r="J193" i="19" s="1"/>
  <c r="D193" i="19"/>
  <c r="C193" i="19"/>
  <c r="A193" i="19"/>
  <c r="K192" i="19"/>
  <c r="I192" i="19"/>
  <c r="J192" i="19" s="1"/>
  <c r="D192" i="19"/>
  <c r="C192" i="19"/>
  <c r="A192" i="19"/>
  <c r="K191" i="19"/>
  <c r="J191" i="19"/>
  <c r="I191" i="19"/>
  <c r="D191" i="19"/>
  <c r="C191" i="19"/>
  <c r="A191" i="19"/>
  <c r="K190" i="19"/>
  <c r="I190" i="19"/>
  <c r="J190" i="19" s="1"/>
  <c r="D190" i="19"/>
  <c r="C190" i="19"/>
  <c r="A190" i="19"/>
  <c r="K189" i="19"/>
  <c r="I189" i="19"/>
  <c r="J189" i="19" s="1"/>
  <c r="D189" i="19"/>
  <c r="C189" i="19"/>
  <c r="A189" i="19"/>
  <c r="K188" i="19"/>
  <c r="I188" i="19"/>
  <c r="J188" i="19" s="1"/>
  <c r="D188" i="19"/>
  <c r="C188" i="19"/>
  <c r="A188" i="19"/>
  <c r="K187" i="19"/>
  <c r="J187" i="19"/>
  <c r="I187" i="19"/>
  <c r="D187" i="19"/>
  <c r="C187" i="19"/>
  <c r="A187" i="19"/>
  <c r="K186" i="19"/>
  <c r="I186" i="19"/>
  <c r="J186" i="19" s="1"/>
  <c r="D186" i="19"/>
  <c r="C186" i="19"/>
  <c r="A186" i="19"/>
  <c r="K185" i="19"/>
  <c r="I185" i="19"/>
  <c r="J185" i="19" s="1"/>
  <c r="D185" i="19"/>
  <c r="C185" i="19"/>
  <c r="A185" i="19"/>
  <c r="K184" i="19"/>
  <c r="I184" i="19"/>
  <c r="J184" i="19" s="1"/>
  <c r="D184" i="19"/>
  <c r="C184" i="19"/>
  <c r="A184" i="19"/>
  <c r="K183" i="19"/>
  <c r="J183" i="19"/>
  <c r="I183" i="19"/>
  <c r="D183" i="19"/>
  <c r="C183" i="19"/>
  <c r="A183" i="19"/>
  <c r="K182" i="19"/>
  <c r="I182" i="19"/>
  <c r="J182" i="19" s="1"/>
  <c r="D182" i="19"/>
  <c r="C182" i="19"/>
  <c r="A182" i="19"/>
  <c r="K181" i="19"/>
  <c r="I181" i="19"/>
  <c r="J181" i="19" s="1"/>
  <c r="D181" i="19"/>
  <c r="C181" i="19"/>
  <c r="A181" i="19"/>
  <c r="K180" i="19"/>
  <c r="I180" i="19"/>
  <c r="J180" i="19" s="1"/>
  <c r="D180" i="19"/>
  <c r="C180" i="19"/>
  <c r="A180" i="19"/>
  <c r="K179" i="19"/>
  <c r="J179" i="19"/>
  <c r="I179" i="19"/>
  <c r="D179" i="19"/>
  <c r="C179" i="19"/>
  <c r="A179" i="19"/>
  <c r="K178" i="19"/>
  <c r="I178" i="19"/>
  <c r="J178" i="19" s="1"/>
  <c r="D178" i="19"/>
  <c r="C178" i="19"/>
  <c r="A178" i="19"/>
  <c r="K177" i="19"/>
  <c r="I177" i="19"/>
  <c r="J177" i="19" s="1"/>
  <c r="D177" i="19"/>
  <c r="C177" i="19"/>
  <c r="A177" i="19"/>
  <c r="K176" i="19"/>
  <c r="I176" i="19"/>
  <c r="J176" i="19" s="1"/>
  <c r="D176" i="19"/>
  <c r="C176" i="19"/>
  <c r="A176" i="19"/>
  <c r="K175" i="19"/>
  <c r="J175" i="19"/>
  <c r="I175" i="19"/>
  <c r="D175" i="19"/>
  <c r="C175" i="19"/>
  <c r="A175" i="19"/>
  <c r="K174" i="19"/>
  <c r="I174" i="19"/>
  <c r="J174" i="19" s="1"/>
  <c r="D174" i="19"/>
  <c r="C174" i="19"/>
  <c r="A174" i="19"/>
  <c r="K173" i="19"/>
  <c r="I173" i="19"/>
  <c r="J173" i="19" s="1"/>
  <c r="D173" i="19"/>
  <c r="C173" i="19"/>
  <c r="A173" i="19"/>
  <c r="K172" i="19"/>
  <c r="I172" i="19"/>
  <c r="J172" i="19" s="1"/>
  <c r="D172" i="19"/>
  <c r="C172" i="19"/>
  <c r="A172" i="19"/>
  <c r="K171" i="19"/>
  <c r="J171" i="19"/>
  <c r="I171" i="19"/>
  <c r="D171" i="19"/>
  <c r="C171" i="19"/>
  <c r="A171" i="19"/>
  <c r="K170" i="19"/>
  <c r="I170" i="19"/>
  <c r="J170" i="19" s="1"/>
  <c r="D170" i="19"/>
  <c r="C170" i="19"/>
  <c r="A170" i="19"/>
  <c r="K169" i="19"/>
  <c r="I169" i="19"/>
  <c r="J169" i="19" s="1"/>
  <c r="D169" i="19"/>
  <c r="C169" i="19"/>
  <c r="A169" i="19"/>
  <c r="K168" i="19"/>
  <c r="I168" i="19"/>
  <c r="J168" i="19" s="1"/>
  <c r="D168" i="19"/>
  <c r="C168" i="19"/>
  <c r="A168" i="19"/>
  <c r="K167" i="19"/>
  <c r="J167" i="19"/>
  <c r="I167" i="19"/>
  <c r="D167" i="19"/>
  <c r="C167" i="19"/>
  <c r="A167" i="19"/>
  <c r="K166" i="19"/>
  <c r="I166" i="19"/>
  <c r="J166" i="19" s="1"/>
  <c r="D166" i="19"/>
  <c r="C166" i="19"/>
  <c r="A166" i="19"/>
  <c r="K165" i="19"/>
  <c r="I165" i="19"/>
  <c r="J165" i="19" s="1"/>
  <c r="D165" i="19"/>
  <c r="C165" i="19"/>
  <c r="A165" i="19"/>
  <c r="K164" i="19"/>
  <c r="I164" i="19"/>
  <c r="J164" i="19" s="1"/>
  <c r="D164" i="19"/>
  <c r="C164" i="19"/>
  <c r="A164" i="19"/>
  <c r="K163" i="19"/>
  <c r="J163" i="19"/>
  <c r="I163" i="19"/>
  <c r="D163" i="19"/>
  <c r="C163" i="19"/>
  <c r="A163" i="19"/>
  <c r="K162" i="19"/>
  <c r="I162" i="19"/>
  <c r="J162" i="19" s="1"/>
  <c r="D162" i="19"/>
  <c r="C162" i="19"/>
  <c r="A162" i="19"/>
  <c r="K161" i="19"/>
  <c r="I161" i="19"/>
  <c r="J161" i="19" s="1"/>
  <c r="D161" i="19"/>
  <c r="C161" i="19"/>
  <c r="A161" i="19"/>
  <c r="K160" i="19"/>
  <c r="I160" i="19"/>
  <c r="J160" i="19" s="1"/>
  <c r="D160" i="19"/>
  <c r="C160" i="19"/>
  <c r="A160" i="19"/>
  <c r="K159" i="19"/>
  <c r="J159" i="19"/>
  <c r="I159" i="19"/>
  <c r="D159" i="19"/>
  <c r="C159" i="19"/>
  <c r="A159" i="19"/>
  <c r="K158" i="19"/>
  <c r="I158" i="19"/>
  <c r="J158" i="19" s="1"/>
  <c r="D158" i="19"/>
  <c r="C158" i="19"/>
  <c r="A158" i="19"/>
  <c r="K157" i="19"/>
  <c r="I157" i="19"/>
  <c r="J157" i="19" s="1"/>
  <c r="D157" i="19"/>
  <c r="C157" i="19"/>
  <c r="A157" i="19"/>
  <c r="K156" i="19"/>
  <c r="I156" i="19"/>
  <c r="J156" i="19" s="1"/>
  <c r="D156" i="19"/>
  <c r="C156" i="19"/>
  <c r="A156" i="19"/>
  <c r="K155" i="19"/>
  <c r="J155" i="19"/>
  <c r="I155" i="19"/>
  <c r="D155" i="19"/>
  <c r="C155" i="19"/>
  <c r="A155" i="19"/>
  <c r="K154" i="19"/>
  <c r="I154" i="19"/>
  <c r="J154" i="19" s="1"/>
  <c r="D154" i="19"/>
  <c r="C154" i="19"/>
  <c r="A154" i="19"/>
  <c r="K153" i="19"/>
  <c r="I153" i="19"/>
  <c r="J153" i="19" s="1"/>
  <c r="D153" i="19"/>
  <c r="C153" i="19"/>
  <c r="A153" i="19"/>
  <c r="K152" i="19"/>
  <c r="I152" i="19"/>
  <c r="J152" i="19" s="1"/>
  <c r="D152" i="19"/>
  <c r="C152" i="19"/>
  <c r="A152" i="19"/>
  <c r="K151" i="19"/>
  <c r="J151" i="19"/>
  <c r="I151" i="19"/>
  <c r="D151" i="19"/>
  <c r="C151" i="19"/>
  <c r="A151" i="19"/>
  <c r="K150" i="19"/>
  <c r="I150" i="19"/>
  <c r="J150" i="19" s="1"/>
  <c r="D150" i="19"/>
  <c r="C150" i="19"/>
  <c r="A150" i="19"/>
  <c r="K149" i="19"/>
  <c r="I149" i="19"/>
  <c r="J149" i="19" s="1"/>
  <c r="D149" i="19"/>
  <c r="C149" i="19"/>
  <c r="A149" i="19"/>
  <c r="K148" i="19"/>
  <c r="I148" i="19"/>
  <c r="J148" i="19" s="1"/>
  <c r="D148" i="19"/>
  <c r="C148" i="19"/>
  <c r="A148" i="19"/>
  <c r="K147" i="19"/>
  <c r="J147" i="19"/>
  <c r="I147" i="19"/>
  <c r="D147" i="19"/>
  <c r="C147" i="19"/>
  <c r="A147" i="19"/>
  <c r="K146" i="19"/>
  <c r="I146" i="19"/>
  <c r="J146" i="19" s="1"/>
  <c r="D146" i="19"/>
  <c r="C146" i="19"/>
  <c r="A146" i="19"/>
  <c r="K145" i="19"/>
  <c r="I145" i="19"/>
  <c r="J145" i="19" s="1"/>
  <c r="D145" i="19"/>
  <c r="C145" i="19"/>
  <c r="A145" i="19"/>
  <c r="K144" i="19"/>
  <c r="I144" i="19"/>
  <c r="J144" i="19" s="1"/>
  <c r="D144" i="19"/>
  <c r="C144" i="19"/>
  <c r="A144" i="19"/>
  <c r="K143" i="19"/>
  <c r="J143" i="19"/>
  <c r="I143" i="19"/>
  <c r="D143" i="19"/>
  <c r="C143" i="19"/>
  <c r="A143" i="19"/>
  <c r="K142" i="19"/>
  <c r="I142" i="19"/>
  <c r="J142" i="19" s="1"/>
  <c r="D142" i="19"/>
  <c r="C142" i="19"/>
  <c r="A142" i="19"/>
  <c r="K141" i="19"/>
  <c r="I141" i="19"/>
  <c r="J141" i="19" s="1"/>
  <c r="D141" i="19"/>
  <c r="C141" i="19"/>
  <c r="A141" i="19"/>
  <c r="K140" i="19"/>
  <c r="I140" i="19"/>
  <c r="J140" i="19" s="1"/>
  <c r="D140" i="19"/>
  <c r="C140" i="19"/>
  <c r="A140" i="19"/>
  <c r="K139" i="19"/>
  <c r="J139" i="19"/>
  <c r="I139" i="19"/>
  <c r="D139" i="19"/>
  <c r="C139" i="19"/>
  <c r="A139" i="19"/>
  <c r="K138" i="19"/>
  <c r="I138" i="19"/>
  <c r="J138" i="19" s="1"/>
  <c r="D138" i="19"/>
  <c r="C138" i="19"/>
  <c r="A138" i="19"/>
  <c r="K137" i="19"/>
  <c r="I137" i="19"/>
  <c r="J137" i="19" s="1"/>
  <c r="D137" i="19"/>
  <c r="C137" i="19"/>
  <c r="A137" i="19"/>
  <c r="K136" i="19"/>
  <c r="I136" i="19"/>
  <c r="J136" i="19" s="1"/>
  <c r="D136" i="19"/>
  <c r="C136" i="19"/>
  <c r="A136" i="19"/>
  <c r="K135" i="19"/>
  <c r="J135" i="19"/>
  <c r="I135" i="19"/>
  <c r="D135" i="19"/>
  <c r="C135" i="19"/>
  <c r="A135" i="19"/>
  <c r="K134" i="19"/>
  <c r="I134" i="19"/>
  <c r="J134" i="19" s="1"/>
  <c r="D134" i="19"/>
  <c r="C134" i="19"/>
  <c r="A134" i="19"/>
  <c r="K133" i="19"/>
  <c r="I133" i="19"/>
  <c r="J133" i="19" s="1"/>
  <c r="D133" i="19"/>
  <c r="C133" i="19"/>
  <c r="A133" i="19"/>
  <c r="K132" i="19"/>
  <c r="I132" i="19"/>
  <c r="J132" i="19" s="1"/>
  <c r="D132" i="19"/>
  <c r="C132" i="19"/>
  <c r="A132" i="19"/>
  <c r="K131" i="19"/>
  <c r="J131" i="19"/>
  <c r="I131" i="19"/>
  <c r="D131" i="19"/>
  <c r="C131" i="19"/>
  <c r="A131" i="19"/>
  <c r="K130" i="19"/>
  <c r="I130" i="19"/>
  <c r="J130" i="19" s="1"/>
  <c r="D130" i="19"/>
  <c r="C130" i="19"/>
  <c r="A130" i="19"/>
  <c r="K129" i="19"/>
  <c r="I129" i="19"/>
  <c r="J129" i="19" s="1"/>
  <c r="D129" i="19"/>
  <c r="C129" i="19"/>
  <c r="A129" i="19"/>
  <c r="K128" i="19"/>
  <c r="I128" i="19"/>
  <c r="J128" i="19" s="1"/>
  <c r="D128" i="19"/>
  <c r="C128" i="19"/>
  <c r="A128" i="19"/>
  <c r="K127" i="19"/>
  <c r="J127" i="19"/>
  <c r="I127" i="19"/>
  <c r="D127" i="19"/>
  <c r="C127" i="19"/>
  <c r="A127" i="19"/>
  <c r="K126" i="19"/>
  <c r="I126" i="19"/>
  <c r="J126" i="19" s="1"/>
  <c r="D126" i="19"/>
  <c r="C126" i="19"/>
  <c r="A126" i="19"/>
  <c r="K125" i="19"/>
  <c r="I125" i="19"/>
  <c r="J125" i="19" s="1"/>
  <c r="D125" i="19"/>
  <c r="C125" i="19"/>
  <c r="A125" i="19"/>
  <c r="K124" i="19"/>
  <c r="I124" i="19"/>
  <c r="J124" i="19" s="1"/>
  <c r="D124" i="19"/>
  <c r="C124" i="19"/>
  <c r="A124" i="19"/>
  <c r="K123" i="19"/>
  <c r="J123" i="19"/>
  <c r="I123" i="19"/>
  <c r="D123" i="19"/>
  <c r="C123" i="19"/>
  <c r="A123" i="19"/>
  <c r="K122" i="19"/>
  <c r="I122" i="19"/>
  <c r="J122" i="19" s="1"/>
  <c r="D122" i="19"/>
  <c r="C122" i="19"/>
  <c r="A122" i="19"/>
  <c r="K121" i="19"/>
  <c r="I121" i="19"/>
  <c r="J121" i="19" s="1"/>
  <c r="D121" i="19"/>
  <c r="C121" i="19"/>
  <c r="A121" i="19"/>
  <c r="K120" i="19"/>
  <c r="I120" i="19"/>
  <c r="J120" i="19" s="1"/>
  <c r="D120" i="19"/>
  <c r="C120" i="19"/>
  <c r="A120" i="19"/>
  <c r="K119" i="19"/>
  <c r="J119" i="19"/>
  <c r="I119" i="19"/>
  <c r="D119" i="19"/>
  <c r="C119" i="19"/>
  <c r="A119" i="19"/>
  <c r="K118" i="19"/>
  <c r="I118" i="19"/>
  <c r="J118" i="19" s="1"/>
  <c r="D118" i="19"/>
  <c r="C118" i="19"/>
  <c r="A118" i="19"/>
  <c r="K117" i="19"/>
  <c r="I117" i="19"/>
  <c r="J117" i="19" s="1"/>
  <c r="D117" i="19"/>
  <c r="C117" i="19"/>
  <c r="A117" i="19"/>
  <c r="K116" i="19"/>
  <c r="I116" i="19"/>
  <c r="J116" i="19" s="1"/>
  <c r="D116" i="19"/>
  <c r="C116" i="19"/>
  <c r="A116" i="19"/>
  <c r="K115" i="19"/>
  <c r="J115" i="19"/>
  <c r="I115" i="19"/>
  <c r="D115" i="19"/>
  <c r="C115" i="19"/>
  <c r="A115" i="19"/>
  <c r="K114" i="19"/>
  <c r="I114" i="19"/>
  <c r="J114" i="19" s="1"/>
  <c r="D114" i="19"/>
  <c r="C114" i="19"/>
  <c r="A114" i="19"/>
  <c r="K113" i="19"/>
  <c r="I113" i="19"/>
  <c r="J113" i="19" s="1"/>
  <c r="D113" i="19"/>
  <c r="C113" i="19"/>
  <c r="A113" i="19"/>
  <c r="K112" i="19"/>
  <c r="I112" i="19"/>
  <c r="J112" i="19" s="1"/>
  <c r="D112" i="19"/>
  <c r="C112" i="19"/>
  <c r="A112" i="19"/>
  <c r="K111" i="19"/>
  <c r="J111" i="19"/>
  <c r="I111" i="19"/>
  <c r="D111" i="19"/>
  <c r="C111" i="19"/>
  <c r="A111" i="19"/>
  <c r="K110" i="19"/>
  <c r="I110" i="19"/>
  <c r="J110" i="19" s="1"/>
  <c r="D110" i="19"/>
  <c r="C110" i="19"/>
  <c r="A110" i="19"/>
  <c r="K109" i="19"/>
  <c r="I109" i="19"/>
  <c r="J109" i="19" s="1"/>
  <c r="D109" i="19"/>
  <c r="C109" i="19"/>
  <c r="A109" i="19"/>
  <c r="K108" i="19"/>
  <c r="I108" i="19"/>
  <c r="J108" i="19" s="1"/>
  <c r="D108" i="19"/>
  <c r="C108" i="19"/>
  <c r="A108" i="19"/>
  <c r="K107" i="19"/>
  <c r="J107" i="19"/>
  <c r="I107" i="19"/>
  <c r="D107" i="19"/>
  <c r="C107" i="19"/>
  <c r="A107" i="19"/>
  <c r="K106" i="19"/>
  <c r="I106" i="19"/>
  <c r="J106" i="19" s="1"/>
  <c r="D106" i="19"/>
  <c r="C106" i="19"/>
  <c r="A106" i="19"/>
  <c r="K105" i="19"/>
  <c r="I105" i="19"/>
  <c r="J105" i="19" s="1"/>
  <c r="D105" i="19"/>
  <c r="C105" i="19"/>
  <c r="A105" i="19"/>
  <c r="K104" i="19"/>
  <c r="I104" i="19"/>
  <c r="J104" i="19" s="1"/>
  <c r="D104" i="19"/>
  <c r="C104" i="19"/>
  <c r="A104" i="19"/>
  <c r="K103" i="19"/>
  <c r="J103" i="19"/>
  <c r="I103" i="19"/>
  <c r="D103" i="19"/>
  <c r="C103" i="19"/>
  <c r="A103" i="19"/>
  <c r="K102" i="19"/>
  <c r="I102" i="19"/>
  <c r="J102" i="19" s="1"/>
  <c r="D102" i="19"/>
  <c r="C102" i="19"/>
  <c r="A102" i="19"/>
  <c r="K101" i="19"/>
  <c r="I101" i="19"/>
  <c r="J101" i="19" s="1"/>
  <c r="D101" i="19"/>
  <c r="C101" i="19"/>
  <c r="A101" i="19"/>
  <c r="K100" i="19"/>
  <c r="I100" i="19"/>
  <c r="J100" i="19" s="1"/>
  <c r="D100" i="19"/>
  <c r="C100" i="19"/>
  <c r="A100" i="19"/>
  <c r="K99" i="19"/>
  <c r="J99" i="19"/>
  <c r="I99" i="19"/>
  <c r="D99" i="19"/>
  <c r="C99" i="19"/>
  <c r="A99" i="19"/>
  <c r="K98" i="19"/>
  <c r="I98" i="19"/>
  <c r="J98" i="19" s="1"/>
  <c r="D98" i="19"/>
  <c r="C98" i="19"/>
  <c r="A98" i="19"/>
  <c r="K97" i="19"/>
  <c r="I97" i="19"/>
  <c r="J97" i="19" s="1"/>
  <c r="D97" i="19"/>
  <c r="C97" i="19"/>
  <c r="A97" i="19"/>
  <c r="K96" i="19"/>
  <c r="I96" i="19"/>
  <c r="J96" i="19" s="1"/>
  <c r="D96" i="19"/>
  <c r="C96" i="19"/>
  <c r="A96" i="19"/>
  <c r="K95" i="19"/>
  <c r="J95" i="19"/>
  <c r="I95" i="19"/>
  <c r="D95" i="19"/>
  <c r="C95" i="19"/>
  <c r="A95" i="19"/>
  <c r="K94" i="19"/>
  <c r="I94" i="19"/>
  <c r="J94" i="19" s="1"/>
  <c r="D94" i="19"/>
  <c r="C94" i="19"/>
  <c r="A94" i="19"/>
  <c r="K93" i="19"/>
  <c r="I93" i="19"/>
  <c r="J93" i="19" s="1"/>
  <c r="D93" i="19"/>
  <c r="C93" i="19"/>
  <c r="A93" i="19"/>
  <c r="K92" i="19"/>
  <c r="I92" i="19"/>
  <c r="J92" i="19" s="1"/>
  <c r="D92" i="19"/>
  <c r="C92" i="19"/>
  <c r="A92" i="19"/>
  <c r="K91" i="19"/>
  <c r="J91" i="19"/>
  <c r="I91" i="19"/>
  <c r="D91" i="19"/>
  <c r="C91" i="19"/>
  <c r="A91" i="19"/>
  <c r="K90" i="19"/>
  <c r="I90" i="19"/>
  <c r="J90" i="19" s="1"/>
  <c r="D90" i="19"/>
  <c r="C90" i="19"/>
  <c r="A90" i="19"/>
  <c r="K89" i="19"/>
  <c r="I89" i="19"/>
  <c r="J89" i="19" s="1"/>
  <c r="D89" i="19"/>
  <c r="C89" i="19"/>
  <c r="A89" i="19"/>
  <c r="K88" i="19"/>
  <c r="I88" i="19"/>
  <c r="J88" i="19" s="1"/>
  <c r="D88" i="19"/>
  <c r="C88" i="19"/>
  <c r="A88" i="19"/>
  <c r="K87" i="19"/>
  <c r="J87" i="19"/>
  <c r="I87" i="19"/>
  <c r="D87" i="19"/>
  <c r="C87" i="19"/>
  <c r="A87" i="19"/>
  <c r="K86" i="19"/>
  <c r="I86" i="19"/>
  <c r="J86" i="19" s="1"/>
  <c r="D86" i="19"/>
  <c r="C86" i="19"/>
  <c r="A86" i="19"/>
  <c r="K85" i="19"/>
  <c r="I85" i="19"/>
  <c r="J85" i="19" s="1"/>
  <c r="D85" i="19"/>
  <c r="C85" i="19"/>
  <c r="A85" i="19"/>
  <c r="K84" i="19"/>
  <c r="I84" i="19"/>
  <c r="J84" i="19" s="1"/>
  <c r="D84" i="19"/>
  <c r="C84" i="19"/>
  <c r="A84" i="19"/>
  <c r="K83" i="19"/>
  <c r="J83" i="19"/>
  <c r="I83" i="19"/>
  <c r="D83" i="19"/>
  <c r="C83" i="19"/>
  <c r="A83" i="19"/>
  <c r="K82" i="19"/>
  <c r="I82" i="19"/>
  <c r="J82" i="19" s="1"/>
  <c r="D82" i="19"/>
  <c r="C82" i="19"/>
  <c r="A82" i="19"/>
  <c r="K81" i="19"/>
  <c r="I81" i="19"/>
  <c r="J81" i="19" s="1"/>
  <c r="D81" i="19"/>
  <c r="C81" i="19"/>
  <c r="A81" i="19"/>
  <c r="K80" i="19"/>
  <c r="I80" i="19"/>
  <c r="J80" i="19" s="1"/>
  <c r="D80" i="19"/>
  <c r="C80" i="19"/>
  <c r="A80" i="19"/>
  <c r="K79" i="19"/>
  <c r="J79" i="19"/>
  <c r="I79" i="19"/>
  <c r="D79" i="19"/>
  <c r="C79" i="19"/>
  <c r="A79" i="19"/>
  <c r="K78" i="19"/>
  <c r="I78" i="19"/>
  <c r="J78" i="19" s="1"/>
  <c r="D78" i="19"/>
  <c r="C78" i="19"/>
  <c r="A78" i="19"/>
  <c r="K77" i="19"/>
  <c r="I77" i="19"/>
  <c r="J77" i="19" s="1"/>
  <c r="D77" i="19"/>
  <c r="C77" i="19"/>
  <c r="A77" i="19"/>
  <c r="K76" i="19"/>
  <c r="I76" i="19"/>
  <c r="J76" i="19" s="1"/>
  <c r="D76" i="19"/>
  <c r="C76" i="19"/>
  <c r="A76" i="19"/>
  <c r="K75" i="19"/>
  <c r="J75" i="19"/>
  <c r="I75" i="19"/>
  <c r="D75" i="19"/>
  <c r="C75" i="19"/>
  <c r="A75" i="19"/>
  <c r="K74" i="19"/>
  <c r="I74" i="19"/>
  <c r="J74" i="19" s="1"/>
  <c r="D74" i="19"/>
  <c r="C74" i="19"/>
  <c r="A74" i="19"/>
  <c r="K73" i="19"/>
  <c r="I73" i="19"/>
  <c r="J73" i="19" s="1"/>
  <c r="D73" i="19"/>
  <c r="C73" i="19"/>
  <c r="A73" i="19"/>
  <c r="K72" i="19"/>
  <c r="I72" i="19"/>
  <c r="J72" i="19" s="1"/>
  <c r="D72" i="19"/>
  <c r="C72" i="19"/>
  <c r="A72" i="19"/>
  <c r="K71" i="19"/>
  <c r="J71" i="19"/>
  <c r="I71" i="19"/>
  <c r="D71" i="19"/>
  <c r="C71" i="19"/>
  <c r="A71" i="19"/>
  <c r="K70" i="19"/>
  <c r="I70" i="19"/>
  <c r="J70" i="19" s="1"/>
  <c r="D70" i="19"/>
  <c r="C70" i="19"/>
  <c r="A70" i="19"/>
  <c r="K69" i="19"/>
  <c r="I69" i="19"/>
  <c r="J69" i="19" s="1"/>
  <c r="D69" i="19"/>
  <c r="C69" i="19"/>
  <c r="A69" i="19"/>
  <c r="K68" i="19"/>
  <c r="I68" i="19"/>
  <c r="J68" i="19" s="1"/>
  <c r="D68" i="19"/>
  <c r="C68" i="19"/>
  <c r="A68" i="19"/>
  <c r="K67" i="19"/>
  <c r="J67" i="19"/>
  <c r="I67" i="19"/>
  <c r="D67" i="19"/>
  <c r="C67" i="19"/>
  <c r="A67" i="19"/>
  <c r="K66" i="19"/>
  <c r="I66" i="19"/>
  <c r="J66" i="19" s="1"/>
  <c r="D66" i="19"/>
  <c r="C66" i="19"/>
  <c r="A66" i="19"/>
  <c r="K65" i="19"/>
  <c r="I65" i="19"/>
  <c r="J65" i="19" s="1"/>
  <c r="D65" i="19"/>
  <c r="C65" i="19"/>
  <c r="A65" i="19"/>
  <c r="K64" i="19"/>
  <c r="I64" i="19"/>
  <c r="J64" i="19" s="1"/>
  <c r="D64" i="19"/>
  <c r="C64" i="19"/>
  <c r="A64" i="19"/>
  <c r="K63" i="19"/>
  <c r="J63" i="19"/>
  <c r="I63" i="19"/>
  <c r="D63" i="19"/>
  <c r="C63" i="19"/>
  <c r="A63" i="19"/>
  <c r="K62" i="19"/>
  <c r="I62" i="19"/>
  <c r="J62" i="19" s="1"/>
  <c r="D62" i="19"/>
  <c r="C62" i="19"/>
  <c r="A62" i="19"/>
  <c r="K61" i="19"/>
  <c r="I61" i="19"/>
  <c r="J61" i="19" s="1"/>
  <c r="D61" i="19"/>
  <c r="C61" i="19"/>
  <c r="A61" i="19"/>
  <c r="K60" i="19"/>
  <c r="I60" i="19"/>
  <c r="J60" i="19" s="1"/>
  <c r="D60" i="19"/>
  <c r="C60" i="19"/>
  <c r="A60" i="19"/>
  <c r="K59" i="19"/>
  <c r="J59" i="19"/>
  <c r="I59" i="19"/>
  <c r="D59" i="19"/>
  <c r="C59" i="19"/>
  <c r="A59" i="19"/>
  <c r="K58" i="19"/>
  <c r="I58" i="19"/>
  <c r="J58" i="19" s="1"/>
  <c r="D58" i="19"/>
  <c r="C58" i="19"/>
  <c r="A58" i="19"/>
  <c r="K57" i="19"/>
  <c r="I57" i="19"/>
  <c r="J57" i="19" s="1"/>
  <c r="D57" i="19"/>
  <c r="C57" i="19"/>
  <c r="A57" i="19"/>
  <c r="K56" i="19"/>
  <c r="I56" i="19"/>
  <c r="J56" i="19" s="1"/>
  <c r="D56" i="19"/>
  <c r="C56" i="19"/>
  <c r="A56" i="19"/>
  <c r="K55" i="19"/>
  <c r="J55" i="19"/>
  <c r="I55" i="19"/>
  <c r="D55" i="19"/>
  <c r="C55" i="19"/>
  <c r="A55" i="19"/>
  <c r="K54" i="19"/>
  <c r="I54" i="19"/>
  <c r="J54" i="19" s="1"/>
  <c r="D54" i="19"/>
  <c r="C54" i="19"/>
  <c r="A54" i="19"/>
  <c r="K53" i="19"/>
  <c r="I53" i="19"/>
  <c r="J53" i="19" s="1"/>
  <c r="D53" i="19"/>
  <c r="C53" i="19"/>
  <c r="A53" i="19"/>
  <c r="K52" i="19"/>
  <c r="I52" i="19"/>
  <c r="J52" i="19" s="1"/>
  <c r="D52" i="19"/>
  <c r="C52" i="19"/>
  <c r="A52" i="19"/>
  <c r="K51" i="19"/>
  <c r="J51" i="19"/>
  <c r="I51" i="19"/>
  <c r="D51" i="19"/>
  <c r="C51" i="19"/>
  <c r="A51" i="19"/>
  <c r="K50" i="19"/>
  <c r="I50" i="19"/>
  <c r="J50" i="19" s="1"/>
  <c r="D50" i="19"/>
  <c r="C50" i="19"/>
  <c r="A50" i="19"/>
  <c r="K49" i="19"/>
  <c r="I49" i="19"/>
  <c r="J49" i="19" s="1"/>
  <c r="D49" i="19"/>
  <c r="C49" i="19"/>
  <c r="A49" i="19"/>
  <c r="K48" i="19"/>
  <c r="I48" i="19"/>
  <c r="J48" i="19" s="1"/>
  <c r="D48" i="19"/>
  <c r="C48" i="19"/>
  <c r="A48" i="19"/>
  <c r="K47" i="19"/>
  <c r="J47" i="19"/>
  <c r="I47" i="19"/>
  <c r="D47" i="19"/>
  <c r="C47" i="19"/>
  <c r="A47" i="19"/>
  <c r="K46" i="19"/>
  <c r="I46" i="19"/>
  <c r="J46" i="19" s="1"/>
  <c r="D46" i="19"/>
  <c r="C46" i="19"/>
  <c r="A46" i="19"/>
  <c r="K45" i="19"/>
  <c r="I45" i="19"/>
  <c r="J45" i="19" s="1"/>
  <c r="D45" i="19"/>
  <c r="C45" i="19"/>
  <c r="A45" i="19"/>
  <c r="K44" i="19"/>
  <c r="I44" i="19"/>
  <c r="J44" i="19" s="1"/>
  <c r="D44" i="19"/>
  <c r="C44" i="19"/>
  <c r="A44" i="19"/>
  <c r="K43" i="19"/>
  <c r="J43" i="19"/>
  <c r="I43" i="19"/>
  <c r="D43" i="19"/>
  <c r="C43" i="19"/>
  <c r="A43" i="19"/>
  <c r="K42" i="19"/>
  <c r="I42" i="19"/>
  <c r="J42" i="19" s="1"/>
  <c r="D42" i="19"/>
  <c r="C42" i="19"/>
  <c r="A42" i="19"/>
  <c r="K41" i="19"/>
  <c r="I41" i="19"/>
  <c r="J41" i="19" s="1"/>
  <c r="D41" i="19"/>
  <c r="C41" i="19"/>
  <c r="A41" i="19"/>
  <c r="K40" i="19"/>
  <c r="I40" i="19"/>
  <c r="J40" i="19" s="1"/>
  <c r="D40" i="19"/>
  <c r="C40" i="19"/>
  <c r="A40" i="19"/>
  <c r="K39" i="19"/>
  <c r="J39" i="19"/>
  <c r="I39" i="19"/>
  <c r="D39" i="19"/>
  <c r="C39" i="19"/>
  <c r="A39" i="19"/>
  <c r="K38" i="19"/>
  <c r="I38" i="19"/>
  <c r="J38" i="19" s="1"/>
  <c r="D38" i="19"/>
  <c r="C38" i="19"/>
  <c r="A38" i="19"/>
  <c r="K37" i="19"/>
  <c r="I37" i="19"/>
  <c r="J37" i="19" s="1"/>
  <c r="D37" i="19"/>
  <c r="C37" i="19"/>
  <c r="A37" i="19"/>
  <c r="K36" i="19"/>
  <c r="I36" i="19"/>
  <c r="J36" i="19" s="1"/>
  <c r="D36" i="19"/>
  <c r="C36" i="19"/>
  <c r="A36" i="19"/>
  <c r="K35" i="19"/>
  <c r="J35" i="19"/>
  <c r="I35" i="19"/>
  <c r="D35" i="19"/>
  <c r="C35" i="19"/>
  <c r="A35" i="19"/>
  <c r="K34" i="19"/>
  <c r="I34" i="19"/>
  <c r="J34" i="19" s="1"/>
  <c r="D34" i="19"/>
  <c r="C34" i="19"/>
  <c r="A34" i="19"/>
  <c r="K33" i="19"/>
  <c r="I33" i="19"/>
  <c r="J33" i="19" s="1"/>
  <c r="D33" i="19"/>
  <c r="C33" i="19"/>
  <c r="A33" i="19"/>
  <c r="K32" i="19"/>
  <c r="I32" i="19"/>
  <c r="J32" i="19" s="1"/>
  <c r="D32" i="19"/>
  <c r="C32" i="19"/>
  <c r="A32" i="19"/>
  <c r="K31" i="19"/>
  <c r="J31" i="19"/>
  <c r="I31" i="19"/>
  <c r="D31" i="19"/>
  <c r="C31" i="19"/>
  <c r="A31" i="19"/>
  <c r="K30" i="19"/>
  <c r="I30" i="19"/>
  <c r="J30" i="19" s="1"/>
  <c r="D30" i="19"/>
  <c r="C30" i="19"/>
  <c r="A30" i="19"/>
  <c r="K29" i="19"/>
  <c r="I29" i="19"/>
  <c r="J29" i="19" s="1"/>
  <c r="D29" i="19"/>
  <c r="C29" i="19"/>
  <c r="A29" i="19"/>
  <c r="K28" i="19"/>
  <c r="I28" i="19"/>
  <c r="J28" i="19" s="1"/>
  <c r="D28" i="19"/>
  <c r="C28" i="19"/>
  <c r="A28" i="19"/>
  <c r="K27" i="19"/>
  <c r="J27" i="19"/>
  <c r="I27" i="19"/>
  <c r="D27" i="19"/>
  <c r="C27" i="19"/>
  <c r="A27" i="19"/>
  <c r="K26" i="19"/>
  <c r="I26" i="19"/>
  <c r="J26" i="19" s="1"/>
  <c r="D26" i="19"/>
  <c r="C26" i="19"/>
  <c r="A26" i="19"/>
  <c r="K25" i="19"/>
  <c r="I25" i="19"/>
  <c r="J25" i="19" s="1"/>
  <c r="D25" i="19"/>
  <c r="C25" i="19"/>
  <c r="A25" i="19"/>
  <c r="K24" i="19"/>
  <c r="I24" i="19"/>
  <c r="J24" i="19" s="1"/>
  <c r="D24" i="19"/>
  <c r="C24" i="19"/>
  <c r="A24" i="19"/>
  <c r="K23" i="19"/>
  <c r="J23" i="19"/>
  <c r="I23" i="19"/>
  <c r="D23" i="19"/>
  <c r="C23" i="19"/>
  <c r="A23" i="19"/>
  <c r="K22" i="19"/>
  <c r="I22" i="19"/>
  <c r="J22" i="19" s="1"/>
  <c r="D22" i="19"/>
  <c r="C22" i="19"/>
  <c r="A22" i="19"/>
  <c r="K21" i="19"/>
  <c r="I21" i="19"/>
  <c r="J21" i="19" s="1"/>
  <c r="D21" i="19"/>
  <c r="C21" i="19"/>
  <c r="A21" i="19"/>
  <c r="K20" i="19"/>
  <c r="I20" i="19"/>
  <c r="J20" i="19" s="1"/>
  <c r="D20" i="19"/>
  <c r="C20" i="19"/>
  <c r="A20" i="19"/>
  <c r="K19" i="19"/>
  <c r="J19" i="19"/>
  <c r="I19" i="19"/>
  <c r="D19" i="19"/>
  <c r="C19" i="19"/>
  <c r="A19" i="19"/>
  <c r="K18" i="19"/>
  <c r="I18" i="19"/>
  <c r="J18" i="19" s="1"/>
  <c r="D18" i="19"/>
  <c r="C18" i="19"/>
  <c r="A18" i="19"/>
  <c r="K17" i="19"/>
  <c r="I17" i="19"/>
  <c r="J17" i="19" s="1"/>
  <c r="D17" i="19"/>
  <c r="C17" i="19"/>
  <c r="A17" i="19"/>
  <c r="K16" i="19"/>
  <c r="I16" i="19"/>
  <c r="J16" i="19" s="1"/>
  <c r="D16" i="19"/>
  <c r="C16" i="19"/>
  <c r="A16" i="19"/>
  <c r="K15" i="19"/>
  <c r="J15" i="19"/>
  <c r="I15" i="19"/>
  <c r="D15" i="19"/>
  <c r="C15" i="19"/>
  <c r="A15" i="19"/>
  <c r="K14" i="19"/>
  <c r="I14" i="19"/>
  <c r="J14" i="19" s="1"/>
  <c r="D14" i="19"/>
  <c r="C14" i="19"/>
  <c r="A14" i="19"/>
  <c r="B10" i="19"/>
  <c r="B9" i="19"/>
  <c r="B8" i="19"/>
  <c r="J208" i="18"/>
  <c r="K208" i="18" s="1"/>
  <c r="G208" i="18"/>
  <c r="D208" i="18"/>
  <c r="C208" i="18"/>
  <c r="B208" i="18"/>
  <c r="J207" i="18"/>
  <c r="K207" i="18" s="1"/>
  <c r="G207" i="18"/>
  <c r="D207" i="18"/>
  <c r="C207" i="18"/>
  <c r="B207" i="18"/>
  <c r="J206" i="18"/>
  <c r="K206" i="18" s="1"/>
  <c r="G206" i="18"/>
  <c r="D206" i="18"/>
  <c r="C206" i="18"/>
  <c r="B206" i="18"/>
  <c r="K205" i="18"/>
  <c r="J205" i="18"/>
  <c r="G205" i="18"/>
  <c r="D205" i="18"/>
  <c r="C205" i="18"/>
  <c r="B205" i="18"/>
  <c r="J204" i="18"/>
  <c r="K204" i="18" s="1"/>
  <c r="G204" i="18"/>
  <c r="D204" i="18"/>
  <c r="C204" i="18"/>
  <c r="B204" i="18"/>
  <c r="J203" i="18"/>
  <c r="K203" i="18" s="1"/>
  <c r="G203" i="18"/>
  <c r="D203" i="18"/>
  <c r="C203" i="18"/>
  <c r="B203" i="18"/>
  <c r="J202" i="18"/>
  <c r="K202" i="18" s="1"/>
  <c r="G202" i="18"/>
  <c r="D202" i="18"/>
  <c r="C202" i="18"/>
  <c r="B202" i="18"/>
  <c r="K201" i="18"/>
  <c r="J201" i="18"/>
  <c r="G201" i="18"/>
  <c r="D201" i="18"/>
  <c r="C201" i="18"/>
  <c r="B201" i="18"/>
  <c r="J200" i="18"/>
  <c r="K200" i="18" s="1"/>
  <c r="G200" i="18"/>
  <c r="D200" i="18"/>
  <c r="C200" i="18"/>
  <c r="B200" i="18"/>
  <c r="J199" i="18"/>
  <c r="K199" i="18" s="1"/>
  <c r="G199" i="18"/>
  <c r="D199" i="18"/>
  <c r="C199" i="18"/>
  <c r="B199" i="18"/>
  <c r="J198" i="18"/>
  <c r="K198" i="18" s="1"/>
  <c r="G198" i="18"/>
  <c r="D198" i="18"/>
  <c r="C198" i="18"/>
  <c r="B198" i="18"/>
  <c r="K197" i="18"/>
  <c r="J197" i="18"/>
  <c r="G197" i="18"/>
  <c r="D197" i="18"/>
  <c r="C197" i="18"/>
  <c r="B197" i="18"/>
  <c r="J196" i="18"/>
  <c r="K196" i="18" s="1"/>
  <c r="G196" i="18"/>
  <c r="D196" i="18"/>
  <c r="C196" i="18"/>
  <c r="B196" i="18"/>
  <c r="J195" i="18"/>
  <c r="K195" i="18" s="1"/>
  <c r="G195" i="18"/>
  <c r="D195" i="18"/>
  <c r="C195" i="18"/>
  <c r="B195" i="18"/>
  <c r="J194" i="18"/>
  <c r="K194" i="18" s="1"/>
  <c r="G194" i="18"/>
  <c r="D194" i="18"/>
  <c r="C194" i="18"/>
  <c r="B194" i="18"/>
  <c r="K193" i="18"/>
  <c r="J193" i="18"/>
  <c r="G193" i="18"/>
  <c r="D193" i="18"/>
  <c r="C193" i="18"/>
  <c r="B193" i="18"/>
  <c r="J192" i="18"/>
  <c r="K192" i="18" s="1"/>
  <c r="G192" i="18"/>
  <c r="D192" i="18"/>
  <c r="C192" i="18"/>
  <c r="B192" i="18"/>
  <c r="J191" i="18"/>
  <c r="K191" i="18" s="1"/>
  <c r="G191" i="18"/>
  <c r="D191" i="18"/>
  <c r="C191" i="18"/>
  <c r="B191" i="18"/>
  <c r="J190" i="18"/>
  <c r="K190" i="18" s="1"/>
  <c r="G190" i="18"/>
  <c r="D190" i="18"/>
  <c r="C190" i="18"/>
  <c r="B190" i="18"/>
  <c r="K189" i="18"/>
  <c r="J189" i="18"/>
  <c r="G189" i="18"/>
  <c r="D189" i="18"/>
  <c r="C189" i="18"/>
  <c r="B189" i="18"/>
  <c r="J188" i="18"/>
  <c r="K188" i="18" s="1"/>
  <c r="G188" i="18"/>
  <c r="D188" i="18"/>
  <c r="C188" i="18"/>
  <c r="B188" i="18"/>
  <c r="J187" i="18"/>
  <c r="K187" i="18" s="1"/>
  <c r="G187" i="18"/>
  <c r="D187" i="18"/>
  <c r="C187" i="18"/>
  <c r="B187" i="18"/>
  <c r="J186" i="18"/>
  <c r="K186" i="18" s="1"/>
  <c r="G186" i="18"/>
  <c r="D186" i="18"/>
  <c r="C186" i="18"/>
  <c r="B186" i="18"/>
  <c r="K185" i="18"/>
  <c r="J185" i="18"/>
  <c r="G185" i="18"/>
  <c r="D185" i="18"/>
  <c r="C185" i="18"/>
  <c r="B185" i="18"/>
  <c r="J184" i="18"/>
  <c r="K184" i="18" s="1"/>
  <c r="G184" i="18"/>
  <c r="D184" i="18"/>
  <c r="C184" i="18"/>
  <c r="B184" i="18"/>
  <c r="J183" i="18"/>
  <c r="K183" i="18" s="1"/>
  <c r="G183" i="18"/>
  <c r="D183" i="18"/>
  <c r="C183" i="18"/>
  <c r="B183" i="18"/>
  <c r="J182" i="18"/>
  <c r="K182" i="18" s="1"/>
  <c r="G182" i="18"/>
  <c r="D182" i="18"/>
  <c r="C182" i="18"/>
  <c r="B182" i="18"/>
  <c r="K181" i="18"/>
  <c r="J181" i="18"/>
  <c r="G181" i="18"/>
  <c r="D181" i="18"/>
  <c r="C181" i="18"/>
  <c r="B181" i="18"/>
  <c r="J180" i="18"/>
  <c r="K180" i="18" s="1"/>
  <c r="G180" i="18"/>
  <c r="D180" i="18"/>
  <c r="C180" i="18"/>
  <c r="B180" i="18"/>
  <c r="J179" i="18"/>
  <c r="K179" i="18" s="1"/>
  <c r="G179" i="18"/>
  <c r="D179" i="18"/>
  <c r="C179" i="18"/>
  <c r="B179" i="18"/>
  <c r="J178" i="18"/>
  <c r="K178" i="18" s="1"/>
  <c r="G178" i="18"/>
  <c r="D178" i="18"/>
  <c r="C178" i="18"/>
  <c r="B178" i="18"/>
  <c r="K177" i="18"/>
  <c r="J177" i="18"/>
  <c r="G177" i="18"/>
  <c r="D177" i="18"/>
  <c r="C177" i="18"/>
  <c r="B177" i="18"/>
  <c r="J176" i="18"/>
  <c r="K176" i="18" s="1"/>
  <c r="G176" i="18"/>
  <c r="D176" i="18"/>
  <c r="C176" i="18"/>
  <c r="B176" i="18"/>
  <c r="J175" i="18"/>
  <c r="K175" i="18" s="1"/>
  <c r="G175" i="18"/>
  <c r="D175" i="18"/>
  <c r="C175" i="18"/>
  <c r="B175" i="18"/>
  <c r="J174" i="18"/>
  <c r="K174" i="18" s="1"/>
  <c r="G174" i="18"/>
  <c r="D174" i="18"/>
  <c r="C174" i="18"/>
  <c r="B174" i="18"/>
  <c r="K173" i="18"/>
  <c r="J173" i="18"/>
  <c r="G173" i="18"/>
  <c r="D173" i="18"/>
  <c r="C173" i="18"/>
  <c r="B173" i="18"/>
  <c r="J172" i="18"/>
  <c r="K172" i="18" s="1"/>
  <c r="G172" i="18"/>
  <c r="D172" i="18"/>
  <c r="C172" i="18"/>
  <c r="B172" i="18"/>
  <c r="J171" i="18"/>
  <c r="K171" i="18" s="1"/>
  <c r="G171" i="18"/>
  <c r="D171" i="18"/>
  <c r="C171" i="18"/>
  <c r="B171" i="18"/>
  <c r="J170" i="18"/>
  <c r="K170" i="18" s="1"/>
  <c r="G170" i="18"/>
  <c r="D170" i="18"/>
  <c r="C170" i="18"/>
  <c r="B170" i="18"/>
  <c r="K169" i="18"/>
  <c r="J169" i="18"/>
  <c r="G169" i="18"/>
  <c r="D169" i="18"/>
  <c r="C169" i="18"/>
  <c r="B169" i="18"/>
  <c r="J168" i="18"/>
  <c r="K168" i="18" s="1"/>
  <c r="G168" i="18"/>
  <c r="D168" i="18"/>
  <c r="C168" i="18"/>
  <c r="B168" i="18"/>
  <c r="J167" i="18"/>
  <c r="K167" i="18" s="1"/>
  <c r="G167" i="18"/>
  <c r="D167" i="18"/>
  <c r="C167" i="18"/>
  <c r="B167" i="18"/>
  <c r="J166" i="18"/>
  <c r="K166" i="18" s="1"/>
  <c r="G166" i="18"/>
  <c r="D166" i="18"/>
  <c r="C166" i="18"/>
  <c r="B166" i="18"/>
  <c r="K165" i="18"/>
  <c r="J165" i="18"/>
  <c r="G165" i="18"/>
  <c r="D165" i="18"/>
  <c r="C165" i="18"/>
  <c r="B165" i="18"/>
  <c r="J164" i="18"/>
  <c r="K164" i="18" s="1"/>
  <c r="G164" i="18"/>
  <c r="D164" i="18"/>
  <c r="C164" i="18"/>
  <c r="B164" i="18"/>
  <c r="J163" i="18"/>
  <c r="K163" i="18" s="1"/>
  <c r="G163" i="18"/>
  <c r="D163" i="18"/>
  <c r="C163" i="18"/>
  <c r="B163" i="18"/>
  <c r="J162" i="18"/>
  <c r="K162" i="18" s="1"/>
  <c r="G162" i="18"/>
  <c r="D162" i="18"/>
  <c r="C162" i="18"/>
  <c r="B162" i="18"/>
  <c r="J161" i="18"/>
  <c r="K161" i="18" s="1"/>
  <c r="G161" i="18"/>
  <c r="D161" i="18"/>
  <c r="C161" i="18"/>
  <c r="B161" i="18"/>
  <c r="J160" i="18"/>
  <c r="K160" i="18" s="1"/>
  <c r="G160" i="18"/>
  <c r="D160" i="18"/>
  <c r="C160" i="18"/>
  <c r="B160" i="18"/>
  <c r="J159" i="18"/>
  <c r="K159" i="18" s="1"/>
  <c r="G159" i="18"/>
  <c r="D159" i="18"/>
  <c r="C159" i="18"/>
  <c r="B159" i="18"/>
  <c r="J158" i="18"/>
  <c r="K158" i="18" s="1"/>
  <c r="G158" i="18"/>
  <c r="D158" i="18"/>
  <c r="C158" i="18"/>
  <c r="B158" i="18"/>
  <c r="K157" i="18"/>
  <c r="J157" i="18"/>
  <c r="G157" i="18"/>
  <c r="D157" i="18"/>
  <c r="C157" i="18"/>
  <c r="B157" i="18"/>
  <c r="J156" i="18"/>
  <c r="K156" i="18" s="1"/>
  <c r="G156" i="18"/>
  <c r="D156" i="18"/>
  <c r="C156" i="18"/>
  <c r="B156" i="18"/>
  <c r="J155" i="18"/>
  <c r="K155" i="18" s="1"/>
  <c r="G155" i="18"/>
  <c r="D155" i="18"/>
  <c r="C155" i="18"/>
  <c r="B155" i="18"/>
  <c r="J154" i="18"/>
  <c r="K154" i="18" s="1"/>
  <c r="G154" i="18"/>
  <c r="D154" i="18"/>
  <c r="C154" i="18"/>
  <c r="B154" i="18"/>
  <c r="K153" i="18"/>
  <c r="J153" i="18"/>
  <c r="G153" i="18"/>
  <c r="D153" i="18"/>
  <c r="C153" i="18"/>
  <c r="B153" i="18"/>
  <c r="J152" i="18"/>
  <c r="K152" i="18" s="1"/>
  <c r="G152" i="18"/>
  <c r="D152" i="18"/>
  <c r="C152" i="18"/>
  <c r="B152" i="18"/>
  <c r="J151" i="18"/>
  <c r="K151" i="18" s="1"/>
  <c r="G151" i="18"/>
  <c r="D151" i="18"/>
  <c r="C151" i="18"/>
  <c r="B151" i="18"/>
  <c r="J150" i="18"/>
  <c r="K150" i="18" s="1"/>
  <c r="G150" i="18"/>
  <c r="D150" i="18"/>
  <c r="C150" i="18"/>
  <c r="B150" i="18"/>
  <c r="K149" i="18"/>
  <c r="J149" i="18"/>
  <c r="G149" i="18"/>
  <c r="D149" i="18"/>
  <c r="C149" i="18"/>
  <c r="B149" i="18"/>
  <c r="J148" i="18"/>
  <c r="K148" i="18" s="1"/>
  <c r="G148" i="18"/>
  <c r="D148" i="18"/>
  <c r="C148" i="18"/>
  <c r="B148" i="18"/>
  <c r="J147" i="18"/>
  <c r="K147" i="18" s="1"/>
  <c r="G147" i="18"/>
  <c r="D147" i="18"/>
  <c r="C147" i="18"/>
  <c r="B147" i="18"/>
  <c r="J146" i="18"/>
  <c r="K146" i="18" s="1"/>
  <c r="G146" i="18"/>
  <c r="D146" i="18"/>
  <c r="C146" i="18"/>
  <c r="B146" i="18"/>
  <c r="J145" i="18"/>
  <c r="K145" i="18" s="1"/>
  <c r="G145" i="18"/>
  <c r="D145" i="18"/>
  <c r="C145" i="18"/>
  <c r="B145" i="18"/>
  <c r="J144" i="18"/>
  <c r="K144" i="18" s="1"/>
  <c r="G144" i="18"/>
  <c r="D144" i="18"/>
  <c r="C144" i="18"/>
  <c r="B144" i="18"/>
  <c r="J143" i="18"/>
  <c r="K143" i="18" s="1"/>
  <c r="G143" i="18"/>
  <c r="D143" i="18"/>
  <c r="C143" i="18"/>
  <c r="B143" i="18"/>
  <c r="J142" i="18"/>
  <c r="K142" i="18" s="1"/>
  <c r="G142" i="18"/>
  <c r="D142" i="18"/>
  <c r="C142" i="18"/>
  <c r="B142" i="18"/>
  <c r="J141" i="18"/>
  <c r="K141" i="18" s="1"/>
  <c r="G141" i="18"/>
  <c r="D141" i="18"/>
  <c r="C141" i="18"/>
  <c r="B141" i="18"/>
  <c r="J140" i="18"/>
  <c r="K140" i="18" s="1"/>
  <c r="G140" i="18"/>
  <c r="D140" i="18"/>
  <c r="C140" i="18"/>
  <c r="B140" i="18"/>
  <c r="J139" i="18"/>
  <c r="K139" i="18" s="1"/>
  <c r="G139" i="18"/>
  <c r="D139" i="18"/>
  <c r="C139" i="18"/>
  <c r="B139" i="18"/>
  <c r="J138" i="18"/>
  <c r="K138" i="18" s="1"/>
  <c r="G138" i="18"/>
  <c r="D138" i="18"/>
  <c r="C138" i="18"/>
  <c r="B138" i="18"/>
  <c r="J137" i="18"/>
  <c r="K137" i="18" s="1"/>
  <c r="G137" i="18"/>
  <c r="D137" i="18"/>
  <c r="C137" i="18"/>
  <c r="B137" i="18"/>
  <c r="J136" i="18"/>
  <c r="K136" i="18" s="1"/>
  <c r="G136" i="18"/>
  <c r="D136" i="18"/>
  <c r="C136" i="18"/>
  <c r="B136" i="18"/>
  <c r="J135" i="18"/>
  <c r="K135" i="18" s="1"/>
  <c r="G135" i="18"/>
  <c r="D135" i="18"/>
  <c r="C135" i="18"/>
  <c r="B135" i="18"/>
  <c r="J134" i="18"/>
  <c r="K134" i="18" s="1"/>
  <c r="G134" i="18"/>
  <c r="D134" i="18"/>
  <c r="C134" i="18"/>
  <c r="B134" i="18"/>
  <c r="K133" i="18"/>
  <c r="J133" i="18"/>
  <c r="G133" i="18"/>
  <c r="D133" i="18"/>
  <c r="C133" i="18"/>
  <c r="B133" i="18"/>
  <c r="J132" i="18"/>
  <c r="K132" i="18" s="1"/>
  <c r="G132" i="18"/>
  <c r="D132" i="18"/>
  <c r="C132" i="18"/>
  <c r="B132" i="18"/>
  <c r="J131" i="18"/>
  <c r="K131" i="18" s="1"/>
  <c r="G131" i="18"/>
  <c r="D131" i="18"/>
  <c r="C131" i="18"/>
  <c r="B131" i="18"/>
  <c r="J130" i="18"/>
  <c r="K130" i="18" s="1"/>
  <c r="G130" i="18"/>
  <c r="D130" i="18"/>
  <c r="C130" i="18"/>
  <c r="B130" i="18"/>
  <c r="J129" i="18"/>
  <c r="K129" i="18" s="1"/>
  <c r="G129" i="18"/>
  <c r="D129" i="18"/>
  <c r="C129" i="18"/>
  <c r="B129" i="18"/>
  <c r="J128" i="18"/>
  <c r="K128" i="18" s="1"/>
  <c r="G128" i="18"/>
  <c r="D128" i="18"/>
  <c r="C128" i="18"/>
  <c r="B128" i="18"/>
  <c r="J127" i="18"/>
  <c r="K127" i="18" s="1"/>
  <c r="G127" i="18"/>
  <c r="D127" i="18"/>
  <c r="C127" i="18"/>
  <c r="B127" i="18"/>
  <c r="J126" i="18"/>
  <c r="K126" i="18" s="1"/>
  <c r="G126" i="18"/>
  <c r="D126" i="18"/>
  <c r="C126" i="18"/>
  <c r="B126" i="18"/>
  <c r="K125" i="18"/>
  <c r="J125" i="18"/>
  <c r="G125" i="18"/>
  <c r="D125" i="18"/>
  <c r="C125" i="18"/>
  <c r="B125" i="18"/>
  <c r="J124" i="18"/>
  <c r="K124" i="18" s="1"/>
  <c r="G124" i="18"/>
  <c r="D124" i="18"/>
  <c r="C124" i="18"/>
  <c r="B124" i="18"/>
  <c r="J123" i="18"/>
  <c r="K123" i="18" s="1"/>
  <c r="G123" i="18"/>
  <c r="D123" i="18"/>
  <c r="C123" i="18"/>
  <c r="B123" i="18"/>
  <c r="J122" i="18"/>
  <c r="K122" i="18" s="1"/>
  <c r="G122" i="18"/>
  <c r="D122" i="18"/>
  <c r="C122" i="18"/>
  <c r="B122" i="18"/>
  <c r="J121" i="18"/>
  <c r="K121" i="18" s="1"/>
  <c r="G121" i="18"/>
  <c r="D121" i="18"/>
  <c r="C121" i="18"/>
  <c r="B121" i="18"/>
  <c r="J120" i="18"/>
  <c r="K120" i="18" s="1"/>
  <c r="G120" i="18"/>
  <c r="D120" i="18"/>
  <c r="C120" i="18"/>
  <c r="B120" i="18"/>
  <c r="J119" i="18"/>
  <c r="K119" i="18" s="1"/>
  <c r="G119" i="18"/>
  <c r="D119" i="18"/>
  <c r="C119" i="18"/>
  <c r="B119" i="18"/>
  <c r="J118" i="18"/>
  <c r="K118" i="18" s="1"/>
  <c r="G118" i="18"/>
  <c r="D118" i="18"/>
  <c r="C118" i="18"/>
  <c r="B118" i="18"/>
  <c r="K117" i="18"/>
  <c r="J117" i="18"/>
  <c r="G117" i="18"/>
  <c r="D117" i="18"/>
  <c r="C117" i="18"/>
  <c r="B117" i="18"/>
  <c r="J116" i="18"/>
  <c r="K116" i="18" s="1"/>
  <c r="G116" i="18"/>
  <c r="D116" i="18"/>
  <c r="C116" i="18"/>
  <c r="B116" i="18"/>
  <c r="J115" i="18"/>
  <c r="K115" i="18" s="1"/>
  <c r="G115" i="18"/>
  <c r="D115" i="18"/>
  <c r="C115" i="18"/>
  <c r="B115" i="18"/>
  <c r="J114" i="18"/>
  <c r="K114" i="18" s="1"/>
  <c r="G114" i="18"/>
  <c r="D114" i="18"/>
  <c r="C114" i="18"/>
  <c r="B114" i="18"/>
  <c r="J113" i="18"/>
  <c r="K113" i="18" s="1"/>
  <c r="G113" i="18"/>
  <c r="D113" i="18"/>
  <c r="C113" i="18"/>
  <c r="B113" i="18"/>
  <c r="J112" i="18"/>
  <c r="K112" i="18" s="1"/>
  <c r="G112" i="18"/>
  <c r="D112" i="18"/>
  <c r="C112" i="18"/>
  <c r="B112" i="18"/>
  <c r="J111" i="18"/>
  <c r="K111" i="18" s="1"/>
  <c r="G111" i="18"/>
  <c r="D111" i="18"/>
  <c r="C111" i="18"/>
  <c r="B111" i="18"/>
  <c r="J110" i="18"/>
  <c r="K110" i="18" s="1"/>
  <c r="G110" i="18"/>
  <c r="D110" i="18"/>
  <c r="C110" i="18"/>
  <c r="B110" i="18"/>
  <c r="J109" i="18"/>
  <c r="K109" i="18" s="1"/>
  <c r="G109" i="18"/>
  <c r="D109" i="18"/>
  <c r="C109" i="18"/>
  <c r="B109" i="18"/>
  <c r="J108" i="18"/>
  <c r="K108" i="18" s="1"/>
  <c r="G108" i="18"/>
  <c r="D108" i="18"/>
  <c r="C108" i="18"/>
  <c r="B108" i="18"/>
  <c r="J107" i="18"/>
  <c r="K107" i="18" s="1"/>
  <c r="G107" i="18"/>
  <c r="D107" i="18"/>
  <c r="C107" i="18"/>
  <c r="B107" i="18"/>
  <c r="J106" i="18"/>
  <c r="K106" i="18" s="1"/>
  <c r="G106" i="18"/>
  <c r="D106" i="18"/>
  <c r="C106" i="18"/>
  <c r="B106" i="18"/>
  <c r="J105" i="18"/>
  <c r="K105" i="18" s="1"/>
  <c r="G105" i="18"/>
  <c r="D105" i="18"/>
  <c r="C105" i="18"/>
  <c r="B105" i="18"/>
  <c r="J104" i="18"/>
  <c r="K104" i="18" s="1"/>
  <c r="G104" i="18"/>
  <c r="D104" i="18"/>
  <c r="C104" i="18"/>
  <c r="B104" i="18"/>
  <c r="J103" i="18"/>
  <c r="K103" i="18" s="1"/>
  <c r="G103" i="18"/>
  <c r="D103" i="18"/>
  <c r="C103" i="18"/>
  <c r="B103" i="18"/>
  <c r="J102" i="18"/>
  <c r="K102" i="18" s="1"/>
  <c r="G102" i="18"/>
  <c r="D102" i="18"/>
  <c r="C102" i="18"/>
  <c r="B102" i="18"/>
  <c r="K101" i="18"/>
  <c r="J101" i="18"/>
  <c r="G101" i="18"/>
  <c r="D101" i="18"/>
  <c r="C101" i="18"/>
  <c r="B101" i="18"/>
  <c r="J100" i="18"/>
  <c r="K100" i="18" s="1"/>
  <c r="G100" i="18"/>
  <c r="D100" i="18"/>
  <c r="C100" i="18"/>
  <c r="B100" i="18"/>
  <c r="J99" i="18"/>
  <c r="K99" i="18" s="1"/>
  <c r="G99" i="18"/>
  <c r="D99" i="18"/>
  <c r="C99" i="18"/>
  <c r="B99" i="18"/>
  <c r="J98" i="18"/>
  <c r="K98" i="18" s="1"/>
  <c r="G98" i="18"/>
  <c r="D98" i="18"/>
  <c r="C98" i="18"/>
  <c r="B98" i="18"/>
  <c r="J97" i="18"/>
  <c r="K97" i="18" s="1"/>
  <c r="G97" i="18"/>
  <c r="D97" i="18"/>
  <c r="C97" i="18"/>
  <c r="B97" i="18"/>
  <c r="J96" i="18"/>
  <c r="K96" i="18" s="1"/>
  <c r="G96" i="18"/>
  <c r="D96" i="18"/>
  <c r="C96" i="18"/>
  <c r="B96" i="18"/>
  <c r="J95" i="18"/>
  <c r="K95" i="18" s="1"/>
  <c r="G95" i="18"/>
  <c r="D95" i="18"/>
  <c r="C95" i="18"/>
  <c r="B95" i="18"/>
  <c r="J94" i="18"/>
  <c r="K94" i="18" s="1"/>
  <c r="G94" i="18"/>
  <c r="D94" i="18"/>
  <c r="C94" i="18"/>
  <c r="B94" i="18"/>
  <c r="K93" i="18"/>
  <c r="J93" i="18"/>
  <c r="G93" i="18"/>
  <c r="D93" i="18"/>
  <c r="C93" i="18"/>
  <c r="B93" i="18"/>
  <c r="J92" i="18"/>
  <c r="K92" i="18" s="1"/>
  <c r="G92" i="18"/>
  <c r="D92" i="18"/>
  <c r="C92" i="18"/>
  <c r="B92" i="18"/>
  <c r="J91" i="18"/>
  <c r="K91" i="18" s="1"/>
  <c r="G91" i="18"/>
  <c r="D91" i="18"/>
  <c r="C91" i="18"/>
  <c r="B91" i="18"/>
  <c r="J90" i="18"/>
  <c r="K90" i="18" s="1"/>
  <c r="G90" i="18"/>
  <c r="D90" i="18"/>
  <c r="C90" i="18"/>
  <c r="B90" i="18"/>
  <c r="K89" i="18"/>
  <c r="J89" i="18"/>
  <c r="G89" i="18"/>
  <c r="D89" i="18"/>
  <c r="C89" i="18"/>
  <c r="B89" i="18"/>
  <c r="J88" i="18"/>
  <c r="K88" i="18" s="1"/>
  <c r="G88" i="18"/>
  <c r="D88" i="18"/>
  <c r="C88" i="18"/>
  <c r="B88" i="18"/>
  <c r="J87" i="18"/>
  <c r="K87" i="18" s="1"/>
  <c r="G87" i="18"/>
  <c r="D87" i="18"/>
  <c r="C87" i="18"/>
  <c r="B87" i="18"/>
  <c r="J86" i="18"/>
  <c r="K86" i="18" s="1"/>
  <c r="G86" i="18"/>
  <c r="D86" i="18"/>
  <c r="C86" i="18"/>
  <c r="B86" i="18"/>
  <c r="K85" i="18"/>
  <c r="J85" i="18"/>
  <c r="G85" i="18"/>
  <c r="D85" i="18"/>
  <c r="C85" i="18"/>
  <c r="B85" i="18"/>
  <c r="J84" i="18"/>
  <c r="K84" i="18" s="1"/>
  <c r="G84" i="18"/>
  <c r="D84" i="18"/>
  <c r="C84" i="18"/>
  <c r="B84" i="18"/>
  <c r="J83" i="18"/>
  <c r="K83" i="18" s="1"/>
  <c r="G83" i="18"/>
  <c r="D83" i="18"/>
  <c r="C83" i="18"/>
  <c r="B83" i="18"/>
  <c r="J82" i="18"/>
  <c r="K82" i="18" s="1"/>
  <c r="G82" i="18"/>
  <c r="D82" i="18"/>
  <c r="C82" i="18"/>
  <c r="B82" i="18"/>
  <c r="J81" i="18"/>
  <c r="K81" i="18" s="1"/>
  <c r="G81" i="18"/>
  <c r="D81" i="18"/>
  <c r="C81" i="18"/>
  <c r="B81" i="18"/>
  <c r="J80" i="18"/>
  <c r="K80" i="18" s="1"/>
  <c r="G80" i="18"/>
  <c r="D80" i="18"/>
  <c r="C80" i="18"/>
  <c r="B80" i="18"/>
  <c r="J79" i="18"/>
  <c r="K79" i="18" s="1"/>
  <c r="G79" i="18"/>
  <c r="D79" i="18"/>
  <c r="C79" i="18"/>
  <c r="B79" i="18"/>
  <c r="J78" i="18"/>
  <c r="K78" i="18" s="1"/>
  <c r="G78" i="18"/>
  <c r="D78" i="18"/>
  <c r="C78" i="18"/>
  <c r="B78" i="18"/>
  <c r="J77" i="18"/>
  <c r="K77" i="18" s="1"/>
  <c r="G77" i="18"/>
  <c r="D77" i="18"/>
  <c r="C77" i="18"/>
  <c r="B77" i="18"/>
  <c r="J76" i="18"/>
  <c r="K76" i="18" s="1"/>
  <c r="G76" i="18"/>
  <c r="D76" i="18"/>
  <c r="C76" i="18"/>
  <c r="B76" i="18"/>
  <c r="J75" i="18"/>
  <c r="K75" i="18" s="1"/>
  <c r="G75" i="18"/>
  <c r="D75" i="18"/>
  <c r="C75" i="18"/>
  <c r="B75" i="18"/>
  <c r="J74" i="18"/>
  <c r="K74" i="18" s="1"/>
  <c r="G74" i="18"/>
  <c r="D74" i="18"/>
  <c r="C74" i="18"/>
  <c r="B74" i="18"/>
  <c r="J73" i="18"/>
  <c r="K73" i="18" s="1"/>
  <c r="G73" i="18"/>
  <c r="D73" i="18"/>
  <c r="C73" i="18"/>
  <c r="B73" i="18"/>
  <c r="J72" i="18"/>
  <c r="K72" i="18" s="1"/>
  <c r="G72" i="18"/>
  <c r="D72" i="18"/>
  <c r="C72" i="18"/>
  <c r="B72" i="18"/>
  <c r="J71" i="18"/>
  <c r="K71" i="18" s="1"/>
  <c r="G71" i="18"/>
  <c r="D71" i="18"/>
  <c r="C71" i="18"/>
  <c r="B71" i="18"/>
  <c r="J70" i="18"/>
  <c r="K70" i="18" s="1"/>
  <c r="G70" i="18"/>
  <c r="D70" i="18"/>
  <c r="C70" i="18"/>
  <c r="B70" i="18"/>
  <c r="K69" i="18"/>
  <c r="J69" i="18"/>
  <c r="G69" i="18"/>
  <c r="D69" i="18"/>
  <c r="C69" i="18"/>
  <c r="B69" i="18"/>
  <c r="J68" i="18"/>
  <c r="K68" i="18" s="1"/>
  <c r="G68" i="18"/>
  <c r="D68" i="18"/>
  <c r="C68" i="18"/>
  <c r="B68" i="18"/>
  <c r="J67" i="18"/>
  <c r="K67" i="18" s="1"/>
  <c r="G67" i="18"/>
  <c r="D67" i="18"/>
  <c r="C67" i="18"/>
  <c r="B67" i="18"/>
  <c r="J66" i="18"/>
  <c r="K66" i="18" s="1"/>
  <c r="G66" i="18"/>
  <c r="D66" i="18"/>
  <c r="C66" i="18"/>
  <c r="B66" i="18"/>
  <c r="J65" i="18"/>
  <c r="K65" i="18" s="1"/>
  <c r="G65" i="18"/>
  <c r="D65" i="18"/>
  <c r="C65" i="18"/>
  <c r="B65" i="18"/>
  <c r="J64" i="18"/>
  <c r="K64" i="18" s="1"/>
  <c r="G64" i="18"/>
  <c r="D64" i="18"/>
  <c r="C64" i="18"/>
  <c r="B64" i="18"/>
  <c r="J63" i="18"/>
  <c r="K63" i="18" s="1"/>
  <c r="G63" i="18"/>
  <c r="D63" i="18"/>
  <c r="C63" i="18"/>
  <c r="B63" i="18"/>
  <c r="J62" i="18"/>
  <c r="K62" i="18" s="1"/>
  <c r="G62" i="18"/>
  <c r="D62" i="18"/>
  <c r="C62" i="18"/>
  <c r="B62" i="18"/>
  <c r="K61" i="18"/>
  <c r="J61" i="18"/>
  <c r="G61" i="18"/>
  <c r="D61" i="18"/>
  <c r="C61" i="18"/>
  <c r="B61" i="18"/>
  <c r="J60" i="18"/>
  <c r="K60" i="18" s="1"/>
  <c r="G60" i="18"/>
  <c r="D60" i="18"/>
  <c r="C60" i="18"/>
  <c r="B60" i="18"/>
  <c r="J59" i="18"/>
  <c r="K59" i="18" s="1"/>
  <c r="G59" i="18"/>
  <c r="D59" i="18"/>
  <c r="C59" i="18"/>
  <c r="B59" i="18"/>
  <c r="J58" i="18"/>
  <c r="K58" i="18" s="1"/>
  <c r="G58" i="18"/>
  <c r="D58" i="18"/>
  <c r="C58" i="18"/>
  <c r="B58" i="18"/>
  <c r="K57" i="18"/>
  <c r="J57" i="18"/>
  <c r="G57" i="18"/>
  <c r="D57" i="18"/>
  <c r="C57" i="18"/>
  <c r="B57" i="18"/>
  <c r="J56" i="18"/>
  <c r="K56" i="18" s="1"/>
  <c r="G56" i="18"/>
  <c r="D56" i="18"/>
  <c r="C56" i="18"/>
  <c r="B56" i="18"/>
  <c r="J55" i="18"/>
  <c r="K55" i="18" s="1"/>
  <c r="G55" i="18"/>
  <c r="D55" i="18"/>
  <c r="C55" i="18"/>
  <c r="B55" i="18"/>
  <c r="J54" i="18"/>
  <c r="K54" i="18" s="1"/>
  <c r="G54" i="18"/>
  <c r="D54" i="18"/>
  <c r="C54" i="18"/>
  <c r="B54" i="18"/>
  <c r="K53" i="18"/>
  <c r="J53" i="18"/>
  <c r="G53" i="18"/>
  <c r="D53" i="18"/>
  <c r="C53" i="18"/>
  <c r="B53" i="18"/>
  <c r="J52" i="18"/>
  <c r="K52" i="18" s="1"/>
  <c r="G52" i="18"/>
  <c r="D52" i="18"/>
  <c r="C52" i="18"/>
  <c r="B52" i="18"/>
  <c r="K51" i="18"/>
  <c r="J51" i="18"/>
  <c r="G51" i="18"/>
  <c r="D51" i="18"/>
  <c r="C51" i="18"/>
  <c r="B51" i="18"/>
  <c r="J50" i="18"/>
  <c r="K50" i="18" s="1"/>
  <c r="G50" i="18"/>
  <c r="D50" i="18"/>
  <c r="C50" i="18"/>
  <c r="B50" i="18"/>
  <c r="K49" i="18"/>
  <c r="J49" i="18"/>
  <c r="G49" i="18"/>
  <c r="D49" i="18"/>
  <c r="C49" i="18"/>
  <c r="B49" i="18"/>
  <c r="K48" i="18"/>
  <c r="J48" i="18"/>
  <c r="G48" i="18"/>
  <c r="D48" i="18"/>
  <c r="C48" i="18"/>
  <c r="B48" i="18"/>
  <c r="J47" i="18"/>
  <c r="K47" i="18" s="1"/>
  <c r="G47" i="18"/>
  <c r="D47" i="18"/>
  <c r="C47" i="18"/>
  <c r="B47" i="18"/>
  <c r="K46" i="18"/>
  <c r="J46" i="18"/>
  <c r="G46" i="18"/>
  <c r="D46" i="18"/>
  <c r="C46" i="18"/>
  <c r="B46" i="18"/>
  <c r="K45" i="18"/>
  <c r="J45" i="18"/>
  <c r="G45" i="18"/>
  <c r="D45" i="18"/>
  <c r="C45" i="18"/>
  <c r="B45" i="18"/>
  <c r="K44" i="18"/>
  <c r="J44" i="18"/>
  <c r="G44" i="18"/>
  <c r="D44" i="18"/>
  <c r="C44" i="18"/>
  <c r="B44" i="18"/>
  <c r="J43" i="18"/>
  <c r="K43" i="18" s="1"/>
  <c r="G43" i="18"/>
  <c r="D43" i="18"/>
  <c r="C43" i="18"/>
  <c r="B43" i="18"/>
  <c r="K42" i="18"/>
  <c r="J42" i="18"/>
  <c r="G42" i="18"/>
  <c r="D42" i="18"/>
  <c r="C42" i="18"/>
  <c r="B42" i="18"/>
  <c r="K41" i="18"/>
  <c r="J41" i="18"/>
  <c r="G41" i="18"/>
  <c r="D41" i="18"/>
  <c r="C41" i="18"/>
  <c r="B41" i="18"/>
  <c r="K40" i="18"/>
  <c r="J40" i="18"/>
  <c r="G40" i="18"/>
  <c r="D40" i="18"/>
  <c r="C40" i="18"/>
  <c r="B40" i="18"/>
  <c r="J39" i="18"/>
  <c r="K39" i="18" s="1"/>
  <c r="G39" i="18"/>
  <c r="D39" i="18"/>
  <c r="C39" i="18"/>
  <c r="B39" i="18"/>
  <c r="K38" i="18"/>
  <c r="J38" i="18"/>
  <c r="G38" i="18"/>
  <c r="D38" i="18"/>
  <c r="C38" i="18"/>
  <c r="B38" i="18"/>
  <c r="K37" i="18"/>
  <c r="J37" i="18"/>
  <c r="G37" i="18"/>
  <c r="D37" i="18"/>
  <c r="C37" i="18"/>
  <c r="B37" i="18"/>
  <c r="K36" i="18"/>
  <c r="J36" i="18"/>
  <c r="G36" i="18"/>
  <c r="D36" i="18"/>
  <c r="C36" i="18"/>
  <c r="B36" i="18"/>
  <c r="J35" i="18"/>
  <c r="K35" i="18" s="1"/>
  <c r="G35" i="18"/>
  <c r="D35" i="18"/>
  <c r="C35" i="18"/>
  <c r="B35" i="18"/>
  <c r="K34" i="18"/>
  <c r="J34" i="18"/>
  <c r="G34" i="18"/>
  <c r="D34" i="18"/>
  <c r="C34" i="18"/>
  <c r="B34" i="18"/>
  <c r="K33" i="18"/>
  <c r="J33" i="18"/>
  <c r="G33" i="18"/>
  <c r="D33" i="18"/>
  <c r="C33" i="18"/>
  <c r="B33" i="18"/>
  <c r="K32" i="18"/>
  <c r="J32" i="18"/>
  <c r="G32" i="18"/>
  <c r="D32" i="18"/>
  <c r="C32" i="18"/>
  <c r="B32" i="18"/>
  <c r="J31" i="18"/>
  <c r="K31" i="18" s="1"/>
  <c r="G31" i="18"/>
  <c r="D31" i="18"/>
  <c r="C31" i="18"/>
  <c r="B31" i="18"/>
  <c r="K30" i="18"/>
  <c r="J30" i="18"/>
  <c r="G30" i="18"/>
  <c r="D30" i="18"/>
  <c r="C30" i="18"/>
  <c r="B30" i="18"/>
  <c r="K29" i="18"/>
  <c r="J29" i="18"/>
  <c r="G29" i="18"/>
  <c r="D29" i="18"/>
  <c r="C29" i="18"/>
  <c r="B29" i="18"/>
  <c r="K28" i="18"/>
  <c r="J28" i="18"/>
  <c r="G28" i="18"/>
  <c r="D28" i="18"/>
  <c r="C28" i="18"/>
  <c r="B28" i="18"/>
  <c r="J27" i="18"/>
  <c r="K27" i="18" s="1"/>
  <c r="G27" i="18"/>
  <c r="D27" i="18"/>
  <c r="C27" i="18"/>
  <c r="B27" i="18"/>
  <c r="K26" i="18"/>
  <c r="J26" i="18"/>
  <c r="G26" i="18"/>
  <c r="D26" i="18"/>
  <c r="C26" i="18"/>
  <c r="B26" i="18"/>
  <c r="K25" i="18"/>
  <c r="J25" i="18"/>
  <c r="G25" i="18"/>
  <c r="D25" i="18"/>
  <c r="C25" i="18"/>
  <c r="B25" i="18"/>
  <c r="K24" i="18"/>
  <c r="J24" i="18"/>
  <c r="G24" i="18"/>
  <c r="D24" i="18"/>
  <c r="C24" i="18"/>
  <c r="B24" i="18"/>
  <c r="J23" i="18"/>
  <c r="K23" i="18" s="1"/>
  <c r="G23" i="18"/>
  <c r="D23" i="18"/>
  <c r="C23" i="18"/>
  <c r="B23" i="18"/>
  <c r="K22" i="18"/>
  <c r="J22" i="18"/>
  <c r="G22" i="18"/>
  <c r="D22" i="18"/>
  <c r="C22" i="18"/>
  <c r="B22" i="18"/>
  <c r="K21" i="18"/>
  <c r="J21" i="18"/>
  <c r="G21" i="18"/>
  <c r="D21" i="18"/>
  <c r="C21" i="18"/>
  <c r="B21" i="18"/>
  <c r="K20" i="18"/>
  <c r="J20" i="18"/>
  <c r="G20" i="18"/>
  <c r="D20" i="18"/>
  <c r="C20" i="18"/>
  <c r="B20" i="18"/>
  <c r="J19" i="18"/>
  <c r="K19" i="18" s="1"/>
  <c r="G19" i="18"/>
  <c r="D19" i="18"/>
  <c r="C19" i="18"/>
  <c r="B19" i="18"/>
  <c r="K18" i="18"/>
  <c r="J18" i="18"/>
  <c r="G18" i="18"/>
  <c r="D18" i="18"/>
  <c r="C18" i="18"/>
  <c r="B18" i="18"/>
  <c r="K17" i="18"/>
  <c r="J17" i="18"/>
  <c r="G17" i="18"/>
  <c r="D17" i="18"/>
  <c r="C17" i="18"/>
  <c r="B17" i="18"/>
  <c r="K16" i="18"/>
  <c r="J16" i="18"/>
  <c r="G16" i="18"/>
  <c r="D16" i="18"/>
  <c r="C16" i="18"/>
  <c r="B16" i="18"/>
  <c r="J15" i="18"/>
  <c r="K15" i="18" s="1"/>
  <c r="G15" i="18"/>
  <c r="D15" i="18"/>
  <c r="C15" i="18"/>
  <c r="B15" i="18"/>
  <c r="K14" i="18"/>
  <c r="J14" i="18"/>
  <c r="G14" i="18"/>
  <c r="D14" i="18"/>
  <c r="C14" i="18"/>
  <c r="B14" i="18"/>
  <c r="K13" i="18"/>
  <c r="J13" i="18"/>
  <c r="G13" i="18"/>
  <c r="D13" i="18"/>
  <c r="C13" i="18"/>
  <c r="B13" i="18"/>
  <c r="K12" i="18"/>
  <c r="J12" i="18"/>
  <c r="G12" i="18"/>
  <c r="D12" i="18"/>
  <c r="C12" i="18"/>
  <c r="B12" i="18"/>
  <c r="J11" i="18"/>
  <c r="K11" i="18" s="1"/>
  <c r="G11" i="18"/>
  <c r="D11" i="18"/>
  <c r="C11" i="18"/>
  <c r="B11" i="18"/>
  <c r="K10" i="18"/>
  <c r="J10" i="18"/>
  <c r="G10" i="18"/>
  <c r="D10" i="18"/>
  <c r="C10" i="18"/>
  <c r="B10" i="18"/>
  <c r="K9" i="18"/>
  <c r="J9" i="18"/>
  <c r="G9" i="18"/>
  <c r="D9" i="18"/>
  <c r="C9" i="18"/>
  <c r="B9" i="18"/>
  <c r="J4" i="18"/>
  <c r="J208" i="17"/>
  <c r="I208" i="17"/>
  <c r="F208" i="17"/>
  <c r="D208" i="17"/>
  <c r="C208" i="17"/>
  <c r="B208" i="17"/>
  <c r="J207" i="17"/>
  <c r="I207" i="17"/>
  <c r="F207" i="17"/>
  <c r="D207" i="17"/>
  <c r="C207" i="17"/>
  <c r="B207" i="17"/>
  <c r="J206" i="17"/>
  <c r="I206" i="17"/>
  <c r="F206" i="17"/>
  <c r="D206" i="17"/>
  <c r="C206" i="17"/>
  <c r="B206" i="17"/>
  <c r="I205" i="17"/>
  <c r="J205" i="17" s="1"/>
  <c r="F205" i="17"/>
  <c r="D205" i="17"/>
  <c r="C205" i="17"/>
  <c r="B205" i="17"/>
  <c r="J204" i="17"/>
  <c r="I204" i="17"/>
  <c r="F204" i="17"/>
  <c r="D204" i="17"/>
  <c r="C204" i="17"/>
  <c r="B204" i="17"/>
  <c r="J203" i="17"/>
  <c r="I203" i="17"/>
  <c r="F203" i="17"/>
  <c r="D203" i="17"/>
  <c r="C203" i="17"/>
  <c r="B203" i="17"/>
  <c r="J202" i="17"/>
  <c r="I202" i="17"/>
  <c r="F202" i="17"/>
  <c r="D202" i="17"/>
  <c r="C202" i="17"/>
  <c r="B202" i="17"/>
  <c r="I201" i="17"/>
  <c r="J201" i="17" s="1"/>
  <c r="F201" i="17"/>
  <c r="D201" i="17"/>
  <c r="C201" i="17"/>
  <c r="B201" i="17"/>
  <c r="J200" i="17"/>
  <c r="I200" i="17"/>
  <c r="F200" i="17"/>
  <c r="D200" i="17"/>
  <c r="C200" i="17"/>
  <c r="B200" i="17"/>
  <c r="J199" i="17"/>
  <c r="I199" i="17"/>
  <c r="F199" i="17"/>
  <c r="D199" i="17"/>
  <c r="C199" i="17"/>
  <c r="B199" i="17"/>
  <c r="J198" i="17"/>
  <c r="I198" i="17"/>
  <c r="F198" i="17"/>
  <c r="D198" i="17"/>
  <c r="C198" i="17"/>
  <c r="B198" i="17"/>
  <c r="I197" i="17"/>
  <c r="J197" i="17" s="1"/>
  <c r="F197" i="17"/>
  <c r="D197" i="17"/>
  <c r="C197" i="17"/>
  <c r="B197" i="17"/>
  <c r="J196" i="17"/>
  <c r="I196" i="17"/>
  <c r="F196" i="17"/>
  <c r="D196" i="17"/>
  <c r="C196" i="17"/>
  <c r="B196" i="17"/>
  <c r="J195" i="17"/>
  <c r="I195" i="17"/>
  <c r="F195" i="17"/>
  <c r="D195" i="17"/>
  <c r="C195" i="17"/>
  <c r="B195" i="17"/>
  <c r="J194" i="17"/>
  <c r="I194" i="17"/>
  <c r="F194" i="17"/>
  <c r="D194" i="17"/>
  <c r="C194" i="17"/>
  <c r="B194" i="17"/>
  <c r="I193" i="17"/>
  <c r="J193" i="17" s="1"/>
  <c r="F193" i="17"/>
  <c r="D193" i="17"/>
  <c r="C193" i="17"/>
  <c r="B193" i="17"/>
  <c r="J192" i="17"/>
  <c r="I192" i="17"/>
  <c r="F192" i="17"/>
  <c r="D192" i="17"/>
  <c r="C192" i="17"/>
  <c r="B192" i="17"/>
  <c r="J191" i="17"/>
  <c r="I191" i="17"/>
  <c r="F191" i="17"/>
  <c r="D191" i="17"/>
  <c r="C191" i="17"/>
  <c r="B191" i="17"/>
  <c r="J190" i="17"/>
  <c r="I190" i="17"/>
  <c r="F190" i="17"/>
  <c r="D190" i="17"/>
  <c r="C190" i="17"/>
  <c r="B190" i="17"/>
  <c r="I189" i="17"/>
  <c r="J189" i="17" s="1"/>
  <c r="F189" i="17"/>
  <c r="D189" i="17"/>
  <c r="C189" i="17"/>
  <c r="B189" i="17"/>
  <c r="J188" i="17"/>
  <c r="I188" i="17"/>
  <c r="F188" i="17"/>
  <c r="D188" i="17"/>
  <c r="C188" i="17"/>
  <c r="B188" i="17"/>
  <c r="J187" i="17"/>
  <c r="I187" i="17"/>
  <c r="F187" i="17"/>
  <c r="D187" i="17"/>
  <c r="C187" i="17"/>
  <c r="B187" i="17"/>
  <c r="J186" i="17"/>
  <c r="I186" i="17"/>
  <c r="F186" i="17"/>
  <c r="D186" i="17"/>
  <c r="C186" i="17"/>
  <c r="B186" i="17"/>
  <c r="I185" i="17"/>
  <c r="J185" i="17" s="1"/>
  <c r="F185" i="17"/>
  <c r="D185" i="17"/>
  <c r="C185" i="17"/>
  <c r="B185" i="17"/>
  <c r="J184" i="17"/>
  <c r="I184" i="17"/>
  <c r="F184" i="17"/>
  <c r="D184" i="17"/>
  <c r="C184" i="17"/>
  <c r="B184" i="17"/>
  <c r="J183" i="17"/>
  <c r="I183" i="17"/>
  <c r="F183" i="17"/>
  <c r="D183" i="17"/>
  <c r="C183" i="17"/>
  <c r="B183" i="17"/>
  <c r="J182" i="17"/>
  <c r="I182" i="17"/>
  <c r="F182" i="17"/>
  <c r="D182" i="17"/>
  <c r="C182" i="17"/>
  <c r="B182" i="17"/>
  <c r="I181" i="17"/>
  <c r="J181" i="17" s="1"/>
  <c r="F181" i="17"/>
  <c r="D181" i="17"/>
  <c r="C181" i="17"/>
  <c r="B181" i="17"/>
  <c r="J180" i="17"/>
  <c r="I180" i="17"/>
  <c r="F180" i="17"/>
  <c r="D180" i="17"/>
  <c r="C180" i="17"/>
  <c r="B180" i="17"/>
  <c r="J179" i="17"/>
  <c r="I179" i="17"/>
  <c r="F179" i="17"/>
  <c r="D179" i="17"/>
  <c r="C179" i="17"/>
  <c r="B179" i="17"/>
  <c r="J178" i="17"/>
  <c r="I178" i="17"/>
  <c r="F178" i="17"/>
  <c r="D178" i="17"/>
  <c r="C178" i="17"/>
  <c r="B178" i="17"/>
  <c r="I177" i="17"/>
  <c r="J177" i="17" s="1"/>
  <c r="F177" i="17"/>
  <c r="D177" i="17"/>
  <c r="C177" i="17"/>
  <c r="B177" i="17"/>
  <c r="J176" i="17"/>
  <c r="I176" i="17"/>
  <c r="F176" i="17"/>
  <c r="D176" i="17"/>
  <c r="C176" i="17"/>
  <c r="B176" i="17"/>
  <c r="J175" i="17"/>
  <c r="I175" i="17"/>
  <c r="F175" i="17"/>
  <c r="D175" i="17"/>
  <c r="C175" i="17"/>
  <c r="B175" i="17"/>
  <c r="J174" i="17"/>
  <c r="I174" i="17"/>
  <c r="F174" i="17"/>
  <c r="D174" i="17"/>
  <c r="C174" i="17"/>
  <c r="B174" i="17"/>
  <c r="I173" i="17"/>
  <c r="J173" i="17" s="1"/>
  <c r="F173" i="17"/>
  <c r="D173" i="17"/>
  <c r="C173" i="17"/>
  <c r="B173" i="17"/>
  <c r="J172" i="17"/>
  <c r="I172" i="17"/>
  <c r="F172" i="17"/>
  <c r="D172" i="17"/>
  <c r="C172" i="17"/>
  <c r="B172" i="17"/>
  <c r="J171" i="17"/>
  <c r="I171" i="17"/>
  <c r="F171" i="17"/>
  <c r="D171" i="17"/>
  <c r="C171" i="17"/>
  <c r="B171" i="17"/>
  <c r="J170" i="17"/>
  <c r="I170" i="17"/>
  <c r="F170" i="17"/>
  <c r="D170" i="17"/>
  <c r="C170" i="17"/>
  <c r="B170" i="17"/>
  <c r="I169" i="17"/>
  <c r="J169" i="17" s="1"/>
  <c r="F169" i="17"/>
  <c r="D169" i="17"/>
  <c r="C169" i="17"/>
  <c r="B169" i="17"/>
  <c r="J168" i="17"/>
  <c r="I168" i="17"/>
  <c r="F168" i="17"/>
  <c r="D168" i="17"/>
  <c r="C168" i="17"/>
  <c r="B168" i="17"/>
  <c r="J167" i="17"/>
  <c r="I167" i="17"/>
  <c r="F167" i="17"/>
  <c r="D167" i="17"/>
  <c r="C167" i="17"/>
  <c r="B167" i="17"/>
  <c r="J166" i="17"/>
  <c r="I166" i="17"/>
  <c r="F166" i="17"/>
  <c r="D166" i="17"/>
  <c r="C166" i="17"/>
  <c r="B166" i="17"/>
  <c r="I165" i="17"/>
  <c r="J165" i="17" s="1"/>
  <c r="F165" i="17"/>
  <c r="D165" i="17"/>
  <c r="C165" i="17"/>
  <c r="B165" i="17"/>
  <c r="J164" i="17"/>
  <c r="I164" i="17"/>
  <c r="F164" i="17"/>
  <c r="D164" i="17"/>
  <c r="C164" i="17"/>
  <c r="B164" i="17"/>
  <c r="J163" i="17"/>
  <c r="I163" i="17"/>
  <c r="F163" i="17"/>
  <c r="D163" i="17"/>
  <c r="C163" i="17"/>
  <c r="B163" i="17"/>
  <c r="J162" i="17"/>
  <c r="I162" i="17"/>
  <c r="F162" i="17"/>
  <c r="D162" i="17"/>
  <c r="C162" i="17"/>
  <c r="B162" i="17"/>
  <c r="I161" i="17"/>
  <c r="J161" i="17" s="1"/>
  <c r="F161" i="17"/>
  <c r="D161" i="17"/>
  <c r="C161" i="17"/>
  <c r="B161" i="17"/>
  <c r="J160" i="17"/>
  <c r="I160" i="17"/>
  <c r="F160" i="17"/>
  <c r="D160" i="17"/>
  <c r="C160" i="17"/>
  <c r="B160" i="17"/>
  <c r="J159" i="17"/>
  <c r="I159" i="17"/>
  <c r="F159" i="17"/>
  <c r="D159" i="17"/>
  <c r="C159" i="17"/>
  <c r="B159" i="17"/>
  <c r="J158" i="17"/>
  <c r="I158" i="17"/>
  <c r="F158" i="17"/>
  <c r="D158" i="17"/>
  <c r="C158" i="17"/>
  <c r="B158" i="17"/>
  <c r="I157" i="17"/>
  <c r="J157" i="17" s="1"/>
  <c r="F157" i="17"/>
  <c r="D157" i="17"/>
  <c r="C157" i="17"/>
  <c r="B157" i="17"/>
  <c r="J156" i="17"/>
  <c r="I156" i="17"/>
  <c r="F156" i="17"/>
  <c r="D156" i="17"/>
  <c r="C156" i="17"/>
  <c r="B156" i="17"/>
  <c r="J155" i="17"/>
  <c r="I155" i="17"/>
  <c r="F155" i="17"/>
  <c r="D155" i="17"/>
  <c r="C155" i="17"/>
  <c r="B155" i="17"/>
  <c r="J154" i="17"/>
  <c r="I154" i="17"/>
  <c r="F154" i="17"/>
  <c r="D154" i="17"/>
  <c r="C154" i="17"/>
  <c r="B154" i="17"/>
  <c r="I153" i="17"/>
  <c r="J153" i="17" s="1"/>
  <c r="F153" i="17"/>
  <c r="D153" i="17"/>
  <c r="C153" i="17"/>
  <c r="B153" i="17"/>
  <c r="J152" i="17"/>
  <c r="I152" i="17"/>
  <c r="F152" i="17"/>
  <c r="D152" i="17"/>
  <c r="C152" i="17"/>
  <c r="B152" i="17"/>
  <c r="J151" i="17"/>
  <c r="I151" i="17"/>
  <c r="F151" i="17"/>
  <c r="D151" i="17"/>
  <c r="C151" i="17"/>
  <c r="B151" i="17"/>
  <c r="J150" i="17"/>
  <c r="I150" i="17"/>
  <c r="F150" i="17"/>
  <c r="D150" i="17"/>
  <c r="C150" i="17"/>
  <c r="B150" i="17"/>
  <c r="I149" i="17"/>
  <c r="J149" i="17" s="1"/>
  <c r="F149" i="17"/>
  <c r="D149" i="17"/>
  <c r="C149" i="17"/>
  <c r="B149" i="17"/>
  <c r="J148" i="17"/>
  <c r="I148" i="17"/>
  <c r="F148" i="17"/>
  <c r="D148" i="17"/>
  <c r="C148" i="17"/>
  <c r="B148" i="17"/>
  <c r="J147" i="17"/>
  <c r="I147" i="17"/>
  <c r="F147" i="17"/>
  <c r="D147" i="17"/>
  <c r="C147" i="17"/>
  <c r="B147" i="17"/>
  <c r="J146" i="17"/>
  <c r="I146" i="17"/>
  <c r="F146" i="17"/>
  <c r="D146" i="17"/>
  <c r="C146" i="17"/>
  <c r="B146" i="17"/>
  <c r="I145" i="17"/>
  <c r="J145" i="17" s="1"/>
  <c r="F145" i="17"/>
  <c r="D145" i="17"/>
  <c r="C145" i="17"/>
  <c r="B145" i="17"/>
  <c r="J144" i="17"/>
  <c r="I144" i="17"/>
  <c r="F144" i="17"/>
  <c r="D144" i="17"/>
  <c r="C144" i="17"/>
  <c r="B144" i="17"/>
  <c r="J143" i="17"/>
  <c r="I143" i="17"/>
  <c r="F143" i="17"/>
  <c r="D143" i="17"/>
  <c r="C143" i="17"/>
  <c r="B143" i="17"/>
  <c r="J142" i="17"/>
  <c r="I142" i="17"/>
  <c r="F142" i="17"/>
  <c r="D142" i="17"/>
  <c r="C142" i="17"/>
  <c r="B142" i="17"/>
  <c r="I141" i="17"/>
  <c r="J141" i="17" s="1"/>
  <c r="F141" i="17"/>
  <c r="D141" i="17"/>
  <c r="C141" i="17"/>
  <c r="B141" i="17"/>
  <c r="J140" i="17"/>
  <c r="I140" i="17"/>
  <c r="F140" i="17"/>
  <c r="D140" i="17"/>
  <c r="C140" i="17"/>
  <c r="B140" i="17"/>
  <c r="J139" i="17"/>
  <c r="I139" i="17"/>
  <c r="F139" i="17"/>
  <c r="D139" i="17"/>
  <c r="C139" i="17"/>
  <c r="B139" i="17"/>
  <c r="J138" i="17"/>
  <c r="I138" i="17"/>
  <c r="F138" i="17"/>
  <c r="D138" i="17"/>
  <c r="C138" i="17"/>
  <c r="B138" i="17"/>
  <c r="I137" i="17"/>
  <c r="J137" i="17" s="1"/>
  <c r="F137" i="17"/>
  <c r="D137" i="17"/>
  <c r="C137" i="17"/>
  <c r="B137" i="17"/>
  <c r="J136" i="17"/>
  <c r="I136" i="17"/>
  <c r="F136" i="17"/>
  <c r="D136" i="17"/>
  <c r="C136" i="17"/>
  <c r="B136" i="17"/>
  <c r="J135" i="17"/>
  <c r="I135" i="17"/>
  <c r="F135" i="17"/>
  <c r="D135" i="17"/>
  <c r="C135" i="17"/>
  <c r="B135" i="17"/>
  <c r="J134" i="17"/>
  <c r="I134" i="17"/>
  <c r="F134" i="17"/>
  <c r="D134" i="17"/>
  <c r="C134" i="17"/>
  <c r="B134" i="17"/>
  <c r="I133" i="17"/>
  <c r="J133" i="17" s="1"/>
  <c r="F133" i="17"/>
  <c r="D133" i="17"/>
  <c r="C133" i="17"/>
  <c r="B133" i="17"/>
  <c r="J132" i="17"/>
  <c r="I132" i="17"/>
  <c r="F132" i="17"/>
  <c r="D132" i="17"/>
  <c r="C132" i="17"/>
  <c r="B132" i="17"/>
  <c r="J131" i="17"/>
  <c r="I131" i="17"/>
  <c r="F131" i="17"/>
  <c r="D131" i="17"/>
  <c r="C131" i="17"/>
  <c r="B131" i="17"/>
  <c r="J130" i="17"/>
  <c r="I130" i="17"/>
  <c r="F130" i="17"/>
  <c r="D130" i="17"/>
  <c r="C130" i="17"/>
  <c r="B130" i="17"/>
  <c r="I129" i="17"/>
  <c r="J129" i="17" s="1"/>
  <c r="F129" i="17"/>
  <c r="D129" i="17"/>
  <c r="C129" i="17"/>
  <c r="B129" i="17"/>
  <c r="J128" i="17"/>
  <c r="I128" i="17"/>
  <c r="F128" i="17"/>
  <c r="D128" i="17"/>
  <c r="C128" i="17"/>
  <c r="B128" i="17"/>
  <c r="J127" i="17"/>
  <c r="I127" i="17"/>
  <c r="F127" i="17"/>
  <c r="D127" i="17"/>
  <c r="C127" i="17"/>
  <c r="B127" i="17"/>
  <c r="J126" i="17"/>
  <c r="I126" i="17"/>
  <c r="F126" i="17"/>
  <c r="D126" i="17"/>
  <c r="C126" i="17"/>
  <c r="B126" i="17"/>
  <c r="I125" i="17"/>
  <c r="J125" i="17" s="1"/>
  <c r="F125" i="17"/>
  <c r="D125" i="17"/>
  <c r="C125" i="17"/>
  <c r="B125" i="17"/>
  <c r="J124" i="17"/>
  <c r="I124" i="17"/>
  <c r="F124" i="17"/>
  <c r="D124" i="17"/>
  <c r="C124" i="17"/>
  <c r="B124" i="17"/>
  <c r="J123" i="17"/>
  <c r="I123" i="17"/>
  <c r="F123" i="17"/>
  <c r="D123" i="17"/>
  <c r="C123" i="17"/>
  <c r="B123" i="17"/>
  <c r="J122" i="17"/>
  <c r="I122" i="17"/>
  <c r="F122" i="17"/>
  <c r="D122" i="17"/>
  <c r="C122" i="17"/>
  <c r="B122" i="17"/>
  <c r="I121" i="17"/>
  <c r="J121" i="17" s="1"/>
  <c r="F121" i="17"/>
  <c r="D121" i="17"/>
  <c r="C121" i="17"/>
  <c r="B121" i="17"/>
  <c r="J120" i="17"/>
  <c r="I120" i="17"/>
  <c r="F120" i="17"/>
  <c r="D120" i="17"/>
  <c r="C120" i="17"/>
  <c r="B120" i="17"/>
  <c r="J119" i="17"/>
  <c r="I119" i="17"/>
  <c r="F119" i="17"/>
  <c r="D119" i="17"/>
  <c r="C119" i="17"/>
  <c r="B119" i="17"/>
  <c r="J118" i="17"/>
  <c r="I118" i="17"/>
  <c r="F118" i="17"/>
  <c r="D118" i="17"/>
  <c r="C118" i="17"/>
  <c r="B118" i="17"/>
  <c r="I117" i="17"/>
  <c r="J117" i="17" s="1"/>
  <c r="F117" i="17"/>
  <c r="D117" i="17"/>
  <c r="C117" i="17"/>
  <c r="B117" i="17"/>
  <c r="J116" i="17"/>
  <c r="I116" i="17"/>
  <c r="F116" i="17"/>
  <c r="D116" i="17"/>
  <c r="C116" i="17"/>
  <c r="B116" i="17"/>
  <c r="J115" i="17"/>
  <c r="I115" i="17"/>
  <c r="F115" i="17"/>
  <c r="D115" i="17"/>
  <c r="C115" i="17"/>
  <c r="B115" i="17"/>
  <c r="J114" i="17"/>
  <c r="I114" i="17"/>
  <c r="F114" i="17"/>
  <c r="D114" i="17"/>
  <c r="C114" i="17"/>
  <c r="B114" i="17"/>
  <c r="I113" i="17"/>
  <c r="J113" i="17" s="1"/>
  <c r="F113" i="17"/>
  <c r="D113" i="17"/>
  <c r="C113" i="17"/>
  <c r="B113" i="17"/>
  <c r="J112" i="17"/>
  <c r="I112" i="17"/>
  <c r="F112" i="17"/>
  <c r="D112" i="17"/>
  <c r="C112" i="17"/>
  <c r="B112" i="17"/>
  <c r="J111" i="17"/>
  <c r="I111" i="17"/>
  <c r="F111" i="17"/>
  <c r="D111" i="17"/>
  <c r="C111" i="17"/>
  <c r="B111" i="17"/>
  <c r="J110" i="17"/>
  <c r="I110" i="17"/>
  <c r="F110" i="17"/>
  <c r="D110" i="17"/>
  <c r="C110" i="17"/>
  <c r="B110" i="17"/>
  <c r="I109" i="17"/>
  <c r="J109" i="17" s="1"/>
  <c r="F109" i="17"/>
  <c r="D109" i="17"/>
  <c r="C109" i="17"/>
  <c r="B109" i="17"/>
  <c r="J108" i="17"/>
  <c r="I108" i="17"/>
  <c r="F108" i="17"/>
  <c r="D108" i="17"/>
  <c r="C108" i="17"/>
  <c r="B108" i="17"/>
  <c r="J107" i="17"/>
  <c r="I107" i="17"/>
  <c r="F107" i="17"/>
  <c r="D107" i="17"/>
  <c r="C107" i="17"/>
  <c r="B107" i="17"/>
  <c r="J106" i="17"/>
  <c r="I106" i="17"/>
  <c r="F106" i="17"/>
  <c r="D106" i="17"/>
  <c r="C106" i="17"/>
  <c r="B106" i="17"/>
  <c r="I105" i="17"/>
  <c r="J105" i="17" s="1"/>
  <c r="F105" i="17"/>
  <c r="D105" i="17"/>
  <c r="C105" i="17"/>
  <c r="B105" i="17"/>
  <c r="J104" i="17"/>
  <c r="I104" i="17"/>
  <c r="F104" i="17"/>
  <c r="D104" i="17"/>
  <c r="C104" i="17"/>
  <c r="B104" i="17"/>
  <c r="J103" i="17"/>
  <c r="I103" i="17"/>
  <c r="F103" i="17"/>
  <c r="D103" i="17"/>
  <c r="C103" i="17"/>
  <c r="B103" i="17"/>
  <c r="J102" i="17"/>
  <c r="I102" i="17"/>
  <c r="F102" i="17"/>
  <c r="D102" i="17"/>
  <c r="C102" i="17"/>
  <c r="B102" i="17"/>
  <c r="I101" i="17"/>
  <c r="J101" i="17" s="1"/>
  <c r="F101" i="17"/>
  <c r="D101" i="17"/>
  <c r="C101" i="17"/>
  <c r="B101" i="17"/>
  <c r="J100" i="17"/>
  <c r="I100" i="17"/>
  <c r="F100" i="17"/>
  <c r="D100" i="17"/>
  <c r="C100" i="17"/>
  <c r="B100" i="17"/>
  <c r="J99" i="17"/>
  <c r="I99" i="17"/>
  <c r="F99" i="17"/>
  <c r="D99" i="17"/>
  <c r="C99" i="17"/>
  <c r="B99" i="17"/>
  <c r="J98" i="17"/>
  <c r="I98" i="17"/>
  <c r="F98" i="17"/>
  <c r="D98" i="17"/>
  <c r="C98" i="17"/>
  <c r="B98" i="17"/>
  <c r="I97" i="17"/>
  <c r="J97" i="17" s="1"/>
  <c r="F97" i="17"/>
  <c r="D97" i="17"/>
  <c r="C97" i="17"/>
  <c r="B97" i="17"/>
  <c r="J96" i="17"/>
  <c r="I96" i="17"/>
  <c r="F96" i="17"/>
  <c r="D96" i="17"/>
  <c r="C96" i="17"/>
  <c r="B96" i="17"/>
  <c r="J95" i="17"/>
  <c r="I95" i="17"/>
  <c r="F95" i="17"/>
  <c r="D95" i="17"/>
  <c r="C95" i="17"/>
  <c r="B95" i="17"/>
  <c r="J94" i="17"/>
  <c r="I94" i="17"/>
  <c r="F94" i="17"/>
  <c r="D94" i="17"/>
  <c r="C94" i="17"/>
  <c r="B94" i="17"/>
  <c r="I93" i="17"/>
  <c r="J93" i="17" s="1"/>
  <c r="F93" i="17"/>
  <c r="D93" i="17"/>
  <c r="C93" i="17"/>
  <c r="B93" i="17"/>
  <c r="J92" i="17"/>
  <c r="I92" i="17"/>
  <c r="F92" i="17"/>
  <c r="D92" i="17"/>
  <c r="C92" i="17"/>
  <c r="B92" i="17"/>
  <c r="J91" i="17"/>
  <c r="I91" i="17"/>
  <c r="F91" i="17"/>
  <c r="D91" i="17"/>
  <c r="C91" i="17"/>
  <c r="B91" i="17"/>
  <c r="J90" i="17"/>
  <c r="I90" i="17"/>
  <c r="F90" i="17"/>
  <c r="D90" i="17"/>
  <c r="C90" i="17"/>
  <c r="B90" i="17"/>
  <c r="I89" i="17"/>
  <c r="J89" i="17" s="1"/>
  <c r="F89" i="17"/>
  <c r="D89" i="17"/>
  <c r="C89" i="17"/>
  <c r="B89" i="17"/>
  <c r="J88" i="17"/>
  <c r="I88" i="17"/>
  <c r="F88" i="17"/>
  <c r="D88" i="17"/>
  <c r="C88" i="17"/>
  <c r="B88" i="17"/>
  <c r="J87" i="17"/>
  <c r="I87" i="17"/>
  <c r="F87" i="17"/>
  <c r="D87" i="17"/>
  <c r="C87" i="17"/>
  <c r="B87" i="17"/>
  <c r="J86" i="17"/>
  <c r="I86" i="17"/>
  <c r="F86" i="17"/>
  <c r="D86" i="17"/>
  <c r="C86" i="17"/>
  <c r="B86" i="17"/>
  <c r="I85" i="17"/>
  <c r="J85" i="17" s="1"/>
  <c r="F85" i="17"/>
  <c r="D85" i="17"/>
  <c r="C85" i="17"/>
  <c r="B85" i="17"/>
  <c r="J84" i="17"/>
  <c r="I84" i="17"/>
  <c r="F84" i="17"/>
  <c r="D84" i="17"/>
  <c r="C84" i="17"/>
  <c r="B84" i="17"/>
  <c r="J83" i="17"/>
  <c r="I83" i="17"/>
  <c r="F83" i="17"/>
  <c r="D83" i="17"/>
  <c r="C83" i="17"/>
  <c r="B83" i="17"/>
  <c r="J82" i="17"/>
  <c r="I82" i="17"/>
  <c r="F82" i="17"/>
  <c r="D82" i="17"/>
  <c r="C82" i="17"/>
  <c r="B82" i="17"/>
  <c r="I81" i="17"/>
  <c r="J81" i="17" s="1"/>
  <c r="F81" i="17"/>
  <c r="D81" i="17"/>
  <c r="C81" i="17"/>
  <c r="B81" i="17"/>
  <c r="J80" i="17"/>
  <c r="I80" i="17"/>
  <c r="F80" i="17"/>
  <c r="D80" i="17"/>
  <c r="C80" i="17"/>
  <c r="B80" i="17"/>
  <c r="J79" i="17"/>
  <c r="I79" i="17"/>
  <c r="F79" i="17"/>
  <c r="D79" i="17"/>
  <c r="C79" i="17"/>
  <c r="B79" i="17"/>
  <c r="J78" i="17"/>
  <c r="I78" i="17"/>
  <c r="F78" i="17"/>
  <c r="D78" i="17"/>
  <c r="C78" i="17"/>
  <c r="B78" i="17"/>
  <c r="I77" i="17"/>
  <c r="J77" i="17" s="1"/>
  <c r="F77" i="17"/>
  <c r="D77" i="17"/>
  <c r="C77" i="17"/>
  <c r="B77" i="17"/>
  <c r="J76" i="17"/>
  <c r="I76" i="17"/>
  <c r="F76" i="17"/>
  <c r="D76" i="17"/>
  <c r="C76" i="17"/>
  <c r="B76" i="17"/>
  <c r="J75" i="17"/>
  <c r="I75" i="17"/>
  <c r="F75" i="17"/>
  <c r="D75" i="17"/>
  <c r="C75" i="17"/>
  <c r="B75" i="17"/>
  <c r="J74" i="17"/>
  <c r="I74" i="17"/>
  <c r="F74" i="17"/>
  <c r="D74" i="17"/>
  <c r="C74" i="17"/>
  <c r="B74" i="17"/>
  <c r="I73" i="17"/>
  <c r="J73" i="17" s="1"/>
  <c r="F73" i="17"/>
  <c r="D73" i="17"/>
  <c r="C73" i="17"/>
  <c r="B73" i="17"/>
  <c r="J72" i="17"/>
  <c r="I72" i="17"/>
  <c r="F72" i="17"/>
  <c r="D72" i="17"/>
  <c r="C72" i="17"/>
  <c r="B72" i="17"/>
  <c r="J71" i="17"/>
  <c r="I71" i="17"/>
  <c r="F71" i="17"/>
  <c r="D71" i="17"/>
  <c r="C71" i="17"/>
  <c r="B71" i="17"/>
  <c r="J70" i="17"/>
  <c r="I70" i="17"/>
  <c r="F70" i="17"/>
  <c r="D70" i="17"/>
  <c r="C70" i="17"/>
  <c r="B70" i="17"/>
  <c r="I69" i="17"/>
  <c r="J69" i="17" s="1"/>
  <c r="F69" i="17"/>
  <c r="D69" i="17"/>
  <c r="C69" i="17"/>
  <c r="B69" i="17"/>
  <c r="J68" i="17"/>
  <c r="I68" i="17"/>
  <c r="F68" i="17"/>
  <c r="D68" i="17"/>
  <c r="C68" i="17"/>
  <c r="B68" i="17"/>
  <c r="J67" i="17"/>
  <c r="I67" i="17"/>
  <c r="F67" i="17"/>
  <c r="D67" i="17"/>
  <c r="C67" i="17"/>
  <c r="B67" i="17"/>
  <c r="J66" i="17"/>
  <c r="I66" i="17"/>
  <c r="F66" i="17"/>
  <c r="D66" i="17"/>
  <c r="C66" i="17"/>
  <c r="B66" i="17"/>
  <c r="I65" i="17"/>
  <c r="J65" i="17" s="1"/>
  <c r="F65" i="17"/>
  <c r="D65" i="17"/>
  <c r="C65" i="17"/>
  <c r="B65" i="17"/>
  <c r="J64" i="17"/>
  <c r="I64" i="17"/>
  <c r="F64" i="17"/>
  <c r="D64" i="17"/>
  <c r="C64" i="17"/>
  <c r="B64" i="17"/>
  <c r="J63" i="17"/>
  <c r="I63" i="17"/>
  <c r="F63" i="17"/>
  <c r="D63" i="17"/>
  <c r="C63" i="17"/>
  <c r="B63" i="17"/>
  <c r="J62" i="17"/>
  <c r="I62" i="17"/>
  <c r="F62" i="17"/>
  <c r="D62" i="17"/>
  <c r="C62" i="17"/>
  <c r="B62" i="17"/>
  <c r="I61" i="17"/>
  <c r="J61" i="17" s="1"/>
  <c r="F61" i="17"/>
  <c r="D61" i="17"/>
  <c r="C61" i="17"/>
  <c r="B61" i="17"/>
  <c r="J60" i="17"/>
  <c r="I60" i="17"/>
  <c r="F60" i="17"/>
  <c r="D60" i="17"/>
  <c r="C60" i="17"/>
  <c r="B60" i="17"/>
  <c r="J59" i="17"/>
  <c r="I59" i="17"/>
  <c r="F59" i="17"/>
  <c r="D59" i="17"/>
  <c r="C59" i="17"/>
  <c r="B59" i="17"/>
  <c r="J58" i="17"/>
  <c r="I58" i="17"/>
  <c r="F58" i="17"/>
  <c r="D58" i="17"/>
  <c r="C58" i="17"/>
  <c r="B58" i="17"/>
  <c r="I57" i="17"/>
  <c r="J57" i="17" s="1"/>
  <c r="F57" i="17"/>
  <c r="D57" i="17"/>
  <c r="C57" i="17"/>
  <c r="B57" i="17"/>
  <c r="J56" i="17"/>
  <c r="I56" i="17"/>
  <c r="F56" i="17"/>
  <c r="D56" i="17"/>
  <c r="C56" i="17"/>
  <c r="B56" i="17"/>
  <c r="J55" i="17"/>
  <c r="I55" i="17"/>
  <c r="F55" i="17"/>
  <c r="D55" i="17"/>
  <c r="C55" i="17"/>
  <c r="B55" i="17"/>
  <c r="J54" i="17"/>
  <c r="I54" i="17"/>
  <c r="F54" i="17"/>
  <c r="D54" i="17"/>
  <c r="C54" i="17"/>
  <c r="B54" i="17"/>
  <c r="I53" i="17"/>
  <c r="J53" i="17" s="1"/>
  <c r="F53" i="17"/>
  <c r="D53" i="17"/>
  <c r="C53" i="17"/>
  <c r="B53" i="17"/>
  <c r="J52" i="17"/>
  <c r="I52" i="17"/>
  <c r="F52" i="17"/>
  <c r="D52" i="17"/>
  <c r="C52" i="17"/>
  <c r="B52" i="17"/>
  <c r="J51" i="17"/>
  <c r="I51" i="17"/>
  <c r="F51" i="17"/>
  <c r="D51" i="17"/>
  <c r="C51" i="17"/>
  <c r="B51" i="17"/>
  <c r="J50" i="17"/>
  <c r="I50" i="17"/>
  <c r="F50" i="17"/>
  <c r="D50" i="17"/>
  <c r="C50" i="17"/>
  <c r="B50" i="17"/>
  <c r="I49" i="17"/>
  <c r="J49" i="17" s="1"/>
  <c r="F49" i="17"/>
  <c r="D49" i="17"/>
  <c r="C49" i="17"/>
  <c r="B49" i="17"/>
  <c r="J48" i="17"/>
  <c r="I48" i="17"/>
  <c r="F48" i="17"/>
  <c r="D48" i="17"/>
  <c r="C48" i="17"/>
  <c r="B48" i="17"/>
  <c r="J47" i="17"/>
  <c r="I47" i="17"/>
  <c r="F47" i="17"/>
  <c r="D47" i="17"/>
  <c r="C47" i="17"/>
  <c r="B47" i="17"/>
  <c r="J46" i="17"/>
  <c r="I46" i="17"/>
  <c r="F46" i="17"/>
  <c r="D46" i="17"/>
  <c r="C46" i="17"/>
  <c r="B46" i="17"/>
  <c r="I45" i="17"/>
  <c r="J45" i="17" s="1"/>
  <c r="F45" i="17"/>
  <c r="D45" i="17"/>
  <c r="C45" i="17"/>
  <c r="B45" i="17"/>
  <c r="J44" i="17"/>
  <c r="I44" i="17"/>
  <c r="F44" i="17"/>
  <c r="D44" i="17"/>
  <c r="C44" i="17"/>
  <c r="B44" i="17"/>
  <c r="J43" i="17"/>
  <c r="I43" i="17"/>
  <c r="F43" i="17"/>
  <c r="D43" i="17"/>
  <c r="C43" i="17"/>
  <c r="B43" i="17"/>
  <c r="J42" i="17"/>
  <c r="I42" i="17"/>
  <c r="F42" i="17"/>
  <c r="D42" i="17"/>
  <c r="C42" i="17"/>
  <c r="B42" i="17"/>
  <c r="I41" i="17"/>
  <c r="J41" i="17" s="1"/>
  <c r="F41" i="17"/>
  <c r="D41" i="17"/>
  <c r="C41" i="17"/>
  <c r="B41" i="17"/>
  <c r="J40" i="17"/>
  <c r="I40" i="17"/>
  <c r="F40" i="17"/>
  <c r="D40" i="17"/>
  <c r="C40" i="17"/>
  <c r="B40" i="17"/>
  <c r="J39" i="17"/>
  <c r="I39" i="17"/>
  <c r="F39" i="17"/>
  <c r="D39" i="17"/>
  <c r="C39" i="17"/>
  <c r="B39" i="17"/>
  <c r="J38" i="17"/>
  <c r="I38" i="17"/>
  <c r="F38" i="17"/>
  <c r="D38" i="17"/>
  <c r="C38" i="17"/>
  <c r="B38" i="17"/>
  <c r="I37" i="17"/>
  <c r="J37" i="17" s="1"/>
  <c r="F37" i="17"/>
  <c r="D37" i="17"/>
  <c r="C37" i="17"/>
  <c r="B37" i="17"/>
  <c r="J36" i="17"/>
  <c r="I36" i="17"/>
  <c r="F36" i="17"/>
  <c r="D36" i="17"/>
  <c r="C36" i="17"/>
  <c r="B36" i="17"/>
  <c r="J35" i="17"/>
  <c r="I35" i="17"/>
  <c r="F35" i="17"/>
  <c r="D35" i="17"/>
  <c r="C35" i="17"/>
  <c r="B35" i="17"/>
  <c r="J34" i="17"/>
  <c r="I34" i="17"/>
  <c r="F34" i="17"/>
  <c r="D34" i="17"/>
  <c r="C34" i="17"/>
  <c r="B34" i="17"/>
  <c r="I33" i="17"/>
  <c r="J33" i="17" s="1"/>
  <c r="F33" i="17"/>
  <c r="D33" i="17"/>
  <c r="C33" i="17"/>
  <c r="B33" i="17"/>
  <c r="J32" i="17"/>
  <c r="I32" i="17"/>
  <c r="F32" i="17"/>
  <c r="D32" i="17"/>
  <c r="C32" i="17"/>
  <c r="B32" i="17"/>
  <c r="J31" i="17"/>
  <c r="I31" i="17"/>
  <c r="F31" i="17"/>
  <c r="D31" i="17"/>
  <c r="C31" i="17"/>
  <c r="B31" i="17"/>
  <c r="J30" i="17"/>
  <c r="I30" i="17"/>
  <c r="F30" i="17"/>
  <c r="D30" i="17"/>
  <c r="C30" i="17"/>
  <c r="B30" i="17"/>
  <c r="I29" i="17"/>
  <c r="J29" i="17" s="1"/>
  <c r="F29" i="17"/>
  <c r="D29" i="17"/>
  <c r="C29" i="17"/>
  <c r="B29" i="17"/>
  <c r="J28" i="17"/>
  <c r="I28" i="17"/>
  <c r="F28" i="17"/>
  <c r="D28" i="17"/>
  <c r="C28" i="17"/>
  <c r="B28" i="17"/>
  <c r="J27" i="17"/>
  <c r="I27" i="17"/>
  <c r="F27" i="17"/>
  <c r="D27" i="17"/>
  <c r="C27" i="17"/>
  <c r="B27" i="17"/>
  <c r="J26" i="17"/>
  <c r="I26" i="17"/>
  <c r="F26" i="17"/>
  <c r="D26" i="17"/>
  <c r="C26" i="17"/>
  <c r="B26" i="17"/>
  <c r="I25" i="17"/>
  <c r="J25" i="17" s="1"/>
  <c r="F25" i="17"/>
  <c r="D25" i="17"/>
  <c r="C25" i="17"/>
  <c r="B25" i="17"/>
  <c r="J24" i="17"/>
  <c r="I24" i="17"/>
  <c r="F24" i="17"/>
  <c r="D24" i="17"/>
  <c r="C24" i="17"/>
  <c r="B24" i="17"/>
  <c r="J23" i="17"/>
  <c r="I23" i="17"/>
  <c r="F23" i="17"/>
  <c r="D23" i="17"/>
  <c r="C23" i="17"/>
  <c r="B23" i="17"/>
  <c r="J22" i="17"/>
  <c r="I22" i="17"/>
  <c r="F22" i="17"/>
  <c r="D22" i="17"/>
  <c r="C22" i="17"/>
  <c r="B22" i="17"/>
  <c r="I21" i="17"/>
  <c r="J21" i="17" s="1"/>
  <c r="F21" i="17"/>
  <c r="D21" i="17"/>
  <c r="C21" i="17"/>
  <c r="B21" i="17"/>
  <c r="J20" i="17"/>
  <c r="I20" i="17"/>
  <c r="F20" i="17"/>
  <c r="D20" i="17"/>
  <c r="C20" i="17"/>
  <c r="B20" i="17"/>
  <c r="J19" i="17"/>
  <c r="I19" i="17"/>
  <c r="F19" i="17"/>
  <c r="D19" i="17"/>
  <c r="C19" i="17"/>
  <c r="B19" i="17"/>
  <c r="J18" i="17"/>
  <c r="I18" i="17"/>
  <c r="F18" i="17"/>
  <c r="D18" i="17"/>
  <c r="C18" i="17"/>
  <c r="B18" i="17"/>
  <c r="I17" i="17"/>
  <c r="J17" i="17" s="1"/>
  <c r="F17" i="17"/>
  <c r="D17" i="17"/>
  <c r="C17" i="17"/>
  <c r="B17" i="17"/>
  <c r="J16" i="17"/>
  <c r="I16" i="17"/>
  <c r="F16" i="17"/>
  <c r="D16" i="17"/>
  <c r="C16" i="17"/>
  <c r="B16" i="17"/>
  <c r="J15" i="17"/>
  <c r="I15" i="17"/>
  <c r="F15" i="17"/>
  <c r="D15" i="17"/>
  <c r="C15" i="17"/>
  <c r="B15" i="17"/>
  <c r="J14" i="17"/>
  <c r="I14" i="17"/>
  <c r="F14" i="17"/>
  <c r="D14" i="17"/>
  <c r="C14" i="17"/>
  <c r="B14" i="17"/>
  <c r="I13" i="17"/>
  <c r="J13" i="17" s="1"/>
  <c r="F13" i="17"/>
  <c r="D13" i="17"/>
  <c r="C13" i="17"/>
  <c r="B13" i="17"/>
  <c r="J12" i="17"/>
  <c r="I12" i="17"/>
  <c r="F12" i="17"/>
  <c r="D12" i="17"/>
  <c r="C12" i="17"/>
  <c r="B12" i="17"/>
  <c r="J11" i="17"/>
  <c r="I11" i="17"/>
  <c r="F11" i="17"/>
  <c r="D11" i="17"/>
  <c r="C11" i="17"/>
  <c r="B11" i="17"/>
  <c r="J10" i="17"/>
  <c r="I10" i="17"/>
  <c r="F10" i="17"/>
  <c r="D10" i="17"/>
  <c r="C10" i="17"/>
  <c r="B10" i="17"/>
  <c r="I9" i="17"/>
  <c r="J9" i="17" s="1"/>
  <c r="F9" i="17"/>
  <c r="D9" i="17"/>
  <c r="C9" i="17"/>
  <c r="B9" i="17"/>
  <c r="G4" i="17"/>
  <c r="K213" i="16"/>
  <c r="J213" i="16"/>
  <c r="I213" i="16"/>
  <c r="D213" i="16"/>
  <c r="C213" i="16"/>
  <c r="A213" i="16"/>
  <c r="K212" i="16"/>
  <c r="I212" i="16"/>
  <c r="J212" i="16" s="1"/>
  <c r="D212" i="16"/>
  <c r="C212" i="16"/>
  <c r="A212" i="16"/>
  <c r="K211" i="16"/>
  <c r="J211" i="16"/>
  <c r="I211" i="16"/>
  <c r="D211" i="16"/>
  <c r="C211" i="16"/>
  <c r="A211" i="16"/>
  <c r="K210" i="16"/>
  <c r="J210" i="16"/>
  <c r="I210" i="16"/>
  <c r="D210" i="16"/>
  <c r="C210" i="16"/>
  <c r="A210" i="16"/>
  <c r="K209" i="16"/>
  <c r="J209" i="16"/>
  <c r="I209" i="16"/>
  <c r="D209" i="16"/>
  <c r="C209" i="16"/>
  <c r="A209" i="16"/>
  <c r="K208" i="16"/>
  <c r="I208" i="16"/>
  <c r="J208" i="16" s="1"/>
  <c r="D208" i="16"/>
  <c r="C208" i="16"/>
  <c r="A208" i="16"/>
  <c r="K207" i="16"/>
  <c r="J207" i="16"/>
  <c r="I207" i="16"/>
  <c r="D207" i="16"/>
  <c r="C207" i="16"/>
  <c r="A207" i="16"/>
  <c r="K206" i="16"/>
  <c r="J206" i="16"/>
  <c r="I206" i="16"/>
  <c r="D206" i="16"/>
  <c r="C206" i="16"/>
  <c r="A206" i="16"/>
  <c r="K205" i="16"/>
  <c r="J205" i="16"/>
  <c r="I205" i="16"/>
  <c r="D205" i="16"/>
  <c r="C205" i="16"/>
  <c r="A205" i="16"/>
  <c r="K204" i="16"/>
  <c r="I204" i="16"/>
  <c r="J204" i="16" s="1"/>
  <c r="D204" i="16"/>
  <c r="C204" i="16"/>
  <c r="A204" i="16"/>
  <c r="K203" i="16"/>
  <c r="J203" i="16"/>
  <c r="I203" i="16"/>
  <c r="D203" i="16"/>
  <c r="C203" i="16"/>
  <c r="A203" i="16"/>
  <c r="K202" i="16"/>
  <c r="J202" i="16"/>
  <c r="I202" i="16"/>
  <c r="D202" i="16"/>
  <c r="C202" i="16"/>
  <c r="A202" i="16"/>
  <c r="K201" i="16"/>
  <c r="J201" i="16"/>
  <c r="I201" i="16"/>
  <c r="D201" i="16"/>
  <c r="C201" i="16"/>
  <c r="A201" i="16"/>
  <c r="K200" i="16"/>
  <c r="I200" i="16"/>
  <c r="J200" i="16" s="1"/>
  <c r="D200" i="16"/>
  <c r="C200" i="16"/>
  <c r="A200" i="16"/>
  <c r="K199" i="16"/>
  <c r="J199" i="16"/>
  <c r="I199" i="16"/>
  <c r="D199" i="16"/>
  <c r="C199" i="16"/>
  <c r="A199" i="16"/>
  <c r="K198" i="16"/>
  <c r="J198" i="16"/>
  <c r="I198" i="16"/>
  <c r="D198" i="16"/>
  <c r="C198" i="16"/>
  <c r="A198" i="16"/>
  <c r="K197" i="16"/>
  <c r="J197" i="16"/>
  <c r="I197" i="16"/>
  <c r="D197" i="16"/>
  <c r="C197" i="16"/>
  <c r="A197" i="16"/>
  <c r="K196" i="16"/>
  <c r="I196" i="16"/>
  <c r="J196" i="16" s="1"/>
  <c r="D196" i="16"/>
  <c r="C196" i="16"/>
  <c r="A196" i="16"/>
  <c r="K195" i="16"/>
  <c r="J195" i="16"/>
  <c r="I195" i="16"/>
  <c r="D195" i="16"/>
  <c r="C195" i="16"/>
  <c r="A195" i="16"/>
  <c r="K194" i="16"/>
  <c r="J194" i="16"/>
  <c r="I194" i="16"/>
  <c r="D194" i="16"/>
  <c r="C194" i="16"/>
  <c r="A194" i="16"/>
  <c r="K193" i="16"/>
  <c r="J193" i="16"/>
  <c r="I193" i="16"/>
  <c r="D193" i="16"/>
  <c r="C193" i="16"/>
  <c r="A193" i="16"/>
  <c r="K192" i="16"/>
  <c r="I192" i="16"/>
  <c r="J192" i="16" s="1"/>
  <c r="D192" i="16"/>
  <c r="C192" i="16"/>
  <c r="A192" i="16"/>
  <c r="K191" i="16"/>
  <c r="J191" i="16"/>
  <c r="I191" i="16"/>
  <c r="D191" i="16"/>
  <c r="C191" i="16"/>
  <c r="A191" i="16"/>
  <c r="K190" i="16"/>
  <c r="J190" i="16"/>
  <c r="I190" i="16"/>
  <c r="D190" i="16"/>
  <c r="C190" i="16"/>
  <c r="A190" i="16"/>
  <c r="K189" i="16"/>
  <c r="J189" i="16"/>
  <c r="I189" i="16"/>
  <c r="D189" i="16"/>
  <c r="C189" i="16"/>
  <c r="A189" i="16"/>
  <c r="K188" i="16"/>
  <c r="I188" i="16"/>
  <c r="J188" i="16" s="1"/>
  <c r="D188" i="16"/>
  <c r="C188" i="16"/>
  <c r="A188" i="16"/>
  <c r="K187" i="16"/>
  <c r="J187" i="16"/>
  <c r="I187" i="16"/>
  <c r="D187" i="16"/>
  <c r="C187" i="16"/>
  <c r="A187" i="16"/>
  <c r="K186" i="16"/>
  <c r="J186" i="16"/>
  <c r="I186" i="16"/>
  <c r="D186" i="16"/>
  <c r="C186" i="16"/>
  <c r="A186" i="16"/>
  <c r="K185" i="16"/>
  <c r="J185" i="16"/>
  <c r="I185" i="16"/>
  <c r="D185" i="16"/>
  <c r="C185" i="16"/>
  <c r="A185" i="16"/>
  <c r="K184" i="16"/>
  <c r="I184" i="16"/>
  <c r="J184" i="16" s="1"/>
  <c r="D184" i="16"/>
  <c r="C184" i="16"/>
  <c r="A184" i="16"/>
  <c r="K183" i="16"/>
  <c r="J183" i="16"/>
  <c r="I183" i="16"/>
  <c r="D183" i="16"/>
  <c r="C183" i="16"/>
  <c r="A183" i="16"/>
  <c r="K182" i="16"/>
  <c r="J182" i="16"/>
  <c r="I182" i="16"/>
  <c r="D182" i="16"/>
  <c r="C182" i="16"/>
  <c r="A182" i="16"/>
  <c r="K181" i="16"/>
  <c r="J181" i="16"/>
  <c r="I181" i="16"/>
  <c r="D181" i="16"/>
  <c r="C181" i="16"/>
  <c r="A181" i="16"/>
  <c r="K180" i="16"/>
  <c r="I180" i="16"/>
  <c r="J180" i="16" s="1"/>
  <c r="D180" i="16"/>
  <c r="C180" i="16"/>
  <c r="A180" i="16"/>
  <c r="K179" i="16"/>
  <c r="J179" i="16"/>
  <c r="I179" i="16"/>
  <c r="D179" i="16"/>
  <c r="C179" i="16"/>
  <c r="A179" i="16"/>
  <c r="K178" i="16"/>
  <c r="J178" i="16"/>
  <c r="I178" i="16"/>
  <c r="D178" i="16"/>
  <c r="C178" i="16"/>
  <c r="A178" i="16"/>
  <c r="K177" i="16"/>
  <c r="J177" i="16"/>
  <c r="I177" i="16"/>
  <c r="D177" i="16"/>
  <c r="C177" i="16"/>
  <c r="A177" i="16"/>
  <c r="K176" i="16"/>
  <c r="I176" i="16"/>
  <c r="J176" i="16" s="1"/>
  <c r="D176" i="16"/>
  <c r="C176" i="16"/>
  <c r="A176" i="16"/>
  <c r="K175" i="16"/>
  <c r="J175" i="16"/>
  <c r="I175" i="16"/>
  <c r="D175" i="16"/>
  <c r="C175" i="16"/>
  <c r="A175" i="16"/>
  <c r="K174" i="16"/>
  <c r="J174" i="16"/>
  <c r="I174" i="16"/>
  <c r="D174" i="16"/>
  <c r="C174" i="16"/>
  <c r="A174" i="16"/>
  <c r="K173" i="16"/>
  <c r="J173" i="16"/>
  <c r="I173" i="16"/>
  <c r="D173" i="16"/>
  <c r="C173" i="16"/>
  <c r="A173" i="16"/>
  <c r="K172" i="16"/>
  <c r="I172" i="16"/>
  <c r="J172" i="16" s="1"/>
  <c r="D172" i="16"/>
  <c r="C172" i="16"/>
  <c r="A172" i="16"/>
  <c r="K171" i="16"/>
  <c r="J171" i="16"/>
  <c r="I171" i="16"/>
  <c r="D171" i="16"/>
  <c r="C171" i="16"/>
  <c r="A171" i="16"/>
  <c r="K170" i="16"/>
  <c r="J170" i="16"/>
  <c r="I170" i="16"/>
  <c r="D170" i="16"/>
  <c r="C170" i="16"/>
  <c r="A170" i="16"/>
  <c r="K169" i="16"/>
  <c r="J169" i="16"/>
  <c r="I169" i="16"/>
  <c r="D169" i="16"/>
  <c r="C169" i="16"/>
  <c r="A169" i="16"/>
  <c r="K168" i="16"/>
  <c r="I168" i="16"/>
  <c r="J168" i="16" s="1"/>
  <c r="D168" i="16"/>
  <c r="C168" i="16"/>
  <c r="A168" i="16"/>
  <c r="K167" i="16"/>
  <c r="J167" i="16"/>
  <c r="I167" i="16"/>
  <c r="D167" i="16"/>
  <c r="C167" i="16"/>
  <c r="A167" i="16"/>
  <c r="K166" i="16"/>
  <c r="J166" i="16"/>
  <c r="I166" i="16"/>
  <c r="D166" i="16"/>
  <c r="C166" i="16"/>
  <c r="A166" i="16"/>
  <c r="K165" i="16"/>
  <c r="J165" i="16"/>
  <c r="I165" i="16"/>
  <c r="D165" i="16"/>
  <c r="C165" i="16"/>
  <c r="A165" i="16"/>
  <c r="K164" i="16"/>
  <c r="I164" i="16"/>
  <c r="J164" i="16" s="1"/>
  <c r="D164" i="16"/>
  <c r="C164" i="16"/>
  <c r="A164" i="16"/>
  <c r="K163" i="16"/>
  <c r="J163" i="16"/>
  <c r="I163" i="16"/>
  <c r="D163" i="16"/>
  <c r="C163" i="16"/>
  <c r="A163" i="16"/>
  <c r="K162" i="16"/>
  <c r="J162" i="16"/>
  <c r="I162" i="16"/>
  <c r="D162" i="16"/>
  <c r="C162" i="16"/>
  <c r="A162" i="16"/>
  <c r="K161" i="16"/>
  <c r="J161" i="16"/>
  <c r="I161" i="16"/>
  <c r="D161" i="16"/>
  <c r="C161" i="16"/>
  <c r="A161" i="16"/>
  <c r="K160" i="16"/>
  <c r="I160" i="16"/>
  <c r="J160" i="16" s="1"/>
  <c r="D160" i="16"/>
  <c r="C160" i="16"/>
  <c r="A160" i="16"/>
  <c r="K159" i="16"/>
  <c r="J159" i="16"/>
  <c r="I159" i="16"/>
  <c r="D159" i="16"/>
  <c r="C159" i="16"/>
  <c r="A159" i="16"/>
  <c r="K158" i="16"/>
  <c r="J158" i="16"/>
  <c r="I158" i="16"/>
  <c r="D158" i="16"/>
  <c r="C158" i="16"/>
  <c r="A158" i="16"/>
  <c r="K157" i="16"/>
  <c r="J157" i="16"/>
  <c r="I157" i="16"/>
  <c r="D157" i="16"/>
  <c r="C157" i="16"/>
  <c r="A157" i="16"/>
  <c r="K156" i="16"/>
  <c r="I156" i="16"/>
  <c r="J156" i="16" s="1"/>
  <c r="D156" i="16"/>
  <c r="C156" i="16"/>
  <c r="A156" i="16"/>
  <c r="K155" i="16"/>
  <c r="J155" i="16"/>
  <c r="I155" i="16"/>
  <c r="D155" i="16"/>
  <c r="C155" i="16"/>
  <c r="A155" i="16"/>
  <c r="K154" i="16"/>
  <c r="J154" i="16"/>
  <c r="I154" i="16"/>
  <c r="D154" i="16"/>
  <c r="C154" i="16"/>
  <c r="A154" i="16"/>
  <c r="K153" i="16"/>
  <c r="J153" i="16"/>
  <c r="I153" i="16"/>
  <c r="D153" i="16"/>
  <c r="C153" i="16"/>
  <c r="A153" i="16"/>
  <c r="K152" i="16"/>
  <c r="I152" i="16"/>
  <c r="J152" i="16" s="1"/>
  <c r="D152" i="16"/>
  <c r="C152" i="16"/>
  <c r="A152" i="16"/>
  <c r="K151" i="16"/>
  <c r="J151" i="16"/>
  <c r="I151" i="16"/>
  <c r="D151" i="16"/>
  <c r="C151" i="16"/>
  <c r="A151" i="16"/>
  <c r="K150" i="16"/>
  <c r="J150" i="16"/>
  <c r="I150" i="16"/>
  <c r="D150" i="16"/>
  <c r="C150" i="16"/>
  <c r="A150" i="16"/>
  <c r="K149" i="16"/>
  <c r="J149" i="16"/>
  <c r="I149" i="16"/>
  <c r="D149" i="16"/>
  <c r="C149" i="16"/>
  <c r="A149" i="16"/>
  <c r="K148" i="16"/>
  <c r="I148" i="16"/>
  <c r="J148" i="16" s="1"/>
  <c r="D148" i="16"/>
  <c r="C148" i="16"/>
  <c r="A148" i="16"/>
  <c r="K147" i="16"/>
  <c r="J147" i="16"/>
  <c r="I147" i="16"/>
  <c r="D147" i="16"/>
  <c r="C147" i="16"/>
  <c r="A147" i="16"/>
  <c r="K146" i="16"/>
  <c r="J146" i="16"/>
  <c r="I146" i="16"/>
  <c r="D146" i="16"/>
  <c r="C146" i="16"/>
  <c r="A146" i="16"/>
  <c r="K145" i="16"/>
  <c r="J145" i="16"/>
  <c r="I145" i="16"/>
  <c r="D145" i="16"/>
  <c r="C145" i="16"/>
  <c r="A145" i="16"/>
  <c r="K144" i="16"/>
  <c r="I144" i="16"/>
  <c r="J144" i="16" s="1"/>
  <c r="D144" i="16"/>
  <c r="C144" i="16"/>
  <c r="A144" i="16"/>
  <c r="K143" i="16"/>
  <c r="J143" i="16"/>
  <c r="I143" i="16"/>
  <c r="D143" i="16"/>
  <c r="C143" i="16"/>
  <c r="A143" i="16"/>
  <c r="K142" i="16"/>
  <c r="J142" i="16"/>
  <c r="I142" i="16"/>
  <c r="D142" i="16"/>
  <c r="C142" i="16"/>
  <c r="A142" i="16"/>
  <c r="K141" i="16"/>
  <c r="J141" i="16"/>
  <c r="I141" i="16"/>
  <c r="D141" i="16"/>
  <c r="C141" i="16"/>
  <c r="A141" i="16"/>
  <c r="K140" i="16"/>
  <c r="I140" i="16"/>
  <c r="J140" i="16" s="1"/>
  <c r="D140" i="16"/>
  <c r="C140" i="16"/>
  <c r="A140" i="16"/>
  <c r="K139" i="16"/>
  <c r="J139" i="16"/>
  <c r="I139" i="16"/>
  <c r="D139" i="16"/>
  <c r="C139" i="16"/>
  <c r="A139" i="16"/>
  <c r="K138" i="16"/>
  <c r="J138" i="16"/>
  <c r="I138" i="16"/>
  <c r="D138" i="16"/>
  <c r="C138" i="16"/>
  <c r="A138" i="16"/>
  <c r="K137" i="16"/>
  <c r="J137" i="16"/>
  <c r="I137" i="16"/>
  <c r="D137" i="16"/>
  <c r="C137" i="16"/>
  <c r="A137" i="16"/>
  <c r="K136" i="16"/>
  <c r="I136" i="16"/>
  <c r="J136" i="16" s="1"/>
  <c r="D136" i="16"/>
  <c r="C136" i="16"/>
  <c r="A136" i="16"/>
  <c r="K135" i="16"/>
  <c r="J135" i="16"/>
  <c r="I135" i="16"/>
  <c r="D135" i="16"/>
  <c r="C135" i="16"/>
  <c r="A135" i="16"/>
  <c r="K134" i="16"/>
  <c r="I134" i="16"/>
  <c r="J134" i="16" s="1"/>
  <c r="D134" i="16"/>
  <c r="C134" i="16"/>
  <c r="A134" i="16"/>
  <c r="K133" i="16"/>
  <c r="J133" i="16"/>
  <c r="I133" i="16"/>
  <c r="D133" i="16"/>
  <c r="C133" i="16"/>
  <c r="A133" i="16"/>
  <c r="K132" i="16"/>
  <c r="I132" i="16"/>
  <c r="J132" i="16" s="1"/>
  <c r="D132" i="16"/>
  <c r="C132" i="16"/>
  <c r="A132" i="16"/>
  <c r="K131" i="16"/>
  <c r="J131" i="16"/>
  <c r="I131" i="16"/>
  <c r="D131" i="16"/>
  <c r="C131" i="16"/>
  <c r="A131" i="16"/>
  <c r="K130" i="16"/>
  <c r="I130" i="16"/>
  <c r="J130" i="16" s="1"/>
  <c r="D130" i="16"/>
  <c r="C130" i="16"/>
  <c r="A130" i="16"/>
  <c r="K129" i="16"/>
  <c r="J129" i="16"/>
  <c r="I129" i="16"/>
  <c r="D129" i="16"/>
  <c r="C129" i="16"/>
  <c r="A129" i="16"/>
  <c r="K128" i="16"/>
  <c r="I128" i="16"/>
  <c r="J128" i="16" s="1"/>
  <c r="D128" i="16"/>
  <c r="C128" i="16"/>
  <c r="A128" i="16"/>
  <c r="K127" i="16"/>
  <c r="J127" i="16"/>
  <c r="I127" i="16"/>
  <c r="D127" i="16"/>
  <c r="C127" i="16"/>
  <c r="A127" i="16"/>
  <c r="K126" i="16"/>
  <c r="I126" i="16"/>
  <c r="J126" i="16" s="1"/>
  <c r="D126" i="16"/>
  <c r="C126" i="16"/>
  <c r="A126" i="16"/>
  <c r="K125" i="16"/>
  <c r="J125" i="16"/>
  <c r="I125" i="16"/>
  <c r="D125" i="16"/>
  <c r="C125" i="16"/>
  <c r="A125" i="16"/>
  <c r="K124" i="16"/>
  <c r="I124" i="16"/>
  <c r="J124" i="16" s="1"/>
  <c r="D124" i="16"/>
  <c r="C124" i="16"/>
  <c r="A124" i="16"/>
  <c r="K123" i="16"/>
  <c r="J123" i="16"/>
  <c r="I123" i="16"/>
  <c r="D123" i="16"/>
  <c r="C123" i="16"/>
  <c r="A123" i="16"/>
  <c r="K122" i="16"/>
  <c r="I122" i="16"/>
  <c r="J122" i="16" s="1"/>
  <c r="D122" i="16"/>
  <c r="C122" i="16"/>
  <c r="A122" i="16"/>
  <c r="K121" i="16"/>
  <c r="J121" i="16"/>
  <c r="I121" i="16"/>
  <c r="D121" i="16"/>
  <c r="C121" i="16"/>
  <c r="A121" i="16"/>
  <c r="K120" i="16"/>
  <c r="I120" i="16"/>
  <c r="J120" i="16" s="1"/>
  <c r="D120" i="16"/>
  <c r="C120" i="16"/>
  <c r="A120" i="16"/>
  <c r="K119" i="16"/>
  <c r="J119" i="16"/>
  <c r="I119" i="16"/>
  <c r="D119" i="16"/>
  <c r="C119" i="16"/>
  <c r="A119" i="16"/>
  <c r="K118" i="16"/>
  <c r="I118" i="16"/>
  <c r="J118" i="16" s="1"/>
  <c r="D118" i="16"/>
  <c r="C118" i="16"/>
  <c r="A118" i="16"/>
  <c r="K117" i="16"/>
  <c r="J117" i="16"/>
  <c r="I117" i="16"/>
  <c r="D117" i="16"/>
  <c r="C117" i="16"/>
  <c r="A117" i="16"/>
  <c r="K116" i="16"/>
  <c r="I116" i="16"/>
  <c r="J116" i="16" s="1"/>
  <c r="D116" i="16"/>
  <c r="C116" i="16"/>
  <c r="A116" i="16"/>
  <c r="K115" i="16"/>
  <c r="J115" i="16"/>
  <c r="I115" i="16"/>
  <c r="D115" i="16"/>
  <c r="C115" i="16"/>
  <c r="A115" i="16"/>
  <c r="K114" i="16"/>
  <c r="I114" i="16"/>
  <c r="J114" i="16" s="1"/>
  <c r="D114" i="16"/>
  <c r="C114" i="16"/>
  <c r="A114" i="16"/>
  <c r="K113" i="16"/>
  <c r="J113" i="16"/>
  <c r="I113" i="16"/>
  <c r="D113" i="16"/>
  <c r="C113" i="16"/>
  <c r="A113" i="16"/>
  <c r="K112" i="16"/>
  <c r="I112" i="16"/>
  <c r="J112" i="16" s="1"/>
  <c r="D112" i="16"/>
  <c r="C112" i="16"/>
  <c r="A112" i="16"/>
  <c r="K111" i="16"/>
  <c r="I111" i="16"/>
  <c r="J111" i="16" s="1"/>
  <c r="D111" i="16"/>
  <c r="C111" i="16"/>
  <c r="A111" i="16"/>
  <c r="K110" i="16"/>
  <c r="I110" i="16"/>
  <c r="J110" i="16" s="1"/>
  <c r="D110" i="16"/>
  <c r="C110" i="16"/>
  <c r="A110" i="16"/>
  <c r="K109" i="16"/>
  <c r="J109" i="16"/>
  <c r="I109" i="16"/>
  <c r="D109" i="16"/>
  <c r="C109" i="16"/>
  <c r="A109" i="16"/>
  <c r="K108" i="16"/>
  <c r="I108" i="16"/>
  <c r="J108" i="16" s="1"/>
  <c r="D108" i="16"/>
  <c r="C108" i="16"/>
  <c r="A108" i="16"/>
  <c r="K107" i="16"/>
  <c r="I107" i="16"/>
  <c r="J107" i="16" s="1"/>
  <c r="D107" i="16"/>
  <c r="C107" i="16"/>
  <c r="A107" i="16"/>
  <c r="K106" i="16"/>
  <c r="I106" i="16"/>
  <c r="J106" i="16" s="1"/>
  <c r="D106" i="16"/>
  <c r="C106" i="16"/>
  <c r="A106" i="16"/>
  <c r="K105" i="16"/>
  <c r="J105" i="16"/>
  <c r="I105" i="16"/>
  <c r="D105" i="16"/>
  <c r="C105" i="16"/>
  <c r="A105" i="16"/>
  <c r="K104" i="16"/>
  <c r="I104" i="16"/>
  <c r="J104" i="16" s="1"/>
  <c r="D104" i="16"/>
  <c r="C104" i="16"/>
  <c r="A104" i="16"/>
  <c r="K103" i="16"/>
  <c r="I103" i="16"/>
  <c r="J103" i="16" s="1"/>
  <c r="D103" i="16"/>
  <c r="C103" i="16"/>
  <c r="A103" i="16"/>
  <c r="K102" i="16"/>
  <c r="I102" i="16"/>
  <c r="J102" i="16" s="1"/>
  <c r="D102" i="16"/>
  <c r="C102" i="16"/>
  <c r="A102" i="16"/>
  <c r="K101" i="16"/>
  <c r="J101" i="16"/>
  <c r="I101" i="16"/>
  <c r="D101" i="16"/>
  <c r="C101" i="16"/>
  <c r="A101" i="16"/>
  <c r="K100" i="16"/>
  <c r="I100" i="16"/>
  <c r="J100" i="16" s="1"/>
  <c r="D100" i="16"/>
  <c r="C100" i="16"/>
  <c r="A100" i="16"/>
  <c r="K99" i="16"/>
  <c r="I99" i="16"/>
  <c r="J99" i="16" s="1"/>
  <c r="D99" i="16"/>
  <c r="C99" i="16"/>
  <c r="A99" i="16"/>
  <c r="K98" i="16"/>
  <c r="I98" i="16"/>
  <c r="J98" i="16" s="1"/>
  <c r="D98" i="16"/>
  <c r="C98" i="16"/>
  <c r="A98" i="16"/>
  <c r="K97" i="16"/>
  <c r="J97" i="16"/>
  <c r="I97" i="16"/>
  <c r="D97" i="16"/>
  <c r="C97" i="16"/>
  <c r="A97" i="16"/>
  <c r="K96" i="16"/>
  <c r="I96" i="16"/>
  <c r="J96" i="16" s="1"/>
  <c r="D96" i="16"/>
  <c r="C96" i="16"/>
  <c r="A96" i="16"/>
  <c r="K95" i="16"/>
  <c r="I95" i="16"/>
  <c r="J95" i="16" s="1"/>
  <c r="D95" i="16"/>
  <c r="C95" i="16"/>
  <c r="A95" i="16"/>
  <c r="K94" i="16"/>
  <c r="I94" i="16"/>
  <c r="J94" i="16" s="1"/>
  <c r="D94" i="16"/>
  <c r="C94" i="16"/>
  <c r="A94" i="16"/>
  <c r="K93" i="16"/>
  <c r="J93" i="16"/>
  <c r="I93" i="16"/>
  <c r="D93" i="16"/>
  <c r="C93" i="16"/>
  <c r="A93" i="16"/>
  <c r="K92" i="16"/>
  <c r="I92" i="16"/>
  <c r="J92" i="16" s="1"/>
  <c r="D92" i="16"/>
  <c r="C92" i="16"/>
  <c r="A92" i="16"/>
  <c r="K91" i="16"/>
  <c r="I91" i="16"/>
  <c r="J91" i="16" s="1"/>
  <c r="D91" i="16"/>
  <c r="C91" i="16"/>
  <c r="A91" i="16"/>
  <c r="K90" i="16"/>
  <c r="I90" i="16"/>
  <c r="J90" i="16" s="1"/>
  <c r="D90" i="16"/>
  <c r="C90" i="16"/>
  <c r="A90" i="16"/>
  <c r="K89" i="16"/>
  <c r="J89" i="16"/>
  <c r="I89" i="16"/>
  <c r="D89" i="16"/>
  <c r="C89" i="16"/>
  <c r="A89" i="16"/>
  <c r="K88" i="16"/>
  <c r="I88" i="16"/>
  <c r="J88" i="16" s="1"/>
  <c r="D88" i="16"/>
  <c r="C88" i="16"/>
  <c r="A88" i="16"/>
  <c r="K87" i="16"/>
  <c r="I87" i="16"/>
  <c r="J87" i="16" s="1"/>
  <c r="D87" i="16"/>
  <c r="C87" i="16"/>
  <c r="A87" i="16"/>
  <c r="K86" i="16"/>
  <c r="I86" i="16"/>
  <c r="J86" i="16" s="1"/>
  <c r="D86" i="16"/>
  <c r="C86" i="16"/>
  <c r="A86" i="16"/>
  <c r="K85" i="16"/>
  <c r="J85" i="16"/>
  <c r="I85" i="16"/>
  <c r="D85" i="16"/>
  <c r="C85" i="16"/>
  <c r="A85" i="16"/>
  <c r="K84" i="16"/>
  <c r="I84" i="16"/>
  <c r="J84" i="16" s="1"/>
  <c r="D84" i="16"/>
  <c r="C84" i="16"/>
  <c r="A84" i="16"/>
  <c r="K83" i="16"/>
  <c r="I83" i="16"/>
  <c r="J83" i="16" s="1"/>
  <c r="D83" i="16"/>
  <c r="C83" i="16"/>
  <c r="A83" i="16"/>
  <c r="K82" i="16"/>
  <c r="I82" i="16"/>
  <c r="J82" i="16" s="1"/>
  <c r="D82" i="16"/>
  <c r="C82" i="16"/>
  <c r="A82" i="16"/>
  <c r="K81" i="16"/>
  <c r="J81" i="16"/>
  <c r="I81" i="16"/>
  <c r="D81" i="16"/>
  <c r="C81" i="16"/>
  <c r="A81" i="16"/>
  <c r="K80" i="16"/>
  <c r="I80" i="16"/>
  <c r="J80" i="16" s="1"/>
  <c r="D80" i="16"/>
  <c r="C80" i="16"/>
  <c r="A80" i="16"/>
  <c r="K79" i="16"/>
  <c r="I79" i="16"/>
  <c r="J79" i="16" s="1"/>
  <c r="D79" i="16"/>
  <c r="C79" i="16"/>
  <c r="A79" i="16"/>
  <c r="K78" i="16"/>
  <c r="I78" i="16"/>
  <c r="J78" i="16" s="1"/>
  <c r="D78" i="16"/>
  <c r="C78" i="16"/>
  <c r="A78" i="16"/>
  <c r="K77" i="16"/>
  <c r="J77" i="16"/>
  <c r="I77" i="16"/>
  <c r="D77" i="16"/>
  <c r="C77" i="16"/>
  <c r="A77" i="16"/>
  <c r="K76" i="16"/>
  <c r="I76" i="16"/>
  <c r="J76" i="16" s="1"/>
  <c r="D76" i="16"/>
  <c r="C76" i="16"/>
  <c r="A76" i="16"/>
  <c r="K75" i="16"/>
  <c r="I75" i="16"/>
  <c r="J75" i="16" s="1"/>
  <c r="D75" i="16"/>
  <c r="C75" i="16"/>
  <c r="A75" i="16"/>
  <c r="K74" i="16"/>
  <c r="I74" i="16"/>
  <c r="J74" i="16" s="1"/>
  <c r="D74" i="16"/>
  <c r="C74" i="16"/>
  <c r="A74" i="16"/>
  <c r="K73" i="16"/>
  <c r="J73" i="16"/>
  <c r="I73" i="16"/>
  <c r="D73" i="16"/>
  <c r="C73" i="16"/>
  <c r="A73" i="16"/>
  <c r="K72" i="16"/>
  <c r="I72" i="16"/>
  <c r="J72" i="16" s="1"/>
  <c r="D72" i="16"/>
  <c r="C72" i="16"/>
  <c r="A72" i="16"/>
  <c r="K71" i="16"/>
  <c r="I71" i="16"/>
  <c r="J71" i="16" s="1"/>
  <c r="D71" i="16"/>
  <c r="C71" i="16"/>
  <c r="A71" i="16"/>
  <c r="K70" i="16"/>
  <c r="I70" i="16"/>
  <c r="J70" i="16" s="1"/>
  <c r="D70" i="16"/>
  <c r="C70" i="16"/>
  <c r="A70" i="16"/>
  <c r="K69" i="16"/>
  <c r="J69" i="16"/>
  <c r="I69" i="16"/>
  <c r="D69" i="16"/>
  <c r="C69" i="16"/>
  <c r="A69" i="16"/>
  <c r="K68" i="16"/>
  <c r="I68" i="16"/>
  <c r="J68" i="16" s="1"/>
  <c r="D68" i="16"/>
  <c r="C68" i="16"/>
  <c r="A68" i="16"/>
  <c r="K67" i="16"/>
  <c r="I67" i="16"/>
  <c r="J67" i="16" s="1"/>
  <c r="D67" i="16"/>
  <c r="C67" i="16"/>
  <c r="A67" i="16"/>
  <c r="K66" i="16"/>
  <c r="I66" i="16"/>
  <c r="J66" i="16" s="1"/>
  <c r="D66" i="16"/>
  <c r="C66" i="16"/>
  <c r="A66" i="16"/>
  <c r="K65" i="16"/>
  <c r="J65" i="16"/>
  <c r="I65" i="16"/>
  <c r="D65" i="16"/>
  <c r="C65" i="16"/>
  <c r="A65" i="16"/>
  <c r="K64" i="16"/>
  <c r="I64" i="16"/>
  <c r="J64" i="16" s="1"/>
  <c r="D64" i="16"/>
  <c r="C64" i="16"/>
  <c r="A64" i="16"/>
  <c r="K63" i="16"/>
  <c r="I63" i="16"/>
  <c r="J63" i="16" s="1"/>
  <c r="D63" i="16"/>
  <c r="C63" i="16"/>
  <c r="A63" i="16"/>
  <c r="K62" i="16"/>
  <c r="I62" i="16"/>
  <c r="J62" i="16" s="1"/>
  <c r="D62" i="16"/>
  <c r="C62" i="16"/>
  <c r="A62" i="16"/>
  <c r="K61" i="16"/>
  <c r="J61" i="16"/>
  <c r="I61" i="16"/>
  <c r="D61" i="16"/>
  <c r="C61" i="16"/>
  <c r="A61" i="16"/>
  <c r="K60" i="16"/>
  <c r="I60" i="16"/>
  <c r="J60" i="16" s="1"/>
  <c r="D60" i="16"/>
  <c r="C60" i="16"/>
  <c r="A60" i="16"/>
  <c r="K59" i="16"/>
  <c r="I59" i="16"/>
  <c r="J59" i="16" s="1"/>
  <c r="D59" i="16"/>
  <c r="C59" i="16"/>
  <c r="A59" i="16"/>
  <c r="K58" i="16"/>
  <c r="I58" i="16"/>
  <c r="J58" i="16" s="1"/>
  <c r="D58" i="16"/>
  <c r="C58" i="16"/>
  <c r="A58" i="16"/>
  <c r="K57" i="16"/>
  <c r="J57" i="16"/>
  <c r="I57" i="16"/>
  <c r="D57" i="16"/>
  <c r="C57" i="16"/>
  <c r="A57" i="16"/>
  <c r="K56" i="16"/>
  <c r="I56" i="16"/>
  <c r="J56" i="16" s="1"/>
  <c r="D56" i="16"/>
  <c r="C56" i="16"/>
  <c r="A56" i="16"/>
  <c r="K55" i="16"/>
  <c r="I55" i="16"/>
  <c r="J55" i="16" s="1"/>
  <c r="D55" i="16"/>
  <c r="C55" i="16"/>
  <c r="A55" i="16"/>
  <c r="K54" i="16"/>
  <c r="I54" i="16"/>
  <c r="J54" i="16" s="1"/>
  <c r="D54" i="16"/>
  <c r="C54" i="16"/>
  <c r="A54" i="16"/>
  <c r="K53" i="16"/>
  <c r="J53" i="16"/>
  <c r="I53" i="16"/>
  <c r="D53" i="16"/>
  <c r="C53" i="16"/>
  <c r="A53" i="16"/>
  <c r="K52" i="16"/>
  <c r="I52" i="16"/>
  <c r="J52" i="16" s="1"/>
  <c r="D52" i="16"/>
  <c r="C52" i="16"/>
  <c r="A52" i="16"/>
  <c r="K51" i="16"/>
  <c r="I51" i="16"/>
  <c r="J51" i="16" s="1"/>
  <c r="D51" i="16"/>
  <c r="C51" i="16"/>
  <c r="A51" i="16"/>
  <c r="K50" i="16"/>
  <c r="I50" i="16"/>
  <c r="J50" i="16" s="1"/>
  <c r="D50" i="16"/>
  <c r="C50" i="16"/>
  <c r="A50" i="16"/>
  <c r="K49" i="16"/>
  <c r="J49" i="16"/>
  <c r="I49" i="16"/>
  <c r="D49" i="16"/>
  <c r="C49" i="16"/>
  <c r="A49" i="16"/>
  <c r="K48" i="16"/>
  <c r="I48" i="16"/>
  <c r="J48" i="16" s="1"/>
  <c r="D48" i="16"/>
  <c r="C48" i="16"/>
  <c r="A48" i="16"/>
  <c r="K47" i="16"/>
  <c r="I47" i="16"/>
  <c r="J47" i="16" s="1"/>
  <c r="D47" i="16"/>
  <c r="C47" i="16"/>
  <c r="A47" i="16"/>
  <c r="K46" i="16"/>
  <c r="I46" i="16"/>
  <c r="J46" i="16" s="1"/>
  <c r="D46" i="16"/>
  <c r="C46" i="16"/>
  <c r="A46" i="16"/>
  <c r="K45" i="16"/>
  <c r="J45" i="16"/>
  <c r="I45" i="16"/>
  <c r="D45" i="16"/>
  <c r="C45" i="16"/>
  <c r="A45" i="16"/>
  <c r="K44" i="16"/>
  <c r="I44" i="16"/>
  <c r="J44" i="16" s="1"/>
  <c r="D44" i="16"/>
  <c r="C44" i="16"/>
  <c r="A44" i="16"/>
  <c r="K43" i="16"/>
  <c r="I43" i="16"/>
  <c r="J43" i="16" s="1"/>
  <c r="D43" i="16"/>
  <c r="C43" i="16"/>
  <c r="A43" i="16"/>
  <c r="K42" i="16"/>
  <c r="I42" i="16"/>
  <c r="J42" i="16" s="1"/>
  <c r="D42" i="16"/>
  <c r="C42" i="16"/>
  <c r="A42" i="16"/>
  <c r="K41" i="16"/>
  <c r="J41" i="16"/>
  <c r="I41" i="16"/>
  <c r="D41" i="16"/>
  <c r="C41" i="16"/>
  <c r="A41" i="16"/>
  <c r="K40" i="16"/>
  <c r="I40" i="16"/>
  <c r="J40" i="16" s="1"/>
  <c r="D40" i="16"/>
  <c r="C40" i="16"/>
  <c r="A40" i="16"/>
  <c r="K39" i="16"/>
  <c r="I39" i="16"/>
  <c r="J39" i="16" s="1"/>
  <c r="D39" i="16"/>
  <c r="C39" i="16"/>
  <c r="A39" i="16"/>
  <c r="K38" i="16"/>
  <c r="I38" i="16"/>
  <c r="J38" i="16" s="1"/>
  <c r="D38" i="16"/>
  <c r="C38" i="16"/>
  <c r="A38" i="16"/>
  <c r="K37" i="16"/>
  <c r="J37" i="16"/>
  <c r="I37" i="16"/>
  <c r="D37" i="16"/>
  <c r="C37" i="16"/>
  <c r="A37" i="16"/>
  <c r="K36" i="16"/>
  <c r="I36" i="16"/>
  <c r="J36" i="16" s="1"/>
  <c r="D36" i="16"/>
  <c r="C36" i="16"/>
  <c r="A36" i="16"/>
  <c r="K35" i="16"/>
  <c r="I35" i="16"/>
  <c r="J35" i="16" s="1"/>
  <c r="D35" i="16"/>
  <c r="C35" i="16"/>
  <c r="A35" i="16"/>
  <c r="K34" i="16"/>
  <c r="I34" i="16"/>
  <c r="J34" i="16" s="1"/>
  <c r="D34" i="16"/>
  <c r="C34" i="16"/>
  <c r="A34" i="16"/>
  <c r="K33" i="16"/>
  <c r="J33" i="16"/>
  <c r="I33" i="16"/>
  <c r="D33" i="16"/>
  <c r="C33" i="16"/>
  <c r="A33" i="16"/>
  <c r="K32" i="16"/>
  <c r="I32" i="16"/>
  <c r="J32" i="16" s="1"/>
  <c r="D32" i="16"/>
  <c r="C32" i="16"/>
  <c r="A32" i="16"/>
  <c r="K31" i="16"/>
  <c r="I31" i="16"/>
  <c r="J31" i="16" s="1"/>
  <c r="D31" i="16"/>
  <c r="C31" i="16"/>
  <c r="A31" i="16"/>
  <c r="K30" i="16"/>
  <c r="I30" i="16"/>
  <c r="J30" i="16" s="1"/>
  <c r="D30" i="16"/>
  <c r="C30" i="16"/>
  <c r="A30" i="16"/>
  <c r="K29" i="16"/>
  <c r="J29" i="16"/>
  <c r="I29" i="16"/>
  <c r="D29" i="16"/>
  <c r="C29" i="16"/>
  <c r="A29" i="16"/>
  <c r="K28" i="16"/>
  <c r="I28" i="16"/>
  <c r="J28" i="16" s="1"/>
  <c r="D28" i="16"/>
  <c r="C28" i="16"/>
  <c r="A28" i="16"/>
  <c r="K27" i="16"/>
  <c r="I27" i="16"/>
  <c r="J27" i="16" s="1"/>
  <c r="D27" i="16"/>
  <c r="C27" i="16"/>
  <c r="A27" i="16"/>
  <c r="K26" i="16"/>
  <c r="I26" i="16"/>
  <c r="J26" i="16" s="1"/>
  <c r="D26" i="16"/>
  <c r="C26" i="16"/>
  <c r="A26" i="16"/>
  <c r="K25" i="16"/>
  <c r="J25" i="16"/>
  <c r="I25" i="16"/>
  <c r="D25" i="16"/>
  <c r="C25" i="16"/>
  <c r="A25" i="16"/>
  <c r="K24" i="16"/>
  <c r="I24" i="16"/>
  <c r="J24" i="16" s="1"/>
  <c r="D24" i="16"/>
  <c r="C24" i="16"/>
  <c r="A24" i="16"/>
  <c r="K23" i="16"/>
  <c r="I23" i="16"/>
  <c r="J23" i="16" s="1"/>
  <c r="D23" i="16"/>
  <c r="C23" i="16"/>
  <c r="A23" i="16"/>
  <c r="K22" i="16"/>
  <c r="I22" i="16"/>
  <c r="J22" i="16" s="1"/>
  <c r="D22" i="16"/>
  <c r="C22" i="16"/>
  <c r="A22" i="16"/>
  <c r="K21" i="16"/>
  <c r="J21" i="16"/>
  <c r="I21" i="16"/>
  <c r="D21" i="16"/>
  <c r="C21" i="16"/>
  <c r="A21" i="16"/>
  <c r="K20" i="16"/>
  <c r="I20" i="16"/>
  <c r="J20" i="16" s="1"/>
  <c r="D20" i="16"/>
  <c r="C20" i="16"/>
  <c r="A20" i="16"/>
  <c r="K19" i="16"/>
  <c r="I19" i="16"/>
  <c r="J19" i="16" s="1"/>
  <c r="D19" i="16"/>
  <c r="C19" i="16"/>
  <c r="A19" i="16"/>
  <c r="K18" i="16"/>
  <c r="I18" i="16"/>
  <c r="J18" i="16" s="1"/>
  <c r="D18" i="16"/>
  <c r="C18" i="16"/>
  <c r="A18" i="16"/>
  <c r="K17" i="16"/>
  <c r="J17" i="16"/>
  <c r="I17" i="16"/>
  <c r="D17" i="16"/>
  <c r="C17" i="16"/>
  <c r="A17" i="16"/>
  <c r="K16" i="16"/>
  <c r="I16" i="16"/>
  <c r="J16" i="16" s="1"/>
  <c r="D16" i="16"/>
  <c r="C16" i="16"/>
  <c r="A16" i="16"/>
  <c r="K15" i="16"/>
  <c r="I15" i="16"/>
  <c r="J15" i="16" s="1"/>
  <c r="D15" i="16"/>
  <c r="C15" i="16"/>
  <c r="A15" i="16"/>
  <c r="K14" i="16"/>
  <c r="I14" i="16"/>
  <c r="J14" i="16" s="1"/>
  <c r="D14" i="16"/>
  <c r="C14" i="16"/>
  <c r="A14" i="16"/>
  <c r="B9" i="16"/>
  <c r="B10" i="16" s="1"/>
  <c r="B8" i="16"/>
  <c r="J208" i="15"/>
  <c r="K208" i="15" s="1"/>
  <c r="G208" i="15"/>
  <c r="D208" i="15"/>
  <c r="C208" i="15"/>
  <c r="B208" i="15"/>
  <c r="K207" i="15"/>
  <c r="J207" i="15"/>
  <c r="G207" i="15"/>
  <c r="D207" i="15"/>
  <c r="C207" i="15"/>
  <c r="B207" i="15"/>
  <c r="J206" i="15"/>
  <c r="K206" i="15" s="1"/>
  <c r="G206" i="15"/>
  <c r="D206" i="15"/>
  <c r="C206" i="15"/>
  <c r="B206" i="15"/>
  <c r="J205" i="15"/>
  <c r="K205" i="15" s="1"/>
  <c r="G205" i="15"/>
  <c r="D205" i="15"/>
  <c r="C205" i="15"/>
  <c r="B205" i="15"/>
  <c r="J204" i="15"/>
  <c r="K204" i="15" s="1"/>
  <c r="G204" i="15"/>
  <c r="D204" i="15"/>
  <c r="C204" i="15"/>
  <c r="B204" i="15"/>
  <c r="K203" i="15"/>
  <c r="J203" i="15"/>
  <c r="G203" i="15"/>
  <c r="D203" i="15"/>
  <c r="C203" i="15"/>
  <c r="B203" i="15"/>
  <c r="J202" i="15"/>
  <c r="K202" i="15" s="1"/>
  <c r="G202" i="15"/>
  <c r="D202" i="15"/>
  <c r="C202" i="15"/>
  <c r="B202" i="15"/>
  <c r="J201" i="15"/>
  <c r="K201" i="15" s="1"/>
  <c r="G201" i="15"/>
  <c r="D201" i="15"/>
  <c r="C201" i="15"/>
  <c r="B201" i="15"/>
  <c r="J200" i="15"/>
  <c r="K200" i="15" s="1"/>
  <c r="G200" i="15"/>
  <c r="D200" i="15"/>
  <c r="C200" i="15"/>
  <c r="B200" i="15"/>
  <c r="K199" i="15"/>
  <c r="J199" i="15"/>
  <c r="G199" i="15"/>
  <c r="D199" i="15"/>
  <c r="C199" i="15"/>
  <c r="B199" i="15"/>
  <c r="J198" i="15"/>
  <c r="K198" i="15" s="1"/>
  <c r="G198" i="15"/>
  <c r="D198" i="15"/>
  <c r="C198" i="15"/>
  <c r="B198" i="15"/>
  <c r="J197" i="15"/>
  <c r="K197" i="15" s="1"/>
  <c r="G197" i="15"/>
  <c r="D197" i="15"/>
  <c r="C197" i="15"/>
  <c r="B197" i="15"/>
  <c r="J196" i="15"/>
  <c r="K196" i="15" s="1"/>
  <c r="G196" i="15"/>
  <c r="D196" i="15"/>
  <c r="C196" i="15"/>
  <c r="B196" i="15"/>
  <c r="K195" i="15"/>
  <c r="J195" i="15"/>
  <c r="G195" i="15"/>
  <c r="D195" i="15"/>
  <c r="C195" i="15"/>
  <c r="B195" i="15"/>
  <c r="J194" i="15"/>
  <c r="K194" i="15" s="1"/>
  <c r="G194" i="15"/>
  <c r="D194" i="15"/>
  <c r="C194" i="15"/>
  <c r="B194" i="15"/>
  <c r="J193" i="15"/>
  <c r="K193" i="15" s="1"/>
  <c r="G193" i="15"/>
  <c r="D193" i="15"/>
  <c r="C193" i="15"/>
  <c r="B193" i="15"/>
  <c r="J192" i="15"/>
  <c r="K192" i="15" s="1"/>
  <c r="G192" i="15"/>
  <c r="D192" i="15"/>
  <c r="C192" i="15"/>
  <c r="B192" i="15"/>
  <c r="K191" i="15"/>
  <c r="J191" i="15"/>
  <c r="G191" i="15"/>
  <c r="D191" i="15"/>
  <c r="C191" i="15"/>
  <c r="B191" i="15"/>
  <c r="J190" i="15"/>
  <c r="K190" i="15" s="1"/>
  <c r="G190" i="15"/>
  <c r="D190" i="15"/>
  <c r="C190" i="15"/>
  <c r="B190" i="15"/>
  <c r="J189" i="15"/>
  <c r="K189" i="15" s="1"/>
  <c r="G189" i="15"/>
  <c r="D189" i="15"/>
  <c r="C189" i="15"/>
  <c r="B189" i="15"/>
  <c r="J188" i="15"/>
  <c r="K188" i="15" s="1"/>
  <c r="G188" i="15"/>
  <c r="D188" i="15"/>
  <c r="C188" i="15"/>
  <c r="B188" i="15"/>
  <c r="K187" i="15"/>
  <c r="J187" i="15"/>
  <c r="G187" i="15"/>
  <c r="D187" i="15"/>
  <c r="C187" i="15"/>
  <c r="B187" i="15"/>
  <c r="J186" i="15"/>
  <c r="K186" i="15" s="1"/>
  <c r="G186" i="15"/>
  <c r="D186" i="15"/>
  <c r="C186" i="15"/>
  <c r="B186" i="15"/>
  <c r="J185" i="15"/>
  <c r="K185" i="15" s="1"/>
  <c r="G185" i="15"/>
  <c r="D185" i="15"/>
  <c r="C185" i="15"/>
  <c r="B185" i="15"/>
  <c r="J184" i="15"/>
  <c r="K184" i="15" s="1"/>
  <c r="G184" i="15"/>
  <c r="D184" i="15"/>
  <c r="C184" i="15"/>
  <c r="B184" i="15"/>
  <c r="K183" i="15"/>
  <c r="J183" i="15"/>
  <c r="G183" i="15"/>
  <c r="D183" i="15"/>
  <c r="C183" i="15"/>
  <c r="B183" i="15"/>
  <c r="J182" i="15"/>
  <c r="K182" i="15" s="1"/>
  <c r="G182" i="15"/>
  <c r="D182" i="15"/>
  <c r="C182" i="15"/>
  <c r="B182" i="15"/>
  <c r="J181" i="15"/>
  <c r="K181" i="15" s="1"/>
  <c r="G181" i="15"/>
  <c r="D181" i="15"/>
  <c r="C181" i="15"/>
  <c r="B181" i="15"/>
  <c r="J180" i="15"/>
  <c r="K180" i="15" s="1"/>
  <c r="G180" i="15"/>
  <c r="D180" i="15"/>
  <c r="C180" i="15"/>
  <c r="B180" i="15"/>
  <c r="K179" i="15"/>
  <c r="J179" i="15"/>
  <c r="G179" i="15"/>
  <c r="D179" i="15"/>
  <c r="C179" i="15"/>
  <c r="B179" i="15"/>
  <c r="J178" i="15"/>
  <c r="K178" i="15" s="1"/>
  <c r="G178" i="15"/>
  <c r="D178" i="15"/>
  <c r="C178" i="15"/>
  <c r="B178" i="15"/>
  <c r="J177" i="15"/>
  <c r="K177" i="15" s="1"/>
  <c r="G177" i="15"/>
  <c r="D177" i="15"/>
  <c r="C177" i="15"/>
  <c r="B177" i="15"/>
  <c r="J176" i="15"/>
  <c r="K176" i="15" s="1"/>
  <c r="G176" i="15"/>
  <c r="D176" i="15"/>
  <c r="C176" i="15"/>
  <c r="B176" i="15"/>
  <c r="K175" i="15"/>
  <c r="J175" i="15"/>
  <c r="G175" i="15"/>
  <c r="D175" i="15"/>
  <c r="C175" i="15"/>
  <c r="B175" i="15"/>
  <c r="J174" i="15"/>
  <c r="K174" i="15" s="1"/>
  <c r="G174" i="15"/>
  <c r="D174" i="15"/>
  <c r="C174" i="15"/>
  <c r="B174" i="15"/>
  <c r="J173" i="15"/>
  <c r="K173" i="15" s="1"/>
  <c r="G173" i="15"/>
  <c r="D173" i="15"/>
  <c r="C173" i="15"/>
  <c r="B173" i="15"/>
  <c r="J172" i="15"/>
  <c r="K172" i="15" s="1"/>
  <c r="G172" i="15"/>
  <c r="D172" i="15"/>
  <c r="C172" i="15"/>
  <c r="B172" i="15"/>
  <c r="K171" i="15"/>
  <c r="J171" i="15"/>
  <c r="G171" i="15"/>
  <c r="D171" i="15"/>
  <c r="C171" i="15"/>
  <c r="B171" i="15"/>
  <c r="J170" i="15"/>
  <c r="K170" i="15" s="1"/>
  <c r="G170" i="15"/>
  <c r="D170" i="15"/>
  <c r="C170" i="15"/>
  <c r="B170" i="15"/>
  <c r="J169" i="15"/>
  <c r="K169" i="15" s="1"/>
  <c r="G169" i="15"/>
  <c r="D169" i="15"/>
  <c r="C169" i="15"/>
  <c r="B169" i="15"/>
  <c r="J168" i="15"/>
  <c r="K168" i="15" s="1"/>
  <c r="G168" i="15"/>
  <c r="D168" i="15"/>
  <c r="C168" i="15"/>
  <c r="B168" i="15"/>
  <c r="K167" i="15"/>
  <c r="J167" i="15"/>
  <c r="G167" i="15"/>
  <c r="D167" i="15"/>
  <c r="C167" i="15"/>
  <c r="B167" i="15"/>
  <c r="J166" i="15"/>
  <c r="K166" i="15" s="1"/>
  <c r="G166" i="15"/>
  <c r="D166" i="15"/>
  <c r="C166" i="15"/>
  <c r="B166" i="15"/>
  <c r="J165" i="15"/>
  <c r="K165" i="15" s="1"/>
  <c r="G165" i="15"/>
  <c r="D165" i="15"/>
  <c r="C165" i="15"/>
  <c r="B165" i="15"/>
  <c r="J164" i="15"/>
  <c r="K164" i="15" s="1"/>
  <c r="G164" i="15"/>
  <c r="D164" i="15"/>
  <c r="C164" i="15"/>
  <c r="B164" i="15"/>
  <c r="K163" i="15"/>
  <c r="J163" i="15"/>
  <c r="G163" i="15"/>
  <c r="D163" i="15"/>
  <c r="C163" i="15"/>
  <c r="B163" i="15"/>
  <c r="J162" i="15"/>
  <c r="K162" i="15" s="1"/>
  <c r="G162" i="15"/>
  <c r="D162" i="15"/>
  <c r="C162" i="15"/>
  <c r="B162" i="15"/>
  <c r="J161" i="15"/>
  <c r="K161" i="15" s="1"/>
  <c r="G161" i="15"/>
  <c r="D161" i="15"/>
  <c r="C161" i="15"/>
  <c r="B161" i="15"/>
  <c r="J160" i="15"/>
  <c r="K160" i="15" s="1"/>
  <c r="G160" i="15"/>
  <c r="D160" i="15"/>
  <c r="C160" i="15"/>
  <c r="B160" i="15"/>
  <c r="K159" i="15"/>
  <c r="J159" i="15"/>
  <c r="G159" i="15"/>
  <c r="D159" i="15"/>
  <c r="C159" i="15"/>
  <c r="B159" i="15"/>
  <c r="J158" i="15"/>
  <c r="K158" i="15" s="1"/>
  <c r="G158" i="15"/>
  <c r="D158" i="15"/>
  <c r="C158" i="15"/>
  <c r="B158" i="15"/>
  <c r="J157" i="15"/>
  <c r="K157" i="15" s="1"/>
  <c r="G157" i="15"/>
  <c r="D157" i="15"/>
  <c r="C157" i="15"/>
  <c r="B157" i="15"/>
  <c r="J156" i="15"/>
  <c r="K156" i="15" s="1"/>
  <c r="G156" i="15"/>
  <c r="D156" i="15"/>
  <c r="C156" i="15"/>
  <c r="B156" i="15"/>
  <c r="K155" i="15"/>
  <c r="J155" i="15"/>
  <c r="G155" i="15"/>
  <c r="D155" i="15"/>
  <c r="C155" i="15"/>
  <c r="B155" i="15"/>
  <c r="J154" i="15"/>
  <c r="K154" i="15" s="1"/>
  <c r="G154" i="15"/>
  <c r="D154" i="15"/>
  <c r="C154" i="15"/>
  <c r="B154" i="15"/>
  <c r="J153" i="15"/>
  <c r="K153" i="15" s="1"/>
  <c r="G153" i="15"/>
  <c r="D153" i="15"/>
  <c r="C153" i="15"/>
  <c r="B153" i="15"/>
  <c r="J152" i="15"/>
  <c r="K152" i="15" s="1"/>
  <c r="G152" i="15"/>
  <c r="D152" i="15"/>
  <c r="C152" i="15"/>
  <c r="B152" i="15"/>
  <c r="K151" i="15"/>
  <c r="J151" i="15"/>
  <c r="G151" i="15"/>
  <c r="D151" i="15"/>
  <c r="C151" i="15"/>
  <c r="B151" i="15"/>
  <c r="J150" i="15"/>
  <c r="K150" i="15" s="1"/>
  <c r="G150" i="15"/>
  <c r="D150" i="15"/>
  <c r="C150" i="15"/>
  <c r="B150" i="15"/>
  <c r="J149" i="15"/>
  <c r="K149" i="15" s="1"/>
  <c r="G149" i="15"/>
  <c r="D149" i="15"/>
  <c r="C149" i="15"/>
  <c r="B149" i="15"/>
  <c r="J148" i="15"/>
  <c r="K148" i="15" s="1"/>
  <c r="G148" i="15"/>
  <c r="D148" i="15"/>
  <c r="C148" i="15"/>
  <c r="B148" i="15"/>
  <c r="K147" i="15"/>
  <c r="J147" i="15"/>
  <c r="G147" i="15"/>
  <c r="D147" i="15"/>
  <c r="C147" i="15"/>
  <c r="B147" i="15"/>
  <c r="J146" i="15"/>
  <c r="K146" i="15" s="1"/>
  <c r="G146" i="15"/>
  <c r="D146" i="15"/>
  <c r="C146" i="15"/>
  <c r="B146" i="15"/>
  <c r="J145" i="15"/>
  <c r="K145" i="15" s="1"/>
  <c r="G145" i="15"/>
  <c r="D145" i="15"/>
  <c r="C145" i="15"/>
  <c r="B145" i="15"/>
  <c r="J144" i="15"/>
  <c r="K144" i="15" s="1"/>
  <c r="G144" i="15"/>
  <c r="D144" i="15"/>
  <c r="C144" i="15"/>
  <c r="B144" i="15"/>
  <c r="K143" i="15"/>
  <c r="J143" i="15"/>
  <c r="G143" i="15"/>
  <c r="D143" i="15"/>
  <c r="C143" i="15"/>
  <c r="B143" i="15"/>
  <c r="J142" i="15"/>
  <c r="K142" i="15" s="1"/>
  <c r="G142" i="15"/>
  <c r="D142" i="15"/>
  <c r="C142" i="15"/>
  <c r="B142" i="15"/>
  <c r="J141" i="15"/>
  <c r="K141" i="15" s="1"/>
  <c r="G141" i="15"/>
  <c r="D141" i="15"/>
  <c r="C141" i="15"/>
  <c r="B141" i="15"/>
  <c r="J140" i="15"/>
  <c r="K140" i="15" s="1"/>
  <c r="G140" i="15"/>
  <c r="D140" i="15"/>
  <c r="C140" i="15"/>
  <c r="B140" i="15"/>
  <c r="K139" i="15"/>
  <c r="J139" i="15"/>
  <c r="G139" i="15"/>
  <c r="D139" i="15"/>
  <c r="C139" i="15"/>
  <c r="B139" i="15"/>
  <c r="J138" i="15"/>
  <c r="K138" i="15" s="1"/>
  <c r="G138" i="15"/>
  <c r="D138" i="15"/>
  <c r="C138" i="15"/>
  <c r="B138" i="15"/>
  <c r="J137" i="15"/>
  <c r="K137" i="15" s="1"/>
  <c r="G137" i="15"/>
  <c r="D137" i="15"/>
  <c r="C137" i="15"/>
  <c r="B137" i="15"/>
  <c r="J136" i="15"/>
  <c r="K136" i="15" s="1"/>
  <c r="G136" i="15"/>
  <c r="D136" i="15"/>
  <c r="C136" i="15"/>
  <c r="B136" i="15"/>
  <c r="K135" i="15"/>
  <c r="J135" i="15"/>
  <c r="G135" i="15"/>
  <c r="D135" i="15"/>
  <c r="C135" i="15"/>
  <c r="B135" i="15"/>
  <c r="J134" i="15"/>
  <c r="K134" i="15" s="1"/>
  <c r="G134" i="15"/>
  <c r="D134" i="15"/>
  <c r="C134" i="15"/>
  <c r="B134" i="15"/>
  <c r="J133" i="15"/>
  <c r="K133" i="15" s="1"/>
  <c r="G133" i="15"/>
  <c r="D133" i="15"/>
  <c r="C133" i="15"/>
  <c r="B133" i="15"/>
  <c r="J132" i="15"/>
  <c r="K132" i="15" s="1"/>
  <c r="G132" i="15"/>
  <c r="D132" i="15"/>
  <c r="C132" i="15"/>
  <c r="B132" i="15"/>
  <c r="K131" i="15"/>
  <c r="J131" i="15"/>
  <c r="G131" i="15"/>
  <c r="D131" i="15"/>
  <c r="C131" i="15"/>
  <c r="B131" i="15"/>
  <c r="J130" i="15"/>
  <c r="K130" i="15" s="1"/>
  <c r="G130" i="15"/>
  <c r="D130" i="15"/>
  <c r="C130" i="15"/>
  <c r="B130" i="15"/>
  <c r="J129" i="15"/>
  <c r="K129" i="15" s="1"/>
  <c r="G129" i="15"/>
  <c r="D129" i="15"/>
  <c r="C129" i="15"/>
  <c r="B129" i="15"/>
  <c r="J128" i="15"/>
  <c r="K128" i="15" s="1"/>
  <c r="G128" i="15"/>
  <c r="D128" i="15"/>
  <c r="C128" i="15"/>
  <c r="B128" i="15"/>
  <c r="K127" i="15"/>
  <c r="J127" i="15"/>
  <c r="G127" i="15"/>
  <c r="D127" i="15"/>
  <c r="C127" i="15"/>
  <c r="B127" i="15"/>
  <c r="J126" i="15"/>
  <c r="K126" i="15" s="1"/>
  <c r="G126" i="15"/>
  <c r="D126" i="15"/>
  <c r="C126" i="15"/>
  <c r="B126" i="15"/>
  <c r="J125" i="15"/>
  <c r="K125" i="15" s="1"/>
  <c r="G125" i="15"/>
  <c r="D125" i="15"/>
  <c r="C125" i="15"/>
  <c r="B125" i="15"/>
  <c r="J124" i="15"/>
  <c r="K124" i="15" s="1"/>
  <c r="G124" i="15"/>
  <c r="D124" i="15"/>
  <c r="C124" i="15"/>
  <c r="B124" i="15"/>
  <c r="K123" i="15"/>
  <c r="J123" i="15"/>
  <c r="G123" i="15"/>
  <c r="D123" i="15"/>
  <c r="C123" i="15"/>
  <c r="B123" i="15"/>
  <c r="J122" i="15"/>
  <c r="K122" i="15" s="1"/>
  <c r="G122" i="15"/>
  <c r="D122" i="15"/>
  <c r="C122" i="15"/>
  <c r="B122" i="15"/>
  <c r="J121" i="15"/>
  <c r="K121" i="15" s="1"/>
  <c r="G121" i="15"/>
  <c r="D121" i="15"/>
  <c r="C121" i="15"/>
  <c r="B121" i="15"/>
  <c r="J120" i="15"/>
  <c r="K120" i="15" s="1"/>
  <c r="G120" i="15"/>
  <c r="D120" i="15"/>
  <c r="C120" i="15"/>
  <c r="B120" i="15"/>
  <c r="K119" i="15"/>
  <c r="J119" i="15"/>
  <c r="G119" i="15"/>
  <c r="D119" i="15"/>
  <c r="C119" i="15"/>
  <c r="B119" i="15"/>
  <c r="J118" i="15"/>
  <c r="K118" i="15" s="1"/>
  <c r="G118" i="15"/>
  <c r="D118" i="15"/>
  <c r="C118" i="15"/>
  <c r="B118" i="15"/>
  <c r="J117" i="15"/>
  <c r="K117" i="15" s="1"/>
  <c r="G117" i="15"/>
  <c r="D117" i="15"/>
  <c r="C117" i="15"/>
  <c r="B117" i="15"/>
  <c r="J116" i="15"/>
  <c r="K116" i="15" s="1"/>
  <c r="G116" i="15"/>
  <c r="D116" i="15"/>
  <c r="C116" i="15"/>
  <c r="B116" i="15"/>
  <c r="K115" i="15"/>
  <c r="J115" i="15"/>
  <c r="G115" i="15"/>
  <c r="D115" i="15"/>
  <c r="C115" i="15"/>
  <c r="B115" i="15"/>
  <c r="J114" i="15"/>
  <c r="K114" i="15" s="1"/>
  <c r="G114" i="15"/>
  <c r="D114" i="15"/>
  <c r="C114" i="15"/>
  <c r="B114" i="15"/>
  <c r="J113" i="15"/>
  <c r="K113" i="15" s="1"/>
  <c r="G113" i="15"/>
  <c r="D113" i="15"/>
  <c r="C113" i="15"/>
  <c r="B113" i="15"/>
  <c r="J112" i="15"/>
  <c r="K112" i="15" s="1"/>
  <c r="G112" i="15"/>
  <c r="D112" i="15"/>
  <c r="C112" i="15"/>
  <c r="B112" i="15"/>
  <c r="K111" i="15"/>
  <c r="J111" i="15"/>
  <c r="G111" i="15"/>
  <c r="D111" i="15"/>
  <c r="C111" i="15"/>
  <c r="B111" i="15"/>
  <c r="J110" i="15"/>
  <c r="K110" i="15" s="1"/>
  <c r="G110" i="15"/>
  <c r="D110" i="15"/>
  <c r="C110" i="15"/>
  <c r="B110" i="15"/>
  <c r="J109" i="15"/>
  <c r="K109" i="15" s="1"/>
  <c r="G109" i="15"/>
  <c r="D109" i="15"/>
  <c r="C109" i="15"/>
  <c r="B109" i="15"/>
  <c r="J108" i="15"/>
  <c r="K108" i="15" s="1"/>
  <c r="G108" i="15"/>
  <c r="D108" i="15"/>
  <c r="C108" i="15"/>
  <c r="B108" i="15"/>
  <c r="K107" i="15"/>
  <c r="J107" i="15"/>
  <c r="G107" i="15"/>
  <c r="D107" i="15"/>
  <c r="C107" i="15"/>
  <c r="B107" i="15"/>
  <c r="J106" i="15"/>
  <c r="K106" i="15" s="1"/>
  <c r="G106" i="15"/>
  <c r="D106" i="15"/>
  <c r="C106" i="15"/>
  <c r="B106" i="15"/>
  <c r="J105" i="15"/>
  <c r="K105" i="15" s="1"/>
  <c r="G105" i="15"/>
  <c r="D105" i="15"/>
  <c r="C105" i="15"/>
  <c r="B105" i="15"/>
  <c r="J104" i="15"/>
  <c r="K104" i="15" s="1"/>
  <c r="G104" i="15"/>
  <c r="D104" i="15"/>
  <c r="C104" i="15"/>
  <c r="B104" i="15"/>
  <c r="K103" i="15"/>
  <c r="J103" i="15"/>
  <c r="G103" i="15"/>
  <c r="D103" i="15"/>
  <c r="C103" i="15"/>
  <c r="B103" i="15"/>
  <c r="J102" i="15"/>
  <c r="K102" i="15" s="1"/>
  <c r="G102" i="15"/>
  <c r="D102" i="15"/>
  <c r="C102" i="15"/>
  <c r="B102" i="15"/>
  <c r="J101" i="15"/>
  <c r="K101" i="15" s="1"/>
  <c r="G101" i="15"/>
  <c r="D101" i="15"/>
  <c r="C101" i="15"/>
  <c r="B101" i="15"/>
  <c r="J100" i="15"/>
  <c r="K100" i="15" s="1"/>
  <c r="G100" i="15"/>
  <c r="D100" i="15"/>
  <c r="C100" i="15"/>
  <c r="B100" i="15"/>
  <c r="K99" i="15"/>
  <c r="J99" i="15"/>
  <c r="G99" i="15"/>
  <c r="D99" i="15"/>
  <c r="C99" i="15"/>
  <c r="B99" i="15"/>
  <c r="J98" i="15"/>
  <c r="K98" i="15" s="1"/>
  <c r="G98" i="15"/>
  <c r="D98" i="15"/>
  <c r="C98" i="15"/>
  <c r="B98" i="15"/>
  <c r="J97" i="15"/>
  <c r="K97" i="15" s="1"/>
  <c r="G97" i="15"/>
  <c r="D97" i="15"/>
  <c r="C97" i="15"/>
  <c r="B97" i="15"/>
  <c r="J96" i="15"/>
  <c r="K96" i="15" s="1"/>
  <c r="G96" i="15"/>
  <c r="D96" i="15"/>
  <c r="C96" i="15"/>
  <c r="B96" i="15"/>
  <c r="K95" i="15"/>
  <c r="J95" i="15"/>
  <c r="G95" i="15"/>
  <c r="D95" i="15"/>
  <c r="C95" i="15"/>
  <c r="B95" i="15"/>
  <c r="J94" i="15"/>
  <c r="K94" i="15" s="1"/>
  <c r="G94" i="15"/>
  <c r="D94" i="15"/>
  <c r="C94" i="15"/>
  <c r="B94" i="15"/>
  <c r="J93" i="15"/>
  <c r="K93" i="15" s="1"/>
  <c r="G93" i="15"/>
  <c r="D93" i="15"/>
  <c r="C93" i="15"/>
  <c r="B93" i="15"/>
  <c r="J92" i="15"/>
  <c r="K92" i="15" s="1"/>
  <c r="G92" i="15"/>
  <c r="D92" i="15"/>
  <c r="C92" i="15"/>
  <c r="B92" i="15"/>
  <c r="K91" i="15"/>
  <c r="J91" i="15"/>
  <c r="G91" i="15"/>
  <c r="D91" i="15"/>
  <c r="C91" i="15"/>
  <c r="B91" i="15"/>
  <c r="J90" i="15"/>
  <c r="K90" i="15" s="1"/>
  <c r="G90" i="15"/>
  <c r="D90" i="15"/>
  <c r="C90" i="15"/>
  <c r="B90" i="15"/>
  <c r="J89" i="15"/>
  <c r="K89" i="15" s="1"/>
  <c r="G89" i="15"/>
  <c r="D89" i="15"/>
  <c r="C89" i="15"/>
  <c r="B89" i="15"/>
  <c r="J88" i="15"/>
  <c r="K88" i="15" s="1"/>
  <c r="G88" i="15"/>
  <c r="D88" i="15"/>
  <c r="C88" i="15"/>
  <c r="B88" i="15"/>
  <c r="K87" i="15"/>
  <c r="J87" i="15"/>
  <c r="G87" i="15"/>
  <c r="D87" i="15"/>
  <c r="C87" i="15"/>
  <c r="B87" i="15"/>
  <c r="J86" i="15"/>
  <c r="K86" i="15" s="1"/>
  <c r="G86" i="15"/>
  <c r="D86" i="15"/>
  <c r="C86" i="15"/>
  <c r="B86" i="15"/>
  <c r="J85" i="15"/>
  <c r="K85" i="15" s="1"/>
  <c r="G85" i="15"/>
  <c r="D85" i="15"/>
  <c r="C85" i="15"/>
  <c r="B85" i="15"/>
  <c r="J84" i="15"/>
  <c r="K84" i="15" s="1"/>
  <c r="G84" i="15"/>
  <c r="D84" i="15"/>
  <c r="C84" i="15"/>
  <c r="B84" i="15"/>
  <c r="K83" i="15"/>
  <c r="J83" i="15"/>
  <c r="G83" i="15"/>
  <c r="D83" i="15"/>
  <c r="C83" i="15"/>
  <c r="B83" i="15"/>
  <c r="J82" i="15"/>
  <c r="K82" i="15" s="1"/>
  <c r="G82" i="15"/>
  <c r="D82" i="15"/>
  <c r="C82" i="15"/>
  <c r="B82" i="15"/>
  <c r="J81" i="15"/>
  <c r="K81" i="15" s="1"/>
  <c r="G81" i="15"/>
  <c r="D81" i="15"/>
  <c r="C81" i="15"/>
  <c r="B81" i="15"/>
  <c r="J80" i="15"/>
  <c r="K80" i="15" s="1"/>
  <c r="G80" i="15"/>
  <c r="D80" i="15"/>
  <c r="C80" i="15"/>
  <c r="B80" i="15"/>
  <c r="K79" i="15"/>
  <c r="J79" i="15"/>
  <c r="G79" i="15"/>
  <c r="D79" i="15"/>
  <c r="C79" i="15"/>
  <c r="B79" i="15"/>
  <c r="J78" i="15"/>
  <c r="K78" i="15" s="1"/>
  <c r="G78" i="15"/>
  <c r="D78" i="15"/>
  <c r="C78" i="15"/>
  <c r="B78" i="15"/>
  <c r="J77" i="15"/>
  <c r="K77" i="15" s="1"/>
  <c r="G77" i="15"/>
  <c r="D77" i="15"/>
  <c r="C77" i="15"/>
  <c r="B77" i="15"/>
  <c r="J76" i="15"/>
  <c r="K76" i="15" s="1"/>
  <c r="G76" i="15"/>
  <c r="D76" i="15"/>
  <c r="C76" i="15"/>
  <c r="B76" i="15"/>
  <c r="K75" i="15"/>
  <c r="J75" i="15"/>
  <c r="G75" i="15"/>
  <c r="D75" i="15"/>
  <c r="C75" i="15"/>
  <c r="B75" i="15"/>
  <c r="J74" i="15"/>
  <c r="K74" i="15" s="1"/>
  <c r="G74" i="15"/>
  <c r="D74" i="15"/>
  <c r="C74" i="15"/>
  <c r="B74" i="15"/>
  <c r="J73" i="15"/>
  <c r="K73" i="15" s="1"/>
  <c r="G73" i="15"/>
  <c r="D73" i="15"/>
  <c r="C73" i="15"/>
  <c r="B73" i="15"/>
  <c r="J72" i="15"/>
  <c r="K72" i="15" s="1"/>
  <c r="G72" i="15"/>
  <c r="D72" i="15"/>
  <c r="C72" i="15"/>
  <c r="B72" i="15"/>
  <c r="K71" i="15"/>
  <c r="J71" i="15"/>
  <c r="G71" i="15"/>
  <c r="D71" i="15"/>
  <c r="C71" i="15"/>
  <c r="B71" i="15"/>
  <c r="J70" i="15"/>
  <c r="K70" i="15" s="1"/>
  <c r="G70" i="15"/>
  <c r="D70" i="15"/>
  <c r="C70" i="15"/>
  <c r="B70" i="15"/>
  <c r="J69" i="15"/>
  <c r="K69" i="15" s="1"/>
  <c r="G69" i="15"/>
  <c r="D69" i="15"/>
  <c r="C69" i="15"/>
  <c r="B69" i="15"/>
  <c r="J68" i="15"/>
  <c r="K68" i="15" s="1"/>
  <c r="G68" i="15"/>
  <c r="D68" i="15"/>
  <c r="C68" i="15"/>
  <c r="B68" i="15"/>
  <c r="K67" i="15"/>
  <c r="J67" i="15"/>
  <c r="G67" i="15"/>
  <c r="D67" i="15"/>
  <c r="C67" i="15"/>
  <c r="B67" i="15"/>
  <c r="J66" i="15"/>
  <c r="K66" i="15" s="1"/>
  <c r="G66" i="15"/>
  <c r="D66" i="15"/>
  <c r="C66" i="15"/>
  <c r="B66" i="15"/>
  <c r="J65" i="15"/>
  <c r="K65" i="15" s="1"/>
  <c r="G65" i="15"/>
  <c r="D65" i="15"/>
  <c r="C65" i="15"/>
  <c r="B65" i="15"/>
  <c r="J64" i="15"/>
  <c r="K64" i="15" s="1"/>
  <c r="G64" i="15"/>
  <c r="D64" i="15"/>
  <c r="C64" i="15"/>
  <c r="B64" i="15"/>
  <c r="K63" i="15"/>
  <c r="J63" i="15"/>
  <c r="G63" i="15"/>
  <c r="D63" i="15"/>
  <c r="C63" i="15"/>
  <c r="B63" i="15"/>
  <c r="J62" i="15"/>
  <c r="K62" i="15" s="1"/>
  <c r="G62" i="15"/>
  <c r="D62" i="15"/>
  <c r="C62" i="15"/>
  <c r="B62" i="15"/>
  <c r="J61" i="15"/>
  <c r="K61" i="15" s="1"/>
  <c r="G61" i="15"/>
  <c r="D61" i="15"/>
  <c r="C61" i="15"/>
  <c r="B61" i="15"/>
  <c r="J60" i="15"/>
  <c r="K60" i="15" s="1"/>
  <c r="G60" i="15"/>
  <c r="D60" i="15"/>
  <c r="C60" i="15"/>
  <c r="B60" i="15"/>
  <c r="K59" i="15"/>
  <c r="J59" i="15"/>
  <c r="G59" i="15"/>
  <c r="D59" i="15"/>
  <c r="C59" i="15"/>
  <c r="B59" i="15"/>
  <c r="J58" i="15"/>
  <c r="K58" i="15" s="1"/>
  <c r="G58" i="15"/>
  <c r="D58" i="15"/>
  <c r="C58" i="15"/>
  <c r="B58" i="15"/>
  <c r="J57" i="15"/>
  <c r="K57" i="15" s="1"/>
  <c r="G57" i="15"/>
  <c r="D57" i="15"/>
  <c r="C57" i="15"/>
  <c r="B57" i="15"/>
  <c r="J56" i="15"/>
  <c r="K56" i="15" s="1"/>
  <c r="G56" i="15"/>
  <c r="D56" i="15"/>
  <c r="C56" i="15"/>
  <c r="B56" i="15"/>
  <c r="K55" i="15"/>
  <c r="J55" i="15"/>
  <c r="G55" i="15"/>
  <c r="D55" i="15"/>
  <c r="C55" i="15"/>
  <c r="B55" i="15"/>
  <c r="J54" i="15"/>
  <c r="K54" i="15" s="1"/>
  <c r="G54" i="15"/>
  <c r="D54" i="15"/>
  <c r="C54" i="15"/>
  <c r="B54" i="15"/>
  <c r="J53" i="15"/>
  <c r="K53" i="15" s="1"/>
  <c r="G53" i="15"/>
  <c r="D53" i="15"/>
  <c r="C53" i="15"/>
  <c r="B53" i="15"/>
  <c r="J52" i="15"/>
  <c r="K52" i="15" s="1"/>
  <c r="G52" i="15"/>
  <c r="D52" i="15"/>
  <c r="C52" i="15"/>
  <c r="B52" i="15"/>
  <c r="K51" i="15"/>
  <c r="J51" i="15"/>
  <c r="G51" i="15"/>
  <c r="D51" i="15"/>
  <c r="C51" i="15"/>
  <c r="B51" i="15"/>
  <c r="J50" i="15"/>
  <c r="K50" i="15" s="1"/>
  <c r="G50" i="15"/>
  <c r="D50" i="15"/>
  <c r="C50" i="15"/>
  <c r="B50" i="15"/>
  <c r="J49" i="15"/>
  <c r="K49" i="15" s="1"/>
  <c r="G49" i="15"/>
  <c r="D49" i="15"/>
  <c r="C49" i="15"/>
  <c r="B49" i="15"/>
  <c r="J48" i="15"/>
  <c r="K48" i="15" s="1"/>
  <c r="G48" i="15"/>
  <c r="D48" i="15"/>
  <c r="C48" i="15"/>
  <c r="B48" i="15"/>
  <c r="K47" i="15"/>
  <c r="J47" i="15"/>
  <c r="G47" i="15"/>
  <c r="D47" i="15"/>
  <c r="C47" i="15"/>
  <c r="B47" i="15"/>
  <c r="J46" i="15"/>
  <c r="K46" i="15" s="1"/>
  <c r="G46" i="15"/>
  <c r="D46" i="15"/>
  <c r="C46" i="15"/>
  <c r="B46" i="15"/>
  <c r="J45" i="15"/>
  <c r="K45" i="15" s="1"/>
  <c r="G45" i="15"/>
  <c r="D45" i="15"/>
  <c r="C45" i="15"/>
  <c r="B45" i="15"/>
  <c r="J44" i="15"/>
  <c r="K44" i="15" s="1"/>
  <c r="G44" i="15"/>
  <c r="D44" i="15"/>
  <c r="C44" i="15"/>
  <c r="B44" i="15"/>
  <c r="K43" i="15"/>
  <c r="J43" i="15"/>
  <c r="G43" i="15"/>
  <c r="D43" i="15"/>
  <c r="C43" i="15"/>
  <c r="B43" i="15"/>
  <c r="J42" i="15"/>
  <c r="K42" i="15" s="1"/>
  <c r="G42" i="15"/>
  <c r="D42" i="15"/>
  <c r="C42" i="15"/>
  <c r="B42" i="15"/>
  <c r="J41" i="15"/>
  <c r="K41" i="15" s="1"/>
  <c r="G41" i="15"/>
  <c r="D41" i="15"/>
  <c r="C41" i="15"/>
  <c r="B41" i="15"/>
  <c r="J40" i="15"/>
  <c r="K40" i="15" s="1"/>
  <c r="G40" i="15"/>
  <c r="D40" i="15"/>
  <c r="C40" i="15"/>
  <c r="B40" i="15"/>
  <c r="K39" i="15"/>
  <c r="J39" i="15"/>
  <c r="G39" i="15"/>
  <c r="D39" i="15"/>
  <c r="C39" i="15"/>
  <c r="B39" i="15"/>
  <c r="J38" i="15"/>
  <c r="K38" i="15" s="1"/>
  <c r="G38" i="15"/>
  <c r="D38" i="15"/>
  <c r="C38" i="15"/>
  <c r="B38" i="15"/>
  <c r="J37" i="15"/>
  <c r="K37" i="15" s="1"/>
  <c r="G37" i="15"/>
  <c r="D37" i="15"/>
  <c r="C37" i="15"/>
  <c r="B37" i="15"/>
  <c r="J36" i="15"/>
  <c r="K36" i="15" s="1"/>
  <c r="G36" i="15"/>
  <c r="D36" i="15"/>
  <c r="C36" i="15"/>
  <c r="B36" i="15"/>
  <c r="K35" i="15"/>
  <c r="J35" i="15"/>
  <c r="G35" i="15"/>
  <c r="D35" i="15"/>
  <c r="C35" i="15"/>
  <c r="B35" i="15"/>
  <c r="J34" i="15"/>
  <c r="K34" i="15" s="1"/>
  <c r="G34" i="15"/>
  <c r="D34" i="15"/>
  <c r="C34" i="15"/>
  <c r="B34" i="15"/>
  <c r="J33" i="15"/>
  <c r="K33" i="15" s="1"/>
  <c r="G33" i="15"/>
  <c r="D33" i="15"/>
  <c r="C33" i="15"/>
  <c r="B33" i="15"/>
  <c r="J32" i="15"/>
  <c r="K32" i="15" s="1"/>
  <c r="G32" i="15"/>
  <c r="D32" i="15"/>
  <c r="C32" i="15"/>
  <c r="B32" i="15"/>
  <c r="K31" i="15"/>
  <c r="J31" i="15"/>
  <c r="G31" i="15"/>
  <c r="D31" i="15"/>
  <c r="C31" i="15"/>
  <c r="B31" i="15"/>
  <c r="J30" i="15"/>
  <c r="K30" i="15" s="1"/>
  <c r="G30" i="15"/>
  <c r="D30" i="15"/>
  <c r="C30" i="15"/>
  <c r="B30" i="15"/>
  <c r="J29" i="15"/>
  <c r="K29" i="15" s="1"/>
  <c r="G29" i="15"/>
  <c r="D29" i="15"/>
  <c r="C29" i="15"/>
  <c r="B29" i="15"/>
  <c r="J28" i="15"/>
  <c r="K28" i="15" s="1"/>
  <c r="G28" i="15"/>
  <c r="D28" i="15"/>
  <c r="C28" i="15"/>
  <c r="B28" i="15"/>
  <c r="K27" i="15"/>
  <c r="J27" i="15"/>
  <c r="G27" i="15"/>
  <c r="D27" i="15"/>
  <c r="C27" i="15"/>
  <c r="B27" i="15"/>
  <c r="J26" i="15"/>
  <c r="K26" i="15" s="1"/>
  <c r="G26" i="15"/>
  <c r="D26" i="15"/>
  <c r="C26" i="15"/>
  <c r="B26" i="15"/>
  <c r="J25" i="15"/>
  <c r="K25" i="15" s="1"/>
  <c r="G25" i="15"/>
  <c r="D25" i="15"/>
  <c r="C25" i="15"/>
  <c r="B25" i="15"/>
  <c r="J24" i="15"/>
  <c r="K24" i="15" s="1"/>
  <c r="G24" i="15"/>
  <c r="D24" i="15"/>
  <c r="C24" i="15"/>
  <c r="B24" i="15"/>
  <c r="K23" i="15"/>
  <c r="J23" i="15"/>
  <c r="G23" i="15"/>
  <c r="D23" i="15"/>
  <c r="C23" i="15"/>
  <c r="B23" i="15"/>
  <c r="J22" i="15"/>
  <c r="K22" i="15" s="1"/>
  <c r="G22" i="15"/>
  <c r="D22" i="15"/>
  <c r="C22" i="15"/>
  <c r="B22" i="15"/>
  <c r="J21" i="15"/>
  <c r="K21" i="15" s="1"/>
  <c r="G21" i="15"/>
  <c r="D21" i="15"/>
  <c r="C21" i="15"/>
  <c r="B21" i="15"/>
  <c r="J20" i="15"/>
  <c r="K20" i="15" s="1"/>
  <c r="G20" i="15"/>
  <c r="D20" i="15"/>
  <c r="C20" i="15"/>
  <c r="B20" i="15"/>
  <c r="K19" i="15"/>
  <c r="J19" i="15"/>
  <c r="G19" i="15"/>
  <c r="D19" i="15"/>
  <c r="C19" i="15"/>
  <c r="B19" i="15"/>
  <c r="J18" i="15"/>
  <c r="K18" i="15" s="1"/>
  <c r="G18" i="15"/>
  <c r="D18" i="15"/>
  <c r="C18" i="15"/>
  <c r="B18" i="15"/>
  <c r="J17" i="15"/>
  <c r="K17" i="15" s="1"/>
  <c r="G17" i="15"/>
  <c r="D17" i="15"/>
  <c r="C17" i="15"/>
  <c r="B17" i="15"/>
  <c r="J16" i="15"/>
  <c r="K16" i="15" s="1"/>
  <c r="G16" i="15"/>
  <c r="D16" i="15"/>
  <c r="C16" i="15"/>
  <c r="B16" i="15"/>
  <c r="K15" i="15"/>
  <c r="J15" i="15"/>
  <c r="G15" i="15"/>
  <c r="D15" i="15"/>
  <c r="C15" i="15"/>
  <c r="B15" i="15"/>
  <c r="J14" i="15"/>
  <c r="K14" i="15" s="1"/>
  <c r="G14" i="15"/>
  <c r="D14" i="15"/>
  <c r="C14" i="15"/>
  <c r="B14" i="15"/>
  <c r="J13" i="15"/>
  <c r="K13" i="15" s="1"/>
  <c r="G13" i="15"/>
  <c r="D13" i="15"/>
  <c r="C13" i="15"/>
  <c r="B13" i="15"/>
  <c r="J12" i="15"/>
  <c r="K12" i="15" s="1"/>
  <c r="G12" i="15"/>
  <c r="D12" i="15"/>
  <c r="C12" i="15"/>
  <c r="B12" i="15"/>
  <c r="K11" i="15"/>
  <c r="J11" i="15"/>
  <c r="G11" i="15"/>
  <c r="D11" i="15"/>
  <c r="C11" i="15"/>
  <c r="B11" i="15"/>
  <c r="J10" i="15"/>
  <c r="K10" i="15" s="1"/>
  <c r="G10" i="15"/>
  <c r="D10" i="15"/>
  <c r="C10" i="15"/>
  <c r="B10" i="15"/>
  <c r="J9" i="15"/>
  <c r="K9" i="15" s="1"/>
  <c r="G9" i="15"/>
  <c r="D9" i="15"/>
  <c r="C9" i="15"/>
  <c r="B9" i="15"/>
  <c r="J4" i="15"/>
  <c r="I208" i="14"/>
  <c r="J208" i="14" s="1"/>
  <c r="F208" i="14"/>
  <c r="D208" i="14"/>
  <c r="C208" i="14"/>
  <c r="B208" i="14"/>
  <c r="I207" i="14"/>
  <c r="J207" i="14" s="1"/>
  <c r="F207" i="14"/>
  <c r="D207" i="14"/>
  <c r="C207" i="14"/>
  <c r="B207" i="14"/>
  <c r="I206" i="14"/>
  <c r="J206" i="14" s="1"/>
  <c r="F206" i="14"/>
  <c r="D206" i="14"/>
  <c r="C206" i="14"/>
  <c r="B206" i="14"/>
  <c r="J205" i="14"/>
  <c r="I205" i="14"/>
  <c r="F205" i="14"/>
  <c r="D205" i="14"/>
  <c r="C205" i="14"/>
  <c r="B205" i="14"/>
  <c r="I204" i="14"/>
  <c r="J204" i="14" s="1"/>
  <c r="F204" i="14"/>
  <c r="D204" i="14"/>
  <c r="C204" i="14"/>
  <c r="B204" i="14"/>
  <c r="I203" i="14"/>
  <c r="J203" i="14" s="1"/>
  <c r="F203" i="14"/>
  <c r="D203" i="14"/>
  <c r="C203" i="14"/>
  <c r="B203" i="14"/>
  <c r="I202" i="14"/>
  <c r="J202" i="14" s="1"/>
  <c r="F202" i="14"/>
  <c r="D202" i="14"/>
  <c r="C202" i="14"/>
  <c r="B202" i="14"/>
  <c r="J201" i="14"/>
  <c r="I201" i="14"/>
  <c r="F201" i="14"/>
  <c r="D201" i="14"/>
  <c r="C201" i="14"/>
  <c r="B201" i="14"/>
  <c r="I200" i="14"/>
  <c r="J200" i="14" s="1"/>
  <c r="F200" i="14"/>
  <c r="D200" i="14"/>
  <c r="C200" i="14"/>
  <c r="B200" i="14"/>
  <c r="I199" i="14"/>
  <c r="J199" i="14" s="1"/>
  <c r="F199" i="14"/>
  <c r="D199" i="14"/>
  <c r="C199" i="14"/>
  <c r="B199" i="14"/>
  <c r="I198" i="14"/>
  <c r="J198" i="14" s="1"/>
  <c r="F198" i="14"/>
  <c r="D198" i="14"/>
  <c r="C198" i="14"/>
  <c r="B198" i="14"/>
  <c r="J197" i="14"/>
  <c r="I197" i="14"/>
  <c r="F197" i="14"/>
  <c r="D197" i="14"/>
  <c r="C197" i="14"/>
  <c r="B197" i="14"/>
  <c r="I196" i="14"/>
  <c r="J196" i="14" s="1"/>
  <c r="F196" i="14"/>
  <c r="D196" i="14"/>
  <c r="C196" i="14"/>
  <c r="B196" i="14"/>
  <c r="I195" i="14"/>
  <c r="J195" i="14" s="1"/>
  <c r="F195" i="14"/>
  <c r="D195" i="14"/>
  <c r="C195" i="14"/>
  <c r="B195" i="14"/>
  <c r="I194" i="14"/>
  <c r="J194" i="14" s="1"/>
  <c r="F194" i="14"/>
  <c r="D194" i="14"/>
  <c r="C194" i="14"/>
  <c r="B194" i="14"/>
  <c r="J193" i="14"/>
  <c r="I193" i="14"/>
  <c r="F193" i="14"/>
  <c r="D193" i="14"/>
  <c r="C193" i="14"/>
  <c r="B193" i="14"/>
  <c r="I192" i="14"/>
  <c r="J192" i="14" s="1"/>
  <c r="F192" i="14"/>
  <c r="D192" i="14"/>
  <c r="C192" i="14"/>
  <c r="B192" i="14"/>
  <c r="I191" i="14"/>
  <c r="J191" i="14" s="1"/>
  <c r="F191" i="14"/>
  <c r="D191" i="14"/>
  <c r="C191" i="14"/>
  <c r="B191" i="14"/>
  <c r="I190" i="14"/>
  <c r="J190" i="14" s="1"/>
  <c r="F190" i="14"/>
  <c r="D190" i="14"/>
  <c r="C190" i="14"/>
  <c r="B190" i="14"/>
  <c r="J189" i="14"/>
  <c r="I189" i="14"/>
  <c r="F189" i="14"/>
  <c r="D189" i="14"/>
  <c r="C189" i="14"/>
  <c r="B189" i="14"/>
  <c r="I188" i="14"/>
  <c r="J188" i="14" s="1"/>
  <c r="F188" i="14"/>
  <c r="D188" i="14"/>
  <c r="C188" i="14"/>
  <c r="B188" i="14"/>
  <c r="I187" i="14"/>
  <c r="J187" i="14" s="1"/>
  <c r="F187" i="14"/>
  <c r="D187" i="14"/>
  <c r="C187" i="14"/>
  <c r="B187" i="14"/>
  <c r="I186" i="14"/>
  <c r="J186" i="14" s="1"/>
  <c r="F186" i="14"/>
  <c r="D186" i="14"/>
  <c r="C186" i="14"/>
  <c r="B186" i="14"/>
  <c r="J185" i="14"/>
  <c r="I185" i="14"/>
  <c r="F185" i="14"/>
  <c r="D185" i="14"/>
  <c r="C185" i="14"/>
  <c r="B185" i="14"/>
  <c r="I184" i="14"/>
  <c r="J184" i="14" s="1"/>
  <c r="F184" i="14"/>
  <c r="D184" i="14"/>
  <c r="C184" i="14"/>
  <c r="B184" i="14"/>
  <c r="I183" i="14"/>
  <c r="J183" i="14" s="1"/>
  <c r="F183" i="14"/>
  <c r="D183" i="14"/>
  <c r="C183" i="14"/>
  <c r="B183" i="14"/>
  <c r="I182" i="14"/>
  <c r="J182" i="14" s="1"/>
  <c r="F182" i="14"/>
  <c r="D182" i="14"/>
  <c r="C182" i="14"/>
  <c r="B182" i="14"/>
  <c r="J181" i="14"/>
  <c r="I181" i="14"/>
  <c r="F181" i="14"/>
  <c r="D181" i="14"/>
  <c r="C181" i="14"/>
  <c r="B181" i="14"/>
  <c r="I180" i="14"/>
  <c r="J180" i="14" s="1"/>
  <c r="F180" i="14"/>
  <c r="D180" i="14"/>
  <c r="C180" i="14"/>
  <c r="B180" i="14"/>
  <c r="I179" i="14"/>
  <c r="J179" i="14" s="1"/>
  <c r="F179" i="14"/>
  <c r="D179" i="14"/>
  <c r="C179" i="14"/>
  <c r="B179" i="14"/>
  <c r="I178" i="14"/>
  <c r="J178" i="14" s="1"/>
  <c r="F178" i="14"/>
  <c r="D178" i="14"/>
  <c r="C178" i="14"/>
  <c r="B178" i="14"/>
  <c r="J177" i="14"/>
  <c r="I177" i="14"/>
  <c r="F177" i="14"/>
  <c r="D177" i="14"/>
  <c r="C177" i="14"/>
  <c r="B177" i="14"/>
  <c r="I176" i="14"/>
  <c r="J176" i="14" s="1"/>
  <c r="F176" i="14"/>
  <c r="D176" i="14"/>
  <c r="C176" i="14"/>
  <c r="B176" i="14"/>
  <c r="I175" i="14"/>
  <c r="J175" i="14" s="1"/>
  <c r="F175" i="14"/>
  <c r="D175" i="14"/>
  <c r="C175" i="14"/>
  <c r="B175" i="14"/>
  <c r="I174" i="14"/>
  <c r="J174" i="14" s="1"/>
  <c r="F174" i="14"/>
  <c r="D174" i="14"/>
  <c r="C174" i="14"/>
  <c r="B174" i="14"/>
  <c r="J173" i="14"/>
  <c r="I173" i="14"/>
  <c r="F173" i="14"/>
  <c r="D173" i="14"/>
  <c r="C173" i="14"/>
  <c r="B173" i="14"/>
  <c r="I172" i="14"/>
  <c r="J172" i="14" s="1"/>
  <c r="F172" i="14"/>
  <c r="D172" i="14"/>
  <c r="C172" i="14"/>
  <c r="B172" i="14"/>
  <c r="I171" i="14"/>
  <c r="J171" i="14" s="1"/>
  <c r="F171" i="14"/>
  <c r="D171" i="14"/>
  <c r="C171" i="14"/>
  <c r="B171" i="14"/>
  <c r="I170" i="14"/>
  <c r="J170" i="14" s="1"/>
  <c r="F170" i="14"/>
  <c r="D170" i="14"/>
  <c r="C170" i="14"/>
  <c r="B170" i="14"/>
  <c r="J169" i="14"/>
  <c r="I169" i="14"/>
  <c r="F169" i="14"/>
  <c r="D169" i="14"/>
  <c r="C169" i="14"/>
  <c r="B169" i="14"/>
  <c r="I168" i="14"/>
  <c r="J168" i="14" s="1"/>
  <c r="F168" i="14"/>
  <c r="D168" i="14"/>
  <c r="C168" i="14"/>
  <c r="B168" i="14"/>
  <c r="I167" i="14"/>
  <c r="J167" i="14" s="1"/>
  <c r="F167" i="14"/>
  <c r="D167" i="14"/>
  <c r="C167" i="14"/>
  <c r="B167" i="14"/>
  <c r="I166" i="14"/>
  <c r="J166" i="14" s="1"/>
  <c r="F166" i="14"/>
  <c r="D166" i="14"/>
  <c r="C166" i="14"/>
  <c r="B166" i="14"/>
  <c r="J165" i="14"/>
  <c r="I165" i="14"/>
  <c r="F165" i="14"/>
  <c r="D165" i="14"/>
  <c r="C165" i="14"/>
  <c r="B165" i="14"/>
  <c r="I164" i="14"/>
  <c r="J164" i="14" s="1"/>
  <c r="F164" i="14"/>
  <c r="D164" i="14"/>
  <c r="C164" i="14"/>
  <c r="B164" i="14"/>
  <c r="I163" i="14"/>
  <c r="J163" i="14" s="1"/>
  <c r="F163" i="14"/>
  <c r="D163" i="14"/>
  <c r="C163" i="14"/>
  <c r="B163" i="14"/>
  <c r="I162" i="14"/>
  <c r="J162" i="14" s="1"/>
  <c r="F162" i="14"/>
  <c r="D162" i="14"/>
  <c r="C162" i="14"/>
  <c r="B162" i="14"/>
  <c r="J161" i="14"/>
  <c r="I161" i="14"/>
  <c r="F161" i="14"/>
  <c r="D161" i="14"/>
  <c r="C161" i="14"/>
  <c r="B161" i="14"/>
  <c r="I160" i="14"/>
  <c r="J160" i="14" s="1"/>
  <c r="F160" i="14"/>
  <c r="D160" i="14"/>
  <c r="C160" i="14"/>
  <c r="B160" i="14"/>
  <c r="I159" i="14"/>
  <c r="J159" i="14" s="1"/>
  <c r="F159" i="14"/>
  <c r="D159" i="14"/>
  <c r="C159" i="14"/>
  <c r="B159" i="14"/>
  <c r="I158" i="14"/>
  <c r="J158" i="14" s="1"/>
  <c r="F158" i="14"/>
  <c r="D158" i="14"/>
  <c r="C158" i="14"/>
  <c r="B158" i="14"/>
  <c r="J157" i="14"/>
  <c r="I157" i="14"/>
  <c r="F157" i="14"/>
  <c r="D157" i="14"/>
  <c r="C157" i="14"/>
  <c r="B157" i="14"/>
  <c r="I156" i="14"/>
  <c r="J156" i="14" s="1"/>
  <c r="F156" i="14"/>
  <c r="D156" i="14"/>
  <c r="C156" i="14"/>
  <c r="B156" i="14"/>
  <c r="I155" i="14"/>
  <c r="J155" i="14" s="1"/>
  <c r="F155" i="14"/>
  <c r="D155" i="14"/>
  <c r="C155" i="14"/>
  <c r="B155" i="14"/>
  <c r="I154" i="14"/>
  <c r="J154" i="14" s="1"/>
  <c r="F154" i="14"/>
  <c r="D154" i="14"/>
  <c r="C154" i="14"/>
  <c r="B154" i="14"/>
  <c r="J153" i="14"/>
  <c r="I153" i="14"/>
  <c r="F153" i="14"/>
  <c r="D153" i="14"/>
  <c r="C153" i="14"/>
  <c r="B153" i="14"/>
  <c r="I152" i="14"/>
  <c r="J152" i="14" s="1"/>
  <c r="F152" i="14"/>
  <c r="D152" i="14"/>
  <c r="C152" i="14"/>
  <c r="B152" i="14"/>
  <c r="I151" i="14"/>
  <c r="J151" i="14" s="1"/>
  <c r="F151" i="14"/>
  <c r="D151" i="14"/>
  <c r="C151" i="14"/>
  <c r="B151" i="14"/>
  <c r="I150" i="14"/>
  <c r="J150" i="14" s="1"/>
  <c r="F150" i="14"/>
  <c r="D150" i="14"/>
  <c r="C150" i="14"/>
  <c r="B150" i="14"/>
  <c r="J149" i="14"/>
  <c r="I149" i="14"/>
  <c r="F149" i="14"/>
  <c r="D149" i="14"/>
  <c r="C149" i="14"/>
  <c r="B149" i="14"/>
  <c r="I148" i="14"/>
  <c r="J148" i="14" s="1"/>
  <c r="F148" i="14"/>
  <c r="D148" i="14"/>
  <c r="C148" i="14"/>
  <c r="B148" i="14"/>
  <c r="I147" i="14"/>
  <c r="J147" i="14" s="1"/>
  <c r="F147" i="14"/>
  <c r="D147" i="14"/>
  <c r="C147" i="14"/>
  <c r="B147" i="14"/>
  <c r="I146" i="14"/>
  <c r="J146" i="14" s="1"/>
  <c r="F146" i="14"/>
  <c r="D146" i="14"/>
  <c r="C146" i="14"/>
  <c r="B146" i="14"/>
  <c r="J145" i="14"/>
  <c r="I145" i="14"/>
  <c r="F145" i="14"/>
  <c r="D145" i="14"/>
  <c r="C145" i="14"/>
  <c r="B145" i="14"/>
  <c r="I144" i="14"/>
  <c r="J144" i="14" s="1"/>
  <c r="F144" i="14"/>
  <c r="D144" i="14"/>
  <c r="C144" i="14"/>
  <c r="B144" i="14"/>
  <c r="I143" i="14"/>
  <c r="J143" i="14" s="1"/>
  <c r="F143" i="14"/>
  <c r="D143" i="14"/>
  <c r="C143" i="14"/>
  <c r="B143" i="14"/>
  <c r="I142" i="14"/>
  <c r="J142" i="14" s="1"/>
  <c r="F142" i="14"/>
  <c r="D142" i="14"/>
  <c r="C142" i="14"/>
  <c r="B142" i="14"/>
  <c r="J141" i="14"/>
  <c r="I141" i="14"/>
  <c r="F141" i="14"/>
  <c r="D141" i="14"/>
  <c r="C141" i="14"/>
  <c r="B141" i="14"/>
  <c r="I140" i="14"/>
  <c r="J140" i="14" s="1"/>
  <c r="F140" i="14"/>
  <c r="D140" i="14"/>
  <c r="C140" i="14"/>
  <c r="B140" i="14"/>
  <c r="I139" i="14"/>
  <c r="J139" i="14" s="1"/>
  <c r="F139" i="14"/>
  <c r="D139" i="14"/>
  <c r="C139" i="14"/>
  <c r="B139" i="14"/>
  <c r="I138" i="14"/>
  <c r="J138" i="14" s="1"/>
  <c r="F138" i="14"/>
  <c r="D138" i="14"/>
  <c r="C138" i="14"/>
  <c r="B138" i="14"/>
  <c r="J137" i="14"/>
  <c r="I137" i="14"/>
  <c r="F137" i="14"/>
  <c r="D137" i="14"/>
  <c r="C137" i="14"/>
  <c r="B137" i="14"/>
  <c r="I136" i="14"/>
  <c r="J136" i="14" s="1"/>
  <c r="F136" i="14"/>
  <c r="D136" i="14"/>
  <c r="C136" i="14"/>
  <c r="B136" i="14"/>
  <c r="I135" i="14"/>
  <c r="J135" i="14" s="1"/>
  <c r="F135" i="14"/>
  <c r="D135" i="14"/>
  <c r="C135" i="14"/>
  <c r="B135" i="14"/>
  <c r="I134" i="14"/>
  <c r="J134" i="14" s="1"/>
  <c r="F134" i="14"/>
  <c r="D134" i="14"/>
  <c r="C134" i="14"/>
  <c r="B134" i="14"/>
  <c r="J133" i="14"/>
  <c r="I133" i="14"/>
  <c r="F133" i="14"/>
  <c r="D133" i="14"/>
  <c r="C133" i="14"/>
  <c r="B133" i="14"/>
  <c r="I132" i="14"/>
  <c r="J132" i="14" s="1"/>
  <c r="F132" i="14"/>
  <c r="D132" i="14"/>
  <c r="C132" i="14"/>
  <c r="B132" i="14"/>
  <c r="I131" i="14"/>
  <c r="J131" i="14" s="1"/>
  <c r="F131" i="14"/>
  <c r="D131" i="14"/>
  <c r="C131" i="14"/>
  <c r="B131" i="14"/>
  <c r="I130" i="14"/>
  <c r="J130" i="14" s="1"/>
  <c r="F130" i="14"/>
  <c r="D130" i="14"/>
  <c r="C130" i="14"/>
  <c r="B130" i="14"/>
  <c r="J129" i="14"/>
  <c r="I129" i="14"/>
  <c r="F129" i="14"/>
  <c r="D129" i="14"/>
  <c r="C129" i="14"/>
  <c r="B129" i="14"/>
  <c r="I128" i="14"/>
  <c r="J128" i="14" s="1"/>
  <c r="F128" i="14"/>
  <c r="D128" i="14"/>
  <c r="C128" i="14"/>
  <c r="B128" i="14"/>
  <c r="I127" i="14"/>
  <c r="J127" i="14" s="1"/>
  <c r="F127" i="14"/>
  <c r="D127" i="14"/>
  <c r="C127" i="14"/>
  <c r="B127" i="14"/>
  <c r="I126" i="14"/>
  <c r="J126" i="14" s="1"/>
  <c r="F126" i="14"/>
  <c r="D126" i="14"/>
  <c r="C126" i="14"/>
  <c r="B126" i="14"/>
  <c r="J125" i="14"/>
  <c r="I125" i="14"/>
  <c r="F125" i="14"/>
  <c r="D125" i="14"/>
  <c r="C125" i="14"/>
  <c r="B125" i="14"/>
  <c r="I124" i="14"/>
  <c r="J124" i="14" s="1"/>
  <c r="F124" i="14"/>
  <c r="D124" i="14"/>
  <c r="C124" i="14"/>
  <c r="B124" i="14"/>
  <c r="I123" i="14"/>
  <c r="J123" i="14" s="1"/>
  <c r="F123" i="14"/>
  <c r="D123" i="14"/>
  <c r="C123" i="14"/>
  <c r="B123" i="14"/>
  <c r="I122" i="14"/>
  <c r="J122" i="14" s="1"/>
  <c r="F122" i="14"/>
  <c r="D122" i="14"/>
  <c r="C122" i="14"/>
  <c r="B122" i="14"/>
  <c r="J121" i="14"/>
  <c r="I121" i="14"/>
  <c r="F121" i="14"/>
  <c r="D121" i="14"/>
  <c r="C121" i="14"/>
  <c r="B121" i="14"/>
  <c r="I120" i="14"/>
  <c r="J120" i="14" s="1"/>
  <c r="F120" i="14"/>
  <c r="D120" i="14"/>
  <c r="C120" i="14"/>
  <c r="B120" i="14"/>
  <c r="I119" i="14"/>
  <c r="J119" i="14" s="1"/>
  <c r="F119" i="14"/>
  <c r="D119" i="14"/>
  <c r="C119" i="14"/>
  <c r="B119" i="14"/>
  <c r="I118" i="14"/>
  <c r="J118" i="14" s="1"/>
  <c r="F118" i="14"/>
  <c r="D118" i="14"/>
  <c r="C118" i="14"/>
  <c r="B118" i="14"/>
  <c r="J117" i="14"/>
  <c r="I117" i="14"/>
  <c r="F117" i="14"/>
  <c r="D117" i="14"/>
  <c r="C117" i="14"/>
  <c r="B117" i="14"/>
  <c r="I116" i="14"/>
  <c r="J116" i="14" s="1"/>
  <c r="F116" i="14"/>
  <c r="D116" i="14"/>
  <c r="C116" i="14"/>
  <c r="B116" i="14"/>
  <c r="I115" i="14"/>
  <c r="J115" i="14" s="1"/>
  <c r="F115" i="14"/>
  <c r="D115" i="14"/>
  <c r="C115" i="14"/>
  <c r="B115" i="14"/>
  <c r="I114" i="14"/>
  <c r="J114" i="14" s="1"/>
  <c r="F114" i="14"/>
  <c r="D114" i="14"/>
  <c r="C114" i="14"/>
  <c r="B114" i="14"/>
  <c r="J113" i="14"/>
  <c r="I113" i="14"/>
  <c r="F113" i="14"/>
  <c r="D113" i="14"/>
  <c r="C113" i="14"/>
  <c r="B113" i="14"/>
  <c r="I112" i="14"/>
  <c r="J112" i="14" s="1"/>
  <c r="F112" i="14"/>
  <c r="D112" i="14"/>
  <c r="C112" i="14"/>
  <c r="B112" i="14"/>
  <c r="I111" i="14"/>
  <c r="J111" i="14" s="1"/>
  <c r="F111" i="14"/>
  <c r="D111" i="14"/>
  <c r="C111" i="14"/>
  <c r="B111" i="14"/>
  <c r="I110" i="14"/>
  <c r="J110" i="14" s="1"/>
  <c r="F110" i="14"/>
  <c r="D110" i="14"/>
  <c r="C110" i="14"/>
  <c r="B110" i="14"/>
  <c r="J109" i="14"/>
  <c r="I109" i="14"/>
  <c r="F109" i="14"/>
  <c r="D109" i="14"/>
  <c r="C109" i="14"/>
  <c r="B109" i="14"/>
  <c r="I108" i="14"/>
  <c r="J108" i="14" s="1"/>
  <c r="F108" i="14"/>
  <c r="D108" i="14"/>
  <c r="C108" i="14"/>
  <c r="B108" i="14"/>
  <c r="I107" i="14"/>
  <c r="J107" i="14" s="1"/>
  <c r="F107" i="14"/>
  <c r="D107" i="14"/>
  <c r="C107" i="14"/>
  <c r="B107" i="14"/>
  <c r="I106" i="14"/>
  <c r="J106" i="14" s="1"/>
  <c r="F106" i="14"/>
  <c r="D106" i="14"/>
  <c r="C106" i="14"/>
  <c r="B106" i="14"/>
  <c r="J105" i="14"/>
  <c r="I105" i="14"/>
  <c r="F105" i="14"/>
  <c r="D105" i="14"/>
  <c r="C105" i="14"/>
  <c r="B105" i="14"/>
  <c r="I104" i="14"/>
  <c r="J104" i="14" s="1"/>
  <c r="F104" i="14"/>
  <c r="D104" i="14"/>
  <c r="C104" i="14"/>
  <c r="B104" i="14"/>
  <c r="I103" i="14"/>
  <c r="J103" i="14" s="1"/>
  <c r="F103" i="14"/>
  <c r="D103" i="14"/>
  <c r="C103" i="14"/>
  <c r="B103" i="14"/>
  <c r="I102" i="14"/>
  <c r="J102" i="14" s="1"/>
  <c r="F102" i="14"/>
  <c r="D102" i="14"/>
  <c r="C102" i="14"/>
  <c r="B102" i="14"/>
  <c r="J101" i="14"/>
  <c r="I101" i="14"/>
  <c r="F101" i="14"/>
  <c r="D101" i="14"/>
  <c r="C101" i="14"/>
  <c r="B101" i="14"/>
  <c r="I100" i="14"/>
  <c r="J100" i="14" s="1"/>
  <c r="F100" i="14"/>
  <c r="D100" i="14"/>
  <c r="C100" i="14"/>
  <c r="B100" i="14"/>
  <c r="I99" i="14"/>
  <c r="J99" i="14" s="1"/>
  <c r="F99" i="14"/>
  <c r="D99" i="14"/>
  <c r="C99" i="14"/>
  <c r="B99" i="14"/>
  <c r="I98" i="14"/>
  <c r="J98" i="14" s="1"/>
  <c r="F98" i="14"/>
  <c r="D98" i="14"/>
  <c r="C98" i="14"/>
  <c r="B98" i="14"/>
  <c r="J97" i="14"/>
  <c r="I97" i="14"/>
  <c r="F97" i="14"/>
  <c r="D97" i="14"/>
  <c r="C97" i="14"/>
  <c r="B97" i="14"/>
  <c r="I96" i="14"/>
  <c r="J96" i="14" s="1"/>
  <c r="F96" i="14"/>
  <c r="D96" i="14"/>
  <c r="C96" i="14"/>
  <c r="B96" i="14"/>
  <c r="I95" i="14"/>
  <c r="J95" i="14" s="1"/>
  <c r="F95" i="14"/>
  <c r="D95" i="14"/>
  <c r="C95" i="14"/>
  <c r="B95" i="14"/>
  <c r="I94" i="14"/>
  <c r="J94" i="14" s="1"/>
  <c r="F94" i="14"/>
  <c r="D94" i="14"/>
  <c r="C94" i="14"/>
  <c r="B94" i="14"/>
  <c r="J93" i="14"/>
  <c r="I93" i="14"/>
  <c r="F93" i="14"/>
  <c r="D93" i="14"/>
  <c r="C93" i="14"/>
  <c r="B93" i="14"/>
  <c r="I92" i="14"/>
  <c r="J92" i="14" s="1"/>
  <c r="F92" i="14"/>
  <c r="D92" i="14"/>
  <c r="C92" i="14"/>
  <c r="B92" i="14"/>
  <c r="I91" i="14"/>
  <c r="J91" i="14" s="1"/>
  <c r="F91" i="14"/>
  <c r="D91" i="14"/>
  <c r="C91" i="14"/>
  <c r="B91" i="14"/>
  <c r="I90" i="14"/>
  <c r="J90" i="14" s="1"/>
  <c r="F90" i="14"/>
  <c r="D90" i="14"/>
  <c r="C90" i="14"/>
  <c r="B90" i="14"/>
  <c r="J89" i="14"/>
  <c r="I89" i="14"/>
  <c r="F89" i="14"/>
  <c r="D89" i="14"/>
  <c r="C89" i="14"/>
  <c r="B89" i="14"/>
  <c r="I88" i="14"/>
  <c r="J88" i="14" s="1"/>
  <c r="F88" i="14"/>
  <c r="D88" i="14"/>
  <c r="C88" i="14"/>
  <c r="B88" i="14"/>
  <c r="I87" i="14"/>
  <c r="J87" i="14" s="1"/>
  <c r="F87" i="14"/>
  <c r="D87" i="14"/>
  <c r="C87" i="14"/>
  <c r="B87" i="14"/>
  <c r="I86" i="14"/>
  <c r="J86" i="14" s="1"/>
  <c r="F86" i="14"/>
  <c r="D86" i="14"/>
  <c r="C86" i="14"/>
  <c r="B86" i="14"/>
  <c r="J85" i="14"/>
  <c r="I85" i="14"/>
  <c r="F85" i="14"/>
  <c r="D85" i="14"/>
  <c r="C85" i="14"/>
  <c r="B85" i="14"/>
  <c r="I84" i="14"/>
  <c r="J84" i="14" s="1"/>
  <c r="F84" i="14"/>
  <c r="D84" i="14"/>
  <c r="C84" i="14"/>
  <c r="B84" i="14"/>
  <c r="I83" i="14"/>
  <c r="J83" i="14" s="1"/>
  <c r="F83" i="14"/>
  <c r="D83" i="14"/>
  <c r="C83" i="14"/>
  <c r="B83" i="14"/>
  <c r="I82" i="14"/>
  <c r="J82" i="14" s="1"/>
  <c r="F82" i="14"/>
  <c r="D82" i="14"/>
  <c r="C82" i="14"/>
  <c r="B82" i="14"/>
  <c r="J81" i="14"/>
  <c r="I81" i="14"/>
  <c r="F81" i="14"/>
  <c r="D81" i="14"/>
  <c r="C81" i="14"/>
  <c r="B81" i="14"/>
  <c r="I80" i="14"/>
  <c r="J80" i="14" s="1"/>
  <c r="F80" i="14"/>
  <c r="D80" i="14"/>
  <c r="C80" i="14"/>
  <c r="B80" i="14"/>
  <c r="I79" i="14"/>
  <c r="J79" i="14" s="1"/>
  <c r="F79" i="14"/>
  <c r="D79" i="14"/>
  <c r="C79" i="14"/>
  <c r="B79" i="14"/>
  <c r="I78" i="14"/>
  <c r="J78" i="14" s="1"/>
  <c r="F78" i="14"/>
  <c r="D78" i="14"/>
  <c r="C78" i="14"/>
  <c r="B78" i="14"/>
  <c r="J77" i="14"/>
  <c r="I77" i="14"/>
  <c r="F77" i="14"/>
  <c r="D77" i="14"/>
  <c r="C77" i="14"/>
  <c r="B77" i="14"/>
  <c r="I76" i="14"/>
  <c r="J76" i="14" s="1"/>
  <c r="F76" i="14"/>
  <c r="D76" i="14"/>
  <c r="C76" i="14"/>
  <c r="B76" i="14"/>
  <c r="I75" i="14"/>
  <c r="J75" i="14" s="1"/>
  <c r="F75" i="14"/>
  <c r="D75" i="14"/>
  <c r="C75" i="14"/>
  <c r="B75" i="14"/>
  <c r="I74" i="14"/>
  <c r="J74" i="14" s="1"/>
  <c r="F74" i="14"/>
  <c r="D74" i="14"/>
  <c r="C74" i="14"/>
  <c r="B74" i="14"/>
  <c r="J73" i="14"/>
  <c r="I73" i="14"/>
  <c r="F73" i="14"/>
  <c r="D73" i="14"/>
  <c r="C73" i="14"/>
  <c r="B73" i="14"/>
  <c r="I72" i="14"/>
  <c r="J72" i="14" s="1"/>
  <c r="F72" i="14"/>
  <c r="D72" i="14"/>
  <c r="C72" i="14"/>
  <c r="B72" i="14"/>
  <c r="I71" i="14"/>
  <c r="J71" i="14" s="1"/>
  <c r="F71" i="14"/>
  <c r="D71" i="14"/>
  <c r="C71" i="14"/>
  <c r="B71" i="14"/>
  <c r="I70" i="14"/>
  <c r="J70" i="14" s="1"/>
  <c r="F70" i="14"/>
  <c r="D70" i="14"/>
  <c r="C70" i="14"/>
  <c r="B70" i="14"/>
  <c r="J69" i="14"/>
  <c r="I69" i="14"/>
  <c r="F69" i="14"/>
  <c r="D69" i="14"/>
  <c r="C69" i="14"/>
  <c r="B69" i="14"/>
  <c r="I68" i="14"/>
  <c r="J68" i="14" s="1"/>
  <c r="F68" i="14"/>
  <c r="D68" i="14"/>
  <c r="C68" i="14"/>
  <c r="B68" i="14"/>
  <c r="I67" i="14"/>
  <c r="J67" i="14" s="1"/>
  <c r="F67" i="14"/>
  <c r="D67" i="14"/>
  <c r="C67" i="14"/>
  <c r="B67" i="14"/>
  <c r="I66" i="14"/>
  <c r="J66" i="14" s="1"/>
  <c r="F66" i="14"/>
  <c r="D66" i="14"/>
  <c r="C66" i="14"/>
  <c r="B66" i="14"/>
  <c r="J65" i="14"/>
  <c r="I65" i="14"/>
  <c r="F65" i="14"/>
  <c r="D65" i="14"/>
  <c r="C65" i="14"/>
  <c r="B65" i="14"/>
  <c r="I64" i="14"/>
  <c r="J64" i="14" s="1"/>
  <c r="F64" i="14"/>
  <c r="D64" i="14"/>
  <c r="C64" i="14"/>
  <c r="B64" i="14"/>
  <c r="I63" i="14"/>
  <c r="J63" i="14" s="1"/>
  <c r="F63" i="14"/>
  <c r="D63" i="14"/>
  <c r="C63" i="14"/>
  <c r="B63" i="14"/>
  <c r="I62" i="14"/>
  <c r="J62" i="14" s="1"/>
  <c r="F62" i="14"/>
  <c r="D62" i="14"/>
  <c r="C62" i="14"/>
  <c r="B62" i="14"/>
  <c r="J61" i="14"/>
  <c r="I61" i="14"/>
  <c r="F61" i="14"/>
  <c r="D61" i="14"/>
  <c r="C61" i="14"/>
  <c r="B61" i="14"/>
  <c r="I60" i="14"/>
  <c r="J60" i="14" s="1"/>
  <c r="F60" i="14"/>
  <c r="D60" i="14"/>
  <c r="C60" i="14"/>
  <c r="B60" i="14"/>
  <c r="I59" i="14"/>
  <c r="J59" i="14" s="1"/>
  <c r="F59" i="14"/>
  <c r="D59" i="14"/>
  <c r="C59" i="14"/>
  <c r="B59" i="14"/>
  <c r="I58" i="14"/>
  <c r="J58" i="14" s="1"/>
  <c r="F58" i="14"/>
  <c r="D58" i="14"/>
  <c r="C58" i="14"/>
  <c r="B58" i="14"/>
  <c r="J57" i="14"/>
  <c r="I57" i="14"/>
  <c r="F57" i="14"/>
  <c r="D57" i="14"/>
  <c r="C57" i="14"/>
  <c r="B57" i="14"/>
  <c r="I56" i="14"/>
  <c r="J56" i="14" s="1"/>
  <c r="F56" i="14"/>
  <c r="D56" i="14"/>
  <c r="C56" i="14"/>
  <c r="B56" i="14"/>
  <c r="I55" i="14"/>
  <c r="J55" i="14" s="1"/>
  <c r="F55" i="14"/>
  <c r="D55" i="14"/>
  <c r="C55" i="14"/>
  <c r="B55" i="14"/>
  <c r="I54" i="14"/>
  <c r="J54" i="14" s="1"/>
  <c r="F54" i="14"/>
  <c r="D54" i="14"/>
  <c r="C54" i="14"/>
  <c r="B54" i="14"/>
  <c r="J53" i="14"/>
  <c r="I53" i="14"/>
  <c r="F53" i="14"/>
  <c r="D53" i="14"/>
  <c r="C53" i="14"/>
  <c r="B53" i="14"/>
  <c r="I52" i="14"/>
  <c r="J52" i="14" s="1"/>
  <c r="F52" i="14"/>
  <c r="D52" i="14"/>
  <c r="C52" i="14"/>
  <c r="B52" i="14"/>
  <c r="I51" i="14"/>
  <c r="J51" i="14" s="1"/>
  <c r="F51" i="14"/>
  <c r="D51" i="14"/>
  <c r="C51" i="14"/>
  <c r="B51" i="14"/>
  <c r="I50" i="14"/>
  <c r="J50" i="14" s="1"/>
  <c r="F50" i="14"/>
  <c r="D50" i="14"/>
  <c r="C50" i="14"/>
  <c r="B50" i="14"/>
  <c r="J49" i="14"/>
  <c r="I49" i="14"/>
  <c r="F49" i="14"/>
  <c r="D49" i="14"/>
  <c r="C49" i="14"/>
  <c r="B49" i="14"/>
  <c r="I48" i="14"/>
  <c r="J48" i="14" s="1"/>
  <c r="F48" i="14"/>
  <c r="D48" i="14"/>
  <c r="C48" i="14"/>
  <c r="B48" i="14"/>
  <c r="I47" i="14"/>
  <c r="J47" i="14" s="1"/>
  <c r="F47" i="14"/>
  <c r="D47" i="14"/>
  <c r="C47" i="14"/>
  <c r="B47" i="14"/>
  <c r="I46" i="14"/>
  <c r="J46" i="14" s="1"/>
  <c r="F46" i="14"/>
  <c r="D46" i="14"/>
  <c r="C46" i="14"/>
  <c r="B46" i="14"/>
  <c r="J45" i="14"/>
  <c r="I45" i="14"/>
  <c r="F45" i="14"/>
  <c r="D45" i="14"/>
  <c r="C45" i="14"/>
  <c r="B45" i="14"/>
  <c r="I44" i="14"/>
  <c r="J44" i="14" s="1"/>
  <c r="F44" i="14"/>
  <c r="D44" i="14"/>
  <c r="C44" i="14"/>
  <c r="B44" i="14"/>
  <c r="I43" i="14"/>
  <c r="J43" i="14" s="1"/>
  <c r="F43" i="14"/>
  <c r="D43" i="14"/>
  <c r="C43" i="14"/>
  <c r="B43" i="14"/>
  <c r="I42" i="14"/>
  <c r="J42" i="14" s="1"/>
  <c r="F42" i="14"/>
  <c r="D42" i="14"/>
  <c r="C42" i="14"/>
  <c r="B42" i="14"/>
  <c r="J41" i="14"/>
  <c r="I41" i="14"/>
  <c r="F41" i="14"/>
  <c r="D41" i="14"/>
  <c r="C41" i="14"/>
  <c r="B41" i="14"/>
  <c r="I40" i="14"/>
  <c r="J40" i="14" s="1"/>
  <c r="F40" i="14"/>
  <c r="D40" i="14"/>
  <c r="C40" i="14"/>
  <c r="B40" i="14"/>
  <c r="I39" i="14"/>
  <c r="J39" i="14" s="1"/>
  <c r="F39" i="14"/>
  <c r="D39" i="14"/>
  <c r="C39" i="14"/>
  <c r="B39" i="14"/>
  <c r="I38" i="14"/>
  <c r="J38" i="14" s="1"/>
  <c r="F38" i="14"/>
  <c r="D38" i="14"/>
  <c r="C38" i="14"/>
  <c r="B38" i="14"/>
  <c r="J37" i="14"/>
  <c r="I37" i="14"/>
  <c r="F37" i="14"/>
  <c r="D37" i="14"/>
  <c r="C37" i="14"/>
  <c r="B37" i="14"/>
  <c r="I36" i="14"/>
  <c r="J36" i="14" s="1"/>
  <c r="F36" i="14"/>
  <c r="D36" i="14"/>
  <c r="C36" i="14"/>
  <c r="B36" i="14"/>
  <c r="I35" i="14"/>
  <c r="J35" i="14" s="1"/>
  <c r="F35" i="14"/>
  <c r="D35" i="14"/>
  <c r="C35" i="14"/>
  <c r="B35" i="14"/>
  <c r="I34" i="14"/>
  <c r="J34" i="14" s="1"/>
  <c r="F34" i="14"/>
  <c r="D34" i="14"/>
  <c r="C34" i="14"/>
  <c r="B34" i="14"/>
  <c r="J33" i="14"/>
  <c r="I33" i="14"/>
  <c r="F33" i="14"/>
  <c r="D33" i="14"/>
  <c r="C33" i="14"/>
  <c r="B33" i="14"/>
  <c r="I32" i="14"/>
  <c r="J32" i="14" s="1"/>
  <c r="F32" i="14"/>
  <c r="D32" i="14"/>
  <c r="C32" i="14"/>
  <c r="B32" i="14"/>
  <c r="I31" i="14"/>
  <c r="J31" i="14" s="1"/>
  <c r="F31" i="14"/>
  <c r="D31" i="14"/>
  <c r="C31" i="14"/>
  <c r="B31" i="14"/>
  <c r="I30" i="14"/>
  <c r="J30" i="14" s="1"/>
  <c r="F30" i="14"/>
  <c r="D30" i="14"/>
  <c r="C30" i="14"/>
  <c r="B30" i="14"/>
  <c r="J29" i="14"/>
  <c r="I29" i="14"/>
  <c r="F29" i="14"/>
  <c r="D29" i="14"/>
  <c r="C29" i="14"/>
  <c r="B29" i="14"/>
  <c r="I28" i="14"/>
  <c r="J28" i="14" s="1"/>
  <c r="F28" i="14"/>
  <c r="D28" i="14"/>
  <c r="C28" i="14"/>
  <c r="B28" i="14"/>
  <c r="I27" i="14"/>
  <c r="J27" i="14" s="1"/>
  <c r="F27" i="14"/>
  <c r="D27" i="14"/>
  <c r="C27" i="14"/>
  <c r="B27" i="14"/>
  <c r="I26" i="14"/>
  <c r="J26" i="14" s="1"/>
  <c r="F26" i="14"/>
  <c r="D26" i="14"/>
  <c r="C26" i="14"/>
  <c r="B26" i="14"/>
  <c r="J25" i="14"/>
  <c r="I25" i="14"/>
  <c r="F25" i="14"/>
  <c r="D25" i="14"/>
  <c r="C25" i="14"/>
  <c r="B25" i="14"/>
  <c r="I24" i="14"/>
  <c r="J24" i="14" s="1"/>
  <c r="F24" i="14"/>
  <c r="D24" i="14"/>
  <c r="C24" i="14"/>
  <c r="B24" i="14"/>
  <c r="I23" i="14"/>
  <c r="J23" i="14" s="1"/>
  <c r="F23" i="14"/>
  <c r="D23" i="14"/>
  <c r="C23" i="14"/>
  <c r="B23" i="14"/>
  <c r="I22" i="14"/>
  <c r="J22" i="14" s="1"/>
  <c r="F22" i="14"/>
  <c r="D22" i="14"/>
  <c r="C22" i="14"/>
  <c r="B22" i="14"/>
  <c r="J21" i="14"/>
  <c r="I21" i="14"/>
  <c r="F21" i="14"/>
  <c r="D21" i="14"/>
  <c r="C21" i="14"/>
  <c r="B21" i="14"/>
  <c r="I20" i="14"/>
  <c r="J20" i="14" s="1"/>
  <c r="F20" i="14"/>
  <c r="D20" i="14"/>
  <c r="C20" i="14"/>
  <c r="B20" i="14"/>
  <c r="I19" i="14"/>
  <c r="J19" i="14" s="1"/>
  <c r="F19" i="14"/>
  <c r="D19" i="14"/>
  <c r="C19" i="14"/>
  <c r="B19" i="14"/>
  <c r="I18" i="14"/>
  <c r="J18" i="14" s="1"/>
  <c r="F18" i="14"/>
  <c r="D18" i="14"/>
  <c r="C18" i="14"/>
  <c r="B18" i="14"/>
  <c r="J17" i="14"/>
  <c r="I17" i="14"/>
  <c r="F17" i="14"/>
  <c r="D17" i="14"/>
  <c r="C17" i="14"/>
  <c r="B17" i="14"/>
  <c r="I16" i="14"/>
  <c r="J16" i="14" s="1"/>
  <c r="F16" i="14"/>
  <c r="D16" i="14"/>
  <c r="C16" i="14"/>
  <c r="B16" i="14"/>
  <c r="I15" i="14"/>
  <c r="J15" i="14" s="1"/>
  <c r="F15" i="14"/>
  <c r="D15" i="14"/>
  <c r="C15" i="14"/>
  <c r="B15" i="14"/>
  <c r="I14" i="14"/>
  <c r="J14" i="14" s="1"/>
  <c r="F14" i="14"/>
  <c r="D14" i="14"/>
  <c r="C14" i="14"/>
  <c r="B14" i="14"/>
  <c r="J13" i="14"/>
  <c r="I13" i="14"/>
  <c r="F13" i="14"/>
  <c r="D13" i="14"/>
  <c r="C13" i="14"/>
  <c r="B13" i="14"/>
  <c r="I12" i="14"/>
  <c r="J12" i="14" s="1"/>
  <c r="F12" i="14"/>
  <c r="D12" i="14"/>
  <c r="C12" i="14"/>
  <c r="B12" i="14"/>
  <c r="I11" i="14"/>
  <c r="J11" i="14" s="1"/>
  <c r="F11" i="14"/>
  <c r="D11" i="14"/>
  <c r="C11" i="14"/>
  <c r="B11" i="14"/>
  <c r="I10" i="14"/>
  <c r="J10" i="14" s="1"/>
  <c r="F10" i="14"/>
  <c r="D10" i="14"/>
  <c r="C10" i="14"/>
  <c r="B10" i="14"/>
  <c r="J9" i="14"/>
  <c r="I9" i="14"/>
  <c r="F9" i="14"/>
  <c r="D9" i="14"/>
  <c r="C9" i="14"/>
  <c r="B9" i="14"/>
  <c r="G4" i="14"/>
  <c r="K213" i="13"/>
  <c r="I213" i="13"/>
  <c r="J213" i="13" s="1"/>
  <c r="D213" i="13"/>
  <c r="C213" i="13"/>
  <c r="A213" i="13"/>
  <c r="K212" i="13"/>
  <c r="J212" i="13"/>
  <c r="I212" i="13"/>
  <c r="D212" i="13"/>
  <c r="C212" i="13"/>
  <c r="A212" i="13"/>
  <c r="K211" i="13"/>
  <c r="I211" i="13"/>
  <c r="J211" i="13" s="1"/>
  <c r="D211" i="13"/>
  <c r="C211" i="13"/>
  <c r="A211" i="13"/>
  <c r="K210" i="13"/>
  <c r="I210" i="13"/>
  <c r="J210" i="13" s="1"/>
  <c r="D210" i="13"/>
  <c r="C210" i="13"/>
  <c r="A210" i="13"/>
  <c r="K209" i="13"/>
  <c r="I209" i="13"/>
  <c r="J209" i="13" s="1"/>
  <c r="D209" i="13"/>
  <c r="C209" i="13"/>
  <c r="A209" i="13"/>
  <c r="K208" i="13"/>
  <c r="J208" i="13"/>
  <c r="I208" i="13"/>
  <c r="D208" i="13"/>
  <c r="C208" i="13"/>
  <c r="A208" i="13"/>
  <c r="K207" i="13"/>
  <c r="I207" i="13"/>
  <c r="J207" i="13" s="1"/>
  <c r="D207" i="13"/>
  <c r="C207" i="13"/>
  <c r="A207" i="13"/>
  <c r="K206" i="13"/>
  <c r="I206" i="13"/>
  <c r="J206" i="13" s="1"/>
  <c r="D206" i="13"/>
  <c r="C206" i="13"/>
  <c r="A206" i="13"/>
  <c r="K205" i="13"/>
  <c r="I205" i="13"/>
  <c r="J205" i="13" s="1"/>
  <c r="D205" i="13"/>
  <c r="C205" i="13"/>
  <c r="A205" i="13"/>
  <c r="K204" i="13"/>
  <c r="J204" i="13"/>
  <c r="I204" i="13"/>
  <c r="D204" i="13"/>
  <c r="C204" i="13"/>
  <c r="A204" i="13"/>
  <c r="K203" i="13"/>
  <c r="I203" i="13"/>
  <c r="J203" i="13" s="1"/>
  <c r="D203" i="13"/>
  <c r="C203" i="13"/>
  <c r="A203" i="13"/>
  <c r="K202" i="13"/>
  <c r="I202" i="13"/>
  <c r="J202" i="13" s="1"/>
  <c r="D202" i="13"/>
  <c r="C202" i="13"/>
  <c r="A202" i="13"/>
  <c r="K201" i="13"/>
  <c r="I201" i="13"/>
  <c r="J201" i="13" s="1"/>
  <c r="D201" i="13"/>
  <c r="C201" i="13"/>
  <c r="A201" i="13"/>
  <c r="K200" i="13"/>
  <c r="J200" i="13"/>
  <c r="I200" i="13"/>
  <c r="D200" i="13"/>
  <c r="C200" i="13"/>
  <c r="A200" i="13"/>
  <c r="K199" i="13"/>
  <c r="I199" i="13"/>
  <c r="J199" i="13" s="1"/>
  <c r="D199" i="13"/>
  <c r="C199" i="13"/>
  <c r="A199" i="13"/>
  <c r="K198" i="13"/>
  <c r="I198" i="13"/>
  <c r="J198" i="13" s="1"/>
  <c r="D198" i="13"/>
  <c r="C198" i="13"/>
  <c r="A198" i="13"/>
  <c r="K197" i="13"/>
  <c r="I197" i="13"/>
  <c r="J197" i="13" s="1"/>
  <c r="D197" i="13"/>
  <c r="C197" i="13"/>
  <c r="A197" i="13"/>
  <c r="K196" i="13"/>
  <c r="J196" i="13"/>
  <c r="I196" i="13"/>
  <c r="D196" i="13"/>
  <c r="C196" i="13"/>
  <c r="A196" i="13"/>
  <c r="K195" i="13"/>
  <c r="I195" i="13"/>
  <c r="J195" i="13" s="1"/>
  <c r="D195" i="13"/>
  <c r="C195" i="13"/>
  <c r="A195" i="13"/>
  <c r="K194" i="13"/>
  <c r="I194" i="13"/>
  <c r="J194" i="13" s="1"/>
  <c r="D194" i="13"/>
  <c r="C194" i="13"/>
  <c r="A194" i="13"/>
  <c r="K193" i="13"/>
  <c r="I193" i="13"/>
  <c r="J193" i="13" s="1"/>
  <c r="D193" i="13"/>
  <c r="C193" i="13"/>
  <c r="A193" i="13"/>
  <c r="K192" i="13"/>
  <c r="J192" i="13"/>
  <c r="I192" i="13"/>
  <c r="D192" i="13"/>
  <c r="C192" i="13"/>
  <c r="A192" i="13"/>
  <c r="K191" i="13"/>
  <c r="I191" i="13"/>
  <c r="J191" i="13" s="1"/>
  <c r="D191" i="13"/>
  <c r="C191" i="13"/>
  <c r="A191" i="13"/>
  <c r="K190" i="13"/>
  <c r="I190" i="13"/>
  <c r="J190" i="13" s="1"/>
  <c r="D190" i="13"/>
  <c r="C190" i="13"/>
  <c r="A190" i="13"/>
  <c r="K189" i="13"/>
  <c r="I189" i="13"/>
  <c r="J189" i="13" s="1"/>
  <c r="D189" i="13"/>
  <c r="C189" i="13"/>
  <c r="A189" i="13"/>
  <c r="K188" i="13"/>
  <c r="J188" i="13"/>
  <c r="I188" i="13"/>
  <c r="D188" i="13"/>
  <c r="C188" i="13"/>
  <c r="A188" i="13"/>
  <c r="K187" i="13"/>
  <c r="I187" i="13"/>
  <c r="J187" i="13" s="1"/>
  <c r="D187" i="13"/>
  <c r="C187" i="13"/>
  <c r="A187" i="13"/>
  <c r="K186" i="13"/>
  <c r="I186" i="13"/>
  <c r="J186" i="13" s="1"/>
  <c r="D186" i="13"/>
  <c r="C186" i="13"/>
  <c r="A186" i="13"/>
  <c r="K185" i="13"/>
  <c r="I185" i="13"/>
  <c r="J185" i="13" s="1"/>
  <c r="D185" i="13"/>
  <c r="C185" i="13"/>
  <c r="A185" i="13"/>
  <c r="K184" i="13"/>
  <c r="J184" i="13"/>
  <c r="I184" i="13"/>
  <c r="D184" i="13"/>
  <c r="C184" i="13"/>
  <c r="A184" i="13"/>
  <c r="K183" i="13"/>
  <c r="I183" i="13"/>
  <c r="J183" i="13" s="1"/>
  <c r="D183" i="13"/>
  <c r="C183" i="13"/>
  <c r="A183" i="13"/>
  <c r="K182" i="13"/>
  <c r="I182" i="13"/>
  <c r="J182" i="13" s="1"/>
  <c r="D182" i="13"/>
  <c r="C182" i="13"/>
  <c r="A182" i="13"/>
  <c r="K181" i="13"/>
  <c r="I181" i="13"/>
  <c r="J181" i="13" s="1"/>
  <c r="D181" i="13"/>
  <c r="C181" i="13"/>
  <c r="A181" i="13"/>
  <c r="K180" i="13"/>
  <c r="J180" i="13"/>
  <c r="I180" i="13"/>
  <c r="D180" i="13"/>
  <c r="C180" i="13"/>
  <c r="A180" i="13"/>
  <c r="K179" i="13"/>
  <c r="I179" i="13"/>
  <c r="J179" i="13" s="1"/>
  <c r="D179" i="13"/>
  <c r="C179" i="13"/>
  <c r="A179" i="13"/>
  <c r="K178" i="13"/>
  <c r="I178" i="13"/>
  <c r="J178" i="13" s="1"/>
  <c r="D178" i="13"/>
  <c r="C178" i="13"/>
  <c r="A178" i="13"/>
  <c r="K177" i="13"/>
  <c r="I177" i="13"/>
  <c r="J177" i="13" s="1"/>
  <c r="D177" i="13"/>
  <c r="C177" i="13"/>
  <c r="A177" i="13"/>
  <c r="K176" i="13"/>
  <c r="J176" i="13"/>
  <c r="I176" i="13"/>
  <c r="D176" i="13"/>
  <c r="C176" i="13"/>
  <c r="A176" i="13"/>
  <c r="K175" i="13"/>
  <c r="I175" i="13"/>
  <c r="J175" i="13" s="1"/>
  <c r="D175" i="13"/>
  <c r="C175" i="13"/>
  <c r="A175" i="13"/>
  <c r="K174" i="13"/>
  <c r="I174" i="13"/>
  <c r="J174" i="13" s="1"/>
  <c r="D174" i="13"/>
  <c r="C174" i="13"/>
  <c r="A174" i="13"/>
  <c r="K173" i="13"/>
  <c r="I173" i="13"/>
  <c r="J173" i="13" s="1"/>
  <c r="D173" i="13"/>
  <c r="C173" i="13"/>
  <c r="A173" i="13"/>
  <c r="K172" i="13"/>
  <c r="J172" i="13"/>
  <c r="I172" i="13"/>
  <c r="D172" i="13"/>
  <c r="C172" i="13"/>
  <c r="A172" i="13"/>
  <c r="K171" i="13"/>
  <c r="I171" i="13"/>
  <c r="J171" i="13" s="1"/>
  <c r="D171" i="13"/>
  <c r="C171" i="13"/>
  <c r="A171" i="13"/>
  <c r="K170" i="13"/>
  <c r="I170" i="13"/>
  <c r="J170" i="13" s="1"/>
  <c r="D170" i="13"/>
  <c r="C170" i="13"/>
  <c r="A170" i="13"/>
  <c r="K169" i="13"/>
  <c r="I169" i="13"/>
  <c r="J169" i="13" s="1"/>
  <c r="D169" i="13"/>
  <c r="C169" i="13"/>
  <c r="A169" i="13"/>
  <c r="K168" i="13"/>
  <c r="J168" i="13"/>
  <c r="I168" i="13"/>
  <c r="D168" i="13"/>
  <c r="C168" i="13"/>
  <c r="A168" i="13"/>
  <c r="K167" i="13"/>
  <c r="I167" i="13"/>
  <c r="J167" i="13" s="1"/>
  <c r="D167" i="13"/>
  <c r="C167" i="13"/>
  <c r="A167" i="13"/>
  <c r="K166" i="13"/>
  <c r="J166" i="13"/>
  <c r="I166" i="13"/>
  <c r="D166" i="13"/>
  <c r="C166" i="13"/>
  <c r="A166" i="13"/>
  <c r="K165" i="13"/>
  <c r="I165" i="13"/>
  <c r="J165" i="13" s="1"/>
  <c r="D165" i="13"/>
  <c r="C165" i="13"/>
  <c r="A165" i="13"/>
  <c r="K164" i="13"/>
  <c r="J164" i="13"/>
  <c r="I164" i="13"/>
  <c r="D164" i="13"/>
  <c r="C164" i="13"/>
  <c r="A164" i="13"/>
  <c r="K163" i="13"/>
  <c r="I163" i="13"/>
  <c r="J163" i="13" s="1"/>
  <c r="D163" i="13"/>
  <c r="C163" i="13"/>
  <c r="A163" i="13"/>
  <c r="K162" i="13"/>
  <c r="J162" i="13"/>
  <c r="I162" i="13"/>
  <c r="D162" i="13"/>
  <c r="C162" i="13"/>
  <c r="A162" i="13"/>
  <c r="K161" i="13"/>
  <c r="I161" i="13"/>
  <c r="J161" i="13" s="1"/>
  <c r="D161" i="13"/>
  <c r="C161" i="13"/>
  <c r="A161" i="13"/>
  <c r="K160" i="13"/>
  <c r="J160" i="13"/>
  <c r="I160" i="13"/>
  <c r="D160" i="13"/>
  <c r="C160" i="13"/>
  <c r="A160" i="13"/>
  <c r="K159" i="13"/>
  <c r="I159" i="13"/>
  <c r="J159" i="13" s="1"/>
  <c r="D159" i="13"/>
  <c r="C159" i="13"/>
  <c r="A159" i="13"/>
  <c r="K158" i="13"/>
  <c r="J158" i="13"/>
  <c r="I158" i="13"/>
  <c r="D158" i="13"/>
  <c r="C158" i="13"/>
  <c r="A158" i="13"/>
  <c r="K157" i="13"/>
  <c r="I157" i="13"/>
  <c r="J157" i="13" s="1"/>
  <c r="D157" i="13"/>
  <c r="C157" i="13"/>
  <c r="A157" i="13"/>
  <c r="K156" i="13"/>
  <c r="J156" i="13"/>
  <c r="I156" i="13"/>
  <c r="D156" i="13"/>
  <c r="C156" i="13"/>
  <c r="A156" i="13"/>
  <c r="K155" i="13"/>
  <c r="I155" i="13"/>
  <c r="J155" i="13" s="1"/>
  <c r="D155" i="13"/>
  <c r="C155" i="13"/>
  <c r="A155" i="13"/>
  <c r="K154" i="13"/>
  <c r="I154" i="13"/>
  <c r="J154" i="13" s="1"/>
  <c r="D154" i="13"/>
  <c r="C154" i="13"/>
  <c r="A154" i="13"/>
  <c r="K153" i="13"/>
  <c r="I153" i="13"/>
  <c r="J153" i="13" s="1"/>
  <c r="D153" i="13"/>
  <c r="C153" i="13"/>
  <c r="A153" i="13"/>
  <c r="K152" i="13"/>
  <c r="J152" i="13"/>
  <c r="I152" i="13"/>
  <c r="D152" i="13"/>
  <c r="C152" i="13"/>
  <c r="A152" i="13"/>
  <c r="K151" i="13"/>
  <c r="I151" i="13"/>
  <c r="J151" i="13" s="1"/>
  <c r="D151" i="13"/>
  <c r="C151" i="13"/>
  <c r="A151" i="13"/>
  <c r="K150" i="13"/>
  <c r="J150" i="13"/>
  <c r="I150" i="13"/>
  <c r="D150" i="13"/>
  <c r="C150" i="13"/>
  <c r="A150" i="13"/>
  <c r="K149" i="13"/>
  <c r="I149" i="13"/>
  <c r="J149" i="13" s="1"/>
  <c r="D149" i="13"/>
  <c r="C149" i="13"/>
  <c r="A149" i="13"/>
  <c r="K148" i="13"/>
  <c r="J148" i="13"/>
  <c r="I148" i="13"/>
  <c r="D148" i="13"/>
  <c r="C148" i="13"/>
  <c r="A148" i="13"/>
  <c r="K147" i="13"/>
  <c r="I147" i="13"/>
  <c r="J147" i="13" s="1"/>
  <c r="D147" i="13"/>
  <c r="C147" i="13"/>
  <c r="A147" i="13"/>
  <c r="K146" i="13"/>
  <c r="J146" i="13"/>
  <c r="I146" i="13"/>
  <c r="D146" i="13"/>
  <c r="C146" i="13"/>
  <c r="A146" i="13"/>
  <c r="K145" i="13"/>
  <c r="I145" i="13"/>
  <c r="J145" i="13" s="1"/>
  <c r="D145" i="13"/>
  <c r="C145" i="13"/>
  <c r="A145" i="13"/>
  <c r="K144" i="13"/>
  <c r="J144" i="13"/>
  <c r="I144" i="13"/>
  <c r="D144" i="13"/>
  <c r="C144" i="13"/>
  <c r="A144" i="13"/>
  <c r="K143" i="13"/>
  <c r="I143" i="13"/>
  <c r="J143" i="13" s="1"/>
  <c r="D143" i="13"/>
  <c r="C143" i="13"/>
  <c r="A143" i="13"/>
  <c r="K142" i="13"/>
  <c r="J142" i="13"/>
  <c r="I142" i="13"/>
  <c r="D142" i="13"/>
  <c r="C142" i="13"/>
  <c r="A142" i="13"/>
  <c r="K141" i="13"/>
  <c r="I141" i="13"/>
  <c r="J141" i="13" s="1"/>
  <c r="D141" i="13"/>
  <c r="C141" i="13"/>
  <c r="A141" i="13"/>
  <c r="K140" i="13"/>
  <c r="J140" i="13"/>
  <c r="I140" i="13"/>
  <c r="D140" i="13"/>
  <c r="C140" i="13"/>
  <c r="A140" i="13"/>
  <c r="K139" i="13"/>
  <c r="I139" i="13"/>
  <c r="J139" i="13" s="1"/>
  <c r="D139" i="13"/>
  <c r="C139" i="13"/>
  <c r="A139" i="13"/>
  <c r="K138" i="13"/>
  <c r="I138" i="13"/>
  <c r="J138" i="13" s="1"/>
  <c r="D138" i="13"/>
  <c r="C138" i="13"/>
  <c r="A138" i="13"/>
  <c r="K137" i="13"/>
  <c r="I137" i="13"/>
  <c r="J137" i="13" s="1"/>
  <c r="D137" i="13"/>
  <c r="C137" i="13"/>
  <c r="A137" i="13"/>
  <c r="K136" i="13"/>
  <c r="J136" i="13"/>
  <c r="I136" i="13"/>
  <c r="D136" i="13"/>
  <c r="C136" i="13"/>
  <c r="A136" i="13"/>
  <c r="K135" i="13"/>
  <c r="I135" i="13"/>
  <c r="J135" i="13" s="1"/>
  <c r="D135" i="13"/>
  <c r="C135" i="13"/>
  <c r="A135" i="13"/>
  <c r="K134" i="13"/>
  <c r="J134" i="13"/>
  <c r="I134" i="13"/>
  <c r="D134" i="13"/>
  <c r="C134" i="13"/>
  <c r="A134" i="13"/>
  <c r="K133" i="13"/>
  <c r="I133" i="13"/>
  <c r="J133" i="13" s="1"/>
  <c r="D133" i="13"/>
  <c r="C133" i="13"/>
  <c r="A133" i="13"/>
  <c r="K132" i="13"/>
  <c r="J132" i="13"/>
  <c r="I132" i="13"/>
  <c r="D132" i="13"/>
  <c r="C132" i="13"/>
  <c r="A132" i="13"/>
  <c r="K131" i="13"/>
  <c r="I131" i="13"/>
  <c r="J131" i="13" s="1"/>
  <c r="D131" i="13"/>
  <c r="C131" i="13"/>
  <c r="A131" i="13"/>
  <c r="K130" i="13"/>
  <c r="J130" i="13"/>
  <c r="I130" i="13"/>
  <c r="D130" i="13"/>
  <c r="C130" i="13"/>
  <c r="A130" i="13"/>
  <c r="K129" i="13"/>
  <c r="I129" i="13"/>
  <c r="J129" i="13" s="1"/>
  <c r="D129" i="13"/>
  <c r="C129" i="13"/>
  <c r="A129" i="13"/>
  <c r="K128" i="13"/>
  <c r="J128" i="13"/>
  <c r="I128" i="13"/>
  <c r="D128" i="13"/>
  <c r="C128" i="13"/>
  <c r="A128" i="13"/>
  <c r="K127" i="13"/>
  <c r="I127" i="13"/>
  <c r="J127" i="13" s="1"/>
  <c r="D127" i="13"/>
  <c r="C127" i="13"/>
  <c r="A127" i="13"/>
  <c r="K126" i="13"/>
  <c r="J126" i="13"/>
  <c r="I126" i="13"/>
  <c r="D126" i="13"/>
  <c r="C126" i="13"/>
  <c r="A126" i="13"/>
  <c r="K125" i="13"/>
  <c r="I125" i="13"/>
  <c r="J125" i="13" s="1"/>
  <c r="D125" i="13"/>
  <c r="C125" i="13"/>
  <c r="A125" i="13"/>
  <c r="K124" i="13"/>
  <c r="J124" i="13"/>
  <c r="I124" i="13"/>
  <c r="D124" i="13"/>
  <c r="C124" i="13"/>
  <c r="A124" i="13"/>
  <c r="K123" i="13"/>
  <c r="I123" i="13"/>
  <c r="J123" i="13" s="1"/>
  <c r="D123" i="13"/>
  <c r="C123" i="13"/>
  <c r="A123" i="13"/>
  <c r="K122" i="13"/>
  <c r="I122" i="13"/>
  <c r="J122" i="13" s="1"/>
  <c r="D122" i="13"/>
  <c r="C122" i="13"/>
  <c r="A122" i="13"/>
  <c r="K121" i="13"/>
  <c r="I121" i="13"/>
  <c r="J121" i="13" s="1"/>
  <c r="D121" i="13"/>
  <c r="C121" i="13"/>
  <c r="A121" i="13"/>
  <c r="K120" i="13"/>
  <c r="J120" i="13"/>
  <c r="I120" i="13"/>
  <c r="D120" i="13"/>
  <c r="C120" i="13"/>
  <c r="A120" i="13"/>
  <c r="K119" i="13"/>
  <c r="I119" i="13"/>
  <c r="J119" i="13" s="1"/>
  <c r="D119" i="13"/>
  <c r="C119" i="13"/>
  <c r="A119" i="13"/>
  <c r="K118" i="13"/>
  <c r="I118" i="13"/>
  <c r="J118" i="13" s="1"/>
  <c r="D118" i="13"/>
  <c r="C118" i="13"/>
  <c r="A118" i="13"/>
  <c r="K117" i="13"/>
  <c r="I117" i="13"/>
  <c r="J117" i="13" s="1"/>
  <c r="D117" i="13"/>
  <c r="C117" i="13"/>
  <c r="A117" i="13"/>
  <c r="K116" i="13"/>
  <c r="J116" i="13"/>
  <c r="I116" i="13"/>
  <c r="D116" i="13"/>
  <c r="C116" i="13"/>
  <c r="A116" i="13"/>
  <c r="K115" i="13"/>
  <c r="I115" i="13"/>
  <c r="J115" i="13" s="1"/>
  <c r="D115" i="13"/>
  <c r="C115" i="13"/>
  <c r="A115" i="13"/>
  <c r="K114" i="13"/>
  <c r="J114" i="13"/>
  <c r="I114" i="13"/>
  <c r="D114" i="13"/>
  <c r="C114" i="13"/>
  <c r="A114" i="13"/>
  <c r="K113" i="13"/>
  <c r="I113" i="13"/>
  <c r="J113" i="13" s="1"/>
  <c r="D113" i="13"/>
  <c r="C113" i="13"/>
  <c r="A113" i="13"/>
  <c r="K112" i="13"/>
  <c r="J112" i="13"/>
  <c r="I112" i="13"/>
  <c r="D112" i="13"/>
  <c r="C112" i="13"/>
  <c r="A112" i="13"/>
  <c r="K111" i="13"/>
  <c r="I111" i="13"/>
  <c r="J111" i="13" s="1"/>
  <c r="D111" i="13"/>
  <c r="C111" i="13"/>
  <c r="A111" i="13"/>
  <c r="K110" i="13"/>
  <c r="J110" i="13"/>
  <c r="I110" i="13"/>
  <c r="D110" i="13"/>
  <c r="C110" i="13"/>
  <c r="A110" i="13"/>
  <c r="K109" i="13"/>
  <c r="I109" i="13"/>
  <c r="J109" i="13" s="1"/>
  <c r="D109" i="13"/>
  <c r="C109" i="13"/>
  <c r="A109" i="13"/>
  <c r="K108" i="13"/>
  <c r="J108" i="13"/>
  <c r="I108" i="13"/>
  <c r="D108" i="13"/>
  <c r="C108" i="13"/>
  <c r="A108" i="13"/>
  <c r="K107" i="13"/>
  <c r="I107" i="13"/>
  <c r="J107" i="13" s="1"/>
  <c r="D107" i="13"/>
  <c r="C107" i="13"/>
  <c r="A107" i="13"/>
  <c r="K106" i="13"/>
  <c r="I106" i="13"/>
  <c r="J106" i="13" s="1"/>
  <c r="D106" i="13"/>
  <c r="C106" i="13"/>
  <c r="A106" i="13"/>
  <c r="K105" i="13"/>
  <c r="I105" i="13"/>
  <c r="J105" i="13" s="1"/>
  <c r="D105" i="13"/>
  <c r="C105" i="13"/>
  <c r="A105" i="13"/>
  <c r="K104" i="13"/>
  <c r="J104" i="13"/>
  <c r="I104" i="13"/>
  <c r="D104" i="13"/>
  <c r="C104" i="13"/>
  <c r="A104" i="13"/>
  <c r="K103" i="13"/>
  <c r="I103" i="13"/>
  <c r="J103" i="13" s="1"/>
  <c r="D103" i="13"/>
  <c r="C103" i="13"/>
  <c r="A103" i="13"/>
  <c r="K102" i="13"/>
  <c r="I102" i="13"/>
  <c r="J102" i="13" s="1"/>
  <c r="D102" i="13"/>
  <c r="C102" i="13"/>
  <c r="A102" i="13"/>
  <c r="K101" i="13"/>
  <c r="I101" i="13"/>
  <c r="J101" i="13" s="1"/>
  <c r="D101" i="13"/>
  <c r="C101" i="13"/>
  <c r="A101" i="13"/>
  <c r="K100" i="13"/>
  <c r="J100" i="13"/>
  <c r="I100" i="13"/>
  <c r="D100" i="13"/>
  <c r="C100" i="13"/>
  <c r="A100" i="13"/>
  <c r="K99" i="13"/>
  <c r="I99" i="13"/>
  <c r="J99" i="13" s="1"/>
  <c r="D99" i="13"/>
  <c r="C99" i="13"/>
  <c r="A99" i="13"/>
  <c r="K98" i="13"/>
  <c r="J98" i="13"/>
  <c r="I98" i="13"/>
  <c r="D98" i="13"/>
  <c r="C98" i="13"/>
  <c r="A98" i="13"/>
  <c r="K97" i="13"/>
  <c r="I97" i="13"/>
  <c r="J97" i="13" s="1"/>
  <c r="D97" i="13"/>
  <c r="C97" i="13"/>
  <c r="A97" i="13"/>
  <c r="K96" i="13"/>
  <c r="J96" i="13"/>
  <c r="I96" i="13"/>
  <c r="D96" i="13"/>
  <c r="C96" i="13"/>
  <c r="A96" i="13"/>
  <c r="K95" i="13"/>
  <c r="I95" i="13"/>
  <c r="J95" i="13" s="1"/>
  <c r="D95" i="13"/>
  <c r="C95" i="13"/>
  <c r="A95" i="13"/>
  <c r="K94" i="13"/>
  <c r="J94" i="13"/>
  <c r="I94" i="13"/>
  <c r="D94" i="13"/>
  <c r="C94" i="13"/>
  <c r="A94" i="13"/>
  <c r="K93" i="13"/>
  <c r="I93" i="13"/>
  <c r="J93" i="13" s="1"/>
  <c r="D93" i="13"/>
  <c r="C93" i="13"/>
  <c r="A93" i="13"/>
  <c r="K92" i="13"/>
  <c r="I92" i="13"/>
  <c r="J92" i="13" s="1"/>
  <c r="D92" i="13"/>
  <c r="C92" i="13"/>
  <c r="A92" i="13"/>
  <c r="K91" i="13"/>
  <c r="I91" i="13"/>
  <c r="J91" i="13" s="1"/>
  <c r="D91" i="13"/>
  <c r="C91" i="13"/>
  <c r="A91" i="13"/>
  <c r="K90" i="13"/>
  <c r="I90" i="13"/>
  <c r="J90" i="13" s="1"/>
  <c r="D90" i="13"/>
  <c r="C90" i="13"/>
  <c r="A90" i="13"/>
  <c r="K89" i="13"/>
  <c r="I89" i="13"/>
  <c r="J89" i="13" s="1"/>
  <c r="D89" i="13"/>
  <c r="C89" i="13"/>
  <c r="A89" i="13"/>
  <c r="K88" i="13"/>
  <c r="I88" i="13"/>
  <c r="J88" i="13" s="1"/>
  <c r="D88" i="13"/>
  <c r="C88" i="13"/>
  <c r="A88" i="13"/>
  <c r="K87" i="13"/>
  <c r="I87" i="13"/>
  <c r="J87" i="13" s="1"/>
  <c r="D87" i="13"/>
  <c r="C87" i="13"/>
  <c r="A87" i="13"/>
  <c r="K86" i="13"/>
  <c r="I86" i="13"/>
  <c r="J86" i="13" s="1"/>
  <c r="D86" i="13"/>
  <c r="C86" i="13"/>
  <c r="A86" i="13"/>
  <c r="K85" i="13"/>
  <c r="I85" i="13"/>
  <c r="J85" i="13" s="1"/>
  <c r="D85" i="13"/>
  <c r="C85" i="13"/>
  <c r="A85" i="13"/>
  <c r="K84" i="13"/>
  <c r="I84" i="13"/>
  <c r="J84" i="13" s="1"/>
  <c r="D84" i="13"/>
  <c r="C84" i="13"/>
  <c r="A84" i="13"/>
  <c r="K83" i="13"/>
  <c r="I83" i="13"/>
  <c r="J83" i="13" s="1"/>
  <c r="D83" i="13"/>
  <c r="C83" i="13"/>
  <c r="A83" i="13"/>
  <c r="K82" i="13"/>
  <c r="J82" i="13"/>
  <c r="I82" i="13"/>
  <c r="D82" i="13"/>
  <c r="C82" i="13"/>
  <c r="A82" i="13"/>
  <c r="K81" i="13"/>
  <c r="I81" i="13"/>
  <c r="J81" i="13" s="1"/>
  <c r="D81" i="13"/>
  <c r="C81" i="13"/>
  <c r="A81" i="13"/>
  <c r="K80" i="13"/>
  <c r="J80" i="13"/>
  <c r="I80" i="13"/>
  <c r="D80" i="13"/>
  <c r="C80" i="13"/>
  <c r="A80" i="13"/>
  <c r="K79" i="13"/>
  <c r="I79" i="13"/>
  <c r="J79" i="13" s="1"/>
  <c r="D79" i="13"/>
  <c r="C79" i="13"/>
  <c r="A79" i="13"/>
  <c r="K78" i="13"/>
  <c r="J78" i="13"/>
  <c r="I78" i="13"/>
  <c r="D78" i="13"/>
  <c r="C78" i="13"/>
  <c r="A78" i="13"/>
  <c r="K77" i="13"/>
  <c r="I77" i="13"/>
  <c r="J77" i="13" s="1"/>
  <c r="D77" i="13"/>
  <c r="C77" i="13"/>
  <c r="A77" i="13"/>
  <c r="K76" i="13"/>
  <c r="I76" i="13"/>
  <c r="J76" i="13" s="1"/>
  <c r="D76" i="13"/>
  <c r="C76" i="13"/>
  <c r="A76" i="13"/>
  <c r="K75" i="13"/>
  <c r="I75" i="13"/>
  <c r="J75" i="13" s="1"/>
  <c r="D75" i="13"/>
  <c r="C75" i="13"/>
  <c r="A75" i="13"/>
  <c r="K74" i="13"/>
  <c r="I74" i="13"/>
  <c r="J74" i="13" s="1"/>
  <c r="D74" i="13"/>
  <c r="C74" i="13"/>
  <c r="A74" i="13"/>
  <c r="K73" i="13"/>
  <c r="I73" i="13"/>
  <c r="J73" i="13" s="1"/>
  <c r="D73" i="13"/>
  <c r="C73" i="13"/>
  <c r="A73" i="13"/>
  <c r="K72" i="13"/>
  <c r="I72" i="13"/>
  <c r="J72" i="13" s="1"/>
  <c r="D72" i="13"/>
  <c r="C72" i="13"/>
  <c r="A72" i="13"/>
  <c r="K71" i="13"/>
  <c r="I71" i="13"/>
  <c r="J71" i="13" s="1"/>
  <c r="D71" i="13"/>
  <c r="C71" i="13"/>
  <c r="A71" i="13"/>
  <c r="K70" i="13"/>
  <c r="I70" i="13"/>
  <c r="J70" i="13" s="1"/>
  <c r="D70" i="13"/>
  <c r="C70" i="13"/>
  <c r="A70" i="13"/>
  <c r="K69" i="13"/>
  <c r="I69" i="13"/>
  <c r="J69" i="13" s="1"/>
  <c r="D69" i="13"/>
  <c r="C69" i="13"/>
  <c r="A69" i="13"/>
  <c r="K68" i="13"/>
  <c r="I68" i="13"/>
  <c r="J68" i="13" s="1"/>
  <c r="D68" i="13"/>
  <c r="C68" i="13"/>
  <c r="A68" i="13"/>
  <c r="K67" i="13"/>
  <c r="I67" i="13"/>
  <c r="J67" i="13" s="1"/>
  <c r="D67" i="13"/>
  <c r="C67" i="13"/>
  <c r="A67" i="13"/>
  <c r="K66" i="13"/>
  <c r="J66" i="13"/>
  <c r="I66" i="13"/>
  <c r="D66" i="13"/>
  <c r="C66" i="13"/>
  <c r="A66" i="13"/>
  <c r="K65" i="13"/>
  <c r="I65" i="13"/>
  <c r="J65" i="13" s="1"/>
  <c r="D65" i="13"/>
  <c r="C65" i="13"/>
  <c r="A65" i="13"/>
  <c r="K64" i="13"/>
  <c r="J64" i="13"/>
  <c r="I64" i="13"/>
  <c r="D64" i="13"/>
  <c r="C64" i="13"/>
  <c r="A64" i="13"/>
  <c r="K63" i="13"/>
  <c r="I63" i="13"/>
  <c r="J63" i="13" s="1"/>
  <c r="D63" i="13"/>
  <c r="C63" i="13"/>
  <c r="A63" i="13"/>
  <c r="K62" i="13"/>
  <c r="J62" i="13"/>
  <c r="I62" i="13"/>
  <c r="D62" i="13"/>
  <c r="C62" i="13"/>
  <c r="A62" i="13"/>
  <c r="K61" i="13"/>
  <c r="I61" i="13"/>
  <c r="J61" i="13" s="1"/>
  <c r="D61" i="13"/>
  <c r="C61" i="13"/>
  <c r="A61" i="13"/>
  <c r="K60" i="13"/>
  <c r="I60" i="13"/>
  <c r="J60" i="13" s="1"/>
  <c r="D60" i="13"/>
  <c r="C60" i="13"/>
  <c r="A60" i="13"/>
  <c r="K59" i="13"/>
  <c r="I59" i="13"/>
  <c r="J59" i="13" s="1"/>
  <c r="D59" i="13"/>
  <c r="C59" i="13"/>
  <c r="A59" i="13"/>
  <c r="K58" i="13"/>
  <c r="I58" i="13"/>
  <c r="J58" i="13" s="1"/>
  <c r="D58" i="13"/>
  <c r="C58" i="13"/>
  <c r="A58" i="13"/>
  <c r="K57" i="13"/>
  <c r="I57" i="13"/>
  <c r="J57" i="13" s="1"/>
  <c r="D57" i="13"/>
  <c r="C57" i="13"/>
  <c r="A57" i="13"/>
  <c r="K56" i="13"/>
  <c r="I56" i="13"/>
  <c r="J56" i="13" s="1"/>
  <c r="D56" i="13"/>
  <c r="C56" i="13"/>
  <c r="A56" i="13"/>
  <c r="K55" i="13"/>
  <c r="I55" i="13"/>
  <c r="J55" i="13" s="1"/>
  <c r="D55" i="13"/>
  <c r="C55" i="13"/>
  <c r="A55" i="13"/>
  <c r="K54" i="13"/>
  <c r="I54" i="13"/>
  <c r="J54" i="13" s="1"/>
  <c r="D54" i="13"/>
  <c r="C54" i="13"/>
  <c r="A54" i="13"/>
  <c r="K53" i="13"/>
  <c r="I53" i="13"/>
  <c r="J53" i="13" s="1"/>
  <c r="D53" i="13"/>
  <c r="C53" i="13"/>
  <c r="A53" i="13"/>
  <c r="K52" i="13"/>
  <c r="I52" i="13"/>
  <c r="J52" i="13" s="1"/>
  <c r="D52" i="13"/>
  <c r="C52" i="13"/>
  <c r="A52" i="13"/>
  <c r="K51" i="13"/>
  <c r="J51" i="13"/>
  <c r="I51" i="13"/>
  <c r="D51" i="13"/>
  <c r="C51" i="13"/>
  <c r="A51" i="13"/>
  <c r="K50" i="13"/>
  <c r="I50" i="13"/>
  <c r="J50" i="13" s="1"/>
  <c r="D50" i="13"/>
  <c r="C50" i="13"/>
  <c r="A50" i="13"/>
  <c r="K49" i="13"/>
  <c r="I49" i="13"/>
  <c r="J49" i="13" s="1"/>
  <c r="D49" i="13"/>
  <c r="C49" i="13"/>
  <c r="A49" i="13"/>
  <c r="K48" i="13"/>
  <c r="I48" i="13"/>
  <c r="J48" i="13" s="1"/>
  <c r="D48" i="13"/>
  <c r="C48" i="13"/>
  <c r="A48" i="13"/>
  <c r="K47" i="13"/>
  <c r="J47" i="13"/>
  <c r="I47" i="13"/>
  <c r="D47" i="13"/>
  <c r="C47" i="13"/>
  <c r="A47" i="13"/>
  <c r="K46" i="13"/>
  <c r="I46" i="13"/>
  <c r="J46" i="13" s="1"/>
  <c r="D46" i="13"/>
  <c r="C46" i="13"/>
  <c r="A46" i="13"/>
  <c r="K45" i="13"/>
  <c r="I45" i="13"/>
  <c r="J45" i="13" s="1"/>
  <c r="D45" i="13"/>
  <c r="C45" i="13"/>
  <c r="A45" i="13"/>
  <c r="K44" i="13"/>
  <c r="I44" i="13"/>
  <c r="J44" i="13" s="1"/>
  <c r="D44" i="13"/>
  <c r="C44" i="13"/>
  <c r="A44" i="13"/>
  <c r="K43" i="13"/>
  <c r="J43" i="13"/>
  <c r="I43" i="13"/>
  <c r="D43" i="13"/>
  <c r="C43" i="13"/>
  <c r="A43" i="13"/>
  <c r="K42" i="13"/>
  <c r="I42" i="13"/>
  <c r="J42" i="13" s="1"/>
  <c r="D42" i="13"/>
  <c r="C42" i="13"/>
  <c r="A42" i="13"/>
  <c r="K41" i="13"/>
  <c r="I41" i="13"/>
  <c r="J41" i="13" s="1"/>
  <c r="D41" i="13"/>
  <c r="C41" i="13"/>
  <c r="A41" i="13"/>
  <c r="K40" i="13"/>
  <c r="I40" i="13"/>
  <c r="J40" i="13" s="1"/>
  <c r="D40" i="13"/>
  <c r="C40" i="13"/>
  <c r="A40" i="13"/>
  <c r="K39" i="13"/>
  <c r="J39" i="13"/>
  <c r="I39" i="13"/>
  <c r="D39" i="13"/>
  <c r="C39" i="13"/>
  <c r="A39" i="13"/>
  <c r="K38" i="13"/>
  <c r="I38" i="13"/>
  <c r="J38" i="13" s="1"/>
  <c r="D38" i="13"/>
  <c r="C38" i="13"/>
  <c r="A38" i="13"/>
  <c r="K37" i="13"/>
  <c r="I37" i="13"/>
  <c r="J37" i="13" s="1"/>
  <c r="D37" i="13"/>
  <c r="C37" i="13"/>
  <c r="A37" i="13"/>
  <c r="K36" i="13"/>
  <c r="I36" i="13"/>
  <c r="J36" i="13" s="1"/>
  <c r="D36" i="13"/>
  <c r="C36" i="13"/>
  <c r="A36" i="13"/>
  <c r="K35" i="13"/>
  <c r="J35" i="13"/>
  <c r="I35" i="13"/>
  <c r="D35" i="13"/>
  <c r="C35" i="13"/>
  <c r="A35" i="13"/>
  <c r="K34" i="13"/>
  <c r="I34" i="13"/>
  <c r="J34" i="13" s="1"/>
  <c r="D34" i="13"/>
  <c r="C34" i="13"/>
  <c r="A34" i="13"/>
  <c r="K33" i="13"/>
  <c r="I33" i="13"/>
  <c r="J33" i="13" s="1"/>
  <c r="D33" i="13"/>
  <c r="C33" i="13"/>
  <c r="A33" i="13"/>
  <c r="K32" i="13"/>
  <c r="I32" i="13"/>
  <c r="J32" i="13" s="1"/>
  <c r="D32" i="13"/>
  <c r="C32" i="13"/>
  <c r="A32" i="13"/>
  <c r="K31" i="13"/>
  <c r="J31" i="13"/>
  <c r="I31" i="13"/>
  <c r="D31" i="13"/>
  <c r="C31" i="13"/>
  <c r="A31" i="13"/>
  <c r="K30" i="13"/>
  <c r="I30" i="13"/>
  <c r="J30" i="13" s="1"/>
  <c r="D30" i="13"/>
  <c r="C30" i="13"/>
  <c r="A30" i="13"/>
  <c r="K29" i="13"/>
  <c r="I29" i="13"/>
  <c r="J29" i="13" s="1"/>
  <c r="D29" i="13"/>
  <c r="C29" i="13"/>
  <c r="A29" i="13"/>
  <c r="K28" i="13"/>
  <c r="I28" i="13"/>
  <c r="J28" i="13" s="1"/>
  <c r="D28" i="13"/>
  <c r="C28" i="13"/>
  <c r="A28" i="13"/>
  <c r="K27" i="13"/>
  <c r="J27" i="13"/>
  <c r="I27" i="13"/>
  <c r="D27" i="13"/>
  <c r="C27" i="13"/>
  <c r="A27" i="13"/>
  <c r="K26" i="13"/>
  <c r="I26" i="13"/>
  <c r="J26" i="13" s="1"/>
  <c r="D26" i="13"/>
  <c r="C26" i="13"/>
  <c r="A26" i="13"/>
  <c r="K25" i="13"/>
  <c r="I25" i="13"/>
  <c r="J25" i="13" s="1"/>
  <c r="D25" i="13"/>
  <c r="C25" i="13"/>
  <c r="A25" i="13"/>
  <c r="K24" i="13"/>
  <c r="I24" i="13"/>
  <c r="J24" i="13" s="1"/>
  <c r="D24" i="13"/>
  <c r="C24" i="13"/>
  <c r="A24" i="13"/>
  <c r="K23" i="13"/>
  <c r="J23" i="13"/>
  <c r="I23" i="13"/>
  <c r="D23" i="13"/>
  <c r="C23" i="13"/>
  <c r="A23" i="13"/>
  <c r="K22" i="13"/>
  <c r="I22" i="13"/>
  <c r="J22" i="13" s="1"/>
  <c r="D22" i="13"/>
  <c r="C22" i="13"/>
  <c r="A22" i="13"/>
  <c r="K21" i="13"/>
  <c r="I21" i="13"/>
  <c r="J21" i="13" s="1"/>
  <c r="D21" i="13"/>
  <c r="C21" i="13"/>
  <c r="A21" i="13"/>
  <c r="K20" i="13"/>
  <c r="I20" i="13"/>
  <c r="J20" i="13" s="1"/>
  <c r="D20" i="13"/>
  <c r="C20" i="13"/>
  <c r="A20" i="13"/>
  <c r="K19" i="13"/>
  <c r="J19" i="13"/>
  <c r="I19" i="13"/>
  <c r="D19" i="13"/>
  <c r="C19" i="13"/>
  <c r="A19" i="13"/>
  <c r="K18" i="13"/>
  <c r="I18" i="13"/>
  <c r="J18" i="13" s="1"/>
  <c r="D18" i="13"/>
  <c r="C18" i="13"/>
  <c r="A18" i="13"/>
  <c r="K17" i="13"/>
  <c r="I17" i="13"/>
  <c r="J17" i="13" s="1"/>
  <c r="D17" i="13"/>
  <c r="C17" i="13"/>
  <c r="A17" i="13"/>
  <c r="K16" i="13"/>
  <c r="I16" i="13"/>
  <c r="J16" i="13" s="1"/>
  <c r="D16" i="13"/>
  <c r="C16" i="13"/>
  <c r="A16" i="13"/>
  <c r="K15" i="13"/>
  <c r="J15" i="13"/>
  <c r="I15" i="13"/>
  <c r="D15" i="13"/>
  <c r="C15" i="13"/>
  <c r="A15" i="13"/>
  <c r="K14" i="13"/>
  <c r="I14" i="13"/>
  <c r="J14" i="13" s="1"/>
  <c r="D14" i="13"/>
  <c r="C14" i="13"/>
  <c r="A14" i="13"/>
  <c r="B10" i="13"/>
  <c r="B9" i="13"/>
  <c r="B8" i="13"/>
  <c r="J208" i="12"/>
  <c r="K208" i="12" s="1"/>
  <c r="G208" i="12"/>
  <c r="D208" i="12"/>
  <c r="C208" i="12"/>
  <c r="B208" i="12"/>
  <c r="J207" i="12"/>
  <c r="K207" i="12" s="1"/>
  <c r="G207" i="12"/>
  <c r="D207" i="12"/>
  <c r="C207" i="12"/>
  <c r="B207" i="12"/>
  <c r="J206" i="12"/>
  <c r="K206" i="12" s="1"/>
  <c r="G206" i="12"/>
  <c r="D206" i="12"/>
  <c r="C206" i="12"/>
  <c r="B206" i="12"/>
  <c r="K205" i="12"/>
  <c r="J205" i="12"/>
  <c r="G205" i="12"/>
  <c r="D205" i="12"/>
  <c r="C205" i="12"/>
  <c r="B205" i="12"/>
  <c r="J204" i="12"/>
  <c r="K204" i="12" s="1"/>
  <c r="G204" i="12"/>
  <c r="D204" i="12"/>
  <c r="C204" i="12"/>
  <c r="B204" i="12"/>
  <c r="J203" i="12"/>
  <c r="K203" i="12" s="1"/>
  <c r="G203" i="12"/>
  <c r="D203" i="12"/>
  <c r="C203" i="12"/>
  <c r="B203" i="12"/>
  <c r="J202" i="12"/>
  <c r="K202" i="12" s="1"/>
  <c r="G202" i="12"/>
  <c r="D202" i="12"/>
  <c r="C202" i="12"/>
  <c r="B202" i="12"/>
  <c r="K201" i="12"/>
  <c r="J201" i="12"/>
  <c r="G201" i="12"/>
  <c r="D201" i="12"/>
  <c r="C201" i="12"/>
  <c r="B201" i="12"/>
  <c r="J200" i="12"/>
  <c r="K200" i="12" s="1"/>
  <c r="G200" i="12"/>
  <c r="D200" i="12"/>
  <c r="C200" i="12"/>
  <c r="B200" i="12"/>
  <c r="J199" i="12"/>
  <c r="K199" i="12" s="1"/>
  <c r="G199" i="12"/>
  <c r="D199" i="12"/>
  <c r="C199" i="12"/>
  <c r="B199" i="12"/>
  <c r="J198" i="12"/>
  <c r="K198" i="12" s="1"/>
  <c r="G198" i="12"/>
  <c r="D198" i="12"/>
  <c r="C198" i="12"/>
  <c r="B198" i="12"/>
  <c r="K197" i="12"/>
  <c r="J197" i="12"/>
  <c r="G197" i="12"/>
  <c r="D197" i="12"/>
  <c r="C197" i="12"/>
  <c r="B197" i="12"/>
  <c r="J196" i="12"/>
  <c r="K196" i="12" s="1"/>
  <c r="G196" i="12"/>
  <c r="D196" i="12"/>
  <c r="C196" i="12"/>
  <c r="B196" i="12"/>
  <c r="J195" i="12"/>
  <c r="K195" i="12" s="1"/>
  <c r="G195" i="12"/>
  <c r="D195" i="12"/>
  <c r="C195" i="12"/>
  <c r="B195" i="12"/>
  <c r="J194" i="12"/>
  <c r="K194" i="12" s="1"/>
  <c r="G194" i="12"/>
  <c r="D194" i="12"/>
  <c r="C194" i="12"/>
  <c r="B194" i="12"/>
  <c r="K193" i="12"/>
  <c r="J193" i="12"/>
  <c r="G193" i="12"/>
  <c r="D193" i="12"/>
  <c r="C193" i="12"/>
  <c r="B193" i="12"/>
  <c r="J192" i="12"/>
  <c r="K192" i="12" s="1"/>
  <c r="G192" i="12"/>
  <c r="D192" i="12"/>
  <c r="C192" i="12"/>
  <c r="B192" i="12"/>
  <c r="J191" i="12"/>
  <c r="K191" i="12" s="1"/>
  <c r="G191" i="12"/>
  <c r="D191" i="12"/>
  <c r="C191" i="12"/>
  <c r="B191" i="12"/>
  <c r="J190" i="12"/>
  <c r="K190" i="12" s="1"/>
  <c r="G190" i="12"/>
  <c r="D190" i="12"/>
  <c r="C190" i="12"/>
  <c r="B190" i="12"/>
  <c r="K189" i="12"/>
  <c r="J189" i="12"/>
  <c r="G189" i="12"/>
  <c r="D189" i="12"/>
  <c r="C189" i="12"/>
  <c r="B189" i="12"/>
  <c r="J188" i="12"/>
  <c r="K188" i="12" s="1"/>
  <c r="G188" i="12"/>
  <c r="D188" i="12"/>
  <c r="C188" i="12"/>
  <c r="B188" i="12"/>
  <c r="J187" i="12"/>
  <c r="K187" i="12" s="1"/>
  <c r="G187" i="12"/>
  <c r="D187" i="12"/>
  <c r="C187" i="12"/>
  <c r="B187" i="12"/>
  <c r="J186" i="12"/>
  <c r="K186" i="12" s="1"/>
  <c r="G186" i="12"/>
  <c r="D186" i="12"/>
  <c r="C186" i="12"/>
  <c r="B186" i="12"/>
  <c r="K185" i="12"/>
  <c r="J185" i="12"/>
  <c r="G185" i="12"/>
  <c r="D185" i="12"/>
  <c r="C185" i="12"/>
  <c r="B185" i="12"/>
  <c r="J184" i="12"/>
  <c r="K184" i="12" s="1"/>
  <c r="G184" i="12"/>
  <c r="D184" i="12"/>
  <c r="C184" i="12"/>
  <c r="B184" i="12"/>
  <c r="J183" i="12"/>
  <c r="K183" i="12" s="1"/>
  <c r="G183" i="12"/>
  <c r="D183" i="12"/>
  <c r="C183" i="12"/>
  <c r="B183" i="12"/>
  <c r="J182" i="12"/>
  <c r="K182" i="12" s="1"/>
  <c r="G182" i="12"/>
  <c r="D182" i="12"/>
  <c r="C182" i="12"/>
  <c r="B182" i="12"/>
  <c r="K181" i="12"/>
  <c r="J181" i="12"/>
  <c r="G181" i="12"/>
  <c r="D181" i="12"/>
  <c r="C181" i="12"/>
  <c r="B181" i="12"/>
  <c r="J180" i="12"/>
  <c r="K180" i="12" s="1"/>
  <c r="G180" i="12"/>
  <c r="D180" i="12"/>
  <c r="C180" i="12"/>
  <c r="B180" i="12"/>
  <c r="J179" i="12"/>
  <c r="K179" i="12" s="1"/>
  <c r="G179" i="12"/>
  <c r="D179" i="12"/>
  <c r="C179" i="12"/>
  <c r="B179" i="12"/>
  <c r="J178" i="12"/>
  <c r="K178" i="12" s="1"/>
  <c r="G178" i="12"/>
  <c r="D178" i="12"/>
  <c r="C178" i="12"/>
  <c r="B178" i="12"/>
  <c r="K177" i="12"/>
  <c r="J177" i="12"/>
  <c r="G177" i="12"/>
  <c r="D177" i="12"/>
  <c r="C177" i="12"/>
  <c r="B177" i="12"/>
  <c r="J176" i="12"/>
  <c r="K176" i="12" s="1"/>
  <c r="G176" i="12"/>
  <c r="D176" i="12"/>
  <c r="C176" i="12"/>
  <c r="B176" i="12"/>
  <c r="J175" i="12"/>
  <c r="K175" i="12" s="1"/>
  <c r="G175" i="12"/>
  <c r="D175" i="12"/>
  <c r="C175" i="12"/>
  <c r="B175" i="12"/>
  <c r="J174" i="12"/>
  <c r="K174" i="12" s="1"/>
  <c r="G174" i="12"/>
  <c r="D174" i="12"/>
  <c r="C174" i="12"/>
  <c r="B174" i="12"/>
  <c r="K173" i="12"/>
  <c r="J173" i="12"/>
  <c r="G173" i="12"/>
  <c r="D173" i="12"/>
  <c r="C173" i="12"/>
  <c r="B173" i="12"/>
  <c r="J172" i="12"/>
  <c r="K172" i="12" s="1"/>
  <c r="G172" i="12"/>
  <c r="D172" i="12"/>
  <c r="C172" i="12"/>
  <c r="B172" i="12"/>
  <c r="J171" i="12"/>
  <c r="K171" i="12" s="1"/>
  <c r="G171" i="12"/>
  <c r="D171" i="12"/>
  <c r="C171" i="12"/>
  <c r="B171" i="12"/>
  <c r="J170" i="12"/>
  <c r="K170" i="12" s="1"/>
  <c r="G170" i="12"/>
  <c r="D170" i="12"/>
  <c r="C170" i="12"/>
  <c r="B170" i="12"/>
  <c r="K169" i="12"/>
  <c r="J169" i="12"/>
  <c r="G169" i="12"/>
  <c r="D169" i="12"/>
  <c r="C169" i="12"/>
  <c r="B169" i="12"/>
  <c r="J168" i="12"/>
  <c r="K168" i="12" s="1"/>
  <c r="G168" i="12"/>
  <c r="D168" i="12"/>
  <c r="C168" i="12"/>
  <c r="B168" i="12"/>
  <c r="J167" i="12"/>
  <c r="K167" i="12" s="1"/>
  <c r="G167" i="12"/>
  <c r="D167" i="12"/>
  <c r="C167" i="12"/>
  <c r="B167" i="12"/>
  <c r="J166" i="12"/>
  <c r="K166" i="12" s="1"/>
  <c r="G166" i="12"/>
  <c r="D166" i="12"/>
  <c r="C166" i="12"/>
  <c r="B166" i="12"/>
  <c r="K165" i="12"/>
  <c r="J165" i="12"/>
  <c r="G165" i="12"/>
  <c r="D165" i="12"/>
  <c r="C165" i="12"/>
  <c r="B165" i="12"/>
  <c r="J164" i="12"/>
  <c r="K164" i="12" s="1"/>
  <c r="G164" i="12"/>
  <c r="D164" i="12"/>
  <c r="C164" i="12"/>
  <c r="B164" i="12"/>
  <c r="J163" i="12"/>
  <c r="K163" i="12" s="1"/>
  <c r="G163" i="12"/>
  <c r="D163" i="12"/>
  <c r="C163" i="12"/>
  <c r="B163" i="12"/>
  <c r="J162" i="12"/>
  <c r="K162" i="12" s="1"/>
  <c r="G162" i="12"/>
  <c r="D162" i="12"/>
  <c r="C162" i="12"/>
  <c r="B162" i="12"/>
  <c r="K161" i="12"/>
  <c r="J161" i="12"/>
  <c r="G161" i="12"/>
  <c r="D161" i="12"/>
  <c r="C161" i="12"/>
  <c r="B161" i="12"/>
  <c r="J160" i="12"/>
  <c r="K160" i="12" s="1"/>
  <c r="G160" i="12"/>
  <c r="D160" i="12"/>
  <c r="C160" i="12"/>
  <c r="B160" i="12"/>
  <c r="J159" i="12"/>
  <c r="K159" i="12" s="1"/>
  <c r="G159" i="12"/>
  <c r="D159" i="12"/>
  <c r="C159" i="12"/>
  <c r="B159" i="12"/>
  <c r="J158" i="12"/>
  <c r="K158" i="12" s="1"/>
  <c r="G158" i="12"/>
  <c r="D158" i="12"/>
  <c r="C158" i="12"/>
  <c r="B158" i="12"/>
  <c r="K157" i="12"/>
  <c r="J157" i="12"/>
  <c r="G157" i="12"/>
  <c r="D157" i="12"/>
  <c r="C157" i="12"/>
  <c r="B157" i="12"/>
  <c r="J156" i="12"/>
  <c r="K156" i="12" s="1"/>
  <c r="G156" i="12"/>
  <c r="D156" i="12"/>
  <c r="C156" i="12"/>
  <c r="B156" i="12"/>
  <c r="J155" i="12"/>
  <c r="K155" i="12" s="1"/>
  <c r="G155" i="12"/>
  <c r="D155" i="12"/>
  <c r="C155" i="12"/>
  <c r="B155" i="12"/>
  <c r="J154" i="12"/>
  <c r="K154" i="12" s="1"/>
  <c r="G154" i="12"/>
  <c r="D154" i="12"/>
  <c r="C154" i="12"/>
  <c r="B154" i="12"/>
  <c r="K153" i="12"/>
  <c r="J153" i="12"/>
  <c r="G153" i="12"/>
  <c r="D153" i="12"/>
  <c r="C153" i="12"/>
  <c r="B153" i="12"/>
  <c r="J152" i="12"/>
  <c r="K152" i="12" s="1"/>
  <c r="G152" i="12"/>
  <c r="D152" i="12"/>
  <c r="C152" i="12"/>
  <c r="B152" i="12"/>
  <c r="J151" i="12"/>
  <c r="K151" i="12" s="1"/>
  <c r="G151" i="12"/>
  <c r="D151" i="12"/>
  <c r="C151" i="12"/>
  <c r="B151" i="12"/>
  <c r="J150" i="12"/>
  <c r="K150" i="12" s="1"/>
  <c r="G150" i="12"/>
  <c r="D150" i="12"/>
  <c r="C150" i="12"/>
  <c r="B150" i="12"/>
  <c r="K149" i="12"/>
  <c r="J149" i="12"/>
  <c r="G149" i="12"/>
  <c r="D149" i="12"/>
  <c r="C149" i="12"/>
  <c r="B149" i="12"/>
  <c r="J148" i="12"/>
  <c r="K148" i="12" s="1"/>
  <c r="G148" i="12"/>
  <c r="D148" i="12"/>
  <c r="C148" i="12"/>
  <c r="B148" i="12"/>
  <c r="J147" i="12"/>
  <c r="K147" i="12" s="1"/>
  <c r="G147" i="12"/>
  <c r="D147" i="12"/>
  <c r="C147" i="12"/>
  <c r="B147" i="12"/>
  <c r="J146" i="12"/>
  <c r="K146" i="12" s="1"/>
  <c r="G146" i="12"/>
  <c r="D146" i="12"/>
  <c r="C146" i="12"/>
  <c r="B146" i="12"/>
  <c r="K145" i="12"/>
  <c r="J145" i="12"/>
  <c r="G145" i="12"/>
  <c r="D145" i="12"/>
  <c r="C145" i="12"/>
  <c r="B145" i="12"/>
  <c r="J144" i="12"/>
  <c r="K144" i="12" s="1"/>
  <c r="G144" i="12"/>
  <c r="D144" i="12"/>
  <c r="C144" i="12"/>
  <c r="B144" i="12"/>
  <c r="J143" i="12"/>
  <c r="K143" i="12" s="1"/>
  <c r="G143" i="12"/>
  <c r="D143" i="12"/>
  <c r="C143" i="12"/>
  <c r="B143" i="12"/>
  <c r="J142" i="12"/>
  <c r="K142" i="12" s="1"/>
  <c r="G142" i="12"/>
  <c r="D142" i="12"/>
  <c r="C142" i="12"/>
  <c r="B142" i="12"/>
  <c r="K141" i="12"/>
  <c r="J141" i="12"/>
  <c r="G141" i="12"/>
  <c r="D141" i="12"/>
  <c r="C141" i="12"/>
  <c r="B141" i="12"/>
  <c r="J140" i="12"/>
  <c r="K140" i="12" s="1"/>
  <c r="G140" i="12"/>
  <c r="D140" i="12"/>
  <c r="C140" i="12"/>
  <c r="B140" i="12"/>
  <c r="J139" i="12"/>
  <c r="K139" i="12" s="1"/>
  <c r="G139" i="12"/>
  <c r="D139" i="12"/>
  <c r="C139" i="12"/>
  <c r="B139" i="12"/>
  <c r="J138" i="12"/>
  <c r="K138" i="12" s="1"/>
  <c r="G138" i="12"/>
  <c r="D138" i="12"/>
  <c r="C138" i="12"/>
  <c r="B138" i="12"/>
  <c r="K137" i="12"/>
  <c r="J137" i="12"/>
  <c r="G137" i="12"/>
  <c r="D137" i="12"/>
  <c r="C137" i="12"/>
  <c r="B137" i="12"/>
  <c r="J136" i="12"/>
  <c r="K136" i="12" s="1"/>
  <c r="G136" i="12"/>
  <c r="D136" i="12"/>
  <c r="C136" i="12"/>
  <c r="B136" i="12"/>
  <c r="J135" i="12"/>
  <c r="K135" i="12" s="1"/>
  <c r="G135" i="12"/>
  <c r="D135" i="12"/>
  <c r="C135" i="12"/>
  <c r="B135" i="12"/>
  <c r="J134" i="12"/>
  <c r="K134" i="12" s="1"/>
  <c r="G134" i="12"/>
  <c r="D134" i="12"/>
  <c r="C134" i="12"/>
  <c r="B134" i="12"/>
  <c r="K133" i="12"/>
  <c r="J133" i="12"/>
  <c r="G133" i="12"/>
  <c r="D133" i="12"/>
  <c r="C133" i="12"/>
  <c r="B133" i="12"/>
  <c r="J132" i="12"/>
  <c r="K132" i="12" s="1"/>
  <c r="G132" i="12"/>
  <c r="D132" i="12"/>
  <c r="C132" i="12"/>
  <c r="B132" i="12"/>
  <c r="J131" i="12"/>
  <c r="K131" i="12" s="1"/>
  <c r="G131" i="12"/>
  <c r="D131" i="12"/>
  <c r="C131" i="12"/>
  <c r="B131" i="12"/>
  <c r="J130" i="12"/>
  <c r="K130" i="12" s="1"/>
  <c r="G130" i="12"/>
  <c r="D130" i="12"/>
  <c r="C130" i="12"/>
  <c r="B130" i="12"/>
  <c r="K129" i="12"/>
  <c r="J129" i="12"/>
  <c r="G129" i="12"/>
  <c r="D129" i="12"/>
  <c r="C129" i="12"/>
  <c r="B129" i="12"/>
  <c r="J128" i="12"/>
  <c r="K128" i="12" s="1"/>
  <c r="G128" i="12"/>
  <c r="D128" i="12"/>
  <c r="C128" i="12"/>
  <c r="B128" i="12"/>
  <c r="J127" i="12"/>
  <c r="K127" i="12" s="1"/>
  <c r="G127" i="12"/>
  <c r="D127" i="12"/>
  <c r="C127" i="12"/>
  <c r="B127" i="12"/>
  <c r="J126" i="12"/>
  <c r="K126" i="12" s="1"/>
  <c r="G126" i="12"/>
  <c r="D126" i="12"/>
  <c r="C126" i="12"/>
  <c r="B126" i="12"/>
  <c r="K125" i="12"/>
  <c r="J125" i="12"/>
  <c r="G125" i="12"/>
  <c r="D125" i="12"/>
  <c r="C125" i="12"/>
  <c r="B125" i="12"/>
  <c r="J124" i="12"/>
  <c r="K124" i="12" s="1"/>
  <c r="G124" i="12"/>
  <c r="D124" i="12"/>
  <c r="C124" i="12"/>
  <c r="B124" i="12"/>
  <c r="J123" i="12"/>
  <c r="K123" i="12" s="1"/>
  <c r="G123" i="12"/>
  <c r="D123" i="12"/>
  <c r="C123" i="12"/>
  <c r="B123" i="12"/>
  <c r="J122" i="12"/>
  <c r="K122" i="12" s="1"/>
  <c r="G122" i="12"/>
  <c r="D122" i="12"/>
  <c r="C122" i="12"/>
  <c r="B122" i="12"/>
  <c r="K121" i="12"/>
  <c r="J121" i="12"/>
  <c r="G121" i="12"/>
  <c r="D121" i="12"/>
  <c r="C121" i="12"/>
  <c r="B121" i="12"/>
  <c r="J120" i="12"/>
  <c r="K120" i="12" s="1"/>
  <c r="G120" i="12"/>
  <c r="D120" i="12"/>
  <c r="C120" i="12"/>
  <c r="B120" i="12"/>
  <c r="J119" i="12"/>
  <c r="K119" i="12" s="1"/>
  <c r="G119" i="12"/>
  <c r="D119" i="12"/>
  <c r="C119" i="12"/>
  <c r="B119" i="12"/>
  <c r="J118" i="12"/>
  <c r="K118" i="12" s="1"/>
  <c r="G118" i="12"/>
  <c r="D118" i="12"/>
  <c r="C118" i="12"/>
  <c r="B118" i="12"/>
  <c r="K117" i="12"/>
  <c r="J117" i="12"/>
  <c r="G117" i="12"/>
  <c r="D117" i="12"/>
  <c r="C117" i="12"/>
  <c r="B117" i="12"/>
  <c r="J116" i="12"/>
  <c r="K116" i="12" s="1"/>
  <c r="G116" i="12"/>
  <c r="D116" i="12"/>
  <c r="C116" i="12"/>
  <c r="B116" i="12"/>
  <c r="J115" i="12"/>
  <c r="K115" i="12" s="1"/>
  <c r="G115" i="12"/>
  <c r="D115" i="12"/>
  <c r="C115" i="12"/>
  <c r="B115" i="12"/>
  <c r="J114" i="12"/>
  <c r="K114" i="12" s="1"/>
  <c r="G114" i="12"/>
  <c r="D114" i="12"/>
  <c r="C114" i="12"/>
  <c r="B114" i="12"/>
  <c r="K113" i="12"/>
  <c r="J113" i="12"/>
  <c r="G113" i="12"/>
  <c r="D113" i="12"/>
  <c r="C113" i="12"/>
  <c r="B113" i="12"/>
  <c r="J112" i="12"/>
  <c r="K112" i="12" s="1"/>
  <c r="G112" i="12"/>
  <c r="D112" i="12"/>
  <c r="C112" i="12"/>
  <c r="B112" i="12"/>
  <c r="J111" i="12"/>
  <c r="K111" i="12" s="1"/>
  <c r="G111" i="12"/>
  <c r="D111" i="12"/>
  <c r="C111" i="12"/>
  <c r="B111" i="12"/>
  <c r="J110" i="12"/>
  <c r="K110" i="12" s="1"/>
  <c r="G110" i="12"/>
  <c r="D110" i="12"/>
  <c r="C110" i="12"/>
  <c r="B110" i="12"/>
  <c r="K109" i="12"/>
  <c r="J109" i="12"/>
  <c r="G109" i="12"/>
  <c r="D109" i="12"/>
  <c r="C109" i="12"/>
  <c r="B109" i="12"/>
  <c r="J108" i="12"/>
  <c r="K108" i="12" s="1"/>
  <c r="G108" i="12"/>
  <c r="D108" i="12"/>
  <c r="C108" i="12"/>
  <c r="B108" i="12"/>
  <c r="J107" i="12"/>
  <c r="K107" i="12" s="1"/>
  <c r="G107" i="12"/>
  <c r="D107" i="12"/>
  <c r="C107" i="12"/>
  <c r="B107" i="12"/>
  <c r="J106" i="12"/>
  <c r="K106" i="12" s="1"/>
  <c r="G106" i="12"/>
  <c r="D106" i="12"/>
  <c r="C106" i="12"/>
  <c r="B106" i="12"/>
  <c r="K105" i="12"/>
  <c r="J105" i="12"/>
  <c r="G105" i="12"/>
  <c r="D105" i="12"/>
  <c r="C105" i="12"/>
  <c r="B105" i="12"/>
  <c r="J104" i="12"/>
  <c r="K104" i="12" s="1"/>
  <c r="G104" i="12"/>
  <c r="D104" i="12"/>
  <c r="C104" i="12"/>
  <c r="B104" i="12"/>
  <c r="J103" i="12"/>
  <c r="K103" i="12" s="1"/>
  <c r="G103" i="12"/>
  <c r="D103" i="12"/>
  <c r="C103" i="12"/>
  <c r="B103" i="12"/>
  <c r="J102" i="12"/>
  <c r="K102" i="12" s="1"/>
  <c r="G102" i="12"/>
  <c r="D102" i="12"/>
  <c r="C102" i="12"/>
  <c r="B102" i="12"/>
  <c r="K101" i="12"/>
  <c r="J101" i="12"/>
  <c r="G101" i="12"/>
  <c r="D101" i="12"/>
  <c r="C101" i="12"/>
  <c r="B101" i="12"/>
  <c r="J100" i="12"/>
  <c r="K100" i="12" s="1"/>
  <c r="G100" i="12"/>
  <c r="D100" i="12"/>
  <c r="C100" i="12"/>
  <c r="B100" i="12"/>
  <c r="J99" i="12"/>
  <c r="K99" i="12" s="1"/>
  <c r="G99" i="12"/>
  <c r="D99" i="12"/>
  <c r="C99" i="12"/>
  <c r="B99" i="12"/>
  <c r="J98" i="12"/>
  <c r="K98" i="12" s="1"/>
  <c r="G98" i="12"/>
  <c r="D98" i="12"/>
  <c r="C98" i="12"/>
  <c r="B98" i="12"/>
  <c r="K97" i="12"/>
  <c r="J97" i="12"/>
  <c r="G97" i="12"/>
  <c r="D97" i="12"/>
  <c r="C97" i="12"/>
  <c r="B97" i="12"/>
  <c r="J96" i="12"/>
  <c r="K96" i="12" s="1"/>
  <c r="G96" i="12"/>
  <c r="D96" i="12"/>
  <c r="C96" i="12"/>
  <c r="B96" i="12"/>
  <c r="J95" i="12"/>
  <c r="K95" i="12" s="1"/>
  <c r="G95" i="12"/>
  <c r="D95" i="12"/>
  <c r="C95" i="12"/>
  <c r="B95" i="12"/>
  <c r="J94" i="12"/>
  <c r="K94" i="12" s="1"/>
  <c r="G94" i="12"/>
  <c r="D94" i="12"/>
  <c r="C94" i="12"/>
  <c r="B94" i="12"/>
  <c r="K93" i="12"/>
  <c r="J93" i="12"/>
  <c r="G93" i="12"/>
  <c r="D93" i="12"/>
  <c r="C93" i="12"/>
  <c r="B93" i="12"/>
  <c r="J92" i="12"/>
  <c r="K92" i="12" s="1"/>
  <c r="G92" i="12"/>
  <c r="D92" i="12"/>
  <c r="C92" i="12"/>
  <c r="B92" i="12"/>
  <c r="J91" i="12"/>
  <c r="K91" i="12" s="1"/>
  <c r="G91" i="12"/>
  <c r="D91" i="12"/>
  <c r="C91" i="12"/>
  <c r="B91" i="12"/>
  <c r="J90" i="12"/>
  <c r="K90" i="12" s="1"/>
  <c r="G90" i="12"/>
  <c r="D90" i="12"/>
  <c r="C90" i="12"/>
  <c r="B90" i="12"/>
  <c r="K89" i="12"/>
  <c r="J89" i="12"/>
  <c r="G89" i="12"/>
  <c r="D89" i="12"/>
  <c r="C89" i="12"/>
  <c r="B89" i="12"/>
  <c r="J88" i="12"/>
  <c r="K88" i="12" s="1"/>
  <c r="G88" i="12"/>
  <c r="D88" i="12"/>
  <c r="C88" i="12"/>
  <c r="B88" i="12"/>
  <c r="J87" i="12"/>
  <c r="K87" i="12" s="1"/>
  <c r="G87" i="12"/>
  <c r="D87" i="12"/>
  <c r="C87" i="12"/>
  <c r="B87" i="12"/>
  <c r="J86" i="12"/>
  <c r="K86" i="12" s="1"/>
  <c r="G86" i="12"/>
  <c r="D86" i="12"/>
  <c r="C86" i="12"/>
  <c r="B86" i="12"/>
  <c r="K85" i="12"/>
  <c r="J85" i="12"/>
  <c r="G85" i="12"/>
  <c r="D85" i="12"/>
  <c r="C85" i="12"/>
  <c r="B85" i="12"/>
  <c r="J84" i="12"/>
  <c r="K84" i="12" s="1"/>
  <c r="G84" i="12"/>
  <c r="D84" i="12"/>
  <c r="C84" i="12"/>
  <c r="B84" i="12"/>
  <c r="J83" i="12"/>
  <c r="K83" i="12" s="1"/>
  <c r="G83" i="12"/>
  <c r="D83" i="12"/>
  <c r="C83" i="12"/>
  <c r="B83" i="12"/>
  <c r="J82" i="12"/>
  <c r="K82" i="12" s="1"/>
  <c r="G82" i="12"/>
  <c r="D82" i="12"/>
  <c r="C82" i="12"/>
  <c r="B82" i="12"/>
  <c r="K81" i="12"/>
  <c r="J81" i="12"/>
  <c r="G81" i="12"/>
  <c r="D81" i="12"/>
  <c r="C81" i="12"/>
  <c r="B81" i="12"/>
  <c r="J80" i="12"/>
  <c r="K80" i="12" s="1"/>
  <c r="G80" i="12"/>
  <c r="D80" i="12"/>
  <c r="C80" i="12"/>
  <c r="B80" i="12"/>
  <c r="J79" i="12"/>
  <c r="K79" i="12" s="1"/>
  <c r="G79" i="12"/>
  <c r="D79" i="12"/>
  <c r="C79" i="12"/>
  <c r="B79" i="12"/>
  <c r="J78" i="12"/>
  <c r="K78" i="12" s="1"/>
  <c r="G78" i="12"/>
  <c r="D78" i="12"/>
  <c r="C78" i="12"/>
  <c r="B78" i="12"/>
  <c r="K77" i="12"/>
  <c r="J77" i="12"/>
  <c r="G77" i="12"/>
  <c r="D77" i="12"/>
  <c r="C77" i="12"/>
  <c r="B77" i="12"/>
  <c r="J76" i="12"/>
  <c r="K76" i="12" s="1"/>
  <c r="G76" i="12"/>
  <c r="D76" i="12"/>
  <c r="C76" i="12"/>
  <c r="B76" i="12"/>
  <c r="J75" i="12"/>
  <c r="K75" i="12" s="1"/>
  <c r="G75" i="12"/>
  <c r="D75" i="12"/>
  <c r="C75" i="12"/>
  <c r="B75" i="12"/>
  <c r="J74" i="12"/>
  <c r="K74" i="12" s="1"/>
  <c r="G74" i="12"/>
  <c r="D74" i="12"/>
  <c r="C74" i="12"/>
  <c r="B74" i="12"/>
  <c r="K73" i="12"/>
  <c r="J73" i="12"/>
  <c r="G73" i="12"/>
  <c r="D73" i="12"/>
  <c r="C73" i="12"/>
  <c r="B73" i="12"/>
  <c r="J72" i="12"/>
  <c r="K72" i="12" s="1"/>
  <c r="G72" i="12"/>
  <c r="D72" i="12"/>
  <c r="C72" i="12"/>
  <c r="B72" i="12"/>
  <c r="J71" i="12"/>
  <c r="K71" i="12" s="1"/>
  <c r="G71" i="12"/>
  <c r="D71" i="12"/>
  <c r="C71" i="12"/>
  <c r="B71" i="12"/>
  <c r="J70" i="12"/>
  <c r="K70" i="12" s="1"/>
  <c r="G70" i="12"/>
  <c r="D70" i="12"/>
  <c r="C70" i="12"/>
  <c r="B70" i="12"/>
  <c r="K69" i="12"/>
  <c r="J69" i="12"/>
  <c r="G69" i="12"/>
  <c r="D69" i="12"/>
  <c r="C69" i="12"/>
  <c r="B69" i="12"/>
  <c r="J68" i="12"/>
  <c r="K68" i="12" s="1"/>
  <c r="G68" i="12"/>
  <c r="D68" i="12"/>
  <c r="C68" i="12"/>
  <c r="B68" i="12"/>
  <c r="J67" i="12"/>
  <c r="K67" i="12" s="1"/>
  <c r="G67" i="12"/>
  <c r="D67" i="12"/>
  <c r="C67" i="12"/>
  <c r="B67" i="12"/>
  <c r="J66" i="12"/>
  <c r="K66" i="12" s="1"/>
  <c r="G66" i="12"/>
  <c r="D66" i="12"/>
  <c r="C66" i="12"/>
  <c r="B66" i="12"/>
  <c r="K65" i="12"/>
  <c r="J65" i="12"/>
  <c r="G65" i="12"/>
  <c r="D65" i="12"/>
  <c r="C65" i="12"/>
  <c r="B65" i="12"/>
  <c r="J64" i="12"/>
  <c r="K64" i="12" s="1"/>
  <c r="G64" i="12"/>
  <c r="D64" i="12"/>
  <c r="C64" i="12"/>
  <c r="B64" i="12"/>
  <c r="J63" i="12"/>
  <c r="K63" i="12" s="1"/>
  <c r="G63" i="12"/>
  <c r="D63" i="12"/>
  <c r="C63" i="12"/>
  <c r="B63" i="12"/>
  <c r="J62" i="12"/>
  <c r="K62" i="12" s="1"/>
  <c r="G62" i="12"/>
  <c r="D62" i="12"/>
  <c r="C62" i="12"/>
  <c r="B62" i="12"/>
  <c r="K61" i="12"/>
  <c r="J61" i="12"/>
  <c r="G61" i="12"/>
  <c r="D61" i="12"/>
  <c r="C61" i="12"/>
  <c r="B61" i="12"/>
  <c r="J60" i="12"/>
  <c r="K60" i="12" s="1"/>
  <c r="G60" i="12"/>
  <c r="D60" i="12"/>
  <c r="C60" i="12"/>
  <c r="B60" i="12"/>
  <c r="J59" i="12"/>
  <c r="K59" i="12" s="1"/>
  <c r="G59" i="12"/>
  <c r="D59" i="12"/>
  <c r="C59" i="12"/>
  <c r="B59" i="12"/>
  <c r="J58" i="12"/>
  <c r="K58" i="12" s="1"/>
  <c r="G58" i="12"/>
  <c r="D58" i="12"/>
  <c r="C58" i="12"/>
  <c r="B58" i="12"/>
  <c r="K57" i="12"/>
  <c r="J57" i="12"/>
  <c r="G57" i="12"/>
  <c r="D57" i="12"/>
  <c r="C57" i="12"/>
  <c r="B57" i="12"/>
  <c r="J56" i="12"/>
  <c r="K56" i="12" s="1"/>
  <c r="G56" i="12"/>
  <c r="D56" i="12"/>
  <c r="C56" i="12"/>
  <c r="B56" i="12"/>
  <c r="J55" i="12"/>
  <c r="K55" i="12" s="1"/>
  <c r="G55" i="12"/>
  <c r="D55" i="12"/>
  <c r="C55" i="12"/>
  <c r="B55" i="12"/>
  <c r="J54" i="12"/>
  <c r="K54" i="12" s="1"/>
  <c r="G54" i="12"/>
  <c r="D54" i="12"/>
  <c r="C54" i="12"/>
  <c r="B54" i="12"/>
  <c r="K53" i="12"/>
  <c r="J53" i="12"/>
  <c r="G53" i="12"/>
  <c r="D53" i="12"/>
  <c r="C53" i="12"/>
  <c r="B53" i="12"/>
  <c r="J52" i="12"/>
  <c r="K52" i="12" s="1"/>
  <c r="G52" i="12"/>
  <c r="D52" i="12"/>
  <c r="C52" i="12"/>
  <c r="B52" i="12"/>
  <c r="J51" i="12"/>
  <c r="K51" i="12" s="1"/>
  <c r="G51" i="12"/>
  <c r="D51" i="12"/>
  <c r="C51" i="12"/>
  <c r="B51" i="12"/>
  <c r="J50" i="12"/>
  <c r="K50" i="12" s="1"/>
  <c r="G50" i="12"/>
  <c r="D50" i="12"/>
  <c r="C50" i="12"/>
  <c r="B50" i="12"/>
  <c r="K49" i="12"/>
  <c r="J49" i="12"/>
  <c r="G49" i="12"/>
  <c r="D49" i="12"/>
  <c r="C49" i="12"/>
  <c r="B49" i="12"/>
  <c r="J48" i="12"/>
  <c r="K48" i="12" s="1"/>
  <c r="G48" i="12"/>
  <c r="D48" i="12"/>
  <c r="C48" i="12"/>
  <c r="B48" i="12"/>
  <c r="J47" i="12"/>
  <c r="K47" i="12" s="1"/>
  <c r="G47" i="12"/>
  <c r="D47" i="12"/>
  <c r="C47" i="12"/>
  <c r="B47" i="12"/>
  <c r="J46" i="12"/>
  <c r="K46" i="12" s="1"/>
  <c r="G46" i="12"/>
  <c r="D46" i="12"/>
  <c r="C46" i="12"/>
  <c r="B46" i="12"/>
  <c r="K45" i="12"/>
  <c r="J45" i="12"/>
  <c r="G45" i="12"/>
  <c r="D45" i="12"/>
  <c r="C45" i="12"/>
  <c r="B45" i="12"/>
  <c r="J44" i="12"/>
  <c r="K44" i="12" s="1"/>
  <c r="G44" i="12"/>
  <c r="D44" i="12"/>
  <c r="C44" i="12"/>
  <c r="B44" i="12"/>
  <c r="J43" i="12"/>
  <c r="K43" i="12" s="1"/>
  <c r="G43" i="12"/>
  <c r="D43" i="12"/>
  <c r="C43" i="12"/>
  <c r="B43" i="12"/>
  <c r="J42" i="12"/>
  <c r="K42" i="12" s="1"/>
  <c r="G42" i="12"/>
  <c r="D42" i="12"/>
  <c r="C42" i="12"/>
  <c r="B42" i="12"/>
  <c r="K41" i="12"/>
  <c r="J41" i="12"/>
  <c r="G41" i="12"/>
  <c r="D41" i="12"/>
  <c r="C41" i="12"/>
  <c r="B41" i="12"/>
  <c r="J40" i="12"/>
  <c r="K40" i="12" s="1"/>
  <c r="G40" i="12"/>
  <c r="D40" i="12"/>
  <c r="C40" i="12"/>
  <c r="B40" i="12"/>
  <c r="J39" i="12"/>
  <c r="K39" i="12" s="1"/>
  <c r="G39" i="12"/>
  <c r="D39" i="12"/>
  <c r="C39" i="12"/>
  <c r="B39" i="12"/>
  <c r="J38" i="12"/>
  <c r="K38" i="12" s="1"/>
  <c r="G38" i="12"/>
  <c r="D38" i="12"/>
  <c r="C38" i="12"/>
  <c r="B38" i="12"/>
  <c r="K37" i="12"/>
  <c r="J37" i="12"/>
  <c r="G37" i="12"/>
  <c r="D37" i="12"/>
  <c r="C37" i="12"/>
  <c r="B37" i="12"/>
  <c r="J36" i="12"/>
  <c r="K36" i="12" s="1"/>
  <c r="G36" i="12"/>
  <c r="D36" i="12"/>
  <c r="C36" i="12"/>
  <c r="B36" i="12"/>
  <c r="J35" i="12"/>
  <c r="K35" i="12" s="1"/>
  <c r="G35" i="12"/>
  <c r="D35" i="12"/>
  <c r="C35" i="12"/>
  <c r="B35" i="12"/>
  <c r="J34" i="12"/>
  <c r="K34" i="12" s="1"/>
  <c r="G34" i="12"/>
  <c r="D34" i="12"/>
  <c r="C34" i="12"/>
  <c r="B34" i="12"/>
  <c r="K33" i="12"/>
  <c r="J33" i="12"/>
  <c r="G33" i="12"/>
  <c r="D33" i="12"/>
  <c r="C33" i="12"/>
  <c r="B33" i="12"/>
  <c r="J32" i="12"/>
  <c r="K32" i="12" s="1"/>
  <c r="G32" i="12"/>
  <c r="D32" i="12"/>
  <c r="C32" i="12"/>
  <c r="B32" i="12"/>
  <c r="J31" i="12"/>
  <c r="K31" i="12" s="1"/>
  <c r="G31" i="12"/>
  <c r="D31" i="12"/>
  <c r="C31" i="12"/>
  <c r="B31" i="12"/>
  <c r="J30" i="12"/>
  <c r="K30" i="12" s="1"/>
  <c r="G30" i="12"/>
  <c r="D30" i="12"/>
  <c r="C30" i="12"/>
  <c r="B30" i="12"/>
  <c r="K29" i="12"/>
  <c r="J29" i="12"/>
  <c r="G29" i="12"/>
  <c r="D29" i="12"/>
  <c r="C29" i="12"/>
  <c r="B29" i="12"/>
  <c r="J28" i="12"/>
  <c r="K28" i="12" s="1"/>
  <c r="G28" i="12"/>
  <c r="D28" i="12"/>
  <c r="C28" i="12"/>
  <c r="B28" i="12"/>
  <c r="J27" i="12"/>
  <c r="K27" i="12" s="1"/>
  <c r="G27" i="12"/>
  <c r="D27" i="12"/>
  <c r="C27" i="12"/>
  <c r="B27" i="12"/>
  <c r="J26" i="12"/>
  <c r="K26" i="12" s="1"/>
  <c r="G26" i="12"/>
  <c r="D26" i="12"/>
  <c r="C26" i="12"/>
  <c r="B26" i="12"/>
  <c r="K25" i="12"/>
  <c r="J25" i="12"/>
  <c r="G25" i="12"/>
  <c r="D25" i="12"/>
  <c r="C25" i="12"/>
  <c r="B25" i="12"/>
  <c r="J24" i="12"/>
  <c r="K24" i="12" s="1"/>
  <c r="G24" i="12"/>
  <c r="D24" i="12"/>
  <c r="C24" i="12"/>
  <c r="B24" i="12"/>
  <c r="J23" i="12"/>
  <c r="K23" i="12" s="1"/>
  <c r="G23" i="12"/>
  <c r="D23" i="12"/>
  <c r="C23" i="12"/>
  <c r="B23" i="12"/>
  <c r="J22" i="12"/>
  <c r="K22" i="12" s="1"/>
  <c r="G22" i="12"/>
  <c r="D22" i="12"/>
  <c r="C22" i="12"/>
  <c r="B22" i="12"/>
  <c r="K21" i="12"/>
  <c r="J21" i="12"/>
  <c r="G21" i="12"/>
  <c r="D21" i="12"/>
  <c r="C21" i="12"/>
  <c r="B21" i="12"/>
  <c r="J20" i="12"/>
  <c r="K20" i="12" s="1"/>
  <c r="G20" i="12"/>
  <c r="D20" i="12"/>
  <c r="C20" i="12"/>
  <c r="B20" i="12"/>
  <c r="J19" i="12"/>
  <c r="K19" i="12" s="1"/>
  <c r="G19" i="12"/>
  <c r="D19" i="12"/>
  <c r="C19" i="12"/>
  <c r="B19" i="12"/>
  <c r="J18" i="12"/>
  <c r="K18" i="12" s="1"/>
  <c r="G18" i="12"/>
  <c r="D18" i="12"/>
  <c r="C18" i="12"/>
  <c r="B18" i="12"/>
  <c r="K17" i="12"/>
  <c r="J17" i="12"/>
  <c r="G17" i="12"/>
  <c r="D17" i="12"/>
  <c r="C17" i="12"/>
  <c r="B17" i="12"/>
  <c r="J16" i="12"/>
  <c r="K16" i="12" s="1"/>
  <c r="G16" i="12"/>
  <c r="D16" i="12"/>
  <c r="C16" i="12"/>
  <c r="B16" i="12"/>
  <c r="J15" i="12"/>
  <c r="K15" i="12" s="1"/>
  <c r="G15" i="12"/>
  <c r="D15" i="12"/>
  <c r="C15" i="12"/>
  <c r="B15" i="12"/>
  <c r="J14" i="12"/>
  <c r="K14" i="12" s="1"/>
  <c r="G14" i="12"/>
  <c r="D14" i="12"/>
  <c r="C14" i="12"/>
  <c r="B14" i="12"/>
  <c r="K13" i="12"/>
  <c r="J13" i="12"/>
  <c r="G13" i="12"/>
  <c r="D13" i="12"/>
  <c r="C13" i="12"/>
  <c r="B13" i="12"/>
  <c r="J12" i="12"/>
  <c r="K12" i="12" s="1"/>
  <c r="G12" i="12"/>
  <c r="D12" i="12"/>
  <c r="C12" i="12"/>
  <c r="B12" i="12"/>
  <c r="J11" i="12"/>
  <c r="K11" i="12" s="1"/>
  <c r="G11" i="12"/>
  <c r="D11" i="12"/>
  <c r="C11" i="12"/>
  <c r="B11" i="12"/>
  <c r="J10" i="12"/>
  <c r="K10" i="12" s="1"/>
  <c r="G10" i="12"/>
  <c r="D10" i="12"/>
  <c r="C10" i="12"/>
  <c r="B10" i="12"/>
  <c r="K9" i="12"/>
  <c r="J9" i="12"/>
  <c r="G9" i="12"/>
  <c r="D9" i="12"/>
  <c r="C9" i="12"/>
  <c r="B9" i="12"/>
  <c r="J4" i="12"/>
  <c r="I208" i="11"/>
  <c r="J208" i="11" s="1"/>
  <c r="F208" i="11"/>
  <c r="D208" i="11"/>
  <c r="C208" i="11"/>
  <c r="B208" i="11"/>
  <c r="J207" i="11"/>
  <c r="I207" i="11"/>
  <c r="F207" i="11"/>
  <c r="D207" i="11"/>
  <c r="C207" i="11"/>
  <c r="B207" i="11"/>
  <c r="I206" i="11"/>
  <c r="J206" i="11" s="1"/>
  <c r="F206" i="11"/>
  <c r="D206" i="11"/>
  <c r="C206" i="11"/>
  <c r="B206" i="11"/>
  <c r="I205" i="11"/>
  <c r="J205" i="11" s="1"/>
  <c r="F205" i="11"/>
  <c r="D205" i="11"/>
  <c r="C205" i="11"/>
  <c r="B205" i="11"/>
  <c r="I204" i="11"/>
  <c r="J204" i="11" s="1"/>
  <c r="F204" i="11"/>
  <c r="D204" i="11"/>
  <c r="C204" i="11"/>
  <c r="B204" i="11"/>
  <c r="J203" i="11"/>
  <c r="I203" i="11"/>
  <c r="F203" i="11"/>
  <c r="D203" i="11"/>
  <c r="C203" i="11"/>
  <c r="B203" i="11"/>
  <c r="I202" i="11"/>
  <c r="J202" i="11" s="1"/>
  <c r="F202" i="11"/>
  <c r="D202" i="11"/>
  <c r="C202" i="11"/>
  <c r="B202" i="11"/>
  <c r="I201" i="11"/>
  <c r="J201" i="11" s="1"/>
  <c r="F201" i="11"/>
  <c r="D201" i="11"/>
  <c r="C201" i="11"/>
  <c r="B201" i="11"/>
  <c r="I200" i="11"/>
  <c r="J200" i="11" s="1"/>
  <c r="F200" i="11"/>
  <c r="D200" i="11"/>
  <c r="C200" i="11"/>
  <c r="B200" i="11"/>
  <c r="J199" i="11"/>
  <c r="I199" i="11"/>
  <c r="F199" i="11"/>
  <c r="D199" i="11"/>
  <c r="C199" i="11"/>
  <c r="B199" i="11"/>
  <c r="I198" i="11"/>
  <c r="J198" i="11" s="1"/>
  <c r="F198" i="11"/>
  <c r="D198" i="11"/>
  <c r="C198" i="11"/>
  <c r="B198" i="11"/>
  <c r="I197" i="11"/>
  <c r="J197" i="11" s="1"/>
  <c r="F197" i="11"/>
  <c r="D197" i="11"/>
  <c r="C197" i="11"/>
  <c r="B197" i="11"/>
  <c r="I196" i="11"/>
  <c r="J196" i="11" s="1"/>
  <c r="F196" i="11"/>
  <c r="D196" i="11"/>
  <c r="C196" i="11"/>
  <c r="B196" i="11"/>
  <c r="J195" i="11"/>
  <c r="I195" i="11"/>
  <c r="F195" i="11"/>
  <c r="D195" i="11"/>
  <c r="C195" i="11"/>
  <c r="B195" i="11"/>
  <c r="I194" i="11"/>
  <c r="J194" i="11" s="1"/>
  <c r="F194" i="11"/>
  <c r="D194" i="11"/>
  <c r="C194" i="11"/>
  <c r="B194" i="11"/>
  <c r="I193" i="11"/>
  <c r="J193" i="11" s="1"/>
  <c r="F193" i="11"/>
  <c r="D193" i="11"/>
  <c r="C193" i="11"/>
  <c r="B193" i="11"/>
  <c r="I192" i="11"/>
  <c r="J192" i="11" s="1"/>
  <c r="F192" i="11"/>
  <c r="D192" i="11"/>
  <c r="C192" i="11"/>
  <c r="B192" i="11"/>
  <c r="J191" i="11"/>
  <c r="I191" i="11"/>
  <c r="F191" i="11"/>
  <c r="D191" i="11"/>
  <c r="C191" i="11"/>
  <c r="B191" i="11"/>
  <c r="I190" i="11"/>
  <c r="J190" i="11" s="1"/>
  <c r="F190" i="11"/>
  <c r="D190" i="11"/>
  <c r="C190" i="11"/>
  <c r="B190" i="11"/>
  <c r="I189" i="11"/>
  <c r="J189" i="11" s="1"/>
  <c r="F189" i="11"/>
  <c r="D189" i="11"/>
  <c r="C189" i="11"/>
  <c r="B189" i="11"/>
  <c r="I188" i="11"/>
  <c r="J188" i="11" s="1"/>
  <c r="F188" i="11"/>
  <c r="D188" i="11"/>
  <c r="C188" i="11"/>
  <c r="B188" i="11"/>
  <c r="J187" i="11"/>
  <c r="I187" i="11"/>
  <c r="F187" i="11"/>
  <c r="D187" i="11"/>
  <c r="C187" i="11"/>
  <c r="B187" i="11"/>
  <c r="I186" i="11"/>
  <c r="J186" i="11" s="1"/>
  <c r="F186" i="11"/>
  <c r="D186" i="11"/>
  <c r="C186" i="11"/>
  <c r="B186" i="11"/>
  <c r="I185" i="11"/>
  <c r="J185" i="11" s="1"/>
  <c r="F185" i="11"/>
  <c r="D185" i="11"/>
  <c r="C185" i="11"/>
  <c r="B185" i="11"/>
  <c r="I184" i="11"/>
  <c r="J184" i="11" s="1"/>
  <c r="F184" i="11"/>
  <c r="D184" i="11"/>
  <c r="C184" i="11"/>
  <c r="B184" i="11"/>
  <c r="J183" i="11"/>
  <c r="I183" i="11"/>
  <c r="F183" i="11"/>
  <c r="D183" i="11"/>
  <c r="C183" i="11"/>
  <c r="B183" i="11"/>
  <c r="I182" i="11"/>
  <c r="J182" i="11" s="1"/>
  <c r="F182" i="11"/>
  <c r="D182" i="11"/>
  <c r="C182" i="11"/>
  <c r="B182" i="11"/>
  <c r="I181" i="11"/>
  <c r="J181" i="11" s="1"/>
  <c r="F181" i="11"/>
  <c r="D181" i="11"/>
  <c r="C181" i="11"/>
  <c r="B181" i="11"/>
  <c r="I180" i="11"/>
  <c r="J180" i="11" s="1"/>
  <c r="F180" i="11"/>
  <c r="D180" i="11"/>
  <c r="C180" i="11"/>
  <c r="B180" i="11"/>
  <c r="J179" i="11"/>
  <c r="I179" i="11"/>
  <c r="F179" i="11"/>
  <c r="D179" i="11"/>
  <c r="C179" i="11"/>
  <c r="B179" i="11"/>
  <c r="I178" i="11"/>
  <c r="J178" i="11" s="1"/>
  <c r="F178" i="11"/>
  <c r="D178" i="11"/>
  <c r="C178" i="11"/>
  <c r="B178" i="11"/>
  <c r="I177" i="11"/>
  <c r="J177" i="11" s="1"/>
  <c r="F177" i="11"/>
  <c r="D177" i="11"/>
  <c r="C177" i="11"/>
  <c r="B177" i="11"/>
  <c r="I176" i="11"/>
  <c r="J176" i="11" s="1"/>
  <c r="F176" i="11"/>
  <c r="D176" i="11"/>
  <c r="C176" i="11"/>
  <c r="B176" i="11"/>
  <c r="J175" i="11"/>
  <c r="I175" i="11"/>
  <c r="F175" i="11"/>
  <c r="D175" i="11"/>
  <c r="C175" i="11"/>
  <c r="B175" i="11"/>
  <c r="I174" i="11"/>
  <c r="J174" i="11" s="1"/>
  <c r="F174" i="11"/>
  <c r="D174" i="11"/>
  <c r="C174" i="11"/>
  <c r="B174" i="11"/>
  <c r="I173" i="11"/>
  <c r="J173" i="11" s="1"/>
  <c r="F173" i="11"/>
  <c r="D173" i="11"/>
  <c r="C173" i="11"/>
  <c r="B173" i="11"/>
  <c r="I172" i="11"/>
  <c r="J172" i="11" s="1"/>
  <c r="F172" i="11"/>
  <c r="D172" i="11"/>
  <c r="C172" i="11"/>
  <c r="B172" i="11"/>
  <c r="J171" i="11"/>
  <c r="I171" i="11"/>
  <c r="F171" i="11"/>
  <c r="D171" i="11"/>
  <c r="C171" i="11"/>
  <c r="B171" i="11"/>
  <c r="I170" i="11"/>
  <c r="J170" i="11" s="1"/>
  <c r="F170" i="11"/>
  <c r="D170" i="11"/>
  <c r="C170" i="11"/>
  <c r="B170" i="11"/>
  <c r="I169" i="11"/>
  <c r="J169" i="11" s="1"/>
  <c r="F169" i="11"/>
  <c r="D169" i="11"/>
  <c r="C169" i="11"/>
  <c r="B169" i="11"/>
  <c r="I168" i="11"/>
  <c r="J168" i="11" s="1"/>
  <c r="F168" i="11"/>
  <c r="D168" i="11"/>
  <c r="C168" i="11"/>
  <c r="B168" i="11"/>
  <c r="J167" i="11"/>
  <c r="I167" i="11"/>
  <c r="F167" i="11"/>
  <c r="D167" i="11"/>
  <c r="C167" i="11"/>
  <c r="B167" i="11"/>
  <c r="I166" i="11"/>
  <c r="J166" i="11" s="1"/>
  <c r="F166" i="11"/>
  <c r="D166" i="11"/>
  <c r="C166" i="11"/>
  <c r="B166" i="11"/>
  <c r="I165" i="11"/>
  <c r="J165" i="11" s="1"/>
  <c r="F165" i="11"/>
  <c r="D165" i="11"/>
  <c r="C165" i="11"/>
  <c r="B165" i="11"/>
  <c r="I164" i="11"/>
  <c r="J164" i="11" s="1"/>
  <c r="F164" i="11"/>
  <c r="D164" i="11"/>
  <c r="C164" i="11"/>
  <c r="B164" i="11"/>
  <c r="J163" i="11"/>
  <c r="I163" i="11"/>
  <c r="F163" i="11"/>
  <c r="D163" i="11"/>
  <c r="C163" i="11"/>
  <c r="B163" i="11"/>
  <c r="I162" i="11"/>
  <c r="J162" i="11" s="1"/>
  <c r="F162" i="11"/>
  <c r="D162" i="11"/>
  <c r="C162" i="11"/>
  <c r="B162" i="11"/>
  <c r="I161" i="11"/>
  <c r="J161" i="11" s="1"/>
  <c r="F161" i="11"/>
  <c r="D161" i="11"/>
  <c r="C161" i="11"/>
  <c r="B161" i="11"/>
  <c r="I160" i="11"/>
  <c r="J160" i="11" s="1"/>
  <c r="F160" i="11"/>
  <c r="D160" i="11"/>
  <c r="C160" i="11"/>
  <c r="B160" i="11"/>
  <c r="J159" i="11"/>
  <c r="I159" i="11"/>
  <c r="F159" i="11"/>
  <c r="D159" i="11"/>
  <c r="C159" i="11"/>
  <c r="B159" i="11"/>
  <c r="I158" i="11"/>
  <c r="J158" i="11" s="1"/>
  <c r="F158" i="11"/>
  <c r="D158" i="11"/>
  <c r="C158" i="11"/>
  <c r="B158" i="11"/>
  <c r="I157" i="11"/>
  <c r="J157" i="11" s="1"/>
  <c r="F157" i="11"/>
  <c r="D157" i="11"/>
  <c r="C157" i="11"/>
  <c r="B157" i="11"/>
  <c r="I156" i="11"/>
  <c r="J156" i="11" s="1"/>
  <c r="F156" i="11"/>
  <c r="D156" i="11"/>
  <c r="C156" i="11"/>
  <c r="B156" i="11"/>
  <c r="J155" i="11"/>
  <c r="I155" i="11"/>
  <c r="F155" i="11"/>
  <c r="D155" i="11"/>
  <c r="C155" i="11"/>
  <c r="B155" i="11"/>
  <c r="I154" i="11"/>
  <c r="J154" i="11" s="1"/>
  <c r="F154" i="11"/>
  <c r="D154" i="11"/>
  <c r="C154" i="11"/>
  <c r="B154" i="11"/>
  <c r="I153" i="11"/>
  <c r="J153" i="11" s="1"/>
  <c r="F153" i="11"/>
  <c r="D153" i="11"/>
  <c r="C153" i="11"/>
  <c r="B153" i="11"/>
  <c r="I152" i="11"/>
  <c r="J152" i="11" s="1"/>
  <c r="F152" i="11"/>
  <c r="D152" i="11"/>
  <c r="C152" i="11"/>
  <c r="B152" i="11"/>
  <c r="J151" i="11"/>
  <c r="I151" i="11"/>
  <c r="F151" i="11"/>
  <c r="D151" i="11"/>
  <c r="C151" i="11"/>
  <c r="B151" i="11"/>
  <c r="I150" i="11"/>
  <c r="J150" i="11" s="1"/>
  <c r="F150" i="11"/>
  <c r="D150" i="11"/>
  <c r="C150" i="11"/>
  <c r="B150" i="11"/>
  <c r="I149" i="11"/>
  <c r="J149" i="11" s="1"/>
  <c r="F149" i="11"/>
  <c r="D149" i="11"/>
  <c r="C149" i="11"/>
  <c r="B149" i="11"/>
  <c r="I148" i="11"/>
  <c r="J148" i="11" s="1"/>
  <c r="F148" i="11"/>
  <c r="D148" i="11"/>
  <c r="C148" i="11"/>
  <c r="B148" i="11"/>
  <c r="J147" i="11"/>
  <c r="I147" i="11"/>
  <c r="F147" i="11"/>
  <c r="D147" i="11"/>
  <c r="C147" i="11"/>
  <c r="B147" i="11"/>
  <c r="I146" i="11"/>
  <c r="J146" i="11" s="1"/>
  <c r="F146" i="11"/>
  <c r="D146" i="11"/>
  <c r="C146" i="11"/>
  <c r="B146" i="11"/>
  <c r="I145" i="11"/>
  <c r="J145" i="11" s="1"/>
  <c r="F145" i="11"/>
  <c r="D145" i="11"/>
  <c r="C145" i="11"/>
  <c r="B145" i="11"/>
  <c r="I144" i="11"/>
  <c r="J144" i="11" s="1"/>
  <c r="F144" i="11"/>
  <c r="D144" i="11"/>
  <c r="C144" i="11"/>
  <c r="B144" i="11"/>
  <c r="J143" i="11"/>
  <c r="I143" i="11"/>
  <c r="F143" i="11"/>
  <c r="D143" i="11"/>
  <c r="C143" i="11"/>
  <c r="B143" i="11"/>
  <c r="I142" i="11"/>
  <c r="J142" i="11" s="1"/>
  <c r="F142" i="11"/>
  <c r="D142" i="11"/>
  <c r="C142" i="11"/>
  <c r="B142" i="11"/>
  <c r="I141" i="11"/>
  <c r="J141" i="11" s="1"/>
  <c r="F141" i="11"/>
  <c r="D141" i="11"/>
  <c r="C141" i="11"/>
  <c r="B141" i="11"/>
  <c r="I140" i="11"/>
  <c r="J140" i="11" s="1"/>
  <c r="F140" i="11"/>
  <c r="D140" i="11"/>
  <c r="C140" i="11"/>
  <c r="B140" i="11"/>
  <c r="J139" i="11"/>
  <c r="I139" i="11"/>
  <c r="F139" i="11"/>
  <c r="D139" i="11"/>
  <c r="C139" i="11"/>
  <c r="B139" i="11"/>
  <c r="I138" i="11"/>
  <c r="J138" i="11" s="1"/>
  <c r="F138" i="11"/>
  <c r="D138" i="11"/>
  <c r="C138" i="11"/>
  <c r="B138" i="11"/>
  <c r="I137" i="11"/>
  <c r="J137" i="11" s="1"/>
  <c r="F137" i="11"/>
  <c r="D137" i="11"/>
  <c r="C137" i="11"/>
  <c r="B137" i="11"/>
  <c r="I136" i="11"/>
  <c r="J136" i="11" s="1"/>
  <c r="F136" i="11"/>
  <c r="D136" i="11"/>
  <c r="C136" i="11"/>
  <c r="B136" i="11"/>
  <c r="J135" i="11"/>
  <c r="I135" i="11"/>
  <c r="F135" i="11"/>
  <c r="D135" i="11"/>
  <c r="C135" i="11"/>
  <c r="B135" i="11"/>
  <c r="I134" i="11"/>
  <c r="J134" i="11" s="1"/>
  <c r="F134" i="11"/>
  <c r="D134" i="11"/>
  <c r="C134" i="11"/>
  <c r="B134" i="11"/>
  <c r="I133" i="11"/>
  <c r="J133" i="11" s="1"/>
  <c r="F133" i="11"/>
  <c r="D133" i="11"/>
  <c r="C133" i="11"/>
  <c r="B133" i="11"/>
  <c r="I132" i="11"/>
  <c r="J132" i="11" s="1"/>
  <c r="F132" i="11"/>
  <c r="D132" i="11"/>
  <c r="C132" i="11"/>
  <c r="B132" i="11"/>
  <c r="J131" i="11"/>
  <c r="I131" i="11"/>
  <c r="F131" i="11"/>
  <c r="D131" i="11"/>
  <c r="C131" i="11"/>
  <c r="B131" i="11"/>
  <c r="I130" i="11"/>
  <c r="J130" i="11" s="1"/>
  <c r="F130" i="11"/>
  <c r="D130" i="11"/>
  <c r="C130" i="11"/>
  <c r="B130" i="11"/>
  <c r="I129" i="11"/>
  <c r="J129" i="11" s="1"/>
  <c r="F129" i="11"/>
  <c r="D129" i="11"/>
  <c r="C129" i="11"/>
  <c r="B129" i="11"/>
  <c r="I128" i="11"/>
  <c r="J128" i="11" s="1"/>
  <c r="F128" i="11"/>
  <c r="D128" i="11"/>
  <c r="C128" i="11"/>
  <c r="B128" i="11"/>
  <c r="J127" i="11"/>
  <c r="I127" i="11"/>
  <c r="F127" i="11"/>
  <c r="D127" i="11"/>
  <c r="C127" i="11"/>
  <c r="B127" i="11"/>
  <c r="I126" i="11"/>
  <c r="J126" i="11" s="1"/>
  <c r="F126" i="11"/>
  <c r="D126" i="11"/>
  <c r="C126" i="11"/>
  <c r="B126" i="11"/>
  <c r="I125" i="11"/>
  <c r="J125" i="11" s="1"/>
  <c r="F125" i="11"/>
  <c r="D125" i="11"/>
  <c r="C125" i="11"/>
  <c r="B125" i="11"/>
  <c r="I124" i="11"/>
  <c r="J124" i="11" s="1"/>
  <c r="F124" i="11"/>
  <c r="D124" i="11"/>
  <c r="C124" i="11"/>
  <c r="B124" i="11"/>
  <c r="J123" i="11"/>
  <c r="I123" i="11"/>
  <c r="F123" i="11"/>
  <c r="D123" i="11"/>
  <c r="C123" i="11"/>
  <c r="B123" i="11"/>
  <c r="I122" i="11"/>
  <c r="J122" i="11" s="1"/>
  <c r="F122" i="11"/>
  <c r="D122" i="11"/>
  <c r="C122" i="11"/>
  <c r="B122" i="11"/>
  <c r="I121" i="11"/>
  <c r="J121" i="11" s="1"/>
  <c r="F121" i="11"/>
  <c r="D121" i="11"/>
  <c r="C121" i="11"/>
  <c r="B121" i="11"/>
  <c r="I120" i="11"/>
  <c r="J120" i="11" s="1"/>
  <c r="F120" i="11"/>
  <c r="D120" i="11"/>
  <c r="C120" i="11"/>
  <c r="B120" i="11"/>
  <c r="J119" i="11"/>
  <c r="I119" i="11"/>
  <c r="F119" i="11"/>
  <c r="D119" i="11"/>
  <c r="C119" i="11"/>
  <c r="B119" i="11"/>
  <c r="I118" i="11"/>
  <c r="J118" i="11" s="1"/>
  <c r="F118" i="11"/>
  <c r="D118" i="11"/>
  <c r="C118" i="11"/>
  <c r="B118" i="11"/>
  <c r="I117" i="11"/>
  <c r="J117" i="11" s="1"/>
  <c r="F117" i="11"/>
  <c r="D117" i="11"/>
  <c r="C117" i="11"/>
  <c r="B117" i="11"/>
  <c r="I116" i="11"/>
  <c r="J116" i="11" s="1"/>
  <c r="F116" i="11"/>
  <c r="D116" i="11"/>
  <c r="C116" i="11"/>
  <c r="B116" i="11"/>
  <c r="J115" i="11"/>
  <c r="I115" i="11"/>
  <c r="F115" i="11"/>
  <c r="D115" i="11"/>
  <c r="C115" i="11"/>
  <c r="B115" i="11"/>
  <c r="I114" i="11"/>
  <c r="J114" i="11" s="1"/>
  <c r="F114" i="11"/>
  <c r="D114" i="11"/>
  <c r="C114" i="11"/>
  <c r="B114" i="11"/>
  <c r="I113" i="11"/>
  <c r="J113" i="11" s="1"/>
  <c r="F113" i="11"/>
  <c r="D113" i="11"/>
  <c r="C113" i="11"/>
  <c r="B113" i="11"/>
  <c r="I112" i="11"/>
  <c r="J112" i="11" s="1"/>
  <c r="F112" i="11"/>
  <c r="D112" i="11"/>
  <c r="C112" i="11"/>
  <c r="B112" i="11"/>
  <c r="J111" i="11"/>
  <c r="I111" i="11"/>
  <c r="F111" i="11"/>
  <c r="D111" i="11"/>
  <c r="C111" i="11"/>
  <c r="B111" i="11"/>
  <c r="I110" i="11"/>
  <c r="J110" i="11" s="1"/>
  <c r="F110" i="11"/>
  <c r="D110" i="11"/>
  <c r="C110" i="11"/>
  <c r="B110" i="11"/>
  <c r="I109" i="11"/>
  <c r="J109" i="11" s="1"/>
  <c r="F109" i="11"/>
  <c r="D109" i="11"/>
  <c r="C109" i="11"/>
  <c r="B109" i="11"/>
  <c r="I108" i="11"/>
  <c r="J108" i="11" s="1"/>
  <c r="F108" i="11"/>
  <c r="D108" i="11"/>
  <c r="C108" i="11"/>
  <c r="B108" i="11"/>
  <c r="J107" i="11"/>
  <c r="I107" i="11"/>
  <c r="F107" i="11"/>
  <c r="D107" i="11"/>
  <c r="C107" i="11"/>
  <c r="B107" i="11"/>
  <c r="I106" i="11"/>
  <c r="J106" i="11" s="1"/>
  <c r="F106" i="11"/>
  <c r="D106" i="11"/>
  <c r="C106" i="11"/>
  <c r="B106" i="11"/>
  <c r="I105" i="11"/>
  <c r="J105" i="11" s="1"/>
  <c r="F105" i="11"/>
  <c r="D105" i="11"/>
  <c r="C105" i="11"/>
  <c r="B105" i="11"/>
  <c r="I104" i="11"/>
  <c r="J104" i="11" s="1"/>
  <c r="F104" i="11"/>
  <c r="D104" i="11"/>
  <c r="C104" i="11"/>
  <c r="B104" i="11"/>
  <c r="J103" i="11"/>
  <c r="I103" i="11"/>
  <c r="F103" i="11"/>
  <c r="D103" i="11"/>
  <c r="C103" i="11"/>
  <c r="B103" i="11"/>
  <c r="I102" i="11"/>
  <c r="J102" i="11" s="1"/>
  <c r="F102" i="11"/>
  <c r="D102" i="11"/>
  <c r="C102" i="11"/>
  <c r="B102" i="11"/>
  <c r="I101" i="11"/>
  <c r="J101" i="11" s="1"/>
  <c r="F101" i="11"/>
  <c r="D101" i="11"/>
  <c r="C101" i="11"/>
  <c r="B101" i="11"/>
  <c r="I100" i="11"/>
  <c r="J100" i="11" s="1"/>
  <c r="F100" i="11"/>
  <c r="D100" i="11"/>
  <c r="C100" i="11"/>
  <c r="B100" i="11"/>
  <c r="J99" i="11"/>
  <c r="I99" i="11"/>
  <c r="F99" i="11"/>
  <c r="D99" i="11"/>
  <c r="C99" i="11"/>
  <c r="B99" i="11"/>
  <c r="I98" i="11"/>
  <c r="J98" i="11" s="1"/>
  <c r="F98" i="11"/>
  <c r="D98" i="11"/>
  <c r="C98" i="11"/>
  <c r="B98" i="11"/>
  <c r="I97" i="11"/>
  <c r="J97" i="11" s="1"/>
  <c r="F97" i="11"/>
  <c r="D97" i="11"/>
  <c r="C97" i="11"/>
  <c r="B97" i="11"/>
  <c r="I96" i="11"/>
  <c r="J96" i="11" s="1"/>
  <c r="F96" i="11"/>
  <c r="D96" i="11"/>
  <c r="C96" i="11"/>
  <c r="B96" i="11"/>
  <c r="J95" i="11"/>
  <c r="I95" i="11"/>
  <c r="F95" i="11"/>
  <c r="D95" i="11"/>
  <c r="C95" i="11"/>
  <c r="B95" i="11"/>
  <c r="I94" i="11"/>
  <c r="J94" i="11" s="1"/>
  <c r="F94" i="11"/>
  <c r="D94" i="11"/>
  <c r="C94" i="11"/>
  <c r="B94" i="11"/>
  <c r="I93" i="11"/>
  <c r="J93" i="11" s="1"/>
  <c r="F93" i="11"/>
  <c r="D93" i="11"/>
  <c r="C93" i="11"/>
  <c r="B93" i="11"/>
  <c r="I92" i="11"/>
  <c r="J92" i="11" s="1"/>
  <c r="F92" i="11"/>
  <c r="D92" i="11"/>
  <c r="C92" i="11"/>
  <c r="B92" i="11"/>
  <c r="J91" i="11"/>
  <c r="I91" i="11"/>
  <c r="F91" i="11"/>
  <c r="D91" i="11"/>
  <c r="C91" i="11"/>
  <c r="B91" i="11"/>
  <c r="I90" i="11"/>
  <c r="J90" i="11" s="1"/>
  <c r="F90" i="11"/>
  <c r="D90" i="11"/>
  <c r="C90" i="11"/>
  <c r="B90" i="11"/>
  <c r="I89" i="11"/>
  <c r="J89" i="11" s="1"/>
  <c r="F89" i="11"/>
  <c r="D89" i="11"/>
  <c r="C89" i="11"/>
  <c r="B89" i="11"/>
  <c r="I88" i="11"/>
  <c r="J88" i="11" s="1"/>
  <c r="F88" i="11"/>
  <c r="D88" i="11"/>
  <c r="C88" i="11"/>
  <c r="B88" i="11"/>
  <c r="J87" i="11"/>
  <c r="I87" i="11"/>
  <c r="F87" i="11"/>
  <c r="D87" i="11"/>
  <c r="C87" i="11"/>
  <c r="B87" i="11"/>
  <c r="I86" i="11"/>
  <c r="J86" i="11" s="1"/>
  <c r="F86" i="11"/>
  <c r="D86" i="11"/>
  <c r="C86" i="11"/>
  <c r="B86" i="11"/>
  <c r="I85" i="11"/>
  <c r="J85" i="11" s="1"/>
  <c r="F85" i="11"/>
  <c r="D85" i="11"/>
  <c r="C85" i="11"/>
  <c r="B85" i="11"/>
  <c r="I84" i="11"/>
  <c r="J84" i="11" s="1"/>
  <c r="F84" i="11"/>
  <c r="D84" i="11"/>
  <c r="C84" i="11"/>
  <c r="B84" i="11"/>
  <c r="J83" i="11"/>
  <c r="I83" i="11"/>
  <c r="F83" i="11"/>
  <c r="D83" i="11"/>
  <c r="C83" i="11"/>
  <c r="B83" i="11"/>
  <c r="I82" i="11"/>
  <c r="J82" i="11" s="1"/>
  <c r="F82" i="11"/>
  <c r="D82" i="11"/>
  <c r="C82" i="11"/>
  <c r="B82" i="11"/>
  <c r="I81" i="11"/>
  <c r="J81" i="11" s="1"/>
  <c r="F81" i="11"/>
  <c r="D81" i="11"/>
  <c r="C81" i="11"/>
  <c r="B81" i="11"/>
  <c r="I80" i="11"/>
  <c r="J80" i="11" s="1"/>
  <c r="F80" i="11"/>
  <c r="D80" i="11"/>
  <c r="C80" i="11"/>
  <c r="B80" i="11"/>
  <c r="J79" i="11"/>
  <c r="I79" i="11"/>
  <c r="F79" i="11"/>
  <c r="D79" i="11"/>
  <c r="C79" i="11"/>
  <c r="B79" i="11"/>
  <c r="I78" i="11"/>
  <c r="J78" i="11" s="1"/>
  <c r="F78" i="11"/>
  <c r="D78" i="11"/>
  <c r="C78" i="11"/>
  <c r="B78" i="11"/>
  <c r="I77" i="11"/>
  <c r="J77" i="11" s="1"/>
  <c r="F77" i="11"/>
  <c r="D77" i="11"/>
  <c r="C77" i="11"/>
  <c r="B77" i="11"/>
  <c r="I76" i="11"/>
  <c r="J76" i="11" s="1"/>
  <c r="F76" i="11"/>
  <c r="D76" i="11"/>
  <c r="C76" i="11"/>
  <c r="B76" i="11"/>
  <c r="J75" i="11"/>
  <c r="I75" i="11"/>
  <c r="F75" i="11"/>
  <c r="D75" i="11"/>
  <c r="C75" i="11"/>
  <c r="B75" i="11"/>
  <c r="I74" i="11"/>
  <c r="J74" i="11" s="1"/>
  <c r="F74" i="11"/>
  <c r="D74" i="11"/>
  <c r="C74" i="11"/>
  <c r="B74" i="11"/>
  <c r="I73" i="11"/>
  <c r="J73" i="11" s="1"/>
  <c r="F73" i="11"/>
  <c r="D73" i="11"/>
  <c r="C73" i="11"/>
  <c r="B73" i="11"/>
  <c r="I72" i="11"/>
  <c r="J72" i="11" s="1"/>
  <c r="F72" i="11"/>
  <c r="D72" i="11"/>
  <c r="C72" i="11"/>
  <c r="B72" i="11"/>
  <c r="J71" i="11"/>
  <c r="I71" i="11"/>
  <c r="F71" i="11"/>
  <c r="D71" i="11"/>
  <c r="C71" i="11"/>
  <c r="B71" i="11"/>
  <c r="I70" i="11"/>
  <c r="J70" i="11" s="1"/>
  <c r="F70" i="11"/>
  <c r="D70" i="11"/>
  <c r="C70" i="11"/>
  <c r="B70" i="11"/>
  <c r="I69" i="11"/>
  <c r="J69" i="11" s="1"/>
  <c r="F69" i="11"/>
  <c r="D69" i="11"/>
  <c r="C69" i="11"/>
  <c r="B69" i="11"/>
  <c r="I68" i="11"/>
  <c r="J68" i="11" s="1"/>
  <c r="F68" i="11"/>
  <c r="D68" i="11"/>
  <c r="C68" i="11"/>
  <c r="B68" i="11"/>
  <c r="J67" i="11"/>
  <c r="I67" i="11"/>
  <c r="F67" i="11"/>
  <c r="D67" i="11"/>
  <c r="C67" i="11"/>
  <c r="B67" i="11"/>
  <c r="I66" i="11"/>
  <c r="J66" i="11" s="1"/>
  <c r="F66" i="11"/>
  <c r="D66" i="11"/>
  <c r="C66" i="11"/>
  <c r="B66" i="11"/>
  <c r="I65" i="11"/>
  <c r="J65" i="11" s="1"/>
  <c r="F65" i="11"/>
  <c r="D65" i="11"/>
  <c r="C65" i="11"/>
  <c r="B65" i="11"/>
  <c r="I64" i="11"/>
  <c r="J64" i="11" s="1"/>
  <c r="F64" i="11"/>
  <c r="D64" i="11"/>
  <c r="C64" i="11"/>
  <c r="B64" i="11"/>
  <c r="J63" i="11"/>
  <c r="I63" i="11"/>
  <c r="F63" i="11"/>
  <c r="D63" i="11"/>
  <c r="C63" i="11"/>
  <c r="B63" i="11"/>
  <c r="I62" i="11"/>
  <c r="J62" i="11" s="1"/>
  <c r="F62" i="11"/>
  <c r="D62" i="11"/>
  <c r="C62" i="11"/>
  <c r="B62" i="11"/>
  <c r="I61" i="11"/>
  <c r="J61" i="11" s="1"/>
  <c r="F61" i="11"/>
  <c r="D61" i="11"/>
  <c r="C61" i="11"/>
  <c r="B61" i="11"/>
  <c r="I60" i="11"/>
  <c r="J60" i="11" s="1"/>
  <c r="F60" i="11"/>
  <c r="D60" i="11"/>
  <c r="C60" i="11"/>
  <c r="B60" i="11"/>
  <c r="J59" i="11"/>
  <c r="I59" i="11"/>
  <c r="F59" i="11"/>
  <c r="D59" i="11"/>
  <c r="C59" i="11"/>
  <c r="B59" i="11"/>
  <c r="I58" i="11"/>
  <c r="J58" i="11" s="1"/>
  <c r="F58" i="11"/>
  <c r="D58" i="11"/>
  <c r="C58" i="11"/>
  <c r="B58" i="11"/>
  <c r="I57" i="11"/>
  <c r="J57" i="11" s="1"/>
  <c r="F57" i="11"/>
  <c r="D57" i="11"/>
  <c r="C57" i="11"/>
  <c r="B57" i="11"/>
  <c r="I56" i="11"/>
  <c r="J56" i="11" s="1"/>
  <c r="F56" i="11"/>
  <c r="D56" i="11"/>
  <c r="C56" i="11"/>
  <c r="B56" i="11"/>
  <c r="J55" i="11"/>
  <c r="I55" i="11"/>
  <c r="F55" i="11"/>
  <c r="D55" i="11"/>
  <c r="C55" i="11"/>
  <c r="B55" i="11"/>
  <c r="I54" i="11"/>
  <c r="J54" i="11" s="1"/>
  <c r="F54" i="11"/>
  <c r="D54" i="11"/>
  <c r="C54" i="11"/>
  <c r="B54" i="11"/>
  <c r="I53" i="11"/>
  <c r="J53" i="11" s="1"/>
  <c r="F53" i="11"/>
  <c r="D53" i="11"/>
  <c r="C53" i="11"/>
  <c r="B53" i="11"/>
  <c r="I52" i="11"/>
  <c r="J52" i="11" s="1"/>
  <c r="F52" i="11"/>
  <c r="D52" i="11"/>
  <c r="C52" i="11"/>
  <c r="B52" i="11"/>
  <c r="J51" i="11"/>
  <c r="I51" i="11"/>
  <c r="F51" i="11"/>
  <c r="D51" i="11"/>
  <c r="C51" i="11"/>
  <c r="B51" i="11"/>
  <c r="I50" i="11"/>
  <c r="J50" i="11" s="1"/>
  <c r="F50" i="11"/>
  <c r="D50" i="11"/>
  <c r="C50" i="11"/>
  <c r="B50" i="11"/>
  <c r="I49" i="11"/>
  <c r="J49" i="11" s="1"/>
  <c r="F49" i="11"/>
  <c r="D49" i="11"/>
  <c r="C49" i="11"/>
  <c r="B49" i="11"/>
  <c r="I48" i="11"/>
  <c r="J48" i="11" s="1"/>
  <c r="F48" i="11"/>
  <c r="D48" i="11"/>
  <c r="C48" i="11"/>
  <c r="B48" i="11"/>
  <c r="J47" i="11"/>
  <c r="I47" i="11"/>
  <c r="F47" i="11"/>
  <c r="D47" i="11"/>
  <c r="C47" i="11"/>
  <c r="B47" i="11"/>
  <c r="I46" i="11"/>
  <c r="J46" i="11" s="1"/>
  <c r="F46" i="11"/>
  <c r="D46" i="11"/>
  <c r="C46" i="11"/>
  <c r="B46" i="11"/>
  <c r="I45" i="11"/>
  <c r="J45" i="11" s="1"/>
  <c r="F45" i="11"/>
  <c r="D45" i="11"/>
  <c r="C45" i="11"/>
  <c r="B45" i="11"/>
  <c r="I44" i="11"/>
  <c r="J44" i="11" s="1"/>
  <c r="F44" i="11"/>
  <c r="D44" i="11"/>
  <c r="C44" i="11"/>
  <c r="B44" i="11"/>
  <c r="J43" i="11"/>
  <c r="I43" i="11"/>
  <c r="F43" i="11"/>
  <c r="D43" i="11"/>
  <c r="C43" i="11"/>
  <c r="B43" i="11"/>
  <c r="I42" i="11"/>
  <c r="J42" i="11" s="1"/>
  <c r="F42" i="11"/>
  <c r="D42" i="11"/>
  <c r="C42" i="11"/>
  <c r="B42" i="11"/>
  <c r="I41" i="11"/>
  <c r="J41" i="11" s="1"/>
  <c r="F41" i="11"/>
  <c r="D41" i="11"/>
  <c r="C41" i="11"/>
  <c r="B41" i="11"/>
  <c r="I40" i="11"/>
  <c r="J40" i="11" s="1"/>
  <c r="F40" i="11"/>
  <c r="D40" i="11"/>
  <c r="C40" i="11"/>
  <c r="B40" i="11"/>
  <c r="J39" i="11"/>
  <c r="I39" i="11"/>
  <c r="F39" i="11"/>
  <c r="D39" i="11"/>
  <c r="C39" i="11"/>
  <c r="B39" i="11"/>
  <c r="I38" i="11"/>
  <c r="J38" i="11" s="1"/>
  <c r="F38" i="11"/>
  <c r="D38" i="11"/>
  <c r="C38" i="11"/>
  <c r="B38" i="11"/>
  <c r="I37" i="11"/>
  <c r="J37" i="11" s="1"/>
  <c r="F37" i="11"/>
  <c r="D37" i="11"/>
  <c r="C37" i="11"/>
  <c r="B37" i="11"/>
  <c r="I36" i="11"/>
  <c r="J36" i="11" s="1"/>
  <c r="F36" i="11"/>
  <c r="D36" i="11"/>
  <c r="C36" i="11"/>
  <c r="B36" i="11"/>
  <c r="J35" i="11"/>
  <c r="I35" i="11"/>
  <c r="F35" i="11"/>
  <c r="D35" i="11"/>
  <c r="C35" i="11"/>
  <c r="B35" i="11"/>
  <c r="I34" i="11"/>
  <c r="J34" i="11" s="1"/>
  <c r="F34" i="11"/>
  <c r="D34" i="11"/>
  <c r="C34" i="11"/>
  <c r="B34" i="11"/>
  <c r="I33" i="11"/>
  <c r="J33" i="11" s="1"/>
  <c r="F33" i="11"/>
  <c r="D33" i="11"/>
  <c r="C33" i="11"/>
  <c r="B33" i="11"/>
  <c r="I32" i="11"/>
  <c r="J32" i="11" s="1"/>
  <c r="F32" i="11"/>
  <c r="D32" i="11"/>
  <c r="C32" i="11"/>
  <c r="B32" i="11"/>
  <c r="J31" i="11"/>
  <c r="I31" i="11"/>
  <c r="F31" i="11"/>
  <c r="D31" i="11"/>
  <c r="C31" i="11"/>
  <c r="B31" i="11"/>
  <c r="I30" i="11"/>
  <c r="J30" i="11" s="1"/>
  <c r="F30" i="11"/>
  <c r="D30" i="11"/>
  <c r="C30" i="11"/>
  <c r="B30" i="11"/>
  <c r="I29" i="11"/>
  <c r="J29" i="11" s="1"/>
  <c r="F29" i="11"/>
  <c r="D29" i="11"/>
  <c r="C29" i="11"/>
  <c r="B29" i="11"/>
  <c r="I28" i="11"/>
  <c r="J28" i="11" s="1"/>
  <c r="F28" i="11"/>
  <c r="D28" i="11"/>
  <c r="C28" i="11"/>
  <c r="B28" i="11"/>
  <c r="J27" i="11"/>
  <c r="I27" i="11"/>
  <c r="F27" i="11"/>
  <c r="D27" i="11"/>
  <c r="C27" i="11"/>
  <c r="B27" i="11"/>
  <c r="I26" i="11"/>
  <c r="J26" i="11" s="1"/>
  <c r="F26" i="11"/>
  <c r="D26" i="11"/>
  <c r="C26" i="11"/>
  <c r="B26" i="11"/>
  <c r="I25" i="11"/>
  <c r="J25" i="11" s="1"/>
  <c r="F25" i="11"/>
  <c r="D25" i="11"/>
  <c r="C25" i="11"/>
  <c r="B25" i="11"/>
  <c r="I24" i="11"/>
  <c r="J24" i="11" s="1"/>
  <c r="F24" i="11"/>
  <c r="D24" i="11"/>
  <c r="C24" i="11"/>
  <c r="B24" i="11"/>
  <c r="J23" i="11"/>
  <c r="I23" i="11"/>
  <c r="F23" i="11"/>
  <c r="D23" i="11"/>
  <c r="C23" i="11"/>
  <c r="B23" i="11"/>
  <c r="I22" i="11"/>
  <c r="J22" i="11" s="1"/>
  <c r="F22" i="11"/>
  <c r="D22" i="11"/>
  <c r="C22" i="11"/>
  <c r="B22" i="11"/>
  <c r="I21" i="11"/>
  <c r="J21" i="11" s="1"/>
  <c r="F21" i="11"/>
  <c r="D21" i="11"/>
  <c r="C21" i="11"/>
  <c r="B21" i="11"/>
  <c r="I20" i="11"/>
  <c r="J20" i="11" s="1"/>
  <c r="F20" i="11"/>
  <c r="D20" i="11"/>
  <c r="C20" i="11"/>
  <c r="B20" i="11"/>
  <c r="J19" i="11"/>
  <c r="I19" i="11"/>
  <c r="F19" i="11"/>
  <c r="D19" i="11"/>
  <c r="C19" i="11"/>
  <c r="B19" i="11"/>
  <c r="I18" i="11"/>
  <c r="J18" i="11" s="1"/>
  <c r="F18" i="11"/>
  <c r="D18" i="11"/>
  <c r="C18" i="11"/>
  <c r="B18" i="11"/>
  <c r="I17" i="11"/>
  <c r="J17" i="11" s="1"/>
  <c r="F17" i="11"/>
  <c r="D17" i="11"/>
  <c r="C17" i="11"/>
  <c r="B17" i="11"/>
  <c r="I16" i="11"/>
  <c r="J16" i="11" s="1"/>
  <c r="F16" i="11"/>
  <c r="D16" i="11"/>
  <c r="C16" i="11"/>
  <c r="B16" i="11"/>
  <c r="J15" i="11"/>
  <c r="I15" i="11"/>
  <c r="F15" i="11"/>
  <c r="D15" i="11"/>
  <c r="C15" i="11"/>
  <c r="B15" i="11"/>
  <c r="I14" i="11"/>
  <c r="J14" i="11" s="1"/>
  <c r="F14" i="11"/>
  <c r="D14" i="11"/>
  <c r="C14" i="11"/>
  <c r="B14" i="11"/>
  <c r="I13" i="11"/>
  <c r="J13" i="11" s="1"/>
  <c r="F13" i="11"/>
  <c r="D13" i="11"/>
  <c r="C13" i="11"/>
  <c r="B13" i="11"/>
  <c r="I12" i="11"/>
  <c r="J12" i="11" s="1"/>
  <c r="F12" i="11"/>
  <c r="D12" i="11"/>
  <c r="C12" i="11"/>
  <c r="B12" i="11"/>
  <c r="J11" i="11"/>
  <c r="I11" i="11"/>
  <c r="F11" i="11"/>
  <c r="D11" i="11"/>
  <c r="C11" i="11"/>
  <c r="B11" i="11"/>
  <c r="I10" i="11"/>
  <c r="J10" i="11" s="1"/>
  <c r="F10" i="11"/>
  <c r="D10" i="11"/>
  <c r="C10" i="11"/>
  <c r="B10" i="11"/>
  <c r="I9" i="11"/>
  <c r="J9" i="11" s="1"/>
  <c r="F9" i="11"/>
  <c r="D9" i="11"/>
  <c r="C9" i="11"/>
  <c r="B9" i="11"/>
  <c r="G4" i="11"/>
  <c r="I504" i="10"/>
  <c r="H504" i="10"/>
  <c r="F504" i="10"/>
  <c r="C504" i="10"/>
  <c r="A504" i="10"/>
  <c r="I503" i="10"/>
  <c r="H503" i="10"/>
  <c r="F503" i="10"/>
  <c r="C503" i="10"/>
  <c r="A503" i="10"/>
  <c r="I502" i="10"/>
  <c r="H502" i="10"/>
  <c r="F502" i="10"/>
  <c r="C502" i="10"/>
  <c r="A502" i="10"/>
  <c r="I501" i="10"/>
  <c r="H501" i="10"/>
  <c r="F501" i="10"/>
  <c r="C501" i="10"/>
  <c r="A501" i="10"/>
  <c r="I500" i="10"/>
  <c r="H500" i="10"/>
  <c r="F500" i="10"/>
  <c r="C500" i="10"/>
  <c r="A500" i="10"/>
  <c r="I499" i="10"/>
  <c r="H499" i="10"/>
  <c r="F499" i="10"/>
  <c r="C499" i="10"/>
  <c r="A499" i="10"/>
  <c r="I498" i="10"/>
  <c r="H498" i="10"/>
  <c r="F498" i="10"/>
  <c r="C498" i="10"/>
  <c r="A498" i="10"/>
  <c r="I497" i="10"/>
  <c r="H497" i="10"/>
  <c r="F497" i="10"/>
  <c r="C497" i="10"/>
  <c r="A497" i="10"/>
  <c r="I496" i="10"/>
  <c r="H496" i="10"/>
  <c r="F496" i="10"/>
  <c r="C496" i="10"/>
  <c r="A496" i="10"/>
  <c r="I495" i="10"/>
  <c r="H495" i="10"/>
  <c r="F495" i="10"/>
  <c r="C495" i="10"/>
  <c r="A495" i="10"/>
  <c r="I494" i="10"/>
  <c r="H494" i="10"/>
  <c r="F494" i="10"/>
  <c r="C494" i="10"/>
  <c r="A494" i="10"/>
  <c r="I493" i="10"/>
  <c r="H493" i="10"/>
  <c r="F493" i="10"/>
  <c r="C493" i="10"/>
  <c r="A493" i="10"/>
  <c r="I492" i="10"/>
  <c r="H492" i="10"/>
  <c r="F492" i="10"/>
  <c r="C492" i="10"/>
  <c r="A492" i="10"/>
  <c r="I491" i="10"/>
  <c r="H491" i="10"/>
  <c r="F491" i="10"/>
  <c r="C491" i="10"/>
  <c r="A491" i="10"/>
  <c r="I490" i="10"/>
  <c r="H490" i="10"/>
  <c r="F490" i="10"/>
  <c r="C490" i="10"/>
  <c r="A490" i="10"/>
  <c r="I489" i="10"/>
  <c r="H489" i="10"/>
  <c r="F489" i="10"/>
  <c r="C489" i="10"/>
  <c r="A489" i="10"/>
  <c r="I488" i="10"/>
  <c r="H488" i="10"/>
  <c r="F488" i="10"/>
  <c r="C488" i="10"/>
  <c r="A488" i="10"/>
  <c r="I487" i="10"/>
  <c r="H487" i="10"/>
  <c r="F487" i="10"/>
  <c r="C487" i="10"/>
  <c r="A487" i="10"/>
  <c r="I486" i="10"/>
  <c r="H486" i="10"/>
  <c r="F486" i="10"/>
  <c r="C486" i="10"/>
  <c r="A486" i="10"/>
  <c r="I485" i="10"/>
  <c r="H485" i="10"/>
  <c r="F485" i="10"/>
  <c r="C485" i="10"/>
  <c r="A485" i="10"/>
  <c r="I484" i="10"/>
  <c r="H484" i="10"/>
  <c r="F484" i="10"/>
  <c r="C484" i="10"/>
  <c r="A484" i="10"/>
  <c r="I483" i="10"/>
  <c r="H483" i="10"/>
  <c r="F483" i="10"/>
  <c r="C483" i="10"/>
  <c r="A483" i="10"/>
  <c r="I482" i="10"/>
  <c r="H482" i="10"/>
  <c r="F482" i="10"/>
  <c r="C482" i="10"/>
  <c r="A482" i="10"/>
  <c r="I481" i="10"/>
  <c r="H481" i="10"/>
  <c r="F481" i="10"/>
  <c r="C481" i="10"/>
  <c r="A481" i="10"/>
  <c r="I480" i="10"/>
  <c r="H480" i="10"/>
  <c r="F480" i="10"/>
  <c r="C480" i="10"/>
  <c r="A480" i="10"/>
  <c r="I479" i="10"/>
  <c r="H479" i="10"/>
  <c r="F479" i="10"/>
  <c r="C479" i="10"/>
  <c r="A479" i="10"/>
  <c r="I478" i="10"/>
  <c r="H478" i="10"/>
  <c r="F478" i="10"/>
  <c r="C478" i="10"/>
  <c r="A478" i="10"/>
  <c r="I477" i="10"/>
  <c r="H477" i="10"/>
  <c r="F477" i="10"/>
  <c r="C477" i="10"/>
  <c r="A477" i="10"/>
  <c r="I476" i="10"/>
  <c r="H476" i="10"/>
  <c r="F476" i="10"/>
  <c r="C476" i="10"/>
  <c r="A476" i="10"/>
  <c r="I475" i="10"/>
  <c r="H475" i="10"/>
  <c r="F475" i="10"/>
  <c r="C475" i="10"/>
  <c r="A475" i="10"/>
  <c r="I474" i="10"/>
  <c r="H474" i="10"/>
  <c r="F474" i="10"/>
  <c r="C474" i="10"/>
  <c r="A474" i="10"/>
  <c r="I473" i="10"/>
  <c r="H473" i="10"/>
  <c r="F473" i="10"/>
  <c r="C473" i="10"/>
  <c r="A473" i="10"/>
  <c r="I472" i="10"/>
  <c r="H472" i="10"/>
  <c r="F472" i="10"/>
  <c r="C472" i="10"/>
  <c r="A472" i="10"/>
  <c r="I471" i="10"/>
  <c r="H471" i="10"/>
  <c r="F471" i="10"/>
  <c r="C471" i="10"/>
  <c r="A471" i="10"/>
  <c r="I470" i="10"/>
  <c r="H470" i="10"/>
  <c r="F470" i="10"/>
  <c r="C470" i="10"/>
  <c r="A470" i="10"/>
  <c r="I469" i="10"/>
  <c r="H469" i="10"/>
  <c r="F469" i="10"/>
  <c r="C469" i="10"/>
  <c r="A469" i="10"/>
  <c r="I468" i="10"/>
  <c r="H468" i="10"/>
  <c r="F468" i="10"/>
  <c r="C468" i="10"/>
  <c r="A468" i="10"/>
  <c r="I467" i="10"/>
  <c r="H467" i="10"/>
  <c r="F467" i="10"/>
  <c r="C467" i="10"/>
  <c r="A467" i="10"/>
  <c r="I466" i="10"/>
  <c r="H466" i="10"/>
  <c r="F466" i="10"/>
  <c r="C466" i="10"/>
  <c r="A466" i="10"/>
  <c r="I465" i="10"/>
  <c r="H465" i="10"/>
  <c r="F465" i="10"/>
  <c r="C465" i="10"/>
  <c r="A465" i="10"/>
  <c r="I464" i="10"/>
  <c r="H464" i="10"/>
  <c r="F464" i="10"/>
  <c r="C464" i="10"/>
  <c r="A464" i="10"/>
  <c r="I463" i="10"/>
  <c r="H463" i="10"/>
  <c r="F463" i="10"/>
  <c r="C463" i="10"/>
  <c r="A463" i="10"/>
  <c r="I462" i="10"/>
  <c r="H462" i="10"/>
  <c r="F462" i="10"/>
  <c r="C462" i="10"/>
  <c r="A462" i="10"/>
  <c r="I461" i="10"/>
  <c r="H461" i="10"/>
  <c r="F461" i="10"/>
  <c r="C461" i="10"/>
  <c r="A461" i="10"/>
  <c r="I460" i="10"/>
  <c r="H460" i="10"/>
  <c r="F460" i="10"/>
  <c r="C460" i="10"/>
  <c r="A460" i="10"/>
  <c r="I459" i="10"/>
  <c r="H459" i="10"/>
  <c r="F459" i="10"/>
  <c r="C459" i="10"/>
  <c r="A459" i="10"/>
  <c r="I458" i="10"/>
  <c r="H458" i="10"/>
  <c r="F458" i="10"/>
  <c r="C458" i="10"/>
  <c r="A458" i="10"/>
  <c r="I457" i="10"/>
  <c r="H457" i="10"/>
  <c r="F457" i="10"/>
  <c r="C457" i="10"/>
  <c r="A457" i="10"/>
  <c r="I456" i="10"/>
  <c r="H456" i="10"/>
  <c r="F456" i="10"/>
  <c r="C456" i="10"/>
  <c r="A456" i="10"/>
  <c r="I455" i="10"/>
  <c r="H455" i="10"/>
  <c r="F455" i="10"/>
  <c r="C455" i="10"/>
  <c r="A455" i="10"/>
  <c r="I454" i="10"/>
  <c r="H454" i="10"/>
  <c r="F454" i="10"/>
  <c r="C454" i="10"/>
  <c r="A454" i="10"/>
  <c r="I453" i="10"/>
  <c r="H453" i="10"/>
  <c r="F453" i="10"/>
  <c r="C453" i="10"/>
  <c r="A453" i="10"/>
  <c r="I452" i="10"/>
  <c r="H452" i="10"/>
  <c r="F452" i="10"/>
  <c r="C452" i="10"/>
  <c r="A452" i="10"/>
  <c r="I451" i="10"/>
  <c r="H451" i="10"/>
  <c r="F451" i="10"/>
  <c r="C451" i="10"/>
  <c r="A451" i="10"/>
  <c r="I450" i="10"/>
  <c r="H450" i="10"/>
  <c r="F450" i="10"/>
  <c r="C450" i="10"/>
  <c r="A450" i="10"/>
  <c r="I449" i="10"/>
  <c r="H449" i="10"/>
  <c r="F449" i="10"/>
  <c r="C449" i="10"/>
  <c r="A449" i="10"/>
  <c r="I448" i="10"/>
  <c r="H448" i="10"/>
  <c r="F448" i="10"/>
  <c r="C448" i="10"/>
  <c r="A448" i="10"/>
  <c r="I447" i="10"/>
  <c r="H447" i="10"/>
  <c r="F447" i="10"/>
  <c r="C447" i="10"/>
  <c r="A447" i="10"/>
  <c r="I446" i="10"/>
  <c r="H446" i="10"/>
  <c r="F446" i="10"/>
  <c r="C446" i="10"/>
  <c r="A446" i="10"/>
  <c r="I445" i="10"/>
  <c r="H445" i="10"/>
  <c r="F445" i="10"/>
  <c r="C445" i="10"/>
  <c r="A445" i="10"/>
  <c r="I444" i="10"/>
  <c r="H444" i="10"/>
  <c r="F444" i="10"/>
  <c r="C444" i="10"/>
  <c r="A444" i="10"/>
  <c r="I443" i="10"/>
  <c r="H443" i="10"/>
  <c r="F443" i="10"/>
  <c r="C443" i="10"/>
  <c r="A443" i="10"/>
  <c r="I442" i="10"/>
  <c r="H442" i="10"/>
  <c r="F442" i="10"/>
  <c r="C442" i="10"/>
  <c r="A442" i="10"/>
  <c r="I441" i="10"/>
  <c r="H441" i="10"/>
  <c r="F441" i="10"/>
  <c r="C441" i="10"/>
  <c r="A441" i="10"/>
  <c r="I440" i="10"/>
  <c r="H440" i="10"/>
  <c r="F440" i="10"/>
  <c r="C440" i="10"/>
  <c r="A440" i="10"/>
  <c r="I439" i="10"/>
  <c r="H439" i="10"/>
  <c r="F439" i="10"/>
  <c r="C439" i="10"/>
  <c r="A439" i="10"/>
  <c r="I438" i="10"/>
  <c r="H438" i="10"/>
  <c r="F438" i="10"/>
  <c r="C438" i="10"/>
  <c r="A438" i="10"/>
  <c r="I437" i="10"/>
  <c r="H437" i="10"/>
  <c r="F437" i="10"/>
  <c r="C437" i="10"/>
  <c r="A437" i="10"/>
  <c r="I436" i="10"/>
  <c r="H436" i="10"/>
  <c r="F436" i="10"/>
  <c r="C436" i="10"/>
  <c r="A436" i="10"/>
  <c r="I435" i="10"/>
  <c r="H435" i="10"/>
  <c r="F435" i="10"/>
  <c r="C435" i="10"/>
  <c r="A435" i="10"/>
  <c r="I434" i="10"/>
  <c r="H434" i="10"/>
  <c r="F434" i="10"/>
  <c r="C434" i="10"/>
  <c r="A434" i="10"/>
  <c r="I433" i="10"/>
  <c r="H433" i="10"/>
  <c r="F433" i="10"/>
  <c r="C433" i="10"/>
  <c r="A433" i="10"/>
  <c r="I432" i="10"/>
  <c r="H432" i="10"/>
  <c r="F432" i="10"/>
  <c r="C432" i="10"/>
  <c r="A432" i="10"/>
  <c r="I431" i="10"/>
  <c r="H431" i="10"/>
  <c r="F431" i="10"/>
  <c r="C431" i="10"/>
  <c r="A431" i="10"/>
  <c r="I430" i="10"/>
  <c r="H430" i="10"/>
  <c r="F430" i="10"/>
  <c r="C430" i="10"/>
  <c r="A430" i="10"/>
  <c r="I429" i="10"/>
  <c r="H429" i="10"/>
  <c r="F429" i="10"/>
  <c r="C429" i="10"/>
  <c r="A429" i="10"/>
  <c r="I428" i="10"/>
  <c r="H428" i="10"/>
  <c r="F428" i="10"/>
  <c r="C428" i="10"/>
  <c r="A428" i="10"/>
  <c r="I427" i="10"/>
  <c r="H427" i="10"/>
  <c r="F427" i="10"/>
  <c r="C427" i="10"/>
  <c r="A427" i="10"/>
  <c r="I426" i="10"/>
  <c r="H426" i="10"/>
  <c r="F426" i="10"/>
  <c r="C426" i="10"/>
  <c r="A426" i="10"/>
  <c r="I425" i="10"/>
  <c r="H425" i="10"/>
  <c r="F425" i="10"/>
  <c r="C425" i="10"/>
  <c r="A425" i="10"/>
  <c r="I424" i="10"/>
  <c r="H424" i="10"/>
  <c r="F424" i="10"/>
  <c r="C424" i="10"/>
  <c r="A424" i="10"/>
  <c r="I423" i="10"/>
  <c r="H423" i="10"/>
  <c r="F423" i="10"/>
  <c r="C423" i="10"/>
  <c r="A423" i="10"/>
  <c r="I422" i="10"/>
  <c r="H422" i="10"/>
  <c r="F422" i="10"/>
  <c r="C422" i="10"/>
  <c r="A422" i="10"/>
  <c r="I421" i="10"/>
  <c r="H421" i="10"/>
  <c r="F421" i="10"/>
  <c r="C421" i="10"/>
  <c r="A421" i="10"/>
  <c r="I420" i="10"/>
  <c r="H420" i="10"/>
  <c r="F420" i="10"/>
  <c r="C420" i="10"/>
  <c r="A420" i="10"/>
  <c r="I419" i="10"/>
  <c r="H419" i="10"/>
  <c r="F419" i="10"/>
  <c r="C419" i="10"/>
  <c r="A419" i="10"/>
  <c r="I418" i="10"/>
  <c r="H418" i="10"/>
  <c r="F418" i="10"/>
  <c r="C418" i="10"/>
  <c r="A418" i="10"/>
  <c r="I417" i="10"/>
  <c r="H417" i="10"/>
  <c r="F417" i="10"/>
  <c r="C417" i="10"/>
  <c r="A417" i="10"/>
  <c r="I416" i="10"/>
  <c r="H416" i="10"/>
  <c r="F416" i="10"/>
  <c r="C416" i="10"/>
  <c r="A416" i="10"/>
  <c r="I415" i="10"/>
  <c r="H415" i="10"/>
  <c r="F415" i="10"/>
  <c r="C415" i="10"/>
  <c r="A415" i="10"/>
  <c r="I414" i="10"/>
  <c r="H414" i="10"/>
  <c r="F414" i="10"/>
  <c r="C414" i="10"/>
  <c r="A414" i="10"/>
  <c r="I413" i="10"/>
  <c r="H413" i="10"/>
  <c r="F413" i="10"/>
  <c r="C413" i="10"/>
  <c r="A413" i="10"/>
  <c r="I412" i="10"/>
  <c r="H412" i="10"/>
  <c r="F412" i="10"/>
  <c r="C412" i="10"/>
  <c r="A412" i="10"/>
  <c r="I411" i="10"/>
  <c r="H411" i="10"/>
  <c r="F411" i="10"/>
  <c r="C411" i="10"/>
  <c r="A411" i="10"/>
  <c r="I410" i="10"/>
  <c r="H410" i="10"/>
  <c r="F410" i="10"/>
  <c r="C410" i="10"/>
  <c r="A410" i="10"/>
  <c r="I409" i="10"/>
  <c r="H409" i="10"/>
  <c r="F409" i="10"/>
  <c r="C409" i="10"/>
  <c r="A409" i="10"/>
  <c r="I408" i="10"/>
  <c r="H408" i="10"/>
  <c r="F408" i="10"/>
  <c r="C408" i="10"/>
  <c r="A408" i="10"/>
  <c r="I407" i="10"/>
  <c r="H407" i="10"/>
  <c r="F407" i="10"/>
  <c r="C407" i="10"/>
  <c r="A407" i="10"/>
  <c r="I406" i="10"/>
  <c r="H406" i="10"/>
  <c r="F406" i="10"/>
  <c r="C406" i="10"/>
  <c r="A406" i="10"/>
  <c r="I405" i="10"/>
  <c r="H405" i="10"/>
  <c r="F405" i="10"/>
  <c r="C405" i="10"/>
  <c r="A405" i="10"/>
  <c r="I404" i="10"/>
  <c r="H404" i="10"/>
  <c r="F404" i="10"/>
  <c r="C404" i="10"/>
  <c r="A404" i="10"/>
  <c r="I403" i="10"/>
  <c r="H403" i="10"/>
  <c r="F403" i="10"/>
  <c r="C403" i="10"/>
  <c r="A403" i="10"/>
  <c r="I402" i="10"/>
  <c r="H402" i="10"/>
  <c r="F402" i="10"/>
  <c r="C402" i="10"/>
  <c r="A402" i="10"/>
  <c r="I401" i="10"/>
  <c r="H401" i="10"/>
  <c r="F401" i="10"/>
  <c r="C401" i="10"/>
  <c r="A401" i="10"/>
  <c r="I400" i="10"/>
  <c r="H400" i="10"/>
  <c r="F400" i="10"/>
  <c r="C400" i="10"/>
  <c r="A400" i="10"/>
  <c r="I399" i="10"/>
  <c r="H399" i="10"/>
  <c r="F399" i="10"/>
  <c r="C399" i="10"/>
  <c r="A399" i="10"/>
  <c r="I398" i="10"/>
  <c r="H398" i="10"/>
  <c r="F398" i="10"/>
  <c r="C398" i="10"/>
  <c r="A398" i="10"/>
  <c r="I397" i="10"/>
  <c r="H397" i="10"/>
  <c r="F397" i="10"/>
  <c r="C397" i="10"/>
  <c r="A397" i="10"/>
  <c r="I396" i="10"/>
  <c r="H396" i="10"/>
  <c r="F396" i="10"/>
  <c r="C396" i="10"/>
  <c r="A396" i="10"/>
  <c r="I395" i="10"/>
  <c r="H395" i="10"/>
  <c r="F395" i="10"/>
  <c r="C395" i="10"/>
  <c r="A395" i="10"/>
  <c r="I394" i="10"/>
  <c r="H394" i="10"/>
  <c r="F394" i="10"/>
  <c r="C394" i="10"/>
  <c r="A394" i="10"/>
  <c r="I393" i="10"/>
  <c r="H393" i="10"/>
  <c r="F393" i="10"/>
  <c r="C393" i="10"/>
  <c r="A393" i="10"/>
  <c r="I392" i="10"/>
  <c r="H392" i="10"/>
  <c r="F392" i="10"/>
  <c r="C392" i="10"/>
  <c r="A392" i="10"/>
  <c r="I391" i="10"/>
  <c r="H391" i="10"/>
  <c r="F391" i="10"/>
  <c r="C391" i="10"/>
  <c r="A391" i="10"/>
  <c r="I390" i="10"/>
  <c r="H390" i="10"/>
  <c r="F390" i="10"/>
  <c r="C390" i="10"/>
  <c r="A390" i="10"/>
  <c r="I389" i="10"/>
  <c r="H389" i="10"/>
  <c r="F389" i="10"/>
  <c r="C389" i="10"/>
  <c r="A389" i="10"/>
  <c r="I388" i="10"/>
  <c r="H388" i="10"/>
  <c r="F388" i="10"/>
  <c r="C388" i="10"/>
  <c r="A388" i="10"/>
  <c r="I387" i="10"/>
  <c r="H387" i="10"/>
  <c r="F387" i="10"/>
  <c r="C387" i="10"/>
  <c r="A387" i="10"/>
  <c r="I386" i="10"/>
  <c r="H386" i="10"/>
  <c r="F386" i="10"/>
  <c r="C386" i="10"/>
  <c r="A386" i="10"/>
  <c r="I385" i="10"/>
  <c r="H385" i="10"/>
  <c r="F385" i="10"/>
  <c r="C385" i="10"/>
  <c r="A385" i="10"/>
  <c r="I384" i="10"/>
  <c r="H384" i="10"/>
  <c r="F384" i="10"/>
  <c r="C384" i="10"/>
  <c r="A384" i="10"/>
  <c r="I383" i="10"/>
  <c r="H383" i="10"/>
  <c r="F383" i="10"/>
  <c r="C383" i="10"/>
  <c r="A383" i="10"/>
  <c r="I382" i="10"/>
  <c r="H382" i="10"/>
  <c r="F382" i="10"/>
  <c r="C382" i="10"/>
  <c r="A382" i="10"/>
  <c r="I381" i="10"/>
  <c r="H381" i="10"/>
  <c r="F381" i="10"/>
  <c r="C381" i="10"/>
  <c r="A381" i="10"/>
  <c r="I380" i="10"/>
  <c r="H380" i="10"/>
  <c r="F380" i="10"/>
  <c r="C380" i="10"/>
  <c r="A380" i="10"/>
  <c r="I379" i="10"/>
  <c r="H379" i="10"/>
  <c r="F379" i="10"/>
  <c r="C379" i="10"/>
  <c r="A379" i="10"/>
  <c r="I378" i="10"/>
  <c r="H378" i="10"/>
  <c r="F378" i="10"/>
  <c r="C378" i="10"/>
  <c r="A378" i="10"/>
  <c r="I377" i="10"/>
  <c r="H377" i="10"/>
  <c r="F377" i="10"/>
  <c r="C377" i="10"/>
  <c r="A377" i="10"/>
  <c r="I376" i="10"/>
  <c r="H376" i="10"/>
  <c r="F376" i="10"/>
  <c r="C376" i="10"/>
  <c r="A376" i="10"/>
  <c r="I375" i="10"/>
  <c r="H375" i="10"/>
  <c r="F375" i="10"/>
  <c r="C375" i="10"/>
  <c r="A375" i="10"/>
  <c r="I374" i="10"/>
  <c r="H374" i="10"/>
  <c r="F374" i="10"/>
  <c r="C374" i="10"/>
  <c r="A374" i="10"/>
  <c r="I373" i="10"/>
  <c r="H373" i="10"/>
  <c r="F373" i="10"/>
  <c r="C373" i="10"/>
  <c r="A373" i="10"/>
  <c r="I372" i="10"/>
  <c r="H372" i="10"/>
  <c r="F372" i="10"/>
  <c r="C372" i="10"/>
  <c r="A372" i="10"/>
  <c r="I371" i="10"/>
  <c r="H371" i="10"/>
  <c r="F371" i="10"/>
  <c r="C371" i="10"/>
  <c r="A371" i="10"/>
  <c r="I370" i="10"/>
  <c r="H370" i="10"/>
  <c r="F370" i="10"/>
  <c r="C370" i="10"/>
  <c r="A370" i="10"/>
  <c r="I369" i="10"/>
  <c r="H369" i="10"/>
  <c r="F369" i="10"/>
  <c r="C369" i="10"/>
  <c r="A369" i="10"/>
  <c r="I368" i="10"/>
  <c r="H368" i="10"/>
  <c r="F368" i="10"/>
  <c r="C368" i="10"/>
  <c r="A368" i="10"/>
  <c r="I367" i="10"/>
  <c r="H367" i="10"/>
  <c r="F367" i="10"/>
  <c r="C367" i="10"/>
  <c r="A367" i="10"/>
  <c r="I366" i="10"/>
  <c r="H366" i="10"/>
  <c r="F366" i="10"/>
  <c r="C366" i="10"/>
  <c r="A366" i="10"/>
  <c r="I365" i="10"/>
  <c r="H365" i="10"/>
  <c r="F365" i="10"/>
  <c r="C365" i="10"/>
  <c r="A365" i="10"/>
  <c r="I364" i="10"/>
  <c r="H364" i="10"/>
  <c r="F364" i="10"/>
  <c r="C364" i="10"/>
  <c r="A364" i="10"/>
  <c r="I363" i="10"/>
  <c r="H363" i="10"/>
  <c r="F363" i="10"/>
  <c r="C363" i="10"/>
  <c r="A363" i="10"/>
  <c r="I362" i="10"/>
  <c r="H362" i="10"/>
  <c r="F362" i="10"/>
  <c r="C362" i="10"/>
  <c r="A362" i="10"/>
  <c r="I361" i="10"/>
  <c r="H361" i="10"/>
  <c r="F361" i="10"/>
  <c r="C361" i="10"/>
  <c r="A361" i="10"/>
  <c r="I360" i="10"/>
  <c r="H360" i="10"/>
  <c r="F360" i="10"/>
  <c r="C360" i="10"/>
  <c r="A360" i="10"/>
  <c r="I359" i="10"/>
  <c r="H359" i="10"/>
  <c r="F359" i="10"/>
  <c r="C359" i="10"/>
  <c r="A359" i="10"/>
  <c r="I358" i="10"/>
  <c r="H358" i="10"/>
  <c r="F358" i="10"/>
  <c r="C358" i="10"/>
  <c r="A358" i="10"/>
  <c r="I357" i="10"/>
  <c r="H357" i="10"/>
  <c r="F357" i="10"/>
  <c r="C357" i="10"/>
  <c r="A357" i="10"/>
  <c r="I356" i="10"/>
  <c r="H356" i="10"/>
  <c r="F356" i="10"/>
  <c r="C356" i="10"/>
  <c r="A356" i="10"/>
  <c r="I355" i="10"/>
  <c r="H355" i="10"/>
  <c r="F355" i="10"/>
  <c r="C355" i="10"/>
  <c r="A355" i="10"/>
  <c r="I354" i="10"/>
  <c r="H354" i="10"/>
  <c r="F354" i="10"/>
  <c r="C354" i="10"/>
  <c r="A354" i="10"/>
  <c r="I353" i="10"/>
  <c r="H353" i="10"/>
  <c r="F353" i="10"/>
  <c r="C353" i="10"/>
  <c r="A353" i="10"/>
  <c r="I352" i="10"/>
  <c r="H352" i="10"/>
  <c r="F352" i="10"/>
  <c r="C352" i="10"/>
  <c r="A352" i="10"/>
  <c r="I351" i="10"/>
  <c r="H351" i="10"/>
  <c r="F351" i="10"/>
  <c r="C351" i="10"/>
  <c r="A351" i="10"/>
  <c r="I350" i="10"/>
  <c r="H350" i="10"/>
  <c r="F350" i="10"/>
  <c r="C350" i="10"/>
  <c r="A350" i="10"/>
  <c r="I349" i="10"/>
  <c r="H349" i="10"/>
  <c r="F349" i="10"/>
  <c r="C349" i="10"/>
  <c r="A349" i="10"/>
  <c r="I348" i="10"/>
  <c r="H348" i="10"/>
  <c r="F348" i="10"/>
  <c r="C348" i="10"/>
  <c r="A348" i="10"/>
  <c r="I347" i="10"/>
  <c r="H347" i="10"/>
  <c r="F347" i="10"/>
  <c r="C347" i="10"/>
  <c r="A347" i="10"/>
  <c r="I346" i="10"/>
  <c r="H346" i="10"/>
  <c r="F346" i="10"/>
  <c r="C346" i="10"/>
  <c r="A346" i="10"/>
  <c r="I345" i="10"/>
  <c r="H345" i="10"/>
  <c r="F345" i="10"/>
  <c r="C345" i="10"/>
  <c r="A345" i="10"/>
  <c r="I344" i="10"/>
  <c r="H344" i="10"/>
  <c r="F344" i="10"/>
  <c r="C344" i="10"/>
  <c r="A344" i="10"/>
  <c r="I343" i="10"/>
  <c r="H343" i="10"/>
  <c r="F343" i="10"/>
  <c r="C343" i="10"/>
  <c r="A343" i="10"/>
  <c r="I342" i="10"/>
  <c r="H342" i="10"/>
  <c r="F342" i="10"/>
  <c r="C342" i="10"/>
  <c r="A342" i="10"/>
  <c r="I341" i="10"/>
  <c r="H341" i="10"/>
  <c r="F341" i="10"/>
  <c r="C341" i="10"/>
  <c r="A341" i="10"/>
  <c r="I340" i="10"/>
  <c r="H340" i="10"/>
  <c r="F340" i="10"/>
  <c r="C340" i="10"/>
  <c r="A340" i="10"/>
  <c r="I339" i="10"/>
  <c r="H339" i="10"/>
  <c r="F339" i="10"/>
  <c r="C339" i="10"/>
  <c r="A339" i="10"/>
  <c r="I338" i="10"/>
  <c r="H338" i="10"/>
  <c r="F338" i="10"/>
  <c r="C338" i="10"/>
  <c r="A338" i="10"/>
  <c r="I337" i="10"/>
  <c r="H337" i="10"/>
  <c r="F337" i="10"/>
  <c r="C337" i="10"/>
  <c r="A337" i="10"/>
  <c r="I336" i="10"/>
  <c r="H336" i="10"/>
  <c r="F336" i="10"/>
  <c r="C336" i="10"/>
  <c r="A336" i="10"/>
  <c r="I335" i="10"/>
  <c r="H335" i="10"/>
  <c r="F335" i="10"/>
  <c r="C335" i="10"/>
  <c r="A335" i="10"/>
  <c r="I334" i="10"/>
  <c r="H334" i="10"/>
  <c r="F334" i="10"/>
  <c r="C334" i="10"/>
  <c r="A334" i="10"/>
  <c r="I333" i="10"/>
  <c r="H333" i="10"/>
  <c r="F333" i="10"/>
  <c r="C333" i="10"/>
  <c r="A333" i="10"/>
  <c r="I332" i="10"/>
  <c r="H332" i="10"/>
  <c r="F332" i="10"/>
  <c r="C332" i="10"/>
  <c r="A332" i="10"/>
  <c r="I331" i="10"/>
  <c r="H331" i="10"/>
  <c r="F331" i="10"/>
  <c r="C331" i="10"/>
  <c r="A331" i="10"/>
  <c r="I330" i="10"/>
  <c r="H330" i="10"/>
  <c r="F330" i="10"/>
  <c r="C330" i="10"/>
  <c r="A330" i="10"/>
  <c r="I329" i="10"/>
  <c r="H329" i="10"/>
  <c r="F329" i="10"/>
  <c r="C329" i="10"/>
  <c r="A329" i="10"/>
  <c r="I328" i="10"/>
  <c r="H328" i="10"/>
  <c r="F328" i="10"/>
  <c r="C328" i="10"/>
  <c r="A328" i="10"/>
  <c r="I327" i="10"/>
  <c r="H327" i="10"/>
  <c r="F327" i="10"/>
  <c r="C327" i="10"/>
  <c r="A327" i="10"/>
  <c r="I326" i="10"/>
  <c r="H326" i="10"/>
  <c r="F326" i="10"/>
  <c r="C326" i="10"/>
  <c r="A326" i="10"/>
  <c r="I325" i="10"/>
  <c r="H325" i="10"/>
  <c r="F325" i="10"/>
  <c r="C325" i="10"/>
  <c r="A325" i="10"/>
  <c r="I324" i="10"/>
  <c r="H324" i="10"/>
  <c r="F324" i="10"/>
  <c r="C324" i="10"/>
  <c r="A324" i="10"/>
  <c r="I323" i="10"/>
  <c r="H323" i="10"/>
  <c r="F323" i="10"/>
  <c r="C323" i="10"/>
  <c r="A323" i="10"/>
  <c r="I322" i="10"/>
  <c r="H322" i="10"/>
  <c r="F322" i="10"/>
  <c r="C322" i="10"/>
  <c r="A322" i="10"/>
  <c r="I321" i="10"/>
  <c r="H321" i="10"/>
  <c r="F321" i="10"/>
  <c r="C321" i="10"/>
  <c r="A321" i="10"/>
  <c r="I320" i="10"/>
  <c r="H320" i="10"/>
  <c r="F320" i="10"/>
  <c r="C320" i="10"/>
  <c r="A320" i="10"/>
  <c r="I319" i="10"/>
  <c r="H319" i="10"/>
  <c r="F319" i="10"/>
  <c r="C319" i="10"/>
  <c r="A319" i="10"/>
  <c r="I318" i="10"/>
  <c r="H318" i="10"/>
  <c r="F318" i="10"/>
  <c r="C318" i="10"/>
  <c r="A318" i="10"/>
  <c r="I317" i="10"/>
  <c r="H317" i="10"/>
  <c r="F317" i="10"/>
  <c r="C317" i="10"/>
  <c r="A317" i="10"/>
  <c r="I316" i="10"/>
  <c r="H316" i="10"/>
  <c r="F316" i="10"/>
  <c r="C316" i="10"/>
  <c r="A316" i="10"/>
  <c r="I315" i="10"/>
  <c r="H315" i="10"/>
  <c r="F315" i="10"/>
  <c r="C315" i="10"/>
  <c r="A315" i="10"/>
  <c r="I314" i="10"/>
  <c r="H314" i="10"/>
  <c r="F314" i="10"/>
  <c r="C314" i="10"/>
  <c r="A314" i="10"/>
  <c r="I313" i="10"/>
  <c r="H313" i="10"/>
  <c r="F313" i="10"/>
  <c r="C313" i="10"/>
  <c r="A313" i="10"/>
  <c r="I312" i="10"/>
  <c r="H312" i="10"/>
  <c r="F312" i="10"/>
  <c r="C312" i="10"/>
  <c r="A312" i="10"/>
  <c r="I311" i="10"/>
  <c r="H311" i="10"/>
  <c r="F311" i="10"/>
  <c r="C311" i="10"/>
  <c r="A311" i="10"/>
  <c r="I310" i="10"/>
  <c r="H310" i="10"/>
  <c r="F310" i="10"/>
  <c r="C310" i="10"/>
  <c r="A310" i="10"/>
  <c r="I309" i="10"/>
  <c r="H309" i="10"/>
  <c r="F309" i="10"/>
  <c r="C309" i="10"/>
  <c r="A309" i="10"/>
  <c r="I308" i="10"/>
  <c r="H308" i="10"/>
  <c r="F308" i="10"/>
  <c r="C308" i="10"/>
  <c r="A308" i="10"/>
  <c r="I307" i="10"/>
  <c r="H307" i="10"/>
  <c r="F307" i="10"/>
  <c r="C307" i="10"/>
  <c r="A307" i="10"/>
  <c r="I306" i="10"/>
  <c r="H306" i="10"/>
  <c r="F306" i="10"/>
  <c r="C306" i="10"/>
  <c r="A306" i="10"/>
  <c r="I305" i="10"/>
  <c r="H305" i="10"/>
  <c r="F305" i="10"/>
  <c r="C305" i="10"/>
  <c r="A305" i="10"/>
  <c r="I304" i="10"/>
  <c r="H304" i="10"/>
  <c r="F304" i="10"/>
  <c r="C304" i="10"/>
  <c r="A304" i="10"/>
  <c r="I303" i="10"/>
  <c r="H303" i="10"/>
  <c r="F303" i="10"/>
  <c r="C303" i="10"/>
  <c r="A303" i="10"/>
  <c r="I302" i="10"/>
  <c r="H302" i="10"/>
  <c r="F302" i="10"/>
  <c r="C302" i="10"/>
  <c r="A302" i="10"/>
  <c r="I301" i="10"/>
  <c r="H301" i="10"/>
  <c r="F301" i="10"/>
  <c r="C301" i="10"/>
  <c r="A301" i="10"/>
  <c r="I300" i="10"/>
  <c r="H300" i="10"/>
  <c r="F300" i="10"/>
  <c r="C300" i="10"/>
  <c r="A300" i="10"/>
  <c r="I299" i="10"/>
  <c r="H299" i="10"/>
  <c r="F299" i="10"/>
  <c r="C299" i="10"/>
  <c r="A299" i="10"/>
  <c r="I298" i="10"/>
  <c r="H298" i="10"/>
  <c r="F298" i="10"/>
  <c r="C298" i="10"/>
  <c r="A298" i="10"/>
  <c r="I297" i="10"/>
  <c r="H297" i="10"/>
  <c r="F297" i="10"/>
  <c r="C297" i="10"/>
  <c r="A297" i="10"/>
  <c r="I296" i="10"/>
  <c r="H296" i="10"/>
  <c r="F296" i="10"/>
  <c r="C296" i="10"/>
  <c r="A296" i="10"/>
  <c r="I295" i="10"/>
  <c r="H295" i="10"/>
  <c r="F295" i="10"/>
  <c r="C295" i="10"/>
  <c r="A295" i="10"/>
  <c r="I294" i="10"/>
  <c r="H294" i="10"/>
  <c r="F294" i="10"/>
  <c r="C294" i="10"/>
  <c r="A294" i="10"/>
  <c r="I293" i="10"/>
  <c r="H293" i="10"/>
  <c r="F293" i="10"/>
  <c r="C293" i="10"/>
  <c r="A293" i="10"/>
  <c r="I292" i="10"/>
  <c r="H292" i="10"/>
  <c r="F292" i="10"/>
  <c r="C292" i="10"/>
  <c r="A292" i="10"/>
  <c r="I291" i="10"/>
  <c r="H291" i="10"/>
  <c r="F291" i="10"/>
  <c r="C291" i="10"/>
  <c r="A291" i="10"/>
  <c r="I290" i="10"/>
  <c r="H290" i="10"/>
  <c r="F290" i="10"/>
  <c r="C290" i="10"/>
  <c r="A290" i="10"/>
  <c r="I289" i="10"/>
  <c r="H289" i="10"/>
  <c r="F289" i="10"/>
  <c r="C289" i="10"/>
  <c r="A289" i="10"/>
  <c r="I288" i="10"/>
  <c r="H288" i="10"/>
  <c r="F288" i="10"/>
  <c r="C288" i="10"/>
  <c r="A288" i="10"/>
  <c r="I287" i="10"/>
  <c r="H287" i="10"/>
  <c r="F287" i="10"/>
  <c r="C287" i="10"/>
  <c r="A287" i="10"/>
  <c r="I286" i="10"/>
  <c r="H286" i="10"/>
  <c r="F286" i="10"/>
  <c r="C286" i="10"/>
  <c r="A286" i="10"/>
  <c r="I285" i="10"/>
  <c r="H285" i="10"/>
  <c r="F285" i="10"/>
  <c r="C285" i="10"/>
  <c r="A285" i="10"/>
  <c r="I284" i="10"/>
  <c r="H284" i="10"/>
  <c r="F284" i="10"/>
  <c r="C284" i="10"/>
  <c r="A284" i="10"/>
  <c r="I283" i="10"/>
  <c r="H283" i="10"/>
  <c r="F283" i="10"/>
  <c r="C283" i="10"/>
  <c r="A283" i="10"/>
  <c r="I282" i="10"/>
  <c r="H282" i="10"/>
  <c r="F282" i="10"/>
  <c r="C282" i="10"/>
  <c r="A282" i="10"/>
  <c r="I281" i="10"/>
  <c r="H281" i="10"/>
  <c r="F281" i="10"/>
  <c r="C281" i="10"/>
  <c r="A281" i="10"/>
  <c r="I280" i="10"/>
  <c r="H280" i="10"/>
  <c r="F280" i="10"/>
  <c r="C280" i="10"/>
  <c r="A280" i="10"/>
  <c r="I279" i="10"/>
  <c r="H279" i="10"/>
  <c r="F279" i="10"/>
  <c r="C279" i="10"/>
  <c r="A279" i="10"/>
  <c r="I278" i="10"/>
  <c r="H278" i="10"/>
  <c r="F278" i="10"/>
  <c r="C278" i="10"/>
  <c r="A278" i="10"/>
  <c r="I277" i="10"/>
  <c r="H277" i="10"/>
  <c r="F277" i="10"/>
  <c r="C277" i="10"/>
  <c r="A277" i="10"/>
  <c r="I276" i="10"/>
  <c r="H276" i="10"/>
  <c r="F276" i="10"/>
  <c r="C276" i="10"/>
  <c r="A276" i="10"/>
  <c r="I275" i="10"/>
  <c r="H275" i="10"/>
  <c r="F275" i="10"/>
  <c r="C275" i="10"/>
  <c r="A275" i="10"/>
  <c r="I274" i="10"/>
  <c r="H274" i="10"/>
  <c r="F274" i="10"/>
  <c r="C274" i="10"/>
  <c r="A274" i="10"/>
  <c r="I273" i="10"/>
  <c r="H273" i="10"/>
  <c r="F273" i="10"/>
  <c r="C273" i="10"/>
  <c r="A273" i="10"/>
  <c r="I272" i="10"/>
  <c r="H272" i="10"/>
  <c r="F272" i="10"/>
  <c r="C272" i="10"/>
  <c r="A272" i="10"/>
  <c r="I271" i="10"/>
  <c r="H271" i="10"/>
  <c r="F271" i="10"/>
  <c r="C271" i="10"/>
  <c r="A271" i="10"/>
  <c r="I270" i="10"/>
  <c r="H270" i="10"/>
  <c r="F270" i="10"/>
  <c r="C270" i="10"/>
  <c r="A270" i="10"/>
  <c r="I269" i="10"/>
  <c r="H269" i="10"/>
  <c r="F269" i="10"/>
  <c r="C269" i="10"/>
  <c r="A269" i="10"/>
  <c r="I268" i="10"/>
  <c r="H268" i="10"/>
  <c r="F268" i="10"/>
  <c r="C268" i="10"/>
  <c r="A268" i="10"/>
  <c r="I267" i="10"/>
  <c r="H267" i="10"/>
  <c r="F267" i="10"/>
  <c r="C267" i="10"/>
  <c r="A267" i="10"/>
  <c r="I266" i="10"/>
  <c r="H266" i="10"/>
  <c r="F266" i="10"/>
  <c r="C266" i="10"/>
  <c r="A266" i="10"/>
  <c r="I265" i="10"/>
  <c r="H265" i="10"/>
  <c r="F265" i="10"/>
  <c r="C265" i="10"/>
  <c r="A265" i="10"/>
  <c r="I264" i="10"/>
  <c r="H264" i="10"/>
  <c r="F264" i="10"/>
  <c r="C264" i="10"/>
  <c r="A264" i="10"/>
  <c r="I263" i="10"/>
  <c r="H263" i="10"/>
  <c r="F263" i="10"/>
  <c r="C263" i="10"/>
  <c r="A263" i="10"/>
  <c r="I262" i="10"/>
  <c r="H262" i="10"/>
  <c r="F262" i="10"/>
  <c r="C262" i="10"/>
  <c r="A262" i="10"/>
  <c r="I261" i="10"/>
  <c r="H261" i="10"/>
  <c r="F261" i="10"/>
  <c r="C261" i="10"/>
  <c r="A261" i="10"/>
  <c r="I260" i="10"/>
  <c r="H260" i="10"/>
  <c r="F260" i="10"/>
  <c r="C260" i="10"/>
  <c r="A260" i="10"/>
  <c r="I259" i="10"/>
  <c r="H259" i="10"/>
  <c r="F259" i="10"/>
  <c r="C259" i="10"/>
  <c r="A259" i="10"/>
  <c r="I258" i="10"/>
  <c r="H258" i="10"/>
  <c r="F258" i="10"/>
  <c r="C258" i="10"/>
  <c r="A258" i="10"/>
  <c r="I257" i="10"/>
  <c r="H257" i="10"/>
  <c r="F257" i="10"/>
  <c r="C257" i="10"/>
  <c r="A257" i="10"/>
  <c r="I256" i="10"/>
  <c r="H256" i="10"/>
  <c r="F256" i="10"/>
  <c r="C256" i="10"/>
  <c r="A256" i="10"/>
  <c r="I255" i="10"/>
  <c r="H255" i="10"/>
  <c r="F255" i="10"/>
  <c r="C255" i="10"/>
  <c r="A255" i="10"/>
  <c r="I254" i="10"/>
  <c r="H254" i="10"/>
  <c r="F254" i="10"/>
  <c r="C254" i="10"/>
  <c r="A254" i="10"/>
  <c r="I253" i="10"/>
  <c r="H253" i="10"/>
  <c r="F253" i="10"/>
  <c r="C253" i="10"/>
  <c r="A253" i="10"/>
  <c r="I252" i="10"/>
  <c r="H252" i="10"/>
  <c r="F252" i="10"/>
  <c r="C252" i="10"/>
  <c r="A252" i="10"/>
  <c r="I251" i="10"/>
  <c r="H251" i="10"/>
  <c r="F251" i="10"/>
  <c r="C251" i="10"/>
  <c r="A251" i="10"/>
  <c r="I250" i="10"/>
  <c r="H250" i="10"/>
  <c r="F250" i="10"/>
  <c r="C250" i="10"/>
  <c r="A250" i="10"/>
  <c r="I249" i="10"/>
  <c r="H249" i="10"/>
  <c r="F249" i="10"/>
  <c r="C249" i="10"/>
  <c r="A249" i="10"/>
  <c r="I248" i="10"/>
  <c r="H248" i="10"/>
  <c r="F248" i="10"/>
  <c r="C248" i="10"/>
  <c r="A248" i="10"/>
  <c r="I247" i="10"/>
  <c r="H247" i="10"/>
  <c r="F247" i="10"/>
  <c r="C247" i="10"/>
  <c r="A247" i="10"/>
  <c r="I246" i="10"/>
  <c r="H246" i="10"/>
  <c r="F246" i="10"/>
  <c r="C246" i="10"/>
  <c r="A246" i="10"/>
  <c r="I245" i="10"/>
  <c r="H245" i="10"/>
  <c r="F245" i="10"/>
  <c r="C245" i="10"/>
  <c r="A245" i="10"/>
  <c r="I244" i="10"/>
  <c r="H244" i="10"/>
  <c r="F244" i="10"/>
  <c r="C244" i="10"/>
  <c r="A244" i="10"/>
  <c r="I243" i="10"/>
  <c r="H243" i="10"/>
  <c r="F243" i="10"/>
  <c r="C243" i="10"/>
  <c r="A243" i="10"/>
  <c r="I242" i="10"/>
  <c r="H242" i="10"/>
  <c r="F242" i="10"/>
  <c r="C242" i="10"/>
  <c r="A242" i="10"/>
  <c r="I241" i="10"/>
  <c r="H241" i="10"/>
  <c r="F241" i="10"/>
  <c r="C241" i="10"/>
  <c r="A241" i="10"/>
  <c r="I240" i="10"/>
  <c r="H240" i="10"/>
  <c r="F240" i="10"/>
  <c r="C240" i="10"/>
  <c r="A240" i="10"/>
  <c r="I239" i="10"/>
  <c r="H239" i="10"/>
  <c r="F239" i="10"/>
  <c r="C239" i="10"/>
  <c r="A239" i="10"/>
  <c r="I238" i="10"/>
  <c r="H238" i="10"/>
  <c r="F238" i="10"/>
  <c r="C238" i="10"/>
  <c r="A238" i="10"/>
  <c r="I237" i="10"/>
  <c r="H237" i="10"/>
  <c r="F237" i="10"/>
  <c r="C237" i="10"/>
  <c r="A237" i="10"/>
  <c r="I236" i="10"/>
  <c r="H236" i="10"/>
  <c r="F236" i="10"/>
  <c r="C236" i="10"/>
  <c r="A236" i="10"/>
  <c r="I235" i="10"/>
  <c r="H235" i="10"/>
  <c r="F235" i="10"/>
  <c r="C235" i="10"/>
  <c r="A235" i="10"/>
  <c r="I234" i="10"/>
  <c r="H234" i="10"/>
  <c r="F234" i="10"/>
  <c r="C234" i="10"/>
  <c r="A234" i="10"/>
  <c r="I233" i="10"/>
  <c r="H233" i="10"/>
  <c r="F233" i="10"/>
  <c r="C233" i="10"/>
  <c r="A233" i="10"/>
  <c r="I232" i="10"/>
  <c r="H232" i="10"/>
  <c r="F232" i="10"/>
  <c r="C232" i="10"/>
  <c r="A232" i="10"/>
  <c r="I231" i="10"/>
  <c r="H231" i="10"/>
  <c r="F231" i="10"/>
  <c r="C231" i="10"/>
  <c r="A231" i="10"/>
  <c r="I230" i="10"/>
  <c r="H230" i="10"/>
  <c r="F230" i="10"/>
  <c r="C230" i="10"/>
  <c r="A230" i="10"/>
  <c r="I229" i="10"/>
  <c r="H229" i="10"/>
  <c r="F229" i="10"/>
  <c r="C229" i="10"/>
  <c r="A229" i="10"/>
  <c r="I228" i="10"/>
  <c r="H228" i="10"/>
  <c r="F228" i="10"/>
  <c r="C228" i="10"/>
  <c r="A228" i="10"/>
  <c r="I227" i="10"/>
  <c r="H227" i="10"/>
  <c r="F227" i="10"/>
  <c r="C227" i="10"/>
  <c r="A227" i="10"/>
  <c r="I226" i="10"/>
  <c r="H226" i="10"/>
  <c r="F226" i="10"/>
  <c r="C226" i="10"/>
  <c r="A226" i="10"/>
  <c r="I225" i="10"/>
  <c r="H225" i="10"/>
  <c r="F225" i="10"/>
  <c r="C225" i="10"/>
  <c r="A225" i="10"/>
  <c r="I224" i="10"/>
  <c r="H224" i="10"/>
  <c r="F224" i="10"/>
  <c r="C224" i="10"/>
  <c r="A224" i="10"/>
  <c r="I223" i="10"/>
  <c r="H223" i="10"/>
  <c r="F223" i="10"/>
  <c r="C223" i="10"/>
  <c r="A223" i="10"/>
  <c r="I222" i="10"/>
  <c r="H222" i="10"/>
  <c r="F222" i="10"/>
  <c r="C222" i="10"/>
  <c r="A222" i="10"/>
  <c r="I221" i="10"/>
  <c r="H221" i="10"/>
  <c r="F221" i="10"/>
  <c r="C221" i="10"/>
  <c r="A221" i="10"/>
  <c r="I220" i="10"/>
  <c r="H220" i="10"/>
  <c r="F220" i="10"/>
  <c r="C220" i="10"/>
  <c r="A220" i="10"/>
  <c r="I219" i="10"/>
  <c r="H219" i="10"/>
  <c r="F219" i="10"/>
  <c r="C219" i="10"/>
  <c r="A219" i="10"/>
  <c r="I218" i="10"/>
  <c r="H218" i="10"/>
  <c r="F218" i="10"/>
  <c r="C218" i="10"/>
  <c r="A218" i="10"/>
  <c r="I217" i="10"/>
  <c r="H217" i="10"/>
  <c r="F217" i="10"/>
  <c r="C217" i="10"/>
  <c r="A217" i="10"/>
  <c r="I216" i="10"/>
  <c r="H216" i="10"/>
  <c r="F216" i="10"/>
  <c r="C216" i="10"/>
  <c r="A216" i="10"/>
  <c r="I215" i="10"/>
  <c r="H215" i="10"/>
  <c r="F215" i="10"/>
  <c r="C215" i="10"/>
  <c r="A215" i="10"/>
  <c r="I214" i="10"/>
  <c r="H214" i="10"/>
  <c r="F214" i="10"/>
  <c r="C214" i="10"/>
  <c r="A214" i="10"/>
  <c r="I213" i="10"/>
  <c r="H213" i="10"/>
  <c r="F213" i="10"/>
  <c r="C213" i="10"/>
  <c r="A213" i="10"/>
  <c r="I212" i="10"/>
  <c r="H212" i="10"/>
  <c r="F212" i="10"/>
  <c r="C212" i="10"/>
  <c r="A212" i="10"/>
  <c r="I211" i="10"/>
  <c r="H211" i="10"/>
  <c r="F211" i="10"/>
  <c r="C211" i="10"/>
  <c r="A211" i="10"/>
  <c r="I210" i="10"/>
  <c r="H210" i="10"/>
  <c r="F210" i="10"/>
  <c r="C210" i="10"/>
  <c r="A210" i="10"/>
  <c r="I209" i="10"/>
  <c r="H209" i="10"/>
  <c r="F209" i="10"/>
  <c r="C209" i="10"/>
  <c r="A209" i="10"/>
  <c r="I208" i="10"/>
  <c r="H208" i="10"/>
  <c r="F208" i="10"/>
  <c r="C208" i="10"/>
  <c r="A208" i="10"/>
  <c r="I207" i="10"/>
  <c r="H207" i="10"/>
  <c r="F207" i="10"/>
  <c r="C207" i="10"/>
  <c r="A207" i="10"/>
  <c r="I206" i="10"/>
  <c r="H206" i="10"/>
  <c r="F206" i="10"/>
  <c r="C206" i="10"/>
  <c r="A206" i="10"/>
  <c r="I205" i="10"/>
  <c r="H205" i="10"/>
  <c r="F205" i="10"/>
  <c r="C205" i="10"/>
  <c r="A205" i="10"/>
  <c r="I204" i="10"/>
  <c r="H204" i="10"/>
  <c r="F204" i="10"/>
  <c r="C204" i="10"/>
  <c r="A204" i="10"/>
  <c r="I203" i="10"/>
  <c r="H203" i="10"/>
  <c r="F203" i="10"/>
  <c r="C203" i="10"/>
  <c r="A203" i="10"/>
  <c r="I202" i="10"/>
  <c r="H202" i="10"/>
  <c r="F202" i="10"/>
  <c r="C202" i="10"/>
  <c r="A202" i="10"/>
  <c r="I201" i="10"/>
  <c r="H201" i="10"/>
  <c r="F201" i="10"/>
  <c r="C201" i="10"/>
  <c r="A201" i="10"/>
  <c r="I200" i="10"/>
  <c r="H200" i="10"/>
  <c r="F200" i="10"/>
  <c r="C200" i="10"/>
  <c r="A200" i="10"/>
  <c r="I199" i="10"/>
  <c r="H199" i="10"/>
  <c r="F199" i="10"/>
  <c r="C199" i="10"/>
  <c r="A199" i="10"/>
  <c r="I198" i="10"/>
  <c r="H198" i="10"/>
  <c r="F198" i="10"/>
  <c r="C198" i="10"/>
  <c r="A198" i="10"/>
  <c r="I197" i="10"/>
  <c r="H197" i="10"/>
  <c r="F197" i="10"/>
  <c r="C197" i="10"/>
  <c r="A197" i="10"/>
  <c r="I196" i="10"/>
  <c r="H196" i="10"/>
  <c r="F196" i="10"/>
  <c r="C196" i="10"/>
  <c r="A196" i="10"/>
  <c r="I195" i="10"/>
  <c r="H195" i="10"/>
  <c r="F195" i="10"/>
  <c r="C195" i="10"/>
  <c r="A195" i="10"/>
  <c r="I194" i="10"/>
  <c r="H194" i="10"/>
  <c r="F194" i="10"/>
  <c r="C194" i="10"/>
  <c r="A194" i="10"/>
  <c r="I193" i="10"/>
  <c r="H193" i="10"/>
  <c r="F193" i="10"/>
  <c r="C193" i="10"/>
  <c r="A193" i="10"/>
  <c r="I192" i="10"/>
  <c r="H192" i="10"/>
  <c r="F192" i="10"/>
  <c r="C192" i="10"/>
  <c r="A192" i="10"/>
  <c r="I191" i="10"/>
  <c r="H191" i="10"/>
  <c r="F191" i="10"/>
  <c r="C191" i="10"/>
  <c r="A191" i="10"/>
  <c r="I190" i="10"/>
  <c r="H190" i="10"/>
  <c r="F190" i="10"/>
  <c r="C190" i="10"/>
  <c r="A190" i="10"/>
  <c r="I189" i="10"/>
  <c r="H189" i="10"/>
  <c r="F189" i="10"/>
  <c r="C189" i="10"/>
  <c r="A189" i="10"/>
  <c r="I188" i="10"/>
  <c r="H188" i="10"/>
  <c r="F188" i="10"/>
  <c r="C188" i="10"/>
  <c r="A188" i="10"/>
  <c r="I187" i="10"/>
  <c r="H187" i="10"/>
  <c r="F187" i="10"/>
  <c r="C187" i="10"/>
  <c r="A187" i="10"/>
  <c r="I186" i="10"/>
  <c r="H186" i="10"/>
  <c r="F186" i="10"/>
  <c r="C186" i="10"/>
  <c r="A186" i="10"/>
  <c r="I185" i="10"/>
  <c r="H185" i="10"/>
  <c r="F185" i="10"/>
  <c r="C185" i="10"/>
  <c r="A185" i="10"/>
  <c r="I184" i="10"/>
  <c r="H184" i="10"/>
  <c r="F184" i="10"/>
  <c r="C184" i="10"/>
  <c r="A184" i="10"/>
  <c r="I183" i="10"/>
  <c r="H183" i="10"/>
  <c r="F183" i="10"/>
  <c r="C183" i="10"/>
  <c r="A183" i="10"/>
  <c r="I182" i="10"/>
  <c r="H182" i="10"/>
  <c r="F182" i="10"/>
  <c r="C182" i="10"/>
  <c r="A182" i="10"/>
  <c r="I181" i="10"/>
  <c r="H181" i="10"/>
  <c r="F181" i="10"/>
  <c r="C181" i="10"/>
  <c r="A181" i="10"/>
  <c r="I180" i="10"/>
  <c r="H180" i="10"/>
  <c r="F180" i="10"/>
  <c r="C180" i="10"/>
  <c r="A180" i="10"/>
  <c r="I179" i="10"/>
  <c r="H179" i="10"/>
  <c r="F179" i="10"/>
  <c r="C179" i="10"/>
  <c r="A179" i="10"/>
  <c r="I178" i="10"/>
  <c r="H178" i="10"/>
  <c r="F178" i="10"/>
  <c r="C178" i="10"/>
  <c r="A178" i="10"/>
  <c r="I177" i="10"/>
  <c r="H177" i="10"/>
  <c r="F177" i="10"/>
  <c r="C177" i="10"/>
  <c r="A177" i="10"/>
  <c r="I176" i="10"/>
  <c r="H176" i="10"/>
  <c r="F176" i="10"/>
  <c r="C176" i="10"/>
  <c r="A176" i="10"/>
  <c r="I175" i="10"/>
  <c r="H175" i="10"/>
  <c r="F175" i="10"/>
  <c r="C175" i="10"/>
  <c r="A175" i="10"/>
  <c r="I174" i="10"/>
  <c r="H174" i="10"/>
  <c r="F174" i="10"/>
  <c r="C174" i="10"/>
  <c r="A174" i="10"/>
  <c r="I173" i="10"/>
  <c r="H173" i="10"/>
  <c r="F173" i="10"/>
  <c r="C173" i="10"/>
  <c r="A173" i="10"/>
  <c r="I172" i="10"/>
  <c r="H172" i="10"/>
  <c r="F172" i="10"/>
  <c r="C172" i="10"/>
  <c r="A172" i="10"/>
  <c r="I171" i="10"/>
  <c r="H171" i="10"/>
  <c r="F171" i="10"/>
  <c r="C171" i="10"/>
  <c r="A171" i="10"/>
  <c r="I170" i="10"/>
  <c r="H170" i="10"/>
  <c r="F170" i="10"/>
  <c r="C170" i="10"/>
  <c r="A170" i="10"/>
  <c r="I169" i="10"/>
  <c r="H169" i="10"/>
  <c r="F169" i="10"/>
  <c r="C169" i="10"/>
  <c r="A169" i="10"/>
  <c r="I168" i="10"/>
  <c r="H168" i="10"/>
  <c r="F168" i="10"/>
  <c r="C168" i="10"/>
  <c r="A168" i="10"/>
  <c r="I167" i="10"/>
  <c r="H167" i="10"/>
  <c r="F167" i="10"/>
  <c r="C167" i="10"/>
  <c r="A167" i="10"/>
  <c r="I166" i="10"/>
  <c r="H166" i="10"/>
  <c r="F166" i="10"/>
  <c r="C166" i="10"/>
  <c r="A166" i="10"/>
  <c r="I165" i="10"/>
  <c r="H165" i="10"/>
  <c r="F165" i="10"/>
  <c r="C165" i="10"/>
  <c r="A165" i="10"/>
  <c r="I164" i="10"/>
  <c r="H164" i="10"/>
  <c r="F164" i="10"/>
  <c r="C164" i="10"/>
  <c r="A164" i="10"/>
  <c r="I163" i="10"/>
  <c r="H163" i="10"/>
  <c r="F163" i="10"/>
  <c r="C163" i="10"/>
  <c r="A163" i="10"/>
  <c r="I162" i="10"/>
  <c r="H162" i="10"/>
  <c r="F162" i="10"/>
  <c r="C162" i="10"/>
  <c r="A162" i="10"/>
  <c r="I161" i="10"/>
  <c r="H161" i="10"/>
  <c r="F161" i="10"/>
  <c r="C161" i="10"/>
  <c r="A161" i="10"/>
  <c r="I160" i="10"/>
  <c r="H160" i="10"/>
  <c r="F160" i="10"/>
  <c r="C160" i="10"/>
  <c r="A160" i="10"/>
  <c r="I159" i="10"/>
  <c r="H159" i="10"/>
  <c r="F159" i="10"/>
  <c r="C159" i="10"/>
  <c r="A159" i="10"/>
  <c r="I158" i="10"/>
  <c r="H158" i="10"/>
  <c r="F158" i="10"/>
  <c r="C158" i="10"/>
  <c r="A158" i="10"/>
  <c r="I157" i="10"/>
  <c r="H157" i="10"/>
  <c r="F157" i="10"/>
  <c r="C157" i="10"/>
  <c r="A157" i="10"/>
  <c r="I156" i="10"/>
  <c r="H156" i="10"/>
  <c r="F156" i="10"/>
  <c r="C156" i="10"/>
  <c r="A156" i="10"/>
  <c r="I155" i="10"/>
  <c r="H155" i="10"/>
  <c r="F155" i="10"/>
  <c r="C155" i="10"/>
  <c r="A155" i="10"/>
  <c r="I154" i="10"/>
  <c r="H154" i="10"/>
  <c r="F154" i="10"/>
  <c r="C154" i="10"/>
  <c r="A154" i="10"/>
  <c r="I153" i="10"/>
  <c r="H153" i="10"/>
  <c r="F153" i="10"/>
  <c r="C153" i="10"/>
  <c r="A153" i="10"/>
  <c r="I152" i="10"/>
  <c r="H152" i="10"/>
  <c r="F152" i="10"/>
  <c r="C152" i="10"/>
  <c r="A152" i="10"/>
  <c r="I151" i="10"/>
  <c r="H151" i="10"/>
  <c r="F151" i="10"/>
  <c r="C151" i="10"/>
  <c r="A151" i="10"/>
  <c r="I150" i="10"/>
  <c r="H150" i="10"/>
  <c r="F150" i="10"/>
  <c r="C150" i="10"/>
  <c r="A150" i="10"/>
  <c r="I149" i="10"/>
  <c r="H149" i="10"/>
  <c r="F149" i="10"/>
  <c r="C149" i="10"/>
  <c r="A149" i="10"/>
  <c r="I148" i="10"/>
  <c r="H148" i="10"/>
  <c r="F148" i="10"/>
  <c r="C148" i="10"/>
  <c r="A148" i="10"/>
  <c r="I147" i="10"/>
  <c r="H147" i="10"/>
  <c r="F147" i="10"/>
  <c r="C147" i="10"/>
  <c r="A147" i="10"/>
  <c r="I146" i="10"/>
  <c r="H146" i="10"/>
  <c r="F146" i="10"/>
  <c r="C146" i="10"/>
  <c r="A146" i="10"/>
  <c r="I145" i="10"/>
  <c r="H145" i="10"/>
  <c r="F145" i="10"/>
  <c r="C145" i="10"/>
  <c r="A145" i="10"/>
  <c r="I144" i="10"/>
  <c r="H144" i="10"/>
  <c r="F144" i="10"/>
  <c r="C144" i="10"/>
  <c r="A144" i="10"/>
  <c r="I143" i="10"/>
  <c r="H143" i="10"/>
  <c r="F143" i="10"/>
  <c r="C143" i="10"/>
  <c r="A143" i="10"/>
  <c r="I142" i="10"/>
  <c r="H142" i="10"/>
  <c r="F142" i="10"/>
  <c r="C142" i="10"/>
  <c r="A142" i="10"/>
  <c r="I141" i="10"/>
  <c r="H141" i="10"/>
  <c r="F141" i="10"/>
  <c r="C141" i="10"/>
  <c r="A141" i="10"/>
  <c r="I140" i="10"/>
  <c r="H140" i="10"/>
  <c r="F140" i="10"/>
  <c r="C140" i="10"/>
  <c r="A140" i="10"/>
  <c r="I139" i="10"/>
  <c r="H139" i="10"/>
  <c r="F139" i="10"/>
  <c r="C139" i="10"/>
  <c r="A139" i="10"/>
  <c r="I138" i="10"/>
  <c r="H138" i="10"/>
  <c r="F138" i="10"/>
  <c r="C138" i="10"/>
  <c r="A138" i="10"/>
  <c r="I137" i="10"/>
  <c r="H137" i="10"/>
  <c r="F137" i="10"/>
  <c r="C137" i="10"/>
  <c r="A137" i="10"/>
  <c r="I136" i="10"/>
  <c r="H136" i="10"/>
  <c r="F136" i="10"/>
  <c r="C136" i="10"/>
  <c r="A136" i="10"/>
  <c r="I135" i="10"/>
  <c r="H135" i="10"/>
  <c r="F135" i="10"/>
  <c r="C135" i="10"/>
  <c r="A135" i="10"/>
  <c r="I134" i="10"/>
  <c r="H134" i="10"/>
  <c r="F134" i="10"/>
  <c r="C134" i="10"/>
  <c r="A134" i="10"/>
  <c r="I133" i="10"/>
  <c r="H133" i="10"/>
  <c r="F133" i="10"/>
  <c r="C133" i="10"/>
  <c r="A133" i="10"/>
  <c r="I132" i="10"/>
  <c r="H132" i="10"/>
  <c r="F132" i="10"/>
  <c r="C132" i="10"/>
  <c r="A132" i="10"/>
  <c r="I131" i="10"/>
  <c r="H131" i="10"/>
  <c r="F131" i="10"/>
  <c r="C131" i="10"/>
  <c r="A131" i="10"/>
  <c r="I130" i="10"/>
  <c r="H130" i="10"/>
  <c r="F130" i="10"/>
  <c r="C130" i="10"/>
  <c r="A130" i="10"/>
  <c r="I129" i="10"/>
  <c r="H129" i="10"/>
  <c r="F129" i="10"/>
  <c r="C129" i="10"/>
  <c r="A129" i="10"/>
  <c r="I128" i="10"/>
  <c r="H128" i="10"/>
  <c r="F128" i="10"/>
  <c r="C128" i="10"/>
  <c r="A128" i="10"/>
  <c r="I127" i="10"/>
  <c r="H127" i="10"/>
  <c r="F127" i="10"/>
  <c r="C127" i="10"/>
  <c r="A127" i="10"/>
  <c r="I126" i="10"/>
  <c r="H126" i="10"/>
  <c r="F126" i="10"/>
  <c r="C126" i="10"/>
  <c r="A126" i="10"/>
  <c r="I125" i="10"/>
  <c r="H125" i="10"/>
  <c r="F125" i="10"/>
  <c r="C125" i="10"/>
  <c r="A125" i="10"/>
  <c r="I124" i="10"/>
  <c r="H124" i="10"/>
  <c r="F124" i="10"/>
  <c r="C124" i="10"/>
  <c r="A124" i="10"/>
  <c r="I123" i="10"/>
  <c r="H123" i="10"/>
  <c r="F123" i="10"/>
  <c r="C123" i="10"/>
  <c r="A123" i="10"/>
  <c r="I122" i="10"/>
  <c r="H122" i="10"/>
  <c r="F122" i="10"/>
  <c r="C122" i="10"/>
  <c r="A122" i="10"/>
  <c r="I121" i="10"/>
  <c r="H121" i="10"/>
  <c r="F121" i="10"/>
  <c r="C121" i="10"/>
  <c r="A121" i="10"/>
  <c r="I120" i="10"/>
  <c r="H120" i="10"/>
  <c r="F120" i="10"/>
  <c r="C120" i="10"/>
  <c r="A120" i="10"/>
  <c r="I119" i="10"/>
  <c r="H119" i="10"/>
  <c r="F119" i="10"/>
  <c r="C119" i="10"/>
  <c r="A119" i="10"/>
  <c r="I118" i="10"/>
  <c r="H118" i="10"/>
  <c r="F118" i="10"/>
  <c r="C118" i="10"/>
  <c r="A118" i="10"/>
  <c r="I117" i="10"/>
  <c r="H117" i="10"/>
  <c r="F117" i="10"/>
  <c r="C117" i="10"/>
  <c r="A117" i="10"/>
  <c r="I116" i="10"/>
  <c r="H116" i="10"/>
  <c r="F116" i="10"/>
  <c r="C116" i="10"/>
  <c r="A116" i="10"/>
  <c r="I115" i="10"/>
  <c r="H115" i="10"/>
  <c r="F115" i="10"/>
  <c r="C115" i="10"/>
  <c r="A115" i="10"/>
  <c r="I114" i="10"/>
  <c r="H114" i="10"/>
  <c r="F114" i="10"/>
  <c r="C114" i="10"/>
  <c r="A114" i="10"/>
  <c r="I113" i="10"/>
  <c r="H113" i="10"/>
  <c r="F113" i="10"/>
  <c r="C113" i="10"/>
  <c r="A113" i="10"/>
  <c r="I112" i="10"/>
  <c r="H112" i="10"/>
  <c r="F112" i="10"/>
  <c r="C112" i="10"/>
  <c r="A112" i="10"/>
  <c r="I111" i="10"/>
  <c r="H111" i="10"/>
  <c r="F111" i="10"/>
  <c r="C111" i="10"/>
  <c r="A111" i="10"/>
  <c r="I110" i="10"/>
  <c r="H110" i="10"/>
  <c r="F110" i="10"/>
  <c r="C110" i="10"/>
  <c r="A110" i="10"/>
  <c r="I109" i="10"/>
  <c r="H109" i="10"/>
  <c r="F109" i="10"/>
  <c r="C109" i="10"/>
  <c r="A109" i="10"/>
  <c r="I108" i="10"/>
  <c r="H108" i="10"/>
  <c r="F108" i="10"/>
  <c r="C108" i="10"/>
  <c r="A108" i="10"/>
  <c r="I107" i="10"/>
  <c r="H107" i="10"/>
  <c r="F107" i="10"/>
  <c r="C107" i="10"/>
  <c r="A107" i="10"/>
  <c r="I106" i="10"/>
  <c r="H106" i="10"/>
  <c r="F106" i="10"/>
  <c r="C106" i="10"/>
  <c r="A106" i="10"/>
  <c r="I105" i="10"/>
  <c r="H105" i="10"/>
  <c r="F105" i="10"/>
  <c r="C105" i="10"/>
  <c r="A105" i="10"/>
  <c r="I104" i="10"/>
  <c r="H104" i="10"/>
  <c r="F104" i="10"/>
  <c r="C104" i="10"/>
  <c r="A104" i="10"/>
  <c r="I103" i="10"/>
  <c r="H103" i="10"/>
  <c r="F103" i="10"/>
  <c r="C103" i="10"/>
  <c r="A103" i="10"/>
  <c r="I102" i="10"/>
  <c r="H102" i="10"/>
  <c r="F102" i="10"/>
  <c r="C102" i="10"/>
  <c r="A102" i="10"/>
  <c r="I101" i="10"/>
  <c r="H101" i="10"/>
  <c r="F101" i="10"/>
  <c r="C101" i="10"/>
  <c r="A101" i="10"/>
  <c r="I100" i="10"/>
  <c r="H100" i="10"/>
  <c r="F100" i="10"/>
  <c r="C100" i="10"/>
  <c r="A100" i="10"/>
  <c r="I99" i="10"/>
  <c r="H99" i="10"/>
  <c r="F99" i="10"/>
  <c r="C99" i="10"/>
  <c r="A99" i="10"/>
  <c r="I98" i="10"/>
  <c r="H98" i="10"/>
  <c r="F98" i="10"/>
  <c r="C98" i="10"/>
  <c r="A98" i="10"/>
  <c r="I97" i="10"/>
  <c r="H97" i="10"/>
  <c r="F97" i="10"/>
  <c r="C97" i="10"/>
  <c r="A97" i="10"/>
  <c r="I96" i="10"/>
  <c r="H96" i="10"/>
  <c r="F96" i="10"/>
  <c r="C96" i="10"/>
  <c r="A96" i="10"/>
  <c r="I95" i="10"/>
  <c r="H95" i="10"/>
  <c r="F95" i="10"/>
  <c r="C95" i="10"/>
  <c r="A95" i="10"/>
  <c r="I94" i="10"/>
  <c r="H94" i="10"/>
  <c r="F94" i="10"/>
  <c r="C94" i="10"/>
  <c r="A94" i="10"/>
  <c r="I93" i="10"/>
  <c r="H93" i="10"/>
  <c r="F93" i="10"/>
  <c r="C93" i="10"/>
  <c r="A93" i="10"/>
  <c r="I92" i="10"/>
  <c r="H92" i="10"/>
  <c r="F92" i="10"/>
  <c r="C92" i="10"/>
  <c r="A92" i="10"/>
  <c r="I91" i="10"/>
  <c r="H91" i="10"/>
  <c r="F91" i="10"/>
  <c r="C91" i="10"/>
  <c r="A91" i="10"/>
  <c r="I90" i="10"/>
  <c r="H90" i="10"/>
  <c r="F90" i="10"/>
  <c r="C90" i="10"/>
  <c r="A90" i="10"/>
  <c r="I89" i="10"/>
  <c r="H89" i="10"/>
  <c r="F89" i="10"/>
  <c r="C89" i="10"/>
  <c r="A89" i="10"/>
  <c r="I88" i="10"/>
  <c r="H88" i="10"/>
  <c r="F88" i="10"/>
  <c r="C88" i="10"/>
  <c r="A88" i="10"/>
  <c r="I87" i="10"/>
  <c r="H87" i="10"/>
  <c r="F87" i="10"/>
  <c r="C87" i="10"/>
  <c r="A87" i="10"/>
  <c r="I86" i="10"/>
  <c r="H86" i="10"/>
  <c r="F86" i="10"/>
  <c r="C86" i="10"/>
  <c r="A86" i="10"/>
  <c r="I85" i="10"/>
  <c r="H85" i="10"/>
  <c r="F85" i="10"/>
  <c r="C85" i="10"/>
  <c r="A85" i="10"/>
  <c r="I84" i="10"/>
  <c r="H84" i="10"/>
  <c r="F84" i="10"/>
  <c r="C84" i="10"/>
  <c r="A84" i="10"/>
  <c r="I83" i="10"/>
  <c r="H83" i="10"/>
  <c r="F83" i="10"/>
  <c r="C83" i="10"/>
  <c r="A83" i="10"/>
  <c r="I82" i="10"/>
  <c r="H82" i="10"/>
  <c r="F82" i="10"/>
  <c r="C82" i="10"/>
  <c r="A82" i="10"/>
  <c r="I81" i="10"/>
  <c r="H81" i="10"/>
  <c r="F81" i="10"/>
  <c r="C81" i="10"/>
  <c r="A81" i="10"/>
  <c r="I80" i="10"/>
  <c r="H80" i="10"/>
  <c r="F80" i="10"/>
  <c r="C80" i="10"/>
  <c r="A80" i="10"/>
  <c r="I79" i="10"/>
  <c r="H79" i="10"/>
  <c r="F79" i="10"/>
  <c r="C79" i="10"/>
  <c r="A79" i="10"/>
  <c r="I78" i="10"/>
  <c r="H78" i="10"/>
  <c r="F78" i="10"/>
  <c r="C78" i="10"/>
  <c r="A78" i="10"/>
  <c r="I77" i="10"/>
  <c r="H77" i="10"/>
  <c r="F77" i="10"/>
  <c r="C77" i="10"/>
  <c r="A77" i="10"/>
  <c r="I76" i="10"/>
  <c r="H76" i="10"/>
  <c r="F76" i="10"/>
  <c r="C76" i="10"/>
  <c r="A76" i="10"/>
  <c r="I75" i="10"/>
  <c r="H75" i="10"/>
  <c r="F75" i="10"/>
  <c r="C75" i="10"/>
  <c r="A75" i="10"/>
  <c r="I74" i="10"/>
  <c r="H74" i="10"/>
  <c r="F74" i="10"/>
  <c r="C74" i="10"/>
  <c r="A74" i="10"/>
  <c r="I73" i="10"/>
  <c r="H73" i="10"/>
  <c r="F73" i="10"/>
  <c r="C73" i="10"/>
  <c r="A73" i="10"/>
  <c r="I72" i="10"/>
  <c r="H72" i="10"/>
  <c r="F72" i="10"/>
  <c r="C72" i="10"/>
  <c r="A72" i="10"/>
  <c r="I71" i="10"/>
  <c r="H71" i="10"/>
  <c r="F71" i="10"/>
  <c r="C71" i="10"/>
  <c r="A71" i="10"/>
  <c r="I70" i="10"/>
  <c r="H70" i="10"/>
  <c r="F70" i="10"/>
  <c r="C70" i="10"/>
  <c r="A70" i="10"/>
  <c r="I69" i="10"/>
  <c r="H69" i="10"/>
  <c r="F69" i="10"/>
  <c r="C69" i="10"/>
  <c r="A69" i="10"/>
  <c r="I68" i="10"/>
  <c r="H68" i="10"/>
  <c r="F68" i="10"/>
  <c r="C68" i="10"/>
  <c r="A68" i="10"/>
  <c r="I67" i="10"/>
  <c r="H67" i="10"/>
  <c r="F67" i="10"/>
  <c r="C67" i="10"/>
  <c r="A67" i="10"/>
  <c r="I66" i="10"/>
  <c r="H66" i="10"/>
  <c r="F66" i="10"/>
  <c r="C66" i="10"/>
  <c r="A66" i="10"/>
  <c r="I65" i="10"/>
  <c r="H65" i="10"/>
  <c r="F65" i="10"/>
  <c r="C65" i="10"/>
  <c r="A65" i="10"/>
  <c r="I64" i="10"/>
  <c r="H64" i="10"/>
  <c r="F64" i="10"/>
  <c r="C64" i="10"/>
  <c r="A64" i="10"/>
  <c r="I63" i="10"/>
  <c r="H63" i="10"/>
  <c r="F63" i="10"/>
  <c r="C63" i="10"/>
  <c r="A63" i="10"/>
  <c r="I62" i="10"/>
  <c r="H62" i="10"/>
  <c r="F62" i="10"/>
  <c r="C62" i="10"/>
  <c r="A62" i="10"/>
  <c r="I61" i="10"/>
  <c r="H61" i="10"/>
  <c r="F61" i="10"/>
  <c r="C61" i="10"/>
  <c r="A61" i="10"/>
  <c r="I60" i="10"/>
  <c r="H60" i="10"/>
  <c r="F60" i="10"/>
  <c r="C60" i="10"/>
  <c r="A60" i="10"/>
  <c r="I59" i="10"/>
  <c r="H59" i="10"/>
  <c r="F59" i="10"/>
  <c r="C59" i="10"/>
  <c r="A59" i="10"/>
  <c r="I58" i="10"/>
  <c r="H58" i="10"/>
  <c r="F58" i="10"/>
  <c r="C58" i="10"/>
  <c r="A58" i="10"/>
  <c r="I57" i="10"/>
  <c r="H57" i="10"/>
  <c r="F57" i="10"/>
  <c r="C57" i="10"/>
  <c r="A57" i="10"/>
  <c r="I56" i="10"/>
  <c r="H56" i="10"/>
  <c r="F56" i="10"/>
  <c r="C56" i="10"/>
  <c r="A56" i="10"/>
  <c r="I55" i="10"/>
  <c r="H55" i="10"/>
  <c r="F55" i="10"/>
  <c r="C55" i="10"/>
  <c r="A55" i="10"/>
  <c r="I54" i="10"/>
  <c r="H54" i="10"/>
  <c r="F54" i="10"/>
  <c r="C54" i="10"/>
  <c r="A54" i="10"/>
  <c r="I53" i="10"/>
  <c r="H53" i="10"/>
  <c r="F53" i="10"/>
  <c r="C53" i="10"/>
  <c r="A53" i="10"/>
  <c r="I52" i="10"/>
  <c r="H52" i="10"/>
  <c r="F52" i="10"/>
  <c r="C52" i="10"/>
  <c r="A52" i="10"/>
  <c r="I51" i="10"/>
  <c r="H51" i="10"/>
  <c r="F51" i="10"/>
  <c r="C51" i="10"/>
  <c r="A51" i="10"/>
  <c r="I50" i="10"/>
  <c r="H50" i="10"/>
  <c r="F50" i="10"/>
  <c r="C50" i="10"/>
  <c r="A50" i="10"/>
  <c r="I49" i="10"/>
  <c r="H49" i="10"/>
  <c r="F49" i="10"/>
  <c r="C49" i="10"/>
  <c r="A49" i="10"/>
  <c r="I48" i="10"/>
  <c r="H48" i="10"/>
  <c r="F48" i="10"/>
  <c r="C48" i="10"/>
  <c r="A48" i="10"/>
  <c r="I47" i="10"/>
  <c r="H47" i="10"/>
  <c r="F47" i="10"/>
  <c r="C47" i="10"/>
  <c r="A47" i="10"/>
  <c r="I46" i="10"/>
  <c r="H46" i="10"/>
  <c r="F46" i="10"/>
  <c r="C46" i="10"/>
  <c r="A46" i="10"/>
  <c r="I45" i="10"/>
  <c r="H45" i="10"/>
  <c r="F45" i="10"/>
  <c r="C45" i="10"/>
  <c r="A45" i="10"/>
  <c r="I44" i="10"/>
  <c r="H44" i="10"/>
  <c r="F44" i="10"/>
  <c r="C44" i="10"/>
  <c r="A44" i="10"/>
  <c r="I43" i="10"/>
  <c r="H43" i="10"/>
  <c r="F43" i="10"/>
  <c r="C43" i="10"/>
  <c r="A43" i="10"/>
  <c r="I42" i="10"/>
  <c r="H42" i="10"/>
  <c r="F42" i="10"/>
  <c r="C42" i="10"/>
  <c r="A42" i="10"/>
  <c r="I41" i="10"/>
  <c r="H41" i="10"/>
  <c r="F41" i="10"/>
  <c r="C41" i="10"/>
  <c r="A41" i="10"/>
  <c r="I40" i="10"/>
  <c r="H40" i="10"/>
  <c r="F40" i="10"/>
  <c r="C40" i="10"/>
  <c r="A40" i="10"/>
  <c r="I39" i="10"/>
  <c r="H39" i="10"/>
  <c r="F39" i="10"/>
  <c r="C39" i="10"/>
  <c r="A39" i="10"/>
  <c r="I38" i="10"/>
  <c r="H38" i="10"/>
  <c r="F38" i="10"/>
  <c r="C38" i="10"/>
  <c r="A38" i="10"/>
  <c r="I37" i="10"/>
  <c r="H37" i="10"/>
  <c r="F37" i="10"/>
  <c r="C37" i="10"/>
  <c r="A37" i="10"/>
  <c r="I36" i="10"/>
  <c r="H36" i="10"/>
  <c r="F36" i="10"/>
  <c r="C36" i="10"/>
  <c r="A36" i="10"/>
  <c r="I35" i="10"/>
  <c r="H35" i="10"/>
  <c r="F35" i="10"/>
  <c r="C35" i="10"/>
  <c r="A35" i="10"/>
  <c r="I34" i="10"/>
  <c r="H34" i="10"/>
  <c r="F34" i="10"/>
  <c r="C34" i="10"/>
  <c r="A34" i="10"/>
  <c r="I33" i="10"/>
  <c r="H33" i="10"/>
  <c r="F33" i="10"/>
  <c r="C33" i="10"/>
  <c r="A33" i="10"/>
  <c r="I32" i="10"/>
  <c r="H32" i="10"/>
  <c r="F32" i="10"/>
  <c r="C32" i="10"/>
  <c r="A32" i="10"/>
  <c r="I31" i="10"/>
  <c r="H31" i="10"/>
  <c r="F31" i="10"/>
  <c r="C31" i="10"/>
  <c r="A31" i="10"/>
  <c r="I30" i="10"/>
  <c r="H30" i="10"/>
  <c r="F30" i="10"/>
  <c r="C30" i="10"/>
  <c r="A30" i="10"/>
  <c r="I29" i="10"/>
  <c r="H29" i="10"/>
  <c r="F29" i="10"/>
  <c r="C29" i="10"/>
  <c r="A29" i="10"/>
  <c r="I28" i="10"/>
  <c r="H28" i="10"/>
  <c r="F28" i="10"/>
  <c r="C28" i="10"/>
  <c r="A28" i="10"/>
  <c r="I27" i="10"/>
  <c r="H27" i="10"/>
  <c r="F27" i="10"/>
  <c r="C27" i="10"/>
  <c r="A27" i="10"/>
  <c r="I26" i="10"/>
  <c r="H26" i="10"/>
  <c r="F26" i="10"/>
  <c r="C26" i="10"/>
  <c r="A26" i="10"/>
  <c r="I25" i="10"/>
  <c r="H25" i="10"/>
  <c r="F25" i="10"/>
  <c r="C25" i="10"/>
  <c r="A25" i="10"/>
  <c r="I24" i="10"/>
  <c r="H24" i="10"/>
  <c r="F24" i="10"/>
  <c r="C24" i="10"/>
  <c r="A24" i="10"/>
  <c r="I23" i="10"/>
  <c r="H23" i="10"/>
  <c r="F23" i="10"/>
  <c r="C23" i="10"/>
  <c r="A23" i="10"/>
  <c r="I22" i="10"/>
  <c r="H22" i="10"/>
  <c r="F22" i="10"/>
  <c r="C22" i="10"/>
  <c r="A22" i="10"/>
  <c r="I21" i="10"/>
  <c r="H21" i="10"/>
  <c r="F21" i="10"/>
  <c r="C21" i="10"/>
  <c r="A21" i="10"/>
  <c r="I20" i="10"/>
  <c r="H20" i="10"/>
  <c r="F20" i="10"/>
  <c r="C20" i="10"/>
  <c r="A20" i="10"/>
  <c r="I19" i="10"/>
  <c r="H19" i="10"/>
  <c r="F19" i="10"/>
  <c r="C19" i="10"/>
  <c r="A19" i="10"/>
  <c r="I18" i="10"/>
  <c r="H18" i="10"/>
  <c r="F18" i="10"/>
  <c r="C18" i="10"/>
  <c r="A18" i="10"/>
  <c r="I17" i="10"/>
  <c r="H17" i="10"/>
  <c r="F17" i="10"/>
  <c r="C17" i="10"/>
  <c r="A17" i="10"/>
  <c r="I16" i="10"/>
  <c r="H16" i="10"/>
  <c r="F16" i="10"/>
  <c r="C16" i="10"/>
  <c r="A16" i="10"/>
  <c r="I15" i="10"/>
  <c r="H15" i="10"/>
  <c r="F15" i="10"/>
  <c r="C15" i="10"/>
  <c r="A15" i="10"/>
  <c r="I14" i="10"/>
  <c r="H14" i="10"/>
  <c r="F14" i="10"/>
  <c r="C14" i="10"/>
  <c r="A14" i="10"/>
  <c r="I13" i="10"/>
  <c r="H13" i="10"/>
  <c r="F13" i="10"/>
  <c r="C13" i="10"/>
  <c r="A13" i="10"/>
  <c r="I12" i="10"/>
  <c r="H12" i="10"/>
  <c r="F12" i="10"/>
  <c r="C12" i="10"/>
  <c r="A12" i="10"/>
  <c r="I11" i="10"/>
  <c r="H11" i="10"/>
  <c r="F11" i="10"/>
  <c r="C11" i="10"/>
  <c r="A11" i="10"/>
  <c r="I10" i="10"/>
  <c r="H10" i="10"/>
  <c r="F10" i="10"/>
  <c r="C10" i="10"/>
  <c r="A10" i="10"/>
  <c r="I9" i="10"/>
  <c r="H9" i="10"/>
  <c r="F9" i="10"/>
  <c r="C9" i="10"/>
  <c r="A9" i="10"/>
  <c r="I8" i="10"/>
  <c r="H8" i="10"/>
  <c r="F8" i="10"/>
  <c r="C8" i="10"/>
  <c r="A8" i="10"/>
  <c r="I7" i="10"/>
  <c r="H7" i="10"/>
  <c r="F7" i="10"/>
  <c r="C7" i="10"/>
  <c r="A7" i="10"/>
  <c r="I6" i="10"/>
  <c r="H6" i="10"/>
  <c r="F6" i="10"/>
  <c r="C6" i="10"/>
  <c r="A6" i="10"/>
  <c r="I5" i="10"/>
  <c r="H5" i="10"/>
  <c r="F5" i="10"/>
  <c r="C5" i="10"/>
  <c r="A5" i="10"/>
  <c r="M2003" i="9"/>
  <c r="L2003" i="9"/>
  <c r="K2003" i="9"/>
  <c r="J2003" i="9"/>
  <c r="I2003" i="9"/>
  <c r="H2003" i="9"/>
  <c r="G2003" i="9"/>
  <c r="F2003" i="9"/>
  <c r="E2003" i="9"/>
  <c r="D2003" i="9"/>
  <c r="C2003" i="9"/>
  <c r="B2003" i="9"/>
  <c r="A2003" i="9"/>
  <c r="M2002" i="9"/>
  <c r="L2002" i="9"/>
  <c r="K2002" i="9"/>
  <c r="J2002" i="9"/>
  <c r="I2002" i="9"/>
  <c r="H2002" i="9"/>
  <c r="G2002" i="9"/>
  <c r="F2002" i="9"/>
  <c r="E2002" i="9"/>
  <c r="D2002" i="9"/>
  <c r="C2002" i="9"/>
  <c r="B2002" i="9"/>
  <c r="A2002" i="9"/>
  <c r="M2001" i="9"/>
  <c r="L2001" i="9"/>
  <c r="K2001" i="9"/>
  <c r="J2001" i="9"/>
  <c r="I2001" i="9"/>
  <c r="H2001" i="9"/>
  <c r="G2001" i="9"/>
  <c r="F2001" i="9"/>
  <c r="E2001" i="9"/>
  <c r="D2001" i="9"/>
  <c r="C2001" i="9"/>
  <c r="B2001" i="9"/>
  <c r="A2001" i="9"/>
  <c r="M2000" i="9"/>
  <c r="L2000" i="9"/>
  <c r="K2000" i="9"/>
  <c r="J2000" i="9"/>
  <c r="I2000" i="9"/>
  <c r="H2000" i="9"/>
  <c r="G2000" i="9"/>
  <c r="F2000" i="9"/>
  <c r="E2000" i="9"/>
  <c r="D2000" i="9"/>
  <c r="C2000" i="9"/>
  <c r="B2000" i="9"/>
  <c r="A2000" i="9"/>
  <c r="M1999" i="9"/>
  <c r="L1999" i="9"/>
  <c r="K1999" i="9"/>
  <c r="J1999" i="9"/>
  <c r="I1999" i="9"/>
  <c r="H1999" i="9"/>
  <c r="G1999" i="9"/>
  <c r="F1999" i="9"/>
  <c r="E1999" i="9"/>
  <c r="D1999" i="9"/>
  <c r="C1999" i="9"/>
  <c r="B1999" i="9"/>
  <c r="A1999" i="9"/>
  <c r="M1998" i="9"/>
  <c r="L1998" i="9"/>
  <c r="K1998" i="9"/>
  <c r="J1998" i="9"/>
  <c r="I1998" i="9"/>
  <c r="H1998" i="9"/>
  <c r="G1998" i="9"/>
  <c r="F1998" i="9"/>
  <c r="E1998" i="9"/>
  <c r="D1998" i="9"/>
  <c r="C1998" i="9"/>
  <c r="B1998" i="9"/>
  <c r="A1998" i="9"/>
  <c r="M1997" i="9"/>
  <c r="L1997" i="9"/>
  <c r="K1997" i="9"/>
  <c r="J1997" i="9"/>
  <c r="I1997" i="9"/>
  <c r="H1997" i="9"/>
  <c r="G1997" i="9"/>
  <c r="F1997" i="9"/>
  <c r="E1997" i="9"/>
  <c r="D1997" i="9"/>
  <c r="C1997" i="9"/>
  <c r="B1997" i="9"/>
  <c r="A1997" i="9"/>
  <c r="M1996" i="9"/>
  <c r="L1996" i="9"/>
  <c r="K1996" i="9"/>
  <c r="J1996" i="9"/>
  <c r="I1996" i="9"/>
  <c r="H1996" i="9"/>
  <c r="G1996" i="9"/>
  <c r="F1996" i="9"/>
  <c r="E1996" i="9"/>
  <c r="D1996" i="9"/>
  <c r="C1996" i="9"/>
  <c r="B1996" i="9"/>
  <c r="A1996" i="9"/>
  <c r="M1995" i="9"/>
  <c r="L1995" i="9"/>
  <c r="K1995" i="9"/>
  <c r="J1995" i="9"/>
  <c r="I1995" i="9"/>
  <c r="H1995" i="9"/>
  <c r="G1995" i="9"/>
  <c r="F1995" i="9"/>
  <c r="E1995" i="9"/>
  <c r="D1995" i="9"/>
  <c r="C1995" i="9"/>
  <c r="B1995" i="9"/>
  <c r="A1995" i="9"/>
  <c r="M1994" i="9"/>
  <c r="L1994" i="9"/>
  <c r="K1994" i="9"/>
  <c r="J1994" i="9"/>
  <c r="I1994" i="9"/>
  <c r="H1994" i="9"/>
  <c r="G1994" i="9"/>
  <c r="F1994" i="9"/>
  <c r="E1994" i="9"/>
  <c r="D1994" i="9"/>
  <c r="C1994" i="9"/>
  <c r="B1994" i="9"/>
  <c r="A1994" i="9"/>
  <c r="M1993" i="9"/>
  <c r="L1993" i="9"/>
  <c r="K1993" i="9"/>
  <c r="J1993" i="9"/>
  <c r="I1993" i="9"/>
  <c r="H1993" i="9"/>
  <c r="G1993" i="9"/>
  <c r="F1993" i="9"/>
  <c r="E1993" i="9"/>
  <c r="D1993" i="9"/>
  <c r="C1993" i="9"/>
  <c r="B1993" i="9"/>
  <c r="A1993" i="9"/>
  <c r="M1992" i="9"/>
  <c r="L1992" i="9"/>
  <c r="K1992" i="9"/>
  <c r="J1992" i="9"/>
  <c r="I1992" i="9"/>
  <c r="H1992" i="9"/>
  <c r="G1992" i="9"/>
  <c r="F1992" i="9"/>
  <c r="E1992" i="9"/>
  <c r="D1992" i="9"/>
  <c r="C1992" i="9"/>
  <c r="B1992" i="9"/>
  <c r="A1992" i="9"/>
  <c r="M1991" i="9"/>
  <c r="L1991" i="9"/>
  <c r="K1991" i="9"/>
  <c r="J1991" i="9"/>
  <c r="I1991" i="9"/>
  <c r="H1991" i="9"/>
  <c r="G1991" i="9"/>
  <c r="F1991" i="9"/>
  <c r="E1991" i="9"/>
  <c r="D1991" i="9"/>
  <c r="C1991" i="9"/>
  <c r="B1991" i="9"/>
  <c r="A1991" i="9"/>
  <c r="M1990" i="9"/>
  <c r="L1990" i="9"/>
  <c r="K1990" i="9"/>
  <c r="J1990" i="9"/>
  <c r="I1990" i="9"/>
  <c r="H1990" i="9"/>
  <c r="G1990" i="9"/>
  <c r="F1990" i="9"/>
  <c r="E1990" i="9"/>
  <c r="D1990" i="9"/>
  <c r="C1990" i="9"/>
  <c r="B1990" i="9"/>
  <c r="A1990" i="9"/>
  <c r="M1989" i="9"/>
  <c r="L1989" i="9"/>
  <c r="K1989" i="9"/>
  <c r="J1989" i="9"/>
  <c r="I1989" i="9"/>
  <c r="H1989" i="9"/>
  <c r="G1989" i="9"/>
  <c r="F1989" i="9"/>
  <c r="E1989" i="9"/>
  <c r="D1989" i="9"/>
  <c r="C1989" i="9"/>
  <c r="B1989" i="9"/>
  <c r="A1989" i="9"/>
  <c r="M1988" i="9"/>
  <c r="L1988" i="9"/>
  <c r="K1988" i="9"/>
  <c r="J1988" i="9"/>
  <c r="I1988" i="9"/>
  <c r="H1988" i="9"/>
  <c r="G1988" i="9"/>
  <c r="F1988" i="9"/>
  <c r="E1988" i="9"/>
  <c r="D1988" i="9"/>
  <c r="C1988" i="9"/>
  <c r="B1988" i="9"/>
  <c r="A1988" i="9"/>
  <c r="M1987" i="9"/>
  <c r="L1987" i="9"/>
  <c r="K1987" i="9"/>
  <c r="J1987" i="9"/>
  <c r="I1987" i="9"/>
  <c r="H1987" i="9"/>
  <c r="G1987" i="9"/>
  <c r="F1987" i="9"/>
  <c r="E1987" i="9"/>
  <c r="D1987" i="9"/>
  <c r="C1987" i="9"/>
  <c r="B1987" i="9"/>
  <c r="A1987" i="9"/>
  <c r="M1986" i="9"/>
  <c r="L1986" i="9"/>
  <c r="K1986" i="9"/>
  <c r="J1986" i="9"/>
  <c r="I1986" i="9"/>
  <c r="H1986" i="9"/>
  <c r="G1986" i="9"/>
  <c r="F1986" i="9"/>
  <c r="E1986" i="9"/>
  <c r="D1986" i="9"/>
  <c r="C1986" i="9"/>
  <c r="B1986" i="9"/>
  <c r="A1986" i="9"/>
  <c r="M1985" i="9"/>
  <c r="L1985" i="9"/>
  <c r="K1985" i="9"/>
  <c r="J1985" i="9"/>
  <c r="I1985" i="9"/>
  <c r="H1985" i="9"/>
  <c r="G1985" i="9"/>
  <c r="F1985" i="9"/>
  <c r="E1985" i="9"/>
  <c r="D1985" i="9"/>
  <c r="C1985" i="9"/>
  <c r="B1985" i="9"/>
  <c r="A1985" i="9"/>
  <c r="M1984" i="9"/>
  <c r="L1984" i="9"/>
  <c r="K1984" i="9"/>
  <c r="J1984" i="9"/>
  <c r="I1984" i="9"/>
  <c r="H1984" i="9"/>
  <c r="G1984" i="9"/>
  <c r="F1984" i="9"/>
  <c r="E1984" i="9"/>
  <c r="D1984" i="9"/>
  <c r="C1984" i="9"/>
  <c r="B1984" i="9"/>
  <c r="A1984" i="9"/>
  <c r="M1983" i="9"/>
  <c r="L1983" i="9"/>
  <c r="K1983" i="9"/>
  <c r="J1983" i="9"/>
  <c r="I1983" i="9"/>
  <c r="H1983" i="9"/>
  <c r="G1983" i="9"/>
  <c r="F1983" i="9"/>
  <c r="E1983" i="9"/>
  <c r="D1983" i="9"/>
  <c r="C1983" i="9"/>
  <c r="B1983" i="9"/>
  <c r="A1983" i="9"/>
  <c r="M1982" i="9"/>
  <c r="L1982" i="9"/>
  <c r="K1982" i="9"/>
  <c r="J1982" i="9"/>
  <c r="I1982" i="9"/>
  <c r="H1982" i="9"/>
  <c r="G1982" i="9"/>
  <c r="F1982" i="9"/>
  <c r="E1982" i="9"/>
  <c r="D1982" i="9"/>
  <c r="C1982" i="9"/>
  <c r="B1982" i="9"/>
  <c r="A1982" i="9"/>
  <c r="M1981" i="9"/>
  <c r="L1981" i="9"/>
  <c r="K1981" i="9"/>
  <c r="J1981" i="9"/>
  <c r="I1981" i="9"/>
  <c r="H1981" i="9"/>
  <c r="G1981" i="9"/>
  <c r="F1981" i="9"/>
  <c r="E1981" i="9"/>
  <c r="D1981" i="9"/>
  <c r="C1981" i="9"/>
  <c r="B1981" i="9"/>
  <c r="A1981" i="9"/>
  <c r="M1980" i="9"/>
  <c r="L1980" i="9"/>
  <c r="K1980" i="9"/>
  <c r="J1980" i="9"/>
  <c r="I1980" i="9"/>
  <c r="H1980" i="9"/>
  <c r="G1980" i="9"/>
  <c r="F1980" i="9"/>
  <c r="E1980" i="9"/>
  <c r="D1980" i="9"/>
  <c r="C1980" i="9"/>
  <c r="B1980" i="9"/>
  <c r="A1980" i="9"/>
  <c r="M1979" i="9"/>
  <c r="L1979" i="9"/>
  <c r="K1979" i="9"/>
  <c r="J1979" i="9"/>
  <c r="I1979" i="9"/>
  <c r="H1979" i="9"/>
  <c r="G1979" i="9"/>
  <c r="F1979" i="9"/>
  <c r="E1979" i="9"/>
  <c r="D1979" i="9"/>
  <c r="C1979" i="9"/>
  <c r="B1979" i="9"/>
  <c r="A1979" i="9"/>
  <c r="M1978" i="9"/>
  <c r="L1978" i="9"/>
  <c r="K1978" i="9"/>
  <c r="J1978" i="9"/>
  <c r="I1978" i="9"/>
  <c r="H1978" i="9"/>
  <c r="G1978" i="9"/>
  <c r="F1978" i="9"/>
  <c r="E1978" i="9"/>
  <c r="D1978" i="9"/>
  <c r="C1978" i="9"/>
  <c r="B1978" i="9"/>
  <c r="A1978" i="9"/>
  <c r="M1977" i="9"/>
  <c r="L1977" i="9"/>
  <c r="K1977" i="9"/>
  <c r="J1977" i="9"/>
  <c r="I1977" i="9"/>
  <c r="H1977" i="9"/>
  <c r="G1977" i="9"/>
  <c r="F1977" i="9"/>
  <c r="E1977" i="9"/>
  <c r="D1977" i="9"/>
  <c r="C1977" i="9"/>
  <c r="B1977" i="9"/>
  <c r="A1977" i="9"/>
  <c r="M1976" i="9"/>
  <c r="L1976" i="9"/>
  <c r="K1976" i="9"/>
  <c r="J1976" i="9"/>
  <c r="I1976" i="9"/>
  <c r="H1976" i="9"/>
  <c r="G1976" i="9"/>
  <c r="F1976" i="9"/>
  <c r="E1976" i="9"/>
  <c r="D1976" i="9"/>
  <c r="C1976" i="9"/>
  <c r="B1976" i="9"/>
  <c r="A1976" i="9"/>
  <c r="M1975" i="9"/>
  <c r="L1975" i="9"/>
  <c r="K1975" i="9"/>
  <c r="J1975" i="9"/>
  <c r="I1975" i="9"/>
  <c r="H1975" i="9"/>
  <c r="G1975" i="9"/>
  <c r="F1975" i="9"/>
  <c r="E1975" i="9"/>
  <c r="D1975" i="9"/>
  <c r="C1975" i="9"/>
  <c r="B1975" i="9"/>
  <c r="A1975" i="9"/>
  <c r="M1974" i="9"/>
  <c r="L1974" i="9"/>
  <c r="K1974" i="9"/>
  <c r="J1974" i="9"/>
  <c r="I1974" i="9"/>
  <c r="H1974" i="9"/>
  <c r="G1974" i="9"/>
  <c r="F1974" i="9"/>
  <c r="E1974" i="9"/>
  <c r="D1974" i="9"/>
  <c r="C1974" i="9"/>
  <c r="B1974" i="9"/>
  <c r="A1974" i="9"/>
  <c r="M1973" i="9"/>
  <c r="L1973" i="9"/>
  <c r="K1973" i="9"/>
  <c r="J1973" i="9"/>
  <c r="I1973" i="9"/>
  <c r="H1973" i="9"/>
  <c r="G1973" i="9"/>
  <c r="F1973" i="9"/>
  <c r="E1973" i="9"/>
  <c r="D1973" i="9"/>
  <c r="C1973" i="9"/>
  <c r="B1973" i="9"/>
  <c r="A1973" i="9"/>
  <c r="M1972" i="9"/>
  <c r="L1972" i="9"/>
  <c r="K1972" i="9"/>
  <c r="J1972" i="9"/>
  <c r="I1972" i="9"/>
  <c r="H1972" i="9"/>
  <c r="G1972" i="9"/>
  <c r="F1972" i="9"/>
  <c r="E1972" i="9"/>
  <c r="D1972" i="9"/>
  <c r="C1972" i="9"/>
  <c r="B1972" i="9"/>
  <c r="A1972" i="9"/>
  <c r="M1971" i="9"/>
  <c r="L1971" i="9"/>
  <c r="K1971" i="9"/>
  <c r="J1971" i="9"/>
  <c r="I1971" i="9"/>
  <c r="H1971" i="9"/>
  <c r="G1971" i="9"/>
  <c r="F1971" i="9"/>
  <c r="E1971" i="9"/>
  <c r="D1971" i="9"/>
  <c r="C1971" i="9"/>
  <c r="B1971" i="9"/>
  <c r="A1971" i="9"/>
  <c r="M1970" i="9"/>
  <c r="L1970" i="9"/>
  <c r="K1970" i="9"/>
  <c r="J1970" i="9"/>
  <c r="I1970" i="9"/>
  <c r="H1970" i="9"/>
  <c r="G1970" i="9"/>
  <c r="F1970" i="9"/>
  <c r="E1970" i="9"/>
  <c r="D1970" i="9"/>
  <c r="C1970" i="9"/>
  <c r="B1970" i="9"/>
  <c r="A1970" i="9"/>
  <c r="M1969" i="9"/>
  <c r="L1969" i="9"/>
  <c r="K1969" i="9"/>
  <c r="J1969" i="9"/>
  <c r="I1969" i="9"/>
  <c r="H1969" i="9"/>
  <c r="G1969" i="9"/>
  <c r="F1969" i="9"/>
  <c r="E1969" i="9"/>
  <c r="D1969" i="9"/>
  <c r="C1969" i="9"/>
  <c r="B1969" i="9"/>
  <c r="A1969" i="9"/>
  <c r="M1968" i="9"/>
  <c r="L1968" i="9"/>
  <c r="K1968" i="9"/>
  <c r="J1968" i="9"/>
  <c r="I1968" i="9"/>
  <c r="H1968" i="9"/>
  <c r="G1968" i="9"/>
  <c r="F1968" i="9"/>
  <c r="E1968" i="9"/>
  <c r="D1968" i="9"/>
  <c r="C1968" i="9"/>
  <c r="B1968" i="9"/>
  <c r="A1968" i="9"/>
  <c r="M1967" i="9"/>
  <c r="L1967" i="9"/>
  <c r="K1967" i="9"/>
  <c r="J1967" i="9"/>
  <c r="I1967" i="9"/>
  <c r="H1967" i="9"/>
  <c r="G1967" i="9"/>
  <c r="F1967" i="9"/>
  <c r="E1967" i="9"/>
  <c r="D1967" i="9"/>
  <c r="C1967" i="9"/>
  <c r="B1967" i="9"/>
  <c r="A1967" i="9"/>
  <c r="M1966" i="9"/>
  <c r="L1966" i="9"/>
  <c r="K1966" i="9"/>
  <c r="J1966" i="9"/>
  <c r="I1966" i="9"/>
  <c r="H1966" i="9"/>
  <c r="G1966" i="9"/>
  <c r="F1966" i="9"/>
  <c r="E1966" i="9"/>
  <c r="D1966" i="9"/>
  <c r="C1966" i="9"/>
  <c r="B1966" i="9"/>
  <c r="A1966" i="9"/>
  <c r="M1965" i="9"/>
  <c r="L1965" i="9"/>
  <c r="K1965" i="9"/>
  <c r="J1965" i="9"/>
  <c r="I1965" i="9"/>
  <c r="H1965" i="9"/>
  <c r="G1965" i="9"/>
  <c r="F1965" i="9"/>
  <c r="E1965" i="9"/>
  <c r="D1965" i="9"/>
  <c r="C1965" i="9"/>
  <c r="B1965" i="9"/>
  <c r="A1965" i="9"/>
  <c r="M1964" i="9"/>
  <c r="L1964" i="9"/>
  <c r="K1964" i="9"/>
  <c r="J1964" i="9"/>
  <c r="I1964" i="9"/>
  <c r="H1964" i="9"/>
  <c r="G1964" i="9"/>
  <c r="F1964" i="9"/>
  <c r="E1964" i="9"/>
  <c r="D1964" i="9"/>
  <c r="C1964" i="9"/>
  <c r="B1964" i="9"/>
  <c r="A1964" i="9"/>
  <c r="M1963" i="9"/>
  <c r="L1963" i="9"/>
  <c r="K1963" i="9"/>
  <c r="J1963" i="9"/>
  <c r="I1963" i="9"/>
  <c r="H1963" i="9"/>
  <c r="G1963" i="9"/>
  <c r="F1963" i="9"/>
  <c r="E1963" i="9"/>
  <c r="D1963" i="9"/>
  <c r="C1963" i="9"/>
  <c r="B1963" i="9"/>
  <c r="A1963" i="9"/>
  <c r="M1962" i="9"/>
  <c r="L1962" i="9"/>
  <c r="K1962" i="9"/>
  <c r="J1962" i="9"/>
  <c r="I1962" i="9"/>
  <c r="H1962" i="9"/>
  <c r="G1962" i="9"/>
  <c r="F1962" i="9"/>
  <c r="E1962" i="9"/>
  <c r="D1962" i="9"/>
  <c r="C1962" i="9"/>
  <c r="B1962" i="9"/>
  <c r="A1962" i="9"/>
  <c r="M1961" i="9"/>
  <c r="L1961" i="9"/>
  <c r="K1961" i="9"/>
  <c r="J1961" i="9"/>
  <c r="I1961" i="9"/>
  <c r="H1961" i="9"/>
  <c r="G1961" i="9"/>
  <c r="F1961" i="9"/>
  <c r="E1961" i="9"/>
  <c r="D1961" i="9"/>
  <c r="C1961" i="9"/>
  <c r="B1961" i="9"/>
  <c r="A1961" i="9"/>
  <c r="M1960" i="9"/>
  <c r="L1960" i="9"/>
  <c r="K1960" i="9"/>
  <c r="J1960" i="9"/>
  <c r="I1960" i="9"/>
  <c r="H1960" i="9"/>
  <c r="G1960" i="9"/>
  <c r="F1960" i="9"/>
  <c r="E1960" i="9"/>
  <c r="D1960" i="9"/>
  <c r="C1960" i="9"/>
  <c r="B1960" i="9"/>
  <c r="A1960" i="9"/>
  <c r="M1959" i="9"/>
  <c r="L1959" i="9"/>
  <c r="K1959" i="9"/>
  <c r="J1959" i="9"/>
  <c r="I1959" i="9"/>
  <c r="H1959" i="9"/>
  <c r="G1959" i="9"/>
  <c r="F1959" i="9"/>
  <c r="E1959" i="9"/>
  <c r="D1959" i="9"/>
  <c r="C1959" i="9"/>
  <c r="B1959" i="9"/>
  <c r="A1959" i="9"/>
  <c r="M1958" i="9"/>
  <c r="L1958" i="9"/>
  <c r="K1958" i="9"/>
  <c r="J1958" i="9"/>
  <c r="I1958" i="9"/>
  <c r="H1958" i="9"/>
  <c r="G1958" i="9"/>
  <c r="F1958" i="9"/>
  <c r="E1958" i="9"/>
  <c r="D1958" i="9"/>
  <c r="C1958" i="9"/>
  <c r="B1958" i="9"/>
  <c r="A1958" i="9"/>
  <c r="M1957" i="9"/>
  <c r="L1957" i="9"/>
  <c r="K1957" i="9"/>
  <c r="J1957" i="9"/>
  <c r="I1957" i="9"/>
  <c r="H1957" i="9"/>
  <c r="G1957" i="9"/>
  <c r="F1957" i="9"/>
  <c r="E1957" i="9"/>
  <c r="D1957" i="9"/>
  <c r="C1957" i="9"/>
  <c r="B1957" i="9"/>
  <c r="A1957" i="9"/>
  <c r="M1956" i="9"/>
  <c r="L1956" i="9"/>
  <c r="K1956" i="9"/>
  <c r="J1956" i="9"/>
  <c r="I1956" i="9"/>
  <c r="H1956" i="9"/>
  <c r="G1956" i="9"/>
  <c r="F1956" i="9"/>
  <c r="E1956" i="9"/>
  <c r="D1956" i="9"/>
  <c r="C1956" i="9"/>
  <c r="B1956" i="9"/>
  <c r="A1956" i="9"/>
  <c r="M1955" i="9"/>
  <c r="L1955" i="9"/>
  <c r="K1955" i="9"/>
  <c r="J1955" i="9"/>
  <c r="I1955" i="9"/>
  <c r="H1955" i="9"/>
  <c r="G1955" i="9"/>
  <c r="F1955" i="9"/>
  <c r="E1955" i="9"/>
  <c r="D1955" i="9"/>
  <c r="C1955" i="9"/>
  <c r="B1955" i="9"/>
  <c r="A1955" i="9"/>
  <c r="M1954" i="9"/>
  <c r="L1954" i="9"/>
  <c r="K1954" i="9"/>
  <c r="J1954" i="9"/>
  <c r="I1954" i="9"/>
  <c r="H1954" i="9"/>
  <c r="G1954" i="9"/>
  <c r="F1954" i="9"/>
  <c r="E1954" i="9"/>
  <c r="D1954" i="9"/>
  <c r="C1954" i="9"/>
  <c r="B1954" i="9"/>
  <c r="A1954" i="9"/>
  <c r="M1953" i="9"/>
  <c r="L1953" i="9"/>
  <c r="K1953" i="9"/>
  <c r="J1953" i="9"/>
  <c r="I1953" i="9"/>
  <c r="H1953" i="9"/>
  <c r="G1953" i="9"/>
  <c r="F1953" i="9"/>
  <c r="E1953" i="9"/>
  <c r="D1953" i="9"/>
  <c r="C1953" i="9"/>
  <c r="B1953" i="9"/>
  <c r="A1953" i="9"/>
  <c r="M1952" i="9"/>
  <c r="L1952" i="9"/>
  <c r="K1952" i="9"/>
  <c r="J1952" i="9"/>
  <c r="I1952" i="9"/>
  <c r="H1952" i="9"/>
  <c r="G1952" i="9"/>
  <c r="F1952" i="9"/>
  <c r="E1952" i="9"/>
  <c r="D1952" i="9"/>
  <c r="C1952" i="9"/>
  <c r="B1952" i="9"/>
  <c r="A1952" i="9"/>
  <c r="M1951" i="9"/>
  <c r="L1951" i="9"/>
  <c r="K1951" i="9"/>
  <c r="J1951" i="9"/>
  <c r="I1951" i="9"/>
  <c r="H1951" i="9"/>
  <c r="G1951" i="9"/>
  <c r="F1951" i="9"/>
  <c r="E1951" i="9"/>
  <c r="D1951" i="9"/>
  <c r="C1951" i="9"/>
  <c r="B1951" i="9"/>
  <c r="A1951" i="9"/>
  <c r="M1950" i="9"/>
  <c r="L1950" i="9"/>
  <c r="K1950" i="9"/>
  <c r="J1950" i="9"/>
  <c r="I1950" i="9"/>
  <c r="H1950" i="9"/>
  <c r="G1950" i="9"/>
  <c r="F1950" i="9"/>
  <c r="E1950" i="9"/>
  <c r="D1950" i="9"/>
  <c r="C1950" i="9"/>
  <c r="B1950" i="9"/>
  <c r="A1950" i="9"/>
  <c r="M1949" i="9"/>
  <c r="L1949" i="9"/>
  <c r="K1949" i="9"/>
  <c r="J1949" i="9"/>
  <c r="I1949" i="9"/>
  <c r="H1949" i="9"/>
  <c r="G1949" i="9"/>
  <c r="F1949" i="9"/>
  <c r="E1949" i="9"/>
  <c r="D1949" i="9"/>
  <c r="C1949" i="9"/>
  <c r="B1949" i="9"/>
  <c r="A1949" i="9"/>
  <c r="M1948" i="9"/>
  <c r="L1948" i="9"/>
  <c r="K1948" i="9"/>
  <c r="J1948" i="9"/>
  <c r="I1948" i="9"/>
  <c r="H1948" i="9"/>
  <c r="G1948" i="9"/>
  <c r="F1948" i="9"/>
  <c r="E1948" i="9"/>
  <c r="D1948" i="9"/>
  <c r="C1948" i="9"/>
  <c r="B1948" i="9"/>
  <c r="A1948" i="9"/>
  <c r="M1947" i="9"/>
  <c r="L1947" i="9"/>
  <c r="K1947" i="9"/>
  <c r="J1947" i="9"/>
  <c r="I1947" i="9"/>
  <c r="H1947" i="9"/>
  <c r="G1947" i="9"/>
  <c r="F1947" i="9"/>
  <c r="E1947" i="9"/>
  <c r="D1947" i="9"/>
  <c r="C1947" i="9"/>
  <c r="B1947" i="9"/>
  <c r="A1947" i="9"/>
  <c r="M1946" i="9"/>
  <c r="L1946" i="9"/>
  <c r="K1946" i="9"/>
  <c r="J1946" i="9"/>
  <c r="I1946" i="9"/>
  <c r="H1946" i="9"/>
  <c r="G1946" i="9"/>
  <c r="F1946" i="9"/>
  <c r="E1946" i="9"/>
  <c r="D1946" i="9"/>
  <c r="C1946" i="9"/>
  <c r="B1946" i="9"/>
  <c r="A1946" i="9"/>
  <c r="M1945" i="9"/>
  <c r="L1945" i="9"/>
  <c r="K1945" i="9"/>
  <c r="J1945" i="9"/>
  <c r="I1945" i="9"/>
  <c r="H1945" i="9"/>
  <c r="G1945" i="9"/>
  <c r="F1945" i="9"/>
  <c r="E1945" i="9"/>
  <c r="D1945" i="9"/>
  <c r="C1945" i="9"/>
  <c r="B1945" i="9"/>
  <c r="A1945" i="9"/>
  <c r="M1944" i="9"/>
  <c r="L1944" i="9"/>
  <c r="K1944" i="9"/>
  <c r="J1944" i="9"/>
  <c r="I1944" i="9"/>
  <c r="H1944" i="9"/>
  <c r="G1944" i="9"/>
  <c r="F1944" i="9"/>
  <c r="E1944" i="9"/>
  <c r="D1944" i="9"/>
  <c r="C1944" i="9"/>
  <c r="B1944" i="9"/>
  <c r="A1944" i="9"/>
  <c r="M1943" i="9"/>
  <c r="L1943" i="9"/>
  <c r="K1943" i="9"/>
  <c r="J1943" i="9"/>
  <c r="I1943" i="9"/>
  <c r="H1943" i="9"/>
  <c r="G1943" i="9"/>
  <c r="F1943" i="9"/>
  <c r="E1943" i="9"/>
  <c r="D1943" i="9"/>
  <c r="C1943" i="9"/>
  <c r="B1943" i="9"/>
  <c r="A1943" i="9"/>
  <c r="M1942" i="9"/>
  <c r="L1942" i="9"/>
  <c r="K1942" i="9"/>
  <c r="J1942" i="9"/>
  <c r="I1942" i="9"/>
  <c r="H1942" i="9"/>
  <c r="G1942" i="9"/>
  <c r="F1942" i="9"/>
  <c r="E1942" i="9"/>
  <c r="D1942" i="9"/>
  <c r="C1942" i="9"/>
  <c r="B1942" i="9"/>
  <c r="A1942" i="9"/>
  <c r="M1941" i="9"/>
  <c r="L1941" i="9"/>
  <c r="K1941" i="9"/>
  <c r="J1941" i="9"/>
  <c r="I1941" i="9"/>
  <c r="H1941" i="9"/>
  <c r="G1941" i="9"/>
  <c r="F1941" i="9"/>
  <c r="E1941" i="9"/>
  <c r="D1941" i="9"/>
  <c r="C1941" i="9"/>
  <c r="B1941" i="9"/>
  <c r="A1941" i="9"/>
  <c r="M1940" i="9"/>
  <c r="L1940" i="9"/>
  <c r="K1940" i="9"/>
  <c r="J1940" i="9"/>
  <c r="I1940" i="9"/>
  <c r="H1940" i="9"/>
  <c r="G1940" i="9"/>
  <c r="F1940" i="9"/>
  <c r="E1940" i="9"/>
  <c r="D1940" i="9"/>
  <c r="C1940" i="9"/>
  <c r="B1940" i="9"/>
  <c r="A1940" i="9"/>
  <c r="M1939" i="9"/>
  <c r="L1939" i="9"/>
  <c r="K1939" i="9"/>
  <c r="J1939" i="9"/>
  <c r="I1939" i="9"/>
  <c r="H1939" i="9"/>
  <c r="G1939" i="9"/>
  <c r="F1939" i="9"/>
  <c r="E1939" i="9"/>
  <c r="D1939" i="9"/>
  <c r="C1939" i="9"/>
  <c r="B1939" i="9"/>
  <c r="A1939" i="9"/>
  <c r="M1938" i="9"/>
  <c r="L1938" i="9"/>
  <c r="K1938" i="9"/>
  <c r="J1938" i="9"/>
  <c r="I1938" i="9"/>
  <c r="H1938" i="9"/>
  <c r="G1938" i="9"/>
  <c r="F1938" i="9"/>
  <c r="E1938" i="9"/>
  <c r="D1938" i="9"/>
  <c r="C1938" i="9"/>
  <c r="B1938" i="9"/>
  <c r="A1938" i="9"/>
  <c r="M1937" i="9"/>
  <c r="L1937" i="9"/>
  <c r="K1937" i="9"/>
  <c r="J1937" i="9"/>
  <c r="I1937" i="9"/>
  <c r="H1937" i="9"/>
  <c r="G1937" i="9"/>
  <c r="F1937" i="9"/>
  <c r="E1937" i="9"/>
  <c r="D1937" i="9"/>
  <c r="C1937" i="9"/>
  <c r="B1937" i="9"/>
  <c r="A1937" i="9"/>
  <c r="M1936" i="9"/>
  <c r="L1936" i="9"/>
  <c r="K1936" i="9"/>
  <c r="J1936" i="9"/>
  <c r="I1936" i="9"/>
  <c r="H1936" i="9"/>
  <c r="G1936" i="9"/>
  <c r="F1936" i="9"/>
  <c r="E1936" i="9"/>
  <c r="D1936" i="9"/>
  <c r="C1936" i="9"/>
  <c r="B1936" i="9"/>
  <c r="A1936" i="9"/>
  <c r="M1935" i="9"/>
  <c r="L1935" i="9"/>
  <c r="K1935" i="9"/>
  <c r="J1935" i="9"/>
  <c r="I1935" i="9"/>
  <c r="H1935" i="9"/>
  <c r="G1935" i="9"/>
  <c r="F1935" i="9"/>
  <c r="E1935" i="9"/>
  <c r="D1935" i="9"/>
  <c r="C1935" i="9"/>
  <c r="B1935" i="9"/>
  <c r="A1935" i="9"/>
  <c r="M1934" i="9"/>
  <c r="L1934" i="9"/>
  <c r="K1934" i="9"/>
  <c r="J1934" i="9"/>
  <c r="I1934" i="9"/>
  <c r="H1934" i="9"/>
  <c r="G1934" i="9"/>
  <c r="F1934" i="9"/>
  <c r="E1934" i="9"/>
  <c r="D1934" i="9"/>
  <c r="C1934" i="9"/>
  <c r="B1934" i="9"/>
  <c r="A1934" i="9"/>
  <c r="M1933" i="9"/>
  <c r="L1933" i="9"/>
  <c r="K1933" i="9"/>
  <c r="J1933" i="9"/>
  <c r="I1933" i="9"/>
  <c r="H1933" i="9"/>
  <c r="G1933" i="9"/>
  <c r="F1933" i="9"/>
  <c r="E1933" i="9"/>
  <c r="D1933" i="9"/>
  <c r="C1933" i="9"/>
  <c r="B1933" i="9"/>
  <c r="A1933" i="9"/>
  <c r="M1932" i="9"/>
  <c r="L1932" i="9"/>
  <c r="K1932" i="9"/>
  <c r="J1932" i="9"/>
  <c r="I1932" i="9"/>
  <c r="H1932" i="9"/>
  <c r="G1932" i="9"/>
  <c r="F1932" i="9"/>
  <c r="E1932" i="9"/>
  <c r="D1932" i="9"/>
  <c r="C1932" i="9"/>
  <c r="B1932" i="9"/>
  <c r="A1932" i="9"/>
  <c r="M1931" i="9"/>
  <c r="L1931" i="9"/>
  <c r="K1931" i="9"/>
  <c r="J1931" i="9"/>
  <c r="I1931" i="9"/>
  <c r="H1931" i="9"/>
  <c r="G1931" i="9"/>
  <c r="F1931" i="9"/>
  <c r="E1931" i="9"/>
  <c r="D1931" i="9"/>
  <c r="C1931" i="9"/>
  <c r="B1931" i="9"/>
  <c r="A1931" i="9"/>
  <c r="M1930" i="9"/>
  <c r="L1930" i="9"/>
  <c r="K1930" i="9"/>
  <c r="J1930" i="9"/>
  <c r="I1930" i="9"/>
  <c r="H1930" i="9"/>
  <c r="G1930" i="9"/>
  <c r="F1930" i="9"/>
  <c r="E1930" i="9"/>
  <c r="D1930" i="9"/>
  <c r="C1930" i="9"/>
  <c r="B1930" i="9"/>
  <c r="A1930" i="9"/>
  <c r="M1929" i="9"/>
  <c r="L1929" i="9"/>
  <c r="K1929" i="9"/>
  <c r="J1929" i="9"/>
  <c r="I1929" i="9"/>
  <c r="H1929" i="9"/>
  <c r="G1929" i="9"/>
  <c r="F1929" i="9"/>
  <c r="E1929" i="9"/>
  <c r="D1929" i="9"/>
  <c r="C1929" i="9"/>
  <c r="B1929" i="9"/>
  <c r="A1929" i="9"/>
  <c r="M1928" i="9"/>
  <c r="L1928" i="9"/>
  <c r="K1928" i="9"/>
  <c r="J1928" i="9"/>
  <c r="I1928" i="9"/>
  <c r="H1928" i="9"/>
  <c r="G1928" i="9"/>
  <c r="F1928" i="9"/>
  <c r="E1928" i="9"/>
  <c r="D1928" i="9"/>
  <c r="C1928" i="9"/>
  <c r="B1928" i="9"/>
  <c r="A1928" i="9"/>
  <c r="M1927" i="9"/>
  <c r="L1927" i="9"/>
  <c r="K1927" i="9"/>
  <c r="J1927" i="9"/>
  <c r="I1927" i="9"/>
  <c r="H1927" i="9"/>
  <c r="G1927" i="9"/>
  <c r="F1927" i="9"/>
  <c r="E1927" i="9"/>
  <c r="D1927" i="9"/>
  <c r="C1927" i="9"/>
  <c r="B1927" i="9"/>
  <c r="A1927" i="9"/>
  <c r="M1926" i="9"/>
  <c r="L1926" i="9"/>
  <c r="K1926" i="9"/>
  <c r="J1926" i="9"/>
  <c r="I1926" i="9"/>
  <c r="H1926" i="9"/>
  <c r="G1926" i="9"/>
  <c r="F1926" i="9"/>
  <c r="E1926" i="9"/>
  <c r="D1926" i="9"/>
  <c r="C1926" i="9"/>
  <c r="B1926" i="9"/>
  <c r="A1926" i="9"/>
  <c r="M1925" i="9"/>
  <c r="L1925" i="9"/>
  <c r="K1925" i="9"/>
  <c r="J1925" i="9"/>
  <c r="I1925" i="9"/>
  <c r="H1925" i="9"/>
  <c r="G1925" i="9"/>
  <c r="F1925" i="9"/>
  <c r="E1925" i="9"/>
  <c r="D1925" i="9"/>
  <c r="C1925" i="9"/>
  <c r="B1925" i="9"/>
  <c r="A1925" i="9"/>
  <c r="M1924" i="9"/>
  <c r="L1924" i="9"/>
  <c r="K1924" i="9"/>
  <c r="J1924" i="9"/>
  <c r="I1924" i="9"/>
  <c r="H1924" i="9"/>
  <c r="G1924" i="9"/>
  <c r="F1924" i="9"/>
  <c r="E1924" i="9"/>
  <c r="D1924" i="9"/>
  <c r="C1924" i="9"/>
  <c r="B1924" i="9"/>
  <c r="A1924" i="9"/>
  <c r="M1923" i="9"/>
  <c r="L1923" i="9"/>
  <c r="K1923" i="9"/>
  <c r="J1923" i="9"/>
  <c r="I1923" i="9"/>
  <c r="H1923" i="9"/>
  <c r="G1923" i="9"/>
  <c r="F1923" i="9"/>
  <c r="E1923" i="9"/>
  <c r="D1923" i="9"/>
  <c r="C1923" i="9"/>
  <c r="B1923" i="9"/>
  <c r="A1923" i="9"/>
  <c r="M1922" i="9"/>
  <c r="L1922" i="9"/>
  <c r="K1922" i="9"/>
  <c r="J1922" i="9"/>
  <c r="I1922" i="9"/>
  <c r="H1922" i="9"/>
  <c r="G1922" i="9"/>
  <c r="F1922" i="9"/>
  <c r="E1922" i="9"/>
  <c r="D1922" i="9"/>
  <c r="C1922" i="9"/>
  <c r="B1922" i="9"/>
  <c r="A1922" i="9"/>
  <c r="M1921" i="9"/>
  <c r="L1921" i="9"/>
  <c r="K1921" i="9"/>
  <c r="J1921" i="9"/>
  <c r="I1921" i="9"/>
  <c r="H1921" i="9"/>
  <c r="G1921" i="9"/>
  <c r="F1921" i="9"/>
  <c r="E1921" i="9"/>
  <c r="D1921" i="9"/>
  <c r="C1921" i="9"/>
  <c r="B1921" i="9"/>
  <c r="A1921" i="9"/>
  <c r="M1920" i="9"/>
  <c r="L1920" i="9"/>
  <c r="K1920" i="9"/>
  <c r="J1920" i="9"/>
  <c r="I1920" i="9"/>
  <c r="H1920" i="9"/>
  <c r="G1920" i="9"/>
  <c r="F1920" i="9"/>
  <c r="E1920" i="9"/>
  <c r="D1920" i="9"/>
  <c r="C1920" i="9"/>
  <c r="B1920" i="9"/>
  <c r="A1920" i="9"/>
  <c r="M1919" i="9"/>
  <c r="L1919" i="9"/>
  <c r="K1919" i="9"/>
  <c r="J1919" i="9"/>
  <c r="I1919" i="9"/>
  <c r="H1919" i="9"/>
  <c r="G1919" i="9"/>
  <c r="F1919" i="9"/>
  <c r="E1919" i="9"/>
  <c r="D1919" i="9"/>
  <c r="C1919" i="9"/>
  <c r="B1919" i="9"/>
  <c r="A1919" i="9"/>
  <c r="M1918" i="9"/>
  <c r="L1918" i="9"/>
  <c r="K1918" i="9"/>
  <c r="J1918" i="9"/>
  <c r="I1918" i="9"/>
  <c r="H1918" i="9"/>
  <c r="G1918" i="9"/>
  <c r="F1918" i="9"/>
  <c r="E1918" i="9"/>
  <c r="D1918" i="9"/>
  <c r="C1918" i="9"/>
  <c r="B1918" i="9"/>
  <c r="A1918" i="9"/>
  <c r="M1917" i="9"/>
  <c r="L1917" i="9"/>
  <c r="K1917" i="9"/>
  <c r="J1917" i="9"/>
  <c r="I1917" i="9"/>
  <c r="H1917" i="9"/>
  <c r="G1917" i="9"/>
  <c r="F1917" i="9"/>
  <c r="E1917" i="9"/>
  <c r="D1917" i="9"/>
  <c r="C1917" i="9"/>
  <c r="B1917" i="9"/>
  <c r="A1917" i="9"/>
  <c r="M1916" i="9"/>
  <c r="L1916" i="9"/>
  <c r="K1916" i="9"/>
  <c r="J1916" i="9"/>
  <c r="I1916" i="9"/>
  <c r="H1916" i="9"/>
  <c r="G1916" i="9"/>
  <c r="F1916" i="9"/>
  <c r="E1916" i="9"/>
  <c r="D1916" i="9"/>
  <c r="C1916" i="9"/>
  <c r="B1916" i="9"/>
  <c r="A1916" i="9"/>
  <c r="M1915" i="9"/>
  <c r="L1915" i="9"/>
  <c r="K1915" i="9"/>
  <c r="J1915" i="9"/>
  <c r="I1915" i="9"/>
  <c r="H1915" i="9"/>
  <c r="G1915" i="9"/>
  <c r="F1915" i="9"/>
  <c r="E1915" i="9"/>
  <c r="D1915" i="9"/>
  <c r="C1915" i="9"/>
  <c r="B1915" i="9"/>
  <c r="A1915" i="9"/>
  <c r="M1914" i="9"/>
  <c r="L1914" i="9"/>
  <c r="K1914" i="9"/>
  <c r="J1914" i="9"/>
  <c r="I1914" i="9"/>
  <c r="H1914" i="9"/>
  <c r="G1914" i="9"/>
  <c r="F1914" i="9"/>
  <c r="E1914" i="9"/>
  <c r="D1914" i="9"/>
  <c r="C1914" i="9"/>
  <c r="B1914" i="9"/>
  <c r="A1914" i="9"/>
  <c r="M1913" i="9"/>
  <c r="L1913" i="9"/>
  <c r="K1913" i="9"/>
  <c r="J1913" i="9"/>
  <c r="I1913" i="9"/>
  <c r="H1913" i="9"/>
  <c r="G1913" i="9"/>
  <c r="F1913" i="9"/>
  <c r="E1913" i="9"/>
  <c r="D1913" i="9"/>
  <c r="C1913" i="9"/>
  <c r="B1913" i="9"/>
  <c r="A1913" i="9"/>
  <c r="M1912" i="9"/>
  <c r="L1912" i="9"/>
  <c r="K1912" i="9"/>
  <c r="J1912" i="9"/>
  <c r="I1912" i="9"/>
  <c r="H1912" i="9"/>
  <c r="G1912" i="9"/>
  <c r="F1912" i="9"/>
  <c r="E1912" i="9"/>
  <c r="D1912" i="9"/>
  <c r="C1912" i="9"/>
  <c r="B1912" i="9"/>
  <c r="A1912" i="9"/>
  <c r="M1911" i="9"/>
  <c r="L1911" i="9"/>
  <c r="K1911" i="9"/>
  <c r="J1911" i="9"/>
  <c r="I1911" i="9"/>
  <c r="H1911" i="9"/>
  <c r="G1911" i="9"/>
  <c r="F1911" i="9"/>
  <c r="E1911" i="9"/>
  <c r="D1911" i="9"/>
  <c r="C1911" i="9"/>
  <c r="B1911" i="9"/>
  <c r="A1911" i="9"/>
  <c r="M1910" i="9"/>
  <c r="L1910" i="9"/>
  <c r="K1910" i="9"/>
  <c r="J1910" i="9"/>
  <c r="I1910" i="9"/>
  <c r="H1910" i="9"/>
  <c r="G1910" i="9"/>
  <c r="F1910" i="9"/>
  <c r="E1910" i="9"/>
  <c r="D1910" i="9"/>
  <c r="C1910" i="9"/>
  <c r="B1910" i="9"/>
  <c r="A1910" i="9"/>
  <c r="M1909" i="9"/>
  <c r="L1909" i="9"/>
  <c r="K1909" i="9"/>
  <c r="J1909" i="9"/>
  <c r="I1909" i="9"/>
  <c r="H1909" i="9"/>
  <c r="G1909" i="9"/>
  <c r="F1909" i="9"/>
  <c r="E1909" i="9"/>
  <c r="D1909" i="9"/>
  <c r="C1909" i="9"/>
  <c r="B1909" i="9"/>
  <c r="A1909" i="9"/>
  <c r="M1908" i="9"/>
  <c r="L1908" i="9"/>
  <c r="K1908" i="9"/>
  <c r="J1908" i="9"/>
  <c r="I1908" i="9"/>
  <c r="H1908" i="9"/>
  <c r="G1908" i="9"/>
  <c r="F1908" i="9"/>
  <c r="E1908" i="9"/>
  <c r="D1908" i="9"/>
  <c r="C1908" i="9"/>
  <c r="B1908" i="9"/>
  <c r="A1908" i="9"/>
  <c r="M1907" i="9"/>
  <c r="L1907" i="9"/>
  <c r="K1907" i="9"/>
  <c r="J1907" i="9"/>
  <c r="I1907" i="9"/>
  <c r="H1907" i="9"/>
  <c r="G1907" i="9"/>
  <c r="F1907" i="9"/>
  <c r="E1907" i="9"/>
  <c r="D1907" i="9"/>
  <c r="C1907" i="9"/>
  <c r="B1907" i="9"/>
  <c r="A1907" i="9"/>
  <c r="M1906" i="9"/>
  <c r="L1906" i="9"/>
  <c r="K1906" i="9"/>
  <c r="J1906" i="9"/>
  <c r="I1906" i="9"/>
  <c r="H1906" i="9"/>
  <c r="G1906" i="9"/>
  <c r="F1906" i="9"/>
  <c r="E1906" i="9"/>
  <c r="D1906" i="9"/>
  <c r="C1906" i="9"/>
  <c r="B1906" i="9"/>
  <c r="A1906" i="9"/>
  <c r="M1905" i="9"/>
  <c r="L1905" i="9"/>
  <c r="K1905" i="9"/>
  <c r="J1905" i="9"/>
  <c r="I1905" i="9"/>
  <c r="H1905" i="9"/>
  <c r="G1905" i="9"/>
  <c r="F1905" i="9"/>
  <c r="E1905" i="9"/>
  <c r="D1905" i="9"/>
  <c r="C1905" i="9"/>
  <c r="B1905" i="9"/>
  <c r="A1905" i="9"/>
  <c r="M1904" i="9"/>
  <c r="L1904" i="9"/>
  <c r="K1904" i="9"/>
  <c r="J1904" i="9"/>
  <c r="I1904" i="9"/>
  <c r="H1904" i="9"/>
  <c r="G1904" i="9"/>
  <c r="F1904" i="9"/>
  <c r="E1904" i="9"/>
  <c r="D1904" i="9"/>
  <c r="C1904" i="9"/>
  <c r="B1904" i="9"/>
  <c r="A1904" i="9"/>
  <c r="M1903" i="9"/>
  <c r="L1903" i="9"/>
  <c r="K1903" i="9"/>
  <c r="J1903" i="9"/>
  <c r="I1903" i="9"/>
  <c r="H1903" i="9"/>
  <c r="G1903" i="9"/>
  <c r="F1903" i="9"/>
  <c r="E1903" i="9"/>
  <c r="D1903" i="9"/>
  <c r="C1903" i="9"/>
  <c r="B1903" i="9"/>
  <c r="A1903" i="9"/>
  <c r="M1902" i="9"/>
  <c r="L1902" i="9"/>
  <c r="K1902" i="9"/>
  <c r="J1902" i="9"/>
  <c r="I1902" i="9"/>
  <c r="H1902" i="9"/>
  <c r="G1902" i="9"/>
  <c r="F1902" i="9"/>
  <c r="E1902" i="9"/>
  <c r="D1902" i="9"/>
  <c r="C1902" i="9"/>
  <c r="B1902" i="9"/>
  <c r="A1902" i="9"/>
  <c r="M1901" i="9"/>
  <c r="L1901" i="9"/>
  <c r="K1901" i="9"/>
  <c r="J1901" i="9"/>
  <c r="I1901" i="9"/>
  <c r="H1901" i="9"/>
  <c r="G1901" i="9"/>
  <c r="F1901" i="9"/>
  <c r="E1901" i="9"/>
  <c r="D1901" i="9"/>
  <c r="C1901" i="9"/>
  <c r="B1901" i="9"/>
  <c r="A1901" i="9"/>
  <c r="M1900" i="9"/>
  <c r="L1900" i="9"/>
  <c r="K1900" i="9"/>
  <c r="J1900" i="9"/>
  <c r="I1900" i="9"/>
  <c r="H1900" i="9"/>
  <c r="G1900" i="9"/>
  <c r="F1900" i="9"/>
  <c r="E1900" i="9"/>
  <c r="D1900" i="9"/>
  <c r="C1900" i="9"/>
  <c r="B1900" i="9"/>
  <c r="A1900" i="9"/>
  <c r="M1899" i="9"/>
  <c r="L1899" i="9"/>
  <c r="K1899" i="9"/>
  <c r="J1899" i="9"/>
  <c r="I1899" i="9"/>
  <c r="H1899" i="9"/>
  <c r="G1899" i="9"/>
  <c r="F1899" i="9"/>
  <c r="E1899" i="9"/>
  <c r="D1899" i="9"/>
  <c r="C1899" i="9"/>
  <c r="B1899" i="9"/>
  <c r="A1899" i="9"/>
  <c r="M1898" i="9"/>
  <c r="L1898" i="9"/>
  <c r="K1898" i="9"/>
  <c r="J1898" i="9"/>
  <c r="I1898" i="9"/>
  <c r="H1898" i="9"/>
  <c r="G1898" i="9"/>
  <c r="F1898" i="9"/>
  <c r="E1898" i="9"/>
  <c r="D1898" i="9"/>
  <c r="C1898" i="9"/>
  <c r="B1898" i="9"/>
  <c r="A1898" i="9"/>
  <c r="M1897" i="9"/>
  <c r="L1897" i="9"/>
  <c r="K1897" i="9"/>
  <c r="J1897" i="9"/>
  <c r="I1897" i="9"/>
  <c r="H1897" i="9"/>
  <c r="G1897" i="9"/>
  <c r="F1897" i="9"/>
  <c r="E1897" i="9"/>
  <c r="D1897" i="9"/>
  <c r="C1897" i="9"/>
  <c r="B1897" i="9"/>
  <c r="A1897" i="9"/>
  <c r="M1896" i="9"/>
  <c r="L1896" i="9"/>
  <c r="K1896" i="9"/>
  <c r="J1896" i="9"/>
  <c r="I1896" i="9"/>
  <c r="H1896" i="9"/>
  <c r="G1896" i="9"/>
  <c r="F1896" i="9"/>
  <c r="E1896" i="9"/>
  <c r="D1896" i="9"/>
  <c r="C1896" i="9"/>
  <c r="B1896" i="9"/>
  <c r="A1896" i="9"/>
  <c r="M1895" i="9"/>
  <c r="L1895" i="9"/>
  <c r="K1895" i="9"/>
  <c r="J1895" i="9"/>
  <c r="I1895" i="9"/>
  <c r="H1895" i="9"/>
  <c r="G1895" i="9"/>
  <c r="F1895" i="9"/>
  <c r="E1895" i="9"/>
  <c r="D1895" i="9"/>
  <c r="C1895" i="9"/>
  <c r="B1895" i="9"/>
  <c r="A1895" i="9"/>
  <c r="M1894" i="9"/>
  <c r="L1894" i="9"/>
  <c r="K1894" i="9"/>
  <c r="J1894" i="9"/>
  <c r="I1894" i="9"/>
  <c r="H1894" i="9"/>
  <c r="G1894" i="9"/>
  <c r="F1894" i="9"/>
  <c r="E1894" i="9"/>
  <c r="D1894" i="9"/>
  <c r="C1894" i="9"/>
  <c r="B1894" i="9"/>
  <c r="A1894" i="9"/>
  <c r="M1893" i="9"/>
  <c r="L1893" i="9"/>
  <c r="K1893" i="9"/>
  <c r="J1893" i="9"/>
  <c r="I1893" i="9"/>
  <c r="H1893" i="9"/>
  <c r="G1893" i="9"/>
  <c r="F1893" i="9"/>
  <c r="E1893" i="9"/>
  <c r="D1893" i="9"/>
  <c r="C1893" i="9"/>
  <c r="B1893" i="9"/>
  <c r="A1893" i="9"/>
  <c r="M1892" i="9"/>
  <c r="L1892" i="9"/>
  <c r="K1892" i="9"/>
  <c r="J1892" i="9"/>
  <c r="I1892" i="9"/>
  <c r="H1892" i="9"/>
  <c r="G1892" i="9"/>
  <c r="F1892" i="9"/>
  <c r="E1892" i="9"/>
  <c r="D1892" i="9"/>
  <c r="C1892" i="9"/>
  <c r="B1892" i="9"/>
  <c r="A1892" i="9"/>
  <c r="M1891" i="9"/>
  <c r="L1891" i="9"/>
  <c r="K1891" i="9"/>
  <c r="J1891" i="9"/>
  <c r="I1891" i="9"/>
  <c r="H1891" i="9"/>
  <c r="G1891" i="9"/>
  <c r="F1891" i="9"/>
  <c r="E1891" i="9"/>
  <c r="D1891" i="9"/>
  <c r="C1891" i="9"/>
  <c r="B1891" i="9"/>
  <c r="A1891" i="9"/>
  <c r="M1890" i="9"/>
  <c r="L1890" i="9"/>
  <c r="K1890" i="9"/>
  <c r="J1890" i="9"/>
  <c r="I1890" i="9"/>
  <c r="H1890" i="9"/>
  <c r="G1890" i="9"/>
  <c r="F1890" i="9"/>
  <c r="E1890" i="9"/>
  <c r="D1890" i="9"/>
  <c r="C1890" i="9"/>
  <c r="B1890" i="9"/>
  <c r="A1890" i="9"/>
  <c r="M1889" i="9"/>
  <c r="L1889" i="9"/>
  <c r="K1889" i="9"/>
  <c r="J1889" i="9"/>
  <c r="I1889" i="9"/>
  <c r="H1889" i="9"/>
  <c r="G1889" i="9"/>
  <c r="F1889" i="9"/>
  <c r="E1889" i="9"/>
  <c r="D1889" i="9"/>
  <c r="C1889" i="9"/>
  <c r="B1889" i="9"/>
  <c r="A1889" i="9"/>
  <c r="M1888" i="9"/>
  <c r="L1888" i="9"/>
  <c r="K1888" i="9"/>
  <c r="J1888" i="9"/>
  <c r="I1888" i="9"/>
  <c r="H1888" i="9"/>
  <c r="G1888" i="9"/>
  <c r="F1888" i="9"/>
  <c r="E1888" i="9"/>
  <c r="D1888" i="9"/>
  <c r="C1888" i="9"/>
  <c r="B1888" i="9"/>
  <c r="A1888" i="9"/>
  <c r="M1887" i="9"/>
  <c r="L1887" i="9"/>
  <c r="K1887" i="9"/>
  <c r="J1887" i="9"/>
  <c r="I1887" i="9"/>
  <c r="H1887" i="9"/>
  <c r="G1887" i="9"/>
  <c r="F1887" i="9"/>
  <c r="E1887" i="9"/>
  <c r="D1887" i="9"/>
  <c r="C1887" i="9"/>
  <c r="B1887" i="9"/>
  <c r="A1887" i="9"/>
  <c r="M1886" i="9"/>
  <c r="L1886" i="9"/>
  <c r="K1886" i="9"/>
  <c r="J1886" i="9"/>
  <c r="I1886" i="9"/>
  <c r="H1886" i="9"/>
  <c r="G1886" i="9"/>
  <c r="F1886" i="9"/>
  <c r="E1886" i="9"/>
  <c r="D1886" i="9"/>
  <c r="C1886" i="9"/>
  <c r="B1886" i="9"/>
  <c r="A1886" i="9"/>
  <c r="M1885" i="9"/>
  <c r="L1885" i="9"/>
  <c r="K1885" i="9"/>
  <c r="J1885" i="9"/>
  <c r="I1885" i="9"/>
  <c r="H1885" i="9"/>
  <c r="G1885" i="9"/>
  <c r="F1885" i="9"/>
  <c r="E1885" i="9"/>
  <c r="D1885" i="9"/>
  <c r="C1885" i="9"/>
  <c r="B1885" i="9"/>
  <c r="A1885" i="9"/>
  <c r="M1884" i="9"/>
  <c r="L1884" i="9"/>
  <c r="K1884" i="9"/>
  <c r="J1884" i="9"/>
  <c r="I1884" i="9"/>
  <c r="H1884" i="9"/>
  <c r="G1884" i="9"/>
  <c r="F1884" i="9"/>
  <c r="E1884" i="9"/>
  <c r="D1884" i="9"/>
  <c r="C1884" i="9"/>
  <c r="B1884" i="9"/>
  <c r="A1884" i="9"/>
  <c r="M1883" i="9"/>
  <c r="L1883" i="9"/>
  <c r="K1883" i="9"/>
  <c r="J1883" i="9"/>
  <c r="I1883" i="9"/>
  <c r="H1883" i="9"/>
  <c r="G1883" i="9"/>
  <c r="F1883" i="9"/>
  <c r="E1883" i="9"/>
  <c r="D1883" i="9"/>
  <c r="C1883" i="9"/>
  <c r="B1883" i="9"/>
  <c r="A1883" i="9"/>
  <c r="M1882" i="9"/>
  <c r="L1882" i="9"/>
  <c r="K1882" i="9"/>
  <c r="J1882" i="9"/>
  <c r="I1882" i="9"/>
  <c r="H1882" i="9"/>
  <c r="G1882" i="9"/>
  <c r="F1882" i="9"/>
  <c r="E1882" i="9"/>
  <c r="D1882" i="9"/>
  <c r="C1882" i="9"/>
  <c r="B1882" i="9"/>
  <c r="A1882" i="9"/>
  <c r="M1881" i="9"/>
  <c r="L1881" i="9"/>
  <c r="K1881" i="9"/>
  <c r="J1881" i="9"/>
  <c r="I1881" i="9"/>
  <c r="H1881" i="9"/>
  <c r="G1881" i="9"/>
  <c r="F1881" i="9"/>
  <c r="E1881" i="9"/>
  <c r="D1881" i="9"/>
  <c r="C1881" i="9"/>
  <c r="B1881" i="9"/>
  <c r="A1881" i="9"/>
  <c r="M1880" i="9"/>
  <c r="L1880" i="9"/>
  <c r="K1880" i="9"/>
  <c r="J1880" i="9"/>
  <c r="I1880" i="9"/>
  <c r="H1880" i="9"/>
  <c r="G1880" i="9"/>
  <c r="F1880" i="9"/>
  <c r="E1880" i="9"/>
  <c r="D1880" i="9"/>
  <c r="C1880" i="9"/>
  <c r="B1880" i="9"/>
  <c r="A1880" i="9"/>
  <c r="M1879" i="9"/>
  <c r="L1879" i="9"/>
  <c r="K1879" i="9"/>
  <c r="J1879" i="9"/>
  <c r="I1879" i="9"/>
  <c r="H1879" i="9"/>
  <c r="G1879" i="9"/>
  <c r="F1879" i="9"/>
  <c r="E1879" i="9"/>
  <c r="D1879" i="9"/>
  <c r="C1879" i="9"/>
  <c r="B1879" i="9"/>
  <c r="A1879" i="9"/>
  <c r="M1878" i="9"/>
  <c r="L1878" i="9"/>
  <c r="K1878" i="9"/>
  <c r="J1878" i="9"/>
  <c r="I1878" i="9"/>
  <c r="H1878" i="9"/>
  <c r="G1878" i="9"/>
  <c r="F1878" i="9"/>
  <c r="E1878" i="9"/>
  <c r="D1878" i="9"/>
  <c r="C1878" i="9"/>
  <c r="B1878" i="9"/>
  <c r="A1878" i="9"/>
  <c r="M1877" i="9"/>
  <c r="L1877" i="9"/>
  <c r="K1877" i="9"/>
  <c r="J1877" i="9"/>
  <c r="I1877" i="9"/>
  <c r="H1877" i="9"/>
  <c r="G1877" i="9"/>
  <c r="F1877" i="9"/>
  <c r="E1877" i="9"/>
  <c r="D1877" i="9"/>
  <c r="C1877" i="9"/>
  <c r="B1877" i="9"/>
  <c r="A1877" i="9"/>
  <c r="M1876" i="9"/>
  <c r="L1876" i="9"/>
  <c r="K1876" i="9"/>
  <c r="J1876" i="9"/>
  <c r="I1876" i="9"/>
  <c r="H1876" i="9"/>
  <c r="G1876" i="9"/>
  <c r="F1876" i="9"/>
  <c r="E1876" i="9"/>
  <c r="D1876" i="9"/>
  <c r="C1876" i="9"/>
  <c r="B1876" i="9"/>
  <c r="A1876" i="9"/>
  <c r="M1875" i="9"/>
  <c r="L1875" i="9"/>
  <c r="K1875" i="9"/>
  <c r="J1875" i="9"/>
  <c r="I1875" i="9"/>
  <c r="H1875" i="9"/>
  <c r="G1875" i="9"/>
  <c r="F1875" i="9"/>
  <c r="E1875" i="9"/>
  <c r="D1875" i="9"/>
  <c r="C1875" i="9"/>
  <c r="B1875" i="9"/>
  <c r="A1875" i="9"/>
  <c r="M1874" i="9"/>
  <c r="L1874" i="9"/>
  <c r="K1874" i="9"/>
  <c r="J1874" i="9"/>
  <c r="I1874" i="9"/>
  <c r="H1874" i="9"/>
  <c r="G1874" i="9"/>
  <c r="F1874" i="9"/>
  <c r="E1874" i="9"/>
  <c r="D1874" i="9"/>
  <c r="C1874" i="9"/>
  <c r="B1874" i="9"/>
  <c r="A1874" i="9"/>
  <c r="M1873" i="9"/>
  <c r="L1873" i="9"/>
  <c r="K1873" i="9"/>
  <c r="J1873" i="9"/>
  <c r="I1873" i="9"/>
  <c r="H1873" i="9"/>
  <c r="G1873" i="9"/>
  <c r="F1873" i="9"/>
  <c r="E1873" i="9"/>
  <c r="D1873" i="9"/>
  <c r="C1873" i="9"/>
  <c r="B1873" i="9"/>
  <c r="A1873" i="9"/>
  <c r="M1872" i="9"/>
  <c r="L1872" i="9"/>
  <c r="K1872" i="9"/>
  <c r="J1872" i="9"/>
  <c r="I1872" i="9"/>
  <c r="H1872" i="9"/>
  <c r="G1872" i="9"/>
  <c r="F1872" i="9"/>
  <c r="E1872" i="9"/>
  <c r="D1872" i="9"/>
  <c r="C1872" i="9"/>
  <c r="B1872" i="9"/>
  <c r="A1872" i="9"/>
  <c r="M1871" i="9"/>
  <c r="L1871" i="9"/>
  <c r="K1871" i="9"/>
  <c r="J1871" i="9"/>
  <c r="I1871" i="9"/>
  <c r="H1871" i="9"/>
  <c r="G1871" i="9"/>
  <c r="F1871" i="9"/>
  <c r="E1871" i="9"/>
  <c r="D1871" i="9"/>
  <c r="C1871" i="9"/>
  <c r="B1871" i="9"/>
  <c r="A1871" i="9"/>
  <c r="M1870" i="9"/>
  <c r="L1870" i="9"/>
  <c r="K1870" i="9"/>
  <c r="J1870" i="9"/>
  <c r="I1870" i="9"/>
  <c r="H1870" i="9"/>
  <c r="G1870" i="9"/>
  <c r="F1870" i="9"/>
  <c r="E1870" i="9"/>
  <c r="D1870" i="9"/>
  <c r="C1870" i="9"/>
  <c r="B1870" i="9"/>
  <c r="A1870" i="9"/>
  <c r="M1869" i="9"/>
  <c r="L1869" i="9"/>
  <c r="K1869" i="9"/>
  <c r="J1869" i="9"/>
  <c r="I1869" i="9"/>
  <c r="H1869" i="9"/>
  <c r="G1869" i="9"/>
  <c r="F1869" i="9"/>
  <c r="E1869" i="9"/>
  <c r="D1869" i="9"/>
  <c r="C1869" i="9"/>
  <c r="B1869" i="9"/>
  <c r="A1869" i="9"/>
  <c r="M1868" i="9"/>
  <c r="L1868" i="9"/>
  <c r="K1868" i="9"/>
  <c r="J1868" i="9"/>
  <c r="I1868" i="9"/>
  <c r="H1868" i="9"/>
  <c r="G1868" i="9"/>
  <c r="F1868" i="9"/>
  <c r="E1868" i="9"/>
  <c r="D1868" i="9"/>
  <c r="C1868" i="9"/>
  <c r="B1868" i="9"/>
  <c r="A1868" i="9"/>
  <c r="M1867" i="9"/>
  <c r="L1867" i="9"/>
  <c r="K1867" i="9"/>
  <c r="J1867" i="9"/>
  <c r="I1867" i="9"/>
  <c r="H1867" i="9"/>
  <c r="G1867" i="9"/>
  <c r="F1867" i="9"/>
  <c r="E1867" i="9"/>
  <c r="D1867" i="9"/>
  <c r="C1867" i="9"/>
  <c r="B1867" i="9"/>
  <c r="A1867" i="9"/>
  <c r="M1866" i="9"/>
  <c r="L1866" i="9"/>
  <c r="K1866" i="9"/>
  <c r="J1866" i="9"/>
  <c r="I1866" i="9"/>
  <c r="H1866" i="9"/>
  <c r="G1866" i="9"/>
  <c r="F1866" i="9"/>
  <c r="E1866" i="9"/>
  <c r="D1866" i="9"/>
  <c r="C1866" i="9"/>
  <c r="B1866" i="9"/>
  <c r="A1866" i="9"/>
  <c r="M1865" i="9"/>
  <c r="L1865" i="9"/>
  <c r="K1865" i="9"/>
  <c r="J1865" i="9"/>
  <c r="I1865" i="9"/>
  <c r="H1865" i="9"/>
  <c r="G1865" i="9"/>
  <c r="F1865" i="9"/>
  <c r="E1865" i="9"/>
  <c r="D1865" i="9"/>
  <c r="C1865" i="9"/>
  <c r="B1865" i="9"/>
  <c r="A1865" i="9"/>
  <c r="M1864" i="9"/>
  <c r="L1864" i="9"/>
  <c r="K1864" i="9"/>
  <c r="J1864" i="9"/>
  <c r="I1864" i="9"/>
  <c r="H1864" i="9"/>
  <c r="G1864" i="9"/>
  <c r="F1864" i="9"/>
  <c r="E1864" i="9"/>
  <c r="D1864" i="9"/>
  <c r="C1864" i="9"/>
  <c r="B1864" i="9"/>
  <c r="A1864" i="9"/>
  <c r="M1863" i="9"/>
  <c r="L1863" i="9"/>
  <c r="K1863" i="9"/>
  <c r="J1863" i="9"/>
  <c r="I1863" i="9"/>
  <c r="H1863" i="9"/>
  <c r="G1863" i="9"/>
  <c r="F1863" i="9"/>
  <c r="E1863" i="9"/>
  <c r="D1863" i="9"/>
  <c r="C1863" i="9"/>
  <c r="B1863" i="9"/>
  <c r="A1863" i="9"/>
  <c r="M1862" i="9"/>
  <c r="L1862" i="9"/>
  <c r="K1862" i="9"/>
  <c r="J1862" i="9"/>
  <c r="I1862" i="9"/>
  <c r="H1862" i="9"/>
  <c r="G1862" i="9"/>
  <c r="F1862" i="9"/>
  <c r="E1862" i="9"/>
  <c r="D1862" i="9"/>
  <c r="C1862" i="9"/>
  <c r="B1862" i="9"/>
  <c r="A1862" i="9"/>
  <c r="M1861" i="9"/>
  <c r="L1861" i="9"/>
  <c r="K1861" i="9"/>
  <c r="J1861" i="9"/>
  <c r="I1861" i="9"/>
  <c r="H1861" i="9"/>
  <c r="G1861" i="9"/>
  <c r="F1861" i="9"/>
  <c r="E1861" i="9"/>
  <c r="D1861" i="9"/>
  <c r="C1861" i="9"/>
  <c r="B1861" i="9"/>
  <c r="A1861" i="9"/>
  <c r="M1860" i="9"/>
  <c r="L1860" i="9"/>
  <c r="K1860" i="9"/>
  <c r="J1860" i="9"/>
  <c r="I1860" i="9"/>
  <c r="H1860" i="9"/>
  <c r="G1860" i="9"/>
  <c r="F1860" i="9"/>
  <c r="E1860" i="9"/>
  <c r="D1860" i="9"/>
  <c r="C1860" i="9"/>
  <c r="B1860" i="9"/>
  <c r="A1860" i="9"/>
  <c r="M1859" i="9"/>
  <c r="L1859" i="9"/>
  <c r="K1859" i="9"/>
  <c r="J1859" i="9"/>
  <c r="I1859" i="9"/>
  <c r="H1859" i="9"/>
  <c r="G1859" i="9"/>
  <c r="F1859" i="9"/>
  <c r="E1859" i="9"/>
  <c r="D1859" i="9"/>
  <c r="C1859" i="9"/>
  <c r="B1859" i="9"/>
  <c r="A1859" i="9"/>
  <c r="M1858" i="9"/>
  <c r="L1858" i="9"/>
  <c r="K1858" i="9"/>
  <c r="J1858" i="9"/>
  <c r="I1858" i="9"/>
  <c r="H1858" i="9"/>
  <c r="G1858" i="9"/>
  <c r="F1858" i="9"/>
  <c r="E1858" i="9"/>
  <c r="D1858" i="9"/>
  <c r="C1858" i="9"/>
  <c r="B1858" i="9"/>
  <c r="A1858" i="9"/>
  <c r="M1857" i="9"/>
  <c r="L1857" i="9"/>
  <c r="K1857" i="9"/>
  <c r="J1857" i="9"/>
  <c r="I1857" i="9"/>
  <c r="H1857" i="9"/>
  <c r="G1857" i="9"/>
  <c r="F1857" i="9"/>
  <c r="E1857" i="9"/>
  <c r="D1857" i="9"/>
  <c r="C1857" i="9"/>
  <c r="B1857" i="9"/>
  <c r="A1857" i="9"/>
  <c r="M1856" i="9"/>
  <c r="L1856" i="9"/>
  <c r="K1856" i="9"/>
  <c r="J1856" i="9"/>
  <c r="I1856" i="9"/>
  <c r="H1856" i="9"/>
  <c r="G1856" i="9"/>
  <c r="F1856" i="9"/>
  <c r="E1856" i="9"/>
  <c r="D1856" i="9"/>
  <c r="C1856" i="9"/>
  <c r="B1856" i="9"/>
  <c r="A1856" i="9"/>
  <c r="M1855" i="9"/>
  <c r="L1855" i="9"/>
  <c r="K1855" i="9"/>
  <c r="J1855" i="9"/>
  <c r="I1855" i="9"/>
  <c r="H1855" i="9"/>
  <c r="G1855" i="9"/>
  <c r="F1855" i="9"/>
  <c r="E1855" i="9"/>
  <c r="D1855" i="9"/>
  <c r="C1855" i="9"/>
  <c r="B1855" i="9"/>
  <c r="A1855" i="9"/>
  <c r="M1854" i="9"/>
  <c r="L1854" i="9"/>
  <c r="K1854" i="9"/>
  <c r="J1854" i="9"/>
  <c r="I1854" i="9"/>
  <c r="H1854" i="9"/>
  <c r="G1854" i="9"/>
  <c r="F1854" i="9"/>
  <c r="E1854" i="9"/>
  <c r="D1854" i="9"/>
  <c r="C1854" i="9"/>
  <c r="B1854" i="9"/>
  <c r="A1854" i="9"/>
  <c r="M1853" i="9"/>
  <c r="L1853" i="9"/>
  <c r="K1853" i="9"/>
  <c r="J1853" i="9"/>
  <c r="I1853" i="9"/>
  <c r="H1853" i="9"/>
  <c r="G1853" i="9"/>
  <c r="F1853" i="9"/>
  <c r="E1853" i="9"/>
  <c r="D1853" i="9"/>
  <c r="C1853" i="9"/>
  <c r="B1853" i="9"/>
  <c r="A1853" i="9"/>
  <c r="M1852" i="9"/>
  <c r="L1852" i="9"/>
  <c r="K1852" i="9"/>
  <c r="J1852" i="9"/>
  <c r="I1852" i="9"/>
  <c r="H1852" i="9"/>
  <c r="G1852" i="9"/>
  <c r="F1852" i="9"/>
  <c r="E1852" i="9"/>
  <c r="D1852" i="9"/>
  <c r="C1852" i="9"/>
  <c r="B1852" i="9"/>
  <c r="A1852" i="9"/>
  <c r="M1851" i="9"/>
  <c r="L1851" i="9"/>
  <c r="K1851" i="9"/>
  <c r="J1851" i="9"/>
  <c r="I1851" i="9"/>
  <c r="H1851" i="9"/>
  <c r="G1851" i="9"/>
  <c r="F1851" i="9"/>
  <c r="E1851" i="9"/>
  <c r="D1851" i="9"/>
  <c r="C1851" i="9"/>
  <c r="B1851" i="9"/>
  <c r="A1851" i="9"/>
  <c r="M1850" i="9"/>
  <c r="L1850" i="9"/>
  <c r="K1850" i="9"/>
  <c r="J1850" i="9"/>
  <c r="I1850" i="9"/>
  <c r="H1850" i="9"/>
  <c r="G1850" i="9"/>
  <c r="F1850" i="9"/>
  <c r="E1850" i="9"/>
  <c r="D1850" i="9"/>
  <c r="C1850" i="9"/>
  <c r="B1850" i="9"/>
  <c r="A1850" i="9"/>
  <c r="M1849" i="9"/>
  <c r="L1849" i="9"/>
  <c r="K1849" i="9"/>
  <c r="J1849" i="9"/>
  <c r="I1849" i="9"/>
  <c r="H1849" i="9"/>
  <c r="G1849" i="9"/>
  <c r="F1849" i="9"/>
  <c r="E1849" i="9"/>
  <c r="D1849" i="9"/>
  <c r="C1849" i="9"/>
  <c r="B1849" i="9"/>
  <c r="A1849" i="9"/>
  <c r="M1848" i="9"/>
  <c r="L1848" i="9"/>
  <c r="K1848" i="9"/>
  <c r="J1848" i="9"/>
  <c r="I1848" i="9"/>
  <c r="H1848" i="9"/>
  <c r="G1848" i="9"/>
  <c r="F1848" i="9"/>
  <c r="E1848" i="9"/>
  <c r="D1848" i="9"/>
  <c r="C1848" i="9"/>
  <c r="B1848" i="9"/>
  <c r="A1848" i="9"/>
  <c r="M1847" i="9"/>
  <c r="L1847" i="9"/>
  <c r="K1847" i="9"/>
  <c r="J1847" i="9"/>
  <c r="I1847" i="9"/>
  <c r="H1847" i="9"/>
  <c r="G1847" i="9"/>
  <c r="F1847" i="9"/>
  <c r="E1847" i="9"/>
  <c r="D1847" i="9"/>
  <c r="C1847" i="9"/>
  <c r="B1847" i="9"/>
  <c r="A1847" i="9"/>
  <c r="M1846" i="9"/>
  <c r="L1846" i="9"/>
  <c r="K1846" i="9"/>
  <c r="J1846" i="9"/>
  <c r="I1846" i="9"/>
  <c r="H1846" i="9"/>
  <c r="G1846" i="9"/>
  <c r="F1846" i="9"/>
  <c r="E1846" i="9"/>
  <c r="D1846" i="9"/>
  <c r="C1846" i="9"/>
  <c r="B1846" i="9"/>
  <c r="A1846" i="9"/>
  <c r="M1845" i="9"/>
  <c r="L1845" i="9"/>
  <c r="K1845" i="9"/>
  <c r="J1845" i="9"/>
  <c r="I1845" i="9"/>
  <c r="H1845" i="9"/>
  <c r="G1845" i="9"/>
  <c r="F1845" i="9"/>
  <c r="E1845" i="9"/>
  <c r="D1845" i="9"/>
  <c r="C1845" i="9"/>
  <c r="B1845" i="9"/>
  <c r="A1845" i="9"/>
  <c r="M1844" i="9"/>
  <c r="L1844" i="9"/>
  <c r="K1844" i="9"/>
  <c r="J1844" i="9"/>
  <c r="I1844" i="9"/>
  <c r="H1844" i="9"/>
  <c r="G1844" i="9"/>
  <c r="F1844" i="9"/>
  <c r="E1844" i="9"/>
  <c r="D1844" i="9"/>
  <c r="C1844" i="9"/>
  <c r="B1844" i="9"/>
  <c r="A1844" i="9"/>
  <c r="M1843" i="9"/>
  <c r="L1843" i="9"/>
  <c r="K1843" i="9"/>
  <c r="J1843" i="9"/>
  <c r="I1843" i="9"/>
  <c r="H1843" i="9"/>
  <c r="G1843" i="9"/>
  <c r="F1843" i="9"/>
  <c r="E1843" i="9"/>
  <c r="D1843" i="9"/>
  <c r="C1843" i="9"/>
  <c r="B1843" i="9"/>
  <c r="A1843" i="9"/>
  <c r="M1842" i="9"/>
  <c r="L1842" i="9"/>
  <c r="K1842" i="9"/>
  <c r="J1842" i="9"/>
  <c r="I1842" i="9"/>
  <c r="H1842" i="9"/>
  <c r="G1842" i="9"/>
  <c r="F1842" i="9"/>
  <c r="E1842" i="9"/>
  <c r="D1842" i="9"/>
  <c r="C1842" i="9"/>
  <c r="B1842" i="9"/>
  <c r="A1842" i="9"/>
  <c r="M1841" i="9"/>
  <c r="L1841" i="9"/>
  <c r="K1841" i="9"/>
  <c r="J1841" i="9"/>
  <c r="I1841" i="9"/>
  <c r="H1841" i="9"/>
  <c r="G1841" i="9"/>
  <c r="F1841" i="9"/>
  <c r="E1841" i="9"/>
  <c r="D1841" i="9"/>
  <c r="C1841" i="9"/>
  <c r="B1841" i="9"/>
  <c r="A1841" i="9"/>
  <c r="M1840" i="9"/>
  <c r="L1840" i="9"/>
  <c r="K1840" i="9"/>
  <c r="J1840" i="9"/>
  <c r="I1840" i="9"/>
  <c r="H1840" i="9"/>
  <c r="G1840" i="9"/>
  <c r="F1840" i="9"/>
  <c r="E1840" i="9"/>
  <c r="D1840" i="9"/>
  <c r="C1840" i="9"/>
  <c r="B1840" i="9"/>
  <c r="A1840" i="9"/>
  <c r="M1839" i="9"/>
  <c r="L1839" i="9"/>
  <c r="K1839" i="9"/>
  <c r="J1839" i="9"/>
  <c r="I1839" i="9"/>
  <c r="H1839" i="9"/>
  <c r="G1839" i="9"/>
  <c r="F1839" i="9"/>
  <c r="E1839" i="9"/>
  <c r="D1839" i="9"/>
  <c r="C1839" i="9"/>
  <c r="B1839" i="9"/>
  <c r="A1839" i="9"/>
  <c r="M1838" i="9"/>
  <c r="L1838" i="9"/>
  <c r="K1838" i="9"/>
  <c r="J1838" i="9"/>
  <c r="I1838" i="9"/>
  <c r="H1838" i="9"/>
  <c r="G1838" i="9"/>
  <c r="F1838" i="9"/>
  <c r="E1838" i="9"/>
  <c r="D1838" i="9"/>
  <c r="C1838" i="9"/>
  <c r="B1838" i="9"/>
  <c r="A1838" i="9"/>
  <c r="M1837" i="9"/>
  <c r="L1837" i="9"/>
  <c r="K1837" i="9"/>
  <c r="J1837" i="9"/>
  <c r="I1837" i="9"/>
  <c r="H1837" i="9"/>
  <c r="G1837" i="9"/>
  <c r="F1837" i="9"/>
  <c r="E1837" i="9"/>
  <c r="D1837" i="9"/>
  <c r="C1837" i="9"/>
  <c r="B1837" i="9"/>
  <c r="A1837" i="9"/>
  <c r="M1836" i="9"/>
  <c r="L1836" i="9"/>
  <c r="K1836" i="9"/>
  <c r="J1836" i="9"/>
  <c r="I1836" i="9"/>
  <c r="H1836" i="9"/>
  <c r="G1836" i="9"/>
  <c r="F1836" i="9"/>
  <c r="E1836" i="9"/>
  <c r="D1836" i="9"/>
  <c r="C1836" i="9"/>
  <c r="B1836" i="9"/>
  <c r="A1836" i="9"/>
  <c r="M1835" i="9"/>
  <c r="L1835" i="9"/>
  <c r="K1835" i="9"/>
  <c r="J1835" i="9"/>
  <c r="I1835" i="9"/>
  <c r="H1835" i="9"/>
  <c r="G1835" i="9"/>
  <c r="F1835" i="9"/>
  <c r="E1835" i="9"/>
  <c r="D1835" i="9"/>
  <c r="C1835" i="9"/>
  <c r="B1835" i="9"/>
  <c r="A1835" i="9"/>
  <c r="M1834" i="9"/>
  <c r="L1834" i="9"/>
  <c r="K1834" i="9"/>
  <c r="J1834" i="9"/>
  <c r="I1834" i="9"/>
  <c r="H1834" i="9"/>
  <c r="G1834" i="9"/>
  <c r="F1834" i="9"/>
  <c r="E1834" i="9"/>
  <c r="D1834" i="9"/>
  <c r="C1834" i="9"/>
  <c r="B1834" i="9"/>
  <c r="A1834" i="9"/>
  <c r="M1833" i="9"/>
  <c r="L1833" i="9"/>
  <c r="K1833" i="9"/>
  <c r="J1833" i="9"/>
  <c r="I1833" i="9"/>
  <c r="H1833" i="9"/>
  <c r="G1833" i="9"/>
  <c r="F1833" i="9"/>
  <c r="E1833" i="9"/>
  <c r="D1833" i="9"/>
  <c r="C1833" i="9"/>
  <c r="B1833" i="9"/>
  <c r="A1833" i="9"/>
  <c r="M1832" i="9"/>
  <c r="L1832" i="9"/>
  <c r="K1832" i="9"/>
  <c r="J1832" i="9"/>
  <c r="I1832" i="9"/>
  <c r="H1832" i="9"/>
  <c r="G1832" i="9"/>
  <c r="F1832" i="9"/>
  <c r="E1832" i="9"/>
  <c r="D1832" i="9"/>
  <c r="C1832" i="9"/>
  <c r="B1832" i="9"/>
  <c r="A1832" i="9"/>
  <c r="M1831" i="9"/>
  <c r="L1831" i="9"/>
  <c r="K1831" i="9"/>
  <c r="J1831" i="9"/>
  <c r="I1831" i="9"/>
  <c r="H1831" i="9"/>
  <c r="G1831" i="9"/>
  <c r="F1831" i="9"/>
  <c r="E1831" i="9"/>
  <c r="D1831" i="9"/>
  <c r="C1831" i="9"/>
  <c r="B1831" i="9"/>
  <c r="A1831" i="9"/>
  <c r="M1830" i="9"/>
  <c r="L1830" i="9"/>
  <c r="K1830" i="9"/>
  <c r="J1830" i="9"/>
  <c r="I1830" i="9"/>
  <c r="H1830" i="9"/>
  <c r="G1830" i="9"/>
  <c r="F1830" i="9"/>
  <c r="E1830" i="9"/>
  <c r="D1830" i="9"/>
  <c r="C1830" i="9"/>
  <c r="B1830" i="9"/>
  <c r="A1830" i="9"/>
  <c r="M1829" i="9"/>
  <c r="L1829" i="9"/>
  <c r="K1829" i="9"/>
  <c r="J1829" i="9"/>
  <c r="I1829" i="9"/>
  <c r="H1829" i="9"/>
  <c r="G1829" i="9"/>
  <c r="F1829" i="9"/>
  <c r="E1829" i="9"/>
  <c r="D1829" i="9"/>
  <c r="C1829" i="9"/>
  <c r="B1829" i="9"/>
  <c r="A1829" i="9"/>
  <c r="M1828" i="9"/>
  <c r="L1828" i="9"/>
  <c r="K1828" i="9"/>
  <c r="J1828" i="9"/>
  <c r="I1828" i="9"/>
  <c r="H1828" i="9"/>
  <c r="G1828" i="9"/>
  <c r="F1828" i="9"/>
  <c r="E1828" i="9"/>
  <c r="D1828" i="9"/>
  <c r="C1828" i="9"/>
  <c r="B1828" i="9"/>
  <c r="A1828" i="9"/>
  <c r="M1827" i="9"/>
  <c r="L1827" i="9"/>
  <c r="K1827" i="9"/>
  <c r="J1827" i="9"/>
  <c r="I1827" i="9"/>
  <c r="H1827" i="9"/>
  <c r="G1827" i="9"/>
  <c r="F1827" i="9"/>
  <c r="E1827" i="9"/>
  <c r="D1827" i="9"/>
  <c r="C1827" i="9"/>
  <c r="B1827" i="9"/>
  <c r="A1827" i="9"/>
  <c r="M1826" i="9"/>
  <c r="L1826" i="9"/>
  <c r="K1826" i="9"/>
  <c r="J1826" i="9"/>
  <c r="I1826" i="9"/>
  <c r="H1826" i="9"/>
  <c r="G1826" i="9"/>
  <c r="F1826" i="9"/>
  <c r="E1826" i="9"/>
  <c r="D1826" i="9"/>
  <c r="C1826" i="9"/>
  <c r="B1826" i="9"/>
  <c r="A1826" i="9"/>
  <c r="M1825" i="9"/>
  <c r="L1825" i="9"/>
  <c r="K1825" i="9"/>
  <c r="J1825" i="9"/>
  <c r="I1825" i="9"/>
  <c r="H1825" i="9"/>
  <c r="G1825" i="9"/>
  <c r="F1825" i="9"/>
  <c r="E1825" i="9"/>
  <c r="D1825" i="9"/>
  <c r="C1825" i="9"/>
  <c r="B1825" i="9"/>
  <c r="A1825" i="9"/>
  <c r="M1824" i="9"/>
  <c r="L1824" i="9"/>
  <c r="K1824" i="9"/>
  <c r="J1824" i="9"/>
  <c r="I1824" i="9"/>
  <c r="H1824" i="9"/>
  <c r="G1824" i="9"/>
  <c r="F1824" i="9"/>
  <c r="E1824" i="9"/>
  <c r="D1824" i="9"/>
  <c r="C1824" i="9"/>
  <c r="B1824" i="9"/>
  <c r="A1824" i="9"/>
  <c r="M1823" i="9"/>
  <c r="L1823" i="9"/>
  <c r="K1823" i="9"/>
  <c r="J1823" i="9"/>
  <c r="I1823" i="9"/>
  <c r="H1823" i="9"/>
  <c r="G1823" i="9"/>
  <c r="F1823" i="9"/>
  <c r="E1823" i="9"/>
  <c r="D1823" i="9"/>
  <c r="C1823" i="9"/>
  <c r="B1823" i="9"/>
  <c r="A1823" i="9"/>
  <c r="M1822" i="9"/>
  <c r="L1822" i="9"/>
  <c r="K1822" i="9"/>
  <c r="J1822" i="9"/>
  <c r="I1822" i="9"/>
  <c r="H1822" i="9"/>
  <c r="G1822" i="9"/>
  <c r="F1822" i="9"/>
  <c r="E1822" i="9"/>
  <c r="D1822" i="9"/>
  <c r="C1822" i="9"/>
  <c r="B1822" i="9"/>
  <c r="A1822" i="9"/>
  <c r="M1821" i="9"/>
  <c r="L1821" i="9"/>
  <c r="K1821" i="9"/>
  <c r="J1821" i="9"/>
  <c r="I1821" i="9"/>
  <c r="H1821" i="9"/>
  <c r="G1821" i="9"/>
  <c r="F1821" i="9"/>
  <c r="E1821" i="9"/>
  <c r="D1821" i="9"/>
  <c r="C1821" i="9"/>
  <c r="B1821" i="9"/>
  <c r="A1821" i="9"/>
  <c r="M1820" i="9"/>
  <c r="L1820" i="9"/>
  <c r="K1820" i="9"/>
  <c r="J1820" i="9"/>
  <c r="I1820" i="9"/>
  <c r="H1820" i="9"/>
  <c r="G1820" i="9"/>
  <c r="F1820" i="9"/>
  <c r="E1820" i="9"/>
  <c r="D1820" i="9"/>
  <c r="C1820" i="9"/>
  <c r="B1820" i="9"/>
  <c r="A1820" i="9"/>
  <c r="M1819" i="9"/>
  <c r="L1819" i="9"/>
  <c r="K1819" i="9"/>
  <c r="J1819" i="9"/>
  <c r="I1819" i="9"/>
  <c r="H1819" i="9"/>
  <c r="G1819" i="9"/>
  <c r="F1819" i="9"/>
  <c r="E1819" i="9"/>
  <c r="D1819" i="9"/>
  <c r="C1819" i="9"/>
  <c r="B1819" i="9"/>
  <c r="A1819" i="9"/>
  <c r="M1818" i="9"/>
  <c r="L1818" i="9"/>
  <c r="K1818" i="9"/>
  <c r="J1818" i="9"/>
  <c r="I1818" i="9"/>
  <c r="H1818" i="9"/>
  <c r="G1818" i="9"/>
  <c r="F1818" i="9"/>
  <c r="E1818" i="9"/>
  <c r="D1818" i="9"/>
  <c r="C1818" i="9"/>
  <c r="B1818" i="9"/>
  <c r="A1818" i="9"/>
  <c r="M1817" i="9"/>
  <c r="L1817" i="9"/>
  <c r="K1817" i="9"/>
  <c r="J1817" i="9"/>
  <c r="I1817" i="9"/>
  <c r="H1817" i="9"/>
  <c r="G1817" i="9"/>
  <c r="F1817" i="9"/>
  <c r="E1817" i="9"/>
  <c r="D1817" i="9"/>
  <c r="C1817" i="9"/>
  <c r="B1817" i="9"/>
  <c r="A1817" i="9"/>
  <c r="M1816" i="9"/>
  <c r="L1816" i="9"/>
  <c r="K1816" i="9"/>
  <c r="J1816" i="9"/>
  <c r="I1816" i="9"/>
  <c r="H1816" i="9"/>
  <c r="G1816" i="9"/>
  <c r="F1816" i="9"/>
  <c r="E1816" i="9"/>
  <c r="D1816" i="9"/>
  <c r="C1816" i="9"/>
  <c r="B1816" i="9"/>
  <c r="A1816" i="9"/>
  <c r="M1815" i="9"/>
  <c r="L1815" i="9"/>
  <c r="K1815" i="9"/>
  <c r="J1815" i="9"/>
  <c r="I1815" i="9"/>
  <c r="H1815" i="9"/>
  <c r="G1815" i="9"/>
  <c r="F1815" i="9"/>
  <c r="E1815" i="9"/>
  <c r="D1815" i="9"/>
  <c r="C1815" i="9"/>
  <c r="B1815" i="9"/>
  <c r="A1815" i="9"/>
  <c r="M1814" i="9"/>
  <c r="L1814" i="9"/>
  <c r="K1814" i="9"/>
  <c r="J1814" i="9"/>
  <c r="I1814" i="9"/>
  <c r="H1814" i="9"/>
  <c r="G1814" i="9"/>
  <c r="F1814" i="9"/>
  <c r="E1814" i="9"/>
  <c r="D1814" i="9"/>
  <c r="C1814" i="9"/>
  <c r="B1814" i="9"/>
  <c r="A1814" i="9"/>
  <c r="M1813" i="9"/>
  <c r="L1813" i="9"/>
  <c r="K1813" i="9"/>
  <c r="J1813" i="9"/>
  <c r="I1813" i="9"/>
  <c r="H1813" i="9"/>
  <c r="G1813" i="9"/>
  <c r="F1813" i="9"/>
  <c r="E1813" i="9"/>
  <c r="D1813" i="9"/>
  <c r="C1813" i="9"/>
  <c r="B1813" i="9"/>
  <c r="A1813" i="9"/>
  <c r="M1812" i="9"/>
  <c r="L1812" i="9"/>
  <c r="K1812" i="9"/>
  <c r="J1812" i="9"/>
  <c r="I1812" i="9"/>
  <c r="H1812" i="9"/>
  <c r="G1812" i="9"/>
  <c r="F1812" i="9"/>
  <c r="E1812" i="9"/>
  <c r="D1812" i="9"/>
  <c r="C1812" i="9"/>
  <c r="B1812" i="9"/>
  <c r="A1812" i="9"/>
  <c r="M1811" i="9"/>
  <c r="L1811" i="9"/>
  <c r="K1811" i="9"/>
  <c r="J1811" i="9"/>
  <c r="I1811" i="9"/>
  <c r="H1811" i="9"/>
  <c r="G1811" i="9"/>
  <c r="F1811" i="9"/>
  <c r="E1811" i="9"/>
  <c r="D1811" i="9"/>
  <c r="C1811" i="9"/>
  <c r="B1811" i="9"/>
  <c r="A1811" i="9"/>
  <c r="M1810" i="9"/>
  <c r="L1810" i="9"/>
  <c r="K1810" i="9"/>
  <c r="J1810" i="9"/>
  <c r="I1810" i="9"/>
  <c r="H1810" i="9"/>
  <c r="G1810" i="9"/>
  <c r="F1810" i="9"/>
  <c r="E1810" i="9"/>
  <c r="D1810" i="9"/>
  <c r="C1810" i="9"/>
  <c r="B1810" i="9"/>
  <c r="A1810" i="9"/>
  <c r="M1809" i="9"/>
  <c r="L1809" i="9"/>
  <c r="K1809" i="9"/>
  <c r="J1809" i="9"/>
  <c r="I1809" i="9"/>
  <c r="H1809" i="9"/>
  <c r="G1809" i="9"/>
  <c r="F1809" i="9"/>
  <c r="E1809" i="9"/>
  <c r="D1809" i="9"/>
  <c r="C1809" i="9"/>
  <c r="B1809" i="9"/>
  <c r="A1809" i="9"/>
  <c r="M1808" i="9"/>
  <c r="L1808" i="9"/>
  <c r="K1808" i="9"/>
  <c r="J1808" i="9"/>
  <c r="I1808" i="9"/>
  <c r="H1808" i="9"/>
  <c r="G1808" i="9"/>
  <c r="F1808" i="9"/>
  <c r="E1808" i="9"/>
  <c r="D1808" i="9"/>
  <c r="C1808" i="9"/>
  <c r="B1808" i="9"/>
  <c r="A1808" i="9"/>
  <c r="M1807" i="9"/>
  <c r="L1807" i="9"/>
  <c r="K1807" i="9"/>
  <c r="J1807" i="9"/>
  <c r="I1807" i="9"/>
  <c r="H1807" i="9"/>
  <c r="G1807" i="9"/>
  <c r="F1807" i="9"/>
  <c r="E1807" i="9"/>
  <c r="D1807" i="9"/>
  <c r="C1807" i="9"/>
  <c r="B1807" i="9"/>
  <c r="A1807" i="9"/>
  <c r="M1806" i="9"/>
  <c r="L1806" i="9"/>
  <c r="K1806" i="9"/>
  <c r="J1806" i="9"/>
  <c r="I1806" i="9"/>
  <c r="H1806" i="9"/>
  <c r="G1806" i="9"/>
  <c r="F1806" i="9"/>
  <c r="E1806" i="9"/>
  <c r="D1806" i="9"/>
  <c r="C1806" i="9"/>
  <c r="B1806" i="9"/>
  <c r="A1806" i="9"/>
  <c r="M1805" i="9"/>
  <c r="L1805" i="9"/>
  <c r="K1805" i="9"/>
  <c r="J1805" i="9"/>
  <c r="I1805" i="9"/>
  <c r="H1805" i="9"/>
  <c r="G1805" i="9"/>
  <c r="F1805" i="9"/>
  <c r="E1805" i="9"/>
  <c r="D1805" i="9"/>
  <c r="C1805" i="9"/>
  <c r="B1805" i="9"/>
  <c r="A1805" i="9"/>
  <c r="M1804" i="9"/>
  <c r="L1804" i="9"/>
  <c r="K1804" i="9"/>
  <c r="J1804" i="9"/>
  <c r="I1804" i="9"/>
  <c r="H1804" i="9"/>
  <c r="G1804" i="9"/>
  <c r="F1804" i="9"/>
  <c r="E1804" i="9"/>
  <c r="D1804" i="9"/>
  <c r="C1804" i="9"/>
  <c r="B1804" i="9"/>
  <c r="A1804" i="9"/>
  <c r="M1803" i="9"/>
  <c r="L1803" i="9"/>
  <c r="K1803" i="9"/>
  <c r="J1803" i="9"/>
  <c r="I1803" i="9"/>
  <c r="H1803" i="9"/>
  <c r="G1803" i="9"/>
  <c r="F1803" i="9"/>
  <c r="E1803" i="9"/>
  <c r="D1803" i="9"/>
  <c r="C1803" i="9"/>
  <c r="B1803" i="9"/>
  <c r="A1803" i="9"/>
  <c r="M1802" i="9"/>
  <c r="L1802" i="9"/>
  <c r="K1802" i="9"/>
  <c r="J1802" i="9"/>
  <c r="I1802" i="9"/>
  <c r="H1802" i="9"/>
  <c r="G1802" i="9"/>
  <c r="F1802" i="9"/>
  <c r="E1802" i="9"/>
  <c r="D1802" i="9"/>
  <c r="C1802" i="9"/>
  <c r="B1802" i="9"/>
  <c r="A1802" i="9"/>
  <c r="M1801" i="9"/>
  <c r="L1801" i="9"/>
  <c r="K1801" i="9"/>
  <c r="J1801" i="9"/>
  <c r="I1801" i="9"/>
  <c r="H1801" i="9"/>
  <c r="G1801" i="9"/>
  <c r="F1801" i="9"/>
  <c r="E1801" i="9"/>
  <c r="D1801" i="9"/>
  <c r="C1801" i="9"/>
  <c r="B1801" i="9"/>
  <c r="A1801" i="9"/>
  <c r="M1800" i="9"/>
  <c r="L1800" i="9"/>
  <c r="K1800" i="9"/>
  <c r="J1800" i="9"/>
  <c r="I1800" i="9"/>
  <c r="H1800" i="9"/>
  <c r="G1800" i="9"/>
  <c r="F1800" i="9"/>
  <c r="E1800" i="9"/>
  <c r="D1800" i="9"/>
  <c r="C1800" i="9"/>
  <c r="B1800" i="9"/>
  <c r="A1800" i="9"/>
  <c r="M1799" i="9"/>
  <c r="L1799" i="9"/>
  <c r="K1799" i="9"/>
  <c r="J1799" i="9"/>
  <c r="I1799" i="9"/>
  <c r="H1799" i="9"/>
  <c r="G1799" i="9"/>
  <c r="F1799" i="9"/>
  <c r="E1799" i="9"/>
  <c r="D1799" i="9"/>
  <c r="C1799" i="9"/>
  <c r="B1799" i="9"/>
  <c r="A1799" i="9"/>
  <c r="M1798" i="9"/>
  <c r="L1798" i="9"/>
  <c r="K1798" i="9"/>
  <c r="J1798" i="9"/>
  <c r="I1798" i="9"/>
  <c r="H1798" i="9"/>
  <c r="G1798" i="9"/>
  <c r="F1798" i="9"/>
  <c r="E1798" i="9"/>
  <c r="D1798" i="9"/>
  <c r="C1798" i="9"/>
  <c r="B1798" i="9"/>
  <c r="A1798" i="9"/>
  <c r="M1797" i="9"/>
  <c r="L1797" i="9"/>
  <c r="K1797" i="9"/>
  <c r="J1797" i="9"/>
  <c r="I1797" i="9"/>
  <c r="H1797" i="9"/>
  <c r="G1797" i="9"/>
  <c r="F1797" i="9"/>
  <c r="E1797" i="9"/>
  <c r="D1797" i="9"/>
  <c r="C1797" i="9"/>
  <c r="B1797" i="9"/>
  <c r="A1797" i="9"/>
  <c r="M1796" i="9"/>
  <c r="L1796" i="9"/>
  <c r="K1796" i="9"/>
  <c r="J1796" i="9"/>
  <c r="I1796" i="9"/>
  <c r="H1796" i="9"/>
  <c r="G1796" i="9"/>
  <c r="F1796" i="9"/>
  <c r="E1796" i="9"/>
  <c r="D1796" i="9"/>
  <c r="C1796" i="9"/>
  <c r="B1796" i="9"/>
  <c r="A1796" i="9"/>
  <c r="M1795" i="9"/>
  <c r="L1795" i="9"/>
  <c r="K1795" i="9"/>
  <c r="J1795" i="9"/>
  <c r="I1795" i="9"/>
  <c r="H1795" i="9"/>
  <c r="G1795" i="9"/>
  <c r="F1795" i="9"/>
  <c r="E1795" i="9"/>
  <c r="D1795" i="9"/>
  <c r="C1795" i="9"/>
  <c r="B1795" i="9"/>
  <c r="A1795" i="9"/>
  <c r="M1794" i="9"/>
  <c r="L1794" i="9"/>
  <c r="K1794" i="9"/>
  <c r="J1794" i="9"/>
  <c r="I1794" i="9"/>
  <c r="H1794" i="9"/>
  <c r="G1794" i="9"/>
  <c r="F1794" i="9"/>
  <c r="E1794" i="9"/>
  <c r="D1794" i="9"/>
  <c r="C1794" i="9"/>
  <c r="B1794" i="9"/>
  <c r="A1794" i="9"/>
  <c r="M1793" i="9"/>
  <c r="L1793" i="9"/>
  <c r="K1793" i="9"/>
  <c r="J1793" i="9"/>
  <c r="I1793" i="9"/>
  <c r="H1793" i="9"/>
  <c r="G1793" i="9"/>
  <c r="F1793" i="9"/>
  <c r="E1793" i="9"/>
  <c r="D1793" i="9"/>
  <c r="C1793" i="9"/>
  <c r="B1793" i="9"/>
  <c r="A1793" i="9"/>
  <c r="M1792" i="9"/>
  <c r="L1792" i="9"/>
  <c r="K1792" i="9"/>
  <c r="J1792" i="9"/>
  <c r="I1792" i="9"/>
  <c r="H1792" i="9"/>
  <c r="G1792" i="9"/>
  <c r="F1792" i="9"/>
  <c r="E1792" i="9"/>
  <c r="D1792" i="9"/>
  <c r="C1792" i="9"/>
  <c r="B1792" i="9"/>
  <c r="A1792" i="9"/>
  <c r="M1791" i="9"/>
  <c r="L1791" i="9"/>
  <c r="K1791" i="9"/>
  <c r="J1791" i="9"/>
  <c r="I1791" i="9"/>
  <c r="H1791" i="9"/>
  <c r="G1791" i="9"/>
  <c r="F1791" i="9"/>
  <c r="E1791" i="9"/>
  <c r="D1791" i="9"/>
  <c r="C1791" i="9"/>
  <c r="B1791" i="9"/>
  <c r="A1791" i="9"/>
  <c r="M1790" i="9"/>
  <c r="L1790" i="9"/>
  <c r="K1790" i="9"/>
  <c r="J1790" i="9"/>
  <c r="I1790" i="9"/>
  <c r="H1790" i="9"/>
  <c r="G1790" i="9"/>
  <c r="F1790" i="9"/>
  <c r="E1790" i="9"/>
  <c r="D1790" i="9"/>
  <c r="C1790" i="9"/>
  <c r="B1790" i="9"/>
  <c r="A1790" i="9"/>
  <c r="M1789" i="9"/>
  <c r="L1789" i="9"/>
  <c r="K1789" i="9"/>
  <c r="J1789" i="9"/>
  <c r="I1789" i="9"/>
  <c r="H1789" i="9"/>
  <c r="G1789" i="9"/>
  <c r="F1789" i="9"/>
  <c r="E1789" i="9"/>
  <c r="D1789" i="9"/>
  <c r="C1789" i="9"/>
  <c r="B1789" i="9"/>
  <c r="A1789" i="9"/>
  <c r="M1788" i="9"/>
  <c r="L1788" i="9"/>
  <c r="K1788" i="9"/>
  <c r="J1788" i="9"/>
  <c r="I1788" i="9"/>
  <c r="H1788" i="9"/>
  <c r="G1788" i="9"/>
  <c r="F1788" i="9"/>
  <c r="E1788" i="9"/>
  <c r="D1788" i="9"/>
  <c r="C1788" i="9"/>
  <c r="B1788" i="9"/>
  <c r="A1788" i="9"/>
  <c r="M1787" i="9"/>
  <c r="L1787" i="9"/>
  <c r="K1787" i="9"/>
  <c r="J1787" i="9"/>
  <c r="I1787" i="9"/>
  <c r="H1787" i="9"/>
  <c r="G1787" i="9"/>
  <c r="F1787" i="9"/>
  <c r="E1787" i="9"/>
  <c r="D1787" i="9"/>
  <c r="C1787" i="9"/>
  <c r="B1787" i="9"/>
  <c r="A1787" i="9"/>
  <c r="M1786" i="9"/>
  <c r="L1786" i="9"/>
  <c r="K1786" i="9"/>
  <c r="J1786" i="9"/>
  <c r="I1786" i="9"/>
  <c r="H1786" i="9"/>
  <c r="G1786" i="9"/>
  <c r="F1786" i="9"/>
  <c r="E1786" i="9"/>
  <c r="D1786" i="9"/>
  <c r="C1786" i="9"/>
  <c r="B1786" i="9"/>
  <c r="A1786" i="9"/>
  <c r="M1785" i="9"/>
  <c r="L1785" i="9"/>
  <c r="K1785" i="9"/>
  <c r="J1785" i="9"/>
  <c r="I1785" i="9"/>
  <c r="H1785" i="9"/>
  <c r="G1785" i="9"/>
  <c r="F1785" i="9"/>
  <c r="E1785" i="9"/>
  <c r="D1785" i="9"/>
  <c r="C1785" i="9"/>
  <c r="B1785" i="9"/>
  <c r="A1785" i="9"/>
  <c r="M1784" i="9"/>
  <c r="L1784" i="9"/>
  <c r="K1784" i="9"/>
  <c r="J1784" i="9"/>
  <c r="I1784" i="9"/>
  <c r="H1784" i="9"/>
  <c r="G1784" i="9"/>
  <c r="F1784" i="9"/>
  <c r="E1784" i="9"/>
  <c r="D1784" i="9"/>
  <c r="C1784" i="9"/>
  <c r="B1784" i="9"/>
  <c r="A1784" i="9"/>
  <c r="M1783" i="9"/>
  <c r="L1783" i="9"/>
  <c r="K1783" i="9"/>
  <c r="J1783" i="9"/>
  <c r="I1783" i="9"/>
  <c r="H1783" i="9"/>
  <c r="G1783" i="9"/>
  <c r="F1783" i="9"/>
  <c r="E1783" i="9"/>
  <c r="D1783" i="9"/>
  <c r="C1783" i="9"/>
  <c r="B1783" i="9"/>
  <c r="A1783" i="9"/>
  <c r="M1782" i="9"/>
  <c r="L1782" i="9"/>
  <c r="K1782" i="9"/>
  <c r="J1782" i="9"/>
  <c r="I1782" i="9"/>
  <c r="H1782" i="9"/>
  <c r="G1782" i="9"/>
  <c r="F1782" i="9"/>
  <c r="E1782" i="9"/>
  <c r="D1782" i="9"/>
  <c r="C1782" i="9"/>
  <c r="B1782" i="9"/>
  <c r="A1782" i="9"/>
  <c r="M1781" i="9"/>
  <c r="L1781" i="9"/>
  <c r="K1781" i="9"/>
  <c r="J1781" i="9"/>
  <c r="I1781" i="9"/>
  <c r="H1781" i="9"/>
  <c r="G1781" i="9"/>
  <c r="F1781" i="9"/>
  <c r="E1781" i="9"/>
  <c r="D1781" i="9"/>
  <c r="C1781" i="9"/>
  <c r="B1781" i="9"/>
  <c r="A1781" i="9"/>
  <c r="M1780" i="9"/>
  <c r="L1780" i="9"/>
  <c r="K1780" i="9"/>
  <c r="J1780" i="9"/>
  <c r="I1780" i="9"/>
  <c r="H1780" i="9"/>
  <c r="G1780" i="9"/>
  <c r="F1780" i="9"/>
  <c r="E1780" i="9"/>
  <c r="D1780" i="9"/>
  <c r="C1780" i="9"/>
  <c r="B1780" i="9"/>
  <c r="A1780" i="9"/>
  <c r="M1779" i="9"/>
  <c r="L1779" i="9"/>
  <c r="K1779" i="9"/>
  <c r="J1779" i="9"/>
  <c r="I1779" i="9"/>
  <c r="H1779" i="9"/>
  <c r="G1779" i="9"/>
  <c r="F1779" i="9"/>
  <c r="E1779" i="9"/>
  <c r="D1779" i="9"/>
  <c r="C1779" i="9"/>
  <c r="B1779" i="9"/>
  <c r="A1779" i="9"/>
  <c r="M1778" i="9"/>
  <c r="L1778" i="9"/>
  <c r="K1778" i="9"/>
  <c r="J1778" i="9"/>
  <c r="I1778" i="9"/>
  <c r="H1778" i="9"/>
  <c r="G1778" i="9"/>
  <c r="F1778" i="9"/>
  <c r="E1778" i="9"/>
  <c r="D1778" i="9"/>
  <c r="C1778" i="9"/>
  <c r="B1778" i="9"/>
  <c r="A1778" i="9"/>
  <c r="M1777" i="9"/>
  <c r="L1777" i="9"/>
  <c r="K1777" i="9"/>
  <c r="J1777" i="9"/>
  <c r="I1777" i="9"/>
  <c r="H1777" i="9"/>
  <c r="G1777" i="9"/>
  <c r="F1777" i="9"/>
  <c r="E1777" i="9"/>
  <c r="D1777" i="9"/>
  <c r="C1777" i="9"/>
  <c r="B1777" i="9"/>
  <c r="A1777" i="9"/>
  <c r="M1776" i="9"/>
  <c r="L1776" i="9"/>
  <c r="K1776" i="9"/>
  <c r="J1776" i="9"/>
  <c r="I1776" i="9"/>
  <c r="H1776" i="9"/>
  <c r="G1776" i="9"/>
  <c r="F1776" i="9"/>
  <c r="E1776" i="9"/>
  <c r="D1776" i="9"/>
  <c r="C1776" i="9"/>
  <c r="B1776" i="9"/>
  <c r="A1776" i="9"/>
  <c r="M1775" i="9"/>
  <c r="L1775" i="9"/>
  <c r="K1775" i="9"/>
  <c r="J1775" i="9"/>
  <c r="I1775" i="9"/>
  <c r="H1775" i="9"/>
  <c r="G1775" i="9"/>
  <c r="F1775" i="9"/>
  <c r="E1775" i="9"/>
  <c r="D1775" i="9"/>
  <c r="C1775" i="9"/>
  <c r="B1775" i="9"/>
  <c r="A1775" i="9"/>
  <c r="M1774" i="9"/>
  <c r="L1774" i="9"/>
  <c r="K1774" i="9"/>
  <c r="J1774" i="9"/>
  <c r="I1774" i="9"/>
  <c r="H1774" i="9"/>
  <c r="G1774" i="9"/>
  <c r="F1774" i="9"/>
  <c r="E1774" i="9"/>
  <c r="D1774" i="9"/>
  <c r="C1774" i="9"/>
  <c r="B1774" i="9"/>
  <c r="A1774" i="9"/>
  <c r="M1773" i="9"/>
  <c r="L1773" i="9"/>
  <c r="K1773" i="9"/>
  <c r="J1773" i="9"/>
  <c r="I1773" i="9"/>
  <c r="H1773" i="9"/>
  <c r="G1773" i="9"/>
  <c r="F1773" i="9"/>
  <c r="E1773" i="9"/>
  <c r="D1773" i="9"/>
  <c r="C1773" i="9"/>
  <c r="B1773" i="9"/>
  <c r="A1773" i="9"/>
  <c r="M1772" i="9"/>
  <c r="L1772" i="9"/>
  <c r="K1772" i="9"/>
  <c r="J1772" i="9"/>
  <c r="I1772" i="9"/>
  <c r="H1772" i="9"/>
  <c r="G1772" i="9"/>
  <c r="F1772" i="9"/>
  <c r="E1772" i="9"/>
  <c r="D1772" i="9"/>
  <c r="C1772" i="9"/>
  <c r="B1772" i="9"/>
  <c r="A1772" i="9"/>
  <c r="M1771" i="9"/>
  <c r="L1771" i="9"/>
  <c r="K1771" i="9"/>
  <c r="J1771" i="9"/>
  <c r="I1771" i="9"/>
  <c r="H1771" i="9"/>
  <c r="G1771" i="9"/>
  <c r="F1771" i="9"/>
  <c r="E1771" i="9"/>
  <c r="D1771" i="9"/>
  <c r="C1771" i="9"/>
  <c r="B1771" i="9"/>
  <c r="A1771" i="9"/>
  <c r="M1770" i="9"/>
  <c r="L1770" i="9"/>
  <c r="K1770" i="9"/>
  <c r="J1770" i="9"/>
  <c r="I1770" i="9"/>
  <c r="H1770" i="9"/>
  <c r="G1770" i="9"/>
  <c r="F1770" i="9"/>
  <c r="E1770" i="9"/>
  <c r="D1770" i="9"/>
  <c r="C1770" i="9"/>
  <c r="B1770" i="9"/>
  <c r="A1770" i="9"/>
  <c r="M1769" i="9"/>
  <c r="L1769" i="9"/>
  <c r="K1769" i="9"/>
  <c r="J1769" i="9"/>
  <c r="I1769" i="9"/>
  <c r="H1769" i="9"/>
  <c r="G1769" i="9"/>
  <c r="F1769" i="9"/>
  <c r="E1769" i="9"/>
  <c r="D1769" i="9"/>
  <c r="C1769" i="9"/>
  <c r="B1769" i="9"/>
  <c r="A1769" i="9"/>
  <c r="M1768" i="9"/>
  <c r="L1768" i="9"/>
  <c r="K1768" i="9"/>
  <c r="J1768" i="9"/>
  <c r="I1768" i="9"/>
  <c r="H1768" i="9"/>
  <c r="G1768" i="9"/>
  <c r="F1768" i="9"/>
  <c r="E1768" i="9"/>
  <c r="D1768" i="9"/>
  <c r="C1768" i="9"/>
  <c r="B1768" i="9"/>
  <c r="A1768" i="9"/>
  <c r="M1767" i="9"/>
  <c r="L1767" i="9"/>
  <c r="K1767" i="9"/>
  <c r="J1767" i="9"/>
  <c r="I1767" i="9"/>
  <c r="H1767" i="9"/>
  <c r="G1767" i="9"/>
  <c r="F1767" i="9"/>
  <c r="E1767" i="9"/>
  <c r="D1767" i="9"/>
  <c r="C1767" i="9"/>
  <c r="B1767" i="9"/>
  <c r="A1767" i="9"/>
  <c r="M1766" i="9"/>
  <c r="L1766" i="9"/>
  <c r="K1766" i="9"/>
  <c r="J1766" i="9"/>
  <c r="I1766" i="9"/>
  <c r="H1766" i="9"/>
  <c r="G1766" i="9"/>
  <c r="F1766" i="9"/>
  <c r="E1766" i="9"/>
  <c r="D1766" i="9"/>
  <c r="C1766" i="9"/>
  <c r="B1766" i="9"/>
  <c r="A1766" i="9"/>
  <c r="M1765" i="9"/>
  <c r="L1765" i="9"/>
  <c r="K1765" i="9"/>
  <c r="J1765" i="9"/>
  <c r="I1765" i="9"/>
  <c r="H1765" i="9"/>
  <c r="G1765" i="9"/>
  <c r="F1765" i="9"/>
  <c r="E1765" i="9"/>
  <c r="D1765" i="9"/>
  <c r="C1765" i="9"/>
  <c r="B1765" i="9"/>
  <c r="A1765" i="9"/>
  <c r="M1764" i="9"/>
  <c r="L1764" i="9"/>
  <c r="K1764" i="9"/>
  <c r="J1764" i="9"/>
  <c r="I1764" i="9"/>
  <c r="H1764" i="9"/>
  <c r="G1764" i="9"/>
  <c r="F1764" i="9"/>
  <c r="E1764" i="9"/>
  <c r="D1764" i="9"/>
  <c r="C1764" i="9"/>
  <c r="B1764" i="9"/>
  <c r="A1764" i="9"/>
  <c r="M1763" i="9"/>
  <c r="L1763" i="9"/>
  <c r="K1763" i="9"/>
  <c r="J1763" i="9"/>
  <c r="I1763" i="9"/>
  <c r="H1763" i="9"/>
  <c r="G1763" i="9"/>
  <c r="F1763" i="9"/>
  <c r="E1763" i="9"/>
  <c r="D1763" i="9"/>
  <c r="C1763" i="9"/>
  <c r="B1763" i="9"/>
  <c r="A1763" i="9"/>
  <c r="M1762" i="9"/>
  <c r="L1762" i="9"/>
  <c r="K1762" i="9"/>
  <c r="J1762" i="9"/>
  <c r="I1762" i="9"/>
  <c r="H1762" i="9"/>
  <c r="G1762" i="9"/>
  <c r="F1762" i="9"/>
  <c r="E1762" i="9"/>
  <c r="D1762" i="9"/>
  <c r="C1762" i="9"/>
  <c r="B1762" i="9"/>
  <c r="A1762" i="9"/>
  <c r="M1761" i="9"/>
  <c r="L1761" i="9"/>
  <c r="K1761" i="9"/>
  <c r="J1761" i="9"/>
  <c r="I1761" i="9"/>
  <c r="H1761" i="9"/>
  <c r="G1761" i="9"/>
  <c r="F1761" i="9"/>
  <c r="E1761" i="9"/>
  <c r="D1761" i="9"/>
  <c r="C1761" i="9"/>
  <c r="B1761" i="9"/>
  <c r="A1761" i="9"/>
  <c r="M1760" i="9"/>
  <c r="L1760" i="9"/>
  <c r="K1760" i="9"/>
  <c r="J1760" i="9"/>
  <c r="I1760" i="9"/>
  <c r="H1760" i="9"/>
  <c r="G1760" i="9"/>
  <c r="F1760" i="9"/>
  <c r="E1760" i="9"/>
  <c r="D1760" i="9"/>
  <c r="C1760" i="9"/>
  <c r="B1760" i="9"/>
  <c r="A1760" i="9"/>
  <c r="M1759" i="9"/>
  <c r="L1759" i="9"/>
  <c r="K1759" i="9"/>
  <c r="J1759" i="9"/>
  <c r="I1759" i="9"/>
  <c r="H1759" i="9"/>
  <c r="G1759" i="9"/>
  <c r="F1759" i="9"/>
  <c r="E1759" i="9"/>
  <c r="D1759" i="9"/>
  <c r="C1759" i="9"/>
  <c r="B1759" i="9"/>
  <c r="A1759" i="9"/>
  <c r="M1758" i="9"/>
  <c r="L1758" i="9"/>
  <c r="K1758" i="9"/>
  <c r="J1758" i="9"/>
  <c r="I1758" i="9"/>
  <c r="H1758" i="9"/>
  <c r="G1758" i="9"/>
  <c r="F1758" i="9"/>
  <c r="E1758" i="9"/>
  <c r="D1758" i="9"/>
  <c r="C1758" i="9"/>
  <c r="B1758" i="9"/>
  <c r="A1758" i="9"/>
  <c r="M1757" i="9"/>
  <c r="L1757" i="9"/>
  <c r="K1757" i="9"/>
  <c r="J1757" i="9"/>
  <c r="I1757" i="9"/>
  <c r="H1757" i="9"/>
  <c r="G1757" i="9"/>
  <c r="F1757" i="9"/>
  <c r="E1757" i="9"/>
  <c r="D1757" i="9"/>
  <c r="C1757" i="9"/>
  <c r="B1757" i="9"/>
  <c r="A1757" i="9"/>
  <c r="M1756" i="9"/>
  <c r="L1756" i="9"/>
  <c r="K1756" i="9"/>
  <c r="J1756" i="9"/>
  <c r="I1756" i="9"/>
  <c r="H1756" i="9"/>
  <c r="G1756" i="9"/>
  <c r="F1756" i="9"/>
  <c r="E1756" i="9"/>
  <c r="D1756" i="9"/>
  <c r="C1756" i="9"/>
  <c r="B1756" i="9"/>
  <c r="A1756" i="9"/>
  <c r="M1755" i="9"/>
  <c r="L1755" i="9"/>
  <c r="K1755" i="9"/>
  <c r="J1755" i="9"/>
  <c r="I1755" i="9"/>
  <c r="H1755" i="9"/>
  <c r="G1755" i="9"/>
  <c r="F1755" i="9"/>
  <c r="E1755" i="9"/>
  <c r="D1755" i="9"/>
  <c r="C1755" i="9"/>
  <c r="B1755" i="9"/>
  <c r="A1755" i="9"/>
  <c r="M1754" i="9"/>
  <c r="L1754" i="9"/>
  <c r="K1754" i="9"/>
  <c r="J1754" i="9"/>
  <c r="I1754" i="9"/>
  <c r="H1754" i="9"/>
  <c r="G1754" i="9"/>
  <c r="F1754" i="9"/>
  <c r="E1754" i="9"/>
  <c r="D1754" i="9"/>
  <c r="C1754" i="9"/>
  <c r="B1754" i="9"/>
  <c r="A1754" i="9"/>
  <c r="M1753" i="9"/>
  <c r="L1753" i="9"/>
  <c r="K1753" i="9"/>
  <c r="J1753" i="9"/>
  <c r="I1753" i="9"/>
  <c r="H1753" i="9"/>
  <c r="G1753" i="9"/>
  <c r="F1753" i="9"/>
  <c r="E1753" i="9"/>
  <c r="D1753" i="9"/>
  <c r="C1753" i="9"/>
  <c r="B1753" i="9"/>
  <c r="A1753" i="9"/>
  <c r="M1752" i="9"/>
  <c r="L1752" i="9"/>
  <c r="K1752" i="9"/>
  <c r="J1752" i="9"/>
  <c r="I1752" i="9"/>
  <c r="H1752" i="9"/>
  <c r="G1752" i="9"/>
  <c r="F1752" i="9"/>
  <c r="E1752" i="9"/>
  <c r="D1752" i="9"/>
  <c r="C1752" i="9"/>
  <c r="B1752" i="9"/>
  <c r="A1752" i="9"/>
  <c r="M1751" i="9"/>
  <c r="L1751" i="9"/>
  <c r="K1751" i="9"/>
  <c r="J1751" i="9"/>
  <c r="I1751" i="9"/>
  <c r="H1751" i="9"/>
  <c r="G1751" i="9"/>
  <c r="F1751" i="9"/>
  <c r="E1751" i="9"/>
  <c r="D1751" i="9"/>
  <c r="C1751" i="9"/>
  <c r="B1751" i="9"/>
  <c r="A1751" i="9"/>
  <c r="M1750" i="9"/>
  <c r="L1750" i="9"/>
  <c r="K1750" i="9"/>
  <c r="J1750" i="9"/>
  <c r="I1750" i="9"/>
  <c r="H1750" i="9"/>
  <c r="G1750" i="9"/>
  <c r="F1750" i="9"/>
  <c r="E1750" i="9"/>
  <c r="D1750" i="9"/>
  <c r="C1750" i="9"/>
  <c r="B1750" i="9"/>
  <c r="A1750" i="9"/>
  <c r="M1749" i="9"/>
  <c r="L1749" i="9"/>
  <c r="K1749" i="9"/>
  <c r="J1749" i="9"/>
  <c r="I1749" i="9"/>
  <c r="H1749" i="9"/>
  <c r="G1749" i="9"/>
  <c r="F1749" i="9"/>
  <c r="E1749" i="9"/>
  <c r="D1749" i="9"/>
  <c r="C1749" i="9"/>
  <c r="B1749" i="9"/>
  <c r="A1749" i="9"/>
  <c r="M1748" i="9"/>
  <c r="L1748" i="9"/>
  <c r="K1748" i="9"/>
  <c r="J1748" i="9"/>
  <c r="I1748" i="9"/>
  <c r="H1748" i="9"/>
  <c r="G1748" i="9"/>
  <c r="F1748" i="9"/>
  <c r="E1748" i="9"/>
  <c r="D1748" i="9"/>
  <c r="C1748" i="9"/>
  <c r="B1748" i="9"/>
  <c r="A1748" i="9"/>
  <c r="M1747" i="9"/>
  <c r="L1747" i="9"/>
  <c r="K1747" i="9"/>
  <c r="J1747" i="9"/>
  <c r="I1747" i="9"/>
  <c r="H1747" i="9"/>
  <c r="G1747" i="9"/>
  <c r="F1747" i="9"/>
  <c r="E1747" i="9"/>
  <c r="D1747" i="9"/>
  <c r="C1747" i="9"/>
  <c r="B1747" i="9"/>
  <c r="A1747" i="9"/>
  <c r="M1746" i="9"/>
  <c r="L1746" i="9"/>
  <c r="K1746" i="9"/>
  <c r="J1746" i="9"/>
  <c r="I1746" i="9"/>
  <c r="H1746" i="9"/>
  <c r="G1746" i="9"/>
  <c r="F1746" i="9"/>
  <c r="E1746" i="9"/>
  <c r="D1746" i="9"/>
  <c r="C1746" i="9"/>
  <c r="B1746" i="9"/>
  <c r="A1746" i="9"/>
  <c r="M1745" i="9"/>
  <c r="L1745" i="9"/>
  <c r="K1745" i="9"/>
  <c r="J1745" i="9"/>
  <c r="I1745" i="9"/>
  <c r="H1745" i="9"/>
  <c r="G1745" i="9"/>
  <c r="F1745" i="9"/>
  <c r="E1745" i="9"/>
  <c r="D1745" i="9"/>
  <c r="C1745" i="9"/>
  <c r="B1745" i="9"/>
  <c r="A1745" i="9"/>
  <c r="M1744" i="9"/>
  <c r="L1744" i="9"/>
  <c r="K1744" i="9"/>
  <c r="J1744" i="9"/>
  <c r="I1744" i="9"/>
  <c r="H1744" i="9"/>
  <c r="G1744" i="9"/>
  <c r="F1744" i="9"/>
  <c r="E1744" i="9"/>
  <c r="D1744" i="9"/>
  <c r="C1744" i="9"/>
  <c r="B1744" i="9"/>
  <c r="A1744" i="9"/>
  <c r="M1743" i="9"/>
  <c r="L1743" i="9"/>
  <c r="K1743" i="9"/>
  <c r="J1743" i="9"/>
  <c r="I1743" i="9"/>
  <c r="H1743" i="9"/>
  <c r="G1743" i="9"/>
  <c r="F1743" i="9"/>
  <c r="E1743" i="9"/>
  <c r="D1743" i="9"/>
  <c r="C1743" i="9"/>
  <c r="B1743" i="9"/>
  <c r="A1743" i="9"/>
  <c r="M1742" i="9"/>
  <c r="L1742" i="9"/>
  <c r="K1742" i="9"/>
  <c r="J1742" i="9"/>
  <c r="I1742" i="9"/>
  <c r="H1742" i="9"/>
  <c r="G1742" i="9"/>
  <c r="F1742" i="9"/>
  <c r="E1742" i="9"/>
  <c r="D1742" i="9"/>
  <c r="C1742" i="9"/>
  <c r="B1742" i="9"/>
  <c r="A1742" i="9"/>
  <c r="M1741" i="9"/>
  <c r="L1741" i="9"/>
  <c r="K1741" i="9"/>
  <c r="J1741" i="9"/>
  <c r="I1741" i="9"/>
  <c r="H1741" i="9"/>
  <c r="G1741" i="9"/>
  <c r="F1741" i="9"/>
  <c r="E1741" i="9"/>
  <c r="D1741" i="9"/>
  <c r="C1741" i="9"/>
  <c r="B1741" i="9"/>
  <c r="A1741" i="9"/>
  <c r="M1740" i="9"/>
  <c r="L1740" i="9"/>
  <c r="K1740" i="9"/>
  <c r="J1740" i="9"/>
  <c r="I1740" i="9"/>
  <c r="H1740" i="9"/>
  <c r="G1740" i="9"/>
  <c r="F1740" i="9"/>
  <c r="E1740" i="9"/>
  <c r="D1740" i="9"/>
  <c r="C1740" i="9"/>
  <c r="B1740" i="9"/>
  <c r="A1740" i="9"/>
  <c r="M1739" i="9"/>
  <c r="L1739" i="9"/>
  <c r="K1739" i="9"/>
  <c r="J1739" i="9"/>
  <c r="I1739" i="9"/>
  <c r="H1739" i="9"/>
  <c r="G1739" i="9"/>
  <c r="F1739" i="9"/>
  <c r="E1739" i="9"/>
  <c r="D1739" i="9"/>
  <c r="C1739" i="9"/>
  <c r="B1739" i="9"/>
  <c r="A1739" i="9"/>
  <c r="M1738" i="9"/>
  <c r="L1738" i="9"/>
  <c r="K1738" i="9"/>
  <c r="J1738" i="9"/>
  <c r="I1738" i="9"/>
  <c r="H1738" i="9"/>
  <c r="G1738" i="9"/>
  <c r="F1738" i="9"/>
  <c r="E1738" i="9"/>
  <c r="D1738" i="9"/>
  <c r="C1738" i="9"/>
  <c r="B1738" i="9"/>
  <c r="A1738" i="9"/>
  <c r="M1737" i="9"/>
  <c r="L1737" i="9"/>
  <c r="K1737" i="9"/>
  <c r="J1737" i="9"/>
  <c r="I1737" i="9"/>
  <c r="H1737" i="9"/>
  <c r="G1737" i="9"/>
  <c r="F1737" i="9"/>
  <c r="E1737" i="9"/>
  <c r="D1737" i="9"/>
  <c r="C1737" i="9"/>
  <c r="B1737" i="9"/>
  <c r="A1737" i="9"/>
  <c r="M1736" i="9"/>
  <c r="L1736" i="9"/>
  <c r="K1736" i="9"/>
  <c r="J1736" i="9"/>
  <c r="I1736" i="9"/>
  <c r="H1736" i="9"/>
  <c r="G1736" i="9"/>
  <c r="F1736" i="9"/>
  <c r="E1736" i="9"/>
  <c r="D1736" i="9"/>
  <c r="C1736" i="9"/>
  <c r="B1736" i="9"/>
  <c r="A1736" i="9"/>
  <c r="M1735" i="9"/>
  <c r="L1735" i="9"/>
  <c r="K1735" i="9"/>
  <c r="J1735" i="9"/>
  <c r="I1735" i="9"/>
  <c r="H1735" i="9"/>
  <c r="G1735" i="9"/>
  <c r="F1735" i="9"/>
  <c r="E1735" i="9"/>
  <c r="D1735" i="9"/>
  <c r="C1735" i="9"/>
  <c r="B1735" i="9"/>
  <c r="A1735" i="9"/>
  <c r="M1734" i="9"/>
  <c r="L1734" i="9"/>
  <c r="K1734" i="9"/>
  <c r="J1734" i="9"/>
  <c r="I1734" i="9"/>
  <c r="H1734" i="9"/>
  <c r="G1734" i="9"/>
  <c r="F1734" i="9"/>
  <c r="E1734" i="9"/>
  <c r="D1734" i="9"/>
  <c r="C1734" i="9"/>
  <c r="B1734" i="9"/>
  <c r="A1734" i="9"/>
  <c r="M1733" i="9"/>
  <c r="L1733" i="9"/>
  <c r="K1733" i="9"/>
  <c r="J1733" i="9"/>
  <c r="I1733" i="9"/>
  <c r="H1733" i="9"/>
  <c r="G1733" i="9"/>
  <c r="F1733" i="9"/>
  <c r="E1733" i="9"/>
  <c r="D1733" i="9"/>
  <c r="C1733" i="9"/>
  <c r="B1733" i="9"/>
  <c r="A1733" i="9"/>
  <c r="M1732" i="9"/>
  <c r="L1732" i="9"/>
  <c r="K1732" i="9"/>
  <c r="J1732" i="9"/>
  <c r="I1732" i="9"/>
  <c r="H1732" i="9"/>
  <c r="G1732" i="9"/>
  <c r="F1732" i="9"/>
  <c r="E1732" i="9"/>
  <c r="D1732" i="9"/>
  <c r="C1732" i="9"/>
  <c r="B1732" i="9"/>
  <c r="A1732" i="9"/>
  <c r="M1731" i="9"/>
  <c r="L1731" i="9"/>
  <c r="K1731" i="9"/>
  <c r="J1731" i="9"/>
  <c r="I1731" i="9"/>
  <c r="H1731" i="9"/>
  <c r="G1731" i="9"/>
  <c r="F1731" i="9"/>
  <c r="E1731" i="9"/>
  <c r="D1731" i="9"/>
  <c r="C1731" i="9"/>
  <c r="B1731" i="9"/>
  <c r="A1731" i="9"/>
  <c r="M1730" i="9"/>
  <c r="L1730" i="9"/>
  <c r="K1730" i="9"/>
  <c r="J1730" i="9"/>
  <c r="I1730" i="9"/>
  <c r="H1730" i="9"/>
  <c r="G1730" i="9"/>
  <c r="F1730" i="9"/>
  <c r="E1730" i="9"/>
  <c r="D1730" i="9"/>
  <c r="C1730" i="9"/>
  <c r="B1730" i="9"/>
  <c r="A1730" i="9"/>
  <c r="M1729" i="9"/>
  <c r="L1729" i="9"/>
  <c r="K1729" i="9"/>
  <c r="J1729" i="9"/>
  <c r="I1729" i="9"/>
  <c r="H1729" i="9"/>
  <c r="G1729" i="9"/>
  <c r="F1729" i="9"/>
  <c r="E1729" i="9"/>
  <c r="D1729" i="9"/>
  <c r="C1729" i="9"/>
  <c r="B1729" i="9"/>
  <c r="A1729" i="9"/>
  <c r="M1728" i="9"/>
  <c r="L1728" i="9"/>
  <c r="K1728" i="9"/>
  <c r="J1728" i="9"/>
  <c r="I1728" i="9"/>
  <c r="H1728" i="9"/>
  <c r="G1728" i="9"/>
  <c r="F1728" i="9"/>
  <c r="E1728" i="9"/>
  <c r="D1728" i="9"/>
  <c r="C1728" i="9"/>
  <c r="B1728" i="9"/>
  <c r="A1728" i="9"/>
  <c r="M1727" i="9"/>
  <c r="L1727" i="9"/>
  <c r="K1727" i="9"/>
  <c r="J1727" i="9"/>
  <c r="I1727" i="9"/>
  <c r="H1727" i="9"/>
  <c r="G1727" i="9"/>
  <c r="F1727" i="9"/>
  <c r="E1727" i="9"/>
  <c r="D1727" i="9"/>
  <c r="C1727" i="9"/>
  <c r="B1727" i="9"/>
  <c r="A1727" i="9"/>
  <c r="M1726" i="9"/>
  <c r="L1726" i="9"/>
  <c r="K1726" i="9"/>
  <c r="J1726" i="9"/>
  <c r="I1726" i="9"/>
  <c r="H1726" i="9"/>
  <c r="G1726" i="9"/>
  <c r="F1726" i="9"/>
  <c r="E1726" i="9"/>
  <c r="D1726" i="9"/>
  <c r="C1726" i="9"/>
  <c r="B1726" i="9"/>
  <c r="A1726" i="9"/>
  <c r="M1725" i="9"/>
  <c r="L1725" i="9"/>
  <c r="K1725" i="9"/>
  <c r="J1725" i="9"/>
  <c r="I1725" i="9"/>
  <c r="H1725" i="9"/>
  <c r="G1725" i="9"/>
  <c r="F1725" i="9"/>
  <c r="E1725" i="9"/>
  <c r="D1725" i="9"/>
  <c r="C1725" i="9"/>
  <c r="B1725" i="9"/>
  <c r="A1725" i="9"/>
  <c r="M1724" i="9"/>
  <c r="L1724" i="9"/>
  <c r="K1724" i="9"/>
  <c r="J1724" i="9"/>
  <c r="I1724" i="9"/>
  <c r="H1724" i="9"/>
  <c r="G1724" i="9"/>
  <c r="F1724" i="9"/>
  <c r="E1724" i="9"/>
  <c r="D1724" i="9"/>
  <c r="C1724" i="9"/>
  <c r="B1724" i="9"/>
  <c r="A1724" i="9"/>
  <c r="M1723" i="9"/>
  <c r="L1723" i="9"/>
  <c r="K1723" i="9"/>
  <c r="J1723" i="9"/>
  <c r="I1723" i="9"/>
  <c r="H1723" i="9"/>
  <c r="G1723" i="9"/>
  <c r="F1723" i="9"/>
  <c r="E1723" i="9"/>
  <c r="D1723" i="9"/>
  <c r="C1723" i="9"/>
  <c r="B1723" i="9"/>
  <c r="A1723" i="9"/>
  <c r="M1722" i="9"/>
  <c r="L1722" i="9"/>
  <c r="K1722" i="9"/>
  <c r="J1722" i="9"/>
  <c r="I1722" i="9"/>
  <c r="H1722" i="9"/>
  <c r="G1722" i="9"/>
  <c r="F1722" i="9"/>
  <c r="E1722" i="9"/>
  <c r="D1722" i="9"/>
  <c r="C1722" i="9"/>
  <c r="B1722" i="9"/>
  <c r="A1722" i="9"/>
  <c r="M1721" i="9"/>
  <c r="L1721" i="9"/>
  <c r="K1721" i="9"/>
  <c r="J1721" i="9"/>
  <c r="I1721" i="9"/>
  <c r="H1721" i="9"/>
  <c r="G1721" i="9"/>
  <c r="F1721" i="9"/>
  <c r="E1721" i="9"/>
  <c r="D1721" i="9"/>
  <c r="C1721" i="9"/>
  <c r="B1721" i="9"/>
  <c r="A1721" i="9"/>
  <c r="M1720" i="9"/>
  <c r="L1720" i="9"/>
  <c r="K1720" i="9"/>
  <c r="J1720" i="9"/>
  <c r="I1720" i="9"/>
  <c r="H1720" i="9"/>
  <c r="G1720" i="9"/>
  <c r="F1720" i="9"/>
  <c r="E1720" i="9"/>
  <c r="D1720" i="9"/>
  <c r="C1720" i="9"/>
  <c r="B1720" i="9"/>
  <c r="A1720" i="9"/>
  <c r="M1719" i="9"/>
  <c r="L1719" i="9"/>
  <c r="K1719" i="9"/>
  <c r="J1719" i="9"/>
  <c r="I1719" i="9"/>
  <c r="H1719" i="9"/>
  <c r="G1719" i="9"/>
  <c r="F1719" i="9"/>
  <c r="E1719" i="9"/>
  <c r="D1719" i="9"/>
  <c r="C1719" i="9"/>
  <c r="B1719" i="9"/>
  <c r="A1719" i="9"/>
  <c r="M1718" i="9"/>
  <c r="L1718" i="9"/>
  <c r="K1718" i="9"/>
  <c r="J1718" i="9"/>
  <c r="I1718" i="9"/>
  <c r="H1718" i="9"/>
  <c r="G1718" i="9"/>
  <c r="F1718" i="9"/>
  <c r="E1718" i="9"/>
  <c r="D1718" i="9"/>
  <c r="C1718" i="9"/>
  <c r="B1718" i="9"/>
  <c r="A1718" i="9"/>
  <c r="M1717" i="9"/>
  <c r="L1717" i="9"/>
  <c r="K1717" i="9"/>
  <c r="J1717" i="9"/>
  <c r="I1717" i="9"/>
  <c r="H1717" i="9"/>
  <c r="G1717" i="9"/>
  <c r="F1717" i="9"/>
  <c r="E1717" i="9"/>
  <c r="D1717" i="9"/>
  <c r="C1717" i="9"/>
  <c r="B1717" i="9"/>
  <c r="A1717" i="9"/>
  <c r="M1716" i="9"/>
  <c r="L1716" i="9"/>
  <c r="K1716" i="9"/>
  <c r="J1716" i="9"/>
  <c r="I1716" i="9"/>
  <c r="H1716" i="9"/>
  <c r="G1716" i="9"/>
  <c r="F1716" i="9"/>
  <c r="E1716" i="9"/>
  <c r="D1716" i="9"/>
  <c r="C1716" i="9"/>
  <c r="B1716" i="9"/>
  <c r="A1716" i="9"/>
  <c r="M1715" i="9"/>
  <c r="L1715" i="9"/>
  <c r="K1715" i="9"/>
  <c r="J1715" i="9"/>
  <c r="I1715" i="9"/>
  <c r="H1715" i="9"/>
  <c r="G1715" i="9"/>
  <c r="F1715" i="9"/>
  <c r="E1715" i="9"/>
  <c r="D1715" i="9"/>
  <c r="C1715" i="9"/>
  <c r="B1715" i="9"/>
  <c r="A1715" i="9"/>
  <c r="M1714" i="9"/>
  <c r="L1714" i="9"/>
  <c r="K1714" i="9"/>
  <c r="J1714" i="9"/>
  <c r="I1714" i="9"/>
  <c r="H1714" i="9"/>
  <c r="G1714" i="9"/>
  <c r="F1714" i="9"/>
  <c r="E1714" i="9"/>
  <c r="D1714" i="9"/>
  <c r="C1714" i="9"/>
  <c r="B1714" i="9"/>
  <c r="A1714" i="9"/>
  <c r="M1713" i="9"/>
  <c r="L1713" i="9"/>
  <c r="K1713" i="9"/>
  <c r="J1713" i="9"/>
  <c r="I1713" i="9"/>
  <c r="H1713" i="9"/>
  <c r="G1713" i="9"/>
  <c r="F1713" i="9"/>
  <c r="E1713" i="9"/>
  <c r="D1713" i="9"/>
  <c r="C1713" i="9"/>
  <c r="B1713" i="9"/>
  <c r="A1713" i="9"/>
  <c r="M1712" i="9"/>
  <c r="L1712" i="9"/>
  <c r="K1712" i="9"/>
  <c r="J1712" i="9"/>
  <c r="I1712" i="9"/>
  <c r="H1712" i="9"/>
  <c r="G1712" i="9"/>
  <c r="F1712" i="9"/>
  <c r="E1712" i="9"/>
  <c r="D1712" i="9"/>
  <c r="C1712" i="9"/>
  <c r="B1712" i="9"/>
  <c r="A1712" i="9"/>
  <c r="M1711" i="9"/>
  <c r="L1711" i="9"/>
  <c r="K1711" i="9"/>
  <c r="J1711" i="9"/>
  <c r="I1711" i="9"/>
  <c r="H1711" i="9"/>
  <c r="G1711" i="9"/>
  <c r="F1711" i="9"/>
  <c r="E1711" i="9"/>
  <c r="D1711" i="9"/>
  <c r="C1711" i="9"/>
  <c r="B1711" i="9"/>
  <c r="A1711" i="9"/>
  <c r="M1710" i="9"/>
  <c r="L1710" i="9"/>
  <c r="K1710" i="9"/>
  <c r="J1710" i="9"/>
  <c r="I1710" i="9"/>
  <c r="H1710" i="9"/>
  <c r="G1710" i="9"/>
  <c r="F1710" i="9"/>
  <c r="E1710" i="9"/>
  <c r="D1710" i="9"/>
  <c r="C1710" i="9"/>
  <c r="B1710" i="9"/>
  <c r="A1710" i="9"/>
  <c r="M1709" i="9"/>
  <c r="L1709" i="9"/>
  <c r="K1709" i="9"/>
  <c r="J1709" i="9"/>
  <c r="I1709" i="9"/>
  <c r="H1709" i="9"/>
  <c r="G1709" i="9"/>
  <c r="F1709" i="9"/>
  <c r="E1709" i="9"/>
  <c r="D1709" i="9"/>
  <c r="C1709" i="9"/>
  <c r="B1709" i="9"/>
  <c r="A1709" i="9"/>
  <c r="M1708" i="9"/>
  <c r="L1708" i="9"/>
  <c r="K1708" i="9"/>
  <c r="J1708" i="9"/>
  <c r="I1708" i="9"/>
  <c r="H1708" i="9"/>
  <c r="G1708" i="9"/>
  <c r="F1708" i="9"/>
  <c r="E1708" i="9"/>
  <c r="D1708" i="9"/>
  <c r="C1708" i="9"/>
  <c r="B1708" i="9"/>
  <c r="A1708" i="9"/>
  <c r="M1707" i="9"/>
  <c r="L1707" i="9"/>
  <c r="K1707" i="9"/>
  <c r="J1707" i="9"/>
  <c r="I1707" i="9"/>
  <c r="H1707" i="9"/>
  <c r="G1707" i="9"/>
  <c r="F1707" i="9"/>
  <c r="E1707" i="9"/>
  <c r="D1707" i="9"/>
  <c r="C1707" i="9"/>
  <c r="B1707" i="9"/>
  <c r="A1707" i="9"/>
  <c r="M1706" i="9"/>
  <c r="L1706" i="9"/>
  <c r="K1706" i="9"/>
  <c r="J1706" i="9"/>
  <c r="I1706" i="9"/>
  <c r="H1706" i="9"/>
  <c r="G1706" i="9"/>
  <c r="F1706" i="9"/>
  <c r="E1706" i="9"/>
  <c r="D1706" i="9"/>
  <c r="C1706" i="9"/>
  <c r="B1706" i="9"/>
  <c r="A1706" i="9"/>
  <c r="M1705" i="9"/>
  <c r="L1705" i="9"/>
  <c r="K1705" i="9"/>
  <c r="J1705" i="9"/>
  <c r="I1705" i="9"/>
  <c r="H1705" i="9"/>
  <c r="G1705" i="9"/>
  <c r="F1705" i="9"/>
  <c r="E1705" i="9"/>
  <c r="D1705" i="9"/>
  <c r="C1705" i="9"/>
  <c r="B1705" i="9"/>
  <c r="A1705" i="9"/>
  <c r="M1704" i="9"/>
  <c r="L1704" i="9"/>
  <c r="K1704" i="9"/>
  <c r="J1704" i="9"/>
  <c r="I1704" i="9"/>
  <c r="H1704" i="9"/>
  <c r="G1704" i="9"/>
  <c r="F1704" i="9"/>
  <c r="E1704" i="9"/>
  <c r="D1704" i="9"/>
  <c r="C1704" i="9"/>
  <c r="B1704" i="9"/>
  <c r="A1704" i="9"/>
  <c r="M1703" i="9"/>
  <c r="L1703" i="9"/>
  <c r="K1703" i="9"/>
  <c r="J1703" i="9"/>
  <c r="I1703" i="9"/>
  <c r="H1703" i="9"/>
  <c r="G1703" i="9"/>
  <c r="F1703" i="9"/>
  <c r="E1703" i="9"/>
  <c r="D1703" i="9"/>
  <c r="C1703" i="9"/>
  <c r="B1703" i="9"/>
  <c r="A1703" i="9"/>
  <c r="M1702" i="9"/>
  <c r="L1702" i="9"/>
  <c r="K1702" i="9"/>
  <c r="J1702" i="9"/>
  <c r="I1702" i="9"/>
  <c r="H1702" i="9"/>
  <c r="G1702" i="9"/>
  <c r="F1702" i="9"/>
  <c r="E1702" i="9"/>
  <c r="D1702" i="9"/>
  <c r="C1702" i="9"/>
  <c r="B1702" i="9"/>
  <c r="A1702" i="9"/>
  <c r="M1701" i="9"/>
  <c r="L1701" i="9"/>
  <c r="K1701" i="9"/>
  <c r="J1701" i="9"/>
  <c r="I1701" i="9"/>
  <c r="H1701" i="9"/>
  <c r="G1701" i="9"/>
  <c r="F1701" i="9"/>
  <c r="E1701" i="9"/>
  <c r="D1701" i="9"/>
  <c r="C1701" i="9"/>
  <c r="B1701" i="9"/>
  <c r="A1701" i="9"/>
  <c r="M1700" i="9"/>
  <c r="L1700" i="9"/>
  <c r="K1700" i="9"/>
  <c r="J1700" i="9"/>
  <c r="I1700" i="9"/>
  <c r="H1700" i="9"/>
  <c r="G1700" i="9"/>
  <c r="F1700" i="9"/>
  <c r="E1700" i="9"/>
  <c r="D1700" i="9"/>
  <c r="C1700" i="9"/>
  <c r="B1700" i="9"/>
  <c r="A1700" i="9"/>
  <c r="M1699" i="9"/>
  <c r="L1699" i="9"/>
  <c r="K1699" i="9"/>
  <c r="J1699" i="9"/>
  <c r="I1699" i="9"/>
  <c r="H1699" i="9"/>
  <c r="G1699" i="9"/>
  <c r="F1699" i="9"/>
  <c r="E1699" i="9"/>
  <c r="D1699" i="9"/>
  <c r="C1699" i="9"/>
  <c r="B1699" i="9"/>
  <c r="A1699" i="9"/>
  <c r="M1698" i="9"/>
  <c r="L1698" i="9"/>
  <c r="K1698" i="9"/>
  <c r="J1698" i="9"/>
  <c r="I1698" i="9"/>
  <c r="H1698" i="9"/>
  <c r="G1698" i="9"/>
  <c r="F1698" i="9"/>
  <c r="E1698" i="9"/>
  <c r="D1698" i="9"/>
  <c r="C1698" i="9"/>
  <c r="B1698" i="9"/>
  <c r="A1698" i="9"/>
  <c r="M1697" i="9"/>
  <c r="L1697" i="9"/>
  <c r="K1697" i="9"/>
  <c r="J1697" i="9"/>
  <c r="I1697" i="9"/>
  <c r="H1697" i="9"/>
  <c r="G1697" i="9"/>
  <c r="F1697" i="9"/>
  <c r="E1697" i="9"/>
  <c r="D1697" i="9"/>
  <c r="C1697" i="9"/>
  <c r="B1697" i="9"/>
  <c r="A1697" i="9"/>
  <c r="M1696" i="9"/>
  <c r="L1696" i="9"/>
  <c r="K1696" i="9"/>
  <c r="J1696" i="9"/>
  <c r="I1696" i="9"/>
  <c r="H1696" i="9"/>
  <c r="G1696" i="9"/>
  <c r="F1696" i="9"/>
  <c r="E1696" i="9"/>
  <c r="D1696" i="9"/>
  <c r="C1696" i="9"/>
  <c r="B1696" i="9"/>
  <c r="A1696" i="9"/>
  <c r="M1695" i="9"/>
  <c r="L1695" i="9"/>
  <c r="K1695" i="9"/>
  <c r="J1695" i="9"/>
  <c r="I1695" i="9"/>
  <c r="H1695" i="9"/>
  <c r="G1695" i="9"/>
  <c r="F1695" i="9"/>
  <c r="E1695" i="9"/>
  <c r="D1695" i="9"/>
  <c r="C1695" i="9"/>
  <c r="B1695" i="9"/>
  <c r="A1695" i="9"/>
  <c r="M1694" i="9"/>
  <c r="L1694" i="9"/>
  <c r="K1694" i="9"/>
  <c r="J1694" i="9"/>
  <c r="I1694" i="9"/>
  <c r="H1694" i="9"/>
  <c r="G1694" i="9"/>
  <c r="F1694" i="9"/>
  <c r="E1694" i="9"/>
  <c r="D1694" i="9"/>
  <c r="C1694" i="9"/>
  <c r="B1694" i="9"/>
  <c r="A1694" i="9"/>
  <c r="M1693" i="9"/>
  <c r="L1693" i="9"/>
  <c r="K1693" i="9"/>
  <c r="J1693" i="9"/>
  <c r="I1693" i="9"/>
  <c r="H1693" i="9"/>
  <c r="G1693" i="9"/>
  <c r="F1693" i="9"/>
  <c r="E1693" i="9"/>
  <c r="D1693" i="9"/>
  <c r="C1693" i="9"/>
  <c r="B1693" i="9"/>
  <c r="A1693" i="9"/>
  <c r="M1692" i="9"/>
  <c r="L1692" i="9"/>
  <c r="K1692" i="9"/>
  <c r="J1692" i="9"/>
  <c r="I1692" i="9"/>
  <c r="H1692" i="9"/>
  <c r="G1692" i="9"/>
  <c r="F1692" i="9"/>
  <c r="E1692" i="9"/>
  <c r="D1692" i="9"/>
  <c r="C1692" i="9"/>
  <c r="B1692" i="9"/>
  <c r="A1692" i="9"/>
  <c r="M1691" i="9"/>
  <c r="L1691" i="9"/>
  <c r="K1691" i="9"/>
  <c r="J1691" i="9"/>
  <c r="I1691" i="9"/>
  <c r="H1691" i="9"/>
  <c r="G1691" i="9"/>
  <c r="F1691" i="9"/>
  <c r="E1691" i="9"/>
  <c r="D1691" i="9"/>
  <c r="C1691" i="9"/>
  <c r="B1691" i="9"/>
  <c r="A1691" i="9"/>
  <c r="M1690" i="9"/>
  <c r="L1690" i="9"/>
  <c r="K1690" i="9"/>
  <c r="J1690" i="9"/>
  <c r="I1690" i="9"/>
  <c r="H1690" i="9"/>
  <c r="G1690" i="9"/>
  <c r="F1690" i="9"/>
  <c r="E1690" i="9"/>
  <c r="D1690" i="9"/>
  <c r="C1690" i="9"/>
  <c r="B1690" i="9"/>
  <c r="A1690" i="9"/>
  <c r="M1689" i="9"/>
  <c r="L1689" i="9"/>
  <c r="K1689" i="9"/>
  <c r="J1689" i="9"/>
  <c r="I1689" i="9"/>
  <c r="H1689" i="9"/>
  <c r="G1689" i="9"/>
  <c r="F1689" i="9"/>
  <c r="E1689" i="9"/>
  <c r="D1689" i="9"/>
  <c r="C1689" i="9"/>
  <c r="B1689" i="9"/>
  <c r="A1689" i="9"/>
  <c r="M1688" i="9"/>
  <c r="L1688" i="9"/>
  <c r="K1688" i="9"/>
  <c r="J1688" i="9"/>
  <c r="I1688" i="9"/>
  <c r="H1688" i="9"/>
  <c r="G1688" i="9"/>
  <c r="F1688" i="9"/>
  <c r="E1688" i="9"/>
  <c r="D1688" i="9"/>
  <c r="C1688" i="9"/>
  <c r="B1688" i="9"/>
  <c r="A1688" i="9"/>
  <c r="M1687" i="9"/>
  <c r="L1687" i="9"/>
  <c r="K1687" i="9"/>
  <c r="J1687" i="9"/>
  <c r="I1687" i="9"/>
  <c r="H1687" i="9"/>
  <c r="G1687" i="9"/>
  <c r="F1687" i="9"/>
  <c r="E1687" i="9"/>
  <c r="D1687" i="9"/>
  <c r="C1687" i="9"/>
  <c r="B1687" i="9"/>
  <c r="A1687" i="9"/>
  <c r="M1686" i="9"/>
  <c r="L1686" i="9"/>
  <c r="K1686" i="9"/>
  <c r="J1686" i="9"/>
  <c r="I1686" i="9"/>
  <c r="H1686" i="9"/>
  <c r="G1686" i="9"/>
  <c r="F1686" i="9"/>
  <c r="E1686" i="9"/>
  <c r="D1686" i="9"/>
  <c r="C1686" i="9"/>
  <c r="B1686" i="9"/>
  <c r="A1686" i="9"/>
  <c r="M1685" i="9"/>
  <c r="L1685" i="9"/>
  <c r="K1685" i="9"/>
  <c r="J1685" i="9"/>
  <c r="I1685" i="9"/>
  <c r="H1685" i="9"/>
  <c r="G1685" i="9"/>
  <c r="F1685" i="9"/>
  <c r="E1685" i="9"/>
  <c r="D1685" i="9"/>
  <c r="C1685" i="9"/>
  <c r="B1685" i="9"/>
  <c r="A1685" i="9"/>
  <c r="M1684" i="9"/>
  <c r="L1684" i="9"/>
  <c r="K1684" i="9"/>
  <c r="J1684" i="9"/>
  <c r="I1684" i="9"/>
  <c r="H1684" i="9"/>
  <c r="G1684" i="9"/>
  <c r="F1684" i="9"/>
  <c r="E1684" i="9"/>
  <c r="D1684" i="9"/>
  <c r="C1684" i="9"/>
  <c r="B1684" i="9"/>
  <c r="A1684" i="9"/>
  <c r="M1683" i="9"/>
  <c r="L1683" i="9"/>
  <c r="K1683" i="9"/>
  <c r="J1683" i="9"/>
  <c r="I1683" i="9"/>
  <c r="H1683" i="9"/>
  <c r="G1683" i="9"/>
  <c r="F1683" i="9"/>
  <c r="E1683" i="9"/>
  <c r="D1683" i="9"/>
  <c r="C1683" i="9"/>
  <c r="B1683" i="9"/>
  <c r="A1683" i="9"/>
  <c r="M1682" i="9"/>
  <c r="L1682" i="9"/>
  <c r="K1682" i="9"/>
  <c r="J1682" i="9"/>
  <c r="I1682" i="9"/>
  <c r="H1682" i="9"/>
  <c r="G1682" i="9"/>
  <c r="F1682" i="9"/>
  <c r="E1682" i="9"/>
  <c r="D1682" i="9"/>
  <c r="C1682" i="9"/>
  <c r="B1682" i="9"/>
  <c r="A1682" i="9"/>
  <c r="M1681" i="9"/>
  <c r="L1681" i="9"/>
  <c r="K1681" i="9"/>
  <c r="J1681" i="9"/>
  <c r="I1681" i="9"/>
  <c r="H1681" i="9"/>
  <c r="G1681" i="9"/>
  <c r="F1681" i="9"/>
  <c r="E1681" i="9"/>
  <c r="D1681" i="9"/>
  <c r="C1681" i="9"/>
  <c r="B1681" i="9"/>
  <c r="A1681" i="9"/>
  <c r="M1680" i="9"/>
  <c r="L1680" i="9"/>
  <c r="K1680" i="9"/>
  <c r="J1680" i="9"/>
  <c r="I1680" i="9"/>
  <c r="H1680" i="9"/>
  <c r="G1680" i="9"/>
  <c r="F1680" i="9"/>
  <c r="E1680" i="9"/>
  <c r="D1680" i="9"/>
  <c r="C1680" i="9"/>
  <c r="B1680" i="9"/>
  <c r="A1680" i="9"/>
  <c r="M1679" i="9"/>
  <c r="L1679" i="9"/>
  <c r="K1679" i="9"/>
  <c r="J1679" i="9"/>
  <c r="I1679" i="9"/>
  <c r="H1679" i="9"/>
  <c r="G1679" i="9"/>
  <c r="F1679" i="9"/>
  <c r="E1679" i="9"/>
  <c r="D1679" i="9"/>
  <c r="C1679" i="9"/>
  <c r="B1679" i="9"/>
  <c r="A1679" i="9"/>
  <c r="M1678" i="9"/>
  <c r="L1678" i="9"/>
  <c r="K1678" i="9"/>
  <c r="J1678" i="9"/>
  <c r="I1678" i="9"/>
  <c r="H1678" i="9"/>
  <c r="G1678" i="9"/>
  <c r="F1678" i="9"/>
  <c r="E1678" i="9"/>
  <c r="D1678" i="9"/>
  <c r="C1678" i="9"/>
  <c r="B1678" i="9"/>
  <c r="A1678" i="9"/>
  <c r="M1677" i="9"/>
  <c r="L1677" i="9"/>
  <c r="K1677" i="9"/>
  <c r="J1677" i="9"/>
  <c r="I1677" i="9"/>
  <c r="H1677" i="9"/>
  <c r="G1677" i="9"/>
  <c r="F1677" i="9"/>
  <c r="E1677" i="9"/>
  <c r="D1677" i="9"/>
  <c r="C1677" i="9"/>
  <c r="B1677" i="9"/>
  <c r="A1677" i="9"/>
  <c r="M1676" i="9"/>
  <c r="L1676" i="9"/>
  <c r="K1676" i="9"/>
  <c r="J1676" i="9"/>
  <c r="I1676" i="9"/>
  <c r="H1676" i="9"/>
  <c r="G1676" i="9"/>
  <c r="F1676" i="9"/>
  <c r="E1676" i="9"/>
  <c r="D1676" i="9"/>
  <c r="C1676" i="9"/>
  <c r="B1676" i="9"/>
  <c r="A1676" i="9"/>
  <c r="M1675" i="9"/>
  <c r="L1675" i="9"/>
  <c r="K1675" i="9"/>
  <c r="J1675" i="9"/>
  <c r="I1675" i="9"/>
  <c r="H1675" i="9"/>
  <c r="G1675" i="9"/>
  <c r="F1675" i="9"/>
  <c r="E1675" i="9"/>
  <c r="D1675" i="9"/>
  <c r="C1675" i="9"/>
  <c r="B1675" i="9"/>
  <c r="A1675" i="9"/>
  <c r="M1674" i="9"/>
  <c r="L1674" i="9"/>
  <c r="K1674" i="9"/>
  <c r="J1674" i="9"/>
  <c r="I1674" i="9"/>
  <c r="H1674" i="9"/>
  <c r="G1674" i="9"/>
  <c r="F1674" i="9"/>
  <c r="E1674" i="9"/>
  <c r="D1674" i="9"/>
  <c r="C1674" i="9"/>
  <c r="B1674" i="9"/>
  <c r="A1674" i="9"/>
  <c r="M1673" i="9"/>
  <c r="L1673" i="9"/>
  <c r="K1673" i="9"/>
  <c r="J1673" i="9"/>
  <c r="I1673" i="9"/>
  <c r="H1673" i="9"/>
  <c r="G1673" i="9"/>
  <c r="F1673" i="9"/>
  <c r="E1673" i="9"/>
  <c r="D1673" i="9"/>
  <c r="C1673" i="9"/>
  <c r="B1673" i="9"/>
  <c r="A1673" i="9"/>
  <c r="M1672" i="9"/>
  <c r="L1672" i="9"/>
  <c r="K1672" i="9"/>
  <c r="J1672" i="9"/>
  <c r="I1672" i="9"/>
  <c r="H1672" i="9"/>
  <c r="G1672" i="9"/>
  <c r="F1672" i="9"/>
  <c r="E1672" i="9"/>
  <c r="D1672" i="9"/>
  <c r="C1672" i="9"/>
  <c r="B1672" i="9"/>
  <c r="A1672" i="9"/>
  <c r="M1671" i="9"/>
  <c r="L1671" i="9"/>
  <c r="K1671" i="9"/>
  <c r="J1671" i="9"/>
  <c r="I1671" i="9"/>
  <c r="H1671" i="9"/>
  <c r="G1671" i="9"/>
  <c r="F1671" i="9"/>
  <c r="E1671" i="9"/>
  <c r="D1671" i="9"/>
  <c r="C1671" i="9"/>
  <c r="B1671" i="9"/>
  <c r="A1671" i="9"/>
  <c r="M1670" i="9"/>
  <c r="L1670" i="9"/>
  <c r="K1670" i="9"/>
  <c r="J1670" i="9"/>
  <c r="I1670" i="9"/>
  <c r="H1670" i="9"/>
  <c r="G1670" i="9"/>
  <c r="F1670" i="9"/>
  <c r="E1670" i="9"/>
  <c r="D1670" i="9"/>
  <c r="C1670" i="9"/>
  <c r="B1670" i="9"/>
  <c r="A1670" i="9"/>
  <c r="M1669" i="9"/>
  <c r="L1669" i="9"/>
  <c r="K1669" i="9"/>
  <c r="J1669" i="9"/>
  <c r="I1669" i="9"/>
  <c r="H1669" i="9"/>
  <c r="G1669" i="9"/>
  <c r="F1669" i="9"/>
  <c r="E1669" i="9"/>
  <c r="D1669" i="9"/>
  <c r="C1669" i="9"/>
  <c r="B1669" i="9"/>
  <c r="A1669" i="9"/>
  <c r="M1668" i="9"/>
  <c r="L1668" i="9"/>
  <c r="K1668" i="9"/>
  <c r="J1668" i="9"/>
  <c r="I1668" i="9"/>
  <c r="H1668" i="9"/>
  <c r="G1668" i="9"/>
  <c r="F1668" i="9"/>
  <c r="E1668" i="9"/>
  <c r="D1668" i="9"/>
  <c r="C1668" i="9"/>
  <c r="B1668" i="9"/>
  <c r="A1668" i="9"/>
  <c r="M1667" i="9"/>
  <c r="L1667" i="9"/>
  <c r="K1667" i="9"/>
  <c r="J1667" i="9"/>
  <c r="I1667" i="9"/>
  <c r="H1667" i="9"/>
  <c r="G1667" i="9"/>
  <c r="F1667" i="9"/>
  <c r="E1667" i="9"/>
  <c r="D1667" i="9"/>
  <c r="C1667" i="9"/>
  <c r="B1667" i="9"/>
  <c r="A1667" i="9"/>
  <c r="M1666" i="9"/>
  <c r="L1666" i="9"/>
  <c r="K1666" i="9"/>
  <c r="J1666" i="9"/>
  <c r="I1666" i="9"/>
  <c r="H1666" i="9"/>
  <c r="G1666" i="9"/>
  <c r="F1666" i="9"/>
  <c r="E1666" i="9"/>
  <c r="D1666" i="9"/>
  <c r="C1666" i="9"/>
  <c r="B1666" i="9"/>
  <c r="A1666" i="9"/>
  <c r="M1665" i="9"/>
  <c r="L1665" i="9"/>
  <c r="K1665" i="9"/>
  <c r="J1665" i="9"/>
  <c r="I1665" i="9"/>
  <c r="H1665" i="9"/>
  <c r="G1665" i="9"/>
  <c r="F1665" i="9"/>
  <c r="E1665" i="9"/>
  <c r="D1665" i="9"/>
  <c r="C1665" i="9"/>
  <c r="B1665" i="9"/>
  <c r="A1665" i="9"/>
  <c r="M1664" i="9"/>
  <c r="L1664" i="9"/>
  <c r="K1664" i="9"/>
  <c r="J1664" i="9"/>
  <c r="I1664" i="9"/>
  <c r="H1664" i="9"/>
  <c r="G1664" i="9"/>
  <c r="F1664" i="9"/>
  <c r="E1664" i="9"/>
  <c r="D1664" i="9"/>
  <c r="C1664" i="9"/>
  <c r="B1664" i="9"/>
  <c r="A1664" i="9"/>
  <c r="M1663" i="9"/>
  <c r="L1663" i="9"/>
  <c r="K1663" i="9"/>
  <c r="J1663" i="9"/>
  <c r="I1663" i="9"/>
  <c r="H1663" i="9"/>
  <c r="G1663" i="9"/>
  <c r="F1663" i="9"/>
  <c r="E1663" i="9"/>
  <c r="D1663" i="9"/>
  <c r="C1663" i="9"/>
  <c r="B1663" i="9"/>
  <c r="A1663" i="9"/>
  <c r="M1662" i="9"/>
  <c r="L1662" i="9"/>
  <c r="K1662" i="9"/>
  <c r="J1662" i="9"/>
  <c r="I1662" i="9"/>
  <c r="H1662" i="9"/>
  <c r="G1662" i="9"/>
  <c r="F1662" i="9"/>
  <c r="E1662" i="9"/>
  <c r="D1662" i="9"/>
  <c r="C1662" i="9"/>
  <c r="B1662" i="9"/>
  <c r="A1662" i="9"/>
  <c r="M1661" i="9"/>
  <c r="L1661" i="9"/>
  <c r="K1661" i="9"/>
  <c r="J1661" i="9"/>
  <c r="I1661" i="9"/>
  <c r="H1661" i="9"/>
  <c r="G1661" i="9"/>
  <c r="F1661" i="9"/>
  <c r="E1661" i="9"/>
  <c r="D1661" i="9"/>
  <c r="C1661" i="9"/>
  <c r="B1661" i="9"/>
  <c r="A1661" i="9"/>
  <c r="M1660" i="9"/>
  <c r="L1660" i="9"/>
  <c r="K1660" i="9"/>
  <c r="J1660" i="9"/>
  <c r="I1660" i="9"/>
  <c r="H1660" i="9"/>
  <c r="G1660" i="9"/>
  <c r="F1660" i="9"/>
  <c r="E1660" i="9"/>
  <c r="D1660" i="9"/>
  <c r="C1660" i="9"/>
  <c r="B1660" i="9"/>
  <c r="A1660" i="9"/>
  <c r="M1659" i="9"/>
  <c r="L1659" i="9"/>
  <c r="K1659" i="9"/>
  <c r="J1659" i="9"/>
  <c r="I1659" i="9"/>
  <c r="H1659" i="9"/>
  <c r="G1659" i="9"/>
  <c r="F1659" i="9"/>
  <c r="E1659" i="9"/>
  <c r="D1659" i="9"/>
  <c r="C1659" i="9"/>
  <c r="B1659" i="9"/>
  <c r="A1659" i="9"/>
  <c r="M1658" i="9"/>
  <c r="L1658" i="9"/>
  <c r="K1658" i="9"/>
  <c r="J1658" i="9"/>
  <c r="I1658" i="9"/>
  <c r="H1658" i="9"/>
  <c r="G1658" i="9"/>
  <c r="F1658" i="9"/>
  <c r="E1658" i="9"/>
  <c r="D1658" i="9"/>
  <c r="C1658" i="9"/>
  <c r="B1658" i="9"/>
  <c r="A1658" i="9"/>
  <c r="M1657" i="9"/>
  <c r="L1657" i="9"/>
  <c r="K1657" i="9"/>
  <c r="J1657" i="9"/>
  <c r="I1657" i="9"/>
  <c r="H1657" i="9"/>
  <c r="G1657" i="9"/>
  <c r="F1657" i="9"/>
  <c r="E1657" i="9"/>
  <c r="D1657" i="9"/>
  <c r="C1657" i="9"/>
  <c r="B1657" i="9"/>
  <c r="A1657" i="9"/>
  <c r="M1656" i="9"/>
  <c r="L1656" i="9"/>
  <c r="K1656" i="9"/>
  <c r="J1656" i="9"/>
  <c r="I1656" i="9"/>
  <c r="H1656" i="9"/>
  <c r="G1656" i="9"/>
  <c r="F1656" i="9"/>
  <c r="E1656" i="9"/>
  <c r="D1656" i="9"/>
  <c r="C1656" i="9"/>
  <c r="B1656" i="9"/>
  <c r="A1656" i="9"/>
  <c r="M1655" i="9"/>
  <c r="L1655" i="9"/>
  <c r="K1655" i="9"/>
  <c r="J1655" i="9"/>
  <c r="I1655" i="9"/>
  <c r="H1655" i="9"/>
  <c r="G1655" i="9"/>
  <c r="F1655" i="9"/>
  <c r="E1655" i="9"/>
  <c r="D1655" i="9"/>
  <c r="C1655" i="9"/>
  <c r="B1655" i="9"/>
  <c r="A1655" i="9"/>
  <c r="M1654" i="9"/>
  <c r="L1654" i="9"/>
  <c r="K1654" i="9"/>
  <c r="J1654" i="9"/>
  <c r="I1654" i="9"/>
  <c r="H1654" i="9"/>
  <c r="G1654" i="9"/>
  <c r="F1654" i="9"/>
  <c r="E1654" i="9"/>
  <c r="D1654" i="9"/>
  <c r="C1654" i="9"/>
  <c r="B1654" i="9"/>
  <c r="A1654" i="9"/>
  <c r="M1653" i="9"/>
  <c r="L1653" i="9"/>
  <c r="K1653" i="9"/>
  <c r="J1653" i="9"/>
  <c r="I1653" i="9"/>
  <c r="H1653" i="9"/>
  <c r="G1653" i="9"/>
  <c r="F1653" i="9"/>
  <c r="E1653" i="9"/>
  <c r="D1653" i="9"/>
  <c r="C1653" i="9"/>
  <c r="B1653" i="9"/>
  <c r="A1653" i="9"/>
  <c r="M1652" i="9"/>
  <c r="L1652" i="9"/>
  <c r="K1652" i="9"/>
  <c r="J1652" i="9"/>
  <c r="I1652" i="9"/>
  <c r="H1652" i="9"/>
  <c r="G1652" i="9"/>
  <c r="F1652" i="9"/>
  <c r="E1652" i="9"/>
  <c r="D1652" i="9"/>
  <c r="C1652" i="9"/>
  <c r="B1652" i="9"/>
  <c r="A1652" i="9"/>
  <c r="M1651" i="9"/>
  <c r="L1651" i="9"/>
  <c r="K1651" i="9"/>
  <c r="J1651" i="9"/>
  <c r="I1651" i="9"/>
  <c r="H1651" i="9"/>
  <c r="G1651" i="9"/>
  <c r="F1651" i="9"/>
  <c r="E1651" i="9"/>
  <c r="D1651" i="9"/>
  <c r="C1651" i="9"/>
  <c r="B1651" i="9"/>
  <c r="A1651" i="9"/>
  <c r="M1650" i="9"/>
  <c r="L1650" i="9"/>
  <c r="K1650" i="9"/>
  <c r="J1650" i="9"/>
  <c r="I1650" i="9"/>
  <c r="H1650" i="9"/>
  <c r="G1650" i="9"/>
  <c r="F1650" i="9"/>
  <c r="E1650" i="9"/>
  <c r="D1650" i="9"/>
  <c r="C1650" i="9"/>
  <c r="B1650" i="9"/>
  <c r="A1650" i="9"/>
  <c r="M1649" i="9"/>
  <c r="L1649" i="9"/>
  <c r="K1649" i="9"/>
  <c r="J1649" i="9"/>
  <c r="I1649" i="9"/>
  <c r="H1649" i="9"/>
  <c r="G1649" i="9"/>
  <c r="F1649" i="9"/>
  <c r="E1649" i="9"/>
  <c r="D1649" i="9"/>
  <c r="C1649" i="9"/>
  <c r="B1649" i="9"/>
  <c r="A1649" i="9"/>
  <c r="M1648" i="9"/>
  <c r="L1648" i="9"/>
  <c r="K1648" i="9"/>
  <c r="J1648" i="9"/>
  <c r="I1648" i="9"/>
  <c r="H1648" i="9"/>
  <c r="G1648" i="9"/>
  <c r="F1648" i="9"/>
  <c r="E1648" i="9"/>
  <c r="D1648" i="9"/>
  <c r="C1648" i="9"/>
  <c r="B1648" i="9"/>
  <c r="A1648" i="9"/>
  <c r="M1647" i="9"/>
  <c r="L1647" i="9"/>
  <c r="K1647" i="9"/>
  <c r="J1647" i="9"/>
  <c r="I1647" i="9"/>
  <c r="H1647" i="9"/>
  <c r="G1647" i="9"/>
  <c r="F1647" i="9"/>
  <c r="E1647" i="9"/>
  <c r="D1647" i="9"/>
  <c r="C1647" i="9"/>
  <c r="B1647" i="9"/>
  <c r="A1647" i="9"/>
  <c r="M1646" i="9"/>
  <c r="L1646" i="9"/>
  <c r="K1646" i="9"/>
  <c r="J1646" i="9"/>
  <c r="I1646" i="9"/>
  <c r="H1646" i="9"/>
  <c r="G1646" i="9"/>
  <c r="F1646" i="9"/>
  <c r="E1646" i="9"/>
  <c r="D1646" i="9"/>
  <c r="C1646" i="9"/>
  <c r="B1646" i="9"/>
  <c r="A1646" i="9"/>
  <c r="M1645" i="9"/>
  <c r="L1645" i="9"/>
  <c r="K1645" i="9"/>
  <c r="J1645" i="9"/>
  <c r="I1645" i="9"/>
  <c r="H1645" i="9"/>
  <c r="G1645" i="9"/>
  <c r="F1645" i="9"/>
  <c r="E1645" i="9"/>
  <c r="D1645" i="9"/>
  <c r="C1645" i="9"/>
  <c r="B1645" i="9"/>
  <c r="A1645" i="9"/>
  <c r="M1644" i="9"/>
  <c r="L1644" i="9"/>
  <c r="K1644" i="9"/>
  <c r="J1644" i="9"/>
  <c r="I1644" i="9"/>
  <c r="H1644" i="9"/>
  <c r="G1644" i="9"/>
  <c r="F1644" i="9"/>
  <c r="E1644" i="9"/>
  <c r="D1644" i="9"/>
  <c r="C1644" i="9"/>
  <c r="B1644" i="9"/>
  <c r="A1644" i="9"/>
  <c r="M1643" i="9"/>
  <c r="L1643" i="9"/>
  <c r="K1643" i="9"/>
  <c r="J1643" i="9"/>
  <c r="I1643" i="9"/>
  <c r="H1643" i="9"/>
  <c r="G1643" i="9"/>
  <c r="F1643" i="9"/>
  <c r="E1643" i="9"/>
  <c r="D1643" i="9"/>
  <c r="C1643" i="9"/>
  <c r="B1643" i="9"/>
  <c r="A1643" i="9"/>
  <c r="M1642" i="9"/>
  <c r="L1642" i="9"/>
  <c r="K1642" i="9"/>
  <c r="J1642" i="9"/>
  <c r="I1642" i="9"/>
  <c r="H1642" i="9"/>
  <c r="G1642" i="9"/>
  <c r="F1642" i="9"/>
  <c r="E1642" i="9"/>
  <c r="D1642" i="9"/>
  <c r="C1642" i="9"/>
  <c r="B1642" i="9"/>
  <c r="A1642" i="9"/>
  <c r="M1641" i="9"/>
  <c r="L1641" i="9"/>
  <c r="K1641" i="9"/>
  <c r="J1641" i="9"/>
  <c r="I1641" i="9"/>
  <c r="H1641" i="9"/>
  <c r="G1641" i="9"/>
  <c r="F1641" i="9"/>
  <c r="E1641" i="9"/>
  <c r="D1641" i="9"/>
  <c r="C1641" i="9"/>
  <c r="B1641" i="9"/>
  <c r="A1641" i="9"/>
  <c r="M1640" i="9"/>
  <c r="L1640" i="9"/>
  <c r="K1640" i="9"/>
  <c r="J1640" i="9"/>
  <c r="I1640" i="9"/>
  <c r="H1640" i="9"/>
  <c r="G1640" i="9"/>
  <c r="F1640" i="9"/>
  <c r="E1640" i="9"/>
  <c r="D1640" i="9"/>
  <c r="C1640" i="9"/>
  <c r="B1640" i="9"/>
  <c r="A1640" i="9"/>
  <c r="M1639" i="9"/>
  <c r="L1639" i="9"/>
  <c r="K1639" i="9"/>
  <c r="J1639" i="9"/>
  <c r="I1639" i="9"/>
  <c r="H1639" i="9"/>
  <c r="G1639" i="9"/>
  <c r="F1639" i="9"/>
  <c r="E1639" i="9"/>
  <c r="D1639" i="9"/>
  <c r="C1639" i="9"/>
  <c r="B1639" i="9"/>
  <c r="A1639" i="9"/>
  <c r="M1638" i="9"/>
  <c r="L1638" i="9"/>
  <c r="K1638" i="9"/>
  <c r="J1638" i="9"/>
  <c r="I1638" i="9"/>
  <c r="H1638" i="9"/>
  <c r="G1638" i="9"/>
  <c r="F1638" i="9"/>
  <c r="E1638" i="9"/>
  <c r="D1638" i="9"/>
  <c r="C1638" i="9"/>
  <c r="B1638" i="9"/>
  <c r="A1638" i="9"/>
  <c r="M1637" i="9"/>
  <c r="L1637" i="9"/>
  <c r="K1637" i="9"/>
  <c r="J1637" i="9"/>
  <c r="I1637" i="9"/>
  <c r="H1637" i="9"/>
  <c r="G1637" i="9"/>
  <c r="F1637" i="9"/>
  <c r="E1637" i="9"/>
  <c r="D1637" i="9"/>
  <c r="C1637" i="9"/>
  <c r="B1637" i="9"/>
  <c r="A1637" i="9"/>
  <c r="M1636" i="9"/>
  <c r="L1636" i="9"/>
  <c r="K1636" i="9"/>
  <c r="J1636" i="9"/>
  <c r="I1636" i="9"/>
  <c r="H1636" i="9"/>
  <c r="G1636" i="9"/>
  <c r="F1636" i="9"/>
  <c r="E1636" i="9"/>
  <c r="D1636" i="9"/>
  <c r="C1636" i="9"/>
  <c r="B1636" i="9"/>
  <c r="A1636" i="9"/>
  <c r="M1635" i="9"/>
  <c r="L1635" i="9"/>
  <c r="K1635" i="9"/>
  <c r="J1635" i="9"/>
  <c r="I1635" i="9"/>
  <c r="H1635" i="9"/>
  <c r="G1635" i="9"/>
  <c r="F1635" i="9"/>
  <c r="E1635" i="9"/>
  <c r="D1635" i="9"/>
  <c r="C1635" i="9"/>
  <c r="B1635" i="9"/>
  <c r="A1635" i="9"/>
  <c r="M1634" i="9"/>
  <c r="L1634" i="9"/>
  <c r="K1634" i="9"/>
  <c r="J1634" i="9"/>
  <c r="I1634" i="9"/>
  <c r="H1634" i="9"/>
  <c r="G1634" i="9"/>
  <c r="F1634" i="9"/>
  <c r="E1634" i="9"/>
  <c r="D1634" i="9"/>
  <c r="C1634" i="9"/>
  <c r="B1634" i="9"/>
  <c r="A1634" i="9"/>
  <c r="M1633" i="9"/>
  <c r="L1633" i="9"/>
  <c r="K1633" i="9"/>
  <c r="J1633" i="9"/>
  <c r="I1633" i="9"/>
  <c r="H1633" i="9"/>
  <c r="G1633" i="9"/>
  <c r="F1633" i="9"/>
  <c r="E1633" i="9"/>
  <c r="D1633" i="9"/>
  <c r="C1633" i="9"/>
  <c r="B1633" i="9"/>
  <c r="A1633" i="9"/>
  <c r="M1632" i="9"/>
  <c r="L1632" i="9"/>
  <c r="K1632" i="9"/>
  <c r="J1632" i="9"/>
  <c r="I1632" i="9"/>
  <c r="H1632" i="9"/>
  <c r="G1632" i="9"/>
  <c r="F1632" i="9"/>
  <c r="E1632" i="9"/>
  <c r="D1632" i="9"/>
  <c r="C1632" i="9"/>
  <c r="B1632" i="9"/>
  <c r="A1632" i="9"/>
  <c r="M1631" i="9"/>
  <c r="L1631" i="9"/>
  <c r="K1631" i="9"/>
  <c r="J1631" i="9"/>
  <c r="I1631" i="9"/>
  <c r="H1631" i="9"/>
  <c r="G1631" i="9"/>
  <c r="F1631" i="9"/>
  <c r="E1631" i="9"/>
  <c r="D1631" i="9"/>
  <c r="C1631" i="9"/>
  <c r="B1631" i="9"/>
  <c r="A1631" i="9"/>
  <c r="M1630" i="9"/>
  <c r="L1630" i="9"/>
  <c r="K1630" i="9"/>
  <c r="J1630" i="9"/>
  <c r="I1630" i="9"/>
  <c r="H1630" i="9"/>
  <c r="G1630" i="9"/>
  <c r="F1630" i="9"/>
  <c r="E1630" i="9"/>
  <c r="D1630" i="9"/>
  <c r="C1630" i="9"/>
  <c r="B1630" i="9"/>
  <c r="A1630" i="9"/>
  <c r="M1629" i="9"/>
  <c r="L1629" i="9"/>
  <c r="K1629" i="9"/>
  <c r="J1629" i="9"/>
  <c r="I1629" i="9"/>
  <c r="H1629" i="9"/>
  <c r="G1629" i="9"/>
  <c r="F1629" i="9"/>
  <c r="E1629" i="9"/>
  <c r="D1629" i="9"/>
  <c r="C1629" i="9"/>
  <c r="B1629" i="9"/>
  <c r="A1629" i="9"/>
  <c r="M1628" i="9"/>
  <c r="L1628" i="9"/>
  <c r="K1628" i="9"/>
  <c r="J1628" i="9"/>
  <c r="I1628" i="9"/>
  <c r="H1628" i="9"/>
  <c r="G1628" i="9"/>
  <c r="F1628" i="9"/>
  <c r="E1628" i="9"/>
  <c r="D1628" i="9"/>
  <c r="C1628" i="9"/>
  <c r="B1628" i="9"/>
  <c r="A1628" i="9"/>
  <c r="M1627" i="9"/>
  <c r="L1627" i="9"/>
  <c r="K1627" i="9"/>
  <c r="J1627" i="9"/>
  <c r="I1627" i="9"/>
  <c r="H1627" i="9"/>
  <c r="G1627" i="9"/>
  <c r="F1627" i="9"/>
  <c r="E1627" i="9"/>
  <c r="D1627" i="9"/>
  <c r="C1627" i="9"/>
  <c r="B1627" i="9"/>
  <c r="A1627" i="9"/>
  <c r="M1626" i="9"/>
  <c r="L1626" i="9"/>
  <c r="K1626" i="9"/>
  <c r="J1626" i="9"/>
  <c r="I1626" i="9"/>
  <c r="H1626" i="9"/>
  <c r="G1626" i="9"/>
  <c r="F1626" i="9"/>
  <c r="E1626" i="9"/>
  <c r="D1626" i="9"/>
  <c r="C1626" i="9"/>
  <c r="B1626" i="9"/>
  <c r="A1626" i="9"/>
  <c r="M1625" i="9"/>
  <c r="L1625" i="9"/>
  <c r="K1625" i="9"/>
  <c r="J1625" i="9"/>
  <c r="I1625" i="9"/>
  <c r="H1625" i="9"/>
  <c r="G1625" i="9"/>
  <c r="F1625" i="9"/>
  <c r="E1625" i="9"/>
  <c r="D1625" i="9"/>
  <c r="C1625" i="9"/>
  <c r="B1625" i="9"/>
  <c r="A1625" i="9"/>
  <c r="M1624" i="9"/>
  <c r="L1624" i="9"/>
  <c r="K1624" i="9"/>
  <c r="J1624" i="9"/>
  <c r="I1624" i="9"/>
  <c r="H1624" i="9"/>
  <c r="G1624" i="9"/>
  <c r="F1624" i="9"/>
  <c r="E1624" i="9"/>
  <c r="D1624" i="9"/>
  <c r="C1624" i="9"/>
  <c r="B1624" i="9"/>
  <c r="A1624" i="9"/>
  <c r="M1623" i="9"/>
  <c r="L1623" i="9"/>
  <c r="K1623" i="9"/>
  <c r="J1623" i="9"/>
  <c r="I1623" i="9"/>
  <c r="H1623" i="9"/>
  <c r="G1623" i="9"/>
  <c r="F1623" i="9"/>
  <c r="E1623" i="9"/>
  <c r="D1623" i="9"/>
  <c r="C1623" i="9"/>
  <c r="B1623" i="9"/>
  <c r="A1623" i="9"/>
  <c r="M1622" i="9"/>
  <c r="L1622" i="9"/>
  <c r="K1622" i="9"/>
  <c r="J1622" i="9"/>
  <c r="I1622" i="9"/>
  <c r="H1622" i="9"/>
  <c r="G1622" i="9"/>
  <c r="F1622" i="9"/>
  <c r="E1622" i="9"/>
  <c r="D1622" i="9"/>
  <c r="C1622" i="9"/>
  <c r="B1622" i="9"/>
  <c r="A1622" i="9"/>
  <c r="M1621" i="9"/>
  <c r="L1621" i="9"/>
  <c r="K1621" i="9"/>
  <c r="J1621" i="9"/>
  <c r="I1621" i="9"/>
  <c r="H1621" i="9"/>
  <c r="G1621" i="9"/>
  <c r="F1621" i="9"/>
  <c r="E1621" i="9"/>
  <c r="D1621" i="9"/>
  <c r="C1621" i="9"/>
  <c r="B1621" i="9"/>
  <c r="A1621" i="9"/>
  <c r="M1620" i="9"/>
  <c r="L1620" i="9"/>
  <c r="K1620" i="9"/>
  <c r="J1620" i="9"/>
  <c r="I1620" i="9"/>
  <c r="H1620" i="9"/>
  <c r="G1620" i="9"/>
  <c r="F1620" i="9"/>
  <c r="E1620" i="9"/>
  <c r="D1620" i="9"/>
  <c r="C1620" i="9"/>
  <c r="B1620" i="9"/>
  <c r="A1620" i="9"/>
  <c r="M1619" i="9"/>
  <c r="L1619" i="9"/>
  <c r="K1619" i="9"/>
  <c r="J1619" i="9"/>
  <c r="I1619" i="9"/>
  <c r="H1619" i="9"/>
  <c r="G1619" i="9"/>
  <c r="F1619" i="9"/>
  <c r="E1619" i="9"/>
  <c r="D1619" i="9"/>
  <c r="C1619" i="9"/>
  <c r="B1619" i="9"/>
  <c r="A1619" i="9"/>
  <c r="M1618" i="9"/>
  <c r="L1618" i="9"/>
  <c r="K1618" i="9"/>
  <c r="J1618" i="9"/>
  <c r="I1618" i="9"/>
  <c r="H1618" i="9"/>
  <c r="G1618" i="9"/>
  <c r="F1618" i="9"/>
  <c r="E1618" i="9"/>
  <c r="D1618" i="9"/>
  <c r="C1618" i="9"/>
  <c r="B1618" i="9"/>
  <c r="A1618" i="9"/>
  <c r="M1617" i="9"/>
  <c r="L1617" i="9"/>
  <c r="K1617" i="9"/>
  <c r="J1617" i="9"/>
  <c r="I1617" i="9"/>
  <c r="H1617" i="9"/>
  <c r="G1617" i="9"/>
  <c r="F1617" i="9"/>
  <c r="E1617" i="9"/>
  <c r="D1617" i="9"/>
  <c r="C1617" i="9"/>
  <c r="B1617" i="9"/>
  <c r="A1617" i="9"/>
  <c r="M1616" i="9"/>
  <c r="L1616" i="9"/>
  <c r="K1616" i="9"/>
  <c r="J1616" i="9"/>
  <c r="I1616" i="9"/>
  <c r="H1616" i="9"/>
  <c r="G1616" i="9"/>
  <c r="F1616" i="9"/>
  <c r="E1616" i="9"/>
  <c r="D1616" i="9"/>
  <c r="C1616" i="9"/>
  <c r="B1616" i="9"/>
  <c r="A1616" i="9"/>
  <c r="M1615" i="9"/>
  <c r="L1615" i="9"/>
  <c r="K1615" i="9"/>
  <c r="J1615" i="9"/>
  <c r="I1615" i="9"/>
  <c r="H1615" i="9"/>
  <c r="G1615" i="9"/>
  <c r="F1615" i="9"/>
  <c r="E1615" i="9"/>
  <c r="D1615" i="9"/>
  <c r="C1615" i="9"/>
  <c r="B1615" i="9"/>
  <c r="A1615" i="9"/>
  <c r="M1614" i="9"/>
  <c r="L1614" i="9"/>
  <c r="K1614" i="9"/>
  <c r="J1614" i="9"/>
  <c r="I1614" i="9"/>
  <c r="H1614" i="9"/>
  <c r="G1614" i="9"/>
  <c r="F1614" i="9"/>
  <c r="E1614" i="9"/>
  <c r="D1614" i="9"/>
  <c r="C1614" i="9"/>
  <c r="B1614" i="9"/>
  <c r="A1614" i="9"/>
  <c r="M1613" i="9"/>
  <c r="L1613" i="9"/>
  <c r="K1613" i="9"/>
  <c r="J1613" i="9"/>
  <c r="I1613" i="9"/>
  <c r="H1613" i="9"/>
  <c r="G1613" i="9"/>
  <c r="F1613" i="9"/>
  <c r="E1613" i="9"/>
  <c r="D1613" i="9"/>
  <c r="C1613" i="9"/>
  <c r="B1613" i="9"/>
  <c r="A1613" i="9"/>
  <c r="M1612" i="9"/>
  <c r="L1612" i="9"/>
  <c r="K1612" i="9"/>
  <c r="J1612" i="9"/>
  <c r="I1612" i="9"/>
  <c r="H1612" i="9"/>
  <c r="G1612" i="9"/>
  <c r="F1612" i="9"/>
  <c r="E1612" i="9"/>
  <c r="D1612" i="9"/>
  <c r="C1612" i="9"/>
  <c r="B1612" i="9"/>
  <c r="A1612" i="9"/>
  <c r="M1611" i="9"/>
  <c r="L1611" i="9"/>
  <c r="K1611" i="9"/>
  <c r="J1611" i="9"/>
  <c r="I1611" i="9"/>
  <c r="H1611" i="9"/>
  <c r="G1611" i="9"/>
  <c r="F1611" i="9"/>
  <c r="E1611" i="9"/>
  <c r="D1611" i="9"/>
  <c r="C1611" i="9"/>
  <c r="B1611" i="9"/>
  <c r="A1611" i="9"/>
  <c r="M1610" i="9"/>
  <c r="L1610" i="9"/>
  <c r="K1610" i="9"/>
  <c r="J1610" i="9"/>
  <c r="I1610" i="9"/>
  <c r="H1610" i="9"/>
  <c r="G1610" i="9"/>
  <c r="F1610" i="9"/>
  <c r="E1610" i="9"/>
  <c r="D1610" i="9"/>
  <c r="C1610" i="9"/>
  <c r="B1610" i="9"/>
  <c r="A1610" i="9"/>
  <c r="M1609" i="9"/>
  <c r="L1609" i="9"/>
  <c r="K1609" i="9"/>
  <c r="J1609" i="9"/>
  <c r="I1609" i="9"/>
  <c r="H1609" i="9"/>
  <c r="G1609" i="9"/>
  <c r="F1609" i="9"/>
  <c r="E1609" i="9"/>
  <c r="D1609" i="9"/>
  <c r="C1609" i="9"/>
  <c r="B1609" i="9"/>
  <c r="A1609" i="9"/>
  <c r="M1608" i="9"/>
  <c r="L1608" i="9"/>
  <c r="K1608" i="9"/>
  <c r="J1608" i="9"/>
  <c r="I1608" i="9"/>
  <c r="H1608" i="9"/>
  <c r="G1608" i="9"/>
  <c r="F1608" i="9"/>
  <c r="E1608" i="9"/>
  <c r="D1608" i="9"/>
  <c r="C1608" i="9"/>
  <c r="B1608" i="9"/>
  <c r="A1608" i="9"/>
  <c r="M1607" i="9"/>
  <c r="L1607" i="9"/>
  <c r="K1607" i="9"/>
  <c r="J1607" i="9"/>
  <c r="I1607" i="9"/>
  <c r="H1607" i="9"/>
  <c r="G1607" i="9"/>
  <c r="F1607" i="9"/>
  <c r="E1607" i="9"/>
  <c r="D1607" i="9"/>
  <c r="C1607" i="9"/>
  <c r="B1607" i="9"/>
  <c r="A1607" i="9"/>
  <c r="M1606" i="9"/>
  <c r="L1606" i="9"/>
  <c r="K1606" i="9"/>
  <c r="J1606" i="9"/>
  <c r="I1606" i="9"/>
  <c r="H1606" i="9"/>
  <c r="G1606" i="9"/>
  <c r="F1606" i="9"/>
  <c r="E1606" i="9"/>
  <c r="D1606" i="9"/>
  <c r="C1606" i="9"/>
  <c r="B1606" i="9"/>
  <c r="A1606" i="9"/>
  <c r="M1605" i="9"/>
  <c r="L1605" i="9"/>
  <c r="K1605" i="9"/>
  <c r="J1605" i="9"/>
  <c r="I1605" i="9"/>
  <c r="H1605" i="9"/>
  <c r="G1605" i="9"/>
  <c r="F1605" i="9"/>
  <c r="E1605" i="9"/>
  <c r="D1605" i="9"/>
  <c r="C1605" i="9"/>
  <c r="B1605" i="9"/>
  <c r="A1605" i="9"/>
  <c r="M1604" i="9"/>
  <c r="L1604" i="9"/>
  <c r="K1604" i="9"/>
  <c r="J1604" i="9"/>
  <c r="I1604" i="9"/>
  <c r="H1604" i="9"/>
  <c r="G1604" i="9"/>
  <c r="F1604" i="9"/>
  <c r="E1604" i="9"/>
  <c r="D1604" i="9"/>
  <c r="C1604" i="9"/>
  <c r="B1604" i="9"/>
  <c r="A1604" i="9"/>
  <c r="M1603" i="9"/>
  <c r="L1603" i="9"/>
  <c r="K1603" i="9"/>
  <c r="J1603" i="9"/>
  <c r="I1603" i="9"/>
  <c r="H1603" i="9"/>
  <c r="G1603" i="9"/>
  <c r="F1603" i="9"/>
  <c r="E1603" i="9"/>
  <c r="D1603" i="9"/>
  <c r="C1603" i="9"/>
  <c r="B1603" i="9"/>
  <c r="A1603" i="9"/>
  <c r="M1602" i="9"/>
  <c r="L1602" i="9"/>
  <c r="K1602" i="9"/>
  <c r="J1602" i="9"/>
  <c r="I1602" i="9"/>
  <c r="H1602" i="9"/>
  <c r="G1602" i="9"/>
  <c r="F1602" i="9"/>
  <c r="E1602" i="9"/>
  <c r="D1602" i="9"/>
  <c r="C1602" i="9"/>
  <c r="B1602" i="9"/>
  <c r="A1602" i="9"/>
  <c r="M1601" i="9"/>
  <c r="L1601" i="9"/>
  <c r="K1601" i="9"/>
  <c r="J1601" i="9"/>
  <c r="I1601" i="9"/>
  <c r="H1601" i="9"/>
  <c r="G1601" i="9"/>
  <c r="F1601" i="9"/>
  <c r="E1601" i="9"/>
  <c r="D1601" i="9"/>
  <c r="C1601" i="9"/>
  <c r="B1601" i="9"/>
  <c r="A1601" i="9"/>
  <c r="M1600" i="9"/>
  <c r="L1600" i="9"/>
  <c r="K1600" i="9"/>
  <c r="J1600" i="9"/>
  <c r="I1600" i="9"/>
  <c r="H1600" i="9"/>
  <c r="G1600" i="9"/>
  <c r="F1600" i="9"/>
  <c r="E1600" i="9"/>
  <c r="D1600" i="9"/>
  <c r="C1600" i="9"/>
  <c r="B1600" i="9"/>
  <c r="A1600" i="9"/>
  <c r="M1599" i="9"/>
  <c r="L1599" i="9"/>
  <c r="K1599" i="9"/>
  <c r="J1599" i="9"/>
  <c r="I1599" i="9"/>
  <c r="H1599" i="9"/>
  <c r="G1599" i="9"/>
  <c r="F1599" i="9"/>
  <c r="E1599" i="9"/>
  <c r="D1599" i="9"/>
  <c r="C1599" i="9"/>
  <c r="B1599" i="9"/>
  <c r="A1599" i="9"/>
  <c r="M1598" i="9"/>
  <c r="L1598" i="9"/>
  <c r="K1598" i="9"/>
  <c r="J1598" i="9"/>
  <c r="I1598" i="9"/>
  <c r="H1598" i="9"/>
  <c r="G1598" i="9"/>
  <c r="F1598" i="9"/>
  <c r="E1598" i="9"/>
  <c r="D1598" i="9"/>
  <c r="C1598" i="9"/>
  <c r="B1598" i="9"/>
  <c r="A1598" i="9"/>
  <c r="M1597" i="9"/>
  <c r="L1597" i="9"/>
  <c r="K1597" i="9"/>
  <c r="J1597" i="9"/>
  <c r="I1597" i="9"/>
  <c r="H1597" i="9"/>
  <c r="G1597" i="9"/>
  <c r="F1597" i="9"/>
  <c r="E1597" i="9"/>
  <c r="D1597" i="9"/>
  <c r="C1597" i="9"/>
  <c r="B1597" i="9"/>
  <c r="A1597" i="9"/>
  <c r="M1596" i="9"/>
  <c r="L1596" i="9"/>
  <c r="K1596" i="9"/>
  <c r="J1596" i="9"/>
  <c r="I1596" i="9"/>
  <c r="H1596" i="9"/>
  <c r="G1596" i="9"/>
  <c r="F1596" i="9"/>
  <c r="E1596" i="9"/>
  <c r="D1596" i="9"/>
  <c r="C1596" i="9"/>
  <c r="B1596" i="9"/>
  <c r="A1596" i="9"/>
  <c r="M1595" i="9"/>
  <c r="L1595" i="9"/>
  <c r="K1595" i="9"/>
  <c r="J1595" i="9"/>
  <c r="I1595" i="9"/>
  <c r="H1595" i="9"/>
  <c r="G1595" i="9"/>
  <c r="F1595" i="9"/>
  <c r="E1595" i="9"/>
  <c r="D1595" i="9"/>
  <c r="C1595" i="9"/>
  <c r="B1595" i="9"/>
  <c r="A1595" i="9"/>
  <c r="M1594" i="9"/>
  <c r="L1594" i="9"/>
  <c r="K1594" i="9"/>
  <c r="J1594" i="9"/>
  <c r="I1594" i="9"/>
  <c r="H1594" i="9"/>
  <c r="G1594" i="9"/>
  <c r="F1594" i="9"/>
  <c r="E1594" i="9"/>
  <c r="D1594" i="9"/>
  <c r="C1594" i="9"/>
  <c r="B1594" i="9"/>
  <c r="A1594" i="9"/>
  <c r="M1593" i="9"/>
  <c r="L1593" i="9"/>
  <c r="K1593" i="9"/>
  <c r="J1593" i="9"/>
  <c r="I1593" i="9"/>
  <c r="H1593" i="9"/>
  <c r="G1593" i="9"/>
  <c r="F1593" i="9"/>
  <c r="E1593" i="9"/>
  <c r="D1593" i="9"/>
  <c r="C1593" i="9"/>
  <c r="B1593" i="9"/>
  <c r="A1593" i="9"/>
  <c r="M1592" i="9"/>
  <c r="L1592" i="9"/>
  <c r="K1592" i="9"/>
  <c r="J1592" i="9"/>
  <c r="I1592" i="9"/>
  <c r="H1592" i="9"/>
  <c r="G1592" i="9"/>
  <c r="F1592" i="9"/>
  <c r="E1592" i="9"/>
  <c r="D1592" i="9"/>
  <c r="C1592" i="9"/>
  <c r="B1592" i="9"/>
  <c r="A1592" i="9"/>
  <c r="M1591" i="9"/>
  <c r="L1591" i="9"/>
  <c r="K1591" i="9"/>
  <c r="J1591" i="9"/>
  <c r="I1591" i="9"/>
  <c r="H1591" i="9"/>
  <c r="G1591" i="9"/>
  <c r="F1591" i="9"/>
  <c r="E1591" i="9"/>
  <c r="D1591" i="9"/>
  <c r="C1591" i="9"/>
  <c r="B1591" i="9"/>
  <c r="A1591" i="9"/>
  <c r="M1590" i="9"/>
  <c r="L1590" i="9"/>
  <c r="K1590" i="9"/>
  <c r="J1590" i="9"/>
  <c r="I1590" i="9"/>
  <c r="H1590" i="9"/>
  <c r="G1590" i="9"/>
  <c r="F1590" i="9"/>
  <c r="E1590" i="9"/>
  <c r="D1590" i="9"/>
  <c r="C1590" i="9"/>
  <c r="B1590" i="9"/>
  <c r="A1590" i="9"/>
  <c r="M1589" i="9"/>
  <c r="L1589" i="9"/>
  <c r="K1589" i="9"/>
  <c r="J1589" i="9"/>
  <c r="I1589" i="9"/>
  <c r="H1589" i="9"/>
  <c r="G1589" i="9"/>
  <c r="F1589" i="9"/>
  <c r="E1589" i="9"/>
  <c r="D1589" i="9"/>
  <c r="C1589" i="9"/>
  <c r="B1589" i="9"/>
  <c r="A1589" i="9"/>
  <c r="M1588" i="9"/>
  <c r="L1588" i="9"/>
  <c r="K1588" i="9"/>
  <c r="J1588" i="9"/>
  <c r="I1588" i="9"/>
  <c r="H1588" i="9"/>
  <c r="G1588" i="9"/>
  <c r="F1588" i="9"/>
  <c r="E1588" i="9"/>
  <c r="D1588" i="9"/>
  <c r="C1588" i="9"/>
  <c r="B1588" i="9"/>
  <c r="A1588" i="9"/>
  <c r="M1587" i="9"/>
  <c r="L1587" i="9"/>
  <c r="K1587" i="9"/>
  <c r="J1587" i="9"/>
  <c r="I1587" i="9"/>
  <c r="H1587" i="9"/>
  <c r="G1587" i="9"/>
  <c r="F1587" i="9"/>
  <c r="E1587" i="9"/>
  <c r="D1587" i="9"/>
  <c r="C1587" i="9"/>
  <c r="B1587" i="9"/>
  <c r="A1587" i="9"/>
  <c r="M1586" i="9"/>
  <c r="L1586" i="9"/>
  <c r="K1586" i="9"/>
  <c r="J1586" i="9"/>
  <c r="I1586" i="9"/>
  <c r="H1586" i="9"/>
  <c r="G1586" i="9"/>
  <c r="F1586" i="9"/>
  <c r="E1586" i="9"/>
  <c r="D1586" i="9"/>
  <c r="C1586" i="9"/>
  <c r="B1586" i="9"/>
  <c r="A1586" i="9"/>
  <c r="M1585" i="9"/>
  <c r="L1585" i="9"/>
  <c r="K1585" i="9"/>
  <c r="J1585" i="9"/>
  <c r="I1585" i="9"/>
  <c r="H1585" i="9"/>
  <c r="G1585" i="9"/>
  <c r="F1585" i="9"/>
  <c r="E1585" i="9"/>
  <c r="D1585" i="9"/>
  <c r="C1585" i="9"/>
  <c r="B1585" i="9"/>
  <c r="A1585" i="9"/>
  <c r="M1584" i="9"/>
  <c r="L1584" i="9"/>
  <c r="K1584" i="9"/>
  <c r="J1584" i="9"/>
  <c r="I1584" i="9"/>
  <c r="H1584" i="9"/>
  <c r="G1584" i="9"/>
  <c r="F1584" i="9"/>
  <c r="E1584" i="9"/>
  <c r="D1584" i="9"/>
  <c r="C1584" i="9"/>
  <c r="B1584" i="9"/>
  <c r="A1584" i="9"/>
  <c r="M1583" i="9"/>
  <c r="L1583" i="9"/>
  <c r="K1583" i="9"/>
  <c r="J1583" i="9"/>
  <c r="I1583" i="9"/>
  <c r="H1583" i="9"/>
  <c r="G1583" i="9"/>
  <c r="F1583" i="9"/>
  <c r="E1583" i="9"/>
  <c r="D1583" i="9"/>
  <c r="C1583" i="9"/>
  <c r="B1583" i="9"/>
  <c r="A1583" i="9"/>
  <c r="M1582" i="9"/>
  <c r="L1582" i="9"/>
  <c r="K1582" i="9"/>
  <c r="J1582" i="9"/>
  <c r="I1582" i="9"/>
  <c r="H1582" i="9"/>
  <c r="G1582" i="9"/>
  <c r="F1582" i="9"/>
  <c r="E1582" i="9"/>
  <c r="D1582" i="9"/>
  <c r="C1582" i="9"/>
  <c r="B1582" i="9"/>
  <c r="A1582" i="9"/>
  <c r="M1581" i="9"/>
  <c r="L1581" i="9"/>
  <c r="K1581" i="9"/>
  <c r="J1581" i="9"/>
  <c r="I1581" i="9"/>
  <c r="H1581" i="9"/>
  <c r="G1581" i="9"/>
  <c r="F1581" i="9"/>
  <c r="E1581" i="9"/>
  <c r="D1581" i="9"/>
  <c r="C1581" i="9"/>
  <c r="B1581" i="9"/>
  <c r="A1581" i="9"/>
  <c r="M1580" i="9"/>
  <c r="L1580" i="9"/>
  <c r="K1580" i="9"/>
  <c r="J1580" i="9"/>
  <c r="I1580" i="9"/>
  <c r="H1580" i="9"/>
  <c r="G1580" i="9"/>
  <c r="F1580" i="9"/>
  <c r="E1580" i="9"/>
  <c r="D1580" i="9"/>
  <c r="C1580" i="9"/>
  <c r="B1580" i="9"/>
  <c r="A1580" i="9"/>
  <c r="M1579" i="9"/>
  <c r="L1579" i="9"/>
  <c r="K1579" i="9"/>
  <c r="J1579" i="9"/>
  <c r="I1579" i="9"/>
  <c r="H1579" i="9"/>
  <c r="G1579" i="9"/>
  <c r="F1579" i="9"/>
  <c r="E1579" i="9"/>
  <c r="D1579" i="9"/>
  <c r="C1579" i="9"/>
  <c r="B1579" i="9"/>
  <c r="A1579" i="9"/>
  <c r="M1578" i="9"/>
  <c r="L1578" i="9"/>
  <c r="K1578" i="9"/>
  <c r="J1578" i="9"/>
  <c r="I1578" i="9"/>
  <c r="H1578" i="9"/>
  <c r="G1578" i="9"/>
  <c r="F1578" i="9"/>
  <c r="E1578" i="9"/>
  <c r="D1578" i="9"/>
  <c r="C1578" i="9"/>
  <c r="B1578" i="9"/>
  <c r="A1578" i="9"/>
  <c r="M1577" i="9"/>
  <c r="L1577" i="9"/>
  <c r="K1577" i="9"/>
  <c r="J1577" i="9"/>
  <c r="I1577" i="9"/>
  <c r="H1577" i="9"/>
  <c r="G1577" i="9"/>
  <c r="F1577" i="9"/>
  <c r="E1577" i="9"/>
  <c r="D1577" i="9"/>
  <c r="C1577" i="9"/>
  <c r="B1577" i="9"/>
  <c r="A1577" i="9"/>
  <c r="M1576" i="9"/>
  <c r="L1576" i="9"/>
  <c r="K1576" i="9"/>
  <c r="J1576" i="9"/>
  <c r="I1576" i="9"/>
  <c r="H1576" i="9"/>
  <c r="G1576" i="9"/>
  <c r="F1576" i="9"/>
  <c r="E1576" i="9"/>
  <c r="D1576" i="9"/>
  <c r="C1576" i="9"/>
  <c r="B1576" i="9"/>
  <c r="A1576" i="9"/>
  <c r="M1575" i="9"/>
  <c r="L1575" i="9"/>
  <c r="K1575" i="9"/>
  <c r="J1575" i="9"/>
  <c r="I1575" i="9"/>
  <c r="H1575" i="9"/>
  <c r="G1575" i="9"/>
  <c r="F1575" i="9"/>
  <c r="E1575" i="9"/>
  <c r="D1575" i="9"/>
  <c r="C1575" i="9"/>
  <c r="B1575" i="9"/>
  <c r="A1575" i="9"/>
  <c r="M1574" i="9"/>
  <c r="L1574" i="9"/>
  <c r="K1574" i="9"/>
  <c r="J1574" i="9"/>
  <c r="I1574" i="9"/>
  <c r="H1574" i="9"/>
  <c r="G1574" i="9"/>
  <c r="F1574" i="9"/>
  <c r="E1574" i="9"/>
  <c r="D1574" i="9"/>
  <c r="C1574" i="9"/>
  <c r="B1574" i="9"/>
  <c r="A1574" i="9"/>
  <c r="M1573" i="9"/>
  <c r="L1573" i="9"/>
  <c r="K1573" i="9"/>
  <c r="J1573" i="9"/>
  <c r="I1573" i="9"/>
  <c r="H1573" i="9"/>
  <c r="G1573" i="9"/>
  <c r="F1573" i="9"/>
  <c r="E1573" i="9"/>
  <c r="D1573" i="9"/>
  <c r="C1573" i="9"/>
  <c r="B1573" i="9"/>
  <c r="A1573" i="9"/>
  <c r="M1572" i="9"/>
  <c r="L1572" i="9"/>
  <c r="K1572" i="9"/>
  <c r="J1572" i="9"/>
  <c r="I1572" i="9"/>
  <c r="H1572" i="9"/>
  <c r="G1572" i="9"/>
  <c r="F1572" i="9"/>
  <c r="E1572" i="9"/>
  <c r="D1572" i="9"/>
  <c r="C1572" i="9"/>
  <c r="B1572" i="9"/>
  <c r="A1572" i="9"/>
  <c r="M1571" i="9"/>
  <c r="L1571" i="9"/>
  <c r="K1571" i="9"/>
  <c r="J1571" i="9"/>
  <c r="I1571" i="9"/>
  <c r="H1571" i="9"/>
  <c r="G1571" i="9"/>
  <c r="F1571" i="9"/>
  <c r="E1571" i="9"/>
  <c r="D1571" i="9"/>
  <c r="C1571" i="9"/>
  <c r="B1571" i="9"/>
  <c r="A1571" i="9"/>
  <c r="M1570" i="9"/>
  <c r="L1570" i="9"/>
  <c r="K1570" i="9"/>
  <c r="J1570" i="9"/>
  <c r="I1570" i="9"/>
  <c r="H1570" i="9"/>
  <c r="G1570" i="9"/>
  <c r="F1570" i="9"/>
  <c r="E1570" i="9"/>
  <c r="D1570" i="9"/>
  <c r="C1570" i="9"/>
  <c r="B1570" i="9"/>
  <c r="A1570" i="9"/>
  <c r="M1569" i="9"/>
  <c r="L1569" i="9"/>
  <c r="K1569" i="9"/>
  <c r="J1569" i="9"/>
  <c r="I1569" i="9"/>
  <c r="H1569" i="9"/>
  <c r="G1569" i="9"/>
  <c r="F1569" i="9"/>
  <c r="E1569" i="9"/>
  <c r="D1569" i="9"/>
  <c r="C1569" i="9"/>
  <c r="B1569" i="9"/>
  <c r="A1569" i="9"/>
  <c r="M1568" i="9"/>
  <c r="L1568" i="9"/>
  <c r="K1568" i="9"/>
  <c r="J1568" i="9"/>
  <c r="I1568" i="9"/>
  <c r="H1568" i="9"/>
  <c r="G1568" i="9"/>
  <c r="F1568" i="9"/>
  <c r="E1568" i="9"/>
  <c r="D1568" i="9"/>
  <c r="C1568" i="9"/>
  <c r="B1568" i="9"/>
  <c r="A1568" i="9"/>
  <c r="M1567" i="9"/>
  <c r="L1567" i="9"/>
  <c r="K1567" i="9"/>
  <c r="J1567" i="9"/>
  <c r="I1567" i="9"/>
  <c r="H1567" i="9"/>
  <c r="G1567" i="9"/>
  <c r="F1567" i="9"/>
  <c r="E1567" i="9"/>
  <c r="D1567" i="9"/>
  <c r="C1567" i="9"/>
  <c r="B1567" i="9"/>
  <c r="A1567" i="9"/>
  <c r="M1566" i="9"/>
  <c r="L1566" i="9"/>
  <c r="K1566" i="9"/>
  <c r="J1566" i="9"/>
  <c r="I1566" i="9"/>
  <c r="H1566" i="9"/>
  <c r="G1566" i="9"/>
  <c r="F1566" i="9"/>
  <c r="E1566" i="9"/>
  <c r="D1566" i="9"/>
  <c r="C1566" i="9"/>
  <c r="B1566" i="9"/>
  <c r="A1566" i="9"/>
  <c r="M1565" i="9"/>
  <c r="L1565" i="9"/>
  <c r="K1565" i="9"/>
  <c r="J1565" i="9"/>
  <c r="I1565" i="9"/>
  <c r="H1565" i="9"/>
  <c r="G1565" i="9"/>
  <c r="F1565" i="9"/>
  <c r="E1565" i="9"/>
  <c r="D1565" i="9"/>
  <c r="C1565" i="9"/>
  <c r="B1565" i="9"/>
  <c r="A1565" i="9"/>
  <c r="M1564" i="9"/>
  <c r="L1564" i="9"/>
  <c r="K1564" i="9"/>
  <c r="J1564" i="9"/>
  <c r="I1564" i="9"/>
  <c r="H1564" i="9"/>
  <c r="G1564" i="9"/>
  <c r="F1564" i="9"/>
  <c r="E1564" i="9"/>
  <c r="D1564" i="9"/>
  <c r="C1564" i="9"/>
  <c r="B1564" i="9"/>
  <c r="A1564" i="9"/>
  <c r="M1563" i="9"/>
  <c r="L1563" i="9"/>
  <c r="K1563" i="9"/>
  <c r="J1563" i="9"/>
  <c r="I1563" i="9"/>
  <c r="H1563" i="9"/>
  <c r="G1563" i="9"/>
  <c r="F1563" i="9"/>
  <c r="E1563" i="9"/>
  <c r="D1563" i="9"/>
  <c r="C1563" i="9"/>
  <c r="B1563" i="9"/>
  <c r="A1563" i="9"/>
  <c r="M1562" i="9"/>
  <c r="L1562" i="9"/>
  <c r="K1562" i="9"/>
  <c r="J1562" i="9"/>
  <c r="I1562" i="9"/>
  <c r="H1562" i="9"/>
  <c r="G1562" i="9"/>
  <c r="F1562" i="9"/>
  <c r="E1562" i="9"/>
  <c r="D1562" i="9"/>
  <c r="C1562" i="9"/>
  <c r="B1562" i="9"/>
  <c r="A1562" i="9"/>
  <c r="M1561" i="9"/>
  <c r="L1561" i="9"/>
  <c r="K1561" i="9"/>
  <c r="J1561" i="9"/>
  <c r="I1561" i="9"/>
  <c r="H1561" i="9"/>
  <c r="G1561" i="9"/>
  <c r="F1561" i="9"/>
  <c r="E1561" i="9"/>
  <c r="D1561" i="9"/>
  <c r="C1561" i="9"/>
  <c r="B1561" i="9"/>
  <c r="A1561" i="9"/>
  <c r="M1560" i="9"/>
  <c r="L1560" i="9"/>
  <c r="K1560" i="9"/>
  <c r="J1560" i="9"/>
  <c r="I1560" i="9"/>
  <c r="H1560" i="9"/>
  <c r="G1560" i="9"/>
  <c r="F1560" i="9"/>
  <c r="E1560" i="9"/>
  <c r="D1560" i="9"/>
  <c r="C1560" i="9"/>
  <c r="B1560" i="9"/>
  <c r="A1560" i="9"/>
  <c r="M1559" i="9"/>
  <c r="L1559" i="9"/>
  <c r="K1559" i="9"/>
  <c r="J1559" i="9"/>
  <c r="I1559" i="9"/>
  <c r="H1559" i="9"/>
  <c r="G1559" i="9"/>
  <c r="F1559" i="9"/>
  <c r="E1559" i="9"/>
  <c r="D1559" i="9"/>
  <c r="C1559" i="9"/>
  <c r="B1559" i="9"/>
  <c r="A1559" i="9"/>
  <c r="M1558" i="9"/>
  <c r="L1558" i="9"/>
  <c r="K1558" i="9"/>
  <c r="J1558" i="9"/>
  <c r="I1558" i="9"/>
  <c r="H1558" i="9"/>
  <c r="G1558" i="9"/>
  <c r="F1558" i="9"/>
  <c r="E1558" i="9"/>
  <c r="D1558" i="9"/>
  <c r="C1558" i="9"/>
  <c r="B1558" i="9"/>
  <c r="A1558" i="9"/>
  <c r="M1557" i="9"/>
  <c r="L1557" i="9"/>
  <c r="K1557" i="9"/>
  <c r="J1557" i="9"/>
  <c r="I1557" i="9"/>
  <c r="H1557" i="9"/>
  <c r="G1557" i="9"/>
  <c r="F1557" i="9"/>
  <c r="E1557" i="9"/>
  <c r="D1557" i="9"/>
  <c r="C1557" i="9"/>
  <c r="B1557" i="9"/>
  <c r="A1557" i="9"/>
  <c r="M1556" i="9"/>
  <c r="L1556" i="9"/>
  <c r="K1556" i="9"/>
  <c r="J1556" i="9"/>
  <c r="I1556" i="9"/>
  <c r="H1556" i="9"/>
  <c r="G1556" i="9"/>
  <c r="F1556" i="9"/>
  <c r="E1556" i="9"/>
  <c r="D1556" i="9"/>
  <c r="C1556" i="9"/>
  <c r="B1556" i="9"/>
  <c r="A1556" i="9"/>
  <c r="M1555" i="9"/>
  <c r="L1555" i="9"/>
  <c r="K1555" i="9"/>
  <c r="J1555" i="9"/>
  <c r="I1555" i="9"/>
  <c r="H1555" i="9"/>
  <c r="G1555" i="9"/>
  <c r="F1555" i="9"/>
  <c r="E1555" i="9"/>
  <c r="D1555" i="9"/>
  <c r="C1555" i="9"/>
  <c r="B1555" i="9"/>
  <c r="A1555" i="9"/>
  <c r="M1554" i="9"/>
  <c r="L1554" i="9"/>
  <c r="K1554" i="9"/>
  <c r="J1554" i="9"/>
  <c r="I1554" i="9"/>
  <c r="H1554" i="9"/>
  <c r="G1554" i="9"/>
  <c r="F1554" i="9"/>
  <c r="E1554" i="9"/>
  <c r="D1554" i="9"/>
  <c r="C1554" i="9"/>
  <c r="B1554" i="9"/>
  <c r="A1554" i="9"/>
  <c r="M1553" i="9"/>
  <c r="L1553" i="9"/>
  <c r="K1553" i="9"/>
  <c r="J1553" i="9"/>
  <c r="I1553" i="9"/>
  <c r="H1553" i="9"/>
  <c r="G1553" i="9"/>
  <c r="F1553" i="9"/>
  <c r="E1553" i="9"/>
  <c r="D1553" i="9"/>
  <c r="C1553" i="9"/>
  <c r="B1553" i="9"/>
  <c r="A1553" i="9"/>
  <c r="M1552" i="9"/>
  <c r="L1552" i="9"/>
  <c r="K1552" i="9"/>
  <c r="J1552" i="9"/>
  <c r="I1552" i="9"/>
  <c r="H1552" i="9"/>
  <c r="G1552" i="9"/>
  <c r="F1552" i="9"/>
  <c r="E1552" i="9"/>
  <c r="D1552" i="9"/>
  <c r="C1552" i="9"/>
  <c r="B1552" i="9"/>
  <c r="A1552" i="9"/>
  <c r="M1551" i="9"/>
  <c r="L1551" i="9"/>
  <c r="K1551" i="9"/>
  <c r="J1551" i="9"/>
  <c r="I1551" i="9"/>
  <c r="H1551" i="9"/>
  <c r="G1551" i="9"/>
  <c r="F1551" i="9"/>
  <c r="E1551" i="9"/>
  <c r="D1551" i="9"/>
  <c r="C1551" i="9"/>
  <c r="B1551" i="9"/>
  <c r="A1551" i="9"/>
  <c r="M1550" i="9"/>
  <c r="L1550" i="9"/>
  <c r="K1550" i="9"/>
  <c r="J1550" i="9"/>
  <c r="I1550" i="9"/>
  <c r="H1550" i="9"/>
  <c r="G1550" i="9"/>
  <c r="F1550" i="9"/>
  <c r="E1550" i="9"/>
  <c r="D1550" i="9"/>
  <c r="C1550" i="9"/>
  <c r="B1550" i="9"/>
  <c r="A1550" i="9"/>
  <c r="M1549" i="9"/>
  <c r="L1549" i="9"/>
  <c r="K1549" i="9"/>
  <c r="J1549" i="9"/>
  <c r="I1549" i="9"/>
  <c r="H1549" i="9"/>
  <c r="G1549" i="9"/>
  <c r="F1549" i="9"/>
  <c r="E1549" i="9"/>
  <c r="D1549" i="9"/>
  <c r="C1549" i="9"/>
  <c r="B1549" i="9"/>
  <c r="A1549" i="9"/>
  <c r="M1548" i="9"/>
  <c r="L1548" i="9"/>
  <c r="K1548" i="9"/>
  <c r="J1548" i="9"/>
  <c r="I1548" i="9"/>
  <c r="H1548" i="9"/>
  <c r="G1548" i="9"/>
  <c r="F1548" i="9"/>
  <c r="E1548" i="9"/>
  <c r="D1548" i="9"/>
  <c r="C1548" i="9"/>
  <c r="B1548" i="9"/>
  <c r="A1548" i="9"/>
  <c r="M1547" i="9"/>
  <c r="L1547" i="9"/>
  <c r="K1547" i="9"/>
  <c r="J1547" i="9"/>
  <c r="I1547" i="9"/>
  <c r="H1547" i="9"/>
  <c r="G1547" i="9"/>
  <c r="F1547" i="9"/>
  <c r="E1547" i="9"/>
  <c r="D1547" i="9"/>
  <c r="C1547" i="9"/>
  <c r="B1547" i="9"/>
  <c r="A1547" i="9"/>
  <c r="M1546" i="9"/>
  <c r="L1546" i="9"/>
  <c r="K1546" i="9"/>
  <c r="J1546" i="9"/>
  <c r="I1546" i="9"/>
  <c r="H1546" i="9"/>
  <c r="G1546" i="9"/>
  <c r="F1546" i="9"/>
  <c r="E1546" i="9"/>
  <c r="D1546" i="9"/>
  <c r="C1546" i="9"/>
  <c r="B1546" i="9"/>
  <c r="A1546" i="9"/>
  <c r="M1545" i="9"/>
  <c r="L1545" i="9"/>
  <c r="K1545" i="9"/>
  <c r="J1545" i="9"/>
  <c r="I1545" i="9"/>
  <c r="H1545" i="9"/>
  <c r="G1545" i="9"/>
  <c r="F1545" i="9"/>
  <c r="E1545" i="9"/>
  <c r="D1545" i="9"/>
  <c r="C1545" i="9"/>
  <c r="B1545" i="9"/>
  <c r="A1545" i="9"/>
  <c r="M1544" i="9"/>
  <c r="L1544" i="9"/>
  <c r="K1544" i="9"/>
  <c r="J1544" i="9"/>
  <c r="I1544" i="9"/>
  <c r="H1544" i="9"/>
  <c r="G1544" i="9"/>
  <c r="F1544" i="9"/>
  <c r="E1544" i="9"/>
  <c r="D1544" i="9"/>
  <c r="C1544" i="9"/>
  <c r="B1544" i="9"/>
  <c r="A1544" i="9"/>
  <c r="M1543" i="9"/>
  <c r="L1543" i="9"/>
  <c r="K1543" i="9"/>
  <c r="J1543" i="9"/>
  <c r="I1543" i="9"/>
  <c r="H1543" i="9"/>
  <c r="G1543" i="9"/>
  <c r="F1543" i="9"/>
  <c r="E1543" i="9"/>
  <c r="D1543" i="9"/>
  <c r="C1543" i="9"/>
  <c r="B1543" i="9"/>
  <c r="A1543" i="9"/>
  <c r="M1542" i="9"/>
  <c r="L1542" i="9"/>
  <c r="K1542" i="9"/>
  <c r="J1542" i="9"/>
  <c r="I1542" i="9"/>
  <c r="H1542" i="9"/>
  <c r="G1542" i="9"/>
  <c r="F1542" i="9"/>
  <c r="E1542" i="9"/>
  <c r="D1542" i="9"/>
  <c r="C1542" i="9"/>
  <c r="B1542" i="9"/>
  <c r="A1542" i="9"/>
  <c r="M1541" i="9"/>
  <c r="L1541" i="9"/>
  <c r="K1541" i="9"/>
  <c r="J1541" i="9"/>
  <c r="I1541" i="9"/>
  <c r="H1541" i="9"/>
  <c r="G1541" i="9"/>
  <c r="F1541" i="9"/>
  <c r="E1541" i="9"/>
  <c r="D1541" i="9"/>
  <c r="C1541" i="9"/>
  <c r="B1541" i="9"/>
  <c r="A1541" i="9"/>
  <c r="M1540" i="9"/>
  <c r="L1540" i="9"/>
  <c r="K1540" i="9"/>
  <c r="J1540" i="9"/>
  <c r="I1540" i="9"/>
  <c r="H1540" i="9"/>
  <c r="G1540" i="9"/>
  <c r="F1540" i="9"/>
  <c r="E1540" i="9"/>
  <c r="D1540" i="9"/>
  <c r="C1540" i="9"/>
  <c r="B1540" i="9"/>
  <c r="A1540" i="9"/>
  <c r="M1539" i="9"/>
  <c r="L1539" i="9"/>
  <c r="K1539" i="9"/>
  <c r="J1539" i="9"/>
  <c r="I1539" i="9"/>
  <c r="H1539" i="9"/>
  <c r="G1539" i="9"/>
  <c r="F1539" i="9"/>
  <c r="E1539" i="9"/>
  <c r="D1539" i="9"/>
  <c r="C1539" i="9"/>
  <c r="B1539" i="9"/>
  <c r="A1539" i="9"/>
  <c r="M1538" i="9"/>
  <c r="L1538" i="9"/>
  <c r="K1538" i="9"/>
  <c r="J1538" i="9"/>
  <c r="I1538" i="9"/>
  <c r="H1538" i="9"/>
  <c r="G1538" i="9"/>
  <c r="F1538" i="9"/>
  <c r="E1538" i="9"/>
  <c r="D1538" i="9"/>
  <c r="C1538" i="9"/>
  <c r="B1538" i="9"/>
  <c r="A1538" i="9"/>
  <c r="M1537" i="9"/>
  <c r="L1537" i="9"/>
  <c r="K1537" i="9"/>
  <c r="J1537" i="9"/>
  <c r="I1537" i="9"/>
  <c r="H1537" i="9"/>
  <c r="G1537" i="9"/>
  <c r="F1537" i="9"/>
  <c r="E1537" i="9"/>
  <c r="D1537" i="9"/>
  <c r="C1537" i="9"/>
  <c r="B1537" i="9"/>
  <c r="A1537" i="9"/>
  <c r="M1536" i="9"/>
  <c r="L1536" i="9"/>
  <c r="K1536" i="9"/>
  <c r="J1536" i="9"/>
  <c r="I1536" i="9"/>
  <c r="H1536" i="9"/>
  <c r="G1536" i="9"/>
  <c r="F1536" i="9"/>
  <c r="E1536" i="9"/>
  <c r="D1536" i="9"/>
  <c r="C1536" i="9"/>
  <c r="B1536" i="9"/>
  <c r="A1536" i="9"/>
  <c r="M1535" i="9"/>
  <c r="L1535" i="9"/>
  <c r="K1535" i="9"/>
  <c r="J1535" i="9"/>
  <c r="I1535" i="9"/>
  <c r="H1535" i="9"/>
  <c r="G1535" i="9"/>
  <c r="F1535" i="9"/>
  <c r="E1535" i="9"/>
  <c r="D1535" i="9"/>
  <c r="C1535" i="9"/>
  <c r="B1535" i="9"/>
  <c r="A1535" i="9"/>
  <c r="M1534" i="9"/>
  <c r="L1534" i="9"/>
  <c r="K1534" i="9"/>
  <c r="J1534" i="9"/>
  <c r="I1534" i="9"/>
  <c r="H1534" i="9"/>
  <c r="G1534" i="9"/>
  <c r="F1534" i="9"/>
  <c r="E1534" i="9"/>
  <c r="D1534" i="9"/>
  <c r="C1534" i="9"/>
  <c r="B1534" i="9"/>
  <c r="A1534" i="9"/>
  <c r="M1533" i="9"/>
  <c r="L1533" i="9"/>
  <c r="K1533" i="9"/>
  <c r="J1533" i="9"/>
  <c r="I1533" i="9"/>
  <c r="H1533" i="9"/>
  <c r="G1533" i="9"/>
  <c r="F1533" i="9"/>
  <c r="E1533" i="9"/>
  <c r="D1533" i="9"/>
  <c r="C1533" i="9"/>
  <c r="B1533" i="9"/>
  <c r="A1533" i="9"/>
  <c r="M1532" i="9"/>
  <c r="L1532" i="9"/>
  <c r="K1532" i="9"/>
  <c r="J1532" i="9"/>
  <c r="I1532" i="9"/>
  <c r="H1532" i="9"/>
  <c r="G1532" i="9"/>
  <c r="F1532" i="9"/>
  <c r="E1532" i="9"/>
  <c r="D1532" i="9"/>
  <c r="C1532" i="9"/>
  <c r="B1532" i="9"/>
  <c r="A1532" i="9"/>
  <c r="M1531" i="9"/>
  <c r="L1531" i="9"/>
  <c r="K1531" i="9"/>
  <c r="J1531" i="9"/>
  <c r="I1531" i="9"/>
  <c r="H1531" i="9"/>
  <c r="G1531" i="9"/>
  <c r="F1531" i="9"/>
  <c r="E1531" i="9"/>
  <c r="D1531" i="9"/>
  <c r="C1531" i="9"/>
  <c r="B1531" i="9"/>
  <c r="A1531" i="9"/>
  <c r="M1530" i="9"/>
  <c r="L1530" i="9"/>
  <c r="K1530" i="9"/>
  <c r="J1530" i="9"/>
  <c r="I1530" i="9"/>
  <c r="H1530" i="9"/>
  <c r="G1530" i="9"/>
  <c r="F1530" i="9"/>
  <c r="E1530" i="9"/>
  <c r="D1530" i="9"/>
  <c r="C1530" i="9"/>
  <c r="B1530" i="9"/>
  <c r="A1530" i="9"/>
  <c r="M1529" i="9"/>
  <c r="L1529" i="9"/>
  <c r="K1529" i="9"/>
  <c r="J1529" i="9"/>
  <c r="I1529" i="9"/>
  <c r="H1529" i="9"/>
  <c r="G1529" i="9"/>
  <c r="F1529" i="9"/>
  <c r="E1529" i="9"/>
  <c r="D1529" i="9"/>
  <c r="C1529" i="9"/>
  <c r="B1529" i="9"/>
  <c r="A1529" i="9"/>
  <c r="M1528" i="9"/>
  <c r="L1528" i="9"/>
  <c r="K1528" i="9"/>
  <c r="J1528" i="9"/>
  <c r="I1528" i="9"/>
  <c r="H1528" i="9"/>
  <c r="G1528" i="9"/>
  <c r="F1528" i="9"/>
  <c r="E1528" i="9"/>
  <c r="D1528" i="9"/>
  <c r="C1528" i="9"/>
  <c r="B1528" i="9"/>
  <c r="A1528" i="9"/>
  <c r="M1527" i="9"/>
  <c r="L1527" i="9"/>
  <c r="K1527" i="9"/>
  <c r="J1527" i="9"/>
  <c r="I1527" i="9"/>
  <c r="H1527" i="9"/>
  <c r="G1527" i="9"/>
  <c r="F1527" i="9"/>
  <c r="E1527" i="9"/>
  <c r="D1527" i="9"/>
  <c r="C1527" i="9"/>
  <c r="B1527" i="9"/>
  <c r="A1527" i="9"/>
  <c r="M1526" i="9"/>
  <c r="L1526" i="9"/>
  <c r="K1526" i="9"/>
  <c r="J1526" i="9"/>
  <c r="I1526" i="9"/>
  <c r="H1526" i="9"/>
  <c r="G1526" i="9"/>
  <c r="F1526" i="9"/>
  <c r="E1526" i="9"/>
  <c r="D1526" i="9"/>
  <c r="C1526" i="9"/>
  <c r="B1526" i="9"/>
  <c r="A1526" i="9"/>
  <c r="M1525" i="9"/>
  <c r="L1525" i="9"/>
  <c r="K1525" i="9"/>
  <c r="J1525" i="9"/>
  <c r="I1525" i="9"/>
  <c r="H1525" i="9"/>
  <c r="G1525" i="9"/>
  <c r="F1525" i="9"/>
  <c r="E1525" i="9"/>
  <c r="D1525" i="9"/>
  <c r="C1525" i="9"/>
  <c r="B1525" i="9"/>
  <c r="A1525" i="9"/>
  <c r="M1524" i="9"/>
  <c r="L1524" i="9"/>
  <c r="K1524" i="9"/>
  <c r="J1524" i="9"/>
  <c r="I1524" i="9"/>
  <c r="H1524" i="9"/>
  <c r="G1524" i="9"/>
  <c r="F1524" i="9"/>
  <c r="E1524" i="9"/>
  <c r="D1524" i="9"/>
  <c r="C1524" i="9"/>
  <c r="B1524" i="9"/>
  <c r="A1524" i="9"/>
  <c r="M1523" i="9"/>
  <c r="L1523" i="9"/>
  <c r="K1523" i="9"/>
  <c r="J1523" i="9"/>
  <c r="I1523" i="9"/>
  <c r="H1523" i="9"/>
  <c r="G1523" i="9"/>
  <c r="F1523" i="9"/>
  <c r="E1523" i="9"/>
  <c r="D1523" i="9"/>
  <c r="C1523" i="9"/>
  <c r="B1523" i="9"/>
  <c r="A1523" i="9"/>
  <c r="M1522" i="9"/>
  <c r="L1522" i="9"/>
  <c r="K1522" i="9"/>
  <c r="J1522" i="9"/>
  <c r="I1522" i="9"/>
  <c r="H1522" i="9"/>
  <c r="G1522" i="9"/>
  <c r="F1522" i="9"/>
  <c r="E1522" i="9"/>
  <c r="D1522" i="9"/>
  <c r="C1522" i="9"/>
  <c r="B1522" i="9"/>
  <c r="A1522" i="9"/>
  <c r="M1521" i="9"/>
  <c r="L1521" i="9"/>
  <c r="K1521" i="9"/>
  <c r="J1521" i="9"/>
  <c r="I1521" i="9"/>
  <c r="H1521" i="9"/>
  <c r="G1521" i="9"/>
  <c r="F1521" i="9"/>
  <c r="E1521" i="9"/>
  <c r="D1521" i="9"/>
  <c r="C1521" i="9"/>
  <c r="B1521" i="9"/>
  <c r="A1521" i="9"/>
  <c r="M1520" i="9"/>
  <c r="L1520" i="9"/>
  <c r="K1520" i="9"/>
  <c r="J1520" i="9"/>
  <c r="I1520" i="9"/>
  <c r="H1520" i="9"/>
  <c r="G1520" i="9"/>
  <c r="F1520" i="9"/>
  <c r="E1520" i="9"/>
  <c r="D1520" i="9"/>
  <c r="C1520" i="9"/>
  <c r="B1520" i="9"/>
  <c r="A1520" i="9"/>
  <c r="M1519" i="9"/>
  <c r="L1519" i="9"/>
  <c r="K1519" i="9"/>
  <c r="J1519" i="9"/>
  <c r="I1519" i="9"/>
  <c r="H1519" i="9"/>
  <c r="G1519" i="9"/>
  <c r="F1519" i="9"/>
  <c r="E1519" i="9"/>
  <c r="D1519" i="9"/>
  <c r="C1519" i="9"/>
  <c r="B1519" i="9"/>
  <c r="A1519" i="9"/>
  <c r="M1518" i="9"/>
  <c r="L1518" i="9"/>
  <c r="K1518" i="9"/>
  <c r="J1518" i="9"/>
  <c r="I1518" i="9"/>
  <c r="H1518" i="9"/>
  <c r="G1518" i="9"/>
  <c r="F1518" i="9"/>
  <c r="E1518" i="9"/>
  <c r="D1518" i="9"/>
  <c r="C1518" i="9"/>
  <c r="B1518" i="9"/>
  <c r="A1518" i="9"/>
  <c r="M1517" i="9"/>
  <c r="L1517" i="9"/>
  <c r="K1517" i="9"/>
  <c r="J1517" i="9"/>
  <c r="I1517" i="9"/>
  <c r="H1517" i="9"/>
  <c r="G1517" i="9"/>
  <c r="F1517" i="9"/>
  <c r="E1517" i="9"/>
  <c r="D1517" i="9"/>
  <c r="C1517" i="9"/>
  <c r="B1517" i="9"/>
  <c r="A1517" i="9"/>
  <c r="M1516" i="9"/>
  <c r="L1516" i="9"/>
  <c r="K1516" i="9"/>
  <c r="J1516" i="9"/>
  <c r="I1516" i="9"/>
  <c r="H1516" i="9"/>
  <c r="G1516" i="9"/>
  <c r="F1516" i="9"/>
  <c r="E1516" i="9"/>
  <c r="D1516" i="9"/>
  <c r="C1516" i="9"/>
  <c r="B1516" i="9"/>
  <c r="A1516" i="9"/>
  <c r="M1515" i="9"/>
  <c r="L1515" i="9"/>
  <c r="K1515" i="9"/>
  <c r="J1515" i="9"/>
  <c r="I1515" i="9"/>
  <c r="H1515" i="9"/>
  <c r="G1515" i="9"/>
  <c r="F1515" i="9"/>
  <c r="E1515" i="9"/>
  <c r="D1515" i="9"/>
  <c r="C1515" i="9"/>
  <c r="B1515" i="9"/>
  <c r="A1515" i="9"/>
  <c r="M1514" i="9"/>
  <c r="L1514" i="9"/>
  <c r="K1514" i="9"/>
  <c r="J1514" i="9"/>
  <c r="I1514" i="9"/>
  <c r="H1514" i="9"/>
  <c r="G1514" i="9"/>
  <c r="F1514" i="9"/>
  <c r="E1514" i="9"/>
  <c r="D1514" i="9"/>
  <c r="C1514" i="9"/>
  <c r="B1514" i="9"/>
  <c r="A1514" i="9"/>
  <c r="M1513" i="9"/>
  <c r="L1513" i="9"/>
  <c r="K1513" i="9"/>
  <c r="J1513" i="9"/>
  <c r="I1513" i="9"/>
  <c r="H1513" i="9"/>
  <c r="G1513" i="9"/>
  <c r="F1513" i="9"/>
  <c r="E1513" i="9"/>
  <c r="D1513" i="9"/>
  <c r="C1513" i="9"/>
  <c r="B1513" i="9"/>
  <c r="A1513" i="9"/>
  <c r="M1512" i="9"/>
  <c r="L1512" i="9"/>
  <c r="K1512" i="9"/>
  <c r="J1512" i="9"/>
  <c r="I1512" i="9"/>
  <c r="H1512" i="9"/>
  <c r="G1512" i="9"/>
  <c r="F1512" i="9"/>
  <c r="E1512" i="9"/>
  <c r="D1512" i="9"/>
  <c r="C1512" i="9"/>
  <c r="B1512" i="9"/>
  <c r="A1512" i="9"/>
  <c r="M1511" i="9"/>
  <c r="L1511" i="9"/>
  <c r="K1511" i="9"/>
  <c r="J1511" i="9"/>
  <c r="I1511" i="9"/>
  <c r="H1511" i="9"/>
  <c r="G1511" i="9"/>
  <c r="F1511" i="9"/>
  <c r="E1511" i="9"/>
  <c r="D1511" i="9"/>
  <c r="C1511" i="9"/>
  <c r="B1511" i="9"/>
  <c r="A1511" i="9"/>
  <c r="M1510" i="9"/>
  <c r="L1510" i="9"/>
  <c r="K1510" i="9"/>
  <c r="J1510" i="9"/>
  <c r="I1510" i="9"/>
  <c r="H1510" i="9"/>
  <c r="G1510" i="9"/>
  <c r="F1510" i="9"/>
  <c r="E1510" i="9"/>
  <c r="D1510" i="9"/>
  <c r="C1510" i="9"/>
  <c r="B1510" i="9"/>
  <c r="A1510" i="9"/>
  <c r="M1509" i="9"/>
  <c r="L1509" i="9"/>
  <c r="K1509" i="9"/>
  <c r="J1509" i="9"/>
  <c r="I1509" i="9"/>
  <c r="H1509" i="9"/>
  <c r="G1509" i="9"/>
  <c r="F1509" i="9"/>
  <c r="E1509" i="9"/>
  <c r="D1509" i="9"/>
  <c r="C1509" i="9"/>
  <c r="B1509" i="9"/>
  <c r="A1509" i="9"/>
  <c r="M1508" i="9"/>
  <c r="L1508" i="9"/>
  <c r="K1508" i="9"/>
  <c r="J1508" i="9"/>
  <c r="I1508" i="9"/>
  <c r="H1508" i="9"/>
  <c r="G1508" i="9"/>
  <c r="F1508" i="9"/>
  <c r="E1508" i="9"/>
  <c r="D1508" i="9"/>
  <c r="C1508" i="9"/>
  <c r="B1508" i="9"/>
  <c r="A1508" i="9"/>
  <c r="M1507" i="9"/>
  <c r="L1507" i="9"/>
  <c r="K1507" i="9"/>
  <c r="J1507" i="9"/>
  <c r="I1507" i="9"/>
  <c r="H1507" i="9"/>
  <c r="G1507" i="9"/>
  <c r="F1507" i="9"/>
  <c r="E1507" i="9"/>
  <c r="D1507" i="9"/>
  <c r="C1507" i="9"/>
  <c r="B1507" i="9"/>
  <c r="A1507" i="9"/>
  <c r="M1506" i="9"/>
  <c r="L1506" i="9"/>
  <c r="K1506" i="9"/>
  <c r="J1506" i="9"/>
  <c r="I1506" i="9"/>
  <c r="H1506" i="9"/>
  <c r="G1506" i="9"/>
  <c r="F1506" i="9"/>
  <c r="E1506" i="9"/>
  <c r="D1506" i="9"/>
  <c r="C1506" i="9"/>
  <c r="B1506" i="9"/>
  <c r="A1506" i="9"/>
  <c r="M1505" i="9"/>
  <c r="L1505" i="9"/>
  <c r="K1505" i="9"/>
  <c r="J1505" i="9"/>
  <c r="I1505" i="9"/>
  <c r="H1505" i="9"/>
  <c r="G1505" i="9"/>
  <c r="F1505" i="9"/>
  <c r="E1505" i="9"/>
  <c r="D1505" i="9"/>
  <c r="C1505" i="9"/>
  <c r="B1505" i="9"/>
  <c r="A1505" i="9"/>
  <c r="M1504" i="9"/>
  <c r="L1504" i="9"/>
  <c r="K1504" i="9"/>
  <c r="J1504" i="9"/>
  <c r="I1504" i="9"/>
  <c r="H1504" i="9"/>
  <c r="G1504" i="9"/>
  <c r="F1504" i="9"/>
  <c r="E1504" i="9"/>
  <c r="D1504" i="9"/>
  <c r="C1504" i="9"/>
  <c r="B1504" i="9"/>
  <c r="A1504" i="9"/>
  <c r="M1503" i="9"/>
  <c r="L1503" i="9"/>
  <c r="K1503" i="9"/>
  <c r="J1503" i="9"/>
  <c r="I1503" i="9"/>
  <c r="H1503" i="9"/>
  <c r="G1503" i="9"/>
  <c r="F1503" i="9"/>
  <c r="E1503" i="9"/>
  <c r="D1503" i="9"/>
  <c r="C1503" i="9"/>
  <c r="B1503" i="9"/>
  <c r="A1503" i="9"/>
  <c r="M1502" i="9"/>
  <c r="L1502" i="9"/>
  <c r="K1502" i="9"/>
  <c r="J1502" i="9"/>
  <c r="I1502" i="9"/>
  <c r="H1502" i="9"/>
  <c r="G1502" i="9"/>
  <c r="F1502" i="9"/>
  <c r="E1502" i="9"/>
  <c r="D1502" i="9"/>
  <c r="C1502" i="9"/>
  <c r="B1502" i="9"/>
  <c r="A1502" i="9"/>
  <c r="M1501" i="9"/>
  <c r="L1501" i="9"/>
  <c r="K1501" i="9"/>
  <c r="J1501" i="9"/>
  <c r="I1501" i="9"/>
  <c r="H1501" i="9"/>
  <c r="G1501" i="9"/>
  <c r="F1501" i="9"/>
  <c r="E1501" i="9"/>
  <c r="D1501" i="9"/>
  <c r="C1501" i="9"/>
  <c r="B1501" i="9"/>
  <c r="A1501" i="9"/>
  <c r="M1500" i="9"/>
  <c r="L1500" i="9"/>
  <c r="K1500" i="9"/>
  <c r="J1500" i="9"/>
  <c r="I1500" i="9"/>
  <c r="H1500" i="9"/>
  <c r="G1500" i="9"/>
  <c r="F1500" i="9"/>
  <c r="E1500" i="9"/>
  <c r="D1500" i="9"/>
  <c r="C1500" i="9"/>
  <c r="B1500" i="9"/>
  <c r="A1500" i="9"/>
  <c r="M1499" i="9"/>
  <c r="L1499" i="9"/>
  <c r="K1499" i="9"/>
  <c r="J1499" i="9"/>
  <c r="I1499" i="9"/>
  <c r="H1499" i="9"/>
  <c r="G1499" i="9"/>
  <c r="F1499" i="9"/>
  <c r="E1499" i="9"/>
  <c r="D1499" i="9"/>
  <c r="C1499" i="9"/>
  <c r="B1499" i="9"/>
  <c r="A1499" i="9"/>
  <c r="M1498" i="9"/>
  <c r="L1498" i="9"/>
  <c r="K1498" i="9"/>
  <c r="J1498" i="9"/>
  <c r="I1498" i="9"/>
  <c r="H1498" i="9"/>
  <c r="G1498" i="9"/>
  <c r="F1498" i="9"/>
  <c r="E1498" i="9"/>
  <c r="D1498" i="9"/>
  <c r="C1498" i="9"/>
  <c r="B1498" i="9"/>
  <c r="A1498" i="9"/>
  <c r="M1497" i="9"/>
  <c r="L1497" i="9"/>
  <c r="K1497" i="9"/>
  <c r="J1497" i="9"/>
  <c r="I1497" i="9"/>
  <c r="H1497" i="9"/>
  <c r="G1497" i="9"/>
  <c r="F1497" i="9"/>
  <c r="E1497" i="9"/>
  <c r="D1497" i="9"/>
  <c r="C1497" i="9"/>
  <c r="B1497" i="9"/>
  <c r="A1497" i="9"/>
  <c r="M1496" i="9"/>
  <c r="L1496" i="9"/>
  <c r="K1496" i="9"/>
  <c r="J1496" i="9"/>
  <c r="I1496" i="9"/>
  <c r="H1496" i="9"/>
  <c r="G1496" i="9"/>
  <c r="F1496" i="9"/>
  <c r="E1496" i="9"/>
  <c r="D1496" i="9"/>
  <c r="C1496" i="9"/>
  <c r="B1496" i="9"/>
  <c r="A1496" i="9"/>
  <c r="M1495" i="9"/>
  <c r="L1495" i="9"/>
  <c r="K1495" i="9"/>
  <c r="J1495" i="9"/>
  <c r="I1495" i="9"/>
  <c r="H1495" i="9"/>
  <c r="G1495" i="9"/>
  <c r="F1495" i="9"/>
  <c r="E1495" i="9"/>
  <c r="D1495" i="9"/>
  <c r="C1495" i="9"/>
  <c r="B1495" i="9"/>
  <c r="A1495" i="9"/>
  <c r="M1494" i="9"/>
  <c r="L1494" i="9"/>
  <c r="K1494" i="9"/>
  <c r="J1494" i="9"/>
  <c r="I1494" i="9"/>
  <c r="H1494" i="9"/>
  <c r="G1494" i="9"/>
  <c r="F1494" i="9"/>
  <c r="E1494" i="9"/>
  <c r="D1494" i="9"/>
  <c r="C1494" i="9"/>
  <c r="B1494" i="9"/>
  <c r="A1494" i="9"/>
  <c r="M1493" i="9"/>
  <c r="L1493" i="9"/>
  <c r="K1493" i="9"/>
  <c r="J1493" i="9"/>
  <c r="I1493" i="9"/>
  <c r="H1493" i="9"/>
  <c r="G1493" i="9"/>
  <c r="F1493" i="9"/>
  <c r="E1493" i="9"/>
  <c r="D1493" i="9"/>
  <c r="C1493" i="9"/>
  <c r="B1493" i="9"/>
  <c r="A1493" i="9"/>
  <c r="M1492" i="9"/>
  <c r="L1492" i="9"/>
  <c r="K1492" i="9"/>
  <c r="J1492" i="9"/>
  <c r="I1492" i="9"/>
  <c r="H1492" i="9"/>
  <c r="G1492" i="9"/>
  <c r="F1492" i="9"/>
  <c r="E1492" i="9"/>
  <c r="D1492" i="9"/>
  <c r="C1492" i="9"/>
  <c r="B1492" i="9"/>
  <c r="A1492" i="9"/>
  <c r="M1491" i="9"/>
  <c r="L1491" i="9"/>
  <c r="K1491" i="9"/>
  <c r="J1491" i="9"/>
  <c r="I1491" i="9"/>
  <c r="H1491" i="9"/>
  <c r="G1491" i="9"/>
  <c r="F1491" i="9"/>
  <c r="E1491" i="9"/>
  <c r="D1491" i="9"/>
  <c r="C1491" i="9"/>
  <c r="B1491" i="9"/>
  <c r="A1491" i="9"/>
  <c r="M1490" i="9"/>
  <c r="L1490" i="9"/>
  <c r="K1490" i="9"/>
  <c r="J1490" i="9"/>
  <c r="I1490" i="9"/>
  <c r="H1490" i="9"/>
  <c r="G1490" i="9"/>
  <c r="F1490" i="9"/>
  <c r="E1490" i="9"/>
  <c r="D1490" i="9"/>
  <c r="C1490" i="9"/>
  <c r="B1490" i="9"/>
  <c r="A1490" i="9"/>
  <c r="M1489" i="9"/>
  <c r="L1489" i="9"/>
  <c r="K1489" i="9"/>
  <c r="J1489" i="9"/>
  <c r="I1489" i="9"/>
  <c r="H1489" i="9"/>
  <c r="G1489" i="9"/>
  <c r="F1489" i="9"/>
  <c r="E1489" i="9"/>
  <c r="D1489" i="9"/>
  <c r="C1489" i="9"/>
  <c r="B1489" i="9"/>
  <c r="A1489" i="9"/>
  <c r="M1488" i="9"/>
  <c r="L1488" i="9"/>
  <c r="K1488" i="9"/>
  <c r="J1488" i="9"/>
  <c r="I1488" i="9"/>
  <c r="H1488" i="9"/>
  <c r="G1488" i="9"/>
  <c r="F1488" i="9"/>
  <c r="E1488" i="9"/>
  <c r="D1488" i="9"/>
  <c r="C1488" i="9"/>
  <c r="B1488" i="9"/>
  <c r="A1488" i="9"/>
  <c r="M1487" i="9"/>
  <c r="L1487" i="9"/>
  <c r="K1487" i="9"/>
  <c r="J1487" i="9"/>
  <c r="I1487" i="9"/>
  <c r="H1487" i="9"/>
  <c r="G1487" i="9"/>
  <c r="F1487" i="9"/>
  <c r="E1487" i="9"/>
  <c r="D1487" i="9"/>
  <c r="C1487" i="9"/>
  <c r="B1487" i="9"/>
  <c r="A1487" i="9"/>
  <c r="M1486" i="9"/>
  <c r="L1486" i="9"/>
  <c r="K1486" i="9"/>
  <c r="J1486" i="9"/>
  <c r="I1486" i="9"/>
  <c r="H1486" i="9"/>
  <c r="G1486" i="9"/>
  <c r="F1486" i="9"/>
  <c r="E1486" i="9"/>
  <c r="D1486" i="9"/>
  <c r="C1486" i="9"/>
  <c r="B1486" i="9"/>
  <c r="A1486" i="9"/>
  <c r="M1485" i="9"/>
  <c r="L1485" i="9"/>
  <c r="K1485" i="9"/>
  <c r="J1485" i="9"/>
  <c r="I1485" i="9"/>
  <c r="H1485" i="9"/>
  <c r="G1485" i="9"/>
  <c r="F1485" i="9"/>
  <c r="E1485" i="9"/>
  <c r="D1485" i="9"/>
  <c r="C1485" i="9"/>
  <c r="B1485" i="9"/>
  <c r="A1485" i="9"/>
  <c r="M1484" i="9"/>
  <c r="L1484" i="9"/>
  <c r="K1484" i="9"/>
  <c r="J1484" i="9"/>
  <c r="I1484" i="9"/>
  <c r="H1484" i="9"/>
  <c r="G1484" i="9"/>
  <c r="F1484" i="9"/>
  <c r="E1484" i="9"/>
  <c r="D1484" i="9"/>
  <c r="C1484" i="9"/>
  <c r="B1484" i="9"/>
  <c r="A1484" i="9"/>
  <c r="M1483" i="9"/>
  <c r="L1483" i="9"/>
  <c r="K1483" i="9"/>
  <c r="J1483" i="9"/>
  <c r="I1483" i="9"/>
  <c r="H1483" i="9"/>
  <c r="G1483" i="9"/>
  <c r="F1483" i="9"/>
  <c r="E1483" i="9"/>
  <c r="D1483" i="9"/>
  <c r="C1483" i="9"/>
  <c r="B1483" i="9"/>
  <c r="A1483" i="9"/>
  <c r="M1482" i="9"/>
  <c r="L1482" i="9"/>
  <c r="K1482" i="9"/>
  <c r="J1482" i="9"/>
  <c r="I1482" i="9"/>
  <c r="H1482" i="9"/>
  <c r="G1482" i="9"/>
  <c r="F1482" i="9"/>
  <c r="E1482" i="9"/>
  <c r="D1482" i="9"/>
  <c r="C1482" i="9"/>
  <c r="B1482" i="9"/>
  <c r="A1482" i="9"/>
  <c r="M1481" i="9"/>
  <c r="L1481" i="9"/>
  <c r="K1481" i="9"/>
  <c r="J1481" i="9"/>
  <c r="I1481" i="9"/>
  <c r="H1481" i="9"/>
  <c r="G1481" i="9"/>
  <c r="F1481" i="9"/>
  <c r="E1481" i="9"/>
  <c r="D1481" i="9"/>
  <c r="C1481" i="9"/>
  <c r="B1481" i="9"/>
  <c r="A1481" i="9"/>
  <c r="M1480" i="9"/>
  <c r="L1480" i="9"/>
  <c r="K1480" i="9"/>
  <c r="J1480" i="9"/>
  <c r="I1480" i="9"/>
  <c r="H1480" i="9"/>
  <c r="G1480" i="9"/>
  <c r="F1480" i="9"/>
  <c r="E1480" i="9"/>
  <c r="D1480" i="9"/>
  <c r="C1480" i="9"/>
  <c r="B1480" i="9"/>
  <c r="A1480" i="9"/>
  <c r="M1479" i="9"/>
  <c r="L1479" i="9"/>
  <c r="K1479" i="9"/>
  <c r="J1479" i="9"/>
  <c r="I1479" i="9"/>
  <c r="H1479" i="9"/>
  <c r="G1479" i="9"/>
  <c r="F1479" i="9"/>
  <c r="E1479" i="9"/>
  <c r="D1479" i="9"/>
  <c r="C1479" i="9"/>
  <c r="B1479" i="9"/>
  <c r="A1479" i="9"/>
  <c r="M1478" i="9"/>
  <c r="L1478" i="9"/>
  <c r="K1478" i="9"/>
  <c r="J1478" i="9"/>
  <c r="I1478" i="9"/>
  <c r="H1478" i="9"/>
  <c r="G1478" i="9"/>
  <c r="F1478" i="9"/>
  <c r="E1478" i="9"/>
  <c r="D1478" i="9"/>
  <c r="C1478" i="9"/>
  <c r="B1478" i="9"/>
  <c r="A1478" i="9"/>
  <c r="M1477" i="9"/>
  <c r="L1477" i="9"/>
  <c r="K1477" i="9"/>
  <c r="J1477" i="9"/>
  <c r="I1477" i="9"/>
  <c r="H1477" i="9"/>
  <c r="G1477" i="9"/>
  <c r="F1477" i="9"/>
  <c r="E1477" i="9"/>
  <c r="D1477" i="9"/>
  <c r="C1477" i="9"/>
  <c r="B1477" i="9"/>
  <c r="A1477" i="9"/>
  <c r="M1476" i="9"/>
  <c r="L1476" i="9"/>
  <c r="K1476" i="9"/>
  <c r="J1476" i="9"/>
  <c r="I1476" i="9"/>
  <c r="H1476" i="9"/>
  <c r="G1476" i="9"/>
  <c r="F1476" i="9"/>
  <c r="E1476" i="9"/>
  <c r="D1476" i="9"/>
  <c r="C1476" i="9"/>
  <c r="B1476" i="9"/>
  <c r="A1476" i="9"/>
  <c r="M1475" i="9"/>
  <c r="L1475" i="9"/>
  <c r="K1475" i="9"/>
  <c r="J1475" i="9"/>
  <c r="I1475" i="9"/>
  <c r="H1475" i="9"/>
  <c r="G1475" i="9"/>
  <c r="F1475" i="9"/>
  <c r="E1475" i="9"/>
  <c r="D1475" i="9"/>
  <c r="C1475" i="9"/>
  <c r="B1475" i="9"/>
  <c r="A1475" i="9"/>
  <c r="M1474" i="9"/>
  <c r="L1474" i="9"/>
  <c r="K1474" i="9"/>
  <c r="J1474" i="9"/>
  <c r="I1474" i="9"/>
  <c r="H1474" i="9"/>
  <c r="G1474" i="9"/>
  <c r="F1474" i="9"/>
  <c r="E1474" i="9"/>
  <c r="D1474" i="9"/>
  <c r="C1474" i="9"/>
  <c r="B1474" i="9"/>
  <c r="A1474" i="9"/>
  <c r="M1473" i="9"/>
  <c r="L1473" i="9"/>
  <c r="K1473" i="9"/>
  <c r="J1473" i="9"/>
  <c r="I1473" i="9"/>
  <c r="H1473" i="9"/>
  <c r="G1473" i="9"/>
  <c r="F1473" i="9"/>
  <c r="E1473" i="9"/>
  <c r="D1473" i="9"/>
  <c r="C1473" i="9"/>
  <c r="B1473" i="9"/>
  <c r="A1473" i="9"/>
  <c r="M1472" i="9"/>
  <c r="L1472" i="9"/>
  <c r="K1472" i="9"/>
  <c r="J1472" i="9"/>
  <c r="I1472" i="9"/>
  <c r="H1472" i="9"/>
  <c r="G1472" i="9"/>
  <c r="F1472" i="9"/>
  <c r="E1472" i="9"/>
  <c r="D1472" i="9"/>
  <c r="C1472" i="9"/>
  <c r="B1472" i="9"/>
  <c r="A1472" i="9"/>
  <c r="M1471" i="9"/>
  <c r="L1471" i="9"/>
  <c r="K1471" i="9"/>
  <c r="J1471" i="9"/>
  <c r="I1471" i="9"/>
  <c r="H1471" i="9"/>
  <c r="G1471" i="9"/>
  <c r="F1471" i="9"/>
  <c r="E1471" i="9"/>
  <c r="D1471" i="9"/>
  <c r="C1471" i="9"/>
  <c r="B1471" i="9"/>
  <c r="A1471" i="9"/>
  <c r="M1470" i="9"/>
  <c r="L1470" i="9"/>
  <c r="K1470" i="9"/>
  <c r="J1470" i="9"/>
  <c r="I1470" i="9"/>
  <c r="H1470" i="9"/>
  <c r="G1470" i="9"/>
  <c r="F1470" i="9"/>
  <c r="E1470" i="9"/>
  <c r="D1470" i="9"/>
  <c r="C1470" i="9"/>
  <c r="B1470" i="9"/>
  <c r="A1470" i="9"/>
  <c r="M1469" i="9"/>
  <c r="L1469" i="9"/>
  <c r="K1469" i="9"/>
  <c r="J1469" i="9"/>
  <c r="I1469" i="9"/>
  <c r="H1469" i="9"/>
  <c r="G1469" i="9"/>
  <c r="F1469" i="9"/>
  <c r="E1469" i="9"/>
  <c r="D1469" i="9"/>
  <c r="C1469" i="9"/>
  <c r="B1469" i="9"/>
  <c r="A1469" i="9"/>
  <c r="M1468" i="9"/>
  <c r="L1468" i="9"/>
  <c r="K1468" i="9"/>
  <c r="J1468" i="9"/>
  <c r="I1468" i="9"/>
  <c r="H1468" i="9"/>
  <c r="G1468" i="9"/>
  <c r="F1468" i="9"/>
  <c r="E1468" i="9"/>
  <c r="D1468" i="9"/>
  <c r="C1468" i="9"/>
  <c r="B1468" i="9"/>
  <c r="A1468" i="9"/>
  <c r="M1467" i="9"/>
  <c r="L1467" i="9"/>
  <c r="K1467" i="9"/>
  <c r="J1467" i="9"/>
  <c r="I1467" i="9"/>
  <c r="H1467" i="9"/>
  <c r="G1467" i="9"/>
  <c r="F1467" i="9"/>
  <c r="E1467" i="9"/>
  <c r="D1467" i="9"/>
  <c r="C1467" i="9"/>
  <c r="B1467" i="9"/>
  <c r="A1467" i="9"/>
  <c r="M1466" i="9"/>
  <c r="L1466" i="9"/>
  <c r="K1466" i="9"/>
  <c r="J1466" i="9"/>
  <c r="I1466" i="9"/>
  <c r="H1466" i="9"/>
  <c r="G1466" i="9"/>
  <c r="F1466" i="9"/>
  <c r="E1466" i="9"/>
  <c r="D1466" i="9"/>
  <c r="C1466" i="9"/>
  <c r="B1466" i="9"/>
  <c r="A1466" i="9"/>
  <c r="M1465" i="9"/>
  <c r="L1465" i="9"/>
  <c r="K1465" i="9"/>
  <c r="J1465" i="9"/>
  <c r="I1465" i="9"/>
  <c r="H1465" i="9"/>
  <c r="G1465" i="9"/>
  <c r="F1465" i="9"/>
  <c r="E1465" i="9"/>
  <c r="D1465" i="9"/>
  <c r="C1465" i="9"/>
  <c r="B1465" i="9"/>
  <c r="A1465" i="9"/>
  <c r="M1464" i="9"/>
  <c r="L1464" i="9"/>
  <c r="K1464" i="9"/>
  <c r="J1464" i="9"/>
  <c r="I1464" i="9"/>
  <c r="H1464" i="9"/>
  <c r="G1464" i="9"/>
  <c r="F1464" i="9"/>
  <c r="E1464" i="9"/>
  <c r="D1464" i="9"/>
  <c r="C1464" i="9"/>
  <c r="B1464" i="9"/>
  <c r="A1464" i="9"/>
  <c r="M1463" i="9"/>
  <c r="L1463" i="9"/>
  <c r="K1463" i="9"/>
  <c r="J1463" i="9"/>
  <c r="I1463" i="9"/>
  <c r="H1463" i="9"/>
  <c r="G1463" i="9"/>
  <c r="F1463" i="9"/>
  <c r="E1463" i="9"/>
  <c r="D1463" i="9"/>
  <c r="C1463" i="9"/>
  <c r="B1463" i="9"/>
  <c r="A1463" i="9"/>
  <c r="M1462" i="9"/>
  <c r="L1462" i="9"/>
  <c r="K1462" i="9"/>
  <c r="J1462" i="9"/>
  <c r="I1462" i="9"/>
  <c r="H1462" i="9"/>
  <c r="G1462" i="9"/>
  <c r="F1462" i="9"/>
  <c r="E1462" i="9"/>
  <c r="D1462" i="9"/>
  <c r="C1462" i="9"/>
  <c r="B1462" i="9"/>
  <c r="A1462" i="9"/>
  <c r="M1461" i="9"/>
  <c r="L1461" i="9"/>
  <c r="K1461" i="9"/>
  <c r="J1461" i="9"/>
  <c r="I1461" i="9"/>
  <c r="H1461" i="9"/>
  <c r="G1461" i="9"/>
  <c r="F1461" i="9"/>
  <c r="E1461" i="9"/>
  <c r="D1461" i="9"/>
  <c r="C1461" i="9"/>
  <c r="B1461" i="9"/>
  <c r="A1461" i="9"/>
  <c r="M1460" i="9"/>
  <c r="L1460" i="9"/>
  <c r="K1460" i="9"/>
  <c r="J1460" i="9"/>
  <c r="I1460" i="9"/>
  <c r="H1460" i="9"/>
  <c r="G1460" i="9"/>
  <c r="F1460" i="9"/>
  <c r="E1460" i="9"/>
  <c r="D1460" i="9"/>
  <c r="C1460" i="9"/>
  <c r="B1460" i="9"/>
  <c r="A1460" i="9"/>
  <c r="M1459" i="9"/>
  <c r="L1459" i="9"/>
  <c r="K1459" i="9"/>
  <c r="J1459" i="9"/>
  <c r="I1459" i="9"/>
  <c r="H1459" i="9"/>
  <c r="G1459" i="9"/>
  <c r="F1459" i="9"/>
  <c r="E1459" i="9"/>
  <c r="D1459" i="9"/>
  <c r="C1459" i="9"/>
  <c r="B1459" i="9"/>
  <c r="A1459" i="9"/>
  <c r="M1458" i="9"/>
  <c r="L1458" i="9"/>
  <c r="K1458" i="9"/>
  <c r="J1458" i="9"/>
  <c r="I1458" i="9"/>
  <c r="H1458" i="9"/>
  <c r="G1458" i="9"/>
  <c r="F1458" i="9"/>
  <c r="E1458" i="9"/>
  <c r="D1458" i="9"/>
  <c r="C1458" i="9"/>
  <c r="B1458" i="9"/>
  <c r="A1458" i="9"/>
  <c r="M1457" i="9"/>
  <c r="L1457" i="9"/>
  <c r="K1457" i="9"/>
  <c r="J1457" i="9"/>
  <c r="I1457" i="9"/>
  <c r="H1457" i="9"/>
  <c r="G1457" i="9"/>
  <c r="F1457" i="9"/>
  <c r="E1457" i="9"/>
  <c r="D1457" i="9"/>
  <c r="C1457" i="9"/>
  <c r="B1457" i="9"/>
  <c r="A1457" i="9"/>
  <c r="M1456" i="9"/>
  <c r="L1456" i="9"/>
  <c r="K1456" i="9"/>
  <c r="J1456" i="9"/>
  <c r="I1456" i="9"/>
  <c r="H1456" i="9"/>
  <c r="G1456" i="9"/>
  <c r="F1456" i="9"/>
  <c r="E1456" i="9"/>
  <c r="D1456" i="9"/>
  <c r="C1456" i="9"/>
  <c r="B1456" i="9"/>
  <c r="A1456" i="9"/>
  <c r="M1455" i="9"/>
  <c r="L1455" i="9"/>
  <c r="K1455" i="9"/>
  <c r="J1455" i="9"/>
  <c r="I1455" i="9"/>
  <c r="H1455" i="9"/>
  <c r="G1455" i="9"/>
  <c r="F1455" i="9"/>
  <c r="E1455" i="9"/>
  <c r="D1455" i="9"/>
  <c r="C1455" i="9"/>
  <c r="B1455" i="9"/>
  <c r="A1455" i="9"/>
  <c r="M1454" i="9"/>
  <c r="L1454" i="9"/>
  <c r="K1454" i="9"/>
  <c r="J1454" i="9"/>
  <c r="I1454" i="9"/>
  <c r="H1454" i="9"/>
  <c r="G1454" i="9"/>
  <c r="F1454" i="9"/>
  <c r="E1454" i="9"/>
  <c r="D1454" i="9"/>
  <c r="C1454" i="9"/>
  <c r="B1454" i="9"/>
  <c r="A1454" i="9"/>
  <c r="M1453" i="9"/>
  <c r="L1453" i="9"/>
  <c r="K1453" i="9"/>
  <c r="J1453" i="9"/>
  <c r="I1453" i="9"/>
  <c r="H1453" i="9"/>
  <c r="G1453" i="9"/>
  <c r="F1453" i="9"/>
  <c r="E1453" i="9"/>
  <c r="D1453" i="9"/>
  <c r="C1453" i="9"/>
  <c r="B1453" i="9"/>
  <c r="A1453" i="9"/>
  <c r="M1452" i="9"/>
  <c r="L1452" i="9"/>
  <c r="K1452" i="9"/>
  <c r="J1452" i="9"/>
  <c r="I1452" i="9"/>
  <c r="H1452" i="9"/>
  <c r="G1452" i="9"/>
  <c r="F1452" i="9"/>
  <c r="E1452" i="9"/>
  <c r="D1452" i="9"/>
  <c r="C1452" i="9"/>
  <c r="B1452" i="9"/>
  <c r="A1452" i="9"/>
  <c r="M1451" i="9"/>
  <c r="L1451" i="9"/>
  <c r="K1451" i="9"/>
  <c r="J1451" i="9"/>
  <c r="I1451" i="9"/>
  <c r="H1451" i="9"/>
  <c r="G1451" i="9"/>
  <c r="F1451" i="9"/>
  <c r="E1451" i="9"/>
  <c r="D1451" i="9"/>
  <c r="C1451" i="9"/>
  <c r="B1451" i="9"/>
  <c r="A1451" i="9"/>
  <c r="M1450" i="9"/>
  <c r="L1450" i="9"/>
  <c r="K1450" i="9"/>
  <c r="J1450" i="9"/>
  <c r="I1450" i="9"/>
  <c r="H1450" i="9"/>
  <c r="G1450" i="9"/>
  <c r="F1450" i="9"/>
  <c r="E1450" i="9"/>
  <c r="D1450" i="9"/>
  <c r="C1450" i="9"/>
  <c r="B1450" i="9"/>
  <c r="A1450" i="9"/>
  <c r="M1449" i="9"/>
  <c r="L1449" i="9"/>
  <c r="K1449" i="9"/>
  <c r="J1449" i="9"/>
  <c r="I1449" i="9"/>
  <c r="H1449" i="9"/>
  <c r="G1449" i="9"/>
  <c r="F1449" i="9"/>
  <c r="E1449" i="9"/>
  <c r="D1449" i="9"/>
  <c r="C1449" i="9"/>
  <c r="B1449" i="9"/>
  <c r="A1449" i="9"/>
  <c r="M1448" i="9"/>
  <c r="L1448" i="9"/>
  <c r="K1448" i="9"/>
  <c r="J1448" i="9"/>
  <c r="I1448" i="9"/>
  <c r="H1448" i="9"/>
  <c r="G1448" i="9"/>
  <c r="F1448" i="9"/>
  <c r="E1448" i="9"/>
  <c r="D1448" i="9"/>
  <c r="C1448" i="9"/>
  <c r="B1448" i="9"/>
  <c r="A1448" i="9"/>
  <c r="M1447" i="9"/>
  <c r="L1447" i="9"/>
  <c r="K1447" i="9"/>
  <c r="J1447" i="9"/>
  <c r="I1447" i="9"/>
  <c r="H1447" i="9"/>
  <c r="G1447" i="9"/>
  <c r="F1447" i="9"/>
  <c r="E1447" i="9"/>
  <c r="D1447" i="9"/>
  <c r="C1447" i="9"/>
  <c r="B1447" i="9"/>
  <c r="A1447" i="9"/>
  <c r="M1446" i="9"/>
  <c r="L1446" i="9"/>
  <c r="K1446" i="9"/>
  <c r="J1446" i="9"/>
  <c r="I1446" i="9"/>
  <c r="H1446" i="9"/>
  <c r="G1446" i="9"/>
  <c r="F1446" i="9"/>
  <c r="E1446" i="9"/>
  <c r="D1446" i="9"/>
  <c r="C1446" i="9"/>
  <c r="B1446" i="9"/>
  <c r="A1446" i="9"/>
  <c r="M1445" i="9"/>
  <c r="L1445" i="9"/>
  <c r="K1445" i="9"/>
  <c r="J1445" i="9"/>
  <c r="I1445" i="9"/>
  <c r="H1445" i="9"/>
  <c r="G1445" i="9"/>
  <c r="F1445" i="9"/>
  <c r="E1445" i="9"/>
  <c r="D1445" i="9"/>
  <c r="C1445" i="9"/>
  <c r="B1445" i="9"/>
  <c r="A1445" i="9"/>
  <c r="M1444" i="9"/>
  <c r="L1444" i="9"/>
  <c r="K1444" i="9"/>
  <c r="J1444" i="9"/>
  <c r="I1444" i="9"/>
  <c r="H1444" i="9"/>
  <c r="G1444" i="9"/>
  <c r="F1444" i="9"/>
  <c r="E1444" i="9"/>
  <c r="D1444" i="9"/>
  <c r="C1444" i="9"/>
  <c r="B1444" i="9"/>
  <c r="A1444" i="9"/>
  <c r="M1443" i="9"/>
  <c r="L1443" i="9"/>
  <c r="K1443" i="9"/>
  <c r="J1443" i="9"/>
  <c r="I1443" i="9"/>
  <c r="H1443" i="9"/>
  <c r="G1443" i="9"/>
  <c r="F1443" i="9"/>
  <c r="E1443" i="9"/>
  <c r="D1443" i="9"/>
  <c r="C1443" i="9"/>
  <c r="B1443" i="9"/>
  <c r="A1443" i="9"/>
  <c r="M1442" i="9"/>
  <c r="L1442" i="9"/>
  <c r="K1442" i="9"/>
  <c r="J1442" i="9"/>
  <c r="I1442" i="9"/>
  <c r="H1442" i="9"/>
  <c r="G1442" i="9"/>
  <c r="F1442" i="9"/>
  <c r="E1442" i="9"/>
  <c r="D1442" i="9"/>
  <c r="C1442" i="9"/>
  <c r="B1442" i="9"/>
  <c r="A1442" i="9"/>
  <c r="M1441" i="9"/>
  <c r="L1441" i="9"/>
  <c r="K1441" i="9"/>
  <c r="J1441" i="9"/>
  <c r="I1441" i="9"/>
  <c r="H1441" i="9"/>
  <c r="G1441" i="9"/>
  <c r="F1441" i="9"/>
  <c r="E1441" i="9"/>
  <c r="D1441" i="9"/>
  <c r="C1441" i="9"/>
  <c r="B1441" i="9"/>
  <c r="A1441" i="9"/>
  <c r="M1440" i="9"/>
  <c r="L1440" i="9"/>
  <c r="K1440" i="9"/>
  <c r="J1440" i="9"/>
  <c r="I1440" i="9"/>
  <c r="H1440" i="9"/>
  <c r="G1440" i="9"/>
  <c r="F1440" i="9"/>
  <c r="E1440" i="9"/>
  <c r="D1440" i="9"/>
  <c r="C1440" i="9"/>
  <c r="B1440" i="9"/>
  <c r="A1440" i="9"/>
  <c r="M1439" i="9"/>
  <c r="L1439" i="9"/>
  <c r="K1439" i="9"/>
  <c r="J1439" i="9"/>
  <c r="I1439" i="9"/>
  <c r="H1439" i="9"/>
  <c r="G1439" i="9"/>
  <c r="F1439" i="9"/>
  <c r="E1439" i="9"/>
  <c r="D1439" i="9"/>
  <c r="C1439" i="9"/>
  <c r="B1439" i="9"/>
  <c r="A1439" i="9"/>
  <c r="M1438" i="9"/>
  <c r="L1438" i="9"/>
  <c r="K1438" i="9"/>
  <c r="J1438" i="9"/>
  <c r="I1438" i="9"/>
  <c r="H1438" i="9"/>
  <c r="G1438" i="9"/>
  <c r="F1438" i="9"/>
  <c r="E1438" i="9"/>
  <c r="D1438" i="9"/>
  <c r="C1438" i="9"/>
  <c r="B1438" i="9"/>
  <c r="A1438" i="9"/>
  <c r="M1437" i="9"/>
  <c r="L1437" i="9"/>
  <c r="K1437" i="9"/>
  <c r="J1437" i="9"/>
  <c r="I1437" i="9"/>
  <c r="H1437" i="9"/>
  <c r="G1437" i="9"/>
  <c r="F1437" i="9"/>
  <c r="E1437" i="9"/>
  <c r="D1437" i="9"/>
  <c r="C1437" i="9"/>
  <c r="B1437" i="9"/>
  <c r="A1437" i="9"/>
  <c r="M1436" i="9"/>
  <c r="L1436" i="9"/>
  <c r="K1436" i="9"/>
  <c r="J1436" i="9"/>
  <c r="I1436" i="9"/>
  <c r="H1436" i="9"/>
  <c r="G1436" i="9"/>
  <c r="F1436" i="9"/>
  <c r="E1436" i="9"/>
  <c r="D1436" i="9"/>
  <c r="C1436" i="9"/>
  <c r="B1436" i="9"/>
  <c r="A1436" i="9"/>
  <c r="M1435" i="9"/>
  <c r="L1435" i="9"/>
  <c r="K1435" i="9"/>
  <c r="J1435" i="9"/>
  <c r="I1435" i="9"/>
  <c r="H1435" i="9"/>
  <c r="G1435" i="9"/>
  <c r="F1435" i="9"/>
  <c r="E1435" i="9"/>
  <c r="D1435" i="9"/>
  <c r="C1435" i="9"/>
  <c r="B1435" i="9"/>
  <c r="A1435" i="9"/>
  <c r="M1434" i="9"/>
  <c r="L1434" i="9"/>
  <c r="K1434" i="9"/>
  <c r="J1434" i="9"/>
  <c r="I1434" i="9"/>
  <c r="H1434" i="9"/>
  <c r="G1434" i="9"/>
  <c r="F1434" i="9"/>
  <c r="E1434" i="9"/>
  <c r="D1434" i="9"/>
  <c r="C1434" i="9"/>
  <c r="B1434" i="9"/>
  <c r="A1434" i="9"/>
  <c r="M1433" i="9"/>
  <c r="L1433" i="9"/>
  <c r="K1433" i="9"/>
  <c r="J1433" i="9"/>
  <c r="I1433" i="9"/>
  <c r="H1433" i="9"/>
  <c r="G1433" i="9"/>
  <c r="F1433" i="9"/>
  <c r="E1433" i="9"/>
  <c r="D1433" i="9"/>
  <c r="C1433" i="9"/>
  <c r="B1433" i="9"/>
  <c r="A1433" i="9"/>
  <c r="M1432" i="9"/>
  <c r="L1432" i="9"/>
  <c r="K1432" i="9"/>
  <c r="J1432" i="9"/>
  <c r="I1432" i="9"/>
  <c r="H1432" i="9"/>
  <c r="G1432" i="9"/>
  <c r="F1432" i="9"/>
  <c r="E1432" i="9"/>
  <c r="D1432" i="9"/>
  <c r="C1432" i="9"/>
  <c r="B1432" i="9"/>
  <c r="A1432" i="9"/>
  <c r="M1431" i="9"/>
  <c r="L1431" i="9"/>
  <c r="K1431" i="9"/>
  <c r="J1431" i="9"/>
  <c r="I1431" i="9"/>
  <c r="H1431" i="9"/>
  <c r="G1431" i="9"/>
  <c r="F1431" i="9"/>
  <c r="E1431" i="9"/>
  <c r="D1431" i="9"/>
  <c r="C1431" i="9"/>
  <c r="B1431" i="9"/>
  <c r="A1431" i="9"/>
  <c r="M1430" i="9"/>
  <c r="L1430" i="9"/>
  <c r="K1430" i="9"/>
  <c r="J1430" i="9"/>
  <c r="I1430" i="9"/>
  <c r="H1430" i="9"/>
  <c r="G1430" i="9"/>
  <c r="F1430" i="9"/>
  <c r="E1430" i="9"/>
  <c r="D1430" i="9"/>
  <c r="C1430" i="9"/>
  <c r="B1430" i="9"/>
  <c r="A1430" i="9"/>
  <c r="M1429" i="9"/>
  <c r="L1429" i="9"/>
  <c r="K1429" i="9"/>
  <c r="J1429" i="9"/>
  <c r="I1429" i="9"/>
  <c r="H1429" i="9"/>
  <c r="G1429" i="9"/>
  <c r="F1429" i="9"/>
  <c r="E1429" i="9"/>
  <c r="D1429" i="9"/>
  <c r="C1429" i="9"/>
  <c r="B1429" i="9"/>
  <c r="A1429" i="9"/>
  <c r="M1428" i="9"/>
  <c r="L1428" i="9"/>
  <c r="K1428" i="9"/>
  <c r="J1428" i="9"/>
  <c r="I1428" i="9"/>
  <c r="H1428" i="9"/>
  <c r="G1428" i="9"/>
  <c r="F1428" i="9"/>
  <c r="E1428" i="9"/>
  <c r="D1428" i="9"/>
  <c r="C1428" i="9"/>
  <c r="B1428" i="9"/>
  <c r="A1428" i="9"/>
  <c r="M1427" i="9"/>
  <c r="L1427" i="9"/>
  <c r="K1427" i="9"/>
  <c r="J1427" i="9"/>
  <c r="I1427" i="9"/>
  <c r="H1427" i="9"/>
  <c r="G1427" i="9"/>
  <c r="F1427" i="9"/>
  <c r="E1427" i="9"/>
  <c r="D1427" i="9"/>
  <c r="C1427" i="9"/>
  <c r="B1427" i="9"/>
  <c r="A1427" i="9"/>
  <c r="M1426" i="9"/>
  <c r="L1426" i="9"/>
  <c r="K1426" i="9"/>
  <c r="J1426" i="9"/>
  <c r="I1426" i="9"/>
  <c r="H1426" i="9"/>
  <c r="G1426" i="9"/>
  <c r="F1426" i="9"/>
  <c r="E1426" i="9"/>
  <c r="D1426" i="9"/>
  <c r="C1426" i="9"/>
  <c r="B1426" i="9"/>
  <c r="A1426" i="9"/>
  <c r="M1425" i="9"/>
  <c r="L1425" i="9"/>
  <c r="K1425" i="9"/>
  <c r="J1425" i="9"/>
  <c r="I1425" i="9"/>
  <c r="H1425" i="9"/>
  <c r="G1425" i="9"/>
  <c r="F1425" i="9"/>
  <c r="E1425" i="9"/>
  <c r="D1425" i="9"/>
  <c r="C1425" i="9"/>
  <c r="B1425" i="9"/>
  <c r="A1425" i="9"/>
  <c r="M1424" i="9"/>
  <c r="L1424" i="9"/>
  <c r="K1424" i="9"/>
  <c r="J1424" i="9"/>
  <c r="I1424" i="9"/>
  <c r="H1424" i="9"/>
  <c r="G1424" i="9"/>
  <c r="F1424" i="9"/>
  <c r="E1424" i="9"/>
  <c r="D1424" i="9"/>
  <c r="C1424" i="9"/>
  <c r="B1424" i="9"/>
  <c r="A1424" i="9"/>
  <c r="M1423" i="9"/>
  <c r="L1423" i="9"/>
  <c r="K1423" i="9"/>
  <c r="J1423" i="9"/>
  <c r="I1423" i="9"/>
  <c r="H1423" i="9"/>
  <c r="G1423" i="9"/>
  <c r="F1423" i="9"/>
  <c r="E1423" i="9"/>
  <c r="D1423" i="9"/>
  <c r="C1423" i="9"/>
  <c r="B1423" i="9"/>
  <c r="A1423" i="9"/>
  <c r="M1422" i="9"/>
  <c r="L1422" i="9"/>
  <c r="K1422" i="9"/>
  <c r="J1422" i="9"/>
  <c r="I1422" i="9"/>
  <c r="H1422" i="9"/>
  <c r="G1422" i="9"/>
  <c r="F1422" i="9"/>
  <c r="E1422" i="9"/>
  <c r="D1422" i="9"/>
  <c r="C1422" i="9"/>
  <c r="B1422" i="9"/>
  <c r="A1422" i="9"/>
  <c r="M1421" i="9"/>
  <c r="L1421" i="9"/>
  <c r="K1421" i="9"/>
  <c r="J1421" i="9"/>
  <c r="I1421" i="9"/>
  <c r="H1421" i="9"/>
  <c r="G1421" i="9"/>
  <c r="F1421" i="9"/>
  <c r="E1421" i="9"/>
  <c r="D1421" i="9"/>
  <c r="C1421" i="9"/>
  <c r="B1421" i="9"/>
  <c r="A1421" i="9"/>
  <c r="M1420" i="9"/>
  <c r="L1420" i="9"/>
  <c r="K1420" i="9"/>
  <c r="J1420" i="9"/>
  <c r="I1420" i="9"/>
  <c r="H1420" i="9"/>
  <c r="G1420" i="9"/>
  <c r="F1420" i="9"/>
  <c r="E1420" i="9"/>
  <c r="D1420" i="9"/>
  <c r="C1420" i="9"/>
  <c r="B1420" i="9"/>
  <c r="A1420" i="9"/>
  <c r="M1419" i="9"/>
  <c r="L1419" i="9"/>
  <c r="K1419" i="9"/>
  <c r="J1419" i="9"/>
  <c r="I1419" i="9"/>
  <c r="H1419" i="9"/>
  <c r="G1419" i="9"/>
  <c r="F1419" i="9"/>
  <c r="E1419" i="9"/>
  <c r="D1419" i="9"/>
  <c r="C1419" i="9"/>
  <c r="B1419" i="9"/>
  <c r="A1419" i="9"/>
  <c r="M1418" i="9"/>
  <c r="L1418" i="9"/>
  <c r="K1418" i="9"/>
  <c r="J1418" i="9"/>
  <c r="I1418" i="9"/>
  <c r="H1418" i="9"/>
  <c r="G1418" i="9"/>
  <c r="F1418" i="9"/>
  <c r="E1418" i="9"/>
  <c r="D1418" i="9"/>
  <c r="C1418" i="9"/>
  <c r="B1418" i="9"/>
  <c r="A1418" i="9"/>
  <c r="M1417" i="9"/>
  <c r="L1417" i="9"/>
  <c r="K1417" i="9"/>
  <c r="J1417" i="9"/>
  <c r="I1417" i="9"/>
  <c r="H1417" i="9"/>
  <c r="G1417" i="9"/>
  <c r="F1417" i="9"/>
  <c r="E1417" i="9"/>
  <c r="D1417" i="9"/>
  <c r="C1417" i="9"/>
  <c r="B1417" i="9"/>
  <c r="A1417" i="9"/>
  <c r="M1416" i="9"/>
  <c r="L1416" i="9"/>
  <c r="K1416" i="9"/>
  <c r="J1416" i="9"/>
  <c r="I1416" i="9"/>
  <c r="H1416" i="9"/>
  <c r="G1416" i="9"/>
  <c r="F1416" i="9"/>
  <c r="E1416" i="9"/>
  <c r="D1416" i="9"/>
  <c r="C1416" i="9"/>
  <c r="B1416" i="9"/>
  <c r="A1416" i="9"/>
  <c r="M1415" i="9"/>
  <c r="L1415" i="9"/>
  <c r="K1415" i="9"/>
  <c r="J1415" i="9"/>
  <c r="I1415" i="9"/>
  <c r="H1415" i="9"/>
  <c r="G1415" i="9"/>
  <c r="F1415" i="9"/>
  <c r="E1415" i="9"/>
  <c r="D1415" i="9"/>
  <c r="C1415" i="9"/>
  <c r="B1415" i="9"/>
  <c r="A1415" i="9"/>
  <c r="M1414" i="9"/>
  <c r="L1414" i="9"/>
  <c r="K1414" i="9"/>
  <c r="J1414" i="9"/>
  <c r="I1414" i="9"/>
  <c r="H1414" i="9"/>
  <c r="G1414" i="9"/>
  <c r="F1414" i="9"/>
  <c r="E1414" i="9"/>
  <c r="D1414" i="9"/>
  <c r="C1414" i="9"/>
  <c r="B1414" i="9"/>
  <c r="A1414" i="9"/>
  <c r="M1413" i="9"/>
  <c r="L1413" i="9"/>
  <c r="K1413" i="9"/>
  <c r="J1413" i="9"/>
  <c r="I1413" i="9"/>
  <c r="H1413" i="9"/>
  <c r="G1413" i="9"/>
  <c r="F1413" i="9"/>
  <c r="E1413" i="9"/>
  <c r="D1413" i="9"/>
  <c r="C1413" i="9"/>
  <c r="B1413" i="9"/>
  <c r="A1413" i="9"/>
  <c r="M1412" i="9"/>
  <c r="L1412" i="9"/>
  <c r="K1412" i="9"/>
  <c r="J1412" i="9"/>
  <c r="I1412" i="9"/>
  <c r="H1412" i="9"/>
  <c r="G1412" i="9"/>
  <c r="F1412" i="9"/>
  <c r="E1412" i="9"/>
  <c r="D1412" i="9"/>
  <c r="C1412" i="9"/>
  <c r="B1412" i="9"/>
  <c r="A1412" i="9"/>
  <c r="M1411" i="9"/>
  <c r="L1411" i="9"/>
  <c r="K1411" i="9"/>
  <c r="J1411" i="9"/>
  <c r="I1411" i="9"/>
  <c r="H1411" i="9"/>
  <c r="G1411" i="9"/>
  <c r="F1411" i="9"/>
  <c r="E1411" i="9"/>
  <c r="D1411" i="9"/>
  <c r="C1411" i="9"/>
  <c r="B1411" i="9"/>
  <c r="A1411" i="9"/>
  <c r="M1410" i="9"/>
  <c r="L1410" i="9"/>
  <c r="K1410" i="9"/>
  <c r="J1410" i="9"/>
  <c r="I1410" i="9"/>
  <c r="H1410" i="9"/>
  <c r="G1410" i="9"/>
  <c r="F1410" i="9"/>
  <c r="E1410" i="9"/>
  <c r="D1410" i="9"/>
  <c r="C1410" i="9"/>
  <c r="B1410" i="9"/>
  <c r="A1410" i="9"/>
  <c r="M1409" i="9"/>
  <c r="L1409" i="9"/>
  <c r="K1409" i="9"/>
  <c r="J1409" i="9"/>
  <c r="I1409" i="9"/>
  <c r="H1409" i="9"/>
  <c r="G1409" i="9"/>
  <c r="F1409" i="9"/>
  <c r="E1409" i="9"/>
  <c r="D1409" i="9"/>
  <c r="C1409" i="9"/>
  <c r="B1409" i="9"/>
  <c r="A1409" i="9"/>
  <c r="M1408" i="9"/>
  <c r="L1408" i="9"/>
  <c r="K1408" i="9"/>
  <c r="J1408" i="9"/>
  <c r="I1408" i="9"/>
  <c r="H1408" i="9"/>
  <c r="G1408" i="9"/>
  <c r="F1408" i="9"/>
  <c r="E1408" i="9"/>
  <c r="D1408" i="9"/>
  <c r="C1408" i="9"/>
  <c r="B1408" i="9"/>
  <c r="A1408" i="9"/>
  <c r="M1407" i="9"/>
  <c r="L1407" i="9"/>
  <c r="K1407" i="9"/>
  <c r="J1407" i="9"/>
  <c r="I1407" i="9"/>
  <c r="H1407" i="9"/>
  <c r="G1407" i="9"/>
  <c r="F1407" i="9"/>
  <c r="E1407" i="9"/>
  <c r="D1407" i="9"/>
  <c r="C1407" i="9"/>
  <c r="B1407" i="9"/>
  <c r="A1407" i="9"/>
  <c r="M1406" i="9"/>
  <c r="L1406" i="9"/>
  <c r="K1406" i="9"/>
  <c r="J1406" i="9"/>
  <c r="I1406" i="9"/>
  <c r="H1406" i="9"/>
  <c r="G1406" i="9"/>
  <c r="F1406" i="9"/>
  <c r="E1406" i="9"/>
  <c r="D1406" i="9"/>
  <c r="C1406" i="9"/>
  <c r="B1406" i="9"/>
  <c r="A1406" i="9"/>
  <c r="M1405" i="9"/>
  <c r="L1405" i="9"/>
  <c r="K1405" i="9"/>
  <c r="J1405" i="9"/>
  <c r="I1405" i="9"/>
  <c r="H1405" i="9"/>
  <c r="G1405" i="9"/>
  <c r="F1405" i="9"/>
  <c r="E1405" i="9"/>
  <c r="D1405" i="9"/>
  <c r="C1405" i="9"/>
  <c r="B1405" i="9"/>
  <c r="A1405" i="9"/>
  <c r="M1404" i="9"/>
  <c r="L1404" i="9"/>
  <c r="K1404" i="9"/>
  <c r="J1404" i="9"/>
  <c r="I1404" i="9"/>
  <c r="H1404" i="9"/>
  <c r="G1404" i="9"/>
  <c r="F1404" i="9"/>
  <c r="E1404" i="9"/>
  <c r="D1404" i="9"/>
  <c r="C1404" i="9"/>
  <c r="B1404" i="9"/>
  <c r="A1404" i="9"/>
  <c r="M1403" i="9"/>
  <c r="L1403" i="9"/>
  <c r="K1403" i="9"/>
  <c r="J1403" i="9"/>
  <c r="I1403" i="9"/>
  <c r="H1403" i="9"/>
  <c r="G1403" i="9"/>
  <c r="F1403" i="9"/>
  <c r="E1403" i="9"/>
  <c r="D1403" i="9"/>
  <c r="C1403" i="9"/>
  <c r="B1403" i="9"/>
  <c r="A1403" i="9"/>
  <c r="M1402" i="9"/>
  <c r="L1402" i="9"/>
  <c r="K1402" i="9"/>
  <c r="J1402" i="9"/>
  <c r="I1402" i="9"/>
  <c r="H1402" i="9"/>
  <c r="G1402" i="9"/>
  <c r="F1402" i="9"/>
  <c r="E1402" i="9"/>
  <c r="D1402" i="9"/>
  <c r="C1402" i="9"/>
  <c r="B1402" i="9"/>
  <c r="A1402" i="9"/>
  <c r="M1401" i="9"/>
  <c r="L1401" i="9"/>
  <c r="K1401" i="9"/>
  <c r="J1401" i="9"/>
  <c r="I1401" i="9"/>
  <c r="H1401" i="9"/>
  <c r="G1401" i="9"/>
  <c r="F1401" i="9"/>
  <c r="E1401" i="9"/>
  <c r="D1401" i="9"/>
  <c r="C1401" i="9"/>
  <c r="B1401" i="9"/>
  <c r="A1401" i="9"/>
  <c r="M1400" i="9"/>
  <c r="L1400" i="9"/>
  <c r="K1400" i="9"/>
  <c r="J1400" i="9"/>
  <c r="I1400" i="9"/>
  <c r="H1400" i="9"/>
  <c r="G1400" i="9"/>
  <c r="F1400" i="9"/>
  <c r="E1400" i="9"/>
  <c r="D1400" i="9"/>
  <c r="C1400" i="9"/>
  <c r="B1400" i="9"/>
  <c r="A1400" i="9"/>
  <c r="M1399" i="9"/>
  <c r="L1399" i="9"/>
  <c r="K1399" i="9"/>
  <c r="J1399" i="9"/>
  <c r="I1399" i="9"/>
  <c r="H1399" i="9"/>
  <c r="G1399" i="9"/>
  <c r="F1399" i="9"/>
  <c r="E1399" i="9"/>
  <c r="D1399" i="9"/>
  <c r="C1399" i="9"/>
  <c r="B1399" i="9"/>
  <c r="A1399" i="9"/>
  <c r="M1398" i="9"/>
  <c r="L1398" i="9"/>
  <c r="K1398" i="9"/>
  <c r="J1398" i="9"/>
  <c r="I1398" i="9"/>
  <c r="H1398" i="9"/>
  <c r="G1398" i="9"/>
  <c r="F1398" i="9"/>
  <c r="E1398" i="9"/>
  <c r="D1398" i="9"/>
  <c r="C1398" i="9"/>
  <c r="B1398" i="9"/>
  <c r="A1398" i="9"/>
  <c r="M1397" i="9"/>
  <c r="L1397" i="9"/>
  <c r="K1397" i="9"/>
  <c r="J1397" i="9"/>
  <c r="I1397" i="9"/>
  <c r="H1397" i="9"/>
  <c r="G1397" i="9"/>
  <c r="F1397" i="9"/>
  <c r="E1397" i="9"/>
  <c r="D1397" i="9"/>
  <c r="C1397" i="9"/>
  <c r="B1397" i="9"/>
  <c r="A1397" i="9"/>
  <c r="M1396" i="9"/>
  <c r="L1396" i="9"/>
  <c r="K1396" i="9"/>
  <c r="J1396" i="9"/>
  <c r="I1396" i="9"/>
  <c r="H1396" i="9"/>
  <c r="G1396" i="9"/>
  <c r="F1396" i="9"/>
  <c r="E1396" i="9"/>
  <c r="D1396" i="9"/>
  <c r="C1396" i="9"/>
  <c r="B1396" i="9"/>
  <c r="A1396" i="9"/>
  <c r="M1395" i="9"/>
  <c r="L1395" i="9"/>
  <c r="K1395" i="9"/>
  <c r="J1395" i="9"/>
  <c r="I1395" i="9"/>
  <c r="H1395" i="9"/>
  <c r="G1395" i="9"/>
  <c r="F1395" i="9"/>
  <c r="E1395" i="9"/>
  <c r="D1395" i="9"/>
  <c r="C1395" i="9"/>
  <c r="B1395" i="9"/>
  <c r="A1395" i="9"/>
  <c r="M1394" i="9"/>
  <c r="L1394" i="9"/>
  <c r="K1394" i="9"/>
  <c r="J1394" i="9"/>
  <c r="I1394" i="9"/>
  <c r="H1394" i="9"/>
  <c r="G1394" i="9"/>
  <c r="F1394" i="9"/>
  <c r="E1394" i="9"/>
  <c r="D1394" i="9"/>
  <c r="C1394" i="9"/>
  <c r="B1394" i="9"/>
  <c r="A1394" i="9"/>
  <c r="M1393" i="9"/>
  <c r="L1393" i="9"/>
  <c r="K1393" i="9"/>
  <c r="J1393" i="9"/>
  <c r="I1393" i="9"/>
  <c r="H1393" i="9"/>
  <c r="G1393" i="9"/>
  <c r="F1393" i="9"/>
  <c r="E1393" i="9"/>
  <c r="D1393" i="9"/>
  <c r="C1393" i="9"/>
  <c r="B1393" i="9"/>
  <c r="A1393" i="9"/>
  <c r="M1392" i="9"/>
  <c r="L1392" i="9"/>
  <c r="K1392" i="9"/>
  <c r="J1392" i="9"/>
  <c r="I1392" i="9"/>
  <c r="H1392" i="9"/>
  <c r="G1392" i="9"/>
  <c r="F1392" i="9"/>
  <c r="E1392" i="9"/>
  <c r="D1392" i="9"/>
  <c r="C1392" i="9"/>
  <c r="B1392" i="9"/>
  <c r="A1392" i="9"/>
  <c r="M1391" i="9"/>
  <c r="L1391" i="9"/>
  <c r="K1391" i="9"/>
  <c r="J1391" i="9"/>
  <c r="I1391" i="9"/>
  <c r="H1391" i="9"/>
  <c r="G1391" i="9"/>
  <c r="F1391" i="9"/>
  <c r="E1391" i="9"/>
  <c r="D1391" i="9"/>
  <c r="C1391" i="9"/>
  <c r="B1391" i="9"/>
  <c r="A1391" i="9"/>
  <c r="M1390" i="9"/>
  <c r="L1390" i="9"/>
  <c r="K1390" i="9"/>
  <c r="J1390" i="9"/>
  <c r="I1390" i="9"/>
  <c r="H1390" i="9"/>
  <c r="G1390" i="9"/>
  <c r="F1390" i="9"/>
  <c r="E1390" i="9"/>
  <c r="D1390" i="9"/>
  <c r="C1390" i="9"/>
  <c r="B1390" i="9"/>
  <c r="A1390" i="9"/>
  <c r="M1389" i="9"/>
  <c r="L1389" i="9"/>
  <c r="K1389" i="9"/>
  <c r="J1389" i="9"/>
  <c r="I1389" i="9"/>
  <c r="H1389" i="9"/>
  <c r="G1389" i="9"/>
  <c r="F1389" i="9"/>
  <c r="E1389" i="9"/>
  <c r="D1389" i="9"/>
  <c r="C1389" i="9"/>
  <c r="B1389" i="9"/>
  <c r="A1389" i="9"/>
  <c r="M1388" i="9"/>
  <c r="L1388" i="9"/>
  <c r="K1388" i="9"/>
  <c r="J1388" i="9"/>
  <c r="I1388" i="9"/>
  <c r="H1388" i="9"/>
  <c r="G1388" i="9"/>
  <c r="F1388" i="9"/>
  <c r="E1388" i="9"/>
  <c r="D1388" i="9"/>
  <c r="C1388" i="9"/>
  <c r="B1388" i="9"/>
  <c r="A1388" i="9"/>
  <c r="M1387" i="9"/>
  <c r="L1387" i="9"/>
  <c r="K1387" i="9"/>
  <c r="J1387" i="9"/>
  <c r="I1387" i="9"/>
  <c r="H1387" i="9"/>
  <c r="G1387" i="9"/>
  <c r="F1387" i="9"/>
  <c r="E1387" i="9"/>
  <c r="D1387" i="9"/>
  <c r="C1387" i="9"/>
  <c r="B1387" i="9"/>
  <c r="A1387" i="9"/>
  <c r="M1386" i="9"/>
  <c r="L1386" i="9"/>
  <c r="K1386" i="9"/>
  <c r="J1386" i="9"/>
  <c r="I1386" i="9"/>
  <c r="H1386" i="9"/>
  <c r="G1386" i="9"/>
  <c r="F1386" i="9"/>
  <c r="E1386" i="9"/>
  <c r="D1386" i="9"/>
  <c r="C1386" i="9"/>
  <c r="B1386" i="9"/>
  <c r="A1386" i="9"/>
  <c r="M1385" i="9"/>
  <c r="L1385" i="9"/>
  <c r="K1385" i="9"/>
  <c r="J1385" i="9"/>
  <c r="I1385" i="9"/>
  <c r="H1385" i="9"/>
  <c r="G1385" i="9"/>
  <c r="F1385" i="9"/>
  <c r="E1385" i="9"/>
  <c r="D1385" i="9"/>
  <c r="C1385" i="9"/>
  <c r="B1385" i="9"/>
  <c r="A1385" i="9"/>
  <c r="M1384" i="9"/>
  <c r="L1384" i="9"/>
  <c r="K1384" i="9"/>
  <c r="J1384" i="9"/>
  <c r="I1384" i="9"/>
  <c r="H1384" i="9"/>
  <c r="G1384" i="9"/>
  <c r="F1384" i="9"/>
  <c r="E1384" i="9"/>
  <c r="D1384" i="9"/>
  <c r="C1384" i="9"/>
  <c r="B1384" i="9"/>
  <c r="A1384" i="9"/>
  <c r="M1383" i="9"/>
  <c r="L1383" i="9"/>
  <c r="K1383" i="9"/>
  <c r="J1383" i="9"/>
  <c r="I1383" i="9"/>
  <c r="H1383" i="9"/>
  <c r="G1383" i="9"/>
  <c r="F1383" i="9"/>
  <c r="E1383" i="9"/>
  <c r="D1383" i="9"/>
  <c r="C1383" i="9"/>
  <c r="B1383" i="9"/>
  <c r="A1383" i="9"/>
  <c r="M1382" i="9"/>
  <c r="L1382" i="9"/>
  <c r="K1382" i="9"/>
  <c r="J1382" i="9"/>
  <c r="I1382" i="9"/>
  <c r="H1382" i="9"/>
  <c r="G1382" i="9"/>
  <c r="F1382" i="9"/>
  <c r="E1382" i="9"/>
  <c r="D1382" i="9"/>
  <c r="C1382" i="9"/>
  <c r="B1382" i="9"/>
  <c r="A1382" i="9"/>
  <c r="M1381" i="9"/>
  <c r="L1381" i="9"/>
  <c r="K1381" i="9"/>
  <c r="J1381" i="9"/>
  <c r="I1381" i="9"/>
  <c r="H1381" i="9"/>
  <c r="G1381" i="9"/>
  <c r="F1381" i="9"/>
  <c r="E1381" i="9"/>
  <c r="D1381" i="9"/>
  <c r="C1381" i="9"/>
  <c r="B1381" i="9"/>
  <c r="A1381" i="9"/>
  <c r="M1380" i="9"/>
  <c r="L1380" i="9"/>
  <c r="K1380" i="9"/>
  <c r="J1380" i="9"/>
  <c r="I1380" i="9"/>
  <c r="H1380" i="9"/>
  <c r="G1380" i="9"/>
  <c r="F1380" i="9"/>
  <c r="E1380" i="9"/>
  <c r="D1380" i="9"/>
  <c r="C1380" i="9"/>
  <c r="B1380" i="9"/>
  <c r="A1380" i="9"/>
  <c r="M1379" i="9"/>
  <c r="L1379" i="9"/>
  <c r="K1379" i="9"/>
  <c r="J1379" i="9"/>
  <c r="I1379" i="9"/>
  <c r="H1379" i="9"/>
  <c r="G1379" i="9"/>
  <c r="F1379" i="9"/>
  <c r="E1379" i="9"/>
  <c r="D1379" i="9"/>
  <c r="C1379" i="9"/>
  <c r="B1379" i="9"/>
  <c r="A1379" i="9"/>
  <c r="M1378" i="9"/>
  <c r="L1378" i="9"/>
  <c r="K1378" i="9"/>
  <c r="J1378" i="9"/>
  <c r="I1378" i="9"/>
  <c r="H1378" i="9"/>
  <c r="G1378" i="9"/>
  <c r="F1378" i="9"/>
  <c r="E1378" i="9"/>
  <c r="D1378" i="9"/>
  <c r="C1378" i="9"/>
  <c r="B1378" i="9"/>
  <c r="A1378" i="9"/>
  <c r="M1377" i="9"/>
  <c r="L1377" i="9"/>
  <c r="K1377" i="9"/>
  <c r="J1377" i="9"/>
  <c r="I1377" i="9"/>
  <c r="H1377" i="9"/>
  <c r="G1377" i="9"/>
  <c r="F1377" i="9"/>
  <c r="E1377" i="9"/>
  <c r="D1377" i="9"/>
  <c r="C1377" i="9"/>
  <c r="B1377" i="9"/>
  <c r="A1377" i="9"/>
  <c r="M1376" i="9"/>
  <c r="L1376" i="9"/>
  <c r="K1376" i="9"/>
  <c r="J1376" i="9"/>
  <c r="I1376" i="9"/>
  <c r="H1376" i="9"/>
  <c r="G1376" i="9"/>
  <c r="F1376" i="9"/>
  <c r="E1376" i="9"/>
  <c r="D1376" i="9"/>
  <c r="C1376" i="9"/>
  <c r="B1376" i="9"/>
  <c r="A1376" i="9"/>
  <c r="M1375" i="9"/>
  <c r="L1375" i="9"/>
  <c r="K1375" i="9"/>
  <c r="J1375" i="9"/>
  <c r="I1375" i="9"/>
  <c r="H1375" i="9"/>
  <c r="G1375" i="9"/>
  <c r="F1375" i="9"/>
  <c r="E1375" i="9"/>
  <c r="D1375" i="9"/>
  <c r="C1375" i="9"/>
  <c r="B1375" i="9"/>
  <c r="A1375" i="9"/>
  <c r="M1374" i="9"/>
  <c r="L1374" i="9"/>
  <c r="K1374" i="9"/>
  <c r="J1374" i="9"/>
  <c r="I1374" i="9"/>
  <c r="H1374" i="9"/>
  <c r="G1374" i="9"/>
  <c r="F1374" i="9"/>
  <c r="E1374" i="9"/>
  <c r="D1374" i="9"/>
  <c r="C1374" i="9"/>
  <c r="B1374" i="9"/>
  <c r="A1374" i="9"/>
  <c r="M1373" i="9"/>
  <c r="L1373" i="9"/>
  <c r="K1373" i="9"/>
  <c r="J1373" i="9"/>
  <c r="I1373" i="9"/>
  <c r="H1373" i="9"/>
  <c r="G1373" i="9"/>
  <c r="F1373" i="9"/>
  <c r="E1373" i="9"/>
  <c r="D1373" i="9"/>
  <c r="C1373" i="9"/>
  <c r="B1373" i="9"/>
  <c r="A1373" i="9"/>
  <c r="M1372" i="9"/>
  <c r="L1372" i="9"/>
  <c r="K1372" i="9"/>
  <c r="J1372" i="9"/>
  <c r="I1372" i="9"/>
  <c r="H1372" i="9"/>
  <c r="G1372" i="9"/>
  <c r="F1372" i="9"/>
  <c r="E1372" i="9"/>
  <c r="D1372" i="9"/>
  <c r="C1372" i="9"/>
  <c r="B1372" i="9"/>
  <c r="A1372" i="9"/>
  <c r="M1371" i="9"/>
  <c r="L1371" i="9"/>
  <c r="K1371" i="9"/>
  <c r="J1371" i="9"/>
  <c r="I1371" i="9"/>
  <c r="H1371" i="9"/>
  <c r="G1371" i="9"/>
  <c r="F1371" i="9"/>
  <c r="E1371" i="9"/>
  <c r="D1371" i="9"/>
  <c r="C1371" i="9"/>
  <c r="B1371" i="9"/>
  <c r="A1371" i="9"/>
  <c r="M1370" i="9"/>
  <c r="L1370" i="9"/>
  <c r="K1370" i="9"/>
  <c r="J1370" i="9"/>
  <c r="I1370" i="9"/>
  <c r="H1370" i="9"/>
  <c r="G1370" i="9"/>
  <c r="F1370" i="9"/>
  <c r="E1370" i="9"/>
  <c r="D1370" i="9"/>
  <c r="C1370" i="9"/>
  <c r="B1370" i="9"/>
  <c r="A1370" i="9"/>
  <c r="M1369" i="9"/>
  <c r="L1369" i="9"/>
  <c r="K1369" i="9"/>
  <c r="J1369" i="9"/>
  <c r="I1369" i="9"/>
  <c r="H1369" i="9"/>
  <c r="G1369" i="9"/>
  <c r="F1369" i="9"/>
  <c r="E1369" i="9"/>
  <c r="D1369" i="9"/>
  <c r="C1369" i="9"/>
  <c r="B1369" i="9"/>
  <c r="A1369" i="9"/>
  <c r="M1368" i="9"/>
  <c r="L1368" i="9"/>
  <c r="K1368" i="9"/>
  <c r="J1368" i="9"/>
  <c r="I1368" i="9"/>
  <c r="H1368" i="9"/>
  <c r="G1368" i="9"/>
  <c r="F1368" i="9"/>
  <c r="E1368" i="9"/>
  <c r="D1368" i="9"/>
  <c r="C1368" i="9"/>
  <c r="B1368" i="9"/>
  <c r="A1368" i="9"/>
  <c r="M1367" i="9"/>
  <c r="L1367" i="9"/>
  <c r="K1367" i="9"/>
  <c r="J1367" i="9"/>
  <c r="I1367" i="9"/>
  <c r="H1367" i="9"/>
  <c r="G1367" i="9"/>
  <c r="F1367" i="9"/>
  <c r="E1367" i="9"/>
  <c r="D1367" i="9"/>
  <c r="C1367" i="9"/>
  <c r="B1367" i="9"/>
  <c r="A1367" i="9"/>
  <c r="M1366" i="9"/>
  <c r="L1366" i="9"/>
  <c r="K1366" i="9"/>
  <c r="J1366" i="9"/>
  <c r="I1366" i="9"/>
  <c r="H1366" i="9"/>
  <c r="G1366" i="9"/>
  <c r="F1366" i="9"/>
  <c r="E1366" i="9"/>
  <c r="D1366" i="9"/>
  <c r="C1366" i="9"/>
  <c r="B1366" i="9"/>
  <c r="A1366" i="9"/>
  <c r="M1365" i="9"/>
  <c r="L1365" i="9"/>
  <c r="K1365" i="9"/>
  <c r="J1365" i="9"/>
  <c r="I1365" i="9"/>
  <c r="H1365" i="9"/>
  <c r="G1365" i="9"/>
  <c r="F1365" i="9"/>
  <c r="E1365" i="9"/>
  <c r="D1365" i="9"/>
  <c r="C1365" i="9"/>
  <c r="B1365" i="9"/>
  <c r="A1365" i="9"/>
  <c r="M1364" i="9"/>
  <c r="L1364" i="9"/>
  <c r="K1364" i="9"/>
  <c r="J1364" i="9"/>
  <c r="I1364" i="9"/>
  <c r="H1364" i="9"/>
  <c r="G1364" i="9"/>
  <c r="F1364" i="9"/>
  <c r="E1364" i="9"/>
  <c r="D1364" i="9"/>
  <c r="C1364" i="9"/>
  <c r="B1364" i="9"/>
  <c r="A1364" i="9"/>
  <c r="M1363" i="9"/>
  <c r="L1363" i="9"/>
  <c r="K1363" i="9"/>
  <c r="J1363" i="9"/>
  <c r="I1363" i="9"/>
  <c r="H1363" i="9"/>
  <c r="G1363" i="9"/>
  <c r="F1363" i="9"/>
  <c r="E1363" i="9"/>
  <c r="D1363" i="9"/>
  <c r="C1363" i="9"/>
  <c r="B1363" i="9"/>
  <c r="A1363" i="9"/>
  <c r="M1362" i="9"/>
  <c r="L1362" i="9"/>
  <c r="K1362" i="9"/>
  <c r="J1362" i="9"/>
  <c r="I1362" i="9"/>
  <c r="H1362" i="9"/>
  <c r="G1362" i="9"/>
  <c r="F1362" i="9"/>
  <c r="E1362" i="9"/>
  <c r="D1362" i="9"/>
  <c r="C1362" i="9"/>
  <c r="B1362" i="9"/>
  <c r="A1362" i="9"/>
  <c r="M1361" i="9"/>
  <c r="L1361" i="9"/>
  <c r="K1361" i="9"/>
  <c r="J1361" i="9"/>
  <c r="I1361" i="9"/>
  <c r="H1361" i="9"/>
  <c r="G1361" i="9"/>
  <c r="F1361" i="9"/>
  <c r="E1361" i="9"/>
  <c r="D1361" i="9"/>
  <c r="C1361" i="9"/>
  <c r="B1361" i="9"/>
  <c r="A1361" i="9"/>
  <c r="M1360" i="9"/>
  <c r="L1360" i="9"/>
  <c r="K1360" i="9"/>
  <c r="J1360" i="9"/>
  <c r="I1360" i="9"/>
  <c r="H1360" i="9"/>
  <c r="G1360" i="9"/>
  <c r="F1360" i="9"/>
  <c r="E1360" i="9"/>
  <c r="D1360" i="9"/>
  <c r="C1360" i="9"/>
  <c r="B1360" i="9"/>
  <c r="A1360" i="9"/>
  <c r="M1359" i="9"/>
  <c r="L1359" i="9"/>
  <c r="K1359" i="9"/>
  <c r="J1359" i="9"/>
  <c r="I1359" i="9"/>
  <c r="H1359" i="9"/>
  <c r="G1359" i="9"/>
  <c r="F1359" i="9"/>
  <c r="E1359" i="9"/>
  <c r="D1359" i="9"/>
  <c r="C1359" i="9"/>
  <c r="B1359" i="9"/>
  <c r="A1359" i="9"/>
  <c r="M1358" i="9"/>
  <c r="L1358" i="9"/>
  <c r="K1358" i="9"/>
  <c r="J1358" i="9"/>
  <c r="I1358" i="9"/>
  <c r="H1358" i="9"/>
  <c r="G1358" i="9"/>
  <c r="F1358" i="9"/>
  <c r="E1358" i="9"/>
  <c r="D1358" i="9"/>
  <c r="C1358" i="9"/>
  <c r="B1358" i="9"/>
  <c r="A1358" i="9"/>
  <c r="M1357" i="9"/>
  <c r="L1357" i="9"/>
  <c r="K1357" i="9"/>
  <c r="J1357" i="9"/>
  <c r="I1357" i="9"/>
  <c r="H1357" i="9"/>
  <c r="G1357" i="9"/>
  <c r="F1357" i="9"/>
  <c r="E1357" i="9"/>
  <c r="D1357" i="9"/>
  <c r="C1357" i="9"/>
  <c r="B1357" i="9"/>
  <c r="A1357" i="9"/>
  <c r="M1356" i="9"/>
  <c r="L1356" i="9"/>
  <c r="K1356" i="9"/>
  <c r="J1356" i="9"/>
  <c r="I1356" i="9"/>
  <c r="H1356" i="9"/>
  <c r="G1356" i="9"/>
  <c r="F1356" i="9"/>
  <c r="E1356" i="9"/>
  <c r="D1356" i="9"/>
  <c r="C1356" i="9"/>
  <c r="B1356" i="9"/>
  <c r="A1356" i="9"/>
  <c r="M1355" i="9"/>
  <c r="L1355" i="9"/>
  <c r="K1355" i="9"/>
  <c r="J1355" i="9"/>
  <c r="I1355" i="9"/>
  <c r="H1355" i="9"/>
  <c r="G1355" i="9"/>
  <c r="F1355" i="9"/>
  <c r="E1355" i="9"/>
  <c r="D1355" i="9"/>
  <c r="C1355" i="9"/>
  <c r="B1355" i="9"/>
  <c r="A1355" i="9"/>
  <c r="M1354" i="9"/>
  <c r="L1354" i="9"/>
  <c r="K1354" i="9"/>
  <c r="J1354" i="9"/>
  <c r="I1354" i="9"/>
  <c r="H1354" i="9"/>
  <c r="G1354" i="9"/>
  <c r="F1354" i="9"/>
  <c r="E1354" i="9"/>
  <c r="D1354" i="9"/>
  <c r="C1354" i="9"/>
  <c r="B1354" i="9"/>
  <c r="A1354" i="9"/>
  <c r="M1353" i="9"/>
  <c r="L1353" i="9"/>
  <c r="K1353" i="9"/>
  <c r="J1353" i="9"/>
  <c r="I1353" i="9"/>
  <c r="H1353" i="9"/>
  <c r="G1353" i="9"/>
  <c r="F1353" i="9"/>
  <c r="E1353" i="9"/>
  <c r="D1353" i="9"/>
  <c r="C1353" i="9"/>
  <c r="B1353" i="9"/>
  <c r="A1353" i="9"/>
  <c r="M1352" i="9"/>
  <c r="L1352" i="9"/>
  <c r="K1352" i="9"/>
  <c r="J1352" i="9"/>
  <c r="I1352" i="9"/>
  <c r="H1352" i="9"/>
  <c r="G1352" i="9"/>
  <c r="F1352" i="9"/>
  <c r="E1352" i="9"/>
  <c r="D1352" i="9"/>
  <c r="C1352" i="9"/>
  <c r="B1352" i="9"/>
  <c r="A1352" i="9"/>
  <c r="M1351" i="9"/>
  <c r="L1351" i="9"/>
  <c r="K1351" i="9"/>
  <c r="J1351" i="9"/>
  <c r="I1351" i="9"/>
  <c r="H1351" i="9"/>
  <c r="G1351" i="9"/>
  <c r="F1351" i="9"/>
  <c r="E1351" i="9"/>
  <c r="D1351" i="9"/>
  <c r="C1351" i="9"/>
  <c r="B1351" i="9"/>
  <c r="A1351" i="9"/>
  <c r="M1350" i="9"/>
  <c r="L1350" i="9"/>
  <c r="K1350" i="9"/>
  <c r="J1350" i="9"/>
  <c r="I1350" i="9"/>
  <c r="H1350" i="9"/>
  <c r="G1350" i="9"/>
  <c r="F1350" i="9"/>
  <c r="E1350" i="9"/>
  <c r="D1350" i="9"/>
  <c r="C1350" i="9"/>
  <c r="B1350" i="9"/>
  <c r="A1350" i="9"/>
  <c r="M1349" i="9"/>
  <c r="L1349" i="9"/>
  <c r="K1349" i="9"/>
  <c r="J1349" i="9"/>
  <c r="I1349" i="9"/>
  <c r="H1349" i="9"/>
  <c r="G1349" i="9"/>
  <c r="F1349" i="9"/>
  <c r="E1349" i="9"/>
  <c r="D1349" i="9"/>
  <c r="C1349" i="9"/>
  <c r="B1349" i="9"/>
  <c r="A1349" i="9"/>
  <c r="M1348" i="9"/>
  <c r="L1348" i="9"/>
  <c r="K1348" i="9"/>
  <c r="J1348" i="9"/>
  <c r="I1348" i="9"/>
  <c r="H1348" i="9"/>
  <c r="G1348" i="9"/>
  <c r="F1348" i="9"/>
  <c r="E1348" i="9"/>
  <c r="D1348" i="9"/>
  <c r="C1348" i="9"/>
  <c r="B1348" i="9"/>
  <c r="A1348" i="9"/>
  <c r="M1347" i="9"/>
  <c r="L1347" i="9"/>
  <c r="K1347" i="9"/>
  <c r="J1347" i="9"/>
  <c r="I1347" i="9"/>
  <c r="H1347" i="9"/>
  <c r="G1347" i="9"/>
  <c r="F1347" i="9"/>
  <c r="E1347" i="9"/>
  <c r="D1347" i="9"/>
  <c r="C1347" i="9"/>
  <c r="B1347" i="9"/>
  <c r="A1347" i="9"/>
  <c r="M1346" i="9"/>
  <c r="L1346" i="9"/>
  <c r="K1346" i="9"/>
  <c r="J1346" i="9"/>
  <c r="I1346" i="9"/>
  <c r="H1346" i="9"/>
  <c r="G1346" i="9"/>
  <c r="F1346" i="9"/>
  <c r="E1346" i="9"/>
  <c r="D1346" i="9"/>
  <c r="C1346" i="9"/>
  <c r="B1346" i="9"/>
  <c r="A1346" i="9"/>
  <c r="M1345" i="9"/>
  <c r="L1345" i="9"/>
  <c r="K1345" i="9"/>
  <c r="J1345" i="9"/>
  <c r="I1345" i="9"/>
  <c r="H1345" i="9"/>
  <c r="G1345" i="9"/>
  <c r="F1345" i="9"/>
  <c r="E1345" i="9"/>
  <c r="D1345" i="9"/>
  <c r="C1345" i="9"/>
  <c r="B1345" i="9"/>
  <c r="A1345" i="9"/>
  <c r="M1344" i="9"/>
  <c r="L1344" i="9"/>
  <c r="K1344" i="9"/>
  <c r="J1344" i="9"/>
  <c r="I1344" i="9"/>
  <c r="H1344" i="9"/>
  <c r="G1344" i="9"/>
  <c r="F1344" i="9"/>
  <c r="E1344" i="9"/>
  <c r="D1344" i="9"/>
  <c r="C1344" i="9"/>
  <c r="B1344" i="9"/>
  <c r="A1344" i="9"/>
  <c r="M1343" i="9"/>
  <c r="L1343" i="9"/>
  <c r="K1343" i="9"/>
  <c r="J1343" i="9"/>
  <c r="I1343" i="9"/>
  <c r="H1343" i="9"/>
  <c r="G1343" i="9"/>
  <c r="F1343" i="9"/>
  <c r="E1343" i="9"/>
  <c r="D1343" i="9"/>
  <c r="C1343" i="9"/>
  <c r="B1343" i="9"/>
  <c r="A1343" i="9"/>
  <c r="M1342" i="9"/>
  <c r="L1342" i="9"/>
  <c r="K1342" i="9"/>
  <c r="J1342" i="9"/>
  <c r="I1342" i="9"/>
  <c r="H1342" i="9"/>
  <c r="G1342" i="9"/>
  <c r="F1342" i="9"/>
  <c r="E1342" i="9"/>
  <c r="D1342" i="9"/>
  <c r="C1342" i="9"/>
  <c r="B1342" i="9"/>
  <c r="A1342" i="9"/>
  <c r="M1341" i="9"/>
  <c r="L1341" i="9"/>
  <c r="K1341" i="9"/>
  <c r="J1341" i="9"/>
  <c r="I1341" i="9"/>
  <c r="H1341" i="9"/>
  <c r="G1341" i="9"/>
  <c r="F1341" i="9"/>
  <c r="E1341" i="9"/>
  <c r="D1341" i="9"/>
  <c r="C1341" i="9"/>
  <c r="B1341" i="9"/>
  <c r="A1341" i="9"/>
  <c r="M1340" i="9"/>
  <c r="L1340" i="9"/>
  <c r="K1340" i="9"/>
  <c r="J1340" i="9"/>
  <c r="I1340" i="9"/>
  <c r="H1340" i="9"/>
  <c r="G1340" i="9"/>
  <c r="F1340" i="9"/>
  <c r="E1340" i="9"/>
  <c r="D1340" i="9"/>
  <c r="C1340" i="9"/>
  <c r="B1340" i="9"/>
  <c r="A1340" i="9"/>
  <c r="M1339" i="9"/>
  <c r="L1339" i="9"/>
  <c r="K1339" i="9"/>
  <c r="J1339" i="9"/>
  <c r="I1339" i="9"/>
  <c r="H1339" i="9"/>
  <c r="G1339" i="9"/>
  <c r="F1339" i="9"/>
  <c r="E1339" i="9"/>
  <c r="D1339" i="9"/>
  <c r="C1339" i="9"/>
  <c r="B1339" i="9"/>
  <c r="A1339" i="9"/>
  <c r="M1338" i="9"/>
  <c r="L1338" i="9"/>
  <c r="K1338" i="9"/>
  <c r="J1338" i="9"/>
  <c r="I1338" i="9"/>
  <c r="H1338" i="9"/>
  <c r="G1338" i="9"/>
  <c r="F1338" i="9"/>
  <c r="E1338" i="9"/>
  <c r="D1338" i="9"/>
  <c r="C1338" i="9"/>
  <c r="B1338" i="9"/>
  <c r="A1338" i="9"/>
  <c r="M1337" i="9"/>
  <c r="L1337" i="9"/>
  <c r="K1337" i="9"/>
  <c r="J1337" i="9"/>
  <c r="I1337" i="9"/>
  <c r="H1337" i="9"/>
  <c r="G1337" i="9"/>
  <c r="F1337" i="9"/>
  <c r="E1337" i="9"/>
  <c r="D1337" i="9"/>
  <c r="C1337" i="9"/>
  <c r="B1337" i="9"/>
  <c r="A1337" i="9"/>
  <c r="M1336" i="9"/>
  <c r="L1336" i="9"/>
  <c r="K1336" i="9"/>
  <c r="J1336" i="9"/>
  <c r="I1336" i="9"/>
  <c r="H1336" i="9"/>
  <c r="G1336" i="9"/>
  <c r="F1336" i="9"/>
  <c r="E1336" i="9"/>
  <c r="D1336" i="9"/>
  <c r="C1336" i="9"/>
  <c r="B1336" i="9"/>
  <c r="A1336" i="9"/>
  <c r="M1335" i="9"/>
  <c r="L1335" i="9"/>
  <c r="K1335" i="9"/>
  <c r="J1335" i="9"/>
  <c r="I1335" i="9"/>
  <c r="H1335" i="9"/>
  <c r="G1335" i="9"/>
  <c r="F1335" i="9"/>
  <c r="E1335" i="9"/>
  <c r="D1335" i="9"/>
  <c r="C1335" i="9"/>
  <c r="B1335" i="9"/>
  <c r="A1335" i="9"/>
  <c r="M1334" i="9"/>
  <c r="L1334" i="9"/>
  <c r="K1334" i="9"/>
  <c r="J1334" i="9"/>
  <c r="I1334" i="9"/>
  <c r="H1334" i="9"/>
  <c r="G1334" i="9"/>
  <c r="F1334" i="9"/>
  <c r="E1334" i="9"/>
  <c r="D1334" i="9"/>
  <c r="C1334" i="9"/>
  <c r="B1334" i="9"/>
  <c r="A1334" i="9"/>
  <c r="M1333" i="9"/>
  <c r="L1333" i="9"/>
  <c r="K1333" i="9"/>
  <c r="J1333" i="9"/>
  <c r="I1333" i="9"/>
  <c r="H1333" i="9"/>
  <c r="G1333" i="9"/>
  <c r="F1333" i="9"/>
  <c r="E1333" i="9"/>
  <c r="D1333" i="9"/>
  <c r="C1333" i="9"/>
  <c r="B1333" i="9"/>
  <c r="A1333" i="9"/>
  <c r="M1332" i="9"/>
  <c r="L1332" i="9"/>
  <c r="K1332" i="9"/>
  <c r="J1332" i="9"/>
  <c r="I1332" i="9"/>
  <c r="H1332" i="9"/>
  <c r="G1332" i="9"/>
  <c r="F1332" i="9"/>
  <c r="E1332" i="9"/>
  <c r="D1332" i="9"/>
  <c r="C1332" i="9"/>
  <c r="B1332" i="9"/>
  <c r="A1332" i="9"/>
  <c r="M1331" i="9"/>
  <c r="L1331" i="9"/>
  <c r="K1331" i="9"/>
  <c r="J1331" i="9"/>
  <c r="I1331" i="9"/>
  <c r="H1331" i="9"/>
  <c r="G1331" i="9"/>
  <c r="F1331" i="9"/>
  <c r="E1331" i="9"/>
  <c r="D1331" i="9"/>
  <c r="C1331" i="9"/>
  <c r="B1331" i="9"/>
  <c r="A1331" i="9"/>
  <c r="M1330" i="9"/>
  <c r="L1330" i="9"/>
  <c r="K1330" i="9"/>
  <c r="J1330" i="9"/>
  <c r="I1330" i="9"/>
  <c r="H1330" i="9"/>
  <c r="G1330" i="9"/>
  <c r="F1330" i="9"/>
  <c r="E1330" i="9"/>
  <c r="D1330" i="9"/>
  <c r="C1330" i="9"/>
  <c r="B1330" i="9"/>
  <c r="A1330" i="9"/>
  <c r="M1329" i="9"/>
  <c r="L1329" i="9"/>
  <c r="K1329" i="9"/>
  <c r="J1329" i="9"/>
  <c r="I1329" i="9"/>
  <c r="H1329" i="9"/>
  <c r="G1329" i="9"/>
  <c r="F1329" i="9"/>
  <c r="E1329" i="9"/>
  <c r="D1329" i="9"/>
  <c r="C1329" i="9"/>
  <c r="B1329" i="9"/>
  <c r="A1329" i="9"/>
  <c r="M1328" i="9"/>
  <c r="L1328" i="9"/>
  <c r="K1328" i="9"/>
  <c r="J1328" i="9"/>
  <c r="I1328" i="9"/>
  <c r="H1328" i="9"/>
  <c r="G1328" i="9"/>
  <c r="F1328" i="9"/>
  <c r="E1328" i="9"/>
  <c r="D1328" i="9"/>
  <c r="C1328" i="9"/>
  <c r="B1328" i="9"/>
  <c r="A1328" i="9"/>
  <c r="M1327" i="9"/>
  <c r="L1327" i="9"/>
  <c r="K1327" i="9"/>
  <c r="J1327" i="9"/>
  <c r="I1327" i="9"/>
  <c r="H1327" i="9"/>
  <c r="G1327" i="9"/>
  <c r="F1327" i="9"/>
  <c r="E1327" i="9"/>
  <c r="D1327" i="9"/>
  <c r="C1327" i="9"/>
  <c r="B1327" i="9"/>
  <c r="A1327" i="9"/>
  <c r="M1326" i="9"/>
  <c r="L1326" i="9"/>
  <c r="K1326" i="9"/>
  <c r="J1326" i="9"/>
  <c r="I1326" i="9"/>
  <c r="H1326" i="9"/>
  <c r="G1326" i="9"/>
  <c r="F1326" i="9"/>
  <c r="E1326" i="9"/>
  <c r="D1326" i="9"/>
  <c r="C1326" i="9"/>
  <c r="B1326" i="9"/>
  <c r="A1326" i="9"/>
  <c r="M1325" i="9"/>
  <c r="L1325" i="9"/>
  <c r="K1325" i="9"/>
  <c r="J1325" i="9"/>
  <c r="I1325" i="9"/>
  <c r="H1325" i="9"/>
  <c r="G1325" i="9"/>
  <c r="F1325" i="9"/>
  <c r="E1325" i="9"/>
  <c r="D1325" i="9"/>
  <c r="C1325" i="9"/>
  <c r="B1325" i="9"/>
  <c r="A1325" i="9"/>
  <c r="M1324" i="9"/>
  <c r="L1324" i="9"/>
  <c r="K1324" i="9"/>
  <c r="J1324" i="9"/>
  <c r="I1324" i="9"/>
  <c r="H1324" i="9"/>
  <c r="G1324" i="9"/>
  <c r="F1324" i="9"/>
  <c r="E1324" i="9"/>
  <c r="D1324" i="9"/>
  <c r="C1324" i="9"/>
  <c r="B1324" i="9"/>
  <c r="A1324" i="9"/>
  <c r="M1323" i="9"/>
  <c r="L1323" i="9"/>
  <c r="K1323" i="9"/>
  <c r="J1323" i="9"/>
  <c r="I1323" i="9"/>
  <c r="H1323" i="9"/>
  <c r="G1323" i="9"/>
  <c r="F1323" i="9"/>
  <c r="E1323" i="9"/>
  <c r="D1323" i="9"/>
  <c r="C1323" i="9"/>
  <c r="B1323" i="9"/>
  <c r="A1323" i="9"/>
  <c r="M1322" i="9"/>
  <c r="L1322" i="9"/>
  <c r="K1322" i="9"/>
  <c r="J1322" i="9"/>
  <c r="I1322" i="9"/>
  <c r="H1322" i="9"/>
  <c r="G1322" i="9"/>
  <c r="F1322" i="9"/>
  <c r="E1322" i="9"/>
  <c r="D1322" i="9"/>
  <c r="C1322" i="9"/>
  <c r="B1322" i="9"/>
  <c r="A1322" i="9"/>
  <c r="M1321" i="9"/>
  <c r="L1321" i="9"/>
  <c r="K1321" i="9"/>
  <c r="J1321" i="9"/>
  <c r="I1321" i="9"/>
  <c r="H1321" i="9"/>
  <c r="G1321" i="9"/>
  <c r="F1321" i="9"/>
  <c r="E1321" i="9"/>
  <c r="D1321" i="9"/>
  <c r="C1321" i="9"/>
  <c r="B1321" i="9"/>
  <c r="A1321" i="9"/>
  <c r="M1320" i="9"/>
  <c r="L1320" i="9"/>
  <c r="K1320" i="9"/>
  <c r="J1320" i="9"/>
  <c r="I1320" i="9"/>
  <c r="H1320" i="9"/>
  <c r="G1320" i="9"/>
  <c r="F1320" i="9"/>
  <c r="E1320" i="9"/>
  <c r="D1320" i="9"/>
  <c r="C1320" i="9"/>
  <c r="B1320" i="9"/>
  <c r="A1320" i="9"/>
  <c r="M1319" i="9"/>
  <c r="L1319" i="9"/>
  <c r="K1319" i="9"/>
  <c r="J1319" i="9"/>
  <c r="I1319" i="9"/>
  <c r="H1319" i="9"/>
  <c r="G1319" i="9"/>
  <c r="F1319" i="9"/>
  <c r="E1319" i="9"/>
  <c r="D1319" i="9"/>
  <c r="C1319" i="9"/>
  <c r="B1319" i="9"/>
  <c r="A1319" i="9"/>
  <c r="M1318" i="9"/>
  <c r="L1318" i="9"/>
  <c r="K1318" i="9"/>
  <c r="J1318" i="9"/>
  <c r="I1318" i="9"/>
  <c r="H1318" i="9"/>
  <c r="G1318" i="9"/>
  <c r="F1318" i="9"/>
  <c r="E1318" i="9"/>
  <c r="D1318" i="9"/>
  <c r="C1318" i="9"/>
  <c r="B1318" i="9"/>
  <c r="A1318" i="9"/>
  <c r="M1317" i="9"/>
  <c r="L1317" i="9"/>
  <c r="K1317" i="9"/>
  <c r="J1317" i="9"/>
  <c r="I1317" i="9"/>
  <c r="H1317" i="9"/>
  <c r="G1317" i="9"/>
  <c r="F1317" i="9"/>
  <c r="E1317" i="9"/>
  <c r="D1317" i="9"/>
  <c r="C1317" i="9"/>
  <c r="B1317" i="9"/>
  <c r="A1317" i="9"/>
  <c r="M1316" i="9"/>
  <c r="L1316" i="9"/>
  <c r="K1316" i="9"/>
  <c r="J1316" i="9"/>
  <c r="I1316" i="9"/>
  <c r="H1316" i="9"/>
  <c r="G1316" i="9"/>
  <c r="F1316" i="9"/>
  <c r="E1316" i="9"/>
  <c r="D1316" i="9"/>
  <c r="C1316" i="9"/>
  <c r="B1316" i="9"/>
  <c r="A1316" i="9"/>
  <c r="M1315" i="9"/>
  <c r="L1315" i="9"/>
  <c r="K1315" i="9"/>
  <c r="J1315" i="9"/>
  <c r="I1315" i="9"/>
  <c r="H1315" i="9"/>
  <c r="G1315" i="9"/>
  <c r="F1315" i="9"/>
  <c r="E1315" i="9"/>
  <c r="D1315" i="9"/>
  <c r="C1315" i="9"/>
  <c r="B1315" i="9"/>
  <c r="A1315" i="9"/>
  <c r="M1314" i="9"/>
  <c r="L1314" i="9"/>
  <c r="K1314" i="9"/>
  <c r="J1314" i="9"/>
  <c r="I1314" i="9"/>
  <c r="H1314" i="9"/>
  <c r="G1314" i="9"/>
  <c r="F1314" i="9"/>
  <c r="E1314" i="9"/>
  <c r="D1314" i="9"/>
  <c r="C1314" i="9"/>
  <c r="B1314" i="9"/>
  <c r="A1314" i="9"/>
  <c r="M1313" i="9"/>
  <c r="L1313" i="9"/>
  <c r="K1313" i="9"/>
  <c r="J1313" i="9"/>
  <c r="I1313" i="9"/>
  <c r="H1313" i="9"/>
  <c r="G1313" i="9"/>
  <c r="F1313" i="9"/>
  <c r="E1313" i="9"/>
  <c r="D1313" i="9"/>
  <c r="C1313" i="9"/>
  <c r="B1313" i="9"/>
  <c r="A1313" i="9"/>
  <c r="M1312" i="9"/>
  <c r="L1312" i="9"/>
  <c r="K1312" i="9"/>
  <c r="J1312" i="9"/>
  <c r="I1312" i="9"/>
  <c r="H1312" i="9"/>
  <c r="G1312" i="9"/>
  <c r="F1312" i="9"/>
  <c r="E1312" i="9"/>
  <c r="D1312" i="9"/>
  <c r="C1312" i="9"/>
  <c r="B1312" i="9"/>
  <c r="A1312" i="9"/>
  <c r="M1311" i="9"/>
  <c r="L1311" i="9"/>
  <c r="K1311" i="9"/>
  <c r="J1311" i="9"/>
  <c r="I1311" i="9"/>
  <c r="H1311" i="9"/>
  <c r="G1311" i="9"/>
  <c r="F1311" i="9"/>
  <c r="E1311" i="9"/>
  <c r="D1311" i="9"/>
  <c r="C1311" i="9"/>
  <c r="B1311" i="9"/>
  <c r="A1311" i="9"/>
  <c r="M1310" i="9"/>
  <c r="L1310" i="9"/>
  <c r="K1310" i="9"/>
  <c r="J1310" i="9"/>
  <c r="I1310" i="9"/>
  <c r="H1310" i="9"/>
  <c r="G1310" i="9"/>
  <c r="F1310" i="9"/>
  <c r="E1310" i="9"/>
  <c r="D1310" i="9"/>
  <c r="C1310" i="9"/>
  <c r="B1310" i="9"/>
  <c r="A1310" i="9"/>
  <c r="M1309" i="9"/>
  <c r="L1309" i="9"/>
  <c r="K1309" i="9"/>
  <c r="J1309" i="9"/>
  <c r="I1309" i="9"/>
  <c r="H1309" i="9"/>
  <c r="G1309" i="9"/>
  <c r="F1309" i="9"/>
  <c r="E1309" i="9"/>
  <c r="D1309" i="9"/>
  <c r="C1309" i="9"/>
  <c r="B1309" i="9"/>
  <c r="A1309" i="9"/>
  <c r="M1308" i="9"/>
  <c r="L1308" i="9"/>
  <c r="K1308" i="9"/>
  <c r="J1308" i="9"/>
  <c r="I1308" i="9"/>
  <c r="H1308" i="9"/>
  <c r="G1308" i="9"/>
  <c r="F1308" i="9"/>
  <c r="E1308" i="9"/>
  <c r="D1308" i="9"/>
  <c r="C1308" i="9"/>
  <c r="B1308" i="9"/>
  <c r="A1308" i="9"/>
  <c r="M1307" i="9"/>
  <c r="L1307" i="9"/>
  <c r="K1307" i="9"/>
  <c r="J1307" i="9"/>
  <c r="I1307" i="9"/>
  <c r="H1307" i="9"/>
  <c r="G1307" i="9"/>
  <c r="F1307" i="9"/>
  <c r="E1307" i="9"/>
  <c r="D1307" i="9"/>
  <c r="C1307" i="9"/>
  <c r="B1307" i="9"/>
  <c r="A1307" i="9"/>
  <c r="M1306" i="9"/>
  <c r="L1306" i="9"/>
  <c r="K1306" i="9"/>
  <c r="J1306" i="9"/>
  <c r="I1306" i="9"/>
  <c r="H1306" i="9"/>
  <c r="G1306" i="9"/>
  <c r="F1306" i="9"/>
  <c r="E1306" i="9"/>
  <c r="D1306" i="9"/>
  <c r="C1306" i="9"/>
  <c r="B1306" i="9"/>
  <c r="A1306" i="9"/>
  <c r="M1305" i="9"/>
  <c r="L1305" i="9"/>
  <c r="K1305" i="9"/>
  <c r="J1305" i="9"/>
  <c r="I1305" i="9"/>
  <c r="H1305" i="9"/>
  <c r="G1305" i="9"/>
  <c r="F1305" i="9"/>
  <c r="E1305" i="9"/>
  <c r="D1305" i="9"/>
  <c r="C1305" i="9"/>
  <c r="B1305" i="9"/>
  <c r="A1305" i="9"/>
  <c r="M1304" i="9"/>
  <c r="L1304" i="9"/>
  <c r="K1304" i="9"/>
  <c r="J1304" i="9"/>
  <c r="I1304" i="9"/>
  <c r="H1304" i="9"/>
  <c r="G1304" i="9"/>
  <c r="F1304" i="9"/>
  <c r="E1304" i="9"/>
  <c r="D1304" i="9"/>
  <c r="C1304" i="9"/>
  <c r="B1304" i="9"/>
  <c r="A1304" i="9"/>
  <c r="M1303" i="9"/>
  <c r="L1303" i="9"/>
  <c r="K1303" i="9"/>
  <c r="J1303" i="9"/>
  <c r="I1303" i="9"/>
  <c r="H1303" i="9"/>
  <c r="G1303" i="9"/>
  <c r="F1303" i="9"/>
  <c r="E1303" i="9"/>
  <c r="D1303" i="9"/>
  <c r="C1303" i="9"/>
  <c r="B1303" i="9"/>
  <c r="A1303" i="9"/>
  <c r="M1302" i="9"/>
  <c r="L1302" i="9"/>
  <c r="K1302" i="9"/>
  <c r="J1302" i="9"/>
  <c r="I1302" i="9"/>
  <c r="H1302" i="9"/>
  <c r="G1302" i="9"/>
  <c r="F1302" i="9"/>
  <c r="E1302" i="9"/>
  <c r="D1302" i="9"/>
  <c r="C1302" i="9"/>
  <c r="B1302" i="9"/>
  <c r="A1302" i="9"/>
  <c r="M1301" i="9"/>
  <c r="L1301" i="9"/>
  <c r="K1301" i="9"/>
  <c r="J1301" i="9"/>
  <c r="I1301" i="9"/>
  <c r="H1301" i="9"/>
  <c r="G1301" i="9"/>
  <c r="F1301" i="9"/>
  <c r="E1301" i="9"/>
  <c r="D1301" i="9"/>
  <c r="C1301" i="9"/>
  <c r="B1301" i="9"/>
  <c r="A1301" i="9"/>
  <c r="M1300" i="9"/>
  <c r="L1300" i="9"/>
  <c r="K1300" i="9"/>
  <c r="J1300" i="9"/>
  <c r="I1300" i="9"/>
  <c r="H1300" i="9"/>
  <c r="G1300" i="9"/>
  <c r="F1300" i="9"/>
  <c r="E1300" i="9"/>
  <c r="D1300" i="9"/>
  <c r="C1300" i="9"/>
  <c r="B1300" i="9"/>
  <c r="A1300" i="9"/>
  <c r="M1299" i="9"/>
  <c r="L1299" i="9"/>
  <c r="K1299" i="9"/>
  <c r="J1299" i="9"/>
  <c r="I1299" i="9"/>
  <c r="H1299" i="9"/>
  <c r="G1299" i="9"/>
  <c r="F1299" i="9"/>
  <c r="E1299" i="9"/>
  <c r="D1299" i="9"/>
  <c r="C1299" i="9"/>
  <c r="B1299" i="9"/>
  <c r="A1299" i="9"/>
  <c r="M1298" i="9"/>
  <c r="L1298" i="9"/>
  <c r="K1298" i="9"/>
  <c r="J1298" i="9"/>
  <c r="I1298" i="9"/>
  <c r="H1298" i="9"/>
  <c r="G1298" i="9"/>
  <c r="F1298" i="9"/>
  <c r="E1298" i="9"/>
  <c r="D1298" i="9"/>
  <c r="C1298" i="9"/>
  <c r="B1298" i="9"/>
  <c r="A1298" i="9"/>
  <c r="M1297" i="9"/>
  <c r="L1297" i="9"/>
  <c r="K1297" i="9"/>
  <c r="J1297" i="9"/>
  <c r="I1297" i="9"/>
  <c r="H1297" i="9"/>
  <c r="G1297" i="9"/>
  <c r="F1297" i="9"/>
  <c r="E1297" i="9"/>
  <c r="D1297" i="9"/>
  <c r="C1297" i="9"/>
  <c r="B1297" i="9"/>
  <c r="A1297" i="9"/>
  <c r="M1296" i="9"/>
  <c r="L1296" i="9"/>
  <c r="K1296" i="9"/>
  <c r="J1296" i="9"/>
  <c r="I1296" i="9"/>
  <c r="H1296" i="9"/>
  <c r="G1296" i="9"/>
  <c r="F1296" i="9"/>
  <c r="E1296" i="9"/>
  <c r="D1296" i="9"/>
  <c r="C1296" i="9"/>
  <c r="B1296" i="9"/>
  <c r="A1296" i="9"/>
  <c r="M1295" i="9"/>
  <c r="L1295" i="9"/>
  <c r="K1295" i="9"/>
  <c r="J1295" i="9"/>
  <c r="I1295" i="9"/>
  <c r="H1295" i="9"/>
  <c r="G1295" i="9"/>
  <c r="F1295" i="9"/>
  <c r="E1295" i="9"/>
  <c r="D1295" i="9"/>
  <c r="C1295" i="9"/>
  <c r="B1295" i="9"/>
  <c r="A1295" i="9"/>
  <c r="M1294" i="9"/>
  <c r="L1294" i="9"/>
  <c r="K1294" i="9"/>
  <c r="J1294" i="9"/>
  <c r="I1294" i="9"/>
  <c r="H1294" i="9"/>
  <c r="G1294" i="9"/>
  <c r="F1294" i="9"/>
  <c r="E1294" i="9"/>
  <c r="D1294" i="9"/>
  <c r="C1294" i="9"/>
  <c r="B1294" i="9"/>
  <c r="A1294" i="9"/>
  <c r="M1293" i="9"/>
  <c r="L1293" i="9"/>
  <c r="K1293" i="9"/>
  <c r="J1293" i="9"/>
  <c r="I1293" i="9"/>
  <c r="H1293" i="9"/>
  <c r="G1293" i="9"/>
  <c r="F1293" i="9"/>
  <c r="E1293" i="9"/>
  <c r="D1293" i="9"/>
  <c r="C1293" i="9"/>
  <c r="B1293" i="9"/>
  <c r="A1293" i="9"/>
  <c r="M1292" i="9"/>
  <c r="L1292" i="9"/>
  <c r="K1292" i="9"/>
  <c r="J1292" i="9"/>
  <c r="I1292" i="9"/>
  <c r="H1292" i="9"/>
  <c r="G1292" i="9"/>
  <c r="F1292" i="9"/>
  <c r="E1292" i="9"/>
  <c r="D1292" i="9"/>
  <c r="C1292" i="9"/>
  <c r="B1292" i="9"/>
  <c r="A1292" i="9"/>
  <c r="M1291" i="9"/>
  <c r="L1291" i="9"/>
  <c r="K1291" i="9"/>
  <c r="J1291" i="9"/>
  <c r="I1291" i="9"/>
  <c r="H1291" i="9"/>
  <c r="G1291" i="9"/>
  <c r="F1291" i="9"/>
  <c r="E1291" i="9"/>
  <c r="D1291" i="9"/>
  <c r="C1291" i="9"/>
  <c r="B1291" i="9"/>
  <c r="A1291" i="9"/>
  <c r="M1290" i="9"/>
  <c r="L1290" i="9"/>
  <c r="K1290" i="9"/>
  <c r="J1290" i="9"/>
  <c r="I1290" i="9"/>
  <c r="H1290" i="9"/>
  <c r="G1290" i="9"/>
  <c r="F1290" i="9"/>
  <c r="E1290" i="9"/>
  <c r="D1290" i="9"/>
  <c r="C1290" i="9"/>
  <c r="B1290" i="9"/>
  <c r="A1290" i="9"/>
  <c r="M1289" i="9"/>
  <c r="L1289" i="9"/>
  <c r="K1289" i="9"/>
  <c r="J1289" i="9"/>
  <c r="I1289" i="9"/>
  <c r="H1289" i="9"/>
  <c r="G1289" i="9"/>
  <c r="F1289" i="9"/>
  <c r="E1289" i="9"/>
  <c r="D1289" i="9"/>
  <c r="C1289" i="9"/>
  <c r="B1289" i="9"/>
  <c r="A1289" i="9"/>
  <c r="M1288" i="9"/>
  <c r="L1288" i="9"/>
  <c r="K1288" i="9"/>
  <c r="J1288" i="9"/>
  <c r="I1288" i="9"/>
  <c r="H1288" i="9"/>
  <c r="G1288" i="9"/>
  <c r="F1288" i="9"/>
  <c r="E1288" i="9"/>
  <c r="D1288" i="9"/>
  <c r="C1288" i="9"/>
  <c r="B1288" i="9"/>
  <c r="A1288" i="9"/>
  <c r="M1287" i="9"/>
  <c r="L1287" i="9"/>
  <c r="K1287" i="9"/>
  <c r="J1287" i="9"/>
  <c r="I1287" i="9"/>
  <c r="H1287" i="9"/>
  <c r="G1287" i="9"/>
  <c r="F1287" i="9"/>
  <c r="E1287" i="9"/>
  <c r="D1287" i="9"/>
  <c r="C1287" i="9"/>
  <c r="B1287" i="9"/>
  <c r="A1287" i="9"/>
  <c r="M1286" i="9"/>
  <c r="L1286" i="9"/>
  <c r="K1286" i="9"/>
  <c r="J1286" i="9"/>
  <c r="I1286" i="9"/>
  <c r="H1286" i="9"/>
  <c r="G1286" i="9"/>
  <c r="F1286" i="9"/>
  <c r="E1286" i="9"/>
  <c r="D1286" i="9"/>
  <c r="C1286" i="9"/>
  <c r="B1286" i="9"/>
  <c r="A1286" i="9"/>
  <c r="M1285" i="9"/>
  <c r="L1285" i="9"/>
  <c r="K1285" i="9"/>
  <c r="J1285" i="9"/>
  <c r="I1285" i="9"/>
  <c r="H1285" i="9"/>
  <c r="G1285" i="9"/>
  <c r="F1285" i="9"/>
  <c r="E1285" i="9"/>
  <c r="D1285" i="9"/>
  <c r="C1285" i="9"/>
  <c r="B1285" i="9"/>
  <c r="A1285" i="9"/>
  <c r="M1284" i="9"/>
  <c r="L1284" i="9"/>
  <c r="K1284" i="9"/>
  <c r="J1284" i="9"/>
  <c r="I1284" i="9"/>
  <c r="H1284" i="9"/>
  <c r="G1284" i="9"/>
  <c r="F1284" i="9"/>
  <c r="E1284" i="9"/>
  <c r="D1284" i="9"/>
  <c r="C1284" i="9"/>
  <c r="B1284" i="9"/>
  <c r="A1284" i="9"/>
  <c r="M1283" i="9"/>
  <c r="L1283" i="9"/>
  <c r="K1283" i="9"/>
  <c r="J1283" i="9"/>
  <c r="I1283" i="9"/>
  <c r="H1283" i="9"/>
  <c r="G1283" i="9"/>
  <c r="F1283" i="9"/>
  <c r="E1283" i="9"/>
  <c r="D1283" i="9"/>
  <c r="C1283" i="9"/>
  <c r="B1283" i="9"/>
  <c r="A1283" i="9"/>
  <c r="M1282" i="9"/>
  <c r="L1282" i="9"/>
  <c r="K1282" i="9"/>
  <c r="J1282" i="9"/>
  <c r="I1282" i="9"/>
  <c r="H1282" i="9"/>
  <c r="G1282" i="9"/>
  <c r="F1282" i="9"/>
  <c r="E1282" i="9"/>
  <c r="D1282" i="9"/>
  <c r="C1282" i="9"/>
  <c r="B1282" i="9"/>
  <c r="A1282" i="9"/>
  <c r="M1281" i="9"/>
  <c r="L1281" i="9"/>
  <c r="K1281" i="9"/>
  <c r="J1281" i="9"/>
  <c r="I1281" i="9"/>
  <c r="H1281" i="9"/>
  <c r="G1281" i="9"/>
  <c r="F1281" i="9"/>
  <c r="E1281" i="9"/>
  <c r="D1281" i="9"/>
  <c r="C1281" i="9"/>
  <c r="B1281" i="9"/>
  <c r="A1281" i="9"/>
  <c r="M1280" i="9"/>
  <c r="L1280" i="9"/>
  <c r="K1280" i="9"/>
  <c r="J1280" i="9"/>
  <c r="I1280" i="9"/>
  <c r="H1280" i="9"/>
  <c r="G1280" i="9"/>
  <c r="F1280" i="9"/>
  <c r="E1280" i="9"/>
  <c r="D1280" i="9"/>
  <c r="C1280" i="9"/>
  <c r="B1280" i="9"/>
  <c r="A1280" i="9"/>
  <c r="M1279" i="9"/>
  <c r="L1279" i="9"/>
  <c r="K1279" i="9"/>
  <c r="J1279" i="9"/>
  <c r="I1279" i="9"/>
  <c r="H1279" i="9"/>
  <c r="G1279" i="9"/>
  <c r="F1279" i="9"/>
  <c r="E1279" i="9"/>
  <c r="D1279" i="9"/>
  <c r="C1279" i="9"/>
  <c r="B1279" i="9"/>
  <c r="A1279" i="9"/>
  <c r="M1278" i="9"/>
  <c r="L1278" i="9"/>
  <c r="K1278" i="9"/>
  <c r="J1278" i="9"/>
  <c r="I1278" i="9"/>
  <c r="H1278" i="9"/>
  <c r="G1278" i="9"/>
  <c r="F1278" i="9"/>
  <c r="E1278" i="9"/>
  <c r="D1278" i="9"/>
  <c r="C1278" i="9"/>
  <c r="B1278" i="9"/>
  <c r="A1278" i="9"/>
  <c r="M1277" i="9"/>
  <c r="L1277" i="9"/>
  <c r="K1277" i="9"/>
  <c r="J1277" i="9"/>
  <c r="I1277" i="9"/>
  <c r="H1277" i="9"/>
  <c r="G1277" i="9"/>
  <c r="F1277" i="9"/>
  <c r="E1277" i="9"/>
  <c r="D1277" i="9"/>
  <c r="C1277" i="9"/>
  <c r="B1277" i="9"/>
  <c r="A1277" i="9"/>
  <c r="M1276" i="9"/>
  <c r="L1276" i="9"/>
  <c r="K1276" i="9"/>
  <c r="J1276" i="9"/>
  <c r="I1276" i="9"/>
  <c r="H1276" i="9"/>
  <c r="G1276" i="9"/>
  <c r="F1276" i="9"/>
  <c r="E1276" i="9"/>
  <c r="D1276" i="9"/>
  <c r="C1276" i="9"/>
  <c r="B1276" i="9"/>
  <c r="A1276" i="9"/>
  <c r="M1275" i="9"/>
  <c r="L1275" i="9"/>
  <c r="K1275" i="9"/>
  <c r="J1275" i="9"/>
  <c r="I1275" i="9"/>
  <c r="H1275" i="9"/>
  <c r="G1275" i="9"/>
  <c r="F1275" i="9"/>
  <c r="E1275" i="9"/>
  <c r="D1275" i="9"/>
  <c r="C1275" i="9"/>
  <c r="B1275" i="9"/>
  <c r="A1275" i="9"/>
  <c r="M1274" i="9"/>
  <c r="L1274" i="9"/>
  <c r="K1274" i="9"/>
  <c r="J1274" i="9"/>
  <c r="I1274" i="9"/>
  <c r="H1274" i="9"/>
  <c r="G1274" i="9"/>
  <c r="F1274" i="9"/>
  <c r="E1274" i="9"/>
  <c r="D1274" i="9"/>
  <c r="C1274" i="9"/>
  <c r="B1274" i="9"/>
  <c r="A1274" i="9"/>
  <c r="M1273" i="9"/>
  <c r="L1273" i="9"/>
  <c r="K1273" i="9"/>
  <c r="J1273" i="9"/>
  <c r="I1273" i="9"/>
  <c r="H1273" i="9"/>
  <c r="G1273" i="9"/>
  <c r="F1273" i="9"/>
  <c r="E1273" i="9"/>
  <c r="D1273" i="9"/>
  <c r="C1273" i="9"/>
  <c r="B1273" i="9"/>
  <c r="A1273" i="9"/>
  <c r="M1272" i="9"/>
  <c r="L1272" i="9"/>
  <c r="K1272" i="9"/>
  <c r="J1272" i="9"/>
  <c r="I1272" i="9"/>
  <c r="H1272" i="9"/>
  <c r="G1272" i="9"/>
  <c r="F1272" i="9"/>
  <c r="E1272" i="9"/>
  <c r="D1272" i="9"/>
  <c r="C1272" i="9"/>
  <c r="B1272" i="9"/>
  <c r="A1272" i="9"/>
  <c r="M1271" i="9"/>
  <c r="L1271" i="9"/>
  <c r="K1271" i="9"/>
  <c r="J1271" i="9"/>
  <c r="I1271" i="9"/>
  <c r="H1271" i="9"/>
  <c r="G1271" i="9"/>
  <c r="F1271" i="9"/>
  <c r="E1271" i="9"/>
  <c r="D1271" i="9"/>
  <c r="C1271" i="9"/>
  <c r="B1271" i="9"/>
  <c r="A1271" i="9"/>
  <c r="M1270" i="9"/>
  <c r="L1270" i="9"/>
  <c r="K1270" i="9"/>
  <c r="J1270" i="9"/>
  <c r="I1270" i="9"/>
  <c r="H1270" i="9"/>
  <c r="G1270" i="9"/>
  <c r="F1270" i="9"/>
  <c r="E1270" i="9"/>
  <c r="D1270" i="9"/>
  <c r="C1270" i="9"/>
  <c r="B1270" i="9"/>
  <c r="A1270" i="9"/>
  <c r="M1269" i="9"/>
  <c r="L1269" i="9"/>
  <c r="K1269" i="9"/>
  <c r="J1269" i="9"/>
  <c r="I1269" i="9"/>
  <c r="H1269" i="9"/>
  <c r="G1269" i="9"/>
  <c r="F1269" i="9"/>
  <c r="E1269" i="9"/>
  <c r="D1269" i="9"/>
  <c r="C1269" i="9"/>
  <c r="B1269" i="9"/>
  <c r="A1269" i="9"/>
  <c r="M1268" i="9"/>
  <c r="L1268" i="9"/>
  <c r="K1268" i="9"/>
  <c r="J1268" i="9"/>
  <c r="I1268" i="9"/>
  <c r="H1268" i="9"/>
  <c r="G1268" i="9"/>
  <c r="F1268" i="9"/>
  <c r="E1268" i="9"/>
  <c r="D1268" i="9"/>
  <c r="C1268" i="9"/>
  <c r="B1268" i="9"/>
  <c r="A1268" i="9"/>
  <c r="M1267" i="9"/>
  <c r="L1267" i="9"/>
  <c r="K1267" i="9"/>
  <c r="J1267" i="9"/>
  <c r="I1267" i="9"/>
  <c r="H1267" i="9"/>
  <c r="G1267" i="9"/>
  <c r="F1267" i="9"/>
  <c r="E1267" i="9"/>
  <c r="D1267" i="9"/>
  <c r="C1267" i="9"/>
  <c r="B1267" i="9"/>
  <c r="A1267" i="9"/>
  <c r="M1266" i="9"/>
  <c r="L1266" i="9"/>
  <c r="K1266" i="9"/>
  <c r="J1266" i="9"/>
  <c r="I1266" i="9"/>
  <c r="H1266" i="9"/>
  <c r="G1266" i="9"/>
  <c r="F1266" i="9"/>
  <c r="E1266" i="9"/>
  <c r="D1266" i="9"/>
  <c r="C1266" i="9"/>
  <c r="B1266" i="9"/>
  <c r="A1266" i="9"/>
  <c r="M1265" i="9"/>
  <c r="L1265" i="9"/>
  <c r="K1265" i="9"/>
  <c r="J1265" i="9"/>
  <c r="I1265" i="9"/>
  <c r="H1265" i="9"/>
  <c r="G1265" i="9"/>
  <c r="F1265" i="9"/>
  <c r="E1265" i="9"/>
  <c r="D1265" i="9"/>
  <c r="C1265" i="9"/>
  <c r="B1265" i="9"/>
  <c r="A1265" i="9"/>
  <c r="M1264" i="9"/>
  <c r="L1264" i="9"/>
  <c r="K1264" i="9"/>
  <c r="J1264" i="9"/>
  <c r="I1264" i="9"/>
  <c r="H1264" i="9"/>
  <c r="G1264" i="9"/>
  <c r="F1264" i="9"/>
  <c r="E1264" i="9"/>
  <c r="D1264" i="9"/>
  <c r="C1264" i="9"/>
  <c r="B1264" i="9"/>
  <c r="A1264" i="9"/>
  <c r="M1263" i="9"/>
  <c r="L1263" i="9"/>
  <c r="K1263" i="9"/>
  <c r="J1263" i="9"/>
  <c r="I1263" i="9"/>
  <c r="H1263" i="9"/>
  <c r="G1263" i="9"/>
  <c r="F1263" i="9"/>
  <c r="E1263" i="9"/>
  <c r="D1263" i="9"/>
  <c r="C1263" i="9"/>
  <c r="B1263" i="9"/>
  <c r="A1263" i="9"/>
  <c r="M1262" i="9"/>
  <c r="L1262" i="9"/>
  <c r="K1262" i="9"/>
  <c r="J1262" i="9"/>
  <c r="I1262" i="9"/>
  <c r="H1262" i="9"/>
  <c r="G1262" i="9"/>
  <c r="F1262" i="9"/>
  <c r="E1262" i="9"/>
  <c r="D1262" i="9"/>
  <c r="C1262" i="9"/>
  <c r="B1262" i="9"/>
  <c r="A1262" i="9"/>
  <c r="M1261" i="9"/>
  <c r="L1261" i="9"/>
  <c r="K1261" i="9"/>
  <c r="J1261" i="9"/>
  <c r="I1261" i="9"/>
  <c r="H1261" i="9"/>
  <c r="G1261" i="9"/>
  <c r="F1261" i="9"/>
  <c r="E1261" i="9"/>
  <c r="D1261" i="9"/>
  <c r="C1261" i="9"/>
  <c r="B1261" i="9"/>
  <c r="A1261" i="9"/>
  <c r="M1260" i="9"/>
  <c r="L1260" i="9"/>
  <c r="K1260" i="9"/>
  <c r="J1260" i="9"/>
  <c r="I1260" i="9"/>
  <c r="H1260" i="9"/>
  <c r="G1260" i="9"/>
  <c r="F1260" i="9"/>
  <c r="E1260" i="9"/>
  <c r="D1260" i="9"/>
  <c r="C1260" i="9"/>
  <c r="B1260" i="9"/>
  <c r="A1260" i="9"/>
  <c r="M1259" i="9"/>
  <c r="L1259" i="9"/>
  <c r="K1259" i="9"/>
  <c r="J1259" i="9"/>
  <c r="I1259" i="9"/>
  <c r="H1259" i="9"/>
  <c r="G1259" i="9"/>
  <c r="F1259" i="9"/>
  <c r="E1259" i="9"/>
  <c r="D1259" i="9"/>
  <c r="C1259" i="9"/>
  <c r="B1259" i="9"/>
  <c r="A1259" i="9"/>
  <c r="M1258" i="9"/>
  <c r="L1258" i="9"/>
  <c r="K1258" i="9"/>
  <c r="J1258" i="9"/>
  <c r="I1258" i="9"/>
  <c r="H1258" i="9"/>
  <c r="G1258" i="9"/>
  <c r="F1258" i="9"/>
  <c r="E1258" i="9"/>
  <c r="D1258" i="9"/>
  <c r="C1258" i="9"/>
  <c r="B1258" i="9"/>
  <c r="A1258" i="9"/>
  <c r="M1257" i="9"/>
  <c r="L1257" i="9"/>
  <c r="K1257" i="9"/>
  <c r="J1257" i="9"/>
  <c r="I1257" i="9"/>
  <c r="H1257" i="9"/>
  <c r="G1257" i="9"/>
  <c r="F1257" i="9"/>
  <c r="E1257" i="9"/>
  <c r="D1257" i="9"/>
  <c r="C1257" i="9"/>
  <c r="B1257" i="9"/>
  <c r="A1257" i="9"/>
  <c r="M1256" i="9"/>
  <c r="L1256" i="9"/>
  <c r="K1256" i="9"/>
  <c r="J1256" i="9"/>
  <c r="I1256" i="9"/>
  <c r="H1256" i="9"/>
  <c r="G1256" i="9"/>
  <c r="F1256" i="9"/>
  <c r="E1256" i="9"/>
  <c r="D1256" i="9"/>
  <c r="C1256" i="9"/>
  <c r="B1256" i="9"/>
  <c r="A1256" i="9"/>
  <c r="M1255" i="9"/>
  <c r="L1255" i="9"/>
  <c r="K1255" i="9"/>
  <c r="J1255" i="9"/>
  <c r="I1255" i="9"/>
  <c r="H1255" i="9"/>
  <c r="G1255" i="9"/>
  <c r="F1255" i="9"/>
  <c r="E1255" i="9"/>
  <c r="D1255" i="9"/>
  <c r="C1255" i="9"/>
  <c r="B1255" i="9"/>
  <c r="A1255" i="9"/>
  <c r="M1254" i="9"/>
  <c r="L1254" i="9"/>
  <c r="K1254" i="9"/>
  <c r="J1254" i="9"/>
  <c r="I1254" i="9"/>
  <c r="H1254" i="9"/>
  <c r="G1254" i="9"/>
  <c r="F1254" i="9"/>
  <c r="E1254" i="9"/>
  <c r="D1254" i="9"/>
  <c r="C1254" i="9"/>
  <c r="B1254" i="9"/>
  <c r="A1254" i="9"/>
  <c r="M1253" i="9"/>
  <c r="L1253" i="9"/>
  <c r="K1253" i="9"/>
  <c r="J1253" i="9"/>
  <c r="I1253" i="9"/>
  <c r="H1253" i="9"/>
  <c r="G1253" i="9"/>
  <c r="F1253" i="9"/>
  <c r="E1253" i="9"/>
  <c r="D1253" i="9"/>
  <c r="C1253" i="9"/>
  <c r="B1253" i="9"/>
  <c r="A1253" i="9"/>
  <c r="M1252" i="9"/>
  <c r="L1252" i="9"/>
  <c r="K1252" i="9"/>
  <c r="J1252" i="9"/>
  <c r="I1252" i="9"/>
  <c r="H1252" i="9"/>
  <c r="G1252" i="9"/>
  <c r="F1252" i="9"/>
  <c r="E1252" i="9"/>
  <c r="D1252" i="9"/>
  <c r="C1252" i="9"/>
  <c r="B1252" i="9"/>
  <c r="A1252" i="9"/>
  <c r="M1251" i="9"/>
  <c r="L1251" i="9"/>
  <c r="K1251" i="9"/>
  <c r="J1251" i="9"/>
  <c r="I1251" i="9"/>
  <c r="H1251" i="9"/>
  <c r="G1251" i="9"/>
  <c r="F1251" i="9"/>
  <c r="E1251" i="9"/>
  <c r="D1251" i="9"/>
  <c r="C1251" i="9"/>
  <c r="B1251" i="9"/>
  <c r="A1251" i="9"/>
  <c r="M1250" i="9"/>
  <c r="L1250" i="9"/>
  <c r="K1250" i="9"/>
  <c r="J1250" i="9"/>
  <c r="I1250" i="9"/>
  <c r="H1250" i="9"/>
  <c r="G1250" i="9"/>
  <c r="F1250" i="9"/>
  <c r="E1250" i="9"/>
  <c r="D1250" i="9"/>
  <c r="C1250" i="9"/>
  <c r="B1250" i="9"/>
  <c r="A1250" i="9"/>
  <c r="M1249" i="9"/>
  <c r="L1249" i="9"/>
  <c r="K1249" i="9"/>
  <c r="J1249" i="9"/>
  <c r="I1249" i="9"/>
  <c r="H1249" i="9"/>
  <c r="G1249" i="9"/>
  <c r="F1249" i="9"/>
  <c r="E1249" i="9"/>
  <c r="D1249" i="9"/>
  <c r="C1249" i="9"/>
  <c r="B1249" i="9"/>
  <c r="A1249" i="9"/>
  <c r="M1248" i="9"/>
  <c r="L1248" i="9"/>
  <c r="K1248" i="9"/>
  <c r="J1248" i="9"/>
  <c r="I1248" i="9"/>
  <c r="H1248" i="9"/>
  <c r="G1248" i="9"/>
  <c r="F1248" i="9"/>
  <c r="E1248" i="9"/>
  <c r="D1248" i="9"/>
  <c r="C1248" i="9"/>
  <c r="B1248" i="9"/>
  <c r="A1248" i="9"/>
  <c r="M1247" i="9"/>
  <c r="L1247" i="9"/>
  <c r="K1247" i="9"/>
  <c r="J1247" i="9"/>
  <c r="I1247" i="9"/>
  <c r="H1247" i="9"/>
  <c r="G1247" i="9"/>
  <c r="F1247" i="9"/>
  <c r="E1247" i="9"/>
  <c r="D1247" i="9"/>
  <c r="C1247" i="9"/>
  <c r="B1247" i="9"/>
  <c r="A1247" i="9"/>
  <c r="M1246" i="9"/>
  <c r="L1246" i="9"/>
  <c r="K1246" i="9"/>
  <c r="J1246" i="9"/>
  <c r="I1246" i="9"/>
  <c r="H1246" i="9"/>
  <c r="G1246" i="9"/>
  <c r="F1246" i="9"/>
  <c r="E1246" i="9"/>
  <c r="D1246" i="9"/>
  <c r="C1246" i="9"/>
  <c r="B1246" i="9"/>
  <c r="A1246" i="9"/>
  <c r="M1245" i="9"/>
  <c r="L1245" i="9"/>
  <c r="K1245" i="9"/>
  <c r="J1245" i="9"/>
  <c r="I1245" i="9"/>
  <c r="H1245" i="9"/>
  <c r="G1245" i="9"/>
  <c r="F1245" i="9"/>
  <c r="E1245" i="9"/>
  <c r="D1245" i="9"/>
  <c r="C1245" i="9"/>
  <c r="B1245" i="9"/>
  <c r="A1245" i="9"/>
  <c r="M1244" i="9"/>
  <c r="L1244" i="9"/>
  <c r="K1244" i="9"/>
  <c r="J1244" i="9"/>
  <c r="I1244" i="9"/>
  <c r="H1244" i="9"/>
  <c r="G1244" i="9"/>
  <c r="F1244" i="9"/>
  <c r="E1244" i="9"/>
  <c r="D1244" i="9"/>
  <c r="C1244" i="9"/>
  <c r="B1244" i="9"/>
  <c r="A1244" i="9"/>
  <c r="M1243" i="9"/>
  <c r="L1243" i="9"/>
  <c r="K1243" i="9"/>
  <c r="J1243" i="9"/>
  <c r="I1243" i="9"/>
  <c r="H1243" i="9"/>
  <c r="G1243" i="9"/>
  <c r="F1243" i="9"/>
  <c r="E1243" i="9"/>
  <c r="D1243" i="9"/>
  <c r="C1243" i="9"/>
  <c r="B1243" i="9"/>
  <c r="A1243" i="9"/>
  <c r="M1242" i="9"/>
  <c r="L1242" i="9"/>
  <c r="K1242" i="9"/>
  <c r="J1242" i="9"/>
  <c r="I1242" i="9"/>
  <c r="H1242" i="9"/>
  <c r="G1242" i="9"/>
  <c r="F1242" i="9"/>
  <c r="E1242" i="9"/>
  <c r="D1242" i="9"/>
  <c r="C1242" i="9"/>
  <c r="B1242" i="9"/>
  <c r="A1242" i="9"/>
  <c r="M1241" i="9"/>
  <c r="L1241" i="9"/>
  <c r="K1241" i="9"/>
  <c r="J1241" i="9"/>
  <c r="I1241" i="9"/>
  <c r="H1241" i="9"/>
  <c r="G1241" i="9"/>
  <c r="F1241" i="9"/>
  <c r="E1241" i="9"/>
  <c r="D1241" i="9"/>
  <c r="C1241" i="9"/>
  <c r="B1241" i="9"/>
  <c r="A1241" i="9"/>
  <c r="M1240" i="9"/>
  <c r="L1240" i="9"/>
  <c r="K1240" i="9"/>
  <c r="J1240" i="9"/>
  <c r="I1240" i="9"/>
  <c r="H1240" i="9"/>
  <c r="G1240" i="9"/>
  <c r="F1240" i="9"/>
  <c r="E1240" i="9"/>
  <c r="D1240" i="9"/>
  <c r="C1240" i="9"/>
  <c r="B1240" i="9"/>
  <c r="A1240" i="9"/>
  <c r="M1239" i="9"/>
  <c r="L1239" i="9"/>
  <c r="K1239" i="9"/>
  <c r="J1239" i="9"/>
  <c r="I1239" i="9"/>
  <c r="H1239" i="9"/>
  <c r="G1239" i="9"/>
  <c r="F1239" i="9"/>
  <c r="E1239" i="9"/>
  <c r="D1239" i="9"/>
  <c r="C1239" i="9"/>
  <c r="B1239" i="9"/>
  <c r="A1239" i="9"/>
  <c r="M1238" i="9"/>
  <c r="L1238" i="9"/>
  <c r="K1238" i="9"/>
  <c r="J1238" i="9"/>
  <c r="I1238" i="9"/>
  <c r="H1238" i="9"/>
  <c r="G1238" i="9"/>
  <c r="F1238" i="9"/>
  <c r="E1238" i="9"/>
  <c r="D1238" i="9"/>
  <c r="C1238" i="9"/>
  <c r="B1238" i="9"/>
  <c r="A1238" i="9"/>
  <c r="M1237" i="9"/>
  <c r="L1237" i="9"/>
  <c r="K1237" i="9"/>
  <c r="J1237" i="9"/>
  <c r="I1237" i="9"/>
  <c r="H1237" i="9"/>
  <c r="G1237" i="9"/>
  <c r="F1237" i="9"/>
  <c r="E1237" i="9"/>
  <c r="D1237" i="9"/>
  <c r="C1237" i="9"/>
  <c r="B1237" i="9"/>
  <c r="A1237" i="9"/>
  <c r="M1236" i="9"/>
  <c r="L1236" i="9"/>
  <c r="K1236" i="9"/>
  <c r="J1236" i="9"/>
  <c r="I1236" i="9"/>
  <c r="H1236" i="9"/>
  <c r="G1236" i="9"/>
  <c r="F1236" i="9"/>
  <c r="E1236" i="9"/>
  <c r="D1236" i="9"/>
  <c r="C1236" i="9"/>
  <c r="B1236" i="9"/>
  <c r="A1236" i="9"/>
  <c r="M1235" i="9"/>
  <c r="L1235" i="9"/>
  <c r="K1235" i="9"/>
  <c r="J1235" i="9"/>
  <c r="I1235" i="9"/>
  <c r="H1235" i="9"/>
  <c r="G1235" i="9"/>
  <c r="F1235" i="9"/>
  <c r="E1235" i="9"/>
  <c r="D1235" i="9"/>
  <c r="C1235" i="9"/>
  <c r="B1235" i="9"/>
  <c r="A1235" i="9"/>
  <c r="M1234" i="9"/>
  <c r="L1234" i="9"/>
  <c r="K1234" i="9"/>
  <c r="J1234" i="9"/>
  <c r="I1234" i="9"/>
  <c r="H1234" i="9"/>
  <c r="G1234" i="9"/>
  <c r="F1234" i="9"/>
  <c r="E1234" i="9"/>
  <c r="D1234" i="9"/>
  <c r="C1234" i="9"/>
  <c r="B1234" i="9"/>
  <c r="A1234" i="9"/>
  <c r="M1233" i="9"/>
  <c r="L1233" i="9"/>
  <c r="K1233" i="9"/>
  <c r="J1233" i="9"/>
  <c r="I1233" i="9"/>
  <c r="H1233" i="9"/>
  <c r="G1233" i="9"/>
  <c r="F1233" i="9"/>
  <c r="E1233" i="9"/>
  <c r="D1233" i="9"/>
  <c r="C1233" i="9"/>
  <c r="B1233" i="9"/>
  <c r="A1233" i="9"/>
  <c r="M1232" i="9"/>
  <c r="L1232" i="9"/>
  <c r="K1232" i="9"/>
  <c r="J1232" i="9"/>
  <c r="I1232" i="9"/>
  <c r="H1232" i="9"/>
  <c r="G1232" i="9"/>
  <c r="F1232" i="9"/>
  <c r="E1232" i="9"/>
  <c r="D1232" i="9"/>
  <c r="C1232" i="9"/>
  <c r="B1232" i="9"/>
  <c r="A1232" i="9"/>
  <c r="M1231" i="9"/>
  <c r="L1231" i="9"/>
  <c r="K1231" i="9"/>
  <c r="J1231" i="9"/>
  <c r="I1231" i="9"/>
  <c r="H1231" i="9"/>
  <c r="G1231" i="9"/>
  <c r="F1231" i="9"/>
  <c r="E1231" i="9"/>
  <c r="D1231" i="9"/>
  <c r="C1231" i="9"/>
  <c r="B1231" i="9"/>
  <c r="A1231" i="9"/>
  <c r="M1230" i="9"/>
  <c r="L1230" i="9"/>
  <c r="K1230" i="9"/>
  <c r="J1230" i="9"/>
  <c r="I1230" i="9"/>
  <c r="H1230" i="9"/>
  <c r="G1230" i="9"/>
  <c r="F1230" i="9"/>
  <c r="E1230" i="9"/>
  <c r="D1230" i="9"/>
  <c r="C1230" i="9"/>
  <c r="B1230" i="9"/>
  <c r="A1230" i="9"/>
  <c r="M1229" i="9"/>
  <c r="L1229" i="9"/>
  <c r="K1229" i="9"/>
  <c r="J1229" i="9"/>
  <c r="I1229" i="9"/>
  <c r="H1229" i="9"/>
  <c r="G1229" i="9"/>
  <c r="F1229" i="9"/>
  <c r="E1229" i="9"/>
  <c r="D1229" i="9"/>
  <c r="C1229" i="9"/>
  <c r="B1229" i="9"/>
  <c r="A1229" i="9"/>
  <c r="M1228" i="9"/>
  <c r="L1228" i="9"/>
  <c r="K1228" i="9"/>
  <c r="J1228" i="9"/>
  <c r="I1228" i="9"/>
  <c r="H1228" i="9"/>
  <c r="G1228" i="9"/>
  <c r="F1228" i="9"/>
  <c r="E1228" i="9"/>
  <c r="D1228" i="9"/>
  <c r="C1228" i="9"/>
  <c r="B1228" i="9"/>
  <c r="A1228" i="9"/>
  <c r="M1227" i="9"/>
  <c r="L1227" i="9"/>
  <c r="K1227" i="9"/>
  <c r="J1227" i="9"/>
  <c r="I1227" i="9"/>
  <c r="H1227" i="9"/>
  <c r="G1227" i="9"/>
  <c r="F1227" i="9"/>
  <c r="E1227" i="9"/>
  <c r="D1227" i="9"/>
  <c r="C1227" i="9"/>
  <c r="B1227" i="9"/>
  <c r="A1227" i="9"/>
  <c r="M1226" i="9"/>
  <c r="L1226" i="9"/>
  <c r="K1226" i="9"/>
  <c r="J1226" i="9"/>
  <c r="I1226" i="9"/>
  <c r="H1226" i="9"/>
  <c r="G1226" i="9"/>
  <c r="F1226" i="9"/>
  <c r="E1226" i="9"/>
  <c r="D1226" i="9"/>
  <c r="C1226" i="9"/>
  <c r="B1226" i="9"/>
  <c r="A1226" i="9"/>
  <c r="M1225" i="9"/>
  <c r="L1225" i="9"/>
  <c r="K1225" i="9"/>
  <c r="J1225" i="9"/>
  <c r="I1225" i="9"/>
  <c r="H1225" i="9"/>
  <c r="G1225" i="9"/>
  <c r="F1225" i="9"/>
  <c r="E1225" i="9"/>
  <c r="D1225" i="9"/>
  <c r="C1225" i="9"/>
  <c r="B1225" i="9"/>
  <c r="A1225" i="9"/>
  <c r="M1224" i="9"/>
  <c r="L1224" i="9"/>
  <c r="K1224" i="9"/>
  <c r="J1224" i="9"/>
  <c r="I1224" i="9"/>
  <c r="H1224" i="9"/>
  <c r="G1224" i="9"/>
  <c r="F1224" i="9"/>
  <c r="E1224" i="9"/>
  <c r="D1224" i="9"/>
  <c r="C1224" i="9"/>
  <c r="B1224" i="9"/>
  <c r="A1224" i="9"/>
  <c r="M1223" i="9"/>
  <c r="L1223" i="9"/>
  <c r="K1223" i="9"/>
  <c r="J1223" i="9"/>
  <c r="I1223" i="9"/>
  <c r="H1223" i="9"/>
  <c r="G1223" i="9"/>
  <c r="F1223" i="9"/>
  <c r="E1223" i="9"/>
  <c r="D1223" i="9"/>
  <c r="C1223" i="9"/>
  <c r="B1223" i="9"/>
  <c r="A1223" i="9"/>
  <c r="M1222" i="9"/>
  <c r="L1222" i="9"/>
  <c r="K1222" i="9"/>
  <c r="J1222" i="9"/>
  <c r="I1222" i="9"/>
  <c r="H1222" i="9"/>
  <c r="G1222" i="9"/>
  <c r="F1222" i="9"/>
  <c r="E1222" i="9"/>
  <c r="D1222" i="9"/>
  <c r="C1222" i="9"/>
  <c r="B1222" i="9"/>
  <c r="A1222" i="9"/>
  <c r="M1221" i="9"/>
  <c r="L1221" i="9"/>
  <c r="K1221" i="9"/>
  <c r="J1221" i="9"/>
  <c r="I1221" i="9"/>
  <c r="H1221" i="9"/>
  <c r="G1221" i="9"/>
  <c r="F1221" i="9"/>
  <c r="E1221" i="9"/>
  <c r="D1221" i="9"/>
  <c r="C1221" i="9"/>
  <c r="B1221" i="9"/>
  <c r="A1221" i="9"/>
  <c r="M1220" i="9"/>
  <c r="L1220" i="9"/>
  <c r="K1220" i="9"/>
  <c r="J1220" i="9"/>
  <c r="I1220" i="9"/>
  <c r="H1220" i="9"/>
  <c r="G1220" i="9"/>
  <c r="F1220" i="9"/>
  <c r="E1220" i="9"/>
  <c r="D1220" i="9"/>
  <c r="C1220" i="9"/>
  <c r="B1220" i="9"/>
  <c r="A1220" i="9"/>
  <c r="M1219" i="9"/>
  <c r="L1219" i="9"/>
  <c r="K1219" i="9"/>
  <c r="J1219" i="9"/>
  <c r="I1219" i="9"/>
  <c r="H1219" i="9"/>
  <c r="G1219" i="9"/>
  <c r="F1219" i="9"/>
  <c r="E1219" i="9"/>
  <c r="D1219" i="9"/>
  <c r="C1219" i="9"/>
  <c r="B1219" i="9"/>
  <c r="A1219" i="9"/>
  <c r="M1218" i="9"/>
  <c r="L1218" i="9"/>
  <c r="K1218" i="9"/>
  <c r="J1218" i="9"/>
  <c r="I1218" i="9"/>
  <c r="H1218" i="9"/>
  <c r="G1218" i="9"/>
  <c r="F1218" i="9"/>
  <c r="E1218" i="9"/>
  <c r="D1218" i="9"/>
  <c r="C1218" i="9"/>
  <c r="B1218" i="9"/>
  <c r="A1218" i="9"/>
  <c r="M1217" i="9"/>
  <c r="L1217" i="9"/>
  <c r="K1217" i="9"/>
  <c r="J1217" i="9"/>
  <c r="I1217" i="9"/>
  <c r="H1217" i="9"/>
  <c r="G1217" i="9"/>
  <c r="F1217" i="9"/>
  <c r="E1217" i="9"/>
  <c r="D1217" i="9"/>
  <c r="C1217" i="9"/>
  <c r="B1217" i="9"/>
  <c r="A1217" i="9"/>
  <c r="M1216" i="9"/>
  <c r="L1216" i="9"/>
  <c r="K1216" i="9"/>
  <c r="J1216" i="9"/>
  <c r="I1216" i="9"/>
  <c r="H1216" i="9"/>
  <c r="G1216" i="9"/>
  <c r="F1216" i="9"/>
  <c r="E1216" i="9"/>
  <c r="D1216" i="9"/>
  <c r="C1216" i="9"/>
  <c r="B1216" i="9"/>
  <c r="A1216" i="9"/>
  <c r="M1215" i="9"/>
  <c r="L1215" i="9"/>
  <c r="K1215" i="9"/>
  <c r="J1215" i="9"/>
  <c r="I1215" i="9"/>
  <c r="H1215" i="9"/>
  <c r="G1215" i="9"/>
  <c r="F1215" i="9"/>
  <c r="E1215" i="9"/>
  <c r="D1215" i="9"/>
  <c r="C1215" i="9"/>
  <c r="B1215" i="9"/>
  <c r="A1215" i="9"/>
  <c r="M1214" i="9"/>
  <c r="L1214" i="9"/>
  <c r="K1214" i="9"/>
  <c r="J1214" i="9"/>
  <c r="I1214" i="9"/>
  <c r="H1214" i="9"/>
  <c r="G1214" i="9"/>
  <c r="F1214" i="9"/>
  <c r="E1214" i="9"/>
  <c r="D1214" i="9"/>
  <c r="C1214" i="9"/>
  <c r="B1214" i="9"/>
  <c r="A1214" i="9"/>
  <c r="M1213" i="9"/>
  <c r="L1213" i="9"/>
  <c r="K1213" i="9"/>
  <c r="J1213" i="9"/>
  <c r="I1213" i="9"/>
  <c r="H1213" i="9"/>
  <c r="G1213" i="9"/>
  <c r="F1213" i="9"/>
  <c r="E1213" i="9"/>
  <c r="D1213" i="9"/>
  <c r="C1213" i="9"/>
  <c r="B1213" i="9"/>
  <c r="A1213" i="9"/>
  <c r="M1212" i="9"/>
  <c r="L1212" i="9"/>
  <c r="K1212" i="9"/>
  <c r="J1212" i="9"/>
  <c r="I1212" i="9"/>
  <c r="H1212" i="9"/>
  <c r="G1212" i="9"/>
  <c r="F1212" i="9"/>
  <c r="E1212" i="9"/>
  <c r="D1212" i="9"/>
  <c r="C1212" i="9"/>
  <c r="B1212" i="9"/>
  <c r="A1212" i="9"/>
  <c r="M1211" i="9"/>
  <c r="L1211" i="9"/>
  <c r="K1211" i="9"/>
  <c r="J1211" i="9"/>
  <c r="I1211" i="9"/>
  <c r="H1211" i="9"/>
  <c r="G1211" i="9"/>
  <c r="F1211" i="9"/>
  <c r="E1211" i="9"/>
  <c r="D1211" i="9"/>
  <c r="C1211" i="9"/>
  <c r="B1211" i="9"/>
  <c r="A1211" i="9"/>
  <c r="M1210" i="9"/>
  <c r="L1210" i="9"/>
  <c r="K1210" i="9"/>
  <c r="J1210" i="9"/>
  <c r="I1210" i="9"/>
  <c r="H1210" i="9"/>
  <c r="G1210" i="9"/>
  <c r="F1210" i="9"/>
  <c r="E1210" i="9"/>
  <c r="D1210" i="9"/>
  <c r="C1210" i="9"/>
  <c r="B1210" i="9"/>
  <c r="A1210" i="9"/>
  <c r="M1209" i="9"/>
  <c r="L1209" i="9"/>
  <c r="K1209" i="9"/>
  <c r="J1209" i="9"/>
  <c r="I1209" i="9"/>
  <c r="H1209" i="9"/>
  <c r="G1209" i="9"/>
  <c r="F1209" i="9"/>
  <c r="E1209" i="9"/>
  <c r="D1209" i="9"/>
  <c r="C1209" i="9"/>
  <c r="B1209" i="9"/>
  <c r="A1209" i="9"/>
  <c r="M1208" i="9"/>
  <c r="L1208" i="9"/>
  <c r="K1208" i="9"/>
  <c r="J1208" i="9"/>
  <c r="I1208" i="9"/>
  <c r="H1208" i="9"/>
  <c r="G1208" i="9"/>
  <c r="F1208" i="9"/>
  <c r="E1208" i="9"/>
  <c r="D1208" i="9"/>
  <c r="C1208" i="9"/>
  <c r="B1208" i="9"/>
  <c r="A1208" i="9"/>
  <c r="M1207" i="9"/>
  <c r="L1207" i="9"/>
  <c r="K1207" i="9"/>
  <c r="J1207" i="9"/>
  <c r="I1207" i="9"/>
  <c r="H1207" i="9"/>
  <c r="G1207" i="9"/>
  <c r="F1207" i="9"/>
  <c r="E1207" i="9"/>
  <c r="D1207" i="9"/>
  <c r="C1207" i="9"/>
  <c r="B1207" i="9"/>
  <c r="A1207" i="9"/>
  <c r="M1206" i="9"/>
  <c r="L1206" i="9"/>
  <c r="K1206" i="9"/>
  <c r="J1206" i="9"/>
  <c r="I1206" i="9"/>
  <c r="H1206" i="9"/>
  <c r="G1206" i="9"/>
  <c r="F1206" i="9"/>
  <c r="E1206" i="9"/>
  <c r="D1206" i="9"/>
  <c r="C1206" i="9"/>
  <c r="B1206" i="9"/>
  <c r="A1206" i="9"/>
  <c r="M1205" i="9"/>
  <c r="L1205" i="9"/>
  <c r="K1205" i="9"/>
  <c r="J1205" i="9"/>
  <c r="I1205" i="9"/>
  <c r="H1205" i="9"/>
  <c r="G1205" i="9"/>
  <c r="F1205" i="9"/>
  <c r="E1205" i="9"/>
  <c r="D1205" i="9"/>
  <c r="C1205" i="9"/>
  <c r="B1205" i="9"/>
  <c r="A1205" i="9"/>
  <c r="M1204" i="9"/>
  <c r="L1204" i="9"/>
  <c r="K1204" i="9"/>
  <c r="J1204" i="9"/>
  <c r="I1204" i="9"/>
  <c r="H1204" i="9"/>
  <c r="G1204" i="9"/>
  <c r="F1204" i="9"/>
  <c r="E1204" i="9"/>
  <c r="D1204" i="9"/>
  <c r="C1204" i="9"/>
  <c r="B1204" i="9"/>
  <c r="A1204" i="9"/>
  <c r="M1203" i="9"/>
  <c r="L1203" i="9"/>
  <c r="K1203" i="9"/>
  <c r="J1203" i="9"/>
  <c r="I1203" i="9"/>
  <c r="H1203" i="9"/>
  <c r="G1203" i="9"/>
  <c r="F1203" i="9"/>
  <c r="E1203" i="9"/>
  <c r="D1203" i="9"/>
  <c r="C1203" i="9"/>
  <c r="B1203" i="9"/>
  <c r="A1203" i="9"/>
  <c r="M1202" i="9"/>
  <c r="L1202" i="9"/>
  <c r="K1202" i="9"/>
  <c r="J1202" i="9"/>
  <c r="I1202" i="9"/>
  <c r="H1202" i="9"/>
  <c r="G1202" i="9"/>
  <c r="F1202" i="9"/>
  <c r="E1202" i="9"/>
  <c r="D1202" i="9"/>
  <c r="C1202" i="9"/>
  <c r="B1202" i="9"/>
  <c r="A1202" i="9"/>
  <c r="M1201" i="9"/>
  <c r="L1201" i="9"/>
  <c r="K1201" i="9"/>
  <c r="J1201" i="9"/>
  <c r="I1201" i="9"/>
  <c r="H1201" i="9"/>
  <c r="G1201" i="9"/>
  <c r="F1201" i="9"/>
  <c r="E1201" i="9"/>
  <c r="D1201" i="9"/>
  <c r="C1201" i="9"/>
  <c r="B1201" i="9"/>
  <c r="A1201" i="9"/>
  <c r="M1200" i="9"/>
  <c r="L1200" i="9"/>
  <c r="K1200" i="9"/>
  <c r="J1200" i="9"/>
  <c r="I1200" i="9"/>
  <c r="H1200" i="9"/>
  <c r="G1200" i="9"/>
  <c r="F1200" i="9"/>
  <c r="E1200" i="9"/>
  <c r="D1200" i="9"/>
  <c r="C1200" i="9"/>
  <c r="B1200" i="9"/>
  <c r="A1200" i="9"/>
  <c r="M1199" i="9"/>
  <c r="L1199" i="9"/>
  <c r="K1199" i="9"/>
  <c r="J1199" i="9"/>
  <c r="I1199" i="9"/>
  <c r="H1199" i="9"/>
  <c r="G1199" i="9"/>
  <c r="F1199" i="9"/>
  <c r="E1199" i="9"/>
  <c r="D1199" i="9"/>
  <c r="C1199" i="9"/>
  <c r="B1199" i="9"/>
  <c r="A1199" i="9"/>
  <c r="M1198" i="9"/>
  <c r="L1198" i="9"/>
  <c r="K1198" i="9"/>
  <c r="J1198" i="9"/>
  <c r="I1198" i="9"/>
  <c r="H1198" i="9"/>
  <c r="G1198" i="9"/>
  <c r="F1198" i="9"/>
  <c r="E1198" i="9"/>
  <c r="D1198" i="9"/>
  <c r="C1198" i="9"/>
  <c r="B1198" i="9"/>
  <c r="A1198" i="9"/>
  <c r="M1197" i="9"/>
  <c r="L1197" i="9"/>
  <c r="K1197" i="9"/>
  <c r="J1197" i="9"/>
  <c r="I1197" i="9"/>
  <c r="H1197" i="9"/>
  <c r="G1197" i="9"/>
  <c r="F1197" i="9"/>
  <c r="E1197" i="9"/>
  <c r="D1197" i="9"/>
  <c r="C1197" i="9"/>
  <c r="B1197" i="9"/>
  <c r="A1197" i="9"/>
  <c r="M1196" i="9"/>
  <c r="L1196" i="9"/>
  <c r="K1196" i="9"/>
  <c r="J1196" i="9"/>
  <c r="I1196" i="9"/>
  <c r="H1196" i="9"/>
  <c r="G1196" i="9"/>
  <c r="F1196" i="9"/>
  <c r="E1196" i="9"/>
  <c r="D1196" i="9"/>
  <c r="C1196" i="9"/>
  <c r="B1196" i="9"/>
  <c r="A1196" i="9"/>
  <c r="M1195" i="9"/>
  <c r="L1195" i="9"/>
  <c r="K1195" i="9"/>
  <c r="J1195" i="9"/>
  <c r="I1195" i="9"/>
  <c r="H1195" i="9"/>
  <c r="G1195" i="9"/>
  <c r="F1195" i="9"/>
  <c r="E1195" i="9"/>
  <c r="D1195" i="9"/>
  <c r="C1195" i="9"/>
  <c r="B1195" i="9"/>
  <c r="A1195" i="9"/>
  <c r="M1194" i="9"/>
  <c r="L1194" i="9"/>
  <c r="K1194" i="9"/>
  <c r="J1194" i="9"/>
  <c r="I1194" i="9"/>
  <c r="H1194" i="9"/>
  <c r="G1194" i="9"/>
  <c r="F1194" i="9"/>
  <c r="E1194" i="9"/>
  <c r="D1194" i="9"/>
  <c r="C1194" i="9"/>
  <c r="B1194" i="9"/>
  <c r="A1194" i="9"/>
  <c r="M1193" i="9"/>
  <c r="L1193" i="9"/>
  <c r="K1193" i="9"/>
  <c r="J1193" i="9"/>
  <c r="I1193" i="9"/>
  <c r="H1193" i="9"/>
  <c r="G1193" i="9"/>
  <c r="F1193" i="9"/>
  <c r="E1193" i="9"/>
  <c r="D1193" i="9"/>
  <c r="C1193" i="9"/>
  <c r="B1193" i="9"/>
  <c r="A1193" i="9"/>
  <c r="M1192" i="9"/>
  <c r="L1192" i="9"/>
  <c r="K1192" i="9"/>
  <c r="J1192" i="9"/>
  <c r="I1192" i="9"/>
  <c r="H1192" i="9"/>
  <c r="G1192" i="9"/>
  <c r="F1192" i="9"/>
  <c r="E1192" i="9"/>
  <c r="D1192" i="9"/>
  <c r="C1192" i="9"/>
  <c r="B1192" i="9"/>
  <c r="A1192" i="9"/>
  <c r="M1191" i="9"/>
  <c r="L1191" i="9"/>
  <c r="K1191" i="9"/>
  <c r="J1191" i="9"/>
  <c r="I1191" i="9"/>
  <c r="H1191" i="9"/>
  <c r="G1191" i="9"/>
  <c r="F1191" i="9"/>
  <c r="E1191" i="9"/>
  <c r="D1191" i="9"/>
  <c r="C1191" i="9"/>
  <c r="B1191" i="9"/>
  <c r="A1191" i="9"/>
  <c r="M1190" i="9"/>
  <c r="L1190" i="9"/>
  <c r="K1190" i="9"/>
  <c r="J1190" i="9"/>
  <c r="I1190" i="9"/>
  <c r="H1190" i="9"/>
  <c r="G1190" i="9"/>
  <c r="F1190" i="9"/>
  <c r="E1190" i="9"/>
  <c r="D1190" i="9"/>
  <c r="C1190" i="9"/>
  <c r="B1190" i="9"/>
  <c r="A1190" i="9"/>
  <c r="M1189" i="9"/>
  <c r="L1189" i="9"/>
  <c r="K1189" i="9"/>
  <c r="J1189" i="9"/>
  <c r="I1189" i="9"/>
  <c r="H1189" i="9"/>
  <c r="G1189" i="9"/>
  <c r="F1189" i="9"/>
  <c r="E1189" i="9"/>
  <c r="D1189" i="9"/>
  <c r="C1189" i="9"/>
  <c r="B1189" i="9"/>
  <c r="A1189" i="9"/>
  <c r="M1188" i="9"/>
  <c r="L1188" i="9"/>
  <c r="K1188" i="9"/>
  <c r="J1188" i="9"/>
  <c r="I1188" i="9"/>
  <c r="H1188" i="9"/>
  <c r="G1188" i="9"/>
  <c r="F1188" i="9"/>
  <c r="E1188" i="9"/>
  <c r="D1188" i="9"/>
  <c r="C1188" i="9"/>
  <c r="B1188" i="9"/>
  <c r="A1188" i="9"/>
  <c r="M1187" i="9"/>
  <c r="L1187" i="9"/>
  <c r="K1187" i="9"/>
  <c r="J1187" i="9"/>
  <c r="I1187" i="9"/>
  <c r="H1187" i="9"/>
  <c r="G1187" i="9"/>
  <c r="F1187" i="9"/>
  <c r="E1187" i="9"/>
  <c r="D1187" i="9"/>
  <c r="C1187" i="9"/>
  <c r="B1187" i="9"/>
  <c r="A1187" i="9"/>
  <c r="M1186" i="9"/>
  <c r="L1186" i="9"/>
  <c r="K1186" i="9"/>
  <c r="J1186" i="9"/>
  <c r="I1186" i="9"/>
  <c r="H1186" i="9"/>
  <c r="G1186" i="9"/>
  <c r="F1186" i="9"/>
  <c r="E1186" i="9"/>
  <c r="D1186" i="9"/>
  <c r="C1186" i="9"/>
  <c r="B1186" i="9"/>
  <c r="A1186" i="9"/>
  <c r="M1185" i="9"/>
  <c r="L1185" i="9"/>
  <c r="K1185" i="9"/>
  <c r="J1185" i="9"/>
  <c r="I1185" i="9"/>
  <c r="H1185" i="9"/>
  <c r="G1185" i="9"/>
  <c r="F1185" i="9"/>
  <c r="E1185" i="9"/>
  <c r="D1185" i="9"/>
  <c r="C1185" i="9"/>
  <c r="B1185" i="9"/>
  <c r="A1185" i="9"/>
  <c r="M1184" i="9"/>
  <c r="L1184" i="9"/>
  <c r="K1184" i="9"/>
  <c r="J1184" i="9"/>
  <c r="I1184" i="9"/>
  <c r="H1184" i="9"/>
  <c r="G1184" i="9"/>
  <c r="F1184" i="9"/>
  <c r="E1184" i="9"/>
  <c r="D1184" i="9"/>
  <c r="C1184" i="9"/>
  <c r="B1184" i="9"/>
  <c r="A1184" i="9"/>
  <c r="M1183" i="9"/>
  <c r="L1183" i="9"/>
  <c r="K1183" i="9"/>
  <c r="J1183" i="9"/>
  <c r="I1183" i="9"/>
  <c r="H1183" i="9"/>
  <c r="G1183" i="9"/>
  <c r="F1183" i="9"/>
  <c r="E1183" i="9"/>
  <c r="D1183" i="9"/>
  <c r="C1183" i="9"/>
  <c r="B1183" i="9"/>
  <c r="A1183" i="9"/>
  <c r="M1182" i="9"/>
  <c r="L1182" i="9"/>
  <c r="K1182" i="9"/>
  <c r="J1182" i="9"/>
  <c r="I1182" i="9"/>
  <c r="H1182" i="9"/>
  <c r="G1182" i="9"/>
  <c r="F1182" i="9"/>
  <c r="E1182" i="9"/>
  <c r="D1182" i="9"/>
  <c r="C1182" i="9"/>
  <c r="B1182" i="9"/>
  <c r="A1182" i="9"/>
  <c r="M1181" i="9"/>
  <c r="L1181" i="9"/>
  <c r="K1181" i="9"/>
  <c r="J1181" i="9"/>
  <c r="I1181" i="9"/>
  <c r="H1181" i="9"/>
  <c r="G1181" i="9"/>
  <c r="F1181" i="9"/>
  <c r="E1181" i="9"/>
  <c r="D1181" i="9"/>
  <c r="C1181" i="9"/>
  <c r="B1181" i="9"/>
  <c r="A1181" i="9"/>
  <c r="M1180" i="9"/>
  <c r="L1180" i="9"/>
  <c r="K1180" i="9"/>
  <c r="J1180" i="9"/>
  <c r="I1180" i="9"/>
  <c r="H1180" i="9"/>
  <c r="G1180" i="9"/>
  <c r="F1180" i="9"/>
  <c r="E1180" i="9"/>
  <c r="D1180" i="9"/>
  <c r="C1180" i="9"/>
  <c r="B1180" i="9"/>
  <c r="A1180" i="9"/>
  <c r="M1179" i="9"/>
  <c r="L1179" i="9"/>
  <c r="K1179" i="9"/>
  <c r="J1179" i="9"/>
  <c r="I1179" i="9"/>
  <c r="H1179" i="9"/>
  <c r="G1179" i="9"/>
  <c r="F1179" i="9"/>
  <c r="E1179" i="9"/>
  <c r="D1179" i="9"/>
  <c r="C1179" i="9"/>
  <c r="B1179" i="9"/>
  <c r="A1179" i="9"/>
  <c r="M1178" i="9"/>
  <c r="L1178" i="9"/>
  <c r="K1178" i="9"/>
  <c r="J1178" i="9"/>
  <c r="I1178" i="9"/>
  <c r="H1178" i="9"/>
  <c r="G1178" i="9"/>
  <c r="F1178" i="9"/>
  <c r="E1178" i="9"/>
  <c r="D1178" i="9"/>
  <c r="C1178" i="9"/>
  <c r="B1178" i="9"/>
  <c r="A1178" i="9"/>
  <c r="M1177" i="9"/>
  <c r="L1177" i="9"/>
  <c r="K1177" i="9"/>
  <c r="J1177" i="9"/>
  <c r="I1177" i="9"/>
  <c r="H1177" i="9"/>
  <c r="G1177" i="9"/>
  <c r="F1177" i="9"/>
  <c r="E1177" i="9"/>
  <c r="D1177" i="9"/>
  <c r="C1177" i="9"/>
  <c r="B1177" i="9"/>
  <c r="A1177" i="9"/>
  <c r="M1176" i="9"/>
  <c r="L1176" i="9"/>
  <c r="K1176" i="9"/>
  <c r="J1176" i="9"/>
  <c r="I1176" i="9"/>
  <c r="H1176" i="9"/>
  <c r="G1176" i="9"/>
  <c r="F1176" i="9"/>
  <c r="E1176" i="9"/>
  <c r="D1176" i="9"/>
  <c r="C1176" i="9"/>
  <c r="B1176" i="9"/>
  <c r="A1176" i="9"/>
  <c r="M1175" i="9"/>
  <c r="L1175" i="9"/>
  <c r="K1175" i="9"/>
  <c r="J1175" i="9"/>
  <c r="I1175" i="9"/>
  <c r="H1175" i="9"/>
  <c r="G1175" i="9"/>
  <c r="F1175" i="9"/>
  <c r="E1175" i="9"/>
  <c r="D1175" i="9"/>
  <c r="C1175" i="9"/>
  <c r="B1175" i="9"/>
  <c r="A1175" i="9"/>
  <c r="M1174" i="9"/>
  <c r="L1174" i="9"/>
  <c r="K1174" i="9"/>
  <c r="J1174" i="9"/>
  <c r="I1174" i="9"/>
  <c r="H1174" i="9"/>
  <c r="G1174" i="9"/>
  <c r="F1174" i="9"/>
  <c r="E1174" i="9"/>
  <c r="D1174" i="9"/>
  <c r="C1174" i="9"/>
  <c r="B1174" i="9"/>
  <c r="A1174" i="9"/>
  <c r="M1173" i="9"/>
  <c r="L1173" i="9"/>
  <c r="K1173" i="9"/>
  <c r="J1173" i="9"/>
  <c r="I1173" i="9"/>
  <c r="H1173" i="9"/>
  <c r="G1173" i="9"/>
  <c r="F1173" i="9"/>
  <c r="E1173" i="9"/>
  <c r="D1173" i="9"/>
  <c r="C1173" i="9"/>
  <c r="B1173" i="9"/>
  <c r="A1173" i="9"/>
  <c r="M1172" i="9"/>
  <c r="L1172" i="9"/>
  <c r="K1172" i="9"/>
  <c r="J1172" i="9"/>
  <c r="I1172" i="9"/>
  <c r="H1172" i="9"/>
  <c r="G1172" i="9"/>
  <c r="F1172" i="9"/>
  <c r="E1172" i="9"/>
  <c r="D1172" i="9"/>
  <c r="C1172" i="9"/>
  <c r="B1172" i="9"/>
  <c r="A1172" i="9"/>
  <c r="M1171" i="9"/>
  <c r="L1171" i="9"/>
  <c r="K1171" i="9"/>
  <c r="J1171" i="9"/>
  <c r="I1171" i="9"/>
  <c r="H1171" i="9"/>
  <c r="G1171" i="9"/>
  <c r="F1171" i="9"/>
  <c r="E1171" i="9"/>
  <c r="D1171" i="9"/>
  <c r="C1171" i="9"/>
  <c r="B1171" i="9"/>
  <c r="A1171" i="9"/>
  <c r="M1170" i="9"/>
  <c r="L1170" i="9"/>
  <c r="K1170" i="9"/>
  <c r="J1170" i="9"/>
  <c r="I1170" i="9"/>
  <c r="H1170" i="9"/>
  <c r="G1170" i="9"/>
  <c r="F1170" i="9"/>
  <c r="E1170" i="9"/>
  <c r="D1170" i="9"/>
  <c r="C1170" i="9"/>
  <c r="B1170" i="9"/>
  <c r="A1170" i="9"/>
  <c r="M1169" i="9"/>
  <c r="L1169" i="9"/>
  <c r="K1169" i="9"/>
  <c r="J1169" i="9"/>
  <c r="I1169" i="9"/>
  <c r="H1169" i="9"/>
  <c r="G1169" i="9"/>
  <c r="F1169" i="9"/>
  <c r="E1169" i="9"/>
  <c r="D1169" i="9"/>
  <c r="C1169" i="9"/>
  <c r="B1169" i="9"/>
  <c r="A1169" i="9"/>
  <c r="M1168" i="9"/>
  <c r="L1168" i="9"/>
  <c r="K1168" i="9"/>
  <c r="J1168" i="9"/>
  <c r="I1168" i="9"/>
  <c r="H1168" i="9"/>
  <c r="G1168" i="9"/>
  <c r="F1168" i="9"/>
  <c r="E1168" i="9"/>
  <c r="D1168" i="9"/>
  <c r="C1168" i="9"/>
  <c r="B1168" i="9"/>
  <c r="A1168" i="9"/>
  <c r="M1167" i="9"/>
  <c r="L1167" i="9"/>
  <c r="K1167" i="9"/>
  <c r="J1167" i="9"/>
  <c r="I1167" i="9"/>
  <c r="H1167" i="9"/>
  <c r="G1167" i="9"/>
  <c r="F1167" i="9"/>
  <c r="E1167" i="9"/>
  <c r="D1167" i="9"/>
  <c r="C1167" i="9"/>
  <c r="B1167" i="9"/>
  <c r="A1167" i="9"/>
  <c r="M1166" i="9"/>
  <c r="L1166" i="9"/>
  <c r="K1166" i="9"/>
  <c r="J1166" i="9"/>
  <c r="I1166" i="9"/>
  <c r="H1166" i="9"/>
  <c r="G1166" i="9"/>
  <c r="F1166" i="9"/>
  <c r="E1166" i="9"/>
  <c r="D1166" i="9"/>
  <c r="C1166" i="9"/>
  <c r="B1166" i="9"/>
  <c r="A1166" i="9"/>
  <c r="M1165" i="9"/>
  <c r="L1165" i="9"/>
  <c r="K1165" i="9"/>
  <c r="J1165" i="9"/>
  <c r="I1165" i="9"/>
  <c r="H1165" i="9"/>
  <c r="G1165" i="9"/>
  <c r="F1165" i="9"/>
  <c r="E1165" i="9"/>
  <c r="D1165" i="9"/>
  <c r="C1165" i="9"/>
  <c r="B1165" i="9"/>
  <c r="A1165" i="9"/>
  <c r="M1164" i="9"/>
  <c r="L1164" i="9"/>
  <c r="K1164" i="9"/>
  <c r="J1164" i="9"/>
  <c r="I1164" i="9"/>
  <c r="H1164" i="9"/>
  <c r="G1164" i="9"/>
  <c r="F1164" i="9"/>
  <c r="E1164" i="9"/>
  <c r="D1164" i="9"/>
  <c r="C1164" i="9"/>
  <c r="B1164" i="9"/>
  <c r="A1164" i="9"/>
  <c r="M1163" i="9"/>
  <c r="L1163" i="9"/>
  <c r="K1163" i="9"/>
  <c r="J1163" i="9"/>
  <c r="I1163" i="9"/>
  <c r="H1163" i="9"/>
  <c r="G1163" i="9"/>
  <c r="F1163" i="9"/>
  <c r="E1163" i="9"/>
  <c r="D1163" i="9"/>
  <c r="C1163" i="9"/>
  <c r="B1163" i="9"/>
  <c r="A1163" i="9"/>
  <c r="M1162" i="9"/>
  <c r="L1162" i="9"/>
  <c r="K1162" i="9"/>
  <c r="J1162" i="9"/>
  <c r="I1162" i="9"/>
  <c r="H1162" i="9"/>
  <c r="G1162" i="9"/>
  <c r="F1162" i="9"/>
  <c r="E1162" i="9"/>
  <c r="D1162" i="9"/>
  <c r="C1162" i="9"/>
  <c r="B1162" i="9"/>
  <c r="A1162" i="9"/>
  <c r="M1161" i="9"/>
  <c r="L1161" i="9"/>
  <c r="K1161" i="9"/>
  <c r="J1161" i="9"/>
  <c r="I1161" i="9"/>
  <c r="H1161" i="9"/>
  <c r="G1161" i="9"/>
  <c r="F1161" i="9"/>
  <c r="E1161" i="9"/>
  <c r="D1161" i="9"/>
  <c r="C1161" i="9"/>
  <c r="B1161" i="9"/>
  <c r="A1161" i="9"/>
  <c r="M1160" i="9"/>
  <c r="L1160" i="9"/>
  <c r="K1160" i="9"/>
  <c r="J1160" i="9"/>
  <c r="I1160" i="9"/>
  <c r="H1160" i="9"/>
  <c r="G1160" i="9"/>
  <c r="F1160" i="9"/>
  <c r="E1160" i="9"/>
  <c r="D1160" i="9"/>
  <c r="C1160" i="9"/>
  <c r="B1160" i="9"/>
  <c r="A1160" i="9"/>
  <c r="M1159" i="9"/>
  <c r="L1159" i="9"/>
  <c r="K1159" i="9"/>
  <c r="J1159" i="9"/>
  <c r="I1159" i="9"/>
  <c r="H1159" i="9"/>
  <c r="G1159" i="9"/>
  <c r="F1159" i="9"/>
  <c r="E1159" i="9"/>
  <c r="D1159" i="9"/>
  <c r="C1159" i="9"/>
  <c r="B1159" i="9"/>
  <c r="A1159" i="9"/>
  <c r="M1158" i="9"/>
  <c r="L1158" i="9"/>
  <c r="K1158" i="9"/>
  <c r="J1158" i="9"/>
  <c r="I1158" i="9"/>
  <c r="H1158" i="9"/>
  <c r="G1158" i="9"/>
  <c r="F1158" i="9"/>
  <c r="E1158" i="9"/>
  <c r="D1158" i="9"/>
  <c r="C1158" i="9"/>
  <c r="B1158" i="9"/>
  <c r="A1158" i="9"/>
  <c r="M1157" i="9"/>
  <c r="L1157" i="9"/>
  <c r="K1157" i="9"/>
  <c r="J1157" i="9"/>
  <c r="I1157" i="9"/>
  <c r="H1157" i="9"/>
  <c r="G1157" i="9"/>
  <c r="F1157" i="9"/>
  <c r="E1157" i="9"/>
  <c r="D1157" i="9"/>
  <c r="C1157" i="9"/>
  <c r="B1157" i="9"/>
  <c r="A1157" i="9"/>
  <c r="M1156" i="9"/>
  <c r="L1156" i="9"/>
  <c r="K1156" i="9"/>
  <c r="J1156" i="9"/>
  <c r="I1156" i="9"/>
  <c r="H1156" i="9"/>
  <c r="G1156" i="9"/>
  <c r="F1156" i="9"/>
  <c r="E1156" i="9"/>
  <c r="D1156" i="9"/>
  <c r="C1156" i="9"/>
  <c r="B1156" i="9"/>
  <c r="A1156" i="9"/>
  <c r="M1155" i="9"/>
  <c r="L1155" i="9"/>
  <c r="K1155" i="9"/>
  <c r="J1155" i="9"/>
  <c r="I1155" i="9"/>
  <c r="H1155" i="9"/>
  <c r="G1155" i="9"/>
  <c r="F1155" i="9"/>
  <c r="E1155" i="9"/>
  <c r="D1155" i="9"/>
  <c r="C1155" i="9"/>
  <c r="B1155" i="9"/>
  <c r="A1155" i="9"/>
  <c r="M1154" i="9"/>
  <c r="L1154" i="9"/>
  <c r="K1154" i="9"/>
  <c r="J1154" i="9"/>
  <c r="I1154" i="9"/>
  <c r="H1154" i="9"/>
  <c r="G1154" i="9"/>
  <c r="F1154" i="9"/>
  <c r="E1154" i="9"/>
  <c r="D1154" i="9"/>
  <c r="C1154" i="9"/>
  <c r="B1154" i="9"/>
  <c r="A1154" i="9"/>
  <c r="M1153" i="9"/>
  <c r="L1153" i="9"/>
  <c r="K1153" i="9"/>
  <c r="J1153" i="9"/>
  <c r="I1153" i="9"/>
  <c r="H1153" i="9"/>
  <c r="G1153" i="9"/>
  <c r="F1153" i="9"/>
  <c r="E1153" i="9"/>
  <c r="D1153" i="9"/>
  <c r="C1153" i="9"/>
  <c r="B1153" i="9"/>
  <c r="A1153" i="9"/>
  <c r="M1152" i="9"/>
  <c r="L1152" i="9"/>
  <c r="K1152" i="9"/>
  <c r="J1152" i="9"/>
  <c r="I1152" i="9"/>
  <c r="H1152" i="9"/>
  <c r="G1152" i="9"/>
  <c r="F1152" i="9"/>
  <c r="E1152" i="9"/>
  <c r="D1152" i="9"/>
  <c r="C1152" i="9"/>
  <c r="B1152" i="9"/>
  <c r="A1152" i="9"/>
  <c r="M1151" i="9"/>
  <c r="L1151" i="9"/>
  <c r="K1151" i="9"/>
  <c r="J1151" i="9"/>
  <c r="I1151" i="9"/>
  <c r="H1151" i="9"/>
  <c r="G1151" i="9"/>
  <c r="F1151" i="9"/>
  <c r="E1151" i="9"/>
  <c r="D1151" i="9"/>
  <c r="C1151" i="9"/>
  <c r="B1151" i="9"/>
  <c r="A1151" i="9"/>
  <c r="M1150" i="9"/>
  <c r="L1150" i="9"/>
  <c r="K1150" i="9"/>
  <c r="J1150" i="9"/>
  <c r="I1150" i="9"/>
  <c r="H1150" i="9"/>
  <c r="G1150" i="9"/>
  <c r="F1150" i="9"/>
  <c r="E1150" i="9"/>
  <c r="D1150" i="9"/>
  <c r="C1150" i="9"/>
  <c r="B1150" i="9"/>
  <c r="A1150" i="9"/>
  <c r="M1149" i="9"/>
  <c r="L1149" i="9"/>
  <c r="K1149" i="9"/>
  <c r="J1149" i="9"/>
  <c r="I1149" i="9"/>
  <c r="H1149" i="9"/>
  <c r="G1149" i="9"/>
  <c r="F1149" i="9"/>
  <c r="E1149" i="9"/>
  <c r="D1149" i="9"/>
  <c r="C1149" i="9"/>
  <c r="B1149" i="9"/>
  <c r="A1149" i="9"/>
  <c r="M1148" i="9"/>
  <c r="L1148" i="9"/>
  <c r="K1148" i="9"/>
  <c r="J1148" i="9"/>
  <c r="I1148" i="9"/>
  <c r="H1148" i="9"/>
  <c r="G1148" i="9"/>
  <c r="F1148" i="9"/>
  <c r="E1148" i="9"/>
  <c r="D1148" i="9"/>
  <c r="C1148" i="9"/>
  <c r="B1148" i="9"/>
  <c r="A1148" i="9"/>
  <c r="M1147" i="9"/>
  <c r="L1147" i="9"/>
  <c r="K1147" i="9"/>
  <c r="J1147" i="9"/>
  <c r="I1147" i="9"/>
  <c r="H1147" i="9"/>
  <c r="G1147" i="9"/>
  <c r="F1147" i="9"/>
  <c r="E1147" i="9"/>
  <c r="D1147" i="9"/>
  <c r="C1147" i="9"/>
  <c r="B1147" i="9"/>
  <c r="A1147" i="9"/>
  <c r="M1146" i="9"/>
  <c r="L1146" i="9"/>
  <c r="K1146" i="9"/>
  <c r="J1146" i="9"/>
  <c r="I1146" i="9"/>
  <c r="H1146" i="9"/>
  <c r="G1146" i="9"/>
  <c r="F1146" i="9"/>
  <c r="E1146" i="9"/>
  <c r="D1146" i="9"/>
  <c r="C1146" i="9"/>
  <c r="B1146" i="9"/>
  <c r="A1146" i="9"/>
  <c r="M1145" i="9"/>
  <c r="L1145" i="9"/>
  <c r="K1145" i="9"/>
  <c r="J1145" i="9"/>
  <c r="I1145" i="9"/>
  <c r="H1145" i="9"/>
  <c r="G1145" i="9"/>
  <c r="F1145" i="9"/>
  <c r="E1145" i="9"/>
  <c r="D1145" i="9"/>
  <c r="C1145" i="9"/>
  <c r="B1145" i="9"/>
  <c r="A1145" i="9"/>
  <c r="M1144" i="9"/>
  <c r="L1144" i="9"/>
  <c r="K1144" i="9"/>
  <c r="J1144" i="9"/>
  <c r="I1144" i="9"/>
  <c r="H1144" i="9"/>
  <c r="G1144" i="9"/>
  <c r="F1144" i="9"/>
  <c r="E1144" i="9"/>
  <c r="D1144" i="9"/>
  <c r="C1144" i="9"/>
  <c r="B1144" i="9"/>
  <c r="A1144" i="9"/>
  <c r="M1143" i="9"/>
  <c r="L1143" i="9"/>
  <c r="K1143" i="9"/>
  <c r="J1143" i="9"/>
  <c r="I1143" i="9"/>
  <c r="H1143" i="9"/>
  <c r="G1143" i="9"/>
  <c r="F1143" i="9"/>
  <c r="E1143" i="9"/>
  <c r="D1143" i="9"/>
  <c r="C1143" i="9"/>
  <c r="B1143" i="9"/>
  <c r="A1143" i="9"/>
  <c r="M1142" i="9"/>
  <c r="L1142" i="9"/>
  <c r="K1142" i="9"/>
  <c r="J1142" i="9"/>
  <c r="I1142" i="9"/>
  <c r="H1142" i="9"/>
  <c r="G1142" i="9"/>
  <c r="F1142" i="9"/>
  <c r="E1142" i="9"/>
  <c r="D1142" i="9"/>
  <c r="C1142" i="9"/>
  <c r="B1142" i="9"/>
  <c r="A1142" i="9"/>
  <c r="M1141" i="9"/>
  <c r="L1141" i="9"/>
  <c r="K1141" i="9"/>
  <c r="J1141" i="9"/>
  <c r="I1141" i="9"/>
  <c r="H1141" i="9"/>
  <c r="G1141" i="9"/>
  <c r="F1141" i="9"/>
  <c r="E1141" i="9"/>
  <c r="D1141" i="9"/>
  <c r="C1141" i="9"/>
  <c r="B1141" i="9"/>
  <c r="A1141" i="9"/>
  <c r="M1140" i="9"/>
  <c r="L1140" i="9"/>
  <c r="K1140" i="9"/>
  <c r="J1140" i="9"/>
  <c r="I1140" i="9"/>
  <c r="H1140" i="9"/>
  <c r="G1140" i="9"/>
  <c r="F1140" i="9"/>
  <c r="E1140" i="9"/>
  <c r="D1140" i="9"/>
  <c r="C1140" i="9"/>
  <c r="B1140" i="9"/>
  <c r="A1140" i="9"/>
  <c r="M1139" i="9"/>
  <c r="L1139" i="9"/>
  <c r="K1139" i="9"/>
  <c r="J1139" i="9"/>
  <c r="I1139" i="9"/>
  <c r="H1139" i="9"/>
  <c r="G1139" i="9"/>
  <c r="F1139" i="9"/>
  <c r="E1139" i="9"/>
  <c r="D1139" i="9"/>
  <c r="C1139" i="9"/>
  <c r="B1139" i="9"/>
  <c r="A1139" i="9"/>
  <c r="M1138" i="9"/>
  <c r="L1138" i="9"/>
  <c r="K1138" i="9"/>
  <c r="J1138" i="9"/>
  <c r="I1138" i="9"/>
  <c r="H1138" i="9"/>
  <c r="G1138" i="9"/>
  <c r="F1138" i="9"/>
  <c r="E1138" i="9"/>
  <c r="D1138" i="9"/>
  <c r="C1138" i="9"/>
  <c r="B1138" i="9"/>
  <c r="A1138" i="9"/>
  <c r="M1137" i="9"/>
  <c r="L1137" i="9"/>
  <c r="K1137" i="9"/>
  <c r="J1137" i="9"/>
  <c r="I1137" i="9"/>
  <c r="H1137" i="9"/>
  <c r="G1137" i="9"/>
  <c r="F1137" i="9"/>
  <c r="E1137" i="9"/>
  <c r="D1137" i="9"/>
  <c r="C1137" i="9"/>
  <c r="B1137" i="9"/>
  <c r="A1137" i="9"/>
  <c r="M1136" i="9"/>
  <c r="L1136" i="9"/>
  <c r="K1136" i="9"/>
  <c r="J1136" i="9"/>
  <c r="I1136" i="9"/>
  <c r="H1136" i="9"/>
  <c r="G1136" i="9"/>
  <c r="F1136" i="9"/>
  <c r="E1136" i="9"/>
  <c r="D1136" i="9"/>
  <c r="C1136" i="9"/>
  <c r="B1136" i="9"/>
  <c r="A1136" i="9"/>
  <c r="M1135" i="9"/>
  <c r="L1135" i="9"/>
  <c r="K1135" i="9"/>
  <c r="J1135" i="9"/>
  <c r="I1135" i="9"/>
  <c r="H1135" i="9"/>
  <c r="G1135" i="9"/>
  <c r="F1135" i="9"/>
  <c r="E1135" i="9"/>
  <c r="D1135" i="9"/>
  <c r="C1135" i="9"/>
  <c r="B1135" i="9"/>
  <c r="A1135" i="9"/>
  <c r="M1134" i="9"/>
  <c r="L1134" i="9"/>
  <c r="K1134" i="9"/>
  <c r="J1134" i="9"/>
  <c r="I1134" i="9"/>
  <c r="H1134" i="9"/>
  <c r="G1134" i="9"/>
  <c r="F1134" i="9"/>
  <c r="E1134" i="9"/>
  <c r="D1134" i="9"/>
  <c r="C1134" i="9"/>
  <c r="B1134" i="9"/>
  <c r="A1134" i="9"/>
  <c r="M1133" i="9"/>
  <c r="L1133" i="9"/>
  <c r="K1133" i="9"/>
  <c r="J1133" i="9"/>
  <c r="I1133" i="9"/>
  <c r="H1133" i="9"/>
  <c r="G1133" i="9"/>
  <c r="F1133" i="9"/>
  <c r="E1133" i="9"/>
  <c r="D1133" i="9"/>
  <c r="C1133" i="9"/>
  <c r="B1133" i="9"/>
  <c r="A1133" i="9"/>
  <c r="M1132" i="9"/>
  <c r="L1132" i="9"/>
  <c r="K1132" i="9"/>
  <c r="J1132" i="9"/>
  <c r="I1132" i="9"/>
  <c r="H1132" i="9"/>
  <c r="G1132" i="9"/>
  <c r="F1132" i="9"/>
  <c r="E1132" i="9"/>
  <c r="D1132" i="9"/>
  <c r="C1132" i="9"/>
  <c r="B1132" i="9"/>
  <c r="A1132" i="9"/>
  <c r="M1131" i="9"/>
  <c r="L1131" i="9"/>
  <c r="K1131" i="9"/>
  <c r="J1131" i="9"/>
  <c r="I1131" i="9"/>
  <c r="H1131" i="9"/>
  <c r="G1131" i="9"/>
  <c r="F1131" i="9"/>
  <c r="E1131" i="9"/>
  <c r="D1131" i="9"/>
  <c r="C1131" i="9"/>
  <c r="B1131" i="9"/>
  <c r="A1131" i="9"/>
  <c r="M1130" i="9"/>
  <c r="L1130" i="9"/>
  <c r="K1130" i="9"/>
  <c r="J1130" i="9"/>
  <c r="I1130" i="9"/>
  <c r="H1130" i="9"/>
  <c r="G1130" i="9"/>
  <c r="F1130" i="9"/>
  <c r="E1130" i="9"/>
  <c r="D1130" i="9"/>
  <c r="C1130" i="9"/>
  <c r="B1130" i="9"/>
  <c r="A1130" i="9"/>
  <c r="M1129" i="9"/>
  <c r="L1129" i="9"/>
  <c r="K1129" i="9"/>
  <c r="J1129" i="9"/>
  <c r="I1129" i="9"/>
  <c r="H1129" i="9"/>
  <c r="G1129" i="9"/>
  <c r="F1129" i="9"/>
  <c r="E1129" i="9"/>
  <c r="D1129" i="9"/>
  <c r="C1129" i="9"/>
  <c r="B1129" i="9"/>
  <c r="A1129" i="9"/>
  <c r="M1128" i="9"/>
  <c r="L1128" i="9"/>
  <c r="K1128" i="9"/>
  <c r="J1128" i="9"/>
  <c r="I1128" i="9"/>
  <c r="H1128" i="9"/>
  <c r="G1128" i="9"/>
  <c r="F1128" i="9"/>
  <c r="E1128" i="9"/>
  <c r="D1128" i="9"/>
  <c r="C1128" i="9"/>
  <c r="B1128" i="9"/>
  <c r="A1128" i="9"/>
  <c r="M1127" i="9"/>
  <c r="L1127" i="9"/>
  <c r="K1127" i="9"/>
  <c r="J1127" i="9"/>
  <c r="I1127" i="9"/>
  <c r="H1127" i="9"/>
  <c r="G1127" i="9"/>
  <c r="F1127" i="9"/>
  <c r="E1127" i="9"/>
  <c r="D1127" i="9"/>
  <c r="C1127" i="9"/>
  <c r="B1127" i="9"/>
  <c r="A1127" i="9"/>
  <c r="M1126" i="9"/>
  <c r="L1126" i="9"/>
  <c r="K1126" i="9"/>
  <c r="J1126" i="9"/>
  <c r="I1126" i="9"/>
  <c r="H1126" i="9"/>
  <c r="G1126" i="9"/>
  <c r="F1126" i="9"/>
  <c r="E1126" i="9"/>
  <c r="D1126" i="9"/>
  <c r="C1126" i="9"/>
  <c r="B1126" i="9"/>
  <c r="A1126" i="9"/>
  <c r="M1125" i="9"/>
  <c r="L1125" i="9"/>
  <c r="K1125" i="9"/>
  <c r="J1125" i="9"/>
  <c r="I1125" i="9"/>
  <c r="H1125" i="9"/>
  <c r="G1125" i="9"/>
  <c r="F1125" i="9"/>
  <c r="E1125" i="9"/>
  <c r="D1125" i="9"/>
  <c r="C1125" i="9"/>
  <c r="B1125" i="9"/>
  <c r="A1125" i="9"/>
  <c r="M1124" i="9"/>
  <c r="L1124" i="9"/>
  <c r="K1124" i="9"/>
  <c r="J1124" i="9"/>
  <c r="I1124" i="9"/>
  <c r="H1124" i="9"/>
  <c r="G1124" i="9"/>
  <c r="F1124" i="9"/>
  <c r="E1124" i="9"/>
  <c r="D1124" i="9"/>
  <c r="C1124" i="9"/>
  <c r="B1124" i="9"/>
  <c r="A1124" i="9"/>
  <c r="M1123" i="9"/>
  <c r="L1123" i="9"/>
  <c r="K1123" i="9"/>
  <c r="J1123" i="9"/>
  <c r="I1123" i="9"/>
  <c r="H1123" i="9"/>
  <c r="G1123" i="9"/>
  <c r="F1123" i="9"/>
  <c r="E1123" i="9"/>
  <c r="D1123" i="9"/>
  <c r="C1123" i="9"/>
  <c r="B1123" i="9"/>
  <c r="A1123" i="9"/>
  <c r="M1122" i="9"/>
  <c r="L1122" i="9"/>
  <c r="K1122" i="9"/>
  <c r="J1122" i="9"/>
  <c r="I1122" i="9"/>
  <c r="H1122" i="9"/>
  <c r="G1122" i="9"/>
  <c r="F1122" i="9"/>
  <c r="E1122" i="9"/>
  <c r="D1122" i="9"/>
  <c r="C1122" i="9"/>
  <c r="B1122" i="9"/>
  <c r="A1122" i="9"/>
  <c r="M1121" i="9"/>
  <c r="L1121" i="9"/>
  <c r="K1121" i="9"/>
  <c r="J1121" i="9"/>
  <c r="I1121" i="9"/>
  <c r="H1121" i="9"/>
  <c r="G1121" i="9"/>
  <c r="F1121" i="9"/>
  <c r="E1121" i="9"/>
  <c r="D1121" i="9"/>
  <c r="C1121" i="9"/>
  <c r="B1121" i="9"/>
  <c r="A1121" i="9"/>
  <c r="M1120" i="9"/>
  <c r="L1120" i="9"/>
  <c r="K1120" i="9"/>
  <c r="J1120" i="9"/>
  <c r="I1120" i="9"/>
  <c r="H1120" i="9"/>
  <c r="G1120" i="9"/>
  <c r="F1120" i="9"/>
  <c r="E1120" i="9"/>
  <c r="D1120" i="9"/>
  <c r="C1120" i="9"/>
  <c r="B1120" i="9"/>
  <c r="A1120" i="9"/>
  <c r="M1119" i="9"/>
  <c r="L1119" i="9"/>
  <c r="K1119" i="9"/>
  <c r="J1119" i="9"/>
  <c r="I1119" i="9"/>
  <c r="H1119" i="9"/>
  <c r="G1119" i="9"/>
  <c r="F1119" i="9"/>
  <c r="E1119" i="9"/>
  <c r="D1119" i="9"/>
  <c r="C1119" i="9"/>
  <c r="B1119" i="9"/>
  <c r="A1119" i="9"/>
  <c r="M1118" i="9"/>
  <c r="L1118" i="9"/>
  <c r="K1118" i="9"/>
  <c r="J1118" i="9"/>
  <c r="I1118" i="9"/>
  <c r="H1118" i="9"/>
  <c r="G1118" i="9"/>
  <c r="F1118" i="9"/>
  <c r="E1118" i="9"/>
  <c r="D1118" i="9"/>
  <c r="C1118" i="9"/>
  <c r="B1118" i="9"/>
  <c r="A1118" i="9"/>
  <c r="M1117" i="9"/>
  <c r="L1117" i="9"/>
  <c r="K1117" i="9"/>
  <c r="J1117" i="9"/>
  <c r="I1117" i="9"/>
  <c r="H1117" i="9"/>
  <c r="G1117" i="9"/>
  <c r="F1117" i="9"/>
  <c r="E1117" i="9"/>
  <c r="D1117" i="9"/>
  <c r="C1117" i="9"/>
  <c r="B1117" i="9"/>
  <c r="A1117" i="9"/>
  <c r="M1116" i="9"/>
  <c r="L1116" i="9"/>
  <c r="K1116" i="9"/>
  <c r="J1116" i="9"/>
  <c r="I1116" i="9"/>
  <c r="H1116" i="9"/>
  <c r="G1116" i="9"/>
  <c r="F1116" i="9"/>
  <c r="E1116" i="9"/>
  <c r="D1116" i="9"/>
  <c r="C1116" i="9"/>
  <c r="B1116" i="9"/>
  <c r="A1116" i="9"/>
  <c r="M1115" i="9"/>
  <c r="L1115" i="9"/>
  <c r="K1115" i="9"/>
  <c r="J1115" i="9"/>
  <c r="I1115" i="9"/>
  <c r="H1115" i="9"/>
  <c r="G1115" i="9"/>
  <c r="F1115" i="9"/>
  <c r="E1115" i="9"/>
  <c r="D1115" i="9"/>
  <c r="C1115" i="9"/>
  <c r="B1115" i="9"/>
  <c r="A1115" i="9"/>
  <c r="M1114" i="9"/>
  <c r="L1114" i="9"/>
  <c r="K1114" i="9"/>
  <c r="J1114" i="9"/>
  <c r="I1114" i="9"/>
  <c r="H1114" i="9"/>
  <c r="G1114" i="9"/>
  <c r="F1114" i="9"/>
  <c r="E1114" i="9"/>
  <c r="D1114" i="9"/>
  <c r="C1114" i="9"/>
  <c r="B1114" i="9"/>
  <c r="A1114" i="9"/>
  <c r="M1113" i="9"/>
  <c r="L1113" i="9"/>
  <c r="K1113" i="9"/>
  <c r="J1113" i="9"/>
  <c r="I1113" i="9"/>
  <c r="H1113" i="9"/>
  <c r="G1113" i="9"/>
  <c r="F1113" i="9"/>
  <c r="E1113" i="9"/>
  <c r="D1113" i="9"/>
  <c r="C1113" i="9"/>
  <c r="B1113" i="9"/>
  <c r="A1113" i="9"/>
  <c r="M1112" i="9"/>
  <c r="L1112" i="9"/>
  <c r="K1112" i="9"/>
  <c r="J1112" i="9"/>
  <c r="I1112" i="9"/>
  <c r="H1112" i="9"/>
  <c r="G1112" i="9"/>
  <c r="F1112" i="9"/>
  <c r="E1112" i="9"/>
  <c r="D1112" i="9"/>
  <c r="C1112" i="9"/>
  <c r="B1112" i="9"/>
  <c r="A1112" i="9"/>
  <c r="M1111" i="9"/>
  <c r="L1111" i="9"/>
  <c r="K1111" i="9"/>
  <c r="J1111" i="9"/>
  <c r="I1111" i="9"/>
  <c r="H1111" i="9"/>
  <c r="G1111" i="9"/>
  <c r="F1111" i="9"/>
  <c r="E1111" i="9"/>
  <c r="D1111" i="9"/>
  <c r="C1111" i="9"/>
  <c r="B1111" i="9"/>
  <c r="A1111" i="9"/>
  <c r="M1110" i="9"/>
  <c r="L1110" i="9"/>
  <c r="K1110" i="9"/>
  <c r="J1110" i="9"/>
  <c r="I1110" i="9"/>
  <c r="H1110" i="9"/>
  <c r="G1110" i="9"/>
  <c r="F1110" i="9"/>
  <c r="E1110" i="9"/>
  <c r="D1110" i="9"/>
  <c r="C1110" i="9"/>
  <c r="B1110" i="9"/>
  <c r="A1110" i="9"/>
  <c r="M1109" i="9"/>
  <c r="L1109" i="9"/>
  <c r="K1109" i="9"/>
  <c r="J1109" i="9"/>
  <c r="I1109" i="9"/>
  <c r="H1109" i="9"/>
  <c r="G1109" i="9"/>
  <c r="F1109" i="9"/>
  <c r="E1109" i="9"/>
  <c r="D1109" i="9"/>
  <c r="C1109" i="9"/>
  <c r="B1109" i="9"/>
  <c r="A1109" i="9"/>
  <c r="M1108" i="9"/>
  <c r="L1108" i="9"/>
  <c r="K1108" i="9"/>
  <c r="J1108" i="9"/>
  <c r="I1108" i="9"/>
  <c r="H1108" i="9"/>
  <c r="G1108" i="9"/>
  <c r="F1108" i="9"/>
  <c r="E1108" i="9"/>
  <c r="D1108" i="9"/>
  <c r="C1108" i="9"/>
  <c r="B1108" i="9"/>
  <c r="A1108" i="9"/>
  <c r="M1107" i="9"/>
  <c r="L1107" i="9"/>
  <c r="K1107" i="9"/>
  <c r="J1107" i="9"/>
  <c r="I1107" i="9"/>
  <c r="H1107" i="9"/>
  <c r="G1107" i="9"/>
  <c r="F1107" i="9"/>
  <c r="E1107" i="9"/>
  <c r="D1107" i="9"/>
  <c r="C1107" i="9"/>
  <c r="B1107" i="9"/>
  <c r="A1107" i="9"/>
  <c r="M1106" i="9"/>
  <c r="L1106" i="9"/>
  <c r="K1106" i="9"/>
  <c r="J1106" i="9"/>
  <c r="I1106" i="9"/>
  <c r="H1106" i="9"/>
  <c r="G1106" i="9"/>
  <c r="F1106" i="9"/>
  <c r="E1106" i="9"/>
  <c r="D1106" i="9"/>
  <c r="C1106" i="9"/>
  <c r="B1106" i="9"/>
  <c r="A1106" i="9"/>
  <c r="M1105" i="9"/>
  <c r="L1105" i="9"/>
  <c r="K1105" i="9"/>
  <c r="J1105" i="9"/>
  <c r="I1105" i="9"/>
  <c r="H1105" i="9"/>
  <c r="G1105" i="9"/>
  <c r="F1105" i="9"/>
  <c r="E1105" i="9"/>
  <c r="D1105" i="9"/>
  <c r="C1105" i="9"/>
  <c r="B1105" i="9"/>
  <c r="A1105" i="9"/>
  <c r="M1104" i="9"/>
  <c r="L1104" i="9"/>
  <c r="K1104" i="9"/>
  <c r="J1104" i="9"/>
  <c r="I1104" i="9"/>
  <c r="H1104" i="9"/>
  <c r="G1104" i="9"/>
  <c r="F1104" i="9"/>
  <c r="E1104" i="9"/>
  <c r="D1104" i="9"/>
  <c r="C1104" i="9"/>
  <c r="B1104" i="9"/>
  <c r="A1104" i="9"/>
  <c r="M1103" i="9"/>
  <c r="L1103" i="9"/>
  <c r="K1103" i="9"/>
  <c r="J1103" i="9"/>
  <c r="I1103" i="9"/>
  <c r="H1103" i="9"/>
  <c r="G1103" i="9"/>
  <c r="F1103" i="9"/>
  <c r="E1103" i="9"/>
  <c r="D1103" i="9"/>
  <c r="C1103" i="9"/>
  <c r="B1103" i="9"/>
  <c r="A1103" i="9"/>
  <c r="M1102" i="9"/>
  <c r="L1102" i="9"/>
  <c r="K1102" i="9"/>
  <c r="J1102" i="9"/>
  <c r="I1102" i="9"/>
  <c r="H1102" i="9"/>
  <c r="G1102" i="9"/>
  <c r="F1102" i="9"/>
  <c r="E1102" i="9"/>
  <c r="D1102" i="9"/>
  <c r="C1102" i="9"/>
  <c r="B1102" i="9"/>
  <c r="A1102" i="9"/>
  <c r="M1101" i="9"/>
  <c r="L1101" i="9"/>
  <c r="K1101" i="9"/>
  <c r="J1101" i="9"/>
  <c r="I1101" i="9"/>
  <c r="H1101" i="9"/>
  <c r="G1101" i="9"/>
  <c r="F1101" i="9"/>
  <c r="E1101" i="9"/>
  <c r="D1101" i="9"/>
  <c r="C1101" i="9"/>
  <c r="B1101" i="9"/>
  <c r="A1101" i="9"/>
  <c r="M1100" i="9"/>
  <c r="L1100" i="9"/>
  <c r="K1100" i="9"/>
  <c r="J1100" i="9"/>
  <c r="I1100" i="9"/>
  <c r="H1100" i="9"/>
  <c r="G1100" i="9"/>
  <c r="F1100" i="9"/>
  <c r="E1100" i="9"/>
  <c r="D1100" i="9"/>
  <c r="C1100" i="9"/>
  <c r="B1100" i="9"/>
  <c r="A1100" i="9"/>
  <c r="M1099" i="9"/>
  <c r="L1099" i="9"/>
  <c r="K1099" i="9"/>
  <c r="J1099" i="9"/>
  <c r="I1099" i="9"/>
  <c r="H1099" i="9"/>
  <c r="G1099" i="9"/>
  <c r="F1099" i="9"/>
  <c r="E1099" i="9"/>
  <c r="D1099" i="9"/>
  <c r="C1099" i="9"/>
  <c r="B1099" i="9"/>
  <c r="A1099" i="9"/>
  <c r="M1098" i="9"/>
  <c r="L1098" i="9"/>
  <c r="K1098" i="9"/>
  <c r="J1098" i="9"/>
  <c r="I1098" i="9"/>
  <c r="H1098" i="9"/>
  <c r="G1098" i="9"/>
  <c r="F1098" i="9"/>
  <c r="E1098" i="9"/>
  <c r="D1098" i="9"/>
  <c r="C1098" i="9"/>
  <c r="B1098" i="9"/>
  <c r="A1098" i="9"/>
  <c r="M1097" i="9"/>
  <c r="L1097" i="9"/>
  <c r="K1097" i="9"/>
  <c r="J1097" i="9"/>
  <c r="I1097" i="9"/>
  <c r="H1097" i="9"/>
  <c r="G1097" i="9"/>
  <c r="F1097" i="9"/>
  <c r="E1097" i="9"/>
  <c r="D1097" i="9"/>
  <c r="C1097" i="9"/>
  <c r="B1097" i="9"/>
  <c r="A1097" i="9"/>
  <c r="M1096" i="9"/>
  <c r="L1096" i="9"/>
  <c r="K1096" i="9"/>
  <c r="J1096" i="9"/>
  <c r="I1096" i="9"/>
  <c r="H1096" i="9"/>
  <c r="G1096" i="9"/>
  <c r="F1096" i="9"/>
  <c r="E1096" i="9"/>
  <c r="D1096" i="9"/>
  <c r="C1096" i="9"/>
  <c r="B1096" i="9"/>
  <c r="A1096" i="9"/>
  <c r="M1095" i="9"/>
  <c r="L1095" i="9"/>
  <c r="K1095" i="9"/>
  <c r="J1095" i="9"/>
  <c r="I1095" i="9"/>
  <c r="H1095" i="9"/>
  <c r="G1095" i="9"/>
  <c r="F1095" i="9"/>
  <c r="E1095" i="9"/>
  <c r="D1095" i="9"/>
  <c r="C1095" i="9"/>
  <c r="B1095" i="9"/>
  <c r="A1095" i="9"/>
  <c r="M1094" i="9"/>
  <c r="L1094" i="9"/>
  <c r="K1094" i="9"/>
  <c r="J1094" i="9"/>
  <c r="I1094" i="9"/>
  <c r="H1094" i="9"/>
  <c r="G1094" i="9"/>
  <c r="F1094" i="9"/>
  <c r="E1094" i="9"/>
  <c r="D1094" i="9"/>
  <c r="C1094" i="9"/>
  <c r="B1094" i="9"/>
  <c r="A1094" i="9"/>
  <c r="M1093" i="9"/>
  <c r="L1093" i="9"/>
  <c r="K1093" i="9"/>
  <c r="J1093" i="9"/>
  <c r="I1093" i="9"/>
  <c r="H1093" i="9"/>
  <c r="G1093" i="9"/>
  <c r="F1093" i="9"/>
  <c r="E1093" i="9"/>
  <c r="D1093" i="9"/>
  <c r="C1093" i="9"/>
  <c r="B1093" i="9"/>
  <c r="A1093" i="9"/>
  <c r="M1092" i="9"/>
  <c r="L1092" i="9"/>
  <c r="K1092" i="9"/>
  <c r="J1092" i="9"/>
  <c r="I1092" i="9"/>
  <c r="H1092" i="9"/>
  <c r="G1092" i="9"/>
  <c r="F1092" i="9"/>
  <c r="E1092" i="9"/>
  <c r="D1092" i="9"/>
  <c r="C1092" i="9"/>
  <c r="B1092" i="9"/>
  <c r="A1092" i="9"/>
  <c r="M1091" i="9"/>
  <c r="L1091" i="9"/>
  <c r="K1091" i="9"/>
  <c r="J1091" i="9"/>
  <c r="I1091" i="9"/>
  <c r="H1091" i="9"/>
  <c r="G1091" i="9"/>
  <c r="F1091" i="9"/>
  <c r="E1091" i="9"/>
  <c r="D1091" i="9"/>
  <c r="C1091" i="9"/>
  <c r="B1091" i="9"/>
  <c r="A1091" i="9"/>
  <c r="M1090" i="9"/>
  <c r="L1090" i="9"/>
  <c r="K1090" i="9"/>
  <c r="J1090" i="9"/>
  <c r="I1090" i="9"/>
  <c r="H1090" i="9"/>
  <c r="G1090" i="9"/>
  <c r="F1090" i="9"/>
  <c r="E1090" i="9"/>
  <c r="D1090" i="9"/>
  <c r="C1090" i="9"/>
  <c r="B1090" i="9"/>
  <c r="A1090" i="9"/>
  <c r="M1089" i="9"/>
  <c r="L1089" i="9"/>
  <c r="K1089" i="9"/>
  <c r="J1089" i="9"/>
  <c r="I1089" i="9"/>
  <c r="H1089" i="9"/>
  <c r="G1089" i="9"/>
  <c r="F1089" i="9"/>
  <c r="E1089" i="9"/>
  <c r="D1089" i="9"/>
  <c r="C1089" i="9"/>
  <c r="B1089" i="9"/>
  <c r="A1089" i="9"/>
  <c r="M1088" i="9"/>
  <c r="L1088" i="9"/>
  <c r="K1088" i="9"/>
  <c r="J1088" i="9"/>
  <c r="I1088" i="9"/>
  <c r="H1088" i="9"/>
  <c r="G1088" i="9"/>
  <c r="F1088" i="9"/>
  <c r="E1088" i="9"/>
  <c r="D1088" i="9"/>
  <c r="C1088" i="9"/>
  <c r="B1088" i="9"/>
  <c r="A1088" i="9"/>
  <c r="M1087" i="9"/>
  <c r="L1087" i="9"/>
  <c r="K1087" i="9"/>
  <c r="J1087" i="9"/>
  <c r="I1087" i="9"/>
  <c r="H1087" i="9"/>
  <c r="G1087" i="9"/>
  <c r="F1087" i="9"/>
  <c r="E1087" i="9"/>
  <c r="D1087" i="9"/>
  <c r="C1087" i="9"/>
  <c r="B1087" i="9"/>
  <c r="A1087" i="9"/>
  <c r="M1086" i="9"/>
  <c r="L1086" i="9"/>
  <c r="K1086" i="9"/>
  <c r="J1086" i="9"/>
  <c r="I1086" i="9"/>
  <c r="H1086" i="9"/>
  <c r="G1086" i="9"/>
  <c r="F1086" i="9"/>
  <c r="E1086" i="9"/>
  <c r="D1086" i="9"/>
  <c r="C1086" i="9"/>
  <c r="B1086" i="9"/>
  <c r="A1086" i="9"/>
  <c r="M1085" i="9"/>
  <c r="L1085" i="9"/>
  <c r="K1085" i="9"/>
  <c r="J1085" i="9"/>
  <c r="I1085" i="9"/>
  <c r="H1085" i="9"/>
  <c r="G1085" i="9"/>
  <c r="F1085" i="9"/>
  <c r="E1085" i="9"/>
  <c r="D1085" i="9"/>
  <c r="C1085" i="9"/>
  <c r="B1085" i="9"/>
  <c r="A1085" i="9"/>
  <c r="M1084" i="9"/>
  <c r="L1084" i="9"/>
  <c r="K1084" i="9"/>
  <c r="J1084" i="9"/>
  <c r="I1084" i="9"/>
  <c r="H1084" i="9"/>
  <c r="G1084" i="9"/>
  <c r="F1084" i="9"/>
  <c r="E1084" i="9"/>
  <c r="D1084" i="9"/>
  <c r="C1084" i="9"/>
  <c r="B1084" i="9"/>
  <c r="A1084" i="9"/>
  <c r="M1083" i="9"/>
  <c r="L1083" i="9"/>
  <c r="K1083" i="9"/>
  <c r="J1083" i="9"/>
  <c r="I1083" i="9"/>
  <c r="H1083" i="9"/>
  <c r="G1083" i="9"/>
  <c r="F1083" i="9"/>
  <c r="E1083" i="9"/>
  <c r="D1083" i="9"/>
  <c r="C1083" i="9"/>
  <c r="B1083" i="9"/>
  <c r="A1083" i="9"/>
  <c r="M1082" i="9"/>
  <c r="L1082" i="9"/>
  <c r="K1082" i="9"/>
  <c r="J1082" i="9"/>
  <c r="I1082" i="9"/>
  <c r="H1082" i="9"/>
  <c r="G1082" i="9"/>
  <c r="F1082" i="9"/>
  <c r="E1082" i="9"/>
  <c r="D1082" i="9"/>
  <c r="C1082" i="9"/>
  <c r="B1082" i="9"/>
  <c r="A1082" i="9"/>
  <c r="M1081" i="9"/>
  <c r="L1081" i="9"/>
  <c r="K1081" i="9"/>
  <c r="J1081" i="9"/>
  <c r="I1081" i="9"/>
  <c r="H1081" i="9"/>
  <c r="G1081" i="9"/>
  <c r="F1081" i="9"/>
  <c r="E1081" i="9"/>
  <c r="D1081" i="9"/>
  <c r="C1081" i="9"/>
  <c r="B1081" i="9"/>
  <c r="A1081" i="9"/>
  <c r="M1080" i="9"/>
  <c r="L1080" i="9"/>
  <c r="K1080" i="9"/>
  <c r="J1080" i="9"/>
  <c r="I1080" i="9"/>
  <c r="H1080" i="9"/>
  <c r="G1080" i="9"/>
  <c r="F1080" i="9"/>
  <c r="E1080" i="9"/>
  <c r="D1080" i="9"/>
  <c r="C1080" i="9"/>
  <c r="B1080" i="9"/>
  <c r="A1080" i="9"/>
  <c r="M1079" i="9"/>
  <c r="L1079" i="9"/>
  <c r="K1079" i="9"/>
  <c r="J1079" i="9"/>
  <c r="I1079" i="9"/>
  <c r="H1079" i="9"/>
  <c r="G1079" i="9"/>
  <c r="F1079" i="9"/>
  <c r="E1079" i="9"/>
  <c r="D1079" i="9"/>
  <c r="C1079" i="9"/>
  <c r="B1079" i="9"/>
  <c r="A1079" i="9"/>
  <c r="M1078" i="9"/>
  <c r="L1078" i="9"/>
  <c r="K1078" i="9"/>
  <c r="J1078" i="9"/>
  <c r="I1078" i="9"/>
  <c r="H1078" i="9"/>
  <c r="G1078" i="9"/>
  <c r="F1078" i="9"/>
  <c r="E1078" i="9"/>
  <c r="D1078" i="9"/>
  <c r="C1078" i="9"/>
  <c r="B1078" i="9"/>
  <c r="A1078" i="9"/>
  <c r="M1077" i="9"/>
  <c r="L1077" i="9"/>
  <c r="K1077" i="9"/>
  <c r="J1077" i="9"/>
  <c r="I1077" i="9"/>
  <c r="H1077" i="9"/>
  <c r="G1077" i="9"/>
  <c r="F1077" i="9"/>
  <c r="E1077" i="9"/>
  <c r="D1077" i="9"/>
  <c r="C1077" i="9"/>
  <c r="B1077" i="9"/>
  <c r="A1077" i="9"/>
  <c r="M1076" i="9"/>
  <c r="L1076" i="9"/>
  <c r="K1076" i="9"/>
  <c r="J1076" i="9"/>
  <c r="I1076" i="9"/>
  <c r="H1076" i="9"/>
  <c r="G1076" i="9"/>
  <c r="F1076" i="9"/>
  <c r="E1076" i="9"/>
  <c r="D1076" i="9"/>
  <c r="C1076" i="9"/>
  <c r="B1076" i="9"/>
  <c r="A1076" i="9"/>
  <c r="M1075" i="9"/>
  <c r="L1075" i="9"/>
  <c r="K1075" i="9"/>
  <c r="J1075" i="9"/>
  <c r="I1075" i="9"/>
  <c r="H1075" i="9"/>
  <c r="G1075" i="9"/>
  <c r="F1075" i="9"/>
  <c r="E1075" i="9"/>
  <c r="D1075" i="9"/>
  <c r="C1075" i="9"/>
  <c r="B1075" i="9"/>
  <c r="A1075" i="9"/>
  <c r="M1074" i="9"/>
  <c r="L1074" i="9"/>
  <c r="K1074" i="9"/>
  <c r="J1074" i="9"/>
  <c r="I1074" i="9"/>
  <c r="H1074" i="9"/>
  <c r="G1074" i="9"/>
  <c r="F1074" i="9"/>
  <c r="E1074" i="9"/>
  <c r="D1074" i="9"/>
  <c r="C1074" i="9"/>
  <c r="B1074" i="9"/>
  <c r="A1074" i="9"/>
  <c r="M1073" i="9"/>
  <c r="L1073" i="9"/>
  <c r="K1073" i="9"/>
  <c r="J1073" i="9"/>
  <c r="I1073" i="9"/>
  <c r="H1073" i="9"/>
  <c r="G1073" i="9"/>
  <c r="F1073" i="9"/>
  <c r="E1073" i="9"/>
  <c r="D1073" i="9"/>
  <c r="C1073" i="9"/>
  <c r="B1073" i="9"/>
  <c r="A1073" i="9"/>
  <c r="M1072" i="9"/>
  <c r="L1072" i="9"/>
  <c r="K1072" i="9"/>
  <c r="J1072" i="9"/>
  <c r="I1072" i="9"/>
  <c r="H1072" i="9"/>
  <c r="G1072" i="9"/>
  <c r="F1072" i="9"/>
  <c r="E1072" i="9"/>
  <c r="D1072" i="9"/>
  <c r="C1072" i="9"/>
  <c r="B1072" i="9"/>
  <c r="A1072" i="9"/>
  <c r="M1071" i="9"/>
  <c r="L1071" i="9"/>
  <c r="K1071" i="9"/>
  <c r="J1071" i="9"/>
  <c r="I1071" i="9"/>
  <c r="H1071" i="9"/>
  <c r="G1071" i="9"/>
  <c r="F1071" i="9"/>
  <c r="E1071" i="9"/>
  <c r="D1071" i="9"/>
  <c r="C1071" i="9"/>
  <c r="B1071" i="9"/>
  <c r="A1071" i="9"/>
  <c r="M1070" i="9"/>
  <c r="L1070" i="9"/>
  <c r="K1070" i="9"/>
  <c r="J1070" i="9"/>
  <c r="I1070" i="9"/>
  <c r="H1070" i="9"/>
  <c r="G1070" i="9"/>
  <c r="F1070" i="9"/>
  <c r="E1070" i="9"/>
  <c r="D1070" i="9"/>
  <c r="C1070" i="9"/>
  <c r="B1070" i="9"/>
  <c r="A1070" i="9"/>
  <c r="M1069" i="9"/>
  <c r="L1069" i="9"/>
  <c r="K1069" i="9"/>
  <c r="J1069" i="9"/>
  <c r="I1069" i="9"/>
  <c r="H1069" i="9"/>
  <c r="G1069" i="9"/>
  <c r="F1069" i="9"/>
  <c r="E1069" i="9"/>
  <c r="D1069" i="9"/>
  <c r="C1069" i="9"/>
  <c r="B1069" i="9"/>
  <c r="A1069" i="9"/>
  <c r="M1068" i="9"/>
  <c r="L1068" i="9"/>
  <c r="K1068" i="9"/>
  <c r="J1068" i="9"/>
  <c r="I1068" i="9"/>
  <c r="H1068" i="9"/>
  <c r="G1068" i="9"/>
  <c r="F1068" i="9"/>
  <c r="E1068" i="9"/>
  <c r="D1068" i="9"/>
  <c r="C1068" i="9"/>
  <c r="B1068" i="9"/>
  <c r="A1068" i="9"/>
  <c r="M1067" i="9"/>
  <c r="L1067" i="9"/>
  <c r="K1067" i="9"/>
  <c r="J1067" i="9"/>
  <c r="I1067" i="9"/>
  <c r="H1067" i="9"/>
  <c r="G1067" i="9"/>
  <c r="F1067" i="9"/>
  <c r="E1067" i="9"/>
  <c r="D1067" i="9"/>
  <c r="C1067" i="9"/>
  <c r="B1067" i="9"/>
  <c r="A1067" i="9"/>
  <c r="M1066" i="9"/>
  <c r="L1066" i="9"/>
  <c r="K1066" i="9"/>
  <c r="J1066" i="9"/>
  <c r="I1066" i="9"/>
  <c r="H1066" i="9"/>
  <c r="G1066" i="9"/>
  <c r="F1066" i="9"/>
  <c r="E1066" i="9"/>
  <c r="D1066" i="9"/>
  <c r="C1066" i="9"/>
  <c r="B1066" i="9"/>
  <c r="A1066" i="9"/>
  <c r="M1065" i="9"/>
  <c r="L1065" i="9"/>
  <c r="K1065" i="9"/>
  <c r="J1065" i="9"/>
  <c r="I1065" i="9"/>
  <c r="H1065" i="9"/>
  <c r="G1065" i="9"/>
  <c r="F1065" i="9"/>
  <c r="E1065" i="9"/>
  <c r="D1065" i="9"/>
  <c r="C1065" i="9"/>
  <c r="B1065" i="9"/>
  <c r="A1065" i="9"/>
  <c r="M1064" i="9"/>
  <c r="L1064" i="9"/>
  <c r="K1064" i="9"/>
  <c r="J1064" i="9"/>
  <c r="I1064" i="9"/>
  <c r="H1064" i="9"/>
  <c r="G1064" i="9"/>
  <c r="F1064" i="9"/>
  <c r="E1064" i="9"/>
  <c r="D1064" i="9"/>
  <c r="C1064" i="9"/>
  <c r="B1064" i="9"/>
  <c r="A1064" i="9"/>
  <c r="M1063" i="9"/>
  <c r="L1063" i="9"/>
  <c r="K1063" i="9"/>
  <c r="J1063" i="9"/>
  <c r="I1063" i="9"/>
  <c r="H1063" i="9"/>
  <c r="G1063" i="9"/>
  <c r="F1063" i="9"/>
  <c r="E1063" i="9"/>
  <c r="D1063" i="9"/>
  <c r="C1063" i="9"/>
  <c r="B1063" i="9"/>
  <c r="A1063" i="9"/>
  <c r="M1062" i="9"/>
  <c r="L1062" i="9"/>
  <c r="K1062" i="9"/>
  <c r="J1062" i="9"/>
  <c r="I1062" i="9"/>
  <c r="H1062" i="9"/>
  <c r="G1062" i="9"/>
  <c r="F1062" i="9"/>
  <c r="E1062" i="9"/>
  <c r="D1062" i="9"/>
  <c r="C1062" i="9"/>
  <c r="B1062" i="9"/>
  <c r="A1062" i="9"/>
  <c r="M1061" i="9"/>
  <c r="L1061" i="9"/>
  <c r="K1061" i="9"/>
  <c r="J1061" i="9"/>
  <c r="I1061" i="9"/>
  <c r="H1061" i="9"/>
  <c r="G1061" i="9"/>
  <c r="F1061" i="9"/>
  <c r="E1061" i="9"/>
  <c r="D1061" i="9"/>
  <c r="C1061" i="9"/>
  <c r="B1061" i="9"/>
  <c r="A1061" i="9"/>
  <c r="M1060" i="9"/>
  <c r="L1060" i="9"/>
  <c r="K1060" i="9"/>
  <c r="J1060" i="9"/>
  <c r="I1060" i="9"/>
  <c r="H1060" i="9"/>
  <c r="G1060" i="9"/>
  <c r="F1060" i="9"/>
  <c r="E1060" i="9"/>
  <c r="D1060" i="9"/>
  <c r="C1060" i="9"/>
  <c r="B1060" i="9"/>
  <c r="A1060" i="9"/>
  <c r="M1059" i="9"/>
  <c r="L1059" i="9"/>
  <c r="K1059" i="9"/>
  <c r="J1059" i="9"/>
  <c r="I1059" i="9"/>
  <c r="H1059" i="9"/>
  <c r="G1059" i="9"/>
  <c r="F1059" i="9"/>
  <c r="E1059" i="9"/>
  <c r="D1059" i="9"/>
  <c r="C1059" i="9"/>
  <c r="B1059" i="9"/>
  <c r="A1059" i="9"/>
  <c r="M1058" i="9"/>
  <c r="L1058" i="9"/>
  <c r="K1058" i="9"/>
  <c r="J1058" i="9"/>
  <c r="I1058" i="9"/>
  <c r="H1058" i="9"/>
  <c r="G1058" i="9"/>
  <c r="F1058" i="9"/>
  <c r="E1058" i="9"/>
  <c r="D1058" i="9"/>
  <c r="C1058" i="9"/>
  <c r="B1058" i="9"/>
  <c r="A1058" i="9"/>
  <c r="M1057" i="9"/>
  <c r="L1057" i="9"/>
  <c r="K1057" i="9"/>
  <c r="J1057" i="9"/>
  <c r="I1057" i="9"/>
  <c r="H1057" i="9"/>
  <c r="G1057" i="9"/>
  <c r="F1057" i="9"/>
  <c r="E1057" i="9"/>
  <c r="D1057" i="9"/>
  <c r="C1057" i="9"/>
  <c r="B1057" i="9"/>
  <c r="A1057" i="9"/>
  <c r="M1056" i="9"/>
  <c r="L1056" i="9"/>
  <c r="K1056" i="9"/>
  <c r="J1056" i="9"/>
  <c r="I1056" i="9"/>
  <c r="H1056" i="9"/>
  <c r="G1056" i="9"/>
  <c r="F1056" i="9"/>
  <c r="E1056" i="9"/>
  <c r="D1056" i="9"/>
  <c r="C1056" i="9"/>
  <c r="B1056" i="9"/>
  <c r="A1056" i="9"/>
  <c r="M1055" i="9"/>
  <c r="L1055" i="9"/>
  <c r="K1055" i="9"/>
  <c r="J1055" i="9"/>
  <c r="I1055" i="9"/>
  <c r="H1055" i="9"/>
  <c r="G1055" i="9"/>
  <c r="F1055" i="9"/>
  <c r="E1055" i="9"/>
  <c r="D1055" i="9"/>
  <c r="C1055" i="9"/>
  <c r="B1055" i="9"/>
  <c r="A1055" i="9"/>
  <c r="M1054" i="9"/>
  <c r="L1054" i="9"/>
  <c r="K1054" i="9"/>
  <c r="J1054" i="9"/>
  <c r="I1054" i="9"/>
  <c r="H1054" i="9"/>
  <c r="G1054" i="9"/>
  <c r="F1054" i="9"/>
  <c r="E1054" i="9"/>
  <c r="D1054" i="9"/>
  <c r="C1054" i="9"/>
  <c r="B1054" i="9"/>
  <c r="A1054" i="9"/>
  <c r="M1053" i="9"/>
  <c r="L1053" i="9"/>
  <c r="K1053" i="9"/>
  <c r="J1053" i="9"/>
  <c r="I1053" i="9"/>
  <c r="H1053" i="9"/>
  <c r="G1053" i="9"/>
  <c r="F1053" i="9"/>
  <c r="E1053" i="9"/>
  <c r="D1053" i="9"/>
  <c r="C1053" i="9"/>
  <c r="B1053" i="9"/>
  <c r="A1053" i="9"/>
  <c r="M1052" i="9"/>
  <c r="L1052" i="9"/>
  <c r="K1052" i="9"/>
  <c r="J1052" i="9"/>
  <c r="I1052" i="9"/>
  <c r="H1052" i="9"/>
  <c r="G1052" i="9"/>
  <c r="F1052" i="9"/>
  <c r="E1052" i="9"/>
  <c r="D1052" i="9"/>
  <c r="C1052" i="9"/>
  <c r="B1052" i="9"/>
  <c r="A1052" i="9"/>
  <c r="M1051" i="9"/>
  <c r="L1051" i="9"/>
  <c r="K1051" i="9"/>
  <c r="J1051" i="9"/>
  <c r="I1051" i="9"/>
  <c r="H1051" i="9"/>
  <c r="G1051" i="9"/>
  <c r="F1051" i="9"/>
  <c r="E1051" i="9"/>
  <c r="D1051" i="9"/>
  <c r="C1051" i="9"/>
  <c r="B1051" i="9"/>
  <c r="A1051" i="9"/>
  <c r="M1050" i="9"/>
  <c r="L1050" i="9"/>
  <c r="K1050" i="9"/>
  <c r="J1050" i="9"/>
  <c r="I1050" i="9"/>
  <c r="H1050" i="9"/>
  <c r="G1050" i="9"/>
  <c r="F1050" i="9"/>
  <c r="E1050" i="9"/>
  <c r="D1050" i="9"/>
  <c r="C1050" i="9"/>
  <c r="B1050" i="9"/>
  <c r="A1050" i="9"/>
  <c r="M1049" i="9"/>
  <c r="L1049" i="9"/>
  <c r="K1049" i="9"/>
  <c r="J1049" i="9"/>
  <c r="I1049" i="9"/>
  <c r="H1049" i="9"/>
  <c r="G1049" i="9"/>
  <c r="F1049" i="9"/>
  <c r="E1049" i="9"/>
  <c r="D1049" i="9"/>
  <c r="C1049" i="9"/>
  <c r="B1049" i="9"/>
  <c r="A1049" i="9"/>
  <c r="M1048" i="9"/>
  <c r="L1048" i="9"/>
  <c r="K1048" i="9"/>
  <c r="J1048" i="9"/>
  <c r="I1048" i="9"/>
  <c r="H1048" i="9"/>
  <c r="G1048" i="9"/>
  <c r="F1048" i="9"/>
  <c r="E1048" i="9"/>
  <c r="D1048" i="9"/>
  <c r="C1048" i="9"/>
  <c r="B1048" i="9"/>
  <c r="A1048" i="9"/>
  <c r="M1047" i="9"/>
  <c r="L1047" i="9"/>
  <c r="K1047" i="9"/>
  <c r="J1047" i="9"/>
  <c r="I1047" i="9"/>
  <c r="H1047" i="9"/>
  <c r="G1047" i="9"/>
  <c r="F1047" i="9"/>
  <c r="E1047" i="9"/>
  <c r="D1047" i="9"/>
  <c r="C1047" i="9"/>
  <c r="B1047" i="9"/>
  <c r="A1047" i="9"/>
  <c r="M1046" i="9"/>
  <c r="L1046" i="9"/>
  <c r="K1046" i="9"/>
  <c r="J1046" i="9"/>
  <c r="I1046" i="9"/>
  <c r="H1046" i="9"/>
  <c r="G1046" i="9"/>
  <c r="F1046" i="9"/>
  <c r="E1046" i="9"/>
  <c r="D1046" i="9"/>
  <c r="C1046" i="9"/>
  <c r="B1046" i="9"/>
  <c r="A1046" i="9"/>
  <c r="M1045" i="9"/>
  <c r="L1045" i="9"/>
  <c r="K1045" i="9"/>
  <c r="J1045" i="9"/>
  <c r="I1045" i="9"/>
  <c r="H1045" i="9"/>
  <c r="G1045" i="9"/>
  <c r="F1045" i="9"/>
  <c r="E1045" i="9"/>
  <c r="D1045" i="9"/>
  <c r="C1045" i="9"/>
  <c r="B1045" i="9"/>
  <c r="A1045" i="9"/>
  <c r="M1044" i="9"/>
  <c r="L1044" i="9"/>
  <c r="K1044" i="9"/>
  <c r="J1044" i="9"/>
  <c r="I1044" i="9"/>
  <c r="H1044" i="9"/>
  <c r="G1044" i="9"/>
  <c r="F1044" i="9"/>
  <c r="E1044" i="9"/>
  <c r="D1044" i="9"/>
  <c r="C1044" i="9"/>
  <c r="B1044" i="9"/>
  <c r="A1044" i="9"/>
  <c r="M1043" i="9"/>
  <c r="L1043" i="9"/>
  <c r="K1043" i="9"/>
  <c r="J1043" i="9"/>
  <c r="I1043" i="9"/>
  <c r="H1043" i="9"/>
  <c r="G1043" i="9"/>
  <c r="F1043" i="9"/>
  <c r="E1043" i="9"/>
  <c r="D1043" i="9"/>
  <c r="C1043" i="9"/>
  <c r="B1043" i="9"/>
  <c r="A1043" i="9"/>
  <c r="M1042" i="9"/>
  <c r="L1042" i="9"/>
  <c r="K1042" i="9"/>
  <c r="J1042" i="9"/>
  <c r="I1042" i="9"/>
  <c r="H1042" i="9"/>
  <c r="G1042" i="9"/>
  <c r="F1042" i="9"/>
  <c r="E1042" i="9"/>
  <c r="D1042" i="9"/>
  <c r="C1042" i="9"/>
  <c r="B1042" i="9"/>
  <c r="A1042" i="9"/>
  <c r="M1041" i="9"/>
  <c r="L1041" i="9"/>
  <c r="K1041" i="9"/>
  <c r="J1041" i="9"/>
  <c r="I1041" i="9"/>
  <c r="H1041" i="9"/>
  <c r="G1041" i="9"/>
  <c r="F1041" i="9"/>
  <c r="E1041" i="9"/>
  <c r="D1041" i="9"/>
  <c r="C1041" i="9"/>
  <c r="B1041" i="9"/>
  <c r="A1041" i="9"/>
  <c r="M1040" i="9"/>
  <c r="L1040" i="9"/>
  <c r="K1040" i="9"/>
  <c r="J1040" i="9"/>
  <c r="I1040" i="9"/>
  <c r="H1040" i="9"/>
  <c r="G1040" i="9"/>
  <c r="F1040" i="9"/>
  <c r="E1040" i="9"/>
  <c r="D1040" i="9"/>
  <c r="C1040" i="9"/>
  <c r="B1040" i="9"/>
  <c r="A1040" i="9"/>
  <c r="M1039" i="9"/>
  <c r="L1039" i="9"/>
  <c r="K1039" i="9"/>
  <c r="J1039" i="9"/>
  <c r="I1039" i="9"/>
  <c r="H1039" i="9"/>
  <c r="G1039" i="9"/>
  <c r="F1039" i="9"/>
  <c r="E1039" i="9"/>
  <c r="D1039" i="9"/>
  <c r="C1039" i="9"/>
  <c r="B1039" i="9"/>
  <c r="A1039" i="9"/>
  <c r="M1038" i="9"/>
  <c r="L1038" i="9"/>
  <c r="K1038" i="9"/>
  <c r="J1038" i="9"/>
  <c r="I1038" i="9"/>
  <c r="H1038" i="9"/>
  <c r="G1038" i="9"/>
  <c r="F1038" i="9"/>
  <c r="E1038" i="9"/>
  <c r="D1038" i="9"/>
  <c r="C1038" i="9"/>
  <c r="B1038" i="9"/>
  <c r="A1038" i="9"/>
  <c r="M1037" i="9"/>
  <c r="L1037" i="9"/>
  <c r="K1037" i="9"/>
  <c r="J1037" i="9"/>
  <c r="I1037" i="9"/>
  <c r="H1037" i="9"/>
  <c r="G1037" i="9"/>
  <c r="F1037" i="9"/>
  <c r="E1037" i="9"/>
  <c r="D1037" i="9"/>
  <c r="C1037" i="9"/>
  <c r="B1037" i="9"/>
  <c r="A1037" i="9"/>
  <c r="M1036" i="9"/>
  <c r="L1036" i="9"/>
  <c r="K1036" i="9"/>
  <c r="J1036" i="9"/>
  <c r="I1036" i="9"/>
  <c r="H1036" i="9"/>
  <c r="G1036" i="9"/>
  <c r="F1036" i="9"/>
  <c r="E1036" i="9"/>
  <c r="D1036" i="9"/>
  <c r="C1036" i="9"/>
  <c r="B1036" i="9"/>
  <c r="A1036" i="9"/>
  <c r="M1035" i="9"/>
  <c r="L1035" i="9"/>
  <c r="K1035" i="9"/>
  <c r="J1035" i="9"/>
  <c r="I1035" i="9"/>
  <c r="H1035" i="9"/>
  <c r="G1035" i="9"/>
  <c r="F1035" i="9"/>
  <c r="E1035" i="9"/>
  <c r="D1035" i="9"/>
  <c r="C1035" i="9"/>
  <c r="B1035" i="9"/>
  <c r="A1035" i="9"/>
  <c r="M1034" i="9"/>
  <c r="L1034" i="9"/>
  <c r="K1034" i="9"/>
  <c r="J1034" i="9"/>
  <c r="I1034" i="9"/>
  <c r="H1034" i="9"/>
  <c r="G1034" i="9"/>
  <c r="F1034" i="9"/>
  <c r="E1034" i="9"/>
  <c r="D1034" i="9"/>
  <c r="C1034" i="9"/>
  <c r="B1034" i="9"/>
  <c r="A1034" i="9"/>
  <c r="M1033" i="9"/>
  <c r="L1033" i="9"/>
  <c r="K1033" i="9"/>
  <c r="J1033" i="9"/>
  <c r="I1033" i="9"/>
  <c r="H1033" i="9"/>
  <c r="G1033" i="9"/>
  <c r="F1033" i="9"/>
  <c r="E1033" i="9"/>
  <c r="D1033" i="9"/>
  <c r="C1033" i="9"/>
  <c r="B1033" i="9"/>
  <c r="A1033" i="9"/>
  <c r="M1032" i="9"/>
  <c r="L1032" i="9"/>
  <c r="K1032" i="9"/>
  <c r="J1032" i="9"/>
  <c r="I1032" i="9"/>
  <c r="H1032" i="9"/>
  <c r="G1032" i="9"/>
  <c r="F1032" i="9"/>
  <c r="E1032" i="9"/>
  <c r="D1032" i="9"/>
  <c r="C1032" i="9"/>
  <c r="B1032" i="9"/>
  <c r="A1032" i="9"/>
  <c r="M1031" i="9"/>
  <c r="L1031" i="9"/>
  <c r="K1031" i="9"/>
  <c r="J1031" i="9"/>
  <c r="I1031" i="9"/>
  <c r="H1031" i="9"/>
  <c r="G1031" i="9"/>
  <c r="F1031" i="9"/>
  <c r="E1031" i="9"/>
  <c r="D1031" i="9"/>
  <c r="C1031" i="9"/>
  <c r="B1031" i="9"/>
  <c r="A1031" i="9"/>
  <c r="M1030" i="9"/>
  <c r="L1030" i="9"/>
  <c r="K1030" i="9"/>
  <c r="J1030" i="9"/>
  <c r="I1030" i="9"/>
  <c r="H1030" i="9"/>
  <c r="G1030" i="9"/>
  <c r="F1030" i="9"/>
  <c r="E1030" i="9"/>
  <c r="D1030" i="9"/>
  <c r="C1030" i="9"/>
  <c r="B1030" i="9"/>
  <c r="A1030" i="9"/>
  <c r="M1029" i="9"/>
  <c r="L1029" i="9"/>
  <c r="K1029" i="9"/>
  <c r="J1029" i="9"/>
  <c r="I1029" i="9"/>
  <c r="H1029" i="9"/>
  <c r="G1029" i="9"/>
  <c r="F1029" i="9"/>
  <c r="E1029" i="9"/>
  <c r="D1029" i="9"/>
  <c r="C1029" i="9"/>
  <c r="B1029" i="9"/>
  <c r="A1029" i="9"/>
  <c r="M1028" i="9"/>
  <c r="L1028" i="9"/>
  <c r="K1028" i="9"/>
  <c r="J1028" i="9"/>
  <c r="I1028" i="9"/>
  <c r="H1028" i="9"/>
  <c r="G1028" i="9"/>
  <c r="F1028" i="9"/>
  <c r="E1028" i="9"/>
  <c r="D1028" i="9"/>
  <c r="C1028" i="9"/>
  <c r="B1028" i="9"/>
  <c r="A1028" i="9"/>
  <c r="M1027" i="9"/>
  <c r="L1027" i="9"/>
  <c r="K1027" i="9"/>
  <c r="J1027" i="9"/>
  <c r="I1027" i="9"/>
  <c r="H1027" i="9"/>
  <c r="G1027" i="9"/>
  <c r="F1027" i="9"/>
  <c r="E1027" i="9"/>
  <c r="D1027" i="9"/>
  <c r="C1027" i="9"/>
  <c r="B1027" i="9"/>
  <c r="A1027" i="9"/>
  <c r="M1026" i="9"/>
  <c r="L1026" i="9"/>
  <c r="K1026" i="9"/>
  <c r="J1026" i="9"/>
  <c r="I1026" i="9"/>
  <c r="H1026" i="9"/>
  <c r="G1026" i="9"/>
  <c r="F1026" i="9"/>
  <c r="E1026" i="9"/>
  <c r="D1026" i="9"/>
  <c r="C1026" i="9"/>
  <c r="B1026" i="9"/>
  <c r="A1026" i="9"/>
  <c r="M1025" i="9"/>
  <c r="L1025" i="9"/>
  <c r="K1025" i="9"/>
  <c r="J1025" i="9"/>
  <c r="I1025" i="9"/>
  <c r="H1025" i="9"/>
  <c r="G1025" i="9"/>
  <c r="F1025" i="9"/>
  <c r="E1025" i="9"/>
  <c r="D1025" i="9"/>
  <c r="C1025" i="9"/>
  <c r="B1025" i="9"/>
  <c r="A1025" i="9"/>
  <c r="M1024" i="9"/>
  <c r="L1024" i="9"/>
  <c r="K1024" i="9"/>
  <c r="J1024" i="9"/>
  <c r="I1024" i="9"/>
  <c r="H1024" i="9"/>
  <c r="G1024" i="9"/>
  <c r="F1024" i="9"/>
  <c r="E1024" i="9"/>
  <c r="D1024" i="9"/>
  <c r="C1024" i="9"/>
  <c r="B1024" i="9"/>
  <c r="A1024" i="9"/>
  <c r="M1023" i="9"/>
  <c r="L1023" i="9"/>
  <c r="K1023" i="9"/>
  <c r="J1023" i="9"/>
  <c r="I1023" i="9"/>
  <c r="H1023" i="9"/>
  <c r="G1023" i="9"/>
  <c r="F1023" i="9"/>
  <c r="E1023" i="9"/>
  <c r="D1023" i="9"/>
  <c r="C1023" i="9"/>
  <c r="B1023" i="9"/>
  <c r="A1023" i="9"/>
  <c r="M1022" i="9"/>
  <c r="L1022" i="9"/>
  <c r="K1022" i="9"/>
  <c r="J1022" i="9"/>
  <c r="I1022" i="9"/>
  <c r="H1022" i="9"/>
  <c r="G1022" i="9"/>
  <c r="F1022" i="9"/>
  <c r="E1022" i="9"/>
  <c r="D1022" i="9"/>
  <c r="C1022" i="9"/>
  <c r="B1022" i="9"/>
  <c r="A1022" i="9"/>
  <c r="M1021" i="9"/>
  <c r="L1021" i="9"/>
  <c r="K1021" i="9"/>
  <c r="J1021" i="9"/>
  <c r="I1021" i="9"/>
  <c r="H1021" i="9"/>
  <c r="G1021" i="9"/>
  <c r="F1021" i="9"/>
  <c r="E1021" i="9"/>
  <c r="D1021" i="9"/>
  <c r="C1021" i="9"/>
  <c r="B1021" i="9"/>
  <c r="A1021" i="9"/>
  <c r="M1020" i="9"/>
  <c r="L1020" i="9"/>
  <c r="K1020" i="9"/>
  <c r="J1020" i="9"/>
  <c r="I1020" i="9"/>
  <c r="H1020" i="9"/>
  <c r="G1020" i="9"/>
  <c r="F1020" i="9"/>
  <c r="E1020" i="9"/>
  <c r="D1020" i="9"/>
  <c r="C1020" i="9"/>
  <c r="B1020" i="9"/>
  <c r="A1020" i="9"/>
  <c r="M1019" i="9"/>
  <c r="L1019" i="9"/>
  <c r="K1019" i="9"/>
  <c r="J1019" i="9"/>
  <c r="I1019" i="9"/>
  <c r="H1019" i="9"/>
  <c r="G1019" i="9"/>
  <c r="F1019" i="9"/>
  <c r="E1019" i="9"/>
  <c r="D1019" i="9"/>
  <c r="C1019" i="9"/>
  <c r="B1019" i="9"/>
  <c r="A1019" i="9"/>
  <c r="M1018" i="9"/>
  <c r="L1018" i="9"/>
  <c r="K1018" i="9"/>
  <c r="J1018" i="9"/>
  <c r="I1018" i="9"/>
  <c r="H1018" i="9"/>
  <c r="G1018" i="9"/>
  <c r="F1018" i="9"/>
  <c r="E1018" i="9"/>
  <c r="D1018" i="9"/>
  <c r="C1018" i="9"/>
  <c r="B1018" i="9"/>
  <c r="A1018" i="9"/>
  <c r="M1017" i="9"/>
  <c r="L1017" i="9"/>
  <c r="K1017" i="9"/>
  <c r="J1017" i="9"/>
  <c r="I1017" i="9"/>
  <c r="H1017" i="9"/>
  <c r="G1017" i="9"/>
  <c r="F1017" i="9"/>
  <c r="E1017" i="9"/>
  <c r="D1017" i="9"/>
  <c r="C1017" i="9"/>
  <c r="B1017" i="9"/>
  <c r="A1017" i="9"/>
  <c r="M1016" i="9"/>
  <c r="L1016" i="9"/>
  <c r="K1016" i="9"/>
  <c r="J1016" i="9"/>
  <c r="I1016" i="9"/>
  <c r="H1016" i="9"/>
  <c r="G1016" i="9"/>
  <c r="F1016" i="9"/>
  <c r="E1016" i="9"/>
  <c r="D1016" i="9"/>
  <c r="C1016" i="9"/>
  <c r="B1016" i="9"/>
  <c r="A1016" i="9"/>
  <c r="M1015" i="9"/>
  <c r="L1015" i="9"/>
  <c r="K1015" i="9"/>
  <c r="J1015" i="9"/>
  <c r="I1015" i="9"/>
  <c r="H1015" i="9"/>
  <c r="G1015" i="9"/>
  <c r="F1015" i="9"/>
  <c r="E1015" i="9"/>
  <c r="D1015" i="9"/>
  <c r="C1015" i="9"/>
  <c r="B1015" i="9"/>
  <c r="A1015" i="9"/>
  <c r="M1014" i="9"/>
  <c r="L1014" i="9"/>
  <c r="K1014" i="9"/>
  <c r="J1014" i="9"/>
  <c r="I1014" i="9"/>
  <c r="H1014" i="9"/>
  <c r="G1014" i="9"/>
  <c r="F1014" i="9"/>
  <c r="E1014" i="9"/>
  <c r="D1014" i="9"/>
  <c r="C1014" i="9"/>
  <c r="B1014" i="9"/>
  <c r="A1014" i="9"/>
  <c r="M1013" i="9"/>
  <c r="L1013" i="9"/>
  <c r="K1013" i="9"/>
  <c r="J1013" i="9"/>
  <c r="I1013" i="9"/>
  <c r="H1013" i="9"/>
  <c r="G1013" i="9"/>
  <c r="F1013" i="9"/>
  <c r="E1013" i="9"/>
  <c r="D1013" i="9"/>
  <c r="C1013" i="9"/>
  <c r="B1013" i="9"/>
  <c r="A1013" i="9"/>
  <c r="M1012" i="9"/>
  <c r="L1012" i="9"/>
  <c r="K1012" i="9"/>
  <c r="J1012" i="9"/>
  <c r="I1012" i="9"/>
  <c r="H1012" i="9"/>
  <c r="G1012" i="9"/>
  <c r="F1012" i="9"/>
  <c r="E1012" i="9"/>
  <c r="D1012" i="9"/>
  <c r="C1012" i="9"/>
  <c r="B1012" i="9"/>
  <c r="A1012" i="9"/>
  <c r="M1011" i="9"/>
  <c r="L1011" i="9"/>
  <c r="K1011" i="9"/>
  <c r="J1011" i="9"/>
  <c r="I1011" i="9"/>
  <c r="H1011" i="9"/>
  <c r="G1011" i="9"/>
  <c r="F1011" i="9"/>
  <c r="E1011" i="9"/>
  <c r="D1011" i="9"/>
  <c r="C1011" i="9"/>
  <c r="B1011" i="9"/>
  <c r="A1011" i="9"/>
  <c r="M1010" i="9"/>
  <c r="L1010" i="9"/>
  <c r="K1010" i="9"/>
  <c r="J1010" i="9"/>
  <c r="I1010" i="9"/>
  <c r="H1010" i="9"/>
  <c r="G1010" i="9"/>
  <c r="F1010" i="9"/>
  <c r="E1010" i="9"/>
  <c r="D1010" i="9"/>
  <c r="C1010" i="9"/>
  <c r="B1010" i="9"/>
  <c r="A1010" i="9"/>
  <c r="M1009" i="9"/>
  <c r="L1009" i="9"/>
  <c r="K1009" i="9"/>
  <c r="J1009" i="9"/>
  <c r="I1009" i="9"/>
  <c r="H1009" i="9"/>
  <c r="G1009" i="9"/>
  <c r="F1009" i="9"/>
  <c r="E1009" i="9"/>
  <c r="D1009" i="9"/>
  <c r="C1009" i="9"/>
  <c r="B1009" i="9"/>
  <c r="A1009" i="9"/>
  <c r="M1008" i="9"/>
  <c r="L1008" i="9"/>
  <c r="K1008" i="9"/>
  <c r="J1008" i="9"/>
  <c r="I1008" i="9"/>
  <c r="H1008" i="9"/>
  <c r="G1008" i="9"/>
  <c r="F1008" i="9"/>
  <c r="E1008" i="9"/>
  <c r="D1008" i="9"/>
  <c r="C1008" i="9"/>
  <c r="B1008" i="9"/>
  <c r="A1008" i="9"/>
  <c r="M1007" i="9"/>
  <c r="L1007" i="9"/>
  <c r="K1007" i="9"/>
  <c r="J1007" i="9"/>
  <c r="I1007" i="9"/>
  <c r="H1007" i="9"/>
  <c r="G1007" i="9"/>
  <c r="F1007" i="9"/>
  <c r="E1007" i="9"/>
  <c r="D1007" i="9"/>
  <c r="C1007" i="9"/>
  <c r="B1007" i="9"/>
  <c r="A1007" i="9"/>
  <c r="M1006" i="9"/>
  <c r="L1006" i="9"/>
  <c r="K1006" i="9"/>
  <c r="J1006" i="9"/>
  <c r="I1006" i="9"/>
  <c r="H1006" i="9"/>
  <c r="G1006" i="9"/>
  <c r="F1006" i="9"/>
  <c r="E1006" i="9"/>
  <c r="D1006" i="9"/>
  <c r="C1006" i="9"/>
  <c r="B1006" i="9"/>
  <c r="A1006" i="9"/>
  <c r="M1005" i="9"/>
  <c r="L1005" i="9"/>
  <c r="K1005" i="9"/>
  <c r="J1005" i="9"/>
  <c r="I1005" i="9"/>
  <c r="H1005" i="9"/>
  <c r="G1005" i="9"/>
  <c r="F1005" i="9"/>
  <c r="E1005" i="9"/>
  <c r="D1005" i="9"/>
  <c r="C1005" i="9"/>
  <c r="B1005" i="9"/>
  <c r="A1005" i="9"/>
  <c r="M1004" i="9"/>
  <c r="L1004" i="9"/>
  <c r="K1004" i="9"/>
  <c r="J1004" i="9"/>
  <c r="I1004" i="9"/>
  <c r="H1004" i="9"/>
  <c r="G1004" i="9"/>
  <c r="F1004" i="9"/>
  <c r="E1004" i="9"/>
  <c r="D1004" i="9"/>
  <c r="C1004" i="9"/>
  <c r="B1004" i="9"/>
  <c r="A1004" i="9"/>
  <c r="M1003" i="9"/>
  <c r="L1003" i="9"/>
  <c r="K1003" i="9"/>
  <c r="J1003" i="9"/>
  <c r="I1003" i="9"/>
  <c r="H1003" i="9"/>
  <c r="G1003" i="9"/>
  <c r="F1003" i="9"/>
  <c r="E1003" i="9"/>
  <c r="D1003" i="9"/>
  <c r="C1003" i="9"/>
  <c r="B1003" i="9"/>
  <c r="A1003" i="9"/>
  <c r="M1002" i="9"/>
  <c r="L1002" i="9"/>
  <c r="K1002" i="9"/>
  <c r="J1002" i="9"/>
  <c r="I1002" i="9"/>
  <c r="H1002" i="9"/>
  <c r="G1002" i="9"/>
  <c r="F1002" i="9"/>
  <c r="E1002" i="9"/>
  <c r="D1002" i="9"/>
  <c r="C1002" i="9"/>
  <c r="B1002" i="9"/>
  <c r="A1002" i="9"/>
  <c r="M1001" i="9"/>
  <c r="L1001" i="9"/>
  <c r="K1001" i="9"/>
  <c r="J1001" i="9"/>
  <c r="I1001" i="9"/>
  <c r="H1001" i="9"/>
  <c r="G1001" i="9"/>
  <c r="F1001" i="9"/>
  <c r="E1001" i="9"/>
  <c r="D1001" i="9"/>
  <c r="C1001" i="9"/>
  <c r="B1001" i="9"/>
  <c r="A1001" i="9"/>
  <c r="M1000" i="9"/>
  <c r="L1000" i="9"/>
  <c r="K1000" i="9"/>
  <c r="J1000" i="9"/>
  <c r="I1000" i="9"/>
  <c r="H1000" i="9"/>
  <c r="G1000" i="9"/>
  <c r="F1000" i="9"/>
  <c r="E1000" i="9"/>
  <c r="D1000" i="9"/>
  <c r="C1000" i="9"/>
  <c r="B1000" i="9"/>
  <c r="A1000" i="9"/>
  <c r="M999" i="9"/>
  <c r="L999" i="9"/>
  <c r="K999" i="9"/>
  <c r="J999" i="9"/>
  <c r="I999" i="9"/>
  <c r="H999" i="9"/>
  <c r="G999" i="9"/>
  <c r="F999" i="9"/>
  <c r="E999" i="9"/>
  <c r="D999" i="9"/>
  <c r="C999" i="9"/>
  <c r="B999" i="9"/>
  <c r="A999" i="9"/>
  <c r="M998" i="9"/>
  <c r="L998" i="9"/>
  <c r="K998" i="9"/>
  <c r="J998" i="9"/>
  <c r="I998" i="9"/>
  <c r="H998" i="9"/>
  <c r="G998" i="9"/>
  <c r="F998" i="9"/>
  <c r="E998" i="9"/>
  <c r="D998" i="9"/>
  <c r="C998" i="9"/>
  <c r="B998" i="9"/>
  <c r="A998" i="9"/>
  <c r="M997" i="9"/>
  <c r="L997" i="9"/>
  <c r="K997" i="9"/>
  <c r="J997" i="9"/>
  <c r="I997" i="9"/>
  <c r="H997" i="9"/>
  <c r="G997" i="9"/>
  <c r="F997" i="9"/>
  <c r="E997" i="9"/>
  <c r="D997" i="9"/>
  <c r="C997" i="9"/>
  <c r="B997" i="9"/>
  <c r="A997" i="9"/>
  <c r="M996" i="9"/>
  <c r="L996" i="9"/>
  <c r="K996" i="9"/>
  <c r="J996" i="9"/>
  <c r="I996" i="9"/>
  <c r="H996" i="9"/>
  <c r="G996" i="9"/>
  <c r="F996" i="9"/>
  <c r="E996" i="9"/>
  <c r="D996" i="9"/>
  <c r="C996" i="9"/>
  <c r="B996" i="9"/>
  <c r="A996" i="9"/>
  <c r="M995" i="9"/>
  <c r="L995" i="9"/>
  <c r="K995" i="9"/>
  <c r="J995" i="9"/>
  <c r="I995" i="9"/>
  <c r="H995" i="9"/>
  <c r="G995" i="9"/>
  <c r="F995" i="9"/>
  <c r="E995" i="9"/>
  <c r="D995" i="9"/>
  <c r="C995" i="9"/>
  <c r="B995" i="9"/>
  <c r="A995" i="9"/>
  <c r="M994" i="9"/>
  <c r="L994" i="9"/>
  <c r="K994" i="9"/>
  <c r="J994" i="9"/>
  <c r="I994" i="9"/>
  <c r="H994" i="9"/>
  <c r="G994" i="9"/>
  <c r="F994" i="9"/>
  <c r="E994" i="9"/>
  <c r="D994" i="9"/>
  <c r="C994" i="9"/>
  <c r="B994" i="9"/>
  <c r="A994" i="9"/>
  <c r="M993" i="9"/>
  <c r="L993" i="9"/>
  <c r="K993" i="9"/>
  <c r="J993" i="9"/>
  <c r="I993" i="9"/>
  <c r="H993" i="9"/>
  <c r="G993" i="9"/>
  <c r="F993" i="9"/>
  <c r="E993" i="9"/>
  <c r="D993" i="9"/>
  <c r="C993" i="9"/>
  <c r="B993" i="9"/>
  <c r="A993" i="9"/>
  <c r="M992" i="9"/>
  <c r="L992" i="9"/>
  <c r="K992" i="9"/>
  <c r="J992" i="9"/>
  <c r="I992" i="9"/>
  <c r="H992" i="9"/>
  <c r="G992" i="9"/>
  <c r="F992" i="9"/>
  <c r="E992" i="9"/>
  <c r="D992" i="9"/>
  <c r="C992" i="9"/>
  <c r="B992" i="9"/>
  <c r="A992" i="9"/>
  <c r="M991" i="9"/>
  <c r="L991" i="9"/>
  <c r="K991" i="9"/>
  <c r="J991" i="9"/>
  <c r="I991" i="9"/>
  <c r="H991" i="9"/>
  <c r="G991" i="9"/>
  <c r="F991" i="9"/>
  <c r="E991" i="9"/>
  <c r="D991" i="9"/>
  <c r="C991" i="9"/>
  <c r="B991" i="9"/>
  <c r="A991" i="9"/>
  <c r="M990" i="9"/>
  <c r="L990" i="9"/>
  <c r="K990" i="9"/>
  <c r="J990" i="9"/>
  <c r="I990" i="9"/>
  <c r="H990" i="9"/>
  <c r="G990" i="9"/>
  <c r="F990" i="9"/>
  <c r="E990" i="9"/>
  <c r="D990" i="9"/>
  <c r="C990" i="9"/>
  <c r="B990" i="9"/>
  <c r="A990" i="9"/>
  <c r="M989" i="9"/>
  <c r="L989" i="9"/>
  <c r="K989" i="9"/>
  <c r="J989" i="9"/>
  <c r="I989" i="9"/>
  <c r="H989" i="9"/>
  <c r="G989" i="9"/>
  <c r="F989" i="9"/>
  <c r="E989" i="9"/>
  <c r="D989" i="9"/>
  <c r="C989" i="9"/>
  <c r="B989" i="9"/>
  <c r="A989" i="9"/>
  <c r="M988" i="9"/>
  <c r="L988" i="9"/>
  <c r="K988" i="9"/>
  <c r="J988" i="9"/>
  <c r="I988" i="9"/>
  <c r="H988" i="9"/>
  <c r="G988" i="9"/>
  <c r="F988" i="9"/>
  <c r="E988" i="9"/>
  <c r="D988" i="9"/>
  <c r="C988" i="9"/>
  <c r="B988" i="9"/>
  <c r="A988" i="9"/>
  <c r="M987" i="9"/>
  <c r="L987" i="9"/>
  <c r="K987" i="9"/>
  <c r="J987" i="9"/>
  <c r="I987" i="9"/>
  <c r="H987" i="9"/>
  <c r="G987" i="9"/>
  <c r="F987" i="9"/>
  <c r="E987" i="9"/>
  <c r="D987" i="9"/>
  <c r="C987" i="9"/>
  <c r="B987" i="9"/>
  <c r="A987" i="9"/>
  <c r="M986" i="9"/>
  <c r="L986" i="9"/>
  <c r="K986" i="9"/>
  <c r="J986" i="9"/>
  <c r="I986" i="9"/>
  <c r="H986" i="9"/>
  <c r="G986" i="9"/>
  <c r="F986" i="9"/>
  <c r="E986" i="9"/>
  <c r="D986" i="9"/>
  <c r="C986" i="9"/>
  <c r="B986" i="9"/>
  <c r="A986" i="9"/>
  <c r="M985" i="9"/>
  <c r="L985" i="9"/>
  <c r="K985" i="9"/>
  <c r="J985" i="9"/>
  <c r="I985" i="9"/>
  <c r="H985" i="9"/>
  <c r="G985" i="9"/>
  <c r="F985" i="9"/>
  <c r="E985" i="9"/>
  <c r="D985" i="9"/>
  <c r="C985" i="9"/>
  <c r="B985" i="9"/>
  <c r="A985" i="9"/>
  <c r="M984" i="9"/>
  <c r="L984" i="9"/>
  <c r="K984" i="9"/>
  <c r="J984" i="9"/>
  <c r="I984" i="9"/>
  <c r="H984" i="9"/>
  <c r="G984" i="9"/>
  <c r="F984" i="9"/>
  <c r="E984" i="9"/>
  <c r="D984" i="9"/>
  <c r="C984" i="9"/>
  <c r="B984" i="9"/>
  <c r="A984" i="9"/>
  <c r="M983" i="9"/>
  <c r="L983" i="9"/>
  <c r="K983" i="9"/>
  <c r="J983" i="9"/>
  <c r="I983" i="9"/>
  <c r="H983" i="9"/>
  <c r="G983" i="9"/>
  <c r="F983" i="9"/>
  <c r="E983" i="9"/>
  <c r="D983" i="9"/>
  <c r="C983" i="9"/>
  <c r="B983" i="9"/>
  <c r="A983" i="9"/>
  <c r="M982" i="9"/>
  <c r="L982" i="9"/>
  <c r="K982" i="9"/>
  <c r="J982" i="9"/>
  <c r="I982" i="9"/>
  <c r="H982" i="9"/>
  <c r="G982" i="9"/>
  <c r="F982" i="9"/>
  <c r="E982" i="9"/>
  <c r="D982" i="9"/>
  <c r="C982" i="9"/>
  <c r="B982" i="9"/>
  <c r="A982" i="9"/>
  <c r="M981" i="9"/>
  <c r="L981" i="9"/>
  <c r="K981" i="9"/>
  <c r="J981" i="9"/>
  <c r="I981" i="9"/>
  <c r="H981" i="9"/>
  <c r="G981" i="9"/>
  <c r="F981" i="9"/>
  <c r="E981" i="9"/>
  <c r="D981" i="9"/>
  <c r="C981" i="9"/>
  <c r="B981" i="9"/>
  <c r="A981" i="9"/>
  <c r="M980" i="9"/>
  <c r="L980" i="9"/>
  <c r="K980" i="9"/>
  <c r="J980" i="9"/>
  <c r="I980" i="9"/>
  <c r="H980" i="9"/>
  <c r="G980" i="9"/>
  <c r="F980" i="9"/>
  <c r="E980" i="9"/>
  <c r="D980" i="9"/>
  <c r="C980" i="9"/>
  <c r="B980" i="9"/>
  <c r="A980" i="9"/>
  <c r="M979" i="9"/>
  <c r="L979" i="9"/>
  <c r="K979" i="9"/>
  <c r="J979" i="9"/>
  <c r="I979" i="9"/>
  <c r="H979" i="9"/>
  <c r="G979" i="9"/>
  <c r="F979" i="9"/>
  <c r="E979" i="9"/>
  <c r="D979" i="9"/>
  <c r="C979" i="9"/>
  <c r="B979" i="9"/>
  <c r="A979" i="9"/>
  <c r="M978" i="9"/>
  <c r="L978" i="9"/>
  <c r="K978" i="9"/>
  <c r="J978" i="9"/>
  <c r="I978" i="9"/>
  <c r="H978" i="9"/>
  <c r="G978" i="9"/>
  <c r="F978" i="9"/>
  <c r="E978" i="9"/>
  <c r="D978" i="9"/>
  <c r="C978" i="9"/>
  <c r="B978" i="9"/>
  <c r="A978" i="9"/>
  <c r="M977" i="9"/>
  <c r="L977" i="9"/>
  <c r="K977" i="9"/>
  <c r="J977" i="9"/>
  <c r="I977" i="9"/>
  <c r="H977" i="9"/>
  <c r="G977" i="9"/>
  <c r="F977" i="9"/>
  <c r="E977" i="9"/>
  <c r="D977" i="9"/>
  <c r="C977" i="9"/>
  <c r="B977" i="9"/>
  <c r="A977" i="9"/>
  <c r="M976" i="9"/>
  <c r="L976" i="9"/>
  <c r="K976" i="9"/>
  <c r="J976" i="9"/>
  <c r="I976" i="9"/>
  <c r="H976" i="9"/>
  <c r="G976" i="9"/>
  <c r="F976" i="9"/>
  <c r="E976" i="9"/>
  <c r="D976" i="9"/>
  <c r="C976" i="9"/>
  <c r="B976" i="9"/>
  <c r="A976" i="9"/>
  <c r="M975" i="9"/>
  <c r="L975" i="9"/>
  <c r="K975" i="9"/>
  <c r="J975" i="9"/>
  <c r="I975" i="9"/>
  <c r="H975" i="9"/>
  <c r="G975" i="9"/>
  <c r="F975" i="9"/>
  <c r="E975" i="9"/>
  <c r="D975" i="9"/>
  <c r="C975" i="9"/>
  <c r="B975" i="9"/>
  <c r="A975" i="9"/>
  <c r="M974" i="9"/>
  <c r="L974" i="9"/>
  <c r="K974" i="9"/>
  <c r="J974" i="9"/>
  <c r="I974" i="9"/>
  <c r="H974" i="9"/>
  <c r="G974" i="9"/>
  <c r="F974" i="9"/>
  <c r="E974" i="9"/>
  <c r="D974" i="9"/>
  <c r="C974" i="9"/>
  <c r="B974" i="9"/>
  <c r="A974" i="9"/>
  <c r="M973" i="9"/>
  <c r="L973" i="9"/>
  <c r="K973" i="9"/>
  <c r="J973" i="9"/>
  <c r="I973" i="9"/>
  <c r="H973" i="9"/>
  <c r="G973" i="9"/>
  <c r="F973" i="9"/>
  <c r="E973" i="9"/>
  <c r="D973" i="9"/>
  <c r="C973" i="9"/>
  <c r="B973" i="9"/>
  <c r="A973" i="9"/>
  <c r="M972" i="9"/>
  <c r="L972" i="9"/>
  <c r="K972" i="9"/>
  <c r="J972" i="9"/>
  <c r="I972" i="9"/>
  <c r="H972" i="9"/>
  <c r="G972" i="9"/>
  <c r="F972" i="9"/>
  <c r="E972" i="9"/>
  <c r="D972" i="9"/>
  <c r="C972" i="9"/>
  <c r="B972" i="9"/>
  <c r="A972" i="9"/>
  <c r="M971" i="9"/>
  <c r="L971" i="9"/>
  <c r="K971" i="9"/>
  <c r="J971" i="9"/>
  <c r="I971" i="9"/>
  <c r="H971" i="9"/>
  <c r="G971" i="9"/>
  <c r="F971" i="9"/>
  <c r="E971" i="9"/>
  <c r="D971" i="9"/>
  <c r="C971" i="9"/>
  <c r="B971" i="9"/>
  <c r="A971" i="9"/>
  <c r="M970" i="9"/>
  <c r="L970" i="9"/>
  <c r="K970" i="9"/>
  <c r="J970" i="9"/>
  <c r="I970" i="9"/>
  <c r="H970" i="9"/>
  <c r="G970" i="9"/>
  <c r="F970" i="9"/>
  <c r="E970" i="9"/>
  <c r="D970" i="9"/>
  <c r="C970" i="9"/>
  <c r="B970" i="9"/>
  <c r="A970" i="9"/>
  <c r="M969" i="9"/>
  <c r="L969" i="9"/>
  <c r="K969" i="9"/>
  <c r="J969" i="9"/>
  <c r="I969" i="9"/>
  <c r="H969" i="9"/>
  <c r="G969" i="9"/>
  <c r="F969" i="9"/>
  <c r="E969" i="9"/>
  <c r="D969" i="9"/>
  <c r="C969" i="9"/>
  <c r="B969" i="9"/>
  <c r="A969" i="9"/>
  <c r="M968" i="9"/>
  <c r="L968" i="9"/>
  <c r="K968" i="9"/>
  <c r="J968" i="9"/>
  <c r="I968" i="9"/>
  <c r="H968" i="9"/>
  <c r="G968" i="9"/>
  <c r="F968" i="9"/>
  <c r="E968" i="9"/>
  <c r="D968" i="9"/>
  <c r="C968" i="9"/>
  <c r="B968" i="9"/>
  <c r="A968" i="9"/>
  <c r="M967" i="9"/>
  <c r="L967" i="9"/>
  <c r="K967" i="9"/>
  <c r="J967" i="9"/>
  <c r="I967" i="9"/>
  <c r="H967" i="9"/>
  <c r="G967" i="9"/>
  <c r="F967" i="9"/>
  <c r="E967" i="9"/>
  <c r="D967" i="9"/>
  <c r="C967" i="9"/>
  <c r="B967" i="9"/>
  <c r="A967" i="9"/>
  <c r="M966" i="9"/>
  <c r="L966" i="9"/>
  <c r="K966" i="9"/>
  <c r="J966" i="9"/>
  <c r="I966" i="9"/>
  <c r="H966" i="9"/>
  <c r="G966" i="9"/>
  <c r="F966" i="9"/>
  <c r="E966" i="9"/>
  <c r="D966" i="9"/>
  <c r="C966" i="9"/>
  <c r="B966" i="9"/>
  <c r="A966" i="9"/>
  <c r="M965" i="9"/>
  <c r="L965" i="9"/>
  <c r="K965" i="9"/>
  <c r="J965" i="9"/>
  <c r="I965" i="9"/>
  <c r="H965" i="9"/>
  <c r="G965" i="9"/>
  <c r="F965" i="9"/>
  <c r="E965" i="9"/>
  <c r="D965" i="9"/>
  <c r="C965" i="9"/>
  <c r="B965" i="9"/>
  <c r="A965" i="9"/>
  <c r="M964" i="9"/>
  <c r="L964" i="9"/>
  <c r="K964" i="9"/>
  <c r="J964" i="9"/>
  <c r="I964" i="9"/>
  <c r="H964" i="9"/>
  <c r="G964" i="9"/>
  <c r="F964" i="9"/>
  <c r="E964" i="9"/>
  <c r="D964" i="9"/>
  <c r="C964" i="9"/>
  <c r="B964" i="9"/>
  <c r="A964" i="9"/>
  <c r="M963" i="9"/>
  <c r="L963" i="9"/>
  <c r="K963" i="9"/>
  <c r="J963" i="9"/>
  <c r="I963" i="9"/>
  <c r="H963" i="9"/>
  <c r="G963" i="9"/>
  <c r="F963" i="9"/>
  <c r="E963" i="9"/>
  <c r="D963" i="9"/>
  <c r="C963" i="9"/>
  <c r="B963" i="9"/>
  <c r="A963" i="9"/>
  <c r="M962" i="9"/>
  <c r="L962" i="9"/>
  <c r="K962" i="9"/>
  <c r="J962" i="9"/>
  <c r="I962" i="9"/>
  <c r="H962" i="9"/>
  <c r="G962" i="9"/>
  <c r="F962" i="9"/>
  <c r="E962" i="9"/>
  <c r="D962" i="9"/>
  <c r="C962" i="9"/>
  <c r="B962" i="9"/>
  <c r="A962" i="9"/>
  <c r="M961" i="9"/>
  <c r="L961" i="9"/>
  <c r="K961" i="9"/>
  <c r="J961" i="9"/>
  <c r="I961" i="9"/>
  <c r="H961" i="9"/>
  <c r="G961" i="9"/>
  <c r="F961" i="9"/>
  <c r="E961" i="9"/>
  <c r="D961" i="9"/>
  <c r="C961" i="9"/>
  <c r="B961" i="9"/>
  <c r="A961" i="9"/>
  <c r="M960" i="9"/>
  <c r="L960" i="9"/>
  <c r="K960" i="9"/>
  <c r="J960" i="9"/>
  <c r="I960" i="9"/>
  <c r="H960" i="9"/>
  <c r="G960" i="9"/>
  <c r="F960" i="9"/>
  <c r="E960" i="9"/>
  <c r="D960" i="9"/>
  <c r="C960" i="9"/>
  <c r="B960" i="9"/>
  <c r="A960" i="9"/>
  <c r="M959" i="9"/>
  <c r="L959" i="9"/>
  <c r="K959" i="9"/>
  <c r="J959" i="9"/>
  <c r="I959" i="9"/>
  <c r="H959" i="9"/>
  <c r="G959" i="9"/>
  <c r="F959" i="9"/>
  <c r="E959" i="9"/>
  <c r="D959" i="9"/>
  <c r="C959" i="9"/>
  <c r="B959" i="9"/>
  <c r="A959" i="9"/>
  <c r="M958" i="9"/>
  <c r="L958" i="9"/>
  <c r="K958" i="9"/>
  <c r="J958" i="9"/>
  <c r="I958" i="9"/>
  <c r="H958" i="9"/>
  <c r="G958" i="9"/>
  <c r="F958" i="9"/>
  <c r="E958" i="9"/>
  <c r="D958" i="9"/>
  <c r="C958" i="9"/>
  <c r="B958" i="9"/>
  <c r="A958" i="9"/>
  <c r="M957" i="9"/>
  <c r="L957" i="9"/>
  <c r="K957" i="9"/>
  <c r="J957" i="9"/>
  <c r="I957" i="9"/>
  <c r="H957" i="9"/>
  <c r="G957" i="9"/>
  <c r="F957" i="9"/>
  <c r="E957" i="9"/>
  <c r="D957" i="9"/>
  <c r="C957" i="9"/>
  <c r="B957" i="9"/>
  <c r="A957" i="9"/>
  <c r="M956" i="9"/>
  <c r="L956" i="9"/>
  <c r="K956" i="9"/>
  <c r="J956" i="9"/>
  <c r="I956" i="9"/>
  <c r="H956" i="9"/>
  <c r="G956" i="9"/>
  <c r="F956" i="9"/>
  <c r="E956" i="9"/>
  <c r="D956" i="9"/>
  <c r="C956" i="9"/>
  <c r="B956" i="9"/>
  <c r="A956" i="9"/>
  <c r="M955" i="9"/>
  <c r="L955" i="9"/>
  <c r="K955" i="9"/>
  <c r="J955" i="9"/>
  <c r="I955" i="9"/>
  <c r="H955" i="9"/>
  <c r="G955" i="9"/>
  <c r="F955" i="9"/>
  <c r="E955" i="9"/>
  <c r="D955" i="9"/>
  <c r="C955" i="9"/>
  <c r="B955" i="9"/>
  <c r="A955" i="9"/>
  <c r="M954" i="9"/>
  <c r="L954" i="9"/>
  <c r="K954" i="9"/>
  <c r="J954" i="9"/>
  <c r="I954" i="9"/>
  <c r="H954" i="9"/>
  <c r="G954" i="9"/>
  <c r="F954" i="9"/>
  <c r="E954" i="9"/>
  <c r="D954" i="9"/>
  <c r="C954" i="9"/>
  <c r="B954" i="9"/>
  <c r="A954" i="9"/>
  <c r="M953" i="9"/>
  <c r="L953" i="9"/>
  <c r="K953" i="9"/>
  <c r="J953" i="9"/>
  <c r="I953" i="9"/>
  <c r="H953" i="9"/>
  <c r="G953" i="9"/>
  <c r="F953" i="9"/>
  <c r="E953" i="9"/>
  <c r="D953" i="9"/>
  <c r="C953" i="9"/>
  <c r="B953" i="9"/>
  <c r="A953" i="9"/>
  <c r="M952" i="9"/>
  <c r="L952" i="9"/>
  <c r="K952" i="9"/>
  <c r="J952" i="9"/>
  <c r="I952" i="9"/>
  <c r="H952" i="9"/>
  <c r="G952" i="9"/>
  <c r="F952" i="9"/>
  <c r="E952" i="9"/>
  <c r="D952" i="9"/>
  <c r="C952" i="9"/>
  <c r="B952" i="9"/>
  <c r="A952" i="9"/>
  <c r="M951" i="9"/>
  <c r="L951" i="9"/>
  <c r="K951" i="9"/>
  <c r="J951" i="9"/>
  <c r="I951" i="9"/>
  <c r="H951" i="9"/>
  <c r="G951" i="9"/>
  <c r="F951" i="9"/>
  <c r="E951" i="9"/>
  <c r="D951" i="9"/>
  <c r="C951" i="9"/>
  <c r="B951" i="9"/>
  <c r="A951" i="9"/>
  <c r="M950" i="9"/>
  <c r="L950" i="9"/>
  <c r="K950" i="9"/>
  <c r="J950" i="9"/>
  <c r="I950" i="9"/>
  <c r="H950" i="9"/>
  <c r="G950" i="9"/>
  <c r="F950" i="9"/>
  <c r="E950" i="9"/>
  <c r="D950" i="9"/>
  <c r="C950" i="9"/>
  <c r="B950" i="9"/>
  <c r="A950" i="9"/>
  <c r="M949" i="9"/>
  <c r="L949" i="9"/>
  <c r="K949" i="9"/>
  <c r="J949" i="9"/>
  <c r="I949" i="9"/>
  <c r="H949" i="9"/>
  <c r="G949" i="9"/>
  <c r="F949" i="9"/>
  <c r="E949" i="9"/>
  <c r="D949" i="9"/>
  <c r="C949" i="9"/>
  <c r="B949" i="9"/>
  <c r="A949" i="9"/>
  <c r="M948" i="9"/>
  <c r="L948" i="9"/>
  <c r="K948" i="9"/>
  <c r="J948" i="9"/>
  <c r="I948" i="9"/>
  <c r="H948" i="9"/>
  <c r="G948" i="9"/>
  <c r="F948" i="9"/>
  <c r="E948" i="9"/>
  <c r="D948" i="9"/>
  <c r="C948" i="9"/>
  <c r="B948" i="9"/>
  <c r="A948" i="9"/>
  <c r="M947" i="9"/>
  <c r="L947" i="9"/>
  <c r="K947" i="9"/>
  <c r="J947" i="9"/>
  <c r="I947" i="9"/>
  <c r="H947" i="9"/>
  <c r="G947" i="9"/>
  <c r="F947" i="9"/>
  <c r="E947" i="9"/>
  <c r="D947" i="9"/>
  <c r="C947" i="9"/>
  <c r="B947" i="9"/>
  <c r="A947" i="9"/>
  <c r="M946" i="9"/>
  <c r="L946" i="9"/>
  <c r="K946" i="9"/>
  <c r="J946" i="9"/>
  <c r="I946" i="9"/>
  <c r="H946" i="9"/>
  <c r="G946" i="9"/>
  <c r="F946" i="9"/>
  <c r="E946" i="9"/>
  <c r="D946" i="9"/>
  <c r="C946" i="9"/>
  <c r="B946" i="9"/>
  <c r="A946" i="9"/>
  <c r="M945" i="9"/>
  <c r="L945" i="9"/>
  <c r="K945" i="9"/>
  <c r="J945" i="9"/>
  <c r="I945" i="9"/>
  <c r="H945" i="9"/>
  <c r="G945" i="9"/>
  <c r="F945" i="9"/>
  <c r="E945" i="9"/>
  <c r="D945" i="9"/>
  <c r="C945" i="9"/>
  <c r="B945" i="9"/>
  <c r="A945" i="9"/>
  <c r="M944" i="9"/>
  <c r="L944" i="9"/>
  <c r="K944" i="9"/>
  <c r="J944" i="9"/>
  <c r="I944" i="9"/>
  <c r="H944" i="9"/>
  <c r="G944" i="9"/>
  <c r="F944" i="9"/>
  <c r="E944" i="9"/>
  <c r="D944" i="9"/>
  <c r="C944" i="9"/>
  <c r="B944" i="9"/>
  <c r="A944" i="9"/>
  <c r="M943" i="9"/>
  <c r="L943" i="9"/>
  <c r="K943" i="9"/>
  <c r="J943" i="9"/>
  <c r="I943" i="9"/>
  <c r="H943" i="9"/>
  <c r="G943" i="9"/>
  <c r="F943" i="9"/>
  <c r="E943" i="9"/>
  <c r="D943" i="9"/>
  <c r="C943" i="9"/>
  <c r="B943" i="9"/>
  <c r="A943" i="9"/>
  <c r="M942" i="9"/>
  <c r="L942" i="9"/>
  <c r="K942" i="9"/>
  <c r="J942" i="9"/>
  <c r="I942" i="9"/>
  <c r="H942" i="9"/>
  <c r="G942" i="9"/>
  <c r="F942" i="9"/>
  <c r="E942" i="9"/>
  <c r="D942" i="9"/>
  <c r="C942" i="9"/>
  <c r="B942" i="9"/>
  <c r="A942" i="9"/>
  <c r="M941" i="9"/>
  <c r="L941" i="9"/>
  <c r="K941" i="9"/>
  <c r="J941" i="9"/>
  <c r="I941" i="9"/>
  <c r="H941" i="9"/>
  <c r="G941" i="9"/>
  <c r="F941" i="9"/>
  <c r="E941" i="9"/>
  <c r="D941" i="9"/>
  <c r="C941" i="9"/>
  <c r="B941" i="9"/>
  <c r="A941" i="9"/>
  <c r="M940" i="9"/>
  <c r="L940" i="9"/>
  <c r="K940" i="9"/>
  <c r="J940" i="9"/>
  <c r="I940" i="9"/>
  <c r="H940" i="9"/>
  <c r="G940" i="9"/>
  <c r="F940" i="9"/>
  <c r="E940" i="9"/>
  <c r="D940" i="9"/>
  <c r="C940" i="9"/>
  <c r="B940" i="9"/>
  <c r="A940" i="9"/>
  <c r="M939" i="9"/>
  <c r="L939" i="9"/>
  <c r="K939" i="9"/>
  <c r="J939" i="9"/>
  <c r="I939" i="9"/>
  <c r="H939" i="9"/>
  <c r="G939" i="9"/>
  <c r="F939" i="9"/>
  <c r="E939" i="9"/>
  <c r="D939" i="9"/>
  <c r="C939" i="9"/>
  <c r="B939" i="9"/>
  <c r="A939" i="9"/>
  <c r="M938" i="9"/>
  <c r="L938" i="9"/>
  <c r="K938" i="9"/>
  <c r="J938" i="9"/>
  <c r="I938" i="9"/>
  <c r="H938" i="9"/>
  <c r="G938" i="9"/>
  <c r="F938" i="9"/>
  <c r="E938" i="9"/>
  <c r="D938" i="9"/>
  <c r="C938" i="9"/>
  <c r="B938" i="9"/>
  <c r="A938" i="9"/>
  <c r="M937" i="9"/>
  <c r="L937" i="9"/>
  <c r="K937" i="9"/>
  <c r="J937" i="9"/>
  <c r="I937" i="9"/>
  <c r="H937" i="9"/>
  <c r="G937" i="9"/>
  <c r="F937" i="9"/>
  <c r="E937" i="9"/>
  <c r="D937" i="9"/>
  <c r="C937" i="9"/>
  <c r="B937" i="9"/>
  <c r="A937" i="9"/>
  <c r="M936" i="9"/>
  <c r="L936" i="9"/>
  <c r="K936" i="9"/>
  <c r="J936" i="9"/>
  <c r="I936" i="9"/>
  <c r="H936" i="9"/>
  <c r="G936" i="9"/>
  <c r="F936" i="9"/>
  <c r="E936" i="9"/>
  <c r="D936" i="9"/>
  <c r="C936" i="9"/>
  <c r="B936" i="9"/>
  <c r="A936" i="9"/>
  <c r="M935" i="9"/>
  <c r="L935" i="9"/>
  <c r="K935" i="9"/>
  <c r="J935" i="9"/>
  <c r="I935" i="9"/>
  <c r="H935" i="9"/>
  <c r="G935" i="9"/>
  <c r="F935" i="9"/>
  <c r="E935" i="9"/>
  <c r="D935" i="9"/>
  <c r="C935" i="9"/>
  <c r="B935" i="9"/>
  <c r="A935" i="9"/>
  <c r="M934" i="9"/>
  <c r="L934" i="9"/>
  <c r="K934" i="9"/>
  <c r="J934" i="9"/>
  <c r="I934" i="9"/>
  <c r="H934" i="9"/>
  <c r="G934" i="9"/>
  <c r="F934" i="9"/>
  <c r="E934" i="9"/>
  <c r="D934" i="9"/>
  <c r="C934" i="9"/>
  <c r="B934" i="9"/>
  <c r="A934" i="9"/>
  <c r="M933" i="9"/>
  <c r="L933" i="9"/>
  <c r="K933" i="9"/>
  <c r="J933" i="9"/>
  <c r="I933" i="9"/>
  <c r="H933" i="9"/>
  <c r="G933" i="9"/>
  <c r="F933" i="9"/>
  <c r="E933" i="9"/>
  <c r="D933" i="9"/>
  <c r="C933" i="9"/>
  <c r="B933" i="9"/>
  <c r="A933" i="9"/>
  <c r="M932" i="9"/>
  <c r="L932" i="9"/>
  <c r="K932" i="9"/>
  <c r="J932" i="9"/>
  <c r="I932" i="9"/>
  <c r="H932" i="9"/>
  <c r="G932" i="9"/>
  <c r="F932" i="9"/>
  <c r="E932" i="9"/>
  <c r="D932" i="9"/>
  <c r="C932" i="9"/>
  <c r="B932" i="9"/>
  <c r="A932" i="9"/>
  <c r="M931" i="9"/>
  <c r="L931" i="9"/>
  <c r="K931" i="9"/>
  <c r="J931" i="9"/>
  <c r="I931" i="9"/>
  <c r="H931" i="9"/>
  <c r="G931" i="9"/>
  <c r="F931" i="9"/>
  <c r="E931" i="9"/>
  <c r="D931" i="9"/>
  <c r="C931" i="9"/>
  <c r="B931" i="9"/>
  <c r="A931" i="9"/>
  <c r="M930" i="9"/>
  <c r="L930" i="9"/>
  <c r="K930" i="9"/>
  <c r="J930" i="9"/>
  <c r="I930" i="9"/>
  <c r="H930" i="9"/>
  <c r="G930" i="9"/>
  <c r="F930" i="9"/>
  <c r="E930" i="9"/>
  <c r="D930" i="9"/>
  <c r="C930" i="9"/>
  <c r="B930" i="9"/>
  <c r="A930" i="9"/>
  <c r="M929" i="9"/>
  <c r="L929" i="9"/>
  <c r="K929" i="9"/>
  <c r="J929" i="9"/>
  <c r="I929" i="9"/>
  <c r="H929" i="9"/>
  <c r="G929" i="9"/>
  <c r="F929" i="9"/>
  <c r="E929" i="9"/>
  <c r="D929" i="9"/>
  <c r="C929" i="9"/>
  <c r="B929" i="9"/>
  <c r="A929" i="9"/>
  <c r="M928" i="9"/>
  <c r="L928" i="9"/>
  <c r="K928" i="9"/>
  <c r="J928" i="9"/>
  <c r="I928" i="9"/>
  <c r="H928" i="9"/>
  <c r="G928" i="9"/>
  <c r="F928" i="9"/>
  <c r="E928" i="9"/>
  <c r="D928" i="9"/>
  <c r="C928" i="9"/>
  <c r="B928" i="9"/>
  <c r="A928" i="9"/>
  <c r="M927" i="9"/>
  <c r="L927" i="9"/>
  <c r="K927" i="9"/>
  <c r="J927" i="9"/>
  <c r="I927" i="9"/>
  <c r="H927" i="9"/>
  <c r="G927" i="9"/>
  <c r="F927" i="9"/>
  <c r="E927" i="9"/>
  <c r="D927" i="9"/>
  <c r="C927" i="9"/>
  <c r="B927" i="9"/>
  <c r="A927" i="9"/>
  <c r="M926" i="9"/>
  <c r="L926" i="9"/>
  <c r="K926" i="9"/>
  <c r="J926" i="9"/>
  <c r="I926" i="9"/>
  <c r="H926" i="9"/>
  <c r="G926" i="9"/>
  <c r="F926" i="9"/>
  <c r="E926" i="9"/>
  <c r="D926" i="9"/>
  <c r="C926" i="9"/>
  <c r="B926" i="9"/>
  <c r="A926" i="9"/>
  <c r="M925" i="9"/>
  <c r="L925" i="9"/>
  <c r="K925" i="9"/>
  <c r="J925" i="9"/>
  <c r="I925" i="9"/>
  <c r="H925" i="9"/>
  <c r="G925" i="9"/>
  <c r="F925" i="9"/>
  <c r="E925" i="9"/>
  <c r="D925" i="9"/>
  <c r="C925" i="9"/>
  <c r="B925" i="9"/>
  <c r="A925" i="9"/>
  <c r="M924" i="9"/>
  <c r="L924" i="9"/>
  <c r="K924" i="9"/>
  <c r="J924" i="9"/>
  <c r="I924" i="9"/>
  <c r="H924" i="9"/>
  <c r="G924" i="9"/>
  <c r="F924" i="9"/>
  <c r="E924" i="9"/>
  <c r="D924" i="9"/>
  <c r="C924" i="9"/>
  <c r="B924" i="9"/>
  <c r="A924" i="9"/>
  <c r="M923" i="9"/>
  <c r="L923" i="9"/>
  <c r="K923" i="9"/>
  <c r="J923" i="9"/>
  <c r="I923" i="9"/>
  <c r="H923" i="9"/>
  <c r="G923" i="9"/>
  <c r="F923" i="9"/>
  <c r="E923" i="9"/>
  <c r="D923" i="9"/>
  <c r="C923" i="9"/>
  <c r="B923" i="9"/>
  <c r="A923" i="9"/>
  <c r="M922" i="9"/>
  <c r="L922" i="9"/>
  <c r="K922" i="9"/>
  <c r="J922" i="9"/>
  <c r="I922" i="9"/>
  <c r="H922" i="9"/>
  <c r="G922" i="9"/>
  <c r="F922" i="9"/>
  <c r="E922" i="9"/>
  <c r="D922" i="9"/>
  <c r="C922" i="9"/>
  <c r="B922" i="9"/>
  <c r="A922" i="9"/>
  <c r="M921" i="9"/>
  <c r="L921" i="9"/>
  <c r="K921" i="9"/>
  <c r="J921" i="9"/>
  <c r="I921" i="9"/>
  <c r="H921" i="9"/>
  <c r="G921" i="9"/>
  <c r="F921" i="9"/>
  <c r="E921" i="9"/>
  <c r="D921" i="9"/>
  <c r="C921" i="9"/>
  <c r="B921" i="9"/>
  <c r="A921" i="9"/>
  <c r="M920" i="9"/>
  <c r="L920" i="9"/>
  <c r="K920" i="9"/>
  <c r="J920" i="9"/>
  <c r="I920" i="9"/>
  <c r="H920" i="9"/>
  <c r="G920" i="9"/>
  <c r="F920" i="9"/>
  <c r="E920" i="9"/>
  <c r="D920" i="9"/>
  <c r="C920" i="9"/>
  <c r="B920" i="9"/>
  <c r="A920" i="9"/>
  <c r="M919" i="9"/>
  <c r="L919" i="9"/>
  <c r="K919" i="9"/>
  <c r="J919" i="9"/>
  <c r="I919" i="9"/>
  <c r="H919" i="9"/>
  <c r="G919" i="9"/>
  <c r="F919" i="9"/>
  <c r="E919" i="9"/>
  <c r="D919" i="9"/>
  <c r="C919" i="9"/>
  <c r="B919" i="9"/>
  <c r="A919" i="9"/>
  <c r="M918" i="9"/>
  <c r="L918" i="9"/>
  <c r="K918" i="9"/>
  <c r="J918" i="9"/>
  <c r="I918" i="9"/>
  <c r="H918" i="9"/>
  <c r="G918" i="9"/>
  <c r="F918" i="9"/>
  <c r="E918" i="9"/>
  <c r="D918" i="9"/>
  <c r="C918" i="9"/>
  <c r="B918" i="9"/>
  <c r="A918" i="9"/>
  <c r="M917" i="9"/>
  <c r="L917" i="9"/>
  <c r="K917" i="9"/>
  <c r="J917" i="9"/>
  <c r="I917" i="9"/>
  <c r="H917" i="9"/>
  <c r="G917" i="9"/>
  <c r="F917" i="9"/>
  <c r="E917" i="9"/>
  <c r="D917" i="9"/>
  <c r="C917" i="9"/>
  <c r="B917" i="9"/>
  <c r="A917" i="9"/>
  <c r="M916" i="9"/>
  <c r="L916" i="9"/>
  <c r="K916" i="9"/>
  <c r="J916" i="9"/>
  <c r="I916" i="9"/>
  <c r="H916" i="9"/>
  <c r="G916" i="9"/>
  <c r="F916" i="9"/>
  <c r="E916" i="9"/>
  <c r="D916" i="9"/>
  <c r="C916" i="9"/>
  <c r="B916" i="9"/>
  <c r="A916" i="9"/>
  <c r="M915" i="9"/>
  <c r="L915" i="9"/>
  <c r="K915" i="9"/>
  <c r="J915" i="9"/>
  <c r="I915" i="9"/>
  <c r="H915" i="9"/>
  <c r="G915" i="9"/>
  <c r="F915" i="9"/>
  <c r="E915" i="9"/>
  <c r="D915" i="9"/>
  <c r="C915" i="9"/>
  <c r="B915" i="9"/>
  <c r="A915" i="9"/>
  <c r="M914" i="9"/>
  <c r="L914" i="9"/>
  <c r="K914" i="9"/>
  <c r="J914" i="9"/>
  <c r="I914" i="9"/>
  <c r="H914" i="9"/>
  <c r="G914" i="9"/>
  <c r="F914" i="9"/>
  <c r="E914" i="9"/>
  <c r="D914" i="9"/>
  <c r="C914" i="9"/>
  <c r="B914" i="9"/>
  <c r="A914" i="9"/>
  <c r="M913" i="9"/>
  <c r="L913" i="9"/>
  <c r="K913" i="9"/>
  <c r="J913" i="9"/>
  <c r="I913" i="9"/>
  <c r="H913" i="9"/>
  <c r="G913" i="9"/>
  <c r="F913" i="9"/>
  <c r="E913" i="9"/>
  <c r="D913" i="9"/>
  <c r="C913" i="9"/>
  <c r="B913" i="9"/>
  <c r="A913" i="9"/>
  <c r="M912" i="9"/>
  <c r="L912" i="9"/>
  <c r="K912" i="9"/>
  <c r="J912" i="9"/>
  <c r="I912" i="9"/>
  <c r="H912" i="9"/>
  <c r="G912" i="9"/>
  <c r="F912" i="9"/>
  <c r="E912" i="9"/>
  <c r="D912" i="9"/>
  <c r="C912" i="9"/>
  <c r="B912" i="9"/>
  <c r="A912" i="9"/>
  <c r="M911" i="9"/>
  <c r="L911" i="9"/>
  <c r="K911" i="9"/>
  <c r="J911" i="9"/>
  <c r="I911" i="9"/>
  <c r="H911" i="9"/>
  <c r="G911" i="9"/>
  <c r="F911" i="9"/>
  <c r="E911" i="9"/>
  <c r="D911" i="9"/>
  <c r="C911" i="9"/>
  <c r="B911" i="9"/>
  <c r="A911" i="9"/>
  <c r="M910" i="9"/>
  <c r="L910" i="9"/>
  <c r="K910" i="9"/>
  <c r="J910" i="9"/>
  <c r="I910" i="9"/>
  <c r="H910" i="9"/>
  <c r="G910" i="9"/>
  <c r="F910" i="9"/>
  <c r="E910" i="9"/>
  <c r="D910" i="9"/>
  <c r="C910" i="9"/>
  <c r="B910" i="9"/>
  <c r="A910" i="9"/>
  <c r="M909" i="9"/>
  <c r="L909" i="9"/>
  <c r="K909" i="9"/>
  <c r="J909" i="9"/>
  <c r="I909" i="9"/>
  <c r="H909" i="9"/>
  <c r="G909" i="9"/>
  <c r="F909" i="9"/>
  <c r="E909" i="9"/>
  <c r="D909" i="9"/>
  <c r="C909" i="9"/>
  <c r="B909" i="9"/>
  <c r="A909" i="9"/>
  <c r="M908" i="9"/>
  <c r="L908" i="9"/>
  <c r="K908" i="9"/>
  <c r="J908" i="9"/>
  <c r="I908" i="9"/>
  <c r="H908" i="9"/>
  <c r="G908" i="9"/>
  <c r="F908" i="9"/>
  <c r="E908" i="9"/>
  <c r="D908" i="9"/>
  <c r="C908" i="9"/>
  <c r="B908" i="9"/>
  <c r="A908" i="9"/>
  <c r="M907" i="9"/>
  <c r="L907" i="9"/>
  <c r="K907" i="9"/>
  <c r="J907" i="9"/>
  <c r="I907" i="9"/>
  <c r="H907" i="9"/>
  <c r="G907" i="9"/>
  <c r="F907" i="9"/>
  <c r="E907" i="9"/>
  <c r="D907" i="9"/>
  <c r="C907" i="9"/>
  <c r="B907" i="9"/>
  <c r="A907" i="9"/>
  <c r="M906" i="9"/>
  <c r="L906" i="9"/>
  <c r="K906" i="9"/>
  <c r="J906" i="9"/>
  <c r="I906" i="9"/>
  <c r="H906" i="9"/>
  <c r="G906" i="9"/>
  <c r="F906" i="9"/>
  <c r="E906" i="9"/>
  <c r="D906" i="9"/>
  <c r="C906" i="9"/>
  <c r="B906" i="9"/>
  <c r="A906" i="9"/>
  <c r="M905" i="9"/>
  <c r="L905" i="9"/>
  <c r="K905" i="9"/>
  <c r="J905" i="9"/>
  <c r="I905" i="9"/>
  <c r="H905" i="9"/>
  <c r="G905" i="9"/>
  <c r="F905" i="9"/>
  <c r="E905" i="9"/>
  <c r="D905" i="9"/>
  <c r="C905" i="9"/>
  <c r="B905" i="9"/>
  <c r="A905" i="9"/>
  <c r="M904" i="9"/>
  <c r="L904" i="9"/>
  <c r="K904" i="9"/>
  <c r="J904" i="9"/>
  <c r="I904" i="9"/>
  <c r="H904" i="9"/>
  <c r="G904" i="9"/>
  <c r="F904" i="9"/>
  <c r="E904" i="9"/>
  <c r="D904" i="9"/>
  <c r="C904" i="9"/>
  <c r="B904" i="9"/>
  <c r="A904" i="9"/>
  <c r="M903" i="9"/>
  <c r="L903" i="9"/>
  <c r="K903" i="9"/>
  <c r="J903" i="9"/>
  <c r="I903" i="9"/>
  <c r="H903" i="9"/>
  <c r="G903" i="9"/>
  <c r="F903" i="9"/>
  <c r="E903" i="9"/>
  <c r="D903" i="9"/>
  <c r="C903" i="9"/>
  <c r="B903" i="9"/>
  <c r="A903" i="9"/>
  <c r="M902" i="9"/>
  <c r="L902" i="9"/>
  <c r="K902" i="9"/>
  <c r="J902" i="9"/>
  <c r="I902" i="9"/>
  <c r="H902" i="9"/>
  <c r="G902" i="9"/>
  <c r="F902" i="9"/>
  <c r="E902" i="9"/>
  <c r="D902" i="9"/>
  <c r="C902" i="9"/>
  <c r="B902" i="9"/>
  <c r="A902" i="9"/>
  <c r="M901" i="9"/>
  <c r="L901" i="9"/>
  <c r="K901" i="9"/>
  <c r="J901" i="9"/>
  <c r="I901" i="9"/>
  <c r="H901" i="9"/>
  <c r="G901" i="9"/>
  <c r="F901" i="9"/>
  <c r="E901" i="9"/>
  <c r="D901" i="9"/>
  <c r="C901" i="9"/>
  <c r="B901" i="9"/>
  <c r="A901" i="9"/>
  <c r="M900" i="9"/>
  <c r="L900" i="9"/>
  <c r="K900" i="9"/>
  <c r="J900" i="9"/>
  <c r="I900" i="9"/>
  <c r="H900" i="9"/>
  <c r="G900" i="9"/>
  <c r="F900" i="9"/>
  <c r="E900" i="9"/>
  <c r="D900" i="9"/>
  <c r="C900" i="9"/>
  <c r="B900" i="9"/>
  <c r="A900" i="9"/>
  <c r="M899" i="9"/>
  <c r="L899" i="9"/>
  <c r="K899" i="9"/>
  <c r="J899" i="9"/>
  <c r="I899" i="9"/>
  <c r="H899" i="9"/>
  <c r="G899" i="9"/>
  <c r="F899" i="9"/>
  <c r="E899" i="9"/>
  <c r="D899" i="9"/>
  <c r="C899" i="9"/>
  <c r="B899" i="9"/>
  <c r="A899" i="9"/>
  <c r="M898" i="9"/>
  <c r="L898" i="9"/>
  <c r="K898" i="9"/>
  <c r="J898" i="9"/>
  <c r="I898" i="9"/>
  <c r="H898" i="9"/>
  <c r="G898" i="9"/>
  <c r="F898" i="9"/>
  <c r="E898" i="9"/>
  <c r="D898" i="9"/>
  <c r="C898" i="9"/>
  <c r="B898" i="9"/>
  <c r="A898" i="9"/>
  <c r="M897" i="9"/>
  <c r="L897" i="9"/>
  <c r="K897" i="9"/>
  <c r="J897" i="9"/>
  <c r="I897" i="9"/>
  <c r="H897" i="9"/>
  <c r="G897" i="9"/>
  <c r="F897" i="9"/>
  <c r="E897" i="9"/>
  <c r="D897" i="9"/>
  <c r="C897" i="9"/>
  <c r="B897" i="9"/>
  <c r="A897" i="9"/>
  <c r="M896" i="9"/>
  <c r="L896" i="9"/>
  <c r="K896" i="9"/>
  <c r="J896" i="9"/>
  <c r="I896" i="9"/>
  <c r="H896" i="9"/>
  <c r="G896" i="9"/>
  <c r="F896" i="9"/>
  <c r="E896" i="9"/>
  <c r="D896" i="9"/>
  <c r="C896" i="9"/>
  <c r="B896" i="9"/>
  <c r="A896" i="9"/>
  <c r="M895" i="9"/>
  <c r="L895" i="9"/>
  <c r="K895" i="9"/>
  <c r="J895" i="9"/>
  <c r="I895" i="9"/>
  <c r="H895" i="9"/>
  <c r="G895" i="9"/>
  <c r="F895" i="9"/>
  <c r="E895" i="9"/>
  <c r="D895" i="9"/>
  <c r="C895" i="9"/>
  <c r="B895" i="9"/>
  <c r="A895" i="9"/>
  <c r="M894" i="9"/>
  <c r="L894" i="9"/>
  <c r="K894" i="9"/>
  <c r="J894" i="9"/>
  <c r="I894" i="9"/>
  <c r="H894" i="9"/>
  <c r="G894" i="9"/>
  <c r="F894" i="9"/>
  <c r="E894" i="9"/>
  <c r="D894" i="9"/>
  <c r="C894" i="9"/>
  <c r="B894" i="9"/>
  <c r="A894" i="9"/>
  <c r="M893" i="9"/>
  <c r="L893" i="9"/>
  <c r="K893" i="9"/>
  <c r="J893" i="9"/>
  <c r="I893" i="9"/>
  <c r="H893" i="9"/>
  <c r="G893" i="9"/>
  <c r="F893" i="9"/>
  <c r="E893" i="9"/>
  <c r="D893" i="9"/>
  <c r="C893" i="9"/>
  <c r="B893" i="9"/>
  <c r="A893" i="9"/>
  <c r="M892" i="9"/>
  <c r="L892" i="9"/>
  <c r="K892" i="9"/>
  <c r="J892" i="9"/>
  <c r="I892" i="9"/>
  <c r="H892" i="9"/>
  <c r="G892" i="9"/>
  <c r="F892" i="9"/>
  <c r="E892" i="9"/>
  <c r="D892" i="9"/>
  <c r="C892" i="9"/>
  <c r="B892" i="9"/>
  <c r="A892" i="9"/>
  <c r="M891" i="9"/>
  <c r="L891" i="9"/>
  <c r="K891" i="9"/>
  <c r="J891" i="9"/>
  <c r="I891" i="9"/>
  <c r="H891" i="9"/>
  <c r="G891" i="9"/>
  <c r="F891" i="9"/>
  <c r="E891" i="9"/>
  <c r="D891" i="9"/>
  <c r="C891" i="9"/>
  <c r="B891" i="9"/>
  <c r="A891" i="9"/>
  <c r="M890" i="9"/>
  <c r="L890" i="9"/>
  <c r="K890" i="9"/>
  <c r="J890" i="9"/>
  <c r="I890" i="9"/>
  <c r="H890" i="9"/>
  <c r="G890" i="9"/>
  <c r="F890" i="9"/>
  <c r="E890" i="9"/>
  <c r="D890" i="9"/>
  <c r="C890" i="9"/>
  <c r="B890" i="9"/>
  <c r="A890" i="9"/>
  <c r="M889" i="9"/>
  <c r="L889" i="9"/>
  <c r="K889" i="9"/>
  <c r="J889" i="9"/>
  <c r="I889" i="9"/>
  <c r="H889" i="9"/>
  <c r="G889" i="9"/>
  <c r="F889" i="9"/>
  <c r="E889" i="9"/>
  <c r="D889" i="9"/>
  <c r="C889" i="9"/>
  <c r="B889" i="9"/>
  <c r="A889" i="9"/>
  <c r="M888" i="9"/>
  <c r="L888" i="9"/>
  <c r="K888" i="9"/>
  <c r="J888" i="9"/>
  <c r="I888" i="9"/>
  <c r="H888" i="9"/>
  <c r="G888" i="9"/>
  <c r="F888" i="9"/>
  <c r="E888" i="9"/>
  <c r="D888" i="9"/>
  <c r="C888" i="9"/>
  <c r="B888" i="9"/>
  <c r="A888" i="9"/>
  <c r="M887" i="9"/>
  <c r="L887" i="9"/>
  <c r="K887" i="9"/>
  <c r="J887" i="9"/>
  <c r="I887" i="9"/>
  <c r="H887" i="9"/>
  <c r="G887" i="9"/>
  <c r="F887" i="9"/>
  <c r="E887" i="9"/>
  <c r="D887" i="9"/>
  <c r="C887" i="9"/>
  <c r="B887" i="9"/>
  <c r="A887" i="9"/>
  <c r="M886" i="9"/>
  <c r="L886" i="9"/>
  <c r="K886" i="9"/>
  <c r="J886" i="9"/>
  <c r="I886" i="9"/>
  <c r="H886" i="9"/>
  <c r="G886" i="9"/>
  <c r="F886" i="9"/>
  <c r="E886" i="9"/>
  <c r="D886" i="9"/>
  <c r="C886" i="9"/>
  <c r="B886" i="9"/>
  <c r="A886" i="9"/>
  <c r="M885" i="9"/>
  <c r="L885" i="9"/>
  <c r="K885" i="9"/>
  <c r="J885" i="9"/>
  <c r="I885" i="9"/>
  <c r="H885" i="9"/>
  <c r="G885" i="9"/>
  <c r="F885" i="9"/>
  <c r="E885" i="9"/>
  <c r="D885" i="9"/>
  <c r="C885" i="9"/>
  <c r="B885" i="9"/>
  <c r="A885" i="9"/>
  <c r="M884" i="9"/>
  <c r="L884" i="9"/>
  <c r="K884" i="9"/>
  <c r="J884" i="9"/>
  <c r="I884" i="9"/>
  <c r="H884" i="9"/>
  <c r="G884" i="9"/>
  <c r="F884" i="9"/>
  <c r="E884" i="9"/>
  <c r="D884" i="9"/>
  <c r="C884" i="9"/>
  <c r="B884" i="9"/>
  <c r="A884" i="9"/>
  <c r="M883" i="9"/>
  <c r="L883" i="9"/>
  <c r="K883" i="9"/>
  <c r="J883" i="9"/>
  <c r="I883" i="9"/>
  <c r="H883" i="9"/>
  <c r="G883" i="9"/>
  <c r="F883" i="9"/>
  <c r="E883" i="9"/>
  <c r="D883" i="9"/>
  <c r="C883" i="9"/>
  <c r="B883" i="9"/>
  <c r="A883" i="9"/>
  <c r="M882" i="9"/>
  <c r="L882" i="9"/>
  <c r="K882" i="9"/>
  <c r="J882" i="9"/>
  <c r="I882" i="9"/>
  <c r="H882" i="9"/>
  <c r="G882" i="9"/>
  <c r="F882" i="9"/>
  <c r="E882" i="9"/>
  <c r="D882" i="9"/>
  <c r="C882" i="9"/>
  <c r="B882" i="9"/>
  <c r="A882" i="9"/>
  <c r="M881" i="9"/>
  <c r="L881" i="9"/>
  <c r="K881" i="9"/>
  <c r="J881" i="9"/>
  <c r="I881" i="9"/>
  <c r="H881" i="9"/>
  <c r="G881" i="9"/>
  <c r="F881" i="9"/>
  <c r="E881" i="9"/>
  <c r="D881" i="9"/>
  <c r="C881" i="9"/>
  <c r="B881" i="9"/>
  <c r="A881" i="9"/>
  <c r="M880" i="9"/>
  <c r="L880" i="9"/>
  <c r="K880" i="9"/>
  <c r="J880" i="9"/>
  <c r="I880" i="9"/>
  <c r="H880" i="9"/>
  <c r="G880" i="9"/>
  <c r="F880" i="9"/>
  <c r="E880" i="9"/>
  <c r="D880" i="9"/>
  <c r="C880" i="9"/>
  <c r="B880" i="9"/>
  <c r="A880" i="9"/>
  <c r="M879" i="9"/>
  <c r="L879" i="9"/>
  <c r="K879" i="9"/>
  <c r="J879" i="9"/>
  <c r="I879" i="9"/>
  <c r="H879" i="9"/>
  <c r="G879" i="9"/>
  <c r="F879" i="9"/>
  <c r="E879" i="9"/>
  <c r="D879" i="9"/>
  <c r="C879" i="9"/>
  <c r="B879" i="9"/>
  <c r="A879" i="9"/>
  <c r="M878" i="9"/>
  <c r="L878" i="9"/>
  <c r="K878" i="9"/>
  <c r="J878" i="9"/>
  <c r="I878" i="9"/>
  <c r="H878" i="9"/>
  <c r="G878" i="9"/>
  <c r="F878" i="9"/>
  <c r="E878" i="9"/>
  <c r="D878" i="9"/>
  <c r="C878" i="9"/>
  <c r="B878" i="9"/>
  <c r="A878" i="9"/>
  <c r="M877" i="9"/>
  <c r="L877" i="9"/>
  <c r="K877" i="9"/>
  <c r="J877" i="9"/>
  <c r="I877" i="9"/>
  <c r="H877" i="9"/>
  <c r="G877" i="9"/>
  <c r="F877" i="9"/>
  <c r="E877" i="9"/>
  <c r="D877" i="9"/>
  <c r="C877" i="9"/>
  <c r="B877" i="9"/>
  <c r="A877" i="9"/>
  <c r="M876" i="9"/>
  <c r="L876" i="9"/>
  <c r="K876" i="9"/>
  <c r="J876" i="9"/>
  <c r="I876" i="9"/>
  <c r="H876" i="9"/>
  <c r="G876" i="9"/>
  <c r="F876" i="9"/>
  <c r="E876" i="9"/>
  <c r="D876" i="9"/>
  <c r="C876" i="9"/>
  <c r="B876" i="9"/>
  <c r="A876" i="9"/>
  <c r="M875" i="9"/>
  <c r="L875" i="9"/>
  <c r="K875" i="9"/>
  <c r="J875" i="9"/>
  <c r="I875" i="9"/>
  <c r="H875" i="9"/>
  <c r="G875" i="9"/>
  <c r="F875" i="9"/>
  <c r="E875" i="9"/>
  <c r="D875" i="9"/>
  <c r="C875" i="9"/>
  <c r="B875" i="9"/>
  <c r="A875" i="9"/>
  <c r="M874" i="9"/>
  <c r="L874" i="9"/>
  <c r="K874" i="9"/>
  <c r="J874" i="9"/>
  <c r="I874" i="9"/>
  <c r="H874" i="9"/>
  <c r="G874" i="9"/>
  <c r="F874" i="9"/>
  <c r="E874" i="9"/>
  <c r="D874" i="9"/>
  <c r="C874" i="9"/>
  <c r="B874" i="9"/>
  <c r="A874" i="9"/>
  <c r="M873" i="9"/>
  <c r="L873" i="9"/>
  <c r="K873" i="9"/>
  <c r="J873" i="9"/>
  <c r="I873" i="9"/>
  <c r="H873" i="9"/>
  <c r="G873" i="9"/>
  <c r="F873" i="9"/>
  <c r="E873" i="9"/>
  <c r="D873" i="9"/>
  <c r="C873" i="9"/>
  <c r="B873" i="9"/>
  <c r="A873" i="9"/>
  <c r="M872" i="9"/>
  <c r="L872" i="9"/>
  <c r="K872" i="9"/>
  <c r="J872" i="9"/>
  <c r="I872" i="9"/>
  <c r="H872" i="9"/>
  <c r="G872" i="9"/>
  <c r="F872" i="9"/>
  <c r="E872" i="9"/>
  <c r="D872" i="9"/>
  <c r="C872" i="9"/>
  <c r="B872" i="9"/>
  <c r="A872" i="9"/>
  <c r="M871" i="9"/>
  <c r="L871" i="9"/>
  <c r="K871" i="9"/>
  <c r="J871" i="9"/>
  <c r="I871" i="9"/>
  <c r="H871" i="9"/>
  <c r="G871" i="9"/>
  <c r="F871" i="9"/>
  <c r="E871" i="9"/>
  <c r="D871" i="9"/>
  <c r="C871" i="9"/>
  <c r="B871" i="9"/>
  <c r="A871" i="9"/>
  <c r="M870" i="9"/>
  <c r="L870" i="9"/>
  <c r="K870" i="9"/>
  <c r="J870" i="9"/>
  <c r="I870" i="9"/>
  <c r="H870" i="9"/>
  <c r="G870" i="9"/>
  <c r="F870" i="9"/>
  <c r="E870" i="9"/>
  <c r="D870" i="9"/>
  <c r="C870" i="9"/>
  <c r="B870" i="9"/>
  <c r="A870" i="9"/>
  <c r="M869" i="9"/>
  <c r="L869" i="9"/>
  <c r="K869" i="9"/>
  <c r="J869" i="9"/>
  <c r="I869" i="9"/>
  <c r="H869" i="9"/>
  <c r="G869" i="9"/>
  <c r="F869" i="9"/>
  <c r="E869" i="9"/>
  <c r="D869" i="9"/>
  <c r="C869" i="9"/>
  <c r="B869" i="9"/>
  <c r="A869" i="9"/>
  <c r="M868" i="9"/>
  <c r="L868" i="9"/>
  <c r="K868" i="9"/>
  <c r="J868" i="9"/>
  <c r="I868" i="9"/>
  <c r="H868" i="9"/>
  <c r="G868" i="9"/>
  <c r="F868" i="9"/>
  <c r="E868" i="9"/>
  <c r="D868" i="9"/>
  <c r="C868" i="9"/>
  <c r="B868" i="9"/>
  <c r="A868" i="9"/>
  <c r="M867" i="9"/>
  <c r="L867" i="9"/>
  <c r="K867" i="9"/>
  <c r="J867" i="9"/>
  <c r="I867" i="9"/>
  <c r="H867" i="9"/>
  <c r="G867" i="9"/>
  <c r="F867" i="9"/>
  <c r="E867" i="9"/>
  <c r="D867" i="9"/>
  <c r="C867" i="9"/>
  <c r="B867" i="9"/>
  <c r="A867" i="9"/>
  <c r="M866" i="9"/>
  <c r="L866" i="9"/>
  <c r="K866" i="9"/>
  <c r="J866" i="9"/>
  <c r="I866" i="9"/>
  <c r="H866" i="9"/>
  <c r="G866" i="9"/>
  <c r="F866" i="9"/>
  <c r="E866" i="9"/>
  <c r="D866" i="9"/>
  <c r="C866" i="9"/>
  <c r="B866" i="9"/>
  <c r="A866" i="9"/>
  <c r="M865" i="9"/>
  <c r="L865" i="9"/>
  <c r="K865" i="9"/>
  <c r="J865" i="9"/>
  <c r="I865" i="9"/>
  <c r="H865" i="9"/>
  <c r="G865" i="9"/>
  <c r="F865" i="9"/>
  <c r="E865" i="9"/>
  <c r="D865" i="9"/>
  <c r="C865" i="9"/>
  <c r="B865" i="9"/>
  <c r="A865" i="9"/>
  <c r="M864" i="9"/>
  <c r="L864" i="9"/>
  <c r="K864" i="9"/>
  <c r="J864" i="9"/>
  <c r="I864" i="9"/>
  <c r="H864" i="9"/>
  <c r="G864" i="9"/>
  <c r="F864" i="9"/>
  <c r="E864" i="9"/>
  <c r="D864" i="9"/>
  <c r="C864" i="9"/>
  <c r="B864" i="9"/>
  <c r="A864" i="9"/>
  <c r="M863" i="9"/>
  <c r="L863" i="9"/>
  <c r="K863" i="9"/>
  <c r="J863" i="9"/>
  <c r="I863" i="9"/>
  <c r="H863" i="9"/>
  <c r="G863" i="9"/>
  <c r="F863" i="9"/>
  <c r="E863" i="9"/>
  <c r="D863" i="9"/>
  <c r="C863" i="9"/>
  <c r="B863" i="9"/>
  <c r="A863" i="9"/>
  <c r="M862" i="9"/>
  <c r="L862" i="9"/>
  <c r="K862" i="9"/>
  <c r="J862" i="9"/>
  <c r="I862" i="9"/>
  <c r="H862" i="9"/>
  <c r="G862" i="9"/>
  <c r="F862" i="9"/>
  <c r="E862" i="9"/>
  <c r="D862" i="9"/>
  <c r="C862" i="9"/>
  <c r="B862" i="9"/>
  <c r="A862" i="9"/>
  <c r="M861" i="9"/>
  <c r="L861" i="9"/>
  <c r="K861" i="9"/>
  <c r="J861" i="9"/>
  <c r="I861" i="9"/>
  <c r="H861" i="9"/>
  <c r="G861" i="9"/>
  <c r="F861" i="9"/>
  <c r="E861" i="9"/>
  <c r="D861" i="9"/>
  <c r="C861" i="9"/>
  <c r="B861" i="9"/>
  <c r="A861" i="9"/>
  <c r="M860" i="9"/>
  <c r="L860" i="9"/>
  <c r="K860" i="9"/>
  <c r="J860" i="9"/>
  <c r="I860" i="9"/>
  <c r="H860" i="9"/>
  <c r="G860" i="9"/>
  <c r="F860" i="9"/>
  <c r="E860" i="9"/>
  <c r="D860" i="9"/>
  <c r="C860" i="9"/>
  <c r="B860" i="9"/>
  <c r="A860" i="9"/>
  <c r="M859" i="9"/>
  <c r="L859" i="9"/>
  <c r="K859" i="9"/>
  <c r="J859" i="9"/>
  <c r="I859" i="9"/>
  <c r="H859" i="9"/>
  <c r="G859" i="9"/>
  <c r="F859" i="9"/>
  <c r="E859" i="9"/>
  <c r="D859" i="9"/>
  <c r="C859" i="9"/>
  <c r="B859" i="9"/>
  <c r="A859" i="9"/>
  <c r="M858" i="9"/>
  <c r="L858" i="9"/>
  <c r="K858" i="9"/>
  <c r="J858" i="9"/>
  <c r="I858" i="9"/>
  <c r="H858" i="9"/>
  <c r="G858" i="9"/>
  <c r="F858" i="9"/>
  <c r="E858" i="9"/>
  <c r="D858" i="9"/>
  <c r="C858" i="9"/>
  <c r="B858" i="9"/>
  <c r="A858" i="9"/>
  <c r="M857" i="9"/>
  <c r="L857" i="9"/>
  <c r="K857" i="9"/>
  <c r="J857" i="9"/>
  <c r="I857" i="9"/>
  <c r="H857" i="9"/>
  <c r="G857" i="9"/>
  <c r="F857" i="9"/>
  <c r="E857" i="9"/>
  <c r="D857" i="9"/>
  <c r="C857" i="9"/>
  <c r="B857" i="9"/>
  <c r="A857" i="9"/>
  <c r="M856" i="9"/>
  <c r="L856" i="9"/>
  <c r="K856" i="9"/>
  <c r="J856" i="9"/>
  <c r="I856" i="9"/>
  <c r="H856" i="9"/>
  <c r="G856" i="9"/>
  <c r="F856" i="9"/>
  <c r="E856" i="9"/>
  <c r="D856" i="9"/>
  <c r="C856" i="9"/>
  <c r="B856" i="9"/>
  <c r="A856" i="9"/>
  <c r="M855" i="9"/>
  <c r="L855" i="9"/>
  <c r="K855" i="9"/>
  <c r="J855" i="9"/>
  <c r="I855" i="9"/>
  <c r="H855" i="9"/>
  <c r="G855" i="9"/>
  <c r="F855" i="9"/>
  <c r="E855" i="9"/>
  <c r="D855" i="9"/>
  <c r="C855" i="9"/>
  <c r="B855" i="9"/>
  <c r="A855" i="9"/>
  <c r="M854" i="9"/>
  <c r="L854" i="9"/>
  <c r="K854" i="9"/>
  <c r="J854" i="9"/>
  <c r="I854" i="9"/>
  <c r="H854" i="9"/>
  <c r="G854" i="9"/>
  <c r="F854" i="9"/>
  <c r="E854" i="9"/>
  <c r="D854" i="9"/>
  <c r="C854" i="9"/>
  <c r="B854" i="9"/>
  <c r="A854" i="9"/>
  <c r="M853" i="9"/>
  <c r="L853" i="9"/>
  <c r="K853" i="9"/>
  <c r="J853" i="9"/>
  <c r="I853" i="9"/>
  <c r="H853" i="9"/>
  <c r="G853" i="9"/>
  <c r="F853" i="9"/>
  <c r="E853" i="9"/>
  <c r="D853" i="9"/>
  <c r="C853" i="9"/>
  <c r="B853" i="9"/>
  <c r="A853" i="9"/>
  <c r="M852" i="9"/>
  <c r="L852" i="9"/>
  <c r="K852" i="9"/>
  <c r="J852" i="9"/>
  <c r="I852" i="9"/>
  <c r="H852" i="9"/>
  <c r="G852" i="9"/>
  <c r="F852" i="9"/>
  <c r="E852" i="9"/>
  <c r="D852" i="9"/>
  <c r="C852" i="9"/>
  <c r="B852" i="9"/>
  <c r="A852" i="9"/>
  <c r="M851" i="9"/>
  <c r="L851" i="9"/>
  <c r="K851" i="9"/>
  <c r="J851" i="9"/>
  <c r="I851" i="9"/>
  <c r="H851" i="9"/>
  <c r="G851" i="9"/>
  <c r="F851" i="9"/>
  <c r="E851" i="9"/>
  <c r="D851" i="9"/>
  <c r="C851" i="9"/>
  <c r="B851" i="9"/>
  <c r="A851" i="9"/>
  <c r="M850" i="9"/>
  <c r="L850" i="9"/>
  <c r="K850" i="9"/>
  <c r="J850" i="9"/>
  <c r="I850" i="9"/>
  <c r="H850" i="9"/>
  <c r="G850" i="9"/>
  <c r="F850" i="9"/>
  <c r="E850" i="9"/>
  <c r="D850" i="9"/>
  <c r="C850" i="9"/>
  <c r="B850" i="9"/>
  <c r="A850" i="9"/>
  <c r="M849" i="9"/>
  <c r="L849" i="9"/>
  <c r="K849" i="9"/>
  <c r="J849" i="9"/>
  <c r="I849" i="9"/>
  <c r="H849" i="9"/>
  <c r="G849" i="9"/>
  <c r="F849" i="9"/>
  <c r="E849" i="9"/>
  <c r="D849" i="9"/>
  <c r="C849" i="9"/>
  <c r="B849" i="9"/>
  <c r="A849" i="9"/>
  <c r="M848" i="9"/>
  <c r="L848" i="9"/>
  <c r="K848" i="9"/>
  <c r="J848" i="9"/>
  <c r="I848" i="9"/>
  <c r="H848" i="9"/>
  <c r="G848" i="9"/>
  <c r="F848" i="9"/>
  <c r="E848" i="9"/>
  <c r="D848" i="9"/>
  <c r="C848" i="9"/>
  <c r="B848" i="9"/>
  <c r="A848" i="9"/>
  <c r="M847" i="9"/>
  <c r="L847" i="9"/>
  <c r="K847" i="9"/>
  <c r="J847" i="9"/>
  <c r="I847" i="9"/>
  <c r="H847" i="9"/>
  <c r="G847" i="9"/>
  <c r="F847" i="9"/>
  <c r="E847" i="9"/>
  <c r="D847" i="9"/>
  <c r="C847" i="9"/>
  <c r="B847" i="9"/>
  <c r="A847" i="9"/>
  <c r="M846" i="9"/>
  <c r="L846" i="9"/>
  <c r="K846" i="9"/>
  <c r="J846" i="9"/>
  <c r="I846" i="9"/>
  <c r="H846" i="9"/>
  <c r="G846" i="9"/>
  <c r="F846" i="9"/>
  <c r="E846" i="9"/>
  <c r="D846" i="9"/>
  <c r="C846" i="9"/>
  <c r="B846" i="9"/>
  <c r="A846" i="9"/>
  <c r="M845" i="9"/>
  <c r="L845" i="9"/>
  <c r="K845" i="9"/>
  <c r="J845" i="9"/>
  <c r="I845" i="9"/>
  <c r="H845" i="9"/>
  <c r="G845" i="9"/>
  <c r="F845" i="9"/>
  <c r="E845" i="9"/>
  <c r="D845" i="9"/>
  <c r="C845" i="9"/>
  <c r="B845" i="9"/>
  <c r="A845" i="9"/>
  <c r="M844" i="9"/>
  <c r="L844" i="9"/>
  <c r="K844" i="9"/>
  <c r="J844" i="9"/>
  <c r="I844" i="9"/>
  <c r="H844" i="9"/>
  <c r="G844" i="9"/>
  <c r="F844" i="9"/>
  <c r="E844" i="9"/>
  <c r="D844" i="9"/>
  <c r="C844" i="9"/>
  <c r="B844" i="9"/>
  <c r="A844" i="9"/>
  <c r="M843" i="9"/>
  <c r="L843" i="9"/>
  <c r="K843" i="9"/>
  <c r="J843" i="9"/>
  <c r="I843" i="9"/>
  <c r="H843" i="9"/>
  <c r="G843" i="9"/>
  <c r="F843" i="9"/>
  <c r="E843" i="9"/>
  <c r="D843" i="9"/>
  <c r="C843" i="9"/>
  <c r="B843" i="9"/>
  <c r="A843" i="9"/>
  <c r="M842" i="9"/>
  <c r="L842" i="9"/>
  <c r="K842" i="9"/>
  <c r="J842" i="9"/>
  <c r="I842" i="9"/>
  <c r="H842" i="9"/>
  <c r="G842" i="9"/>
  <c r="F842" i="9"/>
  <c r="E842" i="9"/>
  <c r="D842" i="9"/>
  <c r="C842" i="9"/>
  <c r="B842" i="9"/>
  <c r="A842" i="9"/>
  <c r="M841" i="9"/>
  <c r="L841" i="9"/>
  <c r="K841" i="9"/>
  <c r="J841" i="9"/>
  <c r="I841" i="9"/>
  <c r="H841" i="9"/>
  <c r="G841" i="9"/>
  <c r="F841" i="9"/>
  <c r="E841" i="9"/>
  <c r="D841" i="9"/>
  <c r="C841" i="9"/>
  <c r="B841" i="9"/>
  <c r="A841" i="9"/>
  <c r="M840" i="9"/>
  <c r="L840" i="9"/>
  <c r="K840" i="9"/>
  <c r="J840" i="9"/>
  <c r="I840" i="9"/>
  <c r="H840" i="9"/>
  <c r="G840" i="9"/>
  <c r="F840" i="9"/>
  <c r="E840" i="9"/>
  <c r="D840" i="9"/>
  <c r="C840" i="9"/>
  <c r="B840" i="9"/>
  <c r="A840" i="9"/>
  <c r="M839" i="9"/>
  <c r="L839" i="9"/>
  <c r="K839" i="9"/>
  <c r="J839" i="9"/>
  <c r="I839" i="9"/>
  <c r="H839" i="9"/>
  <c r="G839" i="9"/>
  <c r="F839" i="9"/>
  <c r="E839" i="9"/>
  <c r="D839" i="9"/>
  <c r="C839" i="9"/>
  <c r="B839" i="9"/>
  <c r="A839" i="9"/>
  <c r="M838" i="9"/>
  <c r="L838" i="9"/>
  <c r="K838" i="9"/>
  <c r="J838" i="9"/>
  <c r="I838" i="9"/>
  <c r="H838" i="9"/>
  <c r="G838" i="9"/>
  <c r="F838" i="9"/>
  <c r="E838" i="9"/>
  <c r="D838" i="9"/>
  <c r="C838" i="9"/>
  <c r="B838" i="9"/>
  <c r="A838" i="9"/>
  <c r="M837" i="9"/>
  <c r="L837" i="9"/>
  <c r="K837" i="9"/>
  <c r="J837" i="9"/>
  <c r="I837" i="9"/>
  <c r="H837" i="9"/>
  <c r="G837" i="9"/>
  <c r="F837" i="9"/>
  <c r="E837" i="9"/>
  <c r="D837" i="9"/>
  <c r="C837" i="9"/>
  <c r="B837" i="9"/>
  <c r="A837" i="9"/>
  <c r="M836" i="9"/>
  <c r="L836" i="9"/>
  <c r="K836" i="9"/>
  <c r="J836" i="9"/>
  <c r="I836" i="9"/>
  <c r="H836" i="9"/>
  <c r="G836" i="9"/>
  <c r="F836" i="9"/>
  <c r="E836" i="9"/>
  <c r="D836" i="9"/>
  <c r="C836" i="9"/>
  <c r="B836" i="9"/>
  <c r="A836" i="9"/>
  <c r="M835" i="9"/>
  <c r="L835" i="9"/>
  <c r="K835" i="9"/>
  <c r="J835" i="9"/>
  <c r="I835" i="9"/>
  <c r="H835" i="9"/>
  <c r="G835" i="9"/>
  <c r="F835" i="9"/>
  <c r="E835" i="9"/>
  <c r="D835" i="9"/>
  <c r="C835" i="9"/>
  <c r="B835" i="9"/>
  <c r="A835" i="9"/>
  <c r="M834" i="9"/>
  <c r="L834" i="9"/>
  <c r="K834" i="9"/>
  <c r="J834" i="9"/>
  <c r="I834" i="9"/>
  <c r="H834" i="9"/>
  <c r="G834" i="9"/>
  <c r="F834" i="9"/>
  <c r="E834" i="9"/>
  <c r="D834" i="9"/>
  <c r="C834" i="9"/>
  <c r="B834" i="9"/>
  <c r="A834" i="9"/>
  <c r="M833" i="9"/>
  <c r="L833" i="9"/>
  <c r="K833" i="9"/>
  <c r="J833" i="9"/>
  <c r="I833" i="9"/>
  <c r="H833" i="9"/>
  <c r="G833" i="9"/>
  <c r="F833" i="9"/>
  <c r="E833" i="9"/>
  <c r="D833" i="9"/>
  <c r="C833" i="9"/>
  <c r="B833" i="9"/>
  <c r="A833" i="9"/>
  <c r="M832" i="9"/>
  <c r="L832" i="9"/>
  <c r="K832" i="9"/>
  <c r="J832" i="9"/>
  <c r="I832" i="9"/>
  <c r="H832" i="9"/>
  <c r="G832" i="9"/>
  <c r="F832" i="9"/>
  <c r="E832" i="9"/>
  <c r="D832" i="9"/>
  <c r="C832" i="9"/>
  <c r="B832" i="9"/>
  <c r="A832" i="9"/>
  <c r="M831" i="9"/>
  <c r="L831" i="9"/>
  <c r="K831" i="9"/>
  <c r="J831" i="9"/>
  <c r="I831" i="9"/>
  <c r="H831" i="9"/>
  <c r="G831" i="9"/>
  <c r="F831" i="9"/>
  <c r="E831" i="9"/>
  <c r="D831" i="9"/>
  <c r="C831" i="9"/>
  <c r="B831" i="9"/>
  <c r="A831" i="9"/>
  <c r="M830" i="9"/>
  <c r="L830" i="9"/>
  <c r="K830" i="9"/>
  <c r="J830" i="9"/>
  <c r="I830" i="9"/>
  <c r="H830" i="9"/>
  <c r="G830" i="9"/>
  <c r="F830" i="9"/>
  <c r="E830" i="9"/>
  <c r="D830" i="9"/>
  <c r="C830" i="9"/>
  <c r="B830" i="9"/>
  <c r="A830" i="9"/>
  <c r="M829" i="9"/>
  <c r="L829" i="9"/>
  <c r="K829" i="9"/>
  <c r="J829" i="9"/>
  <c r="I829" i="9"/>
  <c r="H829" i="9"/>
  <c r="G829" i="9"/>
  <c r="F829" i="9"/>
  <c r="E829" i="9"/>
  <c r="D829" i="9"/>
  <c r="C829" i="9"/>
  <c r="B829" i="9"/>
  <c r="A829" i="9"/>
  <c r="M828" i="9"/>
  <c r="L828" i="9"/>
  <c r="K828" i="9"/>
  <c r="J828" i="9"/>
  <c r="I828" i="9"/>
  <c r="H828" i="9"/>
  <c r="G828" i="9"/>
  <c r="F828" i="9"/>
  <c r="E828" i="9"/>
  <c r="D828" i="9"/>
  <c r="C828" i="9"/>
  <c r="B828" i="9"/>
  <c r="A828" i="9"/>
  <c r="M827" i="9"/>
  <c r="L827" i="9"/>
  <c r="K827" i="9"/>
  <c r="J827" i="9"/>
  <c r="I827" i="9"/>
  <c r="H827" i="9"/>
  <c r="G827" i="9"/>
  <c r="F827" i="9"/>
  <c r="E827" i="9"/>
  <c r="D827" i="9"/>
  <c r="C827" i="9"/>
  <c r="B827" i="9"/>
  <c r="A827" i="9"/>
  <c r="M826" i="9"/>
  <c r="L826" i="9"/>
  <c r="K826" i="9"/>
  <c r="J826" i="9"/>
  <c r="I826" i="9"/>
  <c r="H826" i="9"/>
  <c r="G826" i="9"/>
  <c r="F826" i="9"/>
  <c r="E826" i="9"/>
  <c r="D826" i="9"/>
  <c r="C826" i="9"/>
  <c r="B826" i="9"/>
  <c r="A826" i="9"/>
  <c r="M825" i="9"/>
  <c r="L825" i="9"/>
  <c r="K825" i="9"/>
  <c r="J825" i="9"/>
  <c r="I825" i="9"/>
  <c r="H825" i="9"/>
  <c r="G825" i="9"/>
  <c r="F825" i="9"/>
  <c r="E825" i="9"/>
  <c r="D825" i="9"/>
  <c r="C825" i="9"/>
  <c r="B825" i="9"/>
  <c r="A825" i="9"/>
  <c r="M824" i="9"/>
  <c r="L824" i="9"/>
  <c r="K824" i="9"/>
  <c r="J824" i="9"/>
  <c r="I824" i="9"/>
  <c r="H824" i="9"/>
  <c r="G824" i="9"/>
  <c r="F824" i="9"/>
  <c r="E824" i="9"/>
  <c r="D824" i="9"/>
  <c r="C824" i="9"/>
  <c r="B824" i="9"/>
  <c r="A824" i="9"/>
  <c r="M823" i="9"/>
  <c r="L823" i="9"/>
  <c r="K823" i="9"/>
  <c r="J823" i="9"/>
  <c r="I823" i="9"/>
  <c r="H823" i="9"/>
  <c r="G823" i="9"/>
  <c r="F823" i="9"/>
  <c r="E823" i="9"/>
  <c r="D823" i="9"/>
  <c r="C823" i="9"/>
  <c r="B823" i="9"/>
  <c r="A823" i="9"/>
  <c r="M822" i="9"/>
  <c r="L822" i="9"/>
  <c r="K822" i="9"/>
  <c r="J822" i="9"/>
  <c r="I822" i="9"/>
  <c r="H822" i="9"/>
  <c r="G822" i="9"/>
  <c r="F822" i="9"/>
  <c r="E822" i="9"/>
  <c r="D822" i="9"/>
  <c r="C822" i="9"/>
  <c r="B822" i="9"/>
  <c r="A822" i="9"/>
  <c r="M821" i="9"/>
  <c r="L821" i="9"/>
  <c r="K821" i="9"/>
  <c r="J821" i="9"/>
  <c r="I821" i="9"/>
  <c r="H821" i="9"/>
  <c r="G821" i="9"/>
  <c r="F821" i="9"/>
  <c r="E821" i="9"/>
  <c r="D821" i="9"/>
  <c r="C821" i="9"/>
  <c r="B821" i="9"/>
  <c r="A821" i="9"/>
  <c r="M820" i="9"/>
  <c r="L820" i="9"/>
  <c r="K820" i="9"/>
  <c r="J820" i="9"/>
  <c r="I820" i="9"/>
  <c r="H820" i="9"/>
  <c r="G820" i="9"/>
  <c r="F820" i="9"/>
  <c r="E820" i="9"/>
  <c r="D820" i="9"/>
  <c r="C820" i="9"/>
  <c r="B820" i="9"/>
  <c r="A820" i="9"/>
  <c r="M819" i="9"/>
  <c r="L819" i="9"/>
  <c r="K819" i="9"/>
  <c r="J819" i="9"/>
  <c r="I819" i="9"/>
  <c r="H819" i="9"/>
  <c r="G819" i="9"/>
  <c r="F819" i="9"/>
  <c r="E819" i="9"/>
  <c r="D819" i="9"/>
  <c r="C819" i="9"/>
  <c r="B819" i="9"/>
  <c r="A819" i="9"/>
  <c r="M818" i="9"/>
  <c r="L818" i="9"/>
  <c r="K818" i="9"/>
  <c r="J818" i="9"/>
  <c r="I818" i="9"/>
  <c r="H818" i="9"/>
  <c r="G818" i="9"/>
  <c r="F818" i="9"/>
  <c r="E818" i="9"/>
  <c r="D818" i="9"/>
  <c r="C818" i="9"/>
  <c r="B818" i="9"/>
  <c r="A818" i="9"/>
  <c r="M817" i="9"/>
  <c r="L817" i="9"/>
  <c r="K817" i="9"/>
  <c r="J817" i="9"/>
  <c r="I817" i="9"/>
  <c r="H817" i="9"/>
  <c r="G817" i="9"/>
  <c r="F817" i="9"/>
  <c r="E817" i="9"/>
  <c r="D817" i="9"/>
  <c r="C817" i="9"/>
  <c r="B817" i="9"/>
  <c r="A817" i="9"/>
  <c r="M816" i="9"/>
  <c r="L816" i="9"/>
  <c r="K816" i="9"/>
  <c r="J816" i="9"/>
  <c r="I816" i="9"/>
  <c r="H816" i="9"/>
  <c r="G816" i="9"/>
  <c r="F816" i="9"/>
  <c r="E816" i="9"/>
  <c r="D816" i="9"/>
  <c r="C816" i="9"/>
  <c r="B816" i="9"/>
  <c r="A816" i="9"/>
  <c r="M815" i="9"/>
  <c r="L815" i="9"/>
  <c r="K815" i="9"/>
  <c r="J815" i="9"/>
  <c r="I815" i="9"/>
  <c r="H815" i="9"/>
  <c r="G815" i="9"/>
  <c r="F815" i="9"/>
  <c r="E815" i="9"/>
  <c r="D815" i="9"/>
  <c r="C815" i="9"/>
  <c r="B815" i="9"/>
  <c r="A815" i="9"/>
  <c r="M814" i="9"/>
  <c r="L814" i="9"/>
  <c r="K814" i="9"/>
  <c r="J814" i="9"/>
  <c r="I814" i="9"/>
  <c r="H814" i="9"/>
  <c r="G814" i="9"/>
  <c r="F814" i="9"/>
  <c r="E814" i="9"/>
  <c r="D814" i="9"/>
  <c r="C814" i="9"/>
  <c r="B814" i="9"/>
  <c r="A814" i="9"/>
  <c r="M813" i="9"/>
  <c r="L813" i="9"/>
  <c r="K813" i="9"/>
  <c r="J813" i="9"/>
  <c r="I813" i="9"/>
  <c r="H813" i="9"/>
  <c r="G813" i="9"/>
  <c r="F813" i="9"/>
  <c r="E813" i="9"/>
  <c r="D813" i="9"/>
  <c r="C813" i="9"/>
  <c r="B813" i="9"/>
  <c r="A813" i="9"/>
  <c r="M812" i="9"/>
  <c r="L812" i="9"/>
  <c r="K812" i="9"/>
  <c r="J812" i="9"/>
  <c r="I812" i="9"/>
  <c r="H812" i="9"/>
  <c r="G812" i="9"/>
  <c r="F812" i="9"/>
  <c r="E812" i="9"/>
  <c r="D812" i="9"/>
  <c r="C812" i="9"/>
  <c r="B812" i="9"/>
  <c r="A812" i="9"/>
  <c r="M811" i="9"/>
  <c r="L811" i="9"/>
  <c r="K811" i="9"/>
  <c r="J811" i="9"/>
  <c r="I811" i="9"/>
  <c r="H811" i="9"/>
  <c r="G811" i="9"/>
  <c r="F811" i="9"/>
  <c r="E811" i="9"/>
  <c r="D811" i="9"/>
  <c r="C811" i="9"/>
  <c r="B811" i="9"/>
  <c r="A811" i="9"/>
  <c r="M810" i="9"/>
  <c r="L810" i="9"/>
  <c r="K810" i="9"/>
  <c r="J810" i="9"/>
  <c r="I810" i="9"/>
  <c r="H810" i="9"/>
  <c r="G810" i="9"/>
  <c r="F810" i="9"/>
  <c r="E810" i="9"/>
  <c r="D810" i="9"/>
  <c r="C810" i="9"/>
  <c r="B810" i="9"/>
  <c r="A810" i="9"/>
  <c r="M809" i="9"/>
  <c r="L809" i="9"/>
  <c r="K809" i="9"/>
  <c r="J809" i="9"/>
  <c r="I809" i="9"/>
  <c r="H809" i="9"/>
  <c r="G809" i="9"/>
  <c r="F809" i="9"/>
  <c r="E809" i="9"/>
  <c r="D809" i="9"/>
  <c r="C809" i="9"/>
  <c r="B809" i="9"/>
  <c r="A809" i="9"/>
  <c r="M808" i="9"/>
  <c r="L808" i="9"/>
  <c r="K808" i="9"/>
  <c r="J808" i="9"/>
  <c r="I808" i="9"/>
  <c r="H808" i="9"/>
  <c r="G808" i="9"/>
  <c r="F808" i="9"/>
  <c r="E808" i="9"/>
  <c r="D808" i="9"/>
  <c r="C808" i="9"/>
  <c r="B808" i="9"/>
  <c r="A808" i="9"/>
  <c r="M807" i="9"/>
  <c r="L807" i="9"/>
  <c r="K807" i="9"/>
  <c r="J807" i="9"/>
  <c r="I807" i="9"/>
  <c r="H807" i="9"/>
  <c r="G807" i="9"/>
  <c r="F807" i="9"/>
  <c r="E807" i="9"/>
  <c r="D807" i="9"/>
  <c r="C807" i="9"/>
  <c r="B807" i="9"/>
  <c r="A807" i="9"/>
  <c r="M806" i="9"/>
  <c r="L806" i="9"/>
  <c r="K806" i="9"/>
  <c r="J806" i="9"/>
  <c r="I806" i="9"/>
  <c r="H806" i="9"/>
  <c r="G806" i="9"/>
  <c r="F806" i="9"/>
  <c r="E806" i="9"/>
  <c r="D806" i="9"/>
  <c r="C806" i="9"/>
  <c r="B806" i="9"/>
  <c r="A806" i="9"/>
  <c r="M805" i="9"/>
  <c r="L805" i="9"/>
  <c r="K805" i="9"/>
  <c r="J805" i="9"/>
  <c r="I805" i="9"/>
  <c r="H805" i="9"/>
  <c r="G805" i="9"/>
  <c r="F805" i="9"/>
  <c r="E805" i="9"/>
  <c r="D805" i="9"/>
  <c r="C805" i="9"/>
  <c r="B805" i="9"/>
  <c r="A805" i="9"/>
  <c r="M804" i="9"/>
  <c r="L804" i="9"/>
  <c r="K804" i="9"/>
  <c r="J804" i="9"/>
  <c r="I804" i="9"/>
  <c r="H804" i="9"/>
  <c r="G804" i="9"/>
  <c r="F804" i="9"/>
  <c r="E804" i="9"/>
  <c r="D804" i="9"/>
  <c r="C804" i="9"/>
  <c r="B804" i="9"/>
  <c r="A804" i="9"/>
  <c r="M803" i="9"/>
  <c r="L803" i="9"/>
  <c r="K803" i="9"/>
  <c r="J803" i="9"/>
  <c r="I803" i="9"/>
  <c r="H803" i="9"/>
  <c r="G803" i="9"/>
  <c r="F803" i="9"/>
  <c r="E803" i="9"/>
  <c r="D803" i="9"/>
  <c r="C803" i="9"/>
  <c r="B803" i="9"/>
  <c r="A803" i="9"/>
  <c r="M802" i="9"/>
  <c r="L802" i="9"/>
  <c r="K802" i="9"/>
  <c r="J802" i="9"/>
  <c r="I802" i="9"/>
  <c r="H802" i="9"/>
  <c r="G802" i="9"/>
  <c r="F802" i="9"/>
  <c r="E802" i="9"/>
  <c r="D802" i="9"/>
  <c r="C802" i="9"/>
  <c r="B802" i="9"/>
  <c r="A802" i="9"/>
  <c r="M801" i="9"/>
  <c r="L801" i="9"/>
  <c r="K801" i="9"/>
  <c r="J801" i="9"/>
  <c r="I801" i="9"/>
  <c r="H801" i="9"/>
  <c r="G801" i="9"/>
  <c r="F801" i="9"/>
  <c r="E801" i="9"/>
  <c r="D801" i="9"/>
  <c r="C801" i="9"/>
  <c r="B801" i="9"/>
  <c r="A801" i="9"/>
  <c r="M800" i="9"/>
  <c r="L800" i="9"/>
  <c r="K800" i="9"/>
  <c r="J800" i="9"/>
  <c r="I800" i="9"/>
  <c r="H800" i="9"/>
  <c r="G800" i="9"/>
  <c r="F800" i="9"/>
  <c r="E800" i="9"/>
  <c r="D800" i="9"/>
  <c r="C800" i="9"/>
  <c r="B800" i="9"/>
  <c r="A800" i="9"/>
  <c r="M799" i="9"/>
  <c r="L799" i="9"/>
  <c r="K799" i="9"/>
  <c r="J799" i="9"/>
  <c r="I799" i="9"/>
  <c r="H799" i="9"/>
  <c r="G799" i="9"/>
  <c r="F799" i="9"/>
  <c r="E799" i="9"/>
  <c r="D799" i="9"/>
  <c r="C799" i="9"/>
  <c r="B799" i="9"/>
  <c r="A799" i="9"/>
  <c r="M798" i="9"/>
  <c r="L798" i="9"/>
  <c r="K798" i="9"/>
  <c r="J798" i="9"/>
  <c r="I798" i="9"/>
  <c r="H798" i="9"/>
  <c r="G798" i="9"/>
  <c r="F798" i="9"/>
  <c r="E798" i="9"/>
  <c r="D798" i="9"/>
  <c r="C798" i="9"/>
  <c r="B798" i="9"/>
  <c r="A798" i="9"/>
  <c r="M797" i="9"/>
  <c r="L797" i="9"/>
  <c r="K797" i="9"/>
  <c r="J797" i="9"/>
  <c r="I797" i="9"/>
  <c r="H797" i="9"/>
  <c r="G797" i="9"/>
  <c r="F797" i="9"/>
  <c r="E797" i="9"/>
  <c r="D797" i="9"/>
  <c r="C797" i="9"/>
  <c r="B797" i="9"/>
  <c r="A797" i="9"/>
  <c r="M796" i="9"/>
  <c r="L796" i="9"/>
  <c r="K796" i="9"/>
  <c r="J796" i="9"/>
  <c r="I796" i="9"/>
  <c r="H796" i="9"/>
  <c r="G796" i="9"/>
  <c r="F796" i="9"/>
  <c r="E796" i="9"/>
  <c r="D796" i="9"/>
  <c r="C796" i="9"/>
  <c r="B796" i="9"/>
  <c r="A796" i="9"/>
  <c r="M795" i="9"/>
  <c r="L795" i="9"/>
  <c r="K795" i="9"/>
  <c r="J795" i="9"/>
  <c r="I795" i="9"/>
  <c r="H795" i="9"/>
  <c r="G795" i="9"/>
  <c r="F795" i="9"/>
  <c r="E795" i="9"/>
  <c r="D795" i="9"/>
  <c r="C795" i="9"/>
  <c r="B795" i="9"/>
  <c r="A795" i="9"/>
  <c r="M794" i="9"/>
  <c r="L794" i="9"/>
  <c r="K794" i="9"/>
  <c r="J794" i="9"/>
  <c r="I794" i="9"/>
  <c r="H794" i="9"/>
  <c r="G794" i="9"/>
  <c r="F794" i="9"/>
  <c r="E794" i="9"/>
  <c r="D794" i="9"/>
  <c r="C794" i="9"/>
  <c r="B794" i="9"/>
  <c r="A794" i="9"/>
  <c r="M793" i="9"/>
  <c r="L793" i="9"/>
  <c r="K793" i="9"/>
  <c r="J793" i="9"/>
  <c r="I793" i="9"/>
  <c r="H793" i="9"/>
  <c r="G793" i="9"/>
  <c r="F793" i="9"/>
  <c r="E793" i="9"/>
  <c r="D793" i="9"/>
  <c r="C793" i="9"/>
  <c r="B793" i="9"/>
  <c r="A793" i="9"/>
  <c r="M792" i="9"/>
  <c r="L792" i="9"/>
  <c r="K792" i="9"/>
  <c r="J792" i="9"/>
  <c r="I792" i="9"/>
  <c r="H792" i="9"/>
  <c r="G792" i="9"/>
  <c r="F792" i="9"/>
  <c r="E792" i="9"/>
  <c r="D792" i="9"/>
  <c r="C792" i="9"/>
  <c r="B792" i="9"/>
  <c r="A792" i="9"/>
  <c r="M791" i="9"/>
  <c r="L791" i="9"/>
  <c r="K791" i="9"/>
  <c r="J791" i="9"/>
  <c r="I791" i="9"/>
  <c r="H791" i="9"/>
  <c r="G791" i="9"/>
  <c r="F791" i="9"/>
  <c r="E791" i="9"/>
  <c r="D791" i="9"/>
  <c r="C791" i="9"/>
  <c r="B791" i="9"/>
  <c r="A791" i="9"/>
  <c r="M790" i="9"/>
  <c r="L790" i="9"/>
  <c r="K790" i="9"/>
  <c r="J790" i="9"/>
  <c r="I790" i="9"/>
  <c r="H790" i="9"/>
  <c r="G790" i="9"/>
  <c r="F790" i="9"/>
  <c r="E790" i="9"/>
  <c r="D790" i="9"/>
  <c r="C790" i="9"/>
  <c r="B790" i="9"/>
  <c r="A790" i="9"/>
  <c r="M789" i="9"/>
  <c r="L789" i="9"/>
  <c r="K789" i="9"/>
  <c r="J789" i="9"/>
  <c r="I789" i="9"/>
  <c r="H789" i="9"/>
  <c r="G789" i="9"/>
  <c r="F789" i="9"/>
  <c r="E789" i="9"/>
  <c r="D789" i="9"/>
  <c r="C789" i="9"/>
  <c r="B789" i="9"/>
  <c r="A789" i="9"/>
  <c r="M788" i="9"/>
  <c r="L788" i="9"/>
  <c r="K788" i="9"/>
  <c r="J788" i="9"/>
  <c r="I788" i="9"/>
  <c r="H788" i="9"/>
  <c r="G788" i="9"/>
  <c r="F788" i="9"/>
  <c r="E788" i="9"/>
  <c r="D788" i="9"/>
  <c r="C788" i="9"/>
  <c r="B788" i="9"/>
  <c r="A788" i="9"/>
  <c r="M787" i="9"/>
  <c r="L787" i="9"/>
  <c r="K787" i="9"/>
  <c r="J787" i="9"/>
  <c r="I787" i="9"/>
  <c r="H787" i="9"/>
  <c r="G787" i="9"/>
  <c r="F787" i="9"/>
  <c r="E787" i="9"/>
  <c r="D787" i="9"/>
  <c r="C787" i="9"/>
  <c r="B787" i="9"/>
  <c r="A787" i="9"/>
  <c r="M786" i="9"/>
  <c r="L786" i="9"/>
  <c r="K786" i="9"/>
  <c r="J786" i="9"/>
  <c r="I786" i="9"/>
  <c r="H786" i="9"/>
  <c r="G786" i="9"/>
  <c r="F786" i="9"/>
  <c r="E786" i="9"/>
  <c r="D786" i="9"/>
  <c r="C786" i="9"/>
  <c r="B786" i="9"/>
  <c r="A786" i="9"/>
  <c r="M785" i="9"/>
  <c r="L785" i="9"/>
  <c r="K785" i="9"/>
  <c r="J785" i="9"/>
  <c r="I785" i="9"/>
  <c r="H785" i="9"/>
  <c r="G785" i="9"/>
  <c r="F785" i="9"/>
  <c r="E785" i="9"/>
  <c r="D785" i="9"/>
  <c r="C785" i="9"/>
  <c r="B785" i="9"/>
  <c r="A785" i="9"/>
  <c r="M784" i="9"/>
  <c r="L784" i="9"/>
  <c r="K784" i="9"/>
  <c r="J784" i="9"/>
  <c r="I784" i="9"/>
  <c r="H784" i="9"/>
  <c r="G784" i="9"/>
  <c r="F784" i="9"/>
  <c r="E784" i="9"/>
  <c r="D784" i="9"/>
  <c r="C784" i="9"/>
  <c r="B784" i="9"/>
  <c r="A784" i="9"/>
  <c r="M783" i="9"/>
  <c r="L783" i="9"/>
  <c r="K783" i="9"/>
  <c r="J783" i="9"/>
  <c r="I783" i="9"/>
  <c r="H783" i="9"/>
  <c r="G783" i="9"/>
  <c r="F783" i="9"/>
  <c r="E783" i="9"/>
  <c r="D783" i="9"/>
  <c r="C783" i="9"/>
  <c r="B783" i="9"/>
  <c r="A783" i="9"/>
  <c r="M782" i="9"/>
  <c r="L782" i="9"/>
  <c r="K782" i="9"/>
  <c r="J782" i="9"/>
  <c r="I782" i="9"/>
  <c r="H782" i="9"/>
  <c r="G782" i="9"/>
  <c r="F782" i="9"/>
  <c r="E782" i="9"/>
  <c r="D782" i="9"/>
  <c r="C782" i="9"/>
  <c r="B782" i="9"/>
  <c r="A782" i="9"/>
  <c r="M781" i="9"/>
  <c r="L781" i="9"/>
  <c r="K781" i="9"/>
  <c r="J781" i="9"/>
  <c r="I781" i="9"/>
  <c r="H781" i="9"/>
  <c r="G781" i="9"/>
  <c r="F781" i="9"/>
  <c r="E781" i="9"/>
  <c r="D781" i="9"/>
  <c r="C781" i="9"/>
  <c r="B781" i="9"/>
  <c r="A781" i="9"/>
  <c r="M780" i="9"/>
  <c r="L780" i="9"/>
  <c r="K780" i="9"/>
  <c r="J780" i="9"/>
  <c r="I780" i="9"/>
  <c r="H780" i="9"/>
  <c r="G780" i="9"/>
  <c r="F780" i="9"/>
  <c r="E780" i="9"/>
  <c r="D780" i="9"/>
  <c r="C780" i="9"/>
  <c r="B780" i="9"/>
  <c r="A780" i="9"/>
  <c r="M779" i="9"/>
  <c r="L779" i="9"/>
  <c r="K779" i="9"/>
  <c r="J779" i="9"/>
  <c r="I779" i="9"/>
  <c r="H779" i="9"/>
  <c r="G779" i="9"/>
  <c r="F779" i="9"/>
  <c r="E779" i="9"/>
  <c r="D779" i="9"/>
  <c r="C779" i="9"/>
  <c r="B779" i="9"/>
  <c r="A779" i="9"/>
  <c r="M778" i="9"/>
  <c r="L778" i="9"/>
  <c r="K778" i="9"/>
  <c r="J778" i="9"/>
  <c r="I778" i="9"/>
  <c r="H778" i="9"/>
  <c r="G778" i="9"/>
  <c r="F778" i="9"/>
  <c r="E778" i="9"/>
  <c r="D778" i="9"/>
  <c r="C778" i="9"/>
  <c r="B778" i="9"/>
  <c r="A778" i="9"/>
  <c r="M777" i="9"/>
  <c r="L777" i="9"/>
  <c r="K777" i="9"/>
  <c r="J777" i="9"/>
  <c r="I777" i="9"/>
  <c r="H777" i="9"/>
  <c r="G777" i="9"/>
  <c r="F777" i="9"/>
  <c r="E777" i="9"/>
  <c r="D777" i="9"/>
  <c r="C777" i="9"/>
  <c r="B777" i="9"/>
  <c r="A777" i="9"/>
  <c r="M776" i="9"/>
  <c r="L776" i="9"/>
  <c r="K776" i="9"/>
  <c r="J776" i="9"/>
  <c r="I776" i="9"/>
  <c r="H776" i="9"/>
  <c r="G776" i="9"/>
  <c r="F776" i="9"/>
  <c r="E776" i="9"/>
  <c r="D776" i="9"/>
  <c r="C776" i="9"/>
  <c r="B776" i="9"/>
  <c r="A776" i="9"/>
  <c r="M775" i="9"/>
  <c r="L775" i="9"/>
  <c r="K775" i="9"/>
  <c r="J775" i="9"/>
  <c r="I775" i="9"/>
  <c r="H775" i="9"/>
  <c r="G775" i="9"/>
  <c r="F775" i="9"/>
  <c r="E775" i="9"/>
  <c r="D775" i="9"/>
  <c r="C775" i="9"/>
  <c r="B775" i="9"/>
  <c r="A775" i="9"/>
  <c r="M774" i="9"/>
  <c r="L774" i="9"/>
  <c r="K774" i="9"/>
  <c r="J774" i="9"/>
  <c r="I774" i="9"/>
  <c r="H774" i="9"/>
  <c r="G774" i="9"/>
  <c r="F774" i="9"/>
  <c r="E774" i="9"/>
  <c r="D774" i="9"/>
  <c r="C774" i="9"/>
  <c r="B774" i="9"/>
  <c r="A774" i="9"/>
  <c r="M773" i="9"/>
  <c r="L773" i="9"/>
  <c r="K773" i="9"/>
  <c r="J773" i="9"/>
  <c r="I773" i="9"/>
  <c r="H773" i="9"/>
  <c r="G773" i="9"/>
  <c r="F773" i="9"/>
  <c r="E773" i="9"/>
  <c r="D773" i="9"/>
  <c r="C773" i="9"/>
  <c r="B773" i="9"/>
  <c r="A773" i="9"/>
  <c r="M772" i="9"/>
  <c r="L772" i="9"/>
  <c r="K772" i="9"/>
  <c r="J772" i="9"/>
  <c r="I772" i="9"/>
  <c r="H772" i="9"/>
  <c r="G772" i="9"/>
  <c r="F772" i="9"/>
  <c r="E772" i="9"/>
  <c r="D772" i="9"/>
  <c r="C772" i="9"/>
  <c r="B772" i="9"/>
  <c r="A772" i="9"/>
  <c r="M771" i="9"/>
  <c r="L771" i="9"/>
  <c r="K771" i="9"/>
  <c r="J771" i="9"/>
  <c r="I771" i="9"/>
  <c r="H771" i="9"/>
  <c r="G771" i="9"/>
  <c r="F771" i="9"/>
  <c r="E771" i="9"/>
  <c r="D771" i="9"/>
  <c r="C771" i="9"/>
  <c r="B771" i="9"/>
  <c r="A771" i="9"/>
  <c r="M770" i="9"/>
  <c r="L770" i="9"/>
  <c r="K770" i="9"/>
  <c r="J770" i="9"/>
  <c r="I770" i="9"/>
  <c r="H770" i="9"/>
  <c r="G770" i="9"/>
  <c r="F770" i="9"/>
  <c r="E770" i="9"/>
  <c r="D770" i="9"/>
  <c r="C770" i="9"/>
  <c r="B770" i="9"/>
  <c r="A770" i="9"/>
  <c r="M769" i="9"/>
  <c r="L769" i="9"/>
  <c r="K769" i="9"/>
  <c r="J769" i="9"/>
  <c r="I769" i="9"/>
  <c r="H769" i="9"/>
  <c r="G769" i="9"/>
  <c r="F769" i="9"/>
  <c r="E769" i="9"/>
  <c r="D769" i="9"/>
  <c r="C769" i="9"/>
  <c r="B769" i="9"/>
  <c r="A769" i="9"/>
  <c r="M768" i="9"/>
  <c r="L768" i="9"/>
  <c r="K768" i="9"/>
  <c r="J768" i="9"/>
  <c r="I768" i="9"/>
  <c r="H768" i="9"/>
  <c r="G768" i="9"/>
  <c r="F768" i="9"/>
  <c r="E768" i="9"/>
  <c r="D768" i="9"/>
  <c r="C768" i="9"/>
  <c r="B768" i="9"/>
  <c r="A768" i="9"/>
  <c r="M767" i="9"/>
  <c r="L767" i="9"/>
  <c r="K767" i="9"/>
  <c r="J767" i="9"/>
  <c r="I767" i="9"/>
  <c r="H767" i="9"/>
  <c r="G767" i="9"/>
  <c r="F767" i="9"/>
  <c r="E767" i="9"/>
  <c r="D767" i="9"/>
  <c r="C767" i="9"/>
  <c r="B767" i="9"/>
  <c r="A767" i="9"/>
  <c r="M766" i="9"/>
  <c r="L766" i="9"/>
  <c r="K766" i="9"/>
  <c r="J766" i="9"/>
  <c r="I766" i="9"/>
  <c r="H766" i="9"/>
  <c r="G766" i="9"/>
  <c r="F766" i="9"/>
  <c r="E766" i="9"/>
  <c r="D766" i="9"/>
  <c r="C766" i="9"/>
  <c r="B766" i="9"/>
  <c r="A766" i="9"/>
  <c r="M765" i="9"/>
  <c r="L765" i="9"/>
  <c r="K765" i="9"/>
  <c r="J765" i="9"/>
  <c r="I765" i="9"/>
  <c r="H765" i="9"/>
  <c r="G765" i="9"/>
  <c r="F765" i="9"/>
  <c r="E765" i="9"/>
  <c r="D765" i="9"/>
  <c r="C765" i="9"/>
  <c r="B765" i="9"/>
  <c r="A765" i="9"/>
  <c r="M764" i="9"/>
  <c r="L764" i="9"/>
  <c r="K764" i="9"/>
  <c r="J764" i="9"/>
  <c r="I764" i="9"/>
  <c r="H764" i="9"/>
  <c r="G764" i="9"/>
  <c r="F764" i="9"/>
  <c r="E764" i="9"/>
  <c r="D764" i="9"/>
  <c r="C764" i="9"/>
  <c r="B764" i="9"/>
  <c r="A764" i="9"/>
  <c r="M763" i="9"/>
  <c r="L763" i="9"/>
  <c r="K763" i="9"/>
  <c r="J763" i="9"/>
  <c r="I763" i="9"/>
  <c r="H763" i="9"/>
  <c r="G763" i="9"/>
  <c r="F763" i="9"/>
  <c r="E763" i="9"/>
  <c r="D763" i="9"/>
  <c r="C763" i="9"/>
  <c r="B763" i="9"/>
  <c r="A763" i="9"/>
  <c r="M762" i="9"/>
  <c r="L762" i="9"/>
  <c r="K762" i="9"/>
  <c r="J762" i="9"/>
  <c r="I762" i="9"/>
  <c r="H762" i="9"/>
  <c r="G762" i="9"/>
  <c r="F762" i="9"/>
  <c r="E762" i="9"/>
  <c r="D762" i="9"/>
  <c r="C762" i="9"/>
  <c r="B762" i="9"/>
  <c r="A762" i="9"/>
  <c r="M761" i="9"/>
  <c r="L761" i="9"/>
  <c r="K761" i="9"/>
  <c r="J761" i="9"/>
  <c r="I761" i="9"/>
  <c r="H761" i="9"/>
  <c r="G761" i="9"/>
  <c r="F761" i="9"/>
  <c r="E761" i="9"/>
  <c r="D761" i="9"/>
  <c r="C761" i="9"/>
  <c r="B761" i="9"/>
  <c r="A761" i="9"/>
  <c r="M760" i="9"/>
  <c r="L760" i="9"/>
  <c r="K760" i="9"/>
  <c r="J760" i="9"/>
  <c r="I760" i="9"/>
  <c r="H760" i="9"/>
  <c r="G760" i="9"/>
  <c r="F760" i="9"/>
  <c r="E760" i="9"/>
  <c r="D760" i="9"/>
  <c r="C760" i="9"/>
  <c r="B760" i="9"/>
  <c r="A760" i="9"/>
  <c r="M759" i="9"/>
  <c r="L759" i="9"/>
  <c r="K759" i="9"/>
  <c r="J759" i="9"/>
  <c r="I759" i="9"/>
  <c r="H759" i="9"/>
  <c r="G759" i="9"/>
  <c r="F759" i="9"/>
  <c r="E759" i="9"/>
  <c r="D759" i="9"/>
  <c r="C759" i="9"/>
  <c r="B759" i="9"/>
  <c r="A759" i="9"/>
  <c r="M758" i="9"/>
  <c r="L758" i="9"/>
  <c r="K758" i="9"/>
  <c r="J758" i="9"/>
  <c r="I758" i="9"/>
  <c r="H758" i="9"/>
  <c r="G758" i="9"/>
  <c r="F758" i="9"/>
  <c r="E758" i="9"/>
  <c r="D758" i="9"/>
  <c r="C758" i="9"/>
  <c r="B758" i="9"/>
  <c r="A758" i="9"/>
  <c r="M757" i="9"/>
  <c r="L757" i="9"/>
  <c r="K757" i="9"/>
  <c r="J757" i="9"/>
  <c r="I757" i="9"/>
  <c r="H757" i="9"/>
  <c r="G757" i="9"/>
  <c r="F757" i="9"/>
  <c r="E757" i="9"/>
  <c r="D757" i="9"/>
  <c r="C757" i="9"/>
  <c r="B757" i="9"/>
  <c r="A757" i="9"/>
  <c r="M756" i="9"/>
  <c r="L756" i="9"/>
  <c r="K756" i="9"/>
  <c r="J756" i="9"/>
  <c r="I756" i="9"/>
  <c r="H756" i="9"/>
  <c r="G756" i="9"/>
  <c r="F756" i="9"/>
  <c r="E756" i="9"/>
  <c r="D756" i="9"/>
  <c r="C756" i="9"/>
  <c r="B756" i="9"/>
  <c r="A756" i="9"/>
  <c r="M755" i="9"/>
  <c r="L755" i="9"/>
  <c r="K755" i="9"/>
  <c r="J755" i="9"/>
  <c r="I755" i="9"/>
  <c r="H755" i="9"/>
  <c r="G755" i="9"/>
  <c r="F755" i="9"/>
  <c r="E755" i="9"/>
  <c r="D755" i="9"/>
  <c r="C755" i="9"/>
  <c r="B755" i="9"/>
  <c r="A755" i="9"/>
  <c r="M754" i="9"/>
  <c r="L754" i="9"/>
  <c r="K754" i="9"/>
  <c r="J754" i="9"/>
  <c r="I754" i="9"/>
  <c r="H754" i="9"/>
  <c r="G754" i="9"/>
  <c r="F754" i="9"/>
  <c r="E754" i="9"/>
  <c r="D754" i="9"/>
  <c r="C754" i="9"/>
  <c r="B754" i="9"/>
  <c r="A754" i="9"/>
  <c r="M753" i="9"/>
  <c r="L753" i="9"/>
  <c r="K753" i="9"/>
  <c r="J753" i="9"/>
  <c r="I753" i="9"/>
  <c r="H753" i="9"/>
  <c r="G753" i="9"/>
  <c r="F753" i="9"/>
  <c r="E753" i="9"/>
  <c r="D753" i="9"/>
  <c r="C753" i="9"/>
  <c r="B753" i="9"/>
  <c r="A753" i="9"/>
  <c r="M752" i="9"/>
  <c r="L752" i="9"/>
  <c r="K752" i="9"/>
  <c r="J752" i="9"/>
  <c r="I752" i="9"/>
  <c r="H752" i="9"/>
  <c r="G752" i="9"/>
  <c r="F752" i="9"/>
  <c r="E752" i="9"/>
  <c r="D752" i="9"/>
  <c r="C752" i="9"/>
  <c r="B752" i="9"/>
  <c r="A752" i="9"/>
  <c r="M751" i="9"/>
  <c r="L751" i="9"/>
  <c r="K751" i="9"/>
  <c r="J751" i="9"/>
  <c r="I751" i="9"/>
  <c r="H751" i="9"/>
  <c r="G751" i="9"/>
  <c r="F751" i="9"/>
  <c r="E751" i="9"/>
  <c r="D751" i="9"/>
  <c r="C751" i="9"/>
  <c r="B751" i="9"/>
  <c r="A751" i="9"/>
  <c r="M750" i="9"/>
  <c r="L750" i="9"/>
  <c r="K750" i="9"/>
  <c r="J750" i="9"/>
  <c r="I750" i="9"/>
  <c r="H750" i="9"/>
  <c r="G750" i="9"/>
  <c r="F750" i="9"/>
  <c r="E750" i="9"/>
  <c r="D750" i="9"/>
  <c r="C750" i="9"/>
  <c r="B750" i="9"/>
  <c r="A750" i="9"/>
  <c r="M749" i="9"/>
  <c r="L749" i="9"/>
  <c r="K749" i="9"/>
  <c r="J749" i="9"/>
  <c r="I749" i="9"/>
  <c r="H749" i="9"/>
  <c r="G749" i="9"/>
  <c r="F749" i="9"/>
  <c r="E749" i="9"/>
  <c r="D749" i="9"/>
  <c r="C749" i="9"/>
  <c r="B749" i="9"/>
  <c r="A749" i="9"/>
  <c r="M748" i="9"/>
  <c r="L748" i="9"/>
  <c r="K748" i="9"/>
  <c r="J748" i="9"/>
  <c r="I748" i="9"/>
  <c r="H748" i="9"/>
  <c r="G748" i="9"/>
  <c r="F748" i="9"/>
  <c r="E748" i="9"/>
  <c r="D748" i="9"/>
  <c r="C748" i="9"/>
  <c r="B748" i="9"/>
  <c r="A748" i="9"/>
  <c r="M747" i="9"/>
  <c r="L747" i="9"/>
  <c r="K747" i="9"/>
  <c r="J747" i="9"/>
  <c r="I747" i="9"/>
  <c r="H747" i="9"/>
  <c r="G747" i="9"/>
  <c r="F747" i="9"/>
  <c r="E747" i="9"/>
  <c r="D747" i="9"/>
  <c r="C747" i="9"/>
  <c r="B747" i="9"/>
  <c r="A747" i="9"/>
  <c r="M746" i="9"/>
  <c r="L746" i="9"/>
  <c r="K746" i="9"/>
  <c r="J746" i="9"/>
  <c r="I746" i="9"/>
  <c r="H746" i="9"/>
  <c r="G746" i="9"/>
  <c r="F746" i="9"/>
  <c r="E746" i="9"/>
  <c r="D746" i="9"/>
  <c r="C746" i="9"/>
  <c r="B746" i="9"/>
  <c r="A746" i="9"/>
  <c r="M745" i="9"/>
  <c r="L745" i="9"/>
  <c r="K745" i="9"/>
  <c r="J745" i="9"/>
  <c r="I745" i="9"/>
  <c r="H745" i="9"/>
  <c r="G745" i="9"/>
  <c r="F745" i="9"/>
  <c r="E745" i="9"/>
  <c r="D745" i="9"/>
  <c r="C745" i="9"/>
  <c r="B745" i="9"/>
  <c r="A745" i="9"/>
  <c r="M744" i="9"/>
  <c r="L744" i="9"/>
  <c r="K744" i="9"/>
  <c r="J744" i="9"/>
  <c r="I744" i="9"/>
  <c r="H744" i="9"/>
  <c r="G744" i="9"/>
  <c r="F744" i="9"/>
  <c r="E744" i="9"/>
  <c r="D744" i="9"/>
  <c r="C744" i="9"/>
  <c r="B744" i="9"/>
  <c r="A744" i="9"/>
  <c r="M743" i="9"/>
  <c r="L743" i="9"/>
  <c r="K743" i="9"/>
  <c r="J743" i="9"/>
  <c r="I743" i="9"/>
  <c r="H743" i="9"/>
  <c r="G743" i="9"/>
  <c r="F743" i="9"/>
  <c r="E743" i="9"/>
  <c r="D743" i="9"/>
  <c r="C743" i="9"/>
  <c r="B743" i="9"/>
  <c r="A743" i="9"/>
  <c r="M742" i="9"/>
  <c r="L742" i="9"/>
  <c r="K742" i="9"/>
  <c r="J742" i="9"/>
  <c r="I742" i="9"/>
  <c r="H742" i="9"/>
  <c r="G742" i="9"/>
  <c r="F742" i="9"/>
  <c r="E742" i="9"/>
  <c r="D742" i="9"/>
  <c r="C742" i="9"/>
  <c r="B742" i="9"/>
  <c r="A742" i="9"/>
  <c r="M741" i="9"/>
  <c r="L741" i="9"/>
  <c r="K741" i="9"/>
  <c r="J741" i="9"/>
  <c r="I741" i="9"/>
  <c r="H741" i="9"/>
  <c r="G741" i="9"/>
  <c r="F741" i="9"/>
  <c r="E741" i="9"/>
  <c r="D741" i="9"/>
  <c r="C741" i="9"/>
  <c r="B741" i="9"/>
  <c r="A741" i="9"/>
  <c r="M740" i="9"/>
  <c r="L740" i="9"/>
  <c r="K740" i="9"/>
  <c r="J740" i="9"/>
  <c r="I740" i="9"/>
  <c r="H740" i="9"/>
  <c r="G740" i="9"/>
  <c r="F740" i="9"/>
  <c r="E740" i="9"/>
  <c r="D740" i="9"/>
  <c r="C740" i="9"/>
  <c r="B740" i="9"/>
  <c r="A740" i="9"/>
  <c r="M739" i="9"/>
  <c r="L739" i="9"/>
  <c r="K739" i="9"/>
  <c r="J739" i="9"/>
  <c r="I739" i="9"/>
  <c r="H739" i="9"/>
  <c r="G739" i="9"/>
  <c r="F739" i="9"/>
  <c r="E739" i="9"/>
  <c r="D739" i="9"/>
  <c r="C739" i="9"/>
  <c r="B739" i="9"/>
  <c r="A739" i="9"/>
  <c r="M738" i="9"/>
  <c r="L738" i="9"/>
  <c r="K738" i="9"/>
  <c r="J738" i="9"/>
  <c r="I738" i="9"/>
  <c r="H738" i="9"/>
  <c r="G738" i="9"/>
  <c r="F738" i="9"/>
  <c r="E738" i="9"/>
  <c r="D738" i="9"/>
  <c r="C738" i="9"/>
  <c r="B738" i="9"/>
  <c r="A738" i="9"/>
  <c r="M737" i="9"/>
  <c r="L737" i="9"/>
  <c r="K737" i="9"/>
  <c r="J737" i="9"/>
  <c r="I737" i="9"/>
  <c r="H737" i="9"/>
  <c r="G737" i="9"/>
  <c r="F737" i="9"/>
  <c r="E737" i="9"/>
  <c r="D737" i="9"/>
  <c r="C737" i="9"/>
  <c r="B737" i="9"/>
  <c r="A737" i="9"/>
  <c r="M736" i="9"/>
  <c r="L736" i="9"/>
  <c r="K736" i="9"/>
  <c r="J736" i="9"/>
  <c r="I736" i="9"/>
  <c r="H736" i="9"/>
  <c r="G736" i="9"/>
  <c r="F736" i="9"/>
  <c r="E736" i="9"/>
  <c r="D736" i="9"/>
  <c r="C736" i="9"/>
  <c r="B736" i="9"/>
  <c r="A736" i="9"/>
  <c r="M735" i="9"/>
  <c r="L735" i="9"/>
  <c r="K735" i="9"/>
  <c r="J735" i="9"/>
  <c r="I735" i="9"/>
  <c r="H735" i="9"/>
  <c r="G735" i="9"/>
  <c r="F735" i="9"/>
  <c r="E735" i="9"/>
  <c r="D735" i="9"/>
  <c r="C735" i="9"/>
  <c r="B735" i="9"/>
  <c r="A735" i="9"/>
  <c r="M734" i="9"/>
  <c r="L734" i="9"/>
  <c r="K734" i="9"/>
  <c r="J734" i="9"/>
  <c r="I734" i="9"/>
  <c r="H734" i="9"/>
  <c r="G734" i="9"/>
  <c r="F734" i="9"/>
  <c r="E734" i="9"/>
  <c r="D734" i="9"/>
  <c r="C734" i="9"/>
  <c r="B734" i="9"/>
  <c r="A734" i="9"/>
  <c r="M733" i="9"/>
  <c r="L733" i="9"/>
  <c r="K733" i="9"/>
  <c r="J733" i="9"/>
  <c r="I733" i="9"/>
  <c r="H733" i="9"/>
  <c r="G733" i="9"/>
  <c r="F733" i="9"/>
  <c r="E733" i="9"/>
  <c r="D733" i="9"/>
  <c r="C733" i="9"/>
  <c r="B733" i="9"/>
  <c r="A733" i="9"/>
  <c r="M732" i="9"/>
  <c r="L732" i="9"/>
  <c r="K732" i="9"/>
  <c r="J732" i="9"/>
  <c r="I732" i="9"/>
  <c r="H732" i="9"/>
  <c r="G732" i="9"/>
  <c r="F732" i="9"/>
  <c r="E732" i="9"/>
  <c r="D732" i="9"/>
  <c r="C732" i="9"/>
  <c r="B732" i="9"/>
  <c r="A732" i="9"/>
  <c r="M731" i="9"/>
  <c r="L731" i="9"/>
  <c r="K731" i="9"/>
  <c r="J731" i="9"/>
  <c r="I731" i="9"/>
  <c r="H731" i="9"/>
  <c r="G731" i="9"/>
  <c r="F731" i="9"/>
  <c r="E731" i="9"/>
  <c r="D731" i="9"/>
  <c r="C731" i="9"/>
  <c r="B731" i="9"/>
  <c r="A731" i="9"/>
  <c r="M730" i="9"/>
  <c r="L730" i="9"/>
  <c r="K730" i="9"/>
  <c r="J730" i="9"/>
  <c r="I730" i="9"/>
  <c r="H730" i="9"/>
  <c r="G730" i="9"/>
  <c r="F730" i="9"/>
  <c r="E730" i="9"/>
  <c r="D730" i="9"/>
  <c r="C730" i="9"/>
  <c r="B730" i="9"/>
  <c r="A730" i="9"/>
  <c r="M729" i="9"/>
  <c r="L729" i="9"/>
  <c r="K729" i="9"/>
  <c r="J729" i="9"/>
  <c r="I729" i="9"/>
  <c r="H729" i="9"/>
  <c r="G729" i="9"/>
  <c r="F729" i="9"/>
  <c r="E729" i="9"/>
  <c r="D729" i="9"/>
  <c r="C729" i="9"/>
  <c r="B729" i="9"/>
  <c r="A729" i="9"/>
  <c r="M728" i="9"/>
  <c r="L728" i="9"/>
  <c r="K728" i="9"/>
  <c r="J728" i="9"/>
  <c r="I728" i="9"/>
  <c r="H728" i="9"/>
  <c r="G728" i="9"/>
  <c r="F728" i="9"/>
  <c r="E728" i="9"/>
  <c r="D728" i="9"/>
  <c r="C728" i="9"/>
  <c r="B728" i="9"/>
  <c r="A728" i="9"/>
  <c r="M727" i="9"/>
  <c r="L727" i="9"/>
  <c r="K727" i="9"/>
  <c r="J727" i="9"/>
  <c r="I727" i="9"/>
  <c r="H727" i="9"/>
  <c r="G727" i="9"/>
  <c r="F727" i="9"/>
  <c r="E727" i="9"/>
  <c r="D727" i="9"/>
  <c r="C727" i="9"/>
  <c r="B727" i="9"/>
  <c r="A727" i="9"/>
  <c r="M726" i="9"/>
  <c r="L726" i="9"/>
  <c r="K726" i="9"/>
  <c r="J726" i="9"/>
  <c r="I726" i="9"/>
  <c r="H726" i="9"/>
  <c r="G726" i="9"/>
  <c r="F726" i="9"/>
  <c r="E726" i="9"/>
  <c r="D726" i="9"/>
  <c r="C726" i="9"/>
  <c r="B726" i="9"/>
  <c r="A726" i="9"/>
  <c r="M725" i="9"/>
  <c r="L725" i="9"/>
  <c r="K725" i="9"/>
  <c r="J725" i="9"/>
  <c r="I725" i="9"/>
  <c r="H725" i="9"/>
  <c r="G725" i="9"/>
  <c r="F725" i="9"/>
  <c r="E725" i="9"/>
  <c r="D725" i="9"/>
  <c r="C725" i="9"/>
  <c r="B725" i="9"/>
  <c r="A725" i="9"/>
  <c r="M724" i="9"/>
  <c r="L724" i="9"/>
  <c r="K724" i="9"/>
  <c r="J724" i="9"/>
  <c r="I724" i="9"/>
  <c r="H724" i="9"/>
  <c r="G724" i="9"/>
  <c r="F724" i="9"/>
  <c r="E724" i="9"/>
  <c r="D724" i="9"/>
  <c r="C724" i="9"/>
  <c r="B724" i="9"/>
  <c r="A724" i="9"/>
  <c r="M723" i="9"/>
  <c r="L723" i="9"/>
  <c r="K723" i="9"/>
  <c r="J723" i="9"/>
  <c r="I723" i="9"/>
  <c r="H723" i="9"/>
  <c r="G723" i="9"/>
  <c r="F723" i="9"/>
  <c r="E723" i="9"/>
  <c r="D723" i="9"/>
  <c r="C723" i="9"/>
  <c r="B723" i="9"/>
  <c r="A723" i="9"/>
  <c r="M722" i="9"/>
  <c r="L722" i="9"/>
  <c r="K722" i="9"/>
  <c r="J722" i="9"/>
  <c r="I722" i="9"/>
  <c r="H722" i="9"/>
  <c r="G722" i="9"/>
  <c r="F722" i="9"/>
  <c r="E722" i="9"/>
  <c r="D722" i="9"/>
  <c r="C722" i="9"/>
  <c r="B722" i="9"/>
  <c r="A722" i="9"/>
  <c r="M721" i="9"/>
  <c r="L721" i="9"/>
  <c r="K721" i="9"/>
  <c r="J721" i="9"/>
  <c r="I721" i="9"/>
  <c r="H721" i="9"/>
  <c r="G721" i="9"/>
  <c r="F721" i="9"/>
  <c r="E721" i="9"/>
  <c r="D721" i="9"/>
  <c r="C721" i="9"/>
  <c r="B721" i="9"/>
  <c r="A721" i="9"/>
  <c r="M720" i="9"/>
  <c r="L720" i="9"/>
  <c r="K720" i="9"/>
  <c r="J720" i="9"/>
  <c r="I720" i="9"/>
  <c r="H720" i="9"/>
  <c r="G720" i="9"/>
  <c r="F720" i="9"/>
  <c r="E720" i="9"/>
  <c r="D720" i="9"/>
  <c r="C720" i="9"/>
  <c r="B720" i="9"/>
  <c r="A720" i="9"/>
  <c r="M719" i="9"/>
  <c r="L719" i="9"/>
  <c r="K719" i="9"/>
  <c r="J719" i="9"/>
  <c r="I719" i="9"/>
  <c r="H719" i="9"/>
  <c r="G719" i="9"/>
  <c r="F719" i="9"/>
  <c r="E719" i="9"/>
  <c r="D719" i="9"/>
  <c r="C719" i="9"/>
  <c r="B719" i="9"/>
  <c r="A719" i="9"/>
  <c r="M718" i="9"/>
  <c r="L718" i="9"/>
  <c r="K718" i="9"/>
  <c r="J718" i="9"/>
  <c r="I718" i="9"/>
  <c r="H718" i="9"/>
  <c r="G718" i="9"/>
  <c r="F718" i="9"/>
  <c r="E718" i="9"/>
  <c r="D718" i="9"/>
  <c r="C718" i="9"/>
  <c r="B718" i="9"/>
  <c r="A718" i="9"/>
  <c r="M717" i="9"/>
  <c r="L717" i="9"/>
  <c r="K717" i="9"/>
  <c r="J717" i="9"/>
  <c r="I717" i="9"/>
  <c r="H717" i="9"/>
  <c r="G717" i="9"/>
  <c r="F717" i="9"/>
  <c r="E717" i="9"/>
  <c r="D717" i="9"/>
  <c r="C717" i="9"/>
  <c r="B717" i="9"/>
  <c r="A717" i="9"/>
  <c r="M716" i="9"/>
  <c r="L716" i="9"/>
  <c r="K716" i="9"/>
  <c r="J716" i="9"/>
  <c r="I716" i="9"/>
  <c r="H716" i="9"/>
  <c r="G716" i="9"/>
  <c r="F716" i="9"/>
  <c r="E716" i="9"/>
  <c r="D716" i="9"/>
  <c r="C716" i="9"/>
  <c r="B716" i="9"/>
  <c r="A716" i="9"/>
  <c r="M715" i="9"/>
  <c r="L715" i="9"/>
  <c r="K715" i="9"/>
  <c r="J715" i="9"/>
  <c r="I715" i="9"/>
  <c r="H715" i="9"/>
  <c r="G715" i="9"/>
  <c r="F715" i="9"/>
  <c r="E715" i="9"/>
  <c r="D715" i="9"/>
  <c r="C715" i="9"/>
  <c r="B715" i="9"/>
  <c r="A715" i="9"/>
  <c r="M714" i="9"/>
  <c r="L714" i="9"/>
  <c r="K714" i="9"/>
  <c r="J714" i="9"/>
  <c r="I714" i="9"/>
  <c r="H714" i="9"/>
  <c r="G714" i="9"/>
  <c r="F714" i="9"/>
  <c r="E714" i="9"/>
  <c r="D714" i="9"/>
  <c r="C714" i="9"/>
  <c r="B714" i="9"/>
  <c r="A714" i="9"/>
  <c r="M713" i="9"/>
  <c r="L713" i="9"/>
  <c r="K713" i="9"/>
  <c r="J713" i="9"/>
  <c r="I713" i="9"/>
  <c r="H713" i="9"/>
  <c r="G713" i="9"/>
  <c r="F713" i="9"/>
  <c r="E713" i="9"/>
  <c r="D713" i="9"/>
  <c r="C713" i="9"/>
  <c r="B713" i="9"/>
  <c r="A713" i="9"/>
  <c r="M712" i="9"/>
  <c r="L712" i="9"/>
  <c r="K712" i="9"/>
  <c r="J712" i="9"/>
  <c r="I712" i="9"/>
  <c r="H712" i="9"/>
  <c r="G712" i="9"/>
  <c r="F712" i="9"/>
  <c r="E712" i="9"/>
  <c r="D712" i="9"/>
  <c r="C712" i="9"/>
  <c r="B712" i="9"/>
  <c r="A712" i="9"/>
  <c r="M711" i="9"/>
  <c r="L711" i="9"/>
  <c r="K711" i="9"/>
  <c r="J711" i="9"/>
  <c r="I711" i="9"/>
  <c r="H711" i="9"/>
  <c r="G711" i="9"/>
  <c r="F711" i="9"/>
  <c r="E711" i="9"/>
  <c r="D711" i="9"/>
  <c r="C711" i="9"/>
  <c r="B711" i="9"/>
  <c r="A711" i="9"/>
  <c r="M710" i="9"/>
  <c r="L710" i="9"/>
  <c r="K710" i="9"/>
  <c r="J710" i="9"/>
  <c r="I710" i="9"/>
  <c r="H710" i="9"/>
  <c r="G710" i="9"/>
  <c r="F710" i="9"/>
  <c r="E710" i="9"/>
  <c r="D710" i="9"/>
  <c r="C710" i="9"/>
  <c r="B710" i="9"/>
  <c r="A710" i="9"/>
  <c r="M709" i="9"/>
  <c r="L709" i="9"/>
  <c r="K709" i="9"/>
  <c r="J709" i="9"/>
  <c r="I709" i="9"/>
  <c r="H709" i="9"/>
  <c r="G709" i="9"/>
  <c r="F709" i="9"/>
  <c r="E709" i="9"/>
  <c r="D709" i="9"/>
  <c r="C709" i="9"/>
  <c r="B709" i="9"/>
  <c r="A709" i="9"/>
  <c r="M708" i="9"/>
  <c r="L708" i="9"/>
  <c r="K708" i="9"/>
  <c r="J708" i="9"/>
  <c r="I708" i="9"/>
  <c r="H708" i="9"/>
  <c r="G708" i="9"/>
  <c r="F708" i="9"/>
  <c r="E708" i="9"/>
  <c r="D708" i="9"/>
  <c r="C708" i="9"/>
  <c r="B708" i="9"/>
  <c r="A708" i="9"/>
  <c r="M707" i="9"/>
  <c r="L707" i="9"/>
  <c r="K707" i="9"/>
  <c r="J707" i="9"/>
  <c r="I707" i="9"/>
  <c r="H707" i="9"/>
  <c r="G707" i="9"/>
  <c r="F707" i="9"/>
  <c r="E707" i="9"/>
  <c r="D707" i="9"/>
  <c r="C707" i="9"/>
  <c r="B707" i="9"/>
  <c r="A707" i="9"/>
  <c r="M706" i="9"/>
  <c r="L706" i="9"/>
  <c r="K706" i="9"/>
  <c r="J706" i="9"/>
  <c r="I706" i="9"/>
  <c r="H706" i="9"/>
  <c r="G706" i="9"/>
  <c r="F706" i="9"/>
  <c r="E706" i="9"/>
  <c r="D706" i="9"/>
  <c r="C706" i="9"/>
  <c r="B706" i="9"/>
  <c r="A706" i="9"/>
  <c r="M705" i="9"/>
  <c r="L705" i="9"/>
  <c r="K705" i="9"/>
  <c r="J705" i="9"/>
  <c r="I705" i="9"/>
  <c r="H705" i="9"/>
  <c r="G705" i="9"/>
  <c r="F705" i="9"/>
  <c r="E705" i="9"/>
  <c r="D705" i="9"/>
  <c r="C705" i="9"/>
  <c r="B705" i="9"/>
  <c r="A705" i="9"/>
  <c r="M704" i="9"/>
  <c r="L704" i="9"/>
  <c r="K704" i="9"/>
  <c r="J704" i="9"/>
  <c r="I704" i="9"/>
  <c r="H704" i="9"/>
  <c r="G704" i="9"/>
  <c r="F704" i="9"/>
  <c r="E704" i="9"/>
  <c r="D704" i="9"/>
  <c r="C704" i="9"/>
  <c r="B704" i="9"/>
  <c r="A704" i="9"/>
  <c r="M703" i="9"/>
  <c r="L703" i="9"/>
  <c r="K703" i="9"/>
  <c r="J703" i="9"/>
  <c r="I703" i="9"/>
  <c r="H703" i="9"/>
  <c r="G703" i="9"/>
  <c r="F703" i="9"/>
  <c r="E703" i="9"/>
  <c r="D703" i="9"/>
  <c r="C703" i="9"/>
  <c r="B703" i="9"/>
  <c r="A703" i="9"/>
  <c r="M702" i="9"/>
  <c r="L702" i="9"/>
  <c r="K702" i="9"/>
  <c r="J702" i="9"/>
  <c r="I702" i="9"/>
  <c r="H702" i="9"/>
  <c r="G702" i="9"/>
  <c r="F702" i="9"/>
  <c r="E702" i="9"/>
  <c r="D702" i="9"/>
  <c r="C702" i="9"/>
  <c r="B702" i="9"/>
  <c r="A702" i="9"/>
  <c r="M701" i="9"/>
  <c r="L701" i="9"/>
  <c r="K701" i="9"/>
  <c r="J701" i="9"/>
  <c r="I701" i="9"/>
  <c r="H701" i="9"/>
  <c r="G701" i="9"/>
  <c r="F701" i="9"/>
  <c r="E701" i="9"/>
  <c r="D701" i="9"/>
  <c r="C701" i="9"/>
  <c r="B701" i="9"/>
  <c r="A701" i="9"/>
  <c r="M700" i="9"/>
  <c r="L700" i="9"/>
  <c r="K700" i="9"/>
  <c r="J700" i="9"/>
  <c r="I700" i="9"/>
  <c r="H700" i="9"/>
  <c r="G700" i="9"/>
  <c r="F700" i="9"/>
  <c r="E700" i="9"/>
  <c r="D700" i="9"/>
  <c r="C700" i="9"/>
  <c r="B700" i="9"/>
  <c r="A700" i="9"/>
  <c r="M699" i="9"/>
  <c r="L699" i="9"/>
  <c r="K699" i="9"/>
  <c r="J699" i="9"/>
  <c r="I699" i="9"/>
  <c r="H699" i="9"/>
  <c r="G699" i="9"/>
  <c r="F699" i="9"/>
  <c r="E699" i="9"/>
  <c r="D699" i="9"/>
  <c r="C699" i="9"/>
  <c r="B699" i="9"/>
  <c r="A699" i="9"/>
  <c r="M698" i="9"/>
  <c r="L698" i="9"/>
  <c r="K698" i="9"/>
  <c r="J698" i="9"/>
  <c r="I698" i="9"/>
  <c r="H698" i="9"/>
  <c r="G698" i="9"/>
  <c r="F698" i="9"/>
  <c r="E698" i="9"/>
  <c r="D698" i="9"/>
  <c r="C698" i="9"/>
  <c r="B698" i="9"/>
  <c r="A698" i="9"/>
  <c r="M697" i="9"/>
  <c r="L697" i="9"/>
  <c r="K697" i="9"/>
  <c r="J697" i="9"/>
  <c r="I697" i="9"/>
  <c r="H697" i="9"/>
  <c r="G697" i="9"/>
  <c r="F697" i="9"/>
  <c r="E697" i="9"/>
  <c r="D697" i="9"/>
  <c r="C697" i="9"/>
  <c r="B697" i="9"/>
  <c r="A697" i="9"/>
  <c r="M696" i="9"/>
  <c r="L696" i="9"/>
  <c r="K696" i="9"/>
  <c r="J696" i="9"/>
  <c r="I696" i="9"/>
  <c r="H696" i="9"/>
  <c r="G696" i="9"/>
  <c r="F696" i="9"/>
  <c r="E696" i="9"/>
  <c r="D696" i="9"/>
  <c r="C696" i="9"/>
  <c r="B696" i="9"/>
  <c r="A696" i="9"/>
  <c r="M695" i="9"/>
  <c r="L695" i="9"/>
  <c r="K695" i="9"/>
  <c r="J695" i="9"/>
  <c r="I695" i="9"/>
  <c r="H695" i="9"/>
  <c r="G695" i="9"/>
  <c r="F695" i="9"/>
  <c r="E695" i="9"/>
  <c r="D695" i="9"/>
  <c r="C695" i="9"/>
  <c r="B695" i="9"/>
  <c r="A695" i="9"/>
  <c r="M694" i="9"/>
  <c r="L694" i="9"/>
  <c r="K694" i="9"/>
  <c r="J694" i="9"/>
  <c r="I694" i="9"/>
  <c r="H694" i="9"/>
  <c r="G694" i="9"/>
  <c r="F694" i="9"/>
  <c r="E694" i="9"/>
  <c r="D694" i="9"/>
  <c r="C694" i="9"/>
  <c r="B694" i="9"/>
  <c r="A694" i="9"/>
  <c r="M693" i="9"/>
  <c r="L693" i="9"/>
  <c r="K693" i="9"/>
  <c r="J693" i="9"/>
  <c r="I693" i="9"/>
  <c r="H693" i="9"/>
  <c r="G693" i="9"/>
  <c r="F693" i="9"/>
  <c r="E693" i="9"/>
  <c r="D693" i="9"/>
  <c r="C693" i="9"/>
  <c r="B693" i="9"/>
  <c r="A693" i="9"/>
  <c r="M692" i="9"/>
  <c r="L692" i="9"/>
  <c r="K692" i="9"/>
  <c r="J692" i="9"/>
  <c r="I692" i="9"/>
  <c r="H692" i="9"/>
  <c r="G692" i="9"/>
  <c r="F692" i="9"/>
  <c r="E692" i="9"/>
  <c r="D692" i="9"/>
  <c r="C692" i="9"/>
  <c r="B692" i="9"/>
  <c r="A692" i="9"/>
  <c r="M691" i="9"/>
  <c r="L691" i="9"/>
  <c r="K691" i="9"/>
  <c r="J691" i="9"/>
  <c r="I691" i="9"/>
  <c r="H691" i="9"/>
  <c r="G691" i="9"/>
  <c r="F691" i="9"/>
  <c r="E691" i="9"/>
  <c r="D691" i="9"/>
  <c r="C691" i="9"/>
  <c r="B691" i="9"/>
  <c r="A691" i="9"/>
  <c r="M690" i="9"/>
  <c r="L690" i="9"/>
  <c r="K690" i="9"/>
  <c r="J690" i="9"/>
  <c r="I690" i="9"/>
  <c r="H690" i="9"/>
  <c r="G690" i="9"/>
  <c r="F690" i="9"/>
  <c r="E690" i="9"/>
  <c r="D690" i="9"/>
  <c r="C690" i="9"/>
  <c r="B690" i="9"/>
  <c r="A690" i="9"/>
  <c r="M689" i="9"/>
  <c r="L689" i="9"/>
  <c r="K689" i="9"/>
  <c r="J689" i="9"/>
  <c r="I689" i="9"/>
  <c r="H689" i="9"/>
  <c r="G689" i="9"/>
  <c r="F689" i="9"/>
  <c r="E689" i="9"/>
  <c r="D689" i="9"/>
  <c r="C689" i="9"/>
  <c r="B689" i="9"/>
  <c r="A689" i="9"/>
  <c r="M688" i="9"/>
  <c r="L688" i="9"/>
  <c r="K688" i="9"/>
  <c r="J688" i="9"/>
  <c r="I688" i="9"/>
  <c r="H688" i="9"/>
  <c r="G688" i="9"/>
  <c r="F688" i="9"/>
  <c r="E688" i="9"/>
  <c r="D688" i="9"/>
  <c r="C688" i="9"/>
  <c r="B688" i="9"/>
  <c r="A688" i="9"/>
  <c r="M687" i="9"/>
  <c r="L687" i="9"/>
  <c r="K687" i="9"/>
  <c r="J687" i="9"/>
  <c r="I687" i="9"/>
  <c r="H687" i="9"/>
  <c r="G687" i="9"/>
  <c r="F687" i="9"/>
  <c r="E687" i="9"/>
  <c r="D687" i="9"/>
  <c r="C687" i="9"/>
  <c r="B687" i="9"/>
  <c r="A687" i="9"/>
  <c r="M686" i="9"/>
  <c r="L686" i="9"/>
  <c r="K686" i="9"/>
  <c r="J686" i="9"/>
  <c r="I686" i="9"/>
  <c r="H686" i="9"/>
  <c r="G686" i="9"/>
  <c r="F686" i="9"/>
  <c r="E686" i="9"/>
  <c r="D686" i="9"/>
  <c r="C686" i="9"/>
  <c r="B686" i="9"/>
  <c r="A686" i="9"/>
  <c r="M685" i="9"/>
  <c r="L685" i="9"/>
  <c r="K685" i="9"/>
  <c r="J685" i="9"/>
  <c r="I685" i="9"/>
  <c r="H685" i="9"/>
  <c r="G685" i="9"/>
  <c r="F685" i="9"/>
  <c r="E685" i="9"/>
  <c r="D685" i="9"/>
  <c r="C685" i="9"/>
  <c r="B685" i="9"/>
  <c r="A685" i="9"/>
  <c r="M684" i="9"/>
  <c r="L684" i="9"/>
  <c r="K684" i="9"/>
  <c r="J684" i="9"/>
  <c r="I684" i="9"/>
  <c r="H684" i="9"/>
  <c r="G684" i="9"/>
  <c r="F684" i="9"/>
  <c r="E684" i="9"/>
  <c r="D684" i="9"/>
  <c r="C684" i="9"/>
  <c r="B684" i="9"/>
  <c r="A684" i="9"/>
  <c r="M683" i="9"/>
  <c r="L683" i="9"/>
  <c r="K683" i="9"/>
  <c r="J683" i="9"/>
  <c r="I683" i="9"/>
  <c r="H683" i="9"/>
  <c r="G683" i="9"/>
  <c r="F683" i="9"/>
  <c r="E683" i="9"/>
  <c r="D683" i="9"/>
  <c r="C683" i="9"/>
  <c r="B683" i="9"/>
  <c r="A683" i="9"/>
  <c r="M682" i="9"/>
  <c r="L682" i="9"/>
  <c r="K682" i="9"/>
  <c r="J682" i="9"/>
  <c r="I682" i="9"/>
  <c r="H682" i="9"/>
  <c r="G682" i="9"/>
  <c r="F682" i="9"/>
  <c r="E682" i="9"/>
  <c r="D682" i="9"/>
  <c r="C682" i="9"/>
  <c r="B682" i="9"/>
  <c r="A682" i="9"/>
  <c r="M681" i="9"/>
  <c r="L681" i="9"/>
  <c r="K681" i="9"/>
  <c r="J681" i="9"/>
  <c r="I681" i="9"/>
  <c r="H681" i="9"/>
  <c r="G681" i="9"/>
  <c r="F681" i="9"/>
  <c r="E681" i="9"/>
  <c r="D681" i="9"/>
  <c r="C681" i="9"/>
  <c r="B681" i="9"/>
  <c r="A681" i="9"/>
  <c r="M680" i="9"/>
  <c r="L680" i="9"/>
  <c r="K680" i="9"/>
  <c r="J680" i="9"/>
  <c r="I680" i="9"/>
  <c r="H680" i="9"/>
  <c r="G680" i="9"/>
  <c r="F680" i="9"/>
  <c r="E680" i="9"/>
  <c r="D680" i="9"/>
  <c r="C680" i="9"/>
  <c r="B680" i="9"/>
  <c r="A680" i="9"/>
  <c r="M679" i="9"/>
  <c r="L679" i="9"/>
  <c r="K679" i="9"/>
  <c r="J679" i="9"/>
  <c r="I679" i="9"/>
  <c r="H679" i="9"/>
  <c r="G679" i="9"/>
  <c r="F679" i="9"/>
  <c r="E679" i="9"/>
  <c r="D679" i="9"/>
  <c r="C679" i="9"/>
  <c r="B679" i="9"/>
  <c r="A679" i="9"/>
  <c r="M678" i="9"/>
  <c r="L678" i="9"/>
  <c r="K678" i="9"/>
  <c r="J678" i="9"/>
  <c r="I678" i="9"/>
  <c r="H678" i="9"/>
  <c r="G678" i="9"/>
  <c r="F678" i="9"/>
  <c r="E678" i="9"/>
  <c r="D678" i="9"/>
  <c r="C678" i="9"/>
  <c r="B678" i="9"/>
  <c r="A678" i="9"/>
  <c r="M677" i="9"/>
  <c r="L677" i="9"/>
  <c r="K677" i="9"/>
  <c r="J677" i="9"/>
  <c r="I677" i="9"/>
  <c r="H677" i="9"/>
  <c r="G677" i="9"/>
  <c r="F677" i="9"/>
  <c r="E677" i="9"/>
  <c r="D677" i="9"/>
  <c r="C677" i="9"/>
  <c r="B677" i="9"/>
  <c r="A677" i="9"/>
  <c r="M676" i="9"/>
  <c r="L676" i="9"/>
  <c r="K676" i="9"/>
  <c r="J676" i="9"/>
  <c r="I676" i="9"/>
  <c r="H676" i="9"/>
  <c r="G676" i="9"/>
  <c r="F676" i="9"/>
  <c r="E676" i="9"/>
  <c r="D676" i="9"/>
  <c r="C676" i="9"/>
  <c r="B676" i="9"/>
  <c r="A676" i="9"/>
  <c r="M675" i="9"/>
  <c r="L675" i="9"/>
  <c r="K675" i="9"/>
  <c r="J675" i="9"/>
  <c r="I675" i="9"/>
  <c r="H675" i="9"/>
  <c r="G675" i="9"/>
  <c r="F675" i="9"/>
  <c r="E675" i="9"/>
  <c r="D675" i="9"/>
  <c r="C675" i="9"/>
  <c r="B675" i="9"/>
  <c r="A675" i="9"/>
  <c r="M674" i="9"/>
  <c r="L674" i="9"/>
  <c r="K674" i="9"/>
  <c r="J674" i="9"/>
  <c r="I674" i="9"/>
  <c r="H674" i="9"/>
  <c r="G674" i="9"/>
  <c r="F674" i="9"/>
  <c r="E674" i="9"/>
  <c r="D674" i="9"/>
  <c r="C674" i="9"/>
  <c r="B674" i="9"/>
  <c r="A674" i="9"/>
  <c r="M673" i="9"/>
  <c r="L673" i="9"/>
  <c r="K673" i="9"/>
  <c r="J673" i="9"/>
  <c r="I673" i="9"/>
  <c r="H673" i="9"/>
  <c r="G673" i="9"/>
  <c r="F673" i="9"/>
  <c r="E673" i="9"/>
  <c r="D673" i="9"/>
  <c r="C673" i="9"/>
  <c r="B673" i="9"/>
  <c r="A673" i="9"/>
  <c r="M672" i="9"/>
  <c r="L672" i="9"/>
  <c r="K672" i="9"/>
  <c r="J672" i="9"/>
  <c r="I672" i="9"/>
  <c r="H672" i="9"/>
  <c r="G672" i="9"/>
  <c r="F672" i="9"/>
  <c r="E672" i="9"/>
  <c r="D672" i="9"/>
  <c r="C672" i="9"/>
  <c r="B672" i="9"/>
  <c r="A672" i="9"/>
  <c r="M671" i="9"/>
  <c r="L671" i="9"/>
  <c r="K671" i="9"/>
  <c r="J671" i="9"/>
  <c r="I671" i="9"/>
  <c r="H671" i="9"/>
  <c r="G671" i="9"/>
  <c r="F671" i="9"/>
  <c r="E671" i="9"/>
  <c r="D671" i="9"/>
  <c r="C671" i="9"/>
  <c r="B671" i="9"/>
  <c r="A671" i="9"/>
  <c r="M670" i="9"/>
  <c r="L670" i="9"/>
  <c r="K670" i="9"/>
  <c r="J670" i="9"/>
  <c r="I670" i="9"/>
  <c r="H670" i="9"/>
  <c r="G670" i="9"/>
  <c r="F670" i="9"/>
  <c r="E670" i="9"/>
  <c r="D670" i="9"/>
  <c r="C670" i="9"/>
  <c r="B670" i="9"/>
  <c r="A670" i="9"/>
  <c r="M669" i="9"/>
  <c r="L669" i="9"/>
  <c r="K669" i="9"/>
  <c r="J669" i="9"/>
  <c r="I669" i="9"/>
  <c r="H669" i="9"/>
  <c r="G669" i="9"/>
  <c r="F669" i="9"/>
  <c r="E669" i="9"/>
  <c r="D669" i="9"/>
  <c r="C669" i="9"/>
  <c r="B669" i="9"/>
  <c r="A669" i="9"/>
  <c r="M668" i="9"/>
  <c r="L668" i="9"/>
  <c r="K668" i="9"/>
  <c r="J668" i="9"/>
  <c r="I668" i="9"/>
  <c r="H668" i="9"/>
  <c r="G668" i="9"/>
  <c r="F668" i="9"/>
  <c r="E668" i="9"/>
  <c r="D668" i="9"/>
  <c r="C668" i="9"/>
  <c r="B668" i="9"/>
  <c r="A668" i="9"/>
  <c r="M667" i="9"/>
  <c r="L667" i="9"/>
  <c r="K667" i="9"/>
  <c r="J667" i="9"/>
  <c r="I667" i="9"/>
  <c r="H667" i="9"/>
  <c r="G667" i="9"/>
  <c r="F667" i="9"/>
  <c r="E667" i="9"/>
  <c r="D667" i="9"/>
  <c r="C667" i="9"/>
  <c r="B667" i="9"/>
  <c r="A667" i="9"/>
  <c r="M666" i="9"/>
  <c r="L666" i="9"/>
  <c r="K666" i="9"/>
  <c r="J666" i="9"/>
  <c r="I666" i="9"/>
  <c r="H666" i="9"/>
  <c r="G666" i="9"/>
  <c r="F666" i="9"/>
  <c r="E666" i="9"/>
  <c r="D666" i="9"/>
  <c r="C666" i="9"/>
  <c r="B666" i="9"/>
  <c r="A666" i="9"/>
  <c r="M665" i="9"/>
  <c r="L665" i="9"/>
  <c r="K665" i="9"/>
  <c r="J665" i="9"/>
  <c r="I665" i="9"/>
  <c r="H665" i="9"/>
  <c r="G665" i="9"/>
  <c r="F665" i="9"/>
  <c r="E665" i="9"/>
  <c r="D665" i="9"/>
  <c r="C665" i="9"/>
  <c r="B665" i="9"/>
  <c r="A665" i="9"/>
  <c r="M664" i="9"/>
  <c r="L664" i="9"/>
  <c r="K664" i="9"/>
  <c r="J664" i="9"/>
  <c r="I664" i="9"/>
  <c r="H664" i="9"/>
  <c r="G664" i="9"/>
  <c r="F664" i="9"/>
  <c r="E664" i="9"/>
  <c r="D664" i="9"/>
  <c r="C664" i="9"/>
  <c r="B664" i="9"/>
  <c r="A664" i="9"/>
  <c r="M663" i="9"/>
  <c r="L663" i="9"/>
  <c r="K663" i="9"/>
  <c r="J663" i="9"/>
  <c r="I663" i="9"/>
  <c r="H663" i="9"/>
  <c r="G663" i="9"/>
  <c r="F663" i="9"/>
  <c r="E663" i="9"/>
  <c r="D663" i="9"/>
  <c r="C663" i="9"/>
  <c r="B663" i="9"/>
  <c r="A663" i="9"/>
  <c r="M662" i="9"/>
  <c r="L662" i="9"/>
  <c r="K662" i="9"/>
  <c r="J662" i="9"/>
  <c r="I662" i="9"/>
  <c r="H662" i="9"/>
  <c r="G662" i="9"/>
  <c r="F662" i="9"/>
  <c r="E662" i="9"/>
  <c r="D662" i="9"/>
  <c r="C662" i="9"/>
  <c r="B662" i="9"/>
  <c r="A662" i="9"/>
  <c r="M661" i="9"/>
  <c r="L661" i="9"/>
  <c r="K661" i="9"/>
  <c r="J661" i="9"/>
  <c r="I661" i="9"/>
  <c r="H661" i="9"/>
  <c r="G661" i="9"/>
  <c r="F661" i="9"/>
  <c r="E661" i="9"/>
  <c r="D661" i="9"/>
  <c r="C661" i="9"/>
  <c r="B661" i="9"/>
  <c r="A661" i="9"/>
  <c r="M660" i="9"/>
  <c r="L660" i="9"/>
  <c r="K660" i="9"/>
  <c r="J660" i="9"/>
  <c r="I660" i="9"/>
  <c r="H660" i="9"/>
  <c r="G660" i="9"/>
  <c r="F660" i="9"/>
  <c r="E660" i="9"/>
  <c r="D660" i="9"/>
  <c r="C660" i="9"/>
  <c r="B660" i="9"/>
  <c r="A660" i="9"/>
  <c r="M659" i="9"/>
  <c r="L659" i="9"/>
  <c r="K659" i="9"/>
  <c r="J659" i="9"/>
  <c r="I659" i="9"/>
  <c r="H659" i="9"/>
  <c r="G659" i="9"/>
  <c r="F659" i="9"/>
  <c r="E659" i="9"/>
  <c r="D659" i="9"/>
  <c r="C659" i="9"/>
  <c r="B659" i="9"/>
  <c r="A659" i="9"/>
  <c r="M658" i="9"/>
  <c r="L658" i="9"/>
  <c r="K658" i="9"/>
  <c r="J658" i="9"/>
  <c r="I658" i="9"/>
  <c r="H658" i="9"/>
  <c r="G658" i="9"/>
  <c r="F658" i="9"/>
  <c r="E658" i="9"/>
  <c r="D658" i="9"/>
  <c r="C658" i="9"/>
  <c r="B658" i="9"/>
  <c r="A658" i="9"/>
  <c r="M657" i="9"/>
  <c r="L657" i="9"/>
  <c r="K657" i="9"/>
  <c r="J657" i="9"/>
  <c r="I657" i="9"/>
  <c r="H657" i="9"/>
  <c r="G657" i="9"/>
  <c r="F657" i="9"/>
  <c r="E657" i="9"/>
  <c r="D657" i="9"/>
  <c r="C657" i="9"/>
  <c r="B657" i="9"/>
  <c r="A657" i="9"/>
  <c r="M656" i="9"/>
  <c r="L656" i="9"/>
  <c r="K656" i="9"/>
  <c r="J656" i="9"/>
  <c r="I656" i="9"/>
  <c r="H656" i="9"/>
  <c r="G656" i="9"/>
  <c r="F656" i="9"/>
  <c r="E656" i="9"/>
  <c r="D656" i="9"/>
  <c r="C656" i="9"/>
  <c r="B656" i="9"/>
  <c r="A656" i="9"/>
  <c r="M655" i="9"/>
  <c r="L655" i="9"/>
  <c r="K655" i="9"/>
  <c r="J655" i="9"/>
  <c r="I655" i="9"/>
  <c r="H655" i="9"/>
  <c r="G655" i="9"/>
  <c r="F655" i="9"/>
  <c r="E655" i="9"/>
  <c r="D655" i="9"/>
  <c r="C655" i="9"/>
  <c r="B655" i="9"/>
  <c r="A655" i="9"/>
  <c r="M654" i="9"/>
  <c r="L654" i="9"/>
  <c r="K654" i="9"/>
  <c r="J654" i="9"/>
  <c r="I654" i="9"/>
  <c r="H654" i="9"/>
  <c r="G654" i="9"/>
  <c r="F654" i="9"/>
  <c r="E654" i="9"/>
  <c r="D654" i="9"/>
  <c r="C654" i="9"/>
  <c r="B654" i="9"/>
  <c r="A654" i="9"/>
  <c r="M653" i="9"/>
  <c r="L653" i="9"/>
  <c r="K653" i="9"/>
  <c r="J653" i="9"/>
  <c r="I653" i="9"/>
  <c r="H653" i="9"/>
  <c r="G653" i="9"/>
  <c r="F653" i="9"/>
  <c r="E653" i="9"/>
  <c r="D653" i="9"/>
  <c r="C653" i="9"/>
  <c r="B653" i="9"/>
  <c r="A653" i="9"/>
  <c r="M652" i="9"/>
  <c r="L652" i="9"/>
  <c r="K652" i="9"/>
  <c r="J652" i="9"/>
  <c r="I652" i="9"/>
  <c r="H652" i="9"/>
  <c r="G652" i="9"/>
  <c r="F652" i="9"/>
  <c r="E652" i="9"/>
  <c r="D652" i="9"/>
  <c r="C652" i="9"/>
  <c r="B652" i="9"/>
  <c r="A652" i="9"/>
  <c r="M651" i="9"/>
  <c r="L651" i="9"/>
  <c r="K651" i="9"/>
  <c r="J651" i="9"/>
  <c r="I651" i="9"/>
  <c r="H651" i="9"/>
  <c r="G651" i="9"/>
  <c r="F651" i="9"/>
  <c r="E651" i="9"/>
  <c r="D651" i="9"/>
  <c r="C651" i="9"/>
  <c r="B651" i="9"/>
  <c r="A651" i="9"/>
  <c r="M650" i="9"/>
  <c r="L650" i="9"/>
  <c r="K650" i="9"/>
  <c r="J650" i="9"/>
  <c r="I650" i="9"/>
  <c r="H650" i="9"/>
  <c r="G650" i="9"/>
  <c r="F650" i="9"/>
  <c r="E650" i="9"/>
  <c r="D650" i="9"/>
  <c r="C650" i="9"/>
  <c r="B650" i="9"/>
  <c r="A650" i="9"/>
  <c r="M649" i="9"/>
  <c r="L649" i="9"/>
  <c r="K649" i="9"/>
  <c r="J649" i="9"/>
  <c r="I649" i="9"/>
  <c r="H649" i="9"/>
  <c r="G649" i="9"/>
  <c r="F649" i="9"/>
  <c r="E649" i="9"/>
  <c r="D649" i="9"/>
  <c r="C649" i="9"/>
  <c r="B649" i="9"/>
  <c r="A649" i="9"/>
  <c r="M648" i="9"/>
  <c r="L648" i="9"/>
  <c r="K648" i="9"/>
  <c r="J648" i="9"/>
  <c r="I648" i="9"/>
  <c r="H648" i="9"/>
  <c r="G648" i="9"/>
  <c r="F648" i="9"/>
  <c r="E648" i="9"/>
  <c r="D648" i="9"/>
  <c r="C648" i="9"/>
  <c r="B648" i="9"/>
  <c r="A648" i="9"/>
  <c r="M647" i="9"/>
  <c r="L647" i="9"/>
  <c r="K647" i="9"/>
  <c r="J647" i="9"/>
  <c r="I647" i="9"/>
  <c r="H647" i="9"/>
  <c r="G647" i="9"/>
  <c r="F647" i="9"/>
  <c r="E647" i="9"/>
  <c r="D647" i="9"/>
  <c r="C647" i="9"/>
  <c r="B647" i="9"/>
  <c r="A647" i="9"/>
  <c r="M646" i="9"/>
  <c r="L646" i="9"/>
  <c r="K646" i="9"/>
  <c r="J646" i="9"/>
  <c r="I646" i="9"/>
  <c r="H646" i="9"/>
  <c r="G646" i="9"/>
  <c r="F646" i="9"/>
  <c r="E646" i="9"/>
  <c r="D646" i="9"/>
  <c r="C646" i="9"/>
  <c r="B646" i="9"/>
  <c r="A646" i="9"/>
  <c r="M645" i="9"/>
  <c r="L645" i="9"/>
  <c r="K645" i="9"/>
  <c r="J645" i="9"/>
  <c r="I645" i="9"/>
  <c r="H645" i="9"/>
  <c r="G645" i="9"/>
  <c r="F645" i="9"/>
  <c r="E645" i="9"/>
  <c r="D645" i="9"/>
  <c r="C645" i="9"/>
  <c r="B645" i="9"/>
  <c r="A645" i="9"/>
  <c r="M644" i="9"/>
  <c r="L644" i="9"/>
  <c r="K644" i="9"/>
  <c r="J644" i="9"/>
  <c r="I644" i="9"/>
  <c r="H644" i="9"/>
  <c r="G644" i="9"/>
  <c r="F644" i="9"/>
  <c r="E644" i="9"/>
  <c r="D644" i="9"/>
  <c r="C644" i="9"/>
  <c r="B644" i="9"/>
  <c r="A644" i="9"/>
  <c r="M643" i="9"/>
  <c r="L643" i="9"/>
  <c r="K643" i="9"/>
  <c r="J643" i="9"/>
  <c r="I643" i="9"/>
  <c r="H643" i="9"/>
  <c r="G643" i="9"/>
  <c r="F643" i="9"/>
  <c r="E643" i="9"/>
  <c r="D643" i="9"/>
  <c r="C643" i="9"/>
  <c r="B643" i="9"/>
  <c r="A643" i="9"/>
  <c r="M642" i="9"/>
  <c r="L642" i="9"/>
  <c r="K642" i="9"/>
  <c r="J642" i="9"/>
  <c r="I642" i="9"/>
  <c r="H642" i="9"/>
  <c r="G642" i="9"/>
  <c r="F642" i="9"/>
  <c r="E642" i="9"/>
  <c r="D642" i="9"/>
  <c r="C642" i="9"/>
  <c r="B642" i="9"/>
  <c r="A642" i="9"/>
  <c r="M641" i="9"/>
  <c r="L641" i="9"/>
  <c r="K641" i="9"/>
  <c r="J641" i="9"/>
  <c r="I641" i="9"/>
  <c r="H641" i="9"/>
  <c r="G641" i="9"/>
  <c r="F641" i="9"/>
  <c r="E641" i="9"/>
  <c r="D641" i="9"/>
  <c r="C641" i="9"/>
  <c r="B641" i="9"/>
  <c r="A641" i="9"/>
  <c r="M640" i="9"/>
  <c r="L640" i="9"/>
  <c r="K640" i="9"/>
  <c r="J640" i="9"/>
  <c r="I640" i="9"/>
  <c r="H640" i="9"/>
  <c r="G640" i="9"/>
  <c r="F640" i="9"/>
  <c r="E640" i="9"/>
  <c r="D640" i="9"/>
  <c r="C640" i="9"/>
  <c r="B640" i="9"/>
  <c r="A640" i="9"/>
  <c r="M639" i="9"/>
  <c r="L639" i="9"/>
  <c r="K639" i="9"/>
  <c r="J639" i="9"/>
  <c r="I639" i="9"/>
  <c r="H639" i="9"/>
  <c r="G639" i="9"/>
  <c r="F639" i="9"/>
  <c r="E639" i="9"/>
  <c r="D639" i="9"/>
  <c r="C639" i="9"/>
  <c r="B639" i="9"/>
  <c r="A639" i="9"/>
  <c r="M638" i="9"/>
  <c r="L638" i="9"/>
  <c r="K638" i="9"/>
  <c r="J638" i="9"/>
  <c r="I638" i="9"/>
  <c r="H638" i="9"/>
  <c r="G638" i="9"/>
  <c r="F638" i="9"/>
  <c r="E638" i="9"/>
  <c r="D638" i="9"/>
  <c r="C638" i="9"/>
  <c r="B638" i="9"/>
  <c r="A638" i="9"/>
  <c r="M637" i="9"/>
  <c r="L637" i="9"/>
  <c r="K637" i="9"/>
  <c r="J637" i="9"/>
  <c r="I637" i="9"/>
  <c r="H637" i="9"/>
  <c r="G637" i="9"/>
  <c r="F637" i="9"/>
  <c r="E637" i="9"/>
  <c r="D637" i="9"/>
  <c r="C637" i="9"/>
  <c r="B637" i="9"/>
  <c r="A637" i="9"/>
  <c r="M636" i="9"/>
  <c r="L636" i="9"/>
  <c r="K636" i="9"/>
  <c r="J636" i="9"/>
  <c r="I636" i="9"/>
  <c r="H636" i="9"/>
  <c r="G636" i="9"/>
  <c r="F636" i="9"/>
  <c r="E636" i="9"/>
  <c r="D636" i="9"/>
  <c r="C636" i="9"/>
  <c r="B636" i="9"/>
  <c r="A636" i="9"/>
  <c r="M635" i="9"/>
  <c r="L635" i="9"/>
  <c r="K635" i="9"/>
  <c r="J635" i="9"/>
  <c r="I635" i="9"/>
  <c r="H635" i="9"/>
  <c r="G635" i="9"/>
  <c r="F635" i="9"/>
  <c r="E635" i="9"/>
  <c r="D635" i="9"/>
  <c r="C635" i="9"/>
  <c r="B635" i="9"/>
  <c r="A635" i="9"/>
  <c r="M634" i="9"/>
  <c r="L634" i="9"/>
  <c r="K634" i="9"/>
  <c r="J634" i="9"/>
  <c r="I634" i="9"/>
  <c r="H634" i="9"/>
  <c r="G634" i="9"/>
  <c r="F634" i="9"/>
  <c r="E634" i="9"/>
  <c r="D634" i="9"/>
  <c r="C634" i="9"/>
  <c r="B634" i="9"/>
  <c r="A634" i="9"/>
  <c r="M633" i="9"/>
  <c r="L633" i="9"/>
  <c r="K633" i="9"/>
  <c r="J633" i="9"/>
  <c r="I633" i="9"/>
  <c r="H633" i="9"/>
  <c r="G633" i="9"/>
  <c r="F633" i="9"/>
  <c r="E633" i="9"/>
  <c r="D633" i="9"/>
  <c r="C633" i="9"/>
  <c r="B633" i="9"/>
  <c r="A633" i="9"/>
  <c r="M632" i="9"/>
  <c r="L632" i="9"/>
  <c r="K632" i="9"/>
  <c r="J632" i="9"/>
  <c r="I632" i="9"/>
  <c r="H632" i="9"/>
  <c r="G632" i="9"/>
  <c r="F632" i="9"/>
  <c r="E632" i="9"/>
  <c r="D632" i="9"/>
  <c r="C632" i="9"/>
  <c r="B632" i="9"/>
  <c r="A632" i="9"/>
  <c r="M631" i="9"/>
  <c r="L631" i="9"/>
  <c r="K631" i="9"/>
  <c r="J631" i="9"/>
  <c r="I631" i="9"/>
  <c r="H631" i="9"/>
  <c r="G631" i="9"/>
  <c r="F631" i="9"/>
  <c r="E631" i="9"/>
  <c r="D631" i="9"/>
  <c r="C631" i="9"/>
  <c r="B631" i="9"/>
  <c r="A631" i="9"/>
  <c r="M630" i="9"/>
  <c r="L630" i="9"/>
  <c r="K630" i="9"/>
  <c r="J630" i="9"/>
  <c r="I630" i="9"/>
  <c r="H630" i="9"/>
  <c r="G630" i="9"/>
  <c r="F630" i="9"/>
  <c r="E630" i="9"/>
  <c r="D630" i="9"/>
  <c r="C630" i="9"/>
  <c r="B630" i="9"/>
  <c r="A630" i="9"/>
  <c r="M629" i="9"/>
  <c r="L629" i="9"/>
  <c r="K629" i="9"/>
  <c r="J629" i="9"/>
  <c r="I629" i="9"/>
  <c r="H629" i="9"/>
  <c r="G629" i="9"/>
  <c r="F629" i="9"/>
  <c r="E629" i="9"/>
  <c r="D629" i="9"/>
  <c r="C629" i="9"/>
  <c r="B629" i="9"/>
  <c r="A629" i="9"/>
  <c r="M628" i="9"/>
  <c r="L628" i="9"/>
  <c r="K628" i="9"/>
  <c r="J628" i="9"/>
  <c r="I628" i="9"/>
  <c r="H628" i="9"/>
  <c r="G628" i="9"/>
  <c r="F628" i="9"/>
  <c r="E628" i="9"/>
  <c r="D628" i="9"/>
  <c r="C628" i="9"/>
  <c r="B628" i="9"/>
  <c r="A628" i="9"/>
  <c r="M627" i="9"/>
  <c r="L627" i="9"/>
  <c r="K627" i="9"/>
  <c r="J627" i="9"/>
  <c r="I627" i="9"/>
  <c r="H627" i="9"/>
  <c r="G627" i="9"/>
  <c r="F627" i="9"/>
  <c r="E627" i="9"/>
  <c r="D627" i="9"/>
  <c r="C627" i="9"/>
  <c r="B627" i="9"/>
  <c r="A627" i="9"/>
  <c r="M626" i="9"/>
  <c r="L626" i="9"/>
  <c r="K626" i="9"/>
  <c r="J626" i="9"/>
  <c r="I626" i="9"/>
  <c r="H626" i="9"/>
  <c r="G626" i="9"/>
  <c r="F626" i="9"/>
  <c r="E626" i="9"/>
  <c r="D626" i="9"/>
  <c r="C626" i="9"/>
  <c r="B626" i="9"/>
  <c r="A626" i="9"/>
  <c r="M625" i="9"/>
  <c r="L625" i="9"/>
  <c r="K625" i="9"/>
  <c r="J625" i="9"/>
  <c r="I625" i="9"/>
  <c r="H625" i="9"/>
  <c r="G625" i="9"/>
  <c r="F625" i="9"/>
  <c r="E625" i="9"/>
  <c r="D625" i="9"/>
  <c r="C625" i="9"/>
  <c r="B625" i="9"/>
  <c r="A625" i="9"/>
  <c r="M624" i="9"/>
  <c r="L624" i="9"/>
  <c r="K624" i="9"/>
  <c r="J624" i="9"/>
  <c r="I624" i="9"/>
  <c r="H624" i="9"/>
  <c r="G624" i="9"/>
  <c r="F624" i="9"/>
  <c r="E624" i="9"/>
  <c r="D624" i="9"/>
  <c r="C624" i="9"/>
  <c r="B624" i="9"/>
  <c r="A624" i="9"/>
  <c r="M623" i="9"/>
  <c r="L623" i="9"/>
  <c r="K623" i="9"/>
  <c r="J623" i="9"/>
  <c r="I623" i="9"/>
  <c r="H623" i="9"/>
  <c r="G623" i="9"/>
  <c r="F623" i="9"/>
  <c r="E623" i="9"/>
  <c r="D623" i="9"/>
  <c r="C623" i="9"/>
  <c r="B623" i="9"/>
  <c r="A623" i="9"/>
  <c r="M622" i="9"/>
  <c r="L622" i="9"/>
  <c r="K622" i="9"/>
  <c r="J622" i="9"/>
  <c r="I622" i="9"/>
  <c r="H622" i="9"/>
  <c r="G622" i="9"/>
  <c r="F622" i="9"/>
  <c r="E622" i="9"/>
  <c r="D622" i="9"/>
  <c r="C622" i="9"/>
  <c r="B622" i="9"/>
  <c r="A622" i="9"/>
  <c r="M621" i="9"/>
  <c r="L621" i="9"/>
  <c r="K621" i="9"/>
  <c r="J621" i="9"/>
  <c r="I621" i="9"/>
  <c r="H621" i="9"/>
  <c r="G621" i="9"/>
  <c r="F621" i="9"/>
  <c r="E621" i="9"/>
  <c r="D621" i="9"/>
  <c r="C621" i="9"/>
  <c r="B621" i="9"/>
  <c r="A621" i="9"/>
  <c r="M620" i="9"/>
  <c r="L620" i="9"/>
  <c r="K620" i="9"/>
  <c r="J620" i="9"/>
  <c r="I620" i="9"/>
  <c r="H620" i="9"/>
  <c r="G620" i="9"/>
  <c r="F620" i="9"/>
  <c r="E620" i="9"/>
  <c r="D620" i="9"/>
  <c r="C620" i="9"/>
  <c r="B620" i="9"/>
  <c r="A620" i="9"/>
  <c r="M619" i="9"/>
  <c r="L619" i="9"/>
  <c r="K619" i="9"/>
  <c r="J619" i="9"/>
  <c r="I619" i="9"/>
  <c r="H619" i="9"/>
  <c r="G619" i="9"/>
  <c r="F619" i="9"/>
  <c r="E619" i="9"/>
  <c r="D619" i="9"/>
  <c r="C619" i="9"/>
  <c r="B619" i="9"/>
  <c r="A619" i="9"/>
  <c r="M618" i="9"/>
  <c r="L618" i="9"/>
  <c r="K618" i="9"/>
  <c r="J618" i="9"/>
  <c r="I618" i="9"/>
  <c r="H618" i="9"/>
  <c r="G618" i="9"/>
  <c r="F618" i="9"/>
  <c r="E618" i="9"/>
  <c r="D618" i="9"/>
  <c r="C618" i="9"/>
  <c r="B618" i="9"/>
  <c r="A618" i="9"/>
  <c r="M617" i="9"/>
  <c r="L617" i="9"/>
  <c r="K617" i="9"/>
  <c r="J617" i="9"/>
  <c r="I617" i="9"/>
  <c r="H617" i="9"/>
  <c r="G617" i="9"/>
  <c r="F617" i="9"/>
  <c r="E617" i="9"/>
  <c r="D617" i="9"/>
  <c r="C617" i="9"/>
  <c r="B617" i="9"/>
  <c r="A617" i="9"/>
  <c r="M616" i="9"/>
  <c r="L616" i="9"/>
  <c r="K616" i="9"/>
  <c r="J616" i="9"/>
  <c r="I616" i="9"/>
  <c r="H616" i="9"/>
  <c r="G616" i="9"/>
  <c r="F616" i="9"/>
  <c r="E616" i="9"/>
  <c r="D616" i="9"/>
  <c r="C616" i="9"/>
  <c r="B616" i="9"/>
  <c r="A616" i="9"/>
  <c r="M615" i="9"/>
  <c r="L615" i="9"/>
  <c r="K615" i="9"/>
  <c r="J615" i="9"/>
  <c r="I615" i="9"/>
  <c r="H615" i="9"/>
  <c r="G615" i="9"/>
  <c r="F615" i="9"/>
  <c r="E615" i="9"/>
  <c r="D615" i="9"/>
  <c r="C615" i="9"/>
  <c r="B615" i="9"/>
  <c r="A615" i="9"/>
  <c r="M614" i="9"/>
  <c r="L614" i="9"/>
  <c r="K614" i="9"/>
  <c r="J614" i="9"/>
  <c r="I614" i="9"/>
  <c r="H614" i="9"/>
  <c r="G614" i="9"/>
  <c r="F614" i="9"/>
  <c r="E614" i="9"/>
  <c r="D614" i="9"/>
  <c r="C614" i="9"/>
  <c r="B614" i="9"/>
  <c r="A614" i="9"/>
  <c r="M613" i="9"/>
  <c r="L613" i="9"/>
  <c r="K613" i="9"/>
  <c r="J613" i="9"/>
  <c r="I613" i="9"/>
  <c r="H613" i="9"/>
  <c r="G613" i="9"/>
  <c r="F613" i="9"/>
  <c r="E613" i="9"/>
  <c r="D613" i="9"/>
  <c r="C613" i="9"/>
  <c r="B613" i="9"/>
  <c r="A613" i="9"/>
  <c r="M612" i="9"/>
  <c r="L612" i="9"/>
  <c r="K612" i="9"/>
  <c r="J612" i="9"/>
  <c r="I612" i="9"/>
  <c r="H612" i="9"/>
  <c r="G612" i="9"/>
  <c r="F612" i="9"/>
  <c r="E612" i="9"/>
  <c r="D612" i="9"/>
  <c r="C612" i="9"/>
  <c r="B612" i="9"/>
  <c r="A612" i="9"/>
  <c r="M611" i="9"/>
  <c r="L611" i="9"/>
  <c r="K611" i="9"/>
  <c r="J611" i="9"/>
  <c r="I611" i="9"/>
  <c r="H611" i="9"/>
  <c r="G611" i="9"/>
  <c r="F611" i="9"/>
  <c r="E611" i="9"/>
  <c r="D611" i="9"/>
  <c r="C611" i="9"/>
  <c r="B611" i="9"/>
  <c r="A611" i="9"/>
  <c r="M610" i="9"/>
  <c r="L610" i="9"/>
  <c r="K610" i="9"/>
  <c r="J610" i="9"/>
  <c r="I610" i="9"/>
  <c r="H610" i="9"/>
  <c r="G610" i="9"/>
  <c r="F610" i="9"/>
  <c r="E610" i="9"/>
  <c r="D610" i="9"/>
  <c r="C610" i="9"/>
  <c r="B610" i="9"/>
  <c r="A610" i="9"/>
  <c r="M609" i="9"/>
  <c r="L609" i="9"/>
  <c r="K609" i="9"/>
  <c r="J609" i="9"/>
  <c r="I609" i="9"/>
  <c r="H609" i="9"/>
  <c r="G609" i="9"/>
  <c r="F609" i="9"/>
  <c r="E609" i="9"/>
  <c r="D609" i="9"/>
  <c r="C609" i="9"/>
  <c r="B609" i="9"/>
  <c r="A609" i="9"/>
  <c r="M608" i="9"/>
  <c r="L608" i="9"/>
  <c r="K608" i="9"/>
  <c r="J608" i="9"/>
  <c r="I608" i="9"/>
  <c r="H608" i="9"/>
  <c r="G608" i="9"/>
  <c r="F608" i="9"/>
  <c r="E608" i="9"/>
  <c r="D608" i="9"/>
  <c r="C608" i="9"/>
  <c r="B608" i="9"/>
  <c r="A608" i="9"/>
  <c r="M607" i="9"/>
  <c r="L607" i="9"/>
  <c r="K607" i="9"/>
  <c r="J607" i="9"/>
  <c r="I607" i="9"/>
  <c r="H607" i="9"/>
  <c r="G607" i="9"/>
  <c r="F607" i="9"/>
  <c r="E607" i="9"/>
  <c r="D607" i="9"/>
  <c r="C607" i="9"/>
  <c r="B607" i="9"/>
  <c r="A607" i="9"/>
  <c r="M606" i="9"/>
  <c r="L606" i="9"/>
  <c r="K606" i="9"/>
  <c r="J606" i="9"/>
  <c r="I606" i="9"/>
  <c r="H606" i="9"/>
  <c r="G606" i="9"/>
  <c r="F606" i="9"/>
  <c r="E606" i="9"/>
  <c r="D606" i="9"/>
  <c r="C606" i="9"/>
  <c r="B606" i="9"/>
  <c r="A606" i="9"/>
  <c r="M605" i="9"/>
  <c r="L605" i="9"/>
  <c r="K605" i="9"/>
  <c r="J605" i="9"/>
  <c r="I605" i="9"/>
  <c r="H605" i="9"/>
  <c r="G605" i="9"/>
  <c r="F605" i="9"/>
  <c r="E605" i="9"/>
  <c r="D605" i="9"/>
  <c r="C605" i="9"/>
  <c r="B605" i="9"/>
  <c r="A605" i="9"/>
  <c r="M604" i="9"/>
  <c r="L604" i="9"/>
  <c r="K604" i="9"/>
  <c r="J604" i="9"/>
  <c r="I604" i="9"/>
  <c r="H604" i="9"/>
  <c r="G604" i="9"/>
  <c r="F604" i="9"/>
  <c r="E604" i="9"/>
  <c r="D604" i="9"/>
  <c r="C604" i="9"/>
  <c r="B604" i="9"/>
  <c r="A604" i="9"/>
  <c r="M603" i="9"/>
  <c r="L603" i="9"/>
  <c r="K603" i="9"/>
  <c r="J603" i="9"/>
  <c r="I603" i="9"/>
  <c r="H603" i="9"/>
  <c r="G603" i="9"/>
  <c r="F603" i="9"/>
  <c r="E603" i="9"/>
  <c r="D603" i="9"/>
  <c r="C603" i="9"/>
  <c r="B603" i="9"/>
  <c r="A603" i="9"/>
  <c r="M602" i="9"/>
  <c r="L602" i="9"/>
  <c r="K602" i="9"/>
  <c r="J602" i="9"/>
  <c r="I602" i="9"/>
  <c r="H602" i="9"/>
  <c r="G602" i="9"/>
  <c r="F602" i="9"/>
  <c r="E602" i="9"/>
  <c r="D602" i="9"/>
  <c r="C602" i="9"/>
  <c r="B602" i="9"/>
  <c r="A602" i="9"/>
  <c r="M601" i="9"/>
  <c r="L601" i="9"/>
  <c r="K601" i="9"/>
  <c r="J601" i="9"/>
  <c r="I601" i="9"/>
  <c r="H601" i="9"/>
  <c r="G601" i="9"/>
  <c r="F601" i="9"/>
  <c r="E601" i="9"/>
  <c r="D601" i="9"/>
  <c r="C601" i="9"/>
  <c r="B601" i="9"/>
  <c r="A601" i="9"/>
  <c r="M600" i="9"/>
  <c r="L600" i="9"/>
  <c r="K600" i="9"/>
  <c r="J600" i="9"/>
  <c r="I600" i="9"/>
  <c r="H600" i="9"/>
  <c r="G600" i="9"/>
  <c r="F600" i="9"/>
  <c r="E600" i="9"/>
  <c r="D600" i="9"/>
  <c r="C600" i="9"/>
  <c r="B600" i="9"/>
  <c r="A600" i="9"/>
  <c r="M599" i="9"/>
  <c r="L599" i="9"/>
  <c r="K599" i="9"/>
  <c r="J599" i="9"/>
  <c r="I599" i="9"/>
  <c r="H599" i="9"/>
  <c r="G599" i="9"/>
  <c r="F599" i="9"/>
  <c r="E599" i="9"/>
  <c r="D599" i="9"/>
  <c r="C599" i="9"/>
  <c r="B599" i="9"/>
  <c r="A599" i="9"/>
  <c r="M598" i="9"/>
  <c r="L598" i="9"/>
  <c r="K598" i="9"/>
  <c r="J598" i="9"/>
  <c r="I598" i="9"/>
  <c r="H598" i="9"/>
  <c r="G598" i="9"/>
  <c r="F598" i="9"/>
  <c r="E598" i="9"/>
  <c r="D598" i="9"/>
  <c r="C598" i="9"/>
  <c r="B598" i="9"/>
  <c r="A598" i="9"/>
  <c r="M597" i="9"/>
  <c r="L597" i="9"/>
  <c r="K597" i="9"/>
  <c r="J597" i="9"/>
  <c r="I597" i="9"/>
  <c r="H597" i="9"/>
  <c r="G597" i="9"/>
  <c r="F597" i="9"/>
  <c r="E597" i="9"/>
  <c r="D597" i="9"/>
  <c r="C597" i="9"/>
  <c r="B597" i="9"/>
  <c r="A597" i="9"/>
  <c r="M596" i="9"/>
  <c r="L596" i="9"/>
  <c r="K596" i="9"/>
  <c r="J596" i="9"/>
  <c r="I596" i="9"/>
  <c r="H596" i="9"/>
  <c r="G596" i="9"/>
  <c r="F596" i="9"/>
  <c r="E596" i="9"/>
  <c r="D596" i="9"/>
  <c r="C596" i="9"/>
  <c r="B596" i="9"/>
  <c r="A596" i="9"/>
  <c r="M595" i="9"/>
  <c r="L595" i="9"/>
  <c r="K595" i="9"/>
  <c r="J595" i="9"/>
  <c r="I595" i="9"/>
  <c r="H595" i="9"/>
  <c r="G595" i="9"/>
  <c r="F595" i="9"/>
  <c r="E595" i="9"/>
  <c r="D595" i="9"/>
  <c r="C595" i="9"/>
  <c r="B595" i="9"/>
  <c r="A595" i="9"/>
  <c r="M594" i="9"/>
  <c r="L594" i="9"/>
  <c r="K594" i="9"/>
  <c r="J594" i="9"/>
  <c r="I594" i="9"/>
  <c r="H594" i="9"/>
  <c r="G594" i="9"/>
  <c r="F594" i="9"/>
  <c r="E594" i="9"/>
  <c r="D594" i="9"/>
  <c r="C594" i="9"/>
  <c r="B594" i="9"/>
  <c r="A594" i="9"/>
  <c r="M593" i="9"/>
  <c r="L593" i="9"/>
  <c r="K593" i="9"/>
  <c r="J593" i="9"/>
  <c r="I593" i="9"/>
  <c r="H593" i="9"/>
  <c r="G593" i="9"/>
  <c r="F593" i="9"/>
  <c r="E593" i="9"/>
  <c r="D593" i="9"/>
  <c r="C593" i="9"/>
  <c r="B593" i="9"/>
  <c r="A593" i="9"/>
  <c r="M592" i="9"/>
  <c r="L592" i="9"/>
  <c r="K592" i="9"/>
  <c r="J592" i="9"/>
  <c r="I592" i="9"/>
  <c r="H592" i="9"/>
  <c r="G592" i="9"/>
  <c r="F592" i="9"/>
  <c r="E592" i="9"/>
  <c r="D592" i="9"/>
  <c r="C592" i="9"/>
  <c r="B592" i="9"/>
  <c r="A592" i="9"/>
  <c r="M591" i="9"/>
  <c r="L591" i="9"/>
  <c r="K591" i="9"/>
  <c r="J591" i="9"/>
  <c r="I591" i="9"/>
  <c r="H591" i="9"/>
  <c r="G591" i="9"/>
  <c r="F591" i="9"/>
  <c r="E591" i="9"/>
  <c r="D591" i="9"/>
  <c r="C591" i="9"/>
  <c r="B591" i="9"/>
  <c r="A591" i="9"/>
  <c r="M590" i="9"/>
  <c r="L590" i="9"/>
  <c r="K590" i="9"/>
  <c r="J590" i="9"/>
  <c r="I590" i="9"/>
  <c r="H590" i="9"/>
  <c r="G590" i="9"/>
  <c r="F590" i="9"/>
  <c r="E590" i="9"/>
  <c r="D590" i="9"/>
  <c r="C590" i="9"/>
  <c r="B590" i="9"/>
  <c r="A590" i="9"/>
  <c r="M589" i="9"/>
  <c r="L589" i="9"/>
  <c r="K589" i="9"/>
  <c r="J589" i="9"/>
  <c r="I589" i="9"/>
  <c r="H589" i="9"/>
  <c r="G589" i="9"/>
  <c r="F589" i="9"/>
  <c r="E589" i="9"/>
  <c r="D589" i="9"/>
  <c r="C589" i="9"/>
  <c r="B589" i="9"/>
  <c r="A589" i="9"/>
  <c r="M588" i="9"/>
  <c r="L588" i="9"/>
  <c r="K588" i="9"/>
  <c r="J588" i="9"/>
  <c r="I588" i="9"/>
  <c r="H588" i="9"/>
  <c r="G588" i="9"/>
  <c r="F588" i="9"/>
  <c r="E588" i="9"/>
  <c r="D588" i="9"/>
  <c r="C588" i="9"/>
  <c r="B588" i="9"/>
  <c r="A588" i="9"/>
  <c r="M587" i="9"/>
  <c r="L587" i="9"/>
  <c r="K587" i="9"/>
  <c r="J587" i="9"/>
  <c r="I587" i="9"/>
  <c r="H587" i="9"/>
  <c r="G587" i="9"/>
  <c r="F587" i="9"/>
  <c r="E587" i="9"/>
  <c r="D587" i="9"/>
  <c r="C587" i="9"/>
  <c r="B587" i="9"/>
  <c r="A587" i="9"/>
  <c r="M586" i="9"/>
  <c r="L586" i="9"/>
  <c r="K586" i="9"/>
  <c r="J586" i="9"/>
  <c r="I586" i="9"/>
  <c r="H586" i="9"/>
  <c r="G586" i="9"/>
  <c r="F586" i="9"/>
  <c r="E586" i="9"/>
  <c r="D586" i="9"/>
  <c r="C586" i="9"/>
  <c r="B586" i="9"/>
  <c r="A586" i="9"/>
  <c r="M585" i="9"/>
  <c r="L585" i="9"/>
  <c r="K585" i="9"/>
  <c r="J585" i="9"/>
  <c r="I585" i="9"/>
  <c r="H585" i="9"/>
  <c r="G585" i="9"/>
  <c r="F585" i="9"/>
  <c r="E585" i="9"/>
  <c r="D585" i="9"/>
  <c r="C585" i="9"/>
  <c r="B585" i="9"/>
  <c r="A585" i="9"/>
  <c r="M584" i="9"/>
  <c r="L584" i="9"/>
  <c r="K584" i="9"/>
  <c r="J584" i="9"/>
  <c r="I584" i="9"/>
  <c r="H584" i="9"/>
  <c r="G584" i="9"/>
  <c r="F584" i="9"/>
  <c r="E584" i="9"/>
  <c r="D584" i="9"/>
  <c r="C584" i="9"/>
  <c r="B584" i="9"/>
  <c r="A584" i="9"/>
  <c r="M583" i="9"/>
  <c r="L583" i="9"/>
  <c r="K583" i="9"/>
  <c r="J583" i="9"/>
  <c r="I583" i="9"/>
  <c r="H583" i="9"/>
  <c r="G583" i="9"/>
  <c r="F583" i="9"/>
  <c r="E583" i="9"/>
  <c r="D583" i="9"/>
  <c r="C583" i="9"/>
  <c r="B583" i="9"/>
  <c r="A583" i="9"/>
  <c r="M582" i="9"/>
  <c r="L582" i="9"/>
  <c r="K582" i="9"/>
  <c r="J582" i="9"/>
  <c r="I582" i="9"/>
  <c r="H582" i="9"/>
  <c r="G582" i="9"/>
  <c r="F582" i="9"/>
  <c r="E582" i="9"/>
  <c r="D582" i="9"/>
  <c r="C582" i="9"/>
  <c r="B582" i="9"/>
  <c r="A582" i="9"/>
  <c r="M581" i="9"/>
  <c r="L581" i="9"/>
  <c r="K581" i="9"/>
  <c r="J581" i="9"/>
  <c r="I581" i="9"/>
  <c r="H581" i="9"/>
  <c r="G581" i="9"/>
  <c r="F581" i="9"/>
  <c r="E581" i="9"/>
  <c r="D581" i="9"/>
  <c r="C581" i="9"/>
  <c r="B581" i="9"/>
  <c r="A581" i="9"/>
  <c r="M580" i="9"/>
  <c r="L580" i="9"/>
  <c r="K580" i="9"/>
  <c r="J580" i="9"/>
  <c r="I580" i="9"/>
  <c r="H580" i="9"/>
  <c r="G580" i="9"/>
  <c r="F580" i="9"/>
  <c r="E580" i="9"/>
  <c r="D580" i="9"/>
  <c r="C580" i="9"/>
  <c r="B580" i="9"/>
  <c r="A580" i="9"/>
  <c r="M579" i="9"/>
  <c r="L579" i="9"/>
  <c r="K579" i="9"/>
  <c r="J579" i="9"/>
  <c r="I579" i="9"/>
  <c r="H579" i="9"/>
  <c r="G579" i="9"/>
  <c r="F579" i="9"/>
  <c r="E579" i="9"/>
  <c r="D579" i="9"/>
  <c r="C579" i="9"/>
  <c r="B579" i="9"/>
  <c r="A579" i="9"/>
  <c r="M578" i="9"/>
  <c r="L578" i="9"/>
  <c r="K578" i="9"/>
  <c r="J578" i="9"/>
  <c r="I578" i="9"/>
  <c r="H578" i="9"/>
  <c r="G578" i="9"/>
  <c r="F578" i="9"/>
  <c r="E578" i="9"/>
  <c r="D578" i="9"/>
  <c r="C578" i="9"/>
  <c r="B578" i="9"/>
  <c r="A578" i="9"/>
  <c r="M577" i="9"/>
  <c r="L577" i="9"/>
  <c r="K577" i="9"/>
  <c r="J577" i="9"/>
  <c r="I577" i="9"/>
  <c r="H577" i="9"/>
  <c r="G577" i="9"/>
  <c r="F577" i="9"/>
  <c r="E577" i="9"/>
  <c r="D577" i="9"/>
  <c r="C577" i="9"/>
  <c r="B577" i="9"/>
  <c r="A577" i="9"/>
  <c r="M576" i="9"/>
  <c r="L576" i="9"/>
  <c r="K576" i="9"/>
  <c r="J576" i="9"/>
  <c r="I576" i="9"/>
  <c r="H576" i="9"/>
  <c r="G576" i="9"/>
  <c r="F576" i="9"/>
  <c r="E576" i="9"/>
  <c r="D576" i="9"/>
  <c r="C576" i="9"/>
  <c r="B576" i="9"/>
  <c r="A576" i="9"/>
  <c r="M575" i="9"/>
  <c r="L575" i="9"/>
  <c r="K575" i="9"/>
  <c r="J575" i="9"/>
  <c r="I575" i="9"/>
  <c r="H575" i="9"/>
  <c r="G575" i="9"/>
  <c r="F575" i="9"/>
  <c r="E575" i="9"/>
  <c r="D575" i="9"/>
  <c r="C575" i="9"/>
  <c r="B575" i="9"/>
  <c r="A575" i="9"/>
  <c r="M574" i="9"/>
  <c r="L574" i="9"/>
  <c r="K574" i="9"/>
  <c r="J574" i="9"/>
  <c r="I574" i="9"/>
  <c r="H574" i="9"/>
  <c r="G574" i="9"/>
  <c r="F574" i="9"/>
  <c r="E574" i="9"/>
  <c r="D574" i="9"/>
  <c r="C574" i="9"/>
  <c r="B574" i="9"/>
  <c r="A574" i="9"/>
  <c r="M573" i="9"/>
  <c r="L573" i="9"/>
  <c r="K573" i="9"/>
  <c r="J573" i="9"/>
  <c r="I573" i="9"/>
  <c r="H573" i="9"/>
  <c r="G573" i="9"/>
  <c r="F573" i="9"/>
  <c r="E573" i="9"/>
  <c r="D573" i="9"/>
  <c r="C573" i="9"/>
  <c r="B573" i="9"/>
  <c r="A573" i="9"/>
  <c r="M572" i="9"/>
  <c r="L572" i="9"/>
  <c r="K572" i="9"/>
  <c r="J572" i="9"/>
  <c r="I572" i="9"/>
  <c r="H572" i="9"/>
  <c r="G572" i="9"/>
  <c r="F572" i="9"/>
  <c r="E572" i="9"/>
  <c r="D572" i="9"/>
  <c r="C572" i="9"/>
  <c r="B572" i="9"/>
  <c r="A572" i="9"/>
  <c r="M571" i="9"/>
  <c r="L571" i="9"/>
  <c r="K571" i="9"/>
  <c r="J571" i="9"/>
  <c r="I571" i="9"/>
  <c r="H571" i="9"/>
  <c r="G571" i="9"/>
  <c r="F571" i="9"/>
  <c r="E571" i="9"/>
  <c r="D571" i="9"/>
  <c r="C571" i="9"/>
  <c r="B571" i="9"/>
  <c r="A571" i="9"/>
  <c r="M570" i="9"/>
  <c r="L570" i="9"/>
  <c r="K570" i="9"/>
  <c r="J570" i="9"/>
  <c r="I570" i="9"/>
  <c r="H570" i="9"/>
  <c r="G570" i="9"/>
  <c r="F570" i="9"/>
  <c r="E570" i="9"/>
  <c r="D570" i="9"/>
  <c r="C570" i="9"/>
  <c r="B570" i="9"/>
  <c r="A570" i="9"/>
  <c r="M569" i="9"/>
  <c r="L569" i="9"/>
  <c r="K569" i="9"/>
  <c r="J569" i="9"/>
  <c r="I569" i="9"/>
  <c r="H569" i="9"/>
  <c r="G569" i="9"/>
  <c r="F569" i="9"/>
  <c r="E569" i="9"/>
  <c r="D569" i="9"/>
  <c r="C569" i="9"/>
  <c r="B569" i="9"/>
  <c r="A569" i="9"/>
  <c r="M568" i="9"/>
  <c r="L568" i="9"/>
  <c r="K568" i="9"/>
  <c r="J568" i="9"/>
  <c r="I568" i="9"/>
  <c r="H568" i="9"/>
  <c r="G568" i="9"/>
  <c r="F568" i="9"/>
  <c r="E568" i="9"/>
  <c r="D568" i="9"/>
  <c r="C568" i="9"/>
  <c r="B568" i="9"/>
  <c r="A568" i="9"/>
  <c r="M567" i="9"/>
  <c r="L567" i="9"/>
  <c r="K567" i="9"/>
  <c r="J567" i="9"/>
  <c r="I567" i="9"/>
  <c r="H567" i="9"/>
  <c r="G567" i="9"/>
  <c r="F567" i="9"/>
  <c r="E567" i="9"/>
  <c r="D567" i="9"/>
  <c r="C567" i="9"/>
  <c r="B567" i="9"/>
  <c r="A567" i="9"/>
  <c r="M566" i="9"/>
  <c r="L566" i="9"/>
  <c r="K566" i="9"/>
  <c r="J566" i="9"/>
  <c r="I566" i="9"/>
  <c r="H566" i="9"/>
  <c r="G566" i="9"/>
  <c r="F566" i="9"/>
  <c r="E566" i="9"/>
  <c r="D566" i="9"/>
  <c r="C566" i="9"/>
  <c r="B566" i="9"/>
  <c r="A566" i="9"/>
  <c r="M565" i="9"/>
  <c r="L565" i="9"/>
  <c r="K565" i="9"/>
  <c r="J565" i="9"/>
  <c r="I565" i="9"/>
  <c r="H565" i="9"/>
  <c r="G565" i="9"/>
  <c r="F565" i="9"/>
  <c r="E565" i="9"/>
  <c r="D565" i="9"/>
  <c r="C565" i="9"/>
  <c r="B565" i="9"/>
  <c r="A565" i="9"/>
  <c r="M564" i="9"/>
  <c r="L564" i="9"/>
  <c r="K564" i="9"/>
  <c r="J564" i="9"/>
  <c r="I564" i="9"/>
  <c r="H564" i="9"/>
  <c r="G564" i="9"/>
  <c r="F564" i="9"/>
  <c r="E564" i="9"/>
  <c r="D564" i="9"/>
  <c r="C564" i="9"/>
  <c r="B564" i="9"/>
  <c r="A564" i="9"/>
  <c r="M563" i="9"/>
  <c r="L563" i="9"/>
  <c r="K563" i="9"/>
  <c r="J563" i="9"/>
  <c r="I563" i="9"/>
  <c r="H563" i="9"/>
  <c r="G563" i="9"/>
  <c r="F563" i="9"/>
  <c r="E563" i="9"/>
  <c r="D563" i="9"/>
  <c r="C563" i="9"/>
  <c r="B563" i="9"/>
  <c r="A563" i="9"/>
  <c r="M562" i="9"/>
  <c r="L562" i="9"/>
  <c r="K562" i="9"/>
  <c r="J562" i="9"/>
  <c r="I562" i="9"/>
  <c r="H562" i="9"/>
  <c r="G562" i="9"/>
  <c r="F562" i="9"/>
  <c r="E562" i="9"/>
  <c r="D562" i="9"/>
  <c r="C562" i="9"/>
  <c r="B562" i="9"/>
  <c r="A562" i="9"/>
  <c r="M561" i="9"/>
  <c r="L561" i="9"/>
  <c r="K561" i="9"/>
  <c r="J561" i="9"/>
  <c r="I561" i="9"/>
  <c r="H561" i="9"/>
  <c r="G561" i="9"/>
  <c r="F561" i="9"/>
  <c r="E561" i="9"/>
  <c r="D561" i="9"/>
  <c r="C561" i="9"/>
  <c r="B561" i="9"/>
  <c r="A561" i="9"/>
  <c r="M560" i="9"/>
  <c r="L560" i="9"/>
  <c r="K560" i="9"/>
  <c r="J560" i="9"/>
  <c r="I560" i="9"/>
  <c r="H560" i="9"/>
  <c r="G560" i="9"/>
  <c r="F560" i="9"/>
  <c r="E560" i="9"/>
  <c r="D560" i="9"/>
  <c r="C560" i="9"/>
  <c r="B560" i="9"/>
  <c r="A560" i="9"/>
  <c r="M559" i="9"/>
  <c r="L559" i="9"/>
  <c r="K559" i="9"/>
  <c r="J559" i="9"/>
  <c r="I559" i="9"/>
  <c r="H559" i="9"/>
  <c r="G559" i="9"/>
  <c r="F559" i="9"/>
  <c r="E559" i="9"/>
  <c r="D559" i="9"/>
  <c r="C559" i="9"/>
  <c r="B559" i="9"/>
  <c r="A559" i="9"/>
  <c r="M558" i="9"/>
  <c r="L558" i="9"/>
  <c r="K558" i="9"/>
  <c r="J558" i="9"/>
  <c r="I558" i="9"/>
  <c r="H558" i="9"/>
  <c r="G558" i="9"/>
  <c r="F558" i="9"/>
  <c r="E558" i="9"/>
  <c r="D558" i="9"/>
  <c r="C558" i="9"/>
  <c r="B558" i="9"/>
  <c r="A558" i="9"/>
  <c r="M557" i="9"/>
  <c r="L557" i="9"/>
  <c r="K557" i="9"/>
  <c r="J557" i="9"/>
  <c r="I557" i="9"/>
  <c r="H557" i="9"/>
  <c r="G557" i="9"/>
  <c r="F557" i="9"/>
  <c r="E557" i="9"/>
  <c r="D557" i="9"/>
  <c r="C557" i="9"/>
  <c r="B557" i="9"/>
  <c r="A557" i="9"/>
  <c r="M556" i="9"/>
  <c r="L556" i="9"/>
  <c r="K556" i="9"/>
  <c r="J556" i="9"/>
  <c r="I556" i="9"/>
  <c r="H556" i="9"/>
  <c r="G556" i="9"/>
  <c r="F556" i="9"/>
  <c r="E556" i="9"/>
  <c r="D556" i="9"/>
  <c r="C556" i="9"/>
  <c r="B556" i="9"/>
  <c r="A556" i="9"/>
  <c r="M555" i="9"/>
  <c r="L555" i="9"/>
  <c r="K555" i="9"/>
  <c r="J555" i="9"/>
  <c r="I555" i="9"/>
  <c r="H555" i="9"/>
  <c r="G555" i="9"/>
  <c r="F555" i="9"/>
  <c r="E555" i="9"/>
  <c r="D555" i="9"/>
  <c r="C555" i="9"/>
  <c r="B555" i="9"/>
  <c r="A555" i="9"/>
  <c r="M554" i="9"/>
  <c r="L554" i="9"/>
  <c r="K554" i="9"/>
  <c r="J554" i="9"/>
  <c r="I554" i="9"/>
  <c r="H554" i="9"/>
  <c r="G554" i="9"/>
  <c r="F554" i="9"/>
  <c r="E554" i="9"/>
  <c r="D554" i="9"/>
  <c r="C554" i="9"/>
  <c r="B554" i="9"/>
  <c r="A554" i="9"/>
  <c r="M553" i="9"/>
  <c r="L553" i="9"/>
  <c r="K553" i="9"/>
  <c r="J553" i="9"/>
  <c r="I553" i="9"/>
  <c r="H553" i="9"/>
  <c r="G553" i="9"/>
  <c r="F553" i="9"/>
  <c r="E553" i="9"/>
  <c r="D553" i="9"/>
  <c r="C553" i="9"/>
  <c r="B553" i="9"/>
  <c r="A553" i="9"/>
  <c r="M552" i="9"/>
  <c r="L552" i="9"/>
  <c r="K552" i="9"/>
  <c r="J552" i="9"/>
  <c r="I552" i="9"/>
  <c r="H552" i="9"/>
  <c r="G552" i="9"/>
  <c r="F552" i="9"/>
  <c r="E552" i="9"/>
  <c r="D552" i="9"/>
  <c r="C552" i="9"/>
  <c r="B552" i="9"/>
  <c r="A552" i="9"/>
  <c r="M551" i="9"/>
  <c r="L551" i="9"/>
  <c r="K551" i="9"/>
  <c r="J551" i="9"/>
  <c r="I551" i="9"/>
  <c r="H551" i="9"/>
  <c r="G551" i="9"/>
  <c r="F551" i="9"/>
  <c r="E551" i="9"/>
  <c r="D551" i="9"/>
  <c r="C551" i="9"/>
  <c r="B551" i="9"/>
  <c r="A551" i="9"/>
  <c r="M550" i="9"/>
  <c r="L550" i="9"/>
  <c r="K550" i="9"/>
  <c r="J550" i="9"/>
  <c r="I550" i="9"/>
  <c r="H550" i="9"/>
  <c r="G550" i="9"/>
  <c r="F550" i="9"/>
  <c r="E550" i="9"/>
  <c r="D550" i="9"/>
  <c r="C550" i="9"/>
  <c r="B550" i="9"/>
  <c r="A550" i="9"/>
  <c r="M549" i="9"/>
  <c r="L549" i="9"/>
  <c r="K549" i="9"/>
  <c r="J549" i="9"/>
  <c r="I549" i="9"/>
  <c r="H549" i="9"/>
  <c r="G549" i="9"/>
  <c r="F549" i="9"/>
  <c r="E549" i="9"/>
  <c r="D549" i="9"/>
  <c r="C549" i="9"/>
  <c r="B549" i="9"/>
  <c r="A549" i="9"/>
  <c r="M548" i="9"/>
  <c r="L548" i="9"/>
  <c r="K548" i="9"/>
  <c r="J548" i="9"/>
  <c r="I548" i="9"/>
  <c r="H548" i="9"/>
  <c r="G548" i="9"/>
  <c r="F548" i="9"/>
  <c r="E548" i="9"/>
  <c r="D548" i="9"/>
  <c r="C548" i="9"/>
  <c r="B548" i="9"/>
  <c r="A548" i="9"/>
  <c r="M547" i="9"/>
  <c r="L547" i="9"/>
  <c r="K547" i="9"/>
  <c r="J547" i="9"/>
  <c r="I547" i="9"/>
  <c r="H547" i="9"/>
  <c r="G547" i="9"/>
  <c r="F547" i="9"/>
  <c r="E547" i="9"/>
  <c r="D547" i="9"/>
  <c r="C547" i="9"/>
  <c r="B547" i="9"/>
  <c r="A547" i="9"/>
  <c r="M546" i="9"/>
  <c r="L546" i="9"/>
  <c r="K546" i="9"/>
  <c r="J546" i="9"/>
  <c r="I546" i="9"/>
  <c r="H546" i="9"/>
  <c r="G546" i="9"/>
  <c r="F546" i="9"/>
  <c r="E546" i="9"/>
  <c r="D546" i="9"/>
  <c r="C546" i="9"/>
  <c r="B546" i="9"/>
  <c r="A546" i="9"/>
  <c r="M545" i="9"/>
  <c r="L545" i="9"/>
  <c r="K545" i="9"/>
  <c r="J545" i="9"/>
  <c r="I545" i="9"/>
  <c r="H545" i="9"/>
  <c r="G545" i="9"/>
  <c r="F545" i="9"/>
  <c r="E545" i="9"/>
  <c r="D545" i="9"/>
  <c r="C545" i="9"/>
  <c r="B545" i="9"/>
  <c r="A545" i="9"/>
  <c r="M544" i="9"/>
  <c r="L544" i="9"/>
  <c r="K544" i="9"/>
  <c r="J544" i="9"/>
  <c r="I544" i="9"/>
  <c r="H544" i="9"/>
  <c r="G544" i="9"/>
  <c r="F544" i="9"/>
  <c r="E544" i="9"/>
  <c r="D544" i="9"/>
  <c r="C544" i="9"/>
  <c r="B544" i="9"/>
  <c r="A544" i="9"/>
  <c r="M543" i="9"/>
  <c r="L543" i="9"/>
  <c r="K543" i="9"/>
  <c r="J543" i="9"/>
  <c r="I543" i="9"/>
  <c r="H543" i="9"/>
  <c r="G543" i="9"/>
  <c r="F543" i="9"/>
  <c r="E543" i="9"/>
  <c r="D543" i="9"/>
  <c r="C543" i="9"/>
  <c r="B543" i="9"/>
  <c r="A543" i="9"/>
  <c r="M542" i="9"/>
  <c r="L542" i="9"/>
  <c r="K542" i="9"/>
  <c r="J542" i="9"/>
  <c r="I542" i="9"/>
  <c r="H542" i="9"/>
  <c r="G542" i="9"/>
  <c r="F542" i="9"/>
  <c r="E542" i="9"/>
  <c r="D542" i="9"/>
  <c r="C542" i="9"/>
  <c r="B542" i="9"/>
  <c r="A542" i="9"/>
  <c r="M541" i="9"/>
  <c r="L541" i="9"/>
  <c r="K541" i="9"/>
  <c r="J541" i="9"/>
  <c r="I541" i="9"/>
  <c r="H541" i="9"/>
  <c r="G541" i="9"/>
  <c r="F541" i="9"/>
  <c r="E541" i="9"/>
  <c r="D541" i="9"/>
  <c r="C541" i="9"/>
  <c r="B541" i="9"/>
  <c r="A541" i="9"/>
  <c r="M540" i="9"/>
  <c r="L540" i="9"/>
  <c r="K540" i="9"/>
  <c r="J540" i="9"/>
  <c r="I540" i="9"/>
  <c r="H540" i="9"/>
  <c r="G540" i="9"/>
  <c r="F540" i="9"/>
  <c r="E540" i="9"/>
  <c r="D540" i="9"/>
  <c r="C540" i="9"/>
  <c r="B540" i="9"/>
  <c r="A540" i="9"/>
  <c r="M539" i="9"/>
  <c r="L539" i="9"/>
  <c r="K539" i="9"/>
  <c r="J539" i="9"/>
  <c r="I539" i="9"/>
  <c r="H539" i="9"/>
  <c r="G539" i="9"/>
  <c r="F539" i="9"/>
  <c r="E539" i="9"/>
  <c r="D539" i="9"/>
  <c r="C539" i="9"/>
  <c r="B539" i="9"/>
  <c r="A539" i="9"/>
  <c r="M538" i="9"/>
  <c r="L538" i="9"/>
  <c r="K538" i="9"/>
  <c r="J538" i="9"/>
  <c r="I538" i="9"/>
  <c r="H538" i="9"/>
  <c r="G538" i="9"/>
  <c r="F538" i="9"/>
  <c r="E538" i="9"/>
  <c r="D538" i="9"/>
  <c r="C538" i="9"/>
  <c r="B538" i="9"/>
  <c r="A538" i="9"/>
  <c r="M537" i="9"/>
  <c r="L537" i="9"/>
  <c r="K537" i="9"/>
  <c r="J537" i="9"/>
  <c r="I537" i="9"/>
  <c r="H537" i="9"/>
  <c r="G537" i="9"/>
  <c r="F537" i="9"/>
  <c r="E537" i="9"/>
  <c r="D537" i="9"/>
  <c r="C537" i="9"/>
  <c r="B537" i="9"/>
  <c r="A537" i="9"/>
  <c r="M536" i="9"/>
  <c r="L536" i="9"/>
  <c r="K536" i="9"/>
  <c r="J536" i="9"/>
  <c r="I536" i="9"/>
  <c r="H536" i="9"/>
  <c r="G536" i="9"/>
  <c r="F536" i="9"/>
  <c r="E536" i="9"/>
  <c r="D536" i="9"/>
  <c r="C536" i="9"/>
  <c r="B536" i="9"/>
  <c r="A536" i="9"/>
  <c r="M535" i="9"/>
  <c r="L535" i="9"/>
  <c r="K535" i="9"/>
  <c r="J535" i="9"/>
  <c r="I535" i="9"/>
  <c r="H535" i="9"/>
  <c r="G535" i="9"/>
  <c r="F535" i="9"/>
  <c r="E535" i="9"/>
  <c r="D535" i="9"/>
  <c r="C535" i="9"/>
  <c r="B535" i="9"/>
  <c r="A535" i="9"/>
  <c r="M534" i="9"/>
  <c r="L534" i="9"/>
  <c r="K534" i="9"/>
  <c r="J534" i="9"/>
  <c r="I534" i="9"/>
  <c r="H534" i="9"/>
  <c r="G534" i="9"/>
  <c r="F534" i="9"/>
  <c r="E534" i="9"/>
  <c r="D534" i="9"/>
  <c r="C534" i="9"/>
  <c r="B534" i="9"/>
  <c r="A534" i="9"/>
  <c r="M533" i="9"/>
  <c r="L533" i="9"/>
  <c r="K533" i="9"/>
  <c r="J533" i="9"/>
  <c r="I533" i="9"/>
  <c r="H533" i="9"/>
  <c r="G533" i="9"/>
  <c r="F533" i="9"/>
  <c r="E533" i="9"/>
  <c r="D533" i="9"/>
  <c r="C533" i="9"/>
  <c r="B533" i="9"/>
  <c r="A533" i="9"/>
  <c r="M532" i="9"/>
  <c r="L532" i="9"/>
  <c r="K532" i="9"/>
  <c r="J532" i="9"/>
  <c r="I532" i="9"/>
  <c r="H532" i="9"/>
  <c r="G532" i="9"/>
  <c r="F532" i="9"/>
  <c r="E532" i="9"/>
  <c r="D532" i="9"/>
  <c r="C532" i="9"/>
  <c r="B532" i="9"/>
  <c r="A532" i="9"/>
  <c r="M531" i="9"/>
  <c r="L531" i="9"/>
  <c r="K531" i="9"/>
  <c r="J531" i="9"/>
  <c r="I531" i="9"/>
  <c r="H531" i="9"/>
  <c r="G531" i="9"/>
  <c r="F531" i="9"/>
  <c r="E531" i="9"/>
  <c r="D531" i="9"/>
  <c r="C531" i="9"/>
  <c r="B531" i="9"/>
  <c r="A531" i="9"/>
  <c r="M530" i="9"/>
  <c r="L530" i="9"/>
  <c r="K530" i="9"/>
  <c r="J530" i="9"/>
  <c r="I530" i="9"/>
  <c r="H530" i="9"/>
  <c r="G530" i="9"/>
  <c r="F530" i="9"/>
  <c r="E530" i="9"/>
  <c r="D530" i="9"/>
  <c r="C530" i="9"/>
  <c r="B530" i="9"/>
  <c r="A530" i="9"/>
  <c r="M529" i="9"/>
  <c r="L529" i="9"/>
  <c r="K529" i="9"/>
  <c r="J529" i="9"/>
  <c r="I529" i="9"/>
  <c r="H529" i="9"/>
  <c r="G529" i="9"/>
  <c r="F529" i="9"/>
  <c r="E529" i="9"/>
  <c r="D529" i="9"/>
  <c r="C529" i="9"/>
  <c r="B529" i="9"/>
  <c r="A529" i="9"/>
  <c r="M528" i="9"/>
  <c r="L528" i="9"/>
  <c r="K528" i="9"/>
  <c r="J528" i="9"/>
  <c r="I528" i="9"/>
  <c r="H528" i="9"/>
  <c r="G528" i="9"/>
  <c r="F528" i="9"/>
  <c r="E528" i="9"/>
  <c r="D528" i="9"/>
  <c r="C528" i="9"/>
  <c r="B528" i="9"/>
  <c r="A528" i="9"/>
  <c r="M527" i="9"/>
  <c r="L527" i="9"/>
  <c r="K527" i="9"/>
  <c r="J527" i="9"/>
  <c r="I527" i="9"/>
  <c r="H527" i="9"/>
  <c r="G527" i="9"/>
  <c r="F527" i="9"/>
  <c r="E527" i="9"/>
  <c r="D527" i="9"/>
  <c r="C527" i="9"/>
  <c r="B527" i="9"/>
  <c r="A527" i="9"/>
  <c r="M526" i="9"/>
  <c r="L526" i="9"/>
  <c r="K526" i="9"/>
  <c r="J526" i="9"/>
  <c r="I526" i="9"/>
  <c r="H526" i="9"/>
  <c r="G526" i="9"/>
  <c r="F526" i="9"/>
  <c r="E526" i="9"/>
  <c r="D526" i="9"/>
  <c r="C526" i="9"/>
  <c r="B526" i="9"/>
  <c r="A526" i="9"/>
  <c r="M525" i="9"/>
  <c r="L525" i="9"/>
  <c r="K525" i="9"/>
  <c r="J525" i="9"/>
  <c r="I525" i="9"/>
  <c r="H525" i="9"/>
  <c r="G525" i="9"/>
  <c r="F525" i="9"/>
  <c r="E525" i="9"/>
  <c r="D525" i="9"/>
  <c r="C525" i="9"/>
  <c r="B525" i="9"/>
  <c r="A525" i="9"/>
  <c r="M524" i="9"/>
  <c r="L524" i="9"/>
  <c r="K524" i="9"/>
  <c r="J524" i="9"/>
  <c r="I524" i="9"/>
  <c r="H524" i="9"/>
  <c r="G524" i="9"/>
  <c r="F524" i="9"/>
  <c r="E524" i="9"/>
  <c r="D524" i="9"/>
  <c r="C524" i="9"/>
  <c r="B524" i="9"/>
  <c r="A524" i="9"/>
  <c r="M523" i="9"/>
  <c r="L523" i="9"/>
  <c r="K523" i="9"/>
  <c r="J523" i="9"/>
  <c r="I523" i="9"/>
  <c r="H523" i="9"/>
  <c r="G523" i="9"/>
  <c r="F523" i="9"/>
  <c r="E523" i="9"/>
  <c r="D523" i="9"/>
  <c r="C523" i="9"/>
  <c r="B523" i="9"/>
  <c r="A523" i="9"/>
  <c r="M522" i="9"/>
  <c r="L522" i="9"/>
  <c r="K522" i="9"/>
  <c r="J522" i="9"/>
  <c r="I522" i="9"/>
  <c r="H522" i="9"/>
  <c r="G522" i="9"/>
  <c r="F522" i="9"/>
  <c r="E522" i="9"/>
  <c r="D522" i="9"/>
  <c r="C522" i="9"/>
  <c r="B522" i="9"/>
  <c r="A522" i="9"/>
  <c r="M521" i="9"/>
  <c r="L521" i="9"/>
  <c r="K521" i="9"/>
  <c r="J521" i="9"/>
  <c r="I521" i="9"/>
  <c r="H521" i="9"/>
  <c r="G521" i="9"/>
  <c r="F521" i="9"/>
  <c r="E521" i="9"/>
  <c r="D521" i="9"/>
  <c r="C521" i="9"/>
  <c r="B521" i="9"/>
  <c r="A521" i="9"/>
  <c r="M520" i="9"/>
  <c r="L520" i="9"/>
  <c r="K520" i="9"/>
  <c r="J520" i="9"/>
  <c r="I520" i="9"/>
  <c r="H520" i="9"/>
  <c r="G520" i="9"/>
  <c r="F520" i="9"/>
  <c r="E520" i="9"/>
  <c r="D520" i="9"/>
  <c r="C520" i="9"/>
  <c r="B520" i="9"/>
  <c r="A520" i="9"/>
  <c r="M519" i="9"/>
  <c r="L519" i="9"/>
  <c r="K519" i="9"/>
  <c r="J519" i="9"/>
  <c r="I519" i="9"/>
  <c r="H519" i="9"/>
  <c r="G519" i="9"/>
  <c r="F519" i="9"/>
  <c r="E519" i="9"/>
  <c r="D519" i="9"/>
  <c r="C519" i="9"/>
  <c r="B519" i="9"/>
  <c r="A519" i="9"/>
  <c r="M518" i="9"/>
  <c r="L518" i="9"/>
  <c r="K518" i="9"/>
  <c r="J518" i="9"/>
  <c r="I518" i="9"/>
  <c r="H518" i="9"/>
  <c r="G518" i="9"/>
  <c r="F518" i="9"/>
  <c r="E518" i="9"/>
  <c r="D518" i="9"/>
  <c r="C518" i="9"/>
  <c r="B518" i="9"/>
  <c r="A518" i="9"/>
  <c r="M517" i="9"/>
  <c r="L517" i="9"/>
  <c r="K517" i="9"/>
  <c r="J517" i="9"/>
  <c r="I517" i="9"/>
  <c r="H517" i="9"/>
  <c r="G517" i="9"/>
  <c r="F517" i="9"/>
  <c r="E517" i="9"/>
  <c r="D517" i="9"/>
  <c r="C517" i="9"/>
  <c r="B517" i="9"/>
  <c r="A517" i="9"/>
  <c r="M516" i="9"/>
  <c r="L516" i="9"/>
  <c r="K516" i="9"/>
  <c r="J516" i="9"/>
  <c r="I516" i="9"/>
  <c r="H516" i="9"/>
  <c r="G516" i="9"/>
  <c r="F516" i="9"/>
  <c r="E516" i="9"/>
  <c r="D516" i="9"/>
  <c r="C516" i="9"/>
  <c r="B516" i="9"/>
  <c r="A516" i="9"/>
  <c r="M515" i="9"/>
  <c r="L515" i="9"/>
  <c r="K515" i="9"/>
  <c r="J515" i="9"/>
  <c r="I515" i="9"/>
  <c r="H515" i="9"/>
  <c r="G515" i="9"/>
  <c r="F515" i="9"/>
  <c r="E515" i="9"/>
  <c r="D515" i="9"/>
  <c r="C515" i="9"/>
  <c r="B515" i="9"/>
  <c r="A515" i="9"/>
  <c r="M514" i="9"/>
  <c r="L514" i="9"/>
  <c r="K514" i="9"/>
  <c r="J514" i="9"/>
  <c r="I514" i="9"/>
  <c r="H514" i="9"/>
  <c r="G514" i="9"/>
  <c r="F514" i="9"/>
  <c r="E514" i="9"/>
  <c r="D514" i="9"/>
  <c r="C514" i="9"/>
  <c r="B514" i="9"/>
  <c r="A514" i="9"/>
  <c r="M513" i="9"/>
  <c r="L513" i="9"/>
  <c r="K513" i="9"/>
  <c r="J513" i="9"/>
  <c r="I513" i="9"/>
  <c r="H513" i="9"/>
  <c r="G513" i="9"/>
  <c r="F513" i="9"/>
  <c r="E513" i="9"/>
  <c r="D513" i="9"/>
  <c r="C513" i="9"/>
  <c r="B513" i="9"/>
  <c r="A513" i="9"/>
  <c r="M512" i="9"/>
  <c r="L512" i="9"/>
  <c r="K512" i="9"/>
  <c r="J512" i="9"/>
  <c r="I512" i="9"/>
  <c r="H512" i="9"/>
  <c r="G512" i="9"/>
  <c r="F512" i="9"/>
  <c r="E512" i="9"/>
  <c r="D512" i="9"/>
  <c r="C512" i="9"/>
  <c r="B512" i="9"/>
  <c r="A512" i="9"/>
  <c r="M511" i="9"/>
  <c r="L511" i="9"/>
  <c r="K511" i="9"/>
  <c r="J511" i="9"/>
  <c r="I511" i="9"/>
  <c r="H511" i="9"/>
  <c r="G511" i="9"/>
  <c r="F511" i="9"/>
  <c r="E511" i="9"/>
  <c r="D511" i="9"/>
  <c r="C511" i="9"/>
  <c r="B511" i="9"/>
  <c r="A511" i="9"/>
  <c r="M510" i="9"/>
  <c r="L510" i="9"/>
  <c r="K510" i="9"/>
  <c r="J510" i="9"/>
  <c r="I510" i="9"/>
  <c r="H510" i="9"/>
  <c r="G510" i="9"/>
  <c r="F510" i="9"/>
  <c r="E510" i="9"/>
  <c r="D510" i="9"/>
  <c r="C510" i="9"/>
  <c r="B510" i="9"/>
  <c r="A510" i="9"/>
  <c r="M509" i="9"/>
  <c r="L509" i="9"/>
  <c r="K509" i="9"/>
  <c r="J509" i="9"/>
  <c r="I509" i="9"/>
  <c r="H509" i="9"/>
  <c r="G509" i="9"/>
  <c r="F509" i="9"/>
  <c r="E509" i="9"/>
  <c r="D509" i="9"/>
  <c r="C509" i="9"/>
  <c r="B509" i="9"/>
  <c r="A509" i="9"/>
  <c r="M508" i="9"/>
  <c r="L508" i="9"/>
  <c r="K508" i="9"/>
  <c r="J508" i="9"/>
  <c r="I508" i="9"/>
  <c r="H508" i="9"/>
  <c r="G508" i="9"/>
  <c r="F508" i="9"/>
  <c r="E508" i="9"/>
  <c r="D508" i="9"/>
  <c r="C508" i="9"/>
  <c r="B508" i="9"/>
  <c r="A508" i="9"/>
  <c r="M507" i="9"/>
  <c r="L507" i="9"/>
  <c r="K507" i="9"/>
  <c r="J507" i="9"/>
  <c r="I507" i="9"/>
  <c r="H507" i="9"/>
  <c r="G507" i="9"/>
  <c r="F507" i="9"/>
  <c r="E507" i="9"/>
  <c r="D507" i="9"/>
  <c r="C507" i="9"/>
  <c r="B507" i="9"/>
  <c r="A507" i="9"/>
  <c r="M506" i="9"/>
  <c r="L506" i="9"/>
  <c r="K506" i="9"/>
  <c r="J506" i="9"/>
  <c r="I506" i="9"/>
  <c r="H506" i="9"/>
  <c r="G506" i="9"/>
  <c r="F506" i="9"/>
  <c r="E506" i="9"/>
  <c r="D506" i="9"/>
  <c r="C506" i="9"/>
  <c r="B506" i="9"/>
  <c r="A506" i="9"/>
  <c r="M505" i="9"/>
  <c r="L505" i="9"/>
  <c r="K505" i="9"/>
  <c r="J505" i="9"/>
  <c r="I505" i="9"/>
  <c r="H505" i="9"/>
  <c r="G505" i="9"/>
  <c r="F505" i="9"/>
  <c r="E505" i="9"/>
  <c r="D505" i="9"/>
  <c r="C505" i="9"/>
  <c r="B505" i="9"/>
  <c r="A505" i="9"/>
  <c r="M504" i="9"/>
  <c r="L504" i="9"/>
  <c r="K504" i="9"/>
  <c r="J504" i="9"/>
  <c r="I504" i="9"/>
  <c r="H504" i="9"/>
  <c r="G504" i="9"/>
  <c r="F504" i="9"/>
  <c r="E504" i="9"/>
  <c r="D504" i="9"/>
  <c r="C504" i="9"/>
  <c r="B504" i="9"/>
  <c r="A504" i="9"/>
  <c r="M503" i="9"/>
  <c r="L503" i="9"/>
  <c r="K503" i="9"/>
  <c r="J503" i="9"/>
  <c r="I503" i="9"/>
  <c r="H503" i="9"/>
  <c r="G503" i="9"/>
  <c r="F503" i="9"/>
  <c r="E503" i="9"/>
  <c r="D503" i="9"/>
  <c r="C503" i="9"/>
  <c r="B503" i="9"/>
  <c r="A503" i="9"/>
  <c r="M502" i="9"/>
  <c r="L502" i="9"/>
  <c r="K502" i="9"/>
  <c r="J502" i="9"/>
  <c r="I502" i="9"/>
  <c r="H502" i="9"/>
  <c r="G502" i="9"/>
  <c r="F502" i="9"/>
  <c r="E502" i="9"/>
  <c r="D502" i="9"/>
  <c r="C502" i="9"/>
  <c r="B502" i="9"/>
  <c r="A502" i="9"/>
  <c r="M501" i="9"/>
  <c r="L501" i="9"/>
  <c r="K501" i="9"/>
  <c r="J501" i="9"/>
  <c r="I501" i="9"/>
  <c r="H501" i="9"/>
  <c r="G501" i="9"/>
  <c r="F501" i="9"/>
  <c r="E501" i="9"/>
  <c r="D501" i="9"/>
  <c r="C501" i="9"/>
  <c r="B501" i="9"/>
  <c r="A501" i="9"/>
  <c r="M500" i="9"/>
  <c r="L500" i="9"/>
  <c r="K500" i="9"/>
  <c r="J500" i="9"/>
  <c r="I500" i="9"/>
  <c r="H500" i="9"/>
  <c r="G500" i="9"/>
  <c r="F500" i="9"/>
  <c r="E500" i="9"/>
  <c r="D500" i="9"/>
  <c r="C500" i="9"/>
  <c r="B500" i="9"/>
  <c r="A500" i="9"/>
  <c r="M499" i="9"/>
  <c r="L499" i="9"/>
  <c r="K499" i="9"/>
  <c r="J499" i="9"/>
  <c r="I499" i="9"/>
  <c r="H499" i="9"/>
  <c r="G499" i="9"/>
  <c r="F499" i="9"/>
  <c r="E499" i="9"/>
  <c r="D499" i="9"/>
  <c r="C499" i="9"/>
  <c r="B499" i="9"/>
  <c r="A499" i="9"/>
  <c r="M498" i="9"/>
  <c r="L498" i="9"/>
  <c r="K498" i="9"/>
  <c r="J498" i="9"/>
  <c r="I498" i="9"/>
  <c r="H498" i="9"/>
  <c r="G498" i="9"/>
  <c r="F498" i="9"/>
  <c r="E498" i="9"/>
  <c r="D498" i="9"/>
  <c r="C498" i="9"/>
  <c r="B498" i="9"/>
  <c r="A498" i="9"/>
  <c r="M497" i="9"/>
  <c r="L497" i="9"/>
  <c r="K497" i="9"/>
  <c r="J497" i="9"/>
  <c r="I497" i="9"/>
  <c r="H497" i="9"/>
  <c r="G497" i="9"/>
  <c r="F497" i="9"/>
  <c r="E497" i="9"/>
  <c r="D497" i="9"/>
  <c r="C497" i="9"/>
  <c r="B497" i="9"/>
  <c r="A497" i="9"/>
  <c r="M496" i="9"/>
  <c r="L496" i="9"/>
  <c r="K496" i="9"/>
  <c r="J496" i="9"/>
  <c r="I496" i="9"/>
  <c r="H496" i="9"/>
  <c r="G496" i="9"/>
  <c r="F496" i="9"/>
  <c r="E496" i="9"/>
  <c r="D496" i="9"/>
  <c r="C496" i="9"/>
  <c r="B496" i="9"/>
  <c r="A496" i="9"/>
  <c r="M495" i="9"/>
  <c r="L495" i="9"/>
  <c r="K495" i="9"/>
  <c r="J495" i="9"/>
  <c r="I495" i="9"/>
  <c r="H495" i="9"/>
  <c r="G495" i="9"/>
  <c r="F495" i="9"/>
  <c r="E495" i="9"/>
  <c r="D495" i="9"/>
  <c r="C495" i="9"/>
  <c r="B495" i="9"/>
  <c r="A495" i="9"/>
  <c r="M494" i="9"/>
  <c r="L494" i="9"/>
  <c r="K494" i="9"/>
  <c r="J494" i="9"/>
  <c r="I494" i="9"/>
  <c r="H494" i="9"/>
  <c r="G494" i="9"/>
  <c r="F494" i="9"/>
  <c r="E494" i="9"/>
  <c r="D494" i="9"/>
  <c r="C494" i="9"/>
  <c r="B494" i="9"/>
  <c r="A494" i="9"/>
  <c r="M493" i="9"/>
  <c r="L493" i="9"/>
  <c r="K493" i="9"/>
  <c r="J493" i="9"/>
  <c r="I493" i="9"/>
  <c r="H493" i="9"/>
  <c r="G493" i="9"/>
  <c r="F493" i="9"/>
  <c r="E493" i="9"/>
  <c r="D493" i="9"/>
  <c r="C493" i="9"/>
  <c r="B493" i="9"/>
  <c r="A493" i="9"/>
  <c r="M492" i="9"/>
  <c r="L492" i="9"/>
  <c r="K492" i="9"/>
  <c r="J492" i="9"/>
  <c r="I492" i="9"/>
  <c r="H492" i="9"/>
  <c r="G492" i="9"/>
  <c r="F492" i="9"/>
  <c r="E492" i="9"/>
  <c r="D492" i="9"/>
  <c r="C492" i="9"/>
  <c r="B492" i="9"/>
  <c r="A492" i="9"/>
  <c r="M491" i="9"/>
  <c r="L491" i="9"/>
  <c r="K491" i="9"/>
  <c r="J491" i="9"/>
  <c r="I491" i="9"/>
  <c r="H491" i="9"/>
  <c r="G491" i="9"/>
  <c r="F491" i="9"/>
  <c r="E491" i="9"/>
  <c r="D491" i="9"/>
  <c r="C491" i="9"/>
  <c r="B491" i="9"/>
  <c r="A491" i="9"/>
  <c r="M490" i="9"/>
  <c r="L490" i="9"/>
  <c r="K490" i="9"/>
  <c r="J490" i="9"/>
  <c r="I490" i="9"/>
  <c r="H490" i="9"/>
  <c r="G490" i="9"/>
  <c r="F490" i="9"/>
  <c r="E490" i="9"/>
  <c r="D490" i="9"/>
  <c r="C490" i="9"/>
  <c r="B490" i="9"/>
  <c r="A490" i="9"/>
  <c r="M489" i="9"/>
  <c r="L489" i="9"/>
  <c r="K489" i="9"/>
  <c r="J489" i="9"/>
  <c r="I489" i="9"/>
  <c r="H489" i="9"/>
  <c r="G489" i="9"/>
  <c r="F489" i="9"/>
  <c r="E489" i="9"/>
  <c r="D489" i="9"/>
  <c r="C489" i="9"/>
  <c r="B489" i="9"/>
  <c r="A489" i="9"/>
  <c r="M488" i="9"/>
  <c r="L488" i="9"/>
  <c r="K488" i="9"/>
  <c r="J488" i="9"/>
  <c r="I488" i="9"/>
  <c r="H488" i="9"/>
  <c r="G488" i="9"/>
  <c r="F488" i="9"/>
  <c r="E488" i="9"/>
  <c r="D488" i="9"/>
  <c r="C488" i="9"/>
  <c r="B488" i="9"/>
  <c r="A488" i="9"/>
  <c r="M487" i="9"/>
  <c r="L487" i="9"/>
  <c r="K487" i="9"/>
  <c r="J487" i="9"/>
  <c r="I487" i="9"/>
  <c r="H487" i="9"/>
  <c r="G487" i="9"/>
  <c r="F487" i="9"/>
  <c r="E487" i="9"/>
  <c r="D487" i="9"/>
  <c r="C487" i="9"/>
  <c r="B487" i="9"/>
  <c r="A487" i="9"/>
  <c r="M486" i="9"/>
  <c r="L486" i="9"/>
  <c r="K486" i="9"/>
  <c r="J486" i="9"/>
  <c r="I486" i="9"/>
  <c r="H486" i="9"/>
  <c r="G486" i="9"/>
  <c r="F486" i="9"/>
  <c r="E486" i="9"/>
  <c r="D486" i="9"/>
  <c r="C486" i="9"/>
  <c r="B486" i="9"/>
  <c r="A486" i="9"/>
  <c r="M485" i="9"/>
  <c r="L485" i="9"/>
  <c r="K485" i="9"/>
  <c r="J485" i="9"/>
  <c r="I485" i="9"/>
  <c r="H485" i="9"/>
  <c r="G485" i="9"/>
  <c r="F485" i="9"/>
  <c r="E485" i="9"/>
  <c r="D485" i="9"/>
  <c r="C485" i="9"/>
  <c r="B485" i="9"/>
  <c r="A485" i="9"/>
  <c r="M484" i="9"/>
  <c r="L484" i="9"/>
  <c r="K484" i="9"/>
  <c r="J484" i="9"/>
  <c r="I484" i="9"/>
  <c r="H484" i="9"/>
  <c r="G484" i="9"/>
  <c r="F484" i="9"/>
  <c r="E484" i="9"/>
  <c r="D484" i="9"/>
  <c r="C484" i="9"/>
  <c r="B484" i="9"/>
  <c r="A484" i="9"/>
  <c r="M483" i="9"/>
  <c r="L483" i="9"/>
  <c r="K483" i="9"/>
  <c r="J483" i="9"/>
  <c r="I483" i="9"/>
  <c r="H483" i="9"/>
  <c r="G483" i="9"/>
  <c r="F483" i="9"/>
  <c r="E483" i="9"/>
  <c r="D483" i="9"/>
  <c r="C483" i="9"/>
  <c r="B483" i="9"/>
  <c r="A483" i="9"/>
  <c r="M482" i="9"/>
  <c r="L482" i="9"/>
  <c r="K482" i="9"/>
  <c r="J482" i="9"/>
  <c r="I482" i="9"/>
  <c r="H482" i="9"/>
  <c r="G482" i="9"/>
  <c r="F482" i="9"/>
  <c r="E482" i="9"/>
  <c r="D482" i="9"/>
  <c r="C482" i="9"/>
  <c r="B482" i="9"/>
  <c r="A482" i="9"/>
  <c r="M481" i="9"/>
  <c r="L481" i="9"/>
  <c r="K481" i="9"/>
  <c r="J481" i="9"/>
  <c r="I481" i="9"/>
  <c r="H481" i="9"/>
  <c r="G481" i="9"/>
  <c r="F481" i="9"/>
  <c r="E481" i="9"/>
  <c r="D481" i="9"/>
  <c r="C481" i="9"/>
  <c r="B481" i="9"/>
  <c r="A481" i="9"/>
  <c r="M480" i="9"/>
  <c r="L480" i="9"/>
  <c r="K480" i="9"/>
  <c r="J480" i="9"/>
  <c r="I480" i="9"/>
  <c r="H480" i="9"/>
  <c r="G480" i="9"/>
  <c r="F480" i="9"/>
  <c r="E480" i="9"/>
  <c r="D480" i="9"/>
  <c r="C480" i="9"/>
  <c r="B480" i="9"/>
  <c r="A480" i="9"/>
  <c r="M479" i="9"/>
  <c r="L479" i="9"/>
  <c r="K479" i="9"/>
  <c r="J479" i="9"/>
  <c r="I479" i="9"/>
  <c r="H479" i="9"/>
  <c r="G479" i="9"/>
  <c r="F479" i="9"/>
  <c r="E479" i="9"/>
  <c r="D479" i="9"/>
  <c r="C479" i="9"/>
  <c r="B479" i="9"/>
  <c r="A479" i="9"/>
  <c r="M478" i="9"/>
  <c r="L478" i="9"/>
  <c r="K478" i="9"/>
  <c r="J478" i="9"/>
  <c r="I478" i="9"/>
  <c r="H478" i="9"/>
  <c r="G478" i="9"/>
  <c r="F478" i="9"/>
  <c r="E478" i="9"/>
  <c r="D478" i="9"/>
  <c r="C478" i="9"/>
  <c r="B478" i="9"/>
  <c r="A478" i="9"/>
  <c r="M477" i="9"/>
  <c r="L477" i="9"/>
  <c r="K477" i="9"/>
  <c r="J477" i="9"/>
  <c r="I477" i="9"/>
  <c r="H477" i="9"/>
  <c r="G477" i="9"/>
  <c r="F477" i="9"/>
  <c r="E477" i="9"/>
  <c r="D477" i="9"/>
  <c r="C477" i="9"/>
  <c r="B477" i="9"/>
  <c r="A477" i="9"/>
  <c r="M476" i="9"/>
  <c r="L476" i="9"/>
  <c r="K476" i="9"/>
  <c r="J476" i="9"/>
  <c r="I476" i="9"/>
  <c r="H476" i="9"/>
  <c r="G476" i="9"/>
  <c r="F476" i="9"/>
  <c r="E476" i="9"/>
  <c r="D476" i="9"/>
  <c r="C476" i="9"/>
  <c r="B476" i="9"/>
  <c r="A476" i="9"/>
  <c r="M475" i="9"/>
  <c r="L475" i="9"/>
  <c r="K475" i="9"/>
  <c r="J475" i="9"/>
  <c r="I475" i="9"/>
  <c r="H475" i="9"/>
  <c r="G475" i="9"/>
  <c r="F475" i="9"/>
  <c r="E475" i="9"/>
  <c r="D475" i="9"/>
  <c r="C475" i="9"/>
  <c r="B475" i="9"/>
  <c r="A475" i="9"/>
  <c r="M474" i="9"/>
  <c r="L474" i="9"/>
  <c r="K474" i="9"/>
  <c r="J474" i="9"/>
  <c r="I474" i="9"/>
  <c r="H474" i="9"/>
  <c r="G474" i="9"/>
  <c r="F474" i="9"/>
  <c r="E474" i="9"/>
  <c r="D474" i="9"/>
  <c r="C474" i="9"/>
  <c r="B474" i="9"/>
  <c r="A474" i="9"/>
  <c r="M473" i="9"/>
  <c r="L473" i="9"/>
  <c r="K473" i="9"/>
  <c r="J473" i="9"/>
  <c r="I473" i="9"/>
  <c r="H473" i="9"/>
  <c r="G473" i="9"/>
  <c r="F473" i="9"/>
  <c r="E473" i="9"/>
  <c r="D473" i="9"/>
  <c r="C473" i="9"/>
  <c r="B473" i="9"/>
  <c r="A473" i="9"/>
  <c r="M472" i="9"/>
  <c r="L472" i="9"/>
  <c r="K472" i="9"/>
  <c r="J472" i="9"/>
  <c r="I472" i="9"/>
  <c r="H472" i="9"/>
  <c r="G472" i="9"/>
  <c r="F472" i="9"/>
  <c r="E472" i="9"/>
  <c r="D472" i="9"/>
  <c r="C472" i="9"/>
  <c r="B472" i="9"/>
  <c r="A472" i="9"/>
  <c r="M471" i="9"/>
  <c r="L471" i="9"/>
  <c r="K471" i="9"/>
  <c r="J471" i="9"/>
  <c r="I471" i="9"/>
  <c r="H471" i="9"/>
  <c r="G471" i="9"/>
  <c r="F471" i="9"/>
  <c r="E471" i="9"/>
  <c r="D471" i="9"/>
  <c r="C471" i="9"/>
  <c r="B471" i="9"/>
  <c r="A471" i="9"/>
  <c r="M470" i="9"/>
  <c r="L470" i="9"/>
  <c r="K470" i="9"/>
  <c r="J470" i="9"/>
  <c r="I470" i="9"/>
  <c r="H470" i="9"/>
  <c r="G470" i="9"/>
  <c r="F470" i="9"/>
  <c r="E470" i="9"/>
  <c r="D470" i="9"/>
  <c r="C470" i="9"/>
  <c r="B470" i="9"/>
  <c r="A470" i="9"/>
  <c r="M469" i="9"/>
  <c r="L469" i="9"/>
  <c r="K469" i="9"/>
  <c r="J469" i="9"/>
  <c r="I469" i="9"/>
  <c r="H469" i="9"/>
  <c r="G469" i="9"/>
  <c r="F469" i="9"/>
  <c r="E469" i="9"/>
  <c r="D469" i="9"/>
  <c r="C469" i="9"/>
  <c r="B469" i="9"/>
  <c r="A469" i="9"/>
  <c r="M468" i="9"/>
  <c r="L468" i="9"/>
  <c r="K468" i="9"/>
  <c r="J468" i="9"/>
  <c r="I468" i="9"/>
  <c r="H468" i="9"/>
  <c r="G468" i="9"/>
  <c r="F468" i="9"/>
  <c r="E468" i="9"/>
  <c r="D468" i="9"/>
  <c r="C468" i="9"/>
  <c r="B468" i="9"/>
  <c r="A468" i="9"/>
  <c r="M467" i="9"/>
  <c r="L467" i="9"/>
  <c r="K467" i="9"/>
  <c r="J467" i="9"/>
  <c r="I467" i="9"/>
  <c r="H467" i="9"/>
  <c r="G467" i="9"/>
  <c r="F467" i="9"/>
  <c r="E467" i="9"/>
  <c r="D467" i="9"/>
  <c r="C467" i="9"/>
  <c r="B467" i="9"/>
  <c r="A467" i="9"/>
  <c r="M466" i="9"/>
  <c r="L466" i="9"/>
  <c r="K466" i="9"/>
  <c r="J466" i="9"/>
  <c r="I466" i="9"/>
  <c r="H466" i="9"/>
  <c r="G466" i="9"/>
  <c r="F466" i="9"/>
  <c r="E466" i="9"/>
  <c r="D466" i="9"/>
  <c r="C466" i="9"/>
  <c r="B466" i="9"/>
  <c r="A466" i="9"/>
  <c r="M465" i="9"/>
  <c r="L465" i="9"/>
  <c r="K465" i="9"/>
  <c r="J465" i="9"/>
  <c r="I465" i="9"/>
  <c r="H465" i="9"/>
  <c r="G465" i="9"/>
  <c r="F465" i="9"/>
  <c r="E465" i="9"/>
  <c r="D465" i="9"/>
  <c r="C465" i="9"/>
  <c r="B465" i="9"/>
  <c r="A465" i="9"/>
  <c r="M464" i="9"/>
  <c r="L464" i="9"/>
  <c r="K464" i="9"/>
  <c r="J464" i="9"/>
  <c r="I464" i="9"/>
  <c r="H464" i="9"/>
  <c r="G464" i="9"/>
  <c r="F464" i="9"/>
  <c r="E464" i="9"/>
  <c r="D464" i="9"/>
  <c r="C464" i="9"/>
  <c r="B464" i="9"/>
  <c r="A464" i="9"/>
  <c r="M463" i="9"/>
  <c r="L463" i="9"/>
  <c r="K463" i="9"/>
  <c r="J463" i="9"/>
  <c r="I463" i="9"/>
  <c r="H463" i="9"/>
  <c r="G463" i="9"/>
  <c r="F463" i="9"/>
  <c r="E463" i="9"/>
  <c r="D463" i="9"/>
  <c r="C463" i="9"/>
  <c r="B463" i="9"/>
  <c r="A463" i="9"/>
  <c r="M462" i="9"/>
  <c r="L462" i="9"/>
  <c r="K462" i="9"/>
  <c r="J462" i="9"/>
  <c r="I462" i="9"/>
  <c r="H462" i="9"/>
  <c r="G462" i="9"/>
  <c r="F462" i="9"/>
  <c r="E462" i="9"/>
  <c r="D462" i="9"/>
  <c r="C462" i="9"/>
  <c r="B462" i="9"/>
  <c r="A462" i="9"/>
  <c r="M461" i="9"/>
  <c r="L461" i="9"/>
  <c r="K461" i="9"/>
  <c r="J461" i="9"/>
  <c r="I461" i="9"/>
  <c r="H461" i="9"/>
  <c r="G461" i="9"/>
  <c r="F461" i="9"/>
  <c r="E461" i="9"/>
  <c r="D461" i="9"/>
  <c r="C461" i="9"/>
  <c r="B461" i="9"/>
  <c r="A461" i="9"/>
  <c r="M460" i="9"/>
  <c r="L460" i="9"/>
  <c r="K460" i="9"/>
  <c r="J460" i="9"/>
  <c r="I460" i="9"/>
  <c r="H460" i="9"/>
  <c r="G460" i="9"/>
  <c r="F460" i="9"/>
  <c r="E460" i="9"/>
  <c r="D460" i="9"/>
  <c r="C460" i="9"/>
  <c r="B460" i="9"/>
  <c r="A460" i="9"/>
  <c r="M459" i="9"/>
  <c r="L459" i="9"/>
  <c r="K459" i="9"/>
  <c r="J459" i="9"/>
  <c r="I459" i="9"/>
  <c r="H459" i="9"/>
  <c r="G459" i="9"/>
  <c r="F459" i="9"/>
  <c r="E459" i="9"/>
  <c r="D459" i="9"/>
  <c r="C459" i="9"/>
  <c r="B459" i="9"/>
  <c r="A459" i="9"/>
  <c r="M458" i="9"/>
  <c r="L458" i="9"/>
  <c r="K458" i="9"/>
  <c r="J458" i="9"/>
  <c r="I458" i="9"/>
  <c r="H458" i="9"/>
  <c r="G458" i="9"/>
  <c r="F458" i="9"/>
  <c r="E458" i="9"/>
  <c r="D458" i="9"/>
  <c r="C458" i="9"/>
  <c r="B458" i="9"/>
  <c r="A458" i="9"/>
  <c r="M457" i="9"/>
  <c r="L457" i="9"/>
  <c r="K457" i="9"/>
  <c r="J457" i="9"/>
  <c r="I457" i="9"/>
  <c r="H457" i="9"/>
  <c r="G457" i="9"/>
  <c r="F457" i="9"/>
  <c r="E457" i="9"/>
  <c r="D457" i="9"/>
  <c r="C457" i="9"/>
  <c r="B457" i="9"/>
  <c r="A457" i="9"/>
  <c r="M456" i="9"/>
  <c r="L456" i="9"/>
  <c r="K456" i="9"/>
  <c r="J456" i="9"/>
  <c r="I456" i="9"/>
  <c r="H456" i="9"/>
  <c r="G456" i="9"/>
  <c r="F456" i="9"/>
  <c r="E456" i="9"/>
  <c r="D456" i="9"/>
  <c r="C456" i="9"/>
  <c r="B456" i="9"/>
  <c r="A456" i="9"/>
  <c r="M455" i="9"/>
  <c r="L455" i="9"/>
  <c r="K455" i="9"/>
  <c r="J455" i="9"/>
  <c r="I455" i="9"/>
  <c r="H455" i="9"/>
  <c r="G455" i="9"/>
  <c r="F455" i="9"/>
  <c r="E455" i="9"/>
  <c r="D455" i="9"/>
  <c r="C455" i="9"/>
  <c r="B455" i="9"/>
  <c r="A455" i="9"/>
  <c r="M454" i="9"/>
  <c r="L454" i="9"/>
  <c r="K454" i="9"/>
  <c r="J454" i="9"/>
  <c r="I454" i="9"/>
  <c r="H454" i="9"/>
  <c r="G454" i="9"/>
  <c r="F454" i="9"/>
  <c r="E454" i="9"/>
  <c r="D454" i="9"/>
  <c r="C454" i="9"/>
  <c r="B454" i="9"/>
  <c r="A454" i="9"/>
  <c r="M453" i="9"/>
  <c r="L453" i="9"/>
  <c r="K453" i="9"/>
  <c r="J453" i="9"/>
  <c r="I453" i="9"/>
  <c r="H453" i="9"/>
  <c r="G453" i="9"/>
  <c r="F453" i="9"/>
  <c r="E453" i="9"/>
  <c r="D453" i="9"/>
  <c r="C453" i="9"/>
  <c r="B453" i="9"/>
  <c r="A453" i="9"/>
  <c r="M452" i="9"/>
  <c r="L452" i="9"/>
  <c r="K452" i="9"/>
  <c r="J452" i="9"/>
  <c r="I452" i="9"/>
  <c r="H452" i="9"/>
  <c r="G452" i="9"/>
  <c r="F452" i="9"/>
  <c r="E452" i="9"/>
  <c r="D452" i="9"/>
  <c r="C452" i="9"/>
  <c r="B452" i="9"/>
  <c r="A452" i="9"/>
  <c r="M451" i="9"/>
  <c r="L451" i="9"/>
  <c r="K451" i="9"/>
  <c r="J451" i="9"/>
  <c r="I451" i="9"/>
  <c r="H451" i="9"/>
  <c r="G451" i="9"/>
  <c r="F451" i="9"/>
  <c r="E451" i="9"/>
  <c r="D451" i="9"/>
  <c r="C451" i="9"/>
  <c r="B451" i="9"/>
  <c r="A451" i="9"/>
  <c r="M450" i="9"/>
  <c r="L450" i="9"/>
  <c r="K450" i="9"/>
  <c r="J450" i="9"/>
  <c r="I450" i="9"/>
  <c r="H450" i="9"/>
  <c r="G450" i="9"/>
  <c r="F450" i="9"/>
  <c r="E450" i="9"/>
  <c r="D450" i="9"/>
  <c r="C450" i="9"/>
  <c r="B450" i="9"/>
  <c r="A450" i="9"/>
  <c r="M449" i="9"/>
  <c r="L449" i="9"/>
  <c r="K449" i="9"/>
  <c r="J449" i="9"/>
  <c r="I449" i="9"/>
  <c r="H449" i="9"/>
  <c r="G449" i="9"/>
  <c r="F449" i="9"/>
  <c r="E449" i="9"/>
  <c r="D449" i="9"/>
  <c r="C449" i="9"/>
  <c r="B449" i="9"/>
  <c r="A449" i="9"/>
  <c r="M448" i="9"/>
  <c r="L448" i="9"/>
  <c r="K448" i="9"/>
  <c r="J448" i="9"/>
  <c r="I448" i="9"/>
  <c r="H448" i="9"/>
  <c r="G448" i="9"/>
  <c r="F448" i="9"/>
  <c r="E448" i="9"/>
  <c r="D448" i="9"/>
  <c r="C448" i="9"/>
  <c r="B448" i="9"/>
  <c r="A448" i="9"/>
  <c r="M447" i="9"/>
  <c r="L447" i="9"/>
  <c r="K447" i="9"/>
  <c r="J447" i="9"/>
  <c r="I447" i="9"/>
  <c r="H447" i="9"/>
  <c r="G447" i="9"/>
  <c r="F447" i="9"/>
  <c r="E447" i="9"/>
  <c r="D447" i="9"/>
  <c r="C447" i="9"/>
  <c r="B447" i="9"/>
  <c r="A447" i="9"/>
  <c r="M446" i="9"/>
  <c r="L446" i="9"/>
  <c r="K446" i="9"/>
  <c r="J446" i="9"/>
  <c r="I446" i="9"/>
  <c r="H446" i="9"/>
  <c r="G446" i="9"/>
  <c r="F446" i="9"/>
  <c r="E446" i="9"/>
  <c r="D446" i="9"/>
  <c r="C446" i="9"/>
  <c r="B446" i="9"/>
  <c r="A446" i="9"/>
  <c r="M445" i="9"/>
  <c r="L445" i="9"/>
  <c r="K445" i="9"/>
  <c r="J445" i="9"/>
  <c r="I445" i="9"/>
  <c r="H445" i="9"/>
  <c r="G445" i="9"/>
  <c r="F445" i="9"/>
  <c r="E445" i="9"/>
  <c r="D445" i="9"/>
  <c r="C445" i="9"/>
  <c r="B445" i="9"/>
  <c r="A445" i="9"/>
  <c r="M444" i="9"/>
  <c r="L444" i="9"/>
  <c r="K444" i="9"/>
  <c r="J444" i="9"/>
  <c r="I444" i="9"/>
  <c r="H444" i="9"/>
  <c r="G444" i="9"/>
  <c r="F444" i="9"/>
  <c r="E444" i="9"/>
  <c r="D444" i="9"/>
  <c r="C444" i="9"/>
  <c r="B444" i="9"/>
  <c r="A444" i="9"/>
  <c r="M443" i="9"/>
  <c r="L443" i="9"/>
  <c r="K443" i="9"/>
  <c r="J443" i="9"/>
  <c r="I443" i="9"/>
  <c r="H443" i="9"/>
  <c r="G443" i="9"/>
  <c r="F443" i="9"/>
  <c r="E443" i="9"/>
  <c r="D443" i="9"/>
  <c r="C443" i="9"/>
  <c r="B443" i="9"/>
  <c r="A443" i="9"/>
  <c r="M442" i="9"/>
  <c r="L442" i="9"/>
  <c r="K442" i="9"/>
  <c r="J442" i="9"/>
  <c r="I442" i="9"/>
  <c r="H442" i="9"/>
  <c r="G442" i="9"/>
  <c r="F442" i="9"/>
  <c r="E442" i="9"/>
  <c r="D442" i="9"/>
  <c r="C442" i="9"/>
  <c r="B442" i="9"/>
  <c r="A442" i="9"/>
  <c r="M441" i="9"/>
  <c r="L441" i="9"/>
  <c r="K441" i="9"/>
  <c r="J441" i="9"/>
  <c r="I441" i="9"/>
  <c r="H441" i="9"/>
  <c r="G441" i="9"/>
  <c r="F441" i="9"/>
  <c r="E441" i="9"/>
  <c r="D441" i="9"/>
  <c r="C441" i="9"/>
  <c r="B441" i="9"/>
  <c r="A441" i="9"/>
  <c r="M440" i="9"/>
  <c r="L440" i="9"/>
  <c r="K440" i="9"/>
  <c r="J440" i="9"/>
  <c r="I440" i="9"/>
  <c r="H440" i="9"/>
  <c r="G440" i="9"/>
  <c r="F440" i="9"/>
  <c r="E440" i="9"/>
  <c r="D440" i="9"/>
  <c r="C440" i="9"/>
  <c r="B440" i="9"/>
  <c r="A440" i="9"/>
  <c r="M439" i="9"/>
  <c r="L439" i="9"/>
  <c r="K439" i="9"/>
  <c r="J439" i="9"/>
  <c r="I439" i="9"/>
  <c r="H439" i="9"/>
  <c r="G439" i="9"/>
  <c r="F439" i="9"/>
  <c r="E439" i="9"/>
  <c r="D439" i="9"/>
  <c r="C439" i="9"/>
  <c r="B439" i="9"/>
  <c r="A439" i="9"/>
  <c r="M438" i="9"/>
  <c r="L438" i="9"/>
  <c r="K438" i="9"/>
  <c r="J438" i="9"/>
  <c r="I438" i="9"/>
  <c r="H438" i="9"/>
  <c r="G438" i="9"/>
  <c r="F438" i="9"/>
  <c r="E438" i="9"/>
  <c r="D438" i="9"/>
  <c r="C438" i="9"/>
  <c r="B438" i="9"/>
  <c r="A438" i="9"/>
  <c r="M437" i="9"/>
  <c r="L437" i="9"/>
  <c r="K437" i="9"/>
  <c r="J437" i="9"/>
  <c r="I437" i="9"/>
  <c r="H437" i="9"/>
  <c r="G437" i="9"/>
  <c r="F437" i="9"/>
  <c r="E437" i="9"/>
  <c r="D437" i="9"/>
  <c r="C437" i="9"/>
  <c r="B437" i="9"/>
  <c r="A437" i="9"/>
  <c r="M436" i="9"/>
  <c r="L436" i="9"/>
  <c r="K436" i="9"/>
  <c r="J436" i="9"/>
  <c r="I436" i="9"/>
  <c r="H436" i="9"/>
  <c r="G436" i="9"/>
  <c r="F436" i="9"/>
  <c r="E436" i="9"/>
  <c r="D436" i="9"/>
  <c r="C436" i="9"/>
  <c r="B436" i="9"/>
  <c r="A436" i="9"/>
  <c r="M435" i="9"/>
  <c r="L435" i="9"/>
  <c r="K435" i="9"/>
  <c r="J435" i="9"/>
  <c r="I435" i="9"/>
  <c r="H435" i="9"/>
  <c r="G435" i="9"/>
  <c r="F435" i="9"/>
  <c r="E435" i="9"/>
  <c r="D435" i="9"/>
  <c r="C435" i="9"/>
  <c r="B435" i="9"/>
  <c r="A435" i="9"/>
  <c r="M434" i="9"/>
  <c r="L434" i="9"/>
  <c r="K434" i="9"/>
  <c r="J434" i="9"/>
  <c r="I434" i="9"/>
  <c r="H434" i="9"/>
  <c r="G434" i="9"/>
  <c r="F434" i="9"/>
  <c r="E434" i="9"/>
  <c r="D434" i="9"/>
  <c r="C434" i="9"/>
  <c r="B434" i="9"/>
  <c r="A434" i="9"/>
  <c r="M433" i="9"/>
  <c r="L433" i="9"/>
  <c r="K433" i="9"/>
  <c r="J433" i="9"/>
  <c r="I433" i="9"/>
  <c r="H433" i="9"/>
  <c r="G433" i="9"/>
  <c r="F433" i="9"/>
  <c r="E433" i="9"/>
  <c r="D433" i="9"/>
  <c r="C433" i="9"/>
  <c r="B433" i="9"/>
  <c r="A433" i="9"/>
  <c r="M432" i="9"/>
  <c r="L432" i="9"/>
  <c r="K432" i="9"/>
  <c r="J432" i="9"/>
  <c r="I432" i="9"/>
  <c r="H432" i="9"/>
  <c r="G432" i="9"/>
  <c r="F432" i="9"/>
  <c r="E432" i="9"/>
  <c r="D432" i="9"/>
  <c r="C432" i="9"/>
  <c r="B432" i="9"/>
  <c r="A432" i="9"/>
  <c r="M431" i="9"/>
  <c r="L431" i="9"/>
  <c r="K431" i="9"/>
  <c r="J431" i="9"/>
  <c r="I431" i="9"/>
  <c r="H431" i="9"/>
  <c r="G431" i="9"/>
  <c r="F431" i="9"/>
  <c r="E431" i="9"/>
  <c r="D431" i="9"/>
  <c r="C431" i="9"/>
  <c r="B431" i="9"/>
  <c r="A431" i="9"/>
  <c r="M430" i="9"/>
  <c r="L430" i="9"/>
  <c r="K430" i="9"/>
  <c r="J430" i="9"/>
  <c r="I430" i="9"/>
  <c r="H430" i="9"/>
  <c r="G430" i="9"/>
  <c r="F430" i="9"/>
  <c r="E430" i="9"/>
  <c r="D430" i="9"/>
  <c r="C430" i="9"/>
  <c r="B430" i="9"/>
  <c r="A430" i="9"/>
  <c r="M429" i="9"/>
  <c r="L429" i="9"/>
  <c r="K429" i="9"/>
  <c r="J429" i="9"/>
  <c r="I429" i="9"/>
  <c r="H429" i="9"/>
  <c r="G429" i="9"/>
  <c r="F429" i="9"/>
  <c r="E429" i="9"/>
  <c r="D429" i="9"/>
  <c r="C429" i="9"/>
  <c r="B429" i="9"/>
  <c r="A429" i="9"/>
  <c r="M428" i="9"/>
  <c r="L428" i="9"/>
  <c r="K428" i="9"/>
  <c r="J428" i="9"/>
  <c r="I428" i="9"/>
  <c r="H428" i="9"/>
  <c r="G428" i="9"/>
  <c r="F428" i="9"/>
  <c r="E428" i="9"/>
  <c r="D428" i="9"/>
  <c r="C428" i="9"/>
  <c r="B428" i="9"/>
  <c r="A428" i="9"/>
  <c r="M427" i="9"/>
  <c r="L427" i="9"/>
  <c r="K427" i="9"/>
  <c r="J427" i="9"/>
  <c r="I427" i="9"/>
  <c r="H427" i="9"/>
  <c r="G427" i="9"/>
  <c r="F427" i="9"/>
  <c r="E427" i="9"/>
  <c r="D427" i="9"/>
  <c r="C427" i="9"/>
  <c r="B427" i="9"/>
  <c r="A427" i="9"/>
  <c r="M426" i="9"/>
  <c r="L426" i="9"/>
  <c r="K426" i="9"/>
  <c r="J426" i="9"/>
  <c r="I426" i="9"/>
  <c r="H426" i="9"/>
  <c r="G426" i="9"/>
  <c r="F426" i="9"/>
  <c r="E426" i="9"/>
  <c r="D426" i="9"/>
  <c r="C426" i="9"/>
  <c r="B426" i="9"/>
  <c r="A426" i="9"/>
  <c r="M425" i="9"/>
  <c r="L425" i="9"/>
  <c r="K425" i="9"/>
  <c r="J425" i="9"/>
  <c r="I425" i="9"/>
  <c r="H425" i="9"/>
  <c r="G425" i="9"/>
  <c r="F425" i="9"/>
  <c r="E425" i="9"/>
  <c r="D425" i="9"/>
  <c r="C425" i="9"/>
  <c r="B425" i="9"/>
  <c r="A425" i="9"/>
  <c r="M424" i="9"/>
  <c r="L424" i="9"/>
  <c r="K424" i="9"/>
  <c r="J424" i="9"/>
  <c r="I424" i="9"/>
  <c r="H424" i="9"/>
  <c r="G424" i="9"/>
  <c r="F424" i="9"/>
  <c r="E424" i="9"/>
  <c r="D424" i="9"/>
  <c r="C424" i="9"/>
  <c r="B424" i="9"/>
  <c r="A424" i="9"/>
  <c r="M423" i="9"/>
  <c r="L423" i="9"/>
  <c r="K423" i="9"/>
  <c r="J423" i="9"/>
  <c r="I423" i="9"/>
  <c r="H423" i="9"/>
  <c r="G423" i="9"/>
  <c r="F423" i="9"/>
  <c r="E423" i="9"/>
  <c r="D423" i="9"/>
  <c r="C423" i="9"/>
  <c r="B423" i="9"/>
  <c r="A423" i="9"/>
  <c r="M422" i="9"/>
  <c r="L422" i="9"/>
  <c r="K422" i="9"/>
  <c r="J422" i="9"/>
  <c r="I422" i="9"/>
  <c r="H422" i="9"/>
  <c r="G422" i="9"/>
  <c r="F422" i="9"/>
  <c r="E422" i="9"/>
  <c r="D422" i="9"/>
  <c r="C422" i="9"/>
  <c r="B422" i="9"/>
  <c r="A422" i="9"/>
  <c r="M421" i="9"/>
  <c r="L421" i="9"/>
  <c r="K421" i="9"/>
  <c r="J421" i="9"/>
  <c r="I421" i="9"/>
  <c r="H421" i="9"/>
  <c r="G421" i="9"/>
  <c r="F421" i="9"/>
  <c r="E421" i="9"/>
  <c r="D421" i="9"/>
  <c r="C421" i="9"/>
  <c r="B421" i="9"/>
  <c r="A421" i="9"/>
  <c r="M420" i="9"/>
  <c r="L420" i="9"/>
  <c r="K420" i="9"/>
  <c r="J420" i="9"/>
  <c r="I420" i="9"/>
  <c r="H420" i="9"/>
  <c r="G420" i="9"/>
  <c r="F420" i="9"/>
  <c r="E420" i="9"/>
  <c r="D420" i="9"/>
  <c r="C420" i="9"/>
  <c r="B420" i="9"/>
  <c r="A420" i="9"/>
  <c r="M419" i="9"/>
  <c r="L419" i="9"/>
  <c r="K419" i="9"/>
  <c r="J419" i="9"/>
  <c r="I419" i="9"/>
  <c r="H419" i="9"/>
  <c r="G419" i="9"/>
  <c r="F419" i="9"/>
  <c r="E419" i="9"/>
  <c r="D419" i="9"/>
  <c r="C419" i="9"/>
  <c r="B419" i="9"/>
  <c r="A419" i="9"/>
  <c r="M418" i="9"/>
  <c r="L418" i="9"/>
  <c r="K418" i="9"/>
  <c r="J418" i="9"/>
  <c r="I418" i="9"/>
  <c r="H418" i="9"/>
  <c r="G418" i="9"/>
  <c r="F418" i="9"/>
  <c r="E418" i="9"/>
  <c r="D418" i="9"/>
  <c r="C418" i="9"/>
  <c r="B418" i="9"/>
  <c r="A418" i="9"/>
  <c r="M417" i="9"/>
  <c r="L417" i="9"/>
  <c r="K417" i="9"/>
  <c r="J417" i="9"/>
  <c r="I417" i="9"/>
  <c r="H417" i="9"/>
  <c r="G417" i="9"/>
  <c r="F417" i="9"/>
  <c r="E417" i="9"/>
  <c r="D417" i="9"/>
  <c r="C417" i="9"/>
  <c r="B417" i="9"/>
  <c r="A417" i="9"/>
  <c r="M416" i="9"/>
  <c r="L416" i="9"/>
  <c r="K416" i="9"/>
  <c r="J416" i="9"/>
  <c r="I416" i="9"/>
  <c r="H416" i="9"/>
  <c r="G416" i="9"/>
  <c r="F416" i="9"/>
  <c r="E416" i="9"/>
  <c r="D416" i="9"/>
  <c r="C416" i="9"/>
  <c r="B416" i="9"/>
  <c r="A416" i="9"/>
  <c r="M415" i="9"/>
  <c r="L415" i="9"/>
  <c r="K415" i="9"/>
  <c r="J415" i="9"/>
  <c r="I415" i="9"/>
  <c r="H415" i="9"/>
  <c r="G415" i="9"/>
  <c r="F415" i="9"/>
  <c r="E415" i="9"/>
  <c r="D415" i="9"/>
  <c r="C415" i="9"/>
  <c r="B415" i="9"/>
  <c r="A415" i="9"/>
  <c r="M414" i="9"/>
  <c r="L414" i="9"/>
  <c r="K414" i="9"/>
  <c r="J414" i="9"/>
  <c r="I414" i="9"/>
  <c r="H414" i="9"/>
  <c r="G414" i="9"/>
  <c r="F414" i="9"/>
  <c r="E414" i="9"/>
  <c r="D414" i="9"/>
  <c r="C414" i="9"/>
  <c r="B414" i="9"/>
  <c r="A414" i="9"/>
  <c r="M413" i="9"/>
  <c r="L413" i="9"/>
  <c r="K413" i="9"/>
  <c r="J413" i="9"/>
  <c r="I413" i="9"/>
  <c r="H413" i="9"/>
  <c r="G413" i="9"/>
  <c r="F413" i="9"/>
  <c r="E413" i="9"/>
  <c r="D413" i="9"/>
  <c r="C413" i="9"/>
  <c r="B413" i="9"/>
  <c r="A413" i="9"/>
  <c r="M412" i="9"/>
  <c r="L412" i="9"/>
  <c r="K412" i="9"/>
  <c r="J412" i="9"/>
  <c r="I412" i="9"/>
  <c r="H412" i="9"/>
  <c r="G412" i="9"/>
  <c r="F412" i="9"/>
  <c r="E412" i="9"/>
  <c r="D412" i="9"/>
  <c r="C412" i="9"/>
  <c r="B412" i="9"/>
  <c r="A412" i="9"/>
  <c r="M411" i="9"/>
  <c r="L411" i="9"/>
  <c r="K411" i="9"/>
  <c r="J411" i="9"/>
  <c r="I411" i="9"/>
  <c r="H411" i="9"/>
  <c r="G411" i="9"/>
  <c r="F411" i="9"/>
  <c r="E411" i="9"/>
  <c r="D411" i="9"/>
  <c r="C411" i="9"/>
  <c r="B411" i="9"/>
  <c r="A411" i="9"/>
  <c r="M410" i="9"/>
  <c r="L410" i="9"/>
  <c r="K410" i="9"/>
  <c r="J410" i="9"/>
  <c r="I410" i="9"/>
  <c r="H410" i="9"/>
  <c r="G410" i="9"/>
  <c r="F410" i="9"/>
  <c r="E410" i="9"/>
  <c r="D410" i="9"/>
  <c r="C410" i="9"/>
  <c r="B410" i="9"/>
  <c r="A410" i="9"/>
  <c r="M409" i="9"/>
  <c r="L409" i="9"/>
  <c r="K409" i="9"/>
  <c r="J409" i="9"/>
  <c r="I409" i="9"/>
  <c r="H409" i="9"/>
  <c r="G409" i="9"/>
  <c r="F409" i="9"/>
  <c r="E409" i="9"/>
  <c r="D409" i="9"/>
  <c r="C409" i="9"/>
  <c r="B409" i="9"/>
  <c r="A409" i="9"/>
  <c r="M408" i="9"/>
  <c r="L408" i="9"/>
  <c r="K408" i="9"/>
  <c r="J408" i="9"/>
  <c r="I408" i="9"/>
  <c r="H408" i="9"/>
  <c r="G408" i="9"/>
  <c r="F408" i="9"/>
  <c r="E408" i="9"/>
  <c r="D408" i="9"/>
  <c r="C408" i="9"/>
  <c r="B408" i="9"/>
  <c r="A408" i="9"/>
  <c r="M407" i="9"/>
  <c r="L407" i="9"/>
  <c r="K407" i="9"/>
  <c r="J407" i="9"/>
  <c r="I407" i="9"/>
  <c r="H407" i="9"/>
  <c r="G407" i="9"/>
  <c r="F407" i="9"/>
  <c r="E407" i="9"/>
  <c r="D407" i="9"/>
  <c r="C407" i="9"/>
  <c r="B407" i="9"/>
  <c r="A407" i="9"/>
  <c r="M406" i="9"/>
  <c r="L406" i="9"/>
  <c r="K406" i="9"/>
  <c r="J406" i="9"/>
  <c r="I406" i="9"/>
  <c r="H406" i="9"/>
  <c r="G406" i="9"/>
  <c r="F406" i="9"/>
  <c r="E406" i="9"/>
  <c r="D406" i="9"/>
  <c r="C406" i="9"/>
  <c r="B406" i="9"/>
  <c r="A406" i="9"/>
  <c r="M405" i="9"/>
  <c r="L405" i="9"/>
  <c r="K405" i="9"/>
  <c r="J405" i="9"/>
  <c r="I405" i="9"/>
  <c r="H405" i="9"/>
  <c r="G405" i="9"/>
  <c r="F405" i="9"/>
  <c r="E405" i="9"/>
  <c r="D405" i="9"/>
  <c r="C405" i="9"/>
  <c r="B405" i="9"/>
  <c r="A405" i="9"/>
  <c r="M404" i="9"/>
  <c r="L404" i="9"/>
  <c r="K404" i="9"/>
  <c r="J404" i="9"/>
  <c r="I404" i="9"/>
  <c r="H404" i="9"/>
  <c r="G404" i="9"/>
  <c r="F404" i="9"/>
  <c r="E404" i="9"/>
  <c r="D404" i="9"/>
  <c r="C404" i="9"/>
  <c r="B404" i="9"/>
  <c r="A404" i="9"/>
  <c r="M403" i="9"/>
  <c r="L403" i="9"/>
  <c r="K403" i="9"/>
  <c r="J403" i="9"/>
  <c r="I403" i="9"/>
  <c r="H403" i="9"/>
  <c r="G403" i="9"/>
  <c r="F403" i="9"/>
  <c r="E403" i="9"/>
  <c r="D403" i="9"/>
  <c r="C403" i="9"/>
  <c r="B403" i="9"/>
  <c r="A403" i="9"/>
  <c r="M402" i="9"/>
  <c r="L402" i="9"/>
  <c r="K402" i="9"/>
  <c r="J402" i="9"/>
  <c r="I402" i="9"/>
  <c r="H402" i="9"/>
  <c r="G402" i="9"/>
  <c r="F402" i="9"/>
  <c r="E402" i="9"/>
  <c r="D402" i="9"/>
  <c r="C402" i="9"/>
  <c r="B402" i="9"/>
  <c r="A402" i="9"/>
  <c r="M401" i="9"/>
  <c r="L401" i="9"/>
  <c r="K401" i="9"/>
  <c r="J401" i="9"/>
  <c r="I401" i="9"/>
  <c r="H401" i="9"/>
  <c r="G401" i="9"/>
  <c r="F401" i="9"/>
  <c r="E401" i="9"/>
  <c r="D401" i="9"/>
  <c r="C401" i="9"/>
  <c r="B401" i="9"/>
  <c r="A401" i="9"/>
  <c r="M400" i="9"/>
  <c r="L400" i="9"/>
  <c r="K400" i="9"/>
  <c r="J400" i="9"/>
  <c r="I400" i="9"/>
  <c r="H400" i="9"/>
  <c r="G400" i="9"/>
  <c r="F400" i="9"/>
  <c r="E400" i="9"/>
  <c r="D400" i="9"/>
  <c r="C400" i="9"/>
  <c r="B400" i="9"/>
  <c r="A400" i="9"/>
  <c r="M399" i="9"/>
  <c r="L399" i="9"/>
  <c r="K399" i="9"/>
  <c r="J399" i="9"/>
  <c r="I399" i="9"/>
  <c r="H399" i="9"/>
  <c r="G399" i="9"/>
  <c r="F399" i="9"/>
  <c r="E399" i="9"/>
  <c r="D399" i="9"/>
  <c r="C399" i="9"/>
  <c r="B399" i="9"/>
  <c r="A399" i="9"/>
  <c r="M398" i="9"/>
  <c r="L398" i="9"/>
  <c r="K398" i="9"/>
  <c r="J398" i="9"/>
  <c r="I398" i="9"/>
  <c r="H398" i="9"/>
  <c r="G398" i="9"/>
  <c r="F398" i="9"/>
  <c r="E398" i="9"/>
  <c r="D398" i="9"/>
  <c r="C398" i="9"/>
  <c r="B398" i="9"/>
  <c r="A398" i="9"/>
  <c r="M397" i="9"/>
  <c r="L397" i="9"/>
  <c r="K397" i="9"/>
  <c r="J397" i="9"/>
  <c r="I397" i="9"/>
  <c r="H397" i="9"/>
  <c r="G397" i="9"/>
  <c r="F397" i="9"/>
  <c r="E397" i="9"/>
  <c r="D397" i="9"/>
  <c r="C397" i="9"/>
  <c r="B397" i="9"/>
  <c r="A397" i="9"/>
  <c r="M396" i="9"/>
  <c r="L396" i="9"/>
  <c r="K396" i="9"/>
  <c r="J396" i="9"/>
  <c r="I396" i="9"/>
  <c r="H396" i="9"/>
  <c r="G396" i="9"/>
  <c r="F396" i="9"/>
  <c r="E396" i="9"/>
  <c r="D396" i="9"/>
  <c r="C396" i="9"/>
  <c r="B396" i="9"/>
  <c r="A396" i="9"/>
  <c r="M395" i="9"/>
  <c r="L395" i="9"/>
  <c r="K395" i="9"/>
  <c r="J395" i="9"/>
  <c r="I395" i="9"/>
  <c r="H395" i="9"/>
  <c r="G395" i="9"/>
  <c r="F395" i="9"/>
  <c r="E395" i="9"/>
  <c r="D395" i="9"/>
  <c r="C395" i="9"/>
  <c r="B395" i="9"/>
  <c r="A395" i="9"/>
  <c r="M394" i="9"/>
  <c r="L394" i="9"/>
  <c r="K394" i="9"/>
  <c r="J394" i="9"/>
  <c r="I394" i="9"/>
  <c r="H394" i="9"/>
  <c r="G394" i="9"/>
  <c r="F394" i="9"/>
  <c r="E394" i="9"/>
  <c r="D394" i="9"/>
  <c r="C394" i="9"/>
  <c r="B394" i="9"/>
  <c r="A394" i="9"/>
  <c r="M393" i="9"/>
  <c r="L393" i="9"/>
  <c r="K393" i="9"/>
  <c r="J393" i="9"/>
  <c r="I393" i="9"/>
  <c r="H393" i="9"/>
  <c r="G393" i="9"/>
  <c r="F393" i="9"/>
  <c r="E393" i="9"/>
  <c r="D393" i="9"/>
  <c r="C393" i="9"/>
  <c r="B393" i="9"/>
  <c r="A393" i="9"/>
  <c r="M392" i="9"/>
  <c r="L392" i="9"/>
  <c r="K392" i="9"/>
  <c r="J392" i="9"/>
  <c r="I392" i="9"/>
  <c r="H392" i="9"/>
  <c r="G392" i="9"/>
  <c r="F392" i="9"/>
  <c r="E392" i="9"/>
  <c r="D392" i="9"/>
  <c r="C392" i="9"/>
  <c r="B392" i="9"/>
  <c r="A392" i="9"/>
  <c r="M391" i="9"/>
  <c r="L391" i="9"/>
  <c r="K391" i="9"/>
  <c r="J391" i="9"/>
  <c r="I391" i="9"/>
  <c r="H391" i="9"/>
  <c r="G391" i="9"/>
  <c r="F391" i="9"/>
  <c r="E391" i="9"/>
  <c r="D391" i="9"/>
  <c r="C391" i="9"/>
  <c r="B391" i="9"/>
  <c r="A391" i="9"/>
  <c r="M390" i="9"/>
  <c r="L390" i="9"/>
  <c r="K390" i="9"/>
  <c r="J390" i="9"/>
  <c r="I390" i="9"/>
  <c r="H390" i="9"/>
  <c r="G390" i="9"/>
  <c r="F390" i="9"/>
  <c r="E390" i="9"/>
  <c r="D390" i="9"/>
  <c r="C390" i="9"/>
  <c r="B390" i="9"/>
  <c r="A390" i="9"/>
  <c r="M389" i="9"/>
  <c r="L389" i="9"/>
  <c r="K389" i="9"/>
  <c r="J389" i="9"/>
  <c r="I389" i="9"/>
  <c r="H389" i="9"/>
  <c r="G389" i="9"/>
  <c r="F389" i="9"/>
  <c r="E389" i="9"/>
  <c r="D389" i="9"/>
  <c r="C389" i="9"/>
  <c r="B389" i="9"/>
  <c r="A389" i="9"/>
  <c r="M388" i="9"/>
  <c r="L388" i="9"/>
  <c r="K388" i="9"/>
  <c r="J388" i="9"/>
  <c r="I388" i="9"/>
  <c r="H388" i="9"/>
  <c r="G388" i="9"/>
  <c r="F388" i="9"/>
  <c r="E388" i="9"/>
  <c r="D388" i="9"/>
  <c r="C388" i="9"/>
  <c r="B388" i="9"/>
  <c r="A388" i="9"/>
  <c r="M387" i="9"/>
  <c r="L387" i="9"/>
  <c r="K387" i="9"/>
  <c r="J387" i="9"/>
  <c r="I387" i="9"/>
  <c r="H387" i="9"/>
  <c r="G387" i="9"/>
  <c r="F387" i="9"/>
  <c r="E387" i="9"/>
  <c r="D387" i="9"/>
  <c r="C387" i="9"/>
  <c r="B387" i="9"/>
  <c r="A387" i="9"/>
  <c r="M386" i="9"/>
  <c r="L386" i="9"/>
  <c r="K386" i="9"/>
  <c r="J386" i="9"/>
  <c r="I386" i="9"/>
  <c r="H386" i="9"/>
  <c r="G386" i="9"/>
  <c r="F386" i="9"/>
  <c r="E386" i="9"/>
  <c r="D386" i="9"/>
  <c r="C386" i="9"/>
  <c r="B386" i="9"/>
  <c r="A386" i="9"/>
  <c r="M385" i="9"/>
  <c r="L385" i="9"/>
  <c r="K385" i="9"/>
  <c r="J385" i="9"/>
  <c r="I385" i="9"/>
  <c r="H385" i="9"/>
  <c r="G385" i="9"/>
  <c r="F385" i="9"/>
  <c r="E385" i="9"/>
  <c r="D385" i="9"/>
  <c r="C385" i="9"/>
  <c r="B385" i="9"/>
  <c r="A385" i="9"/>
  <c r="M384" i="9"/>
  <c r="L384" i="9"/>
  <c r="K384" i="9"/>
  <c r="J384" i="9"/>
  <c r="I384" i="9"/>
  <c r="H384" i="9"/>
  <c r="G384" i="9"/>
  <c r="F384" i="9"/>
  <c r="E384" i="9"/>
  <c r="D384" i="9"/>
  <c r="C384" i="9"/>
  <c r="B384" i="9"/>
  <c r="A384" i="9"/>
  <c r="M383" i="9"/>
  <c r="L383" i="9"/>
  <c r="K383" i="9"/>
  <c r="J383" i="9"/>
  <c r="I383" i="9"/>
  <c r="H383" i="9"/>
  <c r="G383" i="9"/>
  <c r="F383" i="9"/>
  <c r="E383" i="9"/>
  <c r="D383" i="9"/>
  <c r="C383" i="9"/>
  <c r="B383" i="9"/>
  <c r="A383" i="9"/>
  <c r="M382" i="9"/>
  <c r="L382" i="9"/>
  <c r="K382" i="9"/>
  <c r="J382" i="9"/>
  <c r="I382" i="9"/>
  <c r="H382" i="9"/>
  <c r="G382" i="9"/>
  <c r="F382" i="9"/>
  <c r="E382" i="9"/>
  <c r="D382" i="9"/>
  <c r="C382" i="9"/>
  <c r="B382" i="9"/>
  <c r="A382" i="9"/>
  <c r="M381" i="9"/>
  <c r="L381" i="9"/>
  <c r="K381" i="9"/>
  <c r="J381" i="9"/>
  <c r="I381" i="9"/>
  <c r="H381" i="9"/>
  <c r="G381" i="9"/>
  <c r="F381" i="9"/>
  <c r="E381" i="9"/>
  <c r="D381" i="9"/>
  <c r="C381" i="9"/>
  <c r="B381" i="9"/>
  <c r="A381" i="9"/>
  <c r="M380" i="9"/>
  <c r="L380" i="9"/>
  <c r="K380" i="9"/>
  <c r="J380" i="9"/>
  <c r="I380" i="9"/>
  <c r="H380" i="9"/>
  <c r="G380" i="9"/>
  <c r="F380" i="9"/>
  <c r="E380" i="9"/>
  <c r="D380" i="9"/>
  <c r="C380" i="9"/>
  <c r="B380" i="9"/>
  <c r="A380" i="9"/>
  <c r="M379" i="9"/>
  <c r="L379" i="9"/>
  <c r="K379" i="9"/>
  <c r="J379" i="9"/>
  <c r="I379" i="9"/>
  <c r="H379" i="9"/>
  <c r="G379" i="9"/>
  <c r="F379" i="9"/>
  <c r="E379" i="9"/>
  <c r="D379" i="9"/>
  <c r="C379" i="9"/>
  <c r="B379" i="9"/>
  <c r="A379" i="9"/>
  <c r="M378" i="9"/>
  <c r="L378" i="9"/>
  <c r="K378" i="9"/>
  <c r="J378" i="9"/>
  <c r="I378" i="9"/>
  <c r="H378" i="9"/>
  <c r="G378" i="9"/>
  <c r="F378" i="9"/>
  <c r="E378" i="9"/>
  <c r="D378" i="9"/>
  <c r="C378" i="9"/>
  <c r="B378" i="9"/>
  <c r="A378" i="9"/>
  <c r="M377" i="9"/>
  <c r="L377" i="9"/>
  <c r="K377" i="9"/>
  <c r="J377" i="9"/>
  <c r="I377" i="9"/>
  <c r="H377" i="9"/>
  <c r="G377" i="9"/>
  <c r="F377" i="9"/>
  <c r="E377" i="9"/>
  <c r="D377" i="9"/>
  <c r="C377" i="9"/>
  <c r="B377" i="9"/>
  <c r="A377" i="9"/>
  <c r="M376" i="9"/>
  <c r="L376" i="9"/>
  <c r="K376" i="9"/>
  <c r="J376" i="9"/>
  <c r="I376" i="9"/>
  <c r="H376" i="9"/>
  <c r="G376" i="9"/>
  <c r="F376" i="9"/>
  <c r="E376" i="9"/>
  <c r="D376" i="9"/>
  <c r="C376" i="9"/>
  <c r="B376" i="9"/>
  <c r="A376" i="9"/>
  <c r="M375" i="9"/>
  <c r="L375" i="9"/>
  <c r="K375" i="9"/>
  <c r="J375" i="9"/>
  <c r="I375" i="9"/>
  <c r="H375" i="9"/>
  <c r="G375" i="9"/>
  <c r="F375" i="9"/>
  <c r="E375" i="9"/>
  <c r="D375" i="9"/>
  <c r="C375" i="9"/>
  <c r="B375" i="9"/>
  <c r="A375" i="9"/>
  <c r="M374" i="9"/>
  <c r="L374" i="9"/>
  <c r="K374" i="9"/>
  <c r="J374" i="9"/>
  <c r="I374" i="9"/>
  <c r="H374" i="9"/>
  <c r="G374" i="9"/>
  <c r="F374" i="9"/>
  <c r="E374" i="9"/>
  <c r="D374" i="9"/>
  <c r="C374" i="9"/>
  <c r="B374" i="9"/>
  <c r="A374" i="9"/>
  <c r="M373" i="9"/>
  <c r="L373" i="9"/>
  <c r="K373" i="9"/>
  <c r="J373" i="9"/>
  <c r="I373" i="9"/>
  <c r="H373" i="9"/>
  <c r="G373" i="9"/>
  <c r="F373" i="9"/>
  <c r="E373" i="9"/>
  <c r="D373" i="9"/>
  <c r="C373" i="9"/>
  <c r="B373" i="9"/>
  <c r="A373" i="9"/>
  <c r="M372" i="9"/>
  <c r="L372" i="9"/>
  <c r="K372" i="9"/>
  <c r="J372" i="9"/>
  <c r="I372" i="9"/>
  <c r="H372" i="9"/>
  <c r="G372" i="9"/>
  <c r="F372" i="9"/>
  <c r="E372" i="9"/>
  <c r="D372" i="9"/>
  <c r="C372" i="9"/>
  <c r="B372" i="9"/>
  <c r="A372" i="9"/>
  <c r="M371" i="9"/>
  <c r="L371" i="9"/>
  <c r="K371" i="9"/>
  <c r="J371" i="9"/>
  <c r="I371" i="9"/>
  <c r="H371" i="9"/>
  <c r="G371" i="9"/>
  <c r="F371" i="9"/>
  <c r="E371" i="9"/>
  <c r="D371" i="9"/>
  <c r="C371" i="9"/>
  <c r="B371" i="9"/>
  <c r="A371" i="9"/>
  <c r="M370" i="9"/>
  <c r="L370" i="9"/>
  <c r="K370" i="9"/>
  <c r="J370" i="9"/>
  <c r="I370" i="9"/>
  <c r="H370" i="9"/>
  <c r="G370" i="9"/>
  <c r="F370" i="9"/>
  <c r="E370" i="9"/>
  <c r="D370" i="9"/>
  <c r="C370" i="9"/>
  <c r="B370" i="9"/>
  <c r="A370" i="9"/>
  <c r="M369" i="9"/>
  <c r="L369" i="9"/>
  <c r="K369" i="9"/>
  <c r="J369" i="9"/>
  <c r="I369" i="9"/>
  <c r="H369" i="9"/>
  <c r="G369" i="9"/>
  <c r="F369" i="9"/>
  <c r="E369" i="9"/>
  <c r="D369" i="9"/>
  <c r="C369" i="9"/>
  <c r="B369" i="9"/>
  <c r="A369" i="9"/>
  <c r="M368" i="9"/>
  <c r="L368" i="9"/>
  <c r="K368" i="9"/>
  <c r="J368" i="9"/>
  <c r="I368" i="9"/>
  <c r="H368" i="9"/>
  <c r="G368" i="9"/>
  <c r="F368" i="9"/>
  <c r="E368" i="9"/>
  <c r="D368" i="9"/>
  <c r="C368" i="9"/>
  <c r="B368" i="9"/>
  <c r="A368" i="9"/>
  <c r="M367" i="9"/>
  <c r="L367" i="9"/>
  <c r="K367" i="9"/>
  <c r="J367" i="9"/>
  <c r="I367" i="9"/>
  <c r="H367" i="9"/>
  <c r="G367" i="9"/>
  <c r="F367" i="9"/>
  <c r="E367" i="9"/>
  <c r="D367" i="9"/>
  <c r="C367" i="9"/>
  <c r="B367" i="9"/>
  <c r="A367" i="9"/>
  <c r="M366" i="9"/>
  <c r="L366" i="9"/>
  <c r="K366" i="9"/>
  <c r="J366" i="9"/>
  <c r="I366" i="9"/>
  <c r="H366" i="9"/>
  <c r="G366" i="9"/>
  <c r="F366" i="9"/>
  <c r="E366" i="9"/>
  <c r="D366" i="9"/>
  <c r="C366" i="9"/>
  <c r="B366" i="9"/>
  <c r="A366" i="9"/>
  <c r="M365" i="9"/>
  <c r="L365" i="9"/>
  <c r="K365" i="9"/>
  <c r="J365" i="9"/>
  <c r="I365" i="9"/>
  <c r="H365" i="9"/>
  <c r="G365" i="9"/>
  <c r="F365" i="9"/>
  <c r="E365" i="9"/>
  <c r="D365" i="9"/>
  <c r="C365" i="9"/>
  <c r="B365" i="9"/>
  <c r="A365" i="9"/>
  <c r="M364" i="9"/>
  <c r="L364" i="9"/>
  <c r="K364" i="9"/>
  <c r="J364" i="9"/>
  <c r="I364" i="9"/>
  <c r="H364" i="9"/>
  <c r="G364" i="9"/>
  <c r="F364" i="9"/>
  <c r="E364" i="9"/>
  <c r="D364" i="9"/>
  <c r="C364" i="9"/>
  <c r="B364" i="9"/>
  <c r="A364" i="9"/>
  <c r="M363" i="9"/>
  <c r="L363" i="9"/>
  <c r="K363" i="9"/>
  <c r="J363" i="9"/>
  <c r="I363" i="9"/>
  <c r="H363" i="9"/>
  <c r="G363" i="9"/>
  <c r="F363" i="9"/>
  <c r="E363" i="9"/>
  <c r="D363" i="9"/>
  <c r="C363" i="9"/>
  <c r="B363" i="9"/>
  <c r="A363" i="9"/>
  <c r="M362" i="9"/>
  <c r="L362" i="9"/>
  <c r="K362" i="9"/>
  <c r="J362" i="9"/>
  <c r="I362" i="9"/>
  <c r="H362" i="9"/>
  <c r="G362" i="9"/>
  <c r="F362" i="9"/>
  <c r="E362" i="9"/>
  <c r="D362" i="9"/>
  <c r="C362" i="9"/>
  <c r="B362" i="9"/>
  <c r="A362" i="9"/>
  <c r="M361" i="9"/>
  <c r="L361" i="9"/>
  <c r="K361" i="9"/>
  <c r="J361" i="9"/>
  <c r="I361" i="9"/>
  <c r="H361" i="9"/>
  <c r="G361" i="9"/>
  <c r="F361" i="9"/>
  <c r="E361" i="9"/>
  <c r="D361" i="9"/>
  <c r="C361" i="9"/>
  <c r="B361" i="9"/>
  <c r="A361" i="9"/>
  <c r="M360" i="9"/>
  <c r="L360" i="9"/>
  <c r="K360" i="9"/>
  <c r="J360" i="9"/>
  <c r="I360" i="9"/>
  <c r="H360" i="9"/>
  <c r="G360" i="9"/>
  <c r="F360" i="9"/>
  <c r="E360" i="9"/>
  <c r="D360" i="9"/>
  <c r="C360" i="9"/>
  <c r="B360" i="9"/>
  <c r="A360" i="9"/>
  <c r="M359" i="9"/>
  <c r="L359" i="9"/>
  <c r="K359" i="9"/>
  <c r="J359" i="9"/>
  <c r="I359" i="9"/>
  <c r="H359" i="9"/>
  <c r="G359" i="9"/>
  <c r="F359" i="9"/>
  <c r="E359" i="9"/>
  <c r="D359" i="9"/>
  <c r="C359" i="9"/>
  <c r="B359" i="9"/>
  <c r="A359" i="9"/>
  <c r="M358" i="9"/>
  <c r="L358" i="9"/>
  <c r="K358" i="9"/>
  <c r="J358" i="9"/>
  <c r="I358" i="9"/>
  <c r="H358" i="9"/>
  <c r="G358" i="9"/>
  <c r="F358" i="9"/>
  <c r="E358" i="9"/>
  <c r="D358" i="9"/>
  <c r="C358" i="9"/>
  <c r="B358" i="9"/>
  <c r="A358" i="9"/>
  <c r="M357" i="9"/>
  <c r="L357" i="9"/>
  <c r="K357" i="9"/>
  <c r="J357" i="9"/>
  <c r="I357" i="9"/>
  <c r="H357" i="9"/>
  <c r="G357" i="9"/>
  <c r="F357" i="9"/>
  <c r="E357" i="9"/>
  <c r="D357" i="9"/>
  <c r="C357" i="9"/>
  <c r="B357" i="9"/>
  <c r="A357" i="9"/>
  <c r="M356" i="9"/>
  <c r="L356" i="9"/>
  <c r="K356" i="9"/>
  <c r="J356" i="9"/>
  <c r="I356" i="9"/>
  <c r="H356" i="9"/>
  <c r="G356" i="9"/>
  <c r="F356" i="9"/>
  <c r="E356" i="9"/>
  <c r="D356" i="9"/>
  <c r="C356" i="9"/>
  <c r="B356" i="9"/>
  <c r="A356" i="9"/>
  <c r="M355" i="9"/>
  <c r="L355" i="9"/>
  <c r="K355" i="9"/>
  <c r="J355" i="9"/>
  <c r="I355" i="9"/>
  <c r="H355" i="9"/>
  <c r="G355" i="9"/>
  <c r="F355" i="9"/>
  <c r="E355" i="9"/>
  <c r="D355" i="9"/>
  <c r="C355" i="9"/>
  <c r="B355" i="9"/>
  <c r="A355" i="9"/>
  <c r="M354" i="9"/>
  <c r="L354" i="9"/>
  <c r="K354" i="9"/>
  <c r="J354" i="9"/>
  <c r="I354" i="9"/>
  <c r="H354" i="9"/>
  <c r="G354" i="9"/>
  <c r="F354" i="9"/>
  <c r="E354" i="9"/>
  <c r="D354" i="9"/>
  <c r="C354" i="9"/>
  <c r="B354" i="9"/>
  <c r="A354" i="9"/>
  <c r="M353" i="9"/>
  <c r="L353" i="9"/>
  <c r="K353" i="9"/>
  <c r="J353" i="9"/>
  <c r="I353" i="9"/>
  <c r="H353" i="9"/>
  <c r="G353" i="9"/>
  <c r="F353" i="9"/>
  <c r="E353" i="9"/>
  <c r="D353" i="9"/>
  <c r="C353" i="9"/>
  <c r="B353" i="9"/>
  <c r="A353" i="9"/>
  <c r="M352" i="9"/>
  <c r="L352" i="9"/>
  <c r="K352" i="9"/>
  <c r="J352" i="9"/>
  <c r="I352" i="9"/>
  <c r="H352" i="9"/>
  <c r="G352" i="9"/>
  <c r="F352" i="9"/>
  <c r="E352" i="9"/>
  <c r="D352" i="9"/>
  <c r="C352" i="9"/>
  <c r="B352" i="9"/>
  <c r="A352" i="9"/>
  <c r="M351" i="9"/>
  <c r="L351" i="9"/>
  <c r="K351" i="9"/>
  <c r="J351" i="9"/>
  <c r="I351" i="9"/>
  <c r="H351" i="9"/>
  <c r="G351" i="9"/>
  <c r="F351" i="9"/>
  <c r="E351" i="9"/>
  <c r="D351" i="9"/>
  <c r="C351" i="9"/>
  <c r="B351" i="9"/>
  <c r="A351" i="9"/>
  <c r="M350" i="9"/>
  <c r="L350" i="9"/>
  <c r="K350" i="9"/>
  <c r="J350" i="9"/>
  <c r="I350" i="9"/>
  <c r="H350" i="9"/>
  <c r="G350" i="9"/>
  <c r="F350" i="9"/>
  <c r="E350" i="9"/>
  <c r="D350" i="9"/>
  <c r="C350" i="9"/>
  <c r="B350" i="9"/>
  <c r="A350" i="9"/>
  <c r="M349" i="9"/>
  <c r="L349" i="9"/>
  <c r="K349" i="9"/>
  <c r="J349" i="9"/>
  <c r="I349" i="9"/>
  <c r="H349" i="9"/>
  <c r="G349" i="9"/>
  <c r="F349" i="9"/>
  <c r="E349" i="9"/>
  <c r="D349" i="9"/>
  <c r="C349" i="9"/>
  <c r="B349" i="9"/>
  <c r="A349" i="9"/>
  <c r="M348" i="9"/>
  <c r="L348" i="9"/>
  <c r="K348" i="9"/>
  <c r="J348" i="9"/>
  <c r="I348" i="9"/>
  <c r="H348" i="9"/>
  <c r="G348" i="9"/>
  <c r="F348" i="9"/>
  <c r="E348" i="9"/>
  <c r="D348" i="9"/>
  <c r="C348" i="9"/>
  <c r="B348" i="9"/>
  <c r="A348" i="9"/>
  <c r="M347" i="9"/>
  <c r="L347" i="9"/>
  <c r="K347" i="9"/>
  <c r="J347" i="9"/>
  <c r="I347" i="9"/>
  <c r="H347" i="9"/>
  <c r="G347" i="9"/>
  <c r="F347" i="9"/>
  <c r="E347" i="9"/>
  <c r="D347" i="9"/>
  <c r="C347" i="9"/>
  <c r="B347" i="9"/>
  <c r="A347" i="9"/>
  <c r="M346" i="9"/>
  <c r="L346" i="9"/>
  <c r="K346" i="9"/>
  <c r="J346" i="9"/>
  <c r="I346" i="9"/>
  <c r="H346" i="9"/>
  <c r="G346" i="9"/>
  <c r="F346" i="9"/>
  <c r="E346" i="9"/>
  <c r="D346" i="9"/>
  <c r="C346" i="9"/>
  <c r="B346" i="9"/>
  <c r="A346" i="9"/>
  <c r="M345" i="9"/>
  <c r="L345" i="9"/>
  <c r="K345" i="9"/>
  <c r="J345" i="9"/>
  <c r="I345" i="9"/>
  <c r="H345" i="9"/>
  <c r="G345" i="9"/>
  <c r="F345" i="9"/>
  <c r="E345" i="9"/>
  <c r="D345" i="9"/>
  <c r="C345" i="9"/>
  <c r="B345" i="9"/>
  <c r="A345" i="9"/>
  <c r="M344" i="9"/>
  <c r="L344" i="9"/>
  <c r="K344" i="9"/>
  <c r="J344" i="9"/>
  <c r="I344" i="9"/>
  <c r="H344" i="9"/>
  <c r="G344" i="9"/>
  <c r="F344" i="9"/>
  <c r="E344" i="9"/>
  <c r="D344" i="9"/>
  <c r="C344" i="9"/>
  <c r="B344" i="9"/>
  <c r="A344" i="9"/>
  <c r="M343" i="9"/>
  <c r="L343" i="9"/>
  <c r="K343" i="9"/>
  <c r="J343" i="9"/>
  <c r="I343" i="9"/>
  <c r="H343" i="9"/>
  <c r="G343" i="9"/>
  <c r="F343" i="9"/>
  <c r="E343" i="9"/>
  <c r="D343" i="9"/>
  <c r="C343" i="9"/>
  <c r="B343" i="9"/>
  <c r="A343" i="9"/>
  <c r="M342" i="9"/>
  <c r="L342" i="9"/>
  <c r="K342" i="9"/>
  <c r="J342" i="9"/>
  <c r="I342" i="9"/>
  <c r="H342" i="9"/>
  <c r="G342" i="9"/>
  <c r="F342" i="9"/>
  <c r="E342" i="9"/>
  <c r="D342" i="9"/>
  <c r="C342" i="9"/>
  <c r="B342" i="9"/>
  <c r="A342" i="9"/>
  <c r="M341" i="9"/>
  <c r="L341" i="9"/>
  <c r="K341" i="9"/>
  <c r="J341" i="9"/>
  <c r="I341" i="9"/>
  <c r="H341" i="9"/>
  <c r="G341" i="9"/>
  <c r="F341" i="9"/>
  <c r="E341" i="9"/>
  <c r="D341" i="9"/>
  <c r="C341" i="9"/>
  <c r="B341" i="9"/>
  <c r="A341" i="9"/>
  <c r="M340" i="9"/>
  <c r="L340" i="9"/>
  <c r="K340" i="9"/>
  <c r="J340" i="9"/>
  <c r="I340" i="9"/>
  <c r="H340" i="9"/>
  <c r="G340" i="9"/>
  <c r="F340" i="9"/>
  <c r="E340" i="9"/>
  <c r="D340" i="9"/>
  <c r="C340" i="9"/>
  <c r="B340" i="9"/>
  <c r="A340" i="9"/>
  <c r="M339" i="9"/>
  <c r="L339" i="9"/>
  <c r="K339" i="9"/>
  <c r="J339" i="9"/>
  <c r="I339" i="9"/>
  <c r="H339" i="9"/>
  <c r="G339" i="9"/>
  <c r="F339" i="9"/>
  <c r="E339" i="9"/>
  <c r="D339" i="9"/>
  <c r="C339" i="9"/>
  <c r="B339" i="9"/>
  <c r="A339" i="9"/>
  <c r="M338" i="9"/>
  <c r="L338" i="9"/>
  <c r="K338" i="9"/>
  <c r="J338" i="9"/>
  <c r="I338" i="9"/>
  <c r="H338" i="9"/>
  <c r="G338" i="9"/>
  <c r="F338" i="9"/>
  <c r="E338" i="9"/>
  <c r="D338" i="9"/>
  <c r="C338" i="9"/>
  <c r="B338" i="9"/>
  <c r="A338" i="9"/>
  <c r="M337" i="9"/>
  <c r="L337" i="9"/>
  <c r="K337" i="9"/>
  <c r="J337" i="9"/>
  <c r="I337" i="9"/>
  <c r="H337" i="9"/>
  <c r="G337" i="9"/>
  <c r="F337" i="9"/>
  <c r="E337" i="9"/>
  <c r="D337" i="9"/>
  <c r="C337" i="9"/>
  <c r="B337" i="9"/>
  <c r="A337" i="9"/>
  <c r="M336" i="9"/>
  <c r="L336" i="9"/>
  <c r="K336" i="9"/>
  <c r="J336" i="9"/>
  <c r="I336" i="9"/>
  <c r="H336" i="9"/>
  <c r="G336" i="9"/>
  <c r="F336" i="9"/>
  <c r="E336" i="9"/>
  <c r="D336" i="9"/>
  <c r="C336" i="9"/>
  <c r="B336" i="9"/>
  <c r="A336" i="9"/>
  <c r="M335" i="9"/>
  <c r="L335" i="9"/>
  <c r="K335" i="9"/>
  <c r="J335" i="9"/>
  <c r="I335" i="9"/>
  <c r="H335" i="9"/>
  <c r="G335" i="9"/>
  <c r="F335" i="9"/>
  <c r="E335" i="9"/>
  <c r="D335" i="9"/>
  <c r="C335" i="9"/>
  <c r="B335" i="9"/>
  <c r="A335" i="9"/>
  <c r="M334" i="9"/>
  <c r="L334" i="9"/>
  <c r="K334" i="9"/>
  <c r="J334" i="9"/>
  <c r="I334" i="9"/>
  <c r="H334" i="9"/>
  <c r="G334" i="9"/>
  <c r="F334" i="9"/>
  <c r="E334" i="9"/>
  <c r="D334" i="9"/>
  <c r="C334" i="9"/>
  <c r="B334" i="9"/>
  <c r="A334" i="9"/>
  <c r="M333" i="9"/>
  <c r="L333" i="9"/>
  <c r="K333" i="9"/>
  <c r="J333" i="9"/>
  <c r="I333" i="9"/>
  <c r="H333" i="9"/>
  <c r="G333" i="9"/>
  <c r="F333" i="9"/>
  <c r="E333" i="9"/>
  <c r="D333" i="9"/>
  <c r="C333" i="9"/>
  <c r="B333" i="9"/>
  <c r="A333" i="9"/>
  <c r="M332" i="9"/>
  <c r="L332" i="9"/>
  <c r="K332" i="9"/>
  <c r="J332" i="9"/>
  <c r="I332" i="9"/>
  <c r="H332" i="9"/>
  <c r="G332" i="9"/>
  <c r="F332" i="9"/>
  <c r="E332" i="9"/>
  <c r="D332" i="9"/>
  <c r="C332" i="9"/>
  <c r="B332" i="9"/>
  <c r="A332" i="9"/>
  <c r="M331" i="9"/>
  <c r="L331" i="9"/>
  <c r="K331" i="9"/>
  <c r="J331" i="9"/>
  <c r="I331" i="9"/>
  <c r="H331" i="9"/>
  <c r="G331" i="9"/>
  <c r="F331" i="9"/>
  <c r="E331" i="9"/>
  <c r="D331" i="9"/>
  <c r="C331" i="9"/>
  <c r="B331" i="9"/>
  <c r="A331" i="9"/>
  <c r="M330" i="9"/>
  <c r="L330" i="9"/>
  <c r="K330" i="9"/>
  <c r="J330" i="9"/>
  <c r="I330" i="9"/>
  <c r="H330" i="9"/>
  <c r="G330" i="9"/>
  <c r="F330" i="9"/>
  <c r="E330" i="9"/>
  <c r="D330" i="9"/>
  <c r="C330" i="9"/>
  <c r="B330" i="9"/>
  <c r="A330" i="9"/>
  <c r="M329" i="9"/>
  <c r="L329" i="9"/>
  <c r="K329" i="9"/>
  <c r="J329" i="9"/>
  <c r="I329" i="9"/>
  <c r="H329" i="9"/>
  <c r="G329" i="9"/>
  <c r="F329" i="9"/>
  <c r="E329" i="9"/>
  <c r="D329" i="9"/>
  <c r="C329" i="9"/>
  <c r="B329" i="9"/>
  <c r="A329" i="9"/>
  <c r="M328" i="9"/>
  <c r="L328" i="9"/>
  <c r="K328" i="9"/>
  <c r="J328" i="9"/>
  <c r="I328" i="9"/>
  <c r="H328" i="9"/>
  <c r="G328" i="9"/>
  <c r="F328" i="9"/>
  <c r="E328" i="9"/>
  <c r="D328" i="9"/>
  <c r="C328" i="9"/>
  <c r="B328" i="9"/>
  <c r="A328" i="9"/>
  <c r="M327" i="9"/>
  <c r="L327" i="9"/>
  <c r="K327" i="9"/>
  <c r="J327" i="9"/>
  <c r="I327" i="9"/>
  <c r="H327" i="9"/>
  <c r="G327" i="9"/>
  <c r="F327" i="9"/>
  <c r="E327" i="9"/>
  <c r="D327" i="9"/>
  <c r="C327" i="9"/>
  <c r="B327" i="9"/>
  <c r="A327" i="9"/>
  <c r="M326" i="9"/>
  <c r="L326" i="9"/>
  <c r="K326" i="9"/>
  <c r="J326" i="9"/>
  <c r="I326" i="9"/>
  <c r="H326" i="9"/>
  <c r="G326" i="9"/>
  <c r="F326" i="9"/>
  <c r="E326" i="9"/>
  <c r="D326" i="9"/>
  <c r="C326" i="9"/>
  <c r="B326" i="9"/>
  <c r="A326" i="9"/>
  <c r="M325" i="9"/>
  <c r="L325" i="9"/>
  <c r="K325" i="9"/>
  <c r="J325" i="9"/>
  <c r="I325" i="9"/>
  <c r="H325" i="9"/>
  <c r="G325" i="9"/>
  <c r="F325" i="9"/>
  <c r="E325" i="9"/>
  <c r="D325" i="9"/>
  <c r="C325" i="9"/>
  <c r="B325" i="9"/>
  <c r="A325" i="9"/>
  <c r="M324" i="9"/>
  <c r="L324" i="9"/>
  <c r="K324" i="9"/>
  <c r="J324" i="9"/>
  <c r="I324" i="9"/>
  <c r="H324" i="9"/>
  <c r="G324" i="9"/>
  <c r="F324" i="9"/>
  <c r="E324" i="9"/>
  <c r="D324" i="9"/>
  <c r="C324" i="9"/>
  <c r="B324" i="9"/>
  <c r="A324" i="9"/>
  <c r="M323" i="9"/>
  <c r="L323" i="9"/>
  <c r="K323" i="9"/>
  <c r="J323" i="9"/>
  <c r="I323" i="9"/>
  <c r="H323" i="9"/>
  <c r="G323" i="9"/>
  <c r="F323" i="9"/>
  <c r="E323" i="9"/>
  <c r="D323" i="9"/>
  <c r="C323" i="9"/>
  <c r="B323" i="9"/>
  <c r="A323" i="9"/>
  <c r="M322" i="9"/>
  <c r="L322" i="9"/>
  <c r="K322" i="9"/>
  <c r="J322" i="9"/>
  <c r="I322" i="9"/>
  <c r="H322" i="9"/>
  <c r="G322" i="9"/>
  <c r="F322" i="9"/>
  <c r="E322" i="9"/>
  <c r="D322" i="9"/>
  <c r="C322" i="9"/>
  <c r="B322" i="9"/>
  <c r="A322" i="9"/>
  <c r="M321" i="9"/>
  <c r="L321" i="9"/>
  <c r="K321" i="9"/>
  <c r="J321" i="9"/>
  <c r="I321" i="9"/>
  <c r="H321" i="9"/>
  <c r="G321" i="9"/>
  <c r="F321" i="9"/>
  <c r="E321" i="9"/>
  <c r="D321" i="9"/>
  <c r="C321" i="9"/>
  <c r="B321" i="9"/>
  <c r="A321" i="9"/>
  <c r="M320" i="9"/>
  <c r="L320" i="9"/>
  <c r="K320" i="9"/>
  <c r="J320" i="9"/>
  <c r="I320" i="9"/>
  <c r="H320" i="9"/>
  <c r="G320" i="9"/>
  <c r="F320" i="9"/>
  <c r="E320" i="9"/>
  <c r="D320" i="9"/>
  <c r="C320" i="9"/>
  <c r="B320" i="9"/>
  <c r="A320" i="9"/>
  <c r="M319" i="9"/>
  <c r="L319" i="9"/>
  <c r="K319" i="9"/>
  <c r="J319" i="9"/>
  <c r="I319" i="9"/>
  <c r="H319" i="9"/>
  <c r="G319" i="9"/>
  <c r="F319" i="9"/>
  <c r="E319" i="9"/>
  <c r="D319" i="9"/>
  <c r="C319" i="9"/>
  <c r="B319" i="9"/>
  <c r="A319" i="9"/>
  <c r="M318" i="9"/>
  <c r="L318" i="9"/>
  <c r="K318" i="9"/>
  <c r="J318" i="9"/>
  <c r="I318" i="9"/>
  <c r="H318" i="9"/>
  <c r="G318" i="9"/>
  <c r="F318" i="9"/>
  <c r="E318" i="9"/>
  <c r="D318" i="9"/>
  <c r="C318" i="9"/>
  <c r="B318" i="9"/>
  <c r="A318" i="9"/>
  <c r="M317" i="9"/>
  <c r="L317" i="9"/>
  <c r="K317" i="9"/>
  <c r="J317" i="9"/>
  <c r="I317" i="9"/>
  <c r="H317" i="9"/>
  <c r="G317" i="9"/>
  <c r="F317" i="9"/>
  <c r="E317" i="9"/>
  <c r="D317" i="9"/>
  <c r="C317" i="9"/>
  <c r="B317" i="9"/>
  <c r="A317" i="9"/>
  <c r="M316" i="9"/>
  <c r="L316" i="9"/>
  <c r="K316" i="9"/>
  <c r="J316" i="9"/>
  <c r="I316" i="9"/>
  <c r="H316" i="9"/>
  <c r="G316" i="9"/>
  <c r="F316" i="9"/>
  <c r="E316" i="9"/>
  <c r="D316" i="9"/>
  <c r="C316" i="9"/>
  <c r="B316" i="9"/>
  <c r="A316" i="9"/>
  <c r="M315" i="9"/>
  <c r="L315" i="9"/>
  <c r="K315" i="9"/>
  <c r="J315" i="9"/>
  <c r="I315" i="9"/>
  <c r="H315" i="9"/>
  <c r="G315" i="9"/>
  <c r="F315" i="9"/>
  <c r="E315" i="9"/>
  <c r="D315" i="9"/>
  <c r="C315" i="9"/>
  <c r="B315" i="9"/>
  <c r="A315" i="9"/>
  <c r="M314" i="9"/>
  <c r="L314" i="9"/>
  <c r="K314" i="9"/>
  <c r="J314" i="9"/>
  <c r="I314" i="9"/>
  <c r="H314" i="9"/>
  <c r="G314" i="9"/>
  <c r="F314" i="9"/>
  <c r="E314" i="9"/>
  <c r="D314" i="9"/>
  <c r="C314" i="9"/>
  <c r="B314" i="9"/>
  <c r="A314" i="9"/>
  <c r="M313" i="9"/>
  <c r="L313" i="9"/>
  <c r="K313" i="9"/>
  <c r="J313" i="9"/>
  <c r="I313" i="9"/>
  <c r="H313" i="9"/>
  <c r="G313" i="9"/>
  <c r="F313" i="9"/>
  <c r="E313" i="9"/>
  <c r="D313" i="9"/>
  <c r="C313" i="9"/>
  <c r="B313" i="9"/>
  <c r="A313" i="9"/>
  <c r="M312" i="9"/>
  <c r="L312" i="9"/>
  <c r="K312" i="9"/>
  <c r="J312" i="9"/>
  <c r="I312" i="9"/>
  <c r="H312" i="9"/>
  <c r="G312" i="9"/>
  <c r="F312" i="9"/>
  <c r="E312" i="9"/>
  <c r="D312" i="9"/>
  <c r="C312" i="9"/>
  <c r="B312" i="9"/>
  <c r="A312" i="9"/>
  <c r="M311" i="9"/>
  <c r="L311" i="9"/>
  <c r="K311" i="9"/>
  <c r="J311" i="9"/>
  <c r="I311" i="9"/>
  <c r="H311" i="9"/>
  <c r="G311" i="9"/>
  <c r="F311" i="9"/>
  <c r="E311" i="9"/>
  <c r="D311" i="9"/>
  <c r="C311" i="9"/>
  <c r="B311" i="9"/>
  <c r="A311" i="9"/>
  <c r="M310" i="9"/>
  <c r="L310" i="9"/>
  <c r="K310" i="9"/>
  <c r="J310" i="9"/>
  <c r="I310" i="9"/>
  <c r="H310" i="9"/>
  <c r="G310" i="9"/>
  <c r="F310" i="9"/>
  <c r="E310" i="9"/>
  <c r="D310" i="9"/>
  <c r="C310" i="9"/>
  <c r="B310" i="9"/>
  <c r="A310" i="9"/>
  <c r="M309" i="9"/>
  <c r="L309" i="9"/>
  <c r="K309" i="9"/>
  <c r="J309" i="9"/>
  <c r="I309" i="9"/>
  <c r="H309" i="9"/>
  <c r="G309" i="9"/>
  <c r="F309" i="9"/>
  <c r="E309" i="9"/>
  <c r="D309" i="9"/>
  <c r="C309" i="9"/>
  <c r="B309" i="9"/>
  <c r="A309" i="9"/>
  <c r="M308" i="9"/>
  <c r="L308" i="9"/>
  <c r="K308" i="9"/>
  <c r="J308" i="9"/>
  <c r="I308" i="9"/>
  <c r="H308" i="9"/>
  <c r="G308" i="9"/>
  <c r="F308" i="9"/>
  <c r="E308" i="9"/>
  <c r="D308" i="9"/>
  <c r="C308" i="9"/>
  <c r="B308" i="9"/>
  <c r="A308" i="9"/>
  <c r="M307" i="9"/>
  <c r="L307" i="9"/>
  <c r="K307" i="9"/>
  <c r="J307" i="9"/>
  <c r="I307" i="9"/>
  <c r="H307" i="9"/>
  <c r="G307" i="9"/>
  <c r="F307" i="9"/>
  <c r="E307" i="9"/>
  <c r="D307" i="9"/>
  <c r="C307" i="9"/>
  <c r="B307" i="9"/>
  <c r="A307" i="9"/>
  <c r="M306" i="9"/>
  <c r="L306" i="9"/>
  <c r="K306" i="9"/>
  <c r="J306" i="9"/>
  <c r="I306" i="9"/>
  <c r="H306" i="9"/>
  <c r="G306" i="9"/>
  <c r="F306" i="9"/>
  <c r="E306" i="9"/>
  <c r="D306" i="9"/>
  <c r="C306" i="9"/>
  <c r="B306" i="9"/>
  <c r="A306" i="9"/>
  <c r="M305" i="9"/>
  <c r="L305" i="9"/>
  <c r="K305" i="9"/>
  <c r="J305" i="9"/>
  <c r="I305" i="9"/>
  <c r="H305" i="9"/>
  <c r="G305" i="9"/>
  <c r="F305" i="9"/>
  <c r="E305" i="9"/>
  <c r="D305" i="9"/>
  <c r="C305" i="9"/>
  <c r="B305" i="9"/>
  <c r="A305" i="9"/>
  <c r="M304" i="9"/>
  <c r="L304" i="9"/>
  <c r="K304" i="9"/>
  <c r="J304" i="9"/>
  <c r="I304" i="9"/>
  <c r="H304" i="9"/>
  <c r="G304" i="9"/>
  <c r="F304" i="9"/>
  <c r="E304" i="9"/>
  <c r="D304" i="9"/>
  <c r="C304" i="9"/>
  <c r="B304" i="9"/>
  <c r="A304" i="9"/>
  <c r="M303" i="9"/>
  <c r="L303" i="9"/>
  <c r="K303" i="9"/>
  <c r="J303" i="9"/>
  <c r="I303" i="9"/>
  <c r="H303" i="9"/>
  <c r="G303" i="9"/>
  <c r="F303" i="9"/>
  <c r="E303" i="9"/>
  <c r="D303" i="9"/>
  <c r="C303" i="9"/>
  <c r="B303" i="9"/>
  <c r="A303" i="9"/>
  <c r="M302" i="9"/>
  <c r="L302" i="9"/>
  <c r="K302" i="9"/>
  <c r="J302" i="9"/>
  <c r="I302" i="9"/>
  <c r="H302" i="9"/>
  <c r="G302" i="9"/>
  <c r="F302" i="9"/>
  <c r="E302" i="9"/>
  <c r="D302" i="9"/>
  <c r="C302" i="9"/>
  <c r="B302" i="9"/>
  <c r="A302" i="9"/>
  <c r="M301" i="9"/>
  <c r="L301" i="9"/>
  <c r="K301" i="9"/>
  <c r="J301" i="9"/>
  <c r="I301" i="9"/>
  <c r="H301" i="9"/>
  <c r="G301" i="9"/>
  <c r="F301" i="9"/>
  <c r="E301" i="9"/>
  <c r="D301" i="9"/>
  <c r="C301" i="9"/>
  <c r="B301" i="9"/>
  <c r="A301" i="9"/>
  <c r="M300" i="9"/>
  <c r="L300" i="9"/>
  <c r="K300" i="9"/>
  <c r="J300" i="9"/>
  <c r="I300" i="9"/>
  <c r="H300" i="9"/>
  <c r="G300" i="9"/>
  <c r="F300" i="9"/>
  <c r="E300" i="9"/>
  <c r="D300" i="9"/>
  <c r="C300" i="9"/>
  <c r="B300" i="9"/>
  <c r="A300" i="9"/>
  <c r="M299" i="9"/>
  <c r="L299" i="9"/>
  <c r="K299" i="9"/>
  <c r="J299" i="9"/>
  <c r="I299" i="9"/>
  <c r="H299" i="9"/>
  <c r="G299" i="9"/>
  <c r="F299" i="9"/>
  <c r="E299" i="9"/>
  <c r="D299" i="9"/>
  <c r="C299" i="9"/>
  <c r="B299" i="9"/>
  <c r="A299" i="9"/>
  <c r="M298" i="9"/>
  <c r="L298" i="9"/>
  <c r="K298" i="9"/>
  <c r="J298" i="9"/>
  <c r="I298" i="9"/>
  <c r="H298" i="9"/>
  <c r="G298" i="9"/>
  <c r="F298" i="9"/>
  <c r="E298" i="9"/>
  <c r="D298" i="9"/>
  <c r="C298" i="9"/>
  <c r="B298" i="9"/>
  <c r="A298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M296" i="9"/>
  <c r="L296" i="9"/>
  <c r="K296" i="9"/>
  <c r="J296" i="9"/>
  <c r="I296" i="9"/>
  <c r="H296" i="9"/>
  <c r="G296" i="9"/>
  <c r="F296" i="9"/>
  <c r="E296" i="9"/>
  <c r="D296" i="9"/>
  <c r="C296" i="9"/>
  <c r="B296" i="9"/>
  <c r="A296" i="9"/>
  <c r="M295" i="9"/>
  <c r="L295" i="9"/>
  <c r="K295" i="9"/>
  <c r="J295" i="9"/>
  <c r="I295" i="9"/>
  <c r="H295" i="9"/>
  <c r="G295" i="9"/>
  <c r="F295" i="9"/>
  <c r="E295" i="9"/>
  <c r="D295" i="9"/>
  <c r="C295" i="9"/>
  <c r="B295" i="9"/>
  <c r="A295" i="9"/>
  <c r="M294" i="9"/>
  <c r="L294" i="9"/>
  <c r="K294" i="9"/>
  <c r="J294" i="9"/>
  <c r="I294" i="9"/>
  <c r="H294" i="9"/>
  <c r="G294" i="9"/>
  <c r="F294" i="9"/>
  <c r="E294" i="9"/>
  <c r="D294" i="9"/>
  <c r="C294" i="9"/>
  <c r="B294" i="9"/>
  <c r="A294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M291" i="9"/>
  <c r="L291" i="9"/>
  <c r="K291" i="9"/>
  <c r="J291" i="9"/>
  <c r="I291" i="9"/>
  <c r="H291" i="9"/>
  <c r="G291" i="9"/>
  <c r="F291" i="9"/>
  <c r="E291" i="9"/>
  <c r="D291" i="9"/>
  <c r="C291" i="9"/>
  <c r="B291" i="9"/>
  <c r="A291" i="9"/>
  <c r="M290" i="9"/>
  <c r="L290" i="9"/>
  <c r="K290" i="9"/>
  <c r="J290" i="9"/>
  <c r="I290" i="9"/>
  <c r="H290" i="9"/>
  <c r="G290" i="9"/>
  <c r="F290" i="9"/>
  <c r="E290" i="9"/>
  <c r="D290" i="9"/>
  <c r="C290" i="9"/>
  <c r="B290" i="9"/>
  <c r="A290" i="9"/>
  <c r="M289" i="9"/>
  <c r="L289" i="9"/>
  <c r="K289" i="9"/>
  <c r="J289" i="9"/>
  <c r="I289" i="9"/>
  <c r="H289" i="9"/>
  <c r="G289" i="9"/>
  <c r="F289" i="9"/>
  <c r="E289" i="9"/>
  <c r="D289" i="9"/>
  <c r="C289" i="9"/>
  <c r="B289" i="9"/>
  <c r="A289" i="9"/>
  <c r="M288" i="9"/>
  <c r="L288" i="9"/>
  <c r="K288" i="9"/>
  <c r="J288" i="9"/>
  <c r="I288" i="9"/>
  <c r="H288" i="9"/>
  <c r="G288" i="9"/>
  <c r="F288" i="9"/>
  <c r="E288" i="9"/>
  <c r="D288" i="9"/>
  <c r="C288" i="9"/>
  <c r="B288" i="9"/>
  <c r="A288" i="9"/>
  <c r="M287" i="9"/>
  <c r="L287" i="9"/>
  <c r="K287" i="9"/>
  <c r="J287" i="9"/>
  <c r="I287" i="9"/>
  <c r="H287" i="9"/>
  <c r="G287" i="9"/>
  <c r="F287" i="9"/>
  <c r="E287" i="9"/>
  <c r="D287" i="9"/>
  <c r="C287" i="9"/>
  <c r="B287" i="9"/>
  <c r="A287" i="9"/>
  <c r="M286" i="9"/>
  <c r="L286" i="9"/>
  <c r="K286" i="9"/>
  <c r="J286" i="9"/>
  <c r="I286" i="9"/>
  <c r="H286" i="9"/>
  <c r="G286" i="9"/>
  <c r="F286" i="9"/>
  <c r="E286" i="9"/>
  <c r="D286" i="9"/>
  <c r="C286" i="9"/>
  <c r="B286" i="9"/>
  <c r="A286" i="9"/>
  <c r="M285" i="9"/>
  <c r="L285" i="9"/>
  <c r="K285" i="9"/>
  <c r="J285" i="9"/>
  <c r="I285" i="9"/>
  <c r="H285" i="9"/>
  <c r="G285" i="9"/>
  <c r="F285" i="9"/>
  <c r="E285" i="9"/>
  <c r="D285" i="9"/>
  <c r="C285" i="9"/>
  <c r="B285" i="9"/>
  <c r="A285" i="9"/>
  <c r="M284" i="9"/>
  <c r="L284" i="9"/>
  <c r="K284" i="9"/>
  <c r="J284" i="9"/>
  <c r="I284" i="9"/>
  <c r="H284" i="9"/>
  <c r="G284" i="9"/>
  <c r="F284" i="9"/>
  <c r="E284" i="9"/>
  <c r="D284" i="9"/>
  <c r="C284" i="9"/>
  <c r="B284" i="9"/>
  <c r="A284" i="9"/>
  <c r="M283" i="9"/>
  <c r="L283" i="9"/>
  <c r="K283" i="9"/>
  <c r="J283" i="9"/>
  <c r="I283" i="9"/>
  <c r="H283" i="9"/>
  <c r="G283" i="9"/>
  <c r="F283" i="9"/>
  <c r="E283" i="9"/>
  <c r="D283" i="9"/>
  <c r="C283" i="9"/>
  <c r="B283" i="9"/>
  <c r="A283" i="9"/>
  <c r="M282" i="9"/>
  <c r="L282" i="9"/>
  <c r="K282" i="9"/>
  <c r="J282" i="9"/>
  <c r="I282" i="9"/>
  <c r="H282" i="9"/>
  <c r="G282" i="9"/>
  <c r="F282" i="9"/>
  <c r="E282" i="9"/>
  <c r="D282" i="9"/>
  <c r="C282" i="9"/>
  <c r="B282" i="9"/>
  <c r="A282" i="9"/>
  <c r="M281" i="9"/>
  <c r="L281" i="9"/>
  <c r="K281" i="9"/>
  <c r="J281" i="9"/>
  <c r="I281" i="9"/>
  <c r="H281" i="9"/>
  <c r="G281" i="9"/>
  <c r="F281" i="9"/>
  <c r="E281" i="9"/>
  <c r="D281" i="9"/>
  <c r="C281" i="9"/>
  <c r="B281" i="9"/>
  <c r="A281" i="9"/>
  <c r="M280" i="9"/>
  <c r="L280" i="9"/>
  <c r="K280" i="9"/>
  <c r="J280" i="9"/>
  <c r="I280" i="9"/>
  <c r="H280" i="9"/>
  <c r="G280" i="9"/>
  <c r="F280" i="9"/>
  <c r="E280" i="9"/>
  <c r="D280" i="9"/>
  <c r="C280" i="9"/>
  <c r="B280" i="9"/>
  <c r="A280" i="9"/>
  <c r="M279" i="9"/>
  <c r="L279" i="9"/>
  <c r="K279" i="9"/>
  <c r="J279" i="9"/>
  <c r="I279" i="9"/>
  <c r="H279" i="9"/>
  <c r="G279" i="9"/>
  <c r="F279" i="9"/>
  <c r="E279" i="9"/>
  <c r="D279" i="9"/>
  <c r="C279" i="9"/>
  <c r="B279" i="9"/>
  <c r="A279" i="9"/>
  <c r="M278" i="9"/>
  <c r="L278" i="9"/>
  <c r="K278" i="9"/>
  <c r="J278" i="9"/>
  <c r="I278" i="9"/>
  <c r="H278" i="9"/>
  <c r="G278" i="9"/>
  <c r="F278" i="9"/>
  <c r="E278" i="9"/>
  <c r="D278" i="9"/>
  <c r="C278" i="9"/>
  <c r="B278" i="9"/>
  <c r="A278" i="9"/>
  <c r="M277" i="9"/>
  <c r="L277" i="9"/>
  <c r="K277" i="9"/>
  <c r="J277" i="9"/>
  <c r="I277" i="9"/>
  <c r="H277" i="9"/>
  <c r="G277" i="9"/>
  <c r="F277" i="9"/>
  <c r="E277" i="9"/>
  <c r="D277" i="9"/>
  <c r="C277" i="9"/>
  <c r="B277" i="9"/>
  <c r="A277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A276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A275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A274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A273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A272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A271" i="9"/>
  <c r="M270" i="9"/>
  <c r="L270" i="9"/>
  <c r="K270" i="9"/>
  <c r="J270" i="9"/>
  <c r="I270" i="9"/>
  <c r="H270" i="9"/>
  <c r="G270" i="9"/>
  <c r="F270" i="9"/>
  <c r="E270" i="9"/>
  <c r="D270" i="9"/>
  <c r="C270" i="9"/>
  <c r="B270" i="9"/>
  <c r="A270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A269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A268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A267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A266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A265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A264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A263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A262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A261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A260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A259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A258" i="9"/>
  <c r="M257" i="9"/>
  <c r="L257" i="9"/>
  <c r="K257" i="9"/>
  <c r="J257" i="9"/>
  <c r="I257" i="9"/>
  <c r="H257" i="9"/>
  <c r="G257" i="9"/>
  <c r="F257" i="9"/>
  <c r="E257" i="9"/>
  <c r="D257" i="9"/>
  <c r="C257" i="9"/>
  <c r="B257" i="9"/>
  <c r="A257" i="9"/>
  <c r="M256" i="9"/>
  <c r="L256" i="9"/>
  <c r="K256" i="9"/>
  <c r="J256" i="9"/>
  <c r="I256" i="9"/>
  <c r="H256" i="9"/>
  <c r="G256" i="9"/>
  <c r="F256" i="9"/>
  <c r="E256" i="9"/>
  <c r="D256" i="9"/>
  <c r="C256" i="9"/>
  <c r="B256" i="9"/>
  <c r="A256" i="9"/>
  <c r="M255" i="9"/>
  <c r="L255" i="9"/>
  <c r="K255" i="9"/>
  <c r="J255" i="9"/>
  <c r="I255" i="9"/>
  <c r="H255" i="9"/>
  <c r="G255" i="9"/>
  <c r="F255" i="9"/>
  <c r="E255" i="9"/>
  <c r="D255" i="9"/>
  <c r="C255" i="9"/>
  <c r="B255" i="9"/>
  <c r="A255" i="9"/>
  <c r="M254" i="9"/>
  <c r="L254" i="9"/>
  <c r="K254" i="9"/>
  <c r="J254" i="9"/>
  <c r="I254" i="9"/>
  <c r="H254" i="9"/>
  <c r="G254" i="9"/>
  <c r="F254" i="9"/>
  <c r="E254" i="9"/>
  <c r="D254" i="9"/>
  <c r="C254" i="9"/>
  <c r="B254" i="9"/>
  <c r="A254" i="9"/>
  <c r="M253" i="9"/>
  <c r="L253" i="9"/>
  <c r="K253" i="9"/>
  <c r="J253" i="9"/>
  <c r="I253" i="9"/>
  <c r="H253" i="9"/>
  <c r="G253" i="9"/>
  <c r="F253" i="9"/>
  <c r="E253" i="9"/>
  <c r="D253" i="9"/>
  <c r="C253" i="9"/>
  <c r="B253" i="9"/>
  <c r="A253" i="9"/>
  <c r="M252" i="9"/>
  <c r="L252" i="9"/>
  <c r="K252" i="9"/>
  <c r="J252" i="9"/>
  <c r="I252" i="9"/>
  <c r="H252" i="9"/>
  <c r="G252" i="9"/>
  <c r="F252" i="9"/>
  <c r="E252" i="9"/>
  <c r="D252" i="9"/>
  <c r="C252" i="9"/>
  <c r="B252" i="9"/>
  <c r="A252" i="9"/>
  <c r="M251" i="9"/>
  <c r="L251" i="9"/>
  <c r="K251" i="9"/>
  <c r="J251" i="9"/>
  <c r="I251" i="9"/>
  <c r="H251" i="9"/>
  <c r="G251" i="9"/>
  <c r="F251" i="9"/>
  <c r="E251" i="9"/>
  <c r="D251" i="9"/>
  <c r="C251" i="9"/>
  <c r="B251" i="9"/>
  <c r="A251" i="9"/>
  <c r="M250" i="9"/>
  <c r="L250" i="9"/>
  <c r="K250" i="9"/>
  <c r="J250" i="9"/>
  <c r="I250" i="9"/>
  <c r="H250" i="9"/>
  <c r="G250" i="9"/>
  <c r="F250" i="9"/>
  <c r="E250" i="9"/>
  <c r="D250" i="9"/>
  <c r="C250" i="9"/>
  <c r="B250" i="9"/>
  <c r="A250" i="9"/>
  <c r="M249" i="9"/>
  <c r="L249" i="9"/>
  <c r="K249" i="9"/>
  <c r="J249" i="9"/>
  <c r="I249" i="9"/>
  <c r="H249" i="9"/>
  <c r="G249" i="9"/>
  <c r="F249" i="9"/>
  <c r="E249" i="9"/>
  <c r="D249" i="9"/>
  <c r="C249" i="9"/>
  <c r="B249" i="9"/>
  <c r="A249" i="9"/>
  <c r="M248" i="9"/>
  <c r="L248" i="9"/>
  <c r="K248" i="9"/>
  <c r="J248" i="9"/>
  <c r="I248" i="9"/>
  <c r="H248" i="9"/>
  <c r="G248" i="9"/>
  <c r="F248" i="9"/>
  <c r="E248" i="9"/>
  <c r="D248" i="9"/>
  <c r="C248" i="9"/>
  <c r="B248" i="9"/>
  <c r="A248" i="9"/>
  <c r="M247" i="9"/>
  <c r="L247" i="9"/>
  <c r="K247" i="9"/>
  <c r="J247" i="9"/>
  <c r="I247" i="9"/>
  <c r="H247" i="9"/>
  <c r="G247" i="9"/>
  <c r="F247" i="9"/>
  <c r="E247" i="9"/>
  <c r="D247" i="9"/>
  <c r="C247" i="9"/>
  <c r="B247" i="9"/>
  <c r="A247" i="9"/>
  <c r="M246" i="9"/>
  <c r="L246" i="9"/>
  <c r="K246" i="9"/>
  <c r="J246" i="9"/>
  <c r="I246" i="9"/>
  <c r="H246" i="9"/>
  <c r="G246" i="9"/>
  <c r="F246" i="9"/>
  <c r="E246" i="9"/>
  <c r="D246" i="9"/>
  <c r="C246" i="9"/>
  <c r="B246" i="9"/>
  <c r="A246" i="9"/>
  <c r="M245" i="9"/>
  <c r="L245" i="9"/>
  <c r="K245" i="9"/>
  <c r="J245" i="9"/>
  <c r="I245" i="9"/>
  <c r="H245" i="9"/>
  <c r="G245" i="9"/>
  <c r="F245" i="9"/>
  <c r="E245" i="9"/>
  <c r="D245" i="9"/>
  <c r="C245" i="9"/>
  <c r="B245" i="9"/>
  <c r="A245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A244" i="9"/>
  <c r="M243" i="9"/>
  <c r="L243" i="9"/>
  <c r="K243" i="9"/>
  <c r="J243" i="9"/>
  <c r="I243" i="9"/>
  <c r="H243" i="9"/>
  <c r="G243" i="9"/>
  <c r="F243" i="9"/>
  <c r="E243" i="9"/>
  <c r="D243" i="9"/>
  <c r="C243" i="9"/>
  <c r="B243" i="9"/>
  <c r="A243" i="9"/>
  <c r="M242" i="9"/>
  <c r="L242" i="9"/>
  <c r="K242" i="9"/>
  <c r="J242" i="9"/>
  <c r="I242" i="9"/>
  <c r="H242" i="9"/>
  <c r="G242" i="9"/>
  <c r="F242" i="9"/>
  <c r="E242" i="9"/>
  <c r="D242" i="9"/>
  <c r="C242" i="9"/>
  <c r="B242" i="9"/>
  <c r="A242" i="9"/>
  <c r="M241" i="9"/>
  <c r="L241" i="9"/>
  <c r="K241" i="9"/>
  <c r="J241" i="9"/>
  <c r="I241" i="9"/>
  <c r="H241" i="9"/>
  <c r="G241" i="9"/>
  <c r="F241" i="9"/>
  <c r="E241" i="9"/>
  <c r="D241" i="9"/>
  <c r="C241" i="9"/>
  <c r="B241" i="9"/>
  <c r="A241" i="9"/>
  <c r="M240" i="9"/>
  <c r="L240" i="9"/>
  <c r="K240" i="9"/>
  <c r="J240" i="9"/>
  <c r="I240" i="9"/>
  <c r="H240" i="9"/>
  <c r="G240" i="9"/>
  <c r="F240" i="9"/>
  <c r="E240" i="9"/>
  <c r="D240" i="9"/>
  <c r="C240" i="9"/>
  <c r="B240" i="9"/>
  <c r="A240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A239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238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237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A235" i="9"/>
  <c r="M234" i="9"/>
  <c r="L234" i="9"/>
  <c r="K234" i="9"/>
  <c r="J234" i="9"/>
  <c r="I234" i="9"/>
  <c r="H234" i="9"/>
  <c r="G234" i="9"/>
  <c r="F234" i="9"/>
  <c r="E234" i="9"/>
  <c r="D234" i="9"/>
  <c r="C234" i="9"/>
  <c r="B234" i="9"/>
  <c r="A234" i="9"/>
  <c r="M233" i="9"/>
  <c r="L233" i="9"/>
  <c r="K233" i="9"/>
  <c r="J233" i="9"/>
  <c r="I233" i="9"/>
  <c r="H233" i="9"/>
  <c r="G233" i="9"/>
  <c r="F233" i="9"/>
  <c r="E233" i="9"/>
  <c r="D233" i="9"/>
  <c r="C233" i="9"/>
  <c r="B233" i="9"/>
  <c r="A233" i="9"/>
  <c r="M232" i="9"/>
  <c r="L232" i="9"/>
  <c r="K232" i="9"/>
  <c r="J232" i="9"/>
  <c r="I232" i="9"/>
  <c r="H232" i="9"/>
  <c r="G232" i="9"/>
  <c r="F232" i="9"/>
  <c r="E232" i="9"/>
  <c r="D232" i="9"/>
  <c r="C232" i="9"/>
  <c r="B232" i="9"/>
  <c r="A232" i="9"/>
  <c r="M231" i="9"/>
  <c r="L231" i="9"/>
  <c r="K231" i="9"/>
  <c r="J231" i="9"/>
  <c r="I231" i="9"/>
  <c r="H231" i="9"/>
  <c r="G231" i="9"/>
  <c r="F231" i="9"/>
  <c r="E231" i="9"/>
  <c r="D231" i="9"/>
  <c r="C231" i="9"/>
  <c r="B231" i="9"/>
  <c r="A231" i="9"/>
  <c r="M230" i="9"/>
  <c r="L230" i="9"/>
  <c r="K230" i="9"/>
  <c r="J230" i="9"/>
  <c r="I230" i="9"/>
  <c r="H230" i="9"/>
  <c r="G230" i="9"/>
  <c r="F230" i="9"/>
  <c r="E230" i="9"/>
  <c r="D230" i="9"/>
  <c r="C230" i="9"/>
  <c r="B230" i="9"/>
  <c r="A230" i="9"/>
  <c r="M229" i="9"/>
  <c r="L229" i="9"/>
  <c r="K229" i="9"/>
  <c r="J229" i="9"/>
  <c r="I229" i="9"/>
  <c r="H229" i="9"/>
  <c r="G229" i="9"/>
  <c r="F229" i="9"/>
  <c r="E229" i="9"/>
  <c r="D229" i="9"/>
  <c r="C229" i="9"/>
  <c r="B229" i="9"/>
  <c r="A229" i="9"/>
  <c r="M228" i="9"/>
  <c r="L228" i="9"/>
  <c r="K228" i="9"/>
  <c r="J228" i="9"/>
  <c r="I228" i="9"/>
  <c r="H228" i="9"/>
  <c r="G228" i="9"/>
  <c r="F228" i="9"/>
  <c r="E228" i="9"/>
  <c r="D228" i="9"/>
  <c r="C228" i="9"/>
  <c r="B228" i="9"/>
  <c r="A228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A227" i="9"/>
  <c r="M226" i="9"/>
  <c r="L226" i="9"/>
  <c r="K226" i="9"/>
  <c r="J226" i="9"/>
  <c r="I226" i="9"/>
  <c r="H226" i="9"/>
  <c r="G226" i="9"/>
  <c r="F226" i="9"/>
  <c r="E226" i="9"/>
  <c r="D226" i="9"/>
  <c r="C226" i="9"/>
  <c r="B226" i="9"/>
  <c r="A226" i="9"/>
  <c r="M225" i="9"/>
  <c r="L225" i="9"/>
  <c r="K225" i="9"/>
  <c r="J225" i="9"/>
  <c r="I225" i="9"/>
  <c r="H225" i="9"/>
  <c r="G225" i="9"/>
  <c r="F225" i="9"/>
  <c r="E225" i="9"/>
  <c r="D225" i="9"/>
  <c r="C225" i="9"/>
  <c r="B225" i="9"/>
  <c r="A225" i="9"/>
  <c r="M224" i="9"/>
  <c r="L224" i="9"/>
  <c r="K224" i="9"/>
  <c r="J224" i="9"/>
  <c r="I224" i="9"/>
  <c r="H224" i="9"/>
  <c r="G224" i="9"/>
  <c r="F224" i="9"/>
  <c r="E224" i="9"/>
  <c r="D224" i="9"/>
  <c r="C224" i="9"/>
  <c r="B224" i="9"/>
  <c r="A224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A223" i="9"/>
  <c r="M222" i="9"/>
  <c r="L222" i="9"/>
  <c r="K222" i="9"/>
  <c r="J222" i="9"/>
  <c r="I222" i="9"/>
  <c r="H222" i="9"/>
  <c r="G222" i="9"/>
  <c r="F222" i="9"/>
  <c r="E222" i="9"/>
  <c r="D222" i="9"/>
  <c r="C222" i="9"/>
  <c r="B222" i="9"/>
  <c r="A222" i="9"/>
  <c r="M221" i="9"/>
  <c r="L221" i="9"/>
  <c r="K221" i="9"/>
  <c r="J221" i="9"/>
  <c r="I221" i="9"/>
  <c r="H221" i="9"/>
  <c r="G221" i="9"/>
  <c r="F221" i="9"/>
  <c r="E221" i="9"/>
  <c r="D221" i="9"/>
  <c r="C221" i="9"/>
  <c r="B221" i="9"/>
  <c r="A221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A220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A219" i="9"/>
  <c r="M218" i="9"/>
  <c r="L218" i="9"/>
  <c r="K218" i="9"/>
  <c r="J218" i="9"/>
  <c r="I218" i="9"/>
  <c r="H218" i="9"/>
  <c r="G218" i="9"/>
  <c r="F218" i="9"/>
  <c r="E218" i="9"/>
  <c r="D218" i="9"/>
  <c r="C218" i="9"/>
  <c r="B218" i="9"/>
  <c r="A218" i="9"/>
  <c r="M217" i="9"/>
  <c r="L217" i="9"/>
  <c r="K217" i="9"/>
  <c r="J217" i="9"/>
  <c r="I217" i="9"/>
  <c r="H217" i="9"/>
  <c r="G217" i="9"/>
  <c r="F217" i="9"/>
  <c r="E217" i="9"/>
  <c r="D217" i="9"/>
  <c r="C217" i="9"/>
  <c r="B217" i="9"/>
  <c r="A217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A216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A215" i="9"/>
  <c r="M214" i="9"/>
  <c r="L214" i="9"/>
  <c r="K214" i="9"/>
  <c r="J214" i="9"/>
  <c r="I214" i="9"/>
  <c r="H214" i="9"/>
  <c r="G214" i="9"/>
  <c r="F214" i="9"/>
  <c r="E214" i="9"/>
  <c r="D214" i="9"/>
  <c r="C214" i="9"/>
  <c r="B214" i="9"/>
  <c r="A214" i="9"/>
  <c r="M213" i="9"/>
  <c r="L213" i="9"/>
  <c r="K213" i="9"/>
  <c r="J213" i="9"/>
  <c r="I213" i="9"/>
  <c r="H213" i="9"/>
  <c r="G213" i="9"/>
  <c r="F213" i="9"/>
  <c r="E213" i="9"/>
  <c r="D213" i="9"/>
  <c r="C213" i="9"/>
  <c r="B213" i="9"/>
  <c r="A213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A212" i="9"/>
  <c r="M211" i="9"/>
  <c r="L211" i="9"/>
  <c r="K211" i="9"/>
  <c r="J211" i="9"/>
  <c r="I211" i="9"/>
  <c r="H211" i="9"/>
  <c r="G211" i="9"/>
  <c r="F211" i="9"/>
  <c r="E211" i="9"/>
  <c r="D211" i="9"/>
  <c r="C211" i="9"/>
  <c r="B211" i="9"/>
  <c r="A211" i="9"/>
  <c r="M210" i="9"/>
  <c r="L210" i="9"/>
  <c r="K210" i="9"/>
  <c r="J210" i="9"/>
  <c r="I210" i="9"/>
  <c r="H210" i="9"/>
  <c r="G210" i="9"/>
  <c r="F210" i="9"/>
  <c r="E210" i="9"/>
  <c r="D210" i="9"/>
  <c r="C210" i="9"/>
  <c r="B210" i="9"/>
  <c r="A210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A209" i="9"/>
  <c r="M208" i="9"/>
  <c r="L208" i="9"/>
  <c r="K208" i="9"/>
  <c r="J208" i="9"/>
  <c r="I208" i="9"/>
  <c r="H208" i="9"/>
  <c r="G208" i="9"/>
  <c r="F208" i="9"/>
  <c r="E208" i="9"/>
  <c r="D208" i="9"/>
  <c r="C208" i="9"/>
  <c r="B208" i="9"/>
  <c r="A208" i="9"/>
  <c r="M207" i="9"/>
  <c r="L207" i="9"/>
  <c r="K207" i="9"/>
  <c r="J207" i="9"/>
  <c r="I207" i="9"/>
  <c r="H207" i="9"/>
  <c r="G207" i="9"/>
  <c r="F207" i="9"/>
  <c r="E207" i="9"/>
  <c r="D207" i="9"/>
  <c r="C207" i="9"/>
  <c r="B207" i="9"/>
  <c r="A207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A206" i="9"/>
  <c r="M205" i="9"/>
  <c r="L205" i="9"/>
  <c r="K205" i="9"/>
  <c r="J205" i="9"/>
  <c r="I205" i="9"/>
  <c r="H205" i="9"/>
  <c r="G205" i="9"/>
  <c r="F205" i="9"/>
  <c r="E205" i="9"/>
  <c r="D205" i="9"/>
  <c r="C205" i="9"/>
  <c r="B205" i="9"/>
  <c r="A205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A204" i="9"/>
  <c r="M203" i="9"/>
  <c r="L203" i="9"/>
  <c r="K203" i="9"/>
  <c r="J203" i="9"/>
  <c r="I203" i="9"/>
  <c r="H203" i="9"/>
  <c r="G203" i="9"/>
  <c r="F203" i="9"/>
  <c r="E203" i="9"/>
  <c r="D203" i="9"/>
  <c r="C203" i="9"/>
  <c r="B203" i="9"/>
  <c r="A203" i="9"/>
  <c r="M202" i="9"/>
  <c r="L202" i="9"/>
  <c r="K202" i="9"/>
  <c r="J202" i="9"/>
  <c r="I202" i="9"/>
  <c r="H202" i="9"/>
  <c r="G202" i="9"/>
  <c r="F202" i="9"/>
  <c r="E202" i="9"/>
  <c r="D202" i="9"/>
  <c r="C202" i="9"/>
  <c r="B202" i="9"/>
  <c r="A202" i="9"/>
  <c r="M201" i="9"/>
  <c r="L201" i="9"/>
  <c r="K201" i="9"/>
  <c r="J201" i="9"/>
  <c r="I201" i="9"/>
  <c r="H201" i="9"/>
  <c r="G201" i="9"/>
  <c r="F201" i="9"/>
  <c r="E201" i="9"/>
  <c r="D201" i="9"/>
  <c r="C201" i="9"/>
  <c r="B201" i="9"/>
  <c r="A201" i="9"/>
  <c r="M200" i="9"/>
  <c r="L200" i="9"/>
  <c r="K200" i="9"/>
  <c r="J200" i="9"/>
  <c r="I200" i="9"/>
  <c r="H200" i="9"/>
  <c r="G200" i="9"/>
  <c r="F200" i="9"/>
  <c r="E200" i="9"/>
  <c r="D200" i="9"/>
  <c r="C200" i="9"/>
  <c r="B200" i="9"/>
  <c r="A200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A199" i="9"/>
  <c r="M198" i="9"/>
  <c r="L198" i="9"/>
  <c r="K198" i="9"/>
  <c r="J198" i="9"/>
  <c r="I198" i="9"/>
  <c r="H198" i="9"/>
  <c r="G198" i="9"/>
  <c r="F198" i="9"/>
  <c r="E198" i="9"/>
  <c r="D198" i="9"/>
  <c r="C198" i="9"/>
  <c r="B198" i="9"/>
  <c r="A198" i="9"/>
  <c r="M197" i="9"/>
  <c r="L197" i="9"/>
  <c r="K197" i="9"/>
  <c r="J197" i="9"/>
  <c r="I197" i="9"/>
  <c r="H197" i="9"/>
  <c r="G197" i="9"/>
  <c r="F197" i="9"/>
  <c r="E197" i="9"/>
  <c r="D197" i="9"/>
  <c r="C197" i="9"/>
  <c r="B197" i="9"/>
  <c r="A197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A196" i="9"/>
  <c r="M195" i="9"/>
  <c r="L195" i="9"/>
  <c r="K195" i="9"/>
  <c r="J195" i="9"/>
  <c r="I195" i="9"/>
  <c r="H195" i="9"/>
  <c r="G195" i="9"/>
  <c r="F195" i="9"/>
  <c r="E195" i="9"/>
  <c r="D195" i="9"/>
  <c r="C195" i="9"/>
  <c r="B195" i="9"/>
  <c r="A195" i="9"/>
  <c r="M194" i="9"/>
  <c r="L194" i="9"/>
  <c r="K194" i="9"/>
  <c r="J194" i="9"/>
  <c r="I194" i="9"/>
  <c r="H194" i="9"/>
  <c r="G194" i="9"/>
  <c r="F194" i="9"/>
  <c r="E194" i="9"/>
  <c r="D194" i="9"/>
  <c r="C194" i="9"/>
  <c r="B194" i="9"/>
  <c r="A194" i="9"/>
  <c r="M193" i="9"/>
  <c r="L193" i="9"/>
  <c r="K193" i="9"/>
  <c r="J193" i="9"/>
  <c r="I193" i="9"/>
  <c r="H193" i="9"/>
  <c r="G193" i="9"/>
  <c r="F193" i="9"/>
  <c r="E193" i="9"/>
  <c r="D193" i="9"/>
  <c r="C193" i="9"/>
  <c r="B193" i="9"/>
  <c r="A193" i="9"/>
  <c r="M192" i="9"/>
  <c r="L192" i="9"/>
  <c r="K192" i="9"/>
  <c r="J192" i="9"/>
  <c r="I192" i="9"/>
  <c r="H192" i="9"/>
  <c r="G192" i="9"/>
  <c r="F192" i="9"/>
  <c r="E192" i="9"/>
  <c r="D192" i="9"/>
  <c r="C192" i="9"/>
  <c r="B192" i="9"/>
  <c r="A192" i="9"/>
  <c r="M191" i="9"/>
  <c r="L191" i="9"/>
  <c r="K191" i="9"/>
  <c r="J191" i="9"/>
  <c r="I191" i="9"/>
  <c r="H191" i="9"/>
  <c r="G191" i="9"/>
  <c r="F191" i="9"/>
  <c r="E191" i="9"/>
  <c r="D191" i="9"/>
  <c r="C191" i="9"/>
  <c r="B191" i="9"/>
  <c r="A191" i="9"/>
  <c r="M190" i="9"/>
  <c r="L190" i="9"/>
  <c r="K190" i="9"/>
  <c r="J190" i="9"/>
  <c r="I190" i="9"/>
  <c r="H190" i="9"/>
  <c r="G190" i="9"/>
  <c r="F190" i="9"/>
  <c r="E190" i="9"/>
  <c r="D190" i="9"/>
  <c r="C190" i="9"/>
  <c r="B190" i="9"/>
  <c r="A190" i="9"/>
  <c r="M189" i="9"/>
  <c r="L189" i="9"/>
  <c r="K189" i="9"/>
  <c r="J189" i="9"/>
  <c r="I189" i="9"/>
  <c r="H189" i="9"/>
  <c r="G189" i="9"/>
  <c r="F189" i="9"/>
  <c r="E189" i="9"/>
  <c r="D189" i="9"/>
  <c r="C189" i="9"/>
  <c r="B189" i="9"/>
  <c r="A189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A188" i="9"/>
  <c r="M187" i="9"/>
  <c r="L187" i="9"/>
  <c r="K187" i="9"/>
  <c r="J187" i="9"/>
  <c r="I187" i="9"/>
  <c r="H187" i="9"/>
  <c r="G187" i="9"/>
  <c r="F187" i="9"/>
  <c r="E187" i="9"/>
  <c r="D187" i="9"/>
  <c r="C187" i="9"/>
  <c r="B187" i="9"/>
  <c r="A187" i="9"/>
  <c r="M186" i="9"/>
  <c r="L186" i="9"/>
  <c r="K186" i="9"/>
  <c r="J186" i="9"/>
  <c r="I186" i="9"/>
  <c r="H186" i="9"/>
  <c r="G186" i="9"/>
  <c r="F186" i="9"/>
  <c r="E186" i="9"/>
  <c r="D186" i="9"/>
  <c r="C186" i="9"/>
  <c r="B186" i="9"/>
  <c r="A186" i="9"/>
  <c r="M185" i="9"/>
  <c r="L185" i="9"/>
  <c r="K185" i="9"/>
  <c r="J185" i="9"/>
  <c r="I185" i="9"/>
  <c r="H185" i="9"/>
  <c r="G185" i="9"/>
  <c r="F185" i="9"/>
  <c r="E185" i="9"/>
  <c r="D185" i="9"/>
  <c r="C185" i="9"/>
  <c r="B185" i="9"/>
  <c r="A185" i="9"/>
  <c r="M184" i="9"/>
  <c r="L184" i="9"/>
  <c r="K184" i="9"/>
  <c r="J184" i="9"/>
  <c r="I184" i="9"/>
  <c r="H184" i="9"/>
  <c r="G184" i="9"/>
  <c r="F184" i="9"/>
  <c r="E184" i="9"/>
  <c r="D184" i="9"/>
  <c r="C184" i="9"/>
  <c r="B184" i="9"/>
  <c r="A184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A183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A182" i="9"/>
  <c r="M181" i="9"/>
  <c r="L181" i="9"/>
  <c r="K181" i="9"/>
  <c r="J181" i="9"/>
  <c r="I181" i="9"/>
  <c r="H181" i="9"/>
  <c r="G181" i="9"/>
  <c r="F181" i="9"/>
  <c r="E181" i="9"/>
  <c r="D181" i="9"/>
  <c r="C181" i="9"/>
  <c r="B181" i="9"/>
  <c r="A181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A180" i="9"/>
  <c r="M179" i="9"/>
  <c r="L179" i="9"/>
  <c r="K179" i="9"/>
  <c r="J179" i="9"/>
  <c r="I179" i="9"/>
  <c r="H179" i="9"/>
  <c r="G179" i="9"/>
  <c r="F179" i="9"/>
  <c r="E179" i="9"/>
  <c r="D179" i="9"/>
  <c r="C179" i="9"/>
  <c r="B179" i="9"/>
  <c r="A179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A178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A177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A176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A175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A174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A173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A172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A171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A170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A169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A168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A167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A166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A165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A164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A163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A162" i="9"/>
  <c r="M161" i="9"/>
  <c r="L161" i="9"/>
  <c r="K161" i="9"/>
  <c r="J161" i="9"/>
  <c r="I161" i="9"/>
  <c r="H161" i="9"/>
  <c r="G161" i="9"/>
  <c r="F161" i="9"/>
  <c r="E161" i="9"/>
  <c r="D161" i="9"/>
  <c r="C161" i="9"/>
  <c r="B161" i="9"/>
  <c r="A161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A160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A159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A158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A157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A156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A155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A154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A153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A152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A151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A150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A149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A148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A147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A146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145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144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143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142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141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140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A139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A138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137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136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A135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A134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A133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A132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A131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A130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A129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A128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A127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A126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A125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A124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A123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A122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A121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A120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A119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A118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A117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116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A115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A114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A113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112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A111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110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A109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108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A107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A106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105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104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103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102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101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100" i="9"/>
  <c r="M99" i="9"/>
  <c r="L99" i="9"/>
  <c r="K99" i="9"/>
  <c r="J99" i="9"/>
  <c r="I99" i="9"/>
  <c r="H99" i="9"/>
  <c r="G99" i="9"/>
  <c r="F99" i="9"/>
  <c r="E99" i="9"/>
  <c r="D99" i="9"/>
  <c r="C99" i="9"/>
  <c r="B99" i="9"/>
  <c r="A99" i="9"/>
  <c r="M98" i="9"/>
  <c r="L98" i="9"/>
  <c r="K98" i="9"/>
  <c r="J98" i="9"/>
  <c r="I98" i="9"/>
  <c r="H98" i="9"/>
  <c r="G98" i="9"/>
  <c r="F98" i="9"/>
  <c r="E98" i="9"/>
  <c r="D98" i="9"/>
  <c r="C98" i="9"/>
  <c r="B98" i="9"/>
  <c r="A98" i="9"/>
  <c r="M97" i="9"/>
  <c r="L97" i="9"/>
  <c r="K97" i="9"/>
  <c r="J97" i="9"/>
  <c r="I97" i="9"/>
  <c r="H97" i="9"/>
  <c r="G97" i="9"/>
  <c r="F97" i="9"/>
  <c r="E97" i="9"/>
  <c r="D97" i="9"/>
  <c r="C97" i="9"/>
  <c r="B97" i="9"/>
  <c r="A97" i="9"/>
  <c r="M96" i="9"/>
  <c r="L96" i="9"/>
  <c r="K96" i="9"/>
  <c r="J96" i="9"/>
  <c r="I96" i="9"/>
  <c r="H96" i="9"/>
  <c r="G96" i="9"/>
  <c r="F96" i="9"/>
  <c r="E96" i="9"/>
  <c r="D96" i="9"/>
  <c r="C96" i="9"/>
  <c r="B96" i="9"/>
  <c r="A96" i="9"/>
  <c r="M95" i="9"/>
  <c r="L95" i="9"/>
  <c r="K95" i="9"/>
  <c r="J95" i="9"/>
  <c r="I95" i="9"/>
  <c r="H95" i="9"/>
  <c r="G95" i="9"/>
  <c r="F95" i="9"/>
  <c r="E95" i="9"/>
  <c r="D95" i="9"/>
  <c r="C95" i="9"/>
  <c r="B95" i="9"/>
  <c r="A95" i="9"/>
  <c r="M94" i="9"/>
  <c r="L94" i="9"/>
  <c r="K94" i="9"/>
  <c r="J94" i="9"/>
  <c r="I94" i="9"/>
  <c r="H94" i="9"/>
  <c r="G94" i="9"/>
  <c r="F94" i="9"/>
  <c r="E94" i="9"/>
  <c r="D94" i="9"/>
  <c r="C94" i="9"/>
  <c r="B94" i="9"/>
  <c r="A94" i="9"/>
  <c r="M93" i="9"/>
  <c r="L93" i="9"/>
  <c r="K93" i="9"/>
  <c r="J93" i="9"/>
  <c r="I93" i="9"/>
  <c r="H93" i="9"/>
  <c r="G93" i="9"/>
  <c r="F93" i="9"/>
  <c r="E93" i="9"/>
  <c r="D93" i="9"/>
  <c r="C93" i="9"/>
  <c r="B93" i="9"/>
  <c r="A93" i="9"/>
  <c r="M92" i="9"/>
  <c r="L92" i="9"/>
  <c r="K92" i="9"/>
  <c r="J92" i="9"/>
  <c r="I92" i="9"/>
  <c r="H92" i="9"/>
  <c r="G92" i="9"/>
  <c r="F92" i="9"/>
  <c r="E92" i="9"/>
  <c r="D92" i="9"/>
  <c r="C92" i="9"/>
  <c r="B92" i="9"/>
  <c r="A92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M89" i="9"/>
  <c r="L89" i="9"/>
  <c r="K89" i="9"/>
  <c r="J89" i="9"/>
  <c r="I89" i="9"/>
  <c r="H89" i="9"/>
  <c r="G89" i="9"/>
  <c r="F89" i="9"/>
  <c r="E89" i="9"/>
  <c r="D89" i="9"/>
  <c r="C89" i="9"/>
  <c r="B89" i="9"/>
  <c r="A89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M87" i="9"/>
  <c r="L87" i="9"/>
  <c r="K87" i="9"/>
  <c r="J87" i="9"/>
  <c r="I87" i="9"/>
  <c r="H87" i="9"/>
  <c r="G87" i="9"/>
  <c r="F87" i="9"/>
  <c r="E87" i="9"/>
  <c r="D87" i="9"/>
  <c r="C87" i="9"/>
  <c r="B87" i="9"/>
  <c r="A87" i="9"/>
  <c r="M86" i="9"/>
  <c r="L86" i="9"/>
  <c r="K86" i="9"/>
  <c r="J86" i="9"/>
  <c r="I86" i="9"/>
  <c r="H86" i="9"/>
  <c r="G86" i="9"/>
  <c r="F86" i="9"/>
  <c r="E86" i="9"/>
  <c r="D86" i="9"/>
  <c r="C86" i="9"/>
  <c r="B86" i="9"/>
  <c r="A86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M83" i="9"/>
  <c r="L83" i="9"/>
  <c r="K83" i="9"/>
  <c r="J83" i="9"/>
  <c r="I83" i="9"/>
  <c r="H83" i="9"/>
  <c r="G83" i="9"/>
  <c r="F83" i="9"/>
  <c r="E83" i="9"/>
  <c r="D83" i="9"/>
  <c r="C83" i="9"/>
  <c r="B83" i="9"/>
  <c r="A83" i="9"/>
  <c r="M82" i="9"/>
  <c r="L82" i="9"/>
  <c r="K82" i="9"/>
  <c r="J82" i="9"/>
  <c r="I82" i="9"/>
  <c r="H82" i="9"/>
  <c r="G82" i="9"/>
  <c r="F82" i="9"/>
  <c r="E82" i="9"/>
  <c r="D82" i="9"/>
  <c r="C82" i="9"/>
  <c r="B82" i="9"/>
  <c r="A82" i="9"/>
  <c r="M81" i="9"/>
  <c r="L81" i="9"/>
  <c r="K81" i="9"/>
  <c r="J81" i="9"/>
  <c r="I81" i="9"/>
  <c r="H81" i="9"/>
  <c r="G81" i="9"/>
  <c r="F81" i="9"/>
  <c r="E81" i="9"/>
  <c r="D81" i="9"/>
  <c r="C81" i="9"/>
  <c r="B81" i="9"/>
  <c r="A81" i="9"/>
  <c r="M80" i="9"/>
  <c r="L80" i="9"/>
  <c r="K80" i="9"/>
  <c r="J80" i="9"/>
  <c r="I80" i="9"/>
  <c r="H80" i="9"/>
  <c r="G80" i="9"/>
  <c r="F80" i="9"/>
  <c r="E80" i="9"/>
  <c r="D80" i="9"/>
  <c r="C80" i="9"/>
  <c r="B80" i="9"/>
  <c r="A80" i="9"/>
  <c r="M79" i="9"/>
  <c r="L79" i="9"/>
  <c r="K79" i="9"/>
  <c r="J79" i="9"/>
  <c r="I79" i="9"/>
  <c r="H79" i="9"/>
  <c r="G79" i="9"/>
  <c r="F79" i="9"/>
  <c r="E79" i="9"/>
  <c r="D79" i="9"/>
  <c r="C79" i="9"/>
  <c r="B79" i="9"/>
  <c r="A79" i="9"/>
  <c r="M78" i="9"/>
  <c r="L78" i="9"/>
  <c r="K78" i="9"/>
  <c r="J78" i="9"/>
  <c r="I78" i="9"/>
  <c r="H78" i="9"/>
  <c r="G78" i="9"/>
  <c r="F78" i="9"/>
  <c r="E78" i="9"/>
  <c r="D78" i="9"/>
  <c r="C78" i="9"/>
  <c r="B78" i="9"/>
  <c r="A78" i="9"/>
  <c r="M77" i="9"/>
  <c r="L77" i="9"/>
  <c r="K77" i="9"/>
  <c r="J77" i="9"/>
  <c r="I77" i="9"/>
  <c r="H77" i="9"/>
  <c r="G77" i="9"/>
  <c r="F77" i="9"/>
  <c r="E77" i="9"/>
  <c r="D77" i="9"/>
  <c r="C77" i="9"/>
  <c r="B77" i="9"/>
  <c r="A77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M75" i="9"/>
  <c r="L75" i="9"/>
  <c r="K75" i="9"/>
  <c r="J75" i="9"/>
  <c r="I75" i="9"/>
  <c r="H75" i="9"/>
  <c r="G75" i="9"/>
  <c r="F75" i="9"/>
  <c r="E75" i="9"/>
  <c r="D75" i="9"/>
  <c r="C75" i="9"/>
  <c r="B75" i="9"/>
  <c r="A75" i="9"/>
  <c r="M74" i="9"/>
  <c r="L74" i="9"/>
  <c r="K74" i="9"/>
  <c r="J74" i="9"/>
  <c r="I74" i="9"/>
  <c r="H74" i="9"/>
  <c r="G74" i="9"/>
  <c r="F74" i="9"/>
  <c r="E74" i="9"/>
  <c r="D74" i="9"/>
  <c r="C74" i="9"/>
  <c r="B74" i="9"/>
  <c r="A74" i="9"/>
  <c r="M73" i="9"/>
  <c r="L73" i="9"/>
  <c r="K73" i="9"/>
  <c r="J73" i="9"/>
  <c r="I73" i="9"/>
  <c r="H73" i="9"/>
  <c r="G73" i="9"/>
  <c r="F73" i="9"/>
  <c r="E73" i="9"/>
  <c r="D73" i="9"/>
  <c r="C73" i="9"/>
  <c r="B73" i="9"/>
  <c r="A73" i="9"/>
  <c r="M72" i="9"/>
  <c r="L72" i="9"/>
  <c r="K72" i="9"/>
  <c r="J72" i="9"/>
  <c r="I72" i="9"/>
  <c r="H72" i="9"/>
  <c r="G72" i="9"/>
  <c r="F72" i="9"/>
  <c r="E72" i="9"/>
  <c r="D72" i="9"/>
  <c r="C72" i="9"/>
  <c r="B72" i="9"/>
  <c r="A72" i="9"/>
  <c r="M71" i="9"/>
  <c r="L71" i="9"/>
  <c r="K71" i="9"/>
  <c r="J71" i="9"/>
  <c r="I71" i="9"/>
  <c r="H71" i="9"/>
  <c r="G71" i="9"/>
  <c r="F71" i="9"/>
  <c r="E71" i="9"/>
  <c r="D71" i="9"/>
  <c r="C71" i="9"/>
  <c r="B71" i="9"/>
  <c r="A71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M67" i="9"/>
  <c r="L67" i="9"/>
  <c r="K67" i="9"/>
  <c r="J67" i="9"/>
  <c r="I67" i="9"/>
  <c r="H67" i="9"/>
  <c r="G67" i="9"/>
  <c r="F67" i="9"/>
  <c r="E67" i="9"/>
  <c r="D67" i="9"/>
  <c r="C67" i="9"/>
  <c r="B67" i="9"/>
  <c r="A67" i="9"/>
  <c r="M66" i="9"/>
  <c r="L66" i="9"/>
  <c r="K66" i="9"/>
  <c r="J66" i="9"/>
  <c r="I66" i="9"/>
  <c r="H66" i="9"/>
  <c r="G66" i="9"/>
  <c r="F66" i="9"/>
  <c r="E66" i="9"/>
  <c r="D66" i="9"/>
  <c r="C66" i="9"/>
  <c r="B66" i="9"/>
  <c r="A66" i="9"/>
  <c r="M65" i="9"/>
  <c r="L65" i="9"/>
  <c r="K65" i="9"/>
  <c r="J65" i="9"/>
  <c r="I65" i="9"/>
  <c r="H65" i="9"/>
  <c r="G65" i="9"/>
  <c r="F65" i="9"/>
  <c r="E65" i="9"/>
  <c r="D65" i="9"/>
  <c r="C65" i="9"/>
  <c r="B65" i="9"/>
  <c r="A65" i="9"/>
  <c r="M64" i="9"/>
  <c r="L64" i="9"/>
  <c r="K64" i="9"/>
  <c r="J64" i="9"/>
  <c r="I64" i="9"/>
  <c r="H64" i="9"/>
  <c r="G64" i="9"/>
  <c r="F64" i="9"/>
  <c r="E64" i="9"/>
  <c r="D64" i="9"/>
  <c r="C64" i="9"/>
  <c r="B64" i="9"/>
  <c r="A64" i="9"/>
  <c r="M63" i="9"/>
  <c r="L63" i="9"/>
  <c r="K63" i="9"/>
  <c r="J63" i="9"/>
  <c r="I63" i="9"/>
  <c r="H63" i="9"/>
  <c r="G63" i="9"/>
  <c r="F63" i="9"/>
  <c r="E63" i="9"/>
  <c r="D63" i="9"/>
  <c r="C63" i="9"/>
  <c r="B63" i="9"/>
  <c r="A63" i="9"/>
  <c r="M62" i="9"/>
  <c r="L62" i="9"/>
  <c r="K62" i="9"/>
  <c r="J62" i="9"/>
  <c r="I62" i="9"/>
  <c r="H62" i="9"/>
  <c r="G62" i="9"/>
  <c r="F62" i="9"/>
  <c r="E62" i="9"/>
  <c r="D62" i="9"/>
  <c r="C62" i="9"/>
  <c r="B62" i="9"/>
  <c r="A62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M59" i="9"/>
  <c r="L59" i="9"/>
  <c r="K59" i="9"/>
  <c r="J59" i="9"/>
  <c r="I59" i="9"/>
  <c r="H59" i="9"/>
  <c r="G59" i="9"/>
  <c r="F59" i="9"/>
  <c r="E59" i="9"/>
  <c r="D59" i="9"/>
  <c r="C59" i="9"/>
  <c r="B59" i="9"/>
  <c r="A59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M53" i="9"/>
  <c r="L53" i="9"/>
  <c r="K53" i="9"/>
  <c r="J53" i="9"/>
  <c r="I53" i="9"/>
  <c r="H53" i="9"/>
  <c r="G53" i="9"/>
  <c r="F53" i="9"/>
  <c r="E53" i="9"/>
  <c r="D53" i="9"/>
  <c r="C53" i="9"/>
  <c r="B53" i="9"/>
  <c r="A53" i="9"/>
  <c r="M52" i="9"/>
  <c r="L52" i="9"/>
  <c r="K52" i="9"/>
  <c r="J52" i="9"/>
  <c r="I52" i="9"/>
  <c r="H52" i="9"/>
  <c r="G52" i="9"/>
  <c r="F52" i="9"/>
  <c r="E52" i="9"/>
  <c r="D52" i="9"/>
  <c r="C52" i="9"/>
  <c r="B52" i="9"/>
  <c r="A52" i="9"/>
  <c r="M51" i="9"/>
  <c r="L51" i="9"/>
  <c r="K51" i="9"/>
  <c r="J51" i="9"/>
  <c r="I51" i="9"/>
  <c r="H51" i="9"/>
  <c r="G51" i="9"/>
  <c r="F51" i="9"/>
  <c r="E51" i="9"/>
  <c r="D51" i="9"/>
  <c r="C51" i="9"/>
  <c r="B51" i="9"/>
  <c r="A51" i="9"/>
  <c r="M50" i="9"/>
  <c r="L50" i="9"/>
  <c r="K50" i="9"/>
  <c r="J50" i="9"/>
  <c r="I50" i="9"/>
  <c r="H50" i="9"/>
  <c r="G50" i="9"/>
  <c r="F50" i="9"/>
  <c r="E50" i="9"/>
  <c r="D50" i="9"/>
  <c r="C50" i="9"/>
  <c r="B50" i="9"/>
  <c r="A50" i="9"/>
  <c r="M49" i="9"/>
  <c r="L49" i="9"/>
  <c r="K49" i="9"/>
  <c r="J49" i="9"/>
  <c r="I49" i="9"/>
  <c r="H49" i="9"/>
  <c r="G49" i="9"/>
  <c r="F49" i="9"/>
  <c r="E49" i="9"/>
  <c r="D49" i="9"/>
  <c r="C49" i="9"/>
  <c r="B49" i="9"/>
  <c r="A49" i="9"/>
  <c r="M48" i="9"/>
  <c r="L48" i="9"/>
  <c r="K48" i="9"/>
  <c r="J48" i="9"/>
  <c r="I48" i="9"/>
  <c r="H48" i="9"/>
  <c r="G48" i="9"/>
  <c r="F48" i="9"/>
  <c r="E48" i="9"/>
  <c r="D48" i="9"/>
  <c r="C48" i="9"/>
  <c r="B48" i="9"/>
  <c r="A48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M38" i="9"/>
  <c r="L38" i="9"/>
  <c r="K38" i="9"/>
  <c r="J38" i="9"/>
  <c r="I38" i="9"/>
  <c r="H38" i="9"/>
  <c r="G38" i="9"/>
  <c r="F38" i="9"/>
  <c r="E38" i="9"/>
  <c r="D38" i="9"/>
  <c r="C38" i="9"/>
  <c r="B38" i="9"/>
  <c r="A38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M31" i="9"/>
  <c r="L31" i="9"/>
  <c r="K31" i="9"/>
  <c r="J31" i="9"/>
  <c r="I31" i="9"/>
  <c r="H31" i="9"/>
  <c r="G31" i="9"/>
  <c r="F31" i="9"/>
  <c r="E31" i="9"/>
  <c r="D31" i="9"/>
  <c r="C31" i="9"/>
  <c r="B31" i="9"/>
  <c r="A31" i="9"/>
  <c r="M30" i="9"/>
  <c r="L30" i="9"/>
  <c r="K30" i="9"/>
  <c r="J30" i="9"/>
  <c r="I30" i="9"/>
  <c r="H30" i="9"/>
  <c r="G30" i="9"/>
  <c r="F30" i="9"/>
  <c r="E30" i="9"/>
  <c r="D30" i="9"/>
  <c r="C30" i="9"/>
  <c r="B30" i="9"/>
  <c r="A30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M25" i="9"/>
  <c r="L25" i="9"/>
  <c r="K25" i="9"/>
  <c r="J25" i="9"/>
  <c r="I25" i="9"/>
  <c r="H25" i="9"/>
  <c r="G25" i="9"/>
  <c r="F25" i="9"/>
  <c r="E25" i="9"/>
  <c r="D25" i="9"/>
  <c r="C25" i="9"/>
  <c r="B25" i="9"/>
  <c r="A25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M9" i="9"/>
  <c r="L9" i="9"/>
  <c r="K9" i="9"/>
  <c r="J9" i="9"/>
  <c r="I9" i="9"/>
  <c r="H9" i="9"/>
  <c r="G9" i="9"/>
  <c r="F9" i="9"/>
  <c r="E9" i="9"/>
  <c r="D9" i="9"/>
  <c r="C9" i="9"/>
  <c r="B9" i="9"/>
  <c r="A9" i="9"/>
  <c r="M8" i="9"/>
  <c r="L8" i="9"/>
  <c r="K8" i="9"/>
  <c r="J8" i="9"/>
  <c r="I8" i="9"/>
  <c r="H8" i="9"/>
  <c r="G8" i="9"/>
  <c r="F8" i="9"/>
  <c r="E8" i="9"/>
  <c r="D8" i="9"/>
  <c r="C8" i="9"/>
  <c r="B8" i="9"/>
  <c r="A8" i="9"/>
  <c r="M7" i="9"/>
  <c r="L7" i="9"/>
  <c r="K7" i="9"/>
  <c r="J7" i="9"/>
  <c r="I7" i="9"/>
  <c r="H7" i="9"/>
  <c r="G7" i="9"/>
  <c r="F7" i="9"/>
  <c r="E7" i="9"/>
  <c r="D7" i="9"/>
  <c r="C7" i="9"/>
  <c r="B7" i="9"/>
  <c r="A7" i="9"/>
  <c r="M6" i="9"/>
  <c r="L6" i="9"/>
  <c r="K6" i="9"/>
  <c r="J6" i="9"/>
  <c r="I6" i="9"/>
  <c r="H6" i="9"/>
  <c r="G6" i="9"/>
  <c r="F6" i="9"/>
  <c r="E6" i="9"/>
  <c r="D6" i="9"/>
  <c r="C6" i="9"/>
  <c r="B6" i="9"/>
  <c r="A6" i="9"/>
  <c r="M5" i="9"/>
  <c r="L5" i="9"/>
  <c r="K5" i="9"/>
  <c r="J5" i="9"/>
  <c r="I5" i="9"/>
  <c r="H5" i="9"/>
  <c r="G5" i="9"/>
  <c r="F5" i="9"/>
  <c r="E5" i="9"/>
  <c r="D5" i="9"/>
  <c r="C5" i="9"/>
  <c r="B5" i="9"/>
  <c r="A5" i="9"/>
  <c r="M4" i="9"/>
  <c r="L4" i="9"/>
  <c r="K4" i="9"/>
  <c r="J4" i="9"/>
  <c r="I4" i="9"/>
  <c r="H4" i="9"/>
  <c r="G4" i="9"/>
  <c r="F4" i="9"/>
  <c r="E4" i="9"/>
  <c r="D4" i="9"/>
  <c r="C4" i="9"/>
  <c r="B4" i="9"/>
  <c r="A4" i="9"/>
  <c r="M2003" i="8"/>
  <c r="L2003" i="8"/>
  <c r="K2003" i="8"/>
  <c r="J2003" i="8"/>
  <c r="I2003" i="8"/>
  <c r="H2003" i="8"/>
  <c r="G2003" i="8"/>
  <c r="F2003" i="8"/>
  <c r="E2003" i="8"/>
  <c r="D2003" i="8"/>
  <c r="C2003" i="8"/>
  <c r="B2003" i="8"/>
  <c r="A2003" i="8"/>
  <c r="M2002" i="8"/>
  <c r="K2002" i="8"/>
  <c r="J2002" i="8"/>
  <c r="I2002" i="8"/>
  <c r="H2002" i="8"/>
  <c r="G2002" i="8"/>
  <c r="L2002" i="8" s="1"/>
  <c r="F2002" i="8"/>
  <c r="E2002" i="8"/>
  <c r="D2002" i="8"/>
  <c r="C2002" i="8"/>
  <c r="B2002" i="8"/>
  <c r="A2002" i="8"/>
  <c r="M2001" i="8"/>
  <c r="L2001" i="8"/>
  <c r="K2001" i="8"/>
  <c r="J2001" i="8"/>
  <c r="I2001" i="8"/>
  <c r="H2001" i="8"/>
  <c r="G2001" i="8"/>
  <c r="F2001" i="8"/>
  <c r="E2001" i="8"/>
  <c r="D2001" i="8"/>
  <c r="C2001" i="8"/>
  <c r="B2001" i="8"/>
  <c r="A2001" i="8"/>
  <c r="M2000" i="8"/>
  <c r="K2000" i="8"/>
  <c r="J2000" i="8"/>
  <c r="I2000" i="8"/>
  <c r="H2000" i="8"/>
  <c r="G2000" i="8"/>
  <c r="L2000" i="8" s="1"/>
  <c r="F2000" i="8"/>
  <c r="E2000" i="8"/>
  <c r="D2000" i="8"/>
  <c r="C2000" i="8"/>
  <c r="B2000" i="8"/>
  <c r="A2000" i="8"/>
  <c r="M1999" i="8"/>
  <c r="K1999" i="8"/>
  <c r="J1999" i="8"/>
  <c r="I1999" i="8"/>
  <c r="H1999" i="8"/>
  <c r="G1999" i="8"/>
  <c r="L1999" i="8" s="1"/>
  <c r="F1999" i="8"/>
  <c r="E1999" i="8"/>
  <c r="D1999" i="8"/>
  <c r="C1999" i="8"/>
  <c r="B1999" i="8"/>
  <c r="A1999" i="8"/>
  <c r="M1998" i="8"/>
  <c r="L1998" i="8"/>
  <c r="K1998" i="8"/>
  <c r="J1998" i="8"/>
  <c r="I1998" i="8"/>
  <c r="H1998" i="8"/>
  <c r="G1998" i="8"/>
  <c r="F1998" i="8"/>
  <c r="E1998" i="8"/>
  <c r="D1998" i="8"/>
  <c r="C1998" i="8"/>
  <c r="B1998" i="8"/>
  <c r="A1998" i="8"/>
  <c r="M1997" i="8"/>
  <c r="L1997" i="8"/>
  <c r="K1997" i="8"/>
  <c r="J1997" i="8"/>
  <c r="I1997" i="8"/>
  <c r="H1997" i="8"/>
  <c r="G1997" i="8"/>
  <c r="F1997" i="8"/>
  <c r="E1997" i="8"/>
  <c r="D1997" i="8"/>
  <c r="C1997" i="8"/>
  <c r="B1997" i="8"/>
  <c r="A1997" i="8"/>
  <c r="M1996" i="8"/>
  <c r="K1996" i="8"/>
  <c r="J1996" i="8"/>
  <c r="I1996" i="8"/>
  <c r="H1996" i="8"/>
  <c r="G1996" i="8"/>
  <c r="L1996" i="8" s="1"/>
  <c r="F1996" i="8"/>
  <c r="E1996" i="8"/>
  <c r="D1996" i="8"/>
  <c r="C1996" i="8"/>
  <c r="B1996" i="8"/>
  <c r="A1996" i="8"/>
  <c r="M1995" i="8"/>
  <c r="L1995" i="8"/>
  <c r="K1995" i="8"/>
  <c r="J1995" i="8"/>
  <c r="I1995" i="8"/>
  <c r="H1995" i="8"/>
  <c r="G1995" i="8"/>
  <c r="F1995" i="8"/>
  <c r="E1995" i="8"/>
  <c r="D1995" i="8"/>
  <c r="C1995" i="8"/>
  <c r="B1995" i="8"/>
  <c r="A1995" i="8"/>
  <c r="M1994" i="8"/>
  <c r="K1994" i="8"/>
  <c r="J1994" i="8"/>
  <c r="I1994" i="8"/>
  <c r="H1994" i="8"/>
  <c r="G1994" i="8"/>
  <c r="L1994" i="8" s="1"/>
  <c r="F1994" i="8"/>
  <c r="E1994" i="8"/>
  <c r="D1994" i="8"/>
  <c r="C1994" i="8"/>
  <c r="B1994" i="8"/>
  <c r="A1994" i="8"/>
  <c r="M1993" i="8"/>
  <c r="L1993" i="8"/>
  <c r="K1993" i="8"/>
  <c r="J1993" i="8"/>
  <c r="I1993" i="8"/>
  <c r="H1993" i="8"/>
  <c r="G1993" i="8"/>
  <c r="F1993" i="8"/>
  <c r="E1993" i="8"/>
  <c r="D1993" i="8"/>
  <c r="C1993" i="8"/>
  <c r="B1993" i="8"/>
  <c r="A1993" i="8"/>
  <c r="M1992" i="8"/>
  <c r="K1992" i="8"/>
  <c r="J1992" i="8"/>
  <c r="I1992" i="8"/>
  <c r="H1992" i="8"/>
  <c r="G1992" i="8"/>
  <c r="L1992" i="8" s="1"/>
  <c r="F1992" i="8"/>
  <c r="E1992" i="8"/>
  <c r="D1992" i="8"/>
  <c r="C1992" i="8"/>
  <c r="B1992" i="8"/>
  <c r="A1992" i="8"/>
  <c r="M1991" i="8"/>
  <c r="K1991" i="8"/>
  <c r="J1991" i="8"/>
  <c r="I1991" i="8"/>
  <c r="H1991" i="8"/>
  <c r="G1991" i="8"/>
  <c r="L1991" i="8" s="1"/>
  <c r="F1991" i="8"/>
  <c r="E1991" i="8"/>
  <c r="D1991" i="8"/>
  <c r="C1991" i="8"/>
  <c r="B1991" i="8"/>
  <c r="A1991" i="8"/>
  <c r="M1990" i="8"/>
  <c r="L1990" i="8"/>
  <c r="K1990" i="8"/>
  <c r="J1990" i="8"/>
  <c r="I1990" i="8"/>
  <c r="H1990" i="8"/>
  <c r="G1990" i="8"/>
  <c r="F1990" i="8"/>
  <c r="E1990" i="8"/>
  <c r="D1990" i="8"/>
  <c r="C1990" i="8"/>
  <c r="B1990" i="8"/>
  <c r="A1990" i="8"/>
  <c r="M1989" i="8"/>
  <c r="L1989" i="8"/>
  <c r="K1989" i="8"/>
  <c r="J1989" i="8"/>
  <c r="I1989" i="8"/>
  <c r="H1989" i="8"/>
  <c r="G1989" i="8"/>
  <c r="F1989" i="8"/>
  <c r="E1989" i="8"/>
  <c r="D1989" i="8"/>
  <c r="C1989" i="8"/>
  <c r="B1989" i="8"/>
  <c r="A1989" i="8"/>
  <c r="M1988" i="8"/>
  <c r="K1988" i="8"/>
  <c r="J1988" i="8"/>
  <c r="I1988" i="8"/>
  <c r="H1988" i="8"/>
  <c r="G1988" i="8"/>
  <c r="L1988" i="8" s="1"/>
  <c r="F1988" i="8"/>
  <c r="E1988" i="8"/>
  <c r="D1988" i="8"/>
  <c r="C1988" i="8"/>
  <c r="B1988" i="8"/>
  <c r="A1988" i="8"/>
  <c r="M1987" i="8"/>
  <c r="L1987" i="8"/>
  <c r="K1987" i="8"/>
  <c r="J1987" i="8"/>
  <c r="I1987" i="8"/>
  <c r="H1987" i="8"/>
  <c r="G1987" i="8"/>
  <c r="F1987" i="8"/>
  <c r="E1987" i="8"/>
  <c r="D1987" i="8"/>
  <c r="C1987" i="8"/>
  <c r="B1987" i="8"/>
  <c r="A1987" i="8"/>
  <c r="M1986" i="8"/>
  <c r="K1986" i="8"/>
  <c r="J1986" i="8"/>
  <c r="I1986" i="8"/>
  <c r="H1986" i="8"/>
  <c r="G1986" i="8"/>
  <c r="L1986" i="8" s="1"/>
  <c r="F1986" i="8"/>
  <c r="E1986" i="8"/>
  <c r="D1986" i="8"/>
  <c r="C1986" i="8"/>
  <c r="B1986" i="8"/>
  <c r="A1986" i="8"/>
  <c r="M1985" i="8"/>
  <c r="L1985" i="8"/>
  <c r="K1985" i="8"/>
  <c r="J1985" i="8"/>
  <c r="I1985" i="8"/>
  <c r="H1985" i="8"/>
  <c r="G1985" i="8"/>
  <c r="F1985" i="8"/>
  <c r="E1985" i="8"/>
  <c r="D1985" i="8"/>
  <c r="C1985" i="8"/>
  <c r="B1985" i="8"/>
  <c r="A1985" i="8"/>
  <c r="M1984" i="8"/>
  <c r="K1984" i="8"/>
  <c r="J1984" i="8"/>
  <c r="I1984" i="8"/>
  <c r="H1984" i="8"/>
  <c r="G1984" i="8"/>
  <c r="L1984" i="8" s="1"/>
  <c r="F1984" i="8"/>
  <c r="E1984" i="8"/>
  <c r="D1984" i="8"/>
  <c r="C1984" i="8"/>
  <c r="B1984" i="8"/>
  <c r="A1984" i="8"/>
  <c r="M1983" i="8"/>
  <c r="K1983" i="8"/>
  <c r="J1983" i="8"/>
  <c r="I1983" i="8"/>
  <c r="H1983" i="8"/>
  <c r="G1983" i="8"/>
  <c r="L1983" i="8" s="1"/>
  <c r="F1983" i="8"/>
  <c r="E1983" i="8"/>
  <c r="D1983" i="8"/>
  <c r="C1983" i="8"/>
  <c r="B1983" i="8"/>
  <c r="A1983" i="8"/>
  <c r="M1982" i="8"/>
  <c r="L1982" i="8"/>
  <c r="K1982" i="8"/>
  <c r="J1982" i="8"/>
  <c r="I1982" i="8"/>
  <c r="H1982" i="8"/>
  <c r="G1982" i="8"/>
  <c r="F1982" i="8"/>
  <c r="E1982" i="8"/>
  <c r="D1982" i="8"/>
  <c r="C1982" i="8"/>
  <c r="B1982" i="8"/>
  <c r="A1982" i="8"/>
  <c r="M1981" i="8"/>
  <c r="L1981" i="8"/>
  <c r="K1981" i="8"/>
  <c r="J1981" i="8"/>
  <c r="I1981" i="8"/>
  <c r="H1981" i="8"/>
  <c r="G1981" i="8"/>
  <c r="F1981" i="8"/>
  <c r="E1981" i="8"/>
  <c r="D1981" i="8"/>
  <c r="C1981" i="8"/>
  <c r="B1981" i="8"/>
  <c r="A1981" i="8"/>
  <c r="M1980" i="8"/>
  <c r="K1980" i="8"/>
  <c r="J1980" i="8"/>
  <c r="I1980" i="8"/>
  <c r="H1980" i="8"/>
  <c r="G1980" i="8"/>
  <c r="L1980" i="8" s="1"/>
  <c r="F1980" i="8"/>
  <c r="E1980" i="8"/>
  <c r="D1980" i="8"/>
  <c r="C1980" i="8"/>
  <c r="B1980" i="8"/>
  <c r="A1980" i="8"/>
  <c r="M1979" i="8"/>
  <c r="L1979" i="8"/>
  <c r="K1979" i="8"/>
  <c r="J1979" i="8"/>
  <c r="I1979" i="8"/>
  <c r="H1979" i="8"/>
  <c r="G1979" i="8"/>
  <c r="F1979" i="8"/>
  <c r="E1979" i="8"/>
  <c r="D1979" i="8"/>
  <c r="C1979" i="8"/>
  <c r="B1979" i="8"/>
  <c r="A1979" i="8"/>
  <c r="M1978" i="8"/>
  <c r="K1978" i="8"/>
  <c r="J1978" i="8"/>
  <c r="I1978" i="8"/>
  <c r="H1978" i="8"/>
  <c r="G1978" i="8"/>
  <c r="L1978" i="8" s="1"/>
  <c r="F1978" i="8"/>
  <c r="E1978" i="8"/>
  <c r="D1978" i="8"/>
  <c r="C1978" i="8"/>
  <c r="B1978" i="8"/>
  <c r="A1978" i="8"/>
  <c r="M1977" i="8"/>
  <c r="L1977" i="8"/>
  <c r="K1977" i="8"/>
  <c r="J1977" i="8"/>
  <c r="I1977" i="8"/>
  <c r="H1977" i="8"/>
  <c r="G1977" i="8"/>
  <c r="F1977" i="8"/>
  <c r="E1977" i="8"/>
  <c r="D1977" i="8"/>
  <c r="C1977" i="8"/>
  <c r="B1977" i="8"/>
  <c r="A1977" i="8"/>
  <c r="M1976" i="8"/>
  <c r="K1976" i="8"/>
  <c r="J1976" i="8"/>
  <c r="I1976" i="8"/>
  <c r="H1976" i="8"/>
  <c r="G1976" i="8"/>
  <c r="L1976" i="8" s="1"/>
  <c r="F1976" i="8"/>
  <c r="E1976" i="8"/>
  <c r="D1976" i="8"/>
  <c r="C1976" i="8"/>
  <c r="B1976" i="8"/>
  <c r="A1976" i="8"/>
  <c r="M1975" i="8"/>
  <c r="K1975" i="8"/>
  <c r="J1975" i="8"/>
  <c r="I1975" i="8"/>
  <c r="H1975" i="8"/>
  <c r="G1975" i="8"/>
  <c r="L1975" i="8" s="1"/>
  <c r="F1975" i="8"/>
  <c r="E1975" i="8"/>
  <c r="D1975" i="8"/>
  <c r="C1975" i="8"/>
  <c r="B1975" i="8"/>
  <c r="A1975" i="8"/>
  <c r="M1974" i="8"/>
  <c r="L1974" i="8"/>
  <c r="K1974" i="8"/>
  <c r="J1974" i="8"/>
  <c r="I1974" i="8"/>
  <c r="H1974" i="8"/>
  <c r="G1974" i="8"/>
  <c r="F1974" i="8"/>
  <c r="E1974" i="8"/>
  <c r="D1974" i="8"/>
  <c r="C1974" i="8"/>
  <c r="B1974" i="8"/>
  <c r="A1974" i="8"/>
  <c r="M1973" i="8"/>
  <c r="L1973" i="8"/>
  <c r="K1973" i="8"/>
  <c r="J1973" i="8"/>
  <c r="I1973" i="8"/>
  <c r="H1973" i="8"/>
  <c r="G1973" i="8"/>
  <c r="F1973" i="8"/>
  <c r="E1973" i="8"/>
  <c r="D1973" i="8"/>
  <c r="C1973" i="8"/>
  <c r="B1973" i="8"/>
  <c r="A1973" i="8"/>
  <c r="M1972" i="8"/>
  <c r="K1972" i="8"/>
  <c r="J1972" i="8"/>
  <c r="I1972" i="8"/>
  <c r="H1972" i="8"/>
  <c r="G1972" i="8"/>
  <c r="L1972" i="8" s="1"/>
  <c r="F1972" i="8"/>
  <c r="E1972" i="8"/>
  <c r="D1972" i="8"/>
  <c r="C1972" i="8"/>
  <c r="B1972" i="8"/>
  <c r="A1972" i="8"/>
  <c r="M1971" i="8"/>
  <c r="L1971" i="8"/>
  <c r="K1971" i="8"/>
  <c r="J1971" i="8"/>
  <c r="I1971" i="8"/>
  <c r="H1971" i="8"/>
  <c r="G1971" i="8"/>
  <c r="F1971" i="8"/>
  <c r="E1971" i="8"/>
  <c r="D1971" i="8"/>
  <c r="C1971" i="8"/>
  <c r="B1971" i="8"/>
  <c r="A1971" i="8"/>
  <c r="M1970" i="8"/>
  <c r="K1970" i="8"/>
  <c r="J1970" i="8"/>
  <c r="I1970" i="8"/>
  <c r="H1970" i="8"/>
  <c r="G1970" i="8"/>
  <c r="L1970" i="8" s="1"/>
  <c r="F1970" i="8"/>
  <c r="E1970" i="8"/>
  <c r="D1970" i="8"/>
  <c r="C1970" i="8"/>
  <c r="B1970" i="8"/>
  <c r="A1970" i="8"/>
  <c r="M1969" i="8"/>
  <c r="L1969" i="8"/>
  <c r="K1969" i="8"/>
  <c r="J1969" i="8"/>
  <c r="I1969" i="8"/>
  <c r="H1969" i="8"/>
  <c r="G1969" i="8"/>
  <c r="F1969" i="8"/>
  <c r="E1969" i="8"/>
  <c r="D1969" i="8"/>
  <c r="C1969" i="8"/>
  <c r="B1969" i="8"/>
  <c r="A1969" i="8"/>
  <c r="M1968" i="8"/>
  <c r="K1968" i="8"/>
  <c r="J1968" i="8"/>
  <c r="I1968" i="8"/>
  <c r="H1968" i="8"/>
  <c r="G1968" i="8"/>
  <c r="L1968" i="8" s="1"/>
  <c r="F1968" i="8"/>
  <c r="E1968" i="8"/>
  <c r="D1968" i="8"/>
  <c r="C1968" i="8"/>
  <c r="B1968" i="8"/>
  <c r="A1968" i="8"/>
  <c r="M1967" i="8"/>
  <c r="K1967" i="8"/>
  <c r="J1967" i="8"/>
  <c r="I1967" i="8"/>
  <c r="H1967" i="8"/>
  <c r="G1967" i="8"/>
  <c r="L1967" i="8" s="1"/>
  <c r="F1967" i="8"/>
  <c r="E1967" i="8"/>
  <c r="D1967" i="8"/>
  <c r="C1967" i="8"/>
  <c r="B1967" i="8"/>
  <c r="A1967" i="8"/>
  <c r="M1966" i="8"/>
  <c r="L1966" i="8"/>
  <c r="K1966" i="8"/>
  <c r="J1966" i="8"/>
  <c r="I1966" i="8"/>
  <c r="H1966" i="8"/>
  <c r="G1966" i="8"/>
  <c r="F1966" i="8"/>
  <c r="E1966" i="8"/>
  <c r="D1966" i="8"/>
  <c r="C1966" i="8"/>
  <c r="B1966" i="8"/>
  <c r="A1966" i="8"/>
  <c r="M1965" i="8"/>
  <c r="L1965" i="8"/>
  <c r="K1965" i="8"/>
  <c r="J1965" i="8"/>
  <c r="I1965" i="8"/>
  <c r="H1965" i="8"/>
  <c r="G1965" i="8"/>
  <c r="F1965" i="8"/>
  <c r="E1965" i="8"/>
  <c r="D1965" i="8"/>
  <c r="C1965" i="8"/>
  <c r="B1965" i="8"/>
  <c r="A1965" i="8"/>
  <c r="M1964" i="8"/>
  <c r="K1964" i="8"/>
  <c r="J1964" i="8"/>
  <c r="I1964" i="8"/>
  <c r="H1964" i="8"/>
  <c r="G1964" i="8"/>
  <c r="L1964" i="8" s="1"/>
  <c r="F1964" i="8"/>
  <c r="E1964" i="8"/>
  <c r="D1964" i="8"/>
  <c r="C1964" i="8"/>
  <c r="B1964" i="8"/>
  <c r="A1964" i="8"/>
  <c r="M1963" i="8"/>
  <c r="L1963" i="8"/>
  <c r="K1963" i="8"/>
  <c r="J1963" i="8"/>
  <c r="I1963" i="8"/>
  <c r="H1963" i="8"/>
  <c r="G1963" i="8"/>
  <c r="F1963" i="8"/>
  <c r="E1963" i="8"/>
  <c r="D1963" i="8"/>
  <c r="C1963" i="8"/>
  <c r="B1963" i="8"/>
  <c r="A1963" i="8"/>
  <c r="M1962" i="8"/>
  <c r="K1962" i="8"/>
  <c r="J1962" i="8"/>
  <c r="I1962" i="8"/>
  <c r="H1962" i="8"/>
  <c r="G1962" i="8"/>
  <c r="L1962" i="8" s="1"/>
  <c r="F1962" i="8"/>
  <c r="E1962" i="8"/>
  <c r="D1962" i="8"/>
  <c r="C1962" i="8"/>
  <c r="B1962" i="8"/>
  <c r="A1962" i="8"/>
  <c r="M1961" i="8"/>
  <c r="L1961" i="8"/>
  <c r="K1961" i="8"/>
  <c r="J1961" i="8"/>
  <c r="I1961" i="8"/>
  <c r="H1961" i="8"/>
  <c r="G1961" i="8"/>
  <c r="F1961" i="8"/>
  <c r="E1961" i="8"/>
  <c r="D1961" i="8"/>
  <c r="C1961" i="8"/>
  <c r="B1961" i="8"/>
  <c r="A1961" i="8"/>
  <c r="M1960" i="8"/>
  <c r="K1960" i="8"/>
  <c r="J1960" i="8"/>
  <c r="I1960" i="8"/>
  <c r="H1960" i="8"/>
  <c r="G1960" i="8"/>
  <c r="L1960" i="8" s="1"/>
  <c r="F1960" i="8"/>
  <c r="E1960" i="8"/>
  <c r="D1960" i="8"/>
  <c r="C1960" i="8"/>
  <c r="B1960" i="8"/>
  <c r="A1960" i="8"/>
  <c r="M1959" i="8"/>
  <c r="K1959" i="8"/>
  <c r="J1959" i="8"/>
  <c r="I1959" i="8"/>
  <c r="H1959" i="8"/>
  <c r="G1959" i="8"/>
  <c r="L1959" i="8" s="1"/>
  <c r="F1959" i="8"/>
  <c r="E1959" i="8"/>
  <c r="D1959" i="8"/>
  <c r="C1959" i="8"/>
  <c r="B1959" i="8"/>
  <c r="A1959" i="8"/>
  <c r="M1958" i="8"/>
  <c r="L1958" i="8"/>
  <c r="K1958" i="8"/>
  <c r="J1958" i="8"/>
  <c r="I1958" i="8"/>
  <c r="H1958" i="8"/>
  <c r="G1958" i="8"/>
  <c r="F1958" i="8"/>
  <c r="E1958" i="8"/>
  <c r="D1958" i="8"/>
  <c r="C1958" i="8"/>
  <c r="B1958" i="8"/>
  <c r="A1958" i="8"/>
  <c r="M1957" i="8"/>
  <c r="L1957" i="8"/>
  <c r="K1957" i="8"/>
  <c r="J1957" i="8"/>
  <c r="I1957" i="8"/>
  <c r="H1957" i="8"/>
  <c r="G1957" i="8"/>
  <c r="F1957" i="8"/>
  <c r="E1957" i="8"/>
  <c r="D1957" i="8"/>
  <c r="C1957" i="8"/>
  <c r="B1957" i="8"/>
  <c r="A1957" i="8"/>
  <c r="M1956" i="8"/>
  <c r="K1956" i="8"/>
  <c r="J1956" i="8"/>
  <c r="I1956" i="8"/>
  <c r="H1956" i="8"/>
  <c r="G1956" i="8"/>
  <c r="L1956" i="8" s="1"/>
  <c r="F1956" i="8"/>
  <c r="E1956" i="8"/>
  <c r="D1956" i="8"/>
  <c r="C1956" i="8"/>
  <c r="B1956" i="8"/>
  <c r="A1956" i="8"/>
  <c r="M1955" i="8"/>
  <c r="L1955" i="8"/>
  <c r="K1955" i="8"/>
  <c r="J1955" i="8"/>
  <c r="I1955" i="8"/>
  <c r="H1955" i="8"/>
  <c r="G1955" i="8"/>
  <c r="F1955" i="8"/>
  <c r="E1955" i="8"/>
  <c r="D1955" i="8"/>
  <c r="C1955" i="8"/>
  <c r="B1955" i="8"/>
  <c r="A1955" i="8"/>
  <c r="M1954" i="8"/>
  <c r="K1954" i="8"/>
  <c r="J1954" i="8"/>
  <c r="I1954" i="8"/>
  <c r="H1954" i="8"/>
  <c r="G1954" i="8"/>
  <c r="L1954" i="8" s="1"/>
  <c r="F1954" i="8"/>
  <c r="E1954" i="8"/>
  <c r="D1954" i="8"/>
  <c r="C1954" i="8"/>
  <c r="B1954" i="8"/>
  <c r="A1954" i="8"/>
  <c r="M1953" i="8"/>
  <c r="L1953" i="8"/>
  <c r="K1953" i="8"/>
  <c r="J1953" i="8"/>
  <c r="I1953" i="8"/>
  <c r="H1953" i="8"/>
  <c r="G1953" i="8"/>
  <c r="F1953" i="8"/>
  <c r="E1953" i="8"/>
  <c r="D1953" i="8"/>
  <c r="C1953" i="8"/>
  <c r="B1953" i="8"/>
  <c r="A1953" i="8"/>
  <c r="M1952" i="8"/>
  <c r="K1952" i="8"/>
  <c r="J1952" i="8"/>
  <c r="I1952" i="8"/>
  <c r="H1952" i="8"/>
  <c r="G1952" i="8"/>
  <c r="L1952" i="8" s="1"/>
  <c r="F1952" i="8"/>
  <c r="E1952" i="8"/>
  <c r="D1952" i="8"/>
  <c r="C1952" i="8"/>
  <c r="B1952" i="8"/>
  <c r="A1952" i="8"/>
  <c r="M1951" i="8"/>
  <c r="K1951" i="8"/>
  <c r="J1951" i="8"/>
  <c r="I1951" i="8"/>
  <c r="H1951" i="8"/>
  <c r="G1951" i="8"/>
  <c r="L1951" i="8" s="1"/>
  <c r="F1951" i="8"/>
  <c r="E1951" i="8"/>
  <c r="D1951" i="8"/>
  <c r="C1951" i="8"/>
  <c r="B1951" i="8"/>
  <c r="A1951" i="8"/>
  <c r="M1950" i="8"/>
  <c r="L1950" i="8"/>
  <c r="K1950" i="8"/>
  <c r="J1950" i="8"/>
  <c r="I1950" i="8"/>
  <c r="H1950" i="8"/>
  <c r="G1950" i="8"/>
  <c r="F1950" i="8"/>
  <c r="E1950" i="8"/>
  <c r="D1950" i="8"/>
  <c r="C1950" i="8"/>
  <c r="B1950" i="8"/>
  <c r="A1950" i="8"/>
  <c r="M1949" i="8"/>
  <c r="L1949" i="8"/>
  <c r="K1949" i="8"/>
  <c r="J1949" i="8"/>
  <c r="I1949" i="8"/>
  <c r="H1949" i="8"/>
  <c r="G1949" i="8"/>
  <c r="F1949" i="8"/>
  <c r="E1949" i="8"/>
  <c r="D1949" i="8"/>
  <c r="C1949" i="8"/>
  <c r="B1949" i="8"/>
  <c r="A1949" i="8"/>
  <c r="M1948" i="8"/>
  <c r="K1948" i="8"/>
  <c r="J1948" i="8"/>
  <c r="I1948" i="8"/>
  <c r="H1948" i="8"/>
  <c r="G1948" i="8"/>
  <c r="L1948" i="8" s="1"/>
  <c r="F1948" i="8"/>
  <c r="E1948" i="8"/>
  <c r="D1948" i="8"/>
  <c r="C1948" i="8"/>
  <c r="B1948" i="8"/>
  <c r="A1948" i="8"/>
  <c r="M1947" i="8"/>
  <c r="L1947" i="8"/>
  <c r="K1947" i="8"/>
  <c r="J1947" i="8"/>
  <c r="I1947" i="8"/>
  <c r="H1947" i="8"/>
  <c r="G1947" i="8"/>
  <c r="F1947" i="8"/>
  <c r="E1947" i="8"/>
  <c r="D1947" i="8"/>
  <c r="C1947" i="8"/>
  <c r="B1947" i="8"/>
  <c r="A1947" i="8"/>
  <c r="M1946" i="8"/>
  <c r="K1946" i="8"/>
  <c r="J1946" i="8"/>
  <c r="I1946" i="8"/>
  <c r="H1946" i="8"/>
  <c r="G1946" i="8"/>
  <c r="L1946" i="8" s="1"/>
  <c r="F1946" i="8"/>
  <c r="E1946" i="8"/>
  <c r="D1946" i="8"/>
  <c r="C1946" i="8"/>
  <c r="B1946" i="8"/>
  <c r="A1946" i="8"/>
  <c r="M1945" i="8"/>
  <c r="L1945" i="8"/>
  <c r="K1945" i="8"/>
  <c r="J1945" i="8"/>
  <c r="I1945" i="8"/>
  <c r="H1945" i="8"/>
  <c r="G1945" i="8"/>
  <c r="F1945" i="8"/>
  <c r="E1945" i="8"/>
  <c r="D1945" i="8"/>
  <c r="C1945" i="8"/>
  <c r="B1945" i="8"/>
  <c r="A1945" i="8"/>
  <c r="M1944" i="8"/>
  <c r="K1944" i="8"/>
  <c r="J1944" i="8"/>
  <c r="I1944" i="8"/>
  <c r="H1944" i="8"/>
  <c r="G1944" i="8"/>
  <c r="L1944" i="8" s="1"/>
  <c r="F1944" i="8"/>
  <c r="E1944" i="8"/>
  <c r="D1944" i="8"/>
  <c r="C1944" i="8"/>
  <c r="B1944" i="8"/>
  <c r="A1944" i="8"/>
  <c r="M1943" i="8"/>
  <c r="K1943" i="8"/>
  <c r="J1943" i="8"/>
  <c r="I1943" i="8"/>
  <c r="H1943" i="8"/>
  <c r="G1943" i="8"/>
  <c r="L1943" i="8" s="1"/>
  <c r="F1943" i="8"/>
  <c r="E1943" i="8"/>
  <c r="D1943" i="8"/>
  <c r="C1943" i="8"/>
  <c r="B1943" i="8"/>
  <c r="A1943" i="8"/>
  <c r="M1942" i="8"/>
  <c r="L1942" i="8"/>
  <c r="K1942" i="8"/>
  <c r="J1942" i="8"/>
  <c r="I1942" i="8"/>
  <c r="H1942" i="8"/>
  <c r="G1942" i="8"/>
  <c r="F1942" i="8"/>
  <c r="E1942" i="8"/>
  <c r="D1942" i="8"/>
  <c r="C1942" i="8"/>
  <c r="B1942" i="8"/>
  <c r="A1942" i="8"/>
  <c r="M1941" i="8"/>
  <c r="L1941" i="8"/>
  <c r="K1941" i="8"/>
  <c r="J1941" i="8"/>
  <c r="I1941" i="8"/>
  <c r="H1941" i="8"/>
  <c r="G1941" i="8"/>
  <c r="F1941" i="8"/>
  <c r="E1941" i="8"/>
  <c r="D1941" i="8"/>
  <c r="C1941" i="8"/>
  <c r="B1941" i="8"/>
  <c r="A1941" i="8"/>
  <c r="M1940" i="8"/>
  <c r="K1940" i="8"/>
  <c r="J1940" i="8"/>
  <c r="I1940" i="8"/>
  <c r="H1940" i="8"/>
  <c r="G1940" i="8"/>
  <c r="L1940" i="8" s="1"/>
  <c r="F1940" i="8"/>
  <c r="E1940" i="8"/>
  <c r="D1940" i="8"/>
  <c r="C1940" i="8"/>
  <c r="B1940" i="8"/>
  <c r="A1940" i="8"/>
  <c r="M1939" i="8"/>
  <c r="L1939" i="8"/>
  <c r="K1939" i="8"/>
  <c r="J1939" i="8"/>
  <c r="I1939" i="8"/>
  <c r="H1939" i="8"/>
  <c r="G1939" i="8"/>
  <c r="F1939" i="8"/>
  <c r="E1939" i="8"/>
  <c r="D1939" i="8"/>
  <c r="C1939" i="8"/>
  <c r="B1939" i="8"/>
  <c r="A1939" i="8"/>
  <c r="M1938" i="8"/>
  <c r="K1938" i="8"/>
  <c r="J1938" i="8"/>
  <c r="I1938" i="8"/>
  <c r="H1938" i="8"/>
  <c r="G1938" i="8"/>
  <c r="L1938" i="8" s="1"/>
  <c r="F1938" i="8"/>
  <c r="E1938" i="8"/>
  <c r="D1938" i="8"/>
  <c r="C1938" i="8"/>
  <c r="B1938" i="8"/>
  <c r="A1938" i="8"/>
  <c r="M1937" i="8"/>
  <c r="L1937" i="8"/>
  <c r="K1937" i="8"/>
  <c r="J1937" i="8"/>
  <c r="I1937" i="8"/>
  <c r="H1937" i="8"/>
  <c r="G1937" i="8"/>
  <c r="F1937" i="8"/>
  <c r="E1937" i="8"/>
  <c r="D1937" i="8"/>
  <c r="C1937" i="8"/>
  <c r="B1937" i="8"/>
  <c r="A1937" i="8"/>
  <c r="M1936" i="8"/>
  <c r="K1936" i="8"/>
  <c r="J1936" i="8"/>
  <c r="I1936" i="8"/>
  <c r="H1936" i="8"/>
  <c r="G1936" i="8"/>
  <c r="L1936" i="8" s="1"/>
  <c r="F1936" i="8"/>
  <c r="E1936" i="8"/>
  <c r="D1936" i="8"/>
  <c r="C1936" i="8"/>
  <c r="B1936" i="8"/>
  <c r="A1936" i="8"/>
  <c r="M1935" i="8"/>
  <c r="K1935" i="8"/>
  <c r="J1935" i="8"/>
  <c r="I1935" i="8"/>
  <c r="H1935" i="8"/>
  <c r="G1935" i="8"/>
  <c r="L1935" i="8" s="1"/>
  <c r="F1935" i="8"/>
  <c r="E1935" i="8"/>
  <c r="D1935" i="8"/>
  <c r="C1935" i="8"/>
  <c r="B1935" i="8"/>
  <c r="A1935" i="8"/>
  <c r="M1934" i="8"/>
  <c r="L1934" i="8"/>
  <c r="K1934" i="8"/>
  <c r="J1934" i="8"/>
  <c r="I1934" i="8"/>
  <c r="H1934" i="8"/>
  <c r="G1934" i="8"/>
  <c r="F1934" i="8"/>
  <c r="E1934" i="8"/>
  <c r="D1934" i="8"/>
  <c r="C1934" i="8"/>
  <c r="B1934" i="8"/>
  <c r="A1934" i="8"/>
  <c r="M1933" i="8"/>
  <c r="L1933" i="8"/>
  <c r="K1933" i="8"/>
  <c r="J1933" i="8"/>
  <c r="I1933" i="8"/>
  <c r="H1933" i="8"/>
  <c r="G1933" i="8"/>
  <c r="F1933" i="8"/>
  <c r="E1933" i="8"/>
  <c r="D1933" i="8"/>
  <c r="C1933" i="8"/>
  <c r="B1933" i="8"/>
  <c r="A1933" i="8"/>
  <c r="M1932" i="8"/>
  <c r="K1932" i="8"/>
  <c r="J1932" i="8"/>
  <c r="I1932" i="8"/>
  <c r="H1932" i="8"/>
  <c r="G1932" i="8"/>
  <c r="L1932" i="8" s="1"/>
  <c r="F1932" i="8"/>
  <c r="E1932" i="8"/>
  <c r="D1932" i="8"/>
  <c r="C1932" i="8"/>
  <c r="B1932" i="8"/>
  <c r="A1932" i="8"/>
  <c r="M1931" i="8"/>
  <c r="L1931" i="8"/>
  <c r="K1931" i="8"/>
  <c r="J1931" i="8"/>
  <c r="I1931" i="8"/>
  <c r="H1931" i="8"/>
  <c r="G1931" i="8"/>
  <c r="F1931" i="8"/>
  <c r="E1931" i="8"/>
  <c r="D1931" i="8"/>
  <c r="C1931" i="8"/>
  <c r="B1931" i="8"/>
  <c r="A1931" i="8"/>
  <c r="M1930" i="8"/>
  <c r="K1930" i="8"/>
  <c r="J1930" i="8"/>
  <c r="I1930" i="8"/>
  <c r="H1930" i="8"/>
  <c r="G1930" i="8"/>
  <c r="L1930" i="8" s="1"/>
  <c r="F1930" i="8"/>
  <c r="E1930" i="8"/>
  <c r="D1930" i="8"/>
  <c r="C1930" i="8"/>
  <c r="B1930" i="8"/>
  <c r="A1930" i="8"/>
  <c r="M1929" i="8"/>
  <c r="L1929" i="8"/>
  <c r="K1929" i="8"/>
  <c r="J1929" i="8"/>
  <c r="I1929" i="8"/>
  <c r="H1929" i="8"/>
  <c r="G1929" i="8"/>
  <c r="F1929" i="8"/>
  <c r="E1929" i="8"/>
  <c r="D1929" i="8"/>
  <c r="C1929" i="8"/>
  <c r="B1929" i="8"/>
  <c r="A1929" i="8"/>
  <c r="M1928" i="8"/>
  <c r="K1928" i="8"/>
  <c r="J1928" i="8"/>
  <c r="I1928" i="8"/>
  <c r="H1928" i="8"/>
  <c r="G1928" i="8"/>
  <c r="L1928" i="8" s="1"/>
  <c r="F1928" i="8"/>
  <c r="E1928" i="8"/>
  <c r="D1928" i="8"/>
  <c r="C1928" i="8"/>
  <c r="B1928" i="8"/>
  <c r="A1928" i="8"/>
  <c r="M1927" i="8"/>
  <c r="K1927" i="8"/>
  <c r="J1927" i="8"/>
  <c r="I1927" i="8"/>
  <c r="H1927" i="8"/>
  <c r="G1927" i="8"/>
  <c r="L1927" i="8" s="1"/>
  <c r="F1927" i="8"/>
  <c r="E1927" i="8"/>
  <c r="D1927" i="8"/>
  <c r="C1927" i="8"/>
  <c r="B1927" i="8"/>
  <c r="A1927" i="8"/>
  <c r="M1926" i="8"/>
  <c r="L1926" i="8"/>
  <c r="K1926" i="8"/>
  <c r="J1926" i="8"/>
  <c r="I1926" i="8"/>
  <c r="H1926" i="8"/>
  <c r="G1926" i="8"/>
  <c r="F1926" i="8"/>
  <c r="E1926" i="8"/>
  <c r="D1926" i="8"/>
  <c r="C1926" i="8"/>
  <c r="B1926" i="8"/>
  <c r="A1926" i="8"/>
  <c r="M1925" i="8"/>
  <c r="L1925" i="8"/>
  <c r="K1925" i="8"/>
  <c r="J1925" i="8"/>
  <c r="I1925" i="8"/>
  <c r="H1925" i="8"/>
  <c r="G1925" i="8"/>
  <c r="F1925" i="8"/>
  <c r="E1925" i="8"/>
  <c r="D1925" i="8"/>
  <c r="C1925" i="8"/>
  <c r="B1925" i="8"/>
  <c r="A1925" i="8"/>
  <c r="M1924" i="8"/>
  <c r="K1924" i="8"/>
  <c r="J1924" i="8"/>
  <c r="I1924" i="8"/>
  <c r="H1924" i="8"/>
  <c r="G1924" i="8"/>
  <c r="L1924" i="8" s="1"/>
  <c r="F1924" i="8"/>
  <c r="E1924" i="8"/>
  <c r="D1924" i="8"/>
  <c r="C1924" i="8"/>
  <c r="B1924" i="8"/>
  <c r="A1924" i="8"/>
  <c r="M1923" i="8"/>
  <c r="L1923" i="8"/>
  <c r="K1923" i="8"/>
  <c r="J1923" i="8"/>
  <c r="I1923" i="8"/>
  <c r="H1923" i="8"/>
  <c r="G1923" i="8"/>
  <c r="F1923" i="8"/>
  <c r="E1923" i="8"/>
  <c r="D1923" i="8"/>
  <c r="C1923" i="8"/>
  <c r="B1923" i="8"/>
  <c r="A1923" i="8"/>
  <c r="M1922" i="8"/>
  <c r="K1922" i="8"/>
  <c r="J1922" i="8"/>
  <c r="I1922" i="8"/>
  <c r="H1922" i="8"/>
  <c r="G1922" i="8"/>
  <c r="L1922" i="8" s="1"/>
  <c r="F1922" i="8"/>
  <c r="E1922" i="8"/>
  <c r="D1922" i="8"/>
  <c r="C1922" i="8"/>
  <c r="B1922" i="8"/>
  <c r="A1922" i="8"/>
  <c r="M1921" i="8"/>
  <c r="L1921" i="8"/>
  <c r="K1921" i="8"/>
  <c r="J1921" i="8"/>
  <c r="I1921" i="8"/>
  <c r="H1921" i="8"/>
  <c r="G1921" i="8"/>
  <c r="F1921" i="8"/>
  <c r="E1921" i="8"/>
  <c r="D1921" i="8"/>
  <c r="C1921" i="8"/>
  <c r="B1921" i="8"/>
  <c r="A1921" i="8"/>
  <c r="M1920" i="8"/>
  <c r="K1920" i="8"/>
  <c r="J1920" i="8"/>
  <c r="I1920" i="8"/>
  <c r="H1920" i="8"/>
  <c r="G1920" i="8"/>
  <c r="L1920" i="8" s="1"/>
  <c r="F1920" i="8"/>
  <c r="E1920" i="8"/>
  <c r="D1920" i="8"/>
  <c r="C1920" i="8"/>
  <c r="B1920" i="8"/>
  <c r="A1920" i="8"/>
  <c r="M1919" i="8"/>
  <c r="K1919" i="8"/>
  <c r="J1919" i="8"/>
  <c r="I1919" i="8"/>
  <c r="H1919" i="8"/>
  <c r="G1919" i="8"/>
  <c r="L1919" i="8" s="1"/>
  <c r="F1919" i="8"/>
  <c r="E1919" i="8"/>
  <c r="D1919" i="8"/>
  <c r="C1919" i="8"/>
  <c r="B1919" i="8"/>
  <c r="A1919" i="8"/>
  <c r="M1918" i="8"/>
  <c r="L1918" i="8"/>
  <c r="K1918" i="8"/>
  <c r="J1918" i="8"/>
  <c r="I1918" i="8"/>
  <c r="H1918" i="8"/>
  <c r="G1918" i="8"/>
  <c r="F1918" i="8"/>
  <c r="E1918" i="8"/>
  <c r="D1918" i="8"/>
  <c r="C1918" i="8"/>
  <c r="B1918" i="8"/>
  <c r="A1918" i="8"/>
  <c r="M1917" i="8"/>
  <c r="L1917" i="8"/>
  <c r="K1917" i="8"/>
  <c r="J1917" i="8"/>
  <c r="I1917" i="8"/>
  <c r="H1917" i="8"/>
  <c r="G1917" i="8"/>
  <c r="F1917" i="8"/>
  <c r="E1917" i="8"/>
  <c r="D1917" i="8"/>
  <c r="C1917" i="8"/>
  <c r="B1917" i="8"/>
  <c r="A1917" i="8"/>
  <c r="M1916" i="8"/>
  <c r="K1916" i="8"/>
  <c r="J1916" i="8"/>
  <c r="I1916" i="8"/>
  <c r="H1916" i="8"/>
  <c r="G1916" i="8"/>
  <c r="L1916" i="8" s="1"/>
  <c r="F1916" i="8"/>
  <c r="E1916" i="8"/>
  <c r="D1916" i="8"/>
  <c r="C1916" i="8"/>
  <c r="B1916" i="8"/>
  <c r="A1916" i="8"/>
  <c r="M1915" i="8"/>
  <c r="L1915" i="8"/>
  <c r="K1915" i="8"/>
  <c r="J1915" i="8"/>
  <c r="I1915" i="8"/>
  <c r="H1915" i="8"/>
  <c r="G1915" i="8"/>
  <c r="F1915" i="8"/>
  <c r="E1915" i="8"/>
  <c r="D1915" i="8"/>
  <c r="C1915" i="8"/>
  <c r="B1915" i="8"/>
  <c r="A1915" i="8"/>
  <c r="M1914" i="8"/>
  <c r="K1914" i="8"/>
  <c r="J1914" i="8"/>
  <c r="I1914" i="8"/>
  <c r="H1914" i="8"/>
  <c r="G1914" i="8"/>
  <c r="L1914" i="8" s="1"/>
  <c r="F1914" i="8"/>
  <c r="E1914" i="8"/>
  <c r="D1914" i="8"/>
  <c r="C1914" i="8"/>
  <c r="B1914" i="8"/>
  <c r="A1914" i="8"/>
  <c r="M1913" i="8"/>
  <c r="L1913" i="8"/>
  <c r="K1913" i="8"/>
  <c r="J1913" i="8"/>
  <c r="I1913" i="8"/>
  <c r="H1913" i="8"/>
  <c r="G1913" i="8"/>
  <c r="F1913" i="8"/>
  <c r="E1913" i="8"/>
  <c r="D1913" i="8"/>
  <c r="C1913" i="8"/>
  <c r="B1913" i="8"/>
  <c r="A1913" i="8"/>
  <c r="M1912" i="8"/>
  <c r="K1912" i="8"/>
  <c r="J1912" i="8"/>
  <c r="I1912" i="8"/>
  <c r="H1912" i="8"/>
  <c r="G1912" i="8"/>
  <c r="L1912" i="8" s="1"/>
  <c r="F1912" i="8"/>
  <c r="E1912" i="8"/>
  <c r="D1912" i="8"/>
  <c r="C1912" i="8"/>
  <c r="B1912" i="8"/>
  <c r="A1912" i="8"/>
  <c r="M1911" i="8"/>
  <c r="K1911" i="8"/>
  <c r="J1911" i="8"/>
  <c r="I1911" i="8"/>
  <c r="H1911" i="8"/>
  <c r="G1911" i="8"/>
  <c r="L1911" i="8" s="1"/>
  <c r="F1911" i="8"/>
  <c r="E1911" i="8"/>
  <c r="D1911" i="8"/>
  <c r="C1911" i="8"/>
  <c r="B1911" i="8"/>
  <c r="A1911" i="8"/>
  <c r="M1910" i="8"/>
  <c r="L1910" i="8"/>
  <c r="K1910" i="8"/>
  <c r="J1910" i="8"/>
  <c r="I1910" i="8"/>
  <c r="H1910" i="8"/>
  <c r="G1910" i="8"/>
  <c r="F1910" i="8"/>
  <c r="E1910" i="8"/>
  <c r="D1910" i="8"/>
  <c r="C1910" i="8"/>
  <c r="B1910" i="8"/>
  <c r="A1910" i="8"/>
  <c r="M1909" i="8"/>
  <c r="L1909" i="8"/>
  <c r="K1909" i="8"/>
  <c r="J1909" i="8"/>
  <c r="I1909" i="8"/>
  <c r="H1909" i="8"/>
  <c r="G1909" i="8"/>
  <c r="F1909" i="8"/>
  <c r="E1909" i="8"/>
  <c r="D1909" i="8"/>
  <c r="C1909" i="8"/>
  <c r="B1909" i="8"/>
  <c r="A1909" i="8"/>
  <c r="M1908" i="8"/>
  <c r="K1908" i="8"/>
  <c r="J1908" i="8"/>
  <c r="I1908" i="8"/>
  <c r="H1908" i="8"/>
  <c r="G1908" i="8"/>
  <c r="L1908" i="8" s="1"/>
  <c r="F1908" i="8"/>
  <c r="E1908" i="8"/>
  <c r="D1908" i="8"/>
  <c r="C1908" i="8"/>
  <c r="B1908" i="8"/>
  <c r="A1908" i="8"/>
  <c r="M1907" i="8"/>
  <c r="L1907" i="8"/>
  <c r="K1907" i="8"/>
  <c r="J1907" i="8"/>
  <c r="I1907" i="8"/>
  <c r="H1907" i="8"/>
  <c r="G1907" i="8"/>
  <c r="F1907" i="8"/>
  <c r="E1907" i="8"/>
  <c r="D1907" i="8"/>
  <c r="C1907" i="8"/>
  <c r="B1907" i="8"/>
  <c r="A1907" i="8"/>
  <c r="M1906" i="8"/>
  <c r="K1906" i="8"/>
  <c r="J1906" i="8"/>
  <c r="I1906" i="8"/>
  <c r="H1906" i="8"/>
  <c r="G1906" i="8"/>
  <c r="L1906" i="8" s="1"/>
  <c r="F1906" i="8"/>
  <c r="E1906" i="8"/>
  <c r="D1906" i="8"/>
  <c r="C1906" i="8"/>
  <c r="B1906" i="8"/>
  <c r="A1906" i="8"/>
  <c r="M1905" i="8"/>
  <c r="L1905" i="8"/>
  <c r="K1905" i="8"/>
  <c r="J1905" i="8"/>
  <c r="I1905" i="8"/>
  <c r="H1905" i="8"/>
  <c r="G1905" i="8"/>
  <c r="F1905" i="8"/>
  <c r="E1905" i="8"/>
  <c r="D1905" i="8"/>
  <c r="C1905" i="8"/>
  <c r="B1905" i="8"/>
  <c r="A1905" i="8"/>
  <c r="M1904" i="8"/>
  <c r="K1904" i="8"/>
  <c r="J1904" i="8"/>
  <c r="I1904" i="8"/>
  <c r="H1904" i="8"/>
  <c r="G1904" i="8"/>
  <c r="L1904" i="8" s="1"/>
  <c r="F1904" i="8"/>
  <c r="E1904" i="8"/>
  <c r="D1904" i="8"/>
  <c r="C1904" i="8"/>
  <c r="B1904" i="8"/>
  <c r="A1904" i="8"/>
  <c r="M1903" i="8"/>
  <c r="K1903" i="8"/>
  <c r="J1903" i="8"/>
  <c r="I1903" i="8"/>
  <c r="H1903" i="8"/>
  <c r="G1903" i="8"/>
  <c r="L1903" i="8" s="1"/>
  <c r="F1903" i="8"/>
  <c r="E1903" i="8"/>
  <c r="D1903" i="8"/>
  <c r="C1903" i="8"/>
  <c r="B1903" i="8"/>
  <c r="A1903" i="8"/>
  <c r="M1902" i="8"/>
  <c r="L1902" i="8"/>
  <c r="K1902" i="8"/>
  <c r="J1902" i="8"/>
  <c r="I1902" i="8"/>
  <c r="H1902" i="8"/>
  <c r="G1902" i="8"/>
  <c r="F1902" i="8"/>
  <c r="E1902" i="8"/>
  <c r="D1902" i="8"/>
  <c r="C1902" i="8"/>
  <c r="B1902" i="8"/>
  <c r="A1902" i="8"/>
  <c r="M1901" i="8"/>
  <c r="L1901" i="8"/>
  <c r="K1901" i="8"/>
  <c r="J1901" i="8"/>
  <c r="I1901" i="8"/>
  <c r="H1901" i="8"/>
  <c r="G1901" i="8"/>
  <c r="F1901" i="8"/>
  <c r="E1901" i="8"/>
  <c r="D1901" i="8"/>
  <c r="C1901" i="8"/>
  <c r="B1901" i="8"/>
  <c r="A1901" i="8"/>
  <c r="M1900" i="8"/>
  <c r="K1900" i="8"/>
  <c r="J1900" i="8"/>
  <c r="I1900" i="8"/>
  <c r="H1900" i="8"/>
  <c r="G1900" i="8"/>
  <c r="L1900" i="8" s="1"/>
  <c r="F1900" i="8"/>
  <c r="E1900" i="8"/>
  <c r="D1900" i="8"/>
  <c r="C1900" i="8"/>
  <c r="B1900" i="8"/>
  <c r="A1900" i="8"/>
  <c r="M1899" i="8"/>
  <c r="L1899" i="8"/>
  <c r="K1899" i="8"/>
  <c r="J1899" i="8"/>
  <c r="I1899" i="8"/>
  <c r="H1899" i="8"/>
  <c r="G1899" i="8"/>
  <c r="F1899" i="8"/>
  <c r="E1899" i="8"/>
  <c r="D1899" i="8"/>
  <c r="C1899" i="8"/>
  <c r="B1899" i="8"/>
  <c r="A1899" i="8"/>
  <c r="M1898" i="8"/>
  <c r="K1898" i="8"/>
  <c r="J1898" i="8"/>
  <c r="I1898" i="8"/>
  <c r="H1898" i="8"/>
  <c r="G1898" i="8"/>
  <c r="L1898" i="8" s="1"/>
  <c r="F1898" i="8"/>
  <c r="E1898" i="8"/>
  <c r="D1898" i="8"/>
  <c r="C1898" i="8"/>
  <c r="B1898" i="8"/>
  <c r="A1898" i="8"/>
  <c r="M1897" i="8"/>
  <c r="L1897" i="8"/>
  <c r="K1897" i="8"/>
  <c r="J1897" i="8"/>
  <c r="I1897" i="8"/>
  <c r="H1897" i="8"/>
  <c r="G1897" i="8"/>
  <c r="F1897" i="8"/>
  <c r="E1897" i="8"/>
  <c r="D1897" i="8"/>
  <c r="C1897" i="8"/>
  <c r="B1897" i="8"/>
  <c r="A1897" i="8"/>
  <c r="M1896" i="8"/>
  <c r="K1896" i="8"/>
  <c r="J1896" i="8"/>
  <c r="I1896" i="8"/>
  <c r="H1896" i="8"/>
  <c r="G1896" i="8"/>
  <c r="L1896" i="8" s="1"/>
  <c r="F1896" i="8"/>
  <c r="E1896" i="8"/>
  <c r="D1896" i="8"/>
  <c r="C1896" i="8"/>
  <c r="B1896" i="8"/>
  <c r="A1896" i="8"/>
  <c r="M1895" i="8"/>
  <c r="K1895" i="8"/>
  <c r="J1895" i="8"/>
  <c r="I1895" i="8"/>
  <c r="H1895" i="8"/>
  <c r="G1895" i="8"/>
  <c r="L1895" i="8" s="1"/>
  <c r="F1895" i="8"/>
  <c r="E1895" i="8"/>
  <c r="D1895" i="8"/>
  <c r="C1895" i="8"/>
  <c r="B1895" i="8"/>
  <c r="A1895" i="8"/>
  <c r="M1894" i="8"/>
  <c r="L1894" i="8"/>
  <c r="K1894" i="8"/>
  <c r="J1894" i="8"/>
  <c r="I1894" i="8"/>
  <c r="H1894" i="8"/>
  <c r="G1894" i="8"/>
  <c r="F1894" i="8"/>
  <c r="E1894" i="8"/>
  <c r="D1894" i="8"/>
  <c r="C1894" i="8"/>
  <c r="B1894" i="8"/>
  <c r="A1894" i="8"/>
  <c r="M1893" i="8"/>
  <c r="L1893" i="8"/>
  <c r="K1893" i="8"/>
  <c r="J1893" i="8"/>
  <c r="I1893" i="8"/>
  <c r="H1893" i="8"/>
  <c r="G1893" i="8"/>
  <c r="F1893" i="8"/>
  <c r="E1893" i="8"/>
  <c r="D1893" i="8"/>
  <c r="C1893" i="8"/>
  <c r="B1893" i="8"/>
  <c r="A1893" i="8"/>
  <c r="M1892" i="8"/>
  <c r="K1892" i="8"/>
  <c r="J1892" i="8"/>
  <c r="I1892" i="8"/>
  <c r="H1892" i="8"/>
  <c r="G1892" i="8"/>
  <c r="L1892" i="8" s="1"/>
  <c r="F1892" i="8"/>
  <c r="E1892" i="8"/>
  <c r="D1892" i="8"/>
  <c r="C1892" i="8"/>
  <c r="B1892" i="8"/>
  <c r="A1892" i="8"/>
  <c r="M1891" i="8"/>
  <c r="L1891" i="8"/>
  <c r="K1891" i="8"/>
  <c r="J1891" i="8"/>
  <c r="I1891" i="8"/>
  <c r="H1891" i="8"/>
  <c r="G1891" i="8"/>
  <c r="F1891" i="8"/>
  <c r="E1891" i="8"/>
  <c r="D1891" i="8"/>
  <c r="C1891" i="8"/>
  <c r="B1891" i="8"/>
  <c r="A1891" i="8"/>
  <c r="M1890" i="8"/>
  <c r="K1890" i="8"/>
  <c r="J1890" i="8"/>
  <c r="I1890" i="8"/>
  <c r="H1890" i="8"/>
  <c r="G1890" i="8"/>
  <c r="L1890" i="8" s="1"/>
  <c r="F1890" i="8"/>
  <c r="E1890" i="8"/>
  <c r="D1890" i="8"/>
  <c r="C1890" i="8"/>
  <c r="B1890" i="8"/>
  <c r="A1890" i="8"/>
  <c r="M1889" i="8"/>
  <c r="L1889" i="8"/>
  <c r="K1889" i="8"/>
  <c r="J1889" i="8"/>
  <c r="I1889" i="8"/>
  <c r="H1889" i="8"/>
  <c r="G1889" i="8"/>
  <c r="F1889" i="8"/>
  <c r="E1889" i="8"/>
  <c r="D1889" i="8"/>
  <c r="C1889" i="8"/>
  <c r="B1889" i="8"/>
  <c r="A1889" i="8"/>
  <c r="M1888" i="8"/>
  <c r="K1888" i="8"/>
  <c r="J1888" i="8"/>
  <c r="I1888" i="8"/>
  <c r="H1888" i="8"/>
  <c r="G1888" i="8"/>
  <c r="L1888" i="8" s="1"/>
  <c r="F1888" i="8"/>
  <c r="E1888" i="8"/>
  <c r="D1888" i="8"/>
  <c r="C1888" i="8"/>
  <c r="B1888" i="8"/>
  <c r="A1888" i="8"/>
  <c r="M1887" i="8"/>
  <c r="K1887" i="8"/>
  <c r="J1887" i="8"/>
  <c r="I1887" i="8"/>
  <c r="H1887" i="8"/>
  <c r="G1887" i="8"/>
  <c r="L1887" i="8" s="1"/>
  <c r="F1887" i="8"/>
  <c r="E1887" i="8"/>
  <c r="D1887" i="8"/>
  <c r="C1887" i="8"/>
  <c r="B1887" i="8"/>
  <c r="A1887" i="8"/>
  <c r="M1886" i="8"/>
  <c r="L1886" i="8"/>
  <c r="K1886" i="8"/>
  <c r="J1886" i="8"/>
  <c r="I1886" i="8"/>
  <c r="H1886" i="8"/>
  <c r="G1886" i="8"/>
  <c r="F1886" i="8"/>
  <c r="E1886" i="8"/>
  <c r="D1886" i="8"/>
  <c r="C1886" i="8"/>
  <c r="B1886" i="8"/>
  <c r="A1886" i="8"/>
  <c r="M1885" i="8"/>
  <c r="L1885" i="8"/>
  <c r="K1885" i="8"/>
  <c r="J1885" i="8"/>
  <c r="I1885" i="8"/>
  <c r="H1885" i="8"/>
  <c r="G1885" i="8"/>
  <c r="F1885" i="8"/>
  <c r="E1885" i="8"/>
  <c r="D1885" i="8"/>
  <c r="C1885" i="8"/>
  <c r="B1885" i="8"/>
  <c r="A1885" i="8"/>
  <c r="M1884" i="8"/>
  <c r="K1884" i="8"/>
  <c r="J1884" i="8"/>
  <c r="I1884" i="8"/>
  <c r="H1884" i="8"/>
  <c r="G1884" i="8"/>
  <c r="L1884" i="8" s="1"/>
  <c r="F1884" i="8"/>
  <c r="E1884" i="8"/>
  <c r="D1884" i="8"/>
  <c r="C1884" i="8"/>
  <c r="B1884" i="8"/>
  <c r="A1884" i="8"/>
  <c r="M1883" i="8"/>
  <c r="L1883" i="8"/>
  <c r="K1883" i="8"/>
  <c r="J1883" i="8"/>
  <c r="I1883" i="8"/>
  <c r="H1883" i="8"/>
  <c r="G1883" i="8"/>
  <c r="F1883" i="8"/>
  <c r="E1883" i="8"/>
  <c r="D1883" i="8"/>
  <c r="C1883" i="8"/>
  <c r="B1883" i="8"/>
  <c r="A1883" i="8"/>
  <c r="M1882" i="8"/>
  <c r="K1882" i="8"/>
  <c r="J1882" i="8"/>
  <c r="I1882" i="8"/>
  <c r="H1882" i="8"/>
  <c r="G1882" i="8"/>
  <c r="L1882" i="8" s="1"/>
  <c r="F1882" i="8"/>
  <c r="E1882" i="8"/>
  <c r="D1882" i="8"/>
  <c r="C1882" i="8"/>
  <c r="B1882" i="8"/>
  <c r="A1882" i="8"/>
  <c r="M1881" i="8"/>
  <c r="L1881" i="8"/>
  <c r="K1881" i="8"/>
  <c r="J1881" i="8"/>
  <c r="I1881" i="8"/>
  <c r="H1881" i="8"/>
  <c r="G1881" i="8"/>
  <c r="F1881" i="8"/>
  <c r="E1881" i="8"/>
  <c r="D1881" i="8"/>
  <c r="C1881" i="8"/>
  <c r="B1881" i="8"/>
  <c r="A1881" i="8"/>
  <c r="M1880" i="8"/>
  <c r="K1880" i="8"/>
  <c r="J1880" i="8"/>
  <c r="I1880" i="8"/>
  <c r="H1880" i="8"/>
  <c r="G1880" i="8"/>
  <c r="L1880" i="8" s="1"/>
  <c r="F1880" i="8"/>
  <c r="E1880" i="8"/>
  <c r="D1880" i="8"/>
  <c r="C1880" i="8"/>
  <c r="B1880" i="8"/>
  <c r="A1880" i="8"/>
  <c r="M1879" i="8"/>
  <c r="K1879" i="8"/>
  <c r="J1879" i="8"/>
  <c r="I1879" i="8"/>
  <c r="H1879" i="8"/>
  <c r="G1879" i="8"/>
  <c r="L1879" i="8" s="1"/>
  <c r="F1879" i="8"/>
  <c r="E1879" i="8"/>
  <c r="D1879" i="8"/>
  <c r="C1879" i="8"/>
  <c r="B1879" i="8"/>
  <c r="A1879" i="8"/>
  <c r="M1878" i="8"/>
  <c r="L1878" i="8"/>
  <c r="K1878" i="8"/>
  <c r="J1878" i="8"/>
  <c r="I1878" i="8"/>
  <c r="H1878" i="8"/>
  <c r="G1878" i="8"/>
  <c r="F1878" i="8"/>
  <c r="E1878" i="8"/>
  <c r="D1878" i="8"/>
  <c r="C1878" i="8"/>
  <c r="B1878" i="8"/>
  <c r="A1878" i="8"/>
  <c r="M1877" i="8"/>
  <c r="L1877" i="8"/>
  <c r="K1877" i="8"/>
  <c r="J1877" i="8"/>
  <c r="I1877" i="8"/>
  <c r="H1877" i="8"/>
  <c r="G1877" i="8"/>
  <c r="F1877" i="8"/>
  <c r="E1877" i="8"/>
  <c r="D1877" i="8"/>
  <c r="C1877" i="8"/>
  <c r="B1877" i="8"/>
  <c r="A1877" i="8"/>
  <c r="M1876" i="8"/>
  <c r="K1876" i="8"/>
  <c r="J1876" i="8"/>
  <c r="I1876" i="8"/>
  <c r="H1876" i="8"/>
  <c r="G1876" i="8"/>
  <c r="L1876" i="8" s="1"/>
  <c r="F1876" i="8"/>
  <c r="E1876" i="8"/>
  <c r="D1876" i="8"/>
  <c r="C1876" i="8"/>
  <c r="B1876" i="8"/>
  <c r="A1876" i="8"/>
  <c r="M1875" i="8"/>
  <c r="L1875" i="8"/>
  <c r="K1875" i="8"/>
  <c r="J1875" i="8"/>
  <c r="I1875" i="8"/>
  <c r="H1875" i="8"/>
  <c r="G1875" i="8"/>
  <c r="F1875" i="8"/>
  <c r="E1875" i="8"/>
  <c r="D1875" i="8"/>
  <c r="C1875" i="8"/>
  <c r="B1875" i="8"/>
  <c r="A1875" i="8"/>
  <c r="M1874" i="8"/>
  <c r="K1874" i="8"/>
  <c r="J1874" i="8"/>
  <c r="I1874" i="8"/>
  <c r="H1874" i="8"/>
  <c r="G1874" i="8"/>
  <c r="L1874" i="8" s="1"/>
  <c r="F1874" i="8"/>
  <c r="E1874" i="8"/>
  <c r="D1874" i="8"/>
  <c r="C1874" i="8"/>
  <c r="B1874" i="8"/>
  <c r="A1874" i="8"/>
  <c r="M1873" i="8"/>
  <c r="L1873" i="8"/>
  <c r="K1873" i="8"/>
  <c r="J1873" i="8"/>
  <c r="I1873" i="8"/>
  <c r="H1873" i="8"/>
  <c r="G1873" i="8"/>
  <c r="F1873" i="8"/>
  <c r="E1873" i="8"/>
  <c r="D1873" i="8"/>
  <c r="C1873" i="8"/>
  <c r="B1873" i="8"/>
  <c r="A1873" i="8"/>
  <c r="M1872" i="8"/>
  <c r="K1872" i="8"/>
  <c r="J1872" i="8"/>
  <c r="I1872" i="8"/>
  <c r="H1872" i="8"/>
  <c r="G1872" i="8"/>
  <c r="L1872" i="8" s="1"/>
  <c r="F1872" i="8"/>
  <c r="E1872" i="8"/>
  <c r="D1872" i="8"/>
  <c r="C1872" i="8"/>
  <c r="B1872" i="8"/>
  <c r="A1872" i="8"/>
  <c r="M1871" i="8"/>
  <c r="K1871" i="8"/>
  <c r="J1871" i="8"/>
  <c r="I1871" i="8"/>
  <c r="H1871" i="8"/>
  <c r="G1871" i="8"/>
  <c r="L1871" i="8" s="1"/>
  <c r="F1871" i="8"/>
  <c r="E1871" i="8"/>
  <c r="D1871" i="8"/>
  <c r="C1871" i="8"/>
  <c r="B1871" i="8"/>
  <c r="A1871" i="8"/>
  <c r="M1870" i="8"/>
  <c r="L1870" i="8"/>
  <c r="K1870" i="8"/>
  <c r="J1870" i="8"/>
  <c r="I1870" i="8"/>
  <c r="H1870" i="8"/>
  <c r="G1870" i="8"/>
  <c r="F1870" i="8"/>
  <c r="E1870" i="8"/>
  <c r="D1870" i="8"/>
  <c r="C1870" i="8"/>
  <c r="B1870" i="8"/>
  <c r="A1870" i="8"/>
  <c r="M1869" i="8"/>
  <c r="L1869" i="8"/>
  <c r="K1869" i="8"/>
  <c r="J1869" i="8"/>
  <c r="I1869" i="8"/>
  <c r="H1869" i="8"/>
  <c r="G1869" i="8"/>
  <c r="F1869" i="8"/>
  <c r="E1869" i="8"/>
  <c r="D1869" i="8"/>
  <c r="C1869" i="8"/>
  <c r="B1869" i="8"/>
  <c r="A1869" i="8"/>
  <c r="M1868" i="8"/>
  <c r="K1868" i="8"/>
  <c r="J1868" i="8"/>
  <c r="I1868" i="8"/>
  <c r="H1868" i="8"/>
  <c r="G1868" i="8"/>
  <c r="L1868" i="8" s="1"/>
  <c r="F1868" i="8"/>
  <c r="E1868" i="8"/>
  <c r="D1868" i="8"/>
  <c r="C1868" i="8"/>
  <c r="B1868" i="8"/>
  <c r="A1868" i="8"/>
  <c r="M1867" i="8"/>
  <c r="L1867" i="8"/>
  <c r="K1867" i="8"/>
  <c r="J1867" i="8"/>
  <c r="I1867" i="8"/>
  <c r="H1867" i="8"/>
  <c r="G1867" i="8"/>
  <c r="F1867" i="8"/>
  <c r="E1867" i="8"/>
  <c r="D1867" i="8"/>
  <c r="C1867" i="8"/>
  <c r="B1867" i="8"/>
  <c r="A1867" i="8"/>
  <c r="M1866" i="8"/>
  <c r="K1866" i="8"/>
  <c r="J1866" i="8"/>
  <c r="I1866" i="8"/>
  <c r="H1866" i="8"/>
  <c r="G1866" i="8"/>
  <c r="L1866" i="8" s="1"/>
  <c r="F1866" i="8"/>
  <c r="E1866" i="8"/>
  <c r="D1866" i="8"/>
  <c r="C1866" i="8"/>
  <c r="B1866" i="8"/>
  <c r="A1866" i="8"/>
  <c r="M1865" i="8"/>
  <c r="L1865" i="8"/>
  <c r="K1865" i="8"/>
  <c r="J1865" i="8"/>
  <c r="I1865" i="8"/>
  <c r="H1865" i="8"/>
  <c r="G1865" i="8"/>
  <c r="F1865" i="8"/>
  <c r="E1865" i="8"/>
  <c r="D1865" i="8"/>
  <c r="C1865" i="8"/>
  <c r="B1865" i="8"/>
  <c r="A1865" i="8"/>
  <c r="M1864" i="8"/>
  <c r="K1864" i="8"/>
  <c r="J1864" i="8"/>
  <c r="I1864" i="8"/>
  <c r="H1864" i="8"/>
  <c r="G1864" i="8"/>
  <c r="L1864" i="8" s="1"/>
  <c r="F1864" i="8"/>
  <c r="E1864" i="8"/>
  <c r="D1864" i="8"/>
  <c r="C1864" i="8"/>
  <c r="B1864" i="8"/>
  <c r="A1864" i="8"/>
  <c r="M1863" i="8"/>
  <c r="K1863" i="8"/>
  <c r="J1863" i="8"/>
  <c r="I1863" i="8"/>
  <c r="H1863" i="8"/>
  <c r="G1863" i="8"/>
  <c r="L1863" i="8" s="1"/>
  <c r="F1863" i="8"/>
  <c r="E1863" i="8"/>
  <c r="D1863" i="8"/>
  <c r="C1863" i="8"/>
  <c r="B1863" i="8"/>
  <c r="A1863" i="8"/>
  <c r="M1862" i="8"/>
  <c r="L1862" i="8"/>
  <c r="K1862" i="8"/>
  <c r="J1862" i="8"/>
  <c r="I1862" i="8"/>
  <c r="H1862" i="8"/>
  <c r="G1862" i="8"/>
  <c r="F1862" i="8"/>
  <c r="E1862" i="8"/>
  <c r="D1862" i="8"/>
  <c r="C1862" i="8"/>
  <c r="B1862" i="8"/>
  <c r="A1862" i="8"/>
  <c r="M1861" i="8"/>
  <c r="L1861" i="8"/>
  <c r="K1861" i="8"/>
  <c r="J1861" i="8"/>
  <c r="I1861" i="8"/>
  <c r="H1861" i="8"/>
  <c r="G1861" i="8"/>
  <c r="F1861" i="8"/>
  <c r="E1861" i="8"/>
  <c r="D1861" i="8"/>
  <c r="C1861" i="8"/>
  <c r="B1861" i="8"/>
  <c r="A1861" i="8"/>
  <c r="M1860" i="8"/>
  <c r="K1860" i="8"/>
  <c r="J1860" i="8"/>
  <c r="I1860" i="8"/>
  <c r="H1860" i="8"/>
  <c r="G1860" i="8"/>
  <c r="L1860" i="8" s="1"/>
  <c r="F1860" i="8"/>
  <c r="E1860" i="8"/>
  <c r="D1860" i="8"/>
  <c r="C1860" i="8"/>
  <c r="B1860" i="8"/>
  <c r="A1860" i="8"/>
  <c r="M1859" i="8"/>
  <c r="L1859" i="8"/>
  <c r="K1859" i="8"/>
  <c r="J1859" i="8"/>
  <c r="I1859" i="8"/>
  <c r="H1859" i="8"/>
  <c r="G1859" i="8"/>
  <c r="F1859" i="8"/>
  <c r="E1859" i="8"/>
  <c r="D1859" i="8"/>
  <c r="C1859" i="8"/>
  <c r="B1859" i="8"/>
  <c r="A1859" i="8"/>
  <c r="M1858" i="8"/>
  <c r="K1858" i="8"/>
  <c r="J1858" i="8"/>
  <c r="I1858" i="8"/>
  <c r="H1858" i="8"/>
  <c r="G1858" i="8"/>
  <c r="L1858" i="8" s="1"/>
  <c r="F1858" i="8"/>
  <c r="E1858" i="8"/>
  <c r="D1858" i="8"/>
  <c r="C1858" i="8"/>
  <c r="B1858" i="8"/>
  <c r="A1858" i="8"/>
  <c r="M1857" i="8"/>
  <c r="L1857" i="8"/>
  <c r="K1857" i="8"/>
  <c r="J1857" i="8"/>
  <c r="I1857" i="8"/>
  <c r="H1857" i="8"/>
  <c r="G1857" i="8"/>
  <c r="F1857" i="8"/>
  <c r="E1857" i="8"/>
  <c r="D1857" i="8"/>
  <c r="C1857" i="8"/>
  <c r="B1857" i="8"/>
  <c r="A1857" i="8"/>
  <c r="M1856" i="8"/>
  <c r="K1856" i="8"/>
  <c r="J1856" i="8"/>
  <c r="I1856" i="8"/>
  <c r="H1856" i="8"/>
  <c r="G1856" i="8"/>
  <c r="L1856" i="8" s="1"/>
  <c r="F1856" i="8"/>
  <c r="E1856" i="8"/>
  <c r="D1856" i="8"/>
  <c r="C1856" i="8"/>
  <c r="B1856" i="8"/>
  <c r="A1856" i="8"/>
  <c r="M1855" i="8"/>
  <c r="K1855" i="8"/>
  <c r="J1855" i="8"/>
  <c r="I1855" i="8"/>
  <c r="H1855" i="8"/>
  <c r="G1855" i="8"/>
  <c r="L1855" i="8" s="1"/>
  <c r="F1855" i="8"/>
  <c r="E1855" i="8"/>
  <c r="D1855" i="8"/>
  <c r="C1855" i="8"/>
  <c r="B1855" i="8"/>
  <c r="A1855" i="8"/>
  <c r="M1854" i="8"/>
  <c r="L1854" i="8"/>
  <c r="K1854" i="8"/>
  <c r="J1854" i="8"/>
  <c r="I1854" i="8"/>
  <c r="H1854" i="8"/>
  <c r="G1854" i="8"/>
  <c r="F1854" i="8"/>
  <c r="E1854" i="8"/>
  <c r="D1854" i="8"/>
  <c r="C1854" i="8"/>
  <c r="B1854" i="8"/>
  <c r="A1854" i="8"/>
  <c r="M1853" i="8"/>
  <c r="L1853" i="8"/>
  <c r="K1853" i="8"/>
  <c r="J1853" i="8"/>
  <c r="I1853" i="8"/>
  <c r="H1853" i="8"/>
  <c r="G1853" i="8"/>
  <c r="F1853" i="8"/>
  <c r="E1853" i="8"/>
  <c r="D1853" i="8"/>
  <c r="C1853" i="8"/>
  <c r="B1853" i="8"/>
  <c r="A1853" i="8"/>
  <c r="M1852" i="8"/>
  <c r="K1852" i="8"/>
  <c r="J1852" i="8"/>
  <c r="I1852" i="8"/>
  <c r="H1852" i="8"/>
  <c r="G1852" i="8"/>
  <c r="L1852" i="8" s="1"/>
  <c r="F1852" i="8"/>
  <c r="E1852" i="8"/>
  <c r="D1852" i="8"/>
  <c r="C1852" i="8"/>
  <c r="B1852" i="8"/>
  <c r="A1852" i="8"/>
  <c r="M1851" i="8"/>
  <c r="L1851" i="8"/>
  <c r="K1851" i="8"/>
  <c r="J1851" i="8"/>
  <c r="I1851" i="8"/>
  <c r="H1851" i="8"/>
  <c r="G1851" i="8"/>
  <c r="F1851" i="8"/>
  <c r="E1851" i="8"/>
  <c r="D1851" i="8"/>
  <c r="C1851" i="8"/>
  <c r="B1851" i="8"/>
  <c r="A1851" i="8"/>
  <c r="M1850" i="8"/>
  <c r="K1850" i="8"/>
  <c r="J1850" i="8"/>
  <c r="I1850" i="8"/>
  <c r="H1850" i="8"/>
  <c r="G1850" i="8"/>
  <c r="L1850" i="8" s="1"/>
  <c r="F1850" i="8"/>
  <c r="E1850" i="8"/>
  <c r="D1850" i="8"/>
  <c r="C1850" i="8"/>
  <c r="B1850" i="8"/>
  <c r="A1850" i="8"/>
  <c r="M1849" i="8"/>
  <c r="L1849" i="8"/>
  <c r="K1849" i="8"/>
  <c r="J1849" i="8"/>
  <c r="I1849" i="8"/>
  <c r="H1849" i="8"/>
  <c r="G1849" i="8"/>
  <c r="F1849" i="8"/>
  <c r="E1849" i="8"/>
  <c r="D1849" i="8"/>
  <c r="C1849" i="8"/>
  <c r="B1849" i="8"/>
  <c r="A1849" i="8"/>
  <c r="M1848" i="8"/>
  <c r="K1848" i="8"/>
  <c r="J1848" i="8"/>
  <c r="I1848" i="8"/>
  <c r="H1848" i="8"/>
  <c r="G1848" i="8"/>
  <c r="L1848" i="8" s="1"/>
  <c r="F1848" i="8"/>
  <c r="E1848" i="8"/>
  <c r="D1848" i="8"/>
  <c r="C1848" i="8"/>
  <c r="B1848" i="8"/>
  <c r="A1848" i="8"/>
  <c r="M1847" i="8"/>
  <c r="K1847" i="8"/>
  <c r="J1847" i="8"/>
  <c r="I1847" i="8"/>
  <c r="H1847" i="8"/>
  <c r="G1847" i="8"/>
  <c r="L1847" i="8" s="1"/>
  <c r="F1847" i="8"/>
  <c r="E1847" i="8"/>
  <c r="D1847" i="8"/>
  <c r="C1847" i="8"/>
  <c r="B1847" i="8"/>
  <c r="A1847" i="8"/>
  <c r="M1846" i="8"/>
  <c r="L1846" i="8"/>
  <c r="K1846" i="8"/>
  <c r="J1846" i="8"/>
  <c r="I1846" i="8"/>
  <c r="H1846" i="8"/>
  <c r="G1846" i="8"/>
  <c r="F1846" i="8"/>
  <c r="E1846" i="8"/>
  <c r="D1846" i="8"/>
  <c r="C1846" i="8"/>
  <c r="B1846" i="8"/>
  <c r="A1846" i="8"/>
  <c r="M1845" i="8"/>
  <c r="L1845" i="8"/>
  <c r="K1845" i="8"/>
  <c r="J1845" i="8"/>
  <c r="I1845" i="8"/>
  <c r="H1845" i="8"/>
  <c r="G1845" i="8"/>
  <c r="F1845" i="8"/>
  <c r="E1845" i="8"/>
  <c r="D1845" i="8"/>
  <c r="C1845" i="8"/>
  <c r="B1845" i="8"/>
  <c r="A1845" i="8"/>
  <c r="M1844" i="8"/>
  <c r="K1844" i="8"/>
  <c r="J1844" i="8"/>
  <c r="I1844" i="8"/>
  <c r="H1844" i="8"/>
  <c r="G1844" i="8"/>
  <c r="L1844" i="8" s="1"/>
  <c r="F1844" i="8"/>
  <c r="E1844" i="8"/>
  <c r="D1844" i="8"/>
  <c r="C1844" i="8"/>
  <c r="B1844" i="8"/>
  <c r="A1844" i="8"/>
  <c r="M1843" i="8"/>
  <c r="L1843" i="8"/>
  <c r="K1843" i="8"/>
  <c r="J1843" i="8"/>
  <c r="I1843" i="8"/>
  <c r="H1843" i="8"/>
  <c r="G1843" i="8"/>
  <c r="F1843" i="8"/>
  <c r="E1843" i="8"/>
  <c r="D1843" i="8"/>
  <c r="C1843" i="8"/>
  <c r="B1843" i="8"/>
  <c r="A1843" i="8"/>
  <c r="M1842" i="8"/>
  <c r="K1842" i="8"/>
  <c r="J1842" i="8"/>
  <c r="I1842" i="8"/>
  <c r="H1842" i="8"/>
  <c r="G1842" i="8"/>
  <c r="L1842" i="8" s="1"/>
  <c r="F1842" i="8"/>
  <c r="E1842" i="8"/>
  <c r="D1842" i="8"/>
  <c r="C1842" i="8"/>
  <c r="B1842" i="8"/>
  <c r="A1842" i="8"/>
  <c r="M1841" i="8"/>
  <c r="L1841" i="8"/>
  <c r="K1841" i="8"/>
  <c r="J1841" i="8"/>
  <c r="I1841" i="8"/>
  <c r="H1841" i="8"/>
  <c r="G1841" i="8"/>
  <c r="F1841" i="8"/>
  <c r="E1841" i="8"/>
  <c r="D1841" i="8"/>
  <c r="C1841" i="8"/>
  <c r="B1841" i="8"/>
  <c r="A1841" i="8"/>
  <c r="M1840" i="8"/>
  <c r="K1840" i="8"/>
  <c r="J1840" i="8"/>
  <c r="I1840" i="8"/>
  <c r="H1840" i="8"/>
  <c r="G1840" i="8"/>
  <c r="L1840" i="8" s="1"/>
  <c r="F1840" i="8"/>
  <c r="E1840" i="8"/>
  <c r="D1840" i="8"/>
  <c r="C1840" i="8"/>
  <c r="B1840" i="8"/>
  <c r="A1840" i="8"/>
  <c r="M1839" i="8"/>
  <c r="K1839" i="8"/>
  <c r="J1839" i="8"/>
  <c r="I1839" i="8"/>
  <c r="H1839" i="8"/>
  <c r="G1839" i="8"/>
  <c r="L1839" i="8" s="1"/>
  <c r="F1839" i="8"/>
  <c r="E1839" i="8"/>
  <c r="D1839" i="8"/>
  <c r="C1839" i="8"/>
  <c r="B1839" i="8"/>
  <c r="A1839" i="8"/>
  <c r="M1838" i="8"/>
  <c r="L1838" i="8"/>
  <c r="K1838" i="8"/>
  <c r="J1838" i="8"/>
  <c r="I1838" i="8"/>
  <c r="H1838" i="8"/>
  <c r="G1838" i="8"/>
  <c r="F1838" i="8"/>
  <c r="E1838" i="8"/>
  <c r="D1838" i="8"/>
  <c r="C1838" i="8"/>
  <c r="B1838" i="8"/>
  <c r="A1838" i="8"/>
  <c r="M1837" i="8"/>
  <c r="L1837" i="8"/>
  <c r="K1837" i="8"/>
  <c r="J1837" i="8"/>
  <c r="I1837" i="8"/>
  <c r="H1837" i="8"/>
  <c r="G1837" i="8"/>
  <c r="F1837" i="8"/>
  <c r="E1837" i="8"/>
  <c r="D1837" i="8"/>
  <c r="C1837" i="8"/>
  <c r="B1837" i="8"/>
  <c r="A1837" i="8"/>
  <c r="M1836" i="8"/>
  <c r="K1836" i="8"/>
  <c r="J1836" i="8"/>
  <c r="I1836" i="8"/>
  <c r="H1836" i="8"/>
  <c r="G1836" i="8"/>
  <c r="L1836" i="8" s="1"/>
  <c r="F1836" i="8"/>
  <c r="E1836" i="8"/>
  <c r="D1836" i="8"/>
  <c r="C1836" i="8"/>
  <c r="B1836" i="8"/>
  <c r="A1836" i="8"/>
  <c r="M1835" i="8"/>
  <c r="L1835" i="8"/>
  <c r="K1835" i="8"/>
  <c r="J1835" i="8"/>
  <c r="I1835" i="8"/>
  <c r="H1835" i="8"/>
  <c r="G1835" i="8"/>
  <c r="F1835" i="8"/>
  <c r="E1835" i="8"/>
  <c r="D1835" i="8"/>
  <c r="C1835" i="8"/>
  <c r="B1835" i="8"/>
  <c r="A1835" i="8"/>
  <c r="M1834" i="8"/>
  <c r="K1834" i="8"/>
  <c r="J1834" i="8"/>
  <c r="I1834" i="8"/>
  <c r="H1834" i="8"/>
  <c r="G1834" i="8"/>
  <c r="L1834" i="8" s="1"/>
  <c r="F1834" i="8"/>
  <c r="E1834" i="8"/>
  <c r="D1834" i="8"/>
  <c r="C1834" i="8"/>
  <c r="B1834" i="8"/>
  <c r="A1834" i="8"/>
  <c r="M1833" i="8"/>
  <c r="L1833" i="8"/>
  <c r="K1833" i="8"/>
  <c r="J1833" i="8"/>
  <c r="I1833" i="8"/>
  <c r="H1833" i="8"/>
  <c r="G1833" i="8"/>
  <c r="F1833" i="8"/>
  <c r="E1833" i="8"/>
  <c r="D1833" i="8"/>
  <c r="C1833" i="8"/>
  <c r="B1833" i="8"/>
  <c r="A1833" i="8"/>
  <c r="M1832" i="8"/>
  <c r="K1832" i="8"/>
  <c r="J1832" i="8"/>
  <c r="I1832" i="8"/>
  <c r="H1832" i="8"/>
  <c r="G1832" i="8"/>
  <c r="L1832" i="8" s="1"/>
  <c r="F1832" i="8"/>
  <c r="E1832" i="8"/>
  <c r="D1832" i="8"/>
  <c r="C1832" i="8"/>
  <c r="B1832" i="8"/>
  <c r="A1832" i="8"/>
  <c r="M1831" i="8"/>
  <c r="K1831" i="8"/>
  <c r="J1831" i="8"/>
  <c r="I1831" i="8"/>
  <c r="H1831" i="8"/>
  <c r="G1831" i="8"/>
  <c r="L1831" i="8" s="1"/>
  <c r="F1831" i="8"/>
  <c r="E1831" i="8"/>
  <c r="D1831" i="8"/>
  <c r="C1831" i="8"/>
  <c r="B1831" i="8"/>
  <c r="A1831" i="8"/>
  <c r="M1830" i="8"/>
  <c r="L1830" i="8"/>
  <c r="K1830" i="8"/>
  <c r="J1830" i="8"/>
  <c r="I1830" i="8"/>
  <c r="H1830" i="8"/>
  <c r="G1830" i="8"/>
  <c r="F1830" i="8"/>
  <c r="E1830" i="8"/>
  <c r="D1830" i="8"/>
  <c r="C1830" i="8"/>
  <c r="B1830" i="8"/>
  <c r="A1830" i="8"/>
  <c r="M1829" i="8"/>
  <c r="L1829" i="8"/>
  <c r="K1829" i="8"/>
  <c r="J1829" i="8"/>
  <c r="I1829" i="8"/>
  <c r="H1829" i="8"/>
  <c r="G1829" i="8"/>
  <c r="F1829" i="8"/>
  <c r="E1829" i="8"/>
  <c r="D1829" i="8"/>
  <c r="C1829" i="8"/>
  <c r="B1829" i="8"/>
  <c r="A1829" i="8"/>
  <c r="M1828" i="8"/>
  <c r="K1828" i="8"/>
  <c r="J1828" i="8"/>
  <c r="I1828" i="8"/>
  <c r="H1828" i="8"/>
  <c r="G1828" i="8"/>
  <c r="L1828" i="8" s="1"/>
  <c r="F1828" i="8"/>
  <c r="E1828" i="8"/>
  <c r="D1828" i="8"/>
  <c r="C1828" i="8"/>
  <c r="B1828" i="8"/>
  <c r="A1828" i="8"/>
  <c r="M1827" i="8"/>
  <c r="L1827" i="8"/>
  <c r="K1827" i="8"/>
  <c r="J1827" i="8"/>
  <c r="I1827" i="8"/>
  <c r="H1827" i="8"/>
  <c r="G1827" i="8"/>
  <c r="F1827" i="8"/>
  <c r="E1827" i="8"/>
  <c r="D1827" i="8"/>
  <c r="C1827" i="8"/>
  <c r="B1827" i="8"/>
  <c r="A1827" i="8"/>
  <c r="M1826" i="8"/>
  <c r="K1826" i="8"/>
  <c r="J1826" i="8"/>
  <c r="I1826" i="8"/>
  <c r="H1826" i="8"/>
  <c r="G1826" i="8"/>
  <c r="L1826" i="8" s="1"/>
  <c r="F1826" i="8"/>
  <c r="E1826" i="8"/>
  <c r="D1826" i="8"/>
  <c r="C1826" i="8"/>
  <c r="B1826" i="8"/>
  <c r="A1826" i="8"/>
  <c r="M1825" i="8"/>
  <c r="L1825" i="8"/>
  <c r="K1825" i="8"/>
  <c r="J1825" i="8"/>
  <c r="I1825" i="8"/>
  <c r="H1825" i="8"/>
  <c r="G1825" i="8"/>
  <c r="F1825" i="8"/>
  <c r="E1825" i="8"/>
  <c r="D1825" i="8"/>
  <c r="C1825" i="8"/>
  <c r="B1825" i="8"/>
  <c r="A1825" i="8"/>
  <c r="M1824" i="8"/>
  <c r="K1824" i="8"/>
  <c r="J1824" i="8"/>
  <c r="I1824" i="8"/>
  <c r="H1824" i="8"/>
  <c r="G1824" i="8"/>
  <c r="L1824" i="8" s="1"/>
  <c r="F1824" i="8"/>
  <c r="E1824" i="8"/>
  <c r="D1824" i="8"/>
  <c r="C1824" i="8"/>
  <c r="B1824" i="8"/>
  <c r="A1824" i="8"/>
  <c r="M1823" i="8"/>
  <c r="K1823" i="8"/>
  <c r="J1823" i="8"/>
  <c r="I1823" i="8"/>
  <c r="H1823" i="8"/>
  <c r="G1823" i="8"/>
  <c r="L1823" i="8" s="1"/>
  <c r="F1823" i="8"/>
  <c r="E1823" i="8"/>
  <c r="D1823" i="8"/>
  <c r="C1823" i="8"/>
  <c r="B1823" i="8"/>
  <c r="A1823" i="8"/>
  <c r="M1822" i="8"/>
  <c r="L1822" i="8"/>
  <c r="K1822" i="8"/>
  <c r="J1822" i="8"/>
  <c r="I1822" i="8"/>
  <c r="H1822" i="8"/>
  <c r="G1822" i="8"/>
  <c r="F1822" i="8"/>
  <c r="E1822" i="8"/>
  <c r="D1822" i="8"/>
  <c r="C1822" i="8"/>
  <c r="B1822" i="8"/>
  <c r="A1822" i="8"/>
  <c r="M1821" i="8"/>
  <c r="L1821" i="8"/>
  <c r="K1821" i="8"/>
  <c r="J1821" i="8"/>
  <c r="I1821" i="8"/>
  <c r="H1821" i="8"/>
  <c r="G1821" i="8"/>
  <c r="F1821" i="8"/>
  <c r="E1821" i="8"/>
  <c r="D1821" i="8"/>
  <c r="C1821" i="8"/>
  <c r="B1821" i="8"/>
  <c r="A1821" i="8"/>
  <c r="M1820" i="8"/>
  <c r="K1820" i="8"/>
  <c r="J1820" i="8"/>
  <c r="I1820" i="8"/>
  <c r="H1820" i="8"/>
  <c r="G1820" i="8"/>
  <c r="L1820" i="8" s="1"/>
  <c r="F1820" i="8"/>
  <c r="E1820" i="8"/>
  <c r="D1820" i="8"/>
  <c r="C1820" i="8"/>
  <c r="B1820" i="8"/>
  <c r="A1820" i="8"/>
  <c r="M1819" i="8"/>
  <c r="L1819" i="8"/>
  <c r="K1819" i="8"/>
  <c r="J1819" i="8"/>
  <c r="I1819" i="8"/>
  <c r="H1819" i="8"/>
  <c r="G1819" i="8"/>
  <c r="F1819" i="8"/>
  <c r="E1819" i="8"/>
  <c r="D1819" i="8"/>
  <c r="C1819" i="8"/>
  <c r="B1819" i="8"/>
  <c r="A1819" i="8"/>
  <c r="M1818" i="8"/>
  <c r="K1818" i="8"/>
  <c r="J1818" i="8"/>
  <c r="I1818" i="8"/>
  <c r="H1818" i="8"/>
  <c r="G1818" i="8"/>
  <c r="L1818" i="8" s="1"/>
  <c r="F1818" i="8"/>
  <c r="E1818" i="8"/>
  <c r="D1818" i="8"/>
  <c r="C1818" i="8"/>
  <c r="B1818" i="8"/>
  <c r="A1818" i="8"/>
  <c r="M1817" i="8"/>
  <c r="L1817" i="8"/>
  <c r="K1817" i="8"/>
  <c r="J1817" i="8"/>
  <c r="I1817" i="8"/>
  <c r="H1817" i="8"/>
  <c r="G1817" i="8"/>
  <c r="F1817" i="8"/>
  <c r="E1817" i="8"/>
  <c r="D1817" i="8"/>
  <c r="C1817" i="8"/>
  <c r="B1817" i="8"/>
  <c r="A1817" i="8"/>
  <c r="M1816" i="8"/>
  <c r="K1816" i="8"/>
  <c r="J1816" i="8"/>
  <c r="I1816" i="8"/>
  <c r="H1816" i="8"/>
  <c r="G1816" i="8"/>
  <c r="L1816" i="8" s="1"/>
  <c r="F1816" i="8"/>
  <c r="E1816" i="8"/>
  <c r="D1816" i="8"/>
  <c r="C1816" i="8"/>
  <c r="B1816" i="8"/>
  <c r="A1816" i="8"/>
  <c r="M1815" i="8"/>
  <c r="K1815" i="8"/>
  <c r="J1815" i="8"/>
  <c r="I1815" i="8"/>
  <c r="H1815" i="8"/>
  <c r="G1815" i="8"/>
  <c r="L1815" i="8" s="1"/>
  <c r="F1815" i="8"/>
  <c r="E1815" i="8"/>
  <c r="D1815" i="8"/>
  <c r="C1815" i="8"/>
  <c r="B1815" i="8"/>
  <c r="A1815" i="8"/>
  <c r="M1814" i="8"/>
  <c r="L1814" i="8"/>
  <c r="K1814" i="8"/>
  <c r="J1814" i="8"/>
  <c r="I1814" i="8"/>
  <c r="H1814" i="8"/>
  <c r="G1814" i="8"/>
  <c r="F1814" i="8"/>
  <c r="E1814" i="8"/>
  <c r="D1814" i="8"/>
  <c r="C1814" i="8"/>
  <c r="B1814" i="8"/>
  <c r="A1814" i="8"/>
  <c r="M1813" i="8"/>
  <c r="L1813" i="8"/>
  <c r="K1813" i="8"/>
  <c r="J1813" i="8"/>
  <c r="I1813" i="8"/>
  <c r="H1813" i="8"/>
  <c r="G1813" i="8"/>
  <c r="F1813" i="8"/>
  <c r="E1813" i="8"/>
  <c r="D1813" i="8"/>
  <c r="C1813" i="8"/>
  <c r="B1813" i="8"/>
  <c r="A1813" i="8"/>
  <c r="M1812" i="8"/>
  <c r="K1812" i="8"/>
  <c r="J1812" i="8"/>
  <c r="I1812" i="8"/>
  <c r="H1812" i="8"/>
  <c r="G1812" i="8"/>
  <c r="L1812" i="8" s="1"/>
  <c r="F1812" i="8"/>
  <c r="E1812" i="8"/>
  <c r="D1812" i="8"/>
  <c r="C1812" i="8"/>
  <c r="B1812" i="8"/>
  <c r="A1812" i="8"/>
  <c r="M1811" i="8"/>
  <c r="L1811" i="8"/>
  <c r="K1811" i="8"/>
  <c r="J1811" i="8"/>
  <c r="I1811" i="8"/>
  <c r="H1811" i="8"/>
  <c r="G1811" i="8"/>
  <c r="F1811" i="8"/>
  <c r="E1811" i="8"/>
  <c r="D1811" i="8"/>
  <c r="C1811" i="8"/>
  <c r="B1811" i="8"/>
  <c r="A1811" i="8"/>
  <c r="M1810" i="8"/>
  <c r="K1810" i="8"/>
  <c r="J1810" i="8"/>
  <c r="I1810" i="8"/>
  <c r="H1810" i="8"/>
  <c r="G1810" i="8"/>
  <c r="L1810" i="8" s="1"/>
  <c r="F1810" i="8"/>
  <c r="E1810" i="8"/>
  <c r="D1810" i="8"/>
  <c r="C1810" i="8"/>
  <c r="B1810" i="8"/>
  <c r="A1810" i="8"/>
  <c r="M1809" i="8"/>
  <c r="L1809" i="8"/>
  <c r="K1809" i="8"/>
  <c r="J1809" i="8"/>
  <c r="I1809" i="8"/>
  <c r="H1809" i="8"/>
  <c r="G1809" i="8"/>
  <c r="F1809" i="8"/>
  <c r="E1809" i="8"/>
  <c r="D1809" i="8"/>
  <c r="C1809" i="8"/>
  <c r="B1809" i="8"/>
  <c r="A1809" i="8"/>
  <c r="M1808" i="8"/>
  <c r="K1808" i="8"/>
  <c r="J1808" i="8"/>
  <c r="I1808" i="8"/>
  <c r="H1808" i="8"/>
  <c r="G1808" i="8"/>
  <c r="L1808" i="8" s="1"/>
  <c r="F1808" i="8"/>
  <c r="E1808" i="8"/>
  <c r="D1808" i="8"/>
  <c r="C1808" i="8"/>
  <c r="B1808" i="8"/>
  <c r="A1808" i="8"/>
  <c r="M1807" i="8"/>
  <c r="K1807" i="8"/>
  <c r="J1807" i="8"/>
  <c r="I1807" i="8"/>
  <c r="H1807" i="8"/>
  <c r="G1807" i="8"/>
  <c r="L1807" i="8" s="1"/>
  <c r="F1807" i="8"/>
  <c r="E1807" i="8"/>
  <c r="D1807" i="8"/>
  <c r="C1807" i="8"/>
  <c r="B1807" i="8"/>
  <c r="A1807" i="8"/>
  <c r="M1806" i="8"/>
  <c r="L1806" i="8"/>
  <c r="K1806" i="8"/>
  <c r="J1806" i="8"/>
  <c r="I1806" i="8"/>
  <c r="H1806" i="8"/>
  <c r="G1806" i="8"/>
  <c r="F1806" i="8"/>
  <c r="E1806" i="8"/>
  <c r="D1806" i="8"/>
  <c r="C1806" i="8"/>
  <c r="B1806" i="8"/>
  <c r="A1806" i="8"/>
  <c r="M1805" i="8"/>
  <c r="L1805" i="8"/>
  <c r="K1805" i="8"/>
  <c r="J1805" i="8"/>
  <c r="I1805" i="8"/>
  <c r="H1805" i="8"/>
  <c r="G1805" i="8"/>
  <c r="F1805" i="8"/>
  <c r="E1805" i="8"/>
  <c r="D1805" i="8"/>
  <c r="C1805" i="8"/>
  <c r="B1805" i="8"/>
  <c r="A1805" i="8"/>
  <c r="M1804" i="8"/>
  <c r="K1804" i="8"/>
  <c r="J1804" i="8"/>
  <c r="I1804" i="8"/>
  <c r="H1804" i="8"/>
  <c r="G1804" i="8"/>
  <c r="L1804" i="8" s="1"/>
  <c r="F1804" i="8"/>
  <c r="E1804" i="8"/>
  <c r="D1804" i="8"/>
  <c r="C1804" i="8"/>
  <c r="B1804" i="8"/>
  <c r="A1804" i="8"/>
  <c r="M1803" i="8"/>
  <c r="L1803" i="8"/>
  <c r="K1803" i="8"/>
  <c r="J1803" i="8"/>
  <c r="I1803" i="8"/>
  <c r="H1803" i="8"/>
  <c r="G1803" i="8"/>
  <c r="F1803" i="8"/>
  <c r="E1803" i="8"/>
  <c r="D1803" i="8"/>
  <c r="C1803" i="8"/>
  <c r="B1803" i="8"/>
  <c r="A1803" i="8"/>
  <c r="M1802" i="8"/>
  <c r="K1802" i="8"/>
  <c r="J1802" i="8"/>
  <c r="I1802" i="8"/>
  <c r="H1802" i="8"/>
  <c r="G1802" i="8"/>
  <c r="L1802" i="8" s="1"/>
  <c r="F1802" i="8"/>
  <c r="E1802" i="8"/>
  <c r="D1802" i="8"/>
  <c r="C1802" i="8"/>
  <c r="B1802" i="8"/>
  <c r="A1802" i="8"/>
  <c r="M1801" i="8"/>
  <c r="L1801" i="8"/>
  <c r="K1801" i="8"/>
  <c r="J1801" i="8"/>
  <c r="I1801" i="8"/>
  <c r="H1801" i="8"/>
  <c r="G1801" i="8"/>
  <c r="F1801" i="8"/>
  <c r="E1801" i="8"/>
  <c r="D1801" i="8"/>
  <c r="C1801" i="8"/>
  <c r="B1801" i="8"/>
  <c r="A1801" i="8"/>
  <c r="M1800" i="8"/>
  <c r="K1800" i="8"/>
  <c r="J1800" i="8"/>
  <c r="I1800" i="8"/>
  <c r="H1800" i="8"/>
  <c r="G1800" i="8"/>
  <c r="L1800" i="8" s="1"/>
  <c r="F1800" i="8"/>
  <c r="E1800" i="8"/>
  <c r="D1800" i="8"/>
  <c r="C1800" i="8"/>
  <c r="B1800" i="8"/>
  <c r="A1800" i="8"/>
  <c r="M1799" i="8"/>
  <c r="K1799" i="8"/>
  <c r="J1799" i="8"/>
  <c r="I1799" i="8"/>
  <c r="H1799" i="8"/>
  <c r="G1799" i="8"/>
  <c r="L1799" i="8" s="1"/>
  <c r="F1799" i="8"/>
  <c r="E1799" i="8"/>
  <c r="D1799" i="8"/>
  <c r="C1799" i="8"/>
  <c r="B1799" i="8"/>
  <c r="A1799" i="8"/>
  <c r="M1798" i="8"/>
  <c r="L1798" i="8"/>
  <c r="K1798" i="8"/>
  <c r="J1798" i="8"/>
  <c r="I1798" i="8"/>
  <c r="H1798" i="8"/>
  <c r="G1798" i="8"/>
  <c r="F1798" i="8"/>
  <c r="E1798" i="8"/>
  <c r="D1798" i="8"/>
  <c r="C1798" i="8"/>
  <c r="B1798" i="8"/>
  <c r="A1798" i="8"/>
  <c r="M1797" i="8"/>
  <c r="L1797" i="8"/>
  <c r="K1797" i="8"/>
  <c r="J1797" i="8"/>
  <c r="I1797" i="8"/>
  <c r="H1797" i="8"/>
  <c r="G1797" i="8"/>
  <c r="F1797" i="8"/>
  <c r="E1797" i="8"/>
  <c r="D1797" i="8"/>
  <c r="C1797" i="8"/>
  <c r="B1797" i="8"/>
  <c r="A1797" i="8"/>
  <c r="M1796" i="8"/>
  <c r="K1796" i="8"/>
  <c r="J1796" i="8"/>
  <c r="I1796" i="8"/>
  <c r="H1796" i="8"/>
  <c r="G1796" i="8"/>
  <c r="L1796" i="8" s="1"/>
  <c r="F1796" i="8"/>
  <c r="E1796" i="8"/>
  <c r="D1796" i="8"/>
  <c r="C1796" i="8"/>
  <c r="B1796" i="8"/>
  <c r="A1796" i="8"/>
  <c r="M1795" i="8"/>
  <c r="L1795" i="8"/>
  <c r="K1795" i="8"/>
  <c r="J1795" i="8"/>
  <c r="I1795" i="8"/>
  <c r="H1795" i="8"/>
  <c r="G1795" i="8"/>
  <c r="F1795" i="8"/>
  <c r="E1795" i="8"/>
  <c r="D1795" i="8"/>
  <c r="C1795" i="8"/>
  <c r="B1795" i="8"/>
  <c r="A1795" i="8"/>
  <c r="M1794" i="8"/>
  <c r="K1794" i="8"/>
  <c r="J1794" i="8"/>
  <c r="I1794" i="8"/>
  <c r="H1794" i="8"/>
  <c r="G1794" i="8"/>
  <c r="L1794" i="8" s="1"/>
  <c r="F1794" i="8"/>
  <c r="E1794" i="8"/>
  <c r="D1794" i="8"/>
  <c r="C1794" i="8"/>
  <c r="B1794" i="8"/>
  <c r="A1794" i="8"/>
  <c r="M1793" i="8"/>
  <c r="L1793" i="8"/>
  <c r="K1793" i="8"/>
  <c r="J1793" i="8"/>
  <c r="I1793" i="8"/>
  <c r="H1793" i="8"/>
  <c r="G1793" i="8"/>
  <c r="F1793" i="8"/>
  <c r="E1793" i="8"/>
  <c r="D1793" i="8"/>
  <c r="C1793" i="8"/>
  <c r="B1793" i="8"/>
  <c r="A1793" i="8"/>
  <c r="M1792" i="8"/>
  <c r="K1792" i="8"/>
  <c r="J1792" i="8"/>
  <c r="I1792" i="8"/>
  <c r="H1792" i="8"/>
  <c r="G1792" i="8"/>
  <c r="L1792" i="8" s="1"/>
  <c r="F1792" i="8"/>
  <c r="E1792" i="8"/>
  <c r="D1792" i="8"/>
  <c r="C1792" i="8"/>
  <c r="B1792" i="8"/>
  <c r="A1792" i="8"/>
  <c r="M1791" i="8"/>
  <c r="K1791" i="8"/>
  <c r="J1791" i="8"/>
  <c r="I1791" i="8"/>
  <c r="H1791" i="8"/>
  <c r="G1791" i="8"/>
  <c r="L1791" i="8" s="1"/>
  <c r="F1791" i="8"/>
  <c r="E1791" i="8"/>
  <c r="D1791" i="8"/>
  <c r="C1791" i="8"/>
  <c r="B1791" i="8"/>
  <c r="A1791" i="8"/>
  <c r="M1790" i="8"/>
  <c r="L1790" i="8"/>
  <c r="K1790" i="8"/>
  <c r="J1790" i="8"/>
  <c r="I1790" i="8"/>
  <c r="H1790" i="8"/>
  <c r="G1790" i="8"/>
  <c r="F1790" i="8"/>
  <c r="E1790" i="8"/>
  <c r="D1790" i="8"/>
  <c r="C1790" i="8"/>
  <c r="B1790" i="8"/>
  <c r="A1790" i="8"/>
  <c r="M1789" i="8"/>
  <c r="L1789" i="8"/>
  <c r="K1789" i="8"/>
  <c r="J1789" i="8"/>
  <c r="I1789" i="8"/>
  <c r="H1789" i="8"/>
  <c r="G1789" i="8"/>
  <c r="F1789" i="8"/>
  <c r="E1789" i="8"/>
  <c r="D1789" i="8"/>
  <c r="C1789" i="8"/>
  <c r="B1789" i="8"/>
  <c r="A1789" i="8"/>
  <c r="M1788" i="8"/>
  <c r="K1788" i="8"/>
  <c r="J1788" i="8"/>
  <c r="I1788" i="8"/>
  <c r="H1788" i="8"/>
  <c r="G1788" i="8"/>
  <c r="L1788" i="8" s="1"/>
  <c r="F1788" i="8"/>
  <c r="E1788" i="8"/>
  <c r="D1788" i="8"/>
  <c r="C1788" i="8"/>
  <c r="B1788" i="8"/>
  <c r="A1788" i="8"/>
  <c r="M1787" i="8"/>
  <c r="L1787" i="8"/>
  <c r="K1787" i="8"/>
  <c r="J1787" i="8"/>
  <c r="I1787" i="8"/>
  <c r="H1787" i="8"/>
  <c r="G1787" i="8"/>
  <c r="F1787" i="8"/>
  <c r="E1787" i="8"/>
  <c r="D1787" i="8"/>
  <c r="C1787" i="8"/>
  <c r="B1787" i="8"/>
  <c r="A1787" i="8"/>
  <c r="M1786" i="8"/>
  <c r="K1786" i="8"/>
  <c r="J1786" i="8"/>
  <c r="I1786" i="8"/>
  <c r="H1786" i="8"/>
  <c r="G1786" i="8"/>
  <c r="L1786" i="8" s="1"/>
  <c r="F1786" i="8"/>
  <c r="E1786" i="8"/>
  <c r="D1786" i="8"/>
  <c r="C1786" i="8"/>
  <c r="B1786" i="8"/>
  <c r="A1786" i="8"/>
  <c r="M1785" i="8"/>
  <c r="L1785" i="8"/>
  <c r="K1785" i="8"/>
  <c r="J1785" i="8"/>
  <c r="I1785" i="8"/>
  <c r="H1785" i="8"/>
  <c r="G1785" i="8"/>
  <c r="F1785" i="8"/>
  <c r="E1785" i="8"/>
  <c r="D1785" i="8"/>
  <c r="C1785" i="8"/>
  <c r="B1785" i="8"/>
  <c r="A1785" i="8"/>
  <c r="M1784" i="8"/>
  <c r="K1784" i="8"/>
  <c r="J1784" i="8"/>
  <c r="I1784" i="8"/>
  <c r="H1784" i="8"/>
  <c r="G1784" i="8"/>
  <c r="L1784" i="8" s="1"/>
  <c r="F1784" i="8"/>
  <c r="E1784" i="8"/>
  <c r="D1784" i="8"/>
  <c r="C1784" i="8"/>
  <c r="B1784" i="8"/>
  <c r="A1784" i="8"/>
  <c r="M1783" i="8"/>
  <c r="K1783" i="8"/>
  <c r="J1783" i="8"/>
  <c r="I1783" i="8"/>
  <c r="H1783" i="8"/>
  <c r="G1783" i="8"/>
  <c r="L1783" i="8" s="1"/>
  <c r="F1783" i="8"/>
  <c r="E1783" i="8"/>
  <c r="D1783" i="8"/>
  <c r="C1783" i="8"/>
  <c r="B1783" i="8"/>
  <c r="A1783" i="8"/>
  <c r="M1782" i="8"/>
  <c r="L1782" i="8"/>
  <c r="K1782" i="8"/>
  <c r="J1782" i="8"/>
  <c r="I1782" i="8"/>
  <c r="H1782" i="8"/>
  <c r="G1782" i="8"/>
  <c r="F1782" i="8"/>
  <c r="E1782" i="8"/>
  <c r="D1782" i="8"/>
  <c r="C1782" i="8"/>
  <c r="B1782" i="8"/>
  <c r="A1782" i="8"/>
  <c r="M1781" i="8"/>
  <c r="L1781" i="8"/>
  <c r="K1781" i="8"/>
  <c r="J1781" i="8"/>
  <c r="I1781" i="8"/>
  <c r="H1781" i="8"/>
  <c r="G1781" i="8"/>
  <c r="F1781" i="8"/>
  <c r="E1781" i="8"/>
  <c r="D1781" i="8"/>
  <c r="C1781" i="8"/>
  <c r="B1781" i="8"/>
  <c r="A1781" i="8"/>
  <c r="M1780" i="8"/>
  <c r="K1780" i="8"/>
  <c r="J1780" i="8"/>
  <c r="I1780" i="8"/>
  <c r="H1780" i="8"/>
  <c r="G1780" i="8"/>
  <c r="L1780" i="8" s="1"/>
  <c r="F1780" i="8"/>
  <c r="E1780" i="8"/>
  <c r="D1780" i="8"/>
  <c r="C1780" i="8"/>
  <c r="B1780" i="8"/>
  <c r="A1780" i="8"/>
  <c r="M1779" i="8"/>
  <c r="L1779" i="8"/>
  <c r="K1779" i="8"/>
  <c r="J1779" i="8"/>
  <c r="I1779" i="8"/>
  <c r="H1779" i="8"/>
  <c r="G1779" i="8"/>
  <c r="F1779" i="8"/>
  <c r="E1779" i="8"/>
  <c r="D1779" i="8"/>
  <c r="C1779" i="8"/>
  <c r="B1779" i="8"/>
  <c r="A1779" i="8"/>
  <c r="M1778" i="8"/>
  <c r="K1778" i="8"/>
  <c r="J1778" i="8"/>
  <c r="I1778" i="8"/>
  <c r="H1778" i="8"/>
  <c r="G1778" i="8"/>
  <c r="L1778" i="8" s="1"/>
  <c r="F1778" i="8"/>
  <c r="E1778" i="8"/>
  <c r="D1778" i="8"/>
  <c r="C1778" i="8"/>
  <c r="B1778" i="8"/>
  <c r="A1778" i="8"/>
  <c r="M1777" i="8"/>
  <c r="L1777" i="8"/>
  <c r="K1777" i="8"/>
  <c r="J1777" i="8"/>
  <c r="I1777" i="8"/>
  <c r="H1777" i="8"/>
  <c r="G1777" i="8"/>
  <c r="F1777" i="8"/>
  <c r="E1777" i="8"/>
  <c r="D1777" i="8"/>
  <c r="C1777" i="8"/>
  <c r="B1777" i="8"/>
  <c r="A1777" i="8"/>
  <c r="M1776" i="8"/>
  <c r="K1776" i="8"/>
  <c r="J1776" i="8"/>
  <c r="I1776" i="8"/>
  <c r="H1776" i="8"/>
  <c r="G1776" i="8"/>
  <c r="L1776" i="8" s="1"/>
  <c r="F1776" i="8"/>
  <c r="E1776" i="8"/>
  <c r="D1776" i="8"/>
  <c r="C1776" i="8"/>
  <c r="B1776" i="8"/>
  <c r="A1776" i="8"/>
  <c r="M1775" i="8"/>
  <c r="K1775" i="8"/>
  <c r="J1775" i="8"/>
  <c r="I1775" i="8"/>
  <c r="H1775" i="8"/>
  <c r="G1775" i="8"/>
  <c r="L1775" i="8" s="1"/>
  <c r="F1775" i="8"/>
  <c r="E1775" i="8"/>
  <c r="D1775" i="8"/>
  <c r="C1775" i="8"/>
  <c r="B1775" i="8"/>
  <c r="A1775" i="8"/>
  <c r="M1774" i="8"/>
  <c r="L1774" i="8"/>
  <c r="K1774" i="8"/>
  <c r="J1774" i="8"/>
  <c r="I1774" i="8"/>
  <c r="H1774" i="8"/>
  <c r="G1774" i="8"/>
  <c r="F1774" i="8"/>
  <c r="E1774" i="8"/>
  <c r="D1774" i="8"/>
  <c r="C1774" i="8"/>
  <c r="B1774" i="8"/>
  <c r="A1774" i="8"/>
  <c r="M1773" i="8"/>
  <c r="L1773" i="8"/>
  <c r="K1773" i="8"/>
  <c r="J1773" i="8"/>
  <c r="I1773" i="8"/>
  <c r="H1773" i="8"/>
  <c r="G1773" i="8"/>
  <c r="F1773" i="8"/>
  <c r="E1773" i="8"/>
  <c r="D1773" i="8"/>
  <c r="C1773" i="8"/>
  <c r="B1773" i="8"/>
  <c r="A1773" i="8"/>
  <c r="M1772" i="8"/>
  <c r="K1772" i="8"/>
  <c r="J1772" i="8"/>
  <c r="I1772" i="8"/>
  <c r="H1772" i="8"/>
  <c r="G1772" i="8"/>
  <c r="L1772" i="8" s="1"/>
  <c r="F1772" i="8"/>
  <c r="E1772" i="8"/>
  <c r="D1772" i="8"/>
  <c r="C1772" i="8"/>
  <c r="B1772" i="8"/>
  <c r="A1772" i="8"/>
  <c r="M1771" i="8"/>
  <c r="L1771" i="8"/>
  <c r="K1771" i="8"/>
  <c r="J1771" i="8"/>
  <c r="I1771" i="8"/>
  <c r="H1771" i="8"/>
  <c r="G1771" i="8"/>
  <c r="F1771" i="8"/>
  <c r="E1771" i="8"/>
  <c r="D1771" i="8"/>
  <c r="C1771" i="8"/>
  <c r="B1771" i="8"/>
  <c r="A1771" i="8"/>
  <c r="M1770" i="8"/>
  <c r="K1770" i="8"/>
  <c r="J1770" i="8"/>
  <c r="I1770" i="8"/>
  <c r="H1770" i="8"/>
  <c r="G1770" i="8"/>
  <c r="L1770" i="8" s="1"/>
  <c r="F1770" i="8"/>
  <c r="E1770" i="8"/>
  <c r="D1770" i="8"/>
  <c r="C1770" i="8"/>
  <c r="B1770" i="8"/>
  <c r="A1770" i="8"/>
  <c r="M1769" i="8"/>
  <c r="L1769" i="8"/>
  <c r="K1769" i="8"/>
  <c r="J1769" i="8"/>
  <c r="I1769" i="8"/>
  <c r="H1769" i="8"/>
  <c r="G1769" i="8"/>
  <c r="F1769" i="8"/>
  <c r="E1769" i="8"/>
  <c r="D1769" i="8"/>
  <c r="C1769" i="8"/>
  <c r="B1769" i="8"/>
  <c r="A1769" i="8"/>
  <c r="M1768" i="8"/>
  <c r="K1768" i="8"/>
  <c r="J1768" i="8"/>
  <c r="I1768" i="8"/>
  <c r="H1768" i="8"/>
  <c r="G1768" i="8"/>
  <c r="L1768" i="8" s="1"/>
  <c r="F1768" i="8"/>
  <c r="E1768" i="8"/>
  <c r="D1768" i="8"/>
  <c r="C1768" i="8"/>
  <c r="B1768" i="8"/>
  <c r="A1768" i="8"/>
  <c r="M1767" i="8"/>
  <c r="K1767" i="8"/>
  <c r="J1767" i="8"/>
  <c r="I1767" i="8"/>
  <c r="H1767" i="8"/>
  <c r="G1767" i="8"/>
  <c r="L1767" i="8" s="1"/>
  <c r="F1767" i="8"/>
  <c r="E1767" i="8"/>
  <c r="D1767" i="8"/>
  <c r="C1767" i="8"/>
  <c r="B1767" i="8"/>
  <c r="A1767" i="8"/>
  <c r="M1766" i="8"/>
  <c r="L1766" i="8"/>
  <c r="K1766" i="8"/>
  <c r="J1766" i="8"/>
  <c r="I1766" i="8"/>
  <c r="H1766" i="8"/>
  <c r="G1766" i="8"/>
  <c r="F1766" i="8"/>
  <c r="E1766" i="8"/>
  <c r="D1766" i="8"/>
  <c r="C1766" i="8"/>
  <c r="B1766" i="8"/>
  <c r="A1766" i="8"/>
  <c r="M1765" i="8"/>
  <c r="L1765" i="8"/>
  <c r="K1765" i="8"/>
  <c r="J1765" i="8"/>
  <c r="I1765" i="8"/>
  <c r="H1765" i="8"/>
  <c r="G1765" i="8"/>
  <c r="F1765" i="8"/>
  <c r="E1765" i="8"/>
  <c r="D1765" i="8"/>
  <c r="C1765" i="8"/>
  <c r="B1765" i="8"/>
  <c r="A1765" i="8"/>
  <c r="M1764" i="8"/>
  <c r="K1764" i="8"/>
  <c r="J1764" i="8"/>
  <c r="I1764" i="8"/>
  <c r="H1764" i="8"/>
  <c r="G1764" i="8"/>
  <c r="L1764" i="8" s="1"/>
  <c r="F1764" i="8"/>
  <c r="E1764" i="8"/>
  <c r="D1764" i="8"/>
  <c r="C1764" i="8"/>
  <c r="B1764" i="8"/>
  <c r="A1764" i="8"/>
  <c r="M1763" i="8"/>
  <c r="L1763" i="8"/>
  <c r="K1763" i="8"/>
  <c r="J1763" i="8"/>
  <c r="I1763" i="8"/>
  <c r="H1763" i="8"/>
  <c r="G1763" i="8"/>
  <c r="F1763" i="8"/>
  <c r="E1763" i="8"/>
  <c r="D1763" i="8"/>
  <c r="C1763" i="8"/>
  <c r="B1763" i="8"/>
  <c r="A1763" i="8"/>
  <c r="M1762" i="8"/>
  <c r="K1762" i="8"/>
  <c r="J1762" i="8"/>
  <c r="I1762" i="8"/>
  <c r="H1762" i="8"/>
  <c r="G1762" i="8"/>
  <c r="L1762" i="8" s="1"/>
  <c r="F1762" i="8"/>
  <c r="E1762" i="8"/>
  <c r="D1762" i="8"/>
  <c r="C1762" i="8"/>
  <c r="B1762" i="8"/>
  <c r="A1762" i="8"/>
  <c r="M1761" i="8"/>
  <c r="L1761" i="8"/>
  <c r="K1761" i="8"/>
  <c r="J1761" i="8"/>
  <c r="I1761" i="8"/>
  <c r="H1761" i="8"/>
  <c r="G1761" i="8"/>
  <c r="F1761" i="8"/>
  <c r="E1761" i="8"/>
  <c r="D1761" i="8"/>
  <c r="C1761" i="8"/>
  <c r="B1761" i="8"/>
  <c r="A1761" i="8"/>
  <c r="M1760" i="8"/>
  <c r="K1760" i="8"/>
  <c r="J1760" i="8"/>
  <c r="I1760" i="8"/>
  <c r="H1760" i="8"/>
  <c r="G1760" i="8"/>
  <c r="L1760" i="8" s="1"/>
  <c r="F1760" i="8"/>
  <c r="E1760" i="8"/>
  <c r="D1760" i="8"/>
  <c r="C1760" i="8"/>
  <c r="B1760" i="8"/>
  <c r="A1760" i="8"/>
  <c r="M1759" i="8"/>
  <c r="K1759" i="8"/>
  <c r="J1759" i="8"/>
  <c r="I1759" i="8"/>
  <c r="H1759" i="8"/>
  <c r="G1759" i="8"/>
  <c r="L1759" i="8" s="1"/>
  <c r="F1759" i="8"/>
  <c r="E1759" i="8"/>
  <c r="D1759" i="8"/>
  <c r="C1759" i="8"/>
  <c r="B1759" i="8"/>
  <c r="A1759" i="8"/>
  <c r="M1758" i="8"/>
  <c r="L1758" i="8"/>
  <c r="K1758" i="8"/>
  <c r="J1758" i="8"/>
  <c r="I1758" i="8"/>
  <c r="H1758" i="8"/>
  <c r="G1758" i="8"/>
  <c r="F1758" i="8"/>
  <c r="E1758" i="8"/>
  <c r="D1758" i="8"/>
  <c r="C1758" i="8"/>
  <c r="B1758" i="8"/>
  <c r="A1758" i="8"/>
  <c r="M1757" i="8"/>
  <c r="L1757" i="8"/>
  <c r="K1757" i="8"/>
  <c r="J1757" i="8"/>
  <c r="I1757" i="8"/>
  <c r="H1757" i="8"/>
  <c r="G1757" i="8"/>
  <c r="F1757" i="8"/>
  <c r="E1757" i="8"/>
  <c r="D1757" i="8"/>
  <c r="C1757" i="8"/>
  <c r="B1757" i="8"/>
  <c r="A1757" i="8"/>
  <c r="M1756" i="8"/>
  <c r="K1756" i="8"/>
  <c r="J1756" i="8"/>
  <c r="I1756" i="8"/>
  <c r="H1756" i="8"/>
  <c r="G1756" i="8"/>
  <c r="L1756" i="8" s="1"/>
  <c r="F1756" i="8"/>
  <c r="E1756" i="8"/>
  <c r="D1756" i="8"/>
  <c r="C1756" i="8"/>
  <c r="B1756" i="8"/>
  <c r="A1756" i="8"/>
  <c r="M1755" i="8"/>
  <c r="L1755" i="8"/>
  <c r="K1755" i="8"/>
  <c r="J1755" i="8"/>
  <c r="I1755" i="8"/>
  <c r="H1755" i="8"/>
  <c r="G1755" i="8"/>
  <c r="F1755" i="8"/>
  <c r="E1755" i="8"/>
  <c r="D1755" i="8"/>
  <c r="C1755" i="8"/>
  <c r="B1755" i="8"/>
  <c r="A1755" i="8"/>
  <c r="M1754" i="8"/>
  <c r="K1754" i="8"/>
  <c r="J1754" i="8"/>
  <c r="I1754" i="8"/>
  <c r="H1754" i="8"/>
  <c r="G1754" i="8"/>
  <c r="L1754" i="8" s="1"/>
  <c r="F1754" i="8"/>
  <c r="E1754" i="8"/>
  <c r="D1754" i="8"/>
  <c r="C1754" i="8"/>
  <c r="B1754" i="8"/>
  <c r="A1754" i="8"/>
  <c r="M1753" i="8"/>
  <c r="L1753" i="8"/>
  <c r="K1753" i="8"/>
  <c r="J1753" i="8"/>
  <c r="I1753" i="8"/>
  <c r="H1753" i="8"/>
  <c r="G1753" i="8"/>
  <c r="F1753" i="8"/>
  <c r="E1753" i="8"/>
  <c r="D1753" i="8"/>
  <c r="C1753" i="8"/>
  <c r="B1753" i="8"/>
  <c r="A1753" i="8"/>
  <c r="M1752" i="8"/>
  <c r="K1752" i="8"/>
  <c r="J1752" i="8"/>
  <c r="I1752" i="8"/>
  <c r="H1752" i="8"/>
  <c r="G1752" i="8"/>
  <c r="L1752" i="8" s="1"/>
  <c r="F1752" i="8"/>
  <c r="E1752" i="8"/>
  <c r="D1752" i="8"/>
  <c r="C1752" i="8"/>
  <c r="B1752" i="8"/>
  <c r="A1752" i="8"/>
  <c r="M1751" i="8"/>
  <c r="K1751" i="8"/>
  <c r="J1751" i="8"/>
  <c r="I1751" i="8"/>
  <c r="H1751" i="8"/>
  <c r="G1751" i="8"/>
  <c r="L1751" i="8" s="1"/>
  <c r="F1751" i="8"/>
  <c r="E1751" i="8"/>
  <c r="D1751" i="8"/>
  <c r="C1751" i="8"/>
  <c r="B1751" i="8"/>
  <c r="A1751" i="8"/>
  <c r="M1750" i="8"/>
  <c r="L1750" i="8"/>
  <c r="K1750" i="8"/>
  <c r="J1750" i="8"/>
  <c r="I1750" i="8"/>
  <c r="H1750" i="8"/>
  <c r="G1750" i="8"/>
  <c r="F1750" i="8"/>
  <c r="E1750" i="8"/>
  <c r="D1750" i="8"/>
  <c r="C1750" i="8"/>
  <c r="B1750" i="8"/>
  <c r="A1750" i="8"/>
  <c r="M1749" i="8"/>
  <c r="L1749" i="8"/>
  <c r="K1749" i="8"/>
  <c r="J1749" i="8"/>
  <c r="I1749" i="8"/>
  <c r="H1749" i="8"/>
  <c r="G1749" i="8"/>
  <c r="F1749" i="8"/>
  <c r="E1749" i="8"/>
  <c r="D1749" i="8"/>
  <c r="C1749" i="8"/>
  <c r="B1749" i="8"/>
  <c r="A1749" i="8"/>
  <c r="M1748" i="8"/>
  <c r="K1748" i="8"/>
  <c r="J1748" i="8"/>
  <c r="I1748" i="8"/>
  <c r="H1748" i="8"/>
  <c r="G1748" i="8"/>
  <c r="L1748" i="8" s="1"/>
  <c r="F1748" i="8"/>
  <c r="E1748" i="8"/>
  <c r="D1748" i="8"/>
  <c r="C1748" i="8"/>
  <c r="B1748" i="8"/>
  <c r="A1748" i="8"/>
  <c r="M1747" i="8"/>
  <c r="L1747" i="8"/>
  <c r="K1747" i="8"/>
  <c r="J1747" i="8"/>
  <c r="I1747" i="8"/>
  <c r="H1747" i="8"/>
  <c r="G1747" i="8"/>
  <c r="F1747" i="8"/>
  <c r="E1747" i="8"/>
  <c r="D1747" i="8"/>
  <c r="C1747" i="8"/>
  <c r="B1747" i="8"/>
  <c r="A1747" i="8"/>
  <c r="M1746" i="8"/>
  <c r="K1746" i="8"/>
  <c r="J1746" i="8"/>
  <c r="I1746" i="8"/>
  <c r="H1746" i="8"/>
  <c r="G1746" i="8"/>
  <c r="L1746" i="8" s="1"/>
  <c r="F1746" i="8"/>
  <c r="E1746" i="8"/>
  <c r="D1746" i="8"/>
  <c r="C1746" i="8"/>
  <c r="B1746" i="8"/>
  <c r="A1746" i="8"/>
  <c r="M1745" i="8"/>
  <c r="L1745" i="8"/>
  <c r="K1745" i="8"/>
  <c r="J1745" i="8"/>
  <c r="I1745" i="8"/>
  <c r="H1745" i="8"/>
  <c r="G1745" i="8"/>
  <c r="F1745" i="8"/>
  <c r="E1745" i="8"/>
  <c r="D1745" i="8"/>
  <c r="C1745" i="8"/>
  <c r="B1745" i="8"/>
  <c r="A1745" i="8"/>
  <c r="M1744" i="8"/>
  <c r="K1744" i="8"/>
  <c r="J1744" i="8"/>
  <c r="I1744" i="8"/>
  <c r="H1744" i="8"/>
  <c r="G1744" i="8"/>
  <c r="L1744" i="8" s="1"/>
  <c r="F1744" i="8"/>
  <c r="E1744" i="8"/>
  <c r="D1744" i="8"/>
  <c r="C1744" i="8"/>
  <c r="B1744" i="8"/>
  <c r="A1744" i="8"/>
  <c r="M1743" i="8"/>
  <c r="K1743" i="8"/>
  <c r="J1743" i="8"/>
  <c r="I1743" i="8"/>
  <c r="H1743" i="8"/>
  <c r="G1743" i="8"/>
  <c r="L1743" i="8" s="1"/>
  <c r="F1743" i="8"/>
  <c r="E1743" i="8"/>
  <c r="D1743" i="8"/>
  <c r="C1743" i="8"/>
  <c r="B1743" i="8"/>
  <c r="A1743" i="8"/>
  <c r="M1742" i="8"/>
  <c r="L1742" i="8"/>
  <c r="K1742" i="8"/>
  <c r="J1742" i="8"/>
  <c r="I1742" i="8"/>
  <c r="H1742" i="8"/>
  <c r="G1742" i="8"/>
  <c r="F1742" i="8"/>
  <c r="E1742" i="8"/>
  <c r="D1742" i="8"/>
  <c r="C1742" i="8"/>
  <c r="B1742" i="8"/>
  <c r="A1742" i="8"/>
  <c r="M1741" i="8"/>
  <c r="L1741" i="8"/>
  <c r="K1741" i="8"/>
  <c r="J1741" i="8"/>
  <c r="I1741" i="8"/>
  <c r="H1741" i="8"/>
  <c r="G1741" i="8"/>
  <c r="F1741" i="8"/>
  <c r="E1741" i="8"/>
  <c r="D1741" i="8"/>
  <c r="C1741" i="8"/>
  <c r="B1741" i="8"/>
  <c r="A1741" i="8"/>
  <c r="M1740" i="8"/>
  <c r="K1740" i="8"/>
  <c r="J1740" i="8"/>
  <c r="I1740" i="8"/>
  <c r="H1740" i="8"/>
  <c r="G1740" i="8"/>
  <c r="L1740" i="8" s="1"/>
  <c r="F1740" i="8"/>
  <c r="E1740" i="8"/>
  <c r="D1740" i="8"/>
  <c r="C1740" i="8"/>
  <c r="B1740" i="8"/>
  <c r="A1740" i="8"/>
  <c r="M1739" i="8"/>
  <c r="L1739" i="8"/>
  <c r="K1739" i="8"/>
  <c r="J1739" i="8"/>
  <c r="I1739" i="8"/>
  <c r="H1739" i="8"/>
  <c r="G1739" i="8"/>
  <c r="F1739" i="8"/>
  <c r="E1739" i="8"/>
  <c r="D1739" i="8"/>
  <c r="C1739" i="8"/>
  <c r="B1739" i="8"/>
  <c r="A1739" i="8"/>
  <c r="M1738" i="8"/>
  <c r="K1738" i="8"/>
  <c r="J1738" i="8"/>
  <c r="I1738" i="8"/>
  <c r="H1738" i="8"/>
  <c r="G1738" i="8"/>
  <c r="L1738" i="8" s="1"/>
  <c r="F1738" i="8"/>
  <c r="E1738" i="8"/>
  <c r="D1738" i="8"/>
  <c r="C1738" i="8"/>
  <c r="B1738" i="8"/>
  <c r="A1738" i="8"/>
  <c r="M1737" i="8"/>
  <c r="L1737" i="8"/>
  <c r="K1737" i="8"/>
  <c r="J1737" i="8"/>
  <c r="I1737" i="8"/>
  <c r="H1737" i="8"/>
  <c r="G1737" i="8"/>
  <c r="F1737" i="8"/>
  <c r="E1737" i="8"/>
  <c r="D1737" i="8"/>
  <c r="C1737" i="8"/>
  <c r="B1737" i="8"/>
  <c r="A1737" i="8"/>
  <c r="M1736" i="8"/>
  <c r="K1736" i="8"/>
  <c r="J1736" i="8"/>
  <c r="I1736" i="8"/>
  <c r="H1736" i="8"/>
  <c r="G1736" i="8"/>
  <c r="L1736" i="8" s="1"/>
  <c r="F1736" i="8"/>
  <c r="E1736" i="8"/>
  <c r="D1736" i="8"/>
  <c r="C1736" i="8"/>
  <c r="B1736" i="8"/>
  <c r="A1736" i="8"/>
  <c r="M1735" i="8"/>
  <c r="K1735" i="8"/>
  <c r="J1735" i="8"/>
  <c r="I1735" i="8"/>
  <c r="H1735" i="8"/>
  <c r="G1735" i="8"/>
  <c r="L1735" i="8" s="1"/>
  <c r="F1735" i="8"/>
  <c r="E1735" i="8"/>
  <c r="D1735" i="8"/>
  <c r="C1735" i="8"/>
  <c r="B1735" i="8"/>
  <c r="A1735" i="8"/>
  <c r="M1734" i="8"/>
  <c r="L1734" i="8"/>
  <c r="K1734" i="8"/>
  <c r="J1734" i="8"/>
  <c r="I1734" i="8"/>
  <c r="H1734" i="8"/>
  <c r="G1734" i="8"/>
  <c r="F1734" i="8"/>
  <c r="E1734" i="8"/>
  <c r="D1734" i="8"/>
  <c r="C1734" i="8"/>
  <c r="B1734" i="8"/>
  <c r="A1734" i="8"/>
  <c r="M1733" i="8"/>
  <c r="L1733" i="8"/>
  <c r="K1733" i="8"/>
  <c r="J1733" i="8"/>
  <c r="I1733" i="8"/>
  <c r="H1733" i="8"/>
  <c r="G1733" i="8"/>
  <c r="F1733" i="8"/>
  <c r="E1733" i="8"/>
  <c r="D1733" i="8"/>
  <c r="C1733" i="8"/>
  <c r="B1733" i="8"/>
  <c r="A1733" i="8"/>
  <c r="M1732" i="8"/>
  <c r="K1732" i="8"/>
  <c r="J1732" i="8"/>
  <c r="I1732" i="8"/>
  <c r="H1732" i="8"/>
  <c r="G1732" i="8"/>
  <c r="L1732" i="8" s="1"/>
  <c r="F1732" i="8"/>
  <c r="E1732" i="8"/>
  <c r="D1732" i="8"/>
  <c r="C1732" i="8"/>
  <c r="B1732" i="8"/>
  <c r="A1732" i="8"/>
  <c r="M1731" i="8"/>
  <c r="L1731" i="8"/>
  <c r="K1731" i="8"/>
  <c r="J1731" i="8"/>
  <c r="I1731" i="8"/>
  <c r="H1731" i="8"/>
  <c r="G1731" i="8"/>
  <c r="F1731" i="8"/>
  <c r="E1731" i="8"/>
  <c r="D1731" i="8"/>
  <c r="C1731" i="8"/>
  <c r="B1731" i="8"/>
  <c r="A1731" i="8"/>
  <c r="M1730" i="8"/>
  <c r="K1730" i="8"/>
  <c r="J1730" i="8"/>
  <c r="I1730" i="8"/>
  <c r="H1730" i="8"/>
  <c r="G1730" i="8"/>
  <c r="L1730" i="8" s="1"/>
  <c r="F1730" i="8"/>
  <c r="E1730" i="8"/>
  <c r="D1730" i="8"/>
  <c r="C1730" i="8"/>
  <c r="B1730" i="8"/>
  <c r="A1730" i="8"/>
  <c r="M1729" i="8"/>
  <c r="L1729" i="8"/>
  <c r="K1729" i="8"/>
  <c r="J1729" i="8"/>
  <c r="I1729" i="8"/>
  <c r="H1729" i="8"/>
  <c r="G1729" i="8"/>
  <c r="F1729" i="8"/>
  <c r="E1729" i="8"/>
  <c r="D1729" i="8"/>
  <c r="C1729" i="8"/>
  <c r="B1729" i="8"/>
  <c r="A1729" i="8"/>
  <c r="M1728" i="8"/>
  <c r="K1728" i="8"/>
  <c r="J1728" i="8"/>
  <c r="I1728" i="8"/>
  <c r="H1728" i="8"/>
  <c r="G1728" i="8"/>
  <c r="L1728" i="8" s="1"/>
  <c r="F1728" i="8"/>
  <c r="E1728" i="8"/>
  <c r="D1728" i="8"/>
  <c r="C1728" i="8"/>
  <c r="B1728" i="8"/>
  <c r="A1728" i="8"/>
  <c r="M1727" i="8"/>
  <c r="K1727" i="8"/>
  <c r="J1727" i="8"/>
  <c r="I1727" i="8"/>
  <c r="H1727" i="8"/>
  <c r="G1727" i="8"/>
  <c r="L1727" i="8" s="1"/>
  <c r="F1727" i="8"/>
  <c r="E1727" i="8"/>
  <c r="D1727" i="8"/>
  <c r="C1727" i="8"/>
  <c r="B1727" i="8"/>
  <c r="A1727" i="8"/>
  <c r="M1726" i="8"/>
  <c r="L1726" i="8"/>
  <c r="K1726" i="8"/>
  <c r="J1726" i="8"/>
  <c r="I1726" i="8"/>
  <c r="H1726" i="8"/>
  <c r="G1726" i="8"/>
  <c r="F1726" i="8"/>
  <c r="E1726" i="8"/>
  <c r="D1726" i="8"/>
  <c r="C1726" i="8"/>
  <c r="B1726" i="8"/>
  <c r="A1726" i="8"/>
  <c r="M1725" i="8"/>
  <c r="L1725" i="8"/>
  <c r="K1725" i="8"/>
  <c r="J1725" i="8"/>
  <c r="I1725" i="8"/>
  <c r="H1725" i="8"/>
  <c r="G1725" i="8"/>
  <c r="F1725" i="8"/>
  <c r="E1725" i="8"/>
  <c r="D1725" i="8"/>
  <c r="C1725" i="8"/>
  <c r="B1725" i="8"/>
  <c r="A1725" i="8"/>
  <c r="M1724" i="8"/>
  <c r="K1724" i="8"/>
  <c r="J1724" i="8"/>
  <c r="I1724" i="8"/>
  <c r="H1724" i="8"/>
  <c r="G1724" i="8"/>
  <c r="L1724" i="8" s="1"/>
  <c r="F1724" i="8"/>
  <c r="E1724" i="8"/>
  <c r="D1724" i="8"/>
  <c r="C1724" i="8"/>
  <c r="B1724" i="8"/>
  <c r="A1724" i="8"/>
  <c r="M1723" i="8"/>
  <c r="L1723" i="8"/>
  <c r="K1723" i="8"/>
  <c r="J1723" i="8"/>
  <c r="I1723" i="8"/>
  <c r="H1723" i="8"/>
  <c r="G1723" i="8"/>
  <c r="F1723" i="8"/>
  <c r="E1723" i="8"/>
  <c r="D1723" i="8"/>
  <c r="C1723" i="8"/>
  <c r="B1723" i="8"/>
  <c r="A1723" i="8"/>
  <c r="M1722" i="8"/>
  <c r="K1722" i="8"/>
  <c r="J1722" i="8"/>
  <c r="I1722" i="8"/>
  <c r="H1722" i="8"/>
  <c r="G1722" i="8"/>
  <c r="L1722" i="8" s="1"/>
  <c r="F1722" i="8"/>
  <c r="E1722" i="8"/>
  <c r="D1722" i="8"/>
  <c r="C1722" i="8"/>
  <c r="B1722" i="8"/>
  <c r="A1722" i="8"/>
  <c r="M1721" i="8"/>
  <c r="L1721" i="8"/>
  <c r="K1721" i="8"/>
  <c r="J1721" i="8"/>
  <c r="I1721" i="8"/>
  <c r="H1721" i="8"/>
  <c r="G1721" i="8"/>
  <c r="F1721" i="8"/>
  <c r="E1721" i="8"/>
  <c r="D1721" i="8"/>
  <c r="C1721" i="8"/>
  <c r="B1721" i="8"/>
  <c r="A1721" i="8"/>
  <c r="M1720" i="8"/>
  <c r="K1720" i="8"/>
  <c r="J1720" i="8"/>
  <c r="I1720" i="8"/>
  <c r="H1720" i="8"/>
  <c r="G1720" i="8"/>
  <c r="L1720" i="8" s="1"/>
  <c r="F1720" i="8"/>
  <c r="E1720" i="8"/>
  <c r="D1720" i="8"/>
  <c r="C1720" i="8"/>
  <c r="B1720" i="8"/>
  <c r="A1720" i="8"/>
  <c r="M1719" i="8"/>
  <c r="K1719" i="8"/>
  <c r="J1719" i="8"/>
  <c r="I1719" i="8"/>
  <c r="H1719" i="8"/>
  <c r="G1719" i="8"/>
  <c r="L1719" i="8" s="1"/>
  <c r="F1719" i="8"/>
  <c r="E1719" i="8"/>
  <c r="D1719" i="8"/>
  <c r="C1719" i="8"/>
  <c r="B1719" i="8"/>
  <c r="A1719" i="8"/>
  <c r="M1718" i="8"/>
  <c r="L1718" i="8"/>
  <c r="K1718" i="8"/>
  <c r="J1718" i="8"/>
  <c r="I1718" i="8"/>
  <c r="H1718" i="8"/>
  <c r="G1718" i="8"/>
  <c r="F1718" i="8"/>
  <c r="E1718" i="8"/>
  <c r="D1718" i="8"/>
  <c r="C1718" i="8"/>
  <c r="B1718" i="8"/>
  <c r="A1718" i="8"/>
  <c r="M1717" i="8"/>
  <c r="L1717" i="8"/>
  <c r="K1717" i="8"/>
  <c r="J1717" i="8"/>
  <c r="I1717" i="8"/>
  <c r="H1717" i="8"/>
  <c r="G1717" i="8"/>
  <c r="F1717" i="8"/>
  <c r="E1717" i="8"/>
  <c r="D1717" i="8"/>
  <c r="C1717" i="8"/>
  <c r="B1717" i="8"/>
  <c r="A1717" i="8"/>
  <c r="M1716" i="8"/>
  <c r="K1716" i="8"/>
  <c r="J1716" i="8"/>
  <c r="I1716" i="8"/>
  <c r="H1716" i="8"/>
  <c r="G1716" i="8"/>
  <c r="L1716" i="8" s="1"/>
  <c r="F1716" i="8"/>
  <c r="E1716" i="8"/>
  <c r="D1716" i="8"/>
  <c r="C1716" i="8"/>
  <c r="B1716" i="8"/>
  <c r="A1716" i="8"/>
  <c r="M1715" i="8"/>
  <c r="L1715" i="8"/>
  <c r="K1715" i="8"/>
  <c r="J1715" i="8"/>
  <c r="I1715" i="8"/>
  <c r="H1715" i="8"/>
  <c r="G1715" i="8"/>
  <c r="F1715" i="8"/>
  <c r="E1715" i="8"/>
  <c r="D1715" i="8"/>
  <c r="C1715" i="8"/>
  <c r="B1715" i="8"/>
  <c r="A1715" i="8"/>
  <c r="M1714" i="8"/>
  <c r="K1714" i="8"/>
  <c r="J1714" i="8"/>
  <c r="I1714" i="8"/>
  <c r="H1714" i="8"/>
  <c r="G1714" i="8"/>
  <c r="L1714" i="8" s="1"/>
  <c r="F1714" i="8"/>
  <c r="E1714" i="8"/>
  <c r="D1714" i="8"/>
  <c r="C1714" i="8"/>
  <c r="B1714" i="8"/>
  <c r="A1714" i="8"/>
  <c r="M1713" i="8"/>
  <c r="L1713" i="8"/>
  <c r="K1713" i="8"/>
  <c r="J1713" i="8"/>
  <c r="I1713" i="8"/>
  <c r="H1713" i="8"/>
  <c r="G1713" i="8"/>
  <c r="F1713" i="8"/>
  <c r="E1713" i="8"/>
  <c r="D1713" i="8"/>
  <c r="C1713" i="8"/>
  <c r="B1713" i="8"/>
  <c r="A1713" i="8"/>
  <c r="M1712" i="8"/>
  <c r="K1712" i="8"/>
  <c r="J1712" i="8"/>
  <c r="I1712" i="8"/>
  <c r="H1712" i="8"/>
  <c r="G1712" i="8"/>
  <c r="L1712" i="8" s="1"/>
  <c r="F1712" i="8"/>
  <c r="E1712" i="8"/>
  <c r="D1712" i="8"/>
  <c r="C1712" i="8"/>
  <c r="B1712" i="8"/>
  <c r="A1712" i="8"/>
  <c r="M1711" i="8"/>
  <c r="K1711" i="8"/>
  <c r="J1711" i="8"/>
  <c r="I1711" i="8"/>
  <c r="H1711" i="8"/>
  <c r="G1711" i="8"/>
  <c r="L1711" i="8" s="1"/>
  <c r="F1711" i="8"/>
  <c r="E1711" i="8"/>
  <c r="D1711" i="8"/>
  <c r="C1711" i="8"/>
  <c r="B1711" i="8"/>
  <c r="A1711" i="8"/>
  <c r="M1710" i="8"/>
  <c r="L1710" i="8"/>
  <c r="K1710" i="8"/>
  <c r="J1710" i="8"/>
  <c r="I1710" i="8"/>
  <c r="H1710" i="8"/>
  <c r="G1710" i="8"/>
  <c r="F1710" i="8"/>
  <c r="E1710" i="8"/>
  <c r="D1710" i="8"/>
  <c r="C1710" i="8"/>
  <c r="B1710" i="8"/>
  <c r="A1710" i="8"/>
  <c r="M1709" i="8"/>
  <c r="L1709" i="8"/>
  <c r="K1709" i="8"/>
  <c r="J1709" i="8"/>
  <c r="I1709" i="8"/>
  <c r="H1709" i="8"/>
  <c r="G1709" i="8"/>
  <c r="F1709" i="8"/>
  <c r="E1709" i="8"/>
  <c r="D1709" i="8"/>
  <c r="C1709" i="8"/>
  <c r="B1709" i="8"/>
  <c r="A1709" i="8"/>
  <c r="M1708" i="8"/>
  <c r="K1708" i="8"/>
  <c r="J1708" i="8"/>
  <c r="I1708" i="8"/>
  <c r="H1708" i="8"/>
  <c r="G1708" i="8"/>
  <c r="L1708" i="8" s="1"/>
  <c r="F1708" i="8"/>
  <c r="E1708" i="8"/>
  <c r="D1708" i="8"/>
  <c r="C1708" i="8"/>
  <c r="B1708" i="8"/>
  <c r="A1708" i="8"/>
  <c r="M1707" i="8"/>
  <c r="K1707" i="8"/>
  <c r="J1707" i="8"/>
  <c r="I1707" i="8"/>
  <c r="H1707" i="8"/>
  <c r="G1707" i="8"/>
  <c r="L1707" i="8" s="1"/>
  <c r="F1707" i="8"/>
  <c r="E1707" i="8"/>
  <c r="D1707" i="8"/>
  <c r="C1707" i="8"/>
  <c r="B1707" i="8"/>
  <c r="A1707" i="8"/>
  <c r="M1706" i="8"/>
  <c r="L1706" i="8"/>
  <c r="K1706" i="8"/>
  <c r="J1706" i="8"/>
  <c r="I1706" i="8"/>
  <c r="H1706" i="8"/>
  <c r="G1706" i="8"/>
  <c r="F1706" i="8"/>
  <c r="E1706" i="8"/>
  <c r="D1706" i="8"/>
  <c r="C1706" i="8"/>
  <c r="B1706" i="8"/>
  <c r="A1706" i="8"/>
  <c r="M1705" i="8"/>
  <c r="L1705" i="8"/>
  <c r="K1705" i="8"/>
  <c r="J1705" i="8"/>
  <c r="I1705" i="8"/>
  <c r="H1705" i="8"/>
  <c r="G1705" i="8"/>
  <c r="F1705" i="8"/>
  <c r="E1705" i="8"/>
  <c r="D1705" i="8"/>
  <c r="C1705" i="8"/>
  <c r="B1705" i="8"/>
  <c r="A1705" i="8"/>
  <c r="M1704" i="8"/>
  <c r="K1704" i="8"/>
  <c r="J1704" i="8"/>
  <c r="I1704" i="8"/>
  <c r="H1704" i="8"/>
  <c r="G1704" i="8"/>
  <c r="L1704" i="8" s="1"/>
  <c r="F1704" i="8"/>
  <c r="E1704" i="8"/>
  <c r="D1704" i="8"/>
  <c r="C1704" i="8"/>
  <c r="B1704" i="8"/>
  <c r="A1704" i="8"/>
  <c r="M1703" i="8"/>
  <c r="K1703" i="8"/>
  <c r="J1703" i="8"/>
  <c r="I1703" i="8"/>
  <c r="H1703" i="8"/>
  <c r="G1703" i="8"/>
  <c r="L1703" i="8" s="1"/>
  <c r="F1703" i="8"/>
  <c r="E1703" i="8"/>
  <c r="D1703" i="8"/>
  <c r="C1703" i="8"/>
  <c r="B1703" i="8"/>
  <c r="A1703" i="8"/>
  <c r="M1702" i="8"/>
  <c r="L1702" i="8"/>
  <c r="K1702" i="8"/>
  <c r="J1702" i="8"/>
  <c r="I1702" i="8"/>
  <c r="H1702" i="8"/>
  <c r="G1702" i="8"/>
  <c r="F1702" i="8"/>
  <c r="E1702" i="8"/>
  <c r="D1702" i="8"/>
  <c r="C1702" i="8"/>
  <c r="B1702" i="8"/>
  <c r="A1702" i="8"/>
  <c r="M1701" i="8"/>
  <c r="L1701" i="8"/>
  <c r="K1701" i="8"/>
  <c r="J1701" i="8"/>
  <c r="I1701" i="8"/>
  <c r="H1701" i="8"/>
  <c r="G1701" i="8"/>
  <c r="F1701" i="8"/>
  <c r="E1701" i="8"/>
  <c r="D1701" i="8"/>
  <c r="C1701" i="8"/>
  <c r="B1701" i="8"/>
  <c r="A1701" i="8"/>
  <c r="M1700" i="8"/>
  <c r="K1700" i="8"/>
  <c r="J1700" i="8"/>
  <c r="I1700" i="8"/>
  <c r="H1700" i="8"/>
  <c r="G1700" i="8"/>
  <c r="L1700" i="8" s="1"/>
  <c r="F1700" i="8"/>
  <c r="E1700" i="8"/>
  <c r="D1700" i="8"/>
  <c r="C1700" i="8"/>
  <c r="B1700" i="8"/>
  <c r="A1700" i="8"/>
  <c r="M1699" i="8"/>
  <c r="L1699" i="8"/>
  <c r="K1699" i="8"/>
  <c r="J1699" i="8"/>
  <c r="I1699" i="8"/>
  <c r="H1699" i="8"/>
  <c r="G1699" i="8"/>
  <c r="F1699" i="8"/>
  <c r="E1699" i="8"/>
  <c r="D1699" i="8"/>
  <c r="C1699" i="8"/>
  <c r="B1699" i="8"/>
  <c r="A1699" i="8"/>
  <c r="M1698" i="8"/>
  <c r="K1698" i="8"/>
  <c r="J1698" i="8"/>
  <c r="I1698" i="8"/>
  <c r="H1698" i="8"/>
  <c r="G1698" i="8"/>
  <c r="L1698" i="8" s="1"/>
  <c r="F1698" i="8"/>
  <c r="E1698" i="8"/>
  <c r="D1698" i="8"/>
  <c r="C1698" i="8"/>
  <c r="B1698" i="8"/>
  <c r="A1698" i="8"/>
  <c r="M1697" i="8"/>
  <c r="L1697" i="8"/>
  <c r="K1697" i="8"/>
  <c r="J1697" i="8"/>
  <c r="I1697" i="8"/>
  <c r="H1697" i="8"/>
  <c r="G1697" i="8"/>
  <c r="F1697" i="8"/>
  <c r="E1697" i="8"/>
  <c r="D1697" i="8"/>
  <c r="C1697" i="8"/>
  <c r="B1697" i="8"/>
  <c r="A1697" i="8"/>
  <c r="M1696" i="8"/>
  <c r="K1696" i="8"/>
  <c r="J1696" i="8"/>
  <c r="I1696" i="8"/>
  <c r="H1696" i="8"/>
  <c r="G1696" i="8"/>
  <c r="L1696" i="8" s="1"/>
  <c r="F1696" i="8"/>
  <c r="E1696" i="8"/>
  <c r="D1696" i="8"/>
  <c r="C1696" i="8"/>
  <c r="B1696" i="8"/>
  <c r="A1696" i="8"/>
  <c r="M1695" i="8"/>
  <c r="K1695" i="8"/>
  <c r="J1695" i="8"/>
  <c r="I1695" i="8"/>
  <c r="H1695" i="8"/>
  <c r="G1695" i="8"/>
  <c r="L1695" i="8" s="1"/>
  <c r="F1695" i="8"/>
  <c r="E1695" i="8"/>
  <c r="D1695" i="8"/>
  <c r="C1695" i="8"/>
  <c r="B1695" i="8"/>
  <c r="A1695" i="8"/>
  <c r="M1694" i="8"/>
  <c r="L1694" i="8"/>
  <c r="K1694" i="8"/>
  <c r="J1694" i="8"/>
  <c r="I1694" i="8"/>
  <c r="H1694" i="8"/>
  <c r="G1694" i="8"/>
  <c r="F1694" i="8"/>
  <c r="E1694" i="8"/>
  <c r="D1694" i="8"/>
  <c r="C1694" i="8"/>
  <c r="B1694" i="8"/>
  <c r="A1694" i="8"/>
  <c r="M1693" i="8"/>
  <c r="L1693" i="8"/>
  <c r="K1693" i="8"/>
  <c r="J1693" i="8"/>
  <c r="I1693" i="8"/>
  <c r="H1693" i="8"/>
  <c r="G1693" i="8"/>
  <c r="F1693" i="8"/>
  <c r="E1693" i="8"/>
  <c r="D1693" i="8"/>
  <c r="C1693" i="8"/>
  <c r="B1693" i="8"/>
  <c r="A1693" i="8"/>
  <c r="M1692" i="8"/>
  <c r="K1692" i="8"/>
  <c r="J1692" i="8"/>
  <c r="I1692" i="8"/>
  <c r="H1692" i="8"/>
  <c r="G1692" i="8"/>
  <c r="L1692" i="8" s="1"/>
  <c r="F1692" i="8"/>
  <c r="E1692" i="8"/>
  <c r="D1692" i="8"/>
  <c r="C1692" i="8"/>
  <c r="B1692" i="8"/>
  <c r="A1692" i="8"/>
  <c r="M1691" i="8"/>
  <c r="K1691" i="8"/>
  <c r="J1691" i="8"/>
  <c r="I1691" i="8"/>
  <c r="H1691" i="8"/>
  <c r="G1691" i="8"/>
  <c r="L1691" i="8" s="1"/>
  <c r="F1691" i="8"/>
  <c r="E1691" i="8"/>
  <c r="D1691" i="8"/>
  <c r="C1691" i="8"/>
  <c r="B1691" i="8"/>
  <c r="A1691" i="8"/>
  <c r="M1690" i="8"/>
  <c r="K1690" i="8"/>
  <c r="J1690" i="8"/>
  <c r="I1690" i="8"/>
  <c r="H1690" i="8"/>
  <c r="G1690" i="8"/>
  <c r="L1690" i="8" s="1"/>
  <c r="F1690" i="8"/>
  <c r="E1690" i="8"/>
  <c r="D1690" i="8"/>
  <c r="C1690" i="8"/>
  <c r="B1690" i="8"/>
  <c r="A1690" i="8"/>
  <c r="M1689" i="8"/>
  <c r="L1689" i="8"/>
  <c r="K1689" i="8"/>
  <c r="J1689" i="8"/>
  <c r="I1689" i="8"/>
  <c r="H1689" i="8"/>
  <c r="G1689" i="8"/>
  <c r="F1689" i="8"/>
  <c r="E1689" i="8"/>
  <c r="D1689" i="8"/>
  <c r="C1689" i="8"/>
  <c r="B1689" i="8"/>
  <c r="A1689" i="8"/>
  <c r="M1688" i="8"/>
  <c r="K1688" i="8"/>
  <c r="J1688" i="8"/>
  <c r="I1688" i="8"/>
  <c r="H1688" i="8"/>
  <c r="G1688" i="8"/>
  <c r="L1688" i="8" s="1"/>
  <c r="F1688" i="8"/>
  <c r="E1688" i="8"/>
  <c r="D1688" i="8"/>
  <c r="C1688" i="8"/>
  <c r="B1688" i="8"/>
  <c r="A1688" i="8"/>
  <c r="M1687" i="8"/>
  <c r="K1687" i="8"/>
  <c r="J1687" i="8"/>
  <c r="I1687" i="8"/>
  <c r="H1687" i="8"/>
  <c r="G1687" i="8"/>
  <c r="L1687" i="8" s="1"/>
  <c r="F1687" i="8"/>
  <c r="E1687" i="8"/>
  <c r="D1687" i="8"/>
  <c r="C1687" i="8"/>
  <c r="B1687" i="8"/>
  <c r="A1687" i="8"/>
  <c r="M1686" i="8"/>
  <c r="L1686" i="8"/>
  <c r="K1686" i="8"/>
  <c r="J1686" i="8"/>
  <c r="I1686" i="8"/>
  <c r="H1686" i="8"/>
  <c r="G1686" i="8"/>
  <c r="F1686" i="8"/>
  <c r="E1686" i="8"/>
  <c r="D1686" i="8"/>
  <c r="C1686" i="8"/>
  <c r="B1686" i="8"/>
  <c r="A1686" i="8"/>
  <c r="M1685" i="8"/>
  <c r="L1685" i="8"/>
  <c r="K1685" i="8"/>
  <c r="J1685" i="8"/>
  <c r="I1685" i="8"/>
  <c r="H1685" i="8"/>
  <c r="G1685" i="8"/>
  <c r="F1685" i="8"/>
  <c r="E1685" i="8"/>
  <c r="D1685" i="8"/>
  <c r="C1685" i="8"/>
  <c r="B1685" i="8"/>
  <c r="A1685" i="8"/>
  <c r="M1684" i="8"/>
  <c r="K1684" i="8"/>
  <c r="J1684" i="8"/>
  <c r="I1684" i="8"/>
  <c r="H1684" i="8"/>
  <c r="G1684" i="8"/>
  <c r="L1684" i="8" s="1"/>
  <c r="F1684" i="8"/>
  <c r="E1684" i="8"/>
  <c r="D1684" i="8"/>
  <c r="C1684" i="8"/>
  <c r="B1684" i="8"/>
  <c r="A1684" i="8"/>
  <c r="M1683" i="8"/>
  <c r="K1683" i="8"/>
  <c r="J1683" i="8"/>
  <c r="I1683" i="8"/>
  <c r="H1683" i="8"/>
  <c r="G1683" i="8"/>
  <c r="L1683" i="8" s="1"/>
  <c r="F1683" i="8"/>
  <c r="E1683" i="8"/>
  <c r="D1683" i="8"/>
  <c r="C1683" i="8"/>
  <c r="B1683" i="8"/>
  <c r="A1683" i="8"/>
  <c r="M1682" i="8"/>
  <c r="L1682" i="8"/>
  <c r="K1682" i="8"/>
  <c r="J1682" i="8"/>
  <c r="I1682" i="8"/>
  <c r="H1682" i="8"/>
  <c r="G1682" i="8"/>
  <c r="F1682" i="8"/>
  <c r="E1682" i="8"/>
  <c r="D1682" i="8"/>
  <c r="C1682" i="8"/>
  <c r="B1682" i="8"/>
  <c r="A1682" i="8"/>
  <c r="M1681" i="8"/>
  <c r="L1681" i="8"/>
  <c r="K1681" i="8"/>
  <c r="J1681" i="8"/>
  <c r="I1681" i="8"/>
  <c r="H1681" i="8"/>
  <c r="G1681" i="8"/>
  <c r="F1681" i="8"/>
  <c r="E1681" i="8"/>
  <c r="D1681" i="8"/>
  <c r="C1681" i="8"/>
  <c r="B1681" i="8"/>
  <c r="A1681" i="8"/>
  <c r="M1680" i="8"/>
  <c r="K1680" i="8"/>
  <c r="J1680" i="8"/>
  <c r="I1680" i="8"/>
  <c r="H1680" i="8"/>
  <c r="G1680" i="8"/>
  <c r="L1680" i="8" s="1"/>
  <c r="F1680" i="8"/>
  <c r="E1680" i="8"/>
  <c r="D1680" i="8"/>
  <c r="C1680" i="8"/>
  <c r="B1680" i="8"/>
  <c r="A1680" i="8"/>
  <c r="M1679" i="8"/>
  <c r="K1679" i="8"/>
  <c r="J1679" i="8"/>
  <c r="I1679" i="8"/>
  <c r="H1679" i="8"/>
  <c r="G1679" i="8"/>
  <c r="L1679" i="8" s="1"/>
  <c r="F1679" i="8"/>
  <c r="E1679" i="8"/>
  <c r="D1679" i="8"/>
  <c r="C1679" i="8"/>
  <c r="B1679" i="8"/>
  <c r="A1679" i="8"/>
  <c r="M1678" i="8"/>
  <c r="L1678" i="8"/>
  <c r="K1678" i="8"/>
  <c r="J1678" i="8"/>
  <c r="I1678" i="8"/>
  <c r="H1678" i="8"/>
  <c r="G1678" i="8"/>
  <c r="F1678" i="8"/>
  <c r="E1678" i="8"/>
  <c r="D1678" i="8"/>
  <c r="C1678" i="8"/>
  <c r="B1678" i="8"/>
  <c r="A1678" i="8"/>
  <c r="M1677" i="8"/>
  <c r="L1677" i="8"/>
  <c r="K1677" i="8"/>
  <c r="J1677" i="8"/>
  <c r="I1677" i="8"/>
  <c r="H1677" i="8"/>
  <c r="G1677" i="8"/>
  <c r="F1677" i="8"/>
  <c r="E1677" i="8"/>
  <c r="D1677" i="8"/>
  <c r="C1677" i="8"/>
  <c r="B1677" i="8"/>
  <c r="A1677" i="8"/>
  <c r="M1676" i="8"/>
  <c r="K1676" i="8"/>
  <c r="J1676" i="8"/>
  <c r="I1676" i="8"/>
  <c r="H1676" i="8"/>
  <c r="G1676" i="8"/>
  <c r="L1676" i="8" s="1"/>
  <c r="F1676" i="8"/>
  <c r="E1676" i="8"/>
  <c r="D1676" i="8"/>
  <c r="C1676" i="8"/>
  <c r="B1676" i="8"/>
  <c r="A1676" i="8"/>
  <c r="M1675" i="8"/>
  <c r="L1675" i="8"/>
  <c r="K1675" i="8"/>
  <c r="J1675" i="8"/>
  <c r="I1675" i="8"/>
  <c r="H1675" i="8"/>
  <c r="G1675" i="8"/>
  <c r="F1675" i="8"/>
  <c r="E1675" i="8"/>
  <c r="D1675" i="8"/>
  <c r="C1675" i="8"/>
  <c r="B1675" i="8"/>
  <c r="A1675" i="8"/>
  <c r="M1674" i="8"/>
  <c r="L1674" i="8"/>
  <c r="K1674" i="8"/>
  <c r="J1674" i="8"/>
  <c r="I1674" i="8"/>
  <c r="H1674" i="8"/>
  <c r="G1674" i="8"/>
  <c r="F1674" i="8"/>
  <c r="E1674" i="8"/>
  <c r="D1674" i="8"/>
  <c r="C1674" i="8"/>
  <c r="B1674" i="8"/>
  <c r="A1674" i="8"/>
  <c r="M1673" i="8"/>
  <c r="L1673" i="8"/>
  <c r="K1673" i="8"/>
  <c r="J1673" i="8"/>
  <c r="I1673" i="8"/>
  <c r="H1673" i="8"/>
  <c r="G1673" i="8"/>
  <c r="F1673" i="8"/>
  <c r="E1673" i="8"/>
  <c r="D1673" i="8"/>
  <c r="C1673" i="8"/>
  <c r="B1673" i="8"/>
  <c r="A1673" i="8"/>
  <c r="M1672" i="8"/>
  <c r="K1672" i="8"/>
  <c r="J1672" i="8"/>
  <c r="I1672" i="8"/>
  <c r="H1672" i="8"/>
  <c r="G1672" i="8"/>
  <c r="L1672" i="8" s="1"/>
  <c r="F1672" i="8"/>
  <c r="E1672" i="8"/>
  <c r="D1672" i="8"/>
  <c r="C1672" i="8"/>
  <c r="B1672" i="8"/>
  <c r="A1672" i="8"/>
  <c r="M1671" i="8"/>
  <c r="K1671" i="8"/>
  <c r="J1671" i="8"/>
  <c r="I1671" i="8"/>
  <c r="H1671" i="8"/>
  <c r="G1671" i="8"/>
  <c r="L1671" i="8" s="1"/>
  <c r="F1671" i="8"/>
  <c r="E1671" i="8"/>
  <c r="D1671" i="8"/>
  <c r="C1671" i="8"/>
  <c r="B1671" i="8"/>
  <c r="A1671" i="8"/>
  <c r="M1670" i="8"/>
  <c r="L1670" i="8"/>
  <c r="K1670" i="8"/>
  <c r="J1670" i="8"/>
  <c r="I1670" i="8"/>
  <c r="H1670" i="8"/>
  <c r="G1670" i="8"/>
  <c r="F1670" i="8"/>
  <c r="E1670" i="8"/>
  <c r="D1670" i="8"/>
  <c r="C1670" i="8"/>
  <c r="B1670" i="8"/>
  <c r="A1670" i="8"/>
  <c r="M1669" i="8"/>
  <c r="L1669" i="8"/>
  <c r="K1669" i="8"/>
  <c r="J1669" i="8"/>
  <c r="I1669" i="8"/>
  <c r="H1669" i="8"/>
  <c r="G1669" i="8"/>
  <c r="F1669" i="8"/>
  <c r="E1669" i="8"/>
  <c r="D1669" i="8"/>
  <c r="C1669" i="8"/>
  <c r="B1669" i="8"/>
  <c r="A1669" i="8"/>
  <c r="M1668" i="8"/>
  <c r="K1668" i="8"/>
  <c r="J1668" i="8"/>
  <c r="I1668" i="8"/>
  <c r="H1668" i="8"/>
  <c r="G1668" i="8"/>
  <c r="L1668" i="8" s="1"/>
  <c r="F1668" i="8"/>
  <c r="E1668" i="8"/>
  <c r="D1668" i="8"/>
  <c r="C1668" i="8"/>
  <c r="B1668" i="8"/>
  <c r="A1668" i="8"/>
  <c r="M1667" i="8"/>
  <c r="L1667" i="8"/>
  <c r="K1667" i="8"/>
  <c r="J1667" i="8"/>
  <c r="I1667" i="8"/>
  <c r="H1667" i="8"/>
  <c r="G1667" i="8"/>
  <c r="F1667" i="8"/>
  <c r="E1667" i="8"/>
  <c r="D1667" i="8"/>
  <c r="C1667" i="8"/>
  <c r="B1667" i="8"/>
  <c r="A1667" i="8"/>
  <c r="M1666" i="8"/>
  <c r="K1666" i="8"/>
  <c r="J1666" i="8"/>
  <c r="I1666" i="8"/>
  <c r="H1666" i="8"/>
  <c r="G1666" i="8"/>
  <c r="L1666" i="8" s="1"/>
  <c r="F1666" i="8"/>
  <c r="E1666" i="8"/>
  <c r="D1666" i="8"/>
  <c r="C1666" i="8"/>
  <c r="B1666" i="8"/>
  <c r="A1666" i="8"/>
  <c r="M1665" i="8"/>
  <c r="L1665" i="8"/>
  <c r="K1665" i="8"/>
  <c r="J1665" i="8"/>
  <c r="I1665" i="8"/>
  <c r="H1665" i="8"/>
  <c r="G1665" i="8"/>
  <c r="F1665" i="8"/>
  <c r="E1665" i="8"/>
  <c r="D1665" i="8"/>
  <c r="C1665" i="8"/>
  <c r="B1665" i="8"/>
  <c r="A1665" i="8"/>
  <c r="M1664" i="8"/>
  <c r="K1664" i="8"/>
  <c r="J1664" i="8"/>
  <c r="I1664" i="8"/>
  <c r="H1664" i="8"/>
  <c r="G1664" i="8"/>
  <c r="L1664" i="8" s="1"/>
  <c r="F1664" i="8"/>
  <c r="E1664" i="8"/>
  <c r="D1664" i="8"/>
  <c r="C1664" i="8"/>
  <c r="B1664" i="8"/>
  <c r="A1664" i="8"/>
  <c r="M1663" i="8"/>
  <c r="K1663" i="8"/>
  <c r="J1663" i="8"/>
  <c r="I1663" i="8"/>
  <c r="H1663" i="8"/>
  <c r="G1663" i="8"/>
  <c r="L1663" i="8" s="1"/>
  <c r="F1663" i="8"/>
  <c r="E1663" i="8"/>
  <c r="D1663" i="8"/>
  <c r="C1663" i="8"/>
  <c r="B1663" i="8"/>
  <c r="A1663" i="8"/>
  <c r="M1662" i="8"/>
  <c r="L1662" i="8"/>
  <c r="K1662" i="8"/>
  <c r="J1662" i="8"/>
  <c r="I1662" i="8"/>
  <c r="H1662" i="8"/>
  <c r="G1662" i="8"/>
  <c r="F1662" i="8"/>
  <c r="E1662" i="8"/>
  <c r="D1662" i="8"/>
  <c r="C1662" i="8"/>
  <c r="B1662" i="8"/>
  <c r="A1662" i="8"/>
  <c r="M1661" i="8"/>
  <c r="L1661" i="8"/>
  <c r="K1661" i="8"/>
  <c r="J1661" i="8"/>
  <c r="I1661" i="8"/>
  <c r="H1661" i="8"/>
  <c r="G1661" i="8"/>
  <c r="F1661" i="8"/>
  <c r="E1661" i="8"/>
  <c r="D1661" i="8"/>
  <c r="C1661" i="8"/>
  <c r="B1661" i="8"/>
  <c r="A1661" i="8"/>
  <c r="M1660" i="8"/>
  <c r="K1660" i="8"/>
  <c r="J1660" i="8"/>
  <c r="I1660" i="8"/>
  <c r="H1660" i="8"/>
  <c r="G1660" i="8"/>
  <c r="L1660" i="8" s="1"/>
  <c r="F1660" i="8"/>
  <c r="E1660" i="8"/>
  <c r="D1660" i="8"/>
  <c r="C1660" i="8"/>
  <c r="B1660" i="8"/>
  <c r="A1660" i="8"/>
  <c r="M1659" i="8"/>
  <c r="K1659" i="8"/>
  <c r="J1659" i="8"/>
  <c r="I1659" i="8"/>
  <c r="H1659" i="8"/>
  <c r="G1659" i="8"/>
  <c r="L1659" i="8" s="1"/>
  <c r="F1659" i="8"/>
  <c r="E1659" i="8"/>
  <c r="D1659" i="8"/>
  <c r="C1659" i="8"/>
  <c r="B1659" i="8"/>
  <c r="A1659" i="8"/>
  <c r="M1658" i="8"/>
  <c r="L1658" i="8"/>
  <c r="K1658" i="8"/>
  <c r="J1658" i="8"/>
  <c r="I1658" i="8"/>
  <c r="H1658" i="8"/>
  <c r="G1658" i="8"/>
  <c r="F1658" i="8"/>
  <c r="E1658" i="8"/>
  <c r="D1658" i="8"/>
  <c r="C1658" i="8"/>
  <c r="B1658" i="8"/>
  <c r="A1658" i="8"/>
  <c r="M1657" i="8"/>
  <c r="L1657" i="8"/>
  <c r="K1657" i="8"/>
  <c r="J1657" i="8"/>
  <c r="I1657" i="8"/>
  <c r="H1657" i="8"/>
  <c r="G1657" i="8"/>
  <c r="F1657" i="8"/>
  <c r="E1657" i="8"/>
  <c r="D1657" i="8"/>
  <c r="C1657" i="8"/>
  <c r="B1657" i="8"/>
  <c r="A1657" i="8"/>
  <c r="M1656" i="8"/>
  <c r="K1656" i="8"/>
  <c r="J1656" i="8"/>
  <c r="I1656" i="8"/>
  <c r="H1656" i="8"/>
  <c r="G1656" i="8"/>
  <c r="L1656" i="8" s="1"/>
  <c r="F1656" i="8"/>
  <c r="E1656" i="8"/>
  <c r="D1656" i="8"/>
  <c r="C1656" i="8"/>
  <c r="B1656" i="8"/>
  <c r="A1656" i="8"/>
  <c r="M1655" i="8"/>
  <c r="K1655" i="8"/>
  <c r="J1655" i="8"/>
  <c r="I1655" i="8"/>
  <c r="H1655" i="8"/>
  <c r="G1655" i="8"/>
  <c r="L1655" i="8" s="1"/>
  <c r="F1655" i="8"/>
  <c r="E1655" i="8"/>
  <c r="D1655" i="8"/>
  <c r="C1655" i="8"/>
  <c r="B1655" i="8"/>
  <c r="A1655" i="8"/>
  <c r="M1654" i="8"/>
  <c r="L1654" i="8"/>
  <c r="K1654" i="8"/>
  <c r="J1654" i="8"/>
  <c r="I1654" i="8"/>
  <c r="H1654" i="8"/>
  <c r="G1654" i="8"/>
  <c r="F1654" i="8"/>
  <c r="E1654" i="8"/>
  <c r="D1654" i="8"/>
  <c r="C1654" i="8"/>
  <c r="B1654" i="8"/>
  <c r="A1654" i="8"/>
  <c r="M1653" i="8"/>
  <c r="L1653" i="8"/>
  <c r="K1653" i="8"/>
  <c r="J1653" i="8"/>
  <c r="I1653" i="8"/>
  <c r="H1653" i="8"/>
  <c r="G1653" i="8"/>
  <c r="F1653" i="8"/>
  <c r="E1653" i="8"/>
  <c r="D1653" i="8"/>
  <c r="C1653" i="8"/>
  <c r="B1653" i="8"/>
  <c r="A1653" i="8"/>
  <c r="M1652" i="8"/>
  <c r="K1652" i="8"/>
  <c r="J1652" i="8"/>
  <c r="I1652" i="8"/>
  <c r="H1652" i="8"/>
  <c r="G1652" i="8"/>
  <c r="L1652" i="8" s="1"/>
  <c r="F1652" i="8"/>
  <c r="E1652" i="8"/>
  <c r="D1652" i="8"/>
  <c r="C1652" i="8"/>
  <c r="B1652" i="8"/>
  <c r="A1652" i="8"/>
  <c r="M1651" i="8"/>
  <c r="L1651" i="8"/>
  <c r="K1651" i="8"/>
  <c r="J1651" i="8"/>
  <c r="I1651" i="8"/>
  <c r="H1651" i="8"/>
  <c r="G1651" i="8"/>
  <c r="F1651" i="8"/>
  <c r="E1651" i="8"/>
  <c r="D1651" i="8"/>
  <c r="C1651" i="8"/>
  <c r="B1651" i="8"/>
  <c r="A1651" i="8"/>
  <c r="M1650" i="8"/>
  <c r="K1650" i="8"/>
  <c r="J1650" i="8"/>
  <c r="I1650" i="8"/>
  <c r="H1650" i="8"/>
  <c r="G1650" i="8"/>
  <c r="L1650" i="8" s="1"/>
  <c r="F1650" i="8"/>
  <c r="E1650" i="8"/>
  <c r="D1650" i="8"/>
  <c r="C1650" i="8"/>
  <c r="B1650" i="8"/>
  <c r="A1650" i="8"/>
  <c r="M1649" i="8"/>
  <c r="L1649" i="8"/>
  <c r="K1649" i="8"/>
  <c r="J1649" i="8"/>
  <c r="I1649" i="8"/>
  <c r="H1649" i="8"/>
  <c r="G1649" i="8"/>
  <c r="F1649" i="8"/>
  <c r="E1649" i="8"/>
  <c r="D1649" i="8"/>
  <c r="C1649" i="8"/>
  <c r="B1649" i="8"/>
  <c r="A1649" i="8"/>
  <c r="M1648" i="8"/>
  <c r="K1648" i="8"/>
  <c r="J1648" i="8"/>
  <c r="I1648" i="8"/>
  <c r="H1648" i="8"/>
  <c r="G1648" i="8"/>
  <c r="L1648" i="8" s="1"/>
  <c r="F1648" i="8"/>
  <c r="E1648" i="8"/>
  <c r="D1648" i="8"/>
  <c r="C1648" i="8"/>
  <c r="B1648" i="8"/>
  <c r="A1648" i="8"/>
  <c r="M1647" i="8"/>
  <c r="K1647" i="8"/>
  <c r="J1647" i="8"/>
  <c r="I1647" i="8"/>
  <c r="H1647" i="8"/>
  <c r="G1647" i="8"/>
  <c r="L1647" i="8" s="1"/>
  <c r="F1647" i="8"/>
  <c r="E1647" i="8"/>
  <c r="D1647" i="8"/>
  <c r="C1647" i="8"/>
  <c r="B1647" i="8"/>
  <c r="A1647" i="8"/>
  <c r="M1646" i="8"/>
  <c r="L1646" i="8"/>
  <c r="K1646" i="8"/>
  <c r="J1646" i="8"/>
  <c r="I1646" i="8"/>
  <c r="H1646" i="8"/>
  <c r="G1646" i="8"/>
  <c r="F1646" i="8"/>
  <c r="E1646" i="8"/>
  <c r="D1646" i="8"/>
  <c r="C1646" i="8"/>
  <c r="B1646" i="8"/>
  <c r="A1646" i="8"/>
  <c r="M1645" i="8"/>
  <c r="L1645" i="8"/>
  <c r="K1645" i="8"/>
  <c r="J1645" i="8"/>
  <c r="I1645" i="8"/>
  <c r="H1645" i="8"/>
  <c r="G1645" i="8"/>
  <c r="F1645" i="8"/>
  <c r="E1645" i="8"/>
  <c r="D1645" i="8"/>
  <c r="C1645" i="8"/>
  <c r="B1645" i="8"/>
  <c r="A1645" i="8"/>
  <c r="M1644" i="8"/>
  <c r="K1644" i="8"/>
  <c r="J1644" i="8"/>
  <c r="I1644" i="8"/>
  <c r="H1644" i="8"/>
  <c r="G1644" i="8"/>
  <c r="L1644" i="8" s="1"/>
  <c r="F1644" i="8"/>
  <c r="E1644" i="8"/>
  <c r="D1644" i="8"/>
  <c r="C1644" i="8"/>
  <c r="B1644" i="8"/>
  <c r="A1644" i="8"/>
  <c r="M1643" i="8"/>
  <c r="K1643" i="8"/>
  <c r="J1643" i="8"/>
  <c r="I1643" i="8"/>
  <c r="H1643" i="8"/>
  <c r="G1643" i="8"/>
  <c r="L1643" i="8" s="1"/>
  <c r="F1643" i="8"/>
  <c r="E1643" i="8"/>
  <c r="D1643" i="8"/>
  <c r="C1643" i="8"/>
  <c r="B1643" i="8"/>
  <c r="A1643" i="8"/>
  <c r="M1642" i="8"/>
  <c r="L1642" i="8"/>
  <c r="K1642" i="8"/>
  <c r="J1642" i="8"/>
  <c r="I1642" i="8"/>
  <c r="H1642" i="8"/>
  <c r="G1642" i="8"/>
  <c r="F1642" i="8"/>
  <c r="E1642" i="8"/>
  <c r="D1642" i="8"/>
  <c r="C1642" i="8"/>
  <c r="B1642" i="8"/>
  <c r="A1642" i="8"/>
  <c r="M1641" i="8"/>
  <c r="L1641" i="8"/>
  <c r="K1641" i="8"/>
  <c r="J1641" i="8"/>
  <c r="I1641" i="8"/>
  <c r="H1641" i="8"/>
  <c r="G1641" i="8"/>
  <c r="F1641" i="8"/>
  <c r="E1641" i="8"/>
  <c r="D1641" i="8"/>
  <c r="C1641" i="8"/>
  <c r="B1641" i="8"/>
  <c r="A1641" i="8"/>
  <c r="M1640" i="8"/>
  <c r="K1640" i="8"/>
  <c r="J1640" i="8"/>
  <c r="I1640" i="8"/>
  <c r="H1640" i="8"/>
  <c r="G1640" i="8"/>
  <c r="L1640" i="8" s="1"/>
  <c r="F1640" i="8"/>
  <c r="E1640" i="8"/>
  <c r="D1640" i="8"/>
  <c r="C1640" i="8"/>
  <c r="B1640" i="8"/>
  <c r="A1640" i="8"/>
  <c r="M1639" i="8"/>
  <c r="K1639" i="8"/>
  <c r="J1639" i="8"/>
  <c r="I1639" i="8"/>
  <c r="H1639" i="8"/>
  <c r="G1639" i="8"/>
  <c r="L1639" i="8" s="1"/>
  <c r="F1639" i="8"/>
  <c r="E1639" i="8"/>
  <c r="D1639" i="8"/>
  <c r="C1639" i="8"/>
  <c r="B1639" i="8"/>
  <c r="A1639" i="8"/>
  <c r="M1638" i="8"/>
  <c r="L1638" i="8"/>
  <c r="K1638" i="8"/>
  <c r="J1638" i="8"/>
  <c r="I1638" i="8"/>
  <c r="H1638" i="8"/>
  <c r="G1638" i="8"/>
  <c r="F1638" i="8"/>
  <c r="E1638" i="8"/>
  <c r="D1638" i="8"/>
  <c r="C1638" i="8"/>
  <c r="B1638" i="8"/>
  <c r="A1638" i="8"/>
  <c r="M1637" i="8"/>
  <c r="L1637" i="8"/>
  <c r="K1637" i="8"/>
  <c r="J1637" i="8"/>
  <c r="I1637" i="8"/>
  <c r="H1637" i="8"/>
  <c r="G1637" i="8"/>
  <c r="F1637" i="8"/>
  <c r="E1637" i="8"/>
  <c r="D1637" i="8"/>
  <c r="C1637" i="8"/>
  <c r="B1637" i="8"/>
  <c r="A1637" i="8"/>
  <c r="M1636" i="8"/>
  <c r="K1636" i="8"/>
  <c r="J1636" i="8"/>
  <c r="I1636" i="8"/>
  <c r="H1636" i="8"/>
  <c r="G1636" i="8"/>
  <c r="L1636" i="8" s="1"/>
  <c r="F1636" i="8"/>
  <c r="E1636" i="8"/>
  <c r="D1636" i="8"/>
  <c r="C1636" i="8"/>
  <c r="B1636" i="8"/>
  <c r="A1636" i="8"/>
  <c r="M1635" i="8"/>
  <c r="L1635" i="8"/>
  <c r="K1635" i="8"/>
  <c r="J1635" i="8"/>
  <c r="I1635" i="8"/>
  <c r="H1635" i="8"/>
  <c r="G1635" i="8"/>
  <c r="F1635" i="8"/>
  <c r="E1635" i="8"/>
  <c r="D1635" i="8"/>
  <c r="C1635" i="8"/>
  <c r="B1635" i="8"/>
  <c r="A1635" i="8"/>
  <c r="M1634" i="8"/>
  <c r="K1634" i="8"/>
  <c r="J1634" i="8"/>
  <c r="I1634" i="8"/>
  <c r="H1634" i="8"/>
  <c r="G1634" i="8"/>
  <c r="L1634" i="8" s="1"/>
  <c r="F1634" i="8"/>
  <c r="E1634" i="8"/>
  <c r="D1634" i="8"/>
  <c r="C1634" i="8"/>
  <c r="B1634" i="8"/>
  <c r="A1634" i="8"/>
  <c r="M1633" i="8"/>
  <c r="L1633" i="8"/>
  <c r="K1633" i="8"/>
  <c r="J1633" i="8"/>
  <c r="I1633" i="8"/>
  <c r="H1633" i="8"/>
  <c r="G1633" i="8"/>
  <c r="F1633" i="8"/>
  <c r="E1633" i="8"/>
  <c r="D1633" i="8"/>
  <c r="C1633" i="8"/>
  <c r="B1633" i="8"/>
  <c r="A1633" i="8"/>
  <c r="M1632" i="8"/>
  <c r="K1632" i="8"/>
  <c r="J1632" i="8"/>
  <c r="I1632" i="8"/>
  <c r="H1632" i="8"/>
  <c r="G1632" i="8"/>
  <c r="L1632" i="8" s="1"/>
  <c r="F1632" i="8"/>
  <c r="E1632" i="8"/>
  <c r="D1632" i="8"/>
  <c r="C1632" i="8"/>
  <c r="B1632" i="8"/>
  <c r="A1632" i="8"/>
  <c r="M1631" i="8"/>
  <c r="K1631" i="8"/>
  <c r="J1631" i="8"/>
  <c r="I1631" i="8"/>
  <c r="H1631" i="8"/>
  <c r="G1631" i="8"/>
  <c r="L1631" i="8" s="1"/>
  <c r="F1631" i="8"/>
  <c r="E1631" i="8"/>
  <c r="D1631" i="8"/>
  <c r="C1631" i="8"/>
  <c r="B1631" i="8"/>
  <c r="A1631" i="8"/>
  <c r="M1630" i="8"/>
  <c r="L1630" i="8"/>
  <c r="K1630" i="8"/>
  <c r="J1630" i="8"/>
  <c r="I1630" i="8"/>
  <c r="H1630" i="8"/>
  <c r="G1630" i="8"/>
  <c r="F1630" i="8"/>
  <c r="E1630" i="8"/>
  <c r="D1630" i="8"/>
  <c r="C1630" i="8"/>
  <c r="B1630" i="8"/>
  <c r="A1630" i="8"/>
  <c r="M1629" i="8"/>
  <c r="L1629" i="8"/>
  <c r="K1629" i="8"/>
  <c r="J1629" i="8"/>
  <c r="I1629" i="8"/>
  <c r="H1629" i="8"/>
  <c r="G1629" i="8"/>
  <c r="F1629" i="8"/>
  <c r="E1629" i="8"/>
  <c r="D1629" i="8"/>
  <c r="C1629" i="8"/>
  <c r="B1629" i="8"/>
  <c r="A1629" i="8"/>
  <c r="M1628" i="8"/>
  <c r="K1628" i="8"/>
  <c r="J1628" i="8"/>
  <c r="I1628" i="8"/>
  <c r="H1628" i="8"/>
  <c r="G1628" i="8"/>
  <c r="L1628" i="8" s="1"/>
  <c r="F1628" i="8"/>
  <c r="E1628" i="8"/>
  <c r="D1628" i="8"/>
  <c r="C1628" i="8"/>
  <c r="B1628" i="8"/>
  <c r="A1628" i="8"/>
  <c r="M1627" i="8"/>
  <c r="K1627" i="8"/>
  <c r="J1627" i="8"/>
  <c r="I1627" i="8"/>
  <c r="H1627" i="8"/>
  <c r="G1627" i="8"/>
  <c r="L1627" i="8" s="1"/>
  <c r="F1627" i="8"/>
  <c r="E1627" i="8"/>
  <c r="D1627" i="8"/>
  <c r="C1627" i="8"/>
  <c r="B1627" i="8"/>
  <c r="A1627" i="8"/>
  <c r="M1626" i="8"/>
  <c r="K1626" i="8"/>
  <c r="J1626" i="8"/>
  <c r="I1626" i="8"/>
  <c r="H1626" i="8"/>
  <c r="G1626" i="8"/>
  <c r="L1626" i="8" s="1"/>
  <c r="F1626" i="8"/>
  <c r="E1626" i="8"/>
  <c r="D1626" i="8"/>
  <c r="C1626" i="8"/>
  <c r="B1626" i="8"/>
  <c r="A1626" i="8"/>
  <c r="M1625" i="8"/>
  <c r="L1625" i="8"/>
  <c r="K1625" i="8"/>
  <c r="J1625" i="8"/>
  <c r="I1625" i="8"/>
  <c r="H1625" i="8"/>
  <c r="G1625" i="8"/>
  <c r="F1625" i="8"/>
  <c r="E1625" i="8"/>
  <c r="D1625" i="8"/>
  <c r="C1625" i="8"/>
  <c r="B1625" i="8"/>
  <c r="A1625" i="8"/>
  <c r="M1624" i="8"/>
  <c r="K1624" i="8"/>
  <c r="J1624" i="8"/>
  <c r="I1624" i="8"/>
  <c r="H1624" i="8"/>
  <c r="G1624" i="8"/>
  <c r="L1624" i="8" s="1"/>
  <c r="F1624" i="8"/>
  <c r="E1624" i="8"/>
  <c r="D1624" i="8"/>
  <c r="C1624" i="8"/>
  <c r="B1624" i="8"/>
  <c r="A1624" i="8"/>
  <c r="M1623" i="8"/>
  <c r="K1623" i="8"/>
  <c r="J1623" i="8"/>
  <c r="I1623" i="8"/>
  <c r="H1623" i="8"/>
  <c r="G1623" i="8"/>
  <c r="L1623" i="8" s="1"/>
  <c r="F1623" i="8"/>
  <c r="E1623" i="8"/>
  <c r="D1623" i="8"/>
  <c r="C1623" i="8"/>
  <c r="B1623" i="8"/>
  <c r="A1623" i="8"/>
  <c r="M1622" i="8"/>
  <c r="L1622" i="8"/>
  <c r="K1622" i="8"/>
  <c r="J1622" i="8"/>
  <c r="I1622" i="8"/>
  <c r="H1622" i="8"/>
  <c r="G1622" i="8"/>
  <c r="F1622" i="8"/>
  <c r="E1622" i="8"/>
  <c r="D1622" i="8"/>
  <c r="C1622" i="8"/>
  <c r="B1622" i="8"/>
  <c r="A1622" i="8"/>
  <c r="M1621" i="8"/>
  <c r="L1621" i="8"/>
  <c r="K1621" i="8"/>
  <c r="J1621" i="8"/>
  <c r="I1621" i="8"/>
  <c r="H1621" i="8"/>
  <c r="G1621" i="8"/>
  <c r="F1621" i="8"/>
  <c r="E1621" i="8"/>
  <c r="D1621" i="8"/>
  <c r="C1621" i="8"/>
  <c r="B1621" i="8"/>
  <c r="A1621" i="8"/>
  <c r="M1620" i="8"/>
  <c r="K1620" i="8"/>
  <c r="J1620" i="8"/>
  <c r="I1620" i="8"/>
  <c r="H1620" i="8"/>
  <c r="G1620" i="8"/>
  <c r="L1620" i="8" s="1"/>
  <c r="F1620" i="8"/>
  <c r="E1620" i="8"/>
  <c r="D1620" i="8"/>
  <c r="C1620" i="8"/>
  <c r="B1620" i="8"/>
  <c r="A1620" i="8"/>
  <c r="M1619" i="8"/>
  <c r="K1619" i="8"/>
  <c r="J1619" i="8"/>
  <c r="I1619" i="8"/>
  <c r="H1619" i="8"/>
  <c r="G1619" i="8"/>
  <c r="L1619" i="8" s="1"/>
  <c r="F1619" i="8"/>
  <c r="E1619" i="8"/>
  <c r="D1619" i="8"/>
  <c r="C1619" i="8"/>
  <c r="B1619" i="8"/>
  <c r="A1619" i="8"/>
  <c r="M1618" i="8"/>
  <c r="L1618" i="8"/>
  <c r="K1618" i="8"/>
  <c r="J1618" i="8"/>
  <c r="I1618" i="8"/>
  <c r="H1618" i="8"/>
  <c r="G1618" i="8"/>
  <c r="F1618" i="8"/>
  <c r="E1618" i="8"/>
  <c r="D1618" i="8"/>
  <c r="C1618" i="8"/>
  <c r="B1618" i="8"/>
  <c r="A1618" i="8"/>
  <c r="M1617" i="8"/>
  <c r="L1617" i="8"/>
  <c r="K1617" i="8"/>
  <c r="J1617" i="8"/>
  <c r="I1617" i="8"/>
  <c r="H1617" i="8"/>
  <c r="G1617" i="8"/>
  <c r="F1617" i="8"/>
  <c r="E1617" i="8"/>
  <c r="D1617" i="8"/>
  <c r="C1617" i="8"/>
  <c r="B1617" i="8"/>
  <c r="A1617" i="8"/>
  <c r="M1616" i="8"/>
  <c r="K1616" i="8"/>
  <c r="J1616" i="8"/>
  <c r="I1616" i="8"/>
  <c r="H1616" i="8"/>
  <c r="G1616" i="8"/>
  <c r="L1616" i="8" s="1"/>
  <c r="F1616" i="8"/>
  <c r="E1616" i="8"/>
  <c r="D1616" i="8"/>
  <c r="C1616" i="8"/>
  <c r="B1616" i="8"/>
  <c r="A1616" i="8"/>
  <c r="M1615" i="8"/>
  <c r="K1615" i="8"/>
  <c r="J1615" i="8"/>
  <c r="I1615" i="8"/>
  <c r="H1615" i="8"/>
  <c r="G1615" i="8"/>
  <c r="L1615" i="8" s="1"/>
  <c r="F1615" i="8"/>
  <c r="E1615" i="8"/>
  <c r="D1615" i="8"/>
  <c r="C1615" i="8"/>
  <c r="B1615" i="8"/>
  <c r="A1615" i="8"/>
  <c r="M1614" i="8"/>
  <c r="L1614" i="8"/>
  <c r="K1614" i="8"/>
  <c r="J1614" i="8"/>
  <c r="I1614" i="8"/>
  <c r="H1614" i="8"/>
  <c r="G1614" i="8"/>
  <c r="F1614" i="8"/>
  <c r="E1614" i="8"/>
  <c r="D1614" i="8"/>
  <c r="C1614" i="8"/>
  <c r="B1614" i="8"/>
  <c r="A1614" i="8"/>
  <c r="M1613" i="8"/>
  <c r="L1613" i="8"/>
  <c r="K1613" i="8"/>
  <c r="J1613" i="8"/>
  <c r="I1613" i="8"/>
  <c r="H1613" i="8"/>
  <c r="G1613" i="8"/>
  <c r="F1613" i="8"/>
  <c r="E1613" i="8"/>
  <c r="D1613" i="8"/>
  <c r="C1613" i="8"/>
  <c r="B1613" i="8"/>
  <c r="A1613" i="8"/>
  <c r="M1612" i="8"/>
  <c r="K1612" i="8"/>
  <c r="J1612" i="8"/>
  <c r="I1612" i="8"/>
  <c r="H1612" i="8"/>
  <c r="G1612" i="8"/>
  <c r="L1612" i="8" s="1"/>
  <c r="F1612" i="8"/>
  <c r="E1612" i="8"/>
  <c r="D1612" i="8"/>
  <c r="C1612" i="8"/>
  <c r="B1612" i="8"/>
  <c r="A1612" i="8"/>
  <c r="M1611" i="8"/>
  <c r="L1611" i="8"/>
  <c r="K1611" i="8"/>
  <c r="J1611" i="8"/>
  <c r="I1611" i="8"/>
  <c r="H1611" i="8"/>
  <c r="G1611" i="8"/>
  <c r="F1611" i="8"/>
  <c r="E1611" i="8"/>
  <c r="D1611" i="8"/>
  <c r="C1611" i="8"/>
  <c r="B1611" i="8"/>
  <c r="A1611" i="8"/>
  <c r="M1610" i="8"/>
  <c r="L1610" i="8"/>
  <c r="K1610" i="8"/>
  <c r="J1610" i="8"/>
  <c r="I1610" i="8"/>
  <c r="H1610" i="8"/>
  <c r="G1610" i="8"/>
  <c r="F1610" i="8"/>
  <c r="E1610" i="8"/>
  <c r="D1610" i="8"/>
  <c r="C1610" i="8"/>
  <c r="B1610" i="8"/>
  <c r="A1610" i="8"/>
  <c r="M1609" i="8"/>
  <c r="L1609" i="8"/>
  <c r="K1609" i="8"/>
  <c r="J1609" i="8"/>
  <c r="I1609" i="8"/>
  <c r="H1609" i="8"/>
  <c r="G1609" i="8"/>
  <c r="F1609" i="8"/>
  <c r="E1609" i="8"/>
  <c r="D1609" i="8"/>
  <c r="C1609" i="8"/>
  <c r="B1609" i="8"/>
  <c r="A1609" i="8"/>
  <c r="M1608" i="8"/>
  <c r="K1608" i="8"/>
  <c r="J1608" i="8"/>
  <c r="I1608" i="8"/>
  <c r="H1608" i="8"/>
  <c r="G1608" i="8"/>
  <c r="L1608" i="8" s="1"/>
  <c r="F1608" i="8"/>
  <c r="E1608" i="8"/>
  <c r="D1608" i="8"/>
  <c r="C1608" i="8"/>
  <c r="B1608" i="8"/>
  <c r="A1608" i="8"/>
  <c r="M1607" i="8"/>
  <c r="K1607" i="8"/>
  <c r="J1607" i="8"/>
  <c r="I1607" i="8"/>
  <c r="H1607" i="8"/>
  <c r="G1607" i="8"/>
  <c r="L1607" i="8" s="1"/>
  <c r="F1607" i="8"/>
  <c r="E1607" i="8"/>
  <c r="D1607" i="8"/>
  <c r="C1607" i="8"/>
  <c r="B1607" i="8"/>
  <c r="A1607" i="8"/>
  <c r="M1606" i="8"/>
  <c r="L1606" i="8"/>
  <c r="K1606" i="8"/>
  <c r="J1606" i="8"/>
  <c r="I1606" i="8"/>
  <c r="H1606" i="8"/>
  <c r="G1606" i="8"/>
  <c r="F1606" i="8"/>
  <c r="E1606" i="8"/>
  <c r="D1606" i="8"/>
  <c r="C1606" i="8"/>
  <c r="B1606" i="8"/>
  <c r="A1606" i="8"/>
  <c r="M1605" i="8"/>
  <c r="L1605" i="8"/>
  <c r="K1605" i="8"/>
  <c r="J1605" i="8"/>
  <c r="I1605" i="8"/>
  <c r="H1605" i="8"/>
  <c r="G1605" i="8"/>
  <c r="F1605" i="8"/>
  <c r="E1605" i="8"/>
  <c r="D1605" i="8"/>
  <c r="C1605" i="8"/>
  <c r="B1605" i="8"/>
  <c r="A1605" i="8"/>
  <c r="M1604" i="8"/>
  <c r="K1604" i="8"/>
  <c r="J1604" i="8"/>
  <c r="I1604" i="8"/>
  <c r="H1604" i="8"/>
  <c r="G1604" i="8"/>
  <c r="L1604" i="8" s="1"/>
  <c r="F1604" i="8"/>
  <c r="E1604" i="8"/>
  <c r="D1604" i="8"/>
  <c r="C1604" i="8"/>
  <c r="B1604" i="8"/>
  <c r="A1604" i="8"/>
  <c r="M1603" i="8"/>
  <c r="L1603" i="8"/>
  <c r="K1603" i="8"/>
  <c r="J1603" i="8"/>
  <c r="I1603" i="8"/>
  <c r="H1603" i="8"/>
  <c r="G1603" i="8"/>
  <c r="F1603" i="8"/>
  <c r="E1603" i="8"/>
  <c r="D1603" i="8"/>
  <c r="C1603" i="8"/>
  <c r="B1603" i="8"/>
  <c r="A1603" i="8"/>
  <c r="M1602" i="8"/>
  <c r="K1602" i="8"/>
  <c r="J1602" i="8"/>
  <c r="I1602" i="8"/>
  <c r="H1602" i="8"/>
  <c r="G1602" i="8"/>
  <c r="L1602" i="8" s="1"/>
  <c r="F1602" i="8"/>
  <c r="E1602" i="8"/>
  <c r="D1602" i="8"/>
  <c r="C1602" i="8"/>
  <c r="B1602" i="8"/>
  <c r="A1602" i="8"/>
  <c r="M1601" i="8"/>
  <c r="L1601" i="8"/>
  <c r="K1601" i="8"/>
  <c r="J1601" i="8"/>
  <c r="I1601" i="8"/>
  <c r="H1601" i="8"/>
  <c r="G1601" i="8"/>
  <c r="F1601" i="8"/>
  <c r="E1601" i="8"/>
  <c r="D1601" i="8"/>
  <c r="C1601" i="8"/>
  <c r="B1601" i="8"/>
  <c r="A1601" i="8"/>
  <c r="M1600" i="8"/>
  <c r="K1600" i="8"/>
  <c r="J1600" i="8"/>
  <c r="I1600" i="8"/>
  <c r="H1600" i="8"/>
  <c r="G1600" i="8"/>
  <c r="L1600" i="8" s="1"/>
  <c r="F1600" i="8"/>
  <c r="E1600" i="8"/>
  <c r="D1600" i="8"/>
  <c r="C1600" i="8"/>
  <c r="B1600" i="8"/>
  <c r="A1600" i="8"/>
  <c r="M1599" i="8"/>
  <c r="K1599" i="8"/>
  <c r="J1599" i="8"/>
  <c r="I1599" i="8"/>
  <c r="H1599" i="8"/>
  <c r="G1599" i="8"/>
  <c r="L1599" i="8" s="1"/>
  <c r="F1599" i="8"/>
  <c r="E1599" i="8"/>
  <c r="D1599" i="8"/>
  <c r="C1599" i="8"/>
  <c r="B1599" i="8"/>
  <c r="A1599" i="8"/>
  <c r="M1598" i="8"/>
  <c r="L1598" i="8"/>
  <c r="K1598" i="8"/>
  <c r="J1598" i="8"/>
  <c r="I1598" i="8"/>
  <c r="H1598" i="8"/>
  <c r="G1598" i="8"/>
  <c r="F1598" i="8"/>
  <c r="E1598" i="8"/>
  <c r="D1598" i="8"/>
  <c r="C1598" i="8"/>
  <c r="B1598" i="8"/>
  <c r="A1598" i="8"/>
  <c r="M1597" i="8"/>
  <c r="L1597" i="8"/>
  <c r="K1597" i="8"/>
  <c r="J1597" i="8"/>
  <c r="I1597" i="8"/>
  <c r="H1597" i="8"/>
  <c r="G1597" i="8"/>
  <c r="F1597" i="8"/>
  <c r="E1597" i="8"/>
  <c r="D1597" i="8"/>
  <c r="C1597" i="8"/>
  <c r="B1597" i="8"/>
  <c r="A1597" i="8"/>
  <c r="M1596" i="8"/>
  <c r="K1596" i="8"/>
  <c r="J1596" i="8"/>
  <c r="I1596" i="8"/>
  <c r="H1596" i="8"/>
  <c r="G1596" i="8"/>
  <c r="L1596" i="8" s="1"/>
  <c r="F1596" i="8"/>
  <c r="E1596" i="8"/>
  <c r="D1596" i="8"/>
  <c r="C1596" i="8"/>
  <c r="B1596" i="8"/>
  <c r="A1596" i="8"/>
  <c r="M1595" i="8"/>
  <c r="K1595" i="8"/>
  <c r="J1595" i="8"/>
  <c r="I1595" i="8"/>
  <c r="H1595" i="8"/>
  <c r="G1595" i="8"/>
  <c r="L1595" i="8" s="1"/>
  <c r="F1595" i="8"/>
  <c r="E1595" i="8"/>
  <c r="D1595" i="8"/>
  <c r="C1595" i="8"/>
  <c r="B1595" i="8"/>
  <c r="A1595" i="8"/>
  <c r="M1594" i="8"/>
  <c r="L1594" i="8"/>
  <c r="K1594" i="8"/>
  <c r="J1594" i="8"/>
  <c r="I1594" i="8"/>
  <c r="H1594" i="8"/>
  <c r="G1594" i="8"/>
  <c r="F1594" i="8"/>
  <c r="E1594" i="8"/>
  <c r="D1594" i="8"/>
  <c r="C1594" i="8"/>
  <c r="B1594" i="8"/>
  <c r="A1594" i="8"/>
  <c r="M1593" i="8"/>
  <c r="L1593" i="8"/>
  <c r="K1593" i="8"/>
  <c r="J1593" i="8"/>
  <c r="I1593" i="8"/>
  <c r="H1593" i="8"/>
  <c r="G1593" i="8"/>
  <c r="F1593" i="8"/>
  <c r="E1593" i="8"/>
  <c r="D1593" i="8"/>
  <c r="C1593" i="8"/>
  <c r="B1593" i="8"/>
  <c r="A1593" i="8"/>
  <c r="M1592" i="8"/>
  <c r="K1592" i="8"/>
  <c r="J1592" i="8"/>
  <c r="I1592" i="8"/>
  <c r="H1592" i="8"/>
  <c r="G1592" i="8"/>
  <c r="L1592" i="8" s="1"/>
  <c r="F1592" i="8"/>
  <c r="E1592" i="8"/>
  <c r="D1592" i="8"/>
  <c r="C1592" i="8"/>
  <c r="B1592" i="8"/>
  <c r="A1592" i="8"/>
  <c r="M1591" i="8"/>
  <c r="K1591" i="8"/>
  <c r="J1591" i="8"/>
  <c r="I1591" i="8"/>
  <c r="H1591" i="8"/>
  <c r="G1591" i="8"/>
  <c r="L1591" i="8" s="1"/>
  <c r="F1591" i="8"/>
  <c r="E1591" i="8"/>
  <c r="D1591" i="8"/>
  <c r="C1591" i="8"/>
  <c r="B1591" i="8"/>
  <c r="A1591" i="8"/>
  <c r="M1590" i="8"/>
  <c r="L1590" i="8"/>
  <c r="K1590" i="8"/>
  <c r="J1590" i="8"/>
  <c r="I1590" i="8"/>
  <c r="H1590" i="8"/>
  <c r="G1590" i="8"/>
  <c r="F1590" i="8"/>
  <c r="E1590" i="8"/>
  <c r="D1590" i="8"/>
  <c r="C1590" i="8"/>
  <c r="B1590" i="8"/>
  <c r="A1590" i="8"/>
  <c r="M1589" i="8"/>
  <c r="L1589" i="8"/>
  <c r="K1589" i="8"/>
  <c r="J1589" i="8"/>
  <c r="I1589" i="8"/>
  <c r="H1589" i="8"/>
  <c r="G1589" i="8"/>
  <c r="F1589" i="8"/>
  <c r="E1589" i="8"/>
  <c r="D1589" i="8"/>
  <c r="C1589" i="8"/>
  <c r="B1589" i="8"/>
  <c r="A1589" i="8"/>
  <c r="M1588" i="8"/>
  <c r="K1588" i="8"/>
  <c r="J1588" i="8"/>
  <c r="I1588" i="8"/>
  <c r="H1588" i="8"/>
  <c r="G1588" i="8"/>
  <c r="L1588" i="8" s="1"/>
  <c r="F1588" i="8"/>
  <c r="E1588" i="8"/>
  <c r="D1588" i="8"/>
  <c r="C1588" i="8"/>
  <c r="B1588" i="8"/>
  <c r="A1588" i="8"/>
  <c r="M1587" i="8"/>
  <c r="L1587" i="8"/>
  <c r="K1587" i="8"/>
  <c r="J1587" i="8"/>
  <c r="I1587" i="8"/>
  <c r="H1587" i="8"/>
  <c r="G1587" i="8"/>
  <c r="F1587" i="8"/>
  <c r="E1587" i="8"/>
  <c r="D1587" i="8"/>
  <c r="C1587" i="8"/>
  <c r="B1587" i="8"/>
  <c r="A1587" i="8"/>
  <c r="M1586" i="8"/>
  <c r="K1586" i="8"/>
  <c r="J1586" i="8"/>
  <c r="I1586" i="8"/>
  <c r="H1586" i="8"/>
  <c r="G1586" i="8"/>
  <c r="L1586" i="8" s="1"/>
  <c r="F1586" i="8"/>
  <c r="E1586" i="8"/>
  <c r="D1586" i="8"/>
  <c r="C1586" i="8"/>
  <c r="B1586" i="8"/>
  <c r="A1586" i="8"/>
  <c r="M1585" i="8"/>
  <c r="L1585" i="8"/>
  <c r="K1585" i="8"/>
  <c r="J1585" i="8"/>
  <c r="I1585" i="8"/>
  <c r="H1585" i="8"/>
  <c r="G1585" i="8"/>
  <c r="F1585" i="8"/>
  <c r="E1585" i="8"/>
  <c r="D1585" i="8"/>
  <c r="C1585" i="8"/>
  <c r="B1585" i="8"/>
  <c r="A1585" i="8"/>
  <c r="M1584" i="8"/>
  <c r="K1584" i="8"/>
  <c r="J1584" i="8"/>
  <c r="I1584" i="8"/>
  <c r="H1584" i="8"/>
  <c r="G1584" i="8"/>
  <c r="L1584" i="8" s="1"/>
  <c r="F1584" i="8"/>
  <c r="E1584" i="8"/>
  <c r="D1584" i="8"/>
  <c r="C1584" i="8"/>
  <c r="B1584" i="8"/>
  <c r="A1584" i="8"/>
  <c r="M1583" i="8"/>
  <c r="K1583" i="8"/>
  <c r="J1583" i="8"/>
  <c r="I1583" i="8"/>
  <c r="H1583" i="8"/>
  <c r="G1583" i="8"/>
  <c r="L1583" i="8" s="1"/>
  <c r="F1583" i="8"/>
  <c r="E1583" i="8"/>
  <c r="D1583" i="8"/>
  <c r="C1583" i="8"/>
  <c r="B1583" i="8"/>
  <c r="A1583" i="8"/>
  <c r="M1582" i="8"/>
  <c r="L1582" i="8"/>
  <c r="K1582" i="8"/>
  <c r="J1582" i="8"/>
  <c r="I1582" i="8"/>
  <c r="H1582" i="8"/>
  <c r="G1582" i="8"/>
  <c r="F1582" i="8"/>
  <c r="E1582" i="8"/>
  <c r="D1582" i="8"/>
  <c r="C1582" i="8"/>
  <c r="B1582" i="8"/>
  <c r="A1582" i="8"/>
  <c r="M1581" i="8"/>
  <c r="L1581" i="8"/>
  <c r="K1581" i="8"/>
  <c r="J1581" i="8"/>
  <c r="I1581" i="8"/>
  <c r="H1581" i="8"/>
  <c r="G1581" i="8"/>
  <c r="F1581" i="8"/>
  <c r="E1581" i="8"/>
  <c r="D1581" i="8"/>
  <c r="C1581" i="8"/>
  <c r="B1581" i="8"/>
  <c r="A1581" i="8"/>
  <c r="M1580" i="8"/>
  <c r="K1580" i="8"/>
  <c r="J1580" i="8"/>
  <c r="I1580" i="8"/>
  <c r="H1580" i="8"/>
  <c r="G1580" i="8"/>
  <c r="L1580" i="8" s="1"/>
  <c r="F1580" i="8"/>
  <c r="E1580" i="8"/>
  <c r="D1580" i="8"/>
  <c r="C1580" i="8"/>
  <c r="B1580" i="8"/>
  <c r="A1580" i="8"/>
  <c r="M1579" i="8"/>
  <c r="K1579" i="8"/>
  <c r="J1579" i="8"/>
  <c r="I1579" i="8"/>
  <c r="H1579" i="8"/>
  <c r="G1579" i="8"/>
  <c r="L1579" i="8" s="1"/>
  <c r="F1579" i="8"/>
  <c r="E1579" i="8"/>
  <c r="D1579" i="8"/>
  <c r="C1579" i="8"/>
  <c r="B1579" i="8"/>
  <c r="A1579" i="8"/>
  <c r="M1578" i="8"/>
  <c r="L1578" i="8"/>
  <c r="K1578" i="8"/>
  <c r="J1578" i="8"/>
  <c r="I1578" i="8"/>
  <c r="H1578" i="8"/>
  <c r="G1578" i="8"/>
  <c r="F1578" i="8"/>
  <c r="E1578" i="8"/>
  <c r="D1578" i="8"/>
  <c r="C1578" i="8"/>
  <c r="B1578" i="8"/>
  <c r="A1578" i="8"/>
  <c r="M1577" i="8"/>
  <c r="L1577" i="8"/>
  <c r="K1577" i="8"/>
  <c r="J1577" i="8"/>
  <c r="I1577" i="8"/>
  <c r="H1577" i="8"/>
  <c r="G1577" i="8"/>
  <c r="F1577" i="8"/>
  <c r="E1577" i="8"/>
  <c r="D1577" i="8"/>
  <c r="C1577" i="8"/>
  <c r="B1577" i="8"/>
  <c r="A1577" i="8"/>
  <c r="M1576" i="8"/>
  <c r="K1576" i="8"/>
  <c r="J1576" i="8"/>
  <c r="I1576" i="8"/>
  <c r="H1576" i="8"/>
  <c r="G1576" i="8"/>
  <c r="L1576" i="8" s="1"/>
  <c r="F1576" i="8"/>
  <c r="E1576" i="8"/>
  <c r="D1576" i="8"/>
  <c r="C1576" i="8"/>
  <c r="B1576" i="8"/>
  <c r="A1576" i="8"/>
  <c r="M1575" i="8"/>
  <c r="K1575" i="8"/>
  <c r="J1575" i="8"/>
  <c r="I1575" i="8"/>
  <c r="H1575" i="8"/>
  <c r="G1575" i="8"/>
  <c r="L1575" i="8" s="1"/>
  <c r="F1575" i="8"/>
  <c r="E1575" i="8"/>
  <c r="D1575" i="8"/>
  <c r="C1575" i="8"/>
  <c r="B1575" i="8"/>
  <c r="A1575" i="8"/>
  <c r="M1574" i="8"/>
  <c r="L1574" i="8"/>
  <c r="K1574" i="8"/>
  <c r="J1574" i="8"/>
  <c r="I1574" i="8"/>
  <c r="H1574" i="8"/>
  <c r="G1574" i="8"/>
  <c r="F1574" i="8"/>
  <c r="E1574" i="8"/>
  <c r="D1574" i="8"/>
  <c r="C1574" i="8"/>
  <c r="B1574" i="8"/>
  <c r="A1574" i="8"/>
  <c r="M1573" i="8"/>
  <c r="L1573" i="8"/>
  <c r="K1573" i="8"/>
  <c r="J1573" i="8"/>
  <c r="I1573" i="8"/>
  <c r="H1573" i="8"/>
  <c r="G1573" i="8"/>
  <c r="F1573" i="8"/>
  <c r="E1573" i="8"/>
  <c r="D1573" i="8"/>
  <c r="C1573" i="8"/>
  <c r="B1573" i="8"/>
  <c r="A1573" i="8"/>
  <c r="M1572" i="8"/>
  <c r="K1572" i="8"/>
  <c r="J1572" i="8"/>
  <c r="I1572" i="8"/>
  <c r="H1572" i="8"/>
  <c r="G1572" i="8"/>
  <c r="L1572" i="8" s="1"/>
  <c r="F1572" i="8"/>
  <c r="E1572" i="8"/>
  <c r="D1572" i="8"/>
  <c r="C1572" i="8"/>
  <c r="B1572" i="8"/>
  <c r="A1572" i="8"/>
  <c r="M1571" i="8"/>
  <c r="L1571" i="8"/>
  <c r="K1571" i="8"/>
  <c r="J1571" i="8"/>
  <c r="I1571" i="8"/>
  <c r="H1571" i="8"/>
  <c r="G1571" i="8"/>
  <c r="F1571" i="8"/>
  <c r="E1571" i="8"/>
  <c r="D1571" i="8"/>
  <c r="C1571" i="8"/>
  <c r="B1571" i="8"/>
  <c r="A1571" i="8"/>
  <c r="M1570" i="8"/>
  <c r="K1570" i="8"/>
  <c r="J1570" i="8"/>
  <c r="I1570" i="8"/>
  <c r="H1570" i="8"/>
  <c r="G1570" i="8"/>
  <c r="L1570" i="8" s="1"/>
  <c r="F1570" i="8"/>
  <c r="E1570" i="8"/>
  <c r="D1570" i="8"/>
  <c r="C1570" i="8"/>
  <c r="B1570" i="8"/>
  <c r="A1570" i="8"/>
  <c r="M1569" i="8"/>
  <c r="L1569" i="8"/>
  <c r="K1569" i="8"/>
  <c r="J1569" i="8"/>
  <c r="I1569" i="8"/>
  <c r="H1569" i="8"/>
  <c r="G1569" i="8"/>
  <c r="F1569" i="8"/>
  <c r="E1569" i="8"/>
  <c r="D1569" i="8"/>
  <c r="C1569" i="8"/>
  <c r="B1569" i="8"/>
  <c r="A1569" i="8"/>
  <c r="M1568" i="8"/>
  <c r="K1568" i="8"/>
  <c r="J1568" i="8"/>
  <c r="I1568" i="8"/>
  <c r="H1568" i="8"/>
  <c r="G1568" i="8"/>
  <c r="L1568" i="8" s="1"/>
  <c r="F1568" i="8"/>
  <c r="E1568" i="8"/>
  <c r="D1568" i="8"/>
  <c r="C1568" i="8"/>
  <c r="B1568" i="8"/>
  <c r="A1568" i="8"/>
  <c r="M1567" i="8"/>
  <c r="K1567" i="8"/>
  <c r="J1567" i="8"/>
  <c r="I1567" i="8"/>
  <c r="H1567" i="8"/>
  <c r="G1567" i="8"/>
  <c r="L1567" i="8" s="1"/>
  <c r="F1567" i="8"/>
  <c r="E1567" i="8"/>
  <c r="D1567" i="8"/>
  <c r="C1567" i="8"/>
  <c r="B1567" i="8"/>
  <c r="A1567" i="8"/>
  <c r="M1566" i="8"/>
  <c r="L1566" i="8"/>
  <c r="K1566" i="8"/>
  <c r="J1566" i="8"/>
  <c r="I1566" i="8"/>
  <c r="H1566" i="8"/>
  <c r="G1566" i="8"/>
  <c r="F1566" i="8"/>
  <c r="E1566" i="8"/>
  <c r="D1566" i="8"/>
  <c r="C1566" i="8"/>
  <c r="B1566" i="8"/>
  <c r="A1566" i="8"/>
  <c r="M1565" i="8"/>
  <c r="L1565" i="8"/>
  <c r="K1565" i="8"/>
  <c r="J1565" i="8"/>
  <c r="I1565" i="8"/>
  <c r="H1565" i="8"/>
  <c r="G1565" i="8"/>
  <c r="F1565" i="8"/>
  <c r="E1565" i="8"/>
  <c r="D1565" i="8"/>
  <c r="C1565" i="8"/>
  <c r="B1565" i="8"/>
  <c r="A1565" i="8"/>
  <c r="M1564" i="8"/>
  <c r="K1564" i="8"/>
  <c r="J1564" i="8"/>
  <c r="I1564" i="8"/>
  <c r="H1564" i="8"/>
  <c r="G1564" i="8"/>
  <c r="L1564" i="8" s="1"/>
  <c r="F1564" i="8"/>
  <c r="E1564" i="8"/>
  <c r="D1564" i="8"/>
  <c r="C1564" i="8"/>
  <c r="B1564" i="8"/>
  <c r="A1564" i="8"/>
  <c r="M1563" i="8"/>
  <c r="K1563" i="8"/>
  <c r="J1563" i="8"/>
  <c r="I1563" i="8"/>
  <c r="H1563" i="8"/>
  <c r="G1563" i="8"/>
  <c r="L1563" i="8" s="1"/>
  <c r="F1563" i="8"/>
  <c r="E1563" i="8"/>
  <c r="D1563" i="8"/>
  <c r="C1563" i="8"/>
  <c r="B1563" i="8"/>
  <c r="A1563" i="8"/>
  <c r="M1562" i="8"/>
  <c r="K1562" i="8"/>
  <c r="J1562" i="8"/>
  <c r="I1562" i="8"/>
  <c r="H1562" i="8"/>
  <c r="G1562" i="8"/>
  <c r="L1562" i="8" s="1"/>
  <c r="F1562" i="8"/>
  <c r="E1562" i="8"/>
  <c r="D1562" i="8"/>
  <c r="C1562" i="8"/>
  <c r="B1562" i="8"/>
  <c r="A1562" i="8"/>
  <c r="M1561" i="8"/>
  <c r="L1561" i="8"/>
  <c r="K1561" i="8"/>
  <c r="J1561" i="8"/>
  <c r="I1561" i="8"/>
  <c r="H1561" i="8"/>
  <c r="G1561" i="8"/>
  <c r="F1561" i="8"/>
  <c r="E1561" i="8"/>
  <c r="D1561" i="8"/>
  <c r="C1561" i="8"/>
  <c r="B1561" i="8"/>
  <c r="A1561" i="8"/>
  <c r="M1560" i="8"/>
  <c r="K1560" i="8"/>
  <c r="J1560" i="8"/>
  <c r="I1560" i="8"/>
  <c r="H1560" i="8"/>
  <c r="G1560" i="8"/>
  <c r="L1560" i="8" s="1"/>
  <c r="F1560" i="8"/>
  <c r="E1560" i="8"/>
  <c r="D1560" i="8"/>
  <c r="C1560" i="8"/>
  <c r="B1560" i="8"/>
  <c r="A1560" i="8"/>
  <c r="M1559" i="8"/>
  <c r="K1559" i="8"/>
  <c r="J1559" i="8"/>
  <c r="I1559" i="8"/>
  <c r="H1559" i="8"/>
  <c r="G1559" i="8"/>
  <c r="L1559" i="8" s="1"/>
  <c r="F1559" i="8"/>
  <c r="E1559" i="8"/>
  <c r="D1559" i="8"/>
  <c r="C1559" i="8"/>
  <c r="B1559" i="8"/>
  <c r="A1559" i="8"/>
  <c r="M1558" i="8"/>
  <c r="L1558" i="8"/>
  <c r="K1558" i="8"/>
  <c r="J1558" i="8"/>
  <c r="I1558" i="8"/>
  <c r="H1558" i="8"/>
  <c r="G1558" i="8"/>
  <c r="F1558" i="8"/>
  <c r="E1558" i="8"/>
  <c r="D1558" i="8"/>
  <c r="C1558" i="8"/>
  <c r="B1558" i="8"/>
  <c r="A1558" i="8"/>
  <c r="M1557" i="8"/>
  <c r="L1557" i="8"/>
  <c r="K1557" i="8"/>
  <c r="J1557" i="8"/>
  <c r="I1557" i="8"/>
  <c r="H1557" i="8"/>
  <c r="G1557" i="8"/>
  <c r="F1557" i="8"/>
  <c r="E1557" i="8"/>
  <c r="D1557" i="8"/>
  <c r="C1557" i="8"/>
  <c r="B1557" i="8"/>
  <c r="A1557" i="8"/>
  <c r="M1556" i="8"/>
  <c r="K1556" i="8"/>
  <c r="J1556" i="8"/>
  <c r="I1556" i="8"/>
  <c r="H1556" i="8"/>
  <c r="G1556" i="8"/>
  <c r="L1556" i="8" s="1"/>
  <c r="F1556" i="8"/>
  <c r="E1556" i="8"/>
  <c r="D1556" i="8"/>
  <c r="C1556" i="8"/>
  <c r="B1556" i="8"/>
  <c r="A1556" i="8"/>
  <c r="M1555" i="8"/>
  <c r="K1555" i="8"/>
  <c r="J1555" i="8"/>
  <c r="I1555" i="8"/>
  <c r="H1555" i="8"/>
  <c r="G1555" i="8"/>
  <c r="L1555" i="8" s="1"/>
  <c r="F1555" i="8"/>
  <c r="E1555" i="8"/>
  <c r="D1555" i="8"/>
  <c r="C1555" i="8"/>
  <c r="B1555" i="8"/>
  <c r="A1555" i="8"/>
  <c r="M1554" i="8"/>
  <c r="L1554" i="8"/>
  <c r="K1554" i="8"/>
  <c r="J1554" i="8"/>
  <c r="I1554" i="8"/>
  <c r="H1554" i="8"/>
  <c r="G1554" i="8"/>
  <c r="F1554" i="8"/>
  <c r="E1554" i="8"/>
  <c r="D1554" i="8"/>
  <c r="C1554" i="8"/>
  <c r="B1554" i="8"/>
  <c r="A1554" i="8"/>
  <c r="M1553" i="8"/>
  <c r="L1553" i="8"/>
  <c r="K1553" i="8"/>
  <c r="J1553" i="8"/>
  <c r="I1553" i="8"/>
  <c r="H1553" i="8"/>
  <c r="G1553" i="8"/>
  <c r="F1553" i="8"/>
  <c r="E1553" i="8"/>
  <c r="D1553" i="8"/>
  <c r="C1553" i="8"/>
  <c r="B1553" i="8"/>
  <c r="A1553" i="8"/>
  <c r="M1552" i="8"/>
  <c r="K1552" i="8"/>
  <c r="J1552" i="8"/>
  <c r="I1552" i="8"/>
  <c r="H1552" i="8"/>
  <c r="G1552" i="8"/>
  <c r="L1552" i="8" s="1"/>
  <c r="F1552" i="8"/>
  <c r="E1552" i="8"/>
  <c r="D1552" i="8"/>
  <c r="C1552" i="8"/>
  <c r="B1552" i="8"/>
  <c r="A1552" i="8"/>
  <c r="M1551" i="8"/>
  <c r="K1551" i="8"/>
  <c r="J1551" i="8"/>
  <c r="I1551" i="8"/>
  <c r="H1551" i="8"/>
  <c r="G1551" i="8"/>
  <c r="L1551" i="8" s="1"/>
  <c r="F1551" i="8"/>
  <c r="E1551" i="8"/>
  <c r="D1551" i="8"/>
  <c r="C1551" i="8"/>
  <c r="B1551" i="8"/>
  <c r="A1551" i="8"/>
  <c r="M1550" i="8"/>
  <c r="L1550" i="8"/>
  <c r="K1550" i="8"/>
  <c r="J1550" i="8"/>
  <c r="I1550" i="8"/>
  <c r="H1550" i="8"/>
  <c r="G1550" i="8"/>
  <c r="F1550" i="8"/>
  <c r="E1550" i="8"/>
  <c r="D1550" i="8"/>
  <c r="C1550" i="8"/>
  <c r="B1550" i="8"/>
  <c r="A1550" i="8"/>
  <c r="M1549" i="8"/>
  <c r="L1549" i="8"/>
  <c r="K1549" i="8"/>
  <c r="J1549" i="8"/>
  <c r="I1549" i="8"/>
  <c r="H1549" i="8"/>
  <c r="G1549" i="8"/>
  <c r="F1549" i="8"/>
  <c r="E1549" i="8"/>
  <c r="D1549" i="8"/>
  <c r="C1549" i="8"/>
  <c r="B1549" i="8"/>
  <c r="A1549" i="8"/>
  <c r="M1548" i="8"/>
  <c r="K1548" i="8"/>
  <c r="J1548" i="8"/>
  <c r="I1548" i="8"/>
  <c r="H1548" i="8"/>
  <c r="G1548" i="8"/>
  <c r="L1548" i="8" s="1"/>
  <c r="F1548" i="8"/>
  <c r="E1548" i="8"/>
  <c r="D1548" i="8"/>
  <c r="C1548" i="8"/>
  <c r="B1548" i="8"/>
  <c r="A1548" i="8"/>
  <c r="M1547" i="8"/>
  <c r="L1547" i="8"/>
  <c r="K1547" i="8"/>
  <c r="J1547" i="8"/>
  <c r="I1547" i="8"/>
  <c r="H1547" i="8"/>
  <c r="G1547" i="8"/>
  <c r="F1547" i="8"/>
  <c r="E1547" i="8"/>
  <c r="D1547" i="8"/>
  <c r="C1547" i="8"/>
  <c r="B1547" i="8"/>
  <c r="A1547" i="8"/>
  <c r="M1546" i="8"/>
  <c r="K1546" i="8"/>
  <c r="J1546" i="8"/>
  <c r="I1546" i="8"/>
  <c r="H1546" i="8"/>
  <c r="G1546" i="8"/>
  <c r="L1546" i="8" s="1"/>
  <c r="F1546" i="8"/>
  <c r="E1546" i="8"/>
  <c r="D1546" i="8"/>
  <c r="C1546" i="8"/>
  <c r="B1546" i="8"/>
  <c r="A1546" i="8"/>
  <c r="M1545" i="8"/>
  <c r="L1545" i="8"/>
  <c r="K1545" i="8"/>
  <c r="J1545" i="8"/>
  <c r="I1545" i="8"/>
  <c r="H1545" i="8"/>
  <c r="G1545" i="8"/>
  <c r="F1545" i="8"/>
  <c r="E1545" i="8"/>
  <c r="D1545" i="8"/>
  <c r="C1545" i="8"/>
  <c r="B1545" i="8"/>
  <c r="A1545" i="8"/>
  <c r="M1544" i="8"/>
  <c r="K1544" i="8"/>
  <c r="J1544" i="8"/>
  <c r="I1544" i="8"/>
  <c r="H1544" i="8"/>
  <c r="G1544" i="8"/>
  <c r="L1544" i="8" s="1"/>
  <c r="F1544" i="8"/>
  <c r="E1544" i="8"/>
  <c r="D1544" i="8"/>
  <c r="C1544" i="8"/>
  <c r="B1544" i="8"/>
  <c r="A1544" i="8"/>
  <c r="M1543" i="8"/>
  <c r="K1543" i="8"/>
  <c r="J1543" i="8"/>
  <c r="I1543" i="8"/>
  <c r="H1543" i="8"/>
  <c r="G1543" i="8"/>
  <c r="L1543" i="8" s="1"/>
  <c r="F1543" i="8"/>
  <c r="E1543" i="8"/>
  <c r="D1543" i="8"/>
  <c r="C1543" i="8"/>
  <c r="B1543" i="8"/>
  <c r="A1543" i="8"/>
  <c r="M1542" i="8"/>
  <c r="L1542" i="8"/>
  <c r="K1542" i="8"/>
  <c r="J1542" i="8"/>
  <c r="I1542" i="8"/>
  <c r="H1542" i="8"/>
  <c r="G1542" i="8"/>
  <c r="F1542" i="8"/>
  <c r="E1542" i="8"/>
  <c r="D1542" i="8"/>
  <c r="C1542" i="8"/>
  <c r="B1542" i="8"/>
  <c r="A1542" i="8"/>
  <c r="M1541" i="8"/>
  <c r="L1541" i="8"/>
  <c r="K1541" i="8"/>
  <c r="J1541" i="8"/>
  <c r="I1541" i="8"/>
  <c r="H1541" i="8"/>
  <c r="G1541" i="8"/>
  <c r="F1541" i="8"/>
  <c r="E1541" i="8"/>
  <c r="D1541" i="8"/>
  <c r="C1541" i="8"/>
  <c r="B1541" i="8"/>
  <c r="A1541" i="8"/>
  <c r="M1540" i="8"/>
  <c r="K1540" i="8"/>
  <c r="J1540" i="8"/>
  <c r="I1540" i="8"/>
  <c r="H1540" i="8"/>
  <c r="G1540" i="8"/>
  <c r="L1540" i="8" s="1"/>
  <c r="F1540" i="8"/>
  <c r="E1540" i="8"/>
  <c r="D1540" i="8"/>
  <c r="C1540" i="8"/>
  <c r="B1540" i="8"/>
  <c r="A1540" i="8"/>
  <c r="M1539" i="8"/>
  <c r="K1539" i="8"/>
  <c r="J1539" i="8"/>
  <c r="I1539" i="8"/>
  <c r="H1539" i="8"/>
  <c r="G1539" i="8"/>
  <c r="L1539" i="8" s="1"/>
  <c r="F1539" i="8"/>
  <c r="E1539" i="8"/>
  <c r="D1539" i="8"/>
  <c r="C1539" i="8"/>
  <c r="B1539" i="8"/>
  <c r="A1539" i="8"/>
  <c r="M1538" i="8"/>
  <c r="K1538" i="8"/>
  <c r="J1538" i="8"/>
  <c r="I1538" i="8"/>
  <c r="H1538" i="8"/>
  <c r="G1538" i="8"/>
  <c r="L1538" i="8" s="1"/>
  <c r="F1538" i="8"/>
  <c r="E1538" i="8"/>
  <c r="D1538" i="8"/>
  <c r="C1538" i="8"/>
  <c r="B1538" i="8"/>
  <c r="A1538" i="8"/>
  <c r="M1537" i="8"/>
  <c r="L1537" i="8"/>
  <c r="K1537" i="8"/>
  <c r="J1537" i="8"/>
  <c r="I1537" i="8"/>
  <c r="H1537" i="8"/>
  <c r="G1537" i="8"/>
  <c r="F1537" i="8"/>
  <c r="E1537" i="8"/>
  <c r="D1537" i="8"/>
  <c r="C1537" i="8"/>
  <c r="B1537" i="8"/>
  <c r="A1537" i="8"/>
  <c r="M1536" i="8"/>
  <c r="K1536" i="8"/>
  <c r="J1536" i="8"/>
  <c r="I1536" i="8"/>
  <c r="H1536" i="8"/>
  <c r="G1536" i="8"/>
  <c r="L1536" i="8" s="1"/>
  <c r="F1536" i="8"/>
  <c r="E1536" i="8"/>
  <c r="D1536" i="8"/>
  <c r="C1536" i="8"/>
  <c r="B1536" i="8"/>
  <c r="A1536" i="8"/>
  <c r="M1535" i="8"/>
  <c r="L1535" i="8"/>
  <c r="K1535" i="8"/>
  <c r="J1535" i="8"/>
  <c r="I1535" i="8"/>
  <c r="H1535" i="8"/>
  <c r="G1535" i="8"/>
  <c r="F1535" i="8"/>
  <c r="E1535" i="8"/>
  <c r="D1535" i="8"/>
  <c r="C1535" i="8"/>
  <c r="B1535" i="8"/>
  <c r="A1535" i="8"/>
  <c r="M1534" i="8"/>
  <c r="L1534" i="8"/>
  <c r="K1534" i="8"/>
  <c r="J1534" i="8"/>
  <c r="I1534" i="8"/>
  <c r="H1534" i="8"/>
  <c r="G1534" i="8"/>
  <c r="F1534" i="8"/>
  <c r="E1534" i="8"/>
  <c r="D1534" i="8"/>
  <c r="C1534" i="8"/>
  <c r="B1534" i="8"/>
  <c r="A1534" i="8"/>
  <c r="M1533" i="8"/>
  <c r="L1533" i="8"/>
  <c r="K1533" i="8"/>
  <c r="J1533" i="8"/>
  <c r="I1533" i="8"/>
  <c r="H1533" i="8"/>
  <c r="G1533" i="8"/>
  <c r="F1533" i="8"/>
  <c r="E1533" i="8"/>
  <c r="D1533" i="8"/>
  <c r="C1533" i="8"/>
  <c r="B1533" i="8"/>
  <c r="A1533" i="8"/>
  <c r="M1532" i="8"/>
  <c r="K1532" i="8"/>
  <c r="J1532" i="8"/>
  <c r="I1532" i="8"/>
  <c r="H1532" i="8"/>
  <c r="G1532" i="8"/>
  <c r="L1532" i="8" s="1"/>
  <c r="F1532" i="8"/>
  <c r="E1532" i="8"/>
  <c r="D1532" i="8"/>
  <c r="C1532" i="8"/>
  <c r="B1532" i="8"/>
  <c r="A1532" i="8"/>
  <c r="M1531" i="8"/>
  <c r="K1531" i="8"/>
  <c r="J1531" i="8"/>
  <c r="I1531" i="8"/>
  <c r="H1531" i="8"/>
  <c r="G1531" i="8"/>
  <c r="L1531" i="8" s="1"/>
  <c r="F1531" i="8"/>
  <c r="E1531" i="8"/>
  <c r="D1531" i="8"/>
  <c r="C1531" i="8"/>
  <c r="B1531" i="8"/>
  <c r="A1531" i="8"/>
  <c r="M1530" i="8"/>
  <c r="L1530" i="8"/>
  <c r="K1530" i="8"/>
  <c r="J1530" i="8"/>
  <c r="I1530" i="8"/>
  <c r="H1530" i="8"/>
  <c r="G1530" i="8"/>
  <c r="F1530" i="8"/>
  <c r="E1530" i="8"/>
  <c r="D1530" i="8"/>
  <c r="C1530" i="8"/>
  <c r="B1530" i="8"/>
  <c r="A1530" i="8"/>
  <c r="M1529" i="8"/>
  <c r="L1529" i="8"/>
  <c r="K1529" i="8"/>
  <c r="J1529" i="8"/>
  <c r="I1529" i="8"/>
  <c r="H1529" i="8"/>
  <c r="G1529" i="8"/>
  <c r="F1529" i="8"/>
  <c r="E1529" i="8"/>
  <c r="D1529" i="8"/>
  <c r="C1529" i="8"/>
  <c r="B1529" i="8"/>
  <c r="A1529" i="8"/>
  <c r="M1528" i="8"/>
  <c r="K1528" i="8"/>
  <c r="J1528" i="8"/>
  <c r="I1528" i="8"/>
  <c r="H1528" i="8"/>
  <c r="G1528" i="8"/>
  <c r="L1528" i="8" s="1"/>
  <c r="F1528" i="8"/>
  <c r="E1528" i="8"/>
  <c r="D1528" i="8"/>
  <c r="C1528" i="8"/>
  <c r="B1528" i="8"/>
  <c r="A1528" i="8"/>
  <c r="M1527" i="8"/>
  <c r="L1527" i="8"/>
  <c r="K1527" i="8"/>
  <c r="J1527" i="8"/>
  <c r="I1527" i="8"/>
  <c r="H1527" i="8"/>
  <c r="G1527" i="8"/>
  <c r="F1527" i="8"/>
  <c r="E1527" i="8"/>
  <c r="D1527" i="8"/>
  <c r="C1527" i="8"/>
  <c r="B1527" i="8"/>
  <c r="A1527" i="8"/>
  <c r="M1526" i="8"/>
  <c r="L1526" i="8"/>
  <c r="K1526" i="8"/>
  <c r="J1526" i="8"/>
  <c r="I1526" i="8"/>
  <c r="H1526" i="8"/>
  <c r="G1526" i="8"/>
  <c r="F1526" i="8"/>
  <c r="E1526" i="8"/>
  <c r="D1526" i="8"/>
  <c r="C1526" i="8"/>
  <c r="B1526" i="8"/>
  <c r="A1526" i="8"/>
  <c r="M1525" i="8"/>
  <c r="L1525" i="8"/>
  <c r="K1525" i="8"/>
  <c r="J1525" i="8"/>
  <c r="I1525" i="8"/>
  <c r="H1525" i="8"/>
  <c r="G1525" i="8"/>
  <c r="F1525" i="8"/>
  <c r="E1525" i="8"/>
  <c r="D1525" i="8"/>
  <c r="C1525" i="8"/>
  <c r="B1525" i="8"/>
  <c r="A1525" i="8"/>
  <c r="M1524" i="8"/>
  <c r="K1524" i="8"/>
  <c r="J1524" i="8"/>
  <c r="I1524" i="8"/>
  <c r="H1524" i="8"/>
  <c r="G1524" i="8"/>
  <c r="L1524" i="8" s="1"/>
  <c r="F1524" i="8"/>
  <c r="E1524" i="8"/>
  <c r="D1524" i="8"/>
  <c r="C1524" i="8"/>
  <c r="B1524" i="8"/>
  <c r="A1524" i="8"/>
  <c r="M1523" i="8"/>
  <c r="K1523" i="8"/>
  <c r="J1523" i="8"/>
  <c r="I1523" i="8"/>
  <c r="H1523" i="8"/>
  <c r="G1523" i="8"/>
  <c r="L1523" i="8" s="1"/>
  <c r="F1523" i="8"/>
  <c r="E1523" i="8"/>
  <c r="D1523" i="8"/>
  <c r="C1523" i="8"/>
  <c r="B1523" i="8"/>
  <c r="A1523" i="8"/>
  <c r="M1522" i="8"/>
  <c r="L1522" i="8"/>
  <c r="K1522" i="8"/>
  <c r="J1522" i="8"/>
  <c r="I1522" i="8"/>
  <c r="H1522" i="8"/>
  <c r="G1522" i="8"/>
  <c r="F1522" i="8"/>
  <c r="E1522" i="8"/>
  <c r="D1522" i="8"/>
  <c r="C1522" i="8"/>
  <c r="B1522" i="8"/>
  <c r="A1522" i="8"/>
  <c r="M1521" i="8"/>
  <c r="L1521" i="8"/>
  <c r="K1521" i="8"/>
  <c r="J1521" i="8"/>
  <c r="I1521" i="8"/>
  <c r="H1521" i="8"/>
  <c r="G1521" i="8"/>
  <c r="F1521" i="8"/>
  <c r="E1521" i="8"/>
  <c r="D1521" i="8"/>
  <c r="C1521" i="8"/>
  <c r="B1521" i="8"/>
  <c r="A1521" i="8"/>
  <c r="M1520" i="8"/>
  <c r="K1520" i="8"/>
  <c r="J1520" i="8"/>
  <c r="I1520" i="8"/>
  <c r="H1520" i="8"/>
  <c r="G1520" i="8"/>
  <c r="L1520" i="8" s="1"/>
  <c r="F1520" i="8"/>
  <c r="E1520" i="8"/>
  <c r="D1520" i="8"/>
  <c r="C1520" i="8"/>
  <c r="B1520" i="8"/>
  <c r="A1520" i="8"/>
  <c r="M1519" i="8"/>
  <c r="L1519" i="8"/>
  <c r="K1519" i="8"/>
  <c r="J1519" i="8"/>
  <c r="I1519" i="8"/>
  <c r="H1519" i="8"/>
  <c r="G1519" i="8"/>
  <c r="F1519" i="8"/>
  <c r="E1519" i="8"/>
  <c r="D1519" i="8"/>
  <c r="C1519" i="8"/>
  <c r="B1519" i="8"/>
  <c r="A1519" i="8"/>
  <c r="M1518" i="8"/>
  <c r="L1518" i="8"/>
  <c r="K1518" i="8"/>
  <c r="J1518" i="8"/>
  <c r="I1518" i="8"/>
  <c r="H1518" i="8"/>
  <c r="G1518" i="8"/>
  <c r="F1518" i="8"/>
  <c r="E1518" i="8"/>
  <c r="D1518" i="8"/>
  <c r="C1518" i="8"/>
  <c r="B1518" i="8"/>
  <c r="A1518" i="8"/>
  <c r="M1517" i="8"/>
  <c r="L1517" i="8"/>
  <c r="K1517" i="8"/>
  <c r="J1517" i="8"/>
  <c r="I1517" i="8"/>
  <c r="H1517" i="8"/>
  <c r="G1517" i="8"/>
  <c r="F1517" i="8"/>
  <c r="E1517" i="8"/>
  <c r="D1517" i="8"/>
  <c r="C1517" i="8"/>
  <c r="B1517" i="8"/>
  <c r="A1517" i="8"/>
  <c r="M1516" i="8"/>
  <c r="K1516" i="8"/>
  <c r="J1516" i="8"/>
  <c r="I1516" i="8"/>
  <c r="H1516" i="8"/>
  <c r="G1516" i="8"/>
  <c r="L1516" i="8" s="1"/>
  <c r="F1516" i="8"/>
  <c r="E1516" i="8"/>
  <c r="D1516" i="8"/>
  <c r="C1516" i="8"/>
  <c r="B1516" i="8"/>
  <c r="A1516" i="8"/>
  <c r="M1515" i="8"/>
  <c r="L1515" i="8"/>
  <c r="K1515" i="8"/>
  <c r="J1515" i="8"/>
  <c r="I1515" i="8"/>
  <c r="H1515" i="8"/>
  <c r="G1515" i="8"/>
  <c r="F1515" i="8"/>
  <c r="E1515" i="8"/>
  <c r="D1515" i="8"/>
  <c r="C1515" i="8"/>
  <c r="B1515" i="8"/>
  <c r="A1515" i="8"/>
  <c r="M1514" i="8"/>
  <c r="L1514" i="8"/>
  <c r="K1514" i="8"/>
  <c r="J1514" i="8"/>
  <c r="I1514" i="8"/>
  <c r="H1514" i="8"/>
  <c r="G1514" i="8"/>
  <c r="F1514" i="8"/>
  <c r="E1514" i="8"/>
  <c r="D1514" i="8"/>
  <c r="C1514" i="8"/>
  <c r="B1514" i="8"/>
  <c r="A1514" i="8"/>
  <c r="M1513" i="8"/>
  <c r="L1513" i="8"/>
  <c r="K1513" i="8"/>
  <c r="J1513" i="8"/>
  <c r="I1513" i="8"/>
  <c r="H1513" i="8"/>
  <c r="G1513" i="8"/>
  <c r="F1513" i="8"/>
  <c r="E1513" i="8"/>
  <c r="D1513" i="8"/>
  <c r="C1513" i="8"/>
  <c r="B1513" i="8"/>
  <c r="A1513" i="8"/>
  <c r="M1512" i="8"/>
  <c r="K1512" i="8"/>
  <c r="J1512" i="8"/>
  <c r="I1512" i="8"/>
  <c r="H1512" i="8"/>
  <c r="G1512" i="8"/>
  <c r="L1512" i="8" s="1"/>
  <c r="F1512" i="8"/>
  <c r="E1512" i="8"/>
  <c r="D1512" i="8"/>
  <c r="C1512" i="8"/>
  <c r="B1512" i="8"/>
  <c r="A1512" i="8"/>
  <c r="M1511" i="8"/>
  <c r="K1511" i="8"/>
  <c r="J1511" i="8"/>
  <c r="I1511" i="8"/>
  <c r="H1511" i="8"/>
  <c r="G1511" i="8"/>
  <c r="L1511" i="8" s="1"/>
  <c r="F1511" i="8"/>
  <c r="E1511" i="8"/>
  <c r="D1511" i="8"/>
  <c r="C1511" i="8"/>
  <c r="B1511" i="8"/>
  <c r="A1511" i="8"/>
  <c r="M1510" i="8"/>
  <c r="L1510" i="8"/>
  <c r="K1510" i="8"/>
  <c r="J1510" i="8"/>
  <c r="I1510" i="8"/>
  <c r="H1510" i="8"/>
  <c r="G1510" i="8"/>
  <c r="F1510" i="8"/>
  <c r="E1510" i="8"/>
  <c r="D1510" i="8"/>
  <c r="C1510" i="8"/>
  <c r="B1510" i="8"/>
  <c r="A1510" i="8"/>
  <c r="M1509" i="8"/>
  <c r="L1509" i="8"/>
  <c r="K1509" i="8"/>
  <c r="J1509" i="8"/>
  <c r="I1509" i="8"/>
  <c r="H1509" i="8"/>
  <c r="G1509" i="8"/>
  <c r="F1509" i="8"/>
  <c r="E1509" i="8"/>
  <c r="D1509" i="8"/>
  <c r="C1509" i="8"/>
  <c r="B1509" i="8"/>
  <c r="A1509" i="8"/>
  <c r="M1508" i="8"/>
  <c r="K1508" i="8"/>
  <c r="J1508" i="8"/>
  <c r="I1508" i="8"/>
  <c r="H1508" i="8"/>
  <c r="G1508" i="8"/>
  <c r="L1508" i="8" s="1"/>
  <c r="F1508" i="8"/>
  <c r="E1508" i="8"/>
  <c r="D1508" i="8"/>
  <c r="C1508" i="8"/>
  <c r="B1508" i="8"/>
  <c r="A1508" i="8"/>
  <c r="M1507" i="8"/>
  <c r="K1507" i="8"/>
  <c r="J1507" i="8"/>
  <c r="I1507" i="8"/>
  <c r="H1507" i="8"/>
  <c r="G1507" i="8"/>
  <c r="L1507" i="8" s="1"/>
  <c r="F1507" i="8"/>
  <c r="E1507" i="8"/>
  <c r="D1507" i="8"/>
  <c r="C1507" i="8"/>
  <c r="B1507" i="8"/>
  <c r="A1507" i="8"/>
  <c r="M1506" i="8"/>
  <c r="K1506" i="8"/>
  <c r="J1506" i="8"/>
  <c r="I1506" i="8"/>
  <c r="H1506" i="8"/>
  <c r="G1506" i="8"/>
  <c r="L1506" i="8" s="1"/>
  <c r="F1506" i="8"/>
  <c r="E1506" i="8"/>
  <c r="D1506" i="8"/>
  <c r="C1506" i="8"/>
  <c r="B1506" i="8"/>
  <c r="A1506" i="8"/>
  <c r="M1505" i="8"/>
  <c r="L1505" i="8"/>
  <c r="K1505" i="8"/>
  <c r="J1505" i="8"/>
  <c r="I1505" i="8"/>
  <c r="H1505" i="8"/>
  <c r="G1505" i="8"/>
  <c r="F1505" i="8"/>
  <c r="E1505" i="8"/>
  <c r="D1505" i="8"/>
  <c r="C1505" i="8"/>
  <c r="B1505" i="8"/>
  <c r="A1505" i="8"/>
  <c r="M1504" i="8"/>
  <c r="K1504" i="8"/>
  <c r="J1504" i="8"/>
  <c r="I1504" i="8"/>
  <c r="H1504" i="8"/>
  <c r="G1504" i="8"/>
  <c r="L1504" i="8" s="1"/>
  <c r="F1504" i="8"/>
  <c r="E1504" i="8"/>
  <c r="D1504" i="8"/>
  <c r="C1504" i="8"/>
  <c r="B1504" i="8"/>
  <c r="A1504" i="8"/>
  <c r="M1503" i="8"/>
  <c r="L1503" i="8"/>
  <c r="K1503" i="8"/>
  <c r="J1503" i="8"/>
  <c r="I1503" i="8"/>
  <c r="H1503" i="8"/>
  <c r="G1503" i="8"/>
  <c r="F1503" i="8"/>
  <c r="E1503" i="8"/>
  <c r="D1503" i="8"/>
  <c r="C1503" i="8"/>
  <c r="B1503" i="8"/>
  <c r="A1503" i="8"/>
  <c r="M1502" i="8"/>
  <c r="L1502" i="8"/>
  <c r="K1502" i="8"/>
  <c r="J1502" i="8"/>
  <c r="I1502" i="8"/>
  <c r="H1502" i="8"/>
  <c r="G1502" i="8"/>
  <c r="F1502" i="8"/>
  <c r="E1502" i="8"/>
  <c r="D1502" i="8"/>
  <c r="C1502" i="8"/>
  <c r="B1502" i="8"/>
  <c r="A1502" i="8"/>
  <c r="M1501" i="8"/>
  <c r="L1501" i="8"/>
  <c r="K1501" i="8"/>
  <c r="J1501" i="8"/>
  <c r="I1501" i="8"/>
  <c r="H1501" i="8"/>
  <c r="G1501" i="8"/>
  <c r="F1501" i="8"/>
  <c r="E1501" i="8"/>
  <c r="D1501" i="8"/>
  <c r="C1501" i="8"/>
  <c r="B1501" i="8"/>
  <c r="A1501" i="8"/>
  <c r="M1500" i="8"/>
  <c r="K1500" i="8"/>
  <c r="J1500" i="8"/>
  <c r="I1500" i="8"/>
  <c r="H1500" i="8"/>
  <c r="G1500" i="8"/>
  <c r="L1500" i="8" s="1"/>
  <c r="F1500" i="8"/>
  <c r="E1500" i="8"/>
  <c r="D1500" i="8"/>
  <c r="C1500" i="8"/>
  <c r="B1500" i="8"/>
  <c r="A1500" i="8"/>
  <c r="M1499" i="8"/>
  <c r="K1499" i="8"/>
  <c r="J1499" i="8"/>
  <c r="I1499" i="8"/>
  <c r="H1499" i="8"/>
  <c r="G1499" i="8"/>
  <c r="L1499" i="8" s="1"/>
  <c r="F1499" i="8"/>
  <c r="E1499" i="8"/>
  <c r="D1499" i="8"/>
  <c r="C1499" i="8"/>
  <c r="B1499" i="8"/>
  <c r="A1499" i="8"/>
  <c r="M1498" i="8"/>
  <c r="L1498" i="8"/>
  <c r="K1498" i="8"/>
  <c r="J1498" i="8"/>
  <c r="I1498" i="8"/>
  <c r="H1498" i="8"/>
  <c r="G1498" i="8"/>
  <c r="F1498" i="8"/>
  <c r="E1498" i="8"/>
  <c r="D1498" i="8"/>
  <c r="C1498" i="8"/>
  <c r="B1498" i="8"/>
  <c r="A1498" i="8"/>
  <c r="M1497" i="8"/>
  <c r="L1497" i="8"/>
  <c r="K1497" i="8"/>
  <c r="J1497" i="8"/>
  <c r="I1497" i="8"/>
  <c r="H1497" i="8"/>
  <c r="G1497" i="8"/>
  <c r="F1497" i="8"/>
  <c r="E1497" i="8"/>
  <c r="D1497" i="8"/>
  <c r="C1497" i="8"/>
  <c r="B1497" i="8"/>
  <c r="A1497" i="8"/>
  <c r="M1496" i="8"/>
  <c r="K1496" i="8"/>
  <c r="J1496" i="8"/>
  <c r="I1496" i="8"/>
  <c r="H1496" i="8"/>
  <c r="G1496" i="8"/>
  <c r="L1496" i="8" s="1"/>
  <c r="F1496" i="8"/>
  <c r="E1496" i="8"/>
  <c r="D1496" i="8"/>
  <c r="C1496" i="8"/>
  <c r="B1496" i="8"/>
  <c r="A1496" i="8"/>
  <c r="M1495" i="8"/>
  <c r="L1495" i="8"/>
  <c r="K1495" i="8"/>
  <c r="J1495" i="8"/>
  <c r="I1495" i="8"/>
  <c r="H1495" i="8"/>
  <c r="G1495" i="8"/>
  <c r="F1495" i="8"/>
  <c r="E1495" i="8"/>
  <c r="D1495" i="8"/>
  <c r="C1495" i="8"/>
  <c r="B1495" i="8"/>
  <c r="A1495" i="8"/>
  <c r="M1494" i="8"/>
  <c r="L1494" i="8"/>
  <c r="K1494" i="8"/>
  <c r="J1494" i="8"/>
  <c r="I1494" i="8"/>
  <c r="H1494" i="8"/>
  <c r="G1494" i="8"/>
  <c r="F1494" i="8"/>
  <c r="E1494" i="8"/>
  <c r="D1494" i="8"/>
  <c r="C1494" i="8"/>
  <c r="B1494" i="8"/>
  <c r="A1494" i="8"/>
  <c r="M1493" i="8"/>
  <c r="L1493" i="8"/>
  <c r="K1493" i="8"/>
  <c r="J1493" i="8"/>
  <c r="I1493" i="8"/>
  <c r="H1493" i="8"/>
  <c r="G1493" i="8"/>
  <c r="F1493" i="8"/>
  <c r="E1493" i="8"/>
  <c r="D1493" i="8"/>
  <c r="C1493" i="8"/>
  <c r="B1493" i="8"/>
  <c r="A1493" i="8"/>
  <c r="M1492" i="8"/>
  <c r="K1492" i="8"/>
  <c r="J1492" i="8"/>
  <c r="I1492" i="8"/>
  <c r="H1492" i="8"/>
  <c r="G1492" i="8"/>
  <c r="L1492" i="8" s="1"/>
  <c r="F1492" i="8"/>
  <c r="E1492" i="8"/>
  <c r="D1492" i="8"/>
  <c r="C1492" i="8"/>
  <c r="B1492" i="8"/>
  <c r="A1492" i="8"/>
  <c r="M1491" i="8"/>
  <c r="K1491" i="8"/>
  <c r="J1491" i="8"/>
  <c r="I1491" i="8"/>
  <c r="H1491" i="8"/>
  <c r="G1491" i="8"/>
  <c r="L1491" i="8" s="1"/>
  <c r="F1491" i="8"/>
  <c r="E1491" i="8"/>
  <c r="D1491" i="8"/>
  <c r="C1491" i="8"/>
  <c r="B1491" i="8"/>
  <c r="A1491" i="8"/>
  <c r="M1490" i="8"/>
  <c r="L1490" i="8"/>
  <c r="K1490" i="8"/>
  <c r="J1490" i="8"/>
  <c r="I1490" i="8"/>
  <c r="H1490" i="8"/>
  <c r="G1490" i="8"/>
  <c r="F1490" i="8"/>
  <c r="E1490" i="8"/>
  <c r="D1490" i="8"/>
  <c r="C1490" i="8"/>
  <c r="B1490" i="8"/>
  <c r="A1490" i="8"/>
  <c r="M1489" i="8"/>
  <c r="L1489" i="8"/>
  <c r="K1489" i="8"/>
  <c r="J1489" i="8"/>
  <c r="I1489" i="8"/>
  <c r="H1489" i="8"/>
  <c r="G1489" i="8"/>
  <c r="F1489" i="8"/>
  <c r="E1489" i="8"/>
  <c r="D1489" i="8"/>
  <c r="C1489" i="8"/>
  <c r="B1489" i="8"/>
  <c r="A1489" i="8"/>
  <c r="M1488" i="8"/>
  <c r="K1488" i="8"/>
  <c r="J1488" i="8"/>
  <c r="I1488" i="8"/>
  <c r="H1488" i="8"/>
  <c r="G1488" i="8"/>
  <c r="L1488" i="8" s="1"/>
  <c r="F1488" i="8"/>
  <c r="E1488" i="8"/>
  <c r="D1488" i="8"/>
  <c r="C1488" i="8"/>
  <c r="B1488" i="8"/>
  <c r="A1488" i="8"/>
  <c r="M1487" i="8"/>
  <c r="L1487" i="8"/>
  <c r="K1487" i="8"/>
  <c r="J1487" i="8"/>
  <c r="I1487" i="8"/>
  <c r="H1487" i="8"/>
  <c r="G1487" i="8"/>
  <c r="F1487" i="8"/>
  <c r="E1487" i="8"/>
  <c r="D1487" i="8"/>
  <c r="C1487" i="8"/>
  <c r="B1487" i="8"/>
  <c r="A1487" i="8"/>
  <c r="M1486" i="8"/>
  <c r="L1486" i="8"/>
  <c r="K1486" i="8"/>
  <c r="J1486" i="8"/>
  <c r="I1486" i="8"/>
  <c r="H1486" i="8"/>
  <c r="G1486" i="8"/>
  <c r="F1486" i="8"/>
  <c r="E1486" i="8"/>
  <c r="D1486" i="8"/>
  <c r="C1486" i="8"/>
  <c r="B1486" i="8"/>
  <c r="A1486" i="8"/>
  <c r="M1485" i="8"/>
  <c r="L1485" i="8"/>
  <c r="K1485" i="8"/>
  <c r="J1485" i="8"/>
  <c r="I1485" i="8"/>
  <c r="H1485" i="8"/>
  <c r="G1485" i="8"/>
  <c r="F1485" i="8"/>
  <c r="E1485" i="8"/>
  <c r="D1485" i="8"/>
  <c r="C1485" i="8"/>
  <c r="B1485" i="8"/>
  <c r="A1485" i="8"/>
  <c r="M1484" i="8"/>
  <c r="K1484" i="8"/>
  <c r="J1484" i="8"/>
  <c r="I1484" i="8"/>
  <c r="H1484" i="8"/>
  <c r="G1484" i="8"/>
  <c r="L1484" i="8" s="1"/>
  <c r="F1484" i="8"/>
  <c r="E1484" i="8"/>
  <c r="D1484" i="8"/>
  <c r="C1484" i="8"/>
  <c r="B1484" i="8"/>
  <c r="A1484" i="8"/>
  <c r="M1483" i="8"/>
  <c r="L1483" i="8"/>
  <c r="K1483" i="8"/>
  <c r="J1483" i="8"/>
  <c r="I1483" i="8"/>
  <c r="H1483" i="8"/>
  <c r="G1483" i="8"/>
  <c r="F1483" i="8"/>
  <c r="E1483" i="8"/>
  <c r="D1483" i="8"/>
  <c r="C1483" i="8"/>
  <c r="B1483" i="8"/>
  <c r="A1483" i="8"/>
  <c r="M1482" i="8"/>
  <c r="L1482" i="8"/>
  <c r="K1482" i="8"/>
  <c r="J1482" i="8"/>
  <c r="I1482" i="8"/>
  <c r="H1482" i="8"/>
  <c r="G1482" i="8"/>
  <c r="F1482" i="8"/>
  <c r="E1482" i="8"/>
  <c r="D1482" i="8"/>
  <c r="C1482" i="8"/>
  <c r="B1482" i="8"/>
  <c r="A1482" i="8"/>
  <c r="M1481" i="8"/>
  <c r="L1481" i="8"/>
  <c r="K1481" i="8"/>
  <c r="J1481" i="8"/>
  <c r="I1481" i="8"/>
  <c r="H1481" i="8"/>
  <c r="G1481" i="8"/>
  <c r="F1481" i="8"/>
  <c r="E1481" i="8"/>
  <c r="D1481" i="8"/>
  <c r="C1481" i="8"/>
  <c r="B1481" i="8"/>
  <c r="A1481" i="8"/>
  <c r="M1480" i="8"/>
  <c r="K1480" i="8"/>
  <c r="J1480" i="8"/>
  <c r="I1480" i="8"/>
  <c r="H1480" i="8"/>
  <c r="G1480" i="8"/>
  <c r="L1480" i="8" s="1"/>
  <c r="F1480" i="8"/>
  <c r="E1480" i="8"/>
  <c r="D1480" i="8"/>
  <c r="C1480" i="8"/>
  <c r="B1480" i="8"/>
  <c r="A1480" i="8"/>
  <c r="M1479" i="8"/>
  <c r="K1479" i="8"/>
  <c r="J1479" i="8"/>
  <c r="I1479" i="8"/>
  <c r="H1479" i="8"/>
  <c r="G1479" i="8"/>
  <c r="L1479" i="8" s="1"/>
  <c r="F1479" i="8"/>
  <c r="E1479" i="8"/>
  <c r="D1479" i="8"/>
  <c r="C1479" i="8"/>
  <c r="B1479" i="8"/>
  <c r="A1479" i="8"/>
  <c r="M1478" i="8"/>
  <c r="L1478" i="8"/>
  <c r="K1478" i="8"/>
  <c r="J1478" i="8"/>
  <c r="I1478" i="8"/>
  <c r="H1478" i="8"/>
  <c r="G1478" i="8"/>
  <c r="F1478" i="8"/>
  <c r="E1478" i="8"/>
  <c r="D1478" i="8"/>
  <c r="C1478" i="8"/>
  <c r="B1478" i="8"/>
  <c r="A1478" i="8"/>
  <c r="M1477" i="8"/>
  <c r="L1477" i="8"/>
  <c r="K1477" i="8"/>
  <c r="J1477" i="8"/>
  <c r="I1477" i="8"/>
  <c r="H1477" i="8"/>
  <c r="G1477" i="8"/>
  <c r="F1477" i="8"/>
  <c r="E1477" i="8"/>
  <c r="D1477" i="8"/>
  <c r="C1477" i="8"/>
  <c r="B1477" i="8"/>
  <c r="A1477" i="8"/>
  <c r="M1476" i="8"/>
  <c r="K1476" i="8"/>
  <c r="J1476" i="8"/>
  <c r="I1476" i="8"/>
  <c r="H1476" i="8"/>
  <c r="G1476" i="8"/>
  <c r="L1476" i="8" s="1"/>
  <c r="F1476" i="8"/>
  <c r="E1476" i="8"/>
  <c r="D1476" i="8"/>
  <c r="C1476" i="8"/>
  <c r="B1476" i="8"/>
  <c r="A1476" i="8"/>
  <c r="M1475" i="8"/>
  <c r="K1475" i="8"/>
  <c r="J1475" i="8"/>
  <c r="I1475" i="8"/>
  <c r="H1475" i="8"/>
  <c r="G1475" i="8"/>
  <c r="L1475" i="8" s="1"/>
  <c r="F1475" i="8"/>
  <c r="E1475" i="8"/>
  <c r="D1475" i="8"/>
  <c r="C1475" i="8"/>
  <c r="B1475" i="8"/>
  <c r="A1475" i="8"/>
  <c r="M1474" i="8"/>
  <c r="K1474" i="8"/>
  <c r="J1474" i="8"/>
  <c r="I1474" i="8"/>
  <c r="H1474" i="8"/>
  <c r="G1474" i="8"/>
  <c r="L1474" i="8" s="1"/>
  <c r="F1474" i="8"/>
  <c r="E1474" i="8"/>
  <c r="D1474" i="8"/>
  <c r="C1474" i="8"/>
  <c r="B1474" i="8"/>
  <c r="A1474" i="8"/>
  <c r="M1473" i="8"/>
  <c r="L1473" i="8"/>
  <c r="K1473" i="8"/>
  <c r="J1473" i="8"/>
  <c r="I1473" i="8"/>
  <c r="H1473" i="8"/>
  <c r="G1473" i="8"/>
  <c r="F1473" i="8"/>
  <c r="E1473" i="8"/>
  <c r="D1473" i="8"/>
  <c r="C1473" i="8"/>
  <c r="B1473" i="8"/>
  <c r="A1473" i="8"/>
  <c r="M1472" i="8"/>
  <c r="K1472" i="8"/>
  <c r="J1472" i="8"/>
  <c r="I1472" i="8"/>
  <c r="H1472" i="8"/>
  <c r="G1472" i="8"/>
  <c r="L1472" i="8" s="1"/>
  <c r="F1472" i="8"/>
  <c r="E1472" i="8"/>
  <c r="D1472" i="8"/>
  <c r="C1472" i="8"/>
  <c r="B1472" i="8"/>
  <c r="A1472" i="8"/>
  <c r="M1471" i="8"/>
  <c r="L1471" i="8"/>
  <c r="K1471" i="8"/>
  <c r="J1471" i="8"/>
  <c r="I1471" i="8"/>
  <c r="H1471" i="8"/>
  <c r="G1471" i="8"/>
  <c r="F1471" i="8"/>
  <c r="E1471" i="8"/>
  <c r="D1471" i="8"/>
  <c r="C1471" i="8"/>
  <c r="B1471" i="8"/>
  <c r="A1471" i="8"/>
  <c r="M1470" i="8"/>
  <c r="L1470" i="8"/>
  <c r="K1470" i="8"/>
  <c r="J1470" i="8"/>
  <c r="I1470" i="8"/>
  <c r="H1470" i="8"/>
  <c r="G1470" i="8"/>
  <c r="F1470" i="8"/>
  <c r="E1470" i="8"/>
  <c r="D1470" i="8"/>
  <c r="C1470" i="8"/>
  <c r="B1470" i="8"/>
  <c r="A1470" i="8"/>
  <c r="M1469" i="8"/>
  <c r="L1469" i="8"/>
  <c r="K1469" i="8"/>
  <c r="J1469" i="8"/>
  <c r="I1469" i="8"/>
  <c r="H1469" i="8"/>
  <c r="G1469" i="8"/>
  <c r="F1469" i="8"/>
  <c r="E1469" i="8"/>
  <c r="D1469" i="8"/>
  <c r="C1469" i="8"/>
  <c r="B1469" i="8"/>
  <c r="A1469" i="8"/>
  <c r="M1468" i="8"/>
  <c r="K1468" i="8"/>
  <c r="J1468" i="8"/>
  <c r="I1468" i="8"/>
  <c r="H1468" i="8"/>
  <c r="G1468" i="8"/>
  <c r="L1468" i="8" s="1"/>
  <c r="F1468" i="8"/>
  <c r="E1468" i="8"/>
  <c r="D1468" i="8"/>
  <c r="C1468" i="8"/>
  <c r="B1468" i="8"/>
  <c r="A1468" i="8"/>
  <c r="M1467" i="8"/>
  <c r="K1467" i="8"/>
  <c r="J1467" i="8"/>
  <c r="I1467" i="8"/>
  <c r="H1467" i="8"/>
  <c r="G1467" i="8"/>
  <c r="L1467" i="8" s="1"/>
  <c r="F1467" i="8"/>
  <c r="E1467" i="8"/>
  <c r="D1467" i="8"/>
  <c r="C1467" i="8"/>
  <c r="B1467" i="8"/>
  <c r="A1467" i="8"/>
  <c r="M1466" i="8"/>
  <c r="L1466" i="8"/>
  <c r="K1466" i="8"/>
  <c r="J1466" i="8"/>
  <c r="I1466" i="8"/>
  <c r="H1466" i="8"/>
  <c r="G1466" i="8"/>
  <c r="F1466" i="8"/>
  <c r="E1466" i="8"/>
  <c r="D1466" i="8"/>
  <c r="C1466" i="8"/>
  <c r="B1466" i="8"/>
  <c r="A1466" i="8"/>
  <c r="M1465" i="8"/>
  <c r="L1465" i="8"/>
  <c r="K1465" i="8"/>
  <c r="J1465" i="8"/>
  <c r="I1465" i="8"/>
  <c r="H1465" i="8"/>
  <c r="G1465" i="8"/>
  <c r="F1465" i="8"/>
  <c r="E1465" i="8"/>
  <c r="D1465" i="8"/>
  <c r="C1465" i="8"/>
  <c r="B1465" i="8"/>
  <c r="A1465" i="8"/>
  <c r="M1464" i="8"/>
  <c r="K1464" i="8"/>
  <c r="J1464" i="8"/>
  <c r="I1464" i="8"/>
  <c r="H1464" i="8"/>
  <c r="G1464" i="8"/>
  <c r="L1464" i="8" s="1"/>
  <c r="F1464" i="8"/>
  <c r="E1464" i="8"/>
  <c r="D1464" i="8"/>
  <c r="C1464" i="8"/>
  <c r="B1464" i="8"/>
  <c r="A1464" i="8"/>
  <c r="M1463" i="8"/>
  <c r="L1463" i="8"/>
  <c r="K1463" i="8"/>
  <c r="J1463" i="8"/>
  <c r="I1463" i="8"/>
  <c r="H1463" i="8"/>
  <c r="G1463" i="8"/>
  <c r="F1463" i="8"/>
  <c r="E1463" i="8"/>
  <c r="D1463" i="8"/>
  <c r="C1463" i="8"/>
  <c r="B1463" i="8"/>
  <c r="A1463" i="8"/>
  <c r="M1462" i="8"/>
  <c r="L1462" i="8"/>
  <c r="K1462" i="8"/>
  <c r="J1462" i="8"/>
  <c r="I1462" i="8"/>
  <c r="H1462" i="8"/>
  <c r="G1462" i="8"/>
  <c r="F1462" i="8"/>
  <c r="E1462" i="8"/>
  <c r="D1462" i="8"/>
  <c r="C1462" i="8"/>
  <c r="B1462" i="8"/>
  <c r="A1462" i="8"/>
  <c r="M1461" i="8"/>
  <c r="L1461" i="8"/>
  <c r="K1461" i="8"/>
  <c r="J1461" i="8"/>
  <c r="I1461" i="8"/>
  <c r="H1461" i="8"/>
  <c r="G1461" i="8"/>
  <c r="F1461" i="8"/>
  <c r="E1461" i="8"/>
  <c r="D1461" i="8"/>
  <c r="C1461" i="8"/>
  <c r="B1461" i="8"/>
  <c r="A1461" i="8"/>
  <c r="M1460" i="8"/>
  <c r="K1460" i="8"/>
  <c r="J1460" i="8"/>
  <c r="I1460" i="8"/>
  <c r="H1460" i="8"/>
  <c r="G1460" i="8"/>
  <c r="L1460" i="8" s="1"/>
  <c r="F1460" i="8"/>
  <c r="E1460" i="8"/>
  <c r="D1460" i="8"/>
  <c r="C1460" i="8"/>
  <c r="B1460" i="8"/>
  <c r="A1460" i="8"/>
  <c r="M1459" i="8"/>
  <c r="K1459" i="8"/>
  <c r="J1459" i="8"/>
  <c r="I1459" i="8"/>
  <c r="H1459" i="8"/>
  <c r="G1459" i="8"/>
  <c r="L1459" i="8" s="1"/>
  <c r="F1459" i="8"/>
  <c r="E1459" i="8"/>
  <c r="D1459" i="8"/>
  <c r="C1459" i="8"/>
  <c r="B1459" i="8"/>
  <c r="A1459" i="8"/>
  <c r="M1458" i="8"/>
  <c r="L1458" i="8"/>
  <c r="K1458" i="8"/>
  <c r="J1458" i="8"/>
  <c r="I1458" i="8"/>
  <c r="H1458" i="8"/>
  <c r="G1458" i="8"/>
  <c r="F1458" i="8"/>
  <c r="E1458" i="8"/>
  <c r="D1458" i="8"/>
  <c r="C1458" i="8"/>
  <c r="B1458" i="8"/>
  <c r="A1458" i="8"/>
  <c r="M1457" i="8"/>
  <c r="L1457" i="8"/>
  <c r="K1457" i="8"/>
  <c r="J1457" i="8"/>
  <c r="I1457" i="8"/>
  <c r="H1457" i="8"/>
  <c r="G1457" i="8"/>
  <c r="F1457" i="8"/>
  <c r="E1457" i="8"/>
  <c r="D1457" i="8"/>
  <c r="C1457" i="8"/>
  <c r="B1457" i="8"/>
  <c r="A1457" i="8"/>
  <c r="M1456" i="8"/>
  <c r="K1456" i="8"/>
  <c r="J1456" i="8"/>
  <c r="I1456" i="8"/>
  <c r="H1456" i="8"/>
  <c r="G1456" i="8"/>
  <c r="L1456" i="8" s="1"/>
  <c r="F1456" i="8"/>
  <c r="E1456" i="8"/>
  <c r="D1456" i="8"/>
  <c r="C1456" i="8"/>
  <c r="B1456" i="8"/>
  <c r="A1456" i="8"/>
  <c r="M1455" i="8"/>
  <c r="L1455" i="8"/>
  <c r="K1455" i="8"/>
  <c r="J1455" i="8"/>
  <c r="I1455" i="8"/>
  <c r="H1455" i="8"/>
  <c r="G1455" i="8"/>
  <c r="F1455" i="8"/>
  <c r="E1455" i="8"/>
  <c r="D1455" i="8"/>
  <c r="C1455" i="8"/>
  <c r="B1455" i="8"/>
  <c r="A1455" i="8"/>
  <c r="M1454" i="8"/>
  <c r="L1454" i="8"/>
  <c r="K1454" i="8"/>
  <c r="J1454" i="8"/>
  <c r="I1454" i="8"/>
  <c r="H1454" i="8"/>
  <c r="G1454" i="8"/>
  <c r="F1454" i="8"/>
  <c r="E1454" i="8"/>
  <c r="D1454" i="8"/>
  <c r="C1454" i="8"/>
  <c r="B1454" i="8"/>
  <c r="A1454" i="8"/>
  <c r="M1453" i="8"/>
  <c r="L1453" i="8"/>
  <c r="K1453" i="8"/>
  <c r="J1453" i="8"/>
  <c r="I1453" i="8"/>
  <c r="H1453" i="8"/>
  <c r="G1453" i="8"/>
  <c r="F1453" i="8"/>
  <c r="E1453" i="8"/>
  <c r="D1453" i="8"/>
  <c r="C1453" i="8"/>
  <c r="B1453" i="8"/>
  <c r="A1453" i="8"/>
  <c r="M1452" i="8"/>
  <c r="K1452" i="8"/>
  <c r="J1452" i="8"/>
  <c r="I1452" i="8"/>
  <c r="H1452" i="8"/>
  <c r="G1452" i="8"/>
  <c r="L1452" i="8" s="1"/>
  <c r="F1452" i="8"/>
  <c r="E1452" i="8"/>
  <c r="D1452" i="8"/>
  <c r="C1452" i="8"/>
  <c r="B1452" i="8"/>
  <c r="A1452" i="8"/>
  <c r="M1451" i="8"/>
  <c r="L1451" i="8"/>
  <c r="K1451" i="8"/>
  <c r="J1451" i="8"/>
  <c r="I1451" i="8"/>
  <c r="H1451" i="8"/>
  <c r="G1451" i="8"/>
  <c r="F1451" i="8"/>
  <c r="E1451" i="8"/>
  <c r="D1451" i="8"/>
  <c r="C1451" i="8"/>
  <c r="B1451" i="8"/>
  <c r="A1451" i="8"/>
  <c r="M1450" i="8"/>
  <c r="L1450" i="8"/>
  <c r="K1450" i="8"/>
  <c r="J1450" i="8"/>
  <c r="I1450" i="8"/>
  <c r="H1450" i="8"/>
  <c r="G1450" i="8"/>
  <c r="F1450" i="8"/>
  <c r="E1450" i="8"/>
  <c r="D1450" i="8"/>
  <c r="C1450" i="8"/>
  <c r="B1450" i="8"/>
  <c r="A1450" i="8"/>
  <c r="M1449" i="8"/>
  <c r="L1449" i="8"/>
  <c r="K1449" i="8"/>
  <c r="J1449" i="8"/>
  <c r="I1449" i="8"/>
  <c r="H1449" i="8"/>
  <c r="G1449" i="8"/>
  <c r="F1449" i="8"/>
  <c r="E1449" i="8"/>
  <c r="D1449" i="8"/>
  <c r="C1449" i="8"/>
  <c r="B1449" i="8"/>
  <c r="A1449" i="8"/>
  <c r="M1448" i="8"/>
  <c r="K1448" i="8"/>
  <c r="J1448" i="8"/>
  <c r="I1448" i="8"/>
  <c r="H1448" i="8"/>
  <c r="G1448" i="8"/>
  <c r="L1448" i="8" s="1"/>
  <c r="F1448" i="8"/>
  <c r="E1448" i="8"/>
  <c r="D1448" i="8"/>
  <c r="C1448" i="8"/>
  <c r="B1448" i="8"/>
  <c r="A1448" i="8"/>
  <c r="M1447" i="8"/>
  <c r="K1447" i="8"/>
  <c r="J1447" i="8"/>
  <c r="I1447" i="8"/>
  <c r="H1447" i="8"/>
  <c r="G1447" i="8"/>
  <c r="L1447" i="8" s="1"/>
  <c r="F1447" i="8"/>
  <c r="E1447" i="8"/>
  <c r="D1447" i="8"/>
  <c r="C1447" i="8"/>
  <c r="B1447" i="8"/>
  <c r="A1447" i="8"/>
  <c r="M1446" i="8"/>
  <c r="L1446" i="8"/>
  <c r="K1446" i="8"/>
  <c r="J1446" i="8"/>
  <c r="I1446" i="8"/>
  <c r="H1446" i="8"/>
  <c r="G1446" i="8"/>
  <c r="F1446" i="8"/>
  <c r="E1446" i="8"/>
  <c r="D1446" i="8"/>
  <c r="C1446" i="8"/>
  <c r="B1446" i="8"/>
  <c r="A1446" i="8"/>
  <c r="M1445" i="8"/>
  <c r="L1445" i="8"/>
  <c r="K1445" i="8"/>
  <c r="J1445" i="8"/>
  <c r="I1445" i="8"/>
  <c r="H1445" i="8"/>
  <c r="G1445" i="8"/>
  <c r="F1445" i="8"/>
  <c r="E1445" i="8"/>
  <c r="D1445" i="8"/>
  <c r="C1445" i="8"/>
  <c r="B1445" i="8"/>
  <c r="A1445" i="8"/>
  <c r="M1444" i="8"/>
  <c r="K1444" i="8"/>
  <c r="J1444" i="8"/>
  <c r="I1444" i="8"/>
  <c r="H1444" i="8"/>
  <c r="G1444" i="8"/>
  <c r="L1444" i="8" s="1"/>
  <c r="F1444" i="8"/>
  <c r="E1444" i="8"/>
  <c r="D1444" i="8"/>
  <c r="C1444" i="8"/>
  <c r="B1444" i="8"/>
  <c r="A1444" i="8"/>
  <c r="M1443" i="8"/>
  <c r="K1443" i="8"/>
  <c r="J1443" i="8"/>
  <c r="I1443" i="8"/>
  <c r="H1443" i="8"/>
  <c r="G1443" i="8"/>
  <c r="L1443" i="8" s="1"/>
  <c r="F1443" i="8"/>
  <c r="E1443" i="8"/>
  <c r="D1443" i="8"/>
  <c r="C1443" i="8"/>
  <c r="B1443" i="8"/>
  <c r="A1443" i="8"/>
  <c r="M1442" i="8"/>
  <c r="K1442" i="8"/>
  <c r="J1442" i="8"/>
  <c r="I1442" i="8"/>
  <c r="H1442" i="8"/>
  <c r="G1442" i="8"/>
  <c r="L1442" i="8" s="1"/>
  <c r="F1442" i="8"/>
  <c r="E1442" i="8"/>
  <c r="D1442" i="8"/>
  <c r="C1442" i="8"/>
  <c r="B1442" i="8"/>
  <c r="A1442" i="8"/>
  <c r="M1441" i="8"/>
  <c r="L1441" i="8"/>
  <c r="K1441" i="8"/>
  <c r="J1441" i="8"/>
  <c r="I1441" i="8"/>
  <c r="H1441" i="8"/>
  <c r="G1441" i="8"/>
  <c r="F1441" i="8"/>
  <c r="E1441" i="8"/>
  <c r="D1441" i="8"/>
  <c r="C1441" i="8"/>
  <c r="B1441" i="8"/>
  <c r="A1441" i="8"/>
  <c r="M1440" i="8"/>
  <c r="K1440" i="8"/>
  <c r="J1440" i="8"/>
  <c r="I1440" i="8"/>
  <c r="H1440" i="8"/>
  <c r="G1440" i="8"/>
  <c r="L1440" i="8" s="1"/>
  <c r="F1440" i="8"/>
  <c r="E1440" i="8"/>
  <c r="D1440" i="8"/>
  <c r="C1440" i="8"/>
  <c r="B1440" i="8"/>
  <c r="A1440" i="8"/>
  <c r="M1439" i="8"/>
  <c r="L1439" i="8"/>
  <c r="K1439" i="8"/>
  <c r="J1439" i="8"/>
  <c r="I1439" i="8"/>
  <c r="H1439" i="8"/>
  <c r="G1439" i="8"/>
  <c r="F1439" i="8"/>
  <c r="E1439" i="8"/>
  <c r="D1439" i="8"/>
  <c r="C1439" i="8"/>
  <c r="B1439" i="8"/>
  <c r="A1439" i="8"/>
  <c r="M1438" i="8"/>
  <c r="L1438" i="8"/>
  <c r="K1438" i="8"/>
  <c r="J1438" i="8"/>
  <c r="I1438" i="8"/>
  <c r="H1438" i="8"/>
  <c r="G1438" i="8"/>
  <c r="F1438" i="8"/>
  <c r="E1438" i="8"/>
  <c r="D1438" i="8"/>
  <c r="C1438" i="8"/>
  <c r="B1438" i="8"/>
  <c r="A1438" i="8"/>
  <c r="M1437" i="8"/>
  <c r="L1437" i="8"/>
  <c r="K1437" i="8"/>
  <c r="J1437" i="8"/>
  <c r="I1437" i="8"/>
  <c r="H1437" i="8"/>
  <c r="G1437" i="8"/>
  <c r="F1437" i="8"/>
  <c r="E1437" i="8"/>
  <c r="D1437" i="8"/>
  <c r="C1437" i="8"/>
  <c r="B1437" i="8"/>
  <c r="A1437" i="8"/>
  <c r="M1436" i="8"/>
  <c r="K1436" i="8"/>
  <c r="J1436" i="8"/>
  <c r="I1436" i="8"/>
  <c r="H1436" i="8"/>
  <c r="G1436" i="8"/>
  <c r="L1436" i="8" s="1"/>
  <c r="F1436" i="8"/>
  <c r="E1436" i="8"/>
  <c r="D1436" i="8"/>
  <c r="C1436" i="8"/>
  <c r="B1436" i="8"/>
  <c r="A1436" i="8"/>
  <c r="M1435" i="8"/>
  <c r="K1435" i="8"/>
  <c r="J1435" i="8"/>
  <c r="I1435" i="8"/>
  <c r="H1435" i="8"/>
  <c r="G1435" i="8"/>
  <c r="L1435" i="8" s="1"/>
  <c r="F1435" i="8"/>
  <c r="E1435" i="8"/>
  <c r="D1435" i="8"/>
  <c r="C1435" i="8"/>
  <c r="B1435" i="8"/>
  <c r="A1435" i="8"/>
  <c r="M1434" i="8"/>
  <c r="L1434" i="8"/>
  <c r="K1434" i="8"/>
  <c r="J1434" i="8"/>
  <c r="I1434" i="8"/>
  <c r="H1434" i="8"/>
  <c r="G1434" i="8"/>
  <c r="F1434" i="8"/>
  <c r="E1434" i="8"/>
  <c r="D1434" i="8"/>
  <c r="C1434" i="8"/>
  <c r="B1434" i="8"/>
  <c r="A1434" i="8"/>
  <c r="M1433" i="8"/>
  <c r="L1433" i="8"/>
  <c r="K1433" i="8"/>
  <c r="J1433" i="8"/>
  <c r="I1433" i="8"/>
  <c r="H1433" i="8"/>
  <c r="G1433" i="8"/>
  <c r="F1433" i="8"/>
  <c r="E1433" i="8"/>
  <c r="D1433" i="8"/>
  <c r="C1433" i="8"/>
  <c r="B1433" i="8"/>
  <c r="A1433" i="8"/>
  <c r="M1432" i="8"/>
  <c r="K1432" i="8"/>
  <c r="J1432" i="8"/>
  <c r="I1432" i="8"/>
  <c r="H1432" i="8"/>
  <c r="G1432" i="8"/>
  <c r="L1432" i="8" s="1"/>
  <c r="F1432" i="8"/>
  <c r="E1432" i="8"/>
  <c r="D1432" i="8"/>
  <c r="C1432" i="8"/>
  <c r="B1432" i="8"/>
  <c r="A1432" i="8"/>
  <c r="M1431" i="8"/>
  <c r="L1431" i="8"/>
  <c r="K1431" i="8"/>
  <c r="J1431" i="8"/>
  <c r="I1431" i="8"/>
  <c r="H1431" i="8"/>
  <c r="G1431" i="8"/>
  <c r="F1431" i="8"/>
  <c r="E1431" i="8"/>
  <c r="D1431" i="8"/>
  <c r="C1431" i="8"/>
  <c r="B1431" i="8"/>
  <c r="A1431" i="8"/>
  <c r="M1430" i="8"/>
  <c r="L1430" i="8"/>
  <c r="K1430" i="8"/>
  <c r="J1430" i="8"/>
  <c r="I1430" i="8"/>
  <c r="H1430" i="8"/>
  <c r="G1430" i="8"/>
  <c r="F1430" i="8"/>
  <c r="E1430" i="8"/>
  <c r="D1430" i="8"/>
  <c r="C1430" i="8"/>
  <c r="B1430" i="8"/>
  <c r="A1430" i="8"/>
  <c r="M1429" i="8"/>
  <c r="L1429" i="8"/>
  <c r="K1429" i="8"/>
  <c r="J1429" i="8"/>
  <c r="I1429" i="8"/>
  <c r="H1429" i="8"/>
  <c r="G1429" i="8"/>
  <c r="F1429" i="8"/>
  <c r="E1429" i="8"/>
  <c r="D1429" i="8"/>
  <c r="C1429" i="8"/>
  <c r="B1429" i="8"/>
  <c r="A1429" i="8"/>
  <c r="M1428" i="8"/>
  <c r="K1428" i="8"/>
  <c r="J1428" i="8"/>
  <c r="I1428" i="8"/>
  <c r="H1428" i="8"/>
  <c r="G1428" i="8"/>
  <c r="L1428" i="8" s="1"/>
  <c r="F1428" i="8"/>
  <c r="E1428" i="8"/>
  <c r="D1428" i="8"/>
  <c r="C1428" i="8"/>
  <c r="B1428" i="8"/>
  <c r="A1428" i="8"/>
  <c r="M1427" i="8"/>
  <c r="K1427" i="8"/>
  <c r="J1427" i="8"/>
  <c r="I1427" i="8"/>
  <c r="H1427" i="8"/>
  <c r="G1427" i="8"/>
  <c r="L1427" i="8" s="1"/>
  <c r="F1427" i="8"/>
  <c r="E1427" i="8"/>
  <c r="D1427" i="8"/>
  <c r="C1427" i="8"/>
  <c r="B1427" i="8"/>
  <c r="A1427" i="8"/>
  <c r="M1426" i="8"/>
  <c r="L1426" i="8"/>
  <c r="K1426" i="8"/>
  <c r="J1426" i="8"/>
  <c r="I1426" i="8"/>
  <c r="H1426" i="8"/>
  <c r="G1426" i="8"/>
  <c r="F1426" i="8"/>
  <c r="E1426" i="8"/>
  <c r="D1426" i="8"/>
  <c r="C1426" i="8"/>
  <c r="B1426" i="8"/>
  <c r="A1426" i="8"/>
  <c r="M1425" i="8"/>
  <c r="L1425" i="8"/>
  <c r="K1425" i="8"/>
  <c r="J1425" i="8"/>
  <c r="I1425" i="8"/>
  <c r="H1425" i="8"/>
  <c r="G1425" i="8"/>
  <c r="F1425" i="8"/>
  <c r="E1425" i="8"/>
  <c r="D1425" i="8"/>
  <c r="C1425" i="8"/>
  <c r="B1425" i="8"/>
  <c r="A1425" i="8"/>
  <c r="M1424" i="8"/>
  <c r="K1424" i="8"/>
  <c r="J1424" i="8"/>
  <c r="I1424" i="8"/>
  <c r="H1424" i="8"/>
  <c r="G1424" i="8"/>
  <c r="L1424" i="8" s="1"/>
  <c r="F1424" i="8"/>
  <c r="E1424" i="8"/>
  <c r="D1424" i="8"/>
  <c r="C1424" i="8"/>
  <c r="B1424" i="8"/>
  <c r="A1424" i="8"/>
  <c r="M1423" i="8"/>
  <c r="L1423" i="8"/>
  <c r="K1423" i="8"/>
  <c r="J1423" i="8"/>
  <c r="I1423" i="8"/>
  <c r="H1423" i="8"/>
  <c r="G1423" i="8"/>
  <c r="F1423" i="8"/>
  <c r="E1423" i="8"/>
  <c r="D1423" i="8"/>
  <c r="C1423" i="8"/>
  <c r="B1423" i="8"/>
  <c r="A1423" i="8"/>
  <c r="M1422" i="8"/>
  <c r="L1422" i="8"/>
  <c r="K1422" i="8"/>
  <c r="J1422" i="8"/>
  <c r="I1422" i="8"/>
  <c r="H1422" i="8"/>
  <c r="G1422" i="8"/>
  <c r="F1422" i="8"/>
  <c r="E1422" i="8"/>
  <c r="D1422" i="8"/>
  <c r="C1422" i="8"/>
  <c r="B1422" i="8"/>
  <c r="A1422" i="8"/>
  <c r="M1421" i="8"/>
  <c r="L1421" i="8"/>
  <c r="K1421" i="8"/>
  <c r="J1421" i="8"/>
  <c r="I1421" i="8"/>
  <c r="H1421" i="8"/>
  <c r="G1421" i="8"/>
  <c r="F1421" i="8"/>
  <c r="E1421" i="8"/>
  <c r="D1421" i="8"/>
  <c r="C1421" i="8"/>
  <c r="B1421" i="8"/>
  <c r="A1421" i="8"/>
  <c r="M1420" i="8"/>
  <c r="K1420" i="8"/>
  <c r="J1420" i="8"/>
  <c r="I1420" i="8"/>
  <c r="H1420" i="8"/>
  <c r="G1420" i="8"/>
  <c r="L1420" i="8" s="1"/>
  <c r="F1420" i="8"/>
  <c r="E1420" i="8"/>
  <c r="D1420" i="8"/>
  <c r="C1420" i="8"/>
  <c r="B1420" i="8"/>
  <c r="A1420" i="8"/>
  <c r="M1419" i="8"/>
  <c r="L1419" i="8"/>
  <c r="K1419" i="8"/>
  <c r="J1419" i="8"/>
  <c r="I1419" i="8"/>
  <c r="H1419" i="8"/>
  <c r="G1419" i="8"/>
  <c r="F1419" i="8"/>
  <c r="E1419" i="8"/>
  <c r="D1419" i="8"/>
  <c r="C1419" i="8"/>
  <c r="B1419" i="8"/>
  <c r="A1419" i="8"/>
  <c r="M1418" i="8"/>
  <c r="L1418" i="8"/>
  <c r="K1418" i="8"/>
  <c r="J1418" i="8"/>
  <c r="I1418" i="8"/>
  <c r="H1418" i="8"/>
  <c r="G1418" i="8"/>
  <c r="F1418" i="8"/>
  <c r="E1418" i="8"/>
  <c r="D1418" i="8"/>
  <c r="C1418" i="8"/>
  <c r="B1418" i="8"/>
  <c r="A1418" i="8"/>
  <c r="M1417" i="8"/>
  <c r="L1417" i="8"/>
  <c r="K1417" i="8"/>
  <c r="J1417" i="8"/>
  <c r="I1417" i="8"/>
  <c r="H1417" i="8"/>
  <c r="G1417" i="8"/>
  <c r="F1417" i="8"/>
  <c r="E1417" i="8"/>
  <c r="D1417" i="8"/>
  <c r="C1417" i="8"/>
  <c r="B1417" i="8"/>
  <c r="A1417" i="8"/>
  <c r="M1416" i="8"/>
  <c r="K1416" i="8"/>
  <c r="J1416" i="8"/>
  <c r="I1416" i="8"/>
  <c r="H1416" i="8"/>
  <c r="G1416" i="8"/>
  <c r="L1416" i="8" s="1"/>
  <c r="F1416" i="8"/>
  <c r="E1416" i="8"/>
  <c r="D1416" i="8"/>
  <c r="C1416" i="8"/>
  <c r="B1416" i="8"/>
  <c r="A1416" i="8"/>
  <c r="M1415" i="8"/>
  <c r="K1415" i="8"/>
  <c r="J1415" i="8"/>
  <c r="I1415" i="8"/>
  <c r="H1415" i="8"/>
  <c r="G1415" i="8"/>
  <c r="L1415" i="8" s="1"/>
  <c r="F1415" i="8"/>
  <c r="E1415" i="8"/>
  <c r="D1415" i="8"/>
  <c r="C1415" i="8"/>
  <c r="B1415" i="8"/>
  <c r="A1415" i="8"/>
  <c r="M1414" i="8"/>
  <c r="L1414" i="8"/>
  <c r="K1414" i="8"/>
  <c r="J1414" i="8"/>
  <c r="I1414" i="8"/>
  <c r="H1414" i="8"/>
  <c r="G1414" i="8"/>
  <c r="F1414" i="8"/>
  <c r="E1414" i="8"/>
  <c r="D1414" i="8"/>
  <c r="C1414" i="8"/>
  <c r="B1414" i="8"/>
  <c r="A1414" i="8"/>
  <c r="M1413" i="8"/>
  <c r="L1413" i="8"/>
  <c r="K1413" i="8"/>
  <c r="J1413" i="8"/>
  <c r="I1413" i="8"/>
  <c r="H1413" i="8"/>
  <c r="G1413" i="8"/>
  <c r="F1413" i="8"/>
  <c r="E1413" i="8"/>
  <c r="D1413" i="8"/>
  <c r="C1413" i="8"/>
  <c r="B1413" i="8"/>
  <c r="A1413" i="8"/>
  <c r="M1412" i="8"/>
  <c r="K1412" i="8"/>
  <c r="J1412" i="8"/>
  <c r="I1412" i="8"/>
  <c r="H1412" i="8"/>
  <c r="G1412" i="8"/>
  <c r="L1412" i="8" s="1"/>
  <c r="F1412" i="8"/>
  <c r="E1412" i="8"/>
  <c r="D1412" i="8"/>
  <c r="C1412" i="8"/>
  <c r="B1412" i="8"/>
  <c r="A1412" i="8"/>
  <c r="M1411" i="8"/>
  <c r="K1411" i="8"/>
  <c r="J1411" i="8"/>
  <c r="I1411" i="8"/>
  <c r="H1411" i="8"/>
  <c r="G1411" i="8"/>
  <c r="L1411" i="8" s="1"/>
  <c r="F1411" i="8"/>
  <c r="E1411" i="8"/>
  <c r="D1411" i="8"/>
  <c r="C1411" i="8"/>
  <c r="B1411" i="8"/>
  <c r="A1411" i="8"/>
  <c r="M1410" i="8"/>
  <c r="K1410" i="8"/>
  <c r="J1410" i="8"/>
  <c r="I1410" i="8"/>
  <c r="H1410" i="8"/>
  <c r="G1410" i="8"/>
  <c r="L1410" i="8" s="1"/>
  <c r="F1410" i="8"/>
  <c r="E1410" i="8"/>
  <c r="D1410" i="8"/>
  <c r="C1410" i="8"/>
  <c r="B1410" i="8"/>
  <c r="A1410" i="8"/>
  <c r="M1409" i="8"/>
  <c r="L1409" i="8"/>
  <c r="K1409" i="8"/>
  <c r="J1409" i="8"/>
  <c r="I1409" i="8"/>
  <c r="H1409" i="8"/>
  <c r="G1409" i="8"/>
  <c r="F1409" i="8"/>
  <c r="E1409" i="8"/>
  <c r="D1409" i="8"/>
  <c r="C1409" i="8"/>
  <c r="B1409" i="8"/>
  <c r="A1409" i="8"/>
  <c r="M1408" i="8"/>
  <c r="K1408" i="8"/>
  <c r="J1408" i="8"/>
  <c r="I1408" i="8"/>
  <c r="H1408" i="8"/>
  <c r="G1408" i="8"/>
  <c r="L1408" i="8" s="1"/>
  <c r="F1408" i="8"/>
  <c r="E1408" i="8"/>
  <c r="D1408" i="8"/>
  <c r="C1408" i="8"/>
  <c r="B1408" i="8"/>
  <c r="A1408" i="8"/>
  <c r="M1407" i="8"/>
  <c r="L1407" i="8"/>
  <c r="K1407" i="8"/>
  <c r="J1407" i="8"/>
  <c r="I1407" i="8"/>
  <c r="H1407" i="8"/>
  <c r="G1407" i="8"/>
  <c r="F1407" i="8"/>
  <c r="E1407" i="8"/>
  <c r="D1407" i="8"/>
  <c r="C1407" i="8"/>
  <c r="B1407" i="8"/>
  <c r="A1407" i="8"/>
  <c r="M1406" i="8"/>
  <c r="L1406" i="8"/>
  <c r="K1406" i="8"/>
  <c r="J1406" i="8"/>
  <c r="I1406" i="8"/>
  <c r="H1406" i="8"/>
  <c r="G1406" i="8"/>
  <c r="F1406" i="8"/>
  <c r="E1406" i="8"/>
  <c r="D1406" i="8"/>
  <c r="C1406" i="8"/>
  <c r="B1406" i="8"/>
  <c r="A1406" i="8"/>
  <c r="M1405" i="8"/>
  <c r="L1405" i="8"/>
  <c r="K1405" i="8"/>
  <c r="J1405" i="8"/>
  <c r="I1405" i="8"/>
  <c r="H1405" i="8"/>
  <c r="G1405" i="8"/>
  <c r="F1405" i="8"/>
  <c r="E1405" i="8"/>
  <c r="D1405" i="8"/>
  <c r="C1405" i="8"/>
  <c r="B1405" i="8"/>
  <c r="A1405" i="8"/>
  <c r="M1404" i="8"/>
  <c r="K1404" i="8"/>
  <c r="J1404" i="8"/>
  <c r="I1404" i="8"/>
  <c r="H1404" i="8"/>
  <c r="G1404" i="8"/>
  <c r="L1404" i="8" s="1"/>
  <c r="F1404" i="8"/>
  <c r="E1404" i="8"/>
  <c r="D1404" i="8"/>
  <c r="C1404" i="8"/>
  <c r="B1404" i="8"/>
  <c r="A1404" i="8"/>
  <c r="M1403" i="8"/>
  <c r="K1403" i="8"/>
  <c r="J1403" i="8"/>
  <c r="I1403" i="8"/>
  <c r="H1403" i="8"/>
  <c r="G1403" i="8"/>
  <c r="L1403" i="8" s="1"/>
  <c r="F1403" i="8"/>
  <c r="E1403" i="8"/>
  <c r="D1403" i="8"/>
  <c r="C1403" i="8"/>
  <c r="B1403" i="8"/>
  <c r="A1403" i="8"/>
  <c r="M1402" i="8"/>
  <c r="L1402" i="8"/>
  <c r="K1402" i="8"/>
  <c r="J1402" i="8"/>
  <c r="I1402" i="8"/>
  <c r="H1402" i="8"/>
  <c r="G1402" i="8"/>
  <c r="F1402" i="8"/>
  <c r="E1402" i="8"/>
  <c r="D1402" i="8"/>
  <c r="C1402" i="8"/>
  <c r="B1402" i="8"/>
  <c r="A1402" i="8"/>
  <c r="M1401" i="8"/>
  <c r="L1401" i="8"/>
  <c r="K1401" i="8"/>
  <c r="J1401" i="8"/>
  <c r="I1401" i="8"/>
  <c r="H1401" i="8"/>
  <c r="G1401" i="8"/>
  <c r="F1401" i="8"/>
  <c r="E1401" i="8"/>
  <c r="D1401" i="8"/>
  <c r="C1401" i="8"/>
  <c r="B1401" i="8"/>
  <c r="A1401" i="8"/>
  <c r="M1400" i="8"/>
  <c r="K1400" i="8"/>
  <c r="J1400" i="8"/>
  <c r="I1400" i="8"/>
  <c r="H1400" i="8"/>
  <c r="G1400" i="8"/>
  <c r="L1400" i="8" s="1"/>
  <c r="F1400" i="8"/>
  <c r="E1400" i="8"/>
  <c r="D1400" i="8"/>
  <c r="C1400" i="8"/>
  <c r="B1400" i="8"/>
  <c r="A1400" i="8"/>
  <c r="M1399" i="8"/>
  <c r="L1399" i="8"/>
  <c r="K1399" i="8"/>
  <c r="J1399" i="8"/>
  <c r="I1399" i="8"/>
  <c r="H1399" i="8"/>
  <c r="G1399" i="8"/>
  <c r="F1399" i="8"/>
  <c r="E1399" i="8"/>
  <c r="D1399" i="8"/>
  <c r="C1399" i="8"/>
  <c r="B1399" i="8"/>
  <c r="A1399" i="8"/>
  <c r="M1398" i="8"/>
  <c r="L1398" i="8"/>
  <c r="K1398" i="8"/>
  <c r="J1398" i="8"/>
  <c r="I1398" i="8"/>
  <c r="H1398" i="8"/>
  <c r="G1398" i="8"/>
  <c r="F1398" i="8"/>
  <c r="E1398" i="8"/>
  <c r="D1398" i="8"/>
  <c r="C1398" i="8"/>
  <c r="B1398" i="8"/>
  <c r="A1398" i="8"/>
  <c r="M1397" i="8"/>
  <c r="L1397" i="8"/>
  <c r="K1397" i="8"/>
  <c r="J1397" i="8"/>
  <c r="I1397" i="8"/>
  <c r="H1397" i="8"/>
  <c r="G1397" i="8"/>
  <c r="F1397" i="8"/>
  <c r="E1397" i="8"/>
  <c r="D1397" i="8"/>
  <c r="C1397" i="8"/>
  <c r="B1397" i="8"/>
  <c r="A1397" i="8"/>
  <c r="M1396" i="8"/>
  <c r="K1396" i="8"/>
  <c r="J1396" i="8"/>
  <c r="I1396" i="8"/>
  <c r="H1396" i="8"/>
  <c r="G1396" i="8"/>
  <c r="L1396" i="8" s="1"/>
  <c r="F1396" i="8"/>
  <c r="E1396" i="8"/>
  <c r="D1396" i="8"/>
  <c r="C1396" i="8"/>
  <c r="B1396" i="8"/>
  <c r="A1396" i="8"/>
  <c r="M1395" i="8"/>
  <c r="K1395" i="8"/>
  <c r="J1395" i="8"/>
  <c r="I1395" i="8"/>
  <c r="H1395" i="8"/>
  <c r="G1395" i="8"/>
  <c r="L1395" i="8" s="1"/>
  <c r="F1395" i="8"/>
  <c r="E1395" i="8"/>
  <c r="D1395" i="8"/>
  <c r="C1395" i="8"/>
  <c r="B1395" i="8"/>
  <c r="A1395" i="8"/>
  <c r="M1394" i="8"/>
  <c r="L1394" i="8"/>
  <c r="K1394" i="8"/>
  <c r="J1394" i="8"/>
  <c r="I1394" i="8"/>
  <c r="H1394" i="8"/>
  <c r="G1394" i="8"/>
  <c r="F1394" i="8"/>
  <c r="E1394" i="8"/>
  <c r="D1394" i="8"/>
  <c r="C1394" i="8"/>
  <c r="B1394" i="8"/>
  <c r="A1394" i="8"/>
  <c r="M1393" i="8"/>
  <c r="L1393" i="8"/>
  <c r="K1393" i="8"/>
  <c r="J1393" i="8"/>
  <c r="I1393" i="8"/>
  <c r="H1393" i="8"/>
  <c r="G1393" i="8"/>
  <c r="F1393" i="8"/>
  <c r="E1393" i="8"/>
  <c r="D1393" i="8"/>
  <c r="C1393" i="8"/>
  <c r="B1393" i="8"/>
  <c r="A1393" i="8"/>
  <c r="M1392" i="8"/>
  <c r="K1392" i="8"/>
  <c r="J1392" i="8"/>
  <c r="I1392" i="8"/>
  <c r="H1392" i="8"/>
  <c r="G1392" i="8"/>
  <c r="L1392" i="8" s="1"/>
  <c r="F1392" i="8"/>
  <c r="E1392" i="8"/>
  <c r="D1392" i="8"/>
  <c r="C1392" i="8"/>
  <c r="B1392" i="8"/>
  <c r="A1392" i="8"/>
  <c r="M1391" i="8"/>
  <c r="L1391" i="8"/>
  <c r="K1391" i="8"/>
  <c r="J1391" i="8"/>
  <c r="I1391" i="8"/>
  <c r="H1391" i="8"/>
  <c r="G1391" i="8"/>
  <c r="F1391" i="8"/>
  <c r="E1391" i="8"/>
  <c r="D1391" i="8"/>
  <c r="C1391" i="8"/>
  <c r="B1391" i="8"/>
  <c r="A1391" i="8"/>
  <c r="M1390" i="8"/>
  <c r="L1390" i="8"/>
  <c r="K1390" i="8"/>
  <c r="J1390" i="8"/>
  <c r="I1390" i="8"/>
  <c r="H1390" i="8"/>
  <c r="G1390" i="8"/>
  <c r="F1390" i="8"/>
  <c r="E1390" i="8"/>
  <c r="D1390" i="8"/>
  <c r="C1390" i="8"/>
  <c r="B1390" i="8"/>
  <c r="A1390" i="8"/>
  <c r="M1389" i="8"/>
  <c r="L1389" i="8"/>
  <c r="K1389" i="8"/>
  <c r="J1389" i="8"/>
  <c r="I1389" i="8"/>
  <c r="H1389" i="8"/>
  <c r="G1389" i="8"/>
  <c r="F1389" i="8"/>
  <c r="E1389" i="8"/>
  <c r="D1389" i="8"/>
  <c r="C1389" i="8"/>
  <c r="B1389" i="8"/>
  <c r="A1389" i="8"/>
  <c r="M1388" i="8"/>
  <c r="K1388" i="8"/>
  <c r="J1388" i="8"/>
  <c r="I1388" i="8"/>
  <c r="H1388" i="8"/>
  <c r="G1388" i="8"/>
  <c r="L1388" i="8" s="1"/>
  <c r="F1388" i="8"/>
  <c r="E1388" i="8"/>
  <c r="D1388" i="8"/>
  <c r="C1388" i="8"/>
  <c r="B1388" i="8"/>
  <c r="A1388" i="8"/>
  <c r="M1387" i="8"/>
  <c r="L1387" i="8"/>
  <c r="K1387" i="8"/>
  <c r="J1387" i="8"/>
  <c r="I1387" i="8"/>
  <c r="H1387" i="8"/>
  <c r="G1387" i="8"/>
  <c r="F1387" i="8"/>
  <c r="E1387" i="8"/>
  <c r="D1387" i="8"/>
  <c r="C1387" i="8"/>
  <c r="B1387" i="8"/>
  <c r="A1387" i="8"/>
  <c r="M1386" i="8"/>
  <c r="L1386" i="8"/>
  <c r="K1386" i="8"/>
  <c r="J1386" i="8"/>
  <c r="I1386" i="8"/>
  <c r="H1386" i="8"/>
  <c r="G1386" i="8"/>
  <c r="F1386" i="8"/>
  <c r="E1386" i="8"/>
  <c r="D1386" i="8"/>
  <c r="C1386" i="8"/>
  <c r="B1386" i="8"/>
  <c r="A1386" i="8"/>
  <c r="M1385" i="8"/>
  <c r="L1385" i="8"/>
  <c r="K1385" i="8"/>
  <c r="J1385" i="8"/>
  <c r="I1385" i="8"/>
  <c r="H1385" i="8"/>
  <c r="G1385" i="8"/>
  <c r="F1385" i="8"/>
  <c r="E1385" i="8"/>
  <c r="D1385" i="8"/>
  <c r="C1385" i="8"/>
  <c r="B1385" i="8"/>
  <c r="A1385" i="8"/>
  <c r="M1384" i="8"/>
  <c r="K1384" i="8"/>
  <c r="J1384" i="8"/>
  <c r="I1384" i="8"/>
  <c r="H1384" i="8"/>
  <c r="G1384" i="8"/>
  <c r="L1384" i="8" s="1"/>
  <c r="F1384" i="8"/>
  <c r="E1384" i="8"/>
  <c r="D1384" i="8"/>
  <c r="C1384" i="8"/>
  <c r="B1384" i="8"/>
  <c r="A1384" i="8"/>
  <c r="M1383" i="8"/>
  <c r="K1383" i="8"/>
  <c r="J1383" i="8"/>
  <c r="I1383" i="8"/>
  <c r="H1383" i="8"/>
  <c r="G1383" i="8"/>
  <c r="L1383" i="8" s="1"/>
  <c r="F1383" i="8"/>
  <c r="E1383" i="8"/>
  <c r="D1383" i="8"/>
  <c r="C1383" i="8"/>
  <c r="B1383" i="8"/>
  <c r="A1383" i="8"/>
  <c r="M1382" i="8"/>
  <c r="L1382" i="8"/>
  <c r="K1382" i="8"/>
  <c r="J1382" i="8"/>
  <c r="I1382" i="8"/>
  <c r="H1382" i="8"/>
  <c r="G1382" i="8"/>
  <c r="F1382" i="8"/>
  <c r="E1382" i="8"/>
  <c r="D1382" i="8"/>
  <c r="C1382" i="8"/>
  <c r="B1382" i="8"/>
  <c r="A1382" i="8"/>
  <c r="M1381" i="8"/>
  <c r="L1381" i="8"/>
  <c r="K1381" i="8"/>
  <c r="J1381" i="8"/>
  <c r="I1381" i="8"/>
  <c r="H1381" i="8"/>
  <c r="G1381" i="8"/>
  <c r="F1381" i="8"/>
  <c r="E1381" i="8"/>
  <c r="D1381" i="8"/>
  <c r="C1381" i="8"/>
  <c r="B1381" i="8"/>
  <c r="A1381" i="8"/>
  <c r="M1380" i="8"/>
  <c r="K1380" i="8"/>
  <c r="J1380" i="8"/>
  <c r="I1380" i="8"/>
  <c r="H1380" i="8"/>
  <c r="G1380" i="8"/>
  <c r="L1380" i="8" s="1"/>
  <c r="F1380" i="8"/>
  <c r="E1380" i="8"/>
  <c r="D1380" i="8"/>
  <c r="C1380" i="8"/>
  <c r="B1380" i="8"/>
  <c r="A1380" i="8"/>
  <c r="M1379" i="8"/>
  <c r="K1379" i="8"/>
  <c r="J1379" i="8"/>
  <c r="I1379" i="8"/>
  <c r="H1379" i="8"/>
  <c r="G1379" i="8"/>
  <c r="L1379" i="8" s="1"/>
  <c r="F1379" i="8"/>
  <c r="E1379" i="8"/>
  <c r="D1379" i="8"/>
  <c r="C1379" i="8"/>
  <c r="B1379" i="8"/>
  <c r="A1379" i="8"/>
  <c r="M1378" i="8"/>
  <c r="K1378" i="8"/>
  <c r="J1378" i="8"/>
  <c r="I1378" i="8"/>
  <c r="H1378" i="8"/>
  <c r="G1378" i="8"/>
  <c r="L1378" i="8" s="1"/>
  <c r="F1378" i="8"/>
  <c r="E1378" i="8"/>
  <c r="D1378" i="8"/>
  <c r="C1378" i="8"/>
  <c r="B1378" i="8"/>
  <c r="A1378" i="8"/>
  <c r="M1377" i="8"/>
  <c r="L1377" i="8"/>
  <c r="K1377" i="8"/>
  <c r="J1377" i="8"/>
  <c r="I1377" i="8"/>
  <c r="H1377" i="8"/>
  <c r="G1377" i="8"/>
  <c r="F1377" i="8"/>
  <c r="E1377" i="8"/>
  <c r="D1377" i="8"/>
  <c r="C1377" i="8"/>
  <c r="B1377" i="8"/>
  <c r="A1377" i="8"/>
  <c r="M1376" i="8"/>
  <c r="K1376" i="8"/>
  <c r="J1376" i="8"/>
  <c r="I1376" i="8"/>
  <c r="H1376" i="8"/>
  <c r="G1376" i="8"/>
  <c r="L1376" i="8" s="1"/>
  <c r="F1376" i="8"/>
  <c r="E1376" i="8"/>
  <c r="D1376" i="8"/>
  <c r="C1376" i="8"/>
  <c r="B1376" i="8"/>
  <c r="A1376" i="8"/>
  <c r="M1375" i="8"/>
  <c r="L1375" i="8"/>
  <c r="K1375" i="8"/>
  <c r="J1375" i="8"/>
  <c r="I1375" i="8"/>
  <c r="H1375" i="8"/>
  <c r="G1375" i="8"/>
  <c r="F1375" i="8"/>
  <c r="E1375" i="8"/>
  <c r="D1375" i="8"/>
  <c r="C1375" i="8"/>
  <c r="B1375" i="8"/>
  <c r="A1375" i="8"/>
  <c r="M1374" i="8"/>
  <c r="K1374" i="8"/>
  <c r="J1374" i="8"/>
  <c r="I1374" i="8"/>
  <c r="H1374" i="8"/>
  <c r="G1374" i="8"/>
  <c r="L1374" i="8" s="1"/>
  <c r="F1374" i="8"/>
  <c r="E1374" i="8"/>
  <c r="D1374" i="8"/>
  <c r="C1374" i="8"/>
  <c r="B1374" i="8"/>
  <c r="A1374" i="8"/>
  <c r="M1373" i="8"/>
  <c r="L1373" i="8"/>
  <c r="K1373" i="8"/>
  <c r="J1373" i="8"/>
  <c r="I1373" i="8"/>
  <c r="H1373" i="8"/>
  <c r="G1373" i="8"/>
  <c r="F1373" i="8"/>
  <c r="E1373" i="8"/>
  <c r="D1373" i="8"/>
  <c r="C1373" i="8"/>
  <c r="B1373" i="8"/>
  <c r="A1373" i="8"/>
  <c r="M1372" i="8"/>
  <c r="K1372" i="8"/>
  <c r="J1372" i="8"/>
  <c r="I1372" i="8"/>
  <c r="H1372" i="8"/>
  <c r="G1372" i="8"/>
  <c r="L1372" i="8" s="1"/>
  <c r="F1372" i="8"/>
  <c r="E1372" i="8"/>
  <c r="D1372" i="8"/>
  <c r="C1372" i="8"/>
  <c r="B1372" i="8"/>
  <c r="A1372" i="8"/>
  <c r="M1371" i="8"/>
  <c r="K1371" i="8"/>
  <c r="J1371" i="8"/>
  <c r="I1371" i="8"/>
  <c r="H1371" i="8"/>
  <c r="G1371" i="8"/>
  <c r="L1371" i="8" s="1"/>
  <c r="F1371" i="8"/>
  <c r="E1371" i="8"/>
  <c r="D1371" i="8"/>
  <c r="C1371" i="8"/>
  <c r="B1371" i="8"/>
  <c r="A1371" i="8"/>
  <c r="M1370" i="8"/>
  <c r="L1370" i="8"/>
  <c r="K1370" i="8"/>
  <c r="J1370" i="8"/>
  <c r="I1370" i="8"/>
  <c r="H1370" i="8"/>
  <c r="G1370" i="8"/>
  <c r="F1370" i="8"/>
  <c r="E1370" i="8"/>
  <c r="D1370" i="8"/>
  <c r="C1370" i="8"/>
  <c r="B1370" i="8"/>
  <c r="A1370" i="8"/>
  <c r="M1369" i="8"/>
  <c r="L1369" i="8"/>
  <c r="K1369" i="8"/>
  <c r="J1369" i="8"/>
  <c r="I1369" i="8"/>
  <c r="H1369" i="8"/>
  <c r="G1369" i="8"/>
  <c r="F1369" i="8"/>
  <c r="E1369" i="8"/>
  <c r="D1369" i="8"/>
  <c r="C1369" i="8"/>
  <c r="B1369" i="8"/>
  <c r="A1369" i="8"/>
  <c r="M1368" i="8"/>
  <c r="K1368" i="8"/>
  <c r="J1368" i="8"/>
  <c r="I1368" i="8"/>
  <c r="H1368" i="8"/>
  <c r="G1368" i="8"/>
  <c r="L1368" i="8" s="1"/>
  <c r="F1368" i="8"/>
  <c r="E1368" i="8"/>
  <c r="D1368" i="8"/>
  <c r="C1368" i="8"/>
  <c r="B1368" i="8"/>
  <c r="A1368" i="8"/>
  <c r="M1367" i="8"/>
  <c r="L1367" i="8"/>
  <c r="K1367" i="8"/>
  <c r="J1367" i="8"/>
  <c r="I1367" i="8"/>
  <c r="H1367" i="8"/>
  <c r="G1367" i="8"/>
  <c r="F1367" i="8"/>
  <c r="E1367" i="8"/>
  <c r="D1367" i="8"/>
  <c r="C1367" i="8"/>
  <c r="B1367" i="8"/>
  <c r="A1367" i="8"/>
  <c r="M1366" i="8"/>
  <c r="K1366" i="8"/>
  <c r="J1366" i="8"/>
  <c r="I1366" i="8"/>
  <c r="H1366" i="8"/>
  <c r="G1366" i="8"/>
  <c r="L1366" i="8" s="1"/>
  <c r="F1366" i="8"/>
  <c r="E1366" i="8"/>
  <c r="D1366" i="8"/>
  <c r="C1366" i="8"/>
  <c r="B1366" i="8"/>
  <c r="A1366" i="8"/>
  <c r="M1365" i="8"/>
  <c r="L1365" i="8"/>
  <c r="K1365" i="8"/>
  <c r="J1365" i="8"/>
  <c r="I1365" i="8"/>
  <c r="H1365" i="8"/>
  <c r="G1365" i="8"/>
  <c r="F1365" i="8"/>
  <c r="E1365" i="8"/>
  <c r="D1365" i="8"/>
  <c r="C1365" i="8"/>
  <c r="B1365" i="8"/>
  <c r="A1365" i="8"/>
  <c r="M1364" i="8"/>
  <c r="K1364" i="8"/>
  <c r="J1364" i="8"/>
  <c r="I1364" i="8"/>
  <c r="H1364" i="8"/>
  <c r="G1364" i="8"/>
  <c r="L1364" i="8" s="1"/>
  <c r="F1364" i="8"/>
  <c r="E1364" i="8"/>
  <c r="D1364" i="8"/>
  <c r="C1364" i="8"/>
  <c r="B1364" i="8"/>
  <c r="A1364" i="8"/>
  <c r="M1363" i="8"/>
  <c r="K1363" i="8"/>
  <c r="J1363" i="8"/>
  <c r="I1363" i="8"/>
  <c r="H1363" i="8"/>
  <c r="G1363" i="8"/>
  <c r="L1363" i="8" s="1"/>
  <c r="F1363" i="8"/>
  <c r="E1363" i="8"/>
  <c r="D1363" i="8"/>
  <c r="C1363" i="8"/>
  <c r="B1363" i="8"/>
  <c r="A1363" i="8"/>
  <c r="M1362" i="8"/>
  <c r="L1362" i="8"/>
  <c r="K1362" i="8"/>
  <c r="J1362" i="8"/>
  <c r="I1362" i="8"/>
  <c r="H1362" i="8"/>
  <c r="G1362" i="8"/>
  <c r="F1362" i="8"/>
  <c r="E1362" i="8"/>
  <c r="D1362" i="8"/>
  <c r="C1362" i="8"/>
  <c r="B1362" i="8"/>
  <c r="A1362" i="8"/>
  <c r="M1361" i="8"/>
  <c r="L1361" i="8"/>
  <c r="K1361" i="8"/>
  <c r="J1361" i="8"/>
  <c r="I1361" i="8"/>
  <c r="H1361" i="8"/>
  <c r="G1361" i="8"/>
  <c r="F1361" i="8"/>
  <c r="E1361" i="8"/>
  <c r="D1361" i="8"/>
  <c r="C1361" i="8"/>
  <c r="B1361" i="8"/>
  <c r="A1361" i="8"/>
  <c r="M1360" i="8"/>
  <c r="K1360" i="8"/>
  <c r="J1360" i="8"/>
  <c r="I1360" i="8"/>
  <c r="H1360" i="8"/>
  <c r="G1360" i="8"/>
  <c r="L1360" i="8" s="1"/>
  <c r="F1360" i="8"/>
  <c r="E1360" i="8"/>
  <c r="D1360" i="8"/>
  <c r="C1360" i="8"/>
  <c r="B1360" i="8"/>
  <c r="A1360" i="8"/>
  <c r="M1359" i="8"/>
  <c r="L1359" i="8"/>
  <c r="K1359" i="8"/>
  <c r="J1359" i="8"/>
  <c r="I1359" i="8"/>
  <c r="H1359" i="8"/>
  <c r="G1359" i="8"/>
  <c r="F1359" i="8"/>
  <c r="E1359" i="8"/>
  <c r="D1359" i="8"/>
  <c r="C1359" i="8"/>
  <c r="B1359" i="8"/>
  <c r="A1359" i="8"/>
  <c r="M1358" i="8"/>
  <c r="K1358" i="8"/>
  <c r="J1358" i="8"/>
  <c r="I1358" i="8"/>
  <c r="H1358" i="8"/>
  <c r="G1358" i="8"/>
  <c r="L1358" i="8" s="1"/>
  <c r="F1358" i="8"/>
  <c r="E1358" i="8"/>
  <c r="D1358" i="8"/>
  <c r="C1358" i="8"/>
  <c r="B1358" i="8"/>
  <c r="A1358" i="8"/>
  <c r="M1357" i="8"/>
  <c r="L1357" i="8"/>
  <c r="K1357" i="8"/>
  <c r="J1357" i="8"/>
  <c r="I1357" i="8"/>
  <c r="H1357" i="8"/>
  <c r="G1357" i="8"/>
  <c r="F1357" i="8"/>
  <c r="E1357" i="8"/>
  <c r="D1357" i="8"/>
  <c r="C1357" i="8"/>
  <c r="B1357" i="8"/>
  <c r="A1357" i="8"/>
  <c r="M1356" i="8"/>
  <c r="K1356" i="8"/>
  <c r="J1356" i="8"/>
  <c r="I1356" i="8"/>
  <c r="H1356" i="8"/>
  <c r="G1356" i="8"/>
  <c r="L1356" i="8" s="1"/>
  <c r="F1356" i="8"/>
  <c r="E1356" i="8"/>
  <c r="D1356" i="8"/>
  <c r="C1356" i="8"/>
  <c r="B1356" i="8"/>
  <c r="A1356" i="8"/>
  <c r="M1355" i="8"/>
  <c r="L1355" i="8"/>
  <c r="K1355" i="8"/>
  <c r="J1355" i="8"/>
  <c r="I1355" i="8"/>
  <c r="H1355" i="8"/>
  <c r="G1355" i="8"/>
  <c r="F1355" i="8"/>
  <c r="E1355" i="8"/>
  <c r="D1355" i="8"/>
  <c r="C1355" i="8"/>
  <c r="B1355" i="8"/>
  <c r="A1355" i="8"/>
  <c r="M1354" i="8"/>
  <c r="L1354" i="8"/>
  <c r="K1354" i="8"/>
  <c r="J1354" i="8"/>
  <c r="I1354" i="8"/>
  <c r="H1354" i="8"/>
  <c r="G1354" i="8"/>
  <c r="F1354" i="8"/>
  <c r="E1354" i="8"/>
  <c r="D1354" i="8"/>
  <c r="C1354" i="8"/>
  <c r="B1354" i="8"/>
  <c r="A1354" i="8"/>
  <c r="M1353" i="8"/>
  <c r="L1353" i="8"/>
  <c r="K1353" i="8"/>
  <c r="J1353" i="8"/>
  <c r="I1353" i="8"/>
  <c r="H1353" i="8"/>
  <c r="G1353" i="8"/>
  <c r="F1353" i="8"/>
  <c r="E1353" i="8"/>
  <c r="D1353" i="8"/>
  <c r="C1353" i="8"/>
  <c r="B1353" i="8"/>
  <c r="A1353" i="8"/>
  <c r="M1352" i="8"/>
  <c r="K1352" i="8"/>
  <c r="J1352" i="8"/>
  <c r="I1352" i="8"/>
  <c r="H1352" i="8"/>
  <c r="G1352" i="8"/>
  <c r="L1352" i="8" s="1"/>
  <c r="F1352" i="8"/>
  <c r="E1352" i="8"/>
  <c r="D1352" i="8"/>
  <c r="C1352" i="8"/>
  <c r="B1352" i="8"/>
  <c r="A1352" i="8"/>
  <c r="M1351" i="8"/>
  <c r="K1351" i="8"/>
  <c r="J1351" i="8"/>
  <c r="I1351" i="8"/>
  <c r="H1351" i="8"/>
  <c r="G1351" i="8"/>
  <c r="L1351" i="8" s="1"/>
  <c r="F1351" i="8"/>
  <c r="E1351" i="8"/>
  <c r="D1351" i="8"/>
  <c r="C1351" i="8"/>
  <c r="B1351" i="8"/>
  <c r="A1351" i="8"/>
  <c r="M1350" i="8"/>
  <c r="L1350" i="8"/>
  <c r="K1350" i="8"/>
  <c r="J1350" i="8"/>
  <c r="I1350" i="8"/>
  <c r="H1350" i="8"/>
  <c r="G1350" i="8"/>
  <c r="F1350" i="8"/>
  <c r="E1350" i="8"/>
  <c r="D1350" i="8"/>
  <c r="C1350" i="8"/>
  <c r="B1350" i="8"/>
  <c r="A1350" i="8"/>
  <c r="M1349" i="8"/>
  <c r="L1349" i="8"/>
  <c r="K1349" i="8"/>
  <c r="J1349" i="8"/>
  <c r="I1349" i="8"/>
  <c r="H1349" i="8"/>
  <c r="G1349" i="8"/>
  <c r="F1349" i="8"/>
  <c r="E1349" i="8"/>
  <c r="D1349" i="8"/>
  <c r="C1349" i="8"/>
  <c r="B1349" i="8"/>
  <c r="A1349" i="8"/>
  <c r="M1348" i="8"/>
  <c r="K1348" i="8"/>
  <c r="J1348" i="8"/>
  <c r="I1348" i="8"/>
  <c r="H1348" i="8"/>
  <c r="G1348" i="8"/>
  <c r="L1348" i="8" s="1"/>
  <c r="F1348" i="8"/>
  <c r="E1348" i="8"/>
  <c r="D1348" i="8"/>
  <c r="C1348" i="8"/>
  <c r="B1348" i="8"/>
  <c r="A1348" i="8"/>
  <c r="M1347" i="8"/>
  <c r="K1347" i="8"/>
  <c r="J1347" i="8"/>
  <c r="I1347" i="8"/>
  <c r="H1347" i="8"/>
  <c r="G1347" i="8"/>
  <c r="L1347" i="8" s="1"/>
  <c r="F1347" i="8"/>
  <c r="E1347" i="8"/>
  <c r="D1347" i="8"/>
  <c r="C1347" i="8"/>
  <c r="B1347" i="8"/>
  <c r="A1347" i="8"/>
  <c r="M1346" i="8"/>
  <c r="K1346" i="8"/>
  <c r="J1346" i="8"/>
  <c r="I1346" i="8"/>
  <c r="H1346" i="8"/>
  <c r="G1346" i="8"/>
  <c r="L1346" i="8" s="1"/>
  <c r="F1346" i="8"/>
  <c r="E1346" i="8"/>
  <c r="D1346" i="8"/>
  <c r="C1346" i="8"/>
  <c r="B1346" i="8"/>
  <c r="A1346" i="8"/>
  <c r="M1345" i="8"/>
  <c r="L1345" i="8"/>
  <c r="K1345" i="8"/>
  <c r="J1345" i="8"/>
  <c r="I1345" i="8"/>
  <c r="H1345" i="8"/>
  <c r="G1345" i="8"/>
  <c r="F1345" i="8"/>
  <c r="E1345" i="8"/>
  <c r="D1345" i="8"/>
  <c r="C1345" i="8"/>
  <c r="B1345" i="8"/>
  <c r="A1345" i="8"/>
  <c r="M1344" i="8"/>
  <c r="K1344" i="8"/>
  <c r="J1344" i="8"/>
  <c r="I1344" i="8"/>
  <c r="H1344" i="8"/>
  <c r="G1344" i="8"/>
  <c r="L1344" i="8" s="1"/>
  <c r="F1344" i="8"/>
  <c r="E1344" i="8"/>
  <c r="D1344" i="8"/>
  <c r="C1344" i="8"/>
  <c r="B1344" i="8"/>
  <c r="A1344" i="8"/>
  <c r="M1343" i="8"/>
  <c r="L1343" i="8"/>
  <c r="K1343" i="8"/>
  <c r="J1343" i="8"/>
  <c r="I1343" i="8"/>
  <c r="H1343" i="8"/>
  <c r="G1343" i="8"/>
  <c r="F1343" i="8"/>
  <c r="E1343" i="8"/>
  <c r="D1343" i="8"/>
  <c r="C1343" i="8"/>
  <c r="B1343" i="8"/>
  <c r="A1343" i="8"/>
  <c r="M1342" i="8"/>
  <c r="K1342" i="8"/>
  <c r="J1342" i="8"/>
  <c r="I1342" i="8"/>
  <c r="H1342" i="8"/>
  <c r="G1342" i="8"/>
  <c r="L1342" i="8" s="1"/>
  <c r="F1342" i="8"/>
  <c r="E1342" i="8"/>
  <c r="D1342" i="8"/>
  <c r="C1342" i="8"/>
  <c r="B1342" i="8"/>
  <c r="A1342" i="8"/>
  <c r="M1341" i="8"/>
  <c r="L1341" i="8"/>
  <c r="K1341" i="8"/>
  <c r="J1341" i="8"/>
  <c r="I1341" i="8"/>
  <c r="H1341" i="8"/>
  <c r="G1341" i="8"/>
  <c r="F1341" i="8"/>
  <c r="E1341" i="8"/>
  <c r="D1341" i="8"/>
  <c r="C1341" i="8"/>
  <c r="B1341" i="8"/>
  <c r="A1341" i="8"/>
  <c r="M1340" i="8"/>
  <c r="K1340" i="8"/>
  <c r="J1340" i="8"/>
  <c r="I1340" i="8"/>
  <c r="H1340" i="8"/>
  <c r="G1340" i="8"/>
  <c r="L1340" i="8" s="1"/>
  <c r="F1340" i="8"/>
  <c r="E1340" i="8"/>
  <c r="D1340" i="8"/>
  <c r="C1340" i="8"/>
  <c r="B1340" i="8"/>
  <c r="A1340" i="8"/>
  <c r="M1339" i="8"/>
  <c r="K1339" i="8"/>
  <c r="J1339" i="8"/>
  <c r="I1339" i="8"/>
  <c r="H1339" i="8"/>
  <c r="G1339" i="8"/>
  <c r="L1339" i="8" s="1"/>
  <c r="F1339" i="8"/>
  <c r="E1339" i="8"/>
  <c r="D1339" i="8"/>
  <c r="C1339" i="8"/>
  <c r="B1339" i="8"/>
  <c r="A1339" i="8"/>
  <c r="M1338" i="8"/>
  <c r="L1338" i="8"/>
  <c r="K1338" i="8"/>
  <c r="J1338" i="8"/>
  <c r="I1338" i="8"/>
  <c r="H1338" i="8"/>
  <c r="G1338" i="8"/>
  <c r="F1338" i="8"/>
  <c r="E1338" i="8"/>
  <c r="D1338" i="8"/>
  <c r="C1338" i="8"/>
  <c r="B1338" i="8"/>
  <c r="A1338" i="8"/>
  <c r="M1337" i="8"/>
  <c r="L1337" i="8"/>
  <c r="K1337" i="8"/>
  <c r="J1337" i="8"/>
  <c r="I1337" i="8"/>
  <c r="H1337" i="8"/>
  <c r="G1337" i="8"/>
  <c r="F1337" i="8"/>
  <c r="E1337" i="8"/>
  <c r="D1337" i="8"/>
  <c r="C1337" i="8"/>
  <c r="B1337" i="8"/>
  <c r="A1337" i="8"/>
  <c r="M1336" i="8"/>
  <c r="K1336" i="8"/>
  <c r="J1336" i="8"/>
  <c r="I1336" i="8"/>
  <c r="H1336" i="8"/>
  <c r="G1336" i="8"/>
  <c r="L1336" i="8" s="1"/>
  <c r="F1336" i="8"/>
  <c r="E1336" i="8"/>
  <c r="D1336" i="8"/>
  <c r="C1336" i="8"/>
  <c r="B1336" i="8"/>
  <c r="A1336" i="8"/>
  <c r="M1335" i="8"/>
  <c r="L1335" i="8"/>
  <c r="K1335" i="8"/>
  <c r="J1335" i="8"/>
  <c r="I1335" i="8"/>
  <c r="H1335" i="8"/>
  <c r="G1335" i="8"/>
  <c r="F1335" i="8"/>
  <c r="E1335" i="8"/>
  <c r="D1335" i="8"/>
  <c r="C1335" i="8"/>
  <c r="B1335" i="8"/>
  <c r="A1335" i="8"/>
  <c r="M1334" i="8"/>
  <c r="K1334" i="8"/>
  <c r="J1334" i="8"/>
  <c r="I1334" i="8"/>
  <c r="H1334" i="8"/>
  <c r="G1334" i="8"/>
  <c r="L1334" i="8" s="1"/>
  <c r="F1334" i="8"/>
  <c r="E1334" i="8"/>
  <c r="D1334" i="8"/>
  <c r="C1334" i="8"/>
  <c r="B1334" i="8"/>
  <c r="A1334" i="8"/>
  <c r="M1333" i="8"/>
  <c r="L1333" i="8"/>
  <c r="K1333" i="8"/>
  <c r="J1333" i="8"/>
  <c r="I1333" i="8"/>
  <c r="H1333" i="8"/>
  <c r="G1333" i="8"/>
  <c r="F1333" i="8"/>
  <c r="E1333" i="8"/>
  <c r="D1333" i="8"/>
  <c r="C1333" i="8"/>
  <c r="B1333" i="8"/>
  <c r="A1333" i="8"/>
  <c r="M1332" i="8"/>
  <c r="K1332" i="8"/>
  <c r="J1332" i="8"/>
  <c r="I1332" i="8"/>
  <c r="H1332" i="8"/>
  <c r="G1332" i="8"/>
  <c r="L1332" i="8" s="1"/>
  <c r="F1332" i="8"/>
  <c r="E1332" i="8"/>
  <c r="D1332" i="8"/>
  <c r="C1332" i="8"/>
  <c r="B1332" i="8"/>
  <c r="A1332" i="8"/>
  <c r="M1331" i="8"/>
  <c r="K1331" i="8"/>
  <c r="J1331" i="8"/>
  <c r="I1331" i="8"/>
  <c r="H1331" i="8"/>
  <c r="G1331" i="8"/>
  <c r="L1331" i="8" s="1"/>
  <c r="F1331" i="8"/>
  <c r="E1331" i="8"/>
  <c r="D1331" i="8"/>
  <c r="C1331" i="8"/>
  <c r="B1331" i="8"/>
  <c r="A1331" i="8"/>
  <c r="M1330" i="8"/>
  <c r="L1330" i="8"/>
  <c r="K1330" i="8"/>
  <c r="J1330" i="8"/>
  <c r="I1330" i="8"/>
  <c r="H1330" i="8"/>
  <c r="G1330" i="8"/>
  <c r="F1330" i="8"/>
  <c r="E1330" i="8"/>
  <c r="D1330" i="8"/>
  <c r="C1330" i="8"/>
  <c r="B1330" i="8"/>
  <c r="A1330" i="8"/>
  <c r="M1329" i="8"/>
  <c r="L1329" i="8"/>
  <c r="K1329" i="8"/>
  <c r="J1329" i="8"/>
  <c r="I1329" i="8"/>
  <c r="H1329" i="8"/>
  <c r="G1329" i="8"/>
  <c r="F1329" i="8"/>
  <c r="E1329" i="8"/>
  <c r="D1329" i="8"/>
  <c r="C1329" i="8"/>
  <c r="B1329" i="8"/>
  <c r="A1329" i="8"/>
  <c r="M1328" i="8"/>
  <c r="K1328" i="8"/>
  <c r="J1328" i="8"/>
  <c r="I1328" i="8"/>
  <c r="H1328" i="8"/>
  <c r="G1328" i="8"/>
  <c r="L1328" i="8" s="1"/>
  <c r="F1328" i="8"/>
  <c r="E1328" i="8"/>
  <c r="D1328" i="8"/>
  <c r="C1328" i="8"/>
  <c r="B1328" i="8"/>
  <c r="A1328" i="8"/>
  <c r="M1327" i="8"/>
  <c r="L1327" i="8"/>
  <c r="K1327" i="8"/>
  <c r="J1327" i="8"/>
  <c r="I1327" i="8"/>
  <c r="H1327" i="8"/>
  <c r="G1327" i="8"/>
  <c r="F1327" i="8"/>
  <c r="E1327" i="8"/>
  <c r="D1327" i="8"/>
  <c r="C1327" i="8"/>
  <c r="B1327" i="8"/>
  <c r="A1327" i="8"/>
  <c r="M1326" i="8"/>
  <c r="K1326" i="8"/>
  <c r="J1326" i="8"/>
  <c r="I1326" i="8"/>
  <c r="H1326" i="8"/>
  <c r="G1326" i="8"/>
  <c r="L1326" i="8" s="1"/>
  <c r="F1326" i="8"/>
  <c r="E1326" i="8"/>
  <c r="D1326" i="8"/>
  <c r="C1326" i="8"/>
  <c r="B1326" i="8"/>
  <c r="A1326" i="8"/>
  <c r="M1325" i="8"/>
  <c r="L1325" i="8"/>
  <c r="K1325" i="8"/>
  <c r="J1325" i="8"/>
  <c r="I1325" i="8"/>
  <c r="H1325" i="8"/>
  <c r="G1325" i="8"/>
  <c r="F1325" i="8"/>
  <c r="E1325" i="8"/>
  <c r="D1325" i="8"/>
  <c r="C1325" i="8"/>
  <c r="B1325" i="8"/>
  <c r="A1325" i="8"/>
  <c r="M1324" i="8"/>
  <c r="K1324" i="8"/>
  <c r="J1324" i="8"/>
  <c r="I1324" i="8"/>
  <c r="H1324" i="8"/>
  <c r="G1324" i="8"/>
  <c r="L1324" i="8" s="1"/>
  <c r="F1324" i="8"/>
  <c r="E1324" i="8"/>
  <c r="D1324" i="8"/>
  <c r="C1324" i="8"/>
  <c r="B1324" i="8"/>
  <c r="A1324" i="8"/>
  <c r="M1323" i="8"/>
  <c r="L1323" i="8"/>
  <c r="K1323" i="8"/>
  <c r="J1323" i="8"/>
  <c r="I1323" i="8"/>
  <c r="H1323" i="8"/>
  <c r="G1323" i="8"/>
  <c r="F1323" i="8"/>
  <c r="E1323" i="8"/>
  <c r="D1323" i="8"/>
  <c r="C1323" i="8"/>
  <c r="B1323" i="8"/>
  <c r="A1323" i="8"/>
  <c r="M1322" i="8"/>
  <c r="L1322" i="8"/>
  <c r="K1322" i="8"/>
  <c r="J1322" i="8"/>
  <c r="I1322" i="8"/>
  <c r="H1322" i="8"/>
  <c r="G1322" i="8"/>
  <c r="F1322" i="8"/>
  <c r="E1322" i="8"/>
  <c r="D1322" i="8"/>
  <c r="C1322" i="8"/>
  <c r="B1322" i="8"/>
  <c r="A1322" i="8"/>
  <c r="M1321" i="8"/>
  <c r="L1321" i="8"/>
  <c r="K1321" i="8"/>
  <c r="J1321" i="8"/>
  <c r="I1321" i="8"/>
  <c r="H1321" i="8"/>
  <c r="G1321" i="8"/>
  <c r="F1321" i="8"/>
  <c r="E1321" i="8"/>
  <c r="D1321" i="8"/>
  <c r="C1321" i="8"/>
  <c r="B1321" i="8"/>
  <c r="A1321" i="8"/>
  <c r="M1320" i="8"/>
  <c r="K1320" i="8"/>
  <c r="J1320" i="8"/>
  <c r="I1320" i="8"/>
  <c r="H1320" i="8"/>
  <c r="G1320" i="8"/>
  <c r="L1320" i="8" s="1"/>
  <c r="F1320" i="8"/>
  <c r="E1320" i="8"/>
  <c r="D1320" i="8"/>
  <c r="C1320" i="8"/>
  <c r="B1320" i="8"/>
  <c r="A1320" i="8"/>
  <c r="M1319" i="8"/>
  <c r="K1319" i="8"/>
  <c r="J1319" i="8"/>
  <c r="I1319" i="8"/>
  <c r="H1319" i="8"/>
  <c r="G1319" i="8"/>
  <c r="L1319" i="8" s="1"/>
  <c r="F1319" i="8"/>
  <c r="E1319" i="8"/>
  <c r="D1319" i="8"/>
  <c r="C1319" i="8"/>
  <c r="B1319" i="8"/>
  <c r="A1319" i="8"/>
  <c r="M1318" i="8"/>
  <c r="L1318" i="8"/>
  <c r="K1318" i="8"/>
  <c r="J1318" i="8"/>
  <c r="I1318" i="8"/>
  <c r="H1318" i="8"/>
  <c r="G1318" i="8"/>
  <c r="F1318" i="8"/>
  <c r="E1318" i="8"/>
  <c r="D1318" i="8"/>
  <c r="C1318" i="8"/>
  <c r="B1318" i="8"/>
  <c r="A1318" i="8"/>
  <c r="M1317" i="8"/>
  <c r="L1317" i="8"/>
  <c r="K1317" i="8"/>
  <c r="J1317" i="8"/>
  <c r="I1317" i="8"/>
  <c r="H1317" i="8"/>
  <c r="G1317" i="8"/>
  <c r="F1317" i="8"/>
  <c r="E1317" i="8"/>
  <c r="D1317" i="8"/>
  <c r="C1317" i="8"/>
  <c r="B1317" i="8"/>
  <c r="A1317" i="8"/>
  <c r="M1316" i="8"/>
  <c r="K1316" i="8"/>
  <c r="J1316" i="8"/>
  <c r="I1316" i="8"/>
  <c r="H1316" i="8"/>
  <c r="G1316" i="8"/>
  <c r="L1316" i="8" s="1"/>
  <c r="F1316" i="8"/>
  <c r="E1316" i="8"/>
  <c r="D1316" i="8"/>
  <c r="C1316" i="8"/>
  <c r="B1316" i="8"/>
  <c r="A1316" i="8"/>
  <c r="M1315" i="8"/>
  <c r="K1315" i="8"/>
  <c r="J1315" i="8"/>
  <c r="I1315" i="8"/>
  <c r="H1315" i="8"/>
  <c r="G1315" i="8"/>
  <c r="L1315" i="8" s="1"/>
  <c r="F1315" i="8"/>
  <c r="E1315" i="8"/>
  <c r="D1315" i="8"/>
  <c r="C1315" i="8"/>
  <c r="B1315" i="8"/>
  <c r="A1315" i="8"/>
  <c r="M1314" i="8"/>
  <c r="K1314" i="8"/>
  <c r="J1314" i="8"/>
  <c r="I1314" i="8"/>
  <c r="H1314" i="8"/>
  <c r="G1314" i="8"/>
  <c r="L1314" i="8" s="1"/>
  <c r="F1314" i="8"/>
  <c r="E1314" i="8"/>
  <c r="D1314" i="8"/>
  <c r="C1314" i="8"/>
  <c r="B1314" i="8"/>
  <c r="A1314" i="8"/>
  <c r="M1313" i="8"/>
  <c r="L1313" i="8"/>
  <c r="K1313" i="8"/>
  <c r="J1313" i="8"/>
  <c r="I1313" i="8"/>
  <c r="H1313" i="8"/>
  <c r="G1313" i="8"/>
  <c r="F1313" i="8"/>
  <c r="E1313" i="8"/>
  <c r="D1313" i="8"/>
  <c r="C1313" i="8"/>
  <c r="B1313" i="8"/>
  <c r="A1313" i="8"/>
  <c r="M1312" i="8"/>
  <c r="K1312" i="8"/>
  <c r="J1312" i="8"/>
  <c r="I1312" i="8"/>
  <c r="H1312" i="8"/>
  <c r="G1312" i="8"/>
  <c r="L1312" i="8" s="1"/>
  <c r="F1312" i="8"/>
  <c r="E1312" i="8"/>
  <c r="D1312" i="8"/>
  <c r="C1312" i="8"/>
  <c r="B1312" i="8"/>
  <c r="A1312" i="8"/>
  <c r="M1311" i="8"/>
  <c r="L1311" i="8"/>
  <c r="K1311" i="8"/>
  <c r="J1311" i="8"/>
  <c r="I1311" i="8"/>
  <c r="H1311" i="8"/>
  <c r="G1311" i="8"/>
  <c r="F1311" i="8"/>
  <c r="E1311" i="8"/>
  <c r="D1311" i="8"/>
  <c r="C1311" i="8"/>
  <c r="B1311" i="8"/>
  <c r="A1311" i="8"/>
  <c r="M1310" i="8"/>
  <c r="K1310" i="8"/>
  <c r="J1310" i="8"/>
  <c r="I1310" i="8"/>
  <c r="H1310" i="8"/>
  <c r="G1310" i="8"/>
  <c r="L1310" i="8" s="1"/>
  <c r="F1310" i="8"/>
  <c r="E1310" i="8"/>
  <c r="D1310" i="8"/>
  <c r="C1310" i="8"/>
  <c r="B1310" i="8"/>
  <c r="A1310" i="8"/>
  <c r="M1309" i="8"/>
  <c r="L1309" i="8"/>
  <c r="K1309" i="8"/>
  <c r="J1309" i="8"/>
  <c r="I1309" i="8"/>
  <c r="H1309" i="8"/>
  <c r="G1309" i="8"/>
  <c r="F1309" i="8"/>
  <c r="E1309" i="8"/>
  <c r="D1309" i="8"/>
  <c r="C1309" i="8"/>
  <c r="B1309" i="8"/>
  <c r="A1309" i="8"/>
  <c r="M1308" i="8"/>
  <c r="K1308" i="8"/>
  <c r="J1308" i="8"/>
  <c r="I1308" i="8"/>
  <c r="H1308" i="8"/>
  <c r="G1308" i="8"/>
  <c r="L1308" i="8" s="1"/>
  <c r="F1308" i="8"/>
  <c r="E1308" i="8"/>
  <c r="D1308" i="8"/>
  <c r="C1308" i="8"/>
  <c r="B1308" i="8"/>
  <c r="A1308" i="8"/>
  <c r="M1307" i="8"/>
  <c r="K1307" i="8"/>
  <c r="J1307" i="8"/>
  <c r="I1307" i="8"/>
  <c r="H1307" i="8"/>
  <c r="G1307" i="8"/>
  <c r="L1307" i="8" s="1"/>
  <c r="F1307" i="8"/>
  <c r="E1307" i="8"/>
  <c r="D1307" i="8"/>
  <c r="C1307" i="8"/>
  <c r="B1307" i="8"/>
  <c r="A1307" i="8"/>
  <c r="M1306" i="8"/>
  <c r="L1306" i="8"/>
  <c r="K1306" i="8"/>
  <c r="J1306" i="8"/>
  <c r="I1306" i="8"/>
  <c r="H1306" i="8"/>
  <c r="G1306" i="8"/>
  <c r="F1306" i="8"/>
  <c r="E1306" i="8"/>
  <c r="D1306" i="8"/>
  <c r="C1306" i="8"/>
  <c r="B1306" i="8"/>
  <c r="A1306" i="8"/>
  <c r="M1305" i="8"/>
  <c r="K1305" i="8"/>
  <c r="J1305" i="8"/>
  <c r="I1305" i="8"/>
  <c r="H1305" i="8"/>
  <c r="G1305" i="8"/>
  <c r="L1305" i="8" s="1"/>
  <c r="F1305" i="8"/>
  <c r="E1305" i="8"/>
  <c r="D1305" i="8"/>
  <c r="C1305" i="8"/>
  <c r="B1305" i="8"/>
  <c r="A1305" i="8"/>
  <c r="M1304" i="8"/>
  <c r="K1304" i="8"/>
  <c r="J1304" i="8"/>
  <c r="I1304" i="8"/>
  <c r="H1304" i="8"/>
  <c r="G1304" i="8"/>
  <c r="L1304" i="8" s="1"/>
  <c r="F1304" i="8"/>
  <c r="E1304" i="8"/>
  <c r="D1304" i="8"/>
  <c r="C1304" i="8"/>
  <c r="B1304" i="8"/>
  <c r="A1304" i="8"/>
  <c r="M1303" i="8"/>
  <c r="L1303" i="8"/>
  <c r="K1303" i="8"/>
  <c r="J1303" i="8"/>
  <c r="I1303" i="8"/>
  <c r="H1303" i="8"/>
  <c r="G1303" i="8"/>
  <c r="F1303" i="8"/>
  <c r="E1303" i="8"/>
  <c r="D1303" i="8"/>
  <c r="C1303" i="8"/>
  <c r="B1303" i="8"/>
  <c r="A1303" i="8"/>
  <c r="M1302" i="8"/>
  <c r="K1302" i="8"/>
  <c r="J1302" i="8"/>
  <c r="I1302" i="8"/>
  <c r="H1302" i="8"/>
  <c r="G1302" i="8"/>
  <c r="L1302" i="8" s="1"/>
  <c r="F1302" i="8"/>
  <c r="E1302" i="8"/>
  <c r="D1302" i="8"/>
  <c r="C1302" i="8"/>
  <c r="B1302" i="8"/>
  <c r="A1302" i="8"/>
  <c r="M1301" i="8"/>
  <c r="K1301" i="8"/>
  <c r="J1301" i="8"/>
  <c r="I1301" i="8"/>
  <c r="H1301" i="8"/>
  <c r="G1301" i="8"/>
  <c r="L1301" i="8" s="1"/>
  <c r="F1301" i="8"/>
  <c r="E1301" i="8"/>
  <c r="D1301" i="8"/>
  <c r="C1301" i="8"/>
  <c r="B1301" i="8"/>
  <c r="A1301" i="8"/>
  <c r="M1300" i="8"/>
  <c r="L1300" i="8"/>
  <c r="K1300" i="8"/>
  <c r="J1300" i="8"/>
  <c r="I1300" i="8"/>
  <c r="H1300" i="8"/>
  <c r="G1300" i="8"/>
  <c r="F1300" i="8"/>
  <c r="E1300" i="8"/>
  <c r="D1300" i="8"/>
  <c r="C1300" i="8"/>
  <c r="B1300" i="8"/>
  <c r="A1300" i="8"/>
  <c r="M1299" i="8"/>
  <c r="K1299" i="8"/>
  <c r="J1299" i="8"/>
  <c r="I1299" i="8"/>
  <c r="H1299" i="8"/>
  <c r="G1299" i="8"/>
  <c r="L1299" i="8" s="1"/>
  <c r="F1299" i="8"/>
  <c r="E1299" i="8"/>
  <c r="D1299" i="8"/>
  <c r="C1299" i="8"/>
  <c r="B1299" i="8"/>
  <c r="A1299" i="8"/>
  <c r="M1298" i="8"/>
  <c r="L1298" i="8"/>
  <c r="K1298" i="8"/>
  <c r="J1298" i="8"/>
  <c r="I1298" i="8"/>
  <c r="H1298" i="8"/>
  <c r="G1298" i="8"/>
  <c r="F1298" i="8"/>
  <c r="E1298" i="8"/>
  <c r="D1298" i="8"/>
  <c r="C1298" i="8"/>
  <c r="B1298" i="8"/>
  <c r="A1298" i="8"/>
  <c r="M1297" i="8"/>
  <c r="K1297" i="8"/>
  <c r="J1297" i="8"/>
  <c r="I1297" i="8"/>
  <c r="H1297" i="8"/>
  <c r="G1297" i="8"/>
  <c r="L1297" i="8" s="1"/>
  <c r="F1297" i="8"/>
  <c r="E1297" i="8"/>
  <c r="D1297" i="8"/>
  <c r="C1297" i="8"/>
  <c r="B1297" i="8"/>
  <c r="A1297" i="8"/>
  <c r="M1296" i="8"/>
  <c r="K1296" i="8"/>
  <c r="J1296" i="8"/>
  <c r="I1296" i="8"/>
  <c r="H1296" i="8"/>
  <c r="G1296" i="8"/>
  <c r="L1296" i="8" s="1"/>
  <c r="F1296" i="8"/>
  <c r="E1296" i="8"/>
  <c r="D1296" i="8"/>
  <c r="C1296" i="8"/>
  <c r="B1296" i="8"/>
  <c r="A1296" i="8"/>
  <c r="M1295" i="8"/>
  <c r="L1295" i="8"/>
  <c r="K1295" i="8"/>
  <c r="J1295" i="8"/>
  <c r="I1295" i="8"/>
  <c r="H1295" i="8"/>
  <c r="G1295" i="8"/>
  <c r="F1295" i="8"/>
  <c r="E1295" i="8"/>
  <c r="D1295" i="8"/>
  <c r="C1295" i="8"/>
  <c r="B1295" i="8"/>
  <c r="A1295" i="8"/>
  <c r="M1294" i="8"/>
  <c r="K1294" i="8"/>
  <c r="J1294" i="8"/>
  <c r="I1294" i="8"/>
  <c r="H1294" i="8"/>
  <c r="G1294" i="8"/>
  <c r="L1294" i="8" s="1"/>
  <c r="F1294" i="8"/>
  <c r="E1294" i="8"/>
  <c r="D1294" i="8"/>
  <c r="C1294" i="8"/>
  <c r="B1294" i="8"/>
  <c r="A1294" i="8"/>
  <c r="M1293" i="8"/>
  <c r="K1293" i="8"/>
  <c r="J1293" i="8"/>
  <c r="I1293" i="8"/>
  <c r="H1293" i="8"/>
  <c r="G1293" i="8"/>
  <c r="L1293" i="8" s="1"/>
  <c r="F1293" i="8"/>
  <c r="E1293" i="8"/>
  <c r="D1293" i="8"/>
  <c r="C1293" i="8"/>
  <c r="B1293" i="8"/>
  <c r="A1293" i="8"/>
  <c r="M1292" i="8"/>
  <c r="L1292" i="8"/>
  <c r="K1292" i="8"/>
  <c r="J1292" i="8"/>
  <c r="I1292" i="8"/>
  <c r="H1292" i="8"/>
  <c r="G1292" i="8"/>
  <c r="F1292" i="8"/>
  <c r="E1292" i="8"/>
  <c r="D1292" i="8"/>
  <c r="C1292" i="8"/>
  <c r="B1292" i="8"/>
  <c r="A1292" i="8"/>
  <c r="M1291" i="8"/>
  <c r="K1291" i="8"/>
  <c r="J1291" i="8"/>
  <c r="I1291" i="8"/>
  <c r="H1291" i="8"/>
  <c r="G1291" i="8"/>
  <c r="L1291" i="8" s="1"/>
  <c r="F1291" i="8"/>
  <c r="E1291" i="8"/>
  <c r="D1291" i="8"/>
  <c r="C1291" i="8"/>
  <c r="B1291" i="8"/>
  <c r="A1291" i="8"/>
  <c r="M1290" i="8"/>
  <c r="L1290" i="8"/>
  <c r="K1290" i="8"/>
  <c r="J1290" i="8"/>
  <c r="I1290" i="8"/>
  <c r="H1290" i="8"/>
  <c r="G1290" i="8"/>
  <c r="F1290" i="8"/>
  <c r="E1290" i="8"/>
  <c r="D1290" i="8"/>
  <c r="C1290" i="8"/>
  <c r="B1290" i="8"/>
  <c r="A1290" i="8"/>
  <c r="M1289" i="8"/>
  <c r="L1289" i="8"/>
  <c r="K1289" i="8"/>
  <c r="J1289" i="8"/>
  <c r="I1289" i="8"/>
  <c r="H1289" i="8"/>
  <c r="G1289" i="8"/>
  <c r="F1289" i="8"/>
  <c r="E1289" i="8"/>
  <c r="D1289" i="8"/>
  <c r="C1289" i="8"/>
  <c r="B1289" i="8"/>
  <c r="A1289" i="8"/>
  <c r="M1288" i="8"/>
  <c r="K1288" i="8"/>
  <c r="J1288" i="8"/>
  <c r="I1288" i="8"/>
  <c r="H1288" i="8"/>
  <c r="G1288" i="8"/>
  <c r="L1288" i="8" s="1"/>
  <c r="F1288" i="8"/>
  <c r="E1288" i="8"/>
  <c r="D1288" i="8"/>
  <c r="C1288" i="8"/>
  <c r="B1288" i="8"/>
  <c r="A1288" i="8"/>
  <c r="M1287" i="8"/>
  <c r="L1287" i="8"/>
  <c r="K1287" i="8"/>
  <c r="J1287" i="8"/>
  <c r="I1287" i="8"/>
  <c r="H1287" i="8"/>
  <c r="G1287" i="8"/>
  <c r="F1287" i="8"/>
  <c r="E1287" i="8"/>
  <c r="D1287" i="8"/>
  <c r="C1287" i="8"/>
  <c r="B1287" i="8"/>
  <c r="A1287" i="8"/>
  <c r="M1286" i="8"/>
  <c r="K1286" i="8"/>
  <c r="J1286" i="8"/>
  <c r="I1286" i="8"/>
  <c r="H1286" i="8"/>
  <c r="G1286" i="8"/>
  <c r="L1286" i="8" s="1"/>
  <c r="F1286" i="8"/>
  <c r="E1286" i="8"/>
  <c r="D1286" i="8"/>
  <c r="C1286" i="8"/>
  <c r="B1286" i="8"/>
  <c r="A1286" i="8"/>
  <c r="M1285" i="8"/>
  <c r="K1285" i="8"/>
  <c r="J1285" i="8"/>
  <c r="I1285" i="8"/>
  <c r="H1285" i="8"/>
  <c r="G1285" i="8"/>
  <c r="L1285" i="8" s="1"/>
  <c r="F1285" i="8"/>
  <c r="E1285" i="8"/>
  <c r="D1285" i="8"/>
  <c r="C1285" i="8"/>
  <c r="B1285" i="8"/>
  <c r="A1285" i="8"/>
  <c r="M1284" i="8"/>
  <c r="L1284" i="8"/>
  <c r="K1284" i="8"/>
  <c r="J1284" i="8"/>
  <c r="I1284" i="8"/>
  <c r="H1284" i="8"/>
  <c r="G1284" i="8"/>
  <c r="F1284" i="8"/>
  <c r="E1284" i="8"/>
  <c r="D1284" i="8"/>
  <c r="C1284" i="8"/>
  <c r="B1284" i="8"/>
  <c r="A1284" i="8"/>
  <c r="M1283" i="8"/>
  <c r="K1283" i="8"/>
  <c r="J1283" i="8"/>
  <c r="I1283" i="8"/>
  <c r="H1283" i="8"/>
  <c r="G1283" i="8"/>
  <c r="L1283" i="8" s="1"/>
  <c r="F1283" i="8"/>
  <c r="E1283" i="8"/>
  <c r="D1283" i="8"/>
  <c r="C1283" i="8"/>
  <c r="B1283" i="8"/>
  <c r="A1283" i="8"/>
  <c r="M1282" i="8"/>
  <c r="L1282" i="8"/>
  <c r="K1282" i="8"/>
  <c r="J1282" i="8"/>
  <c r="I1282" i="8"/>
  <c r="H1282" i="8"/>
  <c r="G1282" i="8"/>
  <c r="F1282" i="8"/>
  <c r="E1282" i="8"/>
  <c r="D1282" i="8"/>
  <c r="C1282" i="8"/>
  <c r="B1282" i="8"/>
  <c r="A1282" i="8"/>
  <c r="M1281" i="8"/>
  <c r="L1281" i="8"/>
  <c r="K1281" i="8"/>
  <c r="J1281" i="8"/>
  <c r="I1281" i="8"/>
  <c r="H1281" i="8"/>
  <c r="G1281" i="8"/>
  <c r="F1281" i="8"/>
  <c r="E1281" i="8"/>
  <c r="D1281" i="8"/>
  <c r="C1281" i="8"/>
  <c r="B1281" i="8"/>
  <c r="A1281" i="8"/>
  <c r="M1280" i="8"/>
  <c r="K1280" i="8"/>
  <c r="J1280" i="8"/>
  <c r="I1280" i="8"/>
  <c r="H1280" i="8"/>
  <c r="G1280" i="8"/>
  <c r="L1280" i="8" s="1"/>
  <c r="F1280" i="8"/>
  <c r="E1280" i="8"/>
  <c r="D1280" i="8"/>
  <c r="C1280" i="8"/>
  <c r="B1280" i="8"/>
  <c r="A1280" i="8"/>
  <c r="M1279" i="8"/>
  <c r="L1279" i="8"/>
  <c r="K1279" i="8"/>
  <c r="J1279" i="8"/>
  <c r="I1279" i="8"/>
  <c r="H1279" i="8"/>
  <c r="G1279" i="8"/>
  <c r="F1279" i="8"/>
  <c r="E1279" i="8"/>
  <c r="D1279" i="8"/>
  <c r="C1279" i="8"/>
  <c r="B1279" i="8"/>
  <c r="A1279" i="8"/>
  <c r="M1278" i="8"/>
  <c r="K1278" i="8"/>
  <c r="J1278" i="8"/>
  <c r="I1278" i="8"/>
  <c r="H1278" i="8"/>
  <c r="G1278" i="8"/>
  <c r="L1278" i="8" s="1"/>
  <c r="F1278" i="8"/>
  <c r="E1278" i="8"/>
  <c r="D1278" i="8"/>
  <c r="C1278" i="8"/>
  <c r="B1278" i="8"/>
  <c r="A1278" i="8"/>
  <c r="M1277" i="8"/>
  <c r="K1277" i="8"/>
  <c r="J1277" i="8"/>
  <c r="I1277" i="8"/>
  <c r="H1277" i="8"/>
  <c r="G1277" i="8"/>
  <c r="L1277" i="8" s="1"/>
  <c r="F1277" i="8"/>
  <c r="E1277" i="8"/>
  <c r="D1277" i="8"/>
  <c r="C1277" i="8"/>
  <c r="B1277" i="8"/>
  <c r="A1277" i="8"/>
  <c r="M1276" i="8"/>
  <c r="L1276" i="8"/>
  <c r="K1276" i="8"/>
  <c r="J1276" i="8"/>
  <c r="I1276" i="8"/>
  <c r="H1276" i="8"/>
  <c r="G1276" i="8"/>
  <c r="F1276" i="8"/>
  <c r="E1276" i="8"/>
  <c r="D1276" i="8"/>
  <c r="C1276" i="8"/>
  <c r="B1276" i="8"/>
  <c r="A1276" i="8"/>
  <c r="M1275" i="8"/>
  <c r="K1275" i="8"/>
  <c r="J1275" i="8"/>
  <c r="I1275" i="8"/>
  <c r="H1275" i="8"/>
  <c r="G1275" i="8"/>
  <c r="L1275" i="8" s="1"/>
  <c r="F1275" i="8"/>
  <c r="E1275" i="8"/>
  <c r="D1275" i="8"/>
  <c r="C1275" i="8"/>
  <c r="B1275" i="8"/>
  <c r="A1275" i="8"/>
  <c r="M1274" i="8"/>
  <c r="L1274" i="8"/>
  <c r="K1274" i="8"/>
  <c r="J1274" i="8"/>
  <c r="I1274" i="8"/>
  <c r="H1274" i="8"/>
  <c r="G1274" i="8"/>
  <c r="F1274" i="8"/>
  <c r="E1274" i="8"/>
  <c r="D1274" i="8"/>
  <c r="C1274" i="8"/>
  <c r="B1274" i="8"/>
  <c r="A1274" i="8"/>
  <c r="M1273" i="8"/>
  <c r="L1273" i="8"/>
  <c r="K1273" i="8"/>
  <c r="J1273" i="8"/>
  <c r="I1273" i="8"/>
  <c r="H1273" i="8"/>
  <c r="G1273" i="8"/>
  <c r="F1273" i="8"/>
  <c r="E1273" i="8"/>
  <c r="D1273" i="8"/>
  <c r="C1273" i="8"/>
  <c r="B1273" i="8"/>
  <c r="A1273" i="8"/>
  <c r="M1272" i="8"/>
  <c r="K1272" i="8"/>
  <c r="J1272" i="8"/>
  <c r="I1272" i="8"/>
  <c r="H1272" i="8"/>
  <c r="G1272" i="8"/>
  <c r="L1272" i="8" s="1"/>
  <c r="F1272" i="8"/>
  <c r="E1272" i="8"/>
  <c r="D1272" i="8"/>
  <c r="C1272" i="8"/>
  <c r="B1272" i="8"/>
  <c r="A1272" i="8"/>
  <c r="M1271" i="8"/>
  <c r="L1271" i="8"/>
  <c r="K1271" i="8"/>
  <c r="J1271" i="8"/>
  <c r="I1271" i="8"/>
  <c r="H1271" i="8"/>
  <c r="G1271" i="8"/>
  <c r="F1271" i="8"/>
  <c r="E1271" i="8"/>
  <c r="D1271" i="8"/>
  <c r="C1271" i="8"/>
  <c r="B1271" i="8"/>
  <c r="A1271" i="8"/>
  <c r="M1270" i="8"/>
  <c r="K1270" i="8"/>
  <c r="J1270" i="8"/>
  <c r="I1270" i="8"/>
  <c r="H1270" i="8"/>
  <c r="G1270" i="8"/>
  <c r="L1270" i="8" s="1"/>
  <c r="F1270" i="8"/>
  <c r="E1270" i="8"/>
  <c r="D1270" i="8"/>
  <c r="C1270" i="8"/>
  <c r="B1270" i="8"/>
  <c r="A1270" i="8"/>
  <c r="M1269" i="8"/>
  <c r="K1269" i="8"/>
  <c r="J1269" i="8"/>
  <c r="I1269" i="8"/>
  <c r="H1269" i="8"/>
  <c r="G1269" i="8"/>
  <c r="L1269" i="8" s="1"/>
  <c r="F1269" i="8"/>
  <c r="E1269" i="8"/>
  <c r="D1269" i="8"/>
  <c r="C1269" i="8"/>
  <c r="B1269" i="8"/>
  <c r="A1269" i="8"/>
  <c r="M1268" i="8"/>
  <c r="L1268" i="8"/>
  <c r="K1268" i="8"/>
  <c r="J1268" i="8"/>
  <c r="I1268" i="8"/>
  <c r="H1268" i="8"/>
  <c r="G1268" i="8"/>
  <c r="F1268" i="8"/>
  <c r="E1268" i="8"/>
  <c r="D1268" i="8"/>
  <c r="C1268" i="8"/>
  <c r="B1268" i="8"/>
  <c r="A1268" i="8"/>
  <c r="M1267" i="8"/>
  <c r="K1267" i="8"/>
  <c r="J1267" i="8"/>
  <c r="I1267" i="8"/>
  <c r="H1267" i="8"/>
  <c r="G1267" i="8"/>
  <c r="L1267" i="8" s="1"/>
  <c r="F1267" i="8"/>
  <c r="E1267" i="8"/>
  <c r="D1267" i="8"/>
  <c r="C1267" i="8"/>
  <c r="B1267" i="8"/>
  <c r="A1267" i="8"/>
  <c r="M1266" i="8"/>
  <c r="L1266" i="8"/>
  <c r="K1266" i="8"/>
  <c r="J1266" i="8"/>
  <c r="I1266" i="8"/>
  <c r="H1266" i="8"/>
  <c r="G1266" i="8"/>
  <c r="F1266" i="8"/>
  <c r="E1266" i="8"/>
  <c r="D1266" i="8"/>
  <c r="C1266" i="8"/>
  <c r="B1266" i="8"/>
  <c r="A1266" i="8"/>
  <c r="M1265" i="8"/>
  <c r="L1265" i="8"/>
  <c r="K1265" i="8"/>
  <c r="J1265" i="8"/>
  <c r="I1265" i="8"/>
  <c r="H1265" i="8"/>
  <c r="G1265" i="8"/>
  <c r="F1265" i="8"/>
  <c r="E1265" i="8"/>
  <c r="D1265" i="8"/>
  <c r="C1265" i="8"/>
  <c r="B1265" i="8"/>
  <c r="A1265" i="8"/>
  <c r="M1264" i="8"/>
  <c r="K1264" i="8"/>
  <c r="J1264" i="8"/>
  <c r="I1264" i="8"/>
  <c r="H1264" i="8"/>
  <c r="G1264" i="8"/>
  <c r="L1264" i="8" s="1"/>
  <c r="F1264" i="8"/>
  <c r="E1264" i="8"/>
  <c r="D1264" i="8"/>
  <c r="C1264" i="8"/>
  <c r="B1264" i="8"/>
  <c r="A1264" i="8"/>
  <c r="M1263" i="8"/>
  <c r="L1263" i="8"/>
  <c r="K1263" i="8"/>
  <c r="J1263" i="8"/>
  <c r="I1263" i="8"/>
  <c r="H1263" i="8"/>
  <c r="G1263" i="8"/>
  <c r="F1263" i="8"/>
  <c r="E1263" i="8"/>
  <c r="D1263" i="8"/>
  <c r="C1263" i="8"/>
  <c r="B1263" i="8"/>
  <c r="A1263" i="8"/>
  <c r="M1262" i="8"/>
  <c r="K1262" i="8"/>
  <c r="J1262" i="8"/>
  <c r="I1262" i="8"/>
  <c r="H1262" i="8"/>
  <c r="G1262" i="8"/>
  <c r="L1262" i="8" s="1"/>
  <c r="F1262" i="8"/>
  <c r="E1262" i="8"/>
  <c r="D1262" i="8"/>
  <c r="C1262" i="8"/>
  <c r="B1262" i="8"/>
  <c r="A1262" i="8"/>
  <c r="M1261" i="8"/>
  <c r="K1261" i="8"/>
  <c r="J1261" i="8"/>
  <c r="I1261" i="8"/>
  <c r="H1261" i="8"/>
  <c r="G1261" i="8"/>
  <c r="L1261" i="8" s="1"/>
  <c r="F1261" i="8"/>
  <c r="E1261" i="8"/>
  <c r="D1261" i="8"/>
  <c r="C1261" i="8"/>
  <c r="B1261" i="8"/>
  <c r="A1261" i="8"/>
  <c r="M1260" i="8"/>
  <c r="L1260" i="8"/>
  <c r="K1260" i="8"/>
  <c r="J1260" i="8"/>
  <c r="I1260" i="8"/>
  <c r="H1260" i="8"/>
  <c r="G1260" i="8"/>
  <c r="F1260" i="8"/>
  <c r="E1260" i="8"/>
  <c r="D1260" i="8"/>
  <c r="C1260" i="8"/>
  <c r="B1260" i="8"/>
  <c r="A1260" i="8"/>
  <c r="M1259" i="8"/>
  <c r="K1259" i="8"/>
  <c r="J1259" i="8"/>
  <c r="I1259" i="8"/>
  <c r="H1259" i="8"/>
  <c r="G1259" i="8"/>
  <c r="L1259" i="8" s="1"/>
  <c r="F1259" i="8"/>
  <c r="E1259" i="8"/>
  <c r="D1259" i="8"/>
  <c r="C1259" i="8"/>
  <c r="B1259" i="8"/>
  <c r="A1259" i="8"/>
  <c r="M1258" i="8"/>
  <c r="L1258" i="8"/>
  <c r="K1258" i="8"/>
  <c r="J1258" i="8"/>
  <c r="I1258" i="8"/>
  <c r="H1258" i="8"/>
  <c r="G1258" i="8"/>
  <c r="F1258" i="8"/>
  <c r="E1258" i="8"/>
  <c r="D1258" i="8"/>
  <c r="C1258" i="8"/>
  <c r="B1258" i="8"/>
  <c r="A1258" i="8"/>
  <c r="M1257" i="8"/>
  <c r="L1257" i="8"/>
  <c r="K1257" i="8"/>
  <c r="J1257" i="8"/>
  <c r="I1257" i="8"/>
  <c r="H1257" i="8"/>
  <c r="G1257" i="8"/>
  <c r="F1257" i="8"/>
  <c r="E1257" i="8"/>
  <c r="D1257" i="8"/>
  <c r="C1257" i="8"/>
  <c r="B1257" i="8"/>
  <c r="A1257" i="8"/>
  <c r="M1256" i="8"/>
  <c r="K1256" i="8"/>
  <c r="J1256" i="8"/>
  <c r="I1256" i="8"/>
  <c r="H1256" i="8"/>
  <c r="G1256" i="8"/>
  <c r="L1256" i="8" s="1"/>
  <c r="F1256" i="8"/>
  <c r="E1256" i="8"/>
  <c r="D1256" i="8"/>
  <c r="C1256" i="8"/>
  <c r="B1256" i="8"/>
  <c r="A1256" i="8"/>
  <c r="M1255" i="8"/>
  <c r="L1255" i="8"/>
  <c r="K1255" i="8"/>
  <c r="J1255" i="8"/>
  <c r="I1255" i="8"/>
  <c r="H1255" i="8"/>
  <c r="G1255" i="8"/>
  <c r="F1255" i="8"/>
  <c r="E1255" i="8"/>
  <c r="D1255" i="8"/>
  <c r="C1255" i="8"/>
  <c r="B1255" i="8"/>
  <c r="A1255" i="8"/>
  <c r="M1254" i="8"/>
  <c r="K1254" i="8"/>
  <c r="J1254" i="8"/>
  <c r="I1254" i="8"/>
  <c r="H1254" i="8"/>
  <c r="G1254" i="8"/>
  <c r="L1254" i="8" s="1"/>
  <c r="F1254" i="8"/>
  <c r="E1254" i="8"/>
  <c r="D1254" i="8"/>
  <c r="C1254" i="8"/>
  <c r="B1254" i="8"/>
  <c r="A1254" i="8"/>
  <c r="M1253" i="8"/>
  <c r="K1253" i="8"/>
  <c r="J1253" i="8"/>
  <c r="I1253" i="8"/>
  <c r="H1253" i="8"/>
  <c r="G1253" i="8"/>
  <c r="L1253" i="8" s="1"/>
  <c r="F1253" i="8"/>
  <c r="E1253" i="8"/>
  <c r="D1253" i="8"/>
  <c r="C1253" i="8"/>
  <c r="B1253" i="8"/>
  <c r="A1253" i="8"/>
  <c r="M1252" i="8"/>
  <c r="L1252" i="8"/>
  <c r="K1252" i="8"/>
  <c r="J1252" i="8"/>
  <c r="I1252" i="8"/>
  <c r="H1252" i="8"/>
  <c r="G1252" i="8"/>
  <c r="F1252" i="8"/>
  <c r="E1252" i="8"/>
  <c r="D1252" i="8"/>
  <c r="C1252" i="8"/>
  <c r="B1252" i="8"/>
  <c r="A1252" i="8"/>
  <c r="M1251" i="8"/>
  <c r="K1251" i="8"/>
  <c r="J1251" i="8"/>
  <c r="I1251" i="8"/>
  <c r="H1251" i="8"/>
  <c r="G1251" i="8"/>
  <c r="L1251" i="8" s="1"/>
  <c r="F1251" i="8"/>
  <c r="E1251" i="8"/>
  <c r="D1251" i="8"/>
  <c r="C1251" i="8"/>
  <c r="B1251" i="8"/>
  <c r="A1251" i="8"/>
  <c r="M1250" i="8"/>
  <c r="L1250" i="8"/>
  <c r="K1250" i="8"/>
  <c r="J1250" i="8"/>
  <c r="I1250" i="8"/>
  <c r="H1250" i="8"/>
  <c r="G1250" i="8"/>
  <c r="F1250" i="8"/>
  <c r="E1250" i="8"/>
  <c r="D1250" i="8"/>
  <c r="C1250" i="8"/>
  <c r="B1250" i="8"/>
  <c r="A1250" i="8"/>
  <c r="M1249" i="8"/>
  <c r="L1249" i="8"/>
  <c r="K1249" i="8"/>
  <c r="J1249" i="8"/>
  <c r="I1249" i="8"/>
  <c r="H1249" i="8"/>
  <c r="G1249" i="8"/>
  <c r="F1249" i="8"/>
  <c r="E1249" i="8"/>
  <c r="D1249" i="8"/>
  <c r="C1249" i="8"/>
  <c r="B1249" i="8"/>
  <c r="A1249" i="8"/>
  <c r="M1248" i="8"/>
  <c r="K1248" i="8"/>
  <c r="J1248" i="8"/>
  <c r="I1248" i="8"/>
  <c r="H1248" i="8"/>
  <c r="G1248" i="8"/>
  <c r="L1248" i="8" s="1"/>
  <c r="F1248" i="8"/>
  <c r="E1248" i="8"/>
  <c r="D1248" i="8"/>
  <c r="C1248" i="8"/>
  <c r="B1248" i="8"/>
  <c r="A1248" i="8"/>
  <c r="M1247" i="8"/>
  <c r="L1247" i="8"/>
  <c r="K1247" i="8"/>
  <c r="J1247" i="8"/>
  <c r="I1247" i="8"/>
  <c r="H1247" i="8"/>
  <c r="G1247" i="8"/>
  <c r="F1247" i="8"/>
  <c r="E1247" i="8"/>
  <c r="D1247" i="8"/>
  <c r="C1247" i="8"/>
  <c r="B1247" i="8"/>
  <c r="A1247" i="8"/>
  <c r="M1246" i="8"/>
  <c r="K1246" i="8"/>
  <c r="J1246" i="8"/>
  <c r="I1246" i="8"/>
  <c r="H1246" i="8"/>
  <c r="G1246" i="8"/>
  <c r="L1246" i="8" s="1"/>
  <c r="F1246" i="8"/>
  <c r="E1246" i="8"/>
  <c r="D1246" i="8"/>
  <c r="C1246" i="8"/>
  <c r="B1246" i="8"/>
  <c r="A1246" i="8"/>
  <c r="M1245" i="8"/>
  <c r="K1245" i="8"/>
  <c r="J1245" i="8"/>
  <c r="I1245" i="8"/>
  <c r="H1245" i="8"/>
  <c r="G1245" i="8"/>
  <c r="L1245" i="8" s="1"/>
  <c r="F1245" i="8"/>
  <c r="E1245" i="8"/>
  <c r="D1245" i="8"/>
  <c r="C1245" i="8"/>
  <c r="B1245" i="8"/>
  <c r="A1245" i="8"/>
  <c r="M1244" i="8"/>
  <c r="L1244" i="8"/>
  <c r="K1244" i="8"/>
  <c r="J1244" i="8"/>
  <c r="I1244" i="8"/>
  <c r="H1244" i="8"/>
  <c r="G1244" i="8"/>
  <c r="F1244" i="8"/>
  <c r="E1244" i="8"/>
  <c r="D1244" i="8"/>
  <c r="C1244" i="8"/>
  <c r="B1244" i="8"/>
  <c r="A1244" i="8"/>
  <c r="M1243" i="8"/>
  <c r="K1243" i="8"/>
  <c r="J1243" i="8"/>
  <c r="I1243" i="8"/>
  <c r="H1243" i="8"/>
  <c r="G1243" i="8"/>
  <c r="L1243" i="8" s="1"/>
  <c r="F1243" i="8"/>
  <c r="E1243" i="8"/>
  <c r="D1243" i="8"/>
  <c r="C1243" i="8"/>
  <c r="B1243" i="8"/>
  <c r="A1243" i="8"/>
  <c r="M1242" i="8"/>
  <c r="L1242" i="8"/>
  <c r="K1242" i="8"/>
  <c r="J1242" i="8"/>
  <c r="I1242" i="8"/>
  <c r="H1242" i="8"/>
  <c r="G1242" i="8"/>
  <c r="F1242" i="8"/>
  <c r="E1242" i="8"/>
  <c r="D1242" i="8"/>
  <c r="C1242" i="8"/>
  <c r="B1242" i="8"/>
  <c r="A1242" i="8"/>
  <c r="M1241" i="8"/>
  <c r="L1241" i="8"/>
  <c r="K1241" i="8"/>
  <c r="J1241" i="8"/>
  <c r="I1241" i="8"/>
  <c r="H1241" i="8"/>
  <c r="G1241" i="8"/>
  <c r="F1241" i="8"/>
  <c r="E1241" i="8"/>
  <c r="D1241" i="8"/>
  <c r="C1241" i="8"/>
  <c r="B1241" i="8"/>
  <c r="A1241" i="8"/>
  <c r="M1240" i="8"/>
  <c r="K1240" i="8"/>
  <c r="J1240" i="8"/>
  <c r="I1240" i="8"/>
  <c r="H1240" i="8"/>
  <c r="G1240" i="8"/>
  <c r="L1240" i="8" s="1"/>
  <c r="F1240" i="8"/>
  <c r="E1240" i="8"/>
  <c r="D1240" i="8"/>
  <c r="C1240" i="8"/>
  <c r="B1240" i="8"/>
  <c r="A1240" i="8"/>
  <c r="M1239" i="8"/>
  <c r="L1239" i="8"/>
  <c r="K1239" i="8"/>
  <c r="J1239" i="8"/>
  <c r="I1239" i="8"/>
  <c r="H1239" i="8"/>
  <c r="G1239" i="8"/>
  <c r="F1239" i="8"/>
  <c r="E1239" i="8"/>
  <c r="D1239" i="8"/>
  <c r="C1239" i="8"/>
  <c r="B1239" i="8"/>
  <c r="A1239" i="8"/>
  <c r="M1238" i="8"/>
  <c r="K1238" i="8"/>
  <c r="J1238" i="8"/>
  <c r="I1238" i="8"/>
  <c r="H1238" i="8"/>
  <c r="G1238" i="8"/>
  <c r="L1238" i="8" s="1"/>
  <c r="F1238" i="8"/>
  <c r="E1238" i="8"/>
  <c r="D1238" i="8"/>
  <c r="C1238" i="8"/>
  <c r="B1238" i="8"/>
  <c r="A1238" i="8"/>
  <c r="M1237" i="8"/>
  <c r="K1237" i="8"/>
  <c r="J1237" i="8"/>
  <c r="I1237" i="8"/>
  <c r="H1237" i="8"/>
  <c r="G1237" i="8"/>
  <c r="L1237" i="8" s="1"/>
  <c r="F1237" i="8"/>
  <c r="E1237" i="8"/>
  <c r="D1237" i="8"/>
  <c r="C1237" i="8"/>
  <c r="B1237" i="8"/>
  <c r="A1237" i="8"/>
  <c r="M1236" i="8"/>
  <c r="L1236" i="8"/>
  <c r="K1236" i="8"/>
  <c r="J1236" i="8"/>
  <c r="I1236" i="8"/>
  <c r="H1236" i="8"/>
  <c r="G1236" i="8"/>
  <c r="F1236" i="8"/>
  <c r="E1236" i="8"/>
  <c r="D1236" i="8"/>
  <c r="C1236" i="8"/>
  <c r="B1236" i="8"/>
  <c r="A1236" i="8"/>
  <c r="M1235" i="8"/>
  <c r="K1235" i="8"/>
  <c r="J1235" i="8"/>
  <c r="I1235" i="8"/>
  <c r="H1235" i="8"/>
  <c r="G1235" i="8"/>
  <c r="L1235" i="8" s="1"/>
  <c r="F1235" i="8"/>
  <c r="E1235" i="8"/>
  <c r="D1235" i="8"/>
  <c r="C1235" i="8"/>
  <c r="B1235" i="8"/>
  <c r="A1235" i="8"/>
  <c r="M1234" i="8"/>
  <c r="L1234" i="8"/>
  <c r="K1234" i="8"/>
  <c r="J1234" i="8"/>
  <c r="I1234" i="8"/>
  <c r="H1234" i="8"/>
  <c r="G1234" i="8"/>
  <c r="F1234" i="8"/>
  <c r="E1234" i="8"/>
  <c r="D1234" i="8"/>
  <c r="C1234" i="8"/>
  <c r="B1234" i="8"/>
  <c r="A1234" i="8"/>
  <c r="M1233" i="8"/>
  <c r="L1233" i="8"/>
  <c r="K1233" i="8"/>
  <c r="J1233" i="8"/>
  <c r="I1233" i="8"/>
  <c r="H1233" i="8"/>
  <c r="G1233" i="8"/>
  <c r="F1233" i="8"/>
  <c r="E1233" i="8"/>
  <c r="D1233" i="8"/>
  <c r="C1233" i="8"/>
  <c r="B1233" i="8"/>
  <c r="A1233" i="8"/>
  <c r="M1232" i="8"/>
  <c r="K1232" i="8"/>
  <c r="J1232" i="8"/>
  <c r="I1232" i="8"/>
  <c r="H1232" i="8"/>
  <c r="G1232" i="8"/>
  <c r="L1232" i="8" s="1"/>
  <c r="F1232" i="8"/>
  <c r="E1232" i="8"/>
  <c r="D1232" i="8"/>
  <c r="C1232" i="8"/>
  <c r="B1232" i="8"/>
  <c r="A1232" i="8"/>
  <c r="M1231" i="8"/>
  <c r="L1231" i="8"/>
  <c r="K1231" i="8"/>
  <c r="J1231" i="8"/>
  <c r="I1231" i="8"/>
  <c r="H1231" i="8"/>
  <c r="G1231" i="8"/>
  <c r="F1231" i="8"/>
  <c r="E1231" i="8"/>
  <c r="D1231" i="8"/>
  <c r="C1231" i="8"/>
  <c r="B1231" i="8"/>
  <c r="A1231" i="8"/>
  <c r="M1230" i="8"/>
  <c r="L1230" i="8"/>
  <c r="K1230" i="8"/>
  <c r="J1230" i="8"/>
  <c r="I1230" i="8"/>
  <c r="H1230" i="8"/>
  <c r="G1230" i="8"/>
  <c r="F1230" i="8"/>
  <c r="E1230" i="8"/>
  <c r="D1230" i="8"/>
  <c r="C1230" i="8"/>
  <c r="B1230" i="8"/>
  <c r="A1230" i="8"/>
  <c r="M1229" i="8"/>
  <c r="K1229" i="8"/>
  <c r="J1229" i="8"/>
  <c r="I1229" i="8"/>
  <c r="H1229" i="8"/>
  <c r="G1229" i="8"/>
  <c r="L1229" i="8" s="1"/>
  <c r="F1229" i="8"/>
  <c r="E1229" i="8"/>
  <c r="D1229" i="8"/>
  <c r="C1229" i="8"/>
  <c r="B1229" i="8"/>
  <c r="A1229" i="8"/>
  <c r="M1228" i="8"/>
  <c r="L1228" i="8"/>
  <c r="K1228" i="8"/>
  <c r="J1228" i="8"/>
  <c r="I1228" i="8"/>
  <c r="H1228" i="8"/>
  <c r="G1228" i="8"/>
  <c r="F1228" i="8"/>
  <c r="E1228" i="8"/>
  <c r="D1228" i="8"/>
  <c r="C1228" i="8"/>
  <c r="B1228" i="8"/>
  <c r="A1228" i="8"/>
  <c r="M1227" i="8"/>
  <c r="K1227" i="8"/>
  <c r="J1227" i="8"/>
  <c r="I1227" i="8"/>
  <c r="H1227" i="8"/>
  <c r="G1227" i="8"/>
  <c r="L1227" i="8" s="1"/>
  <c r="F1227" i="8"/>
  <c r="E1227" i="8"/>
  <c r="D1227" i="8"/>
  <c r="C1227" i="8"/>
  <c r="B1227" i="8"/>
  <c r="A1227" i="8"/>
  <c r="M1226" i="8"/>
  <c r="L1226" i="8"/>
  <c r="K1226" i="8"/>
  <c r="J1226" i="8"/>
  <c r="I1226" i="8"/>
  <c r="H1226" i="8"/>
  <c r="G1226" i="8"/>
  <c r="F1226" i="8"/>
  <c r="E1226" i="8"/>
  <c r="D1226" i="8"/>
  <c r="C1226" i="8"/>
  <c r="B1226" i="8"/>
  <c r="A1226" i="8"/>
  <c r="M1225" i="8"/>
  <c r="L1225" i="8"/>
  <c r="K1225" i="8"/>
  <c r="J1225" i="8"/>
  <c r="I1225" i="8"/>
  <c r="H1225" i="8"/>
  <c r="G1225" i="8"/>
  <c r="F1225" i="8"/>
  <c r="E1225" i="8"/>
  <c r="D1225" i="8"/>
  <c r="C1225" i="8"/>
  <c r="B1225" i="8"/>
  <c r="A1225" i="8"/>
  <c r="M1224" i="8"/>
  <c r="K1224" i="8"/>
  <c r="J1224" i="8"/>
  <c r="I1224" i="8"/>
  <c r="H1224" i="8"/>
  <c r="G1224" i="8"/>
  <c r="L1224" i="8" s="1"/>
  <c r="F1224" i="8"/>
  <c r="E1224" i="8"/>
  <c r="D1224" i="8"/>
  <c r="C1224" i="8"/>
  <c r="B1224" i="8"/>
  <c r="A1224" i="8"/>
  <c r="M1223" i="8"/>
  <c r="L1223" i="8"/>
  <c r="K1223" i="8"/>
  <c r="J1223" i="8"/>
  <c r="I1223" i="8"/>
  <c r="H1223" i="8"/>
  <c r="G1223" i="8"/>
  <c r="F1223" i="8"/>
  <c r="E1223" i="8"/>
  <c r="D1223" i="8"/>
  <c r="C1223" i="8"/>
  <c r="B1223" i="8"/>
  <c r="A1223" i="8"/>
  <c r="M1222" i="8"/>
  <c r="L1222" i="8"/>
  <c r="K1222" i="8"/>
  <c r="J1222" i="8"/>
  <c r="I1222" i="8"/>
  <c r="H1222" i="8"/>
  <c r="G1222" i="8"/>
  <c r="F1222" i="8"/>
  <c r="E1222" i="8"/>
  <c r="D1222" i="8"/>
  <c r="C1222" i="8"/>
  <c r="B1222" i="8"/>
  <c r="A1222" i="8"/>
  <c r="M1221" i="8"/>
  <c r="K1221" i="8"/>
  <c r="J1221" i="8"/>
  <c r="I1221" i="8"/>
  <c r="H1221" i="8"/>
  <c r="G1221" i="8"/>
  <c r="L1221" i="8" s="1"/>
  <c r="F1221" i="8"/>
  <c r="E1221" i="8"/>
  <c r="D1221" i="8"/>
  <c r="C1221" i="8"/>
  <c r="B1221" i="8"/>
  <c r="A1221" i="8"/>
  <c r="M1220" i="8"/>
  <c r="L1220" i="8"/>
  <c r="K1220" i="8"/>
  <c r="J1220" i="8"/>
  <c r="I1220" i="8"/>
  <c r="H1220" i="8"/>
  <c r="G1220" i="8"/>
  <c r="F1220" i="8"/>
  <c r="E1220" i="8"/>
  <c r="D1220" i="8"/>
  <c r="C1220" i="8"/>
  <c r="B1220" i="8"/>
  <c r="A1220" i="8"/>
  <c r="M1219" i="8"/>
  <c r="K1219" i="8"/>
  <c r="J1219" i="8"/>
  <c r="I1219" i="8"/>
  <c r="H1219" i="8"/>
  <c r="G1219" i="8"/>
  <c r="L1219" i="8" s="1"/>
  <c r="F1219" i="8"/>
  <c r="E1219" i="8"/>
  <c r="D1219" i="8"/>
  <c r="C1219" i="8"/>
  <c r="B1219" i="8"/>
  <c r="A1219" i="8"/>
  <c r="M1218" i="8"/>
  <c r="L1218" i="8"/>
  <c r="K1218" i="8"/>
  <c r="J1218" i="8"/>
  <c r="I1218" i="8"/>
  <c r="H1218" i="8"/>
  <c r="G1218" i="8"/>
  <c r="F1218" i="8"/>
  <c r="E1218" i="8"/>
  <c r="D1218" i="8"/>
  <c r="C1218" i="8"/>
  <c r="B1218" i="8"/>
  <c r="A1218" i="8"/>
  <c r="M1217" i="8"/>
  <c r="L1217" i="8"/>
  <c r="K1217" i="8"/>
  <c r="J1217" i="8"/>
  <c r="I1217" i="8"/>
  <c r="H1217" i="8"/>
  <c r="G1217" i="8"/>
  <c r="F1217" i="8"/>
  <c r="E1217" i="8"/>
  <c r="D1217" i="8"/>
  <c r="C1217" i="8"/>
  <c r="B1217" i="8"/>
  <c r="A1217" i="8"/>
  <c r="M1216" i="8"/>
  <c r="K1216" i="8"/>
  <c r="J1216" i="8"/>
  <c r="I1216" i="8"/>
  <c r="H1216" i="8"/>
  <c r="G1216" i="8"/>
  <c r="L1216" i="8" s="1"/>
  <c r="F1216" i="8"/>
  <c r="E1216" i="8"/>
  <c r="D1216" i="8"/>
  <c r="C1216" i="8"/>
  <c r="B1216" i="8"/>
  <c r="A1216" i="8"/>
  <c r="M1215" i="8"/>
  <c r="L1215" i="8"/>
  <c r="K1215" i="8"/>
  <c r="J1215" i="8"/>
  <c r="I1215" i="8"/>
  <c r="H1215" i="8"/>
  <c r="G1215" i="8"/>
  <c r="F1215" i="8"/>
  <c r="E1215" i="8"/>
  <c r="D1215" i="8"/>
  <c r="C1215" i="8"/>
  <c r="B1215" i="8"/>
  <c r="A1215" i="8"/>
  <c r="M1214" i="8"/>
  <c r="L1214" i="8"/>
  <c r="K1214" i="8"/>
  <c r="J1214" i="8"/>
  <c r="I1214" i="8"/>
  <c r="H1214" i="8"/>
  <c r="G1214" i="8"/>
  <c r="F1214" i="8"/>
  <c r="E1214" i="8"/>
  <c r="D1214" i="8"/>
  <c r="C1214" i="8"/>
  <c r="B1214" i="8"/>
  <c r="A1214" i="8"/>
  <c r="M1213" i="8"/>
  <c r="K1213" i="8"/>
  <c r="J1213" i="8"/>
  <c r="I1213" i="8"/>
  <c r="H1213" i="8"/>
  <c r="G1213" i="8"/>
  <c r="L1213" i="8" s="1"/>
  <c r="F1213" i="8"/>
  <c r="E1213" i="8"/>
  <c r="D1213" i="8"/>
  <c r="C1213" i="8"/>
  <c r="B1213" i="8"/>
  <c r="A1213" i="8"/>
  <c r="M1212" i="8"/>
  <c r="L1212" i="8"/>
  <c r="K1212" i="8"/>
  <c r="J1212" i="8"/>
  <c r="I1212" i="8"/>
  <c r="H1212" i="8"/>
  <c r="G1212" i="8"/>
  <c r="F1212" i="8"/>
  <c r="E1212" i="8"/>
  <c r="D1212" i="8"/>
  <c r="C1212" i="8"/>
  <c r="B1212" i="8"/>
  <c r="A1212" i="8"/>
  <c r="M1211" i="8"/>
  <c r="K1211" i="8"/>
  <c r="J1211" i="8"/>
  <c r="I1211" i="8"/>
  <c r="H1211" i="8"/>
  <c r="G1211" i="8"/>
  <c r="L1211" i="8" s="1"/>
  <c r="F1211" i="8"/>
  <c r="E1211" i="8"/>
  <c r="D1211" i="8"/>
  <c r="C1211" i="8"/>
  <c r="B1211" i="8"/>
  <c r="A1211" i="8"/>
  <c r="M1210" i="8"/>
  <c r="L1210" i="8"/>
  <c r="K1210" i="8"/>
  <c r="J1210" i="8"/>
  <c r="I1210" i="8"/>
  <c r="H1210" i="8"/>
  <c r="G1210" i="8"/>
  <c r="F1210" i="8"/>
  <c r="E1210" i="8"/>
  <c r="D1210" i="8"/>
  <c r="C1210" i="8"/>
  <c r="B1210" i="8"/>
  <c r="A1210" i="8"/>
  <c r="M1209" i="8"/>
  <c r="L1209" i="8"/>
  <c r="K1209" i="8"/>
  <c r="J1209" i="8"/>
  <c r="I1209" i="8"/>
  <c r="H1209" i="8"/>
  <c r="G1209" i="8"/>
  <c r="F1209" i="8"/>
  <c r="E1209" i="8"/>
  <c r="D1209" i="8"/>
  <c r="C1209" i="8"/>
  <c r="B1209" i="8"/>
  <c r="A1209" i="8"/>
  <c r="M1208" i="8"/>
  <c r="K1208" i="8"/>
  <c r="J1208" i="8"/>
  <c r="I1208" i="8"/>
  <c r="H1208" i="8"/>
  <c r="G1208" i="8"/>
  <c r="L1208" i="8" s="1"/>
  <c r="F1208" i="8"/>
  <c r="E1208" i="8"/>
  <c r="D1208" i="8"/>
  <c r="C1208" i="8"/>
  <c r="B1208" i="8"/>
  <c r="A1208" i="8"/>
  <c r="M1207" i="8"/>
  <c r="L1207" i="8"/>
  <c r="K1207" i="8"/>
  <c r="J1207" i="8"/>
  <c r="I1207" i="8"/>
  <c r="H1207" i="8"/>
  <c r="G1207" i="8"/>
  <c r="F1207" i="8"/>
  <c r="E1207" i="8"/>
  <c r="D1207" i="8"/>
  <c r="C1207" i="8"/>
  <c r="B1207" i="8"/>
  <c r="A1207" i="8"/>
  <c r="M1206" i="8"/>
  <c r="L1206" i="8"/>
  <c r="K1206" i="8"/>
  <c r="J1206" i="8"/>
  <c r="I1206" i="8"/>
  <c r="H1206" i="8"/>
  <c r="G1206" i="8"/>
  <c r="F1206" i="8"/>
  <c r="E1206" i="8"/>
  <c r="D1206" i="8"/>
  <c r="C1206" i="8"/>
  <c r="B1206" i="8"/>
  <c r="A1206" i="8"/>
  <c r="M1205" i="8"/>
  <c r="K1205" i="8"/>
  <c r="J1205" i="8"/>
  <c r="I1205" i="8"/>
  <c r="H1205" i="8"/>
  <c r="G1205" i="8"/>
  <c r="L1205" i="8" s="1"/>
  <c r="F1205" i="8"/>
  <c r="E1205" i="8"/>
  <c r="D1205" i="8"/>
  <c r="C1205" i="8"/>
  <c r="B1205" i="8"/>
  <c r="A1205" i="8"/>
  <c r="M1204" i="8"/>
  <c r="L1204" i="8"/>
  <c r="K1204" i="8"/>
  <c r="J1204" i="8"/>
  <c r="I1204" i="8"/>
  <c r="H1204" i="8"/>
  <c r="G1204" i="8"/>
  <c r="F1204" i="8"/>
  <c r="E1204" i="8"/>
  <c r="D1204" i="8"/>
  <c r="C1204" i="8"/>
  <c r="B1204" i="8"/>
  <c r="A1204" i="8"/>
  <c r="M1203" i="8"/>
  <c r="K1203" i="8"/>
  <c r="J1203" i="8"/>
  <c r="I1203" i="8"/>
  <c r="H1203" i="8"/>
  <c r="G1203" i="8"/>
  <c r="L1203" i="8" s="1"/>
  <c r="F1203" i="8"/>
  <c r="E1203" i="8"/>
  <c r="D1203" i="8"/>
  <c r="C1203" i="8"/>
  <c r="B1203" i="8"/>
  <c r="A1203" i="8"/>
  <c r="M1202" i="8"/>
  <c r="L1202" i="8"/>
  <c r="K1202" i="8"/>
  <c r="J1202" i="8"/>
  <c r="I1202" i="8"/>
  <c r="H1202" i="8"/>
  <c r="G1202" i="8"/>
  <c r="F1202" i="8"/>
  <c r="E1202" i="8"/>
  <c r="D1202" i="8"/>
  <c r="C1202" i="8"/>
  <c r="B1202" i="8"/>
  <c r="A1202" i="8"/>
  <c r="M1201" i="8"/>
  <c r="L1201" i="8"/>
  <c r="K1201" i="8"/>
  <c r="J1201" i="8"/>
  <c r="I1201" i="8"/>
  <c r="H1201" i="8"/>
  <c r="G1201" i="8"/>
  <c r="F1201" i="8"/>
  <c r="E1201" i="8"/>
  <c r="D1201" i="8"/>
  <c r="C1201" i="8"/>
  <c r="B1201" i="8"/>
  <c r="A1201" i="8"/>
  <c r="M1200" i="8"/>
  <c r="K1200" i="8"/>
  <c r="J1200" i="8"/>
  <c r="I1200" i="8"/>
  <c r="H1200" i="8"/>
  <c r="G1200" i="8"/>
  <c r="L1200" i="8" s="1"/>
  <c r="F1200" i="8"/>
  <c r="E1200" i="8"/>
  <c r="D1200" i="8"/>
  <c r="C1200" i="8"/>
  <c r="B1200" i="8"/>
  <c r="A1200" i="8"/>
  <c r="M1199" i="8"/>
  <c r="L1199" i="8"/>
  <c r="K1199" i="8"/>
  <c r="J1199" i="8"/>
  <c r="I1199" i="8"/>
  <c r="H1199" i="8"/>
  <c r="G1199" i="8"/>
  <c r="F1199" i="8"/>
  <c r="E1199" i="8"/>
  <c r="D1199" i="8"/>
  <c r="C1199" i="8"/>
  <c r="B1199" i="8"/>
  <c r="A1199" i="8"/>
  <c r="M1198" i="8"/>
  <c r="L1198" i="8"/>
  <c r="K1198" i="8"/>
  <c r="J1198" i="8"/>
  <c r="I1198" i="8"/>
  <c r="H1198" i="8"/>
  <c r="G1198" i="8"/>
  <c r="F1198" i="8"/>
  <c r="E1198" i="8"/>
  <c r="D1198" i="8"/>
  <c r="C1198" i="8"/>
  <c r="B1198" i="8"/>
  <c r="A1198" i="8"/>
  <c r="M1197" i="8"/>
  <c r="K1197" i="8"/>
  <c r="J1197" i="8"/>
  <c r="I1197" i="8"/>
  <c r="H1197" i="8"/>
  <c r="G1197" i="8"/>
  <c r="L1197" i="8" s="1"/>
  <c r="F1197" i="8"/>
  <c r="E1197" i="8"/>
  <c r="D1197" i="8"/>
  <c r="C1197" i="8"/>
  <c r="B1197" i="8"/>
  <c r="A1197" i="8"/>
  <c r="M1196" i="8"/>
  <c r="L1196" i="8"/>
  <c r="K1196" i="8"/>
  <c r="J1196" i="8"/>
  <c r="I1196" i="8"/>
  <c r="H1196" i="8"/>
  <c r="G1196" i="8"/>
  <c r="F1196" i="8"/>
  <c r="E1196" i="8"/>
  <c r="D1196" i="8"/>
  <c r="C1196" i="8"/>
  <c r="B1196" i="8"/>
  <c r="A1196" i="8"/>
  <c r="M1195" i="8"/>
  <c r="K1195" i="8"/>
  <c r="J1195" i="8"/>
  <c r="I1195" i="8"/>
  <c r="H1195" i="8"/>
  <c r="G1195" i="8"/>
  <c r="L1195" i="8" s="1"/>
  <c r="F1195" i="8"/>
  <c r="E1195" i="8"/>
  <c r="D1195" i="8"/>
  <c r="C1195" i="8"/>
  <c r="B1195" i="8"/>
  <c r="A1195" i="8"/>
  <c r="M1194" i="8"/>
  <c r="L1194" i="8"/>
  <c r="K1194" i="8"/>
  <c r="J1194" i="8"/>
  <c r="I1194" i="8"/>
  <c r="H1194" i="8"/>
  <c r="G1194" i="8"/>
  <c r="F1194" i="8"/>
  <c r="E1194" i="8"/>
  <c r="D1194" i="8"/>
  <c r="C1194" i="8"/>
  <c r="B1194" i="8"/>
  <c r="A1194" i="8"/>
  <c r="M1193" i="8"/>
  <c r="L1193" i="8"/>
  <c r="K1193" i="8"/>
  <c r="J1193" i="8"/>
  <c r="I1193" i="8"/>
  <c r="H1193" i="8"/>
  <c r="G1193" i="8"/>
  <c r="F1193" i="8"/>
  <c r="E1193" i="8"/>
  <c r="D1193" i="8"/>
  <c r="C1193" i="8"/>
  <c r="B1193" i="8"/>
  <c r="A1193" i="8"/>
  <c r="M1192" i="8"/>
  <c r="K1192" i="8"/>
  <c r="J1192" i="8"/>
  <c r="I1192" i="8"/>
  <c r="H1192" i="8"/>
  <c r="G1192" i="8"/>
  <c r="L1192" i="8" s="1"/>
  <c r="F1192" i="8"/>
  <c r="E1192" i="8"/>
  <c r="D1192" i="8"/>
  <c r="C1192" i="8"/>
  <c r="B1192" i="8"/>
  <c r="A1192" i="8"/>
  <c r="M1191" i="8"/>
  <c r="L1191" i="8"/>
  <c r="K1191" i="8"/>
  <c r="J1191" i="8"/>
  <c r="I1191" i="8"/>
  <c r="H1191" i="8"/>
  <c r="G1191" i="8"/>
  <c r="F1191" i="8"/>
  <c r="E1191" i="8"/>
  <c r="D1191" i="8"/>
  <c r="C1191" i="8"/>
  <c r="B1191" i="8"/>
  <c r="A1191" i="8"/>
  <c r="M1190" i="8"/>
  <c r="L1190" i="8"/>
  <c r="K1190" i="8"/>
  <c r="J1190" i="8"/>
  <c r="I1190" i="8"/>
  <c r="H1190" i="8"/>
  <c r="G1190" i="8"/>
  <c r="F1190" i="8"/>
  <c r="E1190" i="8"/>
  <c r="D1190" i="8"/>
  <c r="C1190" i="8"/>
  <c r="B1190" i="8"/>
  <c r="A1190" i="8"/>
  <c r="M1189" i="8"/>
  <c r="K1189" i="8"/>
  <c r="J1189" i="8"/>
  <c r="I1189" i="8"/>
  <c r="H1189" i="8"/>
  <c r="G1189" i="8"/>
  <c r="L1189" i="8" s="1"/>
  <c r="F1189" i="8"/>
  <c r="E1189" i="8"/>
  <c r="D1189" i="8"/>
  <c r="C1189" i="8"/>
  <c r="B1189" i="8"/>
  <c r="A1189" i="8"/>
  <c r="M1188" i="8"/>
  <c r="L1188" i="8"/>
  <c r="K1188" i="8"/>
  <c r="J1188" i="8"/>
  <c r="I1188" i="8"/>
  <c r="H1188" i="8"/>
  <c r="G1188" i="8"/>
  <c r="F1188" i="8"/>
  <c r="E1188" i="8"/>
  <c r="D1188" i="8"/>
  <c r="C1188" i="8"/>
  <c r="B1188" i="8"/>
  <c r="A1188" i="8"/>
  <c r="M1187" i="8"/>
  <c r="K1187" i="8"/>
  <c r="J1187" i="8"/>
  <c r="I1187" i="8"/>
  <c r="H1187" i="8"/>
  <c r="G1187" i="8"/>
  <c r="L1187" i="8" s="1"/>
  <c r="F1187" i="8"/>
  <c r="E1187" i="8"/>
  <c r="D1187" i="8"/>
  <c r="C1187" i="8"/>
  <c r="B1187" i="8"/>
  <c r="A1187" i="8"/>
  <c r="M1186" i="8"/>
  <c r="L1186" i="8"/>
  <c r="K1186" i="8"/>
  <c r="J1186" i="8"/>
  <c r="I1186" i="8"/>
  <c r="H1186" i="8"/>
  <c r="G1186" i="8"/>
  <c r="F1186" i="8"/>
  <c r="E1186" i="8"/>
  <c r="D1186" i="8"/>
  <c r="C1186" i="8"/>
  <c r="B1186" i="8"/>
  <c r="A1186" i="8"/>
  <c r="M1185" i="8"/>
  <c r="L1185" i="8"/>
  <c r="K1185" i="8"/>
  <c r="J1185" i="8"/>
  <c r="I1185" i="8"/>
  <c r="H1185" i="8"/>
  <c r="G1185" i="8"/>
  <c r="F1185" i="8"/>
  <c r="E1185" i="8"/>
  <c r="D1185" i="8"/>
  <c r="C1185" i="8"/>
  <c r="B1185" i="8"/>
  <c r="A1185" i="8"/>
  <c r="M1184" i="8"/>
  <c r="K1184" i="8"/>
  <c r="J1184" i="8"/>
  <c r="I1184" i="8"/>
  <c r="H1184" i="8"/>
  <c r="G1184" i="8"/>
  <c r="L1184" i="8" s="1"/>
  <c r="F1184" i="8"/>
  <c r="E1184" i="8"/>
  <c r="D1184" i="8"/>
  <c r="C1184" i="8"/>
  <c r="B1184" i="8"/>
  <c r="A1184" i="8"/>
  <c r="M1183" i="8"/>
  <c r="L1183" i="8"/>
  <c r="K1183" i="8"/>
  <c r="J1183" i="8"/>
  <c r="I1183" i="8"/>
  <c r="H1183" i="8"/>
  <c r="G1183" i="8"/>
  <c r="F1183" i="8"/>
  <c r="E1183" i="8"/>
  <c r="D1183" i="8"/>
  <c r="C1183" i="8"/>
  <c r="B1183" i="8"/>
  <c r="A1183" i="8"/>
  <c r="M1182" i="8"/>
  <c r="L1182" i="8"/>
  <c r="K1182" i="8"/>
  <c r="J1182" i="8"/>
  <c r="I1182" i="8"/>
  <c r="H1182" i="8"/>
  <c r="G1182" i="8"/>
  <c r="F1182" i="8"/>
  <c r="E1182" i="8"/>
  <c r="D1182" i="8"/>
  <c r="C1182" i="8"/>
  <c r="B1182" i="8"/>
  <c r="A1182" i="8"/>
  <c r="M1181" i="8"/>
  <c r="K1181" i="8"/>
  <c r="J1181" i="8"/>
  <c r="I1181" i="8"/>
  <c r="H1181" i="8"/>
  <c r="G1181" i="8"/>
  <c r="L1181" i="8" s="1"/>
  <c r="F1181" i="8"/>
  <c r="E1181" i="8"/>
  <c r="D1181" i="8"/>
  <c r="C1181" i="8"/>
  <c r="B1181" i="8"/>
  <c r="A1181" i="8"/>
  <c r="M1180" i="8"/>
  <c r="L1180" i="8"/>
  <c r="K1180" i="8"/>
  <c r="J1180" i="8"/>
  <c r="I1180" i="8"/>
  <c r="H1180" i="8"/>
  <c r="G1180" i="8"/>
  <c r="F1180" i="8"/>
  <c r="E1180" i="8"/>
  <c r="D1180" i="8"/>
  <c r="C1180" i="8"/>
  <c r="B1180" i="8"/>
  <c r="A1180" i="8"/>
  <c r="M1179" i="8"/>
  <c r="K1179" i="8"/>
  <c r="J1179" i="8"/>
  <c r="I1179" i="8"/>
  <c r="H1179" i="8"/>
  <c r="G1179" i="8"/>
  <c r="L1179" i="8" s="1"/>
  <c r="F1179" i="8"/>
  <c r="E1179" i="8"/>
  <c r="D1179" i="8"/>
  <c r="C1179" i="8"/>
  <c r="B1179" i="8"/>
  <c r="A1179" i="8"/>
  <c r="M1178" i="8"/>
  <c r="L1178" i="8"/>
  <c r="K1178" i="8"/>
  <c r="J1178" i="8"/>
  <c r="I1178" i="8"/>
  <c r="H1178" i="8"/>
  <c r="G1178" i="8"/>
  <c r="F1178" i="8"/>
  <c r="E1178" i="8"/>
  <c r="D1178" i="8"/>
  <c r="C1178" i="8"/>
  <c r="B1178" i="8"/>
  <c r="A1178" i="8"/>
  <c r="M1177" i="8"/>
  <c r="L1177" i="8"/>
  <c r="K1177" i="8"/>
  <c r="J1177" i="8"/>
  <c r="I1177" i="8"/>
  <c r="H1177" i="8"/>
  <c r="G1177" i="8"/>
  <c r="F1177" i="8"/>
  <c r="E1177" i="8"/>
  <c r="D1177" i="8"/>
  <c r="C1177" i="8"/>
  <c r="B1177" i="8"/>
  <c r="A1177" i="8"/>
  <c r="M1176" i="8"/>
  <c r="K1176" i="8"/>
  <c r="J1176" i="8"/>
  <c r="I1176" i="8"/>
  <c r="H1176" i="8"/>
  <c r="G1176" i="8"/>
  <c r="L1176" i="8" s="1"/>
  <c r="F1176" i="8"/>
  <c r="E1176" i="8"/>
  <c r="D1176" i="8"/>
  <c r="C1176" i="8"/>
  <c r="B1176" i="8"/>
  <c r="A1176" i="8"/>
  <c r="M1175" i="8"/>
  <c r="L1175" i="8"/>
  <c r="K1175" i="8"/>
  <c r="J1175" i="8"/>
  <c r="I1175" i="8"/>
  <c r="H1175" i="8"/>
  <c r="G1175" i="8"/>
  <c r="F1175" i="8"/>
  <c r="E1175" i="8"/>
  <c r="D1175" i="8"/>
  <c r="C1175" i="8"/>
  <c r="B1175" i="8"/>
  <c r="A1175" i="8"/>
  <c r="M1174" i="8"/>
  <c r="L1174" i="8"/>
  <c r="K1174" i="8"/>
  <c r="J1174" i="8"/>
  <c r="I1174" i="8"/>
  <c r="H1174" i="8"/>
  <c r="G1174" i="8"/>
  <c r="F1174" i="8"/>
  <c r="E1174" i="8"/>
  <c r="D1174" i="8"/>
  <c r="C1174" i="8"/>
  <c r="B1174" i="8"/>
  <c r="A1174" i="8"/>
  <c r="M1173" i="8"/>
  <c r="K1173" i="8"/>
  <c r="J1173" i="8"/>
  <c r="I1173" i="8"/>
  <c r="H1173" i="8"/>
  <c r="G1173" i="8"/>
  <c r="L1173" i="8" s="1"/>
  <c r="F1173" i="8"/>
  <c r="E1173" i="8"/>
  <c r="D1173" i="8"/>
  <c r="C1173" i="8"/>
  <c r="B1173" i="8"/>
  <c r="A1173" i="8"/>
  <c r="M1172" i="8"/>
  <c r="L1172" i="8"/>
  <c r="K1172" i="8"/>
  <c r="J1172" i="8"/>
  <c r="I1172" i="8"/>
  <c r="H1172" i="8"/>
  <c r="G1172" i="8"/>
  <c r="F1172" i="8"/>
  <c r="E1172" i="8"/>
  <c r="D1172" i="8"/>
  <c r="C1172" i="8"/>
  <c r="B1172" i="8"/>
  <c r="A1172" i="8"/>
  <c r="M1171" i="8"/>
  <c r="K1171" i="8"/>
  <c r="J1171" i="8"/>
  <c r="I1171" i="8"/>
  <c r="H1171" i="8"/>
  <c r="G1171" i="8"/>
  <c r="L1171" i="8" s="1"/>
  <c r="F1171" i="8"/>
  <c r="E1171" i="8"/>
  <c r="D1171" i="8"/>
  <c r="C1171" i="8"/>
  <c r="B1171" i="8"/>
  <c r="A1171" i="8"/>
  <c r="M1170" i="8"/>
  <c r="L1170" i="8"/>
  <c r="K1170" i="8"/>
  <c r="J1170" i="8"/>
  <c r="I1170" i="8"/>
  <c r="H1170" i="8"/>
  <c r="G1170" i="8"/>
  <c r="F1170" i="8"/>
  <c r="E1170" i="8"/>
  <c r="D1170" i="8"/>
  <c r="C1170" i="8"/>
  <c r="B1170" i="8"/>
  <c r="A1170" i="8"/>
  <c r="M1169" i="8"/>
  <c r="L1169" i="8"/>
  <c r="K1169" i="8"/>
  <c r="J1169" i="8"/>
  <c r="I1169" i="8"/>
  <c r="H1169" i="8"/>
  <c r="G1169" i="8"/>
  <c r="F1169" i="8"/>
  <c r="E1169" i="8"/>
  <c r="D1169" i="8"/>
  <c r="C1169" i="8"/>
  <c r="B1169" i="8"/>
  <c r="A1169" i="8"/>
  <c r="M1168" i="8"/>
  <c r="K1168" i="8"/>
  <c r="J1168" i="8"/>
  <c r="I1168" i="8"/>
  <c r="H1168" i="8"/>
  <c r="G1168" i="8"/>
  <c r="L1168" i="8" s="1"/>
  <c r="F1168" i="8"/>
  <c r="E1168" i="8"/>
  <c r="D1168" i="8"/>
  <c r="C1168" i="8"/>
  <c r="B1168" i="8"/>
  <c r="A1168" i="8"/>
  <c r="M1167" i="8"/>
  <c r="L1167" i="8"/>
  <c r="K1167" i="8"/>
  <c r="J1167" i="8"/>
  <c r="I1167" i="8"/>
  <c r="H1167" i="8"/>
  <c r="G1167" i="8"/>
  <c r="F1167" i="8"/>
  <c r="E1167" i="8"/>
  <c r="D1167" i="8"/>
  <c r="C1167" i="8"/>
  <c r="B1167" i="8"/>
  <c r="A1167" i="8"/>
  <c r="M1166" i="8"/>
  <c r="L1166" i="8"/>
  <c r="K1166" i="8"/>
  <c r="J1166" i="8"/>
  <c r="I1166" i="8"/>
  <c r="H1166" i="8"/>
  <c r="G1166" i="8"/>
  <c r="F1166" i="8"/>
  <c r="E1166" i="8"/>
  <c r="D1166" i="8"/>
  <c r="C1166" i="8"/>
  <c r="B1166" i="8"/>
  <c r="A1166" i="8"/>
  <c r="M1165" i="8"/>
  <c r="K1165" i="8"/>
  <c r="J1165" i="8"/>
  <c r="I1165" i="8"/>
  <c r="H1165" i="8"/>
  <c r="G1165" i="8"/>
  <c r="L1165" i="8" s="1"/>
  <c r="F1165" i="8"/>
  <c r="E1165" i="8"/>
  <c r="D1165" i="8"/>
  <c r="C1165" i="8"/>
  <c r="B1165" i="8"/>
  <c r="A1165" i="8"/>
  <c r="M1164" i="8"/>
  <c r="L1164" i="8"/>
  <c r="K1164" i="8"/>
  <c r="J1164" i="8"/>
  <c r="I1164" i="8"/>
  <c r="H1164" i="8"/>
  <c r="G1164" i="8"/>
  <c r="F1164" i="8"/>
  <c r="E1164" i="8"/>
  <c r="D1164" i="8"/>
  <c r="C1164" i="8"/>
  <c r="B1164" i="8"/>
  <c r="A1164" i="8"/>
  <c r="M1163" i="8"/>
  <c r="K1163" i="8"/>
  <c r="J1163" i="8"/>
  <c r="I1163" i="8"/>
  <c r="H1163" i="8"/>
  <c r="G1163" i="8"/>
  <c r="L1163" i="8" s="1"/>
  <c r="F1163" i="8"/>
  <c r="E1163" i="8"/>
  <c r="D1163" i="8"/>
  <c r="C1163" i="8"/>
  <c r="B1163" i="8"/>
  <c r="A1163" i="8"/>
  <c r="M1162" i="8"/>
  <c r="L1162" i="8"/>
  <c r="K1162" i="8"/>
  <c r="J1162" i="8"/>
  <c r="I1162" i="8"/>
  <c r="H1162" i="8"/>
  <c r="G1162" i="8"/>
  <c r="F1162" i="8"/>
  <c r="E1162" i="8"/>
  <c r="D1162" i="8"/>
  <c r="C1162" i="8"/>
  <c r="B1162" i="8"/>
  <c r="A1162" i="8"/>
  <c r="M1161" i="8"/>
  <c r="L1161" i="8"/>
  <c r="K1161" i="8"/>
  <c r="J1161" i="8"/>
  <c r="I1161" i="8"/>
  <c r="H1161" i="8"/>
  <c r="G1161" i="8"/>
  <c r="F1161" i="8"/>
  <c r="E1161" i="8"/>
  <c r="D1161" i="8"/>
  <c r="C1161" i="8"/>
  <c r="B1161" i="8"/>
  <c r="A1161" i="8"/>
  <c r="M1160" i="8"/>
  <c r="K1160" i="8"/>
  <c r="J1160" i="8"/>
  <c r="I1160" i="8"/>
  <c r="H1160" i="8"/>
  <c r="G1160" i="8"/>
  <c r="L1160" i="8" s="1"/>
  <c r="F1160" i="8"/>
  <c r="E1160" i="8"/>
  <c r="D1160" i="8"/>
  <c r="C1160" i="8"/>
  <c r="B1160" i="8"/>
  <c r="A1160" i="8"/>
  <c r="M1159" i="8"/>
  <c r="L1159" i="8"/>
  <c r="K1159" i="8"/>
  <c r="J1159" i="8"/>
  <c r="I1159" i="8"/>
  <c r="H1159" i="8"/>
  <c r="G1159" i="8"/>
  <c r="F1159" i="8"/>
  <c r="E1159" i="8"/>
  <c r="D1159" i="8"/>
  <c r="C1159" i="8"/>
  <c r="B1159" i="8"/>
  <c r="A1159" i="8"/>
  <c r="M1158" i="8"/>
  <c r="L1158" i="8"/>
  <c r="K1158" i="8"/>
  <c r="J1158" i="8"/>
  <c r="I1158" i="8"/>
  <c r="H1158" i="8"/>
  <c r="G1158" i="8"/>
  <c r="F1158" i="8"/>
  <c r="E1158" i="8"/>
  <c r="D1158" i="8"/>
  <c r="C1158" i="8"/>
  <c r="B1158" i="8"/>
  <c r="A1158" i="8"/>
  <c r="M1157" i="8"/>
  <c r="K1157" i="8"/>
  <c r="J1157" i="8"/>
  <c r="I1157" i="8"/>
  <c r="H1157" i="8"/>
  <c r="G1157" i="8"/>
  <c r="L1157" i="8" s="1"/>
  <c r="F1157" i="8"/>
  <c r="E1157" i="8"/>
  <c r="D1157" i="8"/>
  <c r="C1157" i="8"/>
  <c r="B1157" i="8"/>
  <c r="A1157" i="8"/>
  <c r="M1156" i="8"/>
  <c r="L1156" i="8"/>
  <c r="K1156" i="8"/>
  <c r="J1156" i="8"/>
  <c r="I1156" i="8"/>
  <c r="H1156" i="8"/>
  <c r="G1156" i="8"/>
  <c r="F1156" i="8"/>
  <c r="E1156" i="8"/>
  <c r="D1156" i="8"/>
  <c r="C1156" i="8"/>
  <c r="B1156" i="8"/>
  <c r="A1156" i="8"/>
  <c r="M1155" i="8"/>
  <c r="K1155" i="8"/>
  <c r="J1155" i="8"/>
  <c r="I1155" i="8"/>
  <c r="H1155" i="8"/>
  <c r="G1155" i="8"/>
  <c r="L1155" i="8" s="1"/>
  <c r="F1155" i="8"/>
  <c r="E1155" i="8"/>
  <c r="D1155" i="8"/>
  <c r="C1155" i="8"/>
  <c r="B1155" i="8"/>
  <c r="A1155" i="8"/>
  <c r="M1154" i="8"/>
  <c r="L1154" i="8"/>
  <c r="K1154" i="8"/>
  <c r="J1154" i="8"/>
  <c r="I1154" i="8"/>
  <c r="H1154" i="8"/>
  <c r="G1154" i="8"/>
  <c r="F1154" i="8"/>
  <c r="E1154" i="8"/>
  <c r="D1154" i="8"/>
  <c r="C1154" i="8"/>
  <c r="B1154" i="8"/>
  <c r="A1154" i="8"/>
  <c r="M1153" i="8"/>
  <c r="L1153" i="8"/>
  <c r="K1153" i="8"/>
  <c r="J1153" i="8"/>
  <c r="I1153" i="8"/>
  <c r="H1153" i="8"/>
  <c r="G1153" i="8"/>
  <c r="F1153" i="8"/>
  <c r="E1153" i="8"/>
  <c r="D1153" i="8"/>
  <c r="C1153" i="8"/>
  <c r="B1153" i="8"/>
  <c r="A1153" i="8"/>
  <c r="M1152" i="8"/>
  <c r="K1152" i="8"/>
  <c r="J1152" i="8"/>
  <c r="I1152" i="8"/>
  <c r="H1152" i="8"/>
  <c r="G1152" i="8"/>
  <c r="L1152" i="8" s="1"/>
  <c r="F1152" i="8"/>
  <c r="E1152" i="8"/>
  <c r="D1152" i="8"/>
  <c r="C1152" i="8"/>
  <c r="B1152" i="8"/>
  <c r="A1152" i="8"/>
  <c r="M1151" i="8"/>
  <c r="L1151" i="8"/>
  <c r="K1151" i="8"/>
  <c r="J1151" i="8"/>
  <c r="I1151" i="8"/>
  <c r="H1151" i="8"/>
  <c r="G1151" i="8"/>
  <c r="F1151" i="8"/>
  <c r="E1151" i="8"/>
  <c r="D1151" i="8"/>
  <c r="C1151" i="8"/>
  <c r="B1151" i="8"/>
  <c r="A1151" i="8"/>
  <c r="M1150" i="8"/>
  <c r="L1150" i="8"/>
  <c r="K1150" i="8"/>
  <c r="J1150" i="8"/>
  <c r="I1150" i="8"/>
  <c r="H1150" i="8"/>
  <c r="G1150" i="8"/>
  <c r="F1150" i="8"/>
  <c r="E1150" i="8"/>
  <c r="D1150" i="8"/>
  <c r="C1150" i="8"/>
  <c r="B1150" i="8"/>
  <c r="A1150" i="8"/>
  <c r="M1149" i="8"/>
  <c r="K1149" i="8"/>
  <c r="J1149" i="8"/>
  <c r="I1149" i="8"/>
  <c r="H1149" i="8"/>
  <c r="G1149" i="8"/>
  <c r="L1149" i="8" s="1"/>
  <c r="F1149" i="8"/>
  <c r="E1149" i="8"/>
  <c r="D1149" i="8"/>
  <c r="C1149" i="8"/>
  <c r="B1149" i="8"/>
  <c r="A1149" i="8"/>
  <c r="M1148" i="8"/>
  <c r="L1148" i="8"/>
  <c r="K1148" i="8"/>
  <c r="J1148" i="8"/>
  <c r="I1148" i="8"/>
  <c r="H1148" i="8"/>
  <c r="G1148" i="8"/>
  <c r="F1148" i="8"/>
  <c r="E1148" i="8"/>
  <c r="D1148" i="8"/>
  <c r="C1148" i="8"/>
  <c r="B1148" i="8"/>
  <c r="A1148" i="8"/>
  <c r="M1147" i="8"/>
  <c r="K1147" i="8"/>
  <c r="J1147" i="8"/>
  <c r="I1147" i="8"/>
  <c r="H1147" i="8"/>
  <c r="G1147" i="8"/>
  <c r="L1147" i="8" s="1"/>
  <c r="F1147" i="8"/>
  <c r="E1147" i="8"/>
  <c r="D1147" i="8"/>
  <c r="C1147" i="8"/>
  <c r="B1147" i="8"/>
  <c r="A1147" i="8"/>
  <c r="M1146" i="8"/>
  <c r="L1146" i="8"/>
  <c r="K1146" i="8"/>
  <c r="J1146" i="8"/>
  <c r="I1146" i="8"/>
  <c r="H1146" i="8"/>
  <c r="G1146" i="8"/>
  <c r="F1146" i="8"/>
  <c r="E1146" i="8"/>
  <c r="D1146" i="8"/>
  <c r="C1146" i="8"/>
  <c r="B1146" i="8"/>
  <c r="A1146" i="8"/>
  <c r="M1145" i="8"/>
  <c r="L1145" i="8"/>
  <c r="K1145" i="8"/>
  <c r="J1145" i="8"/>
  <c r="I1145" i="8"/>
  <c r="H1145" i="8"/>
  <c r="G1145" i="8"/>
  <c r="F1145" i="8"/>
  <c r="E1145" i="8"/>
  <c r="D1145" i="8"/>
  <c r="C1145" i="8"/>
  <c r="B1145" i="8"/>
  <c r="A1145" i="8"/>
  <c r="M1144" i="8"/>
  <c r="K1144" i="8"/>
  <c r="J1144" i="8"/>
  <c r="I1144" i="8"/>
  <c r="H1144" i="8"/>
  <c r="G1144" i="8"/>
  <c r="L1144" i="8" s="1"/>
  <c r="F1144" i="8"/>
  <c r="E1144" i="8"/>
  <c r="D1144" i="8"/>
  <c r="C1144" i="8"/>
  <c r="B1144" i="8"/>
  <c r="A1144" i="8"/>
  <c r="M1143" i="8"/>
  <c r="L1143" i="8"/>
  <c r="K1143" i="8"/>
  <c r="J1143" i="8"/>
  <c r="I1143" i="8"/>
  <c r="H1143" i="8"/>
  <c r="G1143" i="8"/>
  <c r="F1143" i="8"/>
  <c r="E1143" i="8"/>
  <c r="D1143" i="8"/>
  <c r="C1143" i="8"/>
  <c r="B1143" i="8"/>
  <c r="A1143" i="8"/>
  <c r="M1142" i="8"/>
  <c r="L1142" i="8"/>
  <c r="K1142" i="8"/>
  <c r="J1142" i="8"/>
  <c r="I1142" i="8"/>
  <c r="H1142" i="8"/>
  <c r="G1142" i="8"/>
  <c r="F1142" i="8"/>
  <c r="E1142" i="8"/>
  <c r="D1142" i="8"/>
  <c r="C1142" i="8"/>
  <c r="B1142" i="8"/>
  <c r="A1142" i="8"/>
  <c r="M1141" i="8"/>
  <c r="K1141" i="8"/>
  <c r="J1141" i="8"/>
  <c r="I1141" i="8"/>
  <c r="H1141" i="8"/>
  <c r="G1141" i="8"/>
  <c r="L1141" i="8" s="1"/>
  <c r="F1141" i="8"/>
  <c r="E1141" i="8"/>
  <c r="D1141" i="8"/>
  <c r="C1141" i="8"/>
  <c r="B1141" i="8"/>
  <c r="A1141" i="8"/>
  <c r="M1140" i="8"/>
  <c r="L1140" i="8"/>
  <c r="K1140" i="8"/>
  <c r="J1140" i="8"/>
  <c r="I1140" i="8"/>
  <c r="H1140" i="8"/>
  <c r="G1140" i="8"/>
  <c r="F1140" i="8"/>
  <c r="E1140" i="8"/>
  <c r="D1140" i="8"/>
  <c r="C1140" i="8"/>
  <c r="B1140" i="8"/>
  <c r="A1140" i="8"/>
  <c r="M1139" i="8"/>
  <c r="K1139" i="8"/>
  <c r="J1139" i="8"/>
  <c r="I1139" i="8"/>
  <c r="H1139" i="8"/>
  <c r="G1139" i="8"/>
  <c r="L1139" i="8" s="1"/>
  <c r="F1139" i="8"/>
  <c r="E1139" i="8"/>
  <c r="D1139" i="8"/>
  <c r="C1139" i="8"/>
  <c r="B1139" i="8"/>
  <c r="A1139" i="8"/>
  <c r="M1138" i="8"/>
  <c r="L1138" i="8"/>
  <c r="K1138" i="8"/>
  <c r="J1138" i="8"/>
  <c r="I1138" i="8"/>
  <c r="H1138" i="8"/>
  <c r="G1138" i="8"/>
  <c r="F1138" i="8"/>
  <c r="E1138" i="8"/>
  <c r="D1138" i="8"/>
  <c r="C1138" i="8"/>
  <c r="B1138" i="8"/>
  <c r="A1138" i="8"/>
  <c r="M1137" i="8"/>
  <c r="L1137" i="8"/>
  <c r="K1137" i="8"/>
  <c r="J1137" i="8"/>
  <c r="I1137" i="8"/>
  <c r="H1137" i="8"/>
  <c r="G1137" i="8"/>
  <c r="F1137" i="8"/>
  <c r="E1137" i="8"/>
  <c r="D1137" i="8"/>
  <c r="C1137" i="8"/>
  <c r="B1137" i="8"/>
  <c r="A1137" i="8"/>
  <c r="M1136" i="8"/>
  <c r="K1136" i="8"/>
  <c r="J1136" i="8"/>
  <c r="I1136" i="8"/>
  <c r="H1136" i="8"/>
  <c r="G1136" i="8"/>
  <c r="L1136" i="8" s="1"/>
  <c r="F1136" i="8"/>
  <c r="E1136" i="8"/>
  <c r="D1136" i="8"/>
  <c r="C1136" i="8"/>
  <c r="B1136" i="8"/>
  <c r="A1136" i="8"/>
  <c r="M1135" i="8"/>
  <c r="L1135" i="8"/>
  <c r="K1135" i="8"/>
  <c r="J1135" i="8"/>
  <c r="I1135" i="8"/>
  <c r="H1135" i="8"/>
  <c r="G1135" i="8"/>
  <c r="F1135" i="8"/>
  <c r="E1135" i="8"/>
  <c r="D1135" i="8"/>
  <c r="C1135" i="8"/>
  <c r="B1135" i="8"/>
  <c r="A1135" i="8"/>
  <c r="M1134" i="8"/>
  <c r="L1134" i="8"/>
  <c r="K1134" i="8"/>
  <c r="J1134" i="8"/>
  <c r="I1134" i="8"/>
  <c r="H1134" i="8"/>
  <c r="G1134" i="8"/>
  <c r="F1134" i="8"/>
  <c r="E1134" i="8"/>
  <c r="D1134" i="8"/>
  <c r="C1134" i="8"/>
  <c r="B1134" i="8"/>
  <c r="A1134" i="8"/>
  <c r="M1133" i="8"/>
  <c r="K1133" i="8"/>
  <c r="J1133" i="8"/>
  <c r="I1133" i="8"/>
  <c r="H1133" i="8"/>
  <c r="G1133" i="8"/>
  <c r="L1133" i="8" s="1"/>
  <c r="F1133" i="8"/>
  <c r="E1133" i="8"/>
  <c r="D1133" i="8"/>
  <c r="C1133" i="8"/>
  <c r="B1133" i="8"/>
  <c r="A1133" i="8"/>
  <c r="M1132" i="8"/>
  <c r="L1132" i="8"/>
  <c r="K1132" i="8"/>
  <c r="J1132" i="8"/>
  <c r="I1132" i="8"/>
  <c r="H1132" i="8"/>
  <c r="G1132" i="8"/>
  <c r="F1132" i="8"/>
  <c r="E1132" i="8"/>
  <c r="D1132" i="8"/>
  <c r="C1132" i="8"/>
  <c r="B1132" i="8"/>
  <c r="A1132" i="8"/>
  <c r="M1131" i="8"/>
  <c r="K1131" i="8"/>
  <c r="J1131" i="8"/>
  <c r="I1131" i="8"/>
  <c r="H1131" i="8"/>
  <c r="G1131" i="8"/>
  <c r="L1131" i="8" s="1"/>
  <c r="F1131" i="8"/>
  <c r="E1131" i="8"/>
  <c r="D1131" i="8"/>
  <c r="C1131" i="8"/>
  <c r="B1131" i="8"/>
  <c r="A1131" i="8"/>
  <c r="M1130" i="8"/>
  <c r="L1130" i="8"/>
  <c r="K1130" i="8"/>
  <c r="J1130" i="8"/>
  <c r="I1130" i="8"/>
  <c r="H1130" i="8"/>
  <c r="G1130" i="8"/>
  <c r="F1130" i="8"/>
  <c r="E1130" i="8"/>
  <c r="D1130" i="8"/>
  <c r="C1130" i="8"/>
  <c r="B1130" i="8"/>
  <c r="A1130" i="8"/>
  <c r="M1129" i="8"/>
  <c r="L1129" i="8"/>
  <c r="K1129" i="8"/>
  <c r="J1129" i="8"/>
  <c r="I1129" i="8"/>
  <c r="H1129" i="8"/>
  <c r="G1129" i="8"/>
  <c r="F1129" i="8"/>
  <c r="E1129" i="8"/>
  <c r="D1129" i="8"/>
  <c r="C1129" i="8"/>
  <c r="B1129" i="8"/>
  <c r="A1129" i="8"/>
  <c r="M1128" i="8"/>
  <c r="K1128" i="8"/>
  <c r="J1128" i="8"/>
  <c r="I1128" i="8"/>
  <c r="H1128" i="8"/>
  <c r="G1128" i="8"/>
  <c r="L1128" i="8" s="1"/>
  <c r="F1128" i="8"/>
  <c r="E1128" i="8"/>
  <c r="D1128" i="8"/>
  <c r="C1128" i="8"/>
  <c r="B1128" i="8"/>
  <c r="A1128" i="8"/>
  <c r="M1127" i="8"/>
  <c r="L1127" i="8"/>
  <c r="K1127" i="8"/>
  <c r="J1127" i="8"/>
  <c r="I1127" i="8"/>
  <c r="H1127" i="8"/>
  <c r="G1127" i="8"/>
  <c r="F1127" i="8"/>
  <c r="E1127" i="8"/>
  <c r="D1127" i="8"/>
  <c r="C1127" i="8"/>
  <c r="B1127" i="8"/>
  <c r="A1127" i="8"/>
  <c r="M1126" i="8"/>
  <c r="L1126" i="8"/>
  <c r="K1126" i="8"/>
  <c r="J1126" i="8"/>
  <c r="I1126" i="8"/>
  <c r="H1126" i="8"/>
  <c r="G1126" i="8"/>
  <c r="F1126" i="8"/>
  <c r="E1126" i="8"/>
  <c r="D1126" i="8"/>
  <c r="C1126" i="8"/>
  <c r="B1126" i="8"/>
  <c r="A1126" i="8"/>
  <c r="M1125" i="8"/>
  <c r="K1125" i="8"/>
  <c r="J1125" i="8"/>
  <c r="I1125" i="8"/>
  <c r="H1125" i="8"/>
  <c r="G1125" i="8"/>
  <c r="L1125" i="8" s="1"/>
  <c r="F1125" i="8"/>
  <c r="E1125" i="8"/>
  <c r="D1125" i="8"/>
  <c r="C1125" i="8"/>
  <c r="B1125" i="8"/>
  <c r="A1125" i="8"/>
  <c r="M1124" i="8"/>
  <c r="L1124" i="8"/>
  <c r="K1124" i="8"/>
  <c r="J1124" i="8"/>
  <c r="I1124" i="8"/>
  <c r="H1124" i="8"/>
  <c r="G1124" i="8"/>
  <c r="F1124" i="8"/>
  <c r="E1124" i="8"/>
  <c r="D1124" i="8"/>
  <c r="C1124" i="8"/>
  <c r="B1124" i="8"/>
  <c r="A1124" i="8"/>
  <c r="M1123" i="8"/>
  <c r="K1123" i="8"/>
  <c r="J1123" i="8"/>
  <c r="I1123" i="8"/>
  <c r="H1123" i="8"/>
  <c r="G1123" i="8"/>
  <c r="L1123" i="8" s="1"/>
  <c r="F1123" i="8"/>
  <c r="E1123" i="8"/>
  <c r="D1123" i="8"/>
  <c r="C1123" i="8"/>
  <c r="B1123" i="8"/>
  <c r="A1123" i="8"/>
  <c r="M1122" i="8"/>
  <c r="L1122" i="8"/>
  <c r="K1122" i="8"/>
  <c r="J1122" i="8"/>
  <c r="I1122" i="8"/>
  <c r="H1122" i="8"/>
  <c r="G1122" i="8"/>
  <c r="F1122" i="8"/>
  <c r="E1122" i="8"/>
  <c r="D1122" i="8"/>
  <c r="C1122" i="8"/>
  <c r="B1122" i="8"/>
  <c r="A1122" i="8"/>
  <c r="M1121" i="8"/>
  <c r="L1121" i="8"/>
  <c r="K1121" i="8"/>
  <c r="J1121" i="8"/>
  <c r="I1121" i="8"/>
  <c r="H1121" i="8"/>
  <c r="G1121" i="8"/>
  <c r="F1121" i="8"/>
  <c r="E1121" i="8"/>
  <c r="D1121" i="8"/>
  <c r="C1121" i="8"/>
  <c r="B1121" i="8"/>
  <c r="A1121" i="8"/>
  <c r="M1120" i="8"/>
  <c r="K1120" i="8"/>
  <c r="J1120" i="8"/>
  <c r="I1120" i="8"/>
  <c r="H1120" i="8"/>
  <c r="G1120" i="8"/>
  <c r="L1120" i="8" s="1"/>
  <c r="F1120" i="8"/>
  <c r="E1120" i="8"/>
  <c r="D1120" i="8"/>
  <c r="C1120" i="8"/>
  <c r="B1120" i="8"/>
  <c r="A1120" i="8"/>
  <c r="M1119" i="8"/>
  <c r="L1119" i="8"/>
  <c r="K1119" i="8"/>
  <c r="J1119" i="8"/>
  <c r="I1119" i="8"/>
  <c r="H1119" i="8"/>
  <c r="G1119" i="8"/>
  <c r="F1119" i="8"/>
  <c r="E1119" i="8"/>
  <c r="D1119" i="8"/>
  <c r="C1119" i="8"/>
  <c r="B1119" i="8"/>
  <c r="A1119" i="8"/>
  <c r="M1118" i="8"/>
  <c r="L1118" i="8"/>
  <c r="K1118" i="8"/>
  <c r="J1118" i="8"/>
  <c r="I1118" i="8"/>
  <c r="H1118" i="8"/>
  <c r="G1118" i="8"/>
  <c r="F1118" i="8"/>
  <c r="E1118" i="8"/>
  <c r="D1118" i="8"/>
  <c r="C1118" i="8"/>
  <c r="B1118" i="8"/>
  <c r="A1118" i="8"/>
  <c r="M1117" i="8"/>
  <c r="K1117" i="8"/>
  <c r="J1117" i="8"/>
  <c r="I1117" i="8"/>
  <c r="H1117" i="8"/>
  <c r="G1117" i="8"/>
  <c r="L1117" i="8" s="1"/>
  <c r="F1117" i="8"/>
  <c r="E1117" i="8"/>
  <c r="D1117" i="8"/>
  <c r="C1117" i="8"/>
  <c r="B1117" i="8"/>
  <c r="A1117" i="8"/>
  <c r="M1116" i="8"/>
  <c r="L1116" i="8"/>
  <c r="K1116" i="8"/>
  <c r="J1116" i="8"/>
  <c r="I1116" i="8"/>
  <c r="H1116" i="8"/>
  <c r="G1116" i="8"/>
  <c r="F1116" i="8"/>
  <c r="E1116" i="8"/>
  <c r="D1116" i="8"/>
  <c r="C1116" i="8"/>
  <c r="B1116" i="8"/>
  <c r="A1116" i="8"/>
  <c r="M1115" i="8"/>
  <c r="K1115" i="8"/>
  <c r="J1115" i="8"/>
  <c r="I1115" i="8"/>
  <c r="H1115" i="8"/>
  <c r="G1115" i="8"/>
  <c r="L1115" i="8" s="1"/>
  <c r="F1115" i="8"/>
  <c r="E1115" i="8"/>
  <c r="D1115" i="8"/>
  <c r="C1115" i="8"/>
  <c r="B1115" i="8"/>
  <c r="A1115" i="8"/>
  <c r="M1114" i="8"/>
  <c r="L1114" i="8"/>
  <c r="K1114" i="8"/>
  <c r="J1114" i="8"/>
  <c r="I1114" i="8"/>
  <c r="H1114" i="8"/>
  <c r="G1114" i="8"/>
  <c r="F1114" i="8"/>
  <c r="E1114" i="8"/>
  <c r="D1114" i="8"/>
  <c r="C1114" i="8"/>
  <c r="B1114" i="8"/>
  <c r="A1114" i="8"/>
  <c r="M1113" i="8"/>
  <c r="L1113" i="8"/>
  <c r="K1113" i="8"/>
  <c r="J1113" i="8"/>
  <c r="I1113" i="8"/>
  <c r="H1113" i="8"/>
  <c r="G1113" i="8"/>
  <c r="F1113" i="8"/>
  <c r="E1113" i="8"/>
  <c r="D1113" i="8"/>
  <c r="C1113" i="8"/>
  <c r="B1113" i="8"/>
  <c r="A1113" i="8"/>
  <c r="M1112" i="8"/>
  <c r="K1112" i="8"/>
  <c r="J1112" i="8"/>
  <c r="I1112" i="8"/>
  <c r="H1112" i="8"/>
  <c r="G1112" i="8"/>
  <c r="L1112" i="8" s="1"/>
  <c r="F1112" i="8"/>
  <c r="E1112" i="8"/>
  <c r="D1112" i="8"/>
  <c r="C1112" i="8"/>
  <c r="B1112" i="8"/>
  <c r="A1112" i="8"/>
  <c r="M1111" i="8"/>
  <c r="L1111" i="8"/>
  <c r="K1111" i="8"/>
  <c r="J1111" i="8"/>
  <c r="I1111" i="8"/>
  <c r="H1111" i="8"/>
  <c r="G1111" i="8"/>
  <c r="F1111" i="8"/>
  <c r="E1111" i="8"/>
  <c r="D1111" i="8"/>
  <c r="C1111" i="8"/>
  <c r="B1111" i="8"/>
  <c r="A1111" i="8"/>
  <c r="M1110" i="8"/>
  <c r="L1110" i="8"/>
  <c r="K1110" i="8"/>
  <c r="J1110" i="8"/>
  <c r="I1110" i="8"/>
  <c r="H1110" i="8"/>
  <c r="G1110" i="8"/>
  <c r="F1110" i="8"/>
  <c r="E1110" i="8"/>
  <c r="D1110" i="8"/>
  <c r="C1110" i="8"/>
  <c r="B1110" i="8"/>
  <c r="A1110" i="8"/>
  <c r="M1109" i="8"/>
  <c r="K1109" i="8"/>
  <c r="J1109" i="8"/>
  <c r="I1109" i="8"/>
  <c r="H1109" i="8"/>
  <c r="G1109" i="8"/>
  <c r="L1109" i="8" s="1"/>
  <c r="F1109" i="8"/>
  <c r="E1109" i="8"/>
  <c r="D1109" i="8"/>
  <c r="C1109" i="8"/>
  <c r="B1109" i="8"/>
  <c r="A1109" i="8"/>
  <c r="M1108" i="8"/>
  <c r="L1108" i="8"/>
  <c r="K1108" i="8"/>
  <c r="J1108" i="8"/>
  <c r="I1108" i="8"/>
  <c r="H1108" i="8"/>
  <c r="G1108" i="8"/>
  <c r="F1108" i="8"/>
  <c r="E1108" i="8"/>
  <c r="D1108" i="8"/>
  <c r="C1108" i="8"/>
  <c r="B1108" i="8"/>
  <c r="A1108" i="8"/>
  <c r="M1107" i="8"/>
  <c r="K1107" i="8"/>
  <c r="J1107" i="8"/>
  <c r="I1107" i="8"/>
  <c r="H1107" i="8"/>
  <c r="G1107" i="8"/>
  <c r="L1107" i="8" s="1"/>
  <c r="F1107" i="8"/>
  <c r="E1107" i="8"/>
  <c r="D1107" i="8"/>
  <c r="C1107" i="8"/>
  <c r="B1107" i="8"/>
  <c r="A1107" i="8"/>
  <c r="M1106" i="8"/>
  <c r="L1106" i="8"/>
  <c r="K1106" i="8"/>
  <c r="J1106" i="8"/>
  <c r="I1106" i="8"/>
  <c r="H1106" i="8"/>
  <c r="G1106" i="8"/>
  <c r="F1106" i="8"/>
  <c r="E1106" i="8"/>
  <c r="D1106" i="8"/>
  <c r="C1106" i="8"/>
  <c r="B1106" i="8"/>
  <c r="A1106" i="8"/>
  <c r="M1105" i="8"/>
  <c r="L1105" i="8"/>
  <c r="K1105" i="8"/>
  <c r="J1105" i="8"/>
  <c r="I1105" i="8"/>
  <c r="H1105" i="8"/>
  <c r="G1105" i="8"/>
  <c r="F1105" i="8"/>
  <c r="E1105" i="8"/>
  <c r="D1105" i="8"/>
  <c r="C1105" i="8"/>
  <c r="B1105" i="8"/>
  <c r="A1105" i="8"/>
  <c r="M1104" i="8"/>
  <c r="K1104" i="8"/>
  <c r="J1104" i="8"/>
  <c r="I1104" i="8"/>
  <c r="H1104" i="8"/>
  <c r="G1104" i="8"/>
  <c r="L1104" i="8" s="1"/>
  <c r="F1104" i="8"/>
  <c r="E1104" i="8"/>
  <c r="D1104" i="8"/>
  <c r="C1104" i="8"/>
  <c r="B1104" i="8"/>
  <c r="A1104" i="8"/>
  <c r="M1103" i="8"/>
  <c r="L1103" i="8"/>
  <c r="K1103" i="8"/>
  <c r="J1103" i="8"/>
  <c r="I1103" i="8"/>
  <c r="H1103" i="8"/>
  <c r="G1103" i="8"/>
  <c r="F1103" i="8"/>
  <c r="E1103" i="8"/>
  <c r="D1103" i="8"/>
  <c r="C1103" i="8"/>
  <c r="B1103" i="8"/>
  <c r="A1103" i="8"/>
  <c r="M1102" i="8"/>
  <c r="L1102" i="8"/>
  <c r="K1102" i="8"/>
  <c r="J1102" i="8"/>
  <c r="I1102" i="8"/>
  <c r="H1102" i="8"/>
  <c r="G1102" i="8"/>
  <c r="F1102" i="8"/>
  <c r="E1102" i="8"/>
  <c r="D1102" i="8"/>
  <c r="C1102" i="8"/>
  <c r="B1102" i="8"/>
  <c r="A1102" i="8"/>
  <c r="M1101" i="8"/>
  <c r="K1101" i="8"/>
  <c r="J1101" i="8"/>
  <c r="I1101" i="8"/>
  <c r="H1101" i="8"/>
  <c r="G1101" i="8"/>
  <c r="L1101" i="8" s="1"/>
  <c r="F1101" i="8"/>
  <c r="E1101" i="8"/>
  <c r="D1101" i="8"/>
  <c r="C1101" i="8"/>
  <c r="B1101" i="8"/>
  <c r="A1101" i="8"/>
  <c r="M1100" i="8"/>
  <c r="L1100" i="8"/>
  <c r="K1100" i="8"/>
  <c r="J1100" i="8"/>
  <c r="I1100" i="8"/>
  <c r="H1100" i="8"/>
  <c r="G1100" i="8"/>
  <c r="F1100" i="8"/>
  <c r="E1100" i="8"/>
  <c r="D1100" i="8"/>
  <c r="C1100" i="8"/>
  <c r="B1100" i="8"/>
  <c r="A1100" i="8"/>
  <c r="M1099" i="8"/>
  <c r="K1099" i="8"/>
  <c r="J1099" i="8"/>
  <c r="I1099" i="8"/>
  <c r="H1099" i="8"/>
  <c r="G1099" i="8"/>
  <c r="L1099" i="8" s="1"/>
  <c r="F1099" i="8"/>
  <c r="E1099" i="8"/>
  <c r="D1099" i="8"/>
  <c r="C1099" i="8"/>
  <c r="B1099" i="8"/>
  <c r="A1099" i="8"/>
  <c r="M1098" i="8"/>
  <c r="L1098" i="8"/>
  <c r="K1098" i="8"/>
  <c r="J1098" i="8"/>
  <c r="I1098" i="8"/>
  <c r="H1098" i="8"/>
  <c r="G1098" i="8"/>
  <c r="F1098" i="8"/>
  <c r="E1098" i="8"/>
  <c r="D1098" i="8"/>
  <c r="C1098" i="8"/>
  <c r="B1098" i="8"/>
  <c r="A1098" i="8"/>
  <c r="M1097" i="8"/>
  <c r="L1097" i="8"/>
  <c r="K1097" i="8"/>
  <c r="J1097" i="8"/>
  <c r="I1097" i="8"/>
  <c r="H1097" i="8"/>
  <c r="G1097" i="8"/>
  <c r="F1097" i="8"/>
  <c r="E1097" i="8"/>
  <c r="D1097" i="8"/>
  <c r="C1097" i="8"/>
  <c r="B1097" i="8"/>
  <c r="A1097" i="8"/>
  <c r="M1096" i="8"/>
  <c r="K1096" i="8"/>
  <c r="J1096" i="8"/>
  <c r="I1096" i="8"/>
  <c r="H1096" i="8"/>
  <c r="G1096" i="8"/>
  <c r="L1096" i="8" s="1"/>
  <c r="F1096" i="8"/>
  <c r="E1096" i="8"/>
  <c r="D1096" i="8"/>
  <c r="C1096" i="8"/>
  <c r="B1096" i="8"/>
  <c r="A1096" i="8"/>
  <c r="M1095" i="8"/>
  <c r="L1095" i="8"/>
  <c r="K1095" i="8"/>
  <c r="J1095" i="8"/>
  <c r="I1095" i="8"/>
  <c r="H1095" i="8"/>
  <c r="G1095" i="8"/>
  <c r="F1095" i="8"/>
  <c r="E1095" i="8"/>
  <c r="D1095" i="8"/>
  <c r="C1095" i="8"/>
  <c r="B1095" i="8"/>
  <c r="A1095" i="8"/>
  <c r="M1094" i="8"/>
  <c r="L1094" i="8"/>
  <c r="K1094" i="8"/>
  <c r="J1094" i="8"/>
  <c r="I1094" i="8"/>
  <c r="H1094" i="8"/>
  <c r="G1094" i="8"/>
  <c r="F1094" i="8"/>
  <c r="E1094" i="8"/>
  <c r="D1094" i="8"/>
  <c r="C1094" i="8"/>
  <c r="B1094" i="8"/>
  <c r="A1094" i="8"/>
  <c r="M1093" i="8"/>
  <c r="K1093" i="8"/>
  <c r="J1093" i="8"/>
  <c r="I1093" i="8"/>
  <c r="H1093" i="8"/>
  <c r="G1093" i="8"/>
  <c r="L1093" i="8" s="1"/>
  <c r="F1093" i="8"/>
  <c r="E1093" i="8"/>
  <c r="D1093" i="8"/>
  <c r="C1093" i="8"/>
  <c r="B1093" i="8"/>
  <c r="A1093" i="8"/>
  <c r="M1092" i="8"/>
  <c r="L1092" i="8"/>
  <c r="K1092" i="8"/>
  <c r="J1092" i="8"/>
  <c r="I1092" i="8"/>
  <c r="H1092" i="8"/>
  <c r="G1092" i="8"/>
  <c r="F1092" i="8"/>
  <c r="E1092" i="8"/>
  <c r="D1092" i="8"/>
  <c r="C1092" i="8"/>
  <c r="B1092" i="8"/>
  <c r="A1092" i="8"/>
  <c r="M1091" i="8"/>
  <c r="K1091" i="8"/>
  <c r="J1091" i="8"/>
  <c r="I1091" i="8"/>
  <c r="H1091" i="8"/>
  <c r="G1091" i="8"/>
  <c r="L1091" i="8" s="1"/>
  <c r="F1091" i="8"/>
  <c r="E1091" i="8"/>
  <c r="D1091" i="8"/>
  <c r="C1091" i="8"/>
  <c r="B1091" i="8"/>
  <c r="A1091" i="8"/>
  <c r="M1090" i="8"/>
  <c r="L1090" i="8"/>
  <c r="K1090" i="8"/>
  <c r="J1090" i="8"/>
  <c r="I1090" i="8"/>
  <c r="H1090" i="8"/>
  <c r="G1090" i="8"/>
  <c r="F1090" i="8"/>
  <c r="E1090" i="8"/>
  <c r="D1090" i="8"/>
  <c r="C1090" i="8"/>
  <c r="B1090" i="8"/>
  <c r="A1090" i="8"/>
  <c r="M1089" i="8"/>
  <c r="L1089" i="8"/>
  <c r="K1089" i="8"/>
  <c r="J1089" i="8"/>
  <c r="I1089" i="8"/>
  <c r="H1089" i="8"/>
  <c r="G1089" i="8"/>
  <c r="F1089" i="8"/>
  <c r="E1089" i="8"/>
  <c r="D1089" i="8"/>
  <c r="C1089" i="8"/>
  <c r="B1089" i="8"/>
  <c r="A1089" i="8"/>
  <c r="M1088" i="8"/>
  <c r="K1088" i="8"/>
  <c r="J1088" i="8"/>
  <c r="I1088" i="8"/>
  <c r="H1088" i="8"/>
  <c r="G1088" i="8"/>
  <c r="L1088" i="8" s="1"/>
  <c r="F1088" i="8"/>
  <c r="E1088" i="8"/>
  <c r="D1088" i="8"/>
  <c r="C1088" i="8"/>
  <c r="B1088" i="8"/>
  <c r="A1088" i="8"/>
  <c r="M1087" i="8"/>
  <c r="L1087" i="8"/>
  <c r="K1087" i="8"/>
  <c r="J1087" i="8"/>
  <c r="I1087" i="8"/>
  <c r="H1087" i="8"/>
  <c r="G1087" i="8"/>
  <c r="F1087" i="8"/>
  <c r="E1087" i="8"/>
  <c r="D1087" i="8"/>
  <c r="C1087" i="8"/>
  <c r="B1087" i="8"/>
  <c r="A1087" i="8"/>
  <c r="M1086" i="8"/>
  <c r="L1086" i="8"/>
  <c r="K1086" i="8"/>
  <c r="J1086" i="8"/>
  <c r="I1086" i="8"/>
  <c r="H1086" i="8"/>
  <c r="G1086" i="8"/>
  <c r="F1086" i="8"/>
  <c r="E1086" i="8"/>
  <c r="D1086" i="8"/>
  <c r="C1086" i="8"/>
  <c r="B1086" i="8"/>
  <c r="A1086" i="8"/>
  <c r="M1085" i="8"/>
  <c r="K1085" i="8"/>
  <c r="J1085" i="8"/>
  <c r="I1085" i="8"/>
  <c r="H1085" i="8"/>
  <c r="G1085" i="8"/>
  <c r="L1085" i="8" s="1"/>
  <c r="F1085" i="8"/>
  <c r="E1085" i="8"/>
  <c r="D1085" i="8"/>
  <c r="C1085" i="8"/>
  <c r="B1085" i="8"/>
  <c r="A1085" i="8"/>
  <c r="M1084" i="8"/>
  <c r="L1084" i="8"/>
  <c r="K1084" i="8"/>
  <c r="J1084" i="8"/>
  <c r="I1084" i="8"/>
  <c r="H1084" i="8"/>
  <c r="G1084" i="8"/>
  <c r="F1084" i="8"/>
  <c r="E1084" i="8"/>
  <c r="D1084" i="8"/>
  <c r="C1084" i="8"/>
  <c r="B1084" i="8"/>
  <c r="A1084" i="8"/>
  <c r="M1083" i="8"/>
  <c r="K1083" i="8"/>
  <c r="J1083" i="8"/>
  <c r="I1083" i="8"/>
  <c r="H1083" i="8"/>
  <c r="G1083" i="8"/>
  <c r="L1083" i="8" s="1"/>
  <c r="F1083" i="8"/>
  <c r="E1083" i="8"/>
  <c r="D1083" i="8"/>
  <c r="C1083" i="8"/>
  <c r="B1083" i="8"/>
  <c r="A1083" i="8"/>
  <c r="M1082" i="8"/>
  <c r="L1082" i="8"/>
  <c r="K1082" i="8"/>
  <c r="J1082" i="8"/>
  <c r="I1082" i="8"/>
  <c r="H1082" i="8"/>
  <c r="G1082" i="8"/>
  <c r="F1082" i="8"/>
  <c r="E1082" i="8"/>
  <c r="D1082" i="8"/>
  <c r="C1082" i="8"/>
  <c r="B1082" i="8"/>
  <c r="A1082" i="8"/>
  <c r="M1081" i="8"/>
  <c r="L1081" i="8"/>
  <c r="K1081" i="8"/>
  <c r="J1081" i="8"/>
  <c r="I1081" i="8"/>
  <c r="H1081" i="8"/>
  <c r="G1081" i="8"/>
  <c r="F1081" i="8"/>
  <c r="E1081" i="8"/>
  <c r="D1081" i="8"/>
  <c r="C1081" i="8"/>
  <c r="B1081" i="8"/>
  <c r="A1081" i="8"/>
  <c r="M1080" i="8"/>
  <c r="K1080" i="8"/>
  <c r="J1080" i="8"/>
  <c r="I1080" i="8"/>
  <c r="H1080" i="8"/>
  <c r="G1080" i="8"/>
  <c r="L1080" i="8" s="1"/>
  <c r="F1080" i="8"/>
  <c r="E1080" i="8"/>
  <c r="D1080" i="8"/>
  <c r="C1080" i="8"/>
  <c r="B1080" i="8"/>
  <c r="A1080" i="8"/>
  <c r="M1079" i="8"/>
  <c r="L1079" i="8"/>
  <c r="K1079" i="8"/>
  <c r="J1079" i="8"/>
  <c r="I1079" i="8"/>
  <c r="H1079" i="8"/>
  <c r="G1079" i="8"/>
  <c r="F1079" i="8"/>
  <c r="E1079" i="8"/>
  <c r="D1079" i="8"/>
  <c r="C1079" i="8"/>
  <c r="B1079" i="8"/>
  <c r="A1079" i="8"/>
  <c r="M1078" i="8"/>
  <c r="L1078" i="8"/>
  <c r="K1078" i="8"/>
  <c r="J1078" i="8"/>
  <c r="I1078" i="8"/>
  <c r="H1078" i="8"/>
  <c r="G1078" i="8"/>
  <c r="F1078" i="8"/>
  <c r="E1078" i="8"/>
  <c r="D1078" i="8"/>
  <c r="C1078" i="8"/>
  <c r="B1078" i="8"/>
  <c r="A1078" i="8"/>
  <c r="M1077" i="8"/>
  <c r="K1077" i="8"/>
  <c r="J1077" i="8"/>
  <c r="I1077" i="8"/>
  <c r="H1077" i="8"/>
  <c r="G1077" i="8"/>
  <c r="L1077" i="8" s="1"/>
  <c r="F1077" i="8"/>
  <c r="E1077" i="8"/>
  <c r="D1077" i="8"/>
  <c r="C1077" i="8"/>
  <c r="B1077" i="8"/>
  <c r="A1077" i="8"/>
  <c r="M1076" i="8"/>
  <c r="L1076" i="8"/>
  <c r="K1076" i="8"/>
  <c r="J1076" i="8"/>
  <c r="I1076" i="8"/>
  <c r="H1076" i="8"/>
  <c r="G1076" i="8"/>
  <c r="F1076" i="8"/>
  <c r="E1076" i="8"/>
  <c r="D1076" i="8"/>
  <c r="C1076" i="8"/>
  <c r="B1076" i="8"/>
  <c r="A1076" i="8"/>
  <c r="M1075" i="8"/>
  <c r="K1075" i="8"/>
  <c r="J1075" i="8"/>
  <c r="I1075" i="8"/>
  <c r="H1075" i="8"/>
  <c r="G1075" i="8"/>
  <c r="L1075" i="8" s="1"/>
  <c r="F1075" i="8"/>
  <c r="E1075" i="8"/>
  <c r="D1075" i="8"/>
  <c r="C1075" i="8"/>
  <c r="B1075" i="8"/>
  <c r="A1075" i="8"/>
  <c r="M1074" i="8"/>
  <c r="L1074" i="8"/>
  <c r="K1074" i="8"/>
  <c r="J1074" i="8"/>
  <c r="I1074" i="8"/>
  <c r="H1074" i="8"/>
  <c r="G1074" i="8"/>
  <c r="F1074" i="8"/>
  <c r="E1074" i="8"/>
  <c r="D1074" i="8"/>
  <c r="C1074" i="8"/>
  <c r="B1074" i="8"/>
  <c r="A1074" i="8"/>
  <c r="M1073" i="8"/>
  <c r="L1073" i="8"/>
  <c r="K1073" i="8"/>
  <c r="J1073" i="8"/>
  <c r="I1073" i="8"/>
  <c r="H1073" i="8"/>
  <c r="G1073" i="8"/>
  <c r="F1073" i="8"/>
  <c r="E1073" i="8"/>
  <c r="D1073" i="8"/>
  <c r="C1073" i="8"/>
  <c r="B1073" i="8"/>
  <c r="A1073" i="8"/>
  <c r="M1072" i="8"/>
  <c r="K1072" i="8"/>
  <c r="J1072" i="8"/>
  <c r="I1072" i="8"/>
  <c r="H1072" i="8"/>
  <c r="G1072" i="8"/>
  <c r="L1072" i="8" s="1"/>
  <c r="F1072" i="8"/>
  <c r="E1072" i="8"/>
  <c r="D1072" i="8"/>
  <c r="C1072" i="8"/>
  <c r="B1072" i="8"/>
  <c r="A1072" i="8"/>
  <c r="M1071" i="8"/>
  <c r="L1071" i="8"/>
  <c r="K1071" i="8"/>
  <c r="J1071" i="8"/>
  <c r="I1071" i="8"/>
  <c r="H1071" i="8"/>
  <c r="G1071" i="8"/>
  <c r="F1071" i="8"/>
  <c r="E1071" i="8"/>
  <c r="D1071" i="8"/>
  <c r="C1071" i="8"/>
  <c r="B1071" i="8"/>
  <c r="A1071" i="8"/>
  <c r="M1070" i="8"/>
  <c r="L1070" i="8"/>
  <c r="K1070" i="8"/>
  <c r="J1070" i="8"/>
  <c r="I1070" i="8"/>
  <c r="H1070" i="8"/>
  <c r="G1070" i="8"/>
  <c r="F1070" i="8"/>
  <c r="E1070" i="8"/>
  <c r="D1070" i="8"/>
  <c r="C1070" i="8"/>
  <c r="B1070" i="8"/>
  <c r="A1070" i="8"/>
  <c r="M1069" i="8"/>
  <c r="K1069" i="8"/>
  <c r="J1069" i="8"/>
  <c r="I1069" i="8"/>
  <c r="H1069" i="8"/>
  <c r="G1069" i="8"/>
  <c r="L1069" i="8" s="1"/>
  <c r="F1069" i="8"/>
  <c r="E1069" i="8"/>
  <c r="D1069" i="8"/>
  <c r="C1069" i="8"/>
  <c r="B1069" i="8"/>
  <c r="A1069" i="8"/>
  <c r="M1068" i="8"/>
  <c r="L1068" i="8"/>
  <c r="K1068" i="8"/>
  <c r="J1068" i="8"/>
  <c r="I1068" i="8"/>
  <c r="H1068" i="8"/>
  <c r="G1068" i="8"/>
  <c r="F1068" i="8"/>
  <c r="E1068" i="8"/>
  <c r="D1068" i="8"/>
  <c r="C1068" i="8"/>
  <c r="B1068" i="8"/>
  <c r="A1068" i="8"/>
  <c r="M1067" i="8"/>
  <c r="K1067" i="8"/>
  <c r="J1067" i="8"/>
  <c r="I1067" i="8"/>
  <c r="H1067" i="8"/>
  <c r="G1067" i="8"/>
  <c r="L1067" i="8" s="1"/>
  <c r="F1067" i="8"/>
  <c r="E1067" i="8"/>
  <c r="D1067" i="8"/>
  <c r="C1067" i="8"/>
  <c r="B1067" i="8"/>
  <c r="A1067" i="8"/>
  <c r="M1066" i="8"/>
  <c r="L1066" i="8"/>
  <c r="K1066" i="8"/>
  <c r="J1066" i="8"/>
  <c r="I1066" i="8"/>
  <c r="H1066" i="8"/>
  <c r="G1066" i="8"/>
  <c r="F1066" i="8"/>
  <c r="E1066" i="8"/>
  <c r="D1066" i="8"/>
  <c r="C1066" i="8"/>
  <c r="B1066" i="8"/>
  <c r="A1066" i="8"/>
  <c r="M1065" i="8"/>
  <c r="L1065" i="8"/>
  <c r="K1065" i="8"/>
  <c r="J1065" i="8"/>
  <c r="I1065" i="8"/>
  <c r="H1065" i="8"/>
  <c r="G1065" i="8"/>
  <c r="F1065" i="8"/>
  <c r="E1065" i="8"/>
  <c r="D1065" i="8"/>
  <c r="C1065" i="8"/>
  <c r="B1065" i="8"/>
  <c r="A1065" i="8"/>
  <c r="M1064" i="8"/>
  <c r="K1064" i="8"/>
  <c r="J1064" i="8"/>
  <c r="I1064" i="8"/>
  <c r="H1064" i="8"/>
  <c r="G1064" i="8"/>
  <c r="L1064" i="8" s="1"/>
  <c r="F1064" i="8"/>
  <c r="E1064" i="8"/>
  <c r="D1064" i="8"/>
  <c r="C1064" i="8"/>
  <c r="B1064" i="8"/>
  <c r="A1064" i="8"/>
  <c r="M1063" i="8"/>
  <c r="L1063" i="8"/>
  <c r="K1063" i="8"/>
  <c r="J1063" i="8"/>
  <c r="I1063" i="8"/>
  <c r="H1063" i="8"/>
  <c r="G1063" i="8"/>
  <c r="F1063" i="8"/>
  <c r="E1063" i="8"/>
  <c r="D1063" i="8"/>
  <c r="C1063" i="8"/>
  <c r="B1063" i="8"/>
  <c r="A1063" i="8"/>
  <c r="M1062" i="8"/>
  <c r="L1062" i="8"/>
  <c r="K1062" i="8"/>
  <c r="J1062" i="8"/>
  <c r="I1062" i="8"/>
  <c r="H1062" i="8"/>
  <c r="G1062" i="8"/>
  <c r="F1062" i="8"/>
  <c r="E1062" i="8"/>
  <c r="D1062" i="8"/>
  <c r="C1062" i="8"/>
  <c r="B1062" i="8"/>
  <c r="A1062" i="8"/>
  <c r="M1061" i="8"/>
  <c r="K1061" i="8"/>
  <c r="J1061" i="8"/>
  <c r="I1061" i="8"/>
  <c r="H1061" i="8"/>
  <c r="G1061" i="8"/>
  <c r="L1061" i="8" s="1"/>
  <c r="F1061" i="8"/>
  <c r="E1061" i="8"/>
  <c r="D1061" i="8"/>
  <c r="C1061" i="8"/>
  <c r="B1061" i="8"/>
  <c r="A1061" i="8"/>
  <c r="M1060" i="8"/>
  <c r="L1060" i="8"/>
  <c r="K1060" i="8"/>
  <c r="J1060" i="8"/>
  <c r="I1060" i="8"/>
  <c r="H1060" i="8"/>
  <c r="G1060" i="8"/>
  <c r="F1060" i="8"/>
  <c r="E1060" i="8"/>
  <c r="D1060" i="8"/>
  <c r="C1060" i="8"/>
  <c r="B1060" i="8"/>
  <c r="A1060" i="8"/>
  <c r="M1059" i="8"/>
  <c r="K1059" i="8"/>
  <c r="J1059" i="8"/>
  <c r="I1059" i="8"/>
  <c r="H1059" i="8"/>
  <c r="G1059" i="8"/>
  <c r="L1059" i="8" s="1"/>
  <c r="F1059" i="8"/>
  <c r="E1059" i="8"/>
  <c r="D1059" i="8"/>
  <c r="C1059" i="8"/>
  <c r="B1059" i="8"/>
  <c r="A1059" i="8"/>
  <c r="M1058" i="8"/>
  <c r="L1058" i="8"/>
  <c r="K1058" i="8"/>
  <c r="J1058" i="8"/>
  <c r="I1058" i="8"/>
  <c r="H1058" i="8"/>
  <c r="G1058" i="8"/>
  <c r="F1058" i="8"/>
  <c r="E1058" i="8"/>
  <c r="D1058" i="8"/>
  <c r="C1058" i="8"/>
  <c r="B1058" i="8"/>
  <c r="A1058" i="8"/>
  <c r="M1057" i="8"/>
  <c r="L1057" i="8"/>
  <c r="K1057" i="8"/>
  <c r="J1057" i="8"/>
  <c r="I1057" i="8"/>
  <c r="H1057" i="8"/>
  <c r="G1057" i="8"/>
  <c r="F1057" i="8"/>
  <c r="E1057" i="8"/>
  <c r="D1057" i="8"/>
  <c r="C1057" i="8"/>
  <c r="B1057" i="8"/>
  <c r="A1057" i="8"/>
  <c r="M1056" i="8"/>
  <c r="K1056" i="8"/>
  <c r="J1056" i="8"/>
  <c r="I1056" i="8"/>
  <c r="H1056" i="8"/>
  <c r="G1056" i="8"/>
  <c r="L1056" i="8" s="1"/>
  <c r="F1056" i="8"/>
  <c r="E1056" i="8"/>
  <c r="D1056" i="8"/>
  <c r="C1056" i="8"/>
  <c r="B1056" i="8"/>
  <c r="A1056" i="8"/>
  <c r="M1055" i="8"/>
  <c r="L1055" i="8"/>
  <c r="K1055" i="8"/>
  <c r="J1055" i="8"/>
  <c r="I1055" i="8"/>
  <c r="H1055" i="8"/>
  <c r="G1055" i="8"/>
  <c r="F1055" i="8"/>
  <c r="E1055" i="8"/>
  <c r="D1055" i="8"/>
  <c r="C1055" i="8"/>
  <c r="B1055" i="8"/>
  <c r="A1055" i="8"/>
  <c r="M1054" i="8"/>
  <c r="L1054" i="8"/>
  <c r="K1054" i="8"/>
  <c r="J1054" i="8"/>
  <c r="I1054" i="8"/>
  <c r="H1054" i="8"/>
  <c r="G1054" i="8"/>
  <c r="F1054" i="8"/>
  <c r="E1054" i="8"/>
  <c r="D1054" i="8"/>
  <c r="C1054" i="8"/>
  <c r="B1054" i="8"/>
  <c r="A1054" i="8"/>
  <c r="M1053" i="8"/>
  <c r="K1053" i="8"/>
  <c r="J1053" i="8"/>
  <c r="I1053" i="8"/>
  <c r="H1053" i="8"/>
  <c r="G1053" i="8"/>
  <c r="L1053" i="8" s="1"/>
  <c r="F1053" i="8"/>
  <c r="E1053" i="8"/>
  <c r="D1053" i="8"/>
  <c r="C1053" i="8"/>
  <c r="B1053" i="8"/>
  <c r="A1053" i="8"/>
  <c r="M1052" i="8"/>
  <c r="L1052" i="8"/>
  <c r="K1052" i="8"/>
  <c r="J1052" i="8"/>
  <c r="I1052" i="8"/>
  <c r="H1052" i="8"/>
  <c r="G1052" i="8"/>
  <c r="F1052" i="8"/>
  <c r="E1052" i="8"/>
  <c r="D1052" i="8"/>
  <c r="C1052" i="8"/>
  <c r="B1052" i="8"/>
  <c r="A1052" i="8"/>
  <c r="M1051" i="8"/>
  <c r="K1051" i="8"/>
  <c r="J1051" i="8"/>
  <c r="I1051" i="8"/>
  <c r="H1051" i="8"/>
  <c r="G1051" i="8"/>
  <c r="L1051" i="8" s="1"/>
  <c r="F1051" i="8"/>
  <c r="E1051" i="8"/>
  <c r="D1051" i="8"/>
  <c r="C1051" i="8"/>
  <c r="B1051" i="8"/>
  <c r="A1051" i="8"/>
  <c r="M1050" i="8"/>
  <c r="L1050" i="8"/>
  <c r="K1050" i="8"/>
  <c r="J1050" i="8"/>
  <c r="I1050" i="8"/>
  <c r="H1050" i="8"/>
  <c r="G1050" i="8"/>
  <c r="F1050" i="8"/>
  <c r="E1050" i="8"/>
  <c r="D1050" i="8"/>
  <c r="C1050" i="8"/>
  <c r="B1050" i="8"/>
  <c r="A1050" i="8"/>
  <c r="M1049" i="8"/>
  <c r="L1049" i="8"/>
  <c r="K1049" i="8"/>
  <c r="J1049" i="8"/>
  <c r="I1049" i="8"/>
  <c r="H1049" i="8"/>
  <c r="G1049" i="8"/>
  <c r="F1049" i="8"/>
  <c r="E1049" i="8"/>
  <c r="D1049" i="8"/>
  <c r="C1049" i="8"/>
  <c r="B1049" i="8"/>
  <c r="A1049" i="8"/>
  <c r="M1048" i="8"/>
  <c r="K1048" i="8"/>
  <c r="J1048" i="8"/>
  <c r="I1048" i="8"/>
  <c r="H1048" i="8"/>
  <c r="G1048" i="8"/>
  <c r="L1048" i="8" s="1"/>
  <c r="F1048" i="8"/>
  <c r="E1048" i="8"/>
  <c r="D1048" i="8"/>
  <c r="C1048" i="8"/>
  <c r="B1048" i="8"/>
  <c r="A1048" i="8"/>
  <c r="M1047" i="8"/>
  <c r="L1047" i="8"/>
  <c r="K1047" i="8"/>
  <c r="J1047" i="8"/>
  <c r="I1047" i="8"/>
  <c r="H1047" i="8"/>
  <c r="G1047" i="8"/>
  <c r="F1047" i="8"/>
  <c r="E1047" i="8"/>
  <c r="D1047" i="8"/>
  <c r="C1047" i="8"/>
  <c r="B1047" i="8"/>
  <c r="A1047" i="8"/>
  <c r="M1046" i="8"/>
  <c r="K1046" i="8"/>
  <c r="J1046" i="8"/>
  <c r="I1046" i="8"/>
  <c r="H1046" i="8"/>
  <c r="G1046" i="8"/>
  <c r="L1046" i="8" s="1"/>
  <c r="F1046" i="8"/>
  <c r="E1046" i="8"/>
  <c r="D1046" i="8"/>
  <c r="C1046" i="8"/>
  <c r="B1046" i="8"/>
  <c r="A1046" i="8"/>
  <c r="M1045" i="8"/>
  <c r="K1045" i="8"/>
  <c r="J1045" i="8"/>
  <c r="I1045" i="8"/>
  <c r="H1045" i="8"/>
  <c r="G1045" i="8"/>
  <c r="L1045" i="8" s="1"/>
  <c r="F1045" i="8"/>
  <c r="E1045" i="8"/>
  <c r="D1045" i="8"/>
  <c r="C1045" i="8"/>
  <c r="B1045" i="8"/>
  <c r="A1045" i="8"/>
  <c r="M1044" i="8"/>
  <c r="L1044" i="8"/>
  <c r="K1044" i="8"/>
  <c r="J1044" i="8"/>
  <c r="I1044" i="8"/>
  <c r="H1044" i="8"/>
  <c r="G1044" i="8"/>
  <c r="F1044" i="8"/>
  <c r="E1044" i="8"/>
  <c r="D1044" i="8"/>
  <c r="C1044" i="8"/>
  <c r="B1044" i="8"/>
  <c r="A1044" i="8"/>
  <c r="M1043" i="8"/>
  <c r="K1043" i="8"/>
  <c r="J1043" i="8"/>
  <c r="I1043" i="8"/>
  <c r="H1043" i="8"/>
  <c r="G1043" i="8"/>
  <c r="L1043" i="8" s="1"/>
  <c r="F1043" i="8"/>
  <c r="E1043" i="8"/>
  <c r="D1043" i="8"/>
  <c r="C1043" i="8"/>
  <c r="B1043" i="8"/>
  <c r="A1043" i="8"/>
  <c r="M1042" i="8"/>
  <c r="L1042" i="8"/>
  <c r="K1042" i="8"/>
  <c r="J1042" i="8"/>
  <c r="I1042" i="8"/>
  <c r="H1042" i="8"/>
  <c r="G1042" i="8"/>
  <c r="F1042" i="8"/>
  <c r="E1042" i="8"/>
  <c r="D1042" i="8"/>
  <c r="C1042" i="8"/>
  <c r="B1042" i="8"/>
  <c r="A1042" i="8"/>
  <c r="M1041" i="8"/>
  <c r="L1041" i="8"/>
  <c r="K1041" i="8"/>
  <c r="J1041" i="8"/>
  <c r="I1041" i="8"/>
  <c r="H1041" i="8"/>
  <c r="G1041" i="8"/>
  <c r="F1041" i="8"/>
  <c r="E1041" i="8"/>
  <c r="D1041" i="8"/>
  <c r="C1041" i="8"/>
  <c r="B1041" i="8"/>
  <c r="A1041" i="8"/>
  <c r="M1040" i="8"/>
  <c r="K1040" i="8"/>
  <c r="J1040" i="8"/>
  <c r="I1040" i="8"/>
  <c r="H1040" i="8"/>
  <c r="G1040" i="8"/>
  <c r="L1040" i="8" s="1"/>
  <c r="F1040" i="8"/>
  <c r="E1040" i="8"/>
  <c r="D1040" i="8"/>
  <c r="C1040" i="8"/>
  <c r="B1040" i="8"/>
  <c r="A1040" i="8"/>
  <c r="M1039" i="8"/>
  <c r="L1039" i="8"/>
  <c r="K1039" i="8"/>
  <c r="J1039" i="8"/>
  <c r="I1039" i="8"/>
  <c r="H1039" i="8"/>
  <c r="G1039" i="8"/>
  <c r="F1039" i="8"/>
  <c r="E1039" i="8"/>
  <c r="D1039" i="8"/>
  <c r="C1039" i="8"/>
  <c r="B1039" i="8"/>
  <c r="A1039" i="8"/>
  <c r="M1038" i="8"/>
  <c r="K1038" i="8"/>
  <c r="J1038" i="8"/>
  <c r="I1038" i="8"/>
  <c r="H1038" i="8"/>
  <c r="G1038" i="8"/>
  <c r="L1038" i="8" s="1"/>
  <c r="F1038" i="8"/>
  <c r="E1038" i="8"/>
  <c r="D1038" i="8"/>
  <c r="C1038" i="8"/>
  <c r="B1038" i="8"/>
  <c r="A1038" i="8"/>
  <c r="M1037" i="8"/>
  <c r="K1037" i="8"/>
  <c r="J1037" i="8"/>
  <c r="I1037" i="8"/>
  <c r="H1037" i="8"/>
  <c r="G1037" i="8"/>
  <c r="L1037" i="8" s="1"/>
  <c r="F1037" i="8"/>
  <c r="E1037" i="8"/>
  <c r="D1037" i="8"/>
  <c r="C1037" i="8"/>
  <c r="B1037" i="8"/>
  <c r="A1037" i="8"/>
  <c r="M1036" i="8"/>
  <c r="L1036" i="8"/>
  <c r="K1036" i="8"/>
  <c r="J1036" i="8"/>
  <c r="I1036" i="8"/>
  <c r="H1036" i="8"/>
  <c r="G1036" i="8"/>
  <c r="F1036" i="8"/>
  <c r="E1036" i="8"/>
  <c r="D1036" i="8"/>
  <c r="C1036" i="8"/>
  <c r="B1036" i="8"/>
  <c r="A1036" i="8"/>
  <c r="M1035" i="8"/>
  <c r="K1035" i="8"/>
  <c r="J1035" i="8"/>
  <c r="I1035" i="8"/>
  <c r="H1035" i="8"/>
  <c r="G1035" i="8"/>
  <c r="L1035" i="8" s="1"/>
  <c r="F1035" i="8"/>
  <c r="E1035" i="8"/>
  <c r="D1035" i="8"/>
  <c r="C1035" i="8"/>
  <c r="B1035" i="8"/>
  <c r="A1035" i="8"/>
  <c r="M1034" i="8"/>
  <c r="L1034" i="8"/>
  <c r="K1034" i="8"/>
  <c r="J1034" i="8"/>
  <c r="I1034" i="8"/>
  <c r="H1034" i="8"/>
  <c r="G1034" i="8"/>
  <c r="F1034" i="8"/>
  <c r="E1034" i="8"/>
  <c r="D1034" i="8"/>
  <c r="C1034" i="8"/>
  <c r="B1034" i="8"/>
  <c r="A1034" i="8"/>
  <c r="M1033" i="8"/>
  <c r="L1033" i="8"/>
  <c r="K1033" i="8"/>
  <c r="J1033" i="8"/>
  <c r="I1033" i="8"/>
  <c r="H1033" i="8"/>
  <c r="G1033" i="8"/>
  <c r="F1033" i="8"/>
  <c r="E1033" i="8"/>
  <c r="D1033" i="8"/>
  <c r="C1033" i="8"/>
  <c r="B1033" i="8"/>
  <c r="A1033" i="8"/>
  <c r="M1032" i="8"/>
  <c r="K1032" i="8"/>
  <c r="J1032" i="8"/>
  <c r="I1032" i="8"/>
  <c r="H1032" i="8"/>
  <c r="G1032" i="8"/>
  <c r="L1032" i="8" s="1"/>
  <c r="F1032" i="8"/>
  <c r="E1032" i="8"/>
  <c r="D1032" i="8"/>
  <c r="C1032" i="8"/>
  <c r="B1032" i="8"/>
  <c r="A1032" i="8"/>
  <c r="M1031" i="8"/>
  <c r="L1031" i="8"/>
  <c r="K1031" i="8"/>
  <c r="J1031" i="8"/>
  <c r="I1031" i="8"/>
  <c r="H1031" i="8"/>
  <c r="G1031" i="8"/>
  <c r="F1031" i="8"/>
  <c r="E1031" i="8"/>
  <c r="D1031" i="8"/>
  <c r="C1031" i="8"/>
  <c r="B1031" i="8"/>
  <c r="A1031" i="8"/>
  <c r="M1030" i="8"/>
  <c r="K1030" i="8"/>
  <c r="J1030" i="8"/>
  <c r="I1030" i="8"/>
  <c r="H1030" i="8"/>
  <c r="G1030" i="8"/>
  <c r="L1030" i="8" s="1"/>
  <c r="F1030" i="8"/>
  <c r="E1030" i="8"/>
  <c r="D1030" i="8"/>
  <c r="C1030" i="8"/>
  <c r="B1030" i="8"/>
  <c r="A1030" i="8"/>
  <c r="M1029" i="8"/>
  <c r="K1029" i="8"/>
  <c r="J1029" i="8"/>
  <c r="I1029" i="8"/>
  <c r="H1029" i="8"/>
  <c r="G1029" i="8"/>
  <c r="L1029" i="8" s="1"/>
  <c r="F1029" i="8"/>
  <c r="E1029" i="8"/>
  <c r="D1029" i="8"/>
  <c r="C1029" i="8"/>
  <c r="B1029" i="8"/>
  <c r="A1029" i="8"/>
  <c r="M1028" i="8"/>
  <c r="L1028" i="8"/>
  <c r="K1028" i="8"/>
  <c r="J1028" i="8"/>
  <c r="I1028" i="8"/>
  <c r="H1028" i="8"/>
  <c r="G1028" i="8"/>
  <c r="F1028" i="8"/>
  <c r="E1028" i="8"/>
  <c r="D1028" i="8"/>
  <c r="C1028" i="8"/>
  <c r="B1028" i="8"/>
  <c r="A1028" i="8"/>
  <c r="M1027" i="8"/>
  <c r="K1027" i="8"/>
  <c r="J1027" i="8"/>
  <c r="I1027" i="8"/>
  <c r="H1027" i="8"/>
  <c r="G1027" i="8"/>
  <c r="L1027" i="8" s="1"/>
  <c r="F1027" i="8"/>
  <c r="E1027" i="8"/>
  <c r="D1027" i="8"/>
  <c r="C1027" i="8"/>
  <c r="B1027" i="8"/>
  <c r="A1027" i="8"/>
  <c r="M1026" i="8"/>
  <c r="L1026" i="8"/>
  <c r="K1026" i="8"/>
  <c r="J1026" i="8"/>
  <c r="I1026" i="8"/>
  <c r="H1026" i="8"/>
  <c r="G1026" i="8"/>
  <c r="F1026" i="8"/>
  <c r="E1026" i="8"/>
  <c r="D1026" i="8"/>
  <c r="C1026" i="8"/>
  <c r="B1026" i="8"/>
  <c r="A1026" i="8"/>
  <c r="M1025" i="8"/>
  <c r="L1025" i="8"/>
  <c r="K1025" i="8"/>
  <c r="J1025" i="8"/>
  <c r="I1025" i="8"/>
  <c r="H1025" i="8"/>
  <c r="G1025" i="8"/>
  <c r="F1025" i="8"/>
  <c r="E1025" i="8"/>
  <c r="D1025" i="8"/>
  <c r="C1025" i="8"/>
  <c r="B1025" i="8"/>
  <c r="A1025" i="8"/>
  <c r="M1024" i="8"/>
  <c r="K1024" i="8"/>
  <c r="J1024" i="8"/>
  <c r="I1024" i="8"/>
  <c r="H1024" i="8"/>
  <c r="G1024" i="8"/>
  <c r="L1024" i="8" s="1"/>
  <c r="F1024" i="8"/>
  <c r="E1024" i="8"/>
  <c r="D1024" i="8"/>
  <c r="C1024" i="8"/>
  <c r="B1024" i="8"/>
  <c r="A1024" i="8"/>
  <c r="M1023" i="8"/>
  <c r="L1023" i="8"/>
  <c r="K1023" i="8"/>
  <c r="J1023" i="8"/>
  <c r="I1023" i="8"/>
  <c r="H1023" i="8"/>
  <c r="G1023" i="8"/>
  <c r="F1023" i="8"/>
  <c r="E1023" i="8"/>
  <c r="D1023" i="8"/>
  <c r="C1023" i="8"/>
  <c r="B1023" i="8"/>
  <c r="A1023" i="8"/>
  <c r="M1022" i="8"/>
  <c r="K1022" i="8"/>
  <c r="J1022" i="8"/>
  <c r="I1022" i="8"/>
  <c r="H1022" i="8"/>
  <c r="G1022" i="8"/>
  <c r="L1022" i="8" s="1"/>
  <c r="F1022" i="8"/>
  <c r="E1022" i="8"/>
  <c r="D1022" i="8"/>
  <c r="C1022" i="8"/>
  <c r="B1022" i="8"/>
  <c r="A1022" i="8"/>
  <c r="M1021" i="8"/>
  <c r="K1021" i="8"/>
  <c r="J1021" i="8"/>
  <c r="I1021" i="8"/>
  <c r="H1021" i="8"/>
  <c r="G1021" i="8"/>
  <c r="L1021" i="8" s="1"/>
  <c r="F1021" i="8"/>
  <c r="E1021" i="8"/>
  <c r="D1021" i="8"/>
  <c r="C1021" i="8"/>
  <c r="B1021" i="8"/>
  <c r="A1021" i="8"/>
  <c r="M1020" i="8"/>
  <c r="L1020" i="8"/>
  <c r="K1020" i="8"/>
  <c r="J1020" i="8"/>
  <c r="I1020" i="8"/>
  <c r="H1020" i="8"/>
  <c r="G1020" i="8"/>
  <c r="F1020" i="8"/>
  <c r="E1020" i="8"/>
  <c r="D1020" i="8"/>
  <c r="C1020" i="8"/>
  <c r="B1020" i="8"/>
  <c r="A1020" i="8"/>
  <c r="M1019" i="8"/>
  <c r="K1019" i="8"/>
  <c r="J1019" i="8"/>
  <c r="I1019" i="8"/>
  <c r="H1019" i="8"/>
  <c r="G1019" i="8"/>
  <c r="L1019" i="8" s="1"/>
  <c r="F1019" i="8"/>
  <c r="E1019" i="8"/>
  <c r="D1019" i="8"/>
  <c r="C1019" i="8"/>
  <c r="B1019" i="8"/>
  <c r="A1019" i="8"/>
  <c r="M1018" i="8"/>
  <c r="L1018" i="8"/>
  <c r="K1018" i="8"/>
  <c r="J1018" i="8"/>
  <c r="I1018" i="8"/>
  <c r="H1018" i="8"/>
  <c r="G1018" i="8"/>
  <c r="F1018" i="8"/>
  <c r="E1018" i="8"/>
  <c r="D1018" i="8"/>
  <c r="C1018" i="8"/>
  <c r="B1018" i="8"/>
  <c r="A1018" i="8"/>
  <c r="M1017" i="8"/>
  <c r="L1017" i="8"/>
  <c r="K1017" i="8"/>
  <c r="J1017" i="8"/>
  <c r="I1017" i="8"/>
  <c r="H1017" i="8"/>
  <c r="G1017" i="8"/>
  <c r="F1017" i="8"/>
  <c r="E1017" i="8"/>
  <c r="D1017" i="8"/>
  <c r="C1017" i="8"/>
  <c r="B1017" i="8"/>
  <c r="A1017" i="8"/>
  <c r="M1016" i="8"/>
  <c r="K1016" i="8"/>
  <c r="J1016" i="8"/>
  <c r="I1016" i="8"/>
  <c r="H1016" i="8"/>
  <c r="G1016" i="8"/>
  <c r="L1016" i="8" s="1"/>
  <c r="F1016" i="8"/>
  <c r="E1016" i="8"/>
  <c r="D1016" i="8"/>
  <c r="C1016" i="8"/>
  <c r="B1016" i="8"/>
  <c r="A1016" i="8"/>
  <c r="M1015" i="8"/>
  <c r="L1015" i="8"/>
  <c r="K1015" i="8"/>
  <c r="J1015" i="8"/>
  <c r="I1015" i="8"/>
  <c r="H1015" i="8"/>
  <c r="G1015" i="8"/>
  <c r="F1015" i="8"/>
  <c r="E1015" i="8"/>
  <c r="D1015" i="8"/>
  <c r="C1015" i="8"/>
  <c r="B1015" i="8"/>
  <c r="A1015" i="8"/>
  <c r="M1014" i="8"/>
  <c r="K1014" i="8"/>
  <c r="J1014" i="8"/>
  <c r="I1014" i="8"/>
  <c r="H1014" i="8"/>
  <c r="G1014" i="8"/>
  <c r="L1014" i="8" s="1"/>
  <c r="F1014" i="8"/>
  <c r="E1014" i="8"/>
  <c r="D1014" i="8"/>
  <c r="C1014" i="8"/>
  <c r="B1014" i="8"/>
  <c r="A1014" i="8"/>
  <c r="M1013" i="8"/>
  <c r="K1013" i="8"/>
  <c r="J1013" i="8"/>
  <c r="I1013" i="8"/>
  <c r="H1013" i="8"/>
  <c r="G1013" i="8"/>
  <c r="L1013" i="8" s="1"/>
  <c r="F1013" i="8"/>
  <c r="E1013" i="8"/>
  <c r="D1013" i="8"/>
  <c r="C1013" i="8"/>
  <c r="B1013" i="8"/>
  <c r="A1013" i="8"/>
  <c r="M1012" i="8"/>
  <c r="L1012" i="8"/>
  <c r="K1012" i="8"/>
  <c r="J1012" i="8"/>
  <c r="I1012" i="8"/>
  <c r="H1012" i="8"/>
  <c r="G1012" i="8"/>
  <c r="F1012" i="8"/>
  <c r="E1012" i="8"/>
  <c r="D1012" i="8"/>
  <c r="C1012" i="8"/>
  <c r="B1012" i="8"/>
  <c r="A1012" i="8"/>
  <c r="M1011" i="8"/>
  <c r="K1011" i="8"/>
  <c r="J1011" i="8"/>
  <c r="I1011" i="8"/>
  <c r="H1011" i="8"/>
  <c r="G1011" i="8"/>
  <c r="L1011" i="8" s="1"/>
  <c r="F1011" i="8"/>
  <c r="E1011" i="8"/>
  <c r="D1011" i="8"/>
  <c r="C1011" i="8"/>
  <c r="B1011" i="8"/>
  <c r="A1011" i="8"/>
  <c r="M1010" i="8"/>
  <c r="L1010" i="8"/>
  <c r="K1010" i="8"/>
  <c r="J1010" i="8"/>
  <c r="I1010" i="8"/>
  <c r="H1010" i="8"/>
  <c r="G1010" i="8"/>
  <c r="F1010" i="8"/>
  <c r="E1010" i="8"/>
  <c r="D1010" i="8"/>
  <c r="C1010" i="8"/>
  <c r="B1010" i="8"/>
  <c r="A1010" i="8"/>
  <c r="M1009" i="8"/>
  <c r="L1009" i="8"/>
  <c r="K1009" i="8"/>
  <c r="J1009" i="8"/>
  <c r="I1009" i="8"/>
  <c r="H1009" i="8"/>
  <c r="G1009" i="8"/>
  <c r="F1009" i="8"/>
  <c r="E1009" i="8"/>
  <c r="D1009" i="8"/>
  <c r="C1009" i="8"/>
  <c r="B1009" i="8"/>
  <c r="A1009" i="8"/>
  <c r="M1008" i="8"/>
  <c r="K1008" i="8"/>
  <c r="J1008" i="8"/>
  <c r="I1008" i="8"/>
  <c r="H1008" i="8"/>
  <c r="G1008" i="8"/>
  <c r="L1008" i="8" s="1"/>
  <c r="F1008" i="8"/>
  <c r="E1008" i="8"/>
  <c r="D1008" i="8"/>
  <c r="C1008" i="8"/>
  <c r="B1008" i="8"/>
  <c r="A1008" i="8"/>
  <c r="M1007" i="8"/>
  <c r="L1007" i="8"/>
  <c r="K1007" i="8"/>
  <c r="J1007" i="8"/>
  <c r="I1007" i="8"/>
  <c r="H1007" i="8"/>
  <c r="G1007" i="8"/>
  <c r="F1007" i="8"/>
  <c r="E1007" i="8"/>
  <c r="D1007" i="8"/>
  <c r="C1007" i="8"/>
  <c r="B1007" i="8"/>
  <c r="A1007" i="8"/>
  <c r="M1006" i="8"/>
  <c r="K1006" i="8"/>
  <c r="J1006" i="8"/>
  <c r="I1006" i="8"/>
  <c r="H1006" i="8"/>
  <c r="G1006" i="8"/>
  <c r="L1006" i="8" s="1"/>
  <c r="F1006" i="8"/>
  <c r="E1006" i="8"/>
  <c r="D1006" i="8"/>
  <c r="C1006" i="8"/>
  <c r="B1006" i="8"/>
  <c r="A1006" i="8"/>
  <c r="M1005" i="8"/>
  <c r="K1005" i="8"/>
  <c r="J1005" i="8"/>
  <c r="I1005" i="8"/>
  <c r="H1005" i="8"/>
  <c r="G1005" i="8"/>
  <c r="L1005" i="8" s="1"/>
  <c r="F1005" i="8"/>
  <c r="E1005" i="8"/>
  <c r="D1005" i="8"/>
  <c r="C1005" i="8"/>
  <c r="B1005" i="8"/>
  <c r="A1005" i="8"/>
  <c r="M1004" i="8"/>
  <c r="L1004" i="8"/>
  <c r="K1004" i="8"/>
  <c r="J1004" i="8"/>
  <c r="I1004" i="8"/>
  <c r="H1004" i="8"/>
  <c r="G1004" i="8"/>
  <c r="F1004" i="8"/>
  <c r="E1004" i="8"/>
  <c r="D1004" i="8"/>
  <c r="C1004" i="8"/>
  <c r="B1004" i="8"/>
  <c r="A1004" i="8"/>
  <c r="M1003" i="8"/>
  <c r="K1003" i="8"/>
  <c r="J1003" i="8"/>
  <c r="I1003" i="8"/>
  <c r="H1003" i="8"/>
  <c r="G1003" i="8"/>
  <c r="L1003" i="8" s="1"/>
  <c r="F1003" i="8"/>
  <c r="E1003" i="8"/>
  <c r="D1003" i="8"/>
  <c r="C1003" i="8"/>
  <c r="B1003" i="8"/>
  <c r="A1003" i="8"/>
  <c r="M1002" i="8"/>
  <c r="L1002" i="8"/>
  <c r="K1002" i="8"/>
  <c r="J1002" i="8"/>
  <c r="I1002" i="8"/>
  <c r="H1002" i="8"/>
  <c r="G1002" i="8"/>
  <c r="F1002" i="8"/>
  <c r="E1002" i="8"/>
  <c r="D1002" i="8"/>
  <c r="C1002" i="8"/>
  <c r="B1002" i="8"/>
  <c r="A1002" i="8"/>
  <c r="M1001" i="8"/>
  <c r="L1001" i="8"/>
  <c r="K1001" i="8"/>
  <c r="J1001" i="8"/>
  <c r="I1001" i="8"/>
  <c r="H1001" i="8"/>
  <c r="G1001" i="8"/>
  <c r="F1001" i="8"/>
  <c r="E1001" i="8"/>
  <c r="D1001" i="8"/>
  <c r="C1001" i="8"/>
  <c r="B1001" i="8"/>
  <c r="A1001" i="8"/>
  <c r="M1000" i="8"/>
  <c r="K1000" i="8"/>
  <c r="J1000" i="8"/>
  <c r="I1000" i="8"/>
  <c r="H1000" i="8"/>
  <c r="G1000" i="8"/>
  <c r="L1000" i="8" s="1"/>
  <c r="F1000" i="8"/>
  <c r="E1000" i="8"/>
  <c r="D1000" i="8"/>
  <c r="C1000" i="8"/>
  <c r="B1000" i="8"/>
  <c r="A1000" i="8"/>
  <c r="M999" i="8"/>
  <c r="L999" i="8"/>
  <c r="K999" i="8"/>
  <c r="J999" i="8"/>
  <c r="I999" i="8"/>
  <c r="H999" i="8"/>
  <c r="G999" i="8"/>
  <c r="F999" i="8"/>
  <c r="E999" i="8"/>
  <c r="D999" i="8"/>
  <c r="C999" i="8"/>
  <c r="B999" i="8"/>
  <c r="A999" i="8"/>
  <c r="M998" i="8"/>
  <c r="K998" i="8"/>
  <c r="J998" i="8"/>
  <c r="I998" i="8"/>
  <c r="H998" i="8"/>
  <c r="G998" i="8"/>
  <c r="L998" i="8" s="1"/>
  <c r="F998" i="8"/>
  <c r="E998" i="8"/>
  <c r="D998" i="8"/>
  <c r="C998" i="8"/>
  <c r="B998" i="8"/>
  <c r="A998" i="8"/>
  <c r="M997" i="8"/>
  <c r="K997" i="8"/>
  <c r="J997" i="8"/>
  <c r="I997" i="8"/>
  <c r="H997" i="8"/>
  <c r="G997" i="8"/>
  <c r="L997" i="8" s="1"/>
  <c r="F997" i="8"/>
  <c r="E997" i="8"/>
  <c r="D997" i="8"/>
  <c r="C997" i="8"/>
  <c r="B997" i="8"/>
  <c r="A997" i="8"/>
  <c r="M996" i="8"/>
  <c r="L996" i="8"/>
  <c r="K996" i="8"/>
  <c r="J996" i="8"/>
  <c r="I996" i="8"/>
  <c r="H996" i="8"/>
  <c r="G996" i="8"/>
  <c r="F996" i="8"/>
  <c r="E996" i="8"/>
  <c r="D996" i="8"/>
  <c r="C996" i="8"/>
  <c r="B996" i="8"/>
  <c r="A996" i="8"/>
  <c r="M995" i="8"/>
  <c r="K995" i="8"/>
  <c r="J995" i="8"/>
  <c r="I995" i="8"/>
  <c r="H995" i="8"/>
  <c r="G995" i="8"/>
  <c r="L995" i="8" s="1"/>
  <c r="F995" i="8"/>
  <c r="E995" i="8"/>
  <c r="D995" i="8"/>
  <c r="C995" i="8"/>
  <c r="B995" i="8"/>
  <c r="A995" i="8"/>
  <c r="M994" i="8"/>
  <c r="L994" i="8"/>
  <c r="K994" i="8"/>
  <c r="J994" i="8"/>
  <c r="I994" i="8"/>
  <c r="H994" i="8"/>
  <c r="G994" i="8"/>
  <c r="F994" i="8"/>
  <c r="E994" i="8"/>
  <c r="D994" i="8"/>
  <c r="C994" i="8"/>
  <c r="B994" i="8"/>
  <c r="A994" i="8"/>
  <c r="M993" i="8"/>
  <c r="L993" i="8"/>
  <c r="K993" i="8"/>
  <c r="J993" i="8"/>
  <c r="I993" i="8"/>
  <c r="H993" i="8"/>
  <c r="G993" i="8"/>
  <c r="F993" i="8"/>
  <c r="E993" i="8"/>
  <c r="D993" i="8"/>
  <c r="C993" i="8"/>
  <c r="B993" i="8"/>
  <c r="A993" i="8"/>
  <c r="M992" i="8"/>
  <c r="K992" i="8"/>
  <c r="J992" i="8"/>
  <c r="I992" i="8"/>
  <c r="H992" i="8"/>
  <c r="G992" i="8"/>
  <c r="L992" i="8" s="1"/>
  <c r="F992" i="8"/>
  <c r="E992" i="8"/>
  <c r="D992" i="8"/>
  <c r="C992" i="8"/>
  <c r="B992" i="8"/>
  <c r="A992" i="8"/>
  <c r="M991" i="8"/>
  <c r="L991" i="8"/>
  <c r="K991" i="8"/>
  <c r="J991" i="8"/>
  <c r="I991" i="8"/>
  <c r="H991" i="8"/>
  <c r="G991" i="8"/>
  <c r="F991" i="8"/>
  <c r="E991" i="8"/>
  <c r="D991" i="8"/>
  <c r="C991" i="8"/>
  <c r="B991" i="8"/>
  <c r="A991" i="8"/>
  <c r="M990" i="8"/>
  <c r="K990" i="8"/>
  <c r="J990" i="8"/>
  <c r="I990" i="8"/>
  <c r="H990" i="8"/>
  <c r="G990" i="8"/>
  <c r="L990" i="8" s="1"/>
  <c r="F990" i="8"/>
  <c r="E990" i="8"/>
  <c r="D990" i="8"/>
  <c r="C990" i="8"/>
  <c r="B990" i="8"/>
  <c r="A990" i="8"/>
  <c r="M989" i="8"/>
  <c r="K989" i="8"/>
  <c r="J989" i="8"/>
  <c r="I989" i="8"/>
  <c r="H989" i="8"/>
  <c r="G989" i="8"/>
  <c r="L989" i="8" s="1"/>
  <c r="F989" i="8"/>
  <c r="E989" i="8"/>
  <c r="D989" i="8"/>
  <c r="C989" i="8"/>
  <c r="B989" i="8"/>
  <c r="A989" i="8"/>
  <c r="M988" i="8"/>
  <c r="L988" i="8"/>
  <c r="K988" i="8"/>
  <c r="J988" i="8"/>
  <c r="I988" i="8"/>
  <c r="H988" i="8"/>
  <c r="G988" i="8"/>
  <c r="F988" i="8"/>
  <c r="E988" i="8"/>
  <c r="D988" i="8"/>
  <c r="C988" i="8"/>
  <c r="B988" i="8"/>
  <c r="A988" i="8"/>
  <c r="M987" i="8"/>
  <c r="K987" i="8"/>
  <c r="J987" i="8"/>
  <c r="I987" i="8"/>
  <c r="H987" i="8"/>
  <c r="G987" i="8"/>
  <c r="L987" i="8" s="1"/>
  <c r="F987" i="8"/>
  <c r="E987" i="8"/>
  <c r="D987" i="8"/>
  <c r="C987" i="8"/>
  <c r="B987" i="8"/>
  <c r="A987" i="8"/>
  <c r="M986" i="8"/>
  <c r="L986" i="8"/>
  <c r="K986" i="8"/>
  <c r="J986" i="8"/>
  <c r="I986" i="8"/>
  <c r="H986" i="8"/>
  <c r="G986" i="8"/>
  <c r="F986" i="8"/>
  <c r="E986" i="8"/>
  <c r="D986" i="8"/>
  <c r="C986" i="8"/>
  <c r="B986" i="8"/>
  <c r="A986" i="8"/>
  <c r="M985" i="8"/>
  <c r="L985" i="8"/>
  <c r="K985" i="8"/>
  <c r="J985" i="8"/>
  <c r="I985" i="8"/>
  <c r="H985" i="8"/>
  <c r="G985" i="8"/>
  <c r="F985" i="8"/>
  <c r="E985" i="8"/>
  <c r="D985" i="8"/>
  <c r="C985" i="8"/>
  <c r="B985" i="8"/>
  <c r="A985" i="8"/>
  <c r="M984" i="8"/>
  <c r="K984" i="8"/>
  <c r="J984" i="8"/>
  <c r="I984" i="8"/>
  <c r="H984" i="8"/>
  <c r="G984" i="8"/>
  <c r="L984" i="8" s="1"/>
  <c r="F984" i="8"/>
  <c r="E984" i="8"/>
  <c r="D984" i="8"/>
  <c r="C984" i="8"/>
  <c r="B984" i="8"/>
  <c r="A984" i="8"/>
  <c r="M983" i="8"/>
  <c r="L983" i="8"/>
  <c r="K983" i="8"/>
  <c r="J983" i="8"/>
  <c r="I983" i="8"/>
  <c r="H983" i="8"/>
  <c r="G983" i="8"/>
  <c r="F983" i="8"/>
  <c r="E983" i="8"/>
  <c r="D983" i="8"/>
  <c r="C983" i="8"/>
  <c r="B983" i="8"/>
  <c r="A983" i="8"/>
  <c r="M982" i="8"/>
  <c r="K982" i="8"/>
  <c r="J982" i="8"/>
  <c r="I982" i="8"/>
  <c r="H982" i="8"/>
  <c r="G982" i="8"/>
  <c r="L982" i="8" s="1"/>
  <c r="F982" i="8"/>
  <c r="E982" i="8"/>
  <c r="D982" i="8"/>
  <c r="C982" i="8"/>
  <c r="B982" i="8"/>
  <c r="A982" i="8"/>
  <c r="M981" i="8"/>
  <c r="K981" i="8"/>
  <c r="J981" i="8"/>
  <c r="I981" i="8"/>
  <c r="H981" i="8"/>
  <c r="G981" i="8"/>
  <c r="L981" i="8" s="1"/>
  <c r="F981" i="8"/>
  <c r="E981" i="8"/>
  <c r="D981" i="8"/>
  <c r="C981" i="8"/>
  <c r="B981" i="8"/>
  <c r="A981" i="8"/>
  <c r="M980" i="8"/>
  <c r="L980" i="8"/>
  <c r="K980" i="8"/>
  <c r="J980" i="8"/>
  <c r="I980" i="8"/>
  <c r="H980" i="8"/>
  <c r="G980" i="8"/>
  <c r="F980" i="8"/>
  <c r="E980" i="8"/>
  <c r="D980" i="8"/>
  <c r="C980" i="8"/>
  <c r="B980" i="8"/>
  <c r="A980" i="8"/>
  <c r="M979" i="8"/>
  <c r="K979" i="8"/>
  <c r="J979" i="8"/>
  <c r="I979" i="8"/>
  <c r="H979" i="8"/>
  <c r="G979" i="8"/>
  <c r="L979" i="8" s="1"/>
  <c r="F979" i="8"/>
  <c r="E979" i="8"/>
  <c r="D979" i="8"/>
  <c r="C979" i="8"/>
  <c r="B979" i="8"/>
  <c r="A979" i="8"/>
  <c r="M978" i="8"/>
  <c r="L978" i="8"/>
  <c r="K978" i="8"/>
  <c r="J978" i="8"/>
  <c r="I978" i="8"/>
  <c r="H978" i="8"/>
  <c r="G978" i="8"/>
  <c r="F978" i="8"/>
  <c r="E978" i="8"/>
  <c r="D978" i="8"/>
  <c r="C978" i="8"/>
  <c r="B978" i="8"/>
  <c r="A978" i="8"/>
  <c r="M977" i="8"/>
  <c r="L977" i="8"/>
  <c r="K977" i="8"/>
  <c r="J977" i="8"/>
  <c r="I977" i="8"/>
  <c r="H977" i="8"/>
  <c r="G977" i="8"/>
  <c r="F977" i="8"/>
  <c r="E977" i="8"/>
  <c r="D977" i="8"/>
  <c r="C977" i="8"/>
  <c r="B977" i="8"/>
  <c r="A977" i="8"/>
  <c r="M976" i="8"/>
  <c r="K976" i="8"/>
  <c r="J976" i="8"/>
  <c r="I976" i="8"/>
  <c r="H976" i="8"/>
  <c r="G976" i="8"/>
  <c r="L976" i="8" s="1"/>
  <c r="F976" i="8"/>
  <c r="E976" i="8"/>
  <c r="D976" i="8"/>
  <c r="C976" i="8"/>
  <c r="B976" i="8"/>
  <c r="A976" i="8"/>
  <c r="M975" i="8"/>
  <c r="L975" i="8"/>
  <c r="K975" i="8"/>
  <c r="J975" i="8"/>
  <c r="I975" i="8"/>
  <c r="H975" i="8"/>
  <c r="G975" i="8"/>
  <c r="F975" i="8"/>
  <c r="E975" i="8"/>
  <c r="D975" i="8"/>
  <c r="C975" i="8"/>
  <c r="B975" i="8"/>
  <c r="A975" i="8"/>
  <c r="M974" i="8"/>
  <c r="K974" i="8"/>
  <c r="J974" i="8"/>
  <c r="I974" i="8"/>
  <c r="H974" i="8"/>
  <c r="G974" i="8"/>
  <c r="L974" i="8" s="1"/>
  <c r="F974" i="8"/>
  <c r="E974" i="8"/>
  <c r="D974" i="8"/>
  <c r="C974" i="8"/>
  <c r="B974" i="8"/>
  <c r="A974" i="8"/>
  <c r="M973" i="8"/>
  <c r="K973" i="8"/>
  <c r="J973" i="8"/>
  <c r="I973" i="8"/>
  <c r="H973" i="8"/>
  <c r="G973" i="8"/>
  <c r="L973" i="8" s="1"/>
  <c r="F973" i="8"/>
  <c r="E973" i="8"/>
  <c r="D973" i="8"/>
  <c r="C973" i="8"/>
  <c r="B973" i="8"/>
  <c r="A973" i="8"/>
  <c r="M972" i="8"/>
  <c r="L972" i="8"/>
  <c r="K972" i="8"/>
  <c r="J972" i="8"/>
  <c r="I972" i="8"/>
  <c r="H972" i="8"/>
  <c r="G972" i="8"/>
  <c r="F972" i="8"/>
  <c r="E972" i="8"/>
  <c r="D972" i="8"/>
  <c r="C972" i="8"/>
  <c r="B972" i="8"/>
  <c r="A972" i="8"/>
  <c r="M971" i="8"/>
  <c r="K971" i="8"/>
  <c r="J971" i="8"/>
  <c r="I971" i="8"/>
  <c r="H971" i="8"/>
  <c r="G971" i="8"/>
  <c r="L971" i="8" s="1"/>
  <c r="F971" i="8"/>
  <c r="E971" i="8"/>
  <c r="D971" i="8"/>
  <c r="C971" i="8"/>
  <c r="B971" i="8"/>
  <c r="A971" i="8"/>
  <c r="M970" i="8"/>
  <c r="L970" i="8"/>
  <c r="K970" i="8"/>
  <c r="J970" i="8"/>
  <c r="I970" i="8"/>
  <c r="H970" i="8"/>
  <c r="G970" i="8"/>
  <c r="F970" i="8"/>
  <c r="E970" i="8"/>
  <c r="D970" i="8"/>
  <c r="C970" i="8"/>
  <c r="B970" i="8"/>
  <c r="A970" i="8"/>
  <c r="M969" i="8"/>
  <c r="L969" i="8"/>
  <c r="K969" i="8"/>
  <c r="J969" i="8"/>
  <c r="I969" i="8"/>
  <c r="H969" i="8"/>
  <c r="G969" i="8"/>
  <c r="F969" i="8"/>
  <c r="E969" i="8"/>
  <c r="D969" i="8"/>
  <c r="C969" i="8"/>
  <c r="B969" i="8"/>
  <c r="A969" i="8"/>
  <c r="M968" i="8"/>
  <c r="K968" i="8"/>
  <c r="J968" i="8"/>
  <c r="I968" i="8"/>
  <c r="H968" i="8"/>
  <c r="G968" i="8"/>
  <c r="L968" i="8" s="1"/>
  <c r="F968" i="8"/>
  <c r="E968" i="8"/>
  <c r="D968" i="8"/>
  <c r="C968" i="8"/>
  <c r="B968" i="8"/>
  <c r="A968" i="8"/>
  <c r="M967" i="8"/>
  <c r="L967" i="8"/>
  <c r="K967" i="8"/>
  <c r="J967" i="8"/>
  <c r="I967" i="8"/>
  <c r="H967" i="8"/>
  <c r="G967" i="8"/>
  <c r="F967" i="8"/>
  <c r="E967" i="8"/>
  <c r="D967" i="8"/>
  <c r="C967" i="8"/>
  <c r="B967" i="8"/>
  <c r="A967" i="8"/>
  <c r="M966" i="8"/>
  <c r="K966" i="8"/>
  <c r="J966" i="8"/>
  <c r="I966" i="8"/>
  <c r="H966" i="8"/>
  <c r="G966" i="8"/>
  <c r="L966" i="8" s="1"/>
  <c r="F966" i="8"/>
  <c r="E966" i="8"/>
  <c r="D966" i="8"/>
  <c r="C966" i="8"/>
  <c r="B966" i="8"/>
  <c r="A966" i="8"/>
  <c r="M965" i="8"/>
  <c r="K965" i="8"/>
  <c r="J965" i="8"/>
  <c r="I965" i="8"/>
  <c r="H965" i="8"/>
  <c r="G965" i="8"/>
  <c r="L965" i="8" s="1"/>
  <c r="F965" i="8"/>
  <c r="E965" i="8"/>
  <c r="D965" i="8"/>
  <c r="C965" i="8"/>
  <c r="B965" i="8"/>
  <c r="A965" i="8"/>
  <c r="M964" i="8"/>
  <c r="L964" i="8"/>
  <c r="K964" i="8"/>
  <c r="J964" i="8"/>
  <c r="I964" i="8"/>
  <c r="H964" i="8"/>
  <c r="G964" i="8"/>
  <c r="F964" i="8"/>
  <c r="E964" i="8"/>
  <c r="D964" i="8"/>
  <c r="C964" i="8"/>
  <c r="B964" i="8"/>
  <c r="A964" i="8"/>
  <c r="M963" i="8"/>
  <c r="K963" i="8"/>
  <c r="J963" i="8"/>
  <c r="I963" i="8"/>
  <c r="H963" i="8"/>
  <c r="G963" i="8"/>
  <c r="L963" i="8" s="1"/>
  <c r="F963" i="8"/>
  <c r="E963" i="8"/>
  <c r="D963" i="8"/>
  <c r="C963" i="8"/>
  <c r="B963" i="8"/>
  <c r="A963" i="8"/>
  <c r="M962" i="8"/>
  <c r="L962" i="8"/>
  <c r="K962" i="8"/>
  <c r="J962" i="8"/>
  <c r="I962" i="8"/>
  <c r="H962" i="8"/>
  <c r="G962" i="8"/>
  <c r="F962" i="8"/>
  <c r="E962" i="8"/>
  <c r="D962" i="8"/>
  <c r="C962" i="8"/>
  <c r="B962" i="8"/>
  <c r="A962" i="8"/>
  <c r="M961" i="8"/>
  <c r="L961" i="8"/>
  <c r="K961" i="8"/>
  <c r="J961" i="8"/>
  <c r="I961" i="8"/>
  <c r="H961" i="8"/>
  <c r="G961" i="8"/>
  <c r="F961" i="8"/>
  <c r="E961" i="8"/>
  <c r="D961" i="8"/>
  <c r="C961" i="8"/>
  <c r="B961" i="8"/>
  <c r="A961" i="8"/>
  <c r="M960" i="8"/>
  <c r="K960" i="8"/>
  <c r="J960" i="8"/>
  <c r="I960" i="8"/>
  <c r="H960" i="8"/>
  <c r="G960" i="8"/>
  <c r="L960" i="8" s="1"/>
  <c r="F960" i="8"/>
  <c r="E960" i="8"/>
  <c r="D960" i="8"/>
  <c r="C960" i="8"/>
  <c r="B960" i="8"/>
  <c r="A960" i="8"/>
  <c r="M959" i="8"/>
  <c r="L959" i="8"/>
  <c r="K959" i="8"/>
  <c r="J959" i="8"/>
  <c r="I959" i="8"/>
  <c r="H959" i="8"/>
  <c r="G959" i="8"/>
  <c r="F959" i="8"/>
  <c r="E959" i="8"/>
  <c r="D959" i="8"/>
  <c r="C959" i="8"/>
  <c r="B959" i="8"/>
  <c r="A959" i="8"/>
  <c r="M958" i="8"/>
  <c r="K958" i="8"/>
  <c r="J958" i="8"/>
  <c r="I958" i="8"/>
  <c r="H958" i="8"/>
  <c r="G958" i="8"/>
  <c r="L958" i="8" s="1"/>
  <c r="F958" i="8"/>
  <c r="E958" i="8"/>
  <c r="D958" i="8"/>
  <c r="C958" i="8"/>
  <c r="B958" i="8"/>
  <c r="A958" i="8"/>
  <c r="M957" i="8"/>
  <c r="K957" i="8"/>
  <c r="J957" i="8"/>
  <c r="I957" i="8"/>
  <c r="H957" i="8"/>
  <c r="G957" i="8"/>
  <c r="L957" i="8" s="1"/>
  <c r="F957" i="8"/>
  <c r="E957" i="8"/>
  <c r="D957" i="8"/>
  <c r="C957" i="8"/>
  <c r="B957" i="8"/>
  <c r="A957" i="8"/>
  <c r="M956" i="8"/>
  <c r="L956" i="8"/>
  <c r="K956" i="8"/>
  <c r="J956" i="8"/>
  <c r="I956" i="8"/>
  <c r="H956" i="8"/>
  <c r="G956" i="8"/>
  <c r="F956" i="8"/>
  <c r="E956" i="8"/>
  <c r="D956" i="8"/>
  <c r="C956" i="8"/>
  <c r="B956" i="8"/>
  <c r="A956" i="8"/>
  <c r="M955" i="8"/>
  <c r="K955" i="8"/>
  <c r="J955" i="8"/>
  <c r="I955" i="8"/>
  <c r="H955" i="8"/>
  <c r="G955" i="8"/>
  <c r="L955" i="8" s="1"/>
  <c r="F955" i="8"/>
  <c r="E955" i="8"/>
  <c r="D955" i="8"/>
  <c r="C955" i="8"/>
  <c r="B955" i="8"/>
  <c r="A955" i="8"/>
  <c r="M954" i="8"/>
  <c r="L954" i="8"/>
  <c r="K954" i="8"/>
  <c r="J954" i="8"/>
  <c r="I954" i="8"/>
  <c r="H954" i="8"/>
  <c r="G954" i="8"/>
  <c r="F954" i="8"/>
  <c r="E954" i="8"/>
  <c r="D954" i="8"/>
  <c r="C954" i="8"/>
  <c r="B954" i="8"/>
  <c r="A954" i="8"/>
  <c r="M953" i="8"/>
  <c r="L953" i="8"/>
  <c r="K953" i="8"/>
  <c r="J953" i="8"/>
  <c r="I953" i="8"/>
  <c r="H953" i="8"/>
  <c r="G953" i="8"/>
  <c r="F953" i="8"/>
  <c r="E953" i="8"/>
  <c r="D953" i="8"/>
  <c r="C953" i="8"/>
  <c r="B953" i="8"/>
  <c r="A953" i="8"/>
  <c r="M952" i="8"/>
  <c r="K952" i="8"/>
  <c r="J952" i="8"/>
  <c r="I952" i="8"/>
  <c r="H952" i="8"/>
  <c r="G952" i="8"/>
  <c r="L952" i="8" s="1"/>
  <c r="F952" i="8"/>
  <c r="E952" i="8"/>
  <c r="D952" i="8"/>
  <c r="C952" i="8"/>
  <c r="B952" i="8"/>
  <c r="A952" i="8"/>
  <c r="M951" i="8"/>
  <c r="L951" i="8"/>
  <c r="K951" i="8"/>
  <c r="J951" i="8"/>
  <c r="I951" i="8"/>
  <c r="H951" i="8"/>
  <c r="G951" i="8"/>
  <c r="F951" i="8"/>
  <c r="E951" i="8"/>
  <c r="D951" i="8"/>
  <c r="C951" i="8"/>
  <c r="B951" i="8"/>
  <c r="A951" i="8"/>
  <c r="M950" i="8"/>
  <c r="K950" i="8"/>
  <c r="J950" i="8"/>
  <c r="I950" i="8"/>
  <c r="H950" i="8"/>
  <c r="G950" i="8"/>
  <c r="L950" i="8" s="1"/>
  <c r="F950" i="8"/>
  <c r="E950" i="8"/>
  <c r="D950" i="8"/>
  <c r="C950" i="8"/>
  <c r="B950" i="8"/>
  <c r="A950" i="8"/>
  <c r="M949" i="8"/>
  <c r="K949" i="8"/>
  <c r="J949" i="8"/>
  <c r="I949" i="8"/>
  <c r="H949" i="8"/>
  <c r="G949" i="8"/>
  <c r="L949" i="8" s="1"/>
  <c r="F949" i="8"/>
  <c r="E949" i="8"/>
  <c r="D949" i="8"/>
  <c r="C949" i="8"/>
  <c r="B949" i="8"/>
  <c r="A949" i="8"/>
  <c r="M948" i="8"/>
  <c r="L948" i="8"/>
  <c r="K948" i="8"/>
  <c r="J948" i="8"/>
  <c r="I948" i="8"/>
  <c r="H948" i="8"/>
  <c r="G948" i="8"/>
  <c r="F948" i="8"/>
  <c r="E948" i="8"/>
  <c r="D948" i="8"/>
  <c r="C948" i="8"/>
  <c r="B948" i="8"/>
  <c r="A948" i="8"/>
  <c r="M947" i="8"/>
  <c r="K947" i="8"/>
  <c r="J947" i="8"/>
  <c r="I947" i="8"/>
  <c r="H947" i="8"/>
  <c r="G947" i="8"/>
  <c r="L947" i="8" s="1"/>
  <c r="F947" i="8"/>
  <c r="E947" i="8"/>
  <c r="D947" i="8"/>
  <c r="C947" i="8"/>
  <c r="B947" i="8"/>
  <c r="A947" i="8"/>
  <c r="M946" i="8"/>
  <c r="L946" i="8"/>
  <c r="K946" i="8"/>
  <c r="J946" i="8"/>
  <c r="I946" i="8"/>
  <c r="H946" i="8"/>
  <c r="G946" i="8"/>
  <c r="F946" i="8"/>
  <c r="E946" i="8"/>
  <c r="D946" i="8"/>
  <c r="C946" i="8"/>
  <c r="B946" i="8"/>
  <c r="A946" i="8"/>
  <c r="M945" i="8"/>
  <c r="L945" i="8"/>
  <c r="K945" i="8"/>
  <c r="J945" i="8"/>
  <c r="I945" i="8"/>
  <c r="H945" i="8"/>
  <c r="G945" i="8"/>
  <c r="F945" i="8"/>
  <c r="E945" i="8"/>
  <c r="D945" i="8"/>
  <c r="C945" i="8"/>
  <c r="B945" i="8"/>
  <c r="A945" i="8"/>
  <c r="M944" i="8"/>
  <c r="K944" i="8"/>
  <c r="J944" i="8"/>
  <c r="I944" i="8"/>
  <c r="H944" i="8"/>
  <c r="G944" i="8"/>
  <c r="L944" i="8" s="1"/>
  <c r="F944" i="8"/>
  <c r="E944" i="8"/>
  <c r="D944" i="8"/>
  <c r="C944" i="8"/>
  <c r="B944" i="8"/>
  <c r="A944" i="8"/>
  <c r="M943" i="8"/>
  <c r="L943" i="8"/>
  <c r="K943" i="8"/>
  <c r="J943" i="8"/>
  <c r="I943" i="8"/>
  <c r="H943" i="8"/>
  <c r="G943" i="8"/>
  <c r="F943" i="8"/>
  <c r="E943" i="8"/>
  <c r="D943" i="8"/>
  <c r="C943" i="8"/>
  <c r="B943" i="8"/>
  <c r="A943" i="8"/>
  <c r="M942" i="8"/>
  <c r="K942" i="8"/>
  <c r="J942" i="8"/>
  <c r="I942" i="8"/>
  <c r="H942" i="8"/>
  <c r="G942" i="8"/>
  <c r="L942" i="8" s="1"/>
  <c r="F942" i="8"/>
  <c r="E942" i="8"/>
  <c r="D942" i="8"/>
  <c r="C942" i="8"/>
  <c r="B942" i="8"/>
  <c r="A942" i="8"/>
  <c r="M941" i="8"/>
  <c r="K941" i="8"/>
  <c r="J941" i="8"/>
  <c r="I941" i="8"/>
  <c r="H941" i="8"/>
  <c r="G941" i="8"/>
  <c r="L941" i="8" s="1"/>
  <c r="F941" i="8"/>
  <c r="E941" i="8"/>
  <c r="D941" i="8"/>
  <c r="C941" i="8"/>
  <c r="B941" i="8"/>
  <c r="A941" i="8"/>
  <c r="M940" i="8"/>
  <c r="L940" i="8"/>
  <c r="K940" i="8"/>
  <c r="J940" i="8"/>
  <c r="I940" i="8"/>
  <c r="H940" i="8"/>
  <c r="G940" i="8"/>
  <c r="F940" i="8"/>
  <c r="E940" i="8"/>
  <c r="D940" i="8"/>
  <c r="C940" i="8"/>
  <c r="B940" i="8"/>
  <c r="A940" i="8"/>
  <c r="M939" i="8"/>
  <c r="K939" i="8"/>
  <c r="J939" i="8"/>
  <c r="I939" i="8"/>
  <c r="H939" i="8"/>
  <c r="G939" i="8"/>
  <c r="L939" i="8" s="1"/>
  <c r="F939" i="8"/>
  <c r="E939" i="8"/>
  <c r="D939" i="8"/>
  <c r="C939" i="8"/>
  <c r="B939" i="8"/>
  <c r="A939" i="8"/>
  <c r="M938" i="8"/>
  <c r="L938" i="8"/>
  <c r="K938" i="8"/>
  <c r="J938" i="8"/>
  <c r="I938" i="8"/>
  <c r="H938" i="8"/>
  <c r="G938" i="8"/>
  <c r="F938" i="8"/>
  <c r="E938" i="8"/>
  <c r="D938" i="8"/>
  <c r="C938" i="8"/>
  <c r="B938" i="8"/>
  <c r="A938" i="8"/>
  <c r="M937" i="8"/>
  <c r="L937" i="8"/>
  <c r="K937" i="8"/>
  <c r="J937" i="8"/>
  <c r="I937" i="8"/>
  <c r="H937" i="8"/>
  <c r="G937" i="8"/>
  <c r="F937" i="8"/>
  <c r="E937" i="8"/>
  <c r="D937" i="8"/>
  <c r="C937" i="8"/>
  <c r="B937" i="8"/>
  <c r="A937" i="8"/>
  <c r="M936" i="8"/>
  <c r="K936" i="8"/>
  <c r="J936" i="8"/>
  <c r="I936" i="8"/>
  <c r="H936" i="8"/>
  <c r="G936" i="8"/>
  <c r="L936" i="8" s="1"/>
  <c r="F936" i="8"/>
  <c r="E936" i="8"/>
  <c r="D936" i="8"/>
  <c r="C936" i="8"/>
  <c r="B936" i="8"/>
  <c r="A936" i="8"/>
  <c r="M935" i="8"/>
  <c r="L935" i="8"/>
  <c r="K935" i="8"/>
  <c r="J935" i="8"/>
  <c r="I935" i="8"/>
  <c r="H935" i="8"/>
  <c r="G935" i="8"/>
  <c r="F935" i="8"/>
  <c r="E935" i="8"/>
  <c r="D935" i="8"/>
  <c r="C935" i="8"/>
  <c r="B935" i="8"/>
  <c r="A935" i="8"/>
  <c r="M934" i="8"/>
  <c r="K934" i="8"/>
  <c r="J934" i="8"/>
  <c r="I934" i="8"/>
  <c r="H934" i="8"/>
  <c r="G934" i="8"/>
  <c r="L934" i="8" s="1"/>
  <c r="F934" i="8"/>
  <c r="E934" i="8"/>
  <c r="D934" i="8"/>
  <c r="C934" i="8"/>
  <c r="B934" i="8"/>
  <c r="A934" i="8"/>
  <c r="M933" i="8"/>
  <c r="K933" i="8"/>
  <c r="J933" i="8"/>
  <c r="I933" i="8"/>
  <c r="H933" i="8"/>
  <c r="G933" i="8"/>
  <c r="L933" i="8" s="1"/>
  <c r="F933" i="8"/>
  <c r="E933" i="8"/>
  <c r="D933" i="8"/>
  <c r="C933" i="8"/>
  <c r="B933" i="8"/>
  <c r="A933" i="8"/>
  <c r="M932" i="8"/>
  <c r="L932" i="8"/>
  <c r="K932" i="8"/>
  <c r="J932" i="8"/>
  <c r="I932" i="8"/>
  <c r="H932" i="8"/>
  <c r="G932" i="8"/>
  <c r="F932" i="8"/>
  <c r="E932" i="8"/>
  <c r="D932" i="8"/>
  <c r="C932" i="8"/>
  <c r="B932" i="8"/>
  <c r="A932" i="8"/>
  <c r="M931" i="8"/>
  <c r="K931" i="8"/>
  <c r="J931" i="8"/>
  <c r="I931" i="8"/>
  <c r="H931" i="8"/>
  <c r="G931" i="8"/>
  <c r="L931" i="8" s="1"/>
  <c r="F931" i="8"/>
  <c r="E931" i="8"/>
  <c r="D931" i="8"/>
  <c r="C931" i="8"/>
  <c r="B931" i="8"/>
  <c r="A931" i="8"/>
  <c r="M930" i="8"/>
  <c r="L930" i="8"/>
  <c r="K930" i="8"/>
  <c r="J930" i="8"/>
  <c r="I930" i="8"/>
  <c r="H930" i="8"/>
  <c r="G930" i="8"/>
  <c r="F930" i="8"/>
  <c r="E930" i="8"/>
  <c r="D930" i="8"/>
  <c r="C930" i="8"/>
  <c r="B930" i="8"/>
  <c r="A930" i="8"/>
  <c r="M929" i="8"/>
  <c r="L929" i="8"/>
  <c r="K929" i="8"/>
  <c r="J929" i="8"/>
  <c r="I929" i="8"/>
  <c r="H929" i="8"/>
  <c r="G929" i="8"/>
  <c r="F929" i="8"/>
  <c r="E929" i="8"/>
  <c r="D929" i="8"/>
  <c r="C929" i="8"/>
  <c r="B929" i="8"/>
  <c r="A929" i="8"/>
  <c r="M928" i="8"/>
  <c r="K928" i="8"/>
  <c r="J928" i="8"/>
  <c r="I928" i="8"/>
  <c r="H928" i="8"/>
  <c r="G928" i="8"/>
  <c r="L928" i="8" s="1"/>
  <c r="F928" i="8"/>
  <c r="E928" i="8"/>
  <c r="D928" i="8"/>
  <c r="C928" i="8"/>
  <c r="B928" i="8"/>
  <c r="A928" i="8"/>
  <c r="M927" i="8"/>
  <c r="L927" i="8"/>
  <c r="K927" i="8"/>
  <c r="J927" i="8"/>
  <c r="I927" i="8"/>
  <c r="H927" i="8"/>
  <c r="G927" i="8"/>
  <c r="F927" i="8"/>
  <c r="E927" i="8"/>
  <c r="D927" i="8"/>
  <c r="C927" i="8"/>
  <c r="B927" i="8"/>
  <c r="A927" i="8"/>
  <c r="M926" i="8"/>
  <c r="K926" i="8"/>
  <c r="J926" i="8"/>
  <c r="I926" i="8"/>
  <c r="H926" i="8"/>
  <c r="G926" i="8"/>
  <c r="L926" i="8" s="1"/>
  <c r="F926" i="8"/>
  <c r="E926" i="8"/>
  <c r="D926" i="8"/>
  <c r="C926" i="8"/>
  <c r="B926" i="8"/>
  <c r="A926" i="8"/>
  <c r="M925" i="8"/>
  <c r="K925" i="8"/>
  <c r="J925" i="8"/>
  <c r="I925" i="8"/>
  <c r="H925" i="8"/>
  <c r="G925" i="8"/>
  <c r="L925" i="8" s="1"/>
  <c r="F925" i="8"/>
  <c r="E925" i="8"/>
  <c r="D925" i="8"/>
  <c r="C925" i="8"/>
  <c r="B925" i="8"/>
  <c r="A925" i="8"/>
  <c r="M924" i="8"/>
  <c r="L924" i="8"/>
  <c r="K924" i="8"/>
  <c r="J924" i="8"/>
  <c r="I924" i="8"/>
  <c r="H924" i="8"/>
  <c r="G924" i="8"/>
  <c r="F924" i="8"/>
  <c r="E924" i="8"/>
  <c r="D924" i="8"/>
  <c r="C924" i="8"/>
  <c r="B924" i="8"/>
  <c r="A924" i="8"/>
  <c r="M923" i="8"/>
  <c r="K923" i="8"/>
  <c r="J923" i="8"/>
  <c r="I923" i="8"/>
  <c r="H923" i="8"/>
  <c r="G923" i="8"/>
  <c r="L923" i="8" s="1"/>
  <c r="F923" i="8"/>
  <c r="E923" i="8"/>
  <c r="D923" i="8"/>
  <c r="C923" i="8"/>
  <c r="B923" i="8"/>
  <c r="A923" i="8"/>
  <c r="M922" i="8"/>
  <c r="L922" i="8"/>
  <c r="K922" i="8"/>
  <c r="J922" i="8"/>
  <c r="I922" i="8"/>
  <c r="H922" i="8"/>
  <c r="G922" i="8"/>
  <c r="F922" i="8"/>
  <c r="E922" i="8"/>
  <c r="D922" i="8"/>
  <c r="C922" i="8"/>
  <c r="B922" i="8"/>
  <c r="A922" i="8"/>
  <c r="M921" i="8"/>
  <c r="L921" i="8"/>
  <c r="K921" i="8"/>
  <c r="J921" i="8"/>
  <c r="I921" i="8"/>
  <c r="H921" i="8"/>
  <c r="G921" i="8"/>
  <c r="F921" i="8"/>
  <c r="E921" i="8"/>
  <c r="D921" i="8"/>
  <c r="C921" i="8"/>
  <c r="B921" i="8"/>
  <c r="A921" i="8"/>
  <c r="M920" i="8"/>
  <c r="K920" i="8"/>
  <c r="J920" i="8"/>
  <c r="I920" i="8"/>
  <c r="H920" i="8"/>
  <c r="G920" i="8"/>
  <c r="L920" i="8" s="1"/>
  <c r="F920" i="8"/>
  <c r="E920" i="8"/>
  <c r="D920" i="8"/>
  <c r="C920" i="8"/>
  <c r="B920" i="8"/>
  <c r="A920" i="8"/>
  <c r="M919" i="8"/>
  <c r="L919" i="8"/>
  <c r="K919" i="8"/>
  <c r="J919" i="8"/>
  <c r="I919" i="8"/>
  <c r="H919" i="8"/>
  <c r="G919" i="8"/>
  <c r="F919" i="8"/>
  <c r="E919" i="8"/>
  <c r="D919" i="8"/>
  <c r="C919" i="8"/>
  <c r="B919" i="8"/>
  <c r="A919" i="8"/>
  <c r="M918" i="8"/>
  <c r="K918" i="8"/>
  <c r="J918" i="8"/>
  <c r="I918" i="8"/>
  <c r="H918" i="8"/>
  <c r="G918" i="8"/>
  <c r="L918" i="8" s="1"/>
  <c r="F918" i="8"/>
  <c r="E918" i="8"/>
  <c r="D918" i="8"/>
  <c r="C918" i="8"/>
  <c r="B918" i="8"/>
  <c r="A918" i="8"/>
  <c r="M917" i="8"/>
  <c r="K917" i="8"/>
  <c r="J917" i="8"/>
  <c r="I917" i="8"/>
  <c r="H917" i="8"/>
  <c r="G917" i="8"/>
  <c r="L917" i="8" s="1"/>
  <c r="F917" i="8"/>
  <c r="E917" i="8"/>
  <c r="D917" i="8"/>
  <c r="C917" i="8"/>
  <c r="B917" i="8"/>
  <c r="A917" i="8"/>
  <c r="M916" i="8"/>
  <c r="L916" i="8"/>
  <c r="K916" i="8"/>
  <c r="J916" i="8"/>
  <c r="I916" i="8"/>
  <c r="H916" i="8"/>
  <c r="G916" i="8"/>
  <c r="F916" i="8"/>
  <c r="E916" i="8"/>
  <c r="D916" i="8"/>
  <c r="C916" i="8"/>
  <c r="B916" i="8"/>
  <c r="A916" i="8"/>
  <c r="M915" i="8"/>
  <c r="K915" i="8"/>
  <c r="J915" i="8"/>
  <c r="I915" i="8"/>
  <c r="H915" i="8"/>
  <c r="G915" i="8"/>
  <c r="L915" i="8" s="1"/>
  <c r="F915" i="8"/>
  <c r="E915" i="8"/>
  <c r="D915" i="8"/>
  <c r="C915" i="8"/>
  <c r="B915" i="8"/>
  <c r="A915" i="8"/>
  <c r="M914" i="8"/>
  <c r="L914" i="8"/>
  <c r="K914" i="8"/>
  <c r="J914" i="8"/>
  <c r="I914" i="8"/>
  <c r="H914" i="8"/>
  <c r="G914" i="8"/>
  <c r="F914" i="8"/>
  <c r="E914" i="8"/>
  <c r="D914" i="8"/>
  <c r="C914" i="8"/>
  <c r="B914" i="8"/>
  <c r="A914" i="8"/>
  <c r="M913" i="8"/>
  <c r="L913" i="8"/>
  <c r="K913" i="8"/>
  <c r="J913" i="8"/>
  <c r="I913" i="8"/>
  <c r="H913" i="8"/>
  <c r="G913" i="8"/>
  <c r="F913" i="8"/>
  <c r="E913" i="8"/>
  <c r="D913" i="8"/>
  <c r="C913" i="8"/>
  <c r="B913" i="8"/>
  <c r="A913" i="8"/>
  <c r="M912" i="8"/>
  <c r="K912" i="8"/>
  <c r="J912" i="8"/>
  <c r="I912" i="8"/>
  <c r="H912" i="8"/>
  <c r="G912" i="8"/>
  <c r="L912" i="8" s="1"/>
  <c r="F912" i="8"/>
  <c r="E912" i="8"/>
  <c r="D912" i="8"/>
  <c r="C912" i="8"/>
  <c r="B912" i="8"/>
  <c r="A912" i="8"/>
  <c r="M911" i="8"/>
  <c r="L911" i="8"/>
  <c r="K911" i="8"/>
  <c r="J911" i="8"/>
  <c r="I911" i="8"/>
  <c r="H911" i="8"/>
  <c r="G911" i="8"/>
  <c r="F911" i="8"/>
  <c r="E911" i="8"/>
  <c r="D911" i="8"/>
  <c r="C911" i="8"/>
  <c r="B911" i="8"/>
  <c r="A911" i="8"/>
  <c r="M910" i="8"/>
  <c r="K910" i="8"/>
  <c r="J910" i="8"/>
  <c r="I910" i="8"/>
  <c r="H910" i="8"/>
  <c r="G910" i="8"/>
  <c r="L910" i="8" s="1"/>
  <c r="F910" i="8"/>
  <c r="E910" i="8"/>
  <c r="D910" i="8"/>
  <c r="C910" i="8"/>
  <c r="B910" i="8"/>
  <c r="A910" i="8"/>
  <c r="M909" i="8"/>
  <c r="K909" i="8"/>
  <c r="J909" i="8"/>
  <c r="I909" i="8"/>
  <c r="H909" i="8"/>
  <c r="G909" i="8"/>
  <c r="L909" i="8" s="1"/>
  <c r="F909" i="8"/>
  <c r="E909" i="8"/>
  <c r="D909" i="8"/>
  <c r="C909" i="8"/>
  <c r="B909" i="8"/>
  <c r="A909" i="8"/>
  <c r="M908" i="8"/>
  <c r="L908" i="8"/>
  <c r="K908" i="8"/>
  <c r="J908" i="8"/>
  <c r="I908" i="8"/>
  <c r="H908" i="8"/>
  <c r="G908" i="8"/>
  <c r="F908" i="8"/>
  <c r="E908" i="8"/>
  <c r="D908" i="8"/>
  <c r="C908" i="8"/>
  <c r="B908" i="8"/>
  <c r="A908" i="8"/>
  <c r="M907" i="8"/>
  <c r="K907" i="8"/>
  <c r="J907" i="8"/>
  <c r="I907" i="8"/>
  <c r="H907" i="8"/>
  <c r="G907" i="8"/>
  <c r="L907" i="8" s="1"/>
  <c r="F907" i="8"/>
  <c r="E907" i="8"/>
  <c r="D907" i="8"/>
  <c r="C907" i="8"/>
  <c r="B907" i="8"/>
  <c r="A907" i="8"/>
  <c r="M906" i="8"/>
  <c r="L906" i="8"/>
  <c r="K906" i="8"/>
  <c r="J906" i="8"/>
  <c r="I906" i="8"/>
  <c r="H906" i="8"/>
  <c r="G906" i="8"/>
  <c r="F906" i="8"/>
  <c r="E906" i="8"/>
  <c r="D906" i="8"/>
  <c r="C906" i="8"/>
  <c r="B906" i="8"/>
  <c r="A906" i="8"/>
  <c r="M905" i="8"/>
  <c r="L905" i="8"/>
  <c r="K905" i="8"/>
  <c r="J905" i="8"/>
  <c r="I905" i="8"/>
  <c r="H905" i="8"/>
  <c r="G905" i="8"/>
  <c r="F905" i="8"/>
  <c r="E905" i="8"/>
  <c r="D905" i="8"/>
  <c r="C905" i="8"/>
  <c r="B905" i="8"/>
  <c r="A905" i="8"/>
  <c r="M904" i="8"/>
  <c r="K904" i="8"/>
  <c r="J904" i="8"/>
  <c r="I904" i="8"/>
  <c r="H904" i="8"/>
  <c r="G904" i="8"/>
  <c r="L904" i="8" s="1"/>
  <c r="F904" i="8"/>
  <c r="E904" i="8"/>
  <c r="D904" i="8"/>
  <c r="C904" i="8"/>
  <c r="B904" i="8"/>
  <c r="A904" i="8"/>
  <c r="M903" i="8"/>
  <c r="L903" i="8"/>
  <c r="K903" i="8"/>
  <c r="J903" i="8"/>
  <c r="I903" i="8"/>
  <c r="H903" i="8"/>
  <c r="G903" i="8"/>
  <c r="F903" i="8"/>
  <c r="E903" i="8"/>
  <c r="D903" i="8"/>
  <c r="C903" i="8"/>
  <c r="B903" i="8"/>
  <c r="A903" i="8"/>
  <c r="M902" i="8"/>
  <c r="K902" i="8"/>
  <c r="J902" i="8"/>
  <c r="I902" i="8"/>
  <c r="H902" i="8"/>
  <c r="G902" i="8"/>
  <c r="L902" i="8" s="1"/>
  <c r="F902" i="8"/>
  <c r="E902" i="8"/>
  <c r="D902" i="8"/>
  <c r="C902" i="8"/>
  <c r="B902" i="8"/>
  <c r="A902" i="8"/>
  <c r="M901" i="8"/>
  <c r="K901" i="8"/>
  <c r="J901" i="8"/>
  <c r="I901" i="8"/>
  <c r="H901" i="8"/>
  <c r="G901" i="8"/>
  <c r="L901" i="8" s="1"/>
  <c r="F901" i="8"/>
  <c r="E901" i="8"/>
  <c r="D901" i="8"/>
  <c r="C901" i="8"/>
  <c r="B901" i="8"/>
  <c r="A901" i="8"/>
  <c r="M900" i="8"/>
  <c r="L900" i="8"/>
  <c r="K900" i="8"/>
  <c r="J900" i="8"/>
  <c r="I900" i="8"/>
  <c r="H900" i="8"/>
  <c r="G900" i="8"/>
  <c r="F900" i="8"/>
  <c r="E900" i="8"/>
  <c r="D900" i="8"/>
  <c r="C900" i="8"/>
  <c r="B900" i="8"/>
  <c r="A900" i="8"/>
  <c r="M899" i="8"/>
  <c r="K899" i="8"/>
  <c r="J899" i="8"/>
  <c r="I899" i="8"/>
  <c r="H899" i="8"/>
  <c r="G899" i="8"/>
  <c r="L899" i="8" s="1"/>
  <c r="F899" i="8"/>
  <c r="E899" i="8"/>
  <c r="D899" i="8"/>
  <c r="C899" i="8"/>
  <c r="B899" i="8"/>
  <c r="A899" i="8"/>
  <c r="M898" i="8"/>
  <c r="L898" i="8"/>
  <c r="K898" i="8"/>
  <c r="J898" i="8"/>
  <c r="I898" i="8"/>
  <c r="H898" i="8"/>
  <c r="G898" i="8"/>
  <c r="F898" i="8"/>
  <c r="E898" i="8"/>
  <c r="D898" i="8"/>
  <c r="C898" i="8"/>
  <c r="B898" i="8"/>
  <c r="A898" i="8"/>
  <c r="M897" i="8"/>
  <c r="L897" i="8"/>
  <c r="K897" i="8"/>
  <c r="J897" i="8"/>
  <c r="I897" i="8"/>
  <c r="H897" i="8"/>
  <c r="G897" i="8"/>
  <c r="F897" i="8"/>
  <c r="E897" i="8"/>
  <c r="D897" i="8"/>
  <c r="C897" i="8"/>
  <c r="B897" i="8"/>
  <c r="A897" i="8"/>
  <c r="M896" i="8"/>
  <c r="K896" i="8"/>
  <c r="J896" i="8"/>
  <c r="I896" i="8"/>
  <c r="H896" i="8"/>
  <c r="G896" i="8"/>
  <c r="L896" i="8" s="1"/>
  <c r="F896" i="8"/>
  <c r="E896" i="8"/>
  <c r="D896" i="8"/>
  <c r="C896" i="8"/>
  <c r="B896" i="8"/>
  <c r="A896" i="8"/>
  <c r="M895" i="8"/>
  <c r="L895" i="8"/>
  <c r="K895" i="8"/>
  <c r="J895" i="8"/>
  <c r="I895" i="8"/>
  <c r="H895" i="8"/>
  <c r="G895" i="8"/>
  <c r="F895" i="8"/>
  <c r="E895" i="8"/>
  <c r="D895" i="8"/>
  <c r="C895" i="8"/>
  <c r="B895" i="8"/>
  <c r="A895" i="8"/>
  <c r="M894" i="8"/>
  <c r="K894" i="8"/>
  <c r="J894" i="8"/>
  <c r="I894" i="8"/>
  <c r="H894" i="8"/>
  <c r="G894" i="8"/>
  <c r="L894" i="8" s="1"/>
  <c r="F894" i="8"/>
  <c r="E894" i="8"/>
  <c r="D894" i="8"/>
  <c r="C894" i="8"/>
  <c r="B894" i="8"/>
  <c r="A894" i="8"/>
  <c r="M893" i="8"/>
  <c r="K893" i="8"/>
  <c r="J893" i="8"/>
  <c r="I893" i="8"/>
  <c r="H893" i="8"/>
  <c r="G893" i="8"/>
  <c r="L893" i="8" s="1"/>
  <c r="F893" i="8"/>
  <c r="E893" i="8"/>
  <c r="D893" i="8"/>
  <c r="C893" i="8"/>
  <c r="B893" i="8"/>
  <c r="A893" i="8"/>
  <c r="M892" i="8"/>
  <c r="L892" i="8"/>
  <c r="K892" i="8"/>
  <c r="J892" i="8"/>
  <c r="I892" i="8"/>
  <c r="H892" i="8"/>
  <c r="G892" i="8"/>
  <c r="F892" i="8"/>
  <c r="E892" i="8"/>
  <c r="D892" i="8"/>
  <c r="C892" i="8"/>
  <c r="B892" i="8"/>
  <c r="A892" i="8"/>
  <c r="M891" i="8"/>
  <c r="K891" i="8"/>
  <c r="J891" i="8"/>
  <c r="I891" i="8"/>
  <c r="H891" i="8"/>
  <c r="G891" i="8"/>
  <c r="L891" i="8" s="1"/>
  <c r="F891" i="8"/>
  <c r="E891" i="8"/>
  <c r="D891" i="8"/>
  <c r="C891" i="8"/>
  <c r="B891" i="8"/>
  <c r="A891" i="8"/>
  <c r="M890" i="8"/>
  <c r="L890" i="8"/>
  <c r="K890" i="8"/>
  <c r="J890" i="8"/>
  <c r="I890" i="8"/>
  <c r="H890" i="8"/>
  <c r="G890" i="8"/>
  <c r="F890" i="8"/>
  <c r="E890" i="8"/>
  <c r="D890" i="8"/>
  <c r="C890" i="8"/>
  <c r="B890" i="8"/>
  <c r="A890" i="8"/>
  <c r="M889" i="8"/>
  <c r="L889" i="8"/>
  <c r="K889" i="8"/>
  <c r="J889" i="8"/>
  <c r="I889" i="8"/>
  <c r="H889" i="8"/>
  <c r="G889" i="8"/>
  <c r="F889" i="8"/>
  <c r="E889" i="8"/>
  <c r="D889" i="8"/>
  <c r="C889" i="8"/>
  <c r="B889" i="8"/>
  <c r="A889" i="8"/>
  <c r="M888" i="8"/>
  <c r="K888" i="8"/>
  <c r="J888" i="8"/>
  <c r="I888" i="8"/>
  <c r="H888" i="8"/>
  <c r="G888" i="8"/>
  <c r="L888" i="8" s="1"/>
  <c r="F888" i="8"/>
  <c r="E888" i="8"/>
  <c r="D888" i="8"/>
  <c r="C888" i="8"/>
  <c r="B888" i="8"/>
  <c r="A888" i="8"/>
  <c r="M887" i="8"/>
  <c r="L887" i="8"/>
  <c r="K887" i="8"/>
  <c r="J887" i="8"/>
  <c r="I887" i="8"/>
  <c r="H887" i="8"/>
  <c r="G887" i="8"/>
  <c r="F887" i="8"/>
  <c r="E887" i="8"/>
  <c r="D887" i="8"/>
  <c r="C887" i="8"/>
  <c r="B887" i="8"/>
  <c r="A887" i="8"/>
  <c r="M886" i="8"/>
  <c r="K886" i="8"/>
  <c r="J886" i="8"/>
  <c r="I886" i="8"/>
  <c r="H886" i="8"/>
  <c r="G886" i="8"/>
  <c r="L886" i="8" s="1"/>
  <c r="F886" i="8"/>
  <c r="E886" i="8"/>
  <c r="D886" i="8"/>
  <c r="C886" i="8"/>
  <c r="B886" i="8"/>
  <c r="A886" i="8"/>
  <c r="M885" i="8"/>
  <c r="K885" i="8"/>
  <c r="J885" i="8"/>
  <c r="I885" i="8"/>
  <c r="H885" i="8"/>
  <c r="G885" i="8"/>
  <c r="L885" i="8" s="1"/>
  <c r="F885" i="8"/>
  <c r="E885" i="8"/>
  <c r="D885" i="8"/>
  <c r="C885" i="8"/>
  <c r="B885" i="8"/>
  <c r="A885" i="8"/>
  <c r="M884" i="8"/>
  <c r="L884" i="8"/>
  <c r="K884" i="8"/>
  <c r="J884" i="8"/>
  <c r="I884" i="8"/>
  <c r="H884" i="8"/>
  <c r="G884" i="8"/>
  <c r="F884" i="8"/>
  <c r="E884" i="8"/>
  <c r="D884" i="8"/>
  <c r="C884" i="8"/>
  <c r="B884" i="8"/>
  <c r="A884" i="8"/>
  <c r="M883" i="8"/>
  <c r="K883" i="8"/>
  <c r="J883" i="8"/>
  <c r="I883" i="8"/>
  <c r="H883" i="8"/>
  <c r="G883" i="8"/>
  <c r="L883" i="8" s="1"/>
  <c r="F883" i="8"/>
  <c r="E883" i="8"/>
  <c r="D883" i="8"/>
  <c r="C883" i="8"/>
  <c r="B883" i="8"/>
  <c r="A883" i="8"/>
  <c r="M882" i="8"/>
  <c r="L882" i="8"/>
  <c r="K882" i="8"/>
  <c r="J882" i="8"/>
  <c r="I882" i="8"/>
  <c r="H882" i="8"/>
  <c r="G882" i="8"/>
  <c r="F882" i="8"/>
  <c r="E882" i="8"/>
  <c r="D882" i="8"/>
  <c r="C882" i="8"/>
  <c r="B882" i="8"/>
  <c r="A882" i="8"/>
  <c r="M881" i="8"/>
  <c r="L881" i="8"/>
  <c r="K881" i="8"/>
  <c r="J881" i="8"/>
  <c r="I881" i="8"/>
  <c r="H881" i="8"/>
  <c r="G881" i="8"/>
  <c r="F881" i="8"/>
  <c r="E881" i="8"/>
  <c r="D881" i="8"/>
  <c r="C881" i="8"/>
  <c r="B881" i="8"/>
  <c r="A881" i="8"/>
  <c r="M880" i="8"/>
  <c r="K880" i="8"/>
  <c r="J880" i="8"/>
  <c r="I880" i="8"/>
  <c r="H880" i="8"/>
  <c r="G880" i="8"/>
  <c r="L880" i="8" s="1"/>
  <c r="F880" i="8"/>
  <c r="E880" i="8"/>
  <c r="D880" i="8"/>
  <c r="C880" i="8"/>
  <c r="B880" i="8"/>
  <c r="A880" i="8"/>
  <c r="M879" i="8"/>
  <c r="L879" i="8"/>
  <c r="K879" i="8"/>
  <c r="J879" i="8"/>
  <c r="I879" i="8"/>
  <c r="H879" i="8"/>
  <c r="G879" i="8"/>
  <c r="F879" i="8"/>
  <c r="E879" i="8"/>
  <c r="D879" i="8"/>
  <c r="C879" i="8"/>
  <c r="B879" i="8"/>
  <c r="A879" i="8"/>
  <c r="M878" i="8"/>
  <c r="K878" i="8"/>
  <c r="J878" i="8"/>
  <c r="I878" i="8"/>
  <c r="H878" i="8"/>
  <c r="G878" i="8"/>
  <c r="L878" i="8" s="1"/>
  <c r="F878" i="8"/>
  <c r="E878" i="8"/>
  <c r="D878" i="8"/>
  <c r="C878" i="8"/>
  <c r="B878" i="8"/>
  <c r="A878" i="8"/>
  <c r="M877" i="8"/>
  <c r="K877" i="8"/>
  <c r="J877" i="8"/>
  <c r="I877" i="8"/>
  <c r="H877" i="8"/>
  <c r="G877" i="8"/>
  <c r="L877" i="8" s="1"/>
  <c r="F877" i="8"/>
  <c r="E877" i="8"/>
  <c r="D877" i="8"/>
  <c r="C877" i="8"/>
  <c r="B877" i="8"/>
  <c r="A877" i="8"/>
  <c r="M876" i="8"/>
  <c r="L876" i="8"/>
  <c r="K876" i="8"/>
  <c r="J876" i="8"/>
  <c r="I876" i="8"/>
  <c r="H876" i="8"/>
  <c r="G876" i="8"/>
  <c r="F876" i="8"/>
  <c r="E876" i="8"/>
  <c r="D876" i="8"/>
  <c r="C876" i="8"/>
  <c r="B876" i="8"/>
  <c r="A876" i="8"/>
  <c r="M875" i="8"/>
  <c r="K875" i="8"/>
  <c r="J875" i="8"/>
  <c r="I875" i="8"/>
  <c r="H875" i="8"/>
  <c r="G875" i="8"/>
  <c r="L875" i="8" s="1"/>
  <c r="F875" i="8"/>
  <c r="E875" i="8"/>
  <c r="D875" i="8"/>
  <c r="C875" i="8"/>
  <c r="B875" i="8"/>
  <c r="A875" i="8"/>
  <c r="M874" i="8"/>
  <c r="L874" i="8"/>
  <c r="K874" i="8"/>
  <c r="J874" i="8"/>
  <c r="I874" i="8"/>
  <c r="H874" i="8"/>
  <c r="G874" i="8"/>
  <c r="F874" i="8"/>
  <c r="E874" i="8"/>
  <c r="D874" i="8"/>
  <c r="C874" i="8"/>
  <c r="B874" i="8"/>
  <c r="A874" i="8"/>
  <c r="M873" i="8"/>
  <c r="L873" i="8"/>
  <c r="K873" i="8"/>
  <c r="J873" i="8"/>
  <c r="I873" i="8"/>
  <c r="H873" i="8"/>
  <c r="G873" i="8"/>
  <c r="F873" i="8"/>
  <c r="E873" i="8"/>
  <c r="D873" i="8"/>
  <c r="C873" i="8"/>
  <c r="B873" i="8"/>
  <c r="A873" i="8"/>
  <c r="M872" i="8"/>
  <c r="K872" i="8"/>
  <c r="J872" i="8"/>
  <c r="I872" i="8"/>
  <c r="H872" i="8"/>
  <c r="G872" i="8"/>
  <c r="L872" i="8" s="1"/>
  <c r="F872" i="8"/>
  <c r="E872" i="8"/>
  <c r="D872" i="8"/>
  <c r="C872" i="8"/>
  <c r="B872" i="8"/>
  <c r="A872" i="8"/>
  <c r="M871" i="8"/>
  <c r="L871" i="8"/>
  <c r="K871" i="8"/>
  <c r="J871" i="8"/>
  <c r="I871" i="8"/>
  <c r="H871" i="8"/>
  <c r="G871" i="8"/>
  <c r="F871" i="8"/>
  <c r="E871" i="8"/>
  <c r="D871" i="8"/>
  <c r="C871" i="8"/>
  <c r="B871" i="8"/>
  <c r="A871" i="8"/>
  <c r="M870" i="8"/>
  <c r="K870" i="8"/>
  <c r="J870" i="8"/>
  <c r="I870" i="8"/>
  <c r="H870" i="8"/>
  <c r="G870" i="8"/>
  <c r="L870" i="8" s="1"/>
  <c r="F870" i="8"/>
  <c r="E870" i="8"/>
  <c r="D870" i="8"/>
  <c r="C870" i="8"/>
  <c r="B870" i="8"/>
  <c r="A870" i="8"/>
  <c r="M869" i="8"/>
  <c r="K869" i="8"/>
  <c r="J869" i="8"/>
  <c r="I869" i="8"/>
  <c r="H869" i="8"/>
  <c r="G869" i="8"/>
  <c r="L869" i="8" s="1"/>
  <c r="F869" i="8"/>
  <c r="E869" i="8"/>
  <c r="D869" i="8"/>
  <c r="C869" i="8"/>
  <c r="B869" i="8"/>
  <c r="A869" i="8"/>
  <c r="M868" i="8"/>
  <c r="L868" i="8"/>
  <c r="K868" i="8"/>
  <c r="J868" i="8"/>
  <c r="I868" i="8"/>
  <c r="H868" i="8"/>
  <c r="G868" i="8"/>
  <c r="F868" i="8"/>
  <c r="E868" i="8"/>
  <c r="D868" i="8"/>
  <c r="C868" i="8"/>
  <c r="B868" i="8"/>
  <c r="A868" i="8"/>
  <c r="M867" i="8"/>
  <c r="K867" i="8"/>
  <c r="J867" i="8"/>
  <c r="I867" i="8"/>
  <c r="H867" i="8"/>
  <c r="G867" i="8"/>
  <c r="L867" i="8" s="1"/>
  <c r="F867" i="8"/>
  <c r="E867" i="8"/>
  <c r="D867" i="8"/>
  <c r="C867" i="8"/>
  <c r="B867" i="8"/>
  <c r="A867" i="8"/>
  <c r="M866" i="8"/>
  <c r="L866" i="8"/>
  <c r="K866" i="8"/>
  <c r="J866" i="8"/>
  <c r="I866" i="8"/>
  <c r="H866" i="8"/>
  <c r="G866" i="8"/>
  <c r="F866" i="8"/>
  <c r="E866" i="8"/>
  <c r="D866" i="8"/>
  <c r="C866" i="8"/>
  <c r="B866" i="8"/>
  <c r="A866" i="8"/>
  <c r="M865" i="8"/>
  <c r="L865" i="8"/>
  <c r="K865" i="8"/>
  <c r="J865" i="8"/>
  <c r="I865" i="8"/>
  <c r="H865" i="8"/>
  <c r="G865" i="8"/>
  <c r="F865" i="8"/>
  <c r="E865" i="8"/>
  <c r="D865" i="8"/>
  <c r="C865" i="8"/>
  <c r="B865" i="8"/>
  <c r="A865" i="8"/>
  <c r="M864" i="8"/>
  <c r="K864" i="8"/>
  <c r="J864" i="8"/>
  <c r="I864" i="8"/>
  <c r="H864" i="8"/>
  <c r="G864" i="8"/>
  <c r="L864" i="8" s="1"/>
  <c r="F864" i="8"/>
  <c r="E864" i="8"/>
  <c r="D864" i="8"/>
  <c r="C864" i="8"/>
  <c r="B864" i="8"/>
  <c r="A864" i="8"/>
  <c r="M863" i="8"/>
  <c r="L863" i="8"/>
  <c r="K863" i="8"/>
  <c r="J863" i="8"/>
  <c r="I863" i="8"/>
  <c r="H863" i="8"/>
  <c r="G863" i="8"/>
  <c r="F863" i="8"/>
  <c r="E863" i="8"/>
  <c r="D863" i="8"/>
  <c r="C863" i="8"/>
  <c r="B863" i="8"/>
  <c r="A863" i="8"/>
  <c r="M862" i="8"/>
  <c r="K862" i="8"/>
  <c r="J862" i="8"/>
  <c r="I862" i="8"/>
  <c r="H862" i="8"/>
  <c r="G862" i="8"/>
  <c r="L862" i="8" s="1"/>
  <c r="F862" i="8"/>
  <c r="E862" i="8"/>
  <c r="D862" i="8"/>
  <c r="C862" i="8"/>
  <c r="B862" i="8"/>
  <c r="A862" i="8"/>
  <c r="M861" i="8"/>
  <c r="K861" i="8"/>
  <c r="J861" i="8"/>
  <c r="I861" i="8"/>
  <c r="H861" i="8"/>
  <c r="G861" i="8"/>
  <c r="L861" i="8" s="1"/>
  <c r="F861" i="8"/>
  <c r="E861" i="8"/>
  <c r="D861" i="8"/>
  <c r="C861" i="8"/>
  <c r="B861" i="8"/>
  <c r="A861" i="8"/>
  <c r="M860" i="8"/>
  <c r="L860" i="8"/>
  <c r="K860" i="8"/>
  <c r="J860" i="8"/>
  <c r="I860" i="8"/>
  <c r="H860" i="8"/>
  <c r="G860" i="8"/>
  <c r="F860" i="8"/>
  <c r="E860" i="8"/>
  <c r="D860" i="8"/>
  <c r="C860" i="8"/>
  <c r="B860" i="8"/>
  <c r="A860" i="8"/>
  <c r="M859" i="8"/>
  <c r="K859" i="8"/>
  <c r="J859" i="8"/>
  <c r="I859" i="8"/>
  <c r="H859" i="8"/>
  <c r="G859" i="8"/>
  <c r="L859" i="8" s="1"/>
  <c r="F859" i="8"/>
  <c r="E859" i="8"/>
  <c r="D859" i="8"/>
  <c r="C859" i="8"/>
  <c r="B859" i="8"/>
  <c r="A859" i="8"/>
  <c r="M858" i="8"/>
  <c r="L858" i="8"/>
  <c r="K858" i="8"/>
  <c r="J858" i="8"/>
  <c r="I858" i="8"/>
  <c r="H858" i="8"/>
  <c r="G858" i="8"/>
  <c r="F858" i="8"/>
  <c r="E858" i="8"/>
  <c r="D858" i="8"/>
  <c r="C858" i="8"/>
  <c r="B858" i="8"/>
  <c r="A858" i="8"/>
  <c r="M857" i="8"/>
  <c r="L857" i="8"/>
  <c r="K857" i="8"/>
  <c r="J857" i="8"/>
  <c r="I857" i="8"/>
  <c r="H857" i="8"/>
  <c r="G857" i="8"/>
  <c r="F857" i="8"/>
  <c r="E857" i="8"/>
  <c r="D857" i="8"/>
  <c r="C857" i="8"/>
  <c r="B857" i="8"/>
  <c r="A857" i="8"/>
  <c r="M856" i="8"/>
  <c r="K856" i="8"/>
  <c r="J856" i="8"/>
  <c r="I856" i="8"/>
  <c r="H856" i="8"/>
  <c r="G856" i="8"/>
  <c r="L856" i="8" s="1"/>
  <c r="F856" i="8"/>
  <c r="E856" i="8"/>
  <c r="D856" i="8"/>
  <c r="C856" i="8"/>
  <c r="B856" i="8"/>
  <c r="A856" i="8"/>
  <c r="M855" i="8"/>
  <c r="L855" i="8"/>
  <c r="K855" i="8"/>
  <c r="J855" i="8"/>
  <c r="I855" i="8"/>
  <c r="H855" i="8"/>
  <c r="G855" i="8"/>
  <c r="F855" i="8"/>
  <c r="E855" i="8"/>
  <c r="D855" i="8"/>
  <c r="C855" i="8"/>
  <c r="B855" i="8"/>
  <c r="A855" i="8"/>
  <c r="M854" i="8"/>
  <c r="K854" i="8"/>
  <c r="J854" i="8"/>
  <c r="I854" i="8"/>
  <c r="H854" i="8"/>
  <c r="G854" i="8"/>
  <c r="L854" i="8" s="1"/>
  <c r="F854" i="8"/>
  <c r="E854" i="8"/>
  <c r="D854" i="8"/>
  <c r="C854" i="8"/>
  <c r="B854" i="8"/>
  <c r="A854" i="8"/>
  <c r="M853" i="8"/>
  <c r="K853" i="8"/>
  <c r="J853" i="8"/>
  <c r="I853" i="8"/>
  <c r="H853" i="8"/>
  <c r="G853" i="8"/>
  <c r="L853" i="8" s="1"/>
  <c r="F853" i="8"/>
  <c r="E853" i="8"/>
  <c r="D853" i="8"/>
  <c r="C853" i="8"/>
  <c r="B853" i="8"/>
  <c r="A853" i="8"/>
  <c r="M852" i="8"/>
  <c r="L852" i="8"/>
  <c r="K852" i="8"/>
  <c r="J852" i="8"/>
  <c r="I852" i="8"/>
  <c r="H852" i="8"/>
  <c r="G852" i="8"/>
  <c r="F852" i="8"/>
  <c r="E852" i="8"/>
  <c r="D852" i="8"/>
  <c r="C852" i="8"/>
  <c r="B852" i="8"/>
  <c r="A852" i="8"/>
  <c r="M851" i="8"/>
  <c r="K851" i="8"/>
  <c r="J851" i="8"/>
  <c r="I851" i="8"/>
  <c r="H851" i="8"/>
  <c r="G851" i="8"/>
  <c r="L851" i="8" s="1"/>
  <c r="F851" i="8"/>
  <c r="E851" i="8"/>
  <c r="D851" i="8"/>
  <c r="C851" i="8"/>
  <c r="B851" i="8"/>
  <c r="A851" i="8"/>
  <c r="M850" i="8"/>
  <c r="L850" i="8"/>
  <c r="K850" i="8"/>
  <c r="J850" i="8"/>
  <c r="I850" i="8"/>
  <c r="H850" i="8"/>
  <c r="G850" i="8"/>
  <c r="F850" i="8"/>
  <c r="E850" i="8"/>
  <c r="D850" i="8"/>
  <c r="C850" i="8"/>
  <c r="B850" i="8"/>
  <c r="A850" i="8"/>
  <c r="M849" i="8"/>
  <c r="L849" i="8"/>
  <c r="K849" i="8"/>
  <c r="J849" i="8"/>
  <c r="I849" i="8"/>
  <c r="H849" i="8"/>
  <c r="G849" i="8"/>
  <c r="F849" i="8"/>
  <c r="E849" i="8"/>
  <c r="D849" i="8"/>
  <c r="C849" i="8"/>
  <c r="B849" i="8"/>
  <c r="A849" i="8"/>
  <c r="M848" i="8"/>
  <c r="K848" i="8"/>
  <c r="J848" i="8"/>
  <c r="I848" i="8"/>
  <c r="H848" i="8"/>
  <c r="G848" i="8"/>
  <c r="L848" i="8" s="1"/>
  <c r="F848" i="8"/>
  <c r="E848" i="8"/>
  <c r="D848" i="8"/>
  <c r="C848" i="8"/>
  <c r="B848" i="8"/>
  <c r="A848" i="8"/>
  <c r="M847" i="8"/>
  <c r="L847" i="8"/>
  <c r="K847" i="8"/>
  <c r="J847" i="8"/>
  <c r="I847" i="8"/>
  <c r="H847" i="8"/>
  <c r="G847" i="8"/>
  <c r="F847" i="8"/>
  <c r="E847" i="8"/>
  <c r="D847" i="8"/>
  <c r="C847" i="8"/>
  <c r="B847" i="8"/>
  <c r="A847" i="8"/>
  <c r="M846" i="8"/>
  <c r="K846" i="8"/>
  <c r="J846" i="8"/>
  <c r="I846" i="8"/>
  <c r="H846" i="8"/>
  <c r="G846" i="8"/>
  <c r="L846" i="8" s="1"/>
  <c r="F846" i="8"/>
  <c r="E846" i="8"/>
  <c r="D846" i="8"/>
  <c r="C846" i="8"/>
  <c r="B846" i="8"/>
  <c r="A846" i="8"/>
  <c r="M845" i="8"/>
  <c r="K845" i="8"/>
  <c r="J845" i="8"/>
  <c r="I845" i="8"/>
  <c r="H845" i="8"/>
  <c r="G845" i="8"/>
  <c r="L845" i="8" s="1"/>
  <c r="F845" i="8"/>
  <c r="E845" i="8"/>
  <c r="D845" i="8"/>
  <c r="C845" i="8"/>
  <c r="B845" i="8"/>
  <c r="A845" i="8"/>
  <c r="M844" i="8"/>
  <c r="L844" i="8"/>
  <c r="K844" i="8"/>
  <c r="J844" i="8"/>
  <c r="I844" i="8"/>
  <c r="H844" i="8"/>
  <c r="G844" i="8"/>
  <c r="F844" i="8"/>
  <c r="E844" i="8"/>
  <c r="D844" i="8"/>
  <c r="C844" i="8"/>
  <c r="B844" i="8"/>
  <c r="A844" i="8"/>
  <c r="M843" i="8"/>
  <c r="K843" i="8"/>
  <c r="J843" i="8"/>
  <c r="I843" i="8"/>
  <c r="H843" i="8"/>
  <c r="G843" i="8"/>
  <c r="L843" i="8" s="1"/>
  <c r="F843" i="8"/>
  <c r="E843" i="8"/>
  <c r="D843" i="8"/>
  <c r="C843" i="8"/>
  <c r="B843" i="8"/>
  <c r="A843" i="8"/>
  <c r="M842" i="8"/>
  <c r="L842" i="8"/>
  <c r="K842" i="8"/>
  <c r="J842" i="8"/>
  <c r="I842" i="8"/>
  <c r="H842" i="8"/>
  <c r="G842" i="8"/>
  <c r="F842" i="8"/>
  <c r="E842" i="8"/>
  <c r="D842" i="8"/>
  <c r="C842" i="8"/>
  <c r="B842" i="8"/>
  <c r="A842" i="8"/>
  <c r="M841" i="8"/>
  <c r="L841" i="8"/>
  <c r="K841" i="8"/>
  <c r="J841" i="8"/>
  <c r="I841" i="8"/>
  <c r="H841" i="8"/>
  <c r="G841" i="8"/>
  <c r="F841" i="8"/>
  <c r="E841" i="8"/>
  <c r="D841" i="8"/>
  <c r="C841" i="8"/>
  <c r="B841" i="8"/>
  <c r="A841" i="8"/>
  <c r="M840" i="8"/>
  <c r="K840" i="8"/>
  <c r="J840" i="8"/>
  <c r="I840" i="8"/>
  <c r="H840" i="8"/>
  <c r="G840" i="8"/>
  <c r="L840" i="8" s="1"/>
  <c r="F840" i="8"/>
  <c r="E840" i="8"/>
  <c r="D840" i="8"/>
  <c r="C840" i="8"/>
  <c r="B840" i="8"/>
  <c r="A840" i="8"/>
  <c r="M839" i="8"/>
  <c r="L839" i="8"/>
  <c r="K839" i="8"/>
  <c r="J839" i="8"/>
  <c r="I839" i="8"/>
  <c r="H839" i="8"/>
  <c r="G839" i="8"/>
  <c r="F839" i="8"/>
  <c r="E839" i="8"/>
  <c r="D839" i="8"/>
  <c r="C839" i="8"/>
  <c r="B839" i="8"/>
  <c r="A839" i="8"/>
  <c r="M838" i="8"/>
  <c r="K838" i="8"/>
  <c r="J838" i="8"/>
  <c r="I838" i="8"/>
  <c r="H838" i="8"/>
  <c r="G838" i="8"/>
  <c r="L838" i="8" s="1"/>
  <c r="F838" i="8"/>
  <c r="E838" i="8"/>
  <c r="D838" i="8"/>
  <c r="C838" i="8"/>
  <c r="B838" i="8"/>
  <c r="A838" i="8"/>
  <c r="M837" i="8"/>
  <c r="K837" i="8"/>
  <c r="J837" i="8"/>
  <c r="I837" i="8"/>
  <c r="H837" i="8"/>
  <c r="G837" i="8"/>
  <c r="L837" i="8" s="1"/>
  <c r="F837" i="8"/>
  <c r="E837" i="8"/>
  <c r="D837" i="8"/>
  <c r="C837" i="8"/>
  <c r="B837" i="8"/>
  <c r="A837" i="8"/>
  <c r="M836" i="8"/>
  <c r="L836" i="8"/>
  <c r="K836" i="8"/>
  <c r="J836" i="8"/>
  <c r="I836" i="8"/>
  <c r="H836" i="8"/>
  <c r="G836" i="8"/>
  <c r="F836" i="8"/>
  <c r="E836" i="8"/>
  <c r="D836" i="8"/>
  <c r="C836" i="8"/>
  <c r="B836" i="8"/>
  <c r="A836" i="8"/>
  <c r="M835" i="8"/>
  <c r="K835" i="8"/>
  <c r="J835" i="8"/>
  <c r="I835" i="8"/>
  <c r="H835" i="8"/>
  <c r="G835" i="8"/>
  <c r="L835" i="8" s="1"/>
  <c r="F835" i="8"/>
  <c r="E835" i="8"/>
  <c r="D835" i="8"/>
  <c r="C835" i="8"/>
  <c r="B835" i="8"/>
  <c r="A835" i="8"/>
  <c r="M834" i="8"/>
  <c r="L834" i="8"/>
  <c r="K834" i="8"/>
  <c r="J834" i="8"/>
  <c r="I834" i="8"/>
  <c r="H834" i="8"/>
  <c r="G834" i="8"/>
  <c r="F834" i="8"/>
  <c r="E834" i="8"/>
  <c r="D834" i="8"/>
  <c r="C834" i="8"/>
  <c r="B834" i="8"/>
  <c r="A834" i="8"/>
  <c r="M833" i="8"/>
  <c r="L833" i="8"/>
  <c r="K833" i="8"/>
  <c r="J833" i="8"/>
  <c r="I833" i="8"/>
  <c r="H833" i="8"/>
  <c r="G833" i="8"/>
  <c r="F833" i="8"/>
  <c r="E833" i="8"/>
  <c r="D833" i="8"/>
  <c r="C833" i="8"/>
  <c r="B833" i="8"/>
  <c r="A833" i="8"/>
  <c r="M832" i="8"/>
  <c r="K832" i="8"/>
  <c r="J832" i="8"/>
  <c r="I832" i="8"/>
  <c r="H832" i="8"/>
  <c r="G832" i="8"/>
  <c r="L832" i="8" s="1"/>
  <c r="F832" i="8"/>
  <c r="E832" i="8"/>
  <c r="D832" i="8"/>
  <c r="C832" i="8"/>
  <c r="B832" i="8"/>
  <c r="A832" i="8"/>
  <c r="M831" i="8"/>
  <c r="L831" i="8"/>
  <c r="K831" i="8"/>
  <c r="J831" i="8"/>
  <c r="I831" i="8"/>
  <c r="H831" i="8"/>
  <c r="G831" i="8"/>
  <c r="F831" i="8"/>
  <c r="E831" i="8"/>
  <c r="D831" i="8"/>
  <c r="C831" i="8"/>
  <c r="B831" i="8"/>
  <c r="A831" i="8"/>
  <c r="M830" i="8"/>
  <c r="K830" i="8"/>
  <c r="J830" i="8"/>
  <c r="I830" i="8"/>
  <c r="H830" i="8"/>
  <c r="G830" i="8"/>
  <c r="L830" i="8" s="1"/>
  <c r="F830" i="8"/>
  <c r="E830" i="8"/>
  <c r="D830" i="8"/>
  <c r="C830" i="8"/>
  <c r="B830" i="8"/>
  <c r="A830" i="8"/>
  <c r="M829" i="8"/>
  <c r="K829" i="8"/>
  <c r="J829" i="8"/>
  <c r="I829" i="8"/>
  <c r="H829" i="8"/>
  <c r="G829" i="8"/>
  <c r="L829" i="8" s="1"/>
  <c r="F829" i="8"/>
  <c r="E829" i="8"/>
  <c r="D829" i="8"/>
  <c r="C829" i="8"/>
  <c r="B829" i="8"/>
  <c r="A829" i="8"/>
  <c r="M828" i="8"/>
  <c r="L828" i="8"/>
  <c r="K828" i="8"/>
  <c r="J828" i="8"/>
  <c r="I828" i="8"/>
  <c r="H828" i="8"/>
  <c r="G828" i="8"/>
  <c r="F828" i="8"/>
  <c r="E828" i="8"/>
  <c r="D828" i="8"/>
  <c r="C828" i="8"/>
  <c r="B828" i="8"/>
  <c r="A828" i="8"/>
  <c r="M827" i="8"/>
  <c r="K827" i="8"/>
  <c r="J827" i="8"/>
  <c r="I827" i="8"/>
  <c r="H827" i="8"/>
  <c r="G827" i="8"/>
  <c r="L827" i="8" s="1"/>
  <c r="F827" i="8"/>
  <c r="E827" i="8"/>
  <c r="D827" i="8"/>
  <c r="C827" i="8"/>
  <c r="B827" i="8"/>
  <c r="A827" i="8"/>
  <c r="M826" i="8"/>
  <c r="L826" i="8"/>
  <c r="K826" i="8"/>
  <c r="J826" i="8"/>
  <c r="I826" i="8"/>
  <c r="H826" i="8"/>
  <c r="G826" i="8"/>
  <c r="F826" i="8"/>
  <c r="E826" i="8"/>
  <c r="D826" i="8"/>
  <c r="C826" i="8"/>
  <c r="B826" i="8"/>
  <c r="A826" i="8"/>
  <c r="M825" i="8"/>
  <c r="L825" i="8"/>
  <c r="K825" i="8"/>
  <c r="J825" i="8"/>
  <c r="I825" i="8"/>
  <c r="H825" i="8"/>
  <c r="G825" i="8"/>
  <c r="F825" i="8"/>
  <c r="E825" i="8"/>
  <c r="D825" i="8"/>
  <c r="C825" i="8"/>
  <c r="B825" i="8"/>
  <c r="A825" i="8"/>
  <c r="M824" i="8"/>
  <c r="K824" i="8"/>
  <c r="J824" i="8"/>
  <c r="I824" i="8"/>
  <c r="H824" i="8"/>
  <c r="G824" i="8"/>
  <c r="L824" i="8" s="1"/>
  <c r="F824" i="8"/>
  <c r="E824" i="8"/>
  <c r="D824" i="8"/>
  <c r="C824" i="8"/>
  <c r="B824" i="8"/>
  <c r="A824" i="8"/>
  <c r="M823" i="8"/>
  <c r="L823" i="8"/>
  <c r="K823" i="8"/>
  <c r="J823" i="8"/>
  <c r="I823" i="8"/>
  <c r="H823" i="8"/>
  <c r="G823" i="8"/>
  <c r="F823" i="8"/>
  <c r="E823" i="8"/>
  <c r="D823" i="8"/>
  <c r="C823" i="8"/>
  <c r="B823" i="8"/>
  <c r="A823" i="8"/>
  <c r="M822" i="8"/>
  <c r="K822" i="8"/>
  <c r="J822" i="8"/>
  <c r="I822" i="8"/>
  <c r="H822" i="8"/>
  <c r="G822" i="8"/>
  <c r="L822" i="8" s="1"/>
  <c r="F822" i="8"/>
  <c r="E822" i="8"/>
  <c r="D822" i="8"/>
  <c r="C822" i="8"/>
  <c r="B822" i="8"/>
  <c r="A822" i="8"/>
  <c r="M821" i="8"/>
  <c r="K821" i="8"/>
  <c r="J821" i="8"/>
  <c r="I821" i="8"/>
  <c r="H821" i="8"/>
  <c r="G821" i="8"/>
  <c r="L821" i="8" s="1"/>
  <c r="F821" i="8"/>
  <c r="E821" i="8"/>
  <c r="D821" i="8"/>
  <c r="C821" i="8"/>
  <c r="B821" i="8"/>
  <c r="A821" i="8"/>
  <c r="M820" i="8"/>
  <c r="L820" i="8"/>
  <c r="K820" i="8"/>
  <c r="J820" i="8"/>
  <c r="I820" i="8"/>
  <c r="H820" i="8"/>
  <c r="G820" i="8"/>
  <c r="F820" i="8"/>
  <c r="E820" i="8"/>
  <c r="D820" i="8"/>
  <c r="C820" i="8"/>
  <c r="B820" i="8"/>
  <c r="A820" i="8"/>
  <c r="M819" i="8"/>
  <c r="K819" i="8"/>
  <c r="J819" i="8"/>
  <c r="I819" i="8"/>
  <c r="H819" i="8"/>
  <c r="G819" i="8"/>
  <c r="L819" i="8" s="1"/>
  <c r="F819" i="8"/>
  <c r="E819" i="8"/>
  <c r="D819" i="8"/>
  <c r="C819" i="8"/>
  <c r="B819" i="8"/>
  <c r="A819" i="8"/>
  <c r="M818" i="8"/>
  <c r="L818" i="8"/>
  <c r="K818" i="8"/>
  <c r="J818" i="8"/>
  <c r="I818" i="8"/>
  <c r="H818" i="8"/>
  <c r="G818" i="8"/>
  <c r="F818" i="8"/>
  <c r="E818" i="8"/>
  <c r="D818" i="8"/>
  <c r="C818" i="8"/>
  <c r="B818" i="8"/>
  <c r="A818" i="8"/>
  <c r="M817" i="8"/>
  <c r="L817" i="8"/>
  <c r="K817" i="8"/>
  <c r="J817" i="8"/>
  <c r="I817" i="8"/>
  <c r="H817" i="8"/>
  <c r="G817" i="8"/>
  <c r="F817" i="8"/>
  <c r="E817" i="8"/>
  <c r="D817" i="8"/>
  <c r="C817" i="8"/>
  <c r="B817" i="8"/>
  <c r="A817" i="8"/>
  <c r="M816" i="8"/>
  <c r="K816" i="8"/>
  <c r="J816" i="8"/>
  <c r="I816" i="8"/>
  <c r="H816" i="8"/>
  <c r="G816" i="8"/>
  <c r="L816" i="8" s="1"/>
  <c r="F816" i="8"/>
  <c r="E816" i="8"/>
  <c r="D816" i="8"/>
  <c r="C816" i="8"/>
  <c r="B816" i="8"/>
  <c r="A816" i="8"/>
  <c r="M815" i="8"/>
  <c r="L815" i="8"/>
  <c r="K815" i="8"/>
  <c r="J815" i="8"/>
  <c r="I815" i="8"/>
  <c r="H815" i="8"/>
  <c r="G815" i="8"/>
  <c r="F815" i="8"/>
  <c r="E815" i="8"/>
  <c r="D815" i="8"/>
  <c r="C815" i="8"/>
  <c r="B815" i="8"/>
  <c r="A815" i="8"/>
  <c r="M814" i="8"/>
  <c r="K814" i="8"/>
  <c r="J814" i="8"/>
  <c r="I814" i="8"/>
  <c r="H814" i="8"/>
  <c r="G814" i="8"/>
  <c r="L814" i="8" s="1"/>
  <c r="F814" i="8"/>
  <c r="E814" i="8"/>
  <c r="D814" i="8"/>
  <c r="C814" i="8"/>
  <c r="B814" i="8"/>
  <c r="A814" i="8"/>
  <c r="M813" i="8"/>
  <c r="K813" i="8"/>
  <c r="J813" i="8"/>
  <c r="I813" i="8"/>
  <c r="H813" i="8"/>
  <c r="G813" i="8"/>
  <c r="L813" i="8" s="1"/>
  <c r="F813" i="8"/>
  <c r="E813" i="8"/>
  <c r="D813" i="8"/>
  <c r="C813" i="8"/>
  <c r="B813" i="8"/>
  <c r="A813" i="8"/>
  <c r="M812" i="8"/>
  <c r="L812" i="8"/>
  <c r="K812" i="8"/>
  <c r="J812" i="8"/>
  <c r="I812" i="8"/>
  <c r="H812" i="8"/>
  <c r="G812" i="8"/>
  <c r="F812" i="8"/>
  <c r="E812" i="8"/>
  <c r="D812" i="8"/>
  <c r="C812" i="8"/>
  <c r="B812" i="8"/>
  <c r="A812" i="8"/>
  <c r="M811" i="8"/>
  <c r="K811" i="8"/>
  <c r="J811" i="8"/>
  <c r="I811" i="8"/>
  <c r="H811" i="8"/>
  <c r="G811" i="8"/>
  <c r="L811" i="8" s="1"/>
  <c r="F811" i="8"/>
  <c r="E811" i="8"/>
  <c r="D811" i="8"/>
  <c r="C811" i="8"/>
  <c r="B811" i="8"/>
  <c r="A811" i="8"/>
  <c r="M810" i="8"/>
  <c r="L810" i="8"/>
  <c r="K810" i="8"/>
  <c r="J810" i="8"/>
  <c r="I810" i="8"/>
  <c r="H810" i="8"/>
  <c r="G810" i="8"/>
  <c r="F810" i="8"/>
  <c r="E810" i="8"/>
  <c r="D810" i="8"/>
  <c r="C810" i="8"/>
  <c r="B810" i="8"/>
  <c r="A810" i="8"/>
  <c r="M809" i="8"/>
  <c r="L809" i="8"/>
  <c r="K809" i="8"/>
  <c r="J809" i="8"/>
  <c r="I809" i="8"/>
  <c r="H809" i="8"/>
  <c r="G809" i="8"/>
  <c r="F809" i="8"/>
  <c r="E809" i="8"/>
  <c r="D809" i="8"/>
  <c r="C809" i="8"/>
  <c r="B809" i="8"/>
  <c r="A809" i="8"/>
  <c r="M808" i="8"/>
  <c r="K808" i="8"/>
  <c r="J808" i="8"/>
  <c r="I808" i="8"/>
  <c r="H808" i="8"/>
  <c r="G808" i="8"/>
  <c r="L808" i="8" s="1"/>
  <c r="F808" i="8"/>
  <c r="E808" i="8"/>
  <c r="D808" i="8"/>
  <c r="C808" i="8"/>
  <c r="B808" i="8"/>
  <c r="A808" i="8"/>
  <c r="M807" i="8"/>
  <c r="L807" i="8"/>
  <c r="K807" i="8"/>
  <c r="J807" i="8"/>
  <c r="I807" i="8"/>
  <c r="H807" i="8"/>
  <c r="G807" i="8"/>
  <c r="F807" i="8"/>
  <c r="E807" i="8"/>
  <c r="D807" i="8"/>
  <c r="C807" i="8"/>
  <c r="B807" i="8"/>
  <c r="A807" i="8"/>
  <c r="M806" i="8"/>
  <c r="K806" i="8"/>
  <c r="J806" i="8"/>
  <c r="I806" i="8"/>
  <c r="H806" i="8"/>
  <c r="G806" i="8"/>
  <c r="L806" i="8" s="1"/>
  <c r="F806" i="8"/>
  <c r="E806" i="8"/>
  <c r="D806" i="8"/>
  <c r="C806" i="8"/>
  <c r="B806" i="8"/>
  <c r="A806" i="8"/>
  <c r="M805" i="8"/>
  <c r="K805" i="8"/>
  <c r="J805" i="8"/>
  <c r="I805" i="8"/>
  <c r="H805" i="8"/>
  <c r="G805" i="8"/>
  <c r="L805" i="8" s="1"/>
  <c r="F805" i="8"/>
  <c r="E805" i="8"/>
  <c r="D805" i="8"/>
  <c r="C805" i="8"/>
  <c r="B805" i="8"/>
  <c r="A805" i="8"/>
  <c r="M804" i="8"/>
  <c r="L804" i="8"/>
  <c r="K804" i="8"/>
  <c r="J804" i="8"/>
  <c r="I804" i="8"/>
  <c r="H804" i="8"/>
  <c r="G804" i="8"/>
  <c r="F804" i="8"/>
  <c r="E804" i="8"/>
  <c r="D804" i="8"/>
  <c r="C804" i="8"/>
  <c r="B804" i="8"/>
  <c r="A804" i="8"/>
  <c r="M803" i="8"/>
  <c r="K803" i="8"/>
  <c r="J803" i="8"/>
  <c r="I803" i="8"/>
  <c r="H803" i="8"/>
  <c r="G803" i="8"/>
  <c r="L803" i="8" s="1"/>
  <c r="F803" i="8"/>
  <c r="E803" i="8"/>
  <c r="D803" i="8"/>
  <c r="C803" i="8"/>
  <c r="B803" i="8"/>
  <c r="A803" i="8"/>
  <c r="M802" i="8"/>
  <c r="L802" i="8"/>
  <c r="K802" i="8"/>
  <c r="J802" i="8"/>
  <c r="I802" i="8"/>
  <c r="H802" i="8"/>
  <c r="G802" i="8"/>
  <c r="F802" i="8"/>
  <c r="E802" i="8"/>
  <c r="D802" i="8"/>
  <c r="C802" i="8"/>
  <c r="B802" i="8"/>
  <c r="A802" i="8"/>
  <c r="M801" i="8"/>
  <c r="L801" i="8"/>
  <c r="K801" i="8"/>
  <c r="J801" i="8"/>
  <c r="I801" i="8"/>
  <c r="H801" i="8"/>
  <c r="G801" i="8"/>
  <c r="F801" i="8"/>
  <c r="E801" i="8"/>
  <c r="D801" i="8"/>
  <c r="C801" i="8"/>
  <c r="B801" i="8"/>
  <c r="A801" i="8"/>
  <c r="M800" i="8"/>
  <c r="K800" i="8"/>
  <c r="J800" i="8"/>
  <c r="I800" i="8"/>
  <c r="H800" i="8"/>
  <c r="G800" i="8"/>
  <c r="L800" i="8" s="1"/>
  <c r="F800" i="8"/>
  <c r="E800" i="8"/>
  <c r="D800" i="8"/>
  <c r="C800" i="8"/>
  <c r="B800" i="8"/>
  <c r="A800" i="8"/>
  <c r="M799" i="8"/>
  <c r="L799" i="8"/>
  <c r="K799" i="8"/>
  <c r="J799" i="8"/>
  <c r="I799" i="8"/>
  <c r="H799" i="8"/>
  <c r="G799" i="8"/>
  <c r="F799" i="8"/>
  <c r="E799" i="8"/>
  <c r="D799" i="8"/>
  <c r="C799" i="8"/>
  <c r="B799" i="8"/>
  <c r="A799" i="8"/>
  <c r="M798" i="8"/>
  <c r="K798" i="8"/>
  <c r="J798" i="8"/>
  <c r="I798" i="8"/>
  <c r="H798" i="8"/>
  <c r="G798" i="8"/>
  <c r="L798" i="8" s="1"/>
  <c r="F798" i="8"/>
  <c r="E798" i="8"/>
  <c r="D798" i="8"/>
  <c r="C798" i="8"/>
  <c r="B798" i="8"/>
  <c r="A798" i="8"/>
  <c r="M797" i="8"/>
  <c r="K797" i="8"/>
  <c r="J797" i="8"/>
  <c r="I797" i="8"/>
  <c r="H797" i="8"/>
  <c r="G797" i="8"/>
  <c r="L797" i="8" s="1"/>
  <c r="F797" i="8"/>
  <c r="E797" i="8"/>
  <c r="D797" i="8"/>
  <c r="C797" i="8"/>
  <c r="B797" i="8"/>
  <c r="A797" i="8"/>
  <c r="M796" i="8"/>
  <c r="L796" i="8"/>
  <c r="K796" i="8"/>
  <c r="J796" i="8"/>
  <c r="I796" i="8"/>
  <c r="H796" i="8"/>
  <c r="G796" i="8"/>
  <c r="F796" i="8"/>
  <c r="E796" i="8"/>
  <c r="D796" i="8"/>
  <c r="C796" i="8"/>
  <c r="B796" i="8"/>
  <c r="A796" i="8"/>
  <c r="M795" i="8"/>
  <c r="K795" i="8"/>
  <c r="J795" i="8"/>
  <c r="I795" i="8"/>
  <c r="H795" i="8"/>
  <c r="G795" i="8"/>
  <c r="L795" i="8" s="1"/>
  <c r="F795" i="8"/>
  <c r="E795" i="8"/>
  <c r="D795" i="8"/>
  <c r="C795" i="8"/>
  <c r="B795" i="8"/>
  <c r="A795" i="8"/>
  <c r="M794" i="8"/>
  <c r="L794" i="8"/>
  <c r="K794" i="8"/>
  <c r="J794" i="8"/>
  <c r="I794" i="8"/>
  <c r="H794" i="8"/>
  <c r="G794" i="8"/>
  <c r="F794" i="8"/>
  <c r="E794" i="8"/>
  <c r="D794" i="8"/>
  <c r="C794" i="8"/>
  <c r="B794" i="8"/>
  <c r="A794" i="8"/>
  <c r="M793" i="8"/>
  <c r="L793" i="8"/>
  <c r="K793" i="8"/>
  <c r="J793" i="8"/>
  <c r="I793" i="8"/>
  <c r="H793" i="8"/>
  <c r="G793" i="8"/>
  <c r="F793" i="8"/>
  <c r="E793" i="8"/>
  <c r="D793" i="8"/>
  <c r="C793" i="8"/>
  <c r="B793" i="8"/>
  <c r="A793" i="8"/>
  <c r="M792" i="8"/>
  <c r="K792" i="8"/>
  <c r="J792" i="8"/>
  <c r="I792" i="8"/>
  <c r="H792" i="8"/>
  <c r="G792" i="8"/>
  <c r="L792" i="8" s="1"/>
  <c r="F792" i="8"/>
  <c r="E792" i="8"/>
  <c r="D792" i="8"/>
  <c r="C792" i="8"/>
  <c r="B792" i="8"/>
  <c r="A792" i="8"/>
  <c r="M791" i="8"/>
  <c r="L791" i="8"/>
  <c r="K791" i="8"/>
  <c r="J791" i="8"/>
  <c r="I791" i="8"/>
  <c r="H791" i="8"/>
  <c r="G791" i="8"/>
  <c r="F791" i="8"/>
  <c r="E791" i="8"/>
  <c r="D791" i="8"/>
  <c r="C791" i="8"/>
  <c r="B791" i="8"/>
  <c r="A791" i="8"/>
  <c r="M790" i="8"/>
  <c r="K790" i="8"/>
  <c r="J790" i="8"/>
  <c r="I790" i="8"/>
  <c r="H790" i="8"/>
  <c r="G790" i="8"/>
  <c r="L790" i="8" s="1"/>
  <c r="F790" i="8"/>
  <c r="E790" i="8"/>
  <c r="D790" i="8"/>
  <c r="C790" i="8"/>
  <c r="B790" i="8"/>
  <c r="A790" i="8"/>
  <c r="M789" i="8"/>
  <c r="K789" i="8"/>
  <c r="J789" i="8"/>
  <c r="I789" i="8"/>
  <c r="H789" i="8"/>
  <c r="G789" i="8"/>
  <c r="L789" i="8" s="1"/>
  <c r="F789" i="8"/>
  <c r="E789" i="8"/>
  <c r="D789" i="8"/>
  <c r="C789" i="8"/>
  <c r="B789" i="8"/>
  <c r="A789" i="8"/>
  <c r="M788" i="8"/>
  <c r="L788" i="8"/>
  <c r="K788" i="8"/>
  <c r="J788" i="8"/>
  <c r="I788" i="8"/>
  <c r="H788" i="8"/>
  <c r="G788" i="8"/>
  <c r="F788" i="8"/>
  <c r="E788" i="8"/>
  <c r="D788" i="8"/>
  <c r="C788" i="8"/>
  <c r="B788" i="8"/>
  <c r="A788" i="8"/>
  <c r="M787" i="8"/>
  <c r="K787" i="8"/>
  <c r="J787" i="8"/>
  <c r="I787" i="8"/>
  <c r="H787" i="8"/>
  <c r="G787" i="8"/>
  <c r="L787" i="8" s="1"/>
  <c r="F787" i="8"/>
  <c r="E787" i="8"/>
  <c r="D787" i="8"/>
  <c r="C787" i="8"/>
  <c r="B787" i="8"/>
  <c r="A787" i="8"/>
  <c r="M786" i="8"/>
  <c r="L786" i="8"/>
  <c r="K786" i="8"/>
  <c r="J786" i="8"/>
  <c r="I786" i="8"/>
  <c r="H786" i="8"/>
  <c r="G786" i="8"/>
  <c r="F786" i="8"/>
  <c r="E786" i="8"/>
  <c r="D786" i="8"/>
  <c r="C786" i="8"/>
  <c r="B786" i="8"/>
  <c r="A786" i="8"/>
  <c r="M785" i="8"/>
  <c r="L785" i="8"/>
  <c r="K785" i="8"/>
  <c r="J785" i="8"/>
  <c r="I785" i="8"/>
  <c r="H785" i="8"/>
  <c r="G785" i="8"/>
  <c r="F785" i="8"/>
  <c r="E785" i="8"/>
  <c r="D785" i="8"/>
  <c r="C785" i="8"/>
  <c r="B785" i="8"/>
  <c r="A785" i="8"/>
  <c r="M784" i="8"/>
  <c r="K784" i="8"/>
  <c r="J784" i="8"/>
  <c r="I784" i="8"/>
  <c r="H784" i="8"/>
  <c r="G784" i="8"/>
  <c r="L784" i="8" s="1"/>
  <c r="F784" i="8"/>
  <c r="E784" i="8"/>
  <c r="D784" i="8"/>
  <c r="C784" i="8"/>
  <c r="B784" i="8"/>
  <c r="A784" i="8"/>
  <c r="M783" i="8"/>
  <c r="L783" i="8"/>
  <c r="K783" i="8"/>
  <c r="J783" i="8"/>
  <c r="I783" i="8"/>
  <c r="H783" i="8"/>
  <c r="G783" i="8"/>
  <c r="F783" i="8"/>
  <c r="E783" i="8"/>
  <c r="D783" i="8"/>
  <c r="C783" i="8"/>
  <c r="B783" i="8"/>
  <c r="A783" i="8"/>
  <c r="M782" i="8"/>
  <c r="K782" i="8"/>
  <c r="J782" i="8"/>
  <c r="I782" i="8"/>
  <c r="H782" i="8"/>
  <c r="G782" i="8"/>
  <c r="L782" i="8" s="1"/>
  <c r="F782" i="8"/>
  <c r="E782" i="8"/>
  <c r="D782" i="8"/>
  <c r="C782" i="8"/>
  <c r="B782" i="8"/>
  <c r="A782" i="8"/>
  <c r="M781" i="8"/>
  <c r="K781" i="8"/>
  <c r="J781" i="8"/>
  <c r="I781" i="8"/>
  <c r="H781" i="8"/>
  <c r="G781" i="8"/>
  <c r="L781" i="8" s="1"/>
  <c r="F781" i="8"/>
  <c r="E781" i="8"/>
  <c r="D781" i="8"/>
  <c r="C781" i="8"/>
  <c r="B781" i="8"/>
  <c r="A781" i="8"/>
  <c r="M780" i="8"/>
  <c r="L780" i="8"/>
  <c r="K780" i="8"/>
  <c r="J780" i="8"/>
  <c r="I780" i="8"/>
  <c r="H780" i="8"/>
  <c r="G780" i="8"/>
  <c r="F780" i="8"/>
  <c r="E780" i="8"/>
  <c r="D780" i="8"/>
  <c r="C780" i="8"/>
  <c r="B780" i="8"/>
  <c r="A780" i="8"/>
  <c r="M779" i="8"/>
  <c r="K779" i="8"/>
  <c r="J779" i="8"/>
  <c r="I779" i="8"/>
  <c r="H779" i="8"/>
  <c r="G779" i="8"/>
  <c r="L779" i="8" s="1"/>
  <c r="F779" i="8"/>
  <c r="E779" i="8"/>
  <c r="D779" i="8"/>
  <c r="C779" i="8"/>
  <c r="B779" i="8"/>
  <c r="A779" i="8"/>
  <c r="M778" i="8"/>
  <c r="L778" i="8"/>
  <c r="K778" i="8"/>
  <c r="J778" i="8"/>
  <c r="I778" i="8"/>
  <c r="H778" i="8"/>
  <c r="G778" i="8"/>
  <c r="F778" i="8"/>
  <c r="E778" i="8"/>
  <c r="D778" i="8"/>
  <c r="C778" i="8"/>
  <c r="B778" i="8"/>
  <c r="A778" i="8"/>
  <c r="M777" i="8"/>
  <c r="L777" i="8"/>
  <c r="K777" i="8"/>
  <c r="J777" i="8"/>
  <c r="I777" i="8"/>
  <c r="H777" i="8"/>
  <c r="G777" i="8"/>
  <c r="F777" i="8"/>
  <c r="E777" i="8"/>
  <c r="D777" i="8"/>
  <c r="C777" i="8"/>
  <c r="B777" i="8"/>
  <c r="A777" i="8"/>
  <c r="M776" i="8"/>
  <c r="K776" i="8"/>
  <c r="J776" i="8"/>
  <c r="I776" i="8"/>
  <c r="H776" i="8"/>
  <c r="G776" i="8"/>
  <c r="L776" i="8" s="1"/>
  <c r="F776" i="8"/>
  <c r="E776" i="8"/>
  <c r="D776" i="8"/>
  <c r="C776" i="8"/>
  <c r="B776" i="8"/>
  <c r="A776" i="8"/>
  <c r="M775" i="8"/>
  <c r="L775" i="8"/>
  <c r="K775" i="8"/>
  <c r="J775" i="8"/>
  <c r="I775" i="8"/>
  <c r="H775" i="8"/>
  <c r="G775" i="8"/>
  <c r="F775" i="8"/>
  <c r="E775" i="8"/>
  <c r="D775" i="8"/>
  <c r="C775" i="8"/>
  <c r="B775" i="8"/>
  <c r="A775" i="8"/>
  <c r="M774" i="8"/>
  <c r="K774" i="8"/>
  <c r="J774" i="8"/>
  <c r="I774" i="8"/>
  <c r="H774" i="8"/>
  <c r="G774" i="8"/>
  <c r="L774" i="8" s="1"/>
  <c r="F774" i="8"/>
  <c r="E774" i="8"/>
  <c r="D774" i="8"/>
  <c r="C774" i="8"/>
  <c r="B774" i="8"/>
  <c r="A774" i="8"/>
  <c r="M773" i="8"/>
  <c r="K773" i="8"/>
  <c r="J773" i="8"/>
  <c r="I773" i="8"/>
  <c r="H773" i="8"/>
  <c r="G773" i="8"/>
  <c r="L773" i="8" s="1"/>
  <c r="F773" i="8"/>
  <c r="E773" i="8"/>
  <c r="D773" i="8"/>
  <c r="C773" i="8"/>
  <c r="B773" i="8"/>
  <c r="A773" i="8"/>
  <c r="M772" i="8"/>
  <c r="L772" i="8"/>
  <c r="K772" i="8"/>
  <c r="J772" i="8"/>
  <c r="I772" i="8"/>
  <c r="H772" i="8"/>
  <c r="G772" i="8"/>
  <c r="F772" i="8"/>
  <c r="E772" i="8"/>
  <c r="D772" i="8"/>
  <c r="C772" i="8"/>
  <c r="B772" i="8"/>
  <c r="A772" i="8"/>
  <c r="M771" i="8"/>
  <c r="K771" i="8"/>
  <c r="J771" i="8"/>
  <c r="I771" i="8"/>
  <c r="H771" i="8"/>
  <c r="G771" i="8"/>
  <c r="L771" i="8" s="1"/>
  <c r="F771" i="8"/>
  <c r="E771" i="8"/>
  <c r="D771" i="8"/>
  <c r="C771" i="8"/>
  <c r="B771" i="8"/>
  <c r="A771" i="8"/>
  <c r="M770" i="8"/>
  <c r="L770" i="8"/>
  <c r="K770" i="8"/>
  <c r="J770" i="8"/>
  <c r="I770" i="8"/>
  <c r="H770" i="8"/>
  <c r="G770" i="8"/>
  <c r="F770" i="8"/>
  <c r="E770" i="8"/>
  <c r="D770" i="8"/>
  <c r="C770" i="8"/>
  <c r="B770" i="8"/>
  <c r="A770" i="8"/>
  <c r="M769" i="8"/>
  <c r="L769" i="8"/>
  <c r="K769" i="8"/>
  <c r="J769" i="8"/>
  <c r="I769" i="8"/>
  <c r="H769" i="8"/>
  <c r="G769" i="8"/>
  <c r="F769" i="8"/>
  <c r="E769" i="8"/>
  <c r="D769" i="8"/>
  <c r="C769" i="8"/>
  <c r="B769" i="8"/>
  <c r="A769" i="8"/>
  <c r="M768" i="8"/>
  <c r="K768" i="8"/>
  <c r="J768" i="8"/>
  <c r="I768" i="8"/>
  <c r="H768" i="8"/>
  <c r="G768" i="8"/>
  <c r="L768" i="8" s="1"/>
  <c r="F768" i="8"/>
  <c r="E768" i="8"/>
  <c r="D768" i="8"/>
  <c r="C768" i="8"/>
  <c r="B768" i="8"/>
  <c r="A768" i="8"/>
  <c r="M767" i="8"/>
  <c r="L767" i="8"/>
  <c r="K767" i="8"/>
  <c r="J767" i="8"/>
  <c r="I767" i="8"/>
  <c r="H767" i="8"/>
  <c r="G767" i="8"/>
  <c r="F767" i="8"/>
  <c r="E767" i="8"/>
  <c r="D767" i="8"/>
  <c r="C767" i="8"/>
  <c r="B767" i="8"/>
  <c r="A767" i="8"/>
  <c r="M766" i="8"/>
  <c r="K766" i="8"/>
  <c r="J766" i="8"/>
  <c r="I766" i="8"/>
  <c r="H766" i="8"/>
  <c r="G766" i="8"/>
  <c r="L766" i="8" s="1"/>
  <c r="F766" i="8"/>
  <c r="E766" i="8"/>
  <c r="D766" i="8"/>
  <c r="C766" i="8"/>
  <c r="B766" i="8"/>
  <c r="A766" i="8"/>
  <c r="M765" i="8"/>
  <c r="K765" i="8"/>
  <c r="J765" i="8"/>
  <c r="I765" i="8"/>
  <c r="H765" i="8"/>
  <c r="G765" i="8"/>
  <c r="L765" i="8" s="1"/>
  <c r="F765" i="8"/>
  <c r="E765" i="8"/>
  <c r="D765" i="8"/>
  <c r="C765" i="8"/>
  <c r="B765" i="8"/>
  <c r="A765" i="8"/>
  <c r="M764" i="8"/>
  <c r="L764" i="8"/>
  <c r="K764" i="8"/>
  <c r="J764" i="8"/>
  <c r="I764" i="8"/>
  <c r="H764" i="8"/>
  <c r="G764" i="8"/>
  <c r="F764" i="8"/>
  <c r="E764" i="8"/>
  <c r="D764" i="8"/>
  <c r="C764" i="8"/>
  <c r="B764" i="8"/>
  <c r="A764" i="8"/>
  <c r="M763" i="8"/>
  <c r="K763" i="8"/>
  <c r="J763" i="8"/>
  <c r="I763" i="8"/>
  <c r="H763" i="8"/>
  <c r="G763" i="8"/>
  <c r="L763" i="8" s="1"/>
  <c r="F763" i="8"/>
  <c r="E763" i="8"/>
  <c r="D763" i="8"/>
  <c r="C763" i="8"/>
  <c r="B763" i="8"/>
  <c r="A763" i="8"/>
  <c r="M762" i="8"/>
  <c r="L762" i="8"/>
  <c r="K762" i="8"/>
  <c r="J762" i="8"/>
  <c r="I762" i="8"/>
  <c r="H762" i="8"/>
  <c r="G762" i="8"/>
  <c r="F762" i="8"/>
  <c r="E762" i="8"/>
  <c r="D762" i="8"/>
  <c r="C762" i="8"/>
  <c r="B762" i="8"/>
  <c r="A762" i="8"/>
  <c r="M761" i="8"/>
  <c r="L761" i="8"/>
  <c r="K761" i="8"/>
  <c r="J761" i="8"/>
  <c r="I761" i="8"/>
  <c r="H761" i="8"/>
  <c r="G761" i="8"/>
  <c r="F761" i="8"/>
  <c r="E761" i="8"/>
  <c r="D761" i="8"/>
  <c r="C761" i="8"/>
  <c r="B761" i="8"/>
  <c r="A761" i="8"/>
  <c r="M760" i="8"/>
  <c r="K760" i="8"/>
  <c r="J760" i="8"/>
  <c r="I760" i="8"/>
  <c r="H760" i="8"/>
  <c r="G760" i="8"/>
  <c r="L760" i="8" s="1"/>
  <c r="F760" i="8"/>
  <c r="E760" i="8"/>
  <c r="D760" i="8"/>
  <c r="C760" i="8"/>
  <c r="B760" i="8"/>
  <c r="A760" i="8"/>
  <c r="M759" i="8"/>
  <c r="L759" i="8"/>
  <c r="K759" i="8"/>
  <c r="J759" i="8"/>
  <c r="I759" i="8"/>
  <c r="H759" i="8"/>
  <c r="G759" i="8"/>
  <c r="F759" i="8"/>
  <c r="E759" i="8"/>
  <c r="D759" i="8"/>
  <c r="C759" i="8"/>
  <c r="B759" i="8"/>
  <c r="A759" i="8"/>
  <c r="M758" i="8"/>
  <c r="K758" i="8"/>
  <c r="J758" i="8"/>
  <c r="I758" i="8"/>
  <c r="H758" i="8"/>
  <c r="G758" i="8"/>
  <c r="L758" i="8" s="1"/>
  <c r="F758" i="8"/>
  <c r="E758" i="8"/>
  <c r="D758" i="8"/>
  <c r="C758" i="8"/>
  <c r="B758" i="8"/>
  <c r="A758" i="8"/>
  <c r="M757" i="8"/>
  <c r="K757" i="8"/>
  <c r="J757" i="8"/>
  <c r="I757" i="8"/>
  <c r="H757" i="8"/>
  <c r="G757" i="8"/>
  <c r="L757" i="8" s="1"/>
  <c r="F757" i="8"/>
  <c r="E757" i="8"/>
  <c r="D757" i="8"/>
  <c r="C757" i="8"/>
  <c r="B757" i="8"/>
  <c r="A757" i="8"/>
  <c r="M756" i="8"/>
  <c r="L756" i="8"/>
  <c r="K756" i="8"/>
  <c r="J756" i="8"/>
  <c r="I756" i="8"/>
  <c r="H756" i="8"/>
  <c r="G756" i="8"/>
  <c r="F756" i="8"/>
  <c r="E756" i="8"/>
  <c r="D756" i="8"/>
  <c r="C756" i="8"/>
  <c r="B756" i="8"/>
  <c r="A756" i="8"/>
  <c r="M755" i="8"/>
  <c r="K755" i="8"/>
  <c r="J755" i="8"/>
  <c r="I755" i="8"/>
  <c r="H755" i="8"/>
  <c r="G755" i="8"/>
  <c r="L755" i="8" s="1"/>
  <c r="F755" i="8"/>
  <c r="E755" i="8"/>
  <c r="D755" i="8"/>
  <c r="C755" i="8"/>
  <c r="B755" i="8"/>
  <c r="A755" i="8"/>
  <c r="M754" i="8"/>
  <c r="L754" i="8"/>
  <c r="K754" i="8"/>
  <c r="J754" i="8"/>
  <c r="I754" i="8"/>
  <c r="H754" i="8"/>
  <c r="G754" i="8"/>
  <c r="F754" i="8"/>
  <c r="E754" i="8"/>
  <c r="D754" i="8"/>
  <c r="C754" i="8"/>
  <c r="B754" i="8"/>
  <c r="A754" i="8"/>
  <c r="M753" i="8"/>
  <c r="L753" i="8"/>
  <c r="K753" i="8"/>
  <c r="J753" i="8"/>
  <c r="I753" i="8"/>
  <c r="H753" i="8"/>
  <c r="G753" i="8"/>
  <c r="F753" i="8"/>
  <c r="E753" i="8"/>
  <c r="D753" i="8"/>
  <c r="C753" i="8"/>
  <c r="B753" i="8"/>
  <c r="A753" i="8"/>
  <c r="M752" i="8"/>
  <c r="K752" i="8"/>
  <c r="J752" i="8"/>
  <c r="I752" i="8"/>
  <c r="H752" i="8"/>
  <c r="G752" i="8"/>
  <c r="L752" i="8" s="1"/>
  <c r="F752" i="8"/>
  <c r="E752" i="8"/>
  <c r="D752" i="8"/>
  <c r="C752" i="8"/>
  <c r="B752" i="8"/>
  <c r="A752" i="8"/>
  <c r="M751" i="8"/>
  <c r="L751" i="8"/>
  <c r="K751" i="8"/>
  <c r="J751" i="8"/>
  <c r="I751" i="8"/>
  <c r="H751" i="8"/>
  <c r="G751" i="8"/>
  <c r="F751" i="8"/>
  <c r="E751" i="8"/>
  <c r="D751" i="8"/>
  <c r="C751" i="8"/>
  <c r="B751" i="8"/>
  <c r="A751" i="8"/>
  <c r="M750" i="8"/>
  <c r="K750" i="8"/>
  <c r="J750" i="8"/>
  <c r="I750" i="8"/>
  <c r="H750" i="8"/>
  <c r="G750" i="8"/>
  <c r="L750" i="8" s="1"/>
  <c r="F750" i="8"/>
  <c r="E750" i="8"/>
  <c r="D750" i="8"/>
  <c r="C750" i="8"/>
  <c r="B750" i="8"/>
  <c r="A750" i="8"/>
  <c r="M749" i="8"/>
  <c r="K749" i="8"/>
  <c r="J749" i="8"/>
  <c r="I749" i="8"/>
  <c r="H749" i="8"/>
  <c r="G749" i="8"/>
  <c r="L749" i="8" s="1"/>
  <c r="F749" i="8"/>
  <c r="E749" i="8"/>
  <c r="D749" i="8"/>
  <c r="C749" i="8"/>
  <c r="B749" i="8"/>
  <c r="A749" i="8"/>
  <c r="M748" i="8"/>
  <c r="L748" i="8"/>
  <c r="K748" i="8"/>
  <c r="J748" i="8"/>
  <c r="I748" i="8"/>
  <c r="H748" i="8"/>
  <c r="G748" i="8"/>
  <c r="F748" i="8"/>
  <c r="E748" i="8"/>
  <c r="D748" i="8"/>
  <c r="C748" i="8"/>
  <c r="B748" i="8"/>
  <c r="A748" i="8"/>
  <c r="M747" i="8"/>
  <c r="K747" i="8"/>
  <c r="J747" i="8"/>
  <c r="I747" i="8"/>
  <c r="H747" i="8"/>
  <c r="G747" i="8"/>
  <c r="L747" i="8" s="1"/>
  <c r="F747" i="8"/>
  <c r="E747" i="8"/>
  <c r="D747" i="8"/>
  <c r="C747" i="8"/>
  <c r="B747" i="8"/>
  <c r="A747" i="8"/>
  <c r="M746" i="8"/>
  <c r="L746" i="8"/>
  <c r="K746" i="8"/>
  <c r="J746" i="8"/>
  <c r="I746" i="8"/>
  <c r="H746" i="8"/>
  <c r="G746" i="8"/>
  <c r="F746" i="8"/>
  <c r="E746" i="8"/>
  <c r="D746" i="8"/>
  <c r="C746" i="8"/>
  <c r="B746" i="8"/>
  <c r="A746" i="8"/>
  <c r="M745" i="8"/>
  <c r="L745" i="8"/>
  <c r="K745" i="8"/>
  <c r="J745" i="8"/>
  <c r="I745" i="8"/>
  <c r="H745" i="8"/>
  <c r="G745" i="8"/>
  <c r="F745" i="8"/>
  <c r="E745" i="8"/>
  <c r="D745" i="8"/>
  <c r="C745" i="8"/>
  <c r="B745" i="8"/>
  <c r="A745" i="8"/>
  <c r="M744" i="8"/>
  <c r="K744" i="8"/>
  <c r="J744" i="8"/>
  <c r="I744" i="8"/>
  <c r="H744" i="8"/>
  <c r="G744" i="8"/>
  <c r="L744" i="8" s="1"/>
  <c r="F744" i="8"/>
  <c r="E744" i="8"/>
  <c r="D744" i="8"/>
  <c r="C744" i="8"/>
  <c r="B744" i="8"/>
  <c r="A744" i="8"/>
  <c r="M743" i="8"/>
  <c r="L743" i="8"/>
  <c r="K743" i="8"/>
  <c r="J743" i="8"/>
  <c r="I743" i="8"/>
  <c r="H743" i="8"/>
  <c r="G743" i="8"/>
  <c r="F743" i="8"/>
  <c r="E743" i="8"/>
  <c r="D743" i="8"/>
  <c r="C743" i="8"/>
  <c r="B743" i="8"/>
  <c r="A743" i="8"/>
  <c r="M742" i="8"/>
  <c r="K742" i="8"/>
  <c r="J742" i="8"/>
  <c r="I742" i="8"/>
  <c r="H742" i="8"/>
  <c r="G742" i="8"/>
  <c r="L742" i="8" s="1"/>
  <c r="F742" i="8"/>
  <c r="E742" i="8"/>
  <c r="D742" i="8"/>
  <c r="C742" i="8"/>
  <c r="B742" i="8"/>
  <c r="A742" i="8"/>
  <c r="M741" i="8"/>
  <c r="K741" i="8"/>
  <c r="J741" i="8"/>
  <c r="I741" i="8"/>
  <c r="H741" i="8"/>
  <c r="G741" i="8"/>
  <c r="L741" i="8" s="1"/>
  <c r="F741" i="8"/>
  <c r="E741" i="8"/>
  <c r="D741" i="8"/>
  <c r="C741" i="8"/>
  <c r="B741" i="8"/>
  <c r="A741" i="8"/>
  <c r="M740" i="8"/>
  <c r="L740" i="8"/>
  <c r="K740" i="8"/>
  <c r="J740" i="8"/>
  <c r="I740" i="8"/>
  <c r="H740" i="8"/>
  <c r="G740" i="8"/>
  <c r="F740" i="8"/>
  <c r="E740" i="8"/>
  <c r="D740" i="8"/>
  <c r="C740" i="8"/>
  <c r="B740" i="8"/>
  <c r="A740" i="8"/>
  <c r="M739" i="8"/>
  <c r="K739" i="8"/>
  <c r="J739" i="8"/>
  <c r="I739" i="8"/>
  <c r="H739" i="8"/>
  <c r="G739" i="8"/>
  <c r="L739" i="8" s="1"/>
  <c r="F739" i="8"/>
  <c r="E739" i="8"/>
  <c r="D739" i="8"/>
  <c r="C739" i="8"/>
  <c r="B739" i="8"/>
  <c r="A739" i="8"/>
  <c r="M738" i="8"/>
  <c r="L738" i="8"/>
  <c r="K738" i="8"/>
  <c r="J738" i="8"/>
  <c r="I738" i="8"/>
  <c r="H738" i="8"/>
  <c r="G738" i="8"/>
  <c r="F738" i="8"/>
  <c r="E738" i="8"/>
  <c r="D738" i="8"/>
  <c r="C738" i="8"/>
  <c r="B738" i="8"/>
  <c r="A738" i="8"/>
  <c r="M737" i="8"/>
  <c r="L737" i="8"/>
  <c r="K737" i="8"/>
  <c r="J737" i="8"/>
  <c r="I737" i="8"/>
  <c r="H737" i="8"/>
  <c r="G737" i="8"/>
  <c r="F737" i="8"/>
  <c r="E737" i="8"/>
  <c r="D737" i="8"/>
  <c r="C737" i="8"/>
  <c r="B737" i="8"/>
  <c r="A737" i="8"/>
  <c r="M736" i="8"/>
  <c r="K736" i="8"/>
  <c r="J736" i="8"/>
  <c r="I736" i="8"/>
  <c r="H736" i="8"/>
  <c r="G736" i="8"/>
  <c r="L736" i="8" s="1"/>
  <c r="F736" i="8"/>
  <c r="E736" i="8"/>
  <c r="D736" i="8"/>
  <c r="C736" i="8"/>
  <c r="B736" i="8"/>
  <c r="A736" i="8"/>
  <c r="M735" i="8"/>
  <c r="L735" i="8"/>
  <c r="K735" i="8"/>
  <c r="J735" i="8"/>
  <c r="I735" i="8"/>
  <c r="H735" i="8"/>
  <c r="G735" i="8"/>
  <c r="F735" i="8"/>
  <c r="E735" i="8"/>
  <c r="D735" i="8"/>
  <c r="C735" i="8"/>
  <c r="B735" i="8"/>
  <c r="A735" i="8"/>
  <c r="M734" i="8"/>
  <c r="K734" i="8"/>
  <c r="J734" i="8"/>
  <c r="I734" i="8"/>
  <c r="H734" i="8"/>
  <c r="G734" i="8"/>
  <c r="L734" i="8" s="1"/>
  <c r="F734" i="8"/>
  <c r="E734" i="8"/>
  <c r="D734" i="8"/>
  <c r="C734" i="8"/>
  <c r="B734" i="8"/>
  <c r="A734" i="8"/>
  <c r="M733" i="8"/>
  <c r="K733" i="8"/>
  <c r="J733" i="8"/>
  <c r="I733" i="8"/>
  <c r="H733" i="8"/>
  <c r="G733" i="8"/>
  <c r="L733" i="8" s="1"/>
  <c r="F733" i="8"/>
  <c r="E733" i="8"/>
  <c r="D733" i="8"/>
  <c r="C733" i="8"/>
  <c r="B733" i="8"/>
  <c r="A733" i="8"/>
  <c r="M732" i="8"/>
  <c r="L732" i="8"/>
  <c r="K732" i="8"/>
  <c r="J732" i="8"/>
  <c r="I732" i="8"/>
  <c r="H732" i="8"/>
  <c r="G732" i="8"/>
  <c r="F732" i="8"/>
  <c r="E732" i="8"/>
  <c r="D732" i="8"/>
  <c r="C732" i="8"/>
  <c r="B732" i="8"/>
  <c r="A732" i="8"/>
  <c r="M731" i="8"/>
  <c r="K731" i="8"/>
  <c r="J731" i="8"/>
  <c r="I731" i="8"/>
  <c r="H731" i="8"/>
  <c r="G731" i="8"/>
  <c r="L731" i="8" s="1"/>
  <c r="F731" i="8"/>
  <c r="E731" i="8"/>
  <c r="D731" i="8"/>
  <c r="C731" i="8"/>
  <c r="B731" i="8"/>
  <c r="A731" i="8"/>
  <c r="M730" i="8"/>
  <c r="L730" i="8"/>
  <c r="K730" i="8"/>
  <c r="J730" i="8"/>
  <c r="I730" i="8"/>
  <c r="H730" i="8"/>
  <c r="G730" i="8"/>
  <c r="F730" i="8"/>
  <c r="E730" i="8"/>
  <c r="D730" i="8"/>
  <c r="C730" i="8"/>
  <c r="B730" i="8"/>
  <c r="A730" i="8"/>
  <c r="M729" i="8"/>
  <c r="L729" i="8"/>
  <c r="K729" i="8"/>
  <c r="J729" i="8"/>
  <c r="I729" i="8"/>
  <c r="H729" i="8"/>
  <c r="G729" i="8"/>
  <c r="F729" i="8"/>
  <c r="E729" i="8"/>
  <c r="D729" i="8"/>
  <c r="C729" i="8"/>
  <c r="B729" i="8"/>
  <c r="A729" i="8"/>
  <c r="M728" i="8"/>
  <c r="K728" i="8"/>
  <c r="J728" i="8"/>
  <c r="I728" i="8"/>
  <c r="H728" i="8"/>
  <c r="G728" i="8"/>
  <c r="L728" i="8" s="1"/>
  <c r="F728" i="8"/>
  <c r="E728" i="8"/>
  <c r="D728" i="8"/>
  <c r="C728" i="8"/>
  <c r="B728" i="8"/>
  <c r="A728" i="8"/>
  <c r="M727" i="8"/>
  <c r="L727" i="8"/>
  <c r="K727" i="8"/>
  <c r="J727" i="8"/>
  <c r="I727" i="8"/>
  <c r="H727" i="8"/>
  <c r="G727" i="8"/>
  <c r="F727" i="8"/>
  <c r="E727" i="8"/>
  <c r="D727" i="8"/>
  <c r="C727" i="8"/>
  <c r="B727" i="8"/>
  <c r="A727" i="8"/>
  <c r="M726" i="8"/>
  <c r="K726" i="8"/>
  <c r="J726" i="8"/>
  <c r="I726" i="8"/>
  <c r="H726" i="8"/>
  <c r="G726" i="8"/>
  <c r="L726" i="8" s="1"/>
  <c r="F726" i="8"/>
  <c r="E726" i="8"/>
  <c r="D726" i="8"/>
  <c r="C726" i="8"/>
  <c r="B726" i="8"/>
  <c r="A726" i="8"/>
  <c r="M725" i="8"/>
  <c r="K725" i="8"/>
  <c r="J725" i="8"/>
  <c r="I725" i="8"/>
  <c r="H725" i="8"/>
  <c r="G725" i="8"/>
  <c r="L725" i="8" s="1"/>
  <c r="F725" i="8"/>
  <c r="E725" i="8"/>
  <c r="D725" i="8"/>
  <c r="C725" i="8"/>
  <c r="B725" i="8"/>
  <c r="A725" i="8"/>
  <c r="M724" i="8"/>
  <c r="L724" i="8"/>
  <c r="K724" i="8"/>
  <c r="J724" i="8"/>
  <c r="I724" i="8"/>
  <c r="H724" i="8"/>
  <c r="G724" i="8"/>
  <c r="F724" i="8"/>
  <c r="E724" i="8"/>
  <c r="D724" i="8"/>
  <c r="C724" i="8"/>
  <c r="B724" i="8"/>
  <c r="A724" i="8"/>
  <c r="M723" i="8"/>
  <c r="K723" i="8"/>
  <c r="J723" i="8"/>
  <c r="I723" i="8"/>
  <c r="H723" i="8"/>
  <c r="G723" i="8"/>
  <c r="L723" i="8" s="1"/>
  <c r="F723" i="8"/>
  <c r="E723" i="8"/>
  <c r="D723" i="8"/>
  <c r="C723" i="8"/>
  <c r="B723" i="8"/>
  <c r="A723" i="8"/>
  <c r="M722" i="8"/>
  <c r="L722" i="8"/>
  <c r="K722" i="8"/>
  <c r="J722" i="8"/>
  <c r="I722" i="8"/>
  <c r="H722" i="8"/>
  <c r="G722" i="8"/>
  <c r="F722" i="8"/>
  <c r="E722" i="8"/>
  <c r="D722" i="8"/>
  <c r="C722" i="8"/>
  <c r="B722" i="8"/>
  <c r="A722" i="8"/>
  <c r="M721" i="8"/>
  <c r="L721" i="8"/>
  <c r="K721" i="8"/>
  <c r="J721" i="8"/>
  <c r="I721" i="8"/>
  <c r="H721" i="8"/>
  <c r="G721" i="8"/>
  <c r="F721" i="8"/>
  <c r="E721" i="8"/>
  <c r="D721" i="8"/>
  <c r="C721" i="8"/>
  <c r="B721" i="8"/>
  <c r="A721" i="8"/>
  <c r="M720" i="8"/>
  <c r="K720" i="8"/>
  <c r="J720" i="8"/>
  <c r="I720" i="8"/>
  <c r="H720" i="8"/>
  <c r="G720" i="8"/>
  <c r="L720" i="8" s="1"/>
  <c r="F720" i="8"/>
  <c r="E720" i="8"/>
  <c r="D720" i="8"/>
  <c r="C720" i="8"/>
  <c r="B720" i="8"/>
  <c r="A720" i="8"/>
  <c r="M719" i="8"/>
  <c r="L719" i="8"/>
  <c r="K719" i="8"/>
  <c r="J719" i="8"/>
  <c r="I719" i="8"/>
  <c r="H719" i="8"/>
  <c r="G719" i="8"/>
  <c r="F719" i="8"/>
  <c r="E719" i="8"/>
  <c r="D719" i="8"/>
  <c r="C719" i="8"/>
  <c r="B719" i="8"/>
  <c r="A719" i="8"/>
  <c r="M718" i="8"/>
  <c r="K718" i="8"/>
  <c r="J718" i="8"/>
  <c r="I718" i="8"/>
  <c r="H718" i="8"/>
  <c r="G718" i="8"/>
  <c r="L718" i="8" s="1"/>
  <c r="F718" i="8"/>
  <c r="E718" i="8"/>
  <c r="D718" i="8"/>
  <c r="C718" i="8"/>
  <c r="B718" i="8"/>
  <c r="A718" i="8"/>
  <c r="M717" i="8"/>
  <c r="K717" i="8"/>
  <c r="J717" i="8"/>
  <c r="I717" i="8"/>
  <c r="H717" i="8"/>
  <c r="G717" i="8"/>
  <c r="L717" i="8" s="1"/>
  <c r="F717" i="8"/>
  <c r="E717" i="8"/>
  <c r="D717" i="8"/>
  <c r="C717" i="8"/>
  <c r="B717" i="8"/>
  <c r="A717" i="8"/>
  <c r="M716" i="8"/>
  <c r="L716" i="8"/>
  <c r="K716" i="8"/>
  <c r="J716" i="8"/>
  <c r="I716" i="8"/>
  <c r="H716" i="8"/>
  <c r="G716" i="8"/>
  <c r="F716" i="8"/>
  <c r="E716" i="8"/>
  <c r="D716" i="8"/>
  <c r="C716" i="8"/>
  <c r="B716" i="8"/>
  <c r="A716" i="8"/>
  <c r="M715" i="8"/>
  <c r="K715" i="8"/>
  <c r="J715" i="8"/>
  <c r="I715" i="8"/>
  <c r="H715" i="8"/>
  <c r="G715" i="8"/>
  <c r="L715" i="8" s="1"/>
  <c r="F715" i="8"/>
  <c r="E715" i="8"/>
  <c r="D715" i="8"/>
  <c r="C715" i="8"/>
  <c r="B715" i="8"/>
  <c r="A715" i="8"/>
  <c r="M714" i="8"/>
  <c r="L714" i="8"/>
  <c r="K714" i="8"/>
  <c r="J714" i="8"/>
  <c r="I714" i="8"/>
  <c r="H714" i="8"/>
  <c r="G714" i="8"/>
  <c r="F714" i="8"/>
  <c r="E714" i="8"/>
  <c r="D714" i="8"/>
  <c r="C714" i="8"/>
  <c r="B714" i="8"/>
  <c r="A714" i="8"/>
  <c r="M713" i="8"/>
  <c r="L713" i="8"/>
  <c r="K713" i="8"/>
  <c r="J713" i="8"/>
  <c r="I713" i="8"/>
  <c r="H713" i="8"/>
  <c r="G713" i="8"/>
  <c r="F713" i="8"/>
  <c r="E713" i="8"/>
  <c r="D713" i="8"/>
  <c r="C713" i="8"/>
  <c r="B713" i="8"/>
  <c r="A713" i="8"/>
  <c r="M712" i="8"/>
  <c r="K712" i="8"/>
  <c r="J712" i="8"/>
  <c r="I712" i="8"/>
  <c r="H712" i="8"/>
  <c r="G712" i="8"/>
  <c r="L712" i="8" s="1"/>
  <c r="F712" i="8"/>
  <c r="E712" i="8"/>
  <c r="D712" i="8"/>
  <c r="C712" i="8"/>
  <c r="B712" i="8"/>
  <c r="A712" i="8"/>
  <c r="M711" i="8"/>
  <c r="L711" i="8"/>
  <c r="K711" i="8"/>
  <c r="J711" i="8"/>
  <c r="I711" i="8"/>
  <c r="H711" i="8"/>
  <c r="G711" i="8"/>
  <c r="F711" i="8"/>
  <c r="E711" i="8"/>
  <c r="D711" i="8"/>
  <c r="C711" i="8"/>
  <c r="B711" i="8"/>
  <c r="A711" i="8"/>
  <c r="M710" i="8"/>
  <c r="K710" i="8"/>
  <c r="J710" i="8"/>
  <c r="I710" i="8"/>
  <c r="H710" i="8"/>
  <c r="G710" i="8"/>
  <c r="L710" i="8" s="1"/>
  <c r="F710" i="8"/>
  <c r="E710" i="8"/>
  <c r="D710" i="8"/>
  <c r="C710" i="8"/>
  <c r="B710" i="8"/>
  <c r="A710" i="8"/>
  <c r="M709" i="8"/>
  <c r="K709" i="8"/>
  <c r="J709" i="8"/>
  <c r="I709" i="8"/>
  <c r="H709" i="8"/>
  <c r="G709" i="8"/>
  <c r="L709" i="8" s="1"/>
  <c r="F709" i="8"/>
  <c r="E709" i="8"/>
  <c r="D709" i="8"/>
  <c r="C709" i="8"/>
  <c r="B709" i="8"/>
  <c r="A709" i="8"/>
  <c r="M708" i="8"/>
  <c r="L708" i="8"/>
  <c r="K708" i="8"/>
  <c r="J708" i="8"/>
  <c r="I708" i="8"/>
  <c r="H708" i="8"/>
  <c r="G708" i="8"/>
  <c r="F708" i="8"/>
  <c r="E708" i="8"/>
  <c r="D708" i="8"/>
  <c r="C708" i="8"/>
  <c r="B708" i="8"/>
  <c r="A708" i="8"/>
  <c r="M707" i="8"/>
  <c r="K707" i="8"/>
  <c r="J707" i="8"/>
  <c r="I707" i="8"/>
  <c r="H707" i="8"/>
  <c r="G707" i="8"/>
  <c r="L707" i="8" s="1"/>
  <c r="F707" i="8"/>
  <c r="E707" i="8"/>
  <c r="D707" i="8"/>
  <c r="C707" i="8"/>
  <c r="B707" i="8"/>
  <c r="A707" i="8"/>
  <c r="M706" i="8"/>
  <c r="L706" i="8"/>
  <c r="K706" i="8"/>
  <c r="J706" i="8"/>
  <c r="I706" i="8"/>
  <c r="H706" i="8"/>
  <c r="G706" i="8"/>
  <c r="F706" i="8"/>
  <c r="E706" i="8"/>
  <c r="D706" i="8"/>
  <c r="C706" i="8"/>
  <c r="B706" i="8"/>
  <c r="A706" i="8"/>
  <c r="M705" i="8"/>
  <c r="L705" i="8"/>
  <c r="K705" i="8"/>
  <c r="J705" i="8"/>
  <c r="I705" i="8"/>
  <c r="H705" i="8"/>
  <c r="G705" i="8"/>
  <c r="F705" i="8"/>
  <c r="E705" i="8"/>
  <c r="D705" i="8"/>
  <c r="C705" i="8"/>
  <c r="B705" i="8"/>
  <c r="A705" i="8"/>
  <c r="M704" i="8"/>
  <c r="K704" i="8"/>
  <c r="J704" i="8"/>
  <c r="I704" i="8"/>
  <c r="H704" i="8"/>
  <c r="G704" i="8"/>
  <c r="L704" i="8" s="1"/>
  <c r="F704" i="8"/>
  <c r="E704" i="8"/>
  <c r="D704" i="8"/>
  <c r="C704" i="8"/>
  <c r="B704" i="8"/>
  <c r="A704" i="8"/>
  <c r="M703" i="8"/>
  <c r="L703" i="8"/>
  <c r="K703" i="8"/>
  <c r="J703" i="8"/>
  <c r="I703" i="8"/>
  <c r="H703" i="8"/>
  <c r="G703" i="8"/>
  <c r="F703" i="8"/>
  <c r="E703" i="8"/>
  <c r="D703" i="8"/>
  <c r="C703" i="8"/>
  <c r="B703" i="8"/>
  <c r="A703" i="8"/>
  <c r="M702" i="8"/>
  <c r="K702" i="8"/>
  <c r="J702" i="8"/>
  <c r="I702" i="8"/>
  <c r="H702" i="8"/>
  <c r="G702" i="8"/>
  <c r="L702" i="8" s="1"/>
  <c r="F702" i="8"/>
  <c r="E702" i="8"/>
  <c r="D702" i="8"/>
  <c r="C702" i="8"/>
  <c r="B702" i="8"/>
  <c r="A702" i="8"/>
  <c r="M701" i="8"/>
  <c r="K701" i="8"/>
  <c r="J701" i="8"/>
  <c r="I701" i="8"/>
  <c r="H701" i="8"/>
  <c r="G701" i="8"/>
  <c r="L701" i="8" s="1"/>
  <c r="F701" i="8"/>
  <c r="E701" i="8"/>
  <c r="D701" i="8"/>
  <c r="C701" i="8"/>
  <c r="B701" i="8"/>
  <c r="A701" i="8"/>
  <c r="M700" i="8"/>
  <c r="L700" i="8"/>
  <c r="K700" i="8"/>
  <c r="J700" i="8"/>
  <c r="I700" i="8"/>
  <c r="H700" i="8"/>
  <c r="G700" i="8"/>
  <c r="F700" i="8"/>
  <c r="E700" i="8"/>
  <c r="D700" i="8"/>
  <c r="C700" i="8"/>
  <c r="B700" i="8"/>
  <c r="A700" i="8"/>
  <c r="M699" i="8"/>
  <c r="K699" i="8"/>
  <c r="J699" i="8"/>
  <c r="I699" i="8"/>
  <c r="H699" i="8"/>
  <c r="G699" i="8"/>
  <c r="L699" i="8" s="1"/>
  <c r="F699" i="8"/>
  <c r="E699" i="8"/>
  <c r="D699" i="8"/>
  <c r="C699" i="8"/>
  <c r="B699" i="8"/>
  <c r="A699" i="8"/>
  <c r="M698" i="8"/>
  <c r="L698" i="8"/>
  <c r="K698" i="8"/>
  <c r="J698" i="8"/>
  <c r="I698" i="8"/>
  <c r="H698" i="8"/>
  <c r="G698" i="8"/>
  <c r="F698" i="8"/>
  <c r="E698" i="8"/>
  <c r="D698" i="8"/>
  <c r="C698" i="8"/>
  <c r="B698" i="8"/>
  <c r="A698" i="8"/>
  <c r="M697" i="8"/>
  <c r="L697" i="8"/>
  <c r="K697" i="8"/>
  <c r="J697" i="8"/>
  <c r="I697" i="8"/>
  <c r="H697" i="8"/>
  <c r="G697" i="8"/>
  <c r="F697" i="8"/>
  <c r="E697" i="8"/>
  <c r="D697" i="8"/>
  <c r="C697" i="8"/>
  <c r="B697" i="8"/>
  <c r="A697" i="8"/>
  <c r="M696" i="8"/>
  <c r="K696" i="8"/>
  <c r="J696" i="8"/>
  <c r="I696" i="8"/>
  <c r="H696" i="8"/>
  <c r="G696" i="8"/>
  <c r="L696" i="8" s="1"/>
  <c r="F696" i="8"/>
  <c r="E696" i="8"/>
  <c r="D696" i="8"/>
  <c r="C696" i="8"/>
  <c r="B696" i="8"/>
  <c r="A696" i="8"/>
  <c r="M695" i="8"/>
  <c r="L695" i="8"/>
  <c r="K695" i="8"/>
  <c r="J695" i="8"/>
  <c r="I695" i="8"/>
  <c r="H695" i="8"/>
  <c r="G695" i="8"/>
  <c r="F695" i="8"/>
  <c r="E695" i="8"/>
  <c r="D695" i="8"/>
  <c r="C695" i="8"/>
  <c r="B695" i="8"/>
  <c r="A695" i="8"/>
  <c r="M694" i="8"/>
  <c r="K694" i="8"/>
  <c r="J694" i="8"/>
  <c r="I694" i="8"/>
  <c r="H694" i="8"/>
  <c r="G694" i="8"/>
  <c r="L694" i="8" s="1"/>
  <c r="F694" i="8"/>
  <c r="E694" i="8"/>
  <c r="D694" i="8"/>
  <c r="C694" i="8"/>
  <c r="B694" i="8"/>
  <c r="A694" i="8"/>
  <c r="M693" i="8"/>
  <c r="K693" i="8"/>
  <c r="J693" i="8"/>
  <c r="I693" i="8"/>
  <c r="H693" i="8"/>
  <c r="G693" i="8"/>
  <c r="L693" i="8" s="1"/>
  <c r="F693" i="8"/>
  <c r="E693" i="8"/>
  <c r="D693" i="8"/>
  <c r="C693" i="8"/>
  <c r="B693" i="8"/>
  <c r="A693" i="8"/>
  <c r="M692" i="8"/>
  <c r="L692" i="8"/>
  <c r="K692" i="8"/>
  <c r="J692" i="8"/>
  <c r="I692" i="8"/>
  <c r="H692" i="8"/>
  <c r="G692" i="8"/>
  <c r="F692" i="8"/>
  <c r="E692" i="8"/>
  <c r="D692" i="8"/>
  <c r="C692" i="8"/>
  <c r="B692" i="8"/>
  <c r="A692" i="8"/>
  <c r="M691" i="8"/>
  <c r="K691" i="8"/>
  <c r="J691" i="8"/>
  <c r="I691" i="8"/>
  <c r="H691" i="8"/>
  <c r="G691" i="8"/>
  <c r="L691" i="8" s="1"/>
  <c r="F691" i="8"/>
  <c r="E691" i="8"/>
  <c r="D691" i="8"/>
  <c r="C691" i="8"/>
  <c r="B691" i="8"/>
  <c r="A691" i="8"/>
  <c r="M690" i="8"/>
  <c r="L690" i="8"/>
  <c r="K690" i="8"/>
  <c r="J690" i="8"/>
  <c r="I690" i="8"/>
  <c r="H690" i="8"/>
  <c r="G690" i="8"/>
  <c r="F690" i="8"/>
  <c r="E690" i="8"/>
  <c r="D690" i="8"/>
  <c r="C690" i="8"/>
  <c r="B690" i="8"/>
  <c r="A690" i="8"/>
  <c r="M689" i="8"/>
  <c r="L689" i="8"/>
  <c r="K689" i="8"/>
  <c r="J689" i="8"/>
  <c r="I689" i="8"/>
  <c r="H689" i="8"/>
  <c r="G689" i="8"/>
  <c r="F689" i="8"/>
  <c r="E689" i="8"/>
  <c r="D689" i="8"/>
  <c r="C689" i="8"/>
  <c r="B689" i="8"/>
  <c r="A689" i="8"/>
  <c r="M688" i="8"/>
  <c r="K688" i="8"/>
  <c r="J688" i="8"/>
  <c r="I688" i="8"/>
  <c r="H688" i="8"/>
  <c r="G688" i="8"/>
  <c r="L688" i="8" s="1"/>
  <c r="F688" i="8"/>
  <c r="E688" i="8"/>
  <c r="D688" i="8"/>
  <c r="C688" i="8"/>
  <c r="B688" i="8"/>
  <c r="A688" i="8"/>
  <c r="M687" i="8"/>
  <c r="L687" i="8"/>
  <c r="K687" i="8"/>
  <c r="J687" i="8"/>
  <c r="I687" i="8"/>
  <c r="H687" i="8"/>
  <c r="G687" i="8"/>
  <c r="F687" i="8"/>
  <c r="E687" i="8"/>
  <c r="D687" i="8"/>
  <c r="C687" i="8"/>
  <c r="B687" i="8"/>
  <c r="A687" i="8"/>
  <c r="M686" i="8"/>
  <c r="K686" i="8"/>
  <c r="J686" i="8"/>
  <c r="I686" i="8"/>
  <c r="H686" i="8"/>
  <c r="G686" i="8"/>
  <c r="L686" i="8" s="1"/>
  <c r="F686" i="8"/>
  <c r="E686" i="8"/>
  <c r="D686" i="8"/>
  <c r="C686" i="8"/>
  <c r="B686" i="8"/>
  <c r="A686" i="8"/>
  <c r="M685" i="8"/>
  <c r="K685" i="8"/>
  <c r="J685" i="8"/>
  <c r="I685" i="8"/>
  <c r="H685" i="8"/>
  <c r="G685" i="8"/>
  <c r="L685" i="8" s="1"/>
  <c r="F685" i="8"/>
  <c r="E685" i="8"/>
  <c r="D685" i="8"/>
  <c r="C685" i="8"/>
  <c r="B685" i="8"/>
  <c r="A685" i="8"/>
  <c r="M684" i="8"/>
  <c r="L684" i="8"/>
  <c r="K684" i="8"/>
  <c r="J684" i="8"/>
  <c r="I684" i="8"/>
  <c r="H684" i="8"/>
  <c r="G684" i="8"/>
  <c r="F684" i="8"/>
  <c r="E684" i="8"/>
  <c r="D684" i="8"/>
  <c r="C684" i="8"/>
  <c r="B684" i="8"/>
  <c r="A684" i="8"/>
  <c r="M683" i="8"/>
  <c r="K683" i="8"/>
  <c r="J683" i="8"/>
  <c r="I683" i="8"/>
  <c r="H683" i="8"/>
  <c r="G683" i="8"/>
  <c r="L683" i="8" s="1"/>
  <c r="F683" i="8"/>
  <c r="E683" i="8"/>
  <c r="D683" i="8"/>
  <c r="C683" i="8"/>
  <c r="B683" i="8"/>
  <c r="A683" i="8"/>
  <c r="M682" i="8"/>
  <c r="L682" i="8"/>
  <c r="K682" i="8"/>
  <c r="J682" i="8"/>
  <c r="I682" i="8"/>
  <c r="H682" i="8"/>
  <c r="G682" i="8"/>
  <c r="F682" i="8"/>
  <c r="E682" i="8"/>
  <c r="D682" i="8"/>
  <c r="C682" i="8"/>
  <c r="B682" i="8"/>
  <c r="A682" i="8"/>
  <c r="M681" i="8"/>
  <c r="L681" i="8"/>
  <c r="K681" i="8"/>
  <c r="J681" i="8"/>
  <c r="I681" i="8"/>
  <c r="H681" i="8"/>
  <c r="G681" i="8"/>
  <c r="F681" i="8"/>
  <c r="E681" i="8"/>
  <c r="D681" i="8"/>
  <c r="C681" i="8"/>
  <c r="B681" i="8"/>
  <c r="A681" i="8"/>
  <c r="M680" i="8"/>
  <c r="K680" i="8"/>
  <c r="J680" i="8"/>
  <c r="I680" i="8"/>
  <c r="H680" i="8"/>
  <c r="G680" i="8"/>
  <c r="L680" i="8" s="1"/>
  <c r="F680" i="8"/>
  <c r="E680" i="8"/>
  <c r="D680" i="8"/>
  <c r="C680" i="8"/>
  <c r="B680" i="8"/>
  <c r="A680" i="8"/>
  <c r="M679" i="8"/>
  <c r="L679" i="8"/>
  <c r="K679" i="8"/>
  <c r="J679" i="8"/>
  <c r="I679" i="8"/>
  <c r="H679" i="8"/>
  <c r="G679" i="8"/>
  <c r="F679" i="8"/>
  <c r="E679" i="8"/>
  <c r="D679" i="8"/>
  <c r="C679" i="8"/>
  <c r="B679" i="8"/>
  <c r="A679" i="8"/>
  <c r="M678" i="8"/>
  <c r="K678" i="8"/>
  <c r="J678" i="8"/>
  <c r="I678" i="8"/>
  <c r="H678" i="8"/>
  <c r="G678" i="8"/>
  <c r="L678" i="8" s="1"/>
  <c r="F678" i="8"/>
  <c r="E678" i="8"/>
  <c r="D678" i="8"/>
  <c r="C678" i="8"/>
  <c r="B678" i="8"/>
  <c r="A678" i="8"/>
  <c r="M677" i="8"/>
  <c r="K677" i="8"/>
  <c r="J677" i="8"/>
  <c r="I677" i="8"/>
  <c r="H677" i="8"/>
  <c r="G677" i="8"/>
  <c r="L677" i="8" s="1"/>
  <c r="F677" i="8"/>
  <c r="E677" i="8"/>
  <c r="D677" i="8"/>
  <c r="C677" i="8"/>
  <c r="B677" i="8"/>
  <c r="A677" i="8"/>
  <c r="M676" i="8"/>
  <c r="L676" i="8"/>
  <c r="K676" i="8"/>
  <c r="J676" i="8"/>
  <c r="I676" i="8"/>
  <c r="H676" i="8"/>
  <c r="G676" i="8"/>
  <c r="F676" i="8"/>
  <c r="E676" i="8"/>
  <c r="D676" i="8"/>
  <c r="C676" i="8"/>
  <c r="B676" i="8"/>
  <c r="A676" i="8"/>
  <c r="M675" i="8"/>
  <c r="K675" i="8"/>
  <c r="J675" i="8"/>
  <c r="I675" i="8"/>
  <c r="H675" i="8"/>
  <c r="G675" i="8"/>
  <c r="L675" i="8" s="1"/>
  <c r="F675" i="8"/>
  <c r="E675" i="8"/>
  <c r="D675" i="8"/>
  <c r="C675" i="8"/>
  <c r="B675" i="8"/>
  <c r="A675" i="8"/>
  <c r="M674" i="8"/>
  <c r="L674" i="8"/>
  <c r="K674" i="8"/>
  <c r="J674" i="8"/>
  <c r="I674" i="8"/>
  <c r="H674" i="8"/>
  <c r="G674" i="8"/>
  <c r="F674" i="8"/>
  <c r="E674" i="8"/>
  <c r="D674" i="8"/>
  <c r="C674" i="8"/>
  <c r="B674" i="8"/>
  <c r="A674" i="8"/>
  <c r="M673" i="8"/>
  <c r="L673" i="8"/>
  <c r="K673" i="8"/>
  <c r="J673" i="8"/>
  <c r="I673" i="8"/>
  <c r="H673" i="8"/>
  <c r="G673" i="8"/>
  <c r="F673" i="8"/>
  <c r="E673" i="8"/>
  <c r="D673" i="8"/>
  <c r="C673" i="8"/>
  <c r="B673" i="8"/>
  <c r="A673" i="8"/>
  <c r="M672" i="8"/>
  <c r="K672" i="8"/>
  <c r="J672" i="8"/>
  <c r="I672" i="8"/>
  <c r="H672" i="8"/>
  <c r="G672" i="8"/>
  <c r="L672" i="8" s="1"/>
  <c r="F672" i="8"/>
  <c r="E672" i="8"/>
  <c r="D672" i="8"/>
  <c r="C672" i="8"/>
  <c r="B672" i="8"/>
  <c r="A672" i="8"/>
  <c r="M671" i="8"/>
  <c r="L671" i="8"/>
  <c r="K671" i="8"/>
  <c r="J671" i="8"/>
  <c r="I671" i="8"/>
  <c r="H671" i="8"/>
  <c r="G671" i="8"/>
  <c r="F671" i="8"/>
  <c r="E671" i="8"/>
  <c r="D671" i="8"/>
  <c r="C671" i="8"/>
  <c r="B671" i="8"/>
  <c r="A671" i="8"/>
  <c r="M670" i="8"/>
  <c r="K670" i="8"/>
  <c r="J670" i="8"/>
  <c r="I670" i="8"/>
  <c r="H670" i="8"/>
  <c r="G670" i="8"/>
  <c r="L670" i="8" s="1"/>
  <c r="F670" i="8"/>
  <c r="E670" i="8"/>
  <c r="D670" i="8"/>
  <c r="C670" i="8"/>
  <c r="B670" i="8"/>
  <c r="A670" i="8"/>
  <c r="M669" i="8"/>
  <c r="K669" i="8"/>
  <c r="J669" i="8"/>
  <c r="I669" i="8"/>
  <c r="H669" i="8"/>
  <c r="G669" i="8"/>
  <c r="L669" i="8" s="1"/>
  <c r="F669" i="8"/>
  <c r="E669" i="8"/>
  <c r="D669" i="8"/>
  <c r="C669" i="8"/>
  <c r="B669" i="8"/>
  <c r="A669" i="8"/>
  <c r="M668" i="8"/>
  <c r="L668" i="8"/>
  <c r="K668" i="8"/>
  <c r="J668" i="8"/>
  <c r="I668" i="8"/>
  <c r="H668" i="8"/>
  <c r="G668" i="8"/>
  <c r="F668" i="8"/>
  <c r="E668" i="8"/>
  <c r="D668" i="8"/>
  <c r="C668" i="8"/>
  <c r="B668" i="8"/>
  <c r="A668" i="8"/>
  <c r="M667" i="8"/>
  <c r="K667" i="8"/>
  <c r="J667" i="8"/>
  <c r="I667" i="8"/>
  <c r="H667" i="8"/>
  <c r="G667" i="8"/>
  <c r="L667" i="8" s="1"/>
  <c r="F667" i="8"/>
  <c r="E667" i="8"/>
  <c r="D667" i="8"/>
  <c r="C667" i="8"/>
  <c r="B667" i="8"/>
  <c r="A667" i="8"/>
  <c r="M666" i="8"/>
  <c r="L666" i="8"/>
  <c r="K666" i="8"/>
  <c r="J666" i="8"/>
  <c r="I666" i="8"/>
  <c r="H666" i="8"/>
  <c r="G666" i="8"/>
  <c r="F666" i="8"/>
  <c r="E666" i="8"/>
  <c r="D666" i="8"/>
  <c r="C666" i="8"/>
  <c r="B666" i="8"/>
  <c r="A666" i="8"/>
  <c r="M665" i="8"/>
  <c r="L665" i="8"/>
  <c r="K665" i="8"/>
  <c r="J665" i="8"/>
  <c r="I665" i="8"/>
  <c r="H665" i="8"/>
  <c r="G665" i="8"/>
  <c r="F665" i="8"/>
  <c r="E665" i="8"/>
  <c r="D665" i="8"/>
  <c r="C665" i="8"/>
  <c r="B665" i="8"/>
  <c r="A665" i="8"/>
  <c r="M664" i="8"/>
  <c r="K664" i="8"/>
  <c r="J664" i="8"/>
  <c r="I664" i="8"/>
  <c r="H664" i="8"/>
  <c r="G664" i="8"/>
  <c r="L664" i="8" s="1"/>
  <c r="F664" i="8"/>
  <c r="E664" i="8"/>
  <c r="D664" i="8"/>
  <c r="C664" i="8"/>
  <c r="B664" i="8"/>
  <c r="A664" i="8"/>
  <c r="M663" i="8"/>
  <c r="L663" i="8"/>
  <c r="K663" i="8"/>
  <c r="J663" i="8"/>
  <c r="I663" i="8"/>
  <c r="H663" i="8"/>
  <c r="G663" i="8"/>
  <c r="F663" i="8"/>
  <c r="E663" i="8"/>
  <c r="D663" i="8"/>
  <c r="C663" i="8"/>
  <c r="B663" i="8"/>
  <c r="A663" i="8"/>
  <c r="M662" i="8"/>
  <c r="K662" i="8"/>
  <c r="J662" i="8"/>
  <c r="I662" i="8"/>
  <c r="H662" i="8"/>
  <c r="G662" i="8"/>
  <c r="L662" i="8" s="1"/>
  <c r="F662" i="8"/>
  <c r="E662" i="8"/>
  <c r="D662" i="8"/>
  <c r="C662" i="8"/>
  <c r="B662" i="8"/>
  <c r="A662" i="8"/>
  <c r="M661" i="8"/>
  <c r="K661" i="8"/>
  <c r="J661" i="8"/>
  <c r="I661" i="8"/>
  <c r="H661" i="8"/>
  <c r="G661" i="8"/>
  <c r="L661" i="8" s="1"/>
  <c r="F661" i="8"/>
  <c r="E661" i="8"/>
  <c r="D661" i="8"/>
  <c r="C661" i="8"/>
  <c r="B661" i="8"/>
  <c r="A661" i="8"/>
  <c r="M660" i="8"/>
  <c r="L660" i="8"/>
  <c r="K660" i="8"/>
  <c r="J660" i="8"/>
  <c r="I660" i="8"/>
  <c r="H660" i="8"/>
  <c r="G660" i="8"/>
  <c r="F660" i="8"/>
  <c r="E660" i="8"/>
  <c r="D660" i="8"/>
  <c r="C660" i="8"/>
  <c r="B660" i="8"/>
  <c r="A660" i="8"/>
  <c r="M659" i="8"/>
  <c r="K659" i="8"/>
  <c r="J659" i="8"/>
  <c r="I659" i="8"/>
  <c r="H659" i="8"/>
  <c r="G659" i="8"/>
  <c r="L659" i="8" s="1"/>
  <c r="F659" i="8"/>
  <c r="E659" i="8"/>
  <c r="D659" i="8"/>
  <c r="C659" i="8"/>
  <c r="B659" i="8"/>
  <c r="A659" i="8"/>
  <c r="M658" i="8"/>
  <c r="L658" i="8"/>
  <c r="K658" i="8"/>
  <c r="J658" i="8"/>
  <c r="I658" i="8"/>
  <c r="H658" i="8"/>
  <c r="G658" i="8"/>
  <c r="F658" i="8"/>
  <c r="E658" i="8"/>
  <c r="D658" i="8"/>
  <c r="C658" i="8"/>
  <c r="B658" i="8"/>
  <c r="A658" i="8"/>
  <c r="M657" i="8"/>
  <c r="L657" i="8"/>
  <c r="K657" i="8"/>
  <c r="J657" i="8"/>
  <c r="I657" i="8"/>
  <c r="H657" i="8"/>
  <c r="G657" i="8"/>
  <c r="F657" i="8"/>
  <c r="E657" i="8"/>
  <c r="D657" i="8"/>
  <c r="C657" i="8"/>
  <c r="B657" i="8"/>
  <c r="A657" i="8"/>
  <c r="M656" i="8"/>
  <c r="K656" i="8"/>
  <c r="J656" i="8"/>
  <c r="I656" i="8"/>
  <c r="H656" i="8"/>
  <c r="G656" i="8"/>
  <c r="L656" i="8" s="1"/>
  <c r="F656" i="8"/>
  <c r="E656" i="8"/>
  <c r="D656" i="8"/>
  <c r="C656" i="8"/>
  <c r="B656" i="8"/>
  <c r="A656" i="8"/>
  <c r="M655" i="8"/>
  <c r="L655" i="8"/>
  <c r="K655" i="8"/>
  <c r="J655" i="8"/>
  <c r="I655" i="8"/>
  <c r="H655" i="8"/>
  <c r="G655" i="8"/>
  <c r="F655" i="8"/>
  <c r="E655" i="8"/>
  <c r="D655" i="8"/>
  <c r="C655" i="8"/>
  <c r="B655" i="8"/>
  <c r="A655" i="8"/>
  <c r="M654" i="8"/>
  <c r="K654" i="8"/>
  <c r="J654" i="8"/>
  <c r="I654" i="8"/>
  <c r="H654" i="8"/>
  <c r="G654" i="8"/>
  <c r="L654" i="8" s="1"/>
  <c r="F654" i="8"/>
  <c r="E654" i="8"/>
  <c r="D654" i="8"/>
  <c r="C654" i="8"/>
  <c r="B654" i="8"/>
  <c r="A654" i="8"/>
  <c r="M653" i="8"/>
  <c r="K653" i="8"/>
  <c r="J653" i="8"/>
  <c r="I653" i="8"/>
  <c r="H653" i="8"/>
  <c r="G653" i="8"/>
  <c r="L653" i="8" s="1"/>
  <c r="F653" i="8"/>
  <c r="E653" i="8"/>
  <c r="D653" i="8"/>
  <c r="C653" i="8"/>
  <c r="B653" i="8"/>
  <c r="A653" i="8"/>
  <c r="M652" i="8"/>
  <c r="L652" i="8"/>
  <c r="K652" i="8"/>
  <c r="J652" i="8"/>
  <c r="I652" i="8"/>
  <c r="H652" i="8"/>
  <c r="G652" i="8"/>
  <c r="F652" i="8"/>
  <c r="E652" i="8"/>
  <c r="D652" i="8"/>
  <c r="C652" i="8"/>
  <c r="B652" i="8"/>
  <c r="A652" i="8"/>
  <c r="M651" i="8"/>
  <c r="K651" i="8"/>
  <c r="J651" i="8"/>
  <c r="I651" i="8"/>
  <c r="H651" i="8"/>
  <c r="G651" i="8"/>
  <c r="L651" i="8" s="1"/>
  <c r="F651" i="8"/>
  <c r="E651" i="8"/>
  <c r="D651" i="8"/>
  <c r="C651" i="8"/>
  <c r="B651" i="8"/>
  <c r="A651" i="8"/>
  <c r="M650" i="8"/>
  <c r="L650" i="8"/>
  <c r="K650" i="8"/>
  <c r="J650" i="8"/>
  <c r="I650" i="8"/>
  <c r="H650" i="8"/>
  <c r="G650" i="8"/>
  <c r="F650" i="8"/>
  <c r="E650" i="8"/>
  <c r="D650" i="8"/>
  <c r="C650" i="8"/>
  <c r="B650" i="8"/>
  <c r="A650" i="8"/>
  <c r="M649" i="8"/>
  <c r="L649" i="8"/>
  <c r="K649" i="8"/>
  <c r="J649" i="8"/>
  <c r="I649" i="8"/>
  <c r="H649" i="8"/>
  <c r="G649" i="8"/>
  <c r="F649" i="8"/>
  <c r="E649" i="8"/>
  <c r="D649" i="8"/>
  <c r="C649" i="8"/>
  <c r="B649" i="8"/>
  <c r="A649" i="8"/>
  <c r="M648" i="8"/>
  <c r="K648" i="8"/>
  <c r="J648" i="8"/>
  <c r="I648" i="8"/>
  <c r="H648" i="8"/>
  <c r="G648" i="8"/>
  <c r="L648" i="8" s="1"/>
  <c r="F648" i="8"/>
  <c r="E648" i="8"/>
  <c r="D648" i="8"/>
  <c r="C648" i="8"/>
  <c r="B648" i="8"/>
  <c r="A648" i="8"/>
  <c r="M647" i="8"/>
  <c r="L647" i="8"/>
  <c r="K647" i="8"/>
  <c r="J647" i="8"/>
  <c r="I647" i="8"/>
  <c r="H647" i="8"/>
  <c r="G647" i="8"/>
  <c r="F647" i="8"/>
  <c r="E647" i="8"/>
  <c r="D647" i="8"/>
  <c r="C647" i="8"/>
  <c r="B647" i="8"/>
  <c r="A647" i="8"/>
  <c r="M646" i="8"/>
  <c r="K646" i="8"/>
  <c r="J646" i="8"/>
  <c r="I646" i="8"/>
  <c r="H646" i="8"/>
  <c r="G646" i="8"/>
  <c r="L646" i="8" s="1"/>
  <c r="F646" i="8"/>
  <c r="E646" i="8"/>
  <c r="D646" i="8"/>
  <c r="C646" i="8"/>
  <c r="B646" i="8"/>
  <c r="A646" i="8"/>
  <c r="M645" i="8"/>
  <c r="K645" i="8"/>
  <c r="J645" i="8"/>
  <c r="I645" i="8"/>
  <c r="H645" i="8"/>
  <c r="G645" i="8"/>
  <c r="L645" i="8" s="1"/>
  <c r="F645" i="8"/>
  <c r="E645" i="8"/>
  <c r="D645" i="8"/>
  <c r="C645" i="8"/>
  <c r="B645" i="8"/>
  <c r="A645" i="8"/>
  <c r="M644" i="8"/>
  <c r="L644" i="8"/>
  <c r="K644" i="8"/>
  <c r="J644" i="8"/>
  <c r="I644" i="8"/>
  <c r="H644" i="8"/>
  <c r="G644" i="8"/>
  <c r="F644" i="8"/>
  <c r="E644" i="8"/>
  <c r="D644" i="8"/>
  <c r="C644" i="8"/>
  <c r="B644" i="8"/>
  <c r="A644" i="8"/>
  <c r="M643" i="8"/>
  <c r="K643" i="8"/>
  <c r="J643" i="8"/>
  <c r="I643" i="8"/>
  <c r="H643" i="8"/>
  <c r="G643" i="8"/>
  <c r="L643" i="8" s="1"/>
  <c r="F643" i="8"/>
  <c r="E643" i="8"/>
  <c r="D643" i="8"/>
  <c r="C643" i="8"/>
  <c r="B643" i="8"/>
  <c r="A643" i="8"/>
  <c r="M642" i="8"/>
  <c r="L642" i="8"/>
  <c r="K642" i="8"/>
  <c r="J642" i="8"/>
  <c r="I642" i="8"/>
  <c r="H642" i="8"/>
  <c r="G642" i="8"/>
  <c r="F642" i="8"/>
  <c r="E642" i="8"/>
  <c r="D642" i="8"/>
  <c r="C642" i="8"/>
  <c r="B642" i="8"/>
  <c r="A642" i="8"/>
  <c r="M641" i="8"/>
  <c r="L641" i="8"/>
  <c r="K641" i="8"/>
  <c r="J641" i="8"/>
  <c r="I641" i="8"/>
  <c r="H641" i="8"/>
  <c r="G641" i="8"/>
  <c r="F641" i="8"/>
  <c r="E641" i="8"/>
  <c r="D641" i="8"/>
  <c r="C641" i="8"/>
  <c r="B641" i="8"/>
  <c r="A641" i="8"/>
  <c r="M640" i="8"/>
  <c r="K640" i="8"/>
  <c r="J640" i="8"/>
  <c r="I640" i="8"/>
  <c r="H640" i="8"/>
  <c r="G640" i="8"/>
  <c r="L640" i="8" s="1"/>
  <c r="F640" i="8"/>
  <c r="E640" i="8"/>
  <c r="D640" i="8"/>
  <c r="C640" i="8"/>
  <c r="B640" i="8"/>
  <c r="A640" i="8"/>
  <c r="M639" i="8"/>
  <c r="L639" i="8"/>
  <c r="K639" i="8"/>
  <c r="J639" i="8"/>
  <c r="I639" i="8"/>
  <c r="H639" i="8"/>
  <c r="G639" i="8"/>
  <c r="F639" i="8"/>
  <c r="E639" i="8"/>
  <c r="D639" i="8"/>
  <c r="C639" i="8"/>
  <c r="B639" i="8"/>
  <c r="A639" i="8"/>
  <c r="M638" i="8"/>
  <c r="K638" i="8"/>
  <c r="J638" i="8"/>
  <c r="I638" i="8"/>
  <c r="H638" i="8"/>
  <c r="G638" i="8"/>
  <c r="L638" i="8" s="1"/>
  <c r="F638" i="8"/>
  <c r="E638" i="8"/>
  <c r="D638" i="8"/>
  <c r="C638" i="8"/>
  <c r="B638" i="8"/>
  <c r="A638" i="8"/>
  <c r="M637" i="8"/>
  <c r="K637" i="8"/>
  <c r="J637" i="8"/>
  <c r="I637" i="8"/>
  <c r="H637" i="8"/>
  <c r="G637" i="8"/>
  <c r="L637" i="8" s="1"/>
  <c r="F637" i="8"/>
  <c r="E637" i="8"/>
  <c r="D637" i="8"/>
  <c r="C637" i="8"/>
  <c r="B637" i="8"/>
  <c r="A637" i="8"/>
  <c r="M636" i="8"/>
  <c r="L636" i="8"/>
  <c r="K636" i="8"/>
  <c r="J636" i="8"/>
  <c r="I636" i="8"/>
  <c r="H636" i="8"/>
  <c r="G636" i="8"/>
  <c r="F636" i="8"/>
  <c r="E636" i="8"/>
  <c r="D636" i="8"/>
  <c r="C636" i="8"/>
  <c r="B636" i="8"/>
  <c r="A636" i="8"/>
  <c r="M635" i="8"/>
  <c r="K635" i="8"/>
  <c r="J635" i="8"/>
  <c r="I635" i="8"/>
  <c r="H635" i="8"/>
  <c r="G635" i="8"/>
  <c r="L635" i="8" s="1"/>
  <c r="F635" i="8"/>
  <c r="E635" i="8"/>
  <c r="D635" i="8"/>
  <c r="C635" i="8"/>
  <c r="B635" i="8"/>
  <c r="A635" i="8"/>
  <c r="M634" i="8"/>
  <c r="L634" i="8"/>
  <c r="K634" i="8"/>
  <c r="J634" i="8"/>
  <c r="I634" i="8"/>
  <c r="H634" i="8"/>
  <c r="G634" i="8"/>
  <c r="F634" i="8"/>
  <c r="E634" i="8"/>
  <c r="D634" i="8"/>
  <c r="C634" i="8"/>
  <c r="B634" i="8"/>
  <c r="A634" i="8"/>
  <c r="M633" i="8"/>
  <c r="L633" i="8"/>
  <c r="K633" i="8"/>
  <c r="J633" i="8"/>
  <c r="I633" i="8"/>
  <c r="H633" i="8"/>
  <c r="G633" i="8"/>
  <c r="F633" i="8"/>
  <c r="E633" i="8"/>
  <c r="D633" i="8"/>
  <c r="C633" i="8"/>
  <c r="B633" i="8"/>
  <c r="A633" i="8"/>
  <c r="M632" i="8"/>
  <c r="K632" i="8"/>
  <c r="J632" i="8"/>
  <c r="I632" i="8"/>
  <c r="H632" i="8"/>
  <c r="G632" i="8"/>
  <c r="L632" i="8" s="1"/>
  <c r="F632" i="8"/>
  <c r="E632" i="8"/>
  <c r="D632" i="8"/>
  <c r="C632" i="8"/>
  <c r="B632" i="8"/>
  <c r="A632" i="8"/>
  <c r="M631" i="8"/>
  <c r="L631" i="8"/>
  <c r="K631" i="8"/>
  <c r="J631" i="8"/>
  <c r="I631" i="8"/>
  <c r="H631" i="8"/>
  <c r="G631" i="8"/>
  <c r="F631" i="8"/>
  <c r="E631" i="8"/>
  <c r="D631" i="8"/>
  <c r="C631" i="8"/>
  <c r="B631" i="8"/>
  <c r="A631" i="8"/>
  <c r="M630" i="8"/>
  <c r="K630" i="8"/>
  <c r="J630" i="8"/>
  <c r="I630" i="8"/>
  <c r="H630" i="8"/>
  <c r="G630" i="8"/>
  <c r="L630" i="8" s="1"/>
  <c r="F630" i="8"/>
  <c r="E630" i="8"/>
  <c r="D630" i="8"/>
  <c r="C630" i="8"/>
  <c r="B630" i="8"/>
  <c r="A630" i="8"/>
  <c r="M629" i="8"/>
  <c r="K629" i="8"/>
  <c r="J629" i="8"/>
  <c r="I629" i="8"/>
  <c r="H629" i="8"/>
  <c r="G629" i="8"/>
  <c r="L629" i="8" s="1"/>
  <c r="F629" i="8"/>
  <c r="E629" i="8"/>
  <c r="D629" i="8"/>
  <c r="C629" i="8"/>
  <c r="B629" i="8"/>
  <c r="A629" i="8"/>
  <c r="M628" i="8"/>
  <c r="L628" i="8"/>
  <c r="K628" i="8"/>
  <c r="J628" i="8"/>
  <c r="I628" i="8"/>
  <c r="H628" i="8"/>
  <c r="G628" i="8"/>
  <c r="F628" i="8"/>
  <c r="E628" i="8"/>
  <c r="D628" i="8"/>
  <c r="C628" i="8"/>
  <c r="B628" i="8"/>
  <c r="A628" i="8"/>
  <c r="M627" i="8"/>
  <c r="K627" i="8"/>
  <c r="J627" i="8"/>
  <c r="I627" i="8"/>
  <c r="H627" i="8"/>
  <c r="G627" i="8"/>
  <c r="L627" i="8" s="1"/>
  <c r="F627" i="8"/>
  <c r="E627" i="8"/>
  <c r="D627" i="8"/>
  <c r="C627" i="8"/>
  <c r="B627" i="8"/>
  <c r="A627" i="8"/>
  <c r="M626" i="8"/>
  <c r="L626" i="8"/>
  <c r="K626" i="8"/>
  <c r="J626" i="8"/>
  <c r="I626" i="8"/>
  <c r="H626" i="8"/>
  <c r="G626" i="8"/>
  <c r="F626" i="8"/>
  <c r="E626" i="8"/>
  <c r="D626" i="8"/>
  <c r="C626" i="8"/>
  <c r="B626" i="8"/>
  <c r="A626" i="8"/>
  <c r="M625" i="8"/>
  <c r="L625" i="8"/>
  <c r="K625" i="8"/>
  <c r="J625" i="8"/>
  <c r="I625" i="8"/>
  <c r="H625" i="8"/>
  <c r="G625" i="8"/>
  <c r="F625" i="8"/>
  <c r="E625" i="8"/>
  <c r="D625" i="8"/>
  <c r="C625" i="8"/>
  <c r="B625" i="8"/>
  <c r="A625" i="8"/>
  <c r="M624" i="8"/>
  <c r="K624" i="8"/>
  <c r="J624" i="8"/>
  <c r="I624" i="8"/>
  <c r="H624" i="8"/>
  <c r="G624" i="8"/>
  <c r="L624" i="8" s="1"/>
  <c r="F624" i="8"/>
  <c r="E624" i="8"/>
  <c r="D624" i="8"/>
  <c r="C624" i="8"/>
  <c r="B624" i="8"/>
  <c r="A624" i="8"/>
  <c r="M623" i="8"/>
  <c r="L623" i="8"/>
  <c r="K623" i="8"/>
  <c r="J623" i="8"/>
  <c r="I623" i="8"/>
  <c r="H623" i="8"/>
  <c r="G623" i="8"/>
  <c r="F623" i="8"/>
  <c r="E623" i="8"/>
  <c r="D623" i="8"/>
  <c r="C623" i="8"/>
  <c r="B623" i="8"/>
  <c r="A623" i="8"/>
  <c r="M622" i="8"/>
  <c r="K622" i="8"/>
  <c r="J622" i="8"/>
  <c r="I622" i="8"/>
  <c r="H622" i="8"/>
  <c r="G622" i="8"/>
  <c r="L622" i="8" s="1"/>
  <c r="F622" i="8"/>
  <c r="E622" i="8"/>
  <c r="D622" i="8"/>
  <c r="C622" i="8"/>
  <c r="B622" i="8"/>
  <c r="A622" i="8"/>
  <c r="M621" i="8"/>
  <c r="K621" i="8"/>
  <c r="J621" i="8"/>
  <c r="I621" i="8"/>
  <c r="H621" i="8"/>
  <c r="G621" i="8"/>
  <c r="L621" i="8" s="1"/>
  <c r="F621" i="8"/>
  <c r="E621" i="8"/>
  <c r="D621" i="8"/>
  <c r="C621" i="8"/>
  <c r="B621" i="8"/>
  <c r="A621" i="8"/>
  <c r="M620" i="8"/>
  <c r="L620" i="8"/>
  <c r="K620" i="8"/>
  <c r="J620" i="8"/>
  <c r="I620" i="8"/>
  <c r="H620" i="8"/>
  <c r="G620" i="8"/>
  <c r="F620" i="8"/>
  <c r="E620" i="8"/>
  <c r="D620" i="8"/>
  <c r="C620" i="8"/>
  <c r="B620" i="8"/>
  <c r="A620" i="8"/>
  <c r="M619" i="8"/>
  <c r="K619" i="8"/>
  <c r="J619" i="8"/>
  <c r="I619" i="8"/>
  <c r="H619" i="8"/>
  <c r="G619" i="8"/>
  <c r="L619" i="8" s="1"/>
  <c r="F619" i="8"/>
  <c r="E619" i="8"/>
  <c r="D619" i="8"/>
  <c r="C619" i="8"/>
  <c r="B619" i="8"/>
  <c r="A619" i="8"/>
  <c r="M618" i="8"/>
  <c r="L618" i="8"/>
  <c r="K618" i="8"/>
  <c r="J618" i="8"/>
  <c r="I618" i="8"/>
  <c r="H618" i="8"/>
  <c r="G618" i="8"/>
  <c r="F618" i="8"/>
  <c r="E618" i="8"/>
  <c r="D618" i="8"/>
  <c r="C618" i="8"/>
  <c r="B618" i="8"/>
  <c r="A618" i="8"/>
  <c r="M617" i="8"/>
  <c r="L617" i="8"/>
  <c r="K617" i="8"/>
  <c r="J617" i="8"/>
  <c r="I617" i="8"/>
  <c r="H617" i="8"/>
  <c r="G617" i="8"/>
  <c r="F617" i="8"/>
  <c r="E617" i="8"/>
  <c r="D617" i="8"/>
  <c r="C617" i="8"/>
  <c r="B617" i="8"/>
  <c r="A617" i="8"/>
  <c r="M616" i="8"/>
  <c r="K616" i="8"/>
  <c r="J616" i="8"/>
  <c r="I616" i="8"/>
  <c r="H616" i="8"/>
  <c r="G616" i="8"/>
  <c r="L616" i="8" s="1"/>
  <c r="F616" i="8"/>
  <c r="E616" i="8"/>
  <c r="D616" i="8"/>
  <c r="C616" i="8"/>
  <c r="B616" i="8"/>
  <c r="A616" i="8"/>
  <c r="M615" i="8"/>
  <c r="L615" i="8"/>
  <c r="K615" i="8"/>
  <c r="J615" i="8"/>
  <c r="I615" i="8"/>
  <c r="H615" i="8"/>
  <c r="G615" i="8"/>
  <c r="F615" i="8"/>
  <c r="E615" i="8"/>
  <c r="D615" i="8"/>
  <c r="C615" i="8"/>
  <c r="B615" i="8"/>
  <c r="A615" i="8"/>
  <c r="M614" i="8"/>
  <c r="K614" i="8"/>
  <c r="J614" i="8"/>
  <c r="I614" i="8"/>
  <c r="H614" i="8"/>
  <c r="G614" i="8"/>
  <c r="L614" i="8" s="1"/>
  <c r="F614" i="8"/>
  <c r="E614" i="8"/>
  <c r="D614" i="8"/>
  <c r="C614" i="8"/>
  <c r="B614" i="8"/>
  <c r="A614" i="8"/>
  <c r="M613" i="8"/>
  <c r="K613" i="8"/>
  <c r="J613" i="8"/>
  <c r="I613" i="8"/>
  <c r="H613" i="8"/>
  <c r="G613" i="8"/>
  <c r="L613" i="8" s="1"/>
  <c r="F613" i="8"/>
  <c r="E613" i="8"/>
  <c r="D613" i="8"/>
  <c r="C613" i="8"/>
  <c r="B613" i="8"/>
  <c r="A613" i="8"/>
  <c r="M612" i="8"/>
  <c r="L612" i="8"/>
  <c r="K612" i="8"/>
  <c r="J612" i="8"/>
  <c r="I612" i="8"/>
  <c r="H612" i="8"/>
  <c r="G612" i="8"/>
  <c r="F612" i="8"/>
  <c r="E612" i="8"/>
  <c r="D612" i="8"/>
  <c r="C612" i="8"/>
  <c r="B612" i="8"/>
  <c r="A612" i="8"/>
  <c r="M611" i="8"/>
  <c r="K611" i="8"/>
  <c r="J611" i="8"/>
  <c r="I611" i="8"/>
  <c r="H611" i="8"/>
  <c r="G611" i="8"/>
  <c r="L611" i="8" s="1"/>
  <c r="F611" i="8"/>
  <c r="E611" i="8"/>
  <c r="D611" i="8"/>
  <c r="C611" i="8"/>
  <c r="B611" i="8"/>
  <c r="A611" i="8"/>
  <c r="M610" i="8"/>
  <c r="L610" i="8"/>
  <c r="K610" i="8"/>
  <c r="J610" i="8"/>
  <c r="I610" i="8"/>
  <c r="H610" i="8"/>
  <c r="G610" i="8"/>
  <c r="F610" i="8"/>
  <c r="E610" i="8"/>
  <c r="D610" i="8"/>
  <c r="C610" i="8"/>
  <c r="B610" i="8"/>
  <c r="A610" i="8"/>
  <c r="M609" i="8"/>
  <c r="L609" i="8"/>
  <c r="K609" i="8"/>
  <c r="J609" i="8"/>
  <c r="I609" i="8"/>
  <c r="H609" i="8"/>
  <c r="G609" i="8"/>
  <c r="F609" i="8"/>
  <c r="E609" i="8"/>
  <c r="D609" i="8"/>
  <c r="C609" i="8"/>
  <c r="B609" i="8"/>
  <c r="A609" i="8"/>
  <c r="M608" i="8"/>
  <c r="K608" i="8"/>
  <c r="J608" i="8"/>
  <c r="I608" i="8"/>
  <c r="H608" i="8"/>
  <c r="G608" i="8"/>
  <c r="L608" i="8" s="1"/>
  <c r="F608" i="8"/>
  <c r="E608" i="8"/>
  <c r="D608" i="8"/>
  <c r="C608" i="8"/>
  <c r="B608" i="8"/>
  <c r="A608" i="8"/>
  <c r="M607" i="8"/>
  <c r="L607" i="8"/>
  <c r="K607" i="8"/>
  <c r="J607" i="8"/>
  <c r="I607" i="8"/>
  <c r="H607" i="8"/>
  <c r="G607" i="8"/>
  <c r="F607" i="8"/>
  <c r="E607" i="8"/>
  <c r="D607" i="8"/>
  <c r="C607" i="8"/>
  <c r="B607" i="8"/>
  <c r="A607" i="8"/>
  <c r="M606" i="8"/>
  <c r="K606" i="8"/>
  <c r="J606" i="8"/>
  <c r="I606" i="8"/>
  <c r="H606" i="8"/>
  <c r="G606" i="8"/>
  <c r="L606" i="8" s="1"/>
  <c r="F606" i="8"/>
  <c r="E606" i="8"/>
  <c r="D606" i="8"/>
  <c r="C606" i="8"/>
  <c r="B606" i="8"/>
  <c r="A606" i="8"/>
  <c r="M605" i="8"/>
  <c r="K605" i="8"/>
  <c r="J605" i="8"/>
  <c r="I605" i="8"/>
  <c r="H605" i="8"/>
  <c r="G605" i="8"/>
  <c r="L605" i="8" s="1"/>
  <c r="F605" i="8"/>
  <c r="E605" i="8"/>
  <c r="D605" i="8"/>
  <c r="C605" i="8"/>
  <c r="B605" i="8"/>
  <c r="A605" i="8"/>
  <c r="M604" i="8"/>
  <c r="L604" i="8"/>
  <c r="K604" i="8"/>
  <c r="J604" i="8"/>
  <c r="I604" i="8"/>
  <c r="H604" i="8"/>
  <c r="G604" i="8"/>
  <c r="F604" i="8"/>
  <c r="E604" i="8"/>
  <c r="D604" i="8"/>
  <c r="C604" i="8"/>
  <c r="B604" i="8"/>
  <c r="A604" i="8"/>
  <c r="M603" i="8"/>
  <c r="K603" i="8"/>
  <c r="J603" i="8"/>
  <c r="I603" i="8"/>
  <c r="H603" i="8"/>
  <c r="G603" i="8"/>
  <c r="L603" i="8" s="1"/>
  <c r="F603" i="8"/>
  <c r="E603" i="8"/>
  <c r="D603" i="8"/>
  <c r="C603" i="8"/>
  <c r="B603" i="8"/>
  <c r="A603" i="8"/>
  <c r="M602" i="8"/>
  <c r="L602" i="8"/>
  <c r="K602" i="8"/>
  <c r="J602" i="8"/>
  <c r="I602" i="8"/>
  <c r="H602" i="8"/>
  <c r="G602" i="8"/>
  <c r="F602" i="8"/>
  <c r="E602" i="8"/>
  <c r="D602" i="8"/>
  <c r="C602" i="8"/>
  <c r="B602" i="8"/>
  <c r="A602" i="8"/>
  <c r="M601" i="8"/>
  <c r="L601" i="8"/>
  <c r="K601" i="8"/>
  <c r="J601" i="8"/>
  <c r="I601" i="8"/>
  <c r="H601" i="8"/>
  <c r="G601" i="8"/>
  <c r="F601" i="8"/>
  <c r="E601" i="8"/>
  <c r="D601" i="8"/>
  <c r="C601" i="8"/>
  <c r="B601" i="8"/>
  <c r="A601" i="8"/>
  <c r="M600" i="8"/>
  <c r="K600" i="8"/>
  <c r="J600" i="8"/>
  <c r="I600" i="8"/>
  <c r="H600" i="8"/>
  <c r="G600" i="8"/>
  <c r="L600" i="8" s="1"/>
  <c r="F600" i="8"/>
  <c r="E600" i="8"/>
  <c r="D600" i="8"/>
  <c r="C600" i="8"/>
  <c r="B600" i="8"/>
  <c r="A600" i="8"/>
  <c r="M599" i="8"/>
  <c r="L599" i="8"/>
  <c r="K599" i="8"/>
  <c r="J599" i="8"/>
  <c r="I599" i="8"/>
  <c r="H599" i="8"/>
  <c r="G599" i="8"/>
  <c r="F599" i="8"/>
  <c r="E599" i="8"/>
  <c r="D599" i="8"/>
  <c r="C599" i="8"/>
  <c r="B599" i="8"/>
  <c r="A599" i="8"/>
  <c r="M598" i="8"/>
  <c r="K598" i="8"/>
  <c r="J598" i="8"/>
  <c r="I598" i="8"/>
  <c r="H598" i="8"/>
  <c r="G598" i="8"/>
  <c r="L598" i="8" s="1"/>
  <c r="F598" i="8"/>
  <c r="E598" i="8"/>
  <c r="D598" i="8"/>
  <c r="C598" i="8"/>
  <c r="B598" i="8"/>
  <c r="A598" i="8"/>
  <c r="M597" i="8"/>
  <c r="K597" i="8"/>
  <c r="J597" i="8"/>
  <c r="I597" i="8"/>
  <c r="H597" i="8"/>
  <c r="G597" i="8"/>
  <c r="L597" i="8" s="1"/>
  <c r="F597" i="8"/>
  <c r="E597" i="8"/>
  <c r="D597" i="8"/>
  <c r="C597" i="8"/>
  <c r="B597" i="8"/>
  <c r="A597" i="8"/>
  <c r="M596" i="8"/>
  <c r="L596" i="8"/>
  <c r="K596" i="8"/>
  <c r="J596" i="8"/>
  <c r="I596" i="8"/>
  <c r="H596" i="8"/>
  <c r="G596" i="8"/>
  <c r="F596" i="8"/>
  <c r="E596" i="8"/>
  <c r="D596" i="8"/>
  <c r="C596" i="8"/>
  <c r="B596" i="8"/>
  <c r="A596" i="8"/>
  <c r="M595" i="8"/>
  <c r="K595" i="8"/>
  <c r="J595" i="8"/>
  <c r="I595" i="8"/>
  <c r="H595" i="8"/>
  <c r="G595" i="8"/>
  <c r="L595" i="8" s="1"/>
  <c r="F595" i="8"/>
  <c r="E595" i="8"/>
  <c r="D595" i="8"/>
  <c r="C595" i="8"/>
  <c r="B595" i="8"/>
  <c r="A595" i="8"/>
  <c r="M594" i="8"/>
  <c r="L594" i="8"/>
  <c r="K594" i="8"/>
  <c r="J594" i="8"/>
  <c r="I594" i="8"/>
  <c r="H594" i="8"/>
  <c r="G594" i="8"/>
  <c r="F594" i="8"/>
  <c r="E594" i="8"/>
  <c r="D594" i="8"/>
  <c r="C594" i="8"/>
  <c r="B594" i="8"/>
  <c r="A594" i="8"/>
  <c r="M593" i="8"/>
  <c r="L593" i="8"/>
  <c r="K593" i="8"/>
  <c r="J593" i="8"/>
  <c r="I593" i="8"/>
  <c r="H593" i="8"/>
  <c r="G593" i="8"/>
  <c r="F593" i="8"/>
  <c r="E593" i="8"/>
  <c r="D593" i="8"/>
  <c r="C593" i="8"/>
  <c r="B593" i="8"/>
  <c r="A593" i="8"/>
  <c r="M592" i="8"/>
  <c r="K592" i="8"/>
  <c r="J592" i="8"/>
  <c r="I592" i="8"/>
  <c r="H592" i="8"/>
  <c r="G592" i="8"/>
  <c r="L592" i="8" s="1"/>
  <c r="F592" i="8"/>
  <c r="E592" i="8"/>
  <c r="D592" i="8"/>
  <c r="C592" i="8"/>
  <c r="B592" i="8"/>
  <c r="A592" i="8"/>
  <c r="M591" i="8"/>
  <c r="L591" i="8"/>
  <c r="K591" i="8"/>
  <c r="J591" i="8"/>
  <c r="I591" i="8"/>
  <c r="H591" i="8"/>
  <c r="G591" i="8"/>
  <c r="F591" i="8"/>
  <c r="E591" i="8"/>
  <c r="D591" i="8"/>
  <c r="C591" i="8"/>
  <c r="B591" i="8"/>
  <c r="A591" i="8"/>
  <c r="M590" i="8"/>
  <c r="K590" i="8"/>
  <c r="J590" i="8"/>
  <c r="I590" i="8"/>
  <c r="H590" i="8"/>
  <c r="G590" i="8"/>
  <c r="L590" i="8" s="1"/>
  <c r="F590" i="8"/>
  <c r="E590" i="8"/>
  <c r="D590" i="8"/>
  <c r="C590" i="8"/>
  <c r="B590" i="8"/>
  <c r="A590" i="8"/>
  <c r="M589" i="8"/>
  <c r="K589" i="8"/>
  <c r="J589" i="8"/>
  <c r="I589" i="8"/>
  <c r="H589" i="8"/>
  <c r="G589" i="8"/>
  <c r="L589" i="8" s="1"/>
  <c r="F589" i="8"/>
  <c r="E589" i="8"/>
  <c r="D589" i="8"/>
  <c r="C589" i="8"/>
  <c r="B589" i="8"/>
  <c r="A589" i="8"/>
  <c r="M588" i="8"/>
  <c r="L588" i="8"/>
  <c r="K588" i="8"/>
  <c r="J588" i="8"/>
  <c r="I588" i="8"/>
  <c r="H588" i="8"/>
  <c r="G588" i="8"/>
  <c r="F588" i="8"/>
  <c r="E588" i="8"/>
  <c r="D588" i="8"/>
  <c r="C588" i="8"/>
  <c r="B588" i="8"/>
  <c r="A588" i="8"/>
  <c r="M587" i="8"/>
  <c r="K587" i="8"/>
  <c r="J587" i="8"/>
  <c r="I587" i="8"/>
  <c r="H587" i="8"/>
  <c r="G587" i="8"/>
  <c r="L587" i="8" s="1"/>
  <c r="F587" i="8"/>
  <c r="E587" i="8"/>
  <c r="D587" i="8"/>
  <c r="C587" i="8"/>
  <c r="B587" i="8"/>
  <c r="A587" i="8"/>
  <c r="M586" i="8"/>
  <c r="L586" i="8"/>
  <c r="K586" i="8"/>
  <c r="J586" i="8"/>
  <c r="I586" i="8"/>
  <c r="H586" i="8"/>
  <c r="G586" i="8"/>
  <c r="F586" i="8"/>
  <c r="E586" i="8"/>
  <c r="D586" i="8"/>
  <c r="C586" i="8"/>
  <c r="B586" i="8"/>
  <c r="A586" i="8"/>
  <c r="M585" i="8"/>
  <c r="L585" i="8"/>
  <c r="K585" i="8"/>
  <c r="J585" i="8"/>
  <c r="I585" i="8"/>
  <c r="H585" i="8"/>
  <c r="G585" i="8"/>
  <c r="F585" i="8"/>
  <c r="E585" i="8"/>
  <c r="D585" i="8"/>
  <c r="C585" i="8"/>
  <c r="B585" i="8"/>
  <c r="A585" i="8"/>
  <c r="M584" i="8"/>
  <c r="K584" i="8"/>
  <c r="J584" i="8"/>
  <c r="I584" i="8"/>
  <c r="H584" i="8"/>
  <c r="G584" i="8"/>
  <c r="L584" i="8" s="1"/>
  <c r="F584" i="8"/>
  <c r="E584" i="8"/>
  <c r="D584" i="8"/>
  <c r="C584" i="8"/>
  <c r="B584" i="8"/>
  <c r="A584" i="8"/>
  <c r="M583" i="8"/>
  <c r="L583" i="8"/>
  <c r="K583" i="8"/>
  <c r="J583" i="8"/>
  <c r="I583" i="8"/>
  <c r="H583" i="8"/>
  <c r="G583" i="8"/>
  <c r="F583" i="8"/>
  <c r="E583" i="8"/>
  <c r="D583" i="8"/>
  <c r="C583" i="8"/>
  <c r="B583" i="8"/>
  <c r="A583" i="8"/>
  <c r="M582" i="8"/>
  <c r="K582" i="8"/>
  <c r="J582" i="8"/>
  <c r="I582" i="8"/>
  <c r="H582" i="8"/>
  <c r="G582" i="8"/>
  <c r="L582" i="8" s="1"/>
  <c r="F582" i="8"/>
  <c r="E582" i="8"/>
  <c r="D582" i="8"/>
  <c r="C582" i="8"/>
  <c r="B582" i="8"/>
  <c r="A582" i="8"/>
  <c r="M581" i="8"/>
  <c r="K581" i="8"/>
  <c r="J581" i="8"/>
  <c r="I581" i="8"/>
  <c r="H581" i="8"/>
  <c r="G581" i="8"/>
  <c r="L581" i="8" s="1"/>
  <c r="F581" i="8"/>
  <c r="E581" i="8"/>
  <c r="D581" i="8"/>
  <c r="C581" i="8"/>
  <c r="B581" i="8"/>
  <c r="A581" i="8"/>
  <c r="M580" i="8"/>
  <c r="L580" i="8"/>
  <c r="K580" i="8"/>
  <c r="J580" i="8"/>
  <c r="I580" i="8"/>
  <c r="H580" i="8"/>
  <c r="G580" i="8"/>
  <c r="F580" i="8"/>
  <c r="E580" i="8"/>
  <c r="D580" i="8"/>
  <c r="C580" i="8"/>
  <c r="B580" i="8"/>
  <c r="A580" i="8"/>
  <c r="M579" i="8"/>
  <c r="K579" i="8"/>
  <c r="J579" i="8"/>
  <c r="I579" i="8"/>
  <c r="H579" i="8"/>
  <c r="G579" i="8"/>
  <c r="L579" i="8" s="1"/>
  <c r="F579" i="8"/>
  <c r="E579" i="8"/>
  <c r="D579" i="8"/>
  <c r="C579" i="8"/>
  <c r="B579" i="8"/>
  <c r="A579" i="8"/>
  <c r="M578" i="8"/>
  <c r="L578" i="8"/>
  <c r="K578" i="8"/>
  <c r="J578" i="8"/>
  <c r="I578" i="8"/>
  <c r="H578" i="8"/>
  <c r="G578" i="8"/>
  <c r="F578" i="8"/>
  <c r="E578" i="8"/>
  <c r="D578" i="8"/>
  <c r="C578" i="8"/>
  <c r="B578" i="8"/>
  <c r="A578" i="8"/>
  <c r="M577" i="8"/>
  <c r="L577" i="8"/>
  <c r="K577" i="8"/>
  <c r="J577" i="8"/>
  <c r="I577" i="8"/>
  <c r="H577" i="8"/>
  <c r="G577" i="8"/>
  <c r="F577" i="8"/>
  <c r="E577" i="8"/>
  <c r="D577" i="8"/>
  <c r="C577" i="8"/>
  <c r="B577" i="8"/>
  <c r="A577" i="8"/>
  <c r="M576" i="8"/>
  <c r="K576" i="8"/>
  <c r="J576" i="8"/>
  <c r="I576" i="8"/>
  <c r="H576" i="8"/>
  <c r="G576" i="8"/>
  <c r="L576" i="8" s="1"/>
  <c r="F576" i="8"/>
  <c r="E576" i="8"/>
  <c r="D576" i="8"/>
  <c r="C576" i="8"/>
  <c r="B576" i="8"/>
  <c r="A576" i="8"/>
  <c r="M575" i="8"/>
  <c r="L575" i="8"/>
  <c r="K575" i="8"/>
  <c r="J575" i="8"/>
  <c r="I575" i="8"/>
  <c r="H575" i="8"/>
  <c r="G575" i="8"/>
  <c r="F575" i="8"/>
  <c r="E575" i="8"/>
  <c r="D575" i="8"/>
  <c r="C575" i="8"/>
  <c r="B575" i="8"/>
  <c r="A575" i="8"/>
  <c r="M574" i="8"/>
  <c r="K574" i="8"/>
  <c r="J574" i="8"/>
  <c r="I574" i="8"/>
  <c r="H574" i="8"/>
  <c r="G574" i="8"/>
  <c r="L574" i="8" s="1"/>
  <c r="F574" i="8"/>
  <c r="E574" i="8"/>
  <c r="D574" i="8"/>
  <c r="C574" i="8"/>
  <c r="B574" i="8"/>
  <c r="A574" i="8"/>
  <c r="M573" i="8"/>
  <c r="K573" i="8"/>
  <c r="J573" i="8"/>
  <c r="I573" i="8"/>
  <c r="H573" i="8"/>
  <c r="G573" i="8"/>
  <c r="L573" i="8" s="1"/>
  <c r="F573" i="8"/>
  <c r="E573" i="8"/>
  <c r="D573" i="8"/>
  <c r="C573" i="8"/>
  <c r="B573" i="8"/>
  <c r="A573" i="8"/>
  <c r="M572" i="8"/>
  <c r="L572" i="8"/>
  <c r="K572" i="8"/>
  <c r="J572" i="8"/>
  <c r="I572" i="8"/>
  <c r="H572" i="8"/>
  <c r="G572" i="8"/>
  <c r="F572" i="8"/>
  <c r="E572" i="8"/>
  <c r="D572" i="8"/>
  <c r="C572" i="8"/>
  <c r="B572" i="8"/>
  <c r="A572" i="8"/>
  <c r="M571" i="8"/>
  <c r="K571" i="8"/>
  <c r="J571" i="8"/>
  <c r="I571" i="8"/>
  <c r="H571" i="8"/>
  <c r="G571" i="8"/>
  <c r="L571" i="8" s="1"/>
  <c r="F571" i="8"/>
  <c r="E571" i="8"/>
  <c r="D571" i="8"/>
  <c r="C571" i="8"/>
  <c r="B571" i="8"/>
  <c r="A571" i="8"/>
  <c r="M570" i="8"/>
  <c r="L570" i="8"/>
  <c r="K570" i="8"/>
  <c r="J570" i="8"/>
  <c r="I570" i="8"/>
  <c r="H570" i="8"/>
  <c r="G570" i="8"/>
  <c r="F570" i="8"/>
  <c r="E570" i="8"/>
  <c r="D570" i="8"/>
  <c r="C570" i="8"/>
  <c r="B570" i="8"/>
  <c r="A570" i="8"/>
  <c r="M569" i="8"/>
  <c r="L569" i="8"/>
  <c r="K569" i="8"/>
  <c r="J569" i="8"/>
  <c r="I569" i="8"/>
  <c r="H569" i="8"/>
  <c r="G569" i="8"/>
  <c r="F569" i="8"/>
  <c r="E569" i="8"/>
  <c r="D569" i="8"/>
  <c r="C569" i="8"/>
  <c r="B569" i="8"/>
  <c r="A569" i="8"/>
  <c r="M568" i="8"/>
  <c r="K568" i="8"/>
  <c r="J568" i="8"/>
  <c r="I568" i="8"/>
  <c r="H568" i="8"/>
  <c r="G568" i="8"/>
  <c r="L568" i="8" s="1"/>
  <c r="F568" i="8"/>
  <c r="E568" i="8"/>
  <c r="D568" i="8"/>
  <c r="C568" i="8"/>
  <c r="B568" i="8"/>
  <c r="A568" i="8"/>
  <c r="M567" i="8"/>
  <c r="L567" i="8"/>
  <c r="K567" i="8"/>
  <c r="J567" i="8"/>
  <c r="I567" i="8"/>
  <c r="H567" i="8"/>
  <c r="G567" i="8"/>
  <c r="F567" i="8"/>
  <c r="E567" i="8"/>
  <c r="D567" i="8"/>
  <c r="C567" i="8"/>
  <c r="B567" i="8"/>
  <c r="A567" i="8"/>
  <c r="M566" i="8"/>
  <c r="K566" i="8"/>
  <c r="J566" i="8"/>
  <c r="I566" i="8"/>
  <c r="H566" i="8"/>
  <c r="G566" i="8"/>
  <c r="L566" i="8" s="1"/>
  <c r="F566" i="8"/>
  <c r="E566" i="8"/>
  <c r="D566" i="8"/>
  <c r="C566" i="8"/>
  <c r="B566" i="8"/>
  <c r="A566" i="8"/>
  <c r="M565" i="8"/>
  <c r="K565" i="8"/>
  <c r="J565" i="8"/>
  <c r="I565" i="8"/>
  <c r="H565" i="8"/>
  <c r="G565" i="8"/>
  <c r="L565" i="8" s="1"/>
  <c r="F565" i="8"/>
  <c r="E565" i="8"/>
  <c r="D565" i="8"/>
  <c r="C565" i="8"/>
  <c r="B565" i="8"/>
  <c r="A565" i="8"/>
  <c r="M564" i="8"/>
  <c r="L564" i="8"/>
  <c r="K564" i="8"/>
  <c r="J564" i="8"/>
  <c r="I564" i="8"/>
  <c r="H564" i="8"/>
  <c r="G564" i="8"/>
  <c r="F564" i="8"/>
  <c r="E564" i="8"/>
  <c r="D564" i="8"/>
  <c r="C564" i="8"/>
  <c r="B564" i="8"/>
  <c r="A564" i="8"/>
  <c r="M563" i="8"/>
  <c r="K563" i="8"/>
  <c r="J563" i="8"/>
  <c r="I563" i="8"/>
  <c r="H563" i="8"/>
  <c r="G563" i="8"/>
  <c r="L563" i="8" s="1"/>
  <c r="F563" i="8"/>
  <c r="E563" i="8"/>
  <c r="D563" i="8"/>
  <c r="C563" i="8"/>
  <c r="B563" i="8"/>
  <c r="A563" i="8"/>
  <c r="M562" i="8"/>
  <c r="L562" i="8"/>
  <c r="K562" i="8"/>
  <c r="J562" i="8"/>
  <c r="I562" i="8"/>
  <c r="H562" i="8"/>
  <c r="G562" i="8"/>
  <c r="F562" i="8"/>
  <c r="E562" i="8"/>
  <c r="D562" i="8"/>
  <c r="C562" i="8"/>
  <c r="B562" i="8"/>
  <c r="A562" i="8"/>
  <c r="M561" i="8"/>
  <c r="L561" i="8"/>
  <c r="K561" i="8"/>
  <c r="J561" i="8"/>
  <c r="I561" i="8"/>
  <c r="H561" i="8"/>
  <c r="G561" i="8"/>
  <c r="F561" i="8"/>
  <c r="E561" i="8"/>
  <c r="D561" i="8"/>
  <c r="C561" i="8"/>
  <c r="B561" i="8"/>
  <c r="A561" i="8"/>
  <c r="M560" i="8"/>
  <c r="K560" i="8"/>
  <c r="J560" i="8"/>
  <c r="I560" i="8"/>
  <c r="H560" i="8"/>
  <c r="G560" i="8"/>
  <c r="L560" i="8" s="1"/>
  <c r="F560" i="8"/>
  <c r="E560" i="8"/>
  <c r="D560" i="8"/>
  <c r="C560" i="8"/>
  <c r="B560" i="8"/>
  <c r="A560" i="8"/>
  <c r="M559" i="8"/>
  <c r="L559" i="8"/>
  <c r="K559" i="8"/>
  <c r="J559" i="8"/>
  <c r="I559" i="8"/>
  <c r="H559" i="8"/>
  <c r="G559" i="8"/>
  <c r="F559" i="8"/>
  <c r="E559" i="8"/>
  <c r="D559" i="8"/>
  <c r="C559" i="8"/>
  <c r="B559" i="8"/>
  <c r="A559" i="8"/>
  <c r="M558" i="8"/>
  <c r="K558" i="8"/>
  <c r="J558" i="8"/>
  <c r="I558" i="8"/>
  <c r="H558" i="8"/>
  <c r="G558" i="8"/>
  <c r="L558" i="8" s="1"/>
  <c r="F558" i="8"/>
  <c r="E558" i="8"/>
  <c r="D558" i="8"/>
  <c r="C558" i="8"/>
  <c r="B558" i="8"/>
  <c r="A558" i="8"/>
  <c r="M557" i="8"/>
  <c r="K557" i="8"/>
  <c r="J557" i="8"/>
  <c r="I557" i="8"/>
  <c r="H557" i="8"/>
  <c r="G557" i="8"/>
  <c r="L557" i="8" s="1"/>
  <c r="F557" i="8"/>
  <c r="E557" i="8"/>
  <c r="D557" i="8"/>
  <c r="C557" i="8"/>
  <c r="B557" i="8"/>
  <c r="A557" i="8"/>
  <c r="M556" i="8"/>
  <c r="L556" i="8"/>
  <c r="K556" i="8"/>
  <c r="J556" i="8"/>
  <c r="I556" i="8"/>
  <c r="H556" i="8"/>
  <c r="G556" i="8"/>
  <c r="F556" i="8"/>
  <c r="E556" i="8"/>
  <c r="D556" i="8"/>
  <c r="C556" i="8"/>
  <c r="B556" i="8"/>
  <c r="A556" i="8"/>
  <c r="M555" i="8"/>
  <c r="K555" i="8"/>
  <c r="J555" i="8"/>
  <c r="I555" i="8"/>
  <c r="H555" i="8"/>
  <c r="G555" i="8"/>
  <c r="L555" i="8" s="1"/>
  <c r="F555" i="8"/>
  <c r="E555" i="8"/>
  <c r="D555" i="8"/>
  <c r="C555" i="8"/>
  <c r="B555" i="8"/>
  <c r="A555" i="8"/>
  <c r="M554" i="8"/>
  <c r="L554" i="8"/>
  <c r="K554" i="8"/>
  <c r="J554" i="8"/>
  <c r="I554" i="8"/>
  <c r="H554" i="8"/>
  <c r="G554" i="8"/>
  <c r="F554" i="8"/>
  <c r="E554" i="8"/>
  <c r="D554" i="8"/>
  <c r="C554" i="8"/>
  <c r="B554" i="8"/>
  <c r="A554" i="8"/>
  <c r="M553" i="8"/>
  <c r="L553" i="8"/>
  <c r="K553" i="8"/>
  <c r="J553" i="8"/>
  <c r="I553" i="8"/>
  <c r="H553" i="8"/>
  <c r="G553" i="8"/>
  <c r="F553" i="8"/>
  <c r="E553" i="8"/>
  <c r="D553" i="8"/>
  <c r="C553" i="8"/>
  <c r="B553" i="8"/>
  <c r="A553" i="8"/>
  <c r="M552" i="8"/>
  <c r="K552" i="8"/>
  <c r="J552" i="8"/>
  <c r="I552" i="8"/>
  <c r="H552" i="8"/>
  <c r="G552" i="8"/>
  <c r="L552" i="8" s="1"/>
  <c r="F552" i="8"/>
  <c r="E552" i="8"/>
  <c r="D552" i="8"/>
  <c r="C552" i="8"/>
  <c r="B552" i="8"/>
  <c r="A552" i="8"/>
  <c r="M551" i="8"/>
  <c r="L551" i="8"/>
  <c r="K551" i="8"/>
  <c r="J551" i="8"/>
  <c r="I551" i="8"/>
  <c r="H551" i="8"/>
  <c r="G551" i="8"/>
  <c r="F551" i="8"/>
  <c r="E551" i="8"/>
  <c r="D551" i="8"/>
  <c r="C551" i="8"/>
  <c r="B551" i="8"/>
  <c r="A551" i="8"/>
  <c r="M550" i="8"/>
  <c r="K550" i="8"/>
  <c r="J550" i="8"/>
  <c r="I550" i="8"/>
  <c r="H550" i="8"/>
  <c r="G550" i="8"/>
  <c r="L550" i="8" s="1"/>
  <c r="F550" i="8"/>
  <c r="E550" i="8"/>
  <c r="D550" i="8"/>
  <c r="C550" i="8"/>
  <c r="B550" i="8"/>
  <c r="A550" i="8"/>
  <c r="M549" i="8"/>
  <c r="K549" i="8"/>
  <c r="J549" i="8"/>
  <c r="I549" i="8"/>
  <c r="H549" i="8"/>
  <c r="G549" i="8"/>
  <c r="L549" i="8" s="1"/>
  <c r="F549" i="8"/>
  <c r="E549" i="8"/>
  <c r="D549" i="8"/>
  <c r="C549" i="8"/>
  <c r="B549" i="8"/>
  <c r="A549" i="8"/>
  <c r="M548" i="8"/>
  <c r="L548" i="8"/>
  <c r="K548" i="8"/>
  <c r="J548" i="8"/>
  <c r="I548" i="8"/>
  <c r="H548" i="8"/>
  <c r="G548" i="8"/>
  <c r="F548" i="8"/>
  <c r="E548" i="8"/>
  <c r="D548" i="8"/>
  <c r="C548" i="8"/>
  <c r="B548" i="8"/>
  <c r="A548" i="8"/>
  <c r="M547" i="8"/>
  <c r="K547" i="8"/>
  <c r="J547" i="8"/>
  <c r="I547" i="8"/>
  <c r="H547" i="8"/>
  <c r="G547" i="8"/>
  <c r="L547" i="8" s="1"/>
  <c r="F547" i="8"/>
  <c r="E547" i="8"/>
  <c r="D547" i="8"/>
  <c r="C547" i="8"/>
  <c r="B547" i="8"/>
  <c r="A547" i="8"/>
  <c r="M546" i="8"/>
  <c r="L546" i="8"/>
  <c r="K546" i="8"/>
  <c r="J546" i="8"/>
  <c r="I546" i="8"/>
  <c r="H546" i="8"/>
  <c r="G546" i="8"/>
  <c r="F546" i="8"/>
  <c r="E546" i="8"/>
  <c r="D546" i="8"/>
  <c r="C546" i="8"/>
  <c r="B546" i="8"/>
  <c r="A546" i="8"/>
  <c r="M545" i="8"/>
  <c r="L545" i="8"/>
  <c r="K545" i="8"/>
  <c r="J545" i="8"/>
  <c r="I545" i="8"/>
  <c r="H545" i="8"/>
  <c r="G545" i="8"/>
  <c r="F545" i="8"/>
  <c r="E545" i="8"/>
  <c r="D545" i="8"/>
  <c r="C545" i="8"/>
  <c r="B545" i="8"/>
  <c r="A545" i="8"/>
  <c r="M544" i="8"/>
  <c r="K544" i="8"/>
  <c r="J544" i="8"/>
  <c r="I544" i="8"/>
  <c r="H544" i="8"/>
  <c r="G544" i="8"/>
  <c r="L544" i="8" s="1"/>
  <c r="F544" i="8"/>
  <c r="E544" i="8"/>
  <c r="D544" i="8"/>
  <c r="C544" i="8"/>
  <c r="B544" i="8"/>
  <c r="A544" i="8"/>
  <c r="M543" i="8"/>
  <c r="L543" i="8"/>
  <c r="K543" i="8"/>
  <c r="J543" i="8"/>
  <c r="I543" i="8"/>
  <c r="H543" i="8"/>
  <c r="G543" i="8"/>
  <c r="F543" i="8"/>
  <c r="E543" i="8"/>
  <c r="D543" i="8"/>
  <c r="C543" i="8"/>
  <c r="B543" i="8"/>
  <c r="A543" i="8"/>
  <c r="M542" i="8"/>
  <c r="K542" i="8"/>
  <c r="J542" i="8"/>
  <c r="I542" i="8"/>
  <c r="H542" i="8"/>
  <c r="G542" i="8"/>
  <c r="L542" i="8" s="1"/>
  <c r="F542" i="8"/>
  <c r="E542" i="8"/>
  <c r="D542" i="8"/>
  <c r="C542" i="8"/>
  <c r="B542" i="8"/>
  <c r="A542" i="8"/>
  <c r="M541" i="8"/>
  <c r="K541" i="8"/>
  <c r="J541" i="8"/>
  <c r="I541" i="8"/>
  <c r="H541" i="8"/>
  <c r="G541" i="8"/>
  <c r="L541" i="8" s="1"/>
  <c r="F541" i="8"/>
  <c r="E541" i="8"/>
  <c r="D541" i="8"/>
  <c r="C541" i="8"/>
  <c r="B541" i="8"/>
  <c r="A541" i="8"/>
  <c r="M540" i="8"/>
  <c r="L540" i="8"/>
  <c r="K540" i="8"/>
  <c r="J540" i="8"/>
  <c r="I540" i="8"/>
  <c r="H540" i="8"/>
  <c r="G540" i="8"/>
  <c r="F540" i="8"/>
  <c r="E540" i="8"/>
  <c r="D540" i="8"/>
  <c r="C540" i="8"/>
  <c r="B540" i="8"/>
  <c r="A540" i="8"/>
  <c r="M539" i="8"/>
  <c r="K539" i="8"/>
  <c r="J539" i="8"/>
  <c r="I539" i="8"/>
  <c r="H539" i="8"/>
  <c r="G539" i="8"/>
  <c r="L539" i="8" s="1"/>
  <c r="F539" i="8"/>
  <c r="E539" i="8"/>
  <c r="D539" i="8"/>
  <c r="C539" i="8"/>
  <c r="B539" i="8"/>
  <c r="A539" i="8"/>
  <c r="M538" i="8"/>
  <c r="L538" i="8"/>
  <c r="K538" i="8"/>
  <c r="J538" i="8"/>
  <c r="I538" i="8"/>
  <c r="H538" i="8"/>
  <c r="G538" i="8"/>
  <c r="F538" i="8"/>
  <c r="E538" i="8"/>
  <c r="D538" i="8"/>
  <c r="C538" i="8"/>
  <c r="B538" i="8"/>
  <c r="A538" i="8"/>
  <c r="M537" i="8"/>
  <c r="L537" i="8"/>
  <c r="K537" i="8"/>
  <c r="J537" i="8"/>
  <c r="I537" i="8"/>
  <c r="H537" i="8"/>
  <c r="G537" i="8"/>
  <c r="F537" i="8"/>
  <c r="E537" i="8"/>
  <c r="D537" i="8"/>
  <c r="C537" i="8"/>
  <c r="B537" i="8"/>
  <c r="A537" i="8"/>
  <c r="M536" i="8"/>
  <c r="K536" i="8"/>
  <c r="J536" i="8"/>
  <c r="I536" i="8"/>
  <c r="H536" i="8"/>
  <c r="G536" i="8"/>
  <c r="L536" i="8" s="1"/>
  <c r="F536" i="8"/>
  <c r="E536" i="8"/>
  <c r="D536" i="8"/>
  <c r="C536" i="8"/>
  <c r="B536" i="8"/>
  <c r="A536" i="8"/>
  <c r="M535" i="8"/>
  <c r="L535" i="8"/>
  <c r="K535" i="8"/>
  <c r="J535" i="8"/>
  <c r="I535" i="8"/>
  <c r="H535" i="8"/>
  <c r="G535" i="8"/>
  <c r="F535" i="8"/>
  <c r="E535" i="8"/>
  <c r="D535" i="8"/>
  <c r="C535" i="8"/>
  <c r="B535" i="8"/>
  <c r="A535" i="8"/>
  <c r="M534" i="8"/>
  <c r="K534" i="8"/>
  <c r="J534" i="8"/>
  <c r="I534" i="8"/>
  <c r="H534" i="8"/>
  <c r="G534" i="8"/>
  <c r="L534" i="8" s="1"/>
  <c r="F534" i="8"/>
  <c r="E534" i="8"/>
  <c r="D534" i="8"/>
  <c r="C534" i="8"/>
  <c r="B534" i="8"/>
  <c r="A534" i="8"/>
  <c r="M533" i="8"/>
  <c r="K533" i="8"/>
  <c r="J533" i="8"/>
  <c r="I533" i="8"/>
  <c r="H533" i="8"/>
  <c r="G533" i="8"/>
  <c r="L533" i="8" s="1"/>
  <c r="F533" i="8"/>
  <c r="E533" i="8"/>
  <c r="D533" i="8"/>
  <c r="C533" i="8"/>
  <c r="B533" i="8"/>
  <c r="A533" i="8"/>
  <c r="M532" i="8"/>
  <c r="L532" i="8"/>
  <c r="K532" i="8"/>
  <c r="J532" i="8"/>
  <c r="I532" i="8"/>
  <c r="H532" i="8"/>
  <c r="G532" i="8"/>
  <c r="F532" i="8"/>
  <c r="E532" i="8"/>
  <c r="D532" i="8"/>
  <c r="C532" i="8"/>
  <c r="B532" i="8"/>
  <c r="A532" i="8"/>
  <c r="M531" i="8"/>
  <c r="K531" i="8"/>
  <c r="J531" i="8"/>
  <c r="I531" i="8"/>
  <c r="H531" i="8"/>
  <c r="G531" i="8"/>
  <c r="L531" i="8" s="1"/>
  <c r="F531" i="8"/>
  <c r="E531" i="8"/>
  <c r="D531" i="8"/>
  <c r="C531" i="8"/>
  <c r="B531" i="8"/>
  <c r="A531" i="8"/>
  <c r="M530" i="8"/>
  <c r="L530" i="8"/>
  <c r="K530" i="8"/>
  <c r="J530" i="8"/>
  <c r="I530" i="8"/>
  <c r="H530" i="8"/>
  <c r="G530" i="8"/>
  <c r="F530" i="8"/>
  <c r="E530" i="8"/>
  <c r="D530" i="8"/>
  <c r="C530" i="8"/>
  <c r="B530" i="8"/>
  <c r="A530" i="8"/>
  <c r="M529" i="8"/>
  <c r="L529" i="8"/>
  <c r="K529" i="8"/>
  <c r="J529" i="8"/>
  <c r="I529" i="8"/>
  <c r="H529" i="8"/>
  <c r="G529" i="8"/>
  <c r="F529" i="8"/>
  <c r="E529" i="8"/>
  <c r="D529" i="8"/>
  <c r="C529" i="8"/>
  <c r="B529" i="8"/>
  <c r="A529" i="8"/>
  <c r="M528" i="8"/>
  <c r="K528" i="8"/>
  <c r="J528" i="8"/>
  <c r="I528" i="8"/>
  <c r="H528" i="8"/>
  <c r="G528" i="8"/>
  <c r="L528" i="8" s="1"/>
  <c r="F528" i="8"/>
  <c r="E528" i="8"/>
  <c r="D528" i="8"/>
  <c r="C528" i="8"/>
  <c r="B528" i="8"/>
  <c r="A528" i="8"/>
  <c r="M527" i="8"/>
  <c r="L527" i="8"/>
  <c r="K527" i="8"/>
  <c r="J527" i="8"/>
  <c r="I527" i="8"/>
  <c r="H527" i="8"/>
  <c r="G527" i="8"/>
  <c r="F527" i="8"/>
  <c r="E527" i="8"/>
  <c r="D527" i="8"/>
  <c r="C527" i="8"/>
  <c r="B527" i="8"/>
  <c r="A527" i="8"/>
  <c r="M526" i="8"/>
  <c r="K526" i="8"/>
  <c r="J526" i="8"/>
  <c r="I526" i="8"/>
  <c r="H526" i="8"/>
  <c r="G526" i="8"/>
  <c r="L526" i="8" s="1"/>
  <c r="F526" i="8"/>
  <c r="E526" i="8"/>
  <c r="D526" i="8"/>
  <c r="C526" i="8"/>
  <c r="B526" i="8"/>
  <c r="A526" i="8"/>
  <c r="M525" i="8"/>
  <c r="K525" i="8"/>
  <c r="J525" i="8"/>
  <c r="I525" i="8"/>
  <c r="H525" i="8"/>
  <c r="G525" i="8"/>
  <c r="L525" i="8" s="1"/>
  <c r="F525" i="8"/>
  <c r="E525" i="8"/>
  <c r="D525" i="8"/>
  <c r="C525" i="8"/>
  <c r="B525" i="8"/>
  <c r="A525" i="8"/>
  <c r="M524" i="8"/>
  <c r="L524" i="8"/>
  <c r="K524" i="8"/>
  <c r="J524" i="8"/>
  <c r="I524" i="8"/>
  <c r="H524" i="8"/>
  <c r="G524" i="8"/>
  <c r="F524" i="8"/>
  <c r="E524" i="8"/>
  <c r="D524" i="8"/>
  <c r="C524" i="8"/>
  <c r="B524" i="8"/>
  <c r="A524" i="8"/>
  <c r="M523" i="8"/>
  <c r="K523" i="8"/>
  <c r="J523" i="8"/>
  <c r="I523" i="8"/>
  <c r="H523" i="8"/>
  <c r="G523" i="8"/>
  <c r="L523" i="8" s="1"/>
  <c r="F523" i="8"/>
  <c r="E523" i="8"/>
  <c r="D523" i="8"/>
  <c r="C523" i="8"/>
  <c r="B523" i="8"/>
  <c r="A523" i="8"/>
  <c r="M522" i="8"/>
  <c r="L522" i="8"/>
  <c r="K522" i="8"/>
  <c r="J522" i="8"/>
  <c r="I522" i="8"/>
  <c r="H522" i="8"/>
  <c r="G522" i="8"/>
  <c r="F522" i="8"/>
  <c r="E522" i="8"/>
  <c r="D522" i="8"/>
  <c r="C522" i="8"/>
  <c r="B522" i="8"/>
  <c r="A522" i="8"/>
  <c r="M521" i="8"/>
  <c r="L521" i="8"/>
  <c r="K521" i="8"/>
  <c r="J521" i="8"/>
  <c r="I521" i="8"/>
  <c r="H521" i="8"/>
  <c r="G521" i="8"/>
  <c r="F521" i="8"/>
  <c r="E521" i="8"/>
  <c r="D521" i="8"/>
  <c r="C521" i="8"/>
  <c r="B521" i="8"/>
  <c r="A521" i="8"/>
  <c r="M520" i="8"/>
  <c r="K520" i="8"/>
  <c r="J520" i="8"/>
  <c r="I520" i="8"/>
  <c r="H520" i="8"/>
  <c r="G520" i="8"/>
  <c r="L520" i="8" s="1"/>
  <c r="F520" i="8"/>
  <c r="E520" i="8"/>
  <c r="D520" i="8"/>
  <c r="C520" i="8"/>
  <c r="B520" i="8"/>
  <c r="A520" i="8"/>
  <c r="M519" i="8"/>
  <c r="L519" i="8"/>
  <c r="K519" i="8"/>
  <c r="J519" i="8"/>
  <c r="I519" i="8"/>
  <c r="H519" i="8"/>
  <c r="G519" i="8"/>
  <c r="F519" i="8"/>
  <c r="E519" i="8"/>
  <c r="D519" i="8"/>
  <c r="C519" i="8"/>
  <c r="B519" i="8"/>
  <c r="A519" i="8"/>
  <c r="M518" i="8"/>
  <c r="K518" i="8"/>
  <c r="J518" i="8"/>
  <c r="I518" i="8"/>
  <c r="H518" i="8"/>
  <c r="G518" i="8"/>
  <c r="L518" i="8" s="1"/>
  <c r="F518" i="8"/>
  <c r="E518" i="8"/>
  <c r="D518" i="8"/>
  <c r="C518" i="8"/>
  <c r="B518" i="8"/>
  <c r="A518" i="8"/>
  <c r="M517" i="8"/>
  <c r="K517" i="8"/>
  <c r="J517" i="8"/>
  <c r="I517" i="8"/>
  <c r="H517" i="8"/>
  <c r="G517" i="8"/>
  <c r="L517" i="8" s="1"/>
  <c r="F517" i="8"/>
  <c r="E517" i="8"/>
  <c r="D517" i="8"/>
  <c r="C517" i="8"/>
  <c r="B517" i="8"/>
  <c r="A517" i="8"/>
  <c r="M516" i="8"/>
  <c r="L516" i="8"/>
  <c r="K516" i="8"/>
  <c r="J516" i="8"/>
  <c r="I516" i="8"/>
  <c r="H516" i="8"/>
  <c r="G516" i="8"/>
  <c r="F516" i="8"/>
  <c r="E516" i="8"/>
  <c r="D516" i="8"/>
  <c r="C516" i="8"/>
  <c r="B516" i="8"/>
  <c r="A516" i="8"/>
  <c r="M515" i="8"/>
  <c r="K515" i="8"/>
  <c r="J515" i="8"/>
  <c r="I515" i="8"/>
  <c r="H515" i="8"/>
  <c r="G515" i="8"/>
  <c r="L515" i="8" s="1"/>
  <c r="F515" i="8"/>
  <c r="E515" i="8"/>
  <c r="D515" i="8"/>
  <c r="C515" i="8"/>
  <c r="B515" i="8"/>
  <c r="A515" i="8"/>
  <c r="M514" i="8"/>
  <c r="L514" i="8"/>
  <c r="K514" i="8"/>
  <c r="J514" i="8"/>
  <c r="I514" i="8"/>
  <c r="H514" i="8"/>
  <c r="G514" i="8"/>
  <c r="F514" i="8"/>
  <c r="E514" i="8"/>
  <c r="D514" i="8"/>
  <c r="C514" i="8"/>
  <c r="B514" i="8"/>
  <c r="A514" i="8"/>
  <c r="M513" i="8"/>
  <c r="L513" i="8"/>
  <c r="K513" i="8"/>
  <c r="J513" i="8"/>
  <c r="I513" i="8"/>
  <c r="H513" i="8"/>
  <c r="G513" i="8"/>
  <c r="F513" i="8"/>
  <c r="E513" i="8"/>
  <c r="D513" i="8"/>
  <c r="C513" i="8"/>
  <c r="B513" i="8"/>
  <c r="A513" i="8"/>
  <c r="M512" i="8"/>
  <c r="K512" i="8"/>
  <c r="J512" i="8"/>
  <c r="I512" i="8"/>
  <c r="H512" i="8"/>
  <c r="G512" i="8"/>
  <c r="L512" i="8" s="1"/>
  <c r="F512" i="8"/>
  <c r="E512" i="8"/>
  <c r="D512" i="8"/>
  <c r="C512" i="8"/>
  <c r="B512" i="8"/>
  <c r="A512" i="8"/>
  <c r="M511" i="8"/>
  <c r="L511" i="8"/>
  <c r="K511" i="8"/>
  <c r="J511" i="8"/>
  <c r="I511" i="8"/>
  <c r="H511" i="8"/>
  <c r="G511" i="8"/>
  <c r="F511" i="8"/>
  <c r="E511" i="8"/>
  <c r="D511" i="8"/>
  <c r="C511" i="8"/>
  <c r="B511" i="8"/>
  <c r="A511" i="8"/>
  <c r="M510" i="8"/>
  <c r="K510" i="8"/>
  <c r="J510" i="8"/>
  <c r="I510" i="8"/>
  <c r="H510" i="8"/>
  <c r="G510" i="8"/>
  <c r="L510" i="8" s="1"/>
  <c r="F510" i="8"/>
  <c r="E510" i="8"/>
  <c r="D510" i="8"/>
  <c r="C510" i="8"/>
  <c r="B510" i="8"/>
  <c r="A510" i="8"/>
  <c r="M509" i="8"/>
  <c r="K509" i="8"/>
  <c r="J509" i="8"/>
  <c r="I509" i="8"/>
  <c r="H509" i="8"/>
  <c r="G509" i="8"/>
  <c r="L509" i="8" s="1"/>
  <c r="F509" i="8"/>
  <c r="E509" i="8"/>
  <c r="D509" i="8"/>
  <c r="C509" i="8"/>
  <c r="B509" i="8"/>
  <c r="A509" i="8"/>
  <c r="M508" i="8"/>
  <c r="L508" i="8"/>
  <c r="K508" i="8"/>
  <c r="J508" i="8"/>
  <c r="I508" i="8"/>
  <c r="H508" i="8"/>
  <c r="G508" i="8"/>
  <c r="F508" i="8"/>
  <c r="E508" i="8"/>
  <c r="D508" i="8"/>
  <c r="C508" i="8"/>
  <c r="B508" i="8"/>
  <c r="A508" i="8"/>
  <c r="M507" i="8"/>
  <c r="K507" i="8"/>
  <c r="J507" i="8"/>
  <c r="I507" i="8"/>
  <c r="H507" i="8"/>
  <c r="G507" i="8"/>
  <c r="L507" i="8" s="1"/>
  <c r="F507" i="8"/>
  <c r="E507" i="8"/>
  <c r="D507" i="8"/>
  <c r="C507" i="8"/>
  <c r="B507" i="8"/>
  <c r="A507" i="8"/>
  <c r="M506" i="8"/>
  <c r="L506" i="8"/>
  <c r="K506" i="8"/>
  <c r="J506" i="8"/>
  <c r="I506" i="8"/>
  <c r="H506" i="8"/>
  <c r="G506" i="8"/>
  <c r="F506" i="8"/>
  <c r="E506" i="8"/>
  <c r="D506" i="8"/>
  <c r="C506" i="8"/>
  <c r="B506" i="8"/>
  <c r="A506" i="8"/>
  <c r="M505" i="8"/>
  <c r="L505" i="8"/>
  <c r="K505" i="8"/>
  <c r="J505" i="8"/>
  <c r="I505" i="8"/>
  <c r="H505" i="8"/>
  <c r="G505" i="8"/>
  <c r="F505" i="8"/>
  <c r="E505" i="8"/>
  <c r="D505" i="8"/>
  <c r="C505" i="8"/>
  <c r="B505" i="8"/>
  <c r="A505" i="8"/>
  <c r="M504" i="8"/>
  <c r="K504" i="8"/>
  <c r="J504" i="8"/>
  <c r="I504" i="8"/>
  <c r="H504" i="8"/>
  <c r="G504" i="8"/>
  <c r="L504" i="8" s="1"/>
  <c r="F504" i="8"/>
  <c r="E504" i="8"/>
  <c r="D504" i="8"/>
  <c r="C504" i="8"/>
  <c r="B504" i="8"/>
  <c r="A504" i="8"/>
  <c r="M503" i="8"/>
  <c r="L503" i="8"/>
  <c r="K503" i="8"/>
  <c r="J503" i="8"/>
  <c r="I503" i="8"/>
  <c r="H503" i="8"/>
  <c r="G503" i="8"/>
  <c r="F503" i="8"/>
  <c r="E503" i="8"/>
  <c r="D503" i="8"/>
  <c r="C503" i="8"/>
  <c r="B503" i="8"/>
  <c r="A503" i="8"/>
  <c r="M502" i="8"/>
  <c r="K502" i="8"/>
  <c r="J502" i="8"/>
  <c r="I502" i="8"/>
  <c r="H502" i="8"/>
  <c r="G502" i="8"/>
  <c r="L502" i="8" s="1"/>
  <c r="F502" i="8"/>
  <c r="E502" i="8"/>
  <c r="D502" i="8"/>
  <c r="C502" i="8"/>
  <c r="B502" i="8"/>
  <c r="A502" i="8"/>
  <c r="M501" i="8"/>
  <c r="K501" i="8"/>
  <c r="J501" i="8"/>
  <c r="I501" i="8"/>
  <c r="H501" i="8"/>
  <c r="G501" i="8"/>
  <c r="L501" i="8" s="1"/>
  <c r="F501" i="8"/>
  <c r="E501" i="8"/>
  <c r="D501" i="8"/>
  <c r="C501" i="8"/>
  <c r="B501" i="8"/>
  <c r="A501" i="8"/>
  <c r="M500" i="8"/>
  <c r="L500" i="8"/>
  <c r="K500" i="8"/>
  <c r="J500" i="8"/>
  <c r="I500" i="8"/>
  <c r="H500" i="8"/>
  <c r="G500" i="8"/>
  <c r="F500" i="8"/>
  <c r="E500" i="8"/>
  <c r="D500" i="8"/>
  <c r="C500" i="8"/>
  <c r="B500" i="8"/>
  <c r="A500" i="8"/>
  <c r="M499" i="8"/>
  <c r="K499" i="8"/>
  <c r="J499" i="8"/>
  <c r="I499" i="8"/>
  <c r="H499" i="8"/>
  <c r="G499" i="8"/>
  <c r="L499" i="8" s="1"/>
  <c r="F499" i="8"/>
  <c r="E499" i="8"/>
  <c r="D499" i="8"/>
  <c r="C499" i="8"/>
  <c r="B499" i="8"/>
  <c r="A499" i="8"/>
  <c r="M498" i="8"/>
  <c r="L498" i="8"/>
  <c r="K498" i="8"/>
  <c r="J498" i="8"/>
  <c r="I498" i="8"/>
  <c r="H498" i="8"/>
  <c r="G498" i="8"/>
  <c r="F498" i="8"/>
  <c r="E498" i="8"/>
  <c r="D498" i="8"/>
  <c r="C498" i="8"/>
  <c r="B498" i="8"/>
  <c r="A498" i="8"/>
  <c r="M497" i="8"/>
  <c r="L497" i="8"/>
  <c r="K497" i="8"/>
  <c r="J497" i="8"/>
  <c r="I497" i="8"/>
  <c r="H497" i="8"/>
  <c r="G497" i="8"/>
  <c r="F497" i="8"/>
  <c r="E497" i="8"/>
  <c r="D497" i="8"/>
  <c r="C497" i="8"/>
  <c r="B497" i="8"/>
  <c r="A497" i="8"/>
  <c r="M496" i="8"/>
  <c r="K496" i="8"/>
  <c r="J496" i="8"/>
  <c r="I496" i="8"/>
  <c r="H496" i="8"/>
  <c r="G496" i="8"/>
  <c r="L496" i="8" s="1"/>
  <c r="F496" i="8"/>
  <c r="E496" i="8"/>
  <c r="D496" i="8"/>
  <c r="C496" i="8"/>
  <c r="B496" i="8"/>
  <c r="A496" i="8"/>
  <c r="M495" i="8"/>
  <c r="L495" i="8"/>
  <c r="K495" i="8"/>
  <c r="J495" i="8"/>
  <c r="I495" i="8"/>
  <c r="H495" i="8"/>
  <c r="G495" i="8"/>
  <c r="F495" i="8"/>
  <c r="E495" i="8"/>
  <c r="D495" i="8"/>
  <c r="C495" i="8"/>
  <c r="B495" i="8"/>
  <c r="A495" i="8"/>
  <c r="M494" i="8"/>
  <c r="K494" i="8"/>
  <c r="J494" i="8"/>
  <c r="I494" i="8"/>
  <c r="H494" i="8"/>
  <c r="G494" i="8"/>
  <c r="L494" i="8" s="1"/>
  <c r="F494" i="8"/>
  <c r="E494" i="8"/>
  <c r="D494" i="8"/>
  <c r="C494" i="8"/>
  <c r="B494" i="8"/>
  <c r="A494" i="8"/>
  <c r="M493" i="8"/>
  <c r="K493" i="8"/>
  <c r="J493" i="8"/>
  <c r="I493" i="8"/>
  <c r="H493" i="8"/>
  <c r="G493" i="8"/>
  <c r="L493" i="8" s="1"/>
  <c r="F493" i="8"/>
  <c r="E493" i="8"/>
  <c r="D493" i="8"/>
  <c r="C493" i="8"/>
  <c r="B493" i="8"/>
  <c r="A493" i="8"/>
  <c r="M492" i="8"/>
  <c r="L492" i="8"/>
  <c r="K492" i="8"/>
  <c r="J492" i="8"/>
  <c r="I492" i="8"/>
  <c r="H492" i="8"/>
  <c r="G492" i="8"/>
  <c r="F492" i="8"/>
  <c r="E492" i="8"/>
  <c r="D492" i="8"/>
  <c r="C492" i="8"/>
  <c r="B492" i="8"/>
  <c r="A492" i="8"/>
  <c r="M491" i="8"/>
  <c r="K491" i="8"/>
  <c r="J491" i="8"/>
  <c r="I491" i="8"/>
  <c r="H491" i="8"/>
  <c r="G491" i="8"/>
  <c r="L491" i="8" s="1"/>
  <c r="F491" i="8"/>
  <c r="E491" i="8"/>
  <c r="D491" i="8"/>
  <c r="C491" i="8"/>
  <c r="B491" i="8"/>
  <c r="A491" i="8"/>
  <c r="M490" i="8"/>
  <c r="L490" i="8"/>
  <c r="K490" i="8"/>
  <c r="J490" i="8"/>
  <c r="I490" i="8"/>
  <c r="H490" i="8"/>
  <c r="G490" i="8"/>
  <c r="F490" i="8"/>
  <c r="E490" i="8"/>
  <c r="D490" i="8"/>
  <c r="C490" i="8"/>
  <c r="B490" i="8"/>
  <c r="A490" i="8"/>
  <c r="M489" i="8"/>
  <c r="L489" i="8"/>
  <c r="K489" i="8"/>
  <c r="J489" i="8"/>
  <c r="I489" i="8"/>
  <c r="H489" i="8"/>
  <c r="G489" i="8"/>
  <c r="F489" i="8"/>
  <c r="E489" i="8"/>
  <c r="D489" i="8"/>
  <c r="C489" i="8"/>
  <c r="B489" i="8"/>
  <c r="A489" i="8"/>
  <c r="M488" i="8"/>
  <c r="K488" i="8"/>
  <c r="J488" i="8"/>
  <c r="I488" i="8"/>
  <c r="H488" i="8"/>
  <c r="G488" i="8"/>
  <c r="L488" i="8" s="1"/>
  <c r="F488" i="8"/>
  <c r="E488" i="8"/>
  <c r="D488" i="8"/>
  <c r="C488" i="8"/>
  <c r="B488" i="8"/>
  <c r="A488" i="8"/>
  <c r="M487" i="8"/>
  <c r="L487" i="8"/>
  <c r="K487" i="8"/>
  <c r="J487" i="8"/>
  <c r="I487" i="8"/>
  <c r="H487" i="8"/>
  <c r="G487" i="8"/>
  <c r="F487" i="8"/>
  <c r="E487" i="8"/>
  <c r="D487" i="8"/>
  <c r="C487" i="8"/>
  <c r="B487" i="8"/>
  <c r="A487" i="8"/>
  <c r="M486" i="8"/>
  <c r="K486" i="8"/>
  <c r="J486" i="8"/>
  <c r="I486" i="8"/>
  <c r="H486" i="8"/>
  <c r="G486" i="8"/>
  <c r="L486" i="8" s="1"/>
  <c r="F486" i="8"/>
  <c r="E486" i="8"/>
  <c r="D486" i="8"/>
  <c r="C486" i="8"/>
  <c r="B486" i="8"/>
  <c r="A486" i="8"/>
  <c r="M485" i="8"/>
  <c r="K485" i="8"/>
  <c r="J485" i="8"/>
  <c r="I485" i="8"/>
  <c r="H485" i="8"/>
  <c r="G485" i="8"/>
  <c r="L485" i="8" s="1"/>
  <c r="F485" i="8"/>
  <c r="E485" i="8"/>
  <c r="D485" i="8"/>
  <c r="C485" i="8"/>
  <c r="B485" i="8"/>
  <c r="A485" i="8"/>
  <c r="M484" i="8"/>
  <c r="L484" i="8"/>
  <c r="K484" i="8"/>
  <c r="J484" i="8"/>
  <c r="I484" i="8"/>
  <c r="H484" i="8"/>
  <c r="G484" i="8"/>
  <c r="F484" i="8"/>
  <c r="E484" i="8"/>
  <c r="D484" i="8"/>
  <c r="C484" i="8"/>
  <c r="B484" i="8"/>
  <c r="A484" i="8"/>
  <c r="M483" i="8"/>
  <c r="K483" i="8"/>
  <c r="J483" i="8"/>
  <c r="I483" i="8"/>
  <c r="H483" i="8"/>
  <c r="G483" i="8"/>
  <c r="L483" i="8" s="1"/>
  <c r="F483" i="8"/>
  <c r="E483" i="8"/>
  <c r="D483" i="8"/>
  <c r="C483" i="8"/>
  <c r="B483" i="8"/>
  <c r="A483" i="8"/>
  <c r="M482" i="8"/>
  <c r="L482" i="8"/>
  <c r="K482" i="8"/>
  <c r="J482" i="8"/>
  <c r="I482" i="8"/>
  <c r="H482" i="8"/>
  <c r="G482" i="8"/>
  <c r="F482" i="8"/>
  <c r="E482" i="8"/>
  <c r="D482" i="8"/>
  <c r="C482" i="8"/>
  <c r="B482" i="8"/>
  <c r="A482" i="8"/>
  <c r="M481" i="8"/>
  <c r="L481" i="8"/>
  <c r="K481" i="8"/>
  <c r="J481" i="8"/>
  <c r="I481" i="8"/>
  <c r="H481" i="8"/>
  <c r="G481" i="8"/>
  <c r="F481" i="8"/>
  <c r="E481" i="8"/>
  <c r="D481" i="8"/>
  <c r="C481" i="8"/>
  <c r="B481" i="8"/>
  <c r="A481" i="8"/>
  <c r="M480" i="8"/>
  <c r="K480" i="8"/>
  <c r="J480" i="8"/>
  <c r="I480" i="8"/>
  <c r="H480" i="8"/>
  <c r="G480" i="8"/>
  <c r="L480" i="8" s="1"/>
  <c r="F480" i="8"/>
  <c r="E480" i="8"/>
  <c r="D480" i="8"/>
  <c r="C480" i="8"/>
  <c r="B480" i="8"/>
  <c r="A480" i="8"/>
  <c r="M479" i="8"/>
  <c r="L479" i="8"/>
  <c r="K479" i="8"/>
  <c r="J479" i="8"/>
  <c r="I479" i="8"/>
  <c r="H479" i="8"/>
  <c r="G479" i="8"/>
  <c r="F479" i="8"/>
  <c r="E479" i="8"/>
  <c r="D479" i="8"/>
  <c r="C479" i="8"/>
  <c r="B479" i="8"/>
  <c r="A479" i="8"/>
  <c r="M478" i="8"/>
  <c r="K478" i="8"/>
  <c r="J478" i="8"/>
  <c r="I478" i="8"/>
  <c r="H478" i="8"/>
  <c r="G478" i="8"/>
  <c r="L478" i="8" s="1"/>
  <c r="F478" i="8"/>
  <c r="E478" i="8"/>
  <c r="D478" i="8"/>
  <c r="C478" i="8"/>
  <c r="B478" i="8"/>
  <c r="A478" i="8"/>
  <c r="M477" i="8"/>
  <c r="K477" i="8"/>
  <c r="J477" i="8"/>
  <c r="I477" i="8"/>
  <c r="H477" i="8"/>
  <c r="G477" i="8"/>
  <c r="L477" i="8" s="1"/>
  <c r="F477" i="8"/>
  <c r="E477" i="8"/>
  <c r="D477" i="8"/>
  <c r="C477" i="8"/>
  <c r="B477" i="8"/>
  <c r="A477" i="8"/>
  <c r="M476" i="8"/>
  <c r="L476" i="8"/>
  <c r="K476" i="8"/>
  <c r="J476" i="8"/>
  <c r="I476" i="8"/>
  <c r="H476" i="8"/>
  <c r="G476" i="8"/>
  <c r="F476" i="8"/>
  <c r="E476" i="8"/>
  <c r="D476" i="8"/>
  <c r="C476" i="8"/>
  <c r="B476" i="8"/>
  <c r="A476" i="8"/>
  <c r="M475" i="8"/>
  <c r="K475" i="8"/>
  <c r="J475" i="8"/>
  <c r="I475" i="8"/>
  <c r="H475" i="8"/>
  <c r="G475" i="8"/>
  <c r="L475" i="8" s="1"/>
  <c r="F475" i="8"/>
  <c r="E475" i="8"/>
  <c r="D475" i="8"/>
  <c r="C475" i="8"/>
  <c r="B475" i="8"/>
  <c r="A475" i="8"/>
  <c r="M474" i="8"/>
  <c r="L474" i="8"/>
  <c r="K474" i="8"/>
  <c r="J474" i="8"/>
  <c r="I474" i="8"/>
  <c r="H474" i="8"/>
  <c r="G474" i="8"/>
  <c r="F474" i="8"/>
  <c r="E474" i="8"/>
  <c r="D474" i="8"/>
  <c r="C474" i="8"/>
  <c r="B474" i="8"/>
  <c r="A474" i="8"/>
  <c r="M473" i="8"/>
  <c r="L473" i="8"/>
  <c r="K473" i="8"/>
  <c r="J473" i="8"/>
  <c r="I473" i="8"/>
  <c r="H473" i="8"/>
  <c r="G473" i="8"/>
  <c r="F473" i="8"/>
  <c r="E473" i="8"/>
  <c r="D473" i="8"/>
  <c r="C473" i="8"/>
  <c r="B473" i="8"/>
  <c r="A473" i="8"/>
  <c r="M472" i="8"/>
  <c r="K472" i="8"/>
  <c r="J472" i="8"/>
  <c r="I472" i="8"/>
  <c r="H472" i="8"/>
  <c r="G472" i="8"/>
  <c r="L472" i="8" s="1"/>
  <c r="F472" i="8"/>
  <c r="E472" i="8"/>
  <c r="D472" i="8"/>
  <c r="C472" i="8"/>
  <c r="B472" i="8"/>
  <c r="A472" i="8"/>
  <c r="M471" i="8"/>
  <c r="L471" i="8"/>
  <c r="K471" i="8"/>
  <c r="J471" i="8"/>
  <c r="I471" i="8"/>
  <c r="H471" i="8"/>
  <c r="G471" i="8"/>
  <c r="F471" i="8"/>
  <c r="E471" i="8"/>
  <c r="D471" i="8"/>
  <c r="C471" i="8"/>
  <c r="B471" i="8"/>
  <c r="A471" i="8"/>
  <c r="M470" i="8"/>
  <c r="K470" i="8"/>
  <c r="J470" i="8"/>
  <c r="I470" i="8"/>
  <c r="H470" i="8"/>
  <c r="G470" i="8"/>
  <c r="L470" i="8" s="1"/>
  <c r="F470" i="8"/>
  <c r="E470" i="8"/>
  <c r="D470" i="8"/>
  <c r="C470" i="8"/>
  <c r="B470" i="8"/>
  <c r="A470" i="8"/>
  <c r="M469" i="8"/>
  <c r="K469" i="8"/>
  <c r="J469" i="8"/>
  <c r="I469" i="8"/>
  <c r="H469" i="8"/>
  <c r="G469" i="8"/>
  <c r="L469" i="8" s="1"/>
  <c r="F469" i="8"/>
  <c r="E469" i="8"/>
  <c r="D469" i="8"/>
  <c r="C469" i="8"/>
  <c r="B469" i="8"/>
  <c r="A469" i="8"/>
  <c r="M468" i="8"/>
  <c r="L468" i="8"/>
  <c r="K468" i="8"/>
  <c r="J468" i="8"/>
  <c r="I468" i="8"/>
  <c r="H468" i="8"/>
  <c r="G468" i="8"/>
  <c r="F468" i="8"/>
  <c r="E468" i="8"/>
  <c r="D468" i="8"/>
  <c r="C468" i="8"/>
  <c r="B468" i="8"/>
  <c r="A468" i="8"/>
  <c r="M467" i="8"/>
  <c r="K467" i="8"/>
  <c r="J467" i="8"/>
  <c r="I467" i="8"/>
  <c r="H467" i="8"/>
  <c r="G467" i="8"/>
  <c r="L467" i="8" s="1"/>
  <c r="F467" i="8"/>
  <c r="E467" i="8"/>
  <c r="D467" i="8"/>
  <c r="C467" i="8"/>
  <c r="B467" i="8"/>
  <c r="A467" i="8"/>
  <c r="M466" i="8"/>
  <c r="L466" i="8"/>
  <c r="K466" i="8"/>
  <c r="J466" i="8"/>
  <c r="I466" i="8"/>
  <c r="H466" i="8"/>
  <c r="G466" i="8"/>
  <c r="F466" i="8"/>
  <c r="E466" i="8"/>
  <c r="D466" i="8"/>
  <c r="C466" i="8"/>
  <c r="B466" i="8"/>
  <c r="A466" i="8"/>
  <c r="M465" i="8"/>
  <c r="L465" i="8"/>
  <c r="K465" i="8"/>
  <c r="J465" i="8"/>
  <c r="I465" i="8"/>
  <c r="H465" i="8"/>
  <c r="G465" i="8"/>
  <c r="F465" i="8"/>
  <c r="E465" i="8"/>
  <c r="D465" i="8"/>
  <c r="C465" i="8"/>
  <c r="B465" i="8"/>
  <c r="A465" i="8"/>
  <c r="M464" i="8"/>
  <c r="K464" i="8"/>
  <c r="J464" i="8"/>
  <c r="I464" i="8"/>
  <c r="H464" i="8"/>
  <c r="G464" i="8"/>
  <c r="L464" i="8" s="1"/>
  <c r="F464" i="8"/>
  <c r="E464" i="8"/>
  <c r="D464" i="8"/>
  <c r="C464" i="8"/>
  <c r="B464" i="8"/>
  <c r="A464" i="8"/>
  <c r="M463" i="8"/>
  <c r="L463" i="8"/>
  <c r="K463" i="8"/>
  <c r="J463" i="8"/>
  <c r="I463" i="8"/>
  <c r="H463" i="8"/>
  <c r="G463" i="8"/>
  <c r="F463" i="8"/>
  <c r="E463" i="8"/>
  <c r="D463" i="8"/>
  <c r="C463" i="8"/>
  <c r="B463" i="8"/>
  <c r="A463" i="8"/>
  <c r="M462" i="8"/>
  <c r="K462" i="8"/>
  <c r="J462" i="8"/>
  <c r="I462" i="8"/>
  <c r="H462" i="8"/>
  <c r="G462" i="8"/>
  <c r="L462" i="8" s="1"/>
  <c r="F462" i="8"/>
  <c r="E462" i="8"/>
  <c r="D462" i="8"/>
  <c r="C462" i="8"/>
  <c r="B462" i="8"/>
  <c r="A462" i="8"/>
  <c r="M461" i="8"/>
  <c r="K461" i="8"/>
  <c r="J461" i="8"/>
  <c r="I461" i="8"/>
  <c r="H461" i="8"/>
  <c r="G461" i="8"/>
  <c r="L461" i="8" s="1"/>
  <c r="F461" i="8"/>
  <c r="E461" i="8"/>
  <c r="D461" i="8"/>
  <c r="C461" i="8"/>
  <c r="B461" i="8"/>
  <c r="A461" i="8"/>
  <c r="M460" i="8"/>
  <c r="L460" i="8"/>
  <c r="K460" i="8"/>
  <c r="J460" i="8"/>
  <c r="I460" i="8"/>
  <c r="H460" i="8"/>
  <c r="G460" i="8"/>
  <c r="F460" i="8"/>
  <c r="E460" i="8"/>
  <c r="D460" i="8"/>
  <c r="C460" i="8"/>
  <c r="B460" i="8"/>
  <c r="A460" i="8"/>
  <c r="M459" i="8"/>
  <c r="K459" i="8"/>
  <c r="J459" i="8"/>
  <c r="I459" i="8"/>
  <c r="H459" i="8"/>
  <c r="G459" i="8"/>
  <c r="L459" i="8" s="1"/>
  <c r="F459" i="8"/>
  <c r="E459" i="8"/>
  <c r="D459" i="8"/>
  <c r="C459" i="8"/>
  <c r="B459" i="8"/>
  <c r="A459" i="8"/>
  <c r="M458" i="8"/>
  <c r="L458" i="8"/>
  <c r="K458" i="8"/>
  <c r="J458" i="8"/>
  <c r="I458" i="8"/>
  <c r="H458" i="8"/>
  <c r="G458" i="8"/>
  <c r="F458" i="8"/>
  <c r="E458" i="8"/>
  <c r="D458" i="8"/>
  <c r="C458" i="8"/>
  <c r="B458" i="8"/>
  <c r="A458" i="8"/>
  <c r="M457" i="8"/>
  <c r="L457" i="8"/>
  <c r="K457" i="8"/>
  <c r="J457" i="8"/>
  <c r="I457" i="8"/>
  <c r="H457" i="8"/>
  <c r="G457" i="8"/>
  <c r="F457" i="8"/>
  <c r="E457" i="8"/>
  <c r="D457" i="8"/>
  <c r="C457" i="8"/>
  <c r="B457" i="8"/>
  <c r="A457" i="8"/>
  <c r="M456" i="8"/>
  <c r="K456" i="8"/>
  <c r="J456" i="8"/>
  <c r="I456" i="8"/>
  <c r="H456" i="8"/>
  <c r="G456" i="8"/>
  <c r="L456" i="8" s="1"/>
  <c r="F456" i="8"/>
  <c r="E456" i="8"/>
  <c r="D456" i="8"/>
  <c r="C456" i="8"/>
  <c r="B456" i="8"/>
  <c r="A456" i="8"/>
  <c r="M455" i="8"/>
  <c r="L455" i="8"/>
  <c r="K455" i="8"/>
  <c r="J455" i="8"/>
  <c r="I455" i="8"/>
  <c r="H455" i="8"/>
  <c r="G455" i="8"/>
  <c r="F455" i="8"/>
  <c r="E455" i="8"/>
  <c r="D455" i="8"/>
  <c r="C455" i="8"/>
  <c r="B455" i="8"/>
  <c r="A455" i="8"/>
  <c r="M454" i="8"/>
  <c r="K454" i="8"/>
  <c r="J454" i="8"/>
  <c r="I454" i="8"/>
  <c r="H454" i="8"/>
  <c r="G454" i="8"/>
  <c r="L454" i="8" s="1"/>
  <c r="F454" i="8"/>
  <c r="E454" i="8"/>
  <c r="D454" i="8"/>
  <c r="C454" i="8"/>
  <c r="B454" i="8"/>
  <c r="A454" i="8"/>
  <c r="M453" i="8"/>
  <c r="K453" i="8"/>
  <c r="J453" i="8"/>
  <c r="I453" i="8"/>
  <c r="H453" i="8"/>
  <c r="G453" i="8"/>
  <c r="L453" i="8" s="1"/>
  <c r="F453" i="8"/>
  <c r="E453" i="8"/>
  <c r="D453" i="8"/>
  <c r="C453" i="8"/>
  <c r="B453" i="8"/>
  <c r="A453" i="8"/>
  <c r="M452" i="8"/>
  <c r="L452" i="8"/>
  <c r="K452" i="8"/>
  <c r="J452" i="8"/>
  <c r="I452" i="8"/>
  <c r="H452" i="8"/>
  <c r="G452" i="8"/>
  <c r="F452" i="8"/>
  <c r="E452" i="8"/>
  <c r="D452" i="8"/>
  <c r="C452" i="8"/>
  <c r="B452" i="8"/>
  <c r="A452" i="8"/>
  <c r="M451" i="8"/>
  <c r="K451" i="8"/>
  <c r="J451" i="8"/>
  <c r="I451" i="8"/>
  <c r="H451" i="8"/>
  <c r="G451" i="8"/>
  <c r="L451" i="8" s="1"/>
  <c r="F451" i="8"/>
  <c r="E451" i="8"/>
  <c r="D451" i="8"/>
  <c r="C451" i="8"/>
  <c r="B451" i="8"/>
  <c r="A451" i="8"/>
  <c r="M450" i="8"/>
  <c r="L450" i="8"/>
  <c r="K450" i="8"/>
  <c r="J450" i="8"/>
  <c r="I450" i="8"/>
  <c r="H450" i="8"/>
  <c r="G450" i="8"/>
  <c r="F450" i="8"/>
  <c r="E450" i="8"/>
  <c r="D450" i="8"/>
  <c r="C450" i="8"/>
  <c r="B450" i="8"/>
  <c r="A450" i="8"/>
  <c r="M449" i="8"/>
  <c r="L449" i="8"/>
  <c r="K449" i="8"/>
  <c r="J449" i="8"/>
  <c r="I449" i="8"/>
  <c r="H449" i="8"/>
  <c r="G449" i="8"/>
  <c r="F449" i="8"/>
  <c r="E449" i="8"/>
  <c r="D449" i="8"/>
  <c r="C449" i="8"/>
  <c r="B449" i="8"/>
  <c r="A449" i="8"/>
  <c r="M448" i="8"/>
  <c r="K448" i="8"/>
  <c r="J448" i="8"/>
  <c r="I448" i="8"/>
  <c r="H448" i="8"/>
  <c r="G448" i="8"/>
  <c r="L448" i="8" s="1"/>
  <c r="F448" i="8"/>
  <c r="E448" i="8"/>
  <c r="D448" i="8"/>
  <c r="C448" i="8"/>
  <c r="B448" i="8"/>
  <c r="A448" i="8"/>
  <c r="M447" i="8"/>
  <c r="L447" i="8"/>
  <c r="K447" i="8"/>
  <c r="J447" i="8"/>
  <c r="I447" i="8"/>
  <c r="H447" i="8"/>
  <c r="G447" i="8"/>
  <c r="F447" i="8"/>
  <c r="E447" i="8"/>
  <c r="D447" i="8"/>
  <c r="C447" i="8"/>
  <c r="B447" i="8"/>
  <c r="A447" i="8"/>
  <c r="M446" i="8"/>
  <c r="K446" i="8"/>
  <c r="J446" i="8"/>
  <c r="I446" i="8"/>
  <c r="H446" i="8"/>
  <c r="G446" i="8"/>
  <c r="L446" i="8" s="1"/>
  <c r="F446" i="8"/>
  <c r="E446" i="8"/>
  <c r="D446" i="8"/>
  <c r="C446" i="8"/>
  <c r="B446" i="8"/>
  <c r="A446" i="8"/>
  <c r="M445" i="8"/>
  <c r="K445" i="8"/>
  <c r="J445" i="8"/>
  <c r="I445" i="8"/>
  <c r="H445" i="8"/>
  <c r="G445" i="8"/>
  <c r="L445" i="8" s="1"/>
  <c r="F445" i="8"/>
  <c r="E445" i="8"/>
  <c r="D445" i="8"/>
  <c r="C445" i="8"/>
  <c r="B445" i="8"/>
  <c r="A445" i="8"/>
  <c r="M444" i="8"/>
  <c r="L444" i="8"/>
  <c r="K444" i="8"/>
  <c r="J444" i="8"/>
  <c r="I444" i="8"/>
  <c r="H444" i="8"/>
  <c r="G444" i="8"/>
  <c r="F444" i="8"/>
  <c r="E444" i="8"/>
  <c r="D444" i="8"/>
  <c r="C444" i="8"/>
  <c r="B444" i="8"/>
  <c r="A444" i="8"/>
  <c r="M443" i="8"/>
  <c r="K443" i="8"/>
  <c r="J443" i="8"/>
  <c r="I443" i="8"/>
  <c r="H443" i="8"/>
  <c r="G443" i="8"/>
  <c r="L443" i="8" s="1"/>
  <c r="F443" i="8"/>
  <c r="E443" i="8"/>
  <c r="D443" i="8"/>
  <c r="C443" i="8"/>
  <c r="B443" i="8"/>
  <c r="A443" i="8"/>
  <c r="M442" i="8"/>
  <c r="L442" i="8"/>
  <c r="K442" i="8"/>
  <c r="J442" i="8"/>
  <c r="I442" i="8"/>
  <c r="H442" i="8"/>
  <c r="G442" i="8"/>
  <c r="F442" i="8"/>
  <c r="E442" i="8"/>
  <c r="D442" i="8"/>
  <c r="C442" i="8"/>
  <c r="B442" i="8"/>
  <c r="A442" i="8"/>
  <c r="M441" i="8"/>
  <c r="L441" i="8"/>
  <c r="K441" i="8"/>
  <c r="J441" i="8"/>
  <c r="I441" i="8"/>
  <c r="H441" i="8"/>
  <c r="G441" i="8"/>
  <c r="F441" i="8"/>
  <c r="E441" i="8"/>
  <c r="D441" i="8"/>
  <c r="C441" i="8"/>
  <c r="B441" i="8"/>
  <c r="A441" i="8"/>
  <c r="M440" i="8"/>
  <c r="K440" i="8"/>
  <c r="J440" i="8"/>
  <c r="I440" i="8"/>
  <c r="H440" i="8"/>
  <c r="G440" i="8"/>
  <c r="L440" i="8" s="1"/>
  <c r="F440" i="8"/>
  <c r="E440" i="8"/>
  <c r="D440" i="8"/>
  <c r="C440" i="8"/>
  <c r="B440" i="8"/>
  <c r="A440" i="8"/>
  <c r="M439" i="8"/>
  <c r="L439" i="8"/>
  <c r="K439" i="8"/>
  <c r="J439" i="8"/>
  <c r="I439" i="8"/>
  <c r="H439" i="8"/>
  <c r="G439" i="8"/>
  <c r="F439" i="8"/>
  <c r="E439" i="8"/>
  <c r="D439" i="8"/>
  <c r="C439" i="8"/>
  <c r="B439" i="8"/>
  <c r="A439" i="8"/>
  <c r="M438" i="8"/>
  <c r="K438" i="8"/>
  <c r="J438" i="8"/>
  <c r="I438" i="8"/>
  <c r="H438" i="8"/>
  <c r="G438" i="8"/>
  <c r="L438" i="8" s="1"/>
  <c r="F438" i="8"/>
  <c r="E438" i="8"/>
  <c r="D438" i="8"/>
  <c r="C438" i="8"/>
  <c r="B438" i="8"/>
  <c r="A438" i="8"/>
  <c r="M437" i="8"/>
  <c r="K437" i="8"/>
  <c r="J437" i="8"/>
  <c r="I437" i="8"/>
  <c r="H437" i="8"/>
  <c r="G437" i="8"/>
  <c r="L437" i="8" s="1"/>
  <c r="F437" i="8"/>
  <c r="E437" i="8"/>
  <c r="D437" i="8"/>
  <c r="C437" i="8"/>
  <c r="B437" i="8"/>
  <c r="A437" i="8"/>
  <c r="M436" i="8"/>
  <c r="L436" i="8"/>
  <c r="K436" i="8"/>
  <c r="J436" i="8"/>
  <c r="I436" i="8"/>
  <c r="H436" i="8"/>
  <c r="G436" i="8"/>
  <c r="F436" i="8"/>
  <c r="E436" i="8"/>
  <c r="D436" i="8"/>
  <c r="C436" i="8"/>
  <c r="B436" i="8"/>
  <c r="A436" i="8"/>
  <c r="M435" i="8"/>
  <c r="K435" i="8"/>
  <c r="J435" i="8"/>
  <c r="I435" i="8"/>
  <c r="H435" i="8"/>
  <c r="G435" i="8"/>
  <c r="L435" i="8" s="1"/>
  <c r="F435" i="8"/>
  <c r="E435" i="8"/>
  <c r="D435" i="8"/>
  <c r="C435" i="8"/>
  <c r="B435" i="8"/>
  <c r="A435" i="8"/>
  <c r="M434" i="8"/>
  <c r="L434" i="8"/>
  <c r="K434" i="8"/>
  <c r="J434" i="8"/>
  <c r="I434" i="8"/>
  <c r="H434" i="8"/>
  <c r="G434" i="8"/>
  <c r="F434" i="8"/>
  <c r="E434" i="8"/>
  <c r="D434" i="8"/>
  <c r="C434" i="8"/>
  <c r="B434" i="8"/>
  <c r="A434" i="8"/>
  <c r="M433" i="8"/>
  <c r="L433" i="8"/>
  <c r="K433" i="8"/>
  <c r="J433" i="8"/>
  <c r="I433" i="8"/>
  <c r="H433" i="8"/>
  <c r="G433" i="8"/>
  <c r="F433" i="8"/>
  <c r="E433" i="8"/>
  <c r="D433" i="8"/>
  <c r="C433" i="8"/>
  <c r="B433" i="8"/>
  <c r="A433" i="8"/>
  <c r="M432" i="8"/>
  <c r="K432" i="8"/>
  <c r="J432" i="8"/>
  <c r="I432" i="8"/>
  <c r="H432" i="8"/>
  <c r="G432" i="8"/>
  <c r="L432" i="8" s="1"/>
  <c r="F432" i="8"/>
  <c r="E432" i="8"/>
  <c r="D432" i="8"/>
  <c r="C432" i="8"/>
  <c r="B432" i="8"/>
  <c r="A432" i="8"/>
  <c r="M431" i="8"/>
  <c r="L431" i="8"/>
  <c r="K431" i="8"/>
  <c r="J431" i="8"/>
  <c r="I431" i="8"/>
  <c r="H431" i="8"/>
  <c r="G431" i="8"/>
  <c r="F431" i="8"/>
  <c r="E431" i="8"/>
  <c r="D431" i="8"/>
  <c r="C431" i="8"/>
  <c r="B431" i="8"/>
  <c r="A431" i="8"/>
  <c r="M430" i="8"/>
  <c r="K430" i="8"/>
  <c r="J430" i="8"/>
  <c r="I430" i="8"/>
  <c r="H430" i="8"/>
  <c r="G430" i="8"/>
  <c r="L430" i="8" s="1"/>
  <c r="F430" i="8"/>
  <c r="E430" i="8"/>
  <c r="D430" i="8"/>
  <c r="C430" i="8"/>
  <c r="B430" i="8"/>
  <c r="A430" i="8"/>
  <c r="M429" i="8"/>
  <c r="K429" i="8"/>
  <c r="J429" i="8"/>
  <c r="I429" i="8"/>
  <c r="H429" i="8"/>
  <c r="G429" i="8"/>
  <c r="L429" i="8" s="1"/>
  <c r="F429" i="8"/>
  <c r="E429" i="8"/>
  <c r="D429" i="8"/>
  <c r="C429" i="8"/>
  <c r="B429" i="8"/>
  <c r="A429" i="8"/>
  <c r="M428" i="8"/>
  <c r="L428" i="8"/>
  <c r="K428" i="8"/>
  <c r="J428" i="8"/>
  <c r="I428" i="8"/>
  <c r="H428" i="8"/>
  <c r="G428" i="8"/>
  <c r="F428" i="8"/>
  <c r="E428" i="8"/>
  <c r="D428" i="8"/>
  <c r="C428" i="8"/>
  <c r="B428" i="8"/>
  <c r="A428" i="8"/>
  <c r="M427" i="8"/>
  <c r="K427" i="8"/>
  <c r="J427" i="8"/>
  <c r="I427" i="8"/>
  <c r="H427" i="8"/>
  <c r="G427" i="8"/>
  <c r="L427" i="8" s="1"/>
  <c r="F427" i="8"/>
  <c r="E427" i="8"/>
  <c r="D427" i="8"/>
  <c r="C427" i="8"/>
  <c r="B427" i="8"/>
  <c r="A427" i="8"/>
  <c r="M426" i="8"/>
  <c r="L426" i="8"/>
  <c r="K426" i="8"/>
  <c r="J426" i="8"/>
  <c r="I426" i="8"/>
  <c r="H426" i="8"/>
  <c r="G426" i="8"/>
  <c r="F426" i="8"/>
  <c r="E426" i="8"/>
  <c r="D426" i="8"/>
  <c r="C426" i="8"/>
  <c r="B426" i="8"/>
  <c r="A426" i="8"/>
  <c r="M425" i="8"/>
  <c r="L425" i="8"/>
  <c r="K425" i="8"/>
  <c r="J425" i="8"/>
  <c r="I425" i="8"/>
  <c r="H425" i="8"/>
  <c r="G425" i="8"/>
  <c r="F425" i="8"/>
  <c r="E425" i="8"/>
  <c r="D425" i="8"/>
  <c r="C425" i="8"/>
  <c r="B425" i="8"/>
  <c r="A425" i="8"/>
  <c r="M424" i="8"/>
  <c r="K424" i="8"/>
  <c r="J424" i="8"/>
  <c r="I424" i="8"/>
  <c r="H424" i="8"/>
  <c r="G424" i="8"/>
  <c r="L424" i="8" s="1"/>
  <c r="F424" i="8"/>
  <c r="E424" i="8"/>
  <c r="D424" i="8"/>
  <c r="C424" i="8"/>
  <c r="B424" i="8"/>
  <c r="A424" i="8"/>
  <c r="M423" i="8"/>
  <c r="L423" i="8"/>
  <c r="K423" i="8"/>
  <c r="J423" i="8"/>
  <c r="I423" i="8"/>
  <c r="H423" i="8"/>
  <c r="G423" i="8"/>
  <c r="F423" i="8"/>
  <c r="E423" i="8"/>
  <c r="D423" i="8"/>
  <c r="C423" i="8"/>
  <c r="B423" i="8"/>
  <c r="A423" i="8"/>
  <c r="M422" i="8"/>
  <c r="K422" i="8"/>
  <c r="J422" i="8"/>
  <c r="I422" i="8"/>
  <c r="H422" i="8"/>
  <c r="G422" i="8"/>
  <c r="L422" i="8" s="1"/>
  <c r="F422" i="8"/>
  <c r="E422" i="8"/>
  <c r="D422" i="8"/>
  <c r="C422" i="8"/>
  <c r="B422" i="8"/>
  <c r="A422" i="8"/>
  <c r="M421" i="8"/>
  <c r="K421" i="8"/>
  <c r="J421" i="8"/>
  <c r="I421" i="8"/>
  <c r="H421" i="8"/>
  <c r="G421" i="8"/>
  <c r="L421" i="8" s="1"/>
  <c r="F421" i="8"/>
  <c r="E421" i="8"/>
  <c r="D421" i="8"/>
  <c r="C421" i="8"/>
  <c r="B421" i="8"/>
  <c r="A421" i="8"/>
  <c r="M420" i="8"/>
  <c r="L420" i="8"/>
  <c r="K420" i="8"/>
  <c r="J420" i="8"/>
  <c r="I420" i="8"/>
  <c r="H420" i="8"/>
  <c r="G420" i="8"/>
  <c r="F420" i="8"/>
  <c r="E420" i="8"/>
  <c r="D420" i="8"/>
  <c r="C420" i="8"/>
  <c r="B420" i="8"/>
  <c r="A420" i="8"/>
  <c r="M419" i="8"/>
  <c r="K419" i="8"/>
  <c r="J419" i="8"/>
  <c r="I419" i="8"/>
  <c r="H419" i="8"/>
  <c r="G419" i="8"/>
  <c r="L419" i="8" s="1"/>
  <c r="F419" i="8"/>
  <c r="E419" i="8"/>
  <c r="D419" i="8"/>
  <c r="C419" i="8"/>
  <c r="B419" i="8"/>
  <c r="A419" i="8"/>
  <c r="M418" i="8"/>
  <c r="L418" i="8"/>
  <c r="K418" i="8"/>
  <c r="J418" i="8"/>
  <c r="I418" i="8"/>
  <c r="H418" i="8"/>
  <c r="G418" i="8"/>
  <c r="F418" i="8"/>
  <c r="E418" i="8"/>
  <c r="D418" i="8"/>
  <c r="C418" i="8"/>
  <c r="B418" i="8"/>
  <c r="A418" i="8"/>
  <c r="M417" i="8"/>
  <c r="L417" i="8"/>
  <c r="K417" i="8"/>
  <c r="J417" i="8"/>
  <c r="I417" i="8"/>
  <c r="H417" i="8"/>
  <c r="G417" i="8"/>
  <c r="F417" i="8"/>
  <c r="E417" i="8"/>
  <c r="D417" i="8"/>
  <c r="C417" i="8"/>
  <c r="B417" i="8"/>
  <c r="A417" i="8"/>
  <c r="M416" i="8"/>
  <c r="K416" i="8"/>
  <c r="J416" i="8"/>
  <c r="I416" i="8"/>
  <c r="H416" i="8"/>
  <c r="G416" i="8"/>
  <c r="L416" i="8" s="1"/>
  <c r="F416" i="8"/>
  <c r="E416" i="8"/>
  <c r="D416" i="8"/>
  <c r="C416" i="8"/>
  <c r="B416" i="8"/>
  <c r="A416" i="8"/>
  <c r="M415" i="8"/>
  <c r="L415" i="8"/>
  <c r="K415" i="8"/>
  <c r="J415" i="8"/>
  <c r="I415" i="8"/>
  <c r="H415" i="8"/>
  <c r="G415" i="8"/>
  <c r="F415" i="8"/>
  <c r="E415" i="8"/>
  <c r="D415" i="8"/>
  <c r="C415" i="8"/>
  <c r="B415" i="8"/>
  <c r="A415" i="8"/>
  <c r="M414" i="8"/>
  <c r="K414" i="8"/>
  <c r="J414" i="8"/>
  <c r="I414" i="8"/>
  <c r="H414" i="8"/>
  <c r="G414" i="8"/>
  <c r="L414" i="8" s="1"/>
  <c r="F414" i="8"/>
  <c r="E414" i="8"/>
  <c r="D414" i="8"/>
  <c r="C414" i="8"/>
  <c r="B414" i="8"/>
  <c r="A414" i="8"/>
  <c r="M413" i="8"/>
  <c r="K413" i="8"/>
  <c r="J413" i="8"/>
  <c r="I413" i="8"/>
  <c r="H413" i="8"/>
  <c r="G413" i="8"/>
  <c r="L413" i="8" s="1"/>
  <c r="F413" i="8"/>
  <c r="E413" i="8"/>
  <c r="D413" i="8"/>
  <c r="C413" i="8"/>
  <c r="B413" i="8"/>
  <c r="A413" i="8"/>
  <c r="M412" i="8"/>
  <c r="L412" i="8"/>
  <c r="K412" i="8"/>
  <c r="J412" i="8"/>
  <c r="I412" i="8"/>
  <c r="H412" i="8"/>
  <c r="G412" i="8"/>
  <c r="F412" i="8"/>
  <c r="E412" i="8"/>
  <c r="D412" i="8"/>
  <c r="C412" i="8"/>
  <c r="B412" i="8"/>
  <c r="A412" i="8"/>
  <c r="M411" i="8"/>
  <c r="K411" i="8"/>
  <c r="J411" i="8"/>
  <c r="I411" i="8"/>
  <c r="H411" i="8"/>
  <c r="G411" i="8"/>
  <c r="L411" i="8" s="1"/>
  <c r="F411" i="8"/>
  <c r="E411" i="8"/>
  <c r="D411" i="8"/>
  <c r="C411" i="8"/>
  <c r="B411" i="8"/>
  <c r="A411" i="8"/>
  <c r="M410" i="8"/>
  <c r="L410" i="8"/>
  <c r="K410" i="8"/>
  <c r="J410" i="8"/>
  <c r="I410" i="8"/>
  <c r="H410" i="8"/>
  <c r="G410" i="8"/>
  <c r="F410" i="8"/>
  <c r="E410" i="8"/>
  <c r="D410" i="8"/>
  <c r="C410" i="8"/>
  <c r="B410" i="8"/>
  <c r="A410" i="8"/>
  <c r="M409" i="8"/>
  <c r="L409" i="8"/>
  <c r="K409" i="8"/>
  <c r="J409" i="8"/>
  <c r="I409" i="8"/>
  <c r="H409" i="8"/>
  <c r="G409" i="8"/>
  <c r="F409" i="8"/>
  <c r="E409" i="8"/>
  <c r="D409" i="8"/>
  <c r="C409" i="8"/>
  <c r="B409" i="8"/>
  <c r="A409" i="8"/>
  <c r="M408" i="8"/>
  <c r="K408" i="8"/>
  <c r="J408" i="8"/>
  <c r="I408" i="8"/>
  <c r="H408" i="8"/>
  <c r="G408" i="8"/>
  <c r="L408" i="8" s="1"/>
  <c r="F408" i="8"/>
  <c r="E408" i="8"/>
  <c r="D408" i="8"/>
  <c r="C408" i="8"/>
  <c r="B408" i="8"/>
  <c r="A408" i="8"/>
  <c r="M407" i="8"/>
  <c r="L407" i="8"/>
  <c r="K407" i="8"/>
  <c r="J407" i="8"/>
  <c r="I407" i="8"/>
  <c r="H407" i="8"/>
  <c r="G407" i="8"/>
  <c r="F407" i="8"/>
  <c r="E407" i="8"/>
  <c r="D407" i="8"/>
  <c r="C407" i="8"/>
  <c r="B407" i="8"/>
  <c r="A407" i="8"/>
  <c r="M406" i="8"/>
  <c r="K406" i="8"/>
  <c r="J406" i="8"/>
  <c r="I406" i="8"/>
  <c r="H406" i="8"/>
  <c r="G406" i="8"/>
  <c r="L406" i="8" s="1"/>
  <c r="F406" i="8"/>
  <c r="E406" i="8"/>
  <c r="D406" i="8"/>
  <c r="C406" i="8"/>
  <c r="B406" i="8"/>
  <c r="A406" i="8"/>
  <c r="M405" i="8"/>
  <c r="K405" i="8"/>
  <c r="J405" i="8"/>
  <c r="I405" i="8"/>
  <c r="H405" i="8"/>
  <c r="G405" i="8"/>
  <c r="L405" i="8" s="1"/>
  <c r="F405" i="8"/>
  <c r="E405" i="8"/>
  <c r="D405" i="8"/>
  <c r="C405" i="8"/>
  <c r="B405" i="8"/>
  <c r="A405" i="8"/>
  <c r="M404" i="8"/>
  <c r="L404" i="8"/>
  <c r="K404" i="8"/>
  <c r="J404" i="8"/>
  <c r="I404" i="8"/>
  <c r="H404" i="8"/>
  <c r="G404" i="8"/>
  <c r="F404" i="8"/>
  <c r="E404" i="8"/>
  <c r="D404" i="8"/>
  <c r="C404" i="8"/>
  <c r="B404" i="8"/>
  <c r="A404" i="8"/>
  <c r="M403" i="8"/>
  <c r="K403" i="8"/>
  <c r="J403" i="8"/>
  <c r="I403" i="8"/>
  <c r="H403" i="8"/>
  <c r="G403" i="8"/>
  <c r="L403" i="8" s="1"/>
  <c r="F403" i="8"/>
  <c r="E403" i="8"/>
  <c r="D403" i="8"/>
  <c r="C403" i="8"/>
  <c r="B403" i="8"/>
  <c r="A403" i="8"/>
  <c r="M402" i="8"/>
  <c r="L402" i="8"/>
  <c r="K402" i="8"/>
  <c r="J402" i="8"/>
  <c r="I402" i="8"/>
  <c r="H402" i="8"/>
  <c r="G402" i="8"/>
  <c r="F402" i="8"/>
  <c r="E402" i="8"/>
  <c r="D402" i="8"/>
  <c r="C402" i="8"/>
  <c r="B402" i="8"/>
  <c r="A402" i="8"/>
  <c r="M401" i="8"/>
  <c r="L401" i="8"/>
  <c r="K401" i="8"/>
  <c r="J401" i="8"/>
  <c r="I401" i="8"/>
  <c r="H401" i="8"/>
  <c r="G401" i="8"/>
  <c r="F401" i="8"/>
  <c r="E401" i="8"/>
  <c r="D401" i="8"/>
  <c r="C401" i="8"/>
  <c r="B401" i="8"/>
  <c r="A401" i="8"/>
  <c r="M400" i="8"/>
  <c r="K400" i="8"/>
  <c r="J400" i="8"/>
  <c r="I400" i="8"/>
  <c r="H400" i="8"/>
  <c r="G400" i="8"/>
  <c r="L400" i="8" s="1"/>
  <c r="F400" i="8"/>
  <c r="E400" i="8"/>
  <c r="D400" i="8"/>
  <c r="C400" i="8"/>
  <c r="B400" i="8"/>
  <c r="A400" i="8"/>
  <c r="M399" i="8"/>
  <c r="L399" i="8"/>
  <c r="K399" i="8"/>
  <c r="J399" i="8"/>
  <c r="I399" i="8"/>
  <c r="H399" i="8"/>
  <c r="G399" i="8"/>
  <c r="F399" i="8"/>
  <c r="E399" i="8"/>
  <c r="D399" i="8"/>
  <c r="C399" i="8"/>
  <c r="B399" i="8"/>
  <c r="A399" i="8"/>
  <c r="M398" i="8"/>
  <c r="K398" i="8"/>
  <c r="J398" i="8"/>
  <c r="I398" i="8"/>
  <c r="H398" i="8"/>
  <c r="G398" i="8"/>
  <c r="L398" i="8" s="1"/>
  <c r="F398" i="8"/>
  <c r="E398" i="8"/>
  <c r="D398" i="8"/>
  <c r="C398" i="8"/>
  <c r="B398" i="8"/>
  <c r="A398" i="8"/>
  <c r="M397" i="8"/>
  <c r="K397" i="8"/>
  <c r="J397" i="8"/>
  <c r="I397" i="8"/>
  <c r="H397" i="8"/>
  <c r="G397" i="8"/>
  <c r="L397" i="8" s="1"/>
  <c r="F397" i="8"/>
  <c r="E397" i="8"/>
  <c r="D397" i="8"/>
  <c r="C397" i="8"/>
  <c r="B397" i="8"/>
  <c r="A397" i="8"/>
  <c r="M396" i="8"/>
  <c r="L396" i="8"/>
  <c r="K396" i="8"/>
  <c r="J396" i="8"/>
  <c r="I396" i="8"/>
  <c r="H396" i="8"/>
  <c r="G396" i="8"/>
  <c r="F396" i="8"/>
  <c r="E396" i="8"/>
  <c r="D396" i="8"/>
  <c r="C396" i="8"/>
  <c r="B396" i="8"/>
  <c r="A396" i="8"/>
  <c r="M395" i="8"/>
  <c r="K395" i="8"/>
  <c r="J395" i="8"/>
  <c r="I395" i="8"/>
  <c r="H395" i="8"/>
  <c r="G395" i="8"/>
  <c r="L395" i="8" s="1"/>
  <c r="F395" i="8"/>
  <c r="E395" i="8"/>
  <c r="D395" i="8"/>
  <c r="C395" i="8"/>
  <c r="B395" i="8"/>
  <c r="A395" i="8"/>
  <c r="M394" i="8"/>
  <c r="L394" i="8"/>
  <c r="K394" i="8"/>
  <c r="J394" i="8"/>
  <c r="I394" i="8"/>
  <c r="H394" i="8"/>
  <c r="G394" i="8"/>
  <c r="F394" i="8"/>
  <c r="E394" i="8"/>
  <c r="D394" i="8"/>
  <c r="C394" i="8"/>
  <c r="B394" i="8"/>
  <c r="A394" i="8"/>
  <c r="M393" i="8"/>
  <c r="L393" i="8"/>
  <c r="K393" i="8"/>
  <c r="J393" i="8"/>
  <c r="I393" i="8"/>
  <c r="H393" i="8"/>
  <c r="G393" i="8"/>
  <c r="F393" i="8"/>
  <c r="E393" i="8"/>
  <c r="D393" i="8"/>
  <c r="C393" i="8"/>
  <c r="B393" i="8"/>
  <c r="A393" i="8"/>
  <c r="M392" i="8"/>
  <c r="K392" i="8"/>
  <c r="J392" i="8"/>
  <c r="I392" i="8"/>
  <c r="H392" i="8"/>
  <c r="G392" i="8"/>
  <c r="L392" i="8" s="1"/>
  <c r="F392" i="8"/>
  <c r="E392" i="8"/>
  <c r="D392" i="8"/>
  <c r="C392" i="8"/>
  <c r="B392" i="8"/>
  <c r="A392" i="8"/>
  <c r="M391" i="8"/>
  <c r="L391" i="8"/>
  <c r="K391" i="8"/>
  <c r="J391" i="8"/>
  <c r="I391" i="8"/>
  <c r="H391" i="8"/>
  <c r="G391" i="8"/>
  <c r="F391" i="8"/>
  <c r="E391" i="8"/>
  <c r="D391" i="8"/>
  <c r="C391" i="8"/>
  <c r="B391" i="8"/>
  <c r="A391" i="8"/>
  <c r="M390" i="8"/>
  <c r="K390" i="8"/>
  <c r="J390" i="8"/>
  <c r="I390" i="8"/>
  <c r="H390" i="8"/>
  <c r="G390" i="8"/>
  <c r="L390" i="8" s="1"/>
  <c r="F390" i="8"/>
  <c r="E390" i="8"/>
  <c r="D390" i="8"/>
  <c r="C390" i="8"/>
  <c r="B390" i="8"/>
  <c r="A390" i="8"/>
  <c r="M389" i="8"/>
  <c r="K389" i="8"/>
  <c r="J389" i="8"/>
  <c r="I389" i="8"/>
  <c r="H389" i="8"/>
  <c r="G389" i="8"/>
  <c r="L389" i="8" s="1"/>
  <c r="F389" i="8"/>
  <c r="E389" i="8"/>
  <c r="D389" i="8"/>
  <c r="C389" i="8"/>
  <c r="B389" i="8"/>
  <c r="A389" i="8"/>
  <c r="M388" i="8"/>
  <c r="L388" i="8"/>
  <c r="K388" i="8"/>
  <c r="J388" i="8"/>
  <c r="I388" i="8"/>
  <c r="H388" i="8"/>
  <c r="G388" i="8"/>
  <c r="F388" i="8"/>
  <c r="E388" i="8"/>
  <c r="D388" i="8"/>
  <c r="C388" i="8"/>
  <c r="B388" i="8"/>
  <c r="A388" i="8"/>
  <c r="M387" i="8"/>
  <c r="K387" i="8"/>
  <c r="J387" i="8"/>
  <c r="I387" i="8"/>
  <c r="H387" i="8"/>
  <c r="G387" i="8"/>
  <c r="L387" i="8" s="1"/>
  <c r="F387" i="8"/>
  <c r="E387" i="8"/>
  <c r="D387" i="8"/>
  <c r="C387" i="8"/>
  <c r="B387" i="8"/>
  <c r="A387" i="8"/>
  <c r="M386" i="8"/>
  <c r="L386" i="8"/>
  <c r="K386" i="8"/>
  <c r="J386" i="8"/>
  <c r="I386" i="8"/>
  <c r="H386" i="8"/>
  <c r="G386" i="8"/>
  <c r="F386" i="8"/>
  <c r="E386" i="8"/>
  <c r="D386" i="8"/>
  <c r="C386" i="8"/>
  <c r="B386" i="8"/>
  <c r="A386" i="8"/>
  <c r="M385" i="8"/>
  <c r="L385" i="8"/>
  <c r="K385" i="8"/>
  <c r="J385" i="8"/>
  <c r="I385" i="8"/>
  <c r="H385" i="8"/>
  <c r="G385" i="8"/>
  <c r="F385" i="8"/>
  <c r="E385" i="8"/>
  <c r="D385" i="8"/>
  <c r="C385" i="8"/>
  <c r="B385" i="8"/>
  <c r="A385" i="8"/>
  <c r="M384" i="8"/>
  <c r="K384" i="8"/>
  <c r="J384" i="8"/>
  <c r="I384" i="8"/>
  <c r="H384" i="8"/>
  <c r="G384" i="8"/>
  <c r="L384" i="8" s="1"/>
  <c r="F384" i="8"/>
  <c r="E384" i="8"/>
  <c r="D384" i="8"/>
  <c r="C384" i="8"/>
  <c r="B384" i="8"/>
  <c r="A384" i="8"/>
  <c r="M383" i="8"/>
  <c r="L383" i="8"/>
  <c r="K383" i="8"/>
  <c r="J383" i="8"/>
  <c r="I383" i="8"/>
  <c r="H383" i="8"/>
  <c r="G383" i="8"/>
  <c r="F383" i="8"/>
  <c r="E383" i="8"/>
  <c r="D383" i="8"/>
  <c r="C383" i="8"/>
  <c r="B383" i="8"/>
  <c r="A383" i="8"/>
  <c r="M382" i="8"/>
  <c r="K382" i="8"/>
  <c r="J382" i="8"/>
  <c r="I382" i="8"/>
  <c r="H382" i="8"/>
  <c r="G382" i="8"/>
  <c r="L382" i="8" s="1"/>
  <c r="F382" i="8"/>
  <c r="E382" i="8"/>
  <c r="D382" i="8"/>
  <c r="C382" i="8"/>
  <c r="B382" i="8"/>
  <c r="A382" i="8"/>
  <c r="M381" i="8"/>
  <c r="K381" i="8"/>
  <c r="J381" i="8"/>
  <c r="I381" i="8"/>
  <c r="H381" i="8"/>
  <c r="G381" i="8"/>
  <c r="L381" i="8" s="1"/>
  <c r="F381" i="8"/>
  <c r="E381" i="8"/>
  <c r="D381" i="8"/>
  <c r="C381" i="8"/>
  <c r="B381" i="8"/>
  <c r="A381" i="8"/>
  <c r="M380" i="8"/>
  <c r="L380" i="8"/>
  <c r="K380" i="8"/>
  <c r="J380" i="8"/>
  <c r="I380" i="8"/>
  <c r="H380" i="8"/>
  <c r="G380" i="8"/>
  <c r="F380" i="8"/>
  <c r="E380" i="8"/>
  <c r="D380" i="8"/>
  <c r="C380" i="8"/>
  <c r="B380" i="8"/>
  <c r="A380" i="8"/>
  <c r="M379" i="8"/>
  <c r="K379" i="8"/>
  <c r="J379" i="8"/>
  <c r="I379" i="8"/>
  <c r="H379" i="8"/>
  <c r="G379" i="8"/>
  <c r="L379" i="8" s="1"/>
  <c r="F379" i="8"/>
  <c r="E379" i="8"/>
  <c r="D379" i="8"/>
  <c r="C379" i="8"/>
  <c r="B379" i="8"/>
  <c r="A379" i="8"/>
  <c r="M378" i="8"/>
  <c r="L378" i="8"/>
  <c r="K378" i="8"/>
  <c r="J378" i="8"/>
  <c r="I378" i="8"/>
  <c r="H378" i="8"/>
  <c r="G378" i="8"/>
  <c r="F378" i="8"/>
  <c r="E378" i="8"/>
  <c r="D378" i="8"/>
  <c r="C378" i="8"/>
  <c r="B378" i="8"/>
  <c r="A378" i="8"/>
  <c r="M377" i="8"/>
  <c r="L377" i="8"/>
  <c r="K377" i="8"/>
  <c r="J377" i="8"/>
  <c r="I377" i="8"/>
  <c r="H377" i="8"/>
  <c r="G377" i="8"/>
  <c r="F377" i="8"/>
  <c r="E377" i="8"/>
  <c r="D377" i="8"/>
  <c r="C377" i="8"/>
  <c r="B377" i="8"/>
  <c r="A377" i="8"/>
  <c r="M376" i="8"/>
  <c r="K376" i="8"/>
  <c r="J376" i="8"/>
  <c r="I376" i="8"/>
  <c r="H376" i="8"/>
  <c r="G376" i="8"/>
  <c r="L376" i="8" s="1"/>
  <c r="F376" i="8"/>
  <c r="E376" i="8"/>
  <c r="D376" i="8"/>
  <c r="C376" i="8"/>
  <c r="B376" i="8"/>
  <c r="A376" i="8"/>
  <c r="M375" i="8"/>
  <c r="L375" i="8"/>
  <c r="K375" i="8"/>
  <c r="J375" i="8"/>
  <c r="I375" i="8"/>
  <c r="H375" i="8"/>
  <c r="G375" i="8"/>
  <c r="F375" i="8"/>
  <c r="E375" i="8"/>
  <c r="D375" i="8"/>
  <c r="C375" i="8"/>
  <c r="B375" i="8"/>
  <c r="A375" i="8"/>
  <c r="M374" i="8"/>
  <c r="K374" i="8"/>
  <c r="J374" i="8"/>
  <c r="I374" i="8"/>
  <c r="H374" i="8"/>
  <c r="G374" i="8"/>
  <c r="L374" i="8" s="1"/>
  <c r="F374" i="8"/>
  <c r="E374" i="8"/>
  <c r="D374" i="8"/>
  <c r="C374" i="8"/>
  <c r="B374" i="8"/>
  <c r="A374" i="8"/>
  <c r="M373" i="8"/>
  <c r="K373" i="8"/>
  <c r="J373" i="8"/>
  <c r="I373" i="8"/>
  <c r="H373" i="8"/>
  <c r="G373" i="8"/>
  <c r="L373" i="8" s="1"/>
  <c r="F373" i="8"/>
  <c r="E373" i="8"/>
  <c r="D373" i="8"/>
  <c r="C373" i="8"/>
  <c r="B373" i="8"/>
  <c r="A373" i="8"/>
  <c r="M372" i="8"/>
  <c r="L372" i="8"/>
  <c r="K372" i="8"/>
  <c r="J372" i="8"/>
  <c r="I372" i="8"/>
  <c r="H372" i="8"/>
  <c r="G372" i="8"/>
  <c r="F372" i="8"/>
  <c r="E372" i="8"/>
  <c r="D372" i="8"/>
  <c r="C372" i="8"/>
  <c r="B372" i="8"/>
  <c r="A372" i="8"/>
  <c r="M371" i="8"/>
  <c r="K371" i="8"/>
  <c r="J371" i="8"/>
  <c r="I371" i="8"/>
  <c r="H371" i="8"/>
  <c r="G371" i="8"/>
  <c r="L371" i="8" s="1"/>
  <c r="F371" i="8"/>
  <c r="E371" i="8"/>
  <c r="D371" i="8"/>
  <c r="C371" i="8"/>
  <c r="B371" i="8"/>
  <c r="A371" i="8"/>
  <c r="M370" i="8"/>
  <c r="L370" i="8"/>
  <c r="K370" i="8"/>
  <c r="J370" i="8"/>
  <c r="I370" i="8"/>
  <c r="H370" i="8"/>
  <c r="G370" i="8"/>
  <c r="F370" i="8"/>
  <c r="E370" i="8"/>
  <c r="D370" i="8"/>
  <c r="C370" i="8"/>
  <c r="B370" i="8"/>
  <c r="A370" i="8"/>
  <c r="M369" i="8"/>
  <c r="L369" i="8"/>
  <c r="K369" i="8"/>
  <c r="J369" i="8"/>
  <c r="I369" i="8"/>
  <c r="H369" i="8"/>
  <c r="G369" i="8"/>
  <c r="F369" i="8"/>
  <c r="E369" i="8"/>
  <c r="D369" i="8"/>
  <c r="C369" i="8"/>
  <c r="B369" i="8"/>
  <c r="A369" i="8"/>
  <c r="M368" i="8"/>
  <c r="K368" i="8"/>
  <c r="J368" i="8"/>
  <c r="I368" i="8"/>
  <c r="H368" i="8"/>
  <c r="G368" i="8"/>
  <c r="L368" i="8" s="1"/>
  <c r="F368" i="8"/>
  <c r="E368" i="8"/>
  <c r="D368" i="8"/>
  <c r="C368" i="8"/>
  <c r="B368" i="8"/>
  <c r="A368" i="8"/>
  <c r="M367" i="8"/>
  <c r="L367" i="8"/>
  <c r="K367" i="8"/>
  <c r="J367" i="8"/>
  <c r="I367" i="8"/>
  <c r="H367" i="8"/>
  <c r="G367" i="8"/>
  <c r="F367" i="8"/>
  <c r="E367" i="8"/>
  <c r="D367" i="8"/>
  <c r="C367" i="8"/>
  <c r="B367" i="8"/>
  <c r="A367" i="8"/>
  <c r="M366" i="8"/>
  <c r="K366" i="8"/>
  <c r="J366" i="8"/>
  <c r="I366" i="8"/>
  <c r="H366" i="8"/>
  <c r="G366" i="8"/>
  <c r="L366" i="8" s="1"/>
  <c r="F366" i="8"/>
  <c r="E366" i="8"/>
  <c r="D366" i="8"/>
  <c r="C366" i="8"/>
  <c r="B366" i="8"/>
  <c r="A366" i="8"/>
  <c r="M365" i="8"/>
  <c r="K365" i="8"/>
  <c r="J365" i="8"/>
  <c r="I365" i="8"/>
  <c r="H365" i="8"/>
  <c r="G365" i="8"/>
  <c r="L365" i="8" s="1"/>
  <c r="F365" i="8"/>
  <c r="E365" i="8"/>
  <c r="D365" i="8"/>
  <c r="C365" i="8"/>
  <c r="B365" i="8"/>
  <c r="A365" i="8"/>
  <c r="M364" i="8"/>
  <c r="L364" i="8"/>
  <c r="K364" i="8"/>
  <c r="J364" i="8"/>
  <c r="I364" i="8"/>
  <c r="H364" i="8"/>
  <c r="G364" i="8"/>
  <c r="F364" i="8"/>
  <c r="E364" i="8"/>
  <c r="D364" i="8"/>
  <c r="C364" i="8"/>
  <c r="B364" i="8"/>
  <c r="A364" i="8"/>
  <c r="M363" i="8"/>
  <c r="K363" i="8"/>
  <c r="J363" i="8"/>
  <c r="I363" i="8"/>
  <c r="H363" i="8"/>
  <c r="G363" i="8"/>
  <c r="L363" i="8" s="1"/>
  <c r="F363" i="8"/>
  <c r="E363" i="8"/>
  <c r="D363" i="8"/>
  <c r="C363" i="8"/>
  <c r="B363" i="8"/>
  <c r="A363" i="8"/>
  <c r="M362" i="8"/>
  <c r="L362" i="8"/>
  <c r="K362" i="8"/>
  <c r="J362" i="8"/>
  <c r="I362" i="8"/>
  <c r="H362" i="8"/>
  <c r="G362" i="8"/>
  <c r="F362" i="8"/>
  <c r="E362" i="8"/>
  <c r="D362" i="8"/>
  <c r="C362" i="8"/>
  <c r="B362" i="8"/>
  <c r="A362" i="8"/>
  <c r="M361" i="8"/>
  <c r="L361" i="8"/>
  <c r="K361" i="8"/>
  <c r="J361" i="8"/>
  <c r="I361" i="8"/>
  <c r="H361" i="8"/>
  <c r="G361" i="8"/>
  <c r="F361" i="8"/>
  <c r="E361" i="8"/>
  <c r="D361" i="8"/>
  <c r="C361" i="8"/>
  <c r="B361" i="8"/>
  <c r="A361" i="8"/>
  <c r="M360" i="8"/>
  <c r="K360" i="8"/>
  <c r="J360" i="8"/>
  <c r="I360" i="8"/>
  <c r="H360" i="8"/>
  <c r="G360" i="8"/>
  <c r="L360" i="8" s="1"/>
  <c r="F360" i="8"/>
  <c r="E360" i="8"/>
  <c r="D360" i="8"/>
  <c r="C360" i="8"/>
  <c r="B360" i="8"/>
  <c r="A360" i="8"/>
  <c r="M359" i="8"/>
  <c r="L359" i="8"/>
  <c r="K359" i="8"/>
  <c r="J359" i="8"/>
  <c r="I359" i="8"/>
  <c r="H359" i="8"/>
  <c r="G359" i="8"/>
  <c r="F359" i="8"/>
  <c r="E359" i="8"/>
  <c r="D359" i="8"/>
  <c r="C359" i="8"/>
  <c r="B359" i="8"/>
  <c r="A359" i="8"/>
  <c r="M358" i="8"/>
  <c r="K358" i="8"/>
  <c r="J358" i="8"/>
  <c r="I358" i="8"/>
  <c r="H358" i="8"/>
  <c r="G358" i="8"/>
  <c r="L358" i="8" s="1"/>
  <c r="F358" i="8"/>
  <c r="E358" i="8"/>
  <c r="D358" i="8"/>
  <c r="C358" i="8"/>
  <c r="B358" i="8"/>
  <c r="A358" i="8"/>
  <c r="M357" i="8"/>
  <c r="K357" i="8"/>
  <c r="J357" i="8"/>
  <c r="I357" i="8"/>
  <c r="H357" i="8"/>
  <c r="G357" i="8"/>
  <c r="L357" i="8" s="1"/>
  <c r="F357" i="8"/>
  <c r="E357" i="8"/>
  <c r="D357" i="8"/>
  <c r="C357" i="8"/>
  <c r="B357" i="8"/>
  <c r="A357" i="8"/>
  <c r="M356" i="8"/>
  <c r="L356" i="8"/>
  <c r="K356" i="8"/>
  <c r="J356" i="8"/>
  <c r="I356" i="8"/>
  <c r="H356" i="8"/>
  <c r="G356" i="8"/>
  <c r="F356" i="8"/>
  <c r="E356" i="8"/>
  <c r="D356" i="8"/>
  <c r="C356" i="8"/>
  <c r="B356" i="8"/>
  <c r="A356" i="8"/>
  <c r="M355" i="8"/>
  <c r="K355" i="8"/>
  <c r="J355" i="8"/>
  <c r="I355" i="8"/>
  <c r="H355" i="8"/>
  <c r="G355" i="8"/>
  <c r="L355" i="8" s="1"/>
  <c r="F355" i="8"/>
  <c r="E355" i="8"/>
  <c r="D355" i="8"/>
  <c r="C355" i="8"/>
  <c r="B355" i="8"/>
  <c r="A355" i="8"/>
  <c r="M354" i="8"/>
  <c r="L354" i="8"/>
  <c r="K354" i="8"/>
  <c r="J354" i="8"/>
  <c r="I354" i="8"/>
  <c r="H354" i="8"/>
  <c r="G354" i="8"/>
  <c r="F354" i="8"/>
  <c r="E354" i="8"/>
  <c r="D354" i="8"/>
  <c r="C354" i="8"/>
  <c r="B354" i="8"/>
  <c r="A354" i="8"/>
  <c r="M353" i="8"/>
  <c r="L353" i="8"/>
  <c r="K353" i="8"/>
  <c r="J353" i="8"/>
  <c r="I353" i="8"/>
  <c r="H353" i="8"/>
  <c r="G353" i="8"/>
  <c r="F353" i="8"/>
  <c r="E353" i="8"/>
  <c r="D353" i="8"/>
  <c r="C353" i="8"/>
  <c r="B353" i="8"/>
  <c r="A353" i="8"/>
  <c r="M352" i="8"/>
  <c r="K352" i="8"/>
  <c r="J352" i="8"/>
  <c r="I352" i="8"/>
  <c r="H352" i="8"/>
  <c r="G352" i="8"/>
  <c r="L352" i="8" s="1"/>
  <c r="F352" i="8"/>
  <c r="E352" i="8"/>
  <c r="D352" i="8"/>
  <c r="C352" i="8"/>
  <c r="B352" i="8"/>
  <c r="A352" i="8"/>
  <c r="M351" i="8"/>
  <c r="L351" i="8"/>
  <c r="K351" i="8"/>
  <c r="J351" i="8"/>
  <c r="I351" i="8"/>
  <c r="H351" i="8"/>
  <c r="G351" i="8"/>
  <c r="F351" i="8"/>
  <c r="E351" i="8"/>
  <c r="D351" i="8"/>
  <c r="C351" i="8"/>
  <c r="B351" i="8"/>
  <c r="A351" i="8"/>
  <c r="M350" i="8"/>
  <c r="K350" i="8"/>
  <c r="J350" i="8"/>
  <c r="I350" i="8"/>
  <c r="H350" i="8"/>
  <c r="G350" i="8"/>
  <c r="L350" i="8" s="1"/>
  <c r="F350" i="8"/>
  <c r="E350" i="8"/>
  <c r="D350" i="8"/>
  <c r="C350" i="8"/>
  <c r="B350" i="8"/>
  <c r="A350" i="8"/>
  <c r="M349" i="8"/>
  <c r="K349" i="8"/>
  <c r="J349" i="8"/>
  <c r="I349" i="8"/>
  <c r="H349" i="8"/>
  <c r="G349" i="8"/>
  <c r="L349" i="8" s="1"/>
  <c r="F349" i="8"/>
  <c r="E349" i="8"/>
  <c r="D349" i="8"/>
  <c r="C349" i="8"/>
  <c r="B349" i="8"/>
  <c r="A349" i="8"/>
  <c r="M348" i="8"/>
  <c r="L348" i="8"/>
  <c r="K348" i="8"/>
  <c r="J348" i="8"/>
  <c r="I348" i="8"/>
  <c r="H348" i="8"/>
  <c r="G348" i="8"/>
  <c r="F348" i="8"/>
  <c r="E348" i="8"/>
  <c r="D348" i="8"/>
  <c r="C348" i="8"/>
  <c r="B348" i="8"/>
  <c r="A348" i="8"/>
  <c r="M347" i="8"/>
  <c r="K347" i="8"/>
  <c r="J347" i="8"/>
  <c r="I347" i="8"/>
  <c r="H347" i="8"/>
  <c r="G347" i="8"/>
  <c r="L347" i="8" s="1"/>
  <c r="F347" i="8"/>
  <c r="E347" i="8"/>
  <c r="D347" i="8"/>
  <c r="C347" i="8"/>
  <c r="B347" i="8"/>
  <c r="A347" i="8"/>
  <c r="M346" i="8"/>
  <c r="L346" i="8"/>
  <c r="K346" i="8"/>
  <c r="J346" i="8"/>
  <c r="I346" i="8"/>
  <c r="H346" i="8"/>
  <c r="G346" i="8"/>
  <c r="F346" i="8"/>
  <c r="E346" i="8"/>
  <c r="D346" i="8"/>
  <c r="C346" i="8"/>
  <c r="B346" i="8"/>
  <c r="A346" i="8"/>
  <c r="M345" i="8"/>
  <c r="L345" i="8"/>
  <c r="K345" i="8"/>
  <c r="J345" i="8"/>
  <c r="I345" i="8"/>
  <c r="H345" i="8"/>
  <c r="G345" i="8"/>
  <c r="F345" i="8"/>
  <c r="E345" i="8"/>
  <c r="D345" i="8"/>
  <c r="C345" i="8"/>
  <c r="B345" i="8"/>
  <c r="A345" i="8"/>
  <c r="M344" i="8"/>
  <c r="K344" i="8"/>
  <c r="J344" i="8"/>
  <c r="I344" i="8"/>
  <c r="H344" i="8"/>
  <c r="G344" i="8"/>
  <c r="L344" i="8" s="1"/>
  <c r="F344" i="8"/>
  <c r="E344" i="8"/>
  <c r="D344" i="8"/>
  <c r="C344" i="8"/>
  <c r="B344" i="8"/>
  <c r="A344" i="8"/>
  <c r="M343" i="8"/>
  <c r="L343" i="8"/>
  <c r="K343" i="8"/>
  <c r="J343" i="8"/>
  <c r="I343" i="8"/>
  <c r="H343" i="8"/>
  <c r="G343" i="8"/>
  <c r="F343" i="8"/>
  <c r="E343" i="8"/>
  <c r="D343" i="8"/>
  <c r="C343" i="8"/>
  <c r="B343" i="8"/>
  <c r="A343" i="8"/>
  <c r="M342" i="8"/>
  <c r="K342" i="8"/>
  <c r="J342" i="8"/>
  <c r="I342" i="8"/>
  <c r="H342" i="8"/>
  <c r="G342" i="8"/>
  <c r="L342" i="8" s="1"/>
  <c r="F342" i="8"/>
  <c r="E342" i="8"/>
  <c r="D342" i="8"/>
  <c r="C342" i="8"/>
  <c r="B342" i="8"/>
  <c r="A342" i="8"/>
  <c r="M341" i="8"/>
  <c r="K341" i="8"/>
  <c r="J341" i="8"/>
  <c r="I341" i="8"/>
  <c r="H341" i="8"/>
  <c r="G341" i="8"/>
  <c r="L341" i="8" s="1"/>
  <c r="F341" i="8"/>
  <c r="E341" i="8"/>
  <c r="D341" i="8"/>
  <c r="C341" i="8"/>
  <c r="B341" i="8"/>
  <c r="A341" i="8"/>
  <c r="M340" i="8"/>
  <c r="L340" i="8"/>
  <c r="K340" i="8"/>
  <c r="J340" i="8"/>
  <c r="I340" i="8"/>
  <c r="H340" i="8"/>
  <c r="G340" i="8"/>
  <c r="F340" i="8"/>
  <c r="E340" i="8"/>
  <c r="D340" i="8"/>
  <c r="C340" i="8"/>
  <c r="B340" i="8"/>
  <c r="A340" i="8"/>
  <c r="M339" i="8"/>
  <c r="K339" i="8"/>
  <c r="J339" i="8"/>
  <c r="I339" i="8"/>
  <c r="H339" i="8"/>
  <c r="G339" i="8"/>
  <c r="L339" i="8" s="1"/>
  <c r="F339" i="8"/>
  <c r="E339" i="8"/>
  <c r="D339" i="8"/>
  <c r="C339" i="8"/>
  <c r="B339" i="8"/>
  <c r="A339" i="8"/>
  <c r="M338" i="8"/>
  <c r="L338" i="8"/>
  <c r="K338" i="8"/>
  <c r="J338" i="8"/>
  <c r="I338" i="8"/>
  <c r="H338" i="8"/>
  <c r="G338" i="8"/>
  <c r="F338" i="8"/>
  <c r="E338" i="8"/>
  <c r="D338" i="8"/>
  <c r="C338" i="8"/>
  <c r="B338" i="8"/>
  <c r="A338" i="8"/>
  <c r="M337" i="8"/>
  <c r="L337" i="8"/>
  <c r="K337" i="8"/>
  <c r="J337" i="8"/>
  <c r="I337" i="8"/>
  <c r="H337" i="8"/>
  <c r="G337" i="8"/>
  <c r="F337" i="8"/>
  <c r="E337" i="8"/>
  <c r="D337" i="8"/>
  <c r="C337" i="8"/>
  <c r="B337" i="8"/>
  <c r="A337" i="8"/>
  <c r="M336" i="8"/>
  <c r="K336" i="8"/>
  <c r="J336" i="8"/>
  <c r="I336" i="8"/>
  <c r="H336" i="8"/>
  <c r="G336" i="8"/>
  <c r="L336" i="8" s="1"/>
  <c r="F336" i="8"/>
  <c r="E336" i="8"/>
  <c r="D336" i="8"/>
  <c r="C336" i="8"/>
  <c r="B336" i="8"/>
  <c r="A336" i="8"/>
  <c r="M335" i="8"/>
  <c r="L335" i="8"/>
  <c r="K335" i="8"/>
  <c r="J335" i="8"/>
  <c r="I335" i="8"/>
  <c r="H335" i="8"/>
  <c r="G335" i="8"/>
  <c r="F335" i="8"/>
  <c r="E335" i="8"/>
  <c r="D335" i="8"/>
  <c r="C335" i="8"/>
  <c r="B335" i="8"/>
  <c r="A335" i="8"/>
  <c r="M334" i="8"/>
  <c r="K334" i="8"/>
  <c r="J334" i="8"/>
  <c r="I334" i="8"/>
  <c r="H334" i="8"/>
  <c r="G334" i="8"/>
  <c r="L334" i="8" s="1"/>
  <c r="F334" i="8"/>
  <c r="E334" i="8"/>
  <c r="D334" i="8"/>
  <c r="C334" i="8"/>
  <c r="B334" i="8"/>
  <c r="A334" i="8"/>
  <c r="M333" i="8"/>
  <c r="K333" i="8"/>
  <c r="J333" i="8"/>
  <c r="I333" i="8"/>
  <c r="H333" i="8"/>
  <c r="G333" i="8"/>
  <c r="L333" i="8" s="1"/>
  <c r="F333" i="8"/>
  <c r="E333" i="8"/>
  <c r="D333" i="8"/>
  <c r="C333" i="8"/>
  <c r="B333" i="8"/>
  <c r="A333" i="8"/>
  <c r="M332" i="8"/>
  <c r="L332" i="8"/>
  <c r="K332" i="8"/>
  <c r="J332" i="8"/>
  <c r="I332" i="8"/>
  <c r="H332" i="8"/>
  <c r="G332" i="8"/>
  <c r="F332" i="8"/>
  <c r="E332" i="8"/>
  <c r="D332" i="8"/>
  <c r="C332" i="8"/>
  <c r="B332" i="8"/>
  <c r="A332" i="8"/>
  <c r="M331" i="8"/>
  <c r="K331" i="8"/>
  <c r="J331" i="8"/>
  <c r="I331" i="8"/>
  <c r="H331" i="8"/>
  <c r="G331" i="8"/>
  <c r="L331" i="8" s="1"/>
  <c r="F331" i="8"/>
  <c r="E331" i="8"/>
  <c r="D331" i="8"/>
  <c r="C331" i="8"/>
  <c r="B331" i="8"/>
  <c r="A331" i="8"/>
  <c r="M330" i="8"/>
  <c r="L330" i="8"/>
  <c r="K330" i="8"/>
  <c r="J330" i="8"/>
  <c r="I330" i="8"/>
  <c r="H330" i="8"/>
  <c r="G330" i="8"/>
  <c r="F330" i="8"/>
  <c r="E330" i="8"/>
  <c r="D330" i="8"/>
  <c r="C330" i="8"/>
  <c r="B330" i="8"/>
  <c r="A330" i="8"/>
  <c r="M329" i="8"/>
  <c r="L329" i="8"/>
  <c r="K329" i="8"/>
  <c r="J329" i="8"/>
  <c r="I329" i="8"/>
  <c r="H329" i="8"/>
  <c r="G329" i="8"/>
  <c r="F329" i="8"/>
  <c r="E329" i="8"/>
  <c r="D329" i="8"/>
  <c r="C329" i="8"/>
  <c r="B329" i="8"/>
  <c r="A329" i="8"/>
  <c r="M328" i="8"/>
  <c r="K328" i="8"/>
  <c r="J328" i="8"/>
  <c r="I328" i="8"/>
  <c r="H328" i="8"/>
  <c r="G328" i="8"/>
  <c r="L328" i="8" s="1"/>
  <c r="F328" i="8"/>
  <c r="E328" i="8"/>
  <c r="D328" i="8"/>
  <c r="C328" i="8"/>
  <c r="B328" i="8"/>
  <c r="A328" i="8"/>
  <c r="M327" i="8"/>
  <c r="L327" i="8"/>
  <c r="K327" i="8"/>
  <c r="J327" i="8"/>
  <c r="I327" i="8"/>
  <c r="H327" i="8"/>
  <c r="G327" i="8"/>
  <c r="F327" i="8"/>
  <c r="E327" i="8"/>
  <c r="D327" i="8"/>
  <c r="C327" i="8"/>
  <c r="B327" i="8"/>
  <c r="A327" i="8"/>
  <c r="M326" i="8"/>
  <c r="K326" i="8"/>
  <c r="J326" i="8"/>
  <c r="I326" i="8"/>
  <c r="H326" i="8"/>
  <c r="G326" i="8"/>
  <c r="L326" i="8" s="1"/>
  <c r="F326" i="8"/>
  <c r="E326" i="8"/>
  <c r="D326" i="8"/>
  <c r="C326" i="8"/>
  <c r="B326" i="8"/>
  <c r="A326" i="8"/>
  <c r="M325" i="8"/>
  <c r="K325" i="8"/>
  <c r="J325" i="8"/>
  <c r="I325" i="8"/>
  <c r="H325" i="8"/>
  <c r="G325" i="8"/>
  <c r="L325" i="8" s="1"/>
  <c r="F325" i="8"/>
  <c r="E325" i="8"/>
  <c r="D325" i="8"/>
  <c r="C325" i="8"/>
  <c r="B325" i="8"/>
  <c r="A325" i="8"/>
  <c r="M324" i="8"/>
  <c r="L324" i="8"/>
  <c r="K324" i="8"/>
  <c r="J324" i="8"/>
  <c r="I324" i="8"/>
  <c r="H324" i="8"/>
  <c r="G324" i="8"/>
  <c r="F324" i="8"/>
  <c r="E324" i="8"/>
  <c r="D324" i="8"/>
  <c r="C324" i="8"/>
  <c r="B324" i="8"/>
  <c r="A324" i="8"/>
  <c r="M323" i="8"/>
  <c r="K323" i="8"/>
  <c r="J323" i="8"/>
  <c r="I323" i="8"/>
  <c r="H323" i="8"/>
  <c r="G323" i="8"/>
  <c r="L323" i="8" s="1"/>
  <c r="F323" i="8"/>
  <c r="E323" i="8"/>
  <c r="D323" i="8"/>
  <c r="C323" i="8"/>
  <c r="B323" i="8"/>
  <c r="A323" i="8"/>
  <c r="M322" i="8"/>
  <c r="L322" i="8"/>
  <c r="K322" i="8"/>
  <c r="J322" i="8"/>
  <c r="I322" i="8"/>
  <c r="H322" i="8"/>
  <c r="G322" i="8"/>
  <c r="F322" i="8"/>
  <c r="E322" i="8"/>
  <c r="D322" i="8"/>
  <c r="C322" i="8"/>
  <c r="B322" i="8"/>
  <c r="A322" i="8"/>
  <c r="M321" i="8"/>
  <c r="L321" i="8"/>
  <c r="K321" i="8"/>
  <c r="J321" i="8"/>
  <c r="I321" i="8"/>
  <c r="H321" i="8"/>
  <c r="G321" i="8"/>
  <c r="F321" i="8"/>
  <c r="E321" i="8"/>
  <c r="D321" i="8"/>
  <c r="C321" i="8"/>
  <c r="B321" i="8"/>
  <c r="A321" i="8"/>
  <c r="M320" i="8"/>
  <c r="K320" i="8"/>
  <c r="J320" i="8"/>
  <c r="I320" i="8"/>
  <c r="H320" i="8"/>
  <c r="G320" i="8"/>
  <c r="L320" i="8" s="1"/>
  <c r="F320" i="8"/>
  <c r="E320" i="8"/>
  <c r="D320" i="8"/>
  <c r="C320" i="8"/>
  <c r="B320" i="8"/>
  <c r="A320" i="8"/>
  <c r="M319" i="8"/>
  <c r="L319" i="8"/>
  <c r="K319" i="8"/>
  <c r="J319" i="8"/>
  <c r="I319" i="8"/>
  <c r="H319" i="8"/>
  <c r="G319" i="8"/>
  <c r="F319" i="8"/>
  <c r="E319" i="8"/>
  <c r="D319" i="8"/>
  <c r="C319" i="8"/>
  <c r="B319" i="8"/>
  <c r="A319" i="8"/>
  <c r="M318" i="8"/>
  <c r="K318" i="8"/>
  <c r="J318" i="8"/>
  <c r="I318" i="8"/>
  <c r="H318" i="8"/>
  <c r="G318" i="8"/>
  <c r="L318" i="8" s="1"/>
  <c r="F318" i="8"/>
  <c r="E318" i="8"/>
  <c r="D318" i="8"/>
  <c r="C318" i="8"/>
  <c r="B318" i="8"/>
  <c r="A318" i="8"/>
  <c r="M317" i="8"/>
  <c r="K317" i="8"/>
  <c r="J317" i="8"/>
  <c r="I317" i="8"/>
  <c r="H317" i="8"/>
  <c r="G317" i="8"/>
  <c r="L317" i="8" s="1"/>
  <c r="F317" i="8"/>
  <c r="E317" i="8"/>
  <c r="D317" i="8"/>
  <c r="C317" i="8"/>
  <c r="B317" i="8"/>
  <c r="A317" i="8"/>
  <c r="M316" i="8"/>
  <c r="L316" i="8"/>
  <c r="K316" i="8"/>
  <c r="J316" i="8"/>
  <c r="I316" i="8"/>
  <c r="H316" i="8"/>
  <c r="G316" i="8"/>
  <c r="F316" i="8"/>
  <c r="E316" i="8"/>
  <c r="D316" i="8"/>
  <c r="C316" i="8"/>
  <c r="B316" i="8"/>
  <c r="A316" i="8"/>
  <c r="M315" i="8"/>
  <c r="K315" i="8"/>
  <c r="J315" i="8"/>
  <c r="I315" i="8"/>
  <c r="H315" i="8"/>
  <c r="G315" i="8"/>
  <c r="L315" i="8" s="1"/>
  <c r="F315" i="8"/>
  <c r="E315" i="8"/>
  <c r="D315" i="8"/>
  <c r="C315" i="8"/>
  <c r="B315" i="8"/>
  <c r="A315" i="8"/>
  <c r="M314" i="8"/>
  <c r="L314" i="8"/>
  <c r="K314" i="8"/>
  <c r="J314" i="8"/>
  <c r="I314" i="8"/>
  <c r="H314" i="8"/>
  <c r="G314" i="8"/>
  <c r="F314" i="8"/>
  <c r="E314" i="8"/>
  <c r="D314" i="8"/>
  <c r="C314" i="8"/>
  <c r="B314" i="8"/>
  <c r="A314" i="8"/>
  <c r="M313" i="8"/>
  <c r="L313" i="8"/>
  <c r="K313" i="8"/>
  <c r="J313" i="8"/>
  <c r="I313" i="8"/>
  <c r="H313" i="8"/>
  <c r="G313" i="8"/>
  <c r="F313" i="8"/>
  <c r="E313" i="8"/>
  <c r="D313" i="8"/>
  <c r="C313" i="8"/>
  <c r="B313" i="8"/>
  <c r="A313" i="8"/>
  <c r="M312" i="8"/>
  <c r="K312" i="8"/>
  <c r="J312" i="8"/>
  <c r="I312" i="8"/>
  <c r="H312" i="8"/>
  <c r="G312" i="8"/>
  <c r="L312" i="8" s="1"/>
  <c r="F312" i="8"/>
  <c r="E312" i="8"/>
  <c r="D312" i="8"/>
  <c r="C312" i="8"/>
  <c r="B312" i="8"/>
  <c r="A312" i="8"/>
  <c r="M311" i="8"/>
  <c r="L311" i="8"/>
  <c r="K311" i="8"/>
  <c r="J311" i="8"/>
  <c r="I311" i="8"/>
  <c r="H311" i="8"/>
  <c r="G311" i="8"/>
  <c r="F311" i="8"/>
  <c r="E311" i="8"/>
  <c r="D311" i="8"/>
  <c r="C311" i="8"/>
  <c r="B311" i="8"/>
  <c r="A311" i="8"/>
  <c r="M310" i="8"/>
  <c r="K310" i="8"/>
  <c r="J310" i="8"/>
  <c r="I310" i="8"/>
  <c r="H310" i="8"/>
  <c r="G310" i="8"/>
  <c r="L310" i="8" s="1"/>
  <c r="F310" i="8"/>
  <c r="E310" i="8"/>
  <c r="D310" i="8"/>
  <c r="C310" i="8"/>
  <c r="B310" i="8"/>
  <c r="A310" i="8"/>
  <c r="M309" i="8"/>
  <c r="K309" i="8"/>
  <c r="J309" i="8"/>
  <c r="I309" i="8"/>
  <c r="H309" i="8"/>
  <c r="G309" i="8"/>
  <c r="L309" i="8" s="1"/>
  <c r="F309" i="8"/>
  <c r="E309" i="8"/>
  <c r="D309" i="8"/>
  <c r="C309" i="8"/>
  <c r="B309" i="8"/>
  <c r="A309" i="8"/>
  <c r="M308" i="8"/>
  <c r="L308" i="8"/>
  <c r="K308" i="8"/>
  <c r="J308" i="8"/>
  <c r="I308" i="8"/>
  <c r="H308" i="8"/>
  <c r="G308" i="8"/>
  <c r="F308" i="8"/>
  <c r="E308" i="8"/>
  <c r="D308" i="8"/>
  <c r="C308" i="8"/>
  <c r="B308" i="8"/>
  <c r="A308" i="8"/>
  <c r="M307" i="8"/>
  <c r="K307" i="8"/>
  <c r="J307" i="8"/>
  <c r="I307" i="8"/>
  <c r="H307" i="8"/>
  <c r="G307" i="8"/>
  <c r="L307" i="8" s="1"/>
  <c r="F307" i="8"/>
  <c r="E307" i="8"/>
  <c r="D307" i="8"/>
  <c r="C307" i="8"/>
  <c r="B307" i="8"/>
  <c r="A307" i="8"/>
  <c r="M306" i="8"/>
  <c r="L306" i="8"/>
  <c r="K306" i="8"/>
  <c r="J306" i="8"/>
  <c r="I306" i="8"/>
  <c r="H306" i="8"/>
  <c r="G306" i="8"/>
  <c r="F306" i="8"/>
  <c r="E306" i="8"/>
  <c r="D306" i="8"/>
  <c r="C306" i="8"/>
  <c r="B306" i="8"/>
  <c r="A306" i="8"/>
  <c r="M305" i="8"/>
  <c r="L305" i="8"/>
  <c r="K305" i="8"/>
  <c r="J305" i="8"/>
  <c r="I305" i="8"/>
  <c r="H305" i="8"/>
  <c r="G305" i="8"/>
  <c r="F305" i="8"/>
  <c r="E305" i="8"/>
  <c r="D305" i="8"/>
  <c r="C305" i="8"/>
  <c r="B305" i="8"/>
  <c r="A305" i="8"/>
  <c r="M304" i="8"/>
  <c r="K304" i="8"/>
  <c r="J304" i="8"/>
  <c r="I304" i="8"/>
  <c r="H304" i="8"/>
  <c r="G304" i="8"/>
  <c r="L304" i="8" s="1"/>
  <c r="F304" i="8"/>
  <c r="E304" i="8"/>
  <c r="D304" i="8"/>
  <c r="C304" i="8"/>
  <c r="B304" i="8"/>
  <c r="A304" i="8"/>
  <c r="M303" i="8"/>
  <c r="L303" i="8"/>
  <c r="K303" i="8"/>
  <c r="J303" i="8"/>
  <c r="I303" i="8"/>
  <c r="H303" i="8"/>
  <c r="G303" i="8"/>
  <c r="F303" i="8"/>
  <c r="E303" i="8"/>
  <c r="D303" i="8"/>
  <c r="C303" i="8"/>
  <c r="B303" i="8"/>
  <c r="A303" i="8"/>
  <c r="M302" i="8"/>
  <c r="K302" i="8"/>
  <c r="J302" i="8"/>
  <c r="I302" i="8"/>
  <c r="H302" i="8"/>
  <c r="G302" i="8"/>
  <c r="L302" i="8" s="1"/>
  <c r="F302" i="8"/>
  <c r="E302" i="8"/>
  <c r="D302" i="8"/>
  <c r="C302" i="8"/>
  <c r="B302" i="8"/>
  <c r="A302" i="8"/>
  <c r="M301" i="8"/>
  <c r="K301" i="8"/>
  <c r="J301" i="8"/>
  <c r="I301" i="8"/>
  <c r="H301" i="8"/>
  <c r="G301" i="8"/>
  <c r="L301" i="8" s="1"/>
  <c r="F301" i="8"/>
  <c r="E301" i="8"/>
  <c r="D301" i="8"/>
  <c r="C301" i="8"/>
  <c r="B301" i="8"/>
  <c r="A301" i="8"/>
  <c r="M300" i="8"/>
  <c r="L300" i="8"/>
  <c r="K300" i="8"/>
  <c r="J300" i="8"/>
  <c r="I300" i="8"/>
  <c r="H300" i="8"/>
  <c r="G300" i="8"/>
  <c r="F300" i="8"/>
  <c r="E300" i="8"/>
  <c r="D300" i="8"/>
  <c r="C300" i="8"/>
  <c r="B300" i="8"/>
  <c r="A300" i="8"/>
  <c r="M299" i="8"/>
  <c r="K299" i="8"/>
  <c r="J299" i="8"/>
  <c r="I299" i="8"/>
  <c r="H299" i="8"/>
  <c r="G299" i="8"/>
  <c r="L299" i="8" s="1"/>
  <c r="F299" i="8"/>
  <c r="E299" i="8"/>
  <c r="D299" i="8"/>
  <c r="C299" i="8"/>
  <c r="B299" i="8"/>
  <c r="A299" i="8"/>
  <c r="M298" i="8"/>
  <c r="L298" i="8"/>
  <c r="K298" i="8"/>
  <c r="J298" i="8"/>
  <c r="I298" i="8"/>
  <c r="H298" i="8"/>
  <c r="G298" i="8"/>
  <c r="F298" i="8"/>
  <c r="E298" i="8"/>
  <c r="D298" i="8"/>
  <c r="C298" i="8"/>
  <c r="B298" i="8"/>
  <c r="A298" i="8"/>
  <c r="M297" i="8"/>
  <c r="L297" i="8"/>
  <c r="K297" i="8"/>
  <c r="J297" i="8"/>
  <c r="I297" i="8"/>
  <c r="H297" i="8"/>
  <c r="G297" i="8"/>
  <c r="F297" i="8"/>
  <c r="E297" i="8"/>
  <c r="D297" i="8"/>
  <c r="C297" i="8"/>
  <c r="B297" i="8"/>
  <c r="A297" i="8"/>
  <c r="M296" i="8"/>
  <c r="K296" i="8"/>
  <c r="J296" i="8"/>
  <c r="I296" i="8"/>
  <c r="H296" i="8"/>
  <c r="G296" i="8"/>
  <c r="L296" i="8" s="1"/>
  <c r="F296" i="8"/>
  <c r="E296" i="8"/>
  <c r="D296" i="8"/>
  <c r="C296" i="8"/>
  <c r="B296" i="8"/>
  <c r="A296" i="8"/>
  <c r="M295" i="8"/>
  <c r="L295" i="8"/>
  <c r="K295" i="8"/>
  <c r="J295" i="8"/>
  <c r="I295" i="8"/>
  <c r="H295" i="8"/>
  <c r="G295" i="8"/>
  <c r="F295" i="8"/>
  <c r="E295" i="8"/>
  <c r="D295" i="8"/>
  <c r="C295" i="8"/>
  <c r="B295" i="8"/>
  <c r="A295" i="8"/>
  <c r="M294" i="8"/>
  <c r="K294" i="8"/>
  <c r="J294" i="8"/>
  <c r="I294" i="8"/>
  <c r="H294" i="8"/>
  <c r="G294" i="8"/>
  <c r="L294" i="8" s="1"/>
  <c r="F294" i="8"/>
  <c r="E294" i="8"/>
  <c r="D294" i="8"/>
  <c r="C294" i="8"/>
  <c r="B294" i="8"/>
  <c r="A294" i="8"/>
  <c r="M293" i="8"/>
  <c r="K293" i="8"/>
  <c r="J293" i="8"/>
  <c r="I293" i="8"/>
  <c r="H293" i="8"/>
  <c r="G293" i="8"/>
  <c r="L293" i="8" s="1"/>
  <c r="F293" i="8"/>
  <c r="E293" i="8"/>
  <c r="D293" i="8"/>
  <c r="C293" i="8"/>
  <c r="B293" i="8"/>
  <c r="A293" i="8"/>
  <c r="M292" i="8"/>
  <c r="L292" i="8"/>
  <c r="K292" i="8"/>
  <c r="J292" i="8"/>
  <c r="I292" i="8"/>
  <c r="H292" i="8"/>
  <c r="G292" i="8"/>
  <c r="F292" i="8"/>
  <c r="E292" i="8"/>
  <c r="D292" i="8"/>
  <c r="C292" i="8"/>
  <c r="B292" i="8"/>
  <c r="A292" i="8"/>
  <c r="M291" i="8"/>
  <c r="K291" i="8"/>
  <c r="J291" i="8"/>
  <c r="I291" i="8"/>
  <c r="H291" i="8"/>
  <c r="G291" i="8"/>
  <c r="L291" i="8" s="1"/>
  <c r="F291" i="8"/>
  <c r="E291" i="8"/>
  <c r="D291" i="8"/>
  <c r="C291" i="8"/>
  <c r="B291" i="8"/>
  <c r="A291" i="8"/>
  <c r="M290" i="8"/>
  <c r="L290" i="8"/>
  <c r="K290" i="8"/>
  <c r="J290" i="8"/>
  <c r="I290" i="8"/>
  <c r="H290" i="8"/>
  <c r="G290" i="8"/>
  <c r="F290" i="8"/>
  <c r="E290" i="8"/>
  <c r="D290" i="8"/>
  <c r="C290" i="8"/>
  <c r="B290" i="8"/>
  <c r="A290" i="8"/>
  <c r="M289" i="8"/>
  <c r="L289" i="8"/>
  <c r="K289" i="8"/>
  <c r="J289" i="8"/>
  <c r="I289" i="8"/>
  <c r="H289" i="8"/>
  <c r="G289" i="8"/>
  <c r="F289" i="8"/>
  <c r="E289" i="8"/>
  <c r="D289" i="8"/>
  <c r="C289" i="8"/>
  <c r="B289" i="8"/>
  <c r="A289" i="8"/>
  <c r="M288" i="8"/>
  <c r="K288" i="8"/>
  <c r="J288" i="8"/>
  <c r="I288" i="8"/>
  <c r="H288" i="8"/>
  <c r="G288" i="8"/>
  <c r="L288" i="8" s="1"/>
  <c r="F288" i="8"/>
  <c r="E288" i="8"/>
  <c r="D288" i="8"/>
  <c r="C288" i="8"/>
  <c r="B288" i="8"/>
  <c r="A288" i="8"/>
  <c r="M287" i="8"/>
  <c r="L287" i="8"/>
  <c r="K287" i="8"/>
  <c r="J287" i="8"/>
  <c r="I287" i="8"/>
  <c r="H287" i="8"/>
  <c r="G287" i="8"/>
  <c r="F287" i="8"/>
  <c r="E287" i="8"/>
  <c r="D287" i="8"/>
  <c r="C287" i="8"/>
  <c r="B287" i="8"/>
  <c r="A287" i="8"/>
  <c r="M286" i="8"/>
  <c r="L286" i="8"/>
  <c r="K286" i="8"/>
  <c r="J286" i="8"/>
  <c r="I286" i="8"/>
  <c r="H286" i="8"/>
  <c r="G286" i="8"/>
  <c r="F286" i="8"/>
  <c r="E286" i="8"/>
  <c r="D286" i="8"/>
  <c r="C286" i="8"/>
  <c r="B286" i="8"/>
  <c r="A286" i="8"/>
  <c r="M285" i="8"/>
  <c r="K285" i="8"/>
  <c r="J285" i="8"/>
  <c r="I285" i="8"/>
  <c r="H285" i="8"/>
  <c r="G285" i="8"/>
  <c r="L285" i="8" s="1"/>
  <c r="F285" i="8"/>
  <c r="E285" i="8"/>
  <c r="D285" i="8"/>
  <c r="C285" i="8"/>
  <c r="B285" i="8"/>
  <c r="A285" i="8"/>
  <c r="M284" i="8"/>
  <c r="L284" i="8"/>
  <c r="K284" i="8"/>
  <c r="J284" i="8"/>
  <c r="I284" i="8"/>
  <c r="H284" i="8"/>
  <c r="G284" i="8"/>
  <c r="F284" i="8"/>
  <c r="E284" i="8"/>
  <c r="D284" i="8"/>
  <c r="C284" i="8"/>
  <c r="B284" i="8"/>
  <c r="A284" i="8"/>
  <c r="M283" i="8"/>
  <c r="K283" i="8"/>
  <c r="J283" i="8"/>
  <c r="I283" i="8"/>
  <c r="H283" i="8"/>
  <c r="G283" i="8"/>
  <c r="L283" i="8" s="1"/>
  <c r="F283" i="8"/>
  <c r="E283" i="8"/>
  <c r="D283" i="8"/>
  <c r="C283" i="8"/>
  <c r="B283" i="8"/>
  <c r="A283" i="8"/>
  <c r="M282" i="8"/>
  <c r="L282" i="8"/>
  <c r="K282" i="8"/>
  <c r="J282" i="8"/>
  <c r="I282" i="8"/>
  <c r="H282" i="8"/>
  <c r="G282" i="8"/>
  <c r="F282" i="8"/>
  <c r="E282" i="8"/>
  <c r="D282" i="8"/>
  <c r="C282" i="8"/>
  <c r="B282" i="8"/>
  <c r="A282" i="8"/>
  <c r="M281" i="8"/>
  <c r="L281" i="8"/>
  <c r="K281" i="8"/>
  <c r="J281" i="8"/>
  <c r="I281" i="8"/>
  <c r="H281" i="8"/>
  <c r="G281" i="8"/>
  <c r="F281" i="8"/>
  <c r="E281" i="8"/>
  <c r="D281" i="8"/>
  <c r="C281" i="8"/>
  <c r="B281" i="8"/>
  <c r="A281" i="8"/>
  <c r="M280" i="8"/>
  <c r="K280" i="8"/>
  <c r="J280" i="8"/>
  <c r="I280" i="8"/>
  <c r="H280" i="8"/>
  <c r="G280" i="8"/>
  <c r="L280" i="8" s="1"/>
  <c r="F280" i="8"/>
  <c r="E280" i="8"/>
  <c r="D280" i="8"/>
  <c r="C280" i="8"/>
  <c r="B280" i="8"/>
  <c r="A280" i="8"/>
  <c r="M279" i="8"/>
  <c r="L279" i="8"/>
  <c r="K279" i="8"/>
  <c r="J279" i="8"/>
  <c r="I279" i="8"/>
  <c r="H279" i="8"/>
  <c r="G279" i="8"/>
  <c r="F279" i="8"/>
  <c r="E279" i="8"/>
  <c r="D279" i="8"/>
  <c r="C279" i="8"/>
  <c r="B279" i="8"/>
  <c r="A279" i="8"/>
  <c r="M278" i="8"/>
  <c r="K278" i="8"/>
  <c r="J278" i="8"/>
  <c r="I278" i="8"/>
  <c r="H278" i="8"/>
  <c r="G278" i="8"/>
  <c r="L278" i="8" s="1"/>
  <c r="F278" i="8"/>
  <c r="E278" i="8"/>
  <c r="D278" i="8"/>
  <c r="C278" i="8"/>
  <c r="B278" i="8"/>
  <c r="A278" i="8"/>
  <c r="M277" i="8"/>
  <c r="K277" i="8"/>
  <c r="J277" i="8"/>
  <c r="I277" i="8"/>
  <c r="H277" i="8"/>
  <c r="G277" i="8"/>
  <c r="L277" i="8" s="1"/>
  <c r="F277" i="8"/>
  <c r="E277" i="8"/>
  <c r="D277" i="8"/>
  <c r="C277" i="8"/>
  <c r="B277" i="8"/>
  <c r="A277" i="8"/>
  <c r="M276" i="8"/>
  <c r="L276" i="8"/>
  <c r="K276" i="8"/>
  <c r="J276" i="8"/>
  <c r="I276" i="8"/>
  <c r="H276" i="8"/>
  <c r="G276" i="8"/>
  <c r="F276" i="8"/>
  <c r="E276" i="8"/>
  <c r="D276" i="8"/>
  <c r="C276" i="8"/>
  <c r="B276" i="8"/>
  <c r="A276" i="8"/>
  <c r="M275" i="8"/>
  <c r="K275" i="8"/>
  <c r="J275" i="8"/>
  <c r="I275" i="8"/>
  <c r="H275" i="8"/>
  <c r="G275" i="8"/>
  <c r="L275" i="8" s="1"/>
  <c r="F275" i="8"/>
  <c r="E275" i="8"/>
  <c r="D275" i="8"/>
  <c r="C275" i="8"/>
  <c r="B275" i="8"/>
  <c r="A275" i="8"/>
  <c r="M274" i="8"/>
  <c r="L274" i="8"/>
  <c r="K274" i="8"/>
  <c r="J274" i="8"/>
  <c r="I274" i="8"/>
  <c r="H274" i="8"/>
  <c r="G274" i="8"/>
  <c r="F274" i="8"/>
  <c r="E274" i="8"/>
  <c r="D274" i="8"/>
  <c r="C274" i="8"/>
  <c r="B274" i="8"/>
  <c r="A274" i="8"/>
  <c r="M273" i="8"/>
  <c r="L273" i="8"/>
  <c r="K273" i="8"/>
  <c r="J273" i="8"/>
  <c r="I273" i="8"/>
  <c r="H273" i="8"/>
  <c r="G273" i="8"/>
  <c r="F273" i="8"/>
  <c r="E273" i="8"/>
  <c r="D273" i="8"/>
  <c r="C273" i="8"/>
  <c r="B273" i="8"/>
  <c r="A273" i="8"/>
  <c r="M272" i="8"/>
  <c r="K272" i="8"/>
  <c r="J272" i="8"/>
  <c r="I272" i="8"/>
  <c r="H272" i="8"/>
  <c r="G272" i="8"/>
  <c r="L272" i="8" s="1"/>
  <c r="F272" i="8"/>
  <c r="E272" i="8"/>
  <c r="D272" i="8"/>
  <c r="C272" i="8"/>
  <c r="B272" i="8"/>
  <c r="A272" i="8"/>
  <c r="M271" i="8"/>
  <c r="L271" i="8"/>
  <c r="K271" i="8"/>
  <c r="J271" i="8"/>
  <c r="I271" i="8"/>
  <c r="H271" i="8"/>
  <c r="G271" i="8"/>
  <c r="F271" i="8"/>
  <c r="E271" i="8"/>
  <c r="D271" i="8"/>
  <c r="C271" i="8"/>
  <c r="B271" i="8"/>
  <c r="A271" i="8"/>
  <c r="M270" i="8"/>
  <c r="K270" i="8"/>
  <c r="J270" i="8"/>
  <c r="I270" i="8"/>
  <c r="H270" i="8"/>
  <c r="G270" i="8"/>
  <c r="L270" i="8" s="1"/>
  <c r="F270" i="8"/>
  <c r="E270" i="8"/>
  <c r="D270" i="8"/>
  <c r="C270" i="8"/>
  <c r="B270" i="8"/>
  <c r="A270" i="8"/>
  <c r="M269" i="8"/>
  <c r="K269" i="8"/>
  <c r="J269" i="8"/>
  <c r="I269" i="8"/>
  <c r="H269" i="8"/>
  <c r="G269" i="8"/>
  <c r="L269" i="8" s="1"/>
  <c r="F269" i="8"/>
  <c r="E269" i="8"/>
  <c r="D269" i="8"/>
  <c r="C269" i="8"/>
  <c r="B269" i="8"/>
  <c r="A269" i="8"/>
  <c r="M268" i="8"/>
  <c r="L268" i="8"/>
  <c r="K268" i="8"/>
  <c r="J268" i="8"/>
  <c r="I268" i="8"/>
  <c r="H268" i="8"/>
  <c r="G268" i="8"/>
  <c r="F268" i="8"/>
  <c r="E268" i="8"/>
  <c r="D268" i="8"/>
  <c r="C268" i="8"/>
  <c r="B268" i="8"/>
  <c r="A268" i="8"/>
  <c r="M267" i="8"/>
  <c r="K267" i="8"/>
  <c r="J267" i="8"/>
  <c r="I267" i="8"/>
  <c r="H267" i="8"/>
  <c r="G267" i="8"/>
  <c r="L267" i="8" s="1"/>
  <c r="F267" i="8"/>
  <c r="E267" i="8"/>
  <c r="D267" i="8"/>
  <c r="C267" i="8"/>
  <c r="B267" i="8"/>
  <c r="A267" i="8"/>
  <c r="M266" i="8"/>
  <c r="L266" i="8"/>
  <c r="K266" i="8"/>
  <c r="J266" i="8"/>
  <c r="I266" i="8"/>
  <c r="H266" i="8"/>
  <c r="G266" i="8"/>
  <c r="F266" i="8"/>
  <c r="E266" i="8"/>
  <c r="D266" i="8"/>
  <c r="C266" i="8"/>
  <c r="B266" i="8"/>
  <c r="A266" i="8"/>
  <c r="M265" i="8"/>
  <c r="L265" i="8"/>
  <c r="K265" i="8"/>
  <c r="J265" i="8"/>
  <c r="I265" i="8"/>
  <c r="H265" i="8"/>
  <c r="G265" i="8"/>
  <c r="F265" i="8"/>
  <c r="E265" i="8"/>
  <c r="D265" i="8"/>
  <c r="C265" i="8"/>
  <c r="B265" i="8"/>
  <c r="A265" i="8"/>
  <c r="M264" i="8"/>
  <c r="K264" i="8"/>
  <c r="J264" i="8"/>
  <c r="I264" i="8"/>
  <c r="H264" i="8"/>
  <c r="G264" i="8"/>
  <c r="L264" i="8" s="1"/>
  <c r="F264" i="8"/>
  <c r="E264" i="8"/>
  <c r="D264" i="8"/>
  <c r="C264" i="8"/>
  <c r="B264" i="8"/>
  <c r="A264" i="8"/>
  <c r="M263" i="8"/>
  <c r="L263" i="8"/>
  <c r="K263" i="8"/>
  <c r="J263" i="8"/>
  <c r="I263" i="8"/>
  <c r="H263" i="8"/>
  <c r="G263" i="8"/>
  <c r="F263" i="8"/>
  <c r="E263" i="8"/>
  <c r="D263" i="8"/>
  <c r="C263" i="8"/>
  <c r="B263" i="8"/>
  <c r="A263" i="8"/>
  <c r="M262" i="8"/>
  <c r="L262" i="8"/>
  <c r="K262" i="8"/>
  <c r="J262" i="8"/>
  <c r="I262" i="8"/>
  <c r="H262" i="8"/>
  <c r="G262" i="8"/>
  <c r="F262" i="8"/>
  <c r="E262" i="8"/>
  <c r="D262" i="8"/>
  <c r="C262" i="8"/>
  <c r="B262" i="8"/>
  <c r="A262" i="8"/>
  <c r="M261" i="8"/>
  <c r="K261" i="8"/>
  <c r="J261" i="8"/>
  <c r="I261" i="8"/>
  <c r="H261" i="8"/>
  <c r="G261" i="8"/>
  <c r="L261" i="8" s="1"/>
  <c r="F261" i="8"/>
  <c r="E261" i="8"/>
  <c r="D261" i="8"/>
  <c r="C261" i="8"/>
  <c r="B261" i="8"/>
  <c r="A261" i="8"/>
  <c r="M260" i="8"/>
  <c r="L260" i="8"/>
  <c r="K260" i="8"/>
  <c r="J260" i="8"/>
  <c r="I260" i="8"/>
  <c r="H260" i="8"/>
  <c r="G260" i="8"/>
  <c r="F260" i="8"/>
  <c r="E260" i="8"/>
  <c r="D260" i="8"/>
  <c r="C260" i="8"/>
  <c r="B260" i="8"/>
  <c r="A260" i="8"/>
  <c r="M259" i="8"/>
  <c r="K259" i="8"/>
  <c r="J259" i="8"/>
  <c r="I259" i="8"/>
  <c r="H259" i="8"/>
  <c r="G259" i="8"/>
  <c r="L259" i="8" s="1"/>
  <c r="F259" i="8"/>
  <c r="E259" i="8"/>
  <c r="D259" i="8"/>
  <c r="C259" i="8"/>
  <c r="B259" i="8"/>
  <c r="A259" i="8"/>
  <c r="M258" i="8"/>
  <c r="L258" i="8"/>
  <c r="K258" i="8"/>
  <c r="J258" i="8"/>
  <c r="I258" i="8"/>
  <c r="H258" i="8"/>
  <c r="G258" i="8"/>
  <c r="F258" i="8"/>
  <c r="E258" i="8"/>
  <c r="D258" i="8"/>
  <c r="C258" i="8"/>
  <c r="B258" i="8"/>
  <c r="A258" i="8"/>
  <c r="M257" i="8"/>
  <c r="L257" i="8"/>
  <c r="K257" i="8"/>
  <c r="J257" i="8"/>
  <c r="I257" i="8"/>
  <c r="H257" i="8"/>
  <c r="G257" i="8"/>
  <c r="F257" i="8"/>
  <c r="E257" i="8"/>
  <c r="D257" i="8"/>
  <c r="C257" i="8"/>
  <c r="B257" i="8"/>
  <c r="A257" i="8"/>
  <c r="M256" i="8"/>
  <c r="K256" i="8"/>
  <c r="J256" i="8"/>
  <c r="I256" i="8"/>
  <c r="H256" i="8"/>
  <c r="G256" i="8"/>
  <c r="L256" i="8" s="1"/>
  <c r="F256" i="8"/>
  <c r="E256" i="8"/>
  <c r="D256" i="8"/>
  <c r="C256" i="8"/>
  <c r="B256" i="8"/>
  <c r="A256" i="8"/>
  <c r="M255" i="8"/>
  <c r="L255" i="8"/>
  <c r="K255" i="8"/>
  <c r="J255" i="8"/>
  <c r="I255" i="8"/>
  <c r="H255" i="8"/>
  <c r="G255" i="8"/>
  <c r="F255" i="8"/>
  <c r="E255" i="8"/>
  <c r="D255" i="8"/>
  <c r="C255" i="8"/>
  <c r="B255" i="8"/>
  <c r="A255" i="8"/>
  <c r="M254" i="8"/>
  <c r="K254" i="8"/>
  <c r="J254" i="8"/>
  <c r="I254" i="8"/>
  <c r="H254" i="8"/>
  <c r="G254" i="8"/>
  <c r="L254" i="8" s="1"/>
  <c r="F254" i="8"/>
  <c r="E254" i="8"/>
  <c r="D254" i="8"/>
  <c r="C254" i="8"/>
  <c r="B254" i="8"/>
  <c r="A254" i="8"/>
  <c r="M253" i="8"/>
  <c r="K253" i="8"/>
  <c r="J253" i="8"/>
  <c r="I253" i="8"/>
  <c r="H253" i="8"/>
  <c r="G253" i="8"/>
  <c r="L253" i="8" s="1"/>
  <c r="F253" i="8"/>
  <c r="E253" i="8"/>
  <c r="D253" i="8"/>
  <c r="C253" i="8"/>
  <c r="B253" i="8"/>
  <c r="A253" i="8"/>
  <c r="M252" i="8"/>
  <c r="L252" i="8"/>
  <c r="K252" i="8"/>
  <c r="J252" i="8"/>
  <c r="I252" i="8"/>
  <c r="H252" i="8"/>
  <c r="G252" i="8"/>
  <c r="F252" i="8"/>
  <c r="E252" i="8"/>
  <c r="D252" i="8"/>
  <c r="C252" i="8"/>
  <c r="B252" i="8"/>
  <c r="A252" i="8"/>
  <c r="M251" i="8"/>
  <c r="K251" i="8"/>
  <c r="J251" i="8"/>
  <c r="I251" i="8"/>
  <c r="H251" i="8"/>
  <c r="G251" i="8"/>
  <c r="L251" i="8" s="1"/>
  <c r="F251" i="8"/>
  <c r="E251" i="8"/>
  <c r="D251" i="8"/>
  <c r="C251" i="8"/>
  <c r="B251" i="8"/>
  <c r="A251" i="8"/>
  <c r="M250" i="8"/>
  <c r="L250" i="8"/>
  <c r="K250" i="8"/>
  <c r="J250" i="8"/>
  <c r="I250" i="8"/>
  <c r="H250" i="8"/>
  <c r="G250" i="8"/>
  <c r="F250" i="8"/>
  <c r="E250" i="8"/>
  <c r="D250" i="8"/>
  <c r="C250" i="8"/>
  <c r="B250" i="8"/>
  <c r="A250" i="8"/>
  <c r="M249" i="8"/>
  <c r="L249" i="8"/>
  <c r="K249" i="8"/>
  <c r="J249" i="8"/>
  <c r="I249" i="8"/>
  <c r="H249" i="8"/>
  <c r="G249" i="8"/>
  <c r="F249" i="8"/>
  <c r="E249" i="8"/>
  <c r="D249" i="8"/>
  <c r="C249" i="8"/>
  <c r="B249" i="8"/>
  <c r="A249" i="8"/>
  <c r="M248" i="8"/>
  <c r="K248" i="8"/>
  <c r="J248" i="8"/>
  <c r="I248" i="8"/>
  <c r="H248" i="8"/>
  <c r="G248" i="8"/>
  <c r="L248" i="8" s="1"/>
  <c r="F248" i="8"/>
  <c r="E248" i="8"/>
  <c r="D248" i="8"/>
  <c r="C248" i="8"/>
  <c r="B248" i="8"/>
  <c r="A248" i="8"/>
  <c r="M247" i="8"/>
  <c r="L247" i="8"/>
  <c r="K247" i="8"/>
  <c r="J247" i="8"/>
  <c r="I247" i="8"/>
  <c r="H247" i="8"/>
  <c r="G247" i="8"/>
  <c r="F247" i="8"/>
  <c r="E247" i="8"/>
  <c r="D247" i="8"/>
  <c r="C247" i="8"/>
  <c r="B247" i="8"/>
  <c r="A247" i="8"/>
  <c r="M246" i="8"/>
  <c r="K246" i="8"/>
  <c r="J246" i="8"/>
  <c r="I246" i="8"/>
  <c r="H246" i="8"/>
  <c r="G246" i="8"/>
  <c r="L246" i="8" s="1"/>
  <c r="F246" i="8"/>
  <c r="E246" i="8"/>
  <c r="D246" i="8"/>
  <c r="C246" i="8"/>
  <c r="B246" i="8"/>
  <c r="A246" i="8"/>
  <c r="M245" i="8"/>
  <c r="K245" i="8"/>
  <c r="J245" i="8"/>
  <c r="I245" i="8"/>
  <c r="H245" i="8"/>
  <c r="G245" i="8"/>
  <c r="L245" i="8" s="1"/>
  <c r="F245" i="8"/>
  <c r="E245" i="8"/>
  <c r="D245" i="8"/>
  <c r="C245" i="8"/>
  <c r="B245" i="8"/>
  <c r="A245" i="8"/>
  <c r="M244" i="8"/>
  <c r="L244" i="8"/>
  <c r="K244" i="8"/>
  <c r="J244" i="8"/>
  <c r="I244" i="8"/>
  <c r="H244" i="8"/>
  <c r="G244" i="8"/>
  <c r="F244" i="8"/>
  <c r="E244" i="8"/>
  <c r="D244" i="8"/>
  <c r="C244" i="8"/>
  <c r="B244" i="8"/>
  <c r="A244" i="8"/>
  <c r="M243" i="8"/>
  <c r="K243" i="8"/>
  <c r="J243" i="8"/>
  <c r="I243" i="8"/>
  <c r="H243" i="8"/>
  <c r="G243" i="8"/>
  <c r="L243" i="8" s="1"/>
  <c r="F243" i="8"/>
  <c r="E243" i="8"/>
  <c r="D243" i="8"/>
  <c r="C243" i="8"/>
  <c r="B243" i="8"/>
  <c r="A243" i="8"/>
  <c r="M242" i="8"/>
  <c r="L242" i="8"/>
  <c r="K242" i="8"/>
  <c r="J242" i="8"/>
  <c r="I242" i="8"/>
  <c r="H242" i="8"/>
  <c r="G242" i="8"/>
  <c r="F242" i="8"/>
  <c r="E242" i="8"/>
  <c r="D242" i="8"/>
  <c r="C242" i="8"/>
  <c r="B242" i="8"/>
  <c r="A242" i="8"/>
  <c r="M241" i="8"/>
  <c r="L241" i="8"/>
  <c r="K241" i="8"/>
  <c r="J241" i="8"/>
  <c r="I241" i="8"/>
  <c r="H241" i="8"/>
  <c r="G241" i="8"/>
  <c r="F241" i="8"/>
  <c r="E241" i="8"/>
  <c r="D241" i="8"/>
  <c r="C241" i="8"/>
  <c r="B241" i="8"/>
  <c r="A241" i="8"/>
  <c r="M240" i="8"/>
  <c r="K240" i="8"/>
  <c r="J240" i="8"/>
  <c r="I240" i="8"/>
  <c r="H240" i="8"/>
  <c r="G240" i="8"/>
  <c r="L240" i="8" s="1"/>
  <c r="F240" i="8"/>
  <c r="E240" i="8"/>
  <c r="D240" i="8"/>
  <c r="C240" i="8"/>
  <c r="B240" i="8"/>
  <c r="A240" i="8"/>
  <c r="M239" i="8"/>
  <c r="L239" i="8"/>
  <c r="K239" i="8"/>
  <c r="J239" i="8"/>
  <c r="I239" i="8"/>
  <c r="H239" i="8"/>
  <c r="G239" i="8"/>
  <c r="F239" i="8"/>
  <c r="E239" i="8"/>
  <c r="D239" i="8"/>
  <c r="C239" i="8"/>
  <c r="B239" i="8"/>
  <c r="A239" i="8"/>
  <c r="M238" i="8"/>
  <c r="K238" i="8"/>
  <c r="J238" i="8"/>
  <c r="I238" i="8"/>
  <c r="H238" i="8"/>
  <c r="G238" i="8"/>
  <c r="L238" i="8" s="1"/>
  <c r="F238" i="8"/>
  <c r="E238" i="8"/>
  <c r="D238" i="8"/>
  <c r="C238" i="8"/>
  <c r="B238" i="8"/>
  <c r="A238" i="8"/>
  <c r="M237" i="8"/>
  <c r="K237" i="8"/>
  <c r="J237" i="8"/>
  <c r="I237" i="8"/>
  <c r="H237" i="8"/>
  <c r="G237" i="8"/>
  <c r="L237" i="8" s="1"/>
  <c r="F237" i="8"/>
  <c r="E237" i="8"/>
  <c r="D237" i="8"/>
  <c r="C237" i="8"/>
  <c r="B237" i="8"/>
  <c r="A237" i="8"/>
  <c r="M236" i="8"/>
  <c r="L236" i="8"/>
  <c r="K236" i="8"/>
  <c r="J236" i="8"/>
  <c r="I236" i="8"/>
  <c r="H236" i="8"/>
  <c r="G236" i="8"/>
  <c r="F236" i="8"/>
  <c r="E236" i="8"/>
  <c r="D236" i="8"/>
  <c r="C236" i="8"/>
  <c r="B236" i="8"/>
  <c r="A236" i="8"/>
  <c r="M235" i="8"/>
  <c r="K235" i="8"/>
  <c r="J235" i="8"/>
  <c r="I235" i="8"/>
  <c r="H235" i="8"/>
  <c r="G235" i="8"/>
  <c r="L235" i="8" s="1"/>
  <c r="F235" i="8"/>
  <c r="E235" i="8"/>
  <c r="D235" i="8"/>
  <c r="C235" i="8"/>
  <c r="B235" i="8"/>
  <c r="A235" i="8"/>
  <c r="M234" i="8"/>
  <c r="L234" i="8"/>
  <c r="K234" i="8"/>
  <c r="J234" i="8"/>
  <c r="I234" i="8"/>
  <c r="H234" i="8"/>
  <c r="G234" i="8"/>
  <c r="F234" i="8"/>
  <c r="E234" i="8"/>
  <c r="D234" i="8"/>
  <c r="C234" i="8"/>
  <c r="B234" i="8"/>
  <c r="A234" i="8"/>
  <c r="M233" i="8"/>
  <c r="L233" i="8"/>
  <c r="K233" i="8"/>
  <c r="J233" i="8"/>
  <c r="I233" i="8"/>
  <c r="H233" i="8"/>
  <c r="G233" i="8"/>
  <c r="F233" i="8"/>
  <c r="E233" i="8"/>
  <c r="D233" i="8"/>
  <c r="C233" i="8"/>
  <c r="B233" i="8"/>
  <c r="A233" i="8"/>
  <c r="M232" i="8"/>
  <c r="K232" i="8"/>
  <c r="J232" i="8"/>
  <c r="I232" i="8"/>
  <c r="H232" i="8"/>
  <c r="G232" i="8"/>
  <c r="L232" i="8" s="1"/>
  <c r="F232" i="8"/>
  <c r="E232" i="8"/>
  <c r="D232" i="8"/>
  <c r="C232" i="8"/>
  <c r="B232" i="8"/>
  <c r="A232" i="8"/>
  <c r="M231" i="8"/>
  <c r="L231" i="8"/>
  <c r="K231" i="8"/>
  <c r="J231" i="8"/>
  <c r="I231" i="8"/>
  <c r="H231" i="8"/>
  <c r="G231" i="8"/>
  <c r="F231" i="8"/>
  <c r="E231" i="8"/>
  <c r="D231" i="8"/>
  <c r="C231" i="8"/>
  <c r="B231" i="8"/>
  <c r="A231" i="8"/>
  <c r="M230" i="8"/>
  <c r="K230" i="8"/>
  <c r="J230" i="8"/>
  <c r="I230" i="8"/>
  <c r="H230" i="8"/>
  <c r="G230" i="8"/>
  <c r="L230" i="8" s="1"/>
  <c r="F230" i="8"/>
  <c r="E230" i="8"/>
  <c r="D230" i="8"/>
  <c r="C230" i="8"/>
  <c r="B230" i="8"/>
  <c r="A230" i="8"/>
  <c r="M229" i="8"/>
  <c r="K229" i="8"/>
  <c r="J229" i="8"/>
  <c r="I229" i="8"/>
  <c r="H229" i="8"/>
  <c r="G229" i="8"/>
  <c r="L229" i="8" s="1"/>
  <c r="F229" i="8"/>
  <c r="E229" i="8"/>
  <c r="D229" i="8"/>
  <c r="C229" i="8"/>
  <c r="B229" i="8"/>
  <c r="A229" i="8"/>
  <c r="M228" i="8"/>
  <c r="L228" i="8"/>
  <c r="K228" i="8"/>
  <c r="J228" i="8"/>
  <c r="I228" i="8"/>
  <c r="H228" i="8"/>
  <c r="G228" i="8"/>
  <c r="F228" i="8"/>
  <c r="E228" i="8"/>
  <c r="D228" i="8"/>
  <c r="C228" i="8"/>
  <c r="B228" i="8"/>
  <c r="A228" i="8"/>
  <c r="M227" i="8"/>
  <c r="K227" i="8"/>
  <c r="J227" i="8"/>
  <c r="I227" i="8"/>
  <c r="H227" i="8"/>
  <c r="G227" i="8"/>
  <c r="L227" i="8" s="1"/>
  <c r="F227" i="8"/>
  <c r="E227" i="8"/>
  <c r="D227" i="8"/>
  <c r="C227" i="8"/>
  <c r="B227" i="8"/>
  <c r="A227" i="8"/>
  <c r="M226" i="8"/>
  <c r="L226" i="8"/>
  <c r="K226" i="8"/>
  <c r="J226" i="8"/>
  <c r="I226" i="8"/>
  <c r="H226" i="8"/>
  <c r="G226" i="8"/>
  <c r="F226" i="8"/>
  <c r="E226" i="8"/>
  <c r="D226" i="8"/>
  <c r="C226" i="8"/>
  <c r="B226" i="8"/>
  <c r="A226" i="8"/>
  <c r="M225" i="8"/>
  <c r="L225" i="8"/>
  <c r="K225" i="8"/>
  <c r="J225" i="8"/>
  <c r="I225" i="8"/>
  <c r="H225" i="8"/>
  <c r="G225" i="8"/>
  <c r="F225" i="8"/>
  <c r="E225" i="8"/>
  <c r="D225" i="8"/>
  <c r="C225" i="8"/>
  <c r="B225" i="8"/>
  <c r="A225" i="8"/>
  <c r="M224" i="8"/>
  <c r="K224" i="8"/>
  <c r="J224" i="8"/>
  <c r="I224" i="8"/>
  <c r="H224" i="8"/>
  <c r="G224" i="8"/>
  <c r="L224" i="8" s="1"/>
  <c r="F224" i="8"/>
  <c r="E224" i="8"/>
  <c r="D224" i="8"/>
  <c r="C224" i="8"/>
  <c r="B224" i="8"/>
  <c r="A224" i="8"/>
  <c r="M223" i="8"/>
  <c r="L223" i="8"/>
  <c r="K223" i="8"/>
  <c r="J223" i="8"/>
  <c r="I223" i="8"/>
  <c r="H223" i="8"/>
  <c r="G223" i="8"/>
  <c r="F223" i="8"/>
  <c r="E223" i="8"/>
  <c r="D223" i="8"/>
  <c r="C223" i="8"/>
  <c r="B223" i="8"/>
  <c r="A223" i="8"/>
  <c r="M222" i="8"/>
  <c r="K222" i="8"/>
  <c r="J222" i="8"/>
  <c r="I222" i="8"/>
  <c r="H222" i="8"/>
  <c r="G222" i="8"/>
  <c r="L222" i="8" s="1"/>
  <c r="F222" i="8"/>
  <c r="E222" i="8"/>
  <c r="D222" i="8"/>
  <c r="C222" i="8"/>
  <c r="B222" i="8"/>
  <c r="A222" i="8"/>
  <c r="M221" i="8"/>
  <c r="K221" i="8"/>
  <c r="J221" i="8"/>
  <c r="I221" i="8"/>
  <c r="H221" i="8"/>
  <c r="G221" i="8"/>
  <c r="L221" i="8" s="1"/>
  <c r="F221" i="8"/>
  <c r="E221" i="8"/>
  <c r="D221" i="8"/>
  <c r="C221" i="8"/>
  <c r="B221" i="8"/>
  <c r="A221" i="8"/>
  <c r="M220" i="8"/>
  <c r="L220" i="8"/>
  <c r="K220" i="8"/>
  <c r="J220" i="8"/>
  <c r="I220" i="8"/>
  <c r="H220" i="8"/>
  <c r="G220" i="8"/>
  <c r="F220" i="8"/>
  <c r="E220" i="8"/>
  <c r="D220" i="8"/>
  <c r="C220" i="8"/>
  <c r="B220" i="8"/>
  <c r="A220" i="8"/>
  <c r="M219" i="8"/>
  <c r="K219" i="8"/>
  <c r="J219" i="8"/>
  <c r="I219" i="8"/>
  <c r="H219" i="8"/>
  <c r="G219" i="8"/>
  <c r="L219" i="8" s="1"/>
  <c r="F219" i="8"/>
  <c r="E219" i="8"/>
  <c r="D219" i="8"/>
  <c r="C219" i="8"/>
  <c r="B219" i="8"/>
  <c r="A219" i="8"/>
  <c r="M218" i="8"/>
  <c r="L218" i="8"/>
  <c r="K218" i="8"/>
  <c r="J218" i="8"/>
  <c r="I218" i="8"/>
  <c r="H218" i="8"/>
  <c r="G218" i="8"/>
  <c r="F218" i="8"/>
  <c r="E218" i="8"/>
  <c r="D218" i="8"/>
  <c r="C218" i="8"/>
  <c r="B218" i="8"/>
  <c r="A218" i="8"/>
  <c r="M217" i="8"/>
  <c r="L217" i="8"/>
  <c r="K217" i="8"/>
  <c r="J217" i="8"/>
  <c r="I217" i="8"/>
  <c r="H217" i="8"/>
  <c r="G217" i="8"/>
  <c r="F217" i="8"/>
  <c r="E217" i="8"/>
  <c r="D217" i="8"/>
  <c r="C217" i="8"/>
  <c r="B217" i="8"/>
  <c r="A217" i="8"/>
  <c r="M216" i="8"/>
  <c r="K216" i="8"/>
  <c r="J216" i="8"/>
  <c r="I216" i="8"/>
  <c r="H216" i="8"/>
  <c r="G216" i="8"/>
  <c r="L216" i="8" s="1"/>
  <c r="F216" i="8"/>
  <c r="E216" i="8"/>
  <c r="D216" i="8"/>
  <c r="C216" i="8"/>
  <c r="B216" i="8"/>
  <c r="A216" i="8"/>
  <c r="M215" i="8"/>
  <c r="L215" i="8"/>
  <c r="K215" i="8"/>
  <c r="J215" i="8"/>
  <c r="I215" i="8"/>
  <c r="H215" i="8"/>
  <c r="G215" i="8"/>
  <c r="F215" i="8"/>
  <c r="E215" i="8"/>
  <c r="D215" i="8"/>
  <c r="C215" i="8"/>
  <c r="B215" i="8"/>
  <c r="A215" i="8"/>
  <c r="M214" i="8"/>
  <c r="K214" i="8"/>
  <c r="J214" i="8"/>
  <c r="I214" i="8"/>
  <c r="H214" i="8"/>
  <c r="G214" i="8"/>
  <c r="L214" i="8" s="1"/>
  <c r="F214" i="8"/>
  <c r="E214" i="8"/>
  <c r="D214" i="8"/>
  <c r="C214" i="8"/>
  <c r="B214" i="8"/>
  <c r="A214" i="8"/>
  <c r="M213" i="8"/>
  <c r="K213" i="8"/>
  <c r="J213" i="8"/>
  <c r="I213" i="8"/>
  <c r="H213" i="8"/>
  <c r="G213" i="8"/>
  <c r="L213" i="8" s="1"/>
  <c r="F213" i="8"/>
  <c r="E213" i="8"/>
  <c r="D213" i="8"/>
  <c r="C213" i="8"/>
  <c r="B213" i="8"/>
  <c r="A213" i="8"/>
  <c r="M212" i="8"/>
  <c r="L212" i="8"/>
  <c r="K212" i="8"/>
  <c r="J212" i="8"/>
  <c r="I212" i="8"/>
  <c r="H212" i="8"/>
  <c r="G212" i="8"/>
  <c r="F212" i="8"/>
  <c r="E212" i="8"/>
  <c r="D212" i="8"/>
  <c r="C212" i="8"/>
  <c r="B212" i="8"/>
  <c r="A212" i="8"/>
  <c r="M211" i="8"/>
  <c r="K211" i="8"/>
  <c r="J211" i="8"/>
  <c r="I211" i="8"/>
  <c r="H211" i="8"/>
  <c r="G211" i="8"/>
  <c r="L211" i="8" s="1"/>
  <c r="F211" i="8"/>
  <c r="E211" i="8"/>
  <c r="D211" i="8"/>
  <c r="C211" i="8"/>
  <c r="B211" i="8"/>
  <c r="A211" i="8"/>
  <c r="M210" i="8"/>
  <c r="L210" i="8"/>
  <c r="K210" i="8"/>
  <c r="J210" i="8"/>
  <c r="I210" i="8"/>
  <c r="H210" i="8"/>
  <c r="G210" i="8"/>
  <c r="F210" i="8"/>
  <c r="E210" i="8"/>
  <c r="D210" i="8"/>
  <c r="C210" i="8"/>
  <c r="B210" i="8"/>
  <c r="A210" i="8"/>
  <c r="M209" i="8"/>
  <c r="L209" i="8"/>
  <c r="K209" i="8"/>
  <c r="J209" i="8"/>
  <c r="I209" i="8"/>
  <c r="H209" i="8"/>
  <c r="G209" i="8"/>
  <c r="F209" i="8"/>
  <c r="E209" i="8"/>
  <c r="D209" i="8"/>
  <c r="C209" i="8"/>
  <c r="B209" i="8"/>
  <c r="A209" i="8"/>
  <c r="M208" i="8"/>
  <c r="K208" i="8"/>
  <c r="J208" i="8"/>
  <c r="I208" i="8"/>
  <c r="H208" i="8"/>
  <c r="G208" i="8"/>
  <c r="L208" i="8" s="1"/>
  <c r="F208" i="8"/>
  <c r="E208" i="8"/>
  <c r="D208" i="8"/>
  <c r="C208" i="8"/>
  <c r="B208" i="8"/>
  <c r="A208" i="8"/>
  <c r="M207" i="8"/>
  <c r="L207" i="8"/>
  <c r="K207" i="8"/>
  <c r="J207" i="8"/>
  <c r="I207" i="8"/>
  <c r="H207" i="8"/>
  <c r="G207" i="8"/>
  <c r="F207" i="8"/>
  <c r="E207" i="8"/>
  <c r="D207" i="8"/>
  <c r="C207" i="8"/>
  <c r="B207" i="8"/>
  <c r="A207" i="8"/>
  <c r="M206" i="8"/>
  <c r="K206" i="8"/>
  <c r="J206" i="8"/>
  <c r="I206" i="8"/>
  <c r="H206" i="8"/>
  <c r="G206" i="8"/>
  <c r="L206" i="8" s="1"/>
  <c r="F206" i="8"/>
  <c r="E206" i="8"/>
  <c r="D206" i="8"/>
  <c r="C206" i="8"/>
  <c r="B206" i="8"/>
  <c r="A206" i="8"/>
  <c r="M205" i="8"/>
  <c r="K205" i="8"/>
  <c r="J205" i="8"/>
  <c r="I205" i="8"/>
  <c r="H205" i="8"/>
  <c r="G205" i="8"/>
  <c r="L205" i="8" s="1"/>
  <c r="F205" i="8"/>
  <c r="E205" i="8"/>
  <c r="D205" i="8"/>
  <c r="C205" i="8"/>
  <c r="B205" i="8"/>
  <c r="A205" i="8"/>
  <c r="M204" i="8"/>
  <c r="L204" i="8"/>
  <c r="K204" i="8"/>
  <c r="J204" i="8"/>
  <c r="I204" i="8"/>
  <c r="H204" i="8"/>
  <c r="G204" i="8"/>
  <c r="F204" i="8"/>
  <c r="E204" i="8"/>
  <c r="D204" i="8"/>
  <c r="C204" i="8"/>
  <c r="B204" i="8"/>
  <c r="A204" i="8"/>
  <c r="M203" i="8"/>
  <c r="K203" i="8"/>
  <c r="J203" i="8"/>
  <c r="I203" i="8"/>
  <c r="H203" i="8"/>
  <c r="G203" i="8"/>
  <c r="L203" i="8" s="1"/>
  <c r="F203" i="8"/>
  <c r="E203" i="8"/>
  <c r="D203" i="8"/>
  <c r="C203" i="8"/>
  <c r="B203" i="8"/>
  <c r="A203" i="8"/>
  <c r="M202" i="8"/>
  <c r="L202" i="8"/>
  <c r="K202" i="8"/>
  <c r="J202" i="8"/>
  <c r="I202" i="8"/>
  <c r="H202" i="8"/>
  <c r="G202" i="8"/>
  <c r="F202" i="8"/>
  <c r="E202" i="8"/>
  <c r="D202" i="8"/>
  <c r="C202" i="8"/>
  <c r="B202" i="8"/>
  <c r="A202" i="8"/>
  <c r="M201" i="8"/>
  <c r="L201" i="8"/>
  <c r="K201" i="8"/>
  <c r="J201" i="8"/>
  <c r="I201" i="8"/>
  <c r="H201" i="8"/>
  <c r="G201" i="8"/>
  <c r="F201" i="8"/>
  <c r="E201" i="8"/>
  <c r="D201" i="8"/>
  <c r="C201" i="8"/>
  <c r="B201" i="8"/>
  <c r="A201" i="8"/>
  <c r="M200" i="8"/>
  <c r="K200" i="8"/>
  <c r="J200" i="8"/>
  <c r="I200" i="8"/>
  <c r="H200" i="8"/>
  <c r="G200" i="8"/>
  <c r="L200" i="8" s="1"/>
  <c r="F200" i="8"/>
  <c r="E200" i="8"/>
  <c r="D200" i="8"/>
  <c r="C200" i="8"/>
  <c r="B200" i="8"/>
  <c r="A200" i="8"/>
  <c r="M199" i="8"/>
  <c r="L199" i="8"/>
  <c r="K199" i="8"/>
  <c r="J199" i="8"/>
  <c r="I199" i="8"/>
  <c r="H199" i="8"/>
  <c r="G199" i="8"/>
  <c r="F199" i="8"/>
  <c r="E199" i="8"/>
  <c r="D199" i="8"/>
  <c r="C199" i="8"/>
  <c r="B199" i="8"/>
  <c r="A199" i="8"/>
  <c r="M198" i="8"/>
  <c r="K198" i="8"/>
  <c r="J198" i="8"/>
  <c r="I198" i="8"/>
  <c r="H198" i="8"/>
  <c r="G198" i="8"/>
  <c r="L198" i="8" s="1"/>
  <c r="F198" i="8"/>
  <c r="E198" i="8"/>
  <c r="D198" i="8"/>
  <c r="C198" i="8"/>
  <c r="B198" i="8"/>
  <c r="A198" i="8"/>
  <c r="M197" i="8"/>
  <c r="K197" i="8"/>
  <c r="J197" i="8"/>
  <c r="I197" i="8"/>
  <c r="H197" i="8"/>
  <c r="G197" i="8"/>
  <c r="L197" i="8" s="1"/>
  <c r="F197" i="8"/>
  <c r="E197" i="8"/>
  <c r="D197" i="8"/>
  <c r="C197" i="8"/>
  <c r="B197" i="8"/>
  <c r="A197" i="8"/>
  <c r="M196" i="8"/>
  <c r="L196" i="8"/>
  <c r="K196" i="8"/>
  <c r="J196" i="8"/>
  <c r="I196" i="8"/>
  <c r="H196" i="8"/>
  <c r="G196" i="8"/>
  <c r="F196" i="8"/>
  <c r="E196" i="8"/>
  <c r="D196" i="8"/>
  <c r="C196" i="8"/>
  <c r="B196" i="8"/>
  <c r="A196" i="8"/>
  <c r="M195" i="8"/>
  <c r="K195" i="8"/>
  <c r="J195" i="8"/>
  <c r="I195" i="8"/>
  <c r="H195" i="8"/>
  <c r="G195" i="8"/>
  <c r="L195" i="8" s="1"/>
  <c r="F195" i="8"/>
  <c r="E195" i="8"/>
  <c r="D195" i="8"/>
  <c r="C195" i="8"/>
  <c r="B195" i="8"/>
  <c r="A195" i="8"/>
  <c r="M194" i="8"/>
  <c r="L194" i="8"/>
  <c r="K194" i="8"/>
  <c r="J194" i="8"/>
  <c r="I194" i="8"/>
  <c r="H194" i="8"/>
  <c r="G194" i="8"/>
  <c r="F194" i="8"/>
  <c r="E194" i="8"/>
  <c r="D194" i="8"/>
  <c r="C194" i="8"/>
  <c r="B194" i="8"/>
  <c r="A194" i="8"/>
  <c r="M193" i="8"/>
  <c r="L193" i="8"/>
  <c r="K193" i="8"/>
  <c r="J193" i="8"/>
  <c r="I193" i="8"/>
  <c r="H193" i="8"/>
  <c r="G193" i="8"/>
  <c r="F193" i="8"/>
  <c r="E193" i="8"/>
  <c r="D193" i="8"/>
  <c r="C193" i="8"/>
  <c r="B193" i="8"/>
  <c r="A193" i="8"/>
  <c r="M192" i="8"/>
  <c r="K192" i="8"/>
  <c r="J192" i="8"/>
  <c r="I192" i="8"/>
  <c r="H192" i="8"/>
  <c r="G192" i="8"/>
  <c r="L192" i="8" s="1"/>
  <c r="F192" i="8"/>
  <c r="E192" i="8"/>
  <c r="D192" i="8"/>
  <c r="C192" i="8"/>
  <c r="B192" i="8"/>
  <c r="A192" i="8"/>
  <c r="M191" i="8"/>
  <c r="L191" i="8"/>
  <c r="K191" i="8"/>
  <c r="J191" i="8"/>
  <c r="I191" i="8"/>
  <c r="H191" i="8"/>
  <c r="G191" i="8"/>
  <c r="F191" i="8"/>
  <c r="E191" i="8"/>
  <c r="D191" i="8"/>
  <c r="C191" i="8"/>
  <c r="B191" i="8"/>
  <c r="A191" i="8"/>
  <c r="M190" i="8"/>
  <c r="K190" i="8"/>
  <c r="J190" i="8"/>
  <c r="I190" i="8"/>
  <c r="H190" i="8"/>
  <c r="G190" i="8"/>
  <c r="L190" i="8" s="1"/>
  <c r="F190" i="8"/>
  <c r="E190" i="8"/>
  <c r="D190" i="8"/>
  <c r="C190" i="8"/>
  <c r="B190" i="8"/>
  <c r="A190" i="8"/>
  <c r="M189" i="8"/>
  <c r="K189" i="8"/>
  <c r="J189" i="8"/>
  <c r="I189" i="8"/>
  <c r="H189" i="8"/>
  <c r="G189" i="8"/>
  <c r="L189" i="8" s="1"/>
  <c r="F189" i="8"/>
  <c r="E189" i="8"/>
  <c r="D189" i="8"/>
  <c r="C189" i="8"/>
  <c r="B189" i="8"/>
  <c r="A189" i="8"/>
  <c r="M188" i="8"/>
  <c r="L188" i="8"/>
  <c r="K188" i="8"/>
  <c r="J188" i="8"/>
  <c r="I188" i="8"/>
  <c r="H188" i="8"/>
  <c r="G188" i="8"/>
  <c r="F188" i="8"/>
  <c r="E188" i="8"/>
  <c r="D188" i="8"/>
  <c r="C188" i="8"/>
  <c r="B188" i="8"/>
  <c r="A188" i="8"/>
  <c r="M187" i="8"/>
  <c r="K187" i="8"/>
  <c r="J187" i="8"/>
  <c r="I187" i="8"/>
  <c r="H187" i="8"/>
  <c r="G187" i="8"/>
  <c r="L187" i="8" s="1"/>
  <c r="F187" i="8"/>
  <c r="E187" i="8"/>
  <c r="D187" i="8"/>
  <c r="C187" i="8"/>
  <c r="B187" i="8"/>
  <c r="A187" i="8"/>
  <c r="M186" i="8"/>
  <c r="L186" i="8"/>
  <c r="K186" i="8"/>
  <c r="J186" i="8"/>
  <c r="I186" i="8"/>
  <c r="H186" i="8"/>
  <c r="G186" i="8"/>
  <c r="F186" i="8"/>
  <c r="E186" i="8"/>
  <c r="D186" i="8"/>
  <c r="C186" i="8"/>
  <c r="B186" i="8"/>
  <c r="A186" i="8"/>
  <c r="M185" i="8"/>
  <c r="L185" i="8"/>
  <c r="K185" i="8"/>
  <c r="J185" i="8"/>
  <c r="I185" i="8"/>
  <c r="H185" i="8"/>
  <c r="G185" i="8"/>
  <c r="F185" i="8"/>
  <c r="E185" i="8"/>
  <c r="D185" i="8"/>
  <c r="C185" i="8"/>
  <c r="B185" i="8"/>
  <c r="A185" i="8"/>
  <c r="M184" i="8"/>
  <c r="K184" i="8"/>
  <c r="J184" i="8"/>
  <c r="I184" i="8"/>
  <c r="H184" i="8"/>
  <c r="G184" i="8"/>
  <c r="L184" i="8" s="1"/>
  <c r="F184" i="8"/>
  <c r="E184" i="8"/>
  <c r="D184" i="8"/>
  <c r="C184" i="8"/>
  <c r="B184" i="8"/>
  <c r="A184" i="8"/>
  <c r="M183" i="8"/>
  <c r="L183" i="8"/>
  <c r="K183" i="8"/>
  <c r="J183" i="8"/>
  <c r="I183" i="8"/>
  <c r="H183" i="8"/>
  <c r="G183" i="8"/>
  <c r="F183" i="8"/>
  <c r="E183" i="8"/>
  <c r="D183" i="8"/>
  <c r="C183" i="8"/>
  <c r="B183" i="8"/>
  <c r="A183" i="8"/>
  <c r="M182" i="8"/>
  <c r="L182" i="8"/>
  <c r="K182" i="8"/>
  <c r="J182" i="8"/>
  <c r="I182" i="8"/>
  <c r="H182" i="8"/>
  <c r="G182" i="8"/>
  <c r="F182" i="8"/>
  <c r="E182" i="8"/>
  <c r="D182" i="8"/>
  <c r="C182" i="8"/>
  <c r="B182" i="8"/>
  <c r="A182" i="8"/>
  <c r="M181" i="8"/>
  <c r="K181" i="8"/>
  <c r="J181" i="8"/>
  <c r="I181" i="8"/>
  <c r="H181" i="8"/>
  <c r="G181" i="8"/>
  <c r="L181" i="8" s="1"/>
  <c r="F181" i="8"/>
  <c r="E181" i="8"/>
  <c r="D181" i="8"/>
  <c r="C181" i="8"/>
  <c r="B181" i="8"/>
  <c r="A181" i="8"/>
  <c r="M180" i="8"/>
  <c r="L180" i="8"/>
  <c r="K180" i="8"/>
  <c r="J180" i="8"/>
  <c r="I180" i="8"/>
  <c r="H180" i="8"/>
  <c r="G180" i="8"/>
  <c r="F180" i="8"/>
  <c r="E180" i="8"/>
  <c r="D180" i="8"/>
  <c r="C180" i="8"/>
  <c r="B180" i="8"/>
  <c r="A180" i="8"/>
  <c r="M179" i="8"/>
  <c r="K179" i="8"/>
  <c r="J179" i="8"/>
  <c r="I179" i="8"/>
  <c r="H179" i="8"/>
  <c r="G179" i="8"/>
  <c r="L179" i="8" s="1"/>
  <c r="F179" i="8"/>
  <c r="E179" i="8"/>
  <c r="D179" i="8"/>
  <c r="C179" i="8"/>
  <c r="B179" i="8"/>
  <c r="A179" i="8"/>
  <c r="M178" i="8"/>
  <c r="L178" i="8"/>
  <c r="K178" i="8"/>
  <c r="J178" i="8"/>
  <c r="I178" i="8"/>
  <c r="H178" i="8"/>
  <c r="G178" i="8"/>
  <c r="F178" i="8"/>
  <c r="E178" i="8"/>
  <c r="D178" i="8"/>
  <c r="C178" i="8"/>
  <c r="B178" i="8"/>
  <c r="A178" i="8"/>
  <c r="M177" i="8"/>
  <c r="L177" i="8"/>
  <c r="K177" i="8"/>
  <c r="J177" i="8"/>
  <c r="I177" i="8"/>
  <c r="H177" i="8"/>
  <c r="G177" i="8"/>
  <c r="F177" i="8"/>
  <c r="E177" i="8"/>
  <c r="D177" i="8"/>
  <c r="C177" i="8"/>
  <c r="B177" i="8"/>
  <c r="A177" i="8"/>
  <c r="M176" i="8"/>
  <c r="K176" i="8"/>
  <c r="J176" i="8"/>
  <c r="I176" i="8"/>
  <c r="H176" i="8"/>
  <c r="G176" i="8"/>
  <c r="L176" i="8" s="1"/>
  <c r="F176" i="8"/>
  <c r="E176" i="8"/>
  <c r="D176" i="8"/>
  <c r="C176" i="8"/>
  <c r="B176" i="8"/>
  <c r="A176" i="8"/>
  <c r="M175" i="8"/>
  <c r="L175" i="8"/>
  <c r="K175" i="8"/>
  <c r="J175" i="8"/>
  <c r="I175" i="8"/>
  <c r="H175" i="8"/>
  <c r="G175" i="8"/>
  <c r="F175" i="8"/>
  <c r="E175" i="8"/>
  <c r="D175" i="8"/>
  <c r="C175" i="8"/>
  <c r="B175" i="8"/>
  <c r="A175" i="8"/>
  <c r="M174" i="8"/>
  <c r="K174" i="8"/>
  <c r="J174" i="8"/>
  <c r="I174" i="8"/>
  <c r="H174" i="8"/>
  <c r="G174" i="8"/>
  <c r="L174" i="8" s="1"/>
  <c r="F174" i="8"/>
  <c r="E174" i="8"/>
  <c r="D174" i="8"/>
  <c r="C174" i="8"/>
  <c r="B174" i="8"/>
  <c r="A174" i="8"/>
  <c r="M173" i="8"/>
  <c r="K173" i="8"/>
  <c r="J173" i="8"/>
  <c r="I173" i="8"/>
  <c r="H173" i="8"/>
  <c r="G173" i="8"/>
  <c r="L173" i="8" s="1"/>
  <c r="F173" i="8"/>
  <c r="E173" i="8"/>
  <c r="D173" i="8"/>
  <c r="C173" i="8"/>
  <c r="B173" i="8"/>
  <c r="A173" i="8"/>
  <c r="M172" i="8"/>
  <c r="L172" i="8"/>
  <c r="K172" i="8"/>
  <c r="J172" i="8"/>
  <c r="I172" i="8"/>
  <c r="H172" i="8"/>
  <c r="G172" i="8"/>
  <c r="F172" i="8"/>
  <c r="E172" i="8"/>
  <c r="D172" i="8"/>
  <c r="C172" i="8"/>
  <c r="B172" i="8"/>
  <c r="A172" i="8"/>
  <c r="M171" i="8"/>
  <c r="K171" i="8"/>
  <c r="J171" i="8"/>
  <c r="I171" i="8"/>
  <c r="H171" i="8"/>
  <c r="G171" i="8"/>
  <c r="L171" i="8" s="1"/>
  <c r="F171" i="8"/>
  <c r="E171" i="8"/>
  <c r="D171" i="8"/>
  <c r="C171" i="8"/>
  <c r="B171" i="8"/>
  <c r="A171" i="8"/>
  <c r="M170" i="8"/>
  <c r="L170" i="8"/>
  <c r="K170" i="8"/>
  <c r="J170" i="8"/>
  <c r="I170" i="8"/>
  <c r="H170" i="8"/>
  <c r="G170" i="8"/>
  <c r="F170" i="8"/>
  <c r="E170" i="8"/>
  <c r="D170" i="8"/>
  <c r="C170" i="8"/>
  <c r="B170" i="8"/>
  <c r="A170" i="8"/>
  <c r="M169" i="8"/>
  <c r="L169" i="8"/>
  <c r="K169" i="8"/>
  <c r="J169" i="8"/>
  <c r="I169" i="8"/>
  <c r="H169" i="8"/>
  <c r="G169" i="8"/>
  <c r="F169" i="8"/>
  <c r="E169" i="8"/>
  <c r="D169" i="8"/>
  <c r="C169" i="8"/>
  <c r="B169" i="8"/>
  <c r="A169" i="8"/>
  <c r="M168" i="8"/>
  <c r="K168" i="8"/>
  <c r="J168" i="8"/>
  <c r="I168" i="8"/>
  <c r="H168" i="8"/>
  <c r="G168" i="8"/>
  <c r="L168" i="8" s="1"/>
  <c r="F168" i="8"/>
  <c r="E168" i="8"/>
  <c r="D168" i="8"/>
  <c r="C168" i="8"/>
  <c r="B168" i="8"/>
  <c r="A168" i="8"/>
  <c r="M167" i="8"/>
  <c r="L167" i="8"/>
  <c r="K167" i="8"/>
  <c r="J167" i="8"/>
  <c r="I167" i="8"/>
  <c r="H167" i="8"/>
  <c r="G167" i="8"/>
  <c r="F167" i="8"/>
  <c r="E167" i="8"/>
  <c r="D167" i="8"/>
  <c r="C167" i="8"/>
  <c r="B167" i="8"/>
  <c r="A167" i="8"/>
  <c r="M166" i="8"/>
  <c r="L166" i="8"/>
  <c r="K166" i="8"/>
  <c r="J166" i="8"/>
  <c r="I166" i="8"/>
  <c r="H166" i="8"/>
  <c r="G166" i="8"/>
  <c r="F166" i="8"/>
  <c r="E166" i="8"/>
  <c r="D166" i="8"/>
  <c r="C166" i="8"/>
  <c r="B166" i="8"/>
  <c r="A166" i="8"/>
  <c r="M165" i="8"/>
  <c r="K165" i="8"/>
  <c r="J165" i="8"/>
  <c r="I165" i="8"/>
  <c r="H165" i="8"/>
  <c r="G165" i="8"/>
  <c r="L165" i="8" s="1"/>
  <c r="F165" i="8"/>
  <c r="E165" i="8"/>
  <c r="D165" i="8"/>
  <c r="C165" i="8"/>
  <c r="B165" i="8"/>
  <c r="A165" i="8"/>
  <c r="M164" i="8"/>
  <c r="L164" i="8"/>
  <c r="K164" i="8"/>
  <c r="J164" i="8"/>
  <c r="I164" i="8"/>
  <c r="H164" i="8"/>
  <c r="G164" i="8"/>
  <c r="F164" i="8"/>
  <c r="E164" i="8"/>
  <c r="D164" i="8"/>
  <c r="C164" i="8"/>
  <c r="B164" i="8"/>
  <c r="A164" i="8"/>
  <c r="M163" i="8"/>
  <c r="K163" i="8"/>
  <c r="J163" i="8"/>
  <c r="I163" i="8"/>
  <c r="H163" i="8"/>
  <c r="G163" i="8"/>
  <c r="L163" i="8" s="1"/>
  <c r="F163" i="8"/>
  <c r="E163" i="8"/>
  <c r="D163" i="8"/>
  <c r="C163" i="8"/>
  <c r="B163" i="8"/>
  <c r="A163" i="8"/>
  <c r="M162" i="8"/>
  <c r="L162" i="8"/>
  <c r="K162" i="8"/>
  <c r="J162" i="8"/>
  <c r="I162" i="8"/>
  <c r="H162" i="8"/>
  <c r="G162" i="8"/>
  <c r="F162" i="8"/>
  <c r="E162" i="8"/>
  <c r="D162" i="8"/>
  <c r="C162" i="8"/>
  <c r="B162" i="8"/>
  <c r="A162" i="8"/>
  <c r="M161" i="8"/>
  <c r="L161" i="8"/>
  <c r="K161" i="8"/>
  <c r="J161" i="8"/>
  <c r="I161" i="8"/>
  <c r="H161" i="8"/>
  <c r="G161" i="8"/>
  <c r="F161" i="8"/>
  <c r="E161" i="8"/>
  <c r="D161" i="8"/>
  <c r="C161" i="8"/>
  <c r="B161" i="8"/>
  <c r="A161" i="8"/>
  <c r="M160" i="8"/>
  <c r="K160" i="8"/>
  <c r="J160" i="8"/>
  <c r="I160" i="8"/>
  <c r="H160" i="8"/>
  <c r="G160" i="8"/>
  <c r="L160" i="8" s="1"/>
  <c r="F160" i="8"/>
  <c r="E160" i="8"/>
  <c r="D160" i="8"/>
  <c r="C160" i="8"/>
  <c r="B160" i="8"/>
  <c r="A160" i="8"/>
  <c r="M159" i="8"/>
  <c r="L159" i="8"/>
  <c r="K159" i="8"/>
  <c r="J159" i="8"/>
  <c r="I159" i="8"/>
  <c r="H159" i="8"/>
  <c r="G159" i="8"/>
  <c r="F159" i="8"/>
  <c r="E159" i="8"/>
  <c r="D159" i="8"/>
  <c r="C159" i="8"/>
  <c r="B159" i="8"/>
  <c r="A159" i="8"/>
  <c r="M158" i="8"/>
  <c r="K158" i="8"/>
  <c r="J158" i="8"/>
  <c r="I158" i="8"/>
  <c r="H158" i="8"/>
  <c r="G158" i="8"/>
  <c r="L158" i="8" s="1"/>
  <c r="F158" i="8"/>
  <c r="E158" i="8"/>
  <c r="D158" i="8"/>
  <c r="C158" i="8"/>
  <c r="B158" i="8"/>
  <c r="A158" i="8"/>
  <c r="M157" i="8"/>
  <c r="K157" i="8"/>
  <c r="J157" i="8"/>
  <c r="I157" i="8"/>
  <c r="H157" i="8"/>
  <c r="G157" i="8"/>
  <c r="L157" i="8" s="1"/>
  <c r="F157" i="8"/>
  <c r="E157" i="8"/>
  <c r="D157" i="8"/>
  <c r="C157" i="8"/>
  <c r="B157" i="8"/>
  <c r="A157" i="8"/>
  <c r="M156" i="8"/>
  <c r="L156" i="8"/>
  <c r="K156" i="8"/>
  <c r="J156" i="8"/>
  <c r="I156" i="8"/>
  <c r="H156" i="8"/>
  <c r="G156" i="8"/>
  <c r="F156" i="8"/>
  <c r="E156" i="8"/>
  <c r="D156" i="8"/>
  <c r="C156" i="8"/>
  <c r="B156" i="8"/>
  <c r="A156" i="8"/>
  <c r="M155" i="8"/>
  <c r="K155" i="8"/>
  <c r="J155" i="8"/>
  <c r="I155" i="8"/>
  <c r="H155" i="8"/>
  <c r="G155" i="8"/>
  <c r="L155" i="8" s="1"/>
  <c r="F155" i="8"/>
  <c r="E155" i="8"/>
  <c r="D155" i="8"/>
  <c r="C155" i="8"/>
  <c r="B155" i="8"/>
  <c r="A155" i="8"/>
  <c r="M154" i="8"/>
  <c r="L154" i="8"/>
  <c r="K154" i="8"/>
  <c r="J154" i="8"/>
  <c r="I154" i="8"/>
  <c r="H154" i="8"/>
  <c r="G154" i="8"/>
  <c r="F154" i="8"/>
  <c r="E154" i="8"/>
  <c r="D154" i="8"/>
  <c r="C154" i="8"/>
  <c r="B154" i="8"/>
  <c r="A154" i="8"/>
  <c r="M153" i="8"/>
  <c r="L153" i="8"/>
  <c r="K153" i="8"/>
  <c r="J153" i="8"/>
  <c r="I153" i="8"/>
  <c r="H153" i="8"/>
  <c r="G153" i="8"/>
  <c r="F153" i="8"/>
  <c r="E153" i="8"/>
  <c r="D153" i="8"/>
  <c r="C153" i="8"/>
  <c r="B153" i="8"/>
  <c r="A153" i="8"/>
  <c r="M152" i="8"/>
  <c r="K152" i="8"/>
  <c r="J152" i="8"/>
  <c r="I152" i="8"/>
  <c r="H152" i="8"/>
  <c r="G152" i="8"/>
  <c r="L152" i="8" s="1"/>
  <c r="F152" i="8"/>
  <c r="E152" i="8"/>
  <c r="D152" i="8"/>
  <c r="C152" i="8"/>
  <c r="B152" i="8"/>
  <c r="A152" i="8"/>
  <c r="M151" i="8"/>
  <c r="L151" i="8"/>
  <c r="K151" i="8"/>
  <c r="J151" i="8"/>
  <c r="I151" i="8"/>
  <c r="H151" i="8"/>
  <c r="G151" i="8"/>
  <c r="F151" i="8"/>
  <c r="E151" i="8"/>
  <c r="D151" i="8"/>
  <c r="C151" i="8"/>
  <c r="B151" i="8"/>
  <c r="A151" i="8"/>
  <c r="M150" i="8"/>
  <c r="K150" i="8"/>
  <c r="J150" i="8"/>
  <c r="I150" i="8"/>
  <c r="H150" i="8"/>
  <c r="G150" i="8"/>
  <c r="L150" i="8" s="1"/>
  <c r="F150" i="8"/>
  <c r="E150" i="8"/>
  <c r="D150" i="8"/>
  <c r="C150" i="8"/>
  <c r="B150" i="8"/>
  <c r="A150" i="8"/>
  <c r="M149" i="8"/>
  <c r="K149" i="8"/>
  <c r="J149" i="8"/>
  <c r="I149" i="8"/>
  <c r="H149" i="8"/>
  <c r="G149" i="8"/>
  <c r="L149" i="8" s="1"/>
  <c r="F149" i="8"/>
  <c r="E149" i="8"/>
  <c r="D149" i="8"/>
  <c r="C149" i="8"/>
  <c r="B149" i="8"/>
  <c r="A149" i="8"/>
  <c r="M148" i="8"/>
  <c r="L148" i="8"/>
  <c r="K148" i="8"/>
  <c r="J148" i="8"/>
  <c r="I148" i="8"/>
  <c r="H148" i="8"/>
  <c r="G148" i="8"/>
  <c r="F148" i="8"/>
  <c r="E148" i="8"/>
  <c r="D148" i="8"/>
  <c r="C148" i="8"/>
  <c r="B148" i="8"/>
  <c r="A148" i="8"/>
  <c r="M147" i="8"/>
  <c r="K147" i="8"/>
  <c r="J147" i="8"/>
  <c r="I147" i="8"/>
  <c r="H147" i="8"/>
  <c r="G147" i="8"/>
  <c r="L147" i="8" s="1"/>
  <c r="F147" i="8"/>
  <c r="E147" i="8"/>
  <c r="D147" i="8"/>
  <c r="C147" i="8"/>
  <c r="B147" i="8"/>
  <c r="A147" i="8"/>
  <c r="M146" i="8"/>
  <c r="L146" i="8"/>
  <c r="K146" i="8"/>
  <c r="J146" i="8"/>
  <c r="I146" i="8"/>
  <c r="H146" i="8"/>
  <c r="G146" i="8"/>
  <c r="F146" i="8"/>
  <c r="E146" i="8"/>
  <c r="D146" i="8"/>
  <c r="C146" i="8"/>
  <c r="B146" i="8"/>
  <c r="A146" i="8"/>
  <c r="M145" i="8"/>
  <c r="L145" i="8"/>
  <c r="K145" i="8"/>
  <c r="J145" i="8"/>
  <c r="I145" i="8"/>
  <c r="H145" i="8"/>
  <c r="G145" i="8"/>
  <c r="F145" i="8"/>
  <c r="E145" i="8"/>
  <c r="D145" i="8"/>
  <c r="C145" i="8"/>
  <c r="B145" i="8"/>
  <c r="A145" i="8"/>
  <c r="M144" i="8"/>
  <c r="K144" i="8"/>
  <c r="J144" i="8"/>
  <c r="I144" i="8"/>
  <c r="H144" i="8"/>
  <c r="G144" i="8"/>
  <c r="L144" i="8" s="1"/>
  <c r="F144" i="8"/>
  <c r="E144" i="8"/>
  <c r="D144" i="8"/>
  <c r="C144" i="8"/>
  <c r="B144" i="8"/>
  <c r="A144" i="8"/>
  <c r="M143" i="8"/>
  <c r="L143" i="8"/>
  <c r="K143" i="8"/>
  <c r="J143" i="8"/>
  <c r="I143" i="8"/>
  <c r="H143" i="8"/>
  <c r="G143" i="8"/>
  <c r="F143" i="8"/>
  <c r="E143" i="8"/>
  <c r="D143" i="8"/>
  <c r="C143" i="8"/>
  <c r="B143" i="8"/>
  <c r="A143" i="8"/>
  <c r="M142" i="8"/>
  <c r="K142" i="8"/>
  <c r="J142" i="8"/>
  <c r="I142" i="8"/>
  <c r="H142" i="8"/>
  <c r="G142" i="8"/>
  <c r="L142" i="8" s="1"/>
  <c r="F142" i="8"/>
  <c r="E142" i="8"/>
  <c r="D142" i="8"/>
  <c r="C142" i="8"/>
  <c r="B142" i="8"/>
  <c r="A142" i="8"/>
  <c r="M141" i="8"/>
  <c r="K141" i="8"/>
  <c r="J141" i="8"/>
  <c r="I141" i="8"/>
  <c r="H141" i="8"/>
  <c r="G141" i="8"/>
  <c r="L141" i="8" s="1"/>
  <c r="F141" i="8"/>
  <c r="E141" i="8"/>
  <c r="D141" i="8"/>
  <c r="C141" i="8"/>
  <c r="B141" i="8"/>
  <c r="A141" i="8"/>
  <c r="M140" i="8"/>
  <c r="L140" i="8"/>
  <c r="K140" i="8"/>
  <c r="J140" i="8"/>
  <c r="I140" i="8"/>
  <c r="H140" i="8"/>
  <c r="G140" i="8"/>
  <c r="F140" i="8"/>
  <c r="E140" i="8"/>
  <c r="D140" i="8"/>
  <c r="C140" i="8"/>
  <c r="B140" i="8"/>
  <c r="A140" i="8"/>
  <c r="M139" i="8"/>
  <c r="K139" i="8"/>
  <c r="J139" i="8"/>
  <c r="I139" i="8"/>
  <c r="H139" i="8"/>
  <c r="G139" i="8"/>
  <c r="L139" i="8" s="1"/>
  <c r="F139" i="8"/>
  <c r="E139" i="8"/>
  <c r="D139" i="8"/>
  <c r="C139" i="8"/>
  <c r="B139" i="8"/>
  <c r="A139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A138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A137" i="8"/>
  <c r="M136" i="8"/>
  <c r="K136" i="8"/>
  <c r="J136" i="8"/>
  <c r="I136" i="8"/>
  <c r="H136" i="8"/>
  <c r="G136" i="8"/>
  <c r="L136" i="8" s="1"/>
  <c r="F136" i="8"/>
  <c r="E136" i="8"/>
  <c r="D136" i="8"/>
  <c r="C136" i="8"/>
  <c r="B136" i="8"/>
  <c r="A136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A135" i="8"/>
  <c r="M134" i="8"/>
  <c r="K134" i="8"/>
  <c r="J134" i="8"/>
  <c r="I134" i="8"/>
  <c r="H134" i="8"/>
  <c r="G134" i="8"/>
  <c r="L134" i="8" s="1"/>
  <c r="F134" i="8"/>
  <c r="E134" i="8"/>
  <c r="D134" i="8"/>
  <c r="C134" i="8"/>
  <c r="B134" i="8"/>
  <c r="A134" i="8"/>
  <c r="M133" i="8"/>
  <c r="K133" i="8"/>
  <c r="J133" i="8"/>
  <c r="I133" i="8"/>
  <c r="H133" i="8"/>
  <c r="G133" i="8"/>
  <c r="L133" i="8" s="1"/>
  <c r="F133" i="8"/>
  <c r="E133" i="8"/>
  <c r="D133" i="8"/>
  <c r="C133" i="8"/>
  <c r="B133" i="8"/>
  <c r="A133" i="8"/>
  <c r="M132" i="8"/>
  <c r="L132" i="8"/>
  <c r="K132" i="8"/>
  <c r="J132" i="8"/>
  <c r="I132" i="8"/>
  <c r="H132" i="8"/>
  <c r="G132" i="8"/>
  <c r="F132" i="8"/>
  <c r="E132" i="8"/>
  <c r="D132" i="8"/>
  <c r="C132" i="8"/>
  <c r="B132" i="8"/>
  <c r="A132" i="8"/>
  <c r="M131" i="8"/>
  <c r="K131" i="8"/>
  <c r="J131" i="8"/>
  <c r="I131" i="8"/>
  <c r="H131" i="8"/>
  <c r="G131" i="8"/>
  <c r="L131" i="8" s="1"/>
  <c r="F131" i="8"/>
  <c r="E131" i="8"/>
  <c r="D131" i="8"/>
  <c r="C131" i="8"/>
  <c r="B131" i="8"/>
  <c r="A131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A130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A129" i="8"/>
  <c r="M128" i="8"/>
  <c r="K128" i="8"/>
  <c r="J128" i="8"/>
  <c r="I128" i="8"/>
  <c r="H128" i="8"/>
  <c r="G128" i="8"/>
  <c r="L128" i="8" s="1"/>
  <c r="F128" i="8"/>
  <c r="E128" i="8"/>
  <c r="D128" i="8"/>
  <c r="C128" i="8"/>
  <c r="B128" i="8"/>
  <c r="A128" i="8"/>
  <c r="M127" i="8"/>
  <c r="K127" i="8"/>
  <c r="J127" i="8"/>
  <c r="I127" i="8"/>
  <c r="H127" i="8"/>
  <c r="G127" i="8"/>
  <c r="L127" i="8" s="1"/>
  <c r="F127" i="8"/>
  <c r="E127" i="8"/>
  <c r="D127" i="8"/>
  <c r="C127" i="8"/>
  <c r="B127" i="8"/>
  <c r="A127" i="8"/>
  <c r="M126" i="8"/>
  <c r="K126" i="8"/>
  <c r="J126" i="8"/>
  <c r="I126" i="8"/>
  <c r="H126" i="8"/>
  <c r="G126" i="8"/>
  <c r="L126" i="8" s="1"/>
  <c r="F126" i="8"/>
  <c r="E126" i="8"/>
  <c r="D126" i="8"/>
  <c r="C126" i="8"/>
  <c r="B126" i="8"/>
  <c r="A126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A125" i="8"/>
  <c r="M124" i="8"/>
  <c r="K124" i="8"/>
  <c r="J124" i="8"/>
  <c r="I124" i="8"/>
  <c r="H124" i="8"/>
  <c r="G124" i="8"/>
  <c r="L124" i="8" s="1"/>
  <c r="F124" i="8"/>
  <c r="E124" i="8"/>
  <c r="D124" i="8"/>
  <c r="C124" i="8"/>
  <c r="B124" i="8"/>
  <c r="A124" i="8"/>
  <c r="M123" i="8"/>
  <c r="K123" i="8"/>
  <c r="J123" i="8"/>
  <c r="I123" i="8"/>
  <c r="H123" i="8"/>
  <c r="G123" i="8"/>
  <c r="L123" i="8" s="1"/>
  <c r="F123" i="8"/>
  <c r="E123" i="8"/>
  <c r="D123" i="8"/>
  <c r="C123" i="8"/>
  <c r="B123" i="8"/>
  <c r="A123" i="8"/>
  <c r="M122" i="8"/>
  <c r="L122" i="8"/>
  <c r="K122" i="8"/>
  <c r="J122" i="8"/>
  <c r="I122" i="8"/>
  <c r="H122" i="8"/>
  <c r="G122" i="8"/>
  <c r="F122" i="8"/>
  <c r="E122" i="8"/>
  <c r="D122" i="8"/>
  <c r="C122" i="8"/>
  <c r="B122" i="8"/>
  <c r="A122" i="8"/>
  <c r="M121" i="8"/>
  <c r="K121" i="8"/>
  <c r="J121" i="8"/>
  <c r="I121" i="8"/>
  <c r="H121" i="8"/>
  <c r="G121" i="8"/>
  <c r="L121" i="8" s="1"/>
  <c r="F121" i="8"/>
  <c r="E121" i="8"/>
  <c r="D121" i="8"/>
  <c r="C121" i="8"/>
  <c r="B121" i="8"/>
  <c r="A121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A120" i="8"/>
  <c r="M119" i="8"/>
  <c r="K119" i="8"/>
  <c r="J119" i="8"/>
  <c r="I119" i="8"/>
  <c r="H119" i="8"/>
  <c r="G119" i="8"/>
  <c r="L119" i="8" s="1"/>
  <c r="F119" i="8"/>
  <c r="E119" i="8"/>
  <c r="D119" i="8"/>
  <c r="C119" i="8"/>
  <c r="B119" i="8"/>
  <c r="A119" i="8"/>
  <c r="M118" i="8"/>
  <c r="K118" i="8"/>
  <c r="J118" i="8"/>
  <c r="I118" i="8"/>
  <c r="H118" i="8"/>
  <c r="G118" i="8"/>
  <c r="L118" i="8" s="1"/>
  <c r="F118" i="8"/>
  <c r="E118" i="8"/>
  <c r="D118" i="8"/>
  <c r="C118" i="8"/>
  <c r="B118" i="8"/>
  <c r="A118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A117" i="8"/>
  <c r="M116" i="8"/>
  <c r="K116" i="8"/>
  <c r="J116" i="8"/>
  <c r="I116" i="8"/>
  <c r="H116" i="8"/>
  <c r="G116" i="8"/>
  <c r="L116" i="8" s="1"/>
  <c r="F116" i="8"/>
  <c r="E116" i="8"/>
  <c r="D116" i="8"/>
  <c r="C116" i="8"/>
  <c r="B116" i="8"/>
  <c r="A116" i="8"/>
  <c r="M115" i="8"/>
  <c r="K115" i="8"/>
  <c r="J115" i="8"/>
  <c r="I115" i="8"/>
  <c r="H115" i="8"/>
  <c r="G115" i="8"/>
  <c r="L115" i="8" s="1"/>
  <c r="F115" i="8"/>
  <c r="E115" i="8"/>
  <c r="D115" i="8"/>
  <c r="C115" i="8"/>
  <c r="B115" i="8"/>
  <c r="A115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A114" i="8"/>
  <c r="M113" i="8"/>
  <c r="K113" i="8"/>
  <c r="J113" i="8"/>
  <c r="I113" i="8"/>
  <c r="H113" i="8"/>
  <c r="G113" i="8"/>
  <c r="L113" i="8" s="1"/>
  <c r="F113" i="8"/>
  <c r="E113" i="8"/>
  <c r="D113" i="8"/>
  <c r="C113" i="8"/>
  <c r="B113" i="8"/>
  <c r="A113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A112" i="8"/>
  <c r="M111" i="8"/>
  <c r="K111" i="8"/>
  <c r="J111" i="8"/>
  <c r="I111" i="8"/>
  <c r="H111" i="8"/>
  <c r="G111" i="8"/>
  <c r="L111" i="8" s="1"/>
  <c r="F111" i="8"/>
  <c r="E111" i="8"/>
  <c r="D111" i="8"/>
  <c r="C111" i="8"/>
  <c r="B111" i="8"/>
  <c r="A111" i="8"/>
  <c r="M110" i="8"/>
  <c r="K110" i="8"/>
  <c r="J110" i="8"/>
  <c r="I110" i="8"/>
  <c r="H110" i="8"/>
  <c r="G110" i="8"/>
  <c r="L110" i="8" s="1"/>
  <c r="F110" i="8"/>
  <c r="E110" i="8"/>
  <c r="D110" i="8"/>
  <c r="C110" i="8"/>
  <c r="B110" i="8"/>
  <c r="A110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A109" i="8"/>
  <c r="M108" i="8"/>
  <c r="K108" i="8"/>
  <c r="J108" i="8"/>
  <c r="I108" i="8"/>
  <c r="H108" i="8"/>
  <c r="G108" i="8"/>
  <c r="L108" i="8" s="1"/>
  <c r="F108" i="8"/>
  <c r="E108" i="8"/>
  <c r="D108" i="8"/>
  <c r="C108" i="8"/>
  <c r="B108" i="8"/>
  <c r="A108" i="8"/>
  <c r="M107" i="8"/>
  <c r="K107" i="8"/>
  <c r="J107" i="8"/>
  <c r="I107" i="8"/>
  <c r="H107" i="8"/>
  <c r="G107" i="8"/>
  <c r="L107" i="8" s="1"/>
  <c r="F107" i="8"/>
  <c r="E107" i="8"/>
  <c r="D107" i="8"/>
  <c r="C107" i="8"/>
  <c r="B107" i="8"/>
  <c r="A107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A106" i="8"/>
  <c r="M105" i="8"/>
  <c r="K105" i="8"/>
  <c r="J105" i="8"/>
  <c r="I105" i="8"/>
  <c r="H105" i="8"/>
  <c r="G105" i="8"/>
  <c r="L105" i="8" s="1"/>
  <c r="F105" i="8"/>
  <c r="E105" i="8"/>
  <c r="D105" i="8"/>
  <c r="C105" i="8"/>
  <c r="B105" i="8"/>
  <c r="A105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A104" i="8"/>
  <c r="M103" i="8"/>
  <c r="K103" i="8"/>
  <c r="J103" i="8"/>
  <c r="I103" i="8"/>
  <c r="H103" i="8"/>
  <c r="G103" i="8"/>
  <c r="L103" i="8" s="1"/>
  <c r="F103" i="8"/>
  <c r="E103" i="8"/>
  <c r="D103" i="8"/>
  <c r="C103" i="8"/>
  <c r="B103" i="8"/>
  <c r="A103" i="8"/>
  <c r="M102" i="8"/>
  <c r="K102" i="8"/>
  <c r="J102" i="8"/>
  <c r="I102" i="8"/>
  <c r="H102" i="8"/>
  <c r="G102" i="8"/>
  <c r="L102" i="8" s="1"/>
  <c r="F102" i="8"/>
  <c r="E102" i="8"/>
  <c r="D102" i="8"/>
  <c r="C102" i="8"/>
  <c r="B102" i="8"/>
  <c r="A102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A101" i="8"/>
  <c r="M100" i="8"/>
  <c r="K100" i="8"/>
  <c r="J100" i="8"/>
  <c r="I100" i="8"/>
  <c r="H100" i="8"/>
  <c r="G100" i="8"/>
  <c r="L100" i="8" s="1"/>
  <c r="F100" i="8"/>
  <c r="E100" i="8"/>
  <c r="D100" i="8"/>
  <c r="C100" i="8"/>
  <c r="B100" i="8"/>
  <c r="A100" i="8"/>
  <c r="M99" i="8"/>
  <c r="K99" i="8"/>
  <c r="J99" i="8"/>
  <c r="I99" i="8"/>
  <c r="H99" i="8"/>
  <c r="G99" i="8"/>
  <c r="L99" i="8" s="1"/>
  <c r="F99" i="8"/>
  <c r="E99" i="8"/>
  <c r="D99" i="8"/>
  <c r="C99" i="8"/>
  <c r="B99" i="8"/>
  <c r="A99" i="8"/>
  <c r="M98" i="8"/>
  <c r="L98" i="8"/>
  <c r="K98" i="8"/>
  <c r="J98" i="8"/>
  <c r="I98" i="8"/>
  <c r="H98" i="8"/>
  <c r="G98" i="8"/>
  <c r="F98" i="8"/>
  <c r="E98" i="8"/>
  <c r="D98" i="8"/>
  <c r="C98" i="8"/>
  <c r="B98" i="8"/>
  <c r="A98" i="8"/>
  <c r="M97" i="8"/>
  <c r="K97" i="8"/>
  <c r="J97" i="8"/>
  <c r="I97" i="8"/>
  <c r="H97" i="8"/>
  <c r="G97" i="8"/>
  <c r="L97" i="8" s="1"/>
  <c r="F97" i="8"/>
  <c r="E97" i="8"/>
  <c r="D97" i="8"/>
  <c r="C97" i="8"/>
  <c r="B97" i="8"/>
  <c r="A97" i="8"/>
  <c r="M96" i="8"/>
  <c r="L96" i="8"/>
  <c r="K96" i="8"/>
  <c r="J96" i="8"/>
  <c r="I96" i="8"/>
  <c r="H96" i="8"/>
  <c r="G96" i="8"/>
  <c r="F96" i="8"/>
  <c r="E96" i="8"/>
  <c r="D96" i="8"/>
  <c r="C96" i="8"/>
  <c r="B96" i="8"/>
  <c r="A96" i="8"/>
  <c r="M95" i="8"/>
  <c r="K95" i="8"/>
  <c r="J95" i="8"/>
  <c r="I95" i="8"/>
  <c r="H95" i="8"/>
  <c r="G95" i="8"/>
  <c r="L95" i="8" s="1"/>
  <c r="F95" i="8"/>
  <c r="E95" i="8"/>
  <c r="D95" i="8"/>
  <c r="C95" i="8"/>
  <c r="B95" i="8"/>
  <c r="A95" i="8"/>
  <c r="M94" i="8"/>
  <c r="K94" i="8"/>
  <c r="J94" i="8"/>
  <c r="I94" i="8"/>
  <c r="H94" i="8"/>
  <c r="G94" i="8"/>
  <c r="L94" i="8" s="1"/>
  <c r="F94" i="8"/>
  <c r="E94" i="8"/>
  <c r="D94" i="8"/>
  <c r="C94" i="8"/>
  <c r="B94" i="8"/>
  <c r="A94" i="8"/>
  <c r="M93" i="8"/>
  <c r="L93" i="8"/>
  <c r="K93" i="8"/>
  <c r="J93" i="8"/>
  <c r="I93" i="8"/>
  <c r="H93" i="8"/>
  <c r="G93" i="8"/>
  <c r="F93" i="8"/>
  <c r="E93" i="8"/>
  <c r="D93" i="8"/>
  <c r="C93" i="8"/>
  <c r="B93" i="8"/>
  <c r="A93" i="8"/>
  <c r="M92" i="8"/>
  <c r="K92" i="8"/>
  <c r="J92" i="8"/>
  <c r="I92" i="8"/>
  <c r="H92" i="8"/>
  <c r="G92" i="8"/>
  <c r="L92" i="8" s="1"/>
  <c r="F92" i="8"/>
  <c r="E92" i="8"/>
  <c r="D92" i="8"/>
  <c r="C92" i="8"/>
  <c r="B92" i="8"/>
  <c r="A92" i="8"/>
  <c r="M91" i="8"/>
  <c r="K91" i="8"/>
  <c r="J91" i="8"/>
  <c r="I91" i="8"/>
  <c r="H91" i="8"/>
  <c r="G91" i="8"/>
  <c r="L91" i="8" s="1"/>
  <c r="F91" i="8"/>
  <c r="E91" i="8"/>
  <c r="D91" i="8"/>
  <c r="C91" i="8"/>
  <c r="B91" i="8"/>
  <c r="A91" i="8"/>
  <c r="M90" i="8"/>
  <c r="L90" i="8"/>
  <c r="K90" i="8"/>
  <c r="J90" i="8"/>
  <c r="I90" i="8"/>
  <c r="H90" i="8"/>
  <c r="G90" i="8"/>
  <c r="F90" i="8"/>
  <c r="E90" i="8"/>
  <c r="D90" i="8"/>
  <c r="C90" i="8"/>
  <c r="B90" i="8"/>
  <c r="A90" i="8"/>
  <c r="M89" i="8"/>
  <c r="K89" i="8"/>
  <c r="J89" i="8"/>
  <c r="I89" i="8"/>
  <c r="H89" i="8"/>
  <c r="G89" i="8"/>
  <c r="L89" i="8" s="1"/>
  <c r="F89" i="8"/>
  <c r="E89" i="8"/>
  <c r="D89" i="8"/>
  <c r="C89" i="8"/>
  <c r="B89" i="8"/>
  <c r="A89" i="8"/>
  <c r="M88" i="8"/>
  <c r="L88" i="8"/>
  <c r="K88" i="8"/>
  <c r="J88" i="8"/>
  <c r="I88" i="8"/>
  <c r="H88" i="8"/>
  <c r="G88" i="8"/>
  <c r="F88" i="8"/>
  <c r="E88" i="8"/>
  <c r="D88" i="8"/>
  <c r="C88" i="8"/>
  <c r="B88" i="8"/>
  <c r="A88" i="8"/>
  <c r="M87" i="8"/>
  <c r="K87" i="8"/>
  <c r="J87" i="8"/>
  <c r="I87" i="8"/>
  <c r="H87" i="8"/>
  <c r="G87" i="8"/>
  <c r="L87" i="8" s="1"/>
  <c r="F87" i="8"/>
  <c r="E87" i="8"/>
  <c r="D87" i="8"/>
  <c r="C87" i="8"/>
  <c r="B87" i="8"/>
  <c r="A87" i="8"/>
  <c r="M86" i="8"/>
  <c r="K86" i="8"/>
  <c r="J86" i="8"/>
  <c r="I86" i="8"/>
  <c r="H86" i="8"/>
  <c r="G86" i="8"/>
  <c r="L86" i="8" s="1"/>
  <c r="F86" i="8"/>
  <c r="E86" i="8"/>
  <c r="D86" i="8"/>
  <c r="C86" i="8"/>
  <c r="B86" i="8"/>
  <c r="A86" i="8"/>
  <c r="M85" i="8"/>
  <c r="L85" i="8"/>
  <c r="K85" i="8"/>
  <c r="J85" i="8"/>
  <c r="I85" i="8"/>
  <c r="H85" i="8"/>
  <c r="G85" i="8"/>
  <c r="F85" i="8"/>
  <c r="E85" i="8"/>
  <c r="D85" i="8"/>
  <c r="C85" i="8"/>
  <c r="B85" i="8"/>
  <c r="A85" i="8"/>
  <c r="M84" i="8"/>
  <c r="K84" i="8"/>
  <c r="J84" i="8"/>
  <c r="I84" i="8"/>
  <c r="H84" i="8"/>
  <c r="G84" i="8"/>
  <c r="L84" i="8" s="1"/>
  <c r="F84" i="8"/>
  <c r="E84" i="8"/>
  <c r="D84" i="8"/>
  <c r="C84" i="8"/>
  <c r="B84" i="8"/>
  <c r="A84" i="8"/>
  <c r="M83" i="8"/>
  <c r="K83" i="8"/>
  <c r="J83" i="8"/>
  <c r="I83" i="8"/>
  <c r="H83" i="8"/>
  <c r="G83" i="8"/>
  <c r="L83" i="8" s="1"/>
  <c r="F83" i="8"/>
  <c r="E83" i="8"/>
  <c r="D83" i="8"/>
  <c r="C83" i="8"/>
  <c r="B83" i="8"/>
  <c r="A83" i="8"/>
  <c r="M82" i="8"/>
  <c r="L82" i="8"/>
  <c r="K82" i="8"/>
  <c r="J82" i="8"/>
  <c r="I82" i="8"/>
  <c r="H82" i="8"/>
  <c r="G82" i="8"/>
  <c r="F82" i="8"/>
  <c r="E82" i="8"/>
  <c r="D82" i="8"/>
  <c r="C82" i="8"/>
  <c r="B82" i="8"/>
  <c r="A82" i="8"/>
  <c r="M81" i="8"/>
  <c r="K81" i="8"/>
  <c r="J81" i="8"/>
  <c r="I81" i="8"/>
  <c r="H81" i="8"/>
  <c r="G81" i="8"/>
  <c r="L81" i="8" s="1"/>
  <c r="F81" i="8"/>
  <c r="E81" i="8"/>
  <c r="D81" i="8"/>
  <c r="C81" i="8"/>
  <c r="B81" i="8"/>
  <c r="A81" i="8"/>
  <c r="M80" i="8"/>
  <c r="L80" i="8"/>
  <c r="K80" i="8"/>
  <c r="J80" i="8"/>
  <c r="I80" i="8"/>
  <c r="H80" i="8"/>
  <c r="G80" i="8"/>
  <c r="F80" i="8"/>
  <c r="E80" i="8"/>
  <c r="D80" i="8"/>
  <c r="C80" i="8"/>
  <c r="B80" i="8"/>
  <c r="A80" i="8"/>
  <c r="M79" i="8"/>
  <c r="K79" i="8"/>
  <c r="J79" i="8"/>
  <c r="I79" i="8"/>
  <c r="H79" i="8"/>
  <c r="G79" i="8"/>
  <c r="L79" i="8" s="1"/>
  <c r="F79" i="8"/>
  <c r="E79" i="8"/>
  <c r="D79" i="8"/>
  <c r="C79" i="8"/>
  <c r="B79" i="8"/>
  <c r="A79" i="8"/>
  <c r="M78" i="8"/>
  <c r="K78" i="8"/>
  <c r="J78" i="8"/>
  <c r="I78" i="8"/>
  <c r="H78" i="8"/>
  <c r="G78" i="8"/>
  <c r="L78" i="8" s="1"/>
  <c r="F78" i="8"/>
  <c r="E78" i="8"/>
  <c r="D78" i="8"/>
  <c r="C78" i="8"/>
  <c r="B78" i="8"/>
  <c r="A78" i="8"/>
  <c r="M77" i="8"/>
  <c r="L77" i="8"/>
  <c r="K77" i="8"/>
  <c r="J77" i="8"/>
  <c r="I77" i="8"/>
  <c r="H77" i="8"/>
  <c r="G77" i="8"/>
  <c r="F77" i="8"/>
  <c r="E77" i="8"/>
  <c r="D77" i="8"/>
  <c r="C77" i="8"/>
  <c r="B77" i="8"/>
  <c r="A77" i="8"/>
  <c r="M76" i="8"/>
  <c r="K76" i="8"/>
  <c r="J76" i="8"/>
  <c r="I76" i="8"/>
  <c r="H76" i="8"/>
  <c r="G76" i="8"/>
  <c r="L76" i="8" s="1"/>
  <c r="F76" i="8"/>
  <c r="E76" i="8"/>
  <c r="D76" i="8"/>
  <c r="C76" i="8"/>
  <c r="B76" i="8"/>
  <c r="A76" i="8"/>
  <c r="M75" i="8"/>
  <c r="K75" i="8"/>
  <c r="J75" i="8"/>
  <c r="I75" i="8"/>
  <c r="H75" i="8"/>
  <c r="G75" i="8"/>
  <c r="L75" i="8" s="1"/>
  <c r="F75" i="8"/>
  <c r="E75" i="8"/>
  <c r="D75" i="8"/>
  <c r="C75" i="8"/>
  <c r="B75" i="8"/>
  <c r="A75" i="8"/>
  <c r="M74" i="8"/>
  <c r="L74" i="8"/>
  <c r="K74" i="8"/>
  <c r="J74" i="8"/>
  <c r="I74" i="8"/>
  <c r="H74" i="8"/>
  <c r="G74" i="8"/>
  <c r="F74" i="8"/>
  <c r="E74" i="8"/>
  <c r="D74" i="8"/>
  <c r="C74" i="8"/>
  <c r="B74" i="8"/>
  <c r="A74" i="8"/>
  <c r="M73" i="8"/>
  <c r="K73" i="8"/>
  <c r="J73" i="8"/>
  <c r="I73" i="8"/>
  <c r="H73" i="8"/>
  <c r="G73" i="8"/>
  <c r="L73" i="8" s="1"/>
  <c r="F73" i="8"/>
  <c r="E73" i="8"/>
  <c r="D73" i="8"/>
  <c r="C73" i="8"/>
  <c r="B73" i="8"/>
  <c r="A73" i="8"/>
  <c r="M72" i="8"/>
  <c r="L72" i="8"/>
  <c r="K72" i="8"/>
  <c r="J72" i="8"/>
  <c r="I72" i="8"/>
  <c r="H72" i="8"/>
  <c r="G72" i="8"/>
  <c r="F72" i="8"/>
  <c r="E72" i="8"/>
  <c r="D72" i="8"/>
  <c r="C72" i="8"/>
  <c r="B72" i="8"/>
  <c r="A72" i="8"/>
  <c r="M71" i="8"/>
  <c r="K71" i="8"/>
  <c r="J71" i="8"/>
  <c r="I71" i="8"/>
  <c r="H71" i="8"/>
  <c r="G71" i="8"/>
  <c r="L71" i="8" s="1"/>
  <c r="F71" i="8"/>
  <c r="E71" i="8"/>
  <c r="D71" i="8"/>
  <c r="C71" i="8"/>
  <c r="B71" i="8"/>
  <c r="A71" i="8"/>
  <c r="M70" i="8"/>
  <c r="K70" i="8"/>
  <c r="J70" i="8"/>
  <c r="I70" i="8"/>
  <c r="H70" i="8"/>
  <c r="G70" i="8"/>
  <c r="L70" i="8" s="1"/>
  <c r="F70" i="8"/>
  <c r="E70" i="8"/>
  <c r="D70" i="8"/>
  <c r="C70" i="8"/>
  <c r="B70" i="8"/>
  <c r="A70" i="8"/>
  <c r="M69" i="8"/>
  <c r="L69" i="8"/>
  <c r="K69" i="8"/>
  <c r="J69" i="8"/>
  <c r="I69" i="8"/>
  <c r="H69" i="8"/>
  <c r="G69" i="8"/>
  <c r="F69" i="8"/>
  <c r="E69" i="8"/>
  <c r="D69" i="8"/>
  <c r="C69" i="8"/>
  <c r="B69" i="8"/>
  <c r="A69" i="8"/>
  <c r="M68" i="8"/>
  <c r="K68" i="8"/>
  <c r="J68" i="8"/>
  <c r="I68" i="8"/>
  <c r="H68" i="8"/>
  <c r="G68" i="8"/>
  <c r="L68" i="8" s="1"/>
  <c r="F68" i="8"/>
  <c r="E68" i="8"/>
  <c r="D68" i="8"/>
  <c r="C68" i="8"/>
  <c r="B68" i="8"/>
  <c r="A68" i="8"/>
  <c r="M67" i="8"/>
  <c r="K67" i="8"/>
  <c r="J67" i="8"/>
  <c r="I67" i="8"/>
  <c r="H67" i="8"/>
  <c r="G67" i="8"/>
  <c r="L67" i="8" s="1"/>
  <c r="F67" i="8"/>
  <c r="E67" i="8"/>
  <c r="D67" i="8"/>
  <c r="C67" i="8"/>
  <c r="B67" i="8"/>
  <c r="A67" i="8"/>
  <c r="M66" i="8"/>
  <c r="L66" i="8"/>
  <c r="K66" i="8"/>
  <c r="J66" i="8"/>
  <c r="I66" i="8"/>
  <c r="H66" i="8"/>
  <c r="G66" i="8"/>
  <c r="F66" i="8"/>
  <c r="E66" i="8"/>
  <c r="D66" i="8"/>
  <c r="C66" i="8"/>
  <c r="B66" i="8"/>
  <c r="A66" i="8"/>
  <c r="M65" i="8"/>
  <c r="K65" i="8"/>
  <c r="J65" i="8"/>
  <c r="I65" i="8"/>
  <c r="H65" i="8"/>
  <c r="G65" i="8"/>
  <c r="L65" i="8" s="1"/>
  <c r="F65" i="8"/>
  <c r="E65" i="8"/>
  <c r="D65" i="8"/>
  <c r="C65" i="8"/>
  <c r="B65" i="8"/>
  <c r="A65" i="8"/>
  <c r="M64" i="8"/>
  <c r="L64" i="8"/>
  <c r="K64" i="8"/>
  <c r="J64" i="8"/>
  <c r="I64" i="8"/>
  <c r="H64" i="8"/>
  <c r="G64" i="8"/>
  <c r="F64" i="8"/>
  <c r="E64" i="8"/>
  <c r="D64" i="8"/>
  <c r="C64" i="8"/>
  <c r="B64" i="8"/>
  <c r="A64" i="8"/>
  <c r="M63" i="8"/>
  <c r="K63" i="8"/>
  <c r="J63" i="8"/>
  <c r="I63" i="8"/>
  <c r="H63" i="8"/>
  <c r="G63" i="8"/>
  <c r="L63" i="8" s="1"/>
  <c r="F63" i="8"/>
  <c r="E63" i="8"/>
  <c r="D63" i="8"/>
  <c r="C63" i="8"/>
  <c r="B63" i="8"/>
  <c r="A63" i="8"/>
  <c r="M62" i="8"/>
  <c r="K62" i="8"/>
  <c r="J62" i="8"/>
  <c r="I62" i="8"/>
  <c r="H62" i="8"/>
  <c r="G62" i="8"/>
  <c r="L62" i="8" s="1"/>
  <c r="F62" i="8"/>
  <c r="E62" i="8"/>
  <c r="D62" i="8"/>
  <c r="C62" i="8"/>
  <c r="B62" i="8"/>
  <c r="A62" i="8"/>
  <c r="M61" i="8"/>
  <c r="L61" i="8"/>
  <c r="K61" i="8"/>
  <c r="J61" i="8"/>
  <c r="I61" i="8"/>
  <c r="H61" i="8"/>
  <c r="G61" i="8"/>
  <c r="F61" i="8"/>
  <c r="E61" i="8"/>
  <c r="D61" i="8"/>
  <c r="C61" i="8"/>
  <c r="B61" i="8"/>
  <c r="A61" i="8"/>
  <c r="M60" i="8"/>
  <c r="K60" i="8"/>
  <c r="J60" i="8"/>
  <c r="I60" i="8"/>
  <c r="H60" i="8"/>
  <c r="G60" i="8"/>
  <c r="L60" i="8" s="1"/>
  <c r="F60" i="8"/>
  <c r="E60" i="8"/>
  <c r="D60" i="8"/>
  <c r="C60" i="8"/>
  <c r="B60" i="8"/>
  <c r="A60" i="8"/>
  <c r="M59" i="8"/>
  <c r="K59" i="8"/>
  <c r="J59" i="8"/>
  <c r="I59" i="8"/>
  <c r="H59" i="8"/>
  <c r="G59" i="8"/>
  <c r="L59" i="8" s="1"/>
  <c r="F59" i="8"/>
  <c r="E59" i="8"/>
  <c r="D59" i="8"/>
  <c r="C59" i="8"/>
  <c r="B59" i="8"/>
  <c r="A59" i="8"/>
  <c r="M58" i="8"/>
  <c r="L58" i="8"/>
  <c r="K58" i="8"/>
  <c r="J58" i="8"/>
  <c r="I58" i="8"/>
  <c r="H58" i="8"/>
  <c r="G58" i="8"/>
  <c r="F58" i="8"/>
  <c r="E58" i="8"/>
  <c r="D58" i="8"/>
  <c r="C58" i="8"/>
  <c r="B58" i="8"/>
  <c r="A58" i="8"/>
  <c r="M57" i="8"/>
  <c r="K57" i="8"/>
  <c r="J57" i="8"/>
  <c r="I57" i="8"/>
  <c r="H57" i="8"/>
  <c r="G57" i="8"/>
  <c r="L57" i="8" s="1"/>
  <c r="F57" i="8"/>
  <c r="E57" i="8"/>
  <c r="D57" i="8"/>
  <c r="C57" i="8"/>
  <c r="B57" i="8"/>
  <c r="A57" i="8"/>
  <c r="M56" i="8"/>
  <c r="L56" i="8"/>
  <c r="K56" i="8"/>
  <c r="J56" i="8"/>
  <c r="I56" i="8"/>
  <c r="H56" i="8"/>
  <c r="G56" i="8"/>
  <c r="F56" i="8"/>
  <c r="E56" i="8"/>
  <c r="D56" i="8"/>
  <c r="C56" i="8"/>
  <c r="B56" i="8"/>
  <c r="A56" i="8"/>
  <c r="M55" i="8"/>
  <c r="K55" i="8"/>
  <c r="J55" i="8"/>
  <c r="I55" i="8"/>
  <c r="H55" i="8"/>
  <c r="G55" i="8"/>
  <c r="L55" i="8" s="1"/>
  <c r="F55" i="8"/>
  <c r="E55" i="8"/>
  <c r="D55" i="8"/>
  <c r="C55" i="8"/>
  <c r="B55" i="8"/>
  <c r="A55" i="8"/>
  <c r="M54" i="8"/>
  <c r="K54" i="8"/>
  <c r="J54" i="8"/>
  <c r="I54" i="8"/>
  <c r="H54" i="8"/>
  <c r="G54" i="8"/>
  <c r="L54" i="8" s="1"/>
  <c r="F54" i="8"/>
  <c r="E54" i="8"/>
  <c r="D54" i="8"/>
  <c r="C54" i="8"/>
  <c r="B54" i="8"/>
  <c r="A54" i="8"/>
  <c r="M53" i="8"/>
  <c r="L53" i="8"/>
  <c r="K53" i="8"/>
  <c r="J53" i="8"/>
  <c r="I53" i="8"/>
  <c r="H53" i="8"/>
  <c r="G53" i="8"/>
  <c r="F53" i="8"/>
  <c r="E53" i="8"/>
  <c r="D53" i="8"/>
  <c r="C53" i="8"/>
  <c r="B53" i="8"/>
  <c r="A53" i="8"/>
  <c r="M52" i="8"/>
  <c r="K52" i="8"/>
  <c r="J52" i="8"/>
  <c r="I52" i="8"/>
  <c r="C18" i="4" s="1"/>
  <c r="H52" i="8"/>
  <c r="G52" i="8"/>
  <c r="L52" i="8" s="1"/>
  <c r="F52" i="8"/>
  <c r="E52" i="8"/>
  <c r="D52" i="8"/>
  <c r="C52" i="8"/>
  <c r="B52" i="8"/>
  <c r="A52" i="8"/>
  <c r="M51" i="8"/>
  <c r="K51" i="8"/>
  <c r="J51" i="8"/>
  <c r="I51" i="8"/>
  <c r="H51" i="8"/>
  <c r="G51" i="8"/>
  <c r="L51" i="8" s="1"/>
  <c r="F51" i="8"/>
  <c r="E51" i="8"/>
  <c r="D51" i="8"/>
  <c r="C51" i="8"/>
  <c r="B51" i="8"/>
  <c r="A51" i="8"/>
  <c r="M50" i="8"/>
  <c r="L50" i="8"/>
  <c r="K50" i="8"/>
  <c r="J50" i="8"/>
  <c r="I50" i="8"/>
  <c r="H50" i="8"/>
  <c r="G50" i="8"/>
  <c r="F50" i="8"/>
  <c r="E50" i="8"/>
  <c r="D50" i="8"/>
  <c r="C50" i="8"/>
  <c r="B50" i="8"/>
  <c r="A50" i="8"/>
  <c r="M49" i="8"/>
  <c r="K49" i="8"/>
  <c r="J49" i="8"/>
  <c r="I49" i="8"/>
  <c r="H49" i="8"/>
  <c r="G49" i="8"/>
  <c r="L49" i="8" s="1"/>
  <c r="F49" i="8"/>
  <c r="E49" i="8"/>
  <c r="D49" i="8"/>
  <c r="C49" i="8"/>
  <c r="B49" i="8"/>
  <c r="A49" i="8"/>
  <c r="M48" i="8"/>
  <c r="L48" i="8"/>
  <c r="K48" i="8"/>
  <c r="J48" i="8"/>
  <c r="I48" i="8"/>
  <c r="H48" i="8"/>
  <c r="G48" i="8"/>
  <c r="F48" i="8"/>
  <c r="E48" i="8"/>
  <c r="D48" i="8"/>
  <c r="C48" i="8"/>
  <c r="B48" i="8"/>
  <c r="A48" i="8"/>
  <c r="M47" i="8"/>
  <c r="K47" i="8"/>
  <c r="J47" i="8"/>
  <c r="I47" i="8"/>
  <c r="H47" i="8"/>
  <c r="G47" i="8"/>
  <c r="L47" i="8" s="1"/>
  <c r="F47" i="8"/>
  <c r="E47" i="8"/>
  <c r="D47" i="8"/>
  <c r="C47" i="8"/>
  <c r="B47" i="8"/>
  <c r="A47" i="8"/>
  <c r="M46" i="8"/>
  <c r="K46" i="8"/>
  <c r="J46" i="8"/>
  <c r="I46" i="8"/>
  <c r="H46" i="8"/>
  <c r="G46" i="8"/>
  <c r="L46" i="8" s="1"/>
  <c r="F46" i="8"/>
  <c r="E46" i="8"/>
  <c r="D46" i="8"/>
  <c r="C46" i="8"/>
  <c r="B46" i="8"/>
  <c r="A46" i="8"/>
  <c r="M45" i="8"/>
  <c r="L45" i="8"/>
  <c r="K45" i="8"/>
  <c r="J45" i="8"/>
  <c r="I45" i="8"/>
  <c r="H45" i="8"/>
  <c r="G45" i="8"/>
  <c r="F45" i="8"/>
  <c r="E45" i="8"/>
  <c r="D45" i="8"/>
  <c r="C45" i="8"/>
  <c r="B45" i="8"/>
  <c r="A45" i="8"/>
  <c r="M44" i="8"/>
  <c r="K44" i="8"/>
  <c r="J44" i="8"/>
  <c r="I44" i="8"/>
  <c r="H44" i="8"/>
  <c r="G44" i="8"/>
  <c r="L44" i="8" s="1"/>
  <c r="F44" i="8"/>
  <c r="E44" i="8"/>
  <c r="D44" i="8"/>
  <c r="C44" i="8"/>
  <c r="B44" i="8"/>
  <c r="A44" i="8"/>
  <c r="M43" i="8"/>
  <c r="K43" i="8"/>
  <c r="J43" i="8"/>
  <c r="I43" i="8"/>
  <c r="H43" i="8"/>
  <c r="G43" i="8"/>
  <c r="L43" i="8" s="1"/>
  <c r="F43" i="8"/>
  <c r="E43" i="8"/>
  <c r="D43" i="8"/>
  <c r="C43" i="8"/>
  <c r="B43" i="8"/>
  <c r="A43" i="8"/>
  <c r="M42" i="8"/>
  <c r="L42" i="8"/>
  <c r="K42" i="8"/>
  <c r="J42" i="8"/>
  <c r="I42" i="8"/>
  <c r="H42" i="8"/>
  <c r="G42" i="8"/>
  <c r="F42" i="8"/>
  <c r="E42" i="8"/>
  <c r="D42" i="8"/>
  <c r="C42" i="8"/>
  <c r="B42" i="8"/>
  <c r="A42" i="8"/>
  <c r="M41" i="8"/>
  <c r="K41" i="8"/>
  <c r="J41" i="8"/>
  <c r="I41" i="8"/>
  <c r="H41" i="8"/>
  <c r="G41" i="8"/>
  <c r="L41" i="8" s="1"/>
  <c r="F41" i="8"/>
  <c r="E41" i="8"/>
  <c r="D41" i="8"/>
  <c r="C41" i="8"/>
  <c r="B41" i="8"/>
  <c r="A41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M39" i="8"/>
  <c r="K39" i="8"/>
  <c r="J39" i="8"/>
  <c r="I39" i="8"/>
  <c r="H39" i="8"/>
  <c r="G39" i="8"/>
  <c r="L39" i="8" s="1"/>
  <c r="F39" i="8"/>
  <c r="E39" i="8"/>
  <c r="D39" i="8"/>
  <c r="C39" i="8"/>
  <c r="B39" i="8"/>
  <c r="A39" i="8"/>
  <c r="M38" i="8"/>
  <c r="K38" i="8"/>
  <c r="J38" i="8"/>
  <c r="I38" i="8"/>
  <c r="H38" i="8"/>
  <c r="G38" i="8"/>
  <c r="L38" i="8" s="1"/>
  <c r="F38" i="8"/>
  <c r="E38" i="8"/>
  <c r="D38" i="8"/>
  <c r="C38" i="8"/>
  <c r="B38" i="8"/>
  <c r="A38" i="8"/>
  <c r="M37" i="8"/>
  <c r="L37" i="8"/>
  <c r="K37" i="8"/>
  <c r="J37" i="8"/>
  <c r="I37" i="8"/>
  <c r="H37" i="8"/>
  <c r="G37" i="8"/>
  <c r="F37" i="8"/>
  <c r="E37" i="8"/>
  <c r="D37" i="8"/>
  <c r="C37" i="8"/>
  <c r="B37" i="8"/>
  <c r="A37" i="8"/>
  <c r="M36" i="8"/>
  <c r="K36" i="8"/>
  <c r="J36" i="8"/>
  <c r="I36" i="8"/>
  <c r="H36" i="8"/>
  <c r="G36" i="8"/>
  <c r="L36" i="8" s="1"/>
  <c r="F36" i="8"/>
  <c r="E36" i="8"/>
  <c r="D36" i="8"/>
  <c r="C36" i="8"/>
  <c r="B36" i="8"/>
  <c r="A36" i="8"/>
  <c r="M35" i="8"/>
  <c r="K35" i="8"/>
  <c r="J35" i="8"/>
  <c r="I35" i="8"/>
  <c r="H35" i="8"/>
  <c r="G35" i="8"/>
  <c r="L35" i="8" s="1"/>
  <c r="F35" i="8"/>
  <c r="E35" i="8"/>
  <c r="D35" i="8"/>
  <c r="C35" i="8"/>
  <c r="B35" i="8"/>
  <c r="A35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M33" i="8"/>
  <c r="K33" i="8"/>
  <c r="J33" i="8"/>
  <c r="I33" i="8"/>
  <c r="H33" i="8"/>
  <c r="G33" i="8"/>
  <c r="L33" i="8" s="1"/>
  <c r="F33" i="8"/>
  <c r="E33" i="8"/>
  <c r="D33" i="8"/>
  <c r="C33" i="8"/>
  <c r="B33" i="8"/>
  <c r="A33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M31" i="8"/>
  <c r="K31" i="8"/>
  <c r="J31" i="8"/>
  <c r="I31" i="8"/>
  <c r="H31" i="8"/>
  <c r="G31" i="8"/>
  <c r="L31" i="8" s="1"/>
  <c r="F31" i="8"/>
  <c r="E31" i="8"/>
  <c r="D31" i="8"/>
  <c r="C31" i="8"/>
  <c r="B31" i="8"/>
  <c r="A31" i="8"/>
  <c r="M30" i="8"/>
  <c r="K30" i="8"/>
  <c r="J30" i="8"/>
  <c r="I30" i="8"/>
  <c r="H30" i="8"/>
  <c r="G30" i="8"/>
  <c r="L30" i="8" s="1"/>
  <c r="F30" i="8"/>
  <c r="E30" i="8"/>
  <c r="D30" i="8"/>
  <c r="C30" i="8"/>
  <c r="B30" i="8"/>
  <c r="A30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M28" i="8"/>
  <c r="K28" i="8"/>
  <c r="J28" i="8"/>
  <c r="I28" i="8"/>
  <c r="H28" i="8"/>
  <c r="G28" i="8"/>
  <c r="L28" i="8" s="1"/>
  <c r="F28" i="8"/>
  <c r="E28" i="8"/>
  <c r="D28" i="8"/>
  <c r="C28" i="8"/>
  <c r="B28" i="8"/>
  <c r="A28" i="8"/>
  <c r="M27" i="8"/>
  <c r="K27" i="8"/>
  <c r="J27" i="8"/>
  <c r="I27" i="8"/>
  <c r="H27" i="8"/>
  <c r="G27" i="8"/>
  <c r="L27" i="8" s="1"/>
  <c r="F27" i="8"/>
  <c r="E27" i="8"/>
  <c r="D27" i="8"/>
  <c r="C27" i="8"/>
  <c r="B27" i="8"/>
  <c r="A27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M25" i="8"/>
  <c r="K25" i="8"/>
  <c r="J25" i="8"/>
  <c r="I25" i="8"/>
  <c r="H25" i="8"/>
  <c r="G25" i="8"/>
  <c r="L25" i="8" s="1"/>
  <c r="F25" i="8"/>
  <c r="E25" i="8"/>
  <c r="D25" i="8"/>
  <c r="C25" i="8"/>
  <c r="B25" i="8"/>
  <c r="A25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M23" i="8"/>
  <c r="K23" i="8"/>
  <c r="J23" i="8"/>
  <c r="I23" i="8"/>
  <c r="H23" i="8"/>
  <c r="G23" i="8"/>
  <c r="L23" i="8" s="1"/>
  <c r="F23" i="8"/>
  <c r="E23" i="8"/>
  <c r="D23" i="8"/>
  <c r="C23" i="8"/>
  <c r="B23" i="8"/>
  <c r="A23" i="8"/>
  <c r="M22" i="8"/>
  <c r="K22" i="8"/>
  <c r="J22" i="8"/>
  <c r="I22" i="8"/>
  <c r="H22" i="8"/>
  <c r="G22" i="8"/>
  <c r="L22" i="8" s="1"/>
  <c r="F22" i="8"/>
  <c r="E22" i="8"/>
  <c r="D22" i="8"/>
  <c r="C22" i="8"/>
  <c r="B22" i="8"/>
  <c r="A22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M20" i="8"/>
  <c r="K20" i="8"/>
  <c r="J20" i="8"/>
  <c r="I20" i="8"/>
  <c r="H20" i="8"/>
  <c r="G20" i="8"/>
  <c r="L20" i="8" s="1"/>
  <c r="F20" i="8"/>
  <c r="E20" i="8"/>
  <c r="D20" i="8"/>
  <c r="C20" i="8"/>
  <c r="B20" i="8"/>
  <c r="A20" i="8"/>
  <c r="M19" i="8"/>
  <c r="K19" i="8"/>
  <c r="J19" i="8"/>
  <c r="I19" i="8"/>
  <c r="H19" i="8"/>
  <c r="G19" i="8"/>
  <c r="L19" i="8" s="1"/>
  <c r="F19" i="8"/>
  <c r="E19" i="8"/>
  <c r="D19" i="8"/>
  <c r="C19" i="8"/>
  <c r="B19" i="8"/>
  <c r="A19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M17" i="8"/>
  <c r="K17" i="8"/>
  <c r="J17" i="8"/>
  <c r="I17" i="8"/>
  <c r="H17" i="8"/>
  <c r="G17" i="8"/>
  <c r="L17" i="8" s="1"/>
  <c r="F17" i="8"/>
  <c r="E17" i="8"/>
  <c r="D17" i="8"/>
  <c r="C17" i="8"/>
  <c r="B17" i="8"/>
  <c r="A17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M15" i="8"/>
  <c r="K15" i="8"/>
  <c r="J15" i="8"/>
  <c r="I15" i="8"/>
  <c r="H15" i="8"/>
  <c r="G15" i="8"/>
  <c r="L15" i="8" s="1"/>
  <c r="F15" i="8"/>
  <c r="E15" i="8"/>
  <c r="D15" i="8"/>
  <c r="C15" i="8"/>
  <c r="B15" i="8"/>
  <c r="A15" i="8"/>
  <c r="M14" i="8"/>
  <c r="K14" i="8"/>
  <c r="J14" i="8"/>
  <c r="I14" i="8"/>
  <c r="H14" i="8"/>
  <c r="G14" i="8"/>
  <c r="L14" i="8" s="1"/>
  <c r="F14" i="8"/>
  <c r="E14" i="8"/>
  <c r="D14" i="8"/>
  <c r="C14" i="8"/>
  <c r="B14" i="8"/>
  <c r="A14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M12" i="8"/>
  <c r="K12" i="8"/>
  <c r="J12" i="8"/>
  <c r="I12" i="8"/>
  <c r="H12" i="8"/>
  <c r="G12" i="8"/>
  <c r="L12" i="8" s="1"/>
  <c r="F12" i="8"/>
  <c r="E12" i="8"/>
  <c r="D12" i="8"/>
  <c r="C12" i="8"/>
  <c r="B12" i="8"/>
  <c r="A12" i="8"/>
  <c r="M11" i="8"/>
  <c r="K11" i="8"/>
  <c r="J11" i="8"/>
  <c r="I11" i="8"/>
  <c r="H11" i="8"/>
  <c r="G11" i="8"/>
  <c r="L11" i="8" s="1"/>
  <c r="F11" i="8"/>
  <c r="E11" i="8"/>
  <c r="D11" i="8"/>
  <c r="C11" i="8"/>
  <c r="B11" i="8"/>
  <c r="A11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M9" i="8"/>
  <c r="K9" i="8"/>
  <c r="J9" i="8"/>
  <c r="I9" i="8"/>
  <c r="H9" i="8"/>
  <c r="G9" i="8"/>
  <c r="L9" i="8" s="1"/>
  <c r="F9" i="8"/>
  <c r="E9" i="8"/>
  <c r="D9" i="8"/>
  <c r="C9" i="8"/>
  <c r="B9" i="8"/>
  <c r="A9" i="8"/>
  <c r="M8" i="8"/>
  <c r="L8" i="8"/>
  <c r="K8" i="8"/>
  <c r="J8" i="8"/>
  <c r="I8" i="8"/>
  <c r="H8" i="8"/>
  <c r="G8" i="8"/>
  <c r="F8" i="8"/>
  <c r="E8" i="8"/>
  <c r="D8" i="8"/>
  <c r="C8" i="8"/>
  <c r="B8" i="8"/>
  <c r="A8" i="8"/>
  <c r="M7" i="8"/>
  <c r="K7" i="8"/>
  <c r="J7" i="8"/>
  <c r="I7" i="8"/>
  <c r="H7" i="8"/>
  <c r="G7" i="8"/>
  <c r="L7" i="8" s="1"/>
  <c r="F7" i="8"/>
  <c r="E7" i="8"/>
  <c r="D7" i="8"/>
  <c r="C7" i="8"/>
  <c r="B7" i="8"/>
  <c r="A7" i="8"/>
  <c r="M6" i="8"/>
  <c r="K6" i="8"/>
  <c r="J6" i="8"/>
  <c r="I6" i="8"/>
  <c r="H6" i="8"/>
  <c r="G6" i="8"/>
  <c r="L6" i="8" s="1"/>
  <c r="F6" i="8"/>
  <c r="E6" i="8"/>
  <c r="D6" i="8"/>
  <c r="C6" i="8"/>
  <c r="B6" i="8"/>
  <c r="A6" i="8"/>
  <c r="M5" i="8"/>
  <c r="L5" i="8"/>
  <c r="K5" i="8"/>
  <c r="J5" i="8"/>
  <c r="I5" i="8"/>
  <c r="H5" i="8"/>
  <c r="G5" i="8"/>
  <c r="F5" i="8"/>
  <c r="E5" i="8"/>
  <c r="D5" i="8"/>
  <c r="C5" i="8"/>
  <c r="B5" i="8"/>
  <c r="A5" i="8"/>
  <c r="M4" i="8"/>
  <c r="K4" i="8"/>
  <c r="J4" i="8"/>
  <c r="I4" i="8"/>
  <c r="H4" i="8"/>
  <c r="G4" i="8"/>
  <c r="L4" i="8" s="1"/>
  <c r="F4" i="8"/>
  <c r="E4" i="8"/>
  <c r="D4" i="8"/>
  <c r="C4" i="8"/>
  <c r="B4" i="8"/>
  <c r="A4" i="8"/>
  <c r="K2003" i="7"/>
  <c r="J2003" i="7"/>
  <c r="I2003" i="7"/>
  <c r="H2003" i="7"/>
  <c r="G2003" i="7"/>
  <c r="F2003" i="7"/>
  <c r="E2003" i="7"/>
  <c r="D2003" i="7"/>
  <c r="C2003" i="7"/>
  <c r="B2003" i="7"/>
  <c r="A2003" i="7"/>
  <c r="K2002" i="7"/>
  <c r="J2002" i="7"/>
  <c r="I2002" i="7"/>
  <c r="H2002" i="7"/>
  <c r="G2002" i="7"/>
  <c r="F2002" i="7"/>
  <c r="E2002" i="7"/>
  <c r="D2002" i="7"/>
  <c r="C2002" i="7"/>
  <c r="B2002" i="7"/>
  <c r="A2002" i="7"/>
  <c r="K2001" i="7"/>
  <c r="J2001" i="7"/>
  <c r="I2001" i="7"/>
  <c r="H2001" i="7"/>
  <c r="G2001" i="7"/>
  <c r="F2001" i="7"/>
  <c r="E2001" i="7"/>
  <c r="D2001" i="7"/>
  <c r="C2001" i="7"/>
  <c r="B2001" i="7"/>
  <c r="A2001" i="7"/>
  <c r="K2000" i="7"/>
  <c r="J2000" i="7"/>
  <c r="I2000" i="7"/>
  <c r="H2000" i="7"/>
  <c r="G2000" i="7"/>
  <c r="F2000" i="7"/>
  <c r="E2000" i="7"/>
  <c r="D2000" i="7"/>
  <c r="C2000" i="7"/>
  <c r="B2000" i="7"/>
  <c r="A2000" i="7"/>
  <c r="K1999" i="7"/>
  <c r="J1999" i="7"/>
  <c r="I1999" i="7"/>
  <c r="H1999" i="7"/>
  <c r="G1999" i="7"/>
  <c r="F1999" i="7"/>
  <c r="E1999" i="7"/>
  <c r="D1999" i="7"/>
  <c r="C1999" i="7"/>
  <c r="B1999" i="7"/>
  <c r="A1999" i="7"/>
  <c r="K1998" i="7"/>
  <c r="J1998" i="7"/>
  <c r="I1998" i="7"/>
  <c r="H1998" i="7"/>
  <c r="G1998" i="7"/>
  <c r="F1998" i="7"/>
  <c r="E1998" i="7"/>
  <c r="D1998" i="7"/>
  <c r="C1998" i="7"/>
  <c r="B1998" i="7"/>
  <c r="A1998" i="7"/>
  <c r="K1997" i="7"/>
  <c r="J1997" i="7"/>
  <c r="I1997" i="7"/>
  <c r="H1997" i="7"/>
  <c r="G1997" i="7"/>
  <c r="F1997" i="7"/>
  <c r="E1997" i="7"/>
  <c r="D1997" i="7"/>
  <c r="C1997" i="7"/>
  <c r="B1997" i="7"/>
  <c r="A1997" i="7"/>
  <c r="K1996" i="7"/>
  <c r="J1996" i="7"/>
  <c r="I1996" i="7"/>
  <c r="H1996" i="7"/>
  <c r="G1996" i="7"/>
  <c r="F1996" i="7"/>
  <c r="E1996" i="7"/>
  <c r="D1996" i="7"/>
  <c r="C1996" i="7"/>
  <c r="B1996" i="7"/>
  <c r="A1996" i="7"/>
  <c r="K1995" i="7"/>
  <c r="J1995" i="7"/>
  <c r="I1995" i="7"/>
  <c r="H1995" i="7"/>
  <c r="G1995" i="7"/>
  <c r="F1995" i="7"/>
  <c r="E1995" i="7"/>
  <c r="D1995" i="7"/>
  <c r="C1995" i="7"/>
  <c r="B1995" i="7"/>
  <c r="A1995" i="7"/>
  <c r="K1994" i="7"/>
  <c r="J1994" i="7"/>
  <c r="I1994" i="7"/>
  <c r="H1994" i="7"/>
  <c r="G1994" i="7"/>
  <c r="F1994" i="7"/>
  <c r="E1994" i="7"/>
  <c r="D1994" i="7"/>
  <c r="C1994" i="7"/>
  <c r="B1994" i="7"/>
  <c r="A1994" i="7"/>
  <c r="K1993" i="7"/>
  <c r="J1993" i="7"/>
  <c r="I1993" i="7"/>
  <c r="H1993" i="7"/>
  <c r="G1993" i="7"/>
  <c r="F1993" i="7"/>
  <c r="E1993" i="7"/>
  <c r="D1993" i="7"/>
  <c r="C1993" i="7"/>
  <c r="B1993" i="7"/>
  <c r="A1993" i="7"/>
  <c r="K1992" i="7"/>
  <c r="J1992" i="7"/>
  <c r="I1992" i="7"/>
  <c r="H1992" i="7"/>
  <c r="G1992" i="7"/>
  <c r="F1992" i="7"/>
  <c r="E1992" i="7"/>
  <c r="D1992" i="7"/>
  <c r="C1992" i="7"/>
  <c r="B1992" i="7"/>
  <c r="A1992" i="7"/>
  <c r="K1991" i="7"/>
  <c r="J1991" i="7"/>
  <c r="I1991" i="7"/>
  <c r="H1991" i="7"/>
  <c r="G1991" i="7"/>
  <c r="F1991" i="7"/>
  <c r="E1991" i="7"/>
  <c r="D1991" i="7"/>
  <c r="C1991" i="7"/>
  <c r="B1991" i="7"/>
  <c r="A1991" i="7"/>
  <c r="K1990" i="7"/>
  <c r="J1990" i="7"/>
  <c r="I1990" i="7"/>
  <c r="H1990" i="7"/>
  <c r="G1990" i="7"/>
  <c r="F1990" i="7"/>
  <c r="E1990" i="7"/>
  <c r="D1990" i="7"/>
  <c r="C1990" i="7"/>
  <c r="B1990" i="7"/>
  <c r="A1990" i="7"/>
  <c r="K1989" i="7"/>
  <c r="J1989" i="7"/>
  <c r="I1989" i="7"/>
  <c r="H1989" i="7"/>
  <c r="G1989" i="7"/>
  <c r="F1989" i="7"/>
  <c r="E1989" i="7"/>
  <c r="D1989" i="7"/>
  <c r="C1989" i="7"/>
  <c r="B1989" i="7"/>
  <c r="A1989" i="7"/>
  <c r="K1988" i="7"/>
  <c r="J1988" i="7"/>
  <c r="I1988" i="7"/>
  <c r="H1988" i="7"/>
  <c r="G1988" i="7"/>
  <c r="F1988" i="7"/>
  <c r="E1988" i="7"/>
  <c r="D1988" i="7"/>
  <c r="C1988" i="7"/>
  <c r="B1988" i="7"/>
  <c r="A1988" i="7"/>
  <c r="K1987" i="7"/>
  <c r="J1987" i="7"/>
  <c r="I1987" i="7"/>
  <c r="H1987" i="7"/>
  <c r="G1987" i="7"/>
  <c r="F1987" i="7"/>
  <c r="E1987" i="7"/>
  <c r="D1987" i="7"/>
  <c r="C1987" i="7"/>
  <c r="B1987" i="7"/>
  <c r="A1987" i="7"/>
  <c r="K1986" i="7"/>
  <c r="J1986" i="7"/>
  <c r="I1986" i="7"/>
  <c r="H1986" i="7"/>
  <c r="G1986" i="7"/>
  <c r="F1986" i="7"/>
  <c r="E1986" i="7"/>
  <c r="D1986" i="7"/>
  <c r="C1986" i="7"/>
  <c r="B1986" i="7"/>
  <c r="A1986" i="7"/>
  <c r="K1985" i="7"/>
  <c r="J1985" i="7"/>
  <c r="I1985" i="7"/>
  <c r="H1985" i="7"/>
  <c r="G1985" i="7"/>
  <c r="F1985" i="7"/>
  <c r="E1985" i="7"/>
  <c r="D1985" i="7"/>
  <c r="C1985" i="7"/>
  <c r="B1985" i="7"/>
  <c r="A1985" i="7"/>
  <c r="K1984" i="7"/>
  <c r="J1984" i="7"/>
  <c r="I1984" i="7"/>
  <c r="H1984" i="7"/>
  <c r="G1984" i="7"/>
  <c r="F1984" i="7"/>
  <c r="E1984" i="7"/>
  <c r="D1984" i="7"/>
  <c r="C1984" i="7"/>
  <c r="B1984" i="7"/>
  <c r="A1984" i="7"/>
  <c r="K1983" i="7"/>
  <c r="J1983" i="7"/>
  <c r="I1983" i="7"/>
  <c r="H1983" i="7"/>
  <c r="G1983" i="7"/>
  <c r="F1983" i="7"/>
  <c r="E1983" i="7"/>
  <c r="D1983" i="7"/>
  <c r="C1983" i="7"/>
  <c r="B1983" i="7"/>
  <c r="A1983" i="7"/>
  <c r="K1982" i="7"/>
  <c r="J1982" i="7"/>
  <c r="I1982" i="7"/>
  <c r="H1982" i="7"/>
  <c r="G1982" i="7"/>
  <c r="F1982" i="7"/>
  <c r="E1982" i="7"/>
  <c r="D1982" i="7"/>
  <c r="C1982" i="7"/>
  <c r="B1982" i="7"/>
  <c r="A1982" i="7"/>
  <c r="K1981" i="7"/>
  <c r="J1981" i="7"/>
  <c r="I1981" i="7"/>
  <c r="H1981" i="7"/>
  <c r="G1981" i="7"/>
  <c r="F1981" i="7"/>
  <c r="E1981" i="7"/>
  <c r="D1981" i="7"/>
  <c r="C1981" i="7"/>
  <c r="B1981" i="7"/>
  <c r="A1981" i="7"/>
  <c r="K1980" i="7"/>
  <c r="J1980" i="7"/>
  <c r="I1980" i="7"/>
  <c r="H1980" i="7"/>
  <c r="G1980" i="7"/>
  <c r="F1980" i="7"/>
  <c r="E1980" i="7"/>
  <c r="D1980" i="7"/>
  <c r="C1980" i="7"/>
  <c r="B1980" i="7"/>
  <c r="A1980" i="7"/>
  <c r="K1979" i="7"/>
  <c r="J1979" i="7"/>
  <c r="I1979" i="7"/>
  <c r="H1979" i="7"/>
  <c r="G1979" i="7"/>
  <c r="F1979" i="7"/>
  <c r="E1979" i="7"/>
  <c r="D1979" i="7"/>
  <c r="C1979" i="7"/>
  <c r="B1979" i="7"/>
  <c r="A1979" i="7"/>
  <c r="K1978" i="7"/>
  <c r="J1978" i="7"/>
  <c r="I1978" i="7"/>
  <c r="H1978" i="7"/>
  <c r="G1978" i="7"/>
  <c r="F1978" i="7"/>
  <c r="E1978" i="7"/>
  <c r="D1978" i="7"/>
  <c r="C1978" i="7"/>
  <c r="B1978" i="7"/>
  <c r="A1978" i="7"/>
  <c r="K1977" i="7"/>
  <c r="J1977" i="7"/>
  <c r="I1977" i="7"/>
  <c r="H1977" i="7"/>
  <c r="G1977" i="7"/>
  <c r="F1977" i="7"/>
  <c r="E1977" i="7"/>
  <c r="D1977" i="7"/>
  <c r="C1977" i="7"/>
  <c r="B1977" i="7"/>
  <c r="A1977" i="7"/>
  <c r="K1976" i="7"/>
  <c r="J1976" i="7"/>
  <c r="I1976" i="7"/>
  <c r="H1976" i="7"/>
  <c r="G1976" i="7"/>
  <c r="F1976" i="7"/>
  <c r="E1976" i="7"/>
  <c r="D1976" i="7"/>
  <c r="C1976" i="7"/>
  <c r="B1976" i="7"/>
  <c r="A1976" i="7"/>
  <c r="K1975" i="7"/>
  <c r="J1975" i="7"/>
  <c r="I1975" i="7"/>
  <c r="H1975" i="7"/>
  <c r="G1975" i="7"/>
  <c r="F1975" i="7"/>
  <c r="E1975" i="7"/>
  <c r="D1975" i="7"/>
  <c r="C1975" i="7"/>
  <c r="B1975" i="7"/>
  <c r="A1975" i="7"/>
  <c r="K1974" i="7"/>
  <c r="J1974" i="7"/>
  <c r="I1974" i="7"/>
  <c r="H1974" i="7"/>
  <c r="G1974" i="7"/>
  <c r="F1974" i="7"/>
  <c r="E1974" i="7"/>
  <c r="D1974" i="7"/>
  <c r="C1974" i="7"/>
  <c r="B1974" i="7"/>
  <c r="A1974" i="7"/>
  <c r="K1973" i="7"/>
  <c r="J1973" i="7"/>
  <c r="I1973" i="7"/>
  <c r="H1973" i="7"/>
  <c r="G1973" i="7"/>
  <c r="F1973" i="7"/>
  <c r="E1973" i="7"/>
  <c r="D1973" i="7"/>
  <c r="C1973" i="7"/>
  <c r="B1973" i="7"/>
  <c r="A1973" i="7"/>
  <c r="K1972" i="7"/>
  <c r="J1972" i="7"/>
  <c r="I1972" i="7"/>
  <c r="H1972" i="7"/>
  <c r="G1972" i="7"/>
  <c r="F1972" i="7"/>
  <c r="E1972" i="7"/>
  <c r="D1972" i="7"/>
  <c r="C1972" i="7"/>
  <c r="B1972" i="7"/>
  <c r="A1972" i="7"/>
  <c r="K1971" i="7"/>
  <c r="J1971" i="7"/>
  <c r="I1971" i="7"/>
  <c r="H1971" i="7"/>
  <c r="G1971" i="7"/>
  <c r="F1971" i="7"/>
  <c r="E1971" i="7"/>
  <c r="D1971" i="7"/>
  <c r="C1971" i="7"/>
  <c r="B1971" i="7"/>
  <c r="A1971" i="7"/>
  <c r="K1970" i="7"/>
  <c r="J1970" i="7"/>
  <c r="I1970" i="7"/>
  <c r="H1970" i="7"/>
  <c r="G1970" i="7"/>
  <c r="F1970" i="7"/>
  <c r="E1970" i="7"/>
  <c r="D1970" i="7"/>
  <c r="C1970" i="7"/>
  <c r="B1970" i="7"/>
  <c r="A1970" i="7"/>
  <c r="K1969" i="7"/>
  <c r="J1969" i="7"/>
  <c r="I1969" i="7"/>
  <c r="H1969" i="7"/>
  <c r="G1969" i="7"/>
  <c r="F1969" i="7"/>
  <c r="E1969" i="7"/>
  <c r="D1969" i="7"/>
  <c r="C1969" i="7"/>
  <c r="B1969" i="7"/>
  <c r="A1969" i="7"/>
  <c r="K1968" i="7"/>
  <c r="J1968" i="7"/>
  <c r="I1968" i="7"/>
  <c r="H1968" i="7"/>
  <c r="G1968" i="7"/>
  <c r="F1968" i="7"/>
  <c r="E1968" i="7"/>
  <c r="D1968" i="7"/>
  <c r="C1968" i="7"/>
  <c r="B1968" i="7"/>
  <c r="A1968" i="7"/>
  <c r="K1967" i="7"/>
  <c r="J1967" i="7"/>
  <c r="I1967" i="7"/>
  <c r="H1967" i="7"/>
  <c r="G1967" i="7"/>
  <c r="F1967" i="7"/>
  <c r="E1967" i="7"/>
  <c r="D1967" i="7"/>
  <c r="C1967" i="7"/>
  <c r="B1967" i="7"/>
  <c r="A1967" i="7"/>
  <c r="K1966" i="7"/>
  <c r="J1966" i="7"/>
  <c r="I1966" i="7"/>
  <c r="H1966" i="7"/>
  <c r="G1966" i="7"/>
  <c r="F1966" i="7"/>
  <c r="E1966" i="7"/>
  <c r="D1966" i="7"/>
  <c r="C1966" i="7"/>
  <c r="B1966" i="7"/>
  <c r="A1966" i="7"/>
  <c r="K1965" i="7"/>
  <c r="J1965" i="7"/>
  <c r="I1965" i="7"/>
  <c r="H1965" i="7"/>
  <c r="G1965" i="7"/>
  <c r="F1965" i="7"/>
  <c r="E1965" i="7"/>
  <c r="D1965" i="7"/>
  <c r="C1965" i="7"/>
  <c r="B1965" i="7"/>
  <c r="A1965" i="7"/>
  <c r="K1964" i="7"/>
  <c r="J1964" i="7"/>
  <c r="I1964" i="7"/>
  <c r="H1964" i="7"/>
  <c r="G1964" i="7"/>
  <c r="F1964" i="7"/>
  <c r="E1964" i="7"/>
  <c r="D1964" i="7"/>
  <c r="C1964" i="7"/>
  <c r="B1964" i="7"/>
  <c r="A1964" i="7"/>
  <c r="K1963" i="7"/>
  <c r="J1963" i="7"/>
  <c r="I1963" i="7"/>
  <c r="H1963" i="7"/>
  <c r="G1963" i="7"/>
  <c r="F1963" i="7"/>
  <c r="E1963" i="7"/>
  <c r="D1963" i="7"/>
  <c r="C1963" i="7"/>
  <c r="B1963" i="7"/>
  <c r="A1963" i="7"/>
  <c r="K1962" i="7"/>
  <c r="J1962" i="7"/>
  <c r="I1962" i="7"/>
  <c r="H1962" i="7"/>
  <c r="G1962" i="7"/>
  <c r="F1962" i="7"/>
  <c r="E1962" i="7"/>
  <c r="D1962" i="7"/>
  <c r="C1962" i="7"/>
  <c r="B1962" i="7"/>
  <c r="A1962" i="7"/>
  <c r="K1961" i="7"/>
  <c r="J1961" i="7"/>
  <c r="I1961" i="7"/>
  <c r="H1961" i="7"/>
  <c r="G1961" i="7"/>
  <c r="F1961" i="7"/>
  <c r="E1961" i="7"/>
  <c r="D1961" i="7"/>
  <c r="C1961" i="7"/>
  <c r="B1961" i="7"/>
  <c r="A1961" i="7"/>
  <c r="K1960" i="7"/>
  <c r="J1960" i="7"/>
  <c r="I1960" i="7"/>
  <c r="H1960" i="7"/>
  <c r="G1960" i="7"/>
  <c r="F1960" i="7"/>
  <c r="E1960" i="7"/>
  <c r="D1960" i="7"/>
  <c r="C1960" i="7"/>
  <c r="B1960" i="7"/>
  <c r="A1960" i="7"/>
  <c r="K1959" i="7"/>
  <c r="J1959" i="7"/>
  <c r="I1959" i="7"/>
  <c r="H1959" i="7"/>
  <c r="G1959" i="7"/>
  <c r="F1959" i="7"/>
  <c r="E1959" i="7"/>
  <c r="D1959" i="7"/>
  <c r="C1959" i="7"/>
  <c r="B1959" i="7"/>
  <c r="A1959" i="7"/>
  <c r="K1958" i="7"/>
  <c r="J1958" i="7"/>
  <c r="I1958" i="7"/>
  <c r="H1958" i="7"/>
  <c r="G1958" i="7"/>
  <c r="F1958" i="7"/>
  <c r="E1958" i="7"/>
  <c r="D1958" i="7"/>
  <c r="C1958" i="7"/>
  <c r="B1958" i="7"/>
  <c r="A1958" i="7"/>
  <c r="K1957" i="7"/>
  <c r="J1957" i="7"/>
  <c r="I1957" i="7"/>
  <c r="H1957" i="7"/>
  <c r="G1957" i="7"/>
  <c r="F1957" i="7"/>
  <c r="E1957" i="7"/>
  <c r="D1957" i="7"/>
  <c r="C1957" i="7"/>
  <c r="B1957" i="7"/>
  <c r="A1957" i="7"/>
  <c r="K1956" i="7"/>
  <c r="J1956" i="7"/>
  <c r="I1956" i="7"/>
  <c r="H1956" i="7"/>
  <c r="G1956" i="7"/>
  <c r="F1956" i="7"/>
  <c r="E1956" i="7"/>
  <c r="D1956" i="7"/>
  <c r="C1956" i="7"/>
  <c r="B1956" i="7"/>
  <c r="A1956" i="7"/>
  <c r="K1955" i="7"/>
  <c r="J1955" i="7"/>
  <c r="I1955" i="7"/>
  <c r="H1955" i="7"/>
  <c r="G1955" i="7"/>
  <c r="F1955" i="7"/>
  <c r="E1955" i="7"/>
  <c r="D1955" i="7"/>
  <c r="C1955" i="7"/>
  <c r="B1955" i="7"/>
  <c r="A1955" i="7"/>
  <c r="K1954" i="7"/>
  <c r="J1954" i="7"/>
  <c r="I1954" i="7"/>
  <c r="H1954" i="7"/>
  <c r="G1954" i="7"/>
  <c r="F1954" i="7"/>
  <c r="E1954" i="7"/>
  <c r="D1954" i="7"/>
  <c r="C1954" i="7"/>
  <c r="B1954" i="7"/>
  <c r="A1954" i="7"/>
  <c r="K1953" i="7"/>
  <c r="J1953" i="7"/>
  <c r="I1953" i="7"/>
  <c r="H1953" i="7"/>
  <c r="G1953" i="7"/>
  <c r="F1953" i="7"/>
  <c r="E1953" i="7"/>
  <c r="D1953" i="7"/>
  <c r="C1953" i="7"/>
  <c r="B1953" i="7"/>
  <c r="A1953" i="7"/>
  <c r="K1952" i="7"/>
  <c r="J1952" i="7"/>
  <c r="I1952" i="7"/>
  <c r="H1952" i="7"/>
  <c r="G1952" i="7"/>
  <c r="F1952" i="7"/>
  <c r="E1952" i="7"/>
  <c r="D1952" i="7"/>
  <c r="C1952" i="7"/>
  <c r="B1952" i="7"/>
  <c r="A1952" i="7"/>
  <c r="K1951" i="7"/>
  <c r="J1951" i="7"/>
  <c r="I1951" i="7"/>
  <c r="H1951" i="7"/>
  <c r="G1951" i="7"/>
  <c r="F1951" i="7"/>
  <c r="E1951" i="7"/>
  <c r="D1951" i="7"/>
  <c r="C1951" i="7"/>
  <c r="B1951" i="7"/>
  <c r="A1951" i="7"/>
  <c r="K1950" i="7"/>
  <c r="J1950" i="7"/>
  <c r="I1950" i="7"/>
  <c r="H1950" i="7"/>
  <c r="G1950" i="7"/>
  <c r="F1950" i="7"/>
  <c r="E1950" i="7"/>
  <c r="D1950" i="7"/>
  <c r="C1950" i="7"/>
  <c r="B1950" i="7"/>
  <c r="A1950" i="7"/>
  <c r="K1949" i="7"/>
  <c r="J1949" i="7"/>
  <c r="I1949" i="7"/>
  <c r="H1949" i="7"/>
  <c r="G1949" i="7"/>
  <c r="F1949" i="7"/>
  <c r="E1949" i="7"/>
  <c r="D1949" i="7"/>
  <c r="C1949" i="7"/>
  <c r="B1949" i="7"/>
  <c r="A1949" i="7"/>
  <c r="K1948" i="7"/>
  <c r="J1948" i="7"/>
  <c r="I1948" i="7"/>
  <c r="H1948" i="7"/>
  <c r="G1948" i="7"/>
  <c r="F1948" i="7"/>
  <c r="E1948" i="7"/>
  <c r="D1948" i="7"/>
  <c r="C1948" i="7"/>
  <c r="B1948" i="7"/>
  <c r="A1948" i="7"/>
  <c r="K1947" i="7"/>
  <c r="J1947" i="7"/>
  <c r="I1947" i="7"/>
  <c r="H1947" i="7"/>
  <c r="G1947" i="7"/>
  <c r="F1947" i="7"/>
  <c r="E1947" i="7"/>
  <c r="D1947" i="7"/>
  <c r="C1947" i="7"/>
  <c r="B1947" i="7"/>
  <c r="A1947" i="7"/>
  <c r="K1946" i="7"/>
  <c r="J1946" i="7"/>
  <c r="I1946" i="7"/>
  <c r="H1946" i="7"/>
  <c r="G1946" i="7"/>
  <c r="F1946" i="7"/>
  <c r="E1946" i="7"/>
  <c r="D1946" i="7"/>
  <c r="C1946" i="7"/>
  <c r="B1946" i="7"/>
  <c r="A1946" i="7"/>
  <c r="K1945" i="7"/>
  <c r="J1945" i="7"/>
  <c r="I1945" i="7"/>
  <c r="H1945" i="7"/>
  <c r="G1945" i="7"/>
  <c r="F1945" i="7"/>
  <c r="E1945" i="7"/>
  <c r="D1945" i="7"/>
  <c r="C1945" i="7"/>
  <c r="B1945" i="7"/>
  <c r="A1945" i="7"/>
  <c r="K1944" i="7"/>
  <c r="J1944" i="7"/>
  <c r="I1944" i="7"/>
  <c r="H1944" i="7"/>
  <c r="G1944" i="7"/>
  <c r="F1944" i="7"/>
  <c r="E1944" i="7"/>
  <c r="D1944" i="7"/>
  <c r="C1944" i="7"/>
  <c r="B1944" i="7"/>
  <c r="A1944" i="7"/>
  <c r="K1943" i="7"/>
  <c r="J1943" i="7"/>
  <c r="I1943" i="7"/>
  <c r="H1943" i="7"/>
  <c r="G1943" i="7"/>
  <c r="F1943" i="7"/>
  <c r="E1943" i="7"/>
  <c r="D1943" i="7"/>
  <c r="C1943" i="7"/>
  <c r="B1943" i="7"/>
  <c r="A1943" i="7"/>
  <c r="K1942" i="7"/>
  <c r="J1942" i="7"/>
  <c r="I1942" i="7"/>
  <c r="H1942" i="7"/>
  <c r="G1942" i="7"/>
  <c r="F1942" i="7"/>
  <c r="E1942" i="7"/>
  <c r="D1942" i="7"/>
  <c r="C1942" i="7"/>
  <c r="B1942" i="7"/>
  <c r="A1942" i="7"/>
  <c r="K1941" i="7"/>
  <c r="J1941" i="7"/>
  <c r="I1941" i="7"/>
  <c r="H1941" i="7"/>
  <c r="G1941" i="7"/>
  <c r="F1941" i="7"/>
  <c r="E1941" i="7"/>
  <c r="D1941" i="7"/>
  <c r="C1941" i="7"/>
  <c r="B1941" i="7"/>
  <c r="A1941" i="7"/>
  <c r="K1940" i="7"/>
  <c r="J1940" i="7"/>
  <c r="I1940" i="7"/>
  <c r="H1940" i="7"/>
  <c r="G1940" i="7"/>
  <c r="F1940" i="7"/>
  <c r="E1940" i="7"/>
  <c r="D1940" i="7"/>
  <c r="C1940" i="7"/>
  <c r="B1940" i="7"/>
  <c r="A1940" i="7"/>
  <c r="K1939" i="7"/>
  <c r="J1939" i="7"/>
  <c r="I1939" i="7"/>
  <c r="H1939" i="7"/>
  <c r="G1939" i="7"/>
  <c r="F1939" i="7"/>
  <c r="E1939" i="7"/>
  <c r="D1939" i="7"/>
  <c r="C1939" i="7"/>
  <c r="B1939" i="7"/>
  <c r="A1939" i="7"/>
  <c r="K1938" i="7"/>
  <c r="J1938" i="7"/>
  <c r="I1938" i="7"/>
  <c r="H1938" i="7"/>
  <c r="G1938" i="7"/>
  <c r="F1938" i="7"/>
  <c r="E1938" i="7"/>
  <c r="D1938" i="7"/>
  <c r="C1938" i="7"/>
  <c r="B1938" i="7"/>
  <c r="A1938" i="7"/>
  <c r="K1937" i="7"/>
  <c r="J1937" i="7"/>
  <c r="I1937" i="7"/>
  <c r="H1937" i="7"/>
  <c r="G1937" i="7"/>
  <c r="F1937" i="7"/>
  <c r="E1937" i="7"/>
  <c r="D1937" i="7"/>
  <c r="C1937" i="7"/>
  <c r="B1937" i="7"/>
  <c r="A1937" i="7"/>
  <c r="K1936" i="7"/>
  <c r="J1936" i="7"/>
  <c r="I1936" i="7"/>
  <c r="H1936" i="7"/>
  <c r="G1936" i="7"/>
  <c r="F1936" i="7"/>
  <c r="E1936" i="7"/>
  <c r="D1936" i="7"/>
  <c r="C1936" i="7"/>
  <c r="B1936" i="7"/>
  <c r="A1936" i="7"/>
  <c r="K1935" i="7"/>
  <c r="J1935" i="7"/>
  <c r="I1935" i="7"/>
  <c r="H1935" i="7"/>
  <c r="G1935" i="7"/>
  <c r="F1935" i="7"/>
  <c r="E1935" i="7"/>
  <c r="D1935" i="7"/>
  <c r="C1935" i="7"/>
  <c r="B1935" i="7"/>
  <c r="A1935" i="7"/>
  <c r="K1934" i="7"/>
  <c r="J1934" i="7"/>
  <c r="I1934" i="7"/>
  <c r="H1934" i="7"/>
  <c r="G1934" i="7"/>
  <c r="F1934" i="7"/>
  <c r="E1934" i="7"/>
  <c r="D1934" i="7"/>
  <c r="C1934" i="7"/>
  <c r="B1934" i="7"/>
  <c r="A1934" i="7"/>
  <c r="K1933" i="7"/>
  <c r="J1933" i="7"/>
  <c r="I1933" i="7"/>
  <c r="H1933" i="7"/>
  <c r="G1933" i="7"/>
  <c r="F1933" i="7"/>
  <c r="E1933" i="7"/>
  <c r="D1933" i="7"/>
  <c r="C1933" i="7"/>
  <c r="B1933" i="7"/>
  <c r="A1933" i="7"/>
  <c r="K1932" i="7"/>
  <c r="J1932" i="7"/>
  <c r="I1932" i="7"/>
  <c r="H1932" i="7"/>
  <c r="G1932" i="7"/>
  <c r="F1932" i="7"/>
  <c r="E1932" i="7"/>
  <c r="D1932" i="7"/>
  <c r="C1932" i="7"/>
  <c r="B1932" i="7"/>
  <c r="A1932" i="7"/>
  <c r="K1931" i="7"/>
  <c r="J1931" i="7"/>
  <c r="I1931" i="7"/>
  <c r="H1931" i="7"/>
  <c r="G1931" i="7"/>
  <c r="F1931" i="7"/>
  <c r="E1931" i="7"/>
  <c r="D1931" i="7"/>
  <c r="C1931" i="7"/>
  <c r="B1931" i="7"/>
  <c r="A1931" i="7"/>
  <c r="K1930" i="7"/>
  <c r="J1930" i="7"/>
  <c r="I1930" i="7"/>
  <c r="H1930" i="7"/>
  <c r="G1930" i="7"/>
  <c r="F1930" i="7"/>
  <c r="E1930" i="7"/>
  <c r="D1930" i="7"/>
  <c r="C1930" i="7"/>
  <c r="B1930" i="7"/>
  <c r="A1930" i="7"/>
  <c r="K1929" i="7"/>
  <c r="J1929" i="7"/>
  <c r="I1929" i="7"/>
  <c r="H1929" i="7"/>
  <c r="G1929" i="7"/>
  <c r="F1929" i="7"/>
  <c r="E1929" i="7"/>
  <c r="D1929" i="7"/>
  <c r="C1929" i="7"/>
  <c r="B1929" i="7"/>
  <c r="A1929" i="7"/>
  <c r="K1928" i="7"/>
  <c r="J1928" i="7"/>
  <c r="I1928" i="7"/>
  <c r="H1928" i="7"/>
  <c r="G1928" i="7"/>
  <c r="F1928" i="7"/>
  <c r="E1928" i="7"/>
  <c r="D1928" i="7"/>
  <c r="C1928" i="7"/>
  <c r="B1928" i="7"/>
  <c r="A1928" i="7"/>
  <c r="K1927" i="7"/>
  <c r="J1927" i="7"/>
  <c r="I1927" i="7"/>
  <c r="H1927" i="7"/>
  <c r="G1927" i="7"/>
  <c r="F1927" i="7"/>
  <c r="E1927" i="7"/>
  <c r="D1927" i="7"/>
  <c r="C1927" i="7"/>
  <c r="B1927" i="7"/>
  <c r="A1927" i="7"/>
  <c r="K1926" i="7"/>
  <c r="J1926" i="7"/>
  <c r="I1926" i="7"/>
  <c r="H1926" i="7"/>
  <c r="G1926" i="7"/>
  <c r="F1926" i="7"/>
  <c r="E1926" i="7"/>
  <c r="D1926" i="7"/>
  <c r="C1926" i="7"/>
  <c r="B1926" i="7"/>
  <c r="A1926" i="7"/>
  <c r="K1925" i="7"/>
  <c r="J1925" i="7"/>
  <c r="I1925" i="7"/>
  <c r="H1925" i="7"/>
  <c r="G1925" i="7"/>
  <c r="F1925" i="7"/>
  <c r="E1925" i="7"/>
  <c r="D1925" i="7"/>
  <c r="C1925" i="7"/>
  <c r="B1925" i="7"/>
  <c r="A1925" i="7"/>
  <c r="K1924" i="7"/>
  <c r="J1924" i="7"/>
  <c r="I1924" i="7"/>
  <c r="H1924" i="7"/>
  <c r="G1924" i="7"/>
  <c r="F1924" i="7"/>
  <c r="E1924" i="7"/>
  <c r="D1924" i="7"/>
  <c r="C1924" i="7"/>
  <c r="B1924" i="7"/>
  <c r="A1924" i="7"/>
  <c r="K1923" i="7"/>
  <c r="J1923" i="7"/>
  <c r="I1923" i="7"/>
  <c r="H1923" i="7"/>
  <c r="G1923" i="7"/>
  <c r="F1923" i="7"/>
  <c r="E1923" i="7"/>
  <c r="D1923" i="7"/>
  <c r="C1923" i="7"/>
  <c r="B1923" i="7"/>
  <c r="A1923" i="7"/>
  <c r="K1922" i="7"/>
  <c r="J1922" i="7"/>
  <c r="I1922" i="7"/>
  <c r="H1922" i="7"/>
  <c r="G1922" i="7"/>
  <c r="F1922" i="7"/>
  <c r="E1922" i="7"/>
  <c r="D1922" i="7"/>
  <c r="C1922" i="7"/>
  <c r="B1922" i="7"/>
  <c r="A1922" i="7"/>
  <c r="K1921" i="7"/>
  <c r="J1921" i="7"/>
  <c r="I1921" i="7"/>
  <c r="H1921" i="7"/>
  <c r="G1921" i="7"/>
  <c r="F1921" i="7"/>
  <c r="E1921" i="7"/>
  <c r="D1921" i="7"/>
  <c r="C1921" i="7"/>
  <c r="B1921" i="7"/>
  <c r="A1921" i="7"/>
  <c r="K1920" i="7"/>
  <c r="J1920" i="7"/>
  <c r="I1920" i="7"/>
  <c r="H1920" i="7"/>
  <c r="G1920" i="7"/>
  <c r="F1920" i="7"/>
  <c r="E1920" i="7"/>
  <c r="D1920" i="7"/>
  <c r="C1920" i="7"/>
  <c r="B1920" i="7"/>
  <c r="A1920" i="7"/>
  <c r="K1919" i="7"/>
  <c r="J1919" i="7"/>
  <c r="I1919" i="7"/>
  <c r="H1919" i="7"/>
  <c r="G1919" i="7"/>
  <c r="F1919" i="7"/>
  <c r="E1919" i="7"/>
  <c r="D1919" i="7"/>
  <c r="C1919" i="7"/>
  <c r="B1919" i="7"/>
  <c r="A1919" i="7"/>
  <c r="K1918" i="7"/>
  <c r="J1918" i="7"/>
  <c r="I1918" i="7"/>
  <c r="H1918" i="7"/>
  <c r="G1918" i="7"/>
  <c r="F1918" i="7"/>
  <c r="E1918" i="7"/>
  <c r="D1918" i="7"/>
  <c r="C1918" i="7"/>
  <c r="B1918" i="7"/>
  <c r="A1918" i="7"/>
  <c r="K1917" i="7"/>
  <c r="J1917" i="7"/>
  <c r="I1917" i="7"/>
  <c r="H1917" i="7"/>
  <c r="G1917" i="7"/>
  <c r="F1917" i="7"/>
  <c r="E1917" i="7"/>
  <c r="D1917" i="7"/>
  <c r="C1917" i="7"/>
  <c r="B1917" i="7"/>
  <c r="A1917" i="7"/>
  <c r="K1916" i="7"/>
  <c r="J1916" i="7"/>
  <c r="I1916" i="7"/>
  <c r="H1916" i="7"/>
  <c r="G1916" i="7"/>
  <c r="F1916" i="7"/>
  <c r="E1916" i="7"/>
  <c r="D1916" i="7"/>
  <c r="C1916" i="7"/>
  <c r="B1916" i="7"/>
  <c r="A1916" i="7"/>
  <c r="K1915" i="7"/>
  <c r="J1915" i="7"/>
  <c r="I1915" i="7"/>
  <c r="H1915" i="7"/>
  <c r="G1915" i="7"/>
  <c r="F1915" i="7"/>
  <c r="E1915" i="7"/>
  <c r="D1915" i="7"/>
  <c r="C1915" i="7"/>
  <c r="B1915" i="7"/>
  <c r="A1915" i="7"/>
  <c r="K1914" i="7"/>
  <c r="J1914" i="7"/>
  <c r="I1914" i="7"/>
  <c r="H1914" i="7"/>
  <c r="G1914" i="7"/>
  <c r="F1914" i="7"/>
  <c r="E1914" i="7"/>
  <c r="D1914" i="7"/>
  <c r="C1914" i="7"/>
  <c r="B1914" i="7"/>
  <c r="A1914" i="7"/>
  <c r="K1913" i="7"/>
  <c r="J1913" i="7"/>
  <c r="I1913" i="7"/>
  <c r="H1913" i="7"/>
  <c r="G1913" i="7"/>
  <c r="F1913" i="7"/>
  <c r="E1913" i="7"/>
  <c r="D1913" i="7"/>
  <c r="C1913" i="7"/>
  <c r="B1913" i="7"/>
  <c r="A1913" i="7"/>
  <c r="K1912" i="7"/>
  <c r="J1912" i="7"/>
  <c r="I1912" i="7"/>
  <c r="H1912" i="7"/>
  <c r="G1912" i="7"/>
  <c r="F1912" i="7"/>
  <c r="E1912" i="7"/>
  <c r="D1912" i="7"/>
  <c r="C1912" i="7"/>
  <c r="B1912" i="7"/>
  <c r="A1912" i="7"/>
  <c r="K1911" i="7"/>
  <c r="J1911" i="7"/>
  <c r="I1911" i="7"/>
  <c r="H1911" i="7"/>
  <c r="G1911" i="7"/>
  <c r="F1911" i="7"/>
  <c r="E1911" i="7"/>
  <c r="D1911" i="7"/>
  <c r="C1911" i="7"/>
  <c r="B1911" i="7"/>
  <c r="A1911" i="7"/>
  <c r="K1910" i="7"/>
  <c r="J1910" i="7"/>
  <c r="I1910" i="7"/>
  <c r="H1910" i="7"/>
  <c r="G1910" i="7"/>
  <c r="F1910" i="7"/>
  <c r="E1910" i="7"/>
  <c r="D1910" i="7"/>
  <c r="C1910" i="7"/>
  <c r="B1910" i="7"/>
  <c r="A1910" i="7"/>
  <c r="K1909" i="7"/>
  <c r="J1909" i="7"/>
  <c r="I1909" i="7"/>
  <c r="H1909" i="7"/>
  <c r="G1909" i="7"/>
  <c r="F1909" i="7"/>
  <c r="E1909" i="7"/>
  <c r="D1909" i="7"/>
  <c r="C1909" i="7"/>
  <c r="B1909" i="7"/>
  <c r="A1909" i="7"/>
  <c r="K1908" i="7"/>
  <c r="J1908" i="7"/>
  <c r="I1908" i="7"/>
  <c r="H1908" i="7"/>
  <c r="G1908" i="7"/>
  <c r="F1908" i="7"/>
  <c r="E1908" i="7"/>
  <c r="D1908" i="7"/>
  <c r="C1908" i="7"/>
  <c r="B1908" i="7"/>
  <c r="A1908" i="7"/>
  <c r="K1907" i="7"/>
  <c r="J1907" i="7"/>
  <c r="I1907" i="7"/>
  <c r="H1907" i="7"/>
  <c r="G1907" i="7"/>
  <c r="F1907" i="7"/>
  <c r="E1907" i="7"/>
  <c r="D1907" i="7"/>
  <c r="C1907" i="7"/>
  <c r="B1907" i="7"/>
  <c r="A1907" i="7"/>
  <c r="K1906" i="7"/>
  <c r="J1906" i="7"/>
  <c r="I1906" i="7"/>
  <c r="H1906" i="7"/>
  <c r="G1906" i="7"/>
  <c r="F1906" i="7"/>
  <c r="E1906" i="7"/>
  <c r="D1906" i="7"/>
  <c r="C1906" i="7"/>
  <c r="B1906" i="7"/>
  <c r="A1906" i="7"/>
  <c r="K1905" i="7"/>
  <c r="J1905" i="7"/>
  <c r="I1905" i="7"/>
  <c r="H1905" i="7"/>
  <c r="G1905" i="7"/>
  <c r="F1905" i="7"/>
  <c r="E1905" i="7"/>
  <c r="D1905" i="7"/>
  <c r="C1905" i="7"/>
  <c r="B1905" i="7"/>
  <c r="A1905" i="7"/>
  <c r="K1904" i="7"/>
  <c r="J1904" i="7"/>
  <c r="I1904" i="7"/>
  <c r="H1904" i="7"/>
  <c r="G1904" i="7"/>
  <c r="F1904" i="7"/>
  <c r="E1904" i="7"/>
  <c r="D1904" i="7"/>
  <c r="C1904" i="7"/>
  <c r="B1904" i="7"/>
  <c r="A1904" i="7"/>
  <c r="K1903" i="7"/>
  <c r="J1903" i="7"/>
  <c r="I1903" i="7"/>
  <c r="H1903" i="7"/>
  <c r="G1903" i="7"/>
  <c r="F1903" i="7"/>
  <c r="E1903" i="7"/>
  <c r="D1903" i="7"/>
  <c r="C1903" i="7"/>
  <c r="B1903" i="7"/>
  <c r="A1903" i="7"/>
  <c r="K1902" i="7"/>
  <c r="J1902" i="7"/>
  <c r="I1902" i="7"/>
  <c r="H1902" i="7"/>
  <c r="G1902" i="7"/>
  <c r="F1902" i="7"/>
  <c r="E1902" i="7"/>
  <c r="D1902" i="7"/>
  <c r="C1902" i="7"/>
  <c r="B1902" i="7"/>
  <c r="A1902" i="7"/>
  <c r="K1901" i="7"/>
  <c r="J1901" i="7"/>
  <c r="I1901" i="7"/>
  <c r="H1901" i="7"/>
  <c r="G1901" i="7"/>
  <c r="F1901" i="7"/>
  <c r="E1901" i="7"/>
  <c r="D1901" i="7"/>
  <c r="C1901" i="7"/>
  <c r="B1901" i="7"/>
  <c r="A1901" i="7"/>
  <c r="K1900" i="7"/>
  <c r="J1900" i="7"/>
  <c r="I1900" i="7"/>
  <c r="H1900" i="7"/>
  <c r="G1900" i="7"/>
  <c r="F1900" i="7"/>
  <c r="E1900" i="7"/>
  <c r="D1900" i="7"/>
  <c r="C1900" i="7"/>
  <c r="B1900" i="7"/>
  <c r="A1900" i="7"/>
  <c r="K1899" i="7"/>
  <c r="J1899" i="7"/>
  <c r="I1899" i="7"/>
  <c r="H1899" i="7"/>
  <c r="G1899" i="7"/>
  <c r="F1899" i="7"/>
  <c r="E1899" i="7"/>
  <c r="D1899" i="7"/>
  <c r="C1899" i="7"/>
  <c r="B1899" i="7"/>
  <c r="A1899" i="7"/>
  <c r="K1898" i="7"/>
  <c r="J1898" i="7"/>
  <c r="I1898" i="7"/>
  <c r="H1898" i="7"/>
  <c r="G1898" i="7"/>
  <c r="F1898" i="7"/>
  <c r="E1898" i="7"/>
  <c r="D1898" i="7"/>
  <c r="C1898" i="7"/>
  <c r="B1898" i="7"/>
  <c r="A1898" i="7"/>
  <c r="K1897" i="7"/>
  <c r="J1897" i="7"/>
  <c r="I1897" i="7"/>
  <c r="H1897" i="7"/>
  <c r="G1897" i="7"/>
  <c r="F1897" i="7"/>
  <c r="E1897" i="7"/>
  <c r="D1897" i="7"/>
  <c r="C1897" i="7"/>
  <c r="B1897" i="7"/>
  <c r="A1897" i="7"/>
  <c r="K1896" i="7"/>
  <c r="J1896" i="7"/>
  <c r="I1896" i="7"/>
  <c r="H1896" i="7"/>
  <c r="G1896" i="7"/>
  <c r="F1896" i="7"/>
  <c r="E1896" i="7"/>
  <c r="D1896" i="7"/>
  <c r="C1896" i="7"/>
  <c r="B1896" i="7"/>
  <c r="A1896" i="7"/>
  <c r="K1895" i="7"/>
  <c r="J1895" i="7"/>
  <c r="I1895" i="7"/>
  <c r="H1895" i="7"/>
  <c r="G1895" i="7"/>
  <c r="F1895" i="7"/>
  <c r="E1895" i="7"/>
  <c r="D1895" i="7"/>
  <c r="C1895" i="7"/>
  <c r="B1895" i="7"/>
  <c r="A1895" i="7"/>
  <c r="K1894" i="7"/>
  <c r="J1894" i="7"/>
  <c r="I1894" i="7"/>
  <c r="H1894" i="7"/>
  <c r="G1894" i="7"/>
  <c r="F1894" i="7"/>
  <c r="E1894" i="7"/>
  <c r="D1894" i="7"/>
  <c r="C1894" i="7"/>
  <c r="B1894" i="7"/>
  <c r="A1894" i="7"/>
  <c r="K1893" i="7"/>
  <c r="J1893" i="7"/>
  <c r="I1893" i="7"/>
  <c r="H1893" i="7"/>
  <c r="G1893" i="7"/>
  <c r="F1893" i="7"/>
  <c r="E1893" i="7"/>
  <c r="D1893" i="7"/>
  <c r="C1893" i="7"/>
  <c r="B1893" i="7"/>
  <c r="A1893" i="7"/>
  <c r="K1892" i="7"/>
  <c r="J1892" i="7"/>
  <c r="I1892" i="7"/>
  <c r="H1892" i="7"/>
  <c r="G1892" i="7"/>
  <c r="F1892" i="7"/>
  <c r="E1892" i="7"/>
  <c r="D1892" i="7"/>
  <c r="C1892" i="7"/>
  <c r="B1892" i="7"/>
  <c r="A1892" i="7"/>
  <c r="K1891" i="7"/>
  <c r="J1891" i="7"/>
  <c r="I1891" i="7"/>
  <c r="H1891" i="7"/>
  <c r="G1891" i="7"/>
  <c r="F1891" i="7"/>
  <c r="E1891" i="7"/>
  <c r="D1891" i="7"/>
  <c r="C1891" i="7"/>
  <c r="B1891" i="7"/>
  <c r="A1891" i="7"/>
  <c r="K1890" i="7"/>
  <c r="J1890" i="7"/>
  <c r="I1890" i="7"/>
  <c r="H1890" i="7"/>
  <c r="G1890" i="7"/>
  <c r="F1890" i="7"/>
  <c r="E1890" i="7"/>
  <c r="D1890" i="7"/>
  <c r="C1890" i="7"/>
  <c r="B1890" i="7"/>
  <c r="A1890" i="7"/>
  <c r="K1889" i="7"/>
  <c r="J1889" i="7"/>
  <c r="I1889" i="7"/>
  <c r="H1889" i="7"/>
  <c r="G1889" i="7"/>
  <c r="F1889" i="7"/>
  <c r="E1889" i="7"/>
  <c r="D1889" i="7"/>
  <c r="C1889" i="7"/>
  <c r="B1889" i="7"/>
  <c r="A1889" i="7"/>
  <c r="K1888" i="7"/>
  <c r="J1888" i="7"/>
  <c r="I1888" i="7"/>
  <c r="H1888" i="7"/>
  <c r="G1888" i="7"/>
  <c r="F1888" i="7"/>
  <c r="E1888" i="7"/>
  <c r="D1888" i="7"/>
  <c r="C1888" i="7"/>
  <c r="B1888" i="7"/>
  <c r="A1888" i="7"/>
  <c r="K1887" i="7"/>
  <c r="J1887" i="7"/>
  <c r="I1887" i="7"/>
  <c r="H1887" i="7"/>
  <c r="G1887" i="7"/>
  <c r="F1887" i="7"/>
  <c r="E1887" i="7"/>
  <c r="D1887" i="7"/>
  <c r="C1887" i="7"/>
  <c r="B1887" i="7"/>
  <c r="A1887" i="7"/>
  <c r="K1886" i="7"/>
  <c r="J1886" i="7"/>
  <c r="I1886" i="7"/>
  <c r="H1886" i="7"/>
  <c r="G1886" i="7"/>
  <c r="F1886" i="7"/>
  <c r="E1886" i="7"/>
  <c r="D1886" i="7"/>
  <c r="C1886" i="7"/>
  <c r="B1886" i="7"/>
  <c r="A1886" i="7"/>
  <c r="K1885" i="7"/>
  <c r="J1885" i="7"/>
  <c r="I1885" i="7"/>
  <c r="H1885" i="7"/>
  <c r="G1885" i="7"/>
  <c r="F1885" i="7"/>
  <c r="E1885" i="7"/>
  <c r="D1885" i="7"/>
  <c r="C1885" i="7"/>
  <c r="B1885" i="7"/>
  <c r="A1885" i="7"/>
  <c r="K1884" i="7"/>
  <c r="J1884" i="7"/>
  <c r="I1884" i="7"/>
  <c r="H1884" i="7"/>
  <c r="G1884" i="7"/>
  <c r="F1884" i="7"/>
  <c r="E1884" i="7"/>
  <c r="D1884" i="7"/>
  <c r="C1884" i="7"/>
  <c r="B1884" i="7"/>
  <c r="A1884" i="7"/>
  <c r="K1883" i="7"/>
  <c r="J1883" i="7"/>
  <c r="I1883" i="7"/>
  <c r="H1883" i="7"/>
  <c r="G1883" i="7"/>
  <c r="F1883" i="7"/>
  <c r="E1883" i="7"/>
  <c r="D1883" i="7"/>
  <c r="C1883" i="7"/>
  <c r="B1883" i="7"/>
  <c r="A1883" i="7"/>
  <c r="K1882" i="7"/>
  <c r="J1882" i="7"/>
  <c r="I1882" i="7"/>
  <c r="H1882" i="7"/>
  <c r="G1882" i="7"/>
  <c r="F1882" i="7"/>
  <c r="E1882" i="7"/>
  <c r="D1882" i="7"/>
  <c r="C1882" i="7"/>
  <c r="B1882" i="7"/>
  <c r="A1882" i="7"/>
  <c r="K1881" i="7"/>
  <c r="J1881" i="7"/>
  <c r="I1881" i="7"/>
  <c r="H1881" i="7"/>
  <c r="G1881" i="7"/>
  <c r="F1881" i="7"/>
  <c r="E1881" i="7"/>
  <c r="D1881" i="7"/>
  <c r="C1881" i="7"/>
  <c r="B1881" i="7"/>
  <c r="A1881" i="7"/>
  <c r="K1880" i="7"/>
  <c r="J1880" i="7"/>
  <c r="I1880" i="7"/>
  <c r="H1880" i="7"/>
  <c r="G1880" i="7"/>
  <c r="F1880" i="7"/>
  <c r="E1880" i="7"/>
  <c r="D1880" i="7"/>
  <c r="C1880" i="7"/>
  <c r="B1880" i="7"/>
  <c r="A1880" i="7"/>
  <c r="K1879" i="7"/>
  <c r="J1879" i="7"/>
  <c r="I1879" i="7"/>
  <c r="H1879" i="7"/>
  <c r="G1879" i="7"/>
  <c r="F1879" i="7"/>
  <c r="E1879" i="7"/>
  <c r="D1879" i="7"/>
  <c r="C1879" i="7"/>
  <c r="B1879" i="7"/>
  <c r="A1879" i="7"/>
  <c r="K1878" i="7"/>
  <c r="J1878" i="7"/>
  <c r="I1878" i="7"/>
  <c r="H1878" i="7"/>
  <c r="G1878" i="7"/>
  <c r="F1878" i="7"/>
  <c r="E1878" i="7"/>
  <c r="D1878" i="7"/>
  <c r="C1878" i="7"/>
  <c r="B1878" i="7"/>
  <c r="A1878" i="7"/>
  <c r="K1877" i="7"/>
  <c r="J1877" i="7"/>
  <c r="I1877" i="7"/>
  <c r="H1877" i="7"/>
  <c r="G1877" i="7"/>
  <c r="F1877" i="7"/>
  <c r="E1877" i="7"/>
  <c r="D1877" i="7"/>
  <c r="C1877" i="7"/>
  <c r="B1877" i="7"/>
  <c r="A1877" i="7"/>
  <c r="K1876" i="7"/>
  <c r="J1876" i="7"/>
  <c r="I1876" i="7"/>
  <c r="H1876" i="7"/>
  <c r="G1876" i="7"/>
  <c r="F1876" i="7"/>
  <c r="E1876" i="7"/>
  <c r="D1876" i="7"/>
  <c r="C1876" i="7"/>
  <c r="B1876" i="7"/>
  <c r="A1876" i="7"/>
  <c r="K1875" i="7"/>
  <c r="J1875" i="7"/>
  <c r="I1875" i="7"/>
  <c r="H1875" i="7"/>
  <c r="G1875" i="7"/>
  <c r="F1875" i="7"/>
  <c r="E1875" i="7"/>
  <c r="D1875" i="7"/>
  <c r="C1875" i="7"/>
  <c r="B1875" i="7"/>
  <c r="A1875" i="7"/>
  <c r="K1874" i="7"/>
  <c r="J1874" i="7"/>
  <c r="I1874" i="7"/>
  <c r="H1874" i="7"/>
  <c r="G1874" i="7"/>
  <c r="F1874" i="7"/>
  <c r="E1874" i="7"/>
  <c r="D1874" i="7"/>
  <c r="C1874" i="7"/>
  <c r="B1874" i="7"/>
  <c r="A1874" i="7"/>
  <c r="K1873" i="7"/>
  <c r="J1873" i="7"/>
  <c r="I1873" i="7"/>
  <c r="H1873" i="7"/>
  <c r="G1873" i="7"/>
  <c r="F1873" i="7"/>
  <c r="E1873" i="7"/>
  <c r="D1873" i="7"/>
  <c r="C1873" i="7"/>
  <c r="B1873" i="7"/>
  <c r="A1873" i="7"/>
  <c r="K1872" i="7"/>
  <c r="J1872" i="7"/>
  <c r="I1872" i="7"/>
  <c r="H1872" i="7"/>
  <c r="G1872" i="7"/>
  <c r="F1872" i="7"/>
  <c r="E1872" i="7"/>
  <c r="D1872" i="7"/>
  <c r="C1872" i="7"/>
  <c r="B1872" i="7"/>
  <c r="A1872" i="7"/>
  <c r="K1871" i="7"/>
  <c r="J1871" i="7"/>
  <c r="I1871" i="7"/>
  <c r="H1871" i="7"/>
  <c r="G1871" i="7"/>
  <c r="F1871" i="7"/>
  <c r="E1871" i="7"/>
  <c r="D1871" i="7"/>
  <c r="C1871" i="7"/>
  <c r="B1871" i="7"/>
  <c r="A1871" i="7"/>
  <c r="K1870" i="7"/>
  <c r="J1870" i="7"/>
  <c r="I1870" i="7"/>
  <c r="H1870" i="7"/>
  <c r="G1870" i="7"/>
  <c r="F1870" i="7"/>
  <c r="E1870" i="7"/>
  <c r="D1870" i="7"/>
  <c r="C1870" i="7"/>
  <c r="B1870" i="7"/>
  <c r="A1870" i="7"/>
  <c r="K1869" i="7"/>
  <c r="J1869" i="7"/>
  <c r="I1869" i="7"/>
  <c r="H1869" i="7"/>
  <c r="G1869" i="7"/>
  <c r="F1869" i="7"/>
  <c r="E1869" i="7"/>
  <c r="D1869" i="7"/>
  <c r="C1869" i="7"/>
  <c r="B1869" i="7"/>
  <c r="A1869" i="7"/>
  <c r="K1868" i="7"/>
  <c r="J1868" i="7"/>
  <c r="I1868" i="7"/>
  <c r="H1868" i="7"/>
  <c r="G1868" i="7"/>
  <c r="F1868" i="7"/>
  <c r="E1868" i="7"/>
  <c r="D1868" i="7"/>
  <c r="C1868" i="7"/>
  <c r="B1868" i="7"/>
  <c r="A1868" i="7"/>
  <c r="K1867" i="7"/>
  <c r="J1867" i="7"/>
  <c r="I1867" i="7"/>
  <c r="H1867" i="7"/>
  <c r="G1867" i="7"/>
  <c r="F1867" i="7"/>
  <c r="E1867" i="7"/>
  <c r="D1867" i="7"/>
  <c r="C1867" i="7"/>
  <c r="B1867" i="7"/>
  <c r="A1867" i="7"/>
  <c r="K1866" i="7"/>
  <c r="J1866" i="7"/>
  <c r="I1866" i="7"/>
  <c r="H1866" i="7"/>
  <c r="G1866" i="7"/>
  <c r="F1866" i="7"/>
  <c r="E1866" i="7"/>
  <c r="D1866" i="7"/>
  <c r="C1866" i="7"/>
  <c r="B1866" i="7"/>
  <c r="A1866" i="7"/>
  <c r="K1865" i="7"/>
  <c r="J1865" i="7"/>
  <c r="I1865" i="7"/>
  <c r="H1865" i="7"/>
  <c r="G1865" i="7"/>
  <c r="F1865" i="7"/>
  <c r="E1865" i="7"/>
  <c r="D1865" i="7"/>
  <c r="C1865" i="7"/>
  <c r="B1865" i="7"/>
  <c r="A1865" i="7"/>
  <c r="K1864" i="7"/>
  <c r="J1864" i="7"/>
  <c r="I1864" i="7"/>
  <c r="H1864" i="7"/>
  <c r="G1864" i="7"/>
  <c r="F1864" i="7"/>
  <c r="E1864" i="7"/>
  <c r="D1864" i="7"/>
  <c r="C1864" i="7"/>
  <c r="B1864" i="7"/>
  <c r="A1864" i="7"/>
  <c r="K1863" i="7"/>
  <c r="J1863" i="7"/>
  <c r="I1863" i="7"/>
  <c r="H1863" i="7"/>
  <c r="G1863" i="7"/>
  <c r="F1863" i="7"/>
  <c r="E1863" i="7"/>
  <c r="D1863" i="7"/>
  <c r="C1863" i="7"/>
  <c r="B1863" i="7"/>
  <c r="A1863" i="7"/>
  <c r="K1862" i="7"/>
  <c r="J1862" i="7"/>
  <c r="I1862" i="7"/>
  <c r="H1862" i="7"/>
  <c r="G1862" i="7"/>
  <c r="F1862" i="7"/>
  <c r="E1862" i="7"/>
  <c r="D1862" i="7"/>
  <c r="C1862" i="7"/>
  <c r="B1862" i="7"/>
  <c r="A1862" i="7"/>
  <c r="K1861" i="7"/>
  <c r="J1861" i="7"/>
  <c r="I1861" i="7"/>
  <c r="H1861" i="7"/>
  <c r="G1861" i="7"/>
  <c r="F1861" i="7"/>
  <c r="E1861" i="7"/>
  <c r="D1861" i="7"/>
  <c r="C1861" i="7"/>
  <c r="B1861" i="7"/>
  <c r="A1861" i="7"/>
  <c r="K1860" i="7"/>
  <c r="J1860" i="7"/>
  <c r="I1860" i="7"/>
  <c r="H1860" i="7"/>
  <c r="G1860" i="7"/>
  <c r="F1860" i="7"/>
  <c r="E1860" i="7"/>
  <c r="D1860" i="7"/>
  <c r="C1860" i="7"/>
  <c r="B1860" i="7"/>
  <c r="A1860" i="7"/>
  <c r="K1859" i="7"/>
  <c r="J1859" i="7"/>
  <c r="I1859" i="7"/>
  <c r="H1859" i="7"/>
  <c r="G1859" i="7"/>
  <c r="F1859" i="7"/>
  <c r="E1859" i="7"/>
  <c r="D1859" i="7"/>
  <c r="C1859" i="7"/>
  <c r="B1859" i="7"/>
  <c r="A1859" i="7"/>
  <c r="K1858" i="7"/>
  <c r="J1858" i="7"/>
  <c r="I1858" i="7"/>
  <c r="H1858" i="7"/>
  <c r="G1858" i="7"/>
  <c r="F1858" i="7"/>
  <c r="E1858" i="7"/>
  <c r="D1858" i="7"/>
  <c r="C1858" i="7"/>
  <c r="B1858" i="7"/>
  <c r="A1858" i="7"/>
  <c r="K1857" i="7"/>
  <c r="J1857" i="7"/>
  <c r="I1857" i="7"/>
  <c r="H1857" i="7"/>
  <c r="G1857" i="7"/>
  <c r="F1857" i="7"/>
  <c r="E1857" i="7"/>
  <c r="D1857" i="7"/>
  <c r="C1857" i="7"/>
  <c r="B1857" i="7"/>
  <c r="A1857" i="7"/>
  <c r="K1856" i="7"/>
  <c r="J1856" i="7"/>
  <c r="I1856" i="7"/>
  <c r="H1856" i="7"/>
  <c r="G1856" i="7"/>
  <c r="F1856" i="7"/>
  <c r="E1856" i="7"/>
  <c r="D1856" i="7"/>
  <c r="C1856" i="7"/>
  <c r="B1856" i="7"/>
  <c r="A1856" i="7"/>
  <c r="K1855" i="7"/>
  <c r="J1855" i="7"/>
  <c r="I1855" i="7"/>
  <c r="H1855" i="7"/>
  <c r="G1855" i="7"/>
  <c r="F1855" i="7"/>
  <c r="E1855" i="7"/>
  <c r="D1855" i="7"/>
  <c r="C1855" i="7"/>
  <c r="B1855" i="7"/>
  <c r="A1855" i="7"/>
  <c r="K1854" i="7"/>
  <c r="J1854" i="7"/>
  <c r="I1854" i="7"/>
  <c r="H1854" i="7"/>
  <c r="G1854" i="7"/>
  <c r="F1854" i="7"/>
  <c r="E1854" i="7"/>
  <c r="D1854" i="7"/>
  <c r="C1854" i="7"/>
  <c r="B1854" i="7"/>
  <c r="A1854" i="7"/>
  <c r="K1853" i="7"/>
  <c r="J1853" i="7"/>
  <c r="I1853" i="7"/>
  <c r="H1853" i="7"/>
  <c r="G1853" i="7"/>
  <c r="F1853" i="7"/>
  <c r="E1853" i="7"/>
  <c r="D1853" i="7"/>
  <c r="C1853" i="7"/>
  <c r="B1853" i="7"/>
  <c r="A1853" i="7"/>
  <c r="K1852" i="7"/>
  <c r="J1852" i="7"/>
  <c r="I1852" i="7"/>
  <c r="H1852" i="7"/>
  <c r="G1852" i="7"/>
  <c r="F1852" i="7"/>
  <c r="E1852" i="7"/>
  <c r="D1852" i="7"/>
  <c r="C1852" i="7"/>
  <c r="B1852" i="7"/>
  <c r="A1852" i="7"/>
  <c r="K1851" i="7"/>
  <c r="J1851" i="7"/>
  <c r="I1851" i="7"/>
  <c r="H1851" i="7"/>
  <c r="G1851" i="7"/>
  <c r="F1851" i="7"/>
  <c r="E1851" i="7"/>
  <c r="D1851" i="7"/>
  <c r="C1851" i="7"/>
  <c r="B1851" i="7"/>
  <c r="A1851" i="7"/>
  <c r="K1850" i="7"/>
  <c r="J1850" i="7"/>
  <c r="I1850" i="7"/>
  <c r="H1850" i="7"/>
  <c r="G1850" i="7"/>
  <c r="F1850" i="7"/>
  <c r="E1850" i="7"/>
  <c r="D1850" i="7"/>
  <c r="C1850" i="7"/>
  <c r="B1850" i="7"/>
  <c r="A1850" i="7"/>
  <c r="K1849" i="7"/>
  <c r="J1849" i="7"/>
  <c r="I1849" i="7"/>
  <c r="H1849" i="7"/>
  <c r="G1849" i="7"/>
  <c r="F1849" i="7"/>
  <c r="E1849" i="7"/>
  <c r="D1849" i="7"/>
  <c r="C1849" i="7"/>
  <c r="B1849" i="7"/>
  <c r="A1849" i="7"/>
  <c r="K1848" i="7"/>
  <c r="J1848" i="7"/>
  <c r="I1848" i="7"/>
  <c r="H1848" i="7"/>
  <c r="G1848" i="7"/>
  <c r="F1848" i="7"/>
  <c r="E1848" i="7"/>
  <c r="D1848" i="7"/>
  <c r="C1848" i="7"/>
  <c r="B1848" i="7"/>
  <c r="A1848" i="7"/>
  <c r="K1847" i="7"/>
  <c r="J1847" i="7"/>
  <c r="I1847" i="7"/>
  <c r="H1847" i="7"/>
  <c r="G1847" i="7"/>
  <c r="F1847" i="7"/>
  <c r="E1847" i="7"/>
  <c r="D1847" i="7"/>
  <c r="C1847" i="7"/>
  <c r="B1847" i="7"/>
  <c r="A1847" i="7"/>
  <c r="K1846" i="7"/>
  <c r="J1846" i="7"/>
  <c r="I1846" i="7"/>
  <c r="H1846" i="7"/>
  <c r="G1846" i="7"/>
  <c r="F1846" i="7"/>
  <c r="E1846" i="7"/>
  <c r="D1846" i="7"/>
  <c r="C1846" i="7"/>
  <c r="B1846" i="7"/>
  <c r="A1846" i="7"/>
  <c r="K1845" i="7"/>
  <c r="J1845" i="7"/>
  <c r="I1845" i="7"/>
  <c r="H1845" i="7"/>
  <c r="G1845" i="7"/>
  <c r="F1845" i="7"/>
  <c r="E1845" i="7"/>
  <c r="D1845" i="7"/>
  <c r="C1845" i="7"/>
  <c r="B1845" i="7"/>
  <c r="A1845" i="7"/>
  <c r="K1844" i="7"/>
  <c r="J1844" i="7"/>
  <c r="I1844" i="7"/>
  <c r="H1844" i="7"/>
  <c r="G1844" i="7"/>
  <c r="F1844" i="7"/>
  <c r="E1844" i="7"/>
  <c r="D1844" i="7"/>
  <c r="C1844" i="7"/>
  <c r="B1844" i="7"/>
  <c r="A1844" i="7"/>
  <c r="K1843" i="7"/>
  <c r="J1843" i="7"/>
  <c r="I1843" i="7"/>
  <c r="H1843" i="7"/>
  <c r="G1843" i="7"/>
  <c r="F1843" i="7"/>
  <c r="E1843" i="7"/>
  <c r="D1843" i="7"/>
  <c r="C1843" i="7"/>
  <c r="B1843" i="7"/>
  <c r="A1843" i="7"/>
  <c r="K1842" i="7"/>
  <c r="J1842" i="7"/>
  <c r="I1842" i="7"/>
  <c r="H1842" i="7"/>
  <c r="G1842" i="7"/>
  <c r="F1842" i="7"/>
  <c r="E1842" i="7"/>
  <c r="D1842" i="7"/>
  <c r="C1842" i="7"/>
  <c r="B1842" i="7"/>
  <c r="A1842" i="7"/>
  <c r="K1841" i="7"/>
  <c r="J1841" i="7"/>
  <c r="I1841" i="7"/>
  <c r="H1841" i="7"/>
  <c r="G1841" i="7"/>
  <c r="F1841" i="7"/>
  <c r="E1841" i="7"/>
  <c r="D1841" i="7"/>
  <c r="C1841" i="7"/>
  <c r="B1841" i="7"/>
  <c r="A1841" i="7"/>
  <c r="K1840" i="7"/>
  <c r="J1840" i="7"/>
  <c r="I1840" i="7"/>
  <c r="H1840" i="7"/>
  <c r="G1840" i="7"/>
  <c r="F1840" i="7"/>
  <c r="E1840" i="7"/>
  <c r="D1840" i="7"/>
  <c r="C1840" i="7"/>
  <c r="B1840" i="7"/>
  <c r="A1840" i="7"/>
  <c r="K1839" i="7"/>
  <c r="J1839" i="7"/>
  <c r="I1839" i="7"/>
  <c r="H1839" i="7"/>
  <c r="G1839" i="7"/>
  <c r="F1839" i="7"/>
  <c r="E1839" i="7"/>
  <c r="D1839" i="7"/>
  <c r="C1839" i="7"/>
  <c r="B1839" i="7"/>
  <c r="A1839" i="7"/>
  <c r="K1838" i="7"/>
  <c r="J1838" i="7"/>
  <c r="I1838" i="7"/>
  <c r="H1838" i="7"/>
  <c r="G1838" i="7"/>
  <c r="F1838" i="7"/>
  <c r="E1838" i="7"/>
  <c r="D1838" i="7"/>
  <c r="C1838" i="7"/>
  <c r="B1838" i="7"/>
  <c r="A1838" i="7"/>
  <c r="K1837" i="7"/>
  <c r="J1837" i="7"/>
  <c r="I1837" i="7"/>
  <c r="H1837" i="7"/>
  <c r="G1837" i="7"/>
  <c r="F1837" i="7"/>
  <c r="E1837" i="7"/>
  <c r="D1837" i="7"/>
  <c r="C1837" i="7"/>
  <c r="B1837" i="7"/>
  <c r="A1837" i="7"/>
  <c r="K1836" i="7"/>
  <c r="J1836" i="7"/>
  <c r="I1836" i="7"/>
  <c r="H1836" i="7"/>
  <c r="G1836" i="7"/>
  <c r="F1836" i="7"/>
  <c r="E1836" i="7"/>
  <c r="D1836" i="7"/>
  <c r="C1836" i="7"/>
  <c r="B1836" i="7"/>
  <c r="A1836" i="7"/>
  <c r="K1835" i="7"/>
  <c r="J1835" i="7"/>
  <c r="I1835" i="7"/>
  <c r="H1835" i="7"/>
  <c r="G1835" i="7"/>
  <c r="F1835" i="7"/>
  <c r="E1835" i="7"/>
  <c r="D1835" i="7"/>
  <c r="C1835" i="7"/>
  <c r="B1835" i="7"/>
  <c r="A1835" i="7"/>
  <c r="K1834" i="7"/>
  <c r="J1834" i="7"/>
  <c r="I1834" i="7"/>
  <c r="H1834" i="7"/>
  <c r="G1834" i="7"/>
  <c r="F1834" i="7"/>
  <c r="E1834" i="7"/>
  <c r="D1834" i="7"/>
  <c r="C1834" i="7"/>
  <c r="B1834" i="7"/>
  <c r="A1834" i="7"/>
  <c r="K1833" i="7"/>
  <c r="J1833" i="7"/>
  <c r="I1833" i="7"/>
  <c r="H1833" i="7"/>
  <c r="G1833" i="7"/>
  <c r="F1833" i="7"/>
  <c r="E1833" i="7"/>
  <c r="D1833" i="7"/>
  <c r="C1833" i="7"/>
  <c r="B1833" i="7"/>
  <c r="A1833" i="7"/>
  <c r="K1832" i="7"/>
  <c r="J1832" i="7"/>
  <c r="I1832" i="7"/>
  <c r="H1832" i="7"/>
  <c r="G1832" i="7"/>
  <c r="F1832" i="7"/>
  <c r="E1832" i="7"/>
  <c r="D1832" i="7"/>
  <c r="C1832" i="7"/>
  <c r="B1832" i="7"/>
  <c r="A1832" i="7"/>
  <c r="K1831" i="7"/>
  <c r="J1831" i="7"/>
  <c r="I1831" i="7"/>
  <c r="H1831" i="7"/>
  <c r="G1831" i="7"/>
  <c r="F1831" i="7"/>
  <c r="E1831" i="7"/>
  <c r="D1831" i="7"/>
  <c r="C1831" i="7"/>
  <c r="B1831" i="7"/>
  <c r="A1831" i="7"/>
  <c r="K1830" i="7"/>
  <c r="J1830" i="7"/>
  <c r="I1830" i="7"/>
  <c r="H1830" i="7"/>
  <c r="G1830" i="7"/>
  <c r="F1830" i="7"/>
  <c r="E1830" i="7"/>
  <c r="D1830" i="7"/>
  <c r="C1830" i="7"/>
  <c r="B1830" i="7"/>
  <c r="A1830" i="7"/>
  <c r="K1829" i="7"/>
  <c r="J1829" i="7"/>
  <c r="I1829" i="7"/>
  <c r="H1829" i="7"/>
  <c r="G1829" i="7"/>
  <c r="F1829" i="7"/>
  <c r="E1829" i="7"/>
  <c r="D1829" i="7"/>
  <c r="C1829" i="7"/>
  <c r="B1829" i="7"/>
  <c r="A1829" i="7"/>
  <c r="K1828" i="7"/>
  <c r="J1828" i="7"/>
  <c r="I1828" i="7"/>
  <c r="H1828" i="7"/>
  <c r="G1828" i="7"/>
  <c r="F1828" i="7"/>
  <c r="E1828" i="7"/>
  <c r="D1828" i="7"/>
  <c r="C1828" i="7"/>
  <c r="B1828" i="7"/>
  <c r="A1828" i="7"/>
  <c r="K1827" i="7"/>
  <c r="J1827" i="7"/>
  <c r="I1827" i="7"/>
  <c r="H1827" i="7"/>
  <c r="G1827" i="7"/>
  <c r="F1827" i="7"/>
  <c r="E1827" i="7"/>
  <c r="D1827" i="7"/>
  <c r="C1827" i="7"/>
  <c r="B1827" i="7"/>
  <c r="A1827" i="7"/>
  <c r="K1826" i="7"/>
  <c r="J1826" i="7"/>
  <c r="I1826" i="7"/>
  <c r="H1826" i="7"/>
  <c r="G1826" i="7"/>
  <c r="F1826" i="7"/>
  <c r="E1826" i="7"/>
  <c r="D1826" i="7"/>
  <c r="C1826" i="7"/>
  <c r="B1826" i="7"/>
  <c r="A1826" i="7"/>
  <c r="K1825" i="7"/>
  <c r="J1825" i="7"/>
  <c r="I1825" i="7"/>
  <c r="H1825" i="7"/>
  <c r="G1825" i="7"/>
  <c r="F1825" i="7"/>
  <c r="E1825" i="7"/>
  <c r="D1825" i="7"/>
  <c r="C1825" i="7"/>
  <c r="B1825" i="7"/>
  <c r="A1825" i="7"/>
  <c r="K1824" i="7"/>
  <c r="J1824" i="7"/>
  <c r="I1824" i="7"/>
  <c r="H1824" i="7"/>
  <c r="G1824" i="7"/>
  <c r="F1824" i="7"/>
  <c r="E1824" i="7"/>
  <c r="D1824" i="7"/>
  <c r="C1824" i="7"/>
  <c r="B1824" i="7"/>
  <c r="A1824" i="7"/>
  <c r="K1823" i="7"/>
  <c r="J1823" i="7"/>
  <c r="I1823" i="7"/>
  <c r="H1823" i="7"/>
  <c r="G1823" i="7"/>
  <c r="F1823" i="7"/>
  <c r="E1823" i="7"/>
  <c r="D1823" i="7"/>
  <c r="C1823" i="7"/>
  <c r="B1823" i="7"/>
  <c r="A1823" i="7"/>
  <c r="K1822" i="7"/>
  <c r="J1822" i="7"/>
  <c r="I1822" i="7"/>
  <c r="H1822" i="7"/>
  <c r="G1822" i="7"/>
  <c r="F1822" i="7"/>
  <c r="E1822" i="7"/>
  <c r="D1822" i="7"/>
  <c r="C1822" i="7"/>
  <c r="B1822" i="7"/>
  <c r="A1822" i="7"/>
  <c r="K1821" i="7"/>
  <c r="J1821" i="7"/>
  <c r="I1821" i="7"/>
  <c r="H1821" i="7"/>
  <c r="G1821" i="7"/>
  <c r="F1821" i="7"/>
  <c r="E1821" i="7"/>
  <c r="D1821" i="7"/>
  <c r="C1821" i="7"/>
  <c r="B1821" i="7"/>
  <c r="A1821" i="7"/>
  <c r="K1820" i="7"/>
  <c r="J1820" i="7"/>
  <c r="I1820" i="7"/>
  <c r="H1820" i="7"/>
  <c r="G1820" i="7"/>
  <c r="F1820" i="7"/>
  <c r="E1820" i="7"/>
  <c r="D1820" i="7"/>
  <c r="C1820" i="7"/>
  <c r="B1820" i="7"/>
  <c r="A1820" i="7"/>
  <c r="K1819" i="7"/>
  <c r="J1819" i="7"/>
  <c r="I1819" i="7"/>
  <c r="H1819" i="7"/>
  <c r="G1819" i="7"/>
  <c r="F1819" i="7"/>
  <c r="E1819" i="7"/>
  <c r="D1819" i="7"/>
  <c r="C1819" i="7"/>
  <c r="B1819" i="7"/>
  <c r="A1819" i="7"/>
  <c r="K1818" i="7"/>
  <c r="J1818" i="7"/>
  <c r="I1818" i="7"/>
  <c r="H1818" i="7"/>
  <c r="G1818" i="7"/>
  <c r="F1818" i="7"/>
  <c r="E1818" i="7"/>
  <c r="D1818" i="7"/>
  <c r="C1818" i="7"/>
  <c r="B1818" i="7"/>
  <c r="A1818" i="7"/>
  <c r="K1817" i="7"/>
  <c r="J1817" i="7"/>
  <c r="I1817" i="7"/>
  <c r="H1817" i="7"/>
  <c r="G1817" i="7"/>
  <c r="F1817" i="7"/>
  <c r="E1817" i="7"/>
  <c r="D1817" i="7"/>
  <c r="C1817" i="7"/>
  <c r="B1817" i="7"/>
  <c r="A1817" i="7"/>
  <c r="K1816" i="7"/>
  <c r="J1816" i="7"/>
  <c r="I1816" i="7"/>
  <c r="H1816" i="7"/>
  <c r="G1816" i="7"/>
  <c r="F1816" i="7"/>
  <c r="E1816" i="7"/>
  <c r="D1816" i="7"/>
  <c r="C1816" i="7"/>
  <c r="B1816" i="7"/>
  <c r="A1816" i="7"/>
  <c r="K1815" i="7"/>
  <c r="J1815" i="7"/>
  <c r="I1815" i="7"/>
  <c r="H1815" i="7"/>
  <c r="G1815" i="7"/>
  <c r="F1815" i="7"/>
  <c r="E1815" i="7"/>
  <c r="D1815" i="7"/>
  <c r="C1815" i="7"/>
  <c r="B1815" i="7"/>
  <c r="A1815" i="7"/>
  <c r="K1814" i="7"/>
  <c r="J1814" i="7"/>
  <c r="I1814" i="7"/>
  <c r="H1814" i="7"/>
  <c r="G1814" i="7"/>
  <c r="F1814" i="7"/>
  <c r="E1814" i="7"/>
  <c r="D1814" i="7"/>
  <c r="C1814" i="7"/>
  <c r="B1814" i="7"/>
  <c r="A1814" i="7"/>
  <c r="K1813" i="7"/>
  <c r="J1813" i="7"/>
  <c r="I1813" i="7"/>
  <c r="H1813" i="7"/>
  <c r="G1813" i="7"/>
  <c r="F1813" i="7"/>
  <c r="E1813" i="7"/>
  <c r="D1813" i="7"/>
  <c r="C1813" i="7"/>
  <c r="B1813" i="7"/>
  <c r="A1813" i="7"/>
  <c r="K1812" i="7"/>
  <c r="J1812" i="7"/>
  <c r="I1812" i="7"/>
  <c r="H1812" i="7"/>
  <c r="G1812" i="7"/>
  <c r="F1812" i="7"/>
  <c r="E1812" i="7"/>
  <c r="D1812" i="7"/>
  <c r="C1812" i="7"/>
  <c r="B1812" i="7"/>
  <c r="A1812" i="7"/>
  <c r="K1811" i="7"/>
  <c r="J1811" i="7"/>
  <c r="I1811" i="7"/>
  <c r="H1811" i="7"/>
  <c r="G1811" i="7"/>
  <c r="F1811" i="7"/>
  <c r="E1811" i="7"/>
  <c r="D1811" i="7"/>
  <c r="C1811" i="7"/>
  <c r="B1811" i="7"/>
  <c r="A1811" i="7"/>
  <c r="K1810" i="7"/>
  <c r="J1810" i="7"/>
  <c r="I1810" i="7"/>
  <c r="H1810" i="7"/>
  <c r="G1810" i="7"/>
  <c r="F1810" i="7"/>
  <c r="E1810" i="7"/>
  <c r="D1810" i="7"/>
  <c r="C1810" i="7"/>
  <c r="B1810" i="7"/>
  <c r="A1810" i="7"/>
  <c r="K1809" i="7"/>
  <c r="J1809" i="7"/>
  <c r="I1809" i="7"/>
  <c r="H1809" i="7"/>
  <c r="G1809" i="7"/>
  <c r="F1809" i="7"/>
  <c r="E1809" i="7"/>
  <c r="D1809" i="7"/>
  <c r="C1809" i="7"/>
  <c r="B1809" i="7"/>
  <c r="A1809" i="7"/>
  <c r="K1808" i="7"/>
  <c r="J1808" i="7"/>
  <c r="I1808" i="7"/>
  <c r="H1808" i="7"/>
  <c r="G1808" i="7"/>
  <c r="F1808" i="7"/>
  <c r="E1808" i="7"/>
  <c r="D1808" i="7"/>
  <c r="C1808" i="7"/>
  <c r="B1808" i="7"/>
  <c r="A1808" i="7"/>
  <c r="K1807" i="7"/>
  <c r="J1807" i="7"/>
  <c r="I1807" i="7"/>
  <c r="H1807" i="7"/>
  <c r="G1807" i="7"/>
  <c r="F1807" i="7"/>
  <c r="E1807" i="7"/>
  <c r="D1807" i="7"/>
  <c r="C1807" i="7"/>
  <c r="B1807" i="7"/>
  <c r="A1807" i="7"/>
  <c r="K1806" i="7"/>
  <c r="J1806" i="7"/>
  <c r="I1806" i="7"/>
  <c r="H1806" i="7"/>
  <c r="G1806" i="7"/>
  <c r="F1806" i="7"/>
  <c r="E1806" i="7"/>
  <c r="D1806" i="7"/>
  <c r="C1806" i="7"/>
  <c r="B1806" i="7"/>
  <c r="A1806" i="7"/>
  <c r="K1805" i="7"/>
  <c r="J1805" i="7"/>
  <c r="I1805" i="7"/>
  <c r="H1805" i="7"/>
  <c r="G1805" i="7"/>
  <c r="F1805" i="7"/>
  <c r="E1805" i="7"/>
  <c r="D1805" i="7"/>
  <c r="C1805" i="7"/>
  <c r="B1805" i="7"/>
  <c r="A1805" i="7"/>
  <c r="K1804" i="7"/>
  <c r="J1804" i="7"/>
  <c r="I1804" i="7"/>
  <c r="H1804" i="7"/>
  <c r="G1804" i="7"/>
  <c r="F1804" i="7"/>
  <c r="E1804" i="7"/>
  <c r="D1804" i="7"/>
  <c r="C1804" i="7"/>
  <c r="B1804" i="7"/>
  <c r="A1804" i="7"/>
  <c r="K1803" i="7"/>
  <c r="J1803" i="7"/>
  <c r="I1803" i="7"/>
  <c r="H1803" i="7"/>
  <c r="G1803" i="7"/>
  <c r="F1803" i="7"/>
  <c r="E1803" i="7"/>
  <c r="D1803" i="7"/>
  <c r="C1803" i="7"/>
  <c r="B1803" i="7"/>
  <c r="A1803" i="7"/>
  <c r="K1802" i="7"/>
  <c r="J1802" i="7"/>
  <c r="I1802" i="7"/>
  <c r="H1802" i="7"/>
  <c r="G1802" i="7"/>
  <c r="F1802" i="7"/>
  <c r="E1802" i="7"/>
  <c r="D1802" i="7"/>
  <c r="C1802" i="7"/>
  <c r="B1802" i="7"/>
  <c r="A1802" i="7"/>
  <c r="K1801" i="7"/>
  <c r="J1801" i="7"/>
  <c r="I1801" i="7"/>
  <c r="H1801" i="7"/>
  <c r="G1801" i="7"/>
  <c r="F1801" i="7"/>
  <c r="E1801" i="7"/>
  <c r="D1801" i="7"/>
  <c r="C1801" i="7"/>
  <c r="B1801" i="7"/>
  <c r="A1801" i="7"/>
  <c r="K1800" i="7"/>
  <c r="J1800" i="7"/>
  <c r="I1800" i="7"/>
  <c r="H1800" i="7"/>
  <c r="G1800" i="7"/>
  <c r="F1800" i="7"/>
  <c r="E1800" i="7"/>
  <c r="D1800" i="7"/>
  <c r="C1800" i="7"/>
  <c r="B1800" i="7"/>
  <c r="A1800" i="7"/>
  <c r="K1799" i="7"/>
  <c r="J1799" i="7"/>
  <c r="I1799" i="7"/>
  <c r="H1799" i="7"/>
  <c r="G1799" i="7"/>
  <c r="F1799" i="7"/>
  <c r="E1799" i="7"/>
  <c r="D1799" i="7"/>
  <c r="C1799" i="7"/>
  <c r="B1799" i="7"/>
  <c r="A1799" i="7"/>
  <c r="K1798" i="7"/>
  <c r="J1798" i="7"/>
  <c r="I1798" i="7"/>
  <c r="H1798" i="7"/>
  <c r="G1798" i="7"/>
  <c r="F1798" i="7"/>
  <c r="E1798" i="7"/>
  <c r="D1798" i="7"/>
  <c r="C1798" i="7"/>
  <c r="B1798" i="7"/>
  <c r="A1798" i="7"/>
  <c r="K1797" i="7"/>
  <c r="J1797" i="7"/>
  <c r="I1797" i="7"/>
  <c r="H1797" i="7"/>
  <c r="G1797" i="7"/>
  <c r="F1797" i="7"/>
  <c r="E1797" i="7"/>
  <c r="D1797" i="7"/>
  <c r="C1797" i="7"/>
  <c r="B1797" i="7"/>
  <c r="A1797" i="7"/>
  <c r="K1796" i="7"/>
  <c r="J1796" i="7"/>
  <c r="I1796" i="7"/>
  <c r="H1796" i="7"/>
  <c r="G1796" i="7"/>
  <c r="F1796" i="7"/>
  <c r="E1796" i="7"/>
  <c r="D1796" i="7"/>
  <c r="C1796" i="7"/>
  <c r="B1796" i="7"/>
  <c r="A1796" i="7"/>
  <c r="K1795" i="7"/>
  <c r="J1795" i="7"/>
  <c r="I1795" i="7"/>
  <c r="H1795" i="7"/>
  <c r="G1795" i="7"/>
  <c r="F1795" i="7"/>
  <c r="E1795" i="7"/>
  <c r="D1795" i="7"/>
  <c r="C1795" i="7"/>
  <c r="B1795" i="7"/>
  <c r="A1795" i="7"/>
  <c r="K1794" i="7"/>
  <c r="J1794" i="7"/>
  <c r="I1794" i="7"/>
  <c r="H1794" i="7"/>
  <c r="G1794" i="7"/>
  <c r="F1794" i="7"/>
  <c r="E1794" i="7"/>
  <c r="D1794" i="7"/>
  <c r="C1794" i="7"/>
  <c r="B1794" i="7"/>
  <c r="A1794" i="7"/>
  <c r="K1793" i="7"/>
  <c r="J1793" i="7"/>
  <c r="I1793" i="7"/>
  <c r="H1793" i="7"/>
  <c r="G1793" i="7"/>
  <c r="F1793" i="7"/>
  <c r="E1793" i="7"/>
  <c r="D1793" i="7"/>
  <c r="C1793" i="7"/>
  <c r="B1793" i="7"/>
  <c r="A1793" i="7"/>
  <c r="K1792" i="7"/>
  <c r="J1792" i="7"/>
  <c r="I1792" i="7"/>
  <c r="H1792" i="7"/>
  <c r="G1792" i="7"/>
  <c r="F1792" i="7"/>
  <c r="E1792" i="7"/>
  <c r="D1792" i="7"/>
  <c r="C1792" i="7"/>
  <c r="B1792" i="7"/>
  <c r="A1792" i="7"/>
  <c r="K1791" i="7"/>
  <c r="J1791" i="7"/>
  <c r="I1791" i="7"/>
  <c r="H1791" i="7"/>
  <c r="G1791" i="7"/>
  <c r="F1791" i="7"/>
  <c r="E1791" i="7"/>
  <c r="D1791" i="7"/>
  <c r="C1791" i="7"/>
  <c r="B1791" i="7"/>
  <c r="A1791" i="7"/>
  <c r="K1790" i="7"/>
  <c r="J1790" i="7"/>
  <c r="I1790" i="7"/>
  <c r="H1790" i="7"/>
  <c r="G1790" i="7"/>
  <c r="F1790" i="7"/>
  <c r="E1790" i="7"/>
  <c r="D1790" i="7"/>
  <c r="C1790" i="7"/>
  <c r="B1790" i="7"/>
  <c r="A1790" i="7"/>
  <c r="K1789" i="7"/>
  <c r="J1789" i="7"/>
  <c r="I1789" i="7"/>
  <c r="H1789" i="7"/>
  <c r="G1789" i="7"/>
  <c r="F1789" i="7"/>
  <c r="E1789" i="7"/>
  <c r="D1789" i="7"/>
  <c r="C1789" i="7"/>
  <c r="B1789" i="7"/>
  <c r="A1789" i="7"/>
  <c r="K1788" i="7"/>
  <c r="J1788" i="7"/>
  <c r="I1788" i="7"/>
  <c r="H1788" i="7"/>
  <c r="G1788" i="7"/>
  <c r="F1788" i="7"/>
  <c r="E1788" i="7"/>
  <c r="D1788" i="7"/>
  <c r="C1788" i="7"/>
  <c r="B1788" i="7"/>
  <c r="A1788" i="7"/>
  <c r="K1787" i="7"/>
  <c r="J1787" i="7"/>
  <c r="I1787" i="7"/>
  <c r="H1787" i="7"/>
  <c r="G1787" i="7"/>
  <c r="F1787" i="7"/>
  <c r="E1787" i="7"/>
  <c r="D1787" i="7"/>
  <c r="C1787" i="7"/>
  <c r="B1787" i="7"/>
  <c r="A1787" i="7"/>
  <c r="K1786" i="7"/>
  <c r="J1786" i="7"/>
  <c r="I1786" i="7"/>
  <c r="H1786" i="7"/>
  <c r="G1786" i="7"/>
  <c r="F1786" i="7"/>
  <c r="E1786" i="7"/>
  <c r="D1786" i="7"/>
  <c r="C1786" i="7"/>
  <c r="B1786" i="7"/>
  <c r="A1786" i="7"/>
  <c r="K1785" i="7"/>
  <c r="J1785" i="7"/>
  <c r="I1785" i="7"/>
  <c r="H1785" i="7"/>
  <c r="G1785" i="7"/>
  <c r="F1785" i="7"/>
  <c r="E1785" i="7"/>
  <c r="D1785" i="7"/>
  <c r="C1785" i="7"/>
  <c r="B1785" i="7"/>
  <c r="A1785" i="7"/>
  <c r="K1784" i="7"/>
  <c r="J1784" i="7"/>
  <c r="I1784" i="7"/>
  <c r="H1784" i="7"/>
  <c r="G1784" i="7"/>
  <c r="F1784" i="7"/>
  <c r="E1784" i="7"/>
  <c r="D1784" i="7"/>
  <c r="C1784" i="7"/>
  <c r="B1784" i="7"/>
  <c r="A1784" i="7"/>
  <c r="K1783" i="7"/>
  <c r="J1783" i="7"/>
  <c r="I1783" i="7"/>
  <c r="H1783" i="7"/>
  <c r="G1783" i="7"/>
  <c r="F1783" i="7"/>
  <c r="E1783" i="7"/>
  <c r="D1783" i="7"/>
  <c r="C1783" i="7"/>
  <c r="B1783" i="7"/>
  <c r="A1783" i="7"/>
  <c r="K1782" i="7"/>
  <c r="J1782" i="7"/>
  <c r="I1782" i="7"/>
  <c r="H1782" i="7"/>
  <c r="G1782" i="7"/>
  <c r="F1782" i="7"/>
  <c r="E1782" i="7"/>
  <c r="D1782" i="7"/>
  <c r="C1782" i="7"/>
  <c r="B1782" i="7"/>
  <c r="A1782" i="7"/>
  <c r="K1781" i="7"/>
  <c r="J1781" i="7"/>
  <c r="I1781" i="7"/>
  <c r="H1781" i="7"/>
  <c r="G1781" i="7"/>
  <c r="F1781" i="7"/>
  <c r="E1781" i="7"/>
  <c r="D1781" i="7"/>
  <c r="C1781" i="7"/>
  <c r="B1781" i="7"/>
  <c r="A1781" i="7"/>
  <c r="K1780" i="7"/>
  <c r="J1780" i="7"/>
  <c r="I1780" i="7"/>
  <c r="H1780" i="7"/>
  <c r="G1780" i="7"/>
  <c r="F1780" i="7"/>
  <c r="E1780" i="7"/>
  <c r="D1780" i="7"/>
  <c r="C1780" i="7"/>
  <c r="B1780" i="7"/>
  <c r="A1780" i="7"/>
  <c r="K1779" i="7"/>
  <c r="J1779" i="7"/>
  <c r="I1779" i="7"/>
  <c r="H1779" i="7"/>
  <c r="G1779" i="7"/>
  <c r="F1779" i="7"/>
  <c r="E1779" i="7"/>
  <c r="D1779" i="7"/>
  <c r="C1779" i="7"/>
  <c r="B1779" i="7"/>
  <c r="A1779" i="7"/>
  <c r="K1778" i="7"/>
  <c r="J1778" i="7"/>
  <c r="I1778" i="7"/>
  <c r="H1778" i="7"/>
  <c r="G1778" i="7"/>
  <c r="F1778" i="7"/>
  <c r="E1778" i="7"/>
  <c r="D1778" i="7"/>
  <c r="C1778" i="7"/>
  <c r="B1778" i="7"/>
  <c r="A1778" i="7"/>
  <c r="K1777" i="7"/>
  <c r="J1777" i="7"/>
  <c r="I1777" i="7"/>
  <c r="H1777" i="7"/>
  <c r="G1777" i="7"/>
  <c r="F1777" i="7"/>
  <c r="E1777" i="7"/>
  <c r="D1777" i="7"/>
  <c r="C1777" i="7"/>
  <c r="B1777" i="7"/>
  <c r="A1777" i="7"/>
  <c r="K1776" i="7"/>
  <c r="J1776" i="7"/>
  <c r="I1776" i="7"/>
  <c r="H1776" i="7"/>
  <c r="G1776" i="7"/>
  <c r="F1776" i="7"/>
  <c r="E1776" i="7"/>
  <c r="D1776" i="7"/>
  <c r="C1776" i="7"/>
  <c r="B1776" i="7"/>
  <c r="A1776" i="7"/>
  <c r="K1775" i="7"/>
  <c r="J1775" i="7"/>
  <c r="I1775" i="7"/>
  <c r="H1775" i="7"/>
  <c r="G1775" i="7"/>
  <c r="F1775" i="7"/>
  <c r="E1775" i="7"/>
  <c r="D1775" i="7"/>
  <c r="C1775" i="7"/>
  <c r="B1775" i="7"/>
  <c r="A1775" i="7"/>
  <c r="K1774" i="7"/>
  <c r="J1774" i="7"/>
  <c r="I1774" i="7"/>
  <c r="H1774" i="7"/>
  <c r="G1774" i="7"/>
  <c r="F1774" i="7"/>
  <c r="E1774" i="7"/>
  <c r="D1774" i="7"/>
  <c r="C1774" i="7"/>
  <c r="B1774" i="7"/>
  <c r="A1774" i="7"/>
  <c r="K1773" i="7"/>
  <c r="J1773" i="7"/>
  <c r="I1773" i="7"/>
  <c r="H1773" i="7"/>
  <c r="G1773" i="7"/>
  <c r="F1773" i="7"/>
  <c r="E1773" i="7"/>
  <c r="D1773" i="7"/>
  <c r="C1773" i="7"/>
  <c r="B1773" i="7"/>
  <c r="A1773" i="7"/>
  <c r="K1772" i="7"/>
  <c r="J1772" i="7"/>
  <c r="I1772" i="7"/>
  <c r="H1772" i="7"/>
  <c r="G1772" i="7"/>
  <c r="F1772" i="7"/>
  <c r="E1772" i="7"/>
  <c r="D1772" i="7"/>
  <c r="C1772" i="7"/>
  <c r="B1772" i="7"/>
  <c r="A1772" i="7"/>
  <c r="K1771" i="7"/>
  <c r="J1771" i="7"/>
  <c r="I1771" i="7"/>
  <c r="H1771" i="7"/>
  <c r="G1771" i="7"/>
  <c r="F1771" i="7"/>
  <c r="E1771" i="7"/>
  <c r="D1771" i="7"/>
  <c r="C1771" i="7"/>
  <c r="B1771" i="7"/>
  <c r="A1771" i="7"/>
  <c r="K1770" i="7"/>
  <c r="J1770" i="7"/>
  <c r="I1770" i="7"/>
  <c r="H1770" i="7"/>
  <c r="G1770" i="7"/>
  <c r="F1770" i="7"/>
  <c r="E1770" i="7"/>
  <c r="D1770" i="7"/>
  <c r="C1770" i="7"/>
  <c r="B1770" i="7"/>
  <c r="A1770" i="7"/>
  <c r="K1769" i="7"/>
  <c r="J1769" i="7"/>
  <c r="I1769" i="7"/>
  <c r="H1769" i="7"/>
  <c r="G1769" i="7"/>
  <c r="F1769" i="7"/>
  <c r="E1769" i="7"/>
  <c r="D1769" i="7"/>
  <c r="C1769" i="7"/>
  <c r="B1769" i="7"/>
  <c r="A1769" i="7"/>
  <c r="K1768" i="7"/>
  <c r="J1768" i="7"/>
  <c r="I1768" i="7"/>
  <c r="H1768" i="7"/>
  <c r="G1768" i="7"/>
  <c r="F1768" i="7"/>
  <c r="E1768" i="7"/>
  <c r="D1768" i="7"/>
  <c r="C1768" i="7"/>
  <c r="B1768" i="7"/>
  <c r="A1768" i="7"/>
  <c r="K1767" i="7"/>
  <c r="J1767" i="7"/>
  <c r="I1767" i="7"/>
  <c r="H1767" i="7"/>
  <c r="G1767" i="7"/>
  <c r="F1767" i="7"/>
  <c r="E1767" i="7"/>
  <c r="D1767" i="7"/>
  <c r="C1767" i="7"/>
  <c r="B1767" i="7"/>
  <c r="A1767" i="7"/>
  <c r="K1766" i="7"/>
  <c r="J1766" i="7"/>
  <c r="I1766" i="7"/>
  <c r="H1766" i="7"/>
  <c r="G1766" i="7"/>
  <c r="F1766" i="7"/>
  <c r="E1766" i="7"/>
  <c r="D1766" i="7"/>
  <c r="C1766" i="7"/>
  <c r="B1766" i="7"/>
  <c r="A1766" i="7"/>
  <c r="K1765" i="7"/>
  <c r="J1765" i="7"/>
  <c r="I1765" i="7"/>
  <c r="H1765" i="7"/>
  <c r="G1765" i="7"/>
  <c r="F1765" i="7"/>
  <c r="E1765" i="7"/>
  <c r="D1765" i="7"/>
  <c r="C1765" i="7"/>
  <c r="B1765" i="7"/>
  <c r="A1765" i="7"/>
  <c r="K1764" i="7"/>
  <c r="J1764" i="7"/>
  <c r="I1764" i="7"/>
  <c r="H1764" i="7"/>
  <c r="G1764" i="7"/>
  <c r="F1764" i="7"/>
  <c r="E1764" i="7"/>
  <c r="D1764" i="7"/>
  <c r="C1764" i="7"/>
  <c r="B1764" i="7"/>
  <c r="A1764" i="7"/>
  <c r="K1763" i="7"/>
  <c r="J1763" i="7"/>
  <c r="I1763" i="7"/>
  <c r="H1763" i="7"/>
  <c r="G1763" i="7"/>
  <c r="F1763" i="7"/>
  <c r="E1763" i="7"/>
  <c r="D1763" i="7"/>
  <c r="C1763" i="7"/>
  <c r="B1763" i="7"/>
  <c r="A1763" i="7"/>
  <c r="K1762" i="7"/>
  <c r="J1762" i="7"/>
  <c r="I1762" i="7"/>
  <c r="H1762" i="7"/>
  <c r="G1762" i="7"/>
  <c r="F1762" i="7"/>
  <c r="E1762" i="7"/>
  <c r="D1762" i="7"/>
  <c r="C1762" i="7"/>
  <c r="B1762" i="7"/>
  <c r="A1762" i="7"/>
  <c r="K1761" i="7"/>
  <c r="J1761" i="7"/>
  <c r="I1761" i="7"/>
  <c r="H1761" i="7"/>
  <c r="G1761" i="7"/>
  <c r="F1761" i="7"/>
  <c r="E1761" i="7"/>
  <c r="D1761" i="7"/>
  <c r="C1761" i="7"/>
  <c r="B1761" i="7"/>
  <c r="A1761" i="7"/>
  <c r="K1760" i="7"/>
  <c r="J1760" i="7"/>
  <c r="I1760" i="7"/>
  <c r="H1760" i="7"/>
  <c r="G1760" i="7"/>
  <c r="F1760" i="7"/>
  <c r="E1760" i="7"/>
  <c r="D1760" i="7"/>
  <c r="C1760" i="7"/>
  <c r="B1760" i="7"/>
  <c r="A1760" i="7"/>
  <c r="K1759" i="7"/>
  <c r="J1759" i="7"/>
  <c r="I1759" i="7"/>
  <c r="H1759" i="7"/>
  <c r="G1759" i="7"/>
  <c r="F1759" i="7"/>
  <c r="E1759" i="7"/>
  <c r="D1759" i="7"/>
  <c r="C1759" i="7"/>
  <c r="B1759" i="7"/>
  <c r="A1759" i="7"/>
  <c r="K1758" i="7"/>
  <c r="J1758" i="7"/>
  <c r="I1758" i="7"/>
  <c r="H1758" i="7"/>
  <c r="G1758" i="7"/>
  <c r="F1758" i="7"/>
  <c r="E1758" i="7"/>
  <c r="D1758" i="7"/>
  <c r="C1758" i="7"/>
  <c r="B1758" i="7"/>
  <c r="A1758" i="7"/>
  <c r="K1757" i="7"/>
  <c r="J1757" i="7"/>
  <c r="I1757" i="7"/>
  <c r="H1757" i="7"/>
  <c r="G1757" i="7"/>
  <c r="F1757" i="7"/>
  <c r="E1757" i="7"/>
  <c r="D1757" i="7"/>
  <c r="C1757" i="7"/>
  <c r="B1757" i="7"/>
  <c r="A1757" i="7"/>
  <c r="K1756" i="7"/>
  <c r="J1756" i="7"/>
  <c r="I1756" i="7"/>
  <c r="H1756" i="7"/>
  <c r="G1756" i="7"/>
  <c r="F1756" i="7"/>
  <c r="E1756" i="7"/>
  <c r="D1756" i="7"/>
  <c r="C1756" i="7"/>
  <c r="B1756" i="7"/>
  <c r="A1756" i="7"/>
  <c r="K1755" i="7"/>
  <c r="J1755" i="7"/>
  <c r="I1755" i="7"/>
  <c r="H1755" i="7"/>
  <c r="G1755" i="7"/>
  <c r="F1755" i="7"/>
  <c r="E1755" i="7"/>
  <c r="D1755" i="7"/>
  <c r="C1755" i="7"/>
  <c r="B1755" i="7"/>
  <c r="A1755" i="7"/>
  <c r="K1754" i="7"/>
  <c r="J1754" i="7"/>
  <c r="I1754" i="7"/>
  <c r="H1754" i="7"/>
  <c r="G1754" i="7"/>
  <c r="F1754" i="7"/>
  <c r="E1754" i="7"/>
  <c r="D1754" i="7"/>
  <c r="C1754" i="7"/>
  <c r="B1754" i="7"/>
  <c r="A1754" i="7"/>
  <c r="K1753" i="7"/>
  <c r="J1753" i="7"/>
  <c r="I1753" i="7"/>
  <c r="H1753" i="7"/>
  <c r="G1753" i="7"/>
  <c r="F1753" i="7"/>
  <c r="E1753" i="7"/>
  <c r="D1753" i="7"/>
  <c r="C1753" i="7"/>
  <c r="B1753" i="7"/>
  <c r="A1753" i="7"/>
  <c r="K1752" i="7"/>
  <c r="J1752" i="7"/>
  <c r="I1752" i="7"/>
  <c r="H1752" i="7"/>
  <c r="G1752" i="7"/>
  <c r="F1752" i="7"/>
  <c r="E1752" i="7"/>
  <c r="D1752" i="7"/>
  <c r="C1752" i="7"/>
  <c r="B1752" i="7"/>
  <c r="A1752" i="7"/>
  <c r="K1751" i="7"/>
  <c r="J1751" i="7"/>
  <c r="I1751" i="7"/>
  <c r="H1751" i="7"/>
  <c r="G1751" i="7"/>
  <c r="F1751" i="7"/>
  <c r="E1751" i="7"/>
  <c r="D1751" i="7"/>
  <c r="C1751" i="7"/>
  <c r="B1751" i="7"/>
  <c r="A1751" i="7"/>
  <c r="K1750" i="7"/>
  <c r="J1750" i="7"/>
  <c r="I1750" i="7"/>
  <c r="H1750" i="7"/>
  <c r="G1750" i="7"/>
  <c r="F1750" i="7"/>
  <c r="E1750" i="7"/>
  <c r="D1750" i="7"/>
  <c r="C1750" i="7"/>
  <c r="B1750" i="7"/>
  <c r="A1750" i="7"/>
  <c r="K1749" i="7"/>
  <c r="J1749" i="7"/>
  <c r="I1749" i="7"/>
  <c r="H1749" i="7"/>
  <c r="G1749" i="7"/>
  <c r="F1749" i="7"/>
  <c r="E1749" i="7"/>
  <c r="D1749" i="7"/>
  <c r="C1749" i="7"/>
  <c r="B1749" i="7"/>
  <c r="A1749" i="7"/>
  <c r="K1748" i="7"/>
  <c r="J1748" i="7"/>
  <c r="I1748" i="7"/>
  <c r="H1748" i="7"/>
  <c r="G1748" i="7"/>
  <c r="F1748" i="7"/>
  <c r="E1748" i="7"/>
  <c r="D1748" i="7"/>
  <c r="C1748" i="7"/>
  <c r="B1748" i="7"/>
  <c r="A1748" i="7"/>
  <c r="K1747" i="7"/>
  <c r="J1747" i="7"/>
  <c r="I1747" i="7"/>
  <c r="H1747" i="7"/>
  <c r="G1747" i="7"/>
  <c r="F1747" i="7"/>
  <c r="E1747" i="7"/>
  <c r="D1747" i="7"/>
  <c r="C1747" i="7"/>
  <c r="B1747" i="7"/>
  <c r="A1747" i="7"/>
  <c r="K1746" i="7"/>
  <c r="J1746" i="7"/>
  <c r="I1746" i="7"/>
  <c r="H1746" i="7"/>
  <c r="G1746" i="7"/>
  <c r="F1746" i="7"/>
  <c r="E1746" i="7"/>
  <c r="D1746" i="7"/>
  <c r="C1746" i="7"/>
  <c r="B1746" i="7"/>
  <c r="A1746" i="7"/>
  <c r="K1745" i="7"/>
  <c r="J1745" i="7"/>
  <c r="I1745" i="7"/>
  <c r="H1745" i="7"/>
  <c r="G1745" i="7"/>
  <c r="F1745" i="7"/>
  <c r="E1745" i="7"/>
  <c r="D1745" i="7"/>
  <c r="C1745" i="7"/>
  <c r="B1745" i="7"/>
  <c r="A1745" i="7"/>
  <c r="K1744" i="7"/>
  <c r="J1744" i="7"/>
  <c r="I1744" i="7"/>
  <c r="H1744" i="7"/>
  <c r="G1744" i="7"/>
  <c r="F1744" i="7"/>
  <c r="E1744" i="7"/>
  <c r="D1744" i="7"/>
  <c r="C1744" i="7"/>
  <c r="B1744" i="7"/>
  <c r="A1744" i="7"/>
  <c r="K1743" i="7"/>
  <c r="J1743" i="7"/>
  <c r="I1743" i="7"/>
  <c r="H1743" i="7"/>
  <c r="G1743" i="7"/>
  <c r="F1743" i="7"/>
  <c r="E1743" i="7"/>
  <c r="D1743" i="7"/>
  <c r="C1743" i="7"/>
  <c r="B1743" i="7"/>
  <c r="A1743" i="7"/>
  <c r="K1742" i="7"/>
  <c r="J1742" i="7"/>
  <c r="I1742" i="7"/>
  <c r="H1742" i="7"/>
  <c r="G1742" i="7"/>
  <c r="F1742" i="7"/>
  <c r="E1742" i="7"/>
  <c r="D1742" i="7"/>
  <c r="C1742" i="7"/>
  <c r="B1742" i="7"/>
  <c r="A1742" i="7"/>
  <c r="K1741" i="7"/>
  <c r="J1741" i="7"/>
  <c r="I1741" i="7"/>
  <c r="H1741" i="7"/>
  <c r="G1741" i="7"/>
  <c r="F1741" i="7"/>
  <c r="E1741" i="7"/>
  <c r="D1741" i="7"/>
  <c r="C1741" i="7"/>
  <c r="B1741" i="7"/>
  <c r="A1741" i="7"/>
  <c r="K1740" i="7"/>
  <c r="J1740" i="7"/>
  <c r="I1740" i="7"/>
  <c r="H1740" i="7"/>
  <c r="G1740" i="7"/>
  <c r="F1740" i="7"/>
  <c r="E1740" i="7"/>
  <c r="D1740" i="7"/>
  <c r="C1740" i="7"/>
  <c r="B1740" i="7"/>
  <c r="A1740" i="7"/>
  <c r="K1739" i="7"/>
  <c r="J1739" i="7"/>
  <c r="I1739" i="7"/>
  <c r="H1739" i="7"/>
  <c r="G1739" i="7"/>
  <c r="F1739" i="7"/>
  <c r="E1739" i="7"/>
  <c r="D1739" i="7"/>
  <c r="C1739" i="7"/>
  <c r="B1739" i="7"/>
  <c r="A1739" i="7"/>
  <c r="K1738" i="7"/>
  <c r="J1738" i="7"/>
  <c r="I1738" i="7"/>
  <c r="H1738" i="7"/>
  <c r="G1738" i="7"/>
  <c r="F1738" i="7"/>
  <c r="E1738" i="7"/>
  <c r="D1738" i="7"/>
  <c r="C1738" i="7"/>
  <c r="B1738" i="7"/>
  <c r="A1738" i="7"/>
  <c r="K1737" i="7"/>
  <c r="J1737" i="7"/>
  <c r="I1737" i="7"/>
  <c r="H1737" i="7"/>
  <c r="G1737" i="7"/>
  <c r="F1737" i="7"/>
  <c r="E1737" i="7"/>
  <c r="D1737" i="7"/>
  <c r="C1737" i="7"/>
  <c r="B1737" i="7"/>
  <c r="A1737" i="7"/>
  <c r="K1736" i="7"/>
  <c r="J1736" i="7"/>
  <c r="I1736" i="7"/>
  <c r="H1736" i="7"/>
  <c r="G1736" i="7"/>
  <c r="F1736" i="7"/>
  <c r="E1736" i="7"/>
  <c r="D1736" i="7"/>
  <c r="C1736" i="7"/>
  <c r="B1736" i="7"/>
  <c r="A1736" i="7"/>
  <c r="K1735" i="7"/>
  <c r="J1735" i="7"/>
  <c r="I1735" i="7"/>
  <c r="H1735" i="7"/>
  <c r="G1735" i="7"/>
  <c r="F1735" i="7"/>
  <c r="E1735" i="7"/>
  <c r="D1735" i="7"/>
  <c r="C1735" i="7"/>
  <c r="B1735" i="7"/>
  <c r="A1735" i="7"/>
  <c r="K1734" i="7"/>
  <c r="J1734" i="7"/>
  <c r="I1734" i="7"/>
  <c r="H1734" i="7"/>
  <c r="G1734" i="7"/>
  <c r="F1734" i="7"/>
  <c r="E1734" i="7"/>
  <c r="D1734" i="7"/>
  <c r="C1734" i="7"/>
  <c r="B1734" i="7"/>
  <c r="A1734" i="7"/>
  <c r="K1733" i="7"/>
  <c r="J1733" i="7"/>
  <c r="I1733" i="7"/>
  <c r="H1733" i="7"/>
  <c r="G1733" i="7"/>
  <c r="F1733" i="7"/>
  <c r="E1733" i="7"/>
  <c r="D1733" i="7"/>
  <c r="C1733" i="7"/>
  <c r="B1733" i="7"/>
  <c r="A1733" i="7"/>
  <c r="K1732" i="7"/>
  <c r="J1732" i="7"/>
  <c r="I1732" i="7"/>
  <c r="H1732" i="7"/>
  <c r="G1732" i="7"/>
  <c r="F1732" i="7"/>
  <c r="E1732" i="7"/>
  <c r="D1732" i="7"/>
  <c r="C1732" i="7"/>
  <c r="B1732" i="7"/>
  <c r="A1732" i="7"/>
  <c r="K1731" i="7"/>
  <c r="J1731" i="7"/>
  <c r="I1731" i="7"/>
  <c r="H1731" i="7"/>
  <c r="G1731" i="7"/>
  <c r="F1731" i="7"/>
  <c r="E1731" i="7"/>
  <c r="D1731" i="7"/>
  <c r="C1731" i="7"/>
  <c r="B1731" i="7"/>
  <c r="A1731" i="7"/>
  <c r="K1730" i="7"/>
  <c r="J1730" i="7"/>
  <c r="I1730" i="7"/>
  <c r="H1730" i="7"/>
  <c r="G1730" i="7"/>
  <c r="F1730" i="7"/>
  <c r="E1730" i="7"/>
  <c r="D1730" i="7"/>
  <c r="C1730" i="7"/>
  <c r="B1730" i="7"/>
  <c r="A1730" i="7"/>
  <c r="K1729" i="7"/>
  <c r="J1729" i="7"/>
  <c r="I1729" i="7"/>
  <c r="H1729" i="7"/>
  <c r="G1729" i="7"/>
  <c r="F1729" i="7"/>
  <c r="E1729" i="7"/>
  <c r="D1729" i="7"/>
  <c r="C1729" i="7"/>
  <c r="B1729" i="7"/>
  <c r="A1729" i="7"/>
  <c r="K1728" i="7"/>
  <c r="J1728" i="7"/>
  <c r="I1728" i="7"/>
  <c r="H1728" i="7"/>
  <c r="G1728" i="7"/>
  <c r="F1728" i="7"/>
  <c r="E1728" i="7"/>
  <c r="D1728" i="7"/>
  <c r="C1728" i="7"/>
  <c r="B1728" i="7"/>
  <c r="A1728" i="7"/>
  <c r="K1727" i="7"/>
  <c r="J1727" i="7"/>
  <c r="I1727" i="7"/>
  <c r="H1727" i="7"/>
  <c r="G1727" i="7"/>
  <c r="F1727" i="7"/>
  <c r="E1727" i="7"/>
  <c r="D1727" i="7"/>
  <c r="C1727" i="7"/>
  <c r="B1727" i="7"/>
  <c r="A1727" i="7"/>
  <c r="K1726" i="7"/>
  <c r="J1726" i="7"/>
  <c r="I1726" i="7"/>
  <c r="H1726" i="7"/>
  <c r="G1726" i="7"/>
  <c r="F1726" i="7"/>
  <c r="E1726" i="7"/>
  <c r="D1726" i="7"/>
  <c r="C1726" i="7"/>
  <c r="B1726" i="7"/>
  <c r="A1726" i="7"/>
  <c r="K1725" i="7"/>
  <c r="J1725" i="7"/>
  <c r="I1725" i="7"/>
  <c r="H1725" i="7"/>
  <c r="G1725" i="7"/>
  <c r="F1725" i="7"/>
  <c r="E1725" i="7"/>
  <c r="D1725" i="7"/>
  <c r="C1725" i="7"/>
  <c r="B1725" i="7"/>
  <c r="A1725" i="7"/>
  <c r="K1724" i="7"/>
  <c r="J1724" i="7"/>
  <c r="I1724" i="7"/>
  <c r="H1724" i="7"/>
  <c r="G1724" i="7"/>
  <c r="F1724" i="7"/>
  <c r="E1724" i="7"/>
  <c r="D1724" i="7"/>
  <c r="C1724" i="7"/>
  <c r="B1724" i="7"/>
  <c r="A1724" i="7"/>
  <c r="K1723" i="7"/>
  <c r="J1723" i="7"/>
  <c r="I1723" i="7"/>
  <c r="H1723" i="7"/>
  <c r="G1723" i="7"/>
  <c r="F1723" i="7"/>
  <c r="E1723" i="7"/>
  <c r="D1723" i="7"/>
  <c r="C1723" i="7"/>
  <c r="B1723" i="7"/>
  <c r="A1723" i="7"/>
  <c r="K1722" i="7"/>
  <c r="J1722" i="7"/>
  <c r="I1722" i="7"/>
  <c r="H1722" i="7"/>
  <c r="G1722" i="7"/>
  <c r="F1722" i="7"/>
  <c r="E1722" i="7"/>
  <c r="D1722" i="7"/>
  <c r="C1722" i="7"/>
  <c r="B1722" i="7"/>
  <c r="A1722" i="7"/>
  <c r="K1721" i="7"/>
  <c r="J1721" i="7"/>
  <c r="I1721" i="7"/>
  <c r="H1721" i="7"/>
  <c r="G1721" i="7"/>
  <c r="F1721" i="7"/>
  <c r="E1721" i="7"/>
  <c r="D1721" i="7"/>
  <c r="C1721" i="7"/>
  <c r="B1721" i="7"/>
  <c r="A1721" i="7"/>
  <c r="K1720" i="7"/>
  <c r="J1720" i="7"/>
  <c r="I1720" i="7"/>
  <c r="H1720" i="7"/>
  <c r="G1720" i="7"/>
  <c r="F1720" i="7"/>
  <c r="E1720" i="7"/>
  <c r="D1720" i="7"/>
  <c r="C1720" i="7"/>
  <c r="B1720" i="7"/>
  <c r="A1720" i="7"/>
  <c r="K1719" i="7"/>
  <c r="J1719" i="7"/>
  <c r="I1719" i="7"/>
  <c r="H1719" i="7"/>
  <c r="G1719" i="7"/>
  <c r="F1719" i="7"/>
  <c r="E1719" i="7"/>
  <c r="D1719" i="7"/>
  <c r="C1719" i="7"/>
  <c r="B1719" i="7"/>
  <c r="A1719" i="7"/>
  <c r="K1718" i="7"/>
  <c r="J1718" i="7"/>
  <c r="I1718" i="7"/>
  <c r="H1718" i="7"/>
  <c r="G1718" i="7"/>
  <c r="F1718" i="7"/>
  <c r="E1718" i="7"/>
  <c r="D1718" i="7"/>
  <c r="C1718" i="7"/>
  <c r="B1718" i="7"/>
  <c r="A1718" i="7"/>
  <c r="K1717" i="7"/>
  <c r="J1717" i="7"/>
  <c r="I1717" i="7"/>
  <c r="H1717" i="7"/>
  <c r="G1717" i="7"/>
  <c r="F1717" i="7"/>
  <c r="E1717" i="7"/>
  <c r="D1717" i="7"/>
  <c r="C1717" i="7"/>
  <c r="B1717" i="7"/>
  <c r="A1717" i="7"/>
  <c r="K1716" i="7"/>
  <c r="J1716" i="7"/>
  <c r="I1716" i="7"/>
  <c r="H1716" i="7"/>
  <c r="G1716" i="7"/>
  <c r="F1716" i="7"/>
  <c r="E1716" i="7"/>
  <c r="D1716" i="7"/>
  <c r="C1716" i="7"/>
  <c r="B1716" i="7"/>
  <c r="A1716" i="7"/>
  <c r="K1715" i="7"/>
  <c r="J1715" i="7"/>
  <c r="I1715" i="7"/>
  <c r="H1715" i="7"/>
  <c r="G1715" i="7"/>
  <c r="F1715" i="7"/>
  <c r="E1715" i="7"/>
  <c r="D1715" i="7"/>
  <c r="C1715" i="7"/>
  <c r="B1715" i="7"/>
  <c r="A1715" i="7"/>
  <c r="K1714" i="7"/>
  <c r="J1714" i="7"/>
  <c r="I1714" i="7"/>
  <c r="H1714" i="7"/>
  <c r="G1714" i="7"/>
  <c r="F1714" i="7"/>
  <c r="E1714" i="7"/>
  <c r="D1714" i="7"/>
  <c r="C1714" i="7"/>
  <c r="B1714" i="7"/>
  <c r="A1714" i="7"/>
  <c r="K1713" i="7"/>
  <c r="J1713" i="7"/>
  <c r="I1713" i="7"/>
  <c r="H1713" i="7"/>
  <c r="G1713" i="7"/>
  <c r="F1713" i="7"/>
  <c r="E1713" i="7"/>
  <c r="D1713" i="7"/>
  <c r="C1713" i="7"/>
  <c r="B1713" i="7"/>
  <c r="A1713" i="7"/>
  <c r="K1712" i="7"/>
  <c r="J1712" i="7"/>
  <c r="I1712" i="7"/>
  <c r="H1712" i="7"/>
  <c r="G1712" i="7"/>
  <c r="F1712" i="7"/>
  <c r="E1712" i="7"/>
  <c r="D1712" i="7"/>
  <c r="C1712" i="7"/>
  <c r="B1712" i="7"/>
  <c r="A1712" i="7"/>
  <c r="K1711" i="7"/>
  <c r="J1711" i="7"/>
  <c r="I1711" i="7"/>
  <c r="H1711" i="7"/>
  <c r="G1711" i="7"/>
  <c r="F1711" i="7"/>
  <c r="E1711" i="7"/>
  <c r="D1711" i="7"/>
  <c r="C1711" i="7"/>
  <c r="B1711" i="7"/>
  <c r="A1711" i="7"/>
  <c r="K1710" i="7"/>
  <c r="J1710" i="7"/>
  <c r="I1710" i="7"/>
  <c r="H1710" i="7"/>
  <c r="G1710" i="7"/>
  <c r="F1710" i="7"/>
  <c r="E1710" i="7"/>
  <c r="D1710" i="7"/>
  <c r="C1710" i="7"/>
  <c r="B1710" i="7"/>
  <c r="A1710" i="7"/>
  <c r="K1709" i="7"/>
  <c r="J1709" i="7"/>
  <c r="I1709" i="7"/>
  <c r="H1709" i="7"/>
  <c r="G1709" i="7"/>
  <c r="F1709" i="7"/>
  <c r="E1709" i="7"/>
  <c r="D1709" i="7"/>
  <c r="C1709" i="7"/>
  <c r="B1709" i="7"/>
  <c r="A1709" i="7"/>
  <c r="K1708" i="7"/>
  <c r="J1708" i="7"/>
  <c r="I1708" i="7"/>
  <c r="H1708" i="7"/>
  <c r="G1708" i="7"/>
  <c r="F1708" i="7"/>
  <c r="E1708" i="7"/>
  <c r="D1708" i="7"/>
  <c r="C1708" i="7"/>
  <c r="B1708" i="7"/>
  <c r="A1708" i="7"/>
  <c r="K1707" i="7"/>
  <c r="J1707" i="7"/>
  <c r="I1707" i="7"/>
  <c r="H1707" i="7"/>
  <c r="G1707" i="7"/>
  <c r="F1707" i="7"/>
  <c r="E1707" i="7"/>
  <c r="D1707" i="7"/>
  <c r="C1707" i="7"/>
  <c r="B1707" i="7"/>
  <c r="A1707" i="7"/>
  <c r="K1706" i="7"/>
  <c r="J1706" i="7"/>
  <c r="I1706" i="7"/>
  <c r="H1706" i="7"/>
  <c r="G1706" i="7"/>
  <c r="F1706" i="7"/>
  <c r="E1706" i="7"/>
  <c r="D1706" i="7"/>
  <c r="C1706" i="7"/>
  <c r="B1706" i="7"/>
  <c r="A1706" i="7"/>
  <c r="K1705" i="7"/>
  <c r="J1705" i="7"/>
  <c r="I1705" i="7"/>
  <c r="H1705" i="7"/>
  <c r="G1705" i="7"/>
  <c r="F1705" i="7"/>
  <c r="E1705" i="7"/>
  <c r="D1705" i="7"/>
  <c r="C1705" i="7"/>
  <c r="B1705" i="7"/>
  <c r="A1705" i="7"/>
  <c r="K1704" i="7"/>
  <c r="J1704" i="7"/>
  <c r="I1704" i="7"/>
  <c r="H1704" i="7"/>
  <c r="G1704" i="7"/>
  <c r="F1704" i="7"/>
  <c r="E1704" i="7"/>
  <c r="D1704" i="7"/>
  <c r="C1704" i="7"/>
  <c r="B1704" i="7"/>
  <c r="A1704" i="7"/>
  <c r="K1703" i="7"/>
  <c r="J1703" i="7"/>
  <c r="I1703" i="7"/>
  <c r="H1703" i="7"/>
  <c r="G1703" i="7"/>
  <c r="F1703" i="7"/>
  <c r="E1703" i="7"/>
  <c r="D1703" i="7"/>
  <c r="C1703" i="7"/>
  <c r="B1703" i="7"/>
  <c r="A1703" i="7"/>
  <c r="K1702" i="7"/>
  <c r="J1702" i="7"/>
  <c r="I1702" i="7"/>
  <c r="H1702" i="7"/>
  <c r="G1702" i="7"/>
  <c r="F1702" i="7"/>
  <c r="E1702" i="7"/>
  <c r="D1702" i="7"/>
  <c r="C1702" i="7"/>
  <c r="B1702" i="7"/>
  <c r="A1702" i="7"/>
  <c r="K1701" i="7"/>
  <c r="J1701" i="7"/>
  <c r="I1701" i="7"/>
  <c r="H1701" i="7"/>
  <c r="G1701" i="7"/>
  <c r="F1701" i="7"/>
  <c r="E1701" i="7"/>
  <c r="D1701" i="7"/>
  <c r="C1701" i="7"/>
  <c r="B1701" i="7"/>
  <c r="A1701" i="7"/>
  <c r="K1700" i="7"/>
  <c r="J1700" i="7"/>
  <c r="I1700" i="7"/>
  <c r="H1700" i="7"/>
  <c r="G1700" i="7"/>
  <c r="F1700" i="7"/>
  <c r="E1700" i="7"/>
  <c r="D1700" i="7"/>
  <c r="C1700" i="7"/>
  <c r="B1700" i="7"/>
  <c r="A1700" i="7"/>
  <c r="K1699" i="7"/>
  <c r="J1699" i="7"/>
  <c r="I1699" i="7"/>
  <c r="H1699" i="7"/>
  <c r="G1699" i="7"/>
  <c r="F1699" i="7"/>
  <c r="E1699" i="7"/>
  <c r="D1699" i="7"/>
  <c r="C1699" i="7"/>
  <c r="B1699" i="7"/>
  <c r="A1699" i="7"/>
  <c r="K1698" i="7"/>
  <c r="J1698" i="7"/>
  <c r="I1698" i="7"/>
  <c r="H1698" i="7"/>
  <c r="G1698" i="7"/>
  <c r="F1698" i="7"/>
  <c r="E1698" i="7"/>
  <c r="D1698" i="7"/>
  <c r="C1698" i="7"/>
  <c r="B1698" i="7"/>
  <c r="A1698" i="7"/>
  <c r="K1697" i="7"/>
  <c r="J1697" i="7"/>
  <c r="I1697" i="7"/>
  <c r="H1697" i="7"/>
  <c r="G1697" i="7"/>
  <c r="F1697" i="7"/>
  <c r="E1697" i="7"/>
  <c r="D1697" i="7"/>
  <c r="C1697" i="7"/>
  <c r="B1697" i="7"/>
  <c r="A1697" i="7"/>
  <c r="K1696" i="7"/>
  <c r="J1696" i="7"/>
  <c r="I1696" i="7"/>
  <c r="H1696" i="7"/>
  <c r="G1696" i="7"/>
  <c r="F1696" i="7"/>
  <c r="E1696" i="7"/>
  <c r="D1696" i="7"/>
  <c r="C1696" i="7"/>
  <c r="B1696" i="7"/>
  <c r="A1696" i="7"/>
  <c r="K1695" i="7"/>
  <c r="J1695" i="7"/>
  <c r="I1695" i="7"/>
  <c r="H1695" i="7"/>
  <c r="G1695" i="7"/>
  <c r="F1695" i="7"/>
  <c r="E1695" i="7"/>
  <c r="D1695" i="7"/>
  <c r="C1695" i="7"/>
  <c r="B1695" i="7"/>
  <c r="A1695" i="7"/>
  <c r="K1694" i="7"/>
  <c r="J1694" i="7"/>
  <c r="I1694" i="7"/>
  <c r="H1694" i="7"/>
  <c r="G1694" i="7"/>
  <c r="F1694" i="7"/>
  <c r="E1694" i="7"/>
  <c r="D1694" i="7"/>
  <c r="C1694" i="7"/>
  <c r="B1694" i="7"/>
  <c r="A1694" i="7"/>
  <c r="K1693" i="7"/>
  <c r="J1693" i="7"/>
  <c r="I1693" i="7"/>
  <c r="H1693" i="7"/>
  <c r="G1693" i="7"/>
  <c r="F1693" i="7"/>
  <c r="E1693" i="7"/>
  <c r="D1693" i="7"/>
  <c r="C1693" i="7"/>
  <c r="B1693" i="7"/>
  <c r="A1693" i="7"/>
  <c r="K1692" i="7"/>
  <c r="J1692" i="7"/>
  <c r="I1692" i="7"/>
  <c r="H1692" i="7"/>
  <c r="G1692" i="7"/>
  <c r="F1692" i="7"/>
  <c r="E1692" i="7"/>
  <c r="D1692" i="7"/>
  <c r="C1692" i="7"/>
  <c r="B1692" i="7"/>
  <c r="A1692" i="7"/>
  <c r="K1691" i="7"/>
  <c r="J1691" i="7"/>
  <c r="I1691" i="7"/>
  <c r="H1691" i="7"/>
  <c r="G1691" i="7"/>
  <c r="F1691" i="7"/>
  <c r="E1691" i="7"/>
  <c r="D1691" i="7"/>
  <c r="C1691" i="7"/>
  <c r="B1691" i="7"/>
  <c r="A1691" i="7"/>
  <c r="K1690" i="7"/>
  <c r="J1690" i="7"/>
  <c r="I1690" i="7"/>
  <c r="H1690" i="7"/>
  <c r="G1690" i="7"/>
  <c r="F1690" i="7"/>
  <c r="E1690" i="7"/>
  <c r="D1690" i="7"/>
  <c r="C1690" i="7"/>
  <c r="B1690" i="7"/>
  <c r="A1690" i="7"/>
  <c r="K1689" i="7"/>
  <c r="J1689" i="7"/>
  <c r="I1689" i="7"/>
  <c r="H1689" i="7"/>
  <c r="G1689" i="7"/>
  <c r="F1689" i="7"/>
  <c r="E1689" i="7"/>
  <c r="D1689" i="7"/>
  <c r="C1689" i="7"/>
  <c r="B1689" i="7"/>
  <c r="A1689" i="7"/>
  <c r="K1688" i="7"/>
  <c r="J1688" i="7"/>
  <c r="I1688" i="7"/>
  <c r="H1688" i="7"/>
  <c r="G1688" i="7"/>
  <c r="F1688" i="7"/>
  <c r="E1688" i="7"/>
  <c r="D1688" i="7"/>
  <c r="C1688" i="7"/>
  <c r="B1688" i="7"/>
  <c r="A1688" i="7"/>
  <c r="K1687" i="7"/>
  <c r="J1687" i="7"/>
  <c r="I1687" i="7"/>
  <c r="H1687" i="7"/>
  <c r="G1687" i="7"/>
  <c r="F1687" i="7"/>
  <c r="E1687" i="7"/>
  <c r="D1687" i="7"/>
  <c r="C1687" i="7"/>
  <c r="B1687" i="7"/>
  <c r="A1687" i="7"/>
  <c r="K1686" i="7"/>
  <c r="J1686" i="7"/>
  <c r="I1686" i="7"/>
  <c r="H1686" i="7"/>
  <c r="G1686" i="7"/>
  <c r="F1686" i="7"/>
  <c r="E1686" i="7"/>
  <c r="D1686" i="7"/>
  <c r="C1686" i="7"/>
  <c r="B1686" i="7"/>
  <c r="A1686" i="7"/>
  <c r="K1685" i="7"/>
  <c r="J1685" i="7"/>
  <c r="I1685" i="7"/>
  <c r="H1685" i="7"/>
  <c r="G1685" i="7"/>
  <c r="F1685" i="7"/>
  <c r="E1685" i="7"/>
  <c r="D1685" i="7"/>
  <c r="C1685" i="7"/>
  <c r="B1685" i="7"/>
  <c r="A1685" i="7"/>
  <c r="K1684" i="7"/>
  <c r="J1684" i="7"/>
  <c r="I1684" i="7"/>
  <c r="H1684" i="7"/>
  <c r="G1684" i="7"/>
  <c r="F1684" i="7"/>
  <c r="E1684" i="7"/>
  <c r="D1684" i="7"/>
  <c r="C1684" i="7"/>
  <c r="B1684" i="7"/>
  <c r="A1684" i="7"/>
  <c r="K1683" i="7"/>
  <c r="J1683" i="7"/>
  <c r="I1683" i="7"/>
  <c r="H1683" i="7"/>
  <c r="G1683" i="7"/>
  <c r="F1683" i="7"/>
  <c r="E1683" i="7"/>
  <c r="D1683" i="7"/>
  <c r="C1683" i="7"/>
  <c r="B1683" i="7"/>
  <c r="A1683" i="7"/>
  <c r="K1682" i="7"/>
  <c r="J1682" i="7"/>
  <c r="I1682" i="7"/>
  <c r="H1682" i="7"/>
  <c r="G1682" i="7"/>
  <c r="F1682" i="7"/>
  <c r="E1682" i="7"/>
  <c r="D1682" i="7"/>
  <c r="C1682" i="7"/>
  <c r="B1682" i="7"/>
  <c r="A1682" i="7"/>
  <c r="K1681" i="7"/>
  <c r="J1681" i="7"/>
  <c r="I1681" i="7"/>
  <c r="H1681" i="7"/>
  <c r="G1681" i="7"/>
  <c r="F1681" i="7"/>
  <c r="E1681" i="7"/>
  <c r="D1681" i="7"/>
  <c r="C1681" i="7"/>
  <c r="B1681" i="7"/>
  <c r="A1681" i="7"/>
  <c r="K1680" i="7"/>
  <c r="J1680" i="7"/>
  <c r="I1680" i="7"/>
  <c r="H1680" i="7"/>
  <c r="G1680" i="7"/>
  <c r="F1680" i="7"/>
  <c r="E1680" i="7"/>
  <c r="D1680" i="7"/>
  <c r="C1680" i="7"/>
  <c r="B1680" i="7"/>
  <c r="A1680" i="7"/>
  <c r="K1679" i="7"/>
  <c r="J1679" i="7"/>
  <c r="I1679" i="7"/>
  <c r="H1679" i="7"/>
  <c r="G1679" i="7"/>
  <c r="F1679" i="7"/>
  <c r="E1679" i="7"/>
  <c r="D1679" i="7"/>
  <c r="C1679" i="7"/>
  <c r="B1679" i="7"/>
  <c r="A1679" i="7"/>
  <c r="K1678" i="7"/>
  <c r="J1678" i="7"/>
  <c r="I1678" i="7"/>
  <c r="H1678" i="7"/>
  <c r="G1678" i="7"/>
  <c r="F1678" i="7"/>
  <c r="E1678" i="7"/>
  <c r="D1678" i="7"/>
  <c r="C1678" i="7"/>
  <c r="B1678" i="7"/>
  <c r="A1678" i="7"/>
  <c r="K1677" i="7"/>
  <c r="J1677" i="7"/>
  <c r="I1677" i="7"/>
  <c r="H1677" i="7"/>
  <c r="G1677" i="7"/>
  <c r="F1677" i="7"/>
  <c r="E1677" i="7"/>
  <c r="D1677" i="7"/>
  <c r="C1677" i="7"/>
  <c r="B1677" i="7"/>
  <c r="A1677" i="7"/>
  <c r="K1676" i="7"/>
  <c r="J1676" i="7"/>
  <c r="I1676" i="7"/>
  <c r="H1676" i="7"/>
  <c r="G1676" i="7"/>
  <c r="F1676" i="7"/>
  <c r="E1676" i="7"/>
  <c r="D1676" i="7"/>
  <c r="C1676" i="7"/>
  <c r="B1676" i="7"/>
  <c r="A1676" i="7"/>
  <c r="K1675" i="7"/>
  <c r="J1675" i="7"/>
  <c r="I1675" i="7"/>
  <c r="H1675" i="7"/>
  <c r="G1675" i="7"/>
  <c r="F1675" i="7"/>
  <c r="E1675" i="7"/>
  <c r="D1675" i="7"/>
  <c r="C1675" i="7"/>
  <c r="B1675" i="7"/>
  <c r="A1675" i="7"/>
  <c r="K1674" i="7"/>
  <c r="J1674" i="7"/>
  <c r="I1674" i="7"/>
  <c r="H1674" i="7"/>
  <c r="G1674" i="7"/>
  <c r="F1674" i="7"/>
  <c r="E1674" i="7"/>
  <c r="D1674" i="7"/>
  <c r="C1674" i="7"/>
  <c r="B1674" i="7"/>
  <c r="A1674" i="7"/>
  <c r="K1673" i="7"/>
  <c r="J1673" i="7"/>
  <c r="I1673" i="7"/>
  <c r="H1673" i="7"/>
  <c r="G1673" i="7"/>
  <c r="F1673" i="7"/>
  <c r="E1673" i="7"/>
  <c r="D1673" i="7"/>
  <c r="C1673" i="7"/>
  <c r="B1673" i="7"/>
  <c r="A1673" i="7"/>
  <c r="K1672" i="7"/>
  <c r="J1672" i="7"/>
  <c r="I1672" i="7"/>
  <c r="H1672" i="7"/>
  <c r="G1672" i="7"/>
  <c r="F1672" i="7"/>
  <c r="E1672" i="7"/>
  <c r="D1672" i="7"/>
  <c r="C1672" i="7"/>
  <c r="B1672" i="7"/>
  <c r="A1672" i="7"/>
  <c r="K1671" i="7"/>
  <c r="J1671" i="7"/>
  <c r="I1671" i="7"/>
  <c r="H1671" i="7"/>
  <c r="G1671" i="7"/>
  <c r="F1671" i="7"/>
  <c r="E1671" i="7"/>
  <c r="D1671" i="7"/>
  <c r="C1671" i="7"/>
  <c r="B1671" i="7"/>
  <c r="A1671" i="7"/>
  <c r="K1670" i="7"/>
  <c r="J1670" i="7"/>
  <c r="I1670" i="7"/>
  <c r="H1670" i="7"/>
  <c r="G1670" i="7"/>
  <c r="F1670" i="7"/>
  <c r="E1670" i="7"/>
  <c r="D1670" i="7"/>
  <c r="C1670" i="7"/>
  <c r="B1670" i="7"/>
  <c r="A1670" i="7"/>
  <c r="K1669" i="7"/>
  <c r="J1669" i="7"/>
  <c r="I1669" i="7"/>
  <c r="H1669" i="7"/>
  <c r="G1669" i="7"/>
  <c r="F1669" i="7"/>
  <c r="E1669" i="7"/>
  <c r="D1669" i="7"/>
  <c r="C1669" i="7"/>
  <c r="B1669" i="7"/>
  <c r="A1669" i="7"/>
  <c r="K1668" i="7"/>
  <c r="J1668" i="7"/>
  <c r="I1668" i="7"/>
  <c r="H1668" i="7"/>
  <c r="G1668" i="7"/>
  <c r="F1668" i="7"/>
  <c r="E1668" i="7"/>
  <c r="D1668" i="7"/>
  <c r="C1668" i="7"/>
  <c r="B1668" i="7"/>
  <c r="A1668" i="7"/>
  <c r="K1667" i="7"/>
  <c r="J1667" i="7"/>
  <c r="I1667" i="7"/>
  <c r="H1667" i="7"/>
  <c r="G1667" i="7"/>
  <c r="F1667" i="7"/>
  <c r="E1667" i="7"/>
  <c r="D1667" i="7"/>
  <c r="C1667" i="7"/>
  <c r="B1667" i="7"/>
  <c r="A1667" i="7"/>
  <c r="K1666" i="7"/>
  <c r="J1666" i="7"/>
  <c r="I1666" i="7"/>
  <c r="H1666" i="7"/>
  <c r="G1666" i="7"/>
  <c r="F1666" i="7"/>
  <c r="E1666" i="7"/>
  <c r="D1666" i="7"/>
  <c r="C1666" i="7"/>
  <c r="B1666" i="7"/>
  <c r="A1666" i="7"/>
  <c r="K1665" i="7"/>
  <c r="J1665" i="7"/>
  <c r="I1665" i="7"/>
  <c r="H1665" i="7"/>
  <c r="G1665" i="7"/>
  <c r="F1665" i="7"/>
  <c r="E1665" i="7"/>
  <c r="D1665" i="7"/>
  <c r="C1665" i="7"/>
  <c r="B1665" i="7"/>
  <c r="A1665" i="7"/>
  <c r="K1664" i="7"/>
  <c r="J1664" i="7"/>
  <c r="I1664" i="7"/>
  <c r="H1664" i="7"/>
  <c r="G1664" i="7"/>
  <c r="F1664" i="7"/>
  <c r="E1664" i="7"/>
  <c r="D1664" i="7"/>
  <c r="C1664" i="7"/>
  <c r="B1664" i="7"/>
  <c r="A1664" i="7"/>
  <c r="K1663" i="7"/>
  <c r="J1663" i="7"/>
  <c r="I1663" i="7"/>
  <c r="H1663" i="7"/>
  <c r="G1663" i="7"/>
  <c r="F1663" i="7"/>
  <c r="E1663" i="7"/>
  <c r="D1663" i="7"/>
  <c r="C1663" i="7"/>
  <c r="B1663" i="7"/>
  <c r="A1663" i="7"/>
  <c r="K1662" i="7"/>
  <c r="J1662" i="7"/>
  <c r="I1662" i="7"/>
  <c r="H1662" i="7"/>
  <c r="G1662" i="7"/>
  <c r="F1662" i="7"/>
  <c r="E1662" i="7"/>
  <c r="D1662" i="7"/>
  <c r="C1662" i="7"/>
  <c r="B1662" i="7"/>
  <c r="A1662" i="7"/>
  <c r="K1661" i="7"/>
  <c r="J1661" i="7"/>
  <c r="I1661" i="7"/>
  <c r="H1661" i="7"/>
  <c r="G1661" i="7"/>
  <c r="F1661" i="7"/>
  <c r="E1661" i="7"/>
  <c r="D1661" i="7"/>
  <c r="C1661" i="7"/>
  <c r="B1661" i="7"/>
  <c r="A1661" i="7"/>
  <c r="K1660" i="7"/>
  <c r="J1660" i="7"/>
  <c r="I1660" i="7"/>
  <c r="H1660" i="7"/>
  <c r="G1660" i="7"/>
  <c r="F1660" i="7"/>
  <c r="E1660" i="7"/>
  <c r="D1660" i="7"/>
  <c r="C1660" i="7"/>
  <c r="B1660" i="7"/>
  <c r="A1660" i="7"/>
  <c r="K1659" i="7"/>
  <c r="J1659" i="7"/>
  <c r="I1659" i="7"/>
  <c r="H1659" i="7"/>
  <c r="G1659" i="7"/>
  <c r="F1659" i="7"/>
  <c r="E1659" i="7"/>
  <c r="D1659" i="7"/>
  <c r="C1659" i="7"/>
  <c r="B1659" i="7"/>
  <c r="A1659" i="7"/>
  <c r="K1658" i="7"/>
  <c r="J1658" i="7"/>
  <c r="I1658" i="7"/>
  <c r="H1658" i="7"/>
  <c r="G1658" i="7"/>
  <c r="F1658" i="7"/>
  <c r="E1658" i="7"/>
  <c r="D1658" i="7"/>
  <c r="C1658" i="7"/>
  <c r="B1658" i="7"/>
  <c r="A1658" i="7"/>
  <c r="K1657" i="7"/>
  <c r="J1657" i="7"/>
  <c r="I1657" i="7"/>
  <c r="H1657" i="7"/>
  <c r="G1657" i="7"/>
  <c r="F1657" i="7"/>
  <c r="E1657" i="7"/>
  <c r="D1657" i="7"/>
  <c r="C1657" i="7"/>
  <c r="B1657" i="7"/>
  <c r="A1657" i="7"/>
  <c r="K1656" i="7"/>
  <c r="J1656" i="7"/>
  <c r="I1656" i="7"/>
  <c r="H1656" i="7"/>
  <c r="G1656" i="7"/>
  <c r="F1656" i="7"/>
  <c r="E1656" i="7"/>
  <c r="D1656" i="7"/>
  <c r="C1656" i="7"/>
  <c r="B1656" i="7"/>
  <c r="A1656" i="7"/>
  <c r="K1655" i="7"/>
  <c r="J1655" i="7"/>
  <c r="I1655" i="7"/>
  <c r="H1655" i="7"/>
  <c r="G1655" i="7"/>
  <c r="F1655" i="7"/>
  <c r="E1655" i="7"/>
  <c r="D1655" i="7"/>
  <c r="C1655" i="7"/>
  <c r="B1655" i="7"/>
  <c r="A1655" i="7"/>
  <c r="K1654" i="7"/>
  <c r="J1654" i="7"/>
  <c r="I1654" i="7"/>
  <c r="H1654" i="7"/>
  <c r="G1654" i="7"/>
  <c r="F1654" i="7"/>
  <c r="E1654" i="7"/>
  <c r="D1654" i="7"/>
  <c r="C1654" i="7"/>
  <c r="B1654" i="7"/>
  <c r="A1654" i="7"/>
  <c r="K1653" i="7"/>
  <c r="J1653" i="7"/>
  <c r="I1653" i="7"/>
  <c r="H1653" i="7"/>
  <c r="G1653" i="7"/>
  <c r="F1653" i="7"/>
  <c r="E1653" i="7"/>
  <c r="D1653" i="7"/>
  <c r="C1653" i="7"/>
  <c r="B1653" i="7"/>
  <c r="A1653" i="7"/>
  <c r="K1652" i="7"/>
  <c r="J1652" i="7"/>
  <c r="I1652" i="7"/>
  <c r="H1652" i="7"/>
  <c r="G1652" i="7"/>
  <c r="F1652" i="7"/>
  <c r="E1652" i="7"/>
  <c r="D1652" i="7"/>
  <c r="C1652" i="7"/>
  <c r="B1652" i="7"/>
  <c r="A1652" i="7"/>
  <c r="K1651" i="7"/>
  <c r="J1651" i="7"/>
  <c r="I1651" i="7"/>
  <c r="H1651" i="7"/>
  <c r="G1651" i="7"/>
  <c r="F1651" i="7"/>
  <c r="E1651" i="7"/>
  <c r="D1651" i="7"/>
  <c r="C1651" i="7"/>
  <c r="B1651" i="7"/>
  <c r="A1651" i="7"/>
  <c r="K1650" i="7"/>
  <c r="J1650" i="7"/>
  <c r="I1650" i="7"/>
  <c r="H1650" i="7"/>
  <c r="G1650" i="7"/>
  <c r="F1650" i="7"/>
  <c r="E1650" i="7"/>
  <c r="D1650" i="7"/>
  <c r="C1650" i="7"/>
  <c r="B1650" i="7"/>
  <c r="A1650" i="7"/>
  <c r="K1649" i="7"/>
  <c r="J1649" i="7"/>
  <c r="I1649" i="7"/>
  <c r="H1649" i="7"/>
  <c r="G1649" i="7"/>
  <c r="F1649" i="7"/>
  <c r="E1649" i="7"/>
  <c r="D1649" i="7"/>
  <c r="C1649" i="7"/>
  <c r="B1649" i="7"/>
  <c r="A1649" i="7"/>
  <c r="K1648" i="7"/>
  <c r="J1648" i="7"/>
  <c r="I1648" i="7"/>
  <c r="H1648" i="7"/>
  <c r="G1648" i="7"/>
  <c r="F1648" i="7"/>
  <c r="E1648" i="7"/>
  <c r="D1648" i="7"/>
  <c r="C1648" i="7"/>
  <c r="B1648" i="7"/>
  <c r="A1648" i="7"/>
  <c r="K1647" i="7"/>
  <c r="J1647" i="7"/>
  <c r="I1647" i="7"/>
  <c r="H1647" i="7"/>
  <c r="G1647" i="7"/>
  <c r="F1647" i="7"/>
  <c r="E1647" i="7"/>
  <c r="D1647" i="7"/>
  <c r="C1647" i="7"/>
  <c r="B1647" i="7"/>
  <c r="A1647" i="7"/>
  <c r="K1646" i="7"/>
  <c r="J1646" i="7"/>
  <c r="I1646" i="7"/>
  <c r="H1646" i="7"/>
  <c r="G1646" i="7"/>
  <c r="F1646" i="7"/>
  <c r="E1646" i="7"/>
  <c r="D1646" i="7"/>
  <c r="C1646" i="7"/>
  <c r="B1646" i="7"/>
  <c r="A1646" i="7"/>
  <c r="K1645" i="7"/>
  <c r="J1645" i="7"/>
  <c r="I1645" i="7"/>
  <c r="H1645" i="7"/>
  <c r="G1645" i="7"/>
  <c r="F1645" i="7"/>
  <c r="E1645" i="7"/>
  <c r="D1645" i="7"/>
  <c r="C1645" i="7"/>
  <c r="B1645" i="7"/>
  <c r="A1645" i="7"/>
  <c r="K1644" i="7"/>
  <c r="J1644" i="7"/>
  <c r="I1644" i="7"/>
  <c r="H1644" i="7"/>
  <c r="G1644" i="7"/>
  <c r="F1644" i="7"/>
  <c r="E1644" i="7"/>
  <c r="D1644" i="7"/>
  <c r="C1644" i="7"/>
  <c r="B1644" i="7"/>
  <c r="A1644" i="7"/>
  <c r="K1643" i="7"/>
  <c r="J1643" i="7"/>
  <c r="I1643" i="7"/>
  <c r="H1643" i="7"/>
  <c r="G1643" i="7"/>
  <c r="F1643" i="7"/>
  <c r="E1643" i="7"/>
  <c r="D1643" i="7"/>
  <c r="C1643" i="7"/>
  <c r="B1643" i="7"/>
  <c r="A1643" i="7"/>
  <c r="K1642" i="7"/>
  <c r="J1642" i="7"/>
  <c r="I1642" i="7"/>
  <c r="H1642" i="7"/>
  <c r="G1642" i="7"/>
  <c r="F1642" i="7"/>
  <c r="E1642" i="7"/>
  <c r="D1642" i="7"/>
  <c r="C1642" i="7"/>
  <c r="B1642" i="7"/>
  <c r="A1642" i="7"/>
  <c r="K1641" i="7"/>
  <c r="J1641" i="7"/>
  <c r="I1641" i="7"/>
  <c r="H1641" i="7"/>
  <c r="G1641" i="7"/>
  <c r="F1641" i="7"/>
  <c r="E1641" i="7"/>
  <c r="D1641" i="7"/>
  <c r="C1641" i="7"/>
  <c r="B1641" i="7"/>
  <c r="A1641" i="7"/>
  <c r="K1640" i="7"/>
  <c r="J1640" i="7"/>
  <c r="I1640" i="7"/>
  <c r="H1640" i="7"/>
  <c r="G1640" i="7"/>
  <c r="F1640" i="7"/>
  <c r="E1640" i="7"/>
  <c r="D1640" i="7"/>
  <c r="C1640" i="7"/>
  <c r="B1640" i="7"/>
  <c r="A1640" i="7"/>
  <c r="K1639" i="7"/>
  <c r="J1639" i="7"/>
  <c r="I1639" i="7"/>
  <c r="H1639" i="7"/>
  <c r="G1639" i="7"/>
  <c r="F1639" i="7"/>
  <c r="E1639" i="7"/>
  <c r="D1639" i="7"/>
  <c r="C1639" i="7"/>
  <c r="B1639" i="7"/>
  <c r="A1639" i="7"/>
  <c r="K1638" i="7"/>
  <c r="J1638" i="7"/>
  <c r="I1638" i="7"/>
  <c r="H1638" i="7"/>
  <c r="G1638" i="7"/>
  <c r="F1638" i="7"/>
  <c r="E1638" i="7"/>
  <c r="D1638" i="7"/>
  <c r="C1638" i="7"/>
  <c r="B1638" i="7"/>
  <c r="A1638" i="7"/>
  <c r="K1637" i="7"/>
  <c r="J1637" i="7"/>
  <c r="I1637" i="7"/>
  <c r="H1637" i="7"/>
  <c r="G1637" i="7"/>
  <c r="F1637" i="7"/>
  <c r="E1637" i="7"/>
  <c r="D1637" i="7"/>
  <c r="C1637" i="7"/>
  <c r="B1637" i="7"/>
  <c r="A1637" i="7"/>
  <c r="K1636" i="7"/>
  <c r="J1636" i="7"/>
  <c r="I1636" i="7"/>
  <c r="H1636" i="7"/>
  <c r="G1636" i="7"/>
  <c r="F1636" i="7"/>
  <c r="E1636" i="7"/>
  <c r="D1636" i="7"/>
  <c r="C1636" i="7"/>
  <c r="B1636" i="7"/>
  <c r="A1636" i="7"/>
  <c r="K1635" i="7"/>
  <c r="J1635" i="7"/>
  <c r="I1635" i="7"/>
  <c r="H1635" i="7"/>
  <c r="G1635" i="7"/>
  <c r="F1635" i="7"/>
  <c r="E1635" i="7"/>
  <c r="D1635" i="7"/>
  <c r="C1635" i="7"/>
  <c r="B1635" i="7"/>
  <c r="A1635" i="7"/>
  <c r="K1634" i="7"/>
  <c r="J1634" i="7"/>
  <c r="I1634" i="7"/>
  <c r="H1634" i="7"/>
  <c r="G1634" i="7"/>
  <c r="F1634" i="7"/>
  <c r="E1634" i="7"/>
  <c r="D1634" i="7"/>
  <c r="C1634" i="7"/>
  <c r="B1634" i="7"/>
  <c r="A1634" i="7"/>
  <c r="K1633" i="7"/>
  <c r="J1633" i="7"/>
  <c r="I1633" i="7"/>
  <c r="H1633" i="7"/>
  <c r="G1633" i="7"/>
  <c r="F1633" i="7"/>
  <c r="E1633" i="7"/>
  <c r="D1633" i="7"/>
  <c r="C1633" i="7"/>
  <c r="B1633" i="7"/>
  <c r="A1633" i="7"/>
  <c r="K1632" i="7"/>
  <c r="J1632" i="7"/>
  <c r="I1632" i="7"/>
  <c r="H1632" i="7"/>
  <c r="G1632" i="7"/>
  <c r="F1632" i="7"/>
  <c r="E1632" i="7"/>
  <c r="D1632" i="7"/>
  <c r="C1632" i="7"/>
  <c r="B1632" i="7"/>
  <c r="A1632" i="7"/>
  <c r="K1631" i="7"/>
  <c r="J1631" i="7"/>
  <c r="I1631" i="7"/>
  <c r="H1631" i="7"/>
  <c r="G1631" i="7"/>
  <c r="F1631" i="7"/>
  <c r="E1631" i="7"/>
  <c r="D1631" i="7"/>
  <c r="C1631" i="7"/>
  <c r="B1631" i="7"/>
  <c r="A1631" i="7"/>
  <c r="K1630" i="7"/>
  <c r="J1630" i="7"/>
  <c r="I1630" i="7"/>
  <c r="H1630" i="7"/>
  <c r="G1630" i="7"/>
  <c r="F1630" i="7"/>
  <c r="E1630" i="7"/>
  <c r="D1630" i="7"/>
  <c r="C1630" i="7"/>
  <c r="B1630" i="7"/>
  <c r="A1630" i="7"/>
  <c r="K1629" i="7"/>
  <c r="J1629" i="7"/>
  <c r="I1629" i="7"/>
  <c r="H1629" i="7"/>
  <c r="G1629" i="7"/>
  <c r="F1629" i="7"/>
  <c r="E1629" i="7"/>
  <c r="D1629" i="7"/>
  <c r="C1629" i="7"/>
  <c r="B1629" i="7"/>
  <c r="A1629" i="7"/>
  <c r="K1628" i="7"/>
  <c r="J1628" i="7"/>
  <c r="I1628" i="7"/>
  <c r="H1628" i="7"/>
  <c r="G1628" i="7"/>
  <c r="F1628" i="7"/>
  <c r="E1628" i="7"/>
  <c r="D1628" i="7"/>
  <c r="C1628" i="7"/>
  <c r="B1628" i="7"/>
  <c r="A1628" i="7"/>
  <c r="K1627" i="7"/>
  <c r="J1627" i="7"/>
  <c r="I1627" i="7"/>
  <c r="H1627" i="7"/>
  <c r="G1627" i="7"/>
  <c r="F1627" i="7"/>
  <c r="E1627" i="7"/>
  <c r="D1627" i="7"/>
  <c r="C1627" i="7"/>
  <c r="B1627" i="7"/>
  <c r="A1627" i="7"/>
  <c r="K1626" i="7"/>
  <c r="J1626" i="7"/>
  <c r="I1626" i="7"/>
  <c r="H1626" i="7"/>
  <c r="G1626" i="7"/>
  <c r="F1626" i="7"/>
  <c r="E1626" i="7"/>
  <c r="D1626" i="7"/>
  <c r="C1626" i="7"/>
  <c r="B1626" i="7"/>
  <c r="A1626" i="7"/>
  <c r="K1625" i="7"/>
  <c r="J1625" i="7"/>
  <c r="I1625" i="7"/>
  <c r="H1625" i="7"/>
  <c r="G1625" i="7"/>
  <c r="F1625" i="7"/>
  <c r="E1625" i="7"/>
  <c r="D1625" i="7"/>
  <c r="C1625" i="7"/>
  <c r="B1625" i="7"/>
  <c r="A1625" i="7"/>
  <c r="K1624" i="7"/>
  <c r="J1624" i="7"/>
  <c r="I1624" i="7"/>
  <c r="H1624" i="7"/>
  <c r="G1624" i="7"/>
  <c r="F1624" i="7"/>
  <c r="E1624" i="7"/>
  <c r="D1624" i="7"/>
  <c r="C1624" i="7"/>
  <c r="B1624" i="7"/>
  <c r="A1624" i="7"/>
  <c r="K1623" i="7"/>
  <c r="J1623" i="7"/>
  <c r="I1623" i="7"/>
  <c r="H1623" i="7"/>
  <c r="G1623" i="7"/>
  <c r="F1623" i="7"/>
  <c r="E1623" i="7"/>
  <c r="D1623" i="7"/>
  <c r="C1623" i="7"/>
  <c r="B1623" i="7"/>
  <c r="A1623" i="7"/>
  <c r="K1622" i="7"/>
  <c r="J1622" i="7"/>
  <c r="I1622" i="7"/>
  <c r="H1622" i="7"/>
  <c r="G1622" i="7"/>
  <c r="F1622" i="7"/>
  <c r="E1622" i="7"/>
  <c r="D1622" i="7"/>
  <c r="C1622" i="7"/>
  <c r="B1622" i="7"/>
  <c r="A1622" i="7"/>
  <c r="K1621" i="7"/>
  <c r="J1621" i="7"/>
  <c r="I1621" i="7"/>
  <c r="H1621" i="7"/>
  <c r="G1621" i="7"/>
  <c r="F1621" i="7"/>
  <c r="E1621" i="7"/>
  <c r="D1621" i="7"/>
  <c r="C1621" i="7"/>
  <c r="B1621" i="7"/>
  <c r="A1621" i="7"/>
  <c r="K1620" i="7"/>
  <c r="J1620" i="7"/>
  <c r="I1620" i="7"/>
  <c r="H1620" i="7"/>
  <c r="G1620" i="7"/>
  <c r="F1620" i="7"/>
  <c r="E1620" i="7"/>
  <c r="D1620" i="7"/>
  <c r="C1620" i="7"/>
  <c r="B1620" i="7"/>
  <c r="A1620" i="7"/>
  <c r="K1619" i="7"/>
  <c r="J1619" i="7"/>
  <c r="I1619" i="7"/>
  <c r="H1619" i="7"/>
  <c r="G1619" i="7"/>
  <c r="F1619" i="7"/>
  <c r="E1619" i="7"/>
  <c r="D1619" i="7"/>
  <c r="C1619" i="7"/>
  <c r="B1619" i="7"/>
  <c r="A1619" i="7"/>
  <c r="K1618" i="7"/>
  <c r="J1618" i="7"/>
  <c r="I1618" i="7"/>
  <c r="H1618" i="7"/>
  <c r="G1618" i="7"/>
  <c r="F1618" i="7"/>
  <c r="E1618" i="7"/>
  <c r="D1618" i="7"/>
  <c r="C1618" i="7"/>
  <c r="B1618" i="7"/>
  <c r="A1618" i="7"/>
  <c r="K1617" i="7"/>
  <c r="J1617" i="7"/>
  <c r="I1617" i="7"/>
  <c r="H1617" i="7"/>
  <c r="G1617" i="7"/>
  <c r="F1617" i="7"/>
  <c r="E1617" i="7"/>
  <c r="D1617" i="7"/>
  <c r="C1617" i="7"/>
  <c r="B1617" i="7"/>
  <c r="A1617" i="7"/>
  <c r="K1616" i="7"/>
  <c r="J1616" i="7"/>
  <c r="I1616" i="7"/>
  <c r="H1616" i="7"/>
  <c r="G1616" i="7"/>
  <c r="F1616" i="7"/>
  <c r="E1616" i="7"/>
  <c r="D1616" i="7"/>
  <c r="C1616" i="7"/>
  <c r="B1616" i="7"/>
  <c r="A1616" i="7"/>
  <c r="K1615" i="7"/>
  <c r="J1615" i="7"/>
  <c r="I1615" i="7"/>
  <c r="H1615" i="7"/>
  <c r="G1615" i="7"/>
  <c r="F1615" i="7"/>
  <c r="E1615" i="7"/>
  <c r="D1615" i="7"/>
  <c r="C1615" i="7"/>
  <c r="B1615" i="7"/>
  <c r="A1615" i="7"/>
  <c r="K1614" i="7"/>
  <c r="J1614" i="7"/>
  <c r="I1614" i="7"/>
  <c r="H1614" i="7"/>
  <c r="G1614" i="7"/>
  <c r="F1614" i="7"/>
  <c r="E1614" i="7"/>
  <c r="D1614" i="7"/>
  <c r="C1614" i="7"/>
  <c r="B1614" i="7"/>
  <c r="A1614" i="7"/>
  <c r="K1613" i="7"/>
  <c r="J1613" i="7"/>
  <c r="I1613" i="7"/>
  <c r="H1613" i="7"/>
  <c r="G1613" i="7"/>
  <c r="F1613" i="7"/>
  <c r="E1613" i="7"/>
  <c r="D1613" i="7"/>
  <c r="C1613" i="7"/>
  <c r="B1613" i="7"/>
  <c r="A1613" i="7"/>
  <c r="K1612" i="7"/>
  <c r="J1612" i="7"/>
  <c r="I1612" i="7"/>
  <c r="H1612" i="7"/>
  <c r="G1612" i="7"/>
  <c r="F1612" i="7"/>
  <c r="E1612" i="7"/>
  <c r="D1612" i="7"/>
  <c r="C1612" i="7"/>
  <c r="B1612" i="7"/>
  <c r="A1612" i="7"/>
  <c r="K1611" i="7"/>
  <c r="J1611" i="7"/>
  <c r="I1611" i="7"/>
  <c r="H1611" i="7"/>
  <c r="G1611" i="7"/>
  <c r="F1611" i="7"/>
  <c r="E1611" i="7"/>
  <c r="D1611" i="7"/>
  <c r="C1611" i="7"/>
  <c r="B1611" i="7"/>
  <c r="A1611" i="7"/>
  <c r="K1610" i="7"/>
  <c r="J1610" i="7"/>
  <c r="I1610" i="7"/>
  <c r="H1610" i="7"/>
  <c r="G1610" i="7"/>
  <c r="F1610" i="7"/>
  <c r="E1610" i="7"/>
  <c r="D1610" i="7"/>
  <c r="C1610" i="7"/>
  <c r="B1610" i="7"/>
  <c r="A1610" i="7"/>
  <c r="K1609" i="7"/>
  <c r="J1609" i="7"/>
  <c r="I1609" i="7"/>
  <c r="H1609" i="7"/>
  <c r="G1609" i="7"/>
  <c r="F1609" i="7"/>
  <c r="E1609" i="7"/>
  <c r="D1609" i="7"/>
  <c r="C1609" i="7"/>
  <c r="B1609" i="7"/>
  <c r="A1609" i="7"/>
  <c r="K1608" i="7"/>
  <c r="J1608" i="7"/>
  <c r="I1608" i="7"/>
  <c r="H1608" i="7"/>
  <c r="G1608" i="7"/>
  <c r="F1608" i="7"/>
  <c r="E1608" i="7"/>
  <c r="D1608" i="7"/>
  <c r="C1608" i="7"/>
  <c r="B1608" i="7"/>
  <c r="A1608" i="7"/>
  <c r="K1607" i="7"/>
  <c r="J1607" i="7"/>
  <c r="I1607" i="7"/>
  <c r="H1607" i="7"/>
  <c r="G1607" i="7"/>
  <c r="F1607" i="7"/>
  <c r="E1607" i="7"/>
  <c r="D1607" i="7"/>
  <c r="C1607" i="7"/>
  <c r="B1607" i="7"/>
  <c r="A1607" i="7"/>
  <c r="K1606" i="7"/>
  <c r="J1606" i="7"/>
  <c r="I1606" i="7"/>
  <c r="H1606" i="7"/>
  <c r="G1606" i="7"/>
  <c r="F1606" i="7"/>
  <c r="E1606" i="7"/>
  <c r="D1606" i="7"/>
  <c r="C1606" i="7"/>
  <c r="B1606" i="7"/>
  <c r="A1606" i="7"/>
  <c r="K1605" i="7"/>
  <c r="J1605" i="7"/>
  <c r="I1605" i="7"/>
  <c r="H1605" i="7"/>
  <c r="G1605" i="7"/>
  <c r="F1605" i="7"/>
  <c r="E1605" i="7"/>
  <c r="D1605" i="7"/>
  <c r="C1605" i="7"/>
  <c r="B1605" i="7"/>
  <c r="A1605" i="7"/>
  <c r="K1604" i="7"/>
  <c r="J1604" i="7"/>
  <c r="I1604" i="7"/>
  <c r="H1604" i="7"/>
  <c r="G1604" i="7"/>
  <c r="F1604" i="7"/>
  <c r="E1604" i="7"/>
  <c r="D1604" i="7"/>
  <c r="C1604" i="7"/>
  <c r="B1604" i="7"/>
  <c r="A1604" i="7"/>
  <c r="K1603" i="7"/>
  <c r="J1603" i="7"/>
  <c r="I1603" i="7"/>
  <c r="H1603" i="7"/>
  <c r="G1603" i="7"/>
  <c r="F1603" i="7"/>
  <c r="E1603" i="7"/>
  <c r="D1603" i="7"/>
  <c r="C1603" i="7"/>
  <c r="B1603" i="7"/>
  <c r="A1603" i="7"/>
  <c r="K1602" i="7"/>
  <c r="J1602" i="7"/>
  <c r="I1602" i="7"/>
  <c r="H1602" i="7"/>
  <c r="G1602" i="7"/>
  <c r="F1602" i="7"/>
  <c r="E1602" i="7"/>
  <c r="D1602" i="7"/>
  <c r="C1602" i="7"/>
  <c r="B1602" i="7"/>
  <c r="A1602" i="7"/>
  <c r="K1601" i="7"/>
  <c r="J1601" i="7"/>
  <c r="I1601" i="7"/>
  <c r="H1601" i="7"/>
  <c r="G1601" i="7"/>
  <c r="F1601" i="7"/>
  <c r="E1601" i="7"/>
  <c r="D1601" i="7"/>
  <c r="C1601" i="7"/>
  <c r="B1601" i="7"/>
  <c r="A1601" i="7"/>
  <c r="K1600" i="7"/>
  <c r="J1600" i="7"/>
  <c r="I1600" i="7"/>
  <c r="H1600" i="7"/>
  <c r="G1600" i="7"/>
  <c r="F1600" i="7"/>
  <c r="E1600" i="7"/>
  <c r="D1600" i="7"/>
  <c r="C1600" i="7"/>
  <c r="B1600" i="7"/>
  <c r="A1600" i="7"/>
  <c r="K1599" i="7"/>
  <c r="J1599" i="7"/>
  <c r="I1599" i="7"/>
  <c r="H1599" i="7"/>
  <c r="G1599" i="7"/>
  <c r="F1599" i="7"/>
  <c r="E1599" i="7"/>
  <c r="D1599" i="7"/>
  <c r="C1599" i="7"/>
  <c r="B1599" i="7"/>
  <c r="A1599" i="7"/>
  <c r="K1598" i="7"/>
  <c r="J1598" i="7"/>
  <c r="I1598" i="7"/>
  <c r="H1598" i="7"/>
  <c r="G1598" i="7"/>
  <c r="F1598" i="7"/>
  <c r="E1598" i="7"/>
  <c r="D1598" i="7"/>
  <c r="C1598" i="7"/>
  <c r="B1598" i="7"/>
  <c r="A1598" i="7"/>
  <c r="K1597" i="7"/>
  <c r="J1597" i="7"/>
  <c r="I1597" i="7"/>
  <c r="H1597" i="7"/>
  <c r="G1597" i="7"/>
  <c r="F1597" i="7"/>
  <c r="E1597" i="7"/>
  <c r="D1597" i="7"/>
  <c r="C1597" i="7"/>
  <c r="B1597" i="7"/>
  <c r="A1597" i="7"/>
  <c r="K1596" i="7"/>
  <c r="J1596" i="7"/>
  <c r="I1596" i="7"/>
  <c r="H1596" i="7"/>
  <c r="G1596" i="7"/>
  <c r="F1596" i="7"/>
  <c r="E1596" i="7"/>
  <c r="D1596" i="7"/>
  <c r="C1596" i="7"/>
  <c r="B1596" i="7"/>
  <c r="A1596" i="7"/>
  <c r="K1595" i="7"/>
  <c r="J1595" i="7"/>
  <c r="I1595" i="7"/>
  <c r="H1595" i="7"/>
  <c r="G1595" i="7"/>
  <c r="F1595" i="7"/>
  <c r="E1595" i="7"/>
  <c r="D1595" i="7"/>
  <c r="C1595" i="7"/>
  <c r="B1595" i="7"/>
  <c r="A1595" i="7"/>
  <c r="K1594" i="7"/>
  <c r="J1594" i="7"/>
  <c r="I1594" i="7"/>
  <c r="H1594" i="7"/>
  <c r="G1594" i="7"/>
  <c r="F1594" i="7"/>
  <c r="E1594" i="7"/>
  <c r="D1594" i="7"/>
  <c r="C1594" i="7"/>
  <c r="B1594" i="7"/>
  <c r="A1594" i="7"/>
  <c r="K1593" i="7"/>
  <c r="J1593" i="7"/>
  <c r="I1593" i="7"/>
  <c r="H1593" i="7"/>
  <c r="G1593" i="7"/>
  <c r="F1593" i="7"/>
  <c r="E1593" i="7"/>
  <c r="D1593" i="7"/>
  <c r="C1593" i="7"/>
  <c r="B1593" i="7"/>
  <c r="A1593" i="7"/>
  <c r="K1592" i="7"/>
  <c r="J1592" i="7"/>
  <c r="I1592" i="7"/>
  <c r="H1592" i="7"/>
  <c r="G1592" i="7"/>
  <c r="F1592" i="7"/>
  <c r="E1592" i="7"/>
  <c r="D1592" i="7"/>
  <c r="C1592" i="7"/>
  <c r="B1592" i="7"/>
  <c r="A1592" i="7"/>
  <c r="K1591" i="7"/>
  <c r="J1591" i="7"/>
  <c r="I1591" i="7"/>
  <c r="H1591" i="7"/>
  <c r="G1591" i="7"/>
  <c r="F1591" i="7"/>
  <c r="E1591" i="7"/>
  <c r="D1591" i="7"/>
  <c r="C1591" i="7"/>
  <c r="B1591" i="7"/>
  <c r="A1591" i="7"/>
  <c r="K1590" i="7"/>
  <c r="J1590" i="7"/>
  <c r="I1590" i="7"/>
  <c r="H1590" i="7"/>
  <c r="G1590" i="7"/>
  <c r="F1590" i="7"/>
  <c r="E1590" i="7"/>
  <c r="D1590" i="7"/>
  <c r="C1590" i="7"/>
  <c r="B1590" i="7"/>
  <c r="A1590" i="7"/>
  <c r="K1589" i="7"/>
  <c r="J1589" i="7"/>
  <c r="I1589" i="7"/>
  <c r="H1589" i="7"/>
  <c r="G1589" i="7"/>
  <c r="F1589" i="7"/>
  <c r="E1589" i="7"/>
  <c r="D1589" i="7"/>
  <c r="C1589" i="7"/>
  <c r="B1589" i="7"/>
  <c r="A1589" i="7"/>
  <c r="K1588" i="7"/>
  <c r="J1588" i="7"/>
  <c r="I1588" i="7"/>
  <c r="H1588" i="7"/>
  <c r="G1588" i="7"/>
  <c r="F1588" i="7"/>
  <c r="E1588" i="7"/>
  <c r="D1588" i="7"/>
  <c r="C1588" i="7"/>
  <c r="B1588" i="7"/>
  <c r="A1588" i="7"/>
  <c r="K1587" i="7"/>
  <c r="J1587" i="7"/>
  <c r="I1587" i="7"/>
  <c r="H1587" i="7"/>
  <c r="G1587" i="7"/>
  <c r="F1587" i="7"/>
  <c r="E1587" i="7"/>
  <c r="D1587" i="7"/>
  <c r="C1587" i="7"/>
  <c r="B1587" i="7"/>
  <c r="A1587" i="7"/>
  <c r="K1586" i="7"/>
  <c r="J1586" i="7"/>
  <c r="I1586" i="7"/>
  <c r="H1586" i="7"/>
  <c r="G1586" i="7"/>
  <c r="F1586" i="7"/>
  <c r="E1586" i="7"/>
  <c r="D1586" i="7"/>
  <c r="C1586" i="7"/>
  <c r="B1586" i="7"/>
  <c r="A1586" i="7"/>
  <c r="K1585" i="7"/>
  <c r="J1585" i="7"/>
  <c r="I1585" i="7"/>
  <c r="H1585" i="7"/>
  <c r="G1585" i="7"/>
  <c r="F1585" i="7"/>
  <c r="E1585" i="7"/>
  <c r="D1585" i="7"/>
  <c r="C1585" i="7"/>
  <c r="B1585" i="7"/>
  <c r="A1585" i="7"/>
  <c r="K1584" i="7"/>
  <c r="J1584" i="7"/>
  <c r="I1584" i="7"/>
  <c r="H1584" i="7"/>
  <c r="G1584" i="7"/>
  <c r="F1584" i="7"/>
  <c r="E1584" i="7"/>
  <c r="D1584" i="7"/>
  <c r="C1584" i="7"/>
  <c r="B1584" i="7"/>
  <c r="A1584" i="7"/>
  <c r="K1583" i="7"/>
  <c r="J1583" i="7"/>
  <c r="I1583" i="7"/>
  <c r="H1583" i="7"/>
  <c r="G1583" i="7"/>
  <c r="F1583" i="7"/>
  <c r="E1583" i="7"/>
  <c r="D1583" i="7"/>
  <c r="C1583" i="7"/>
  <c r="B1583" i="7"/>
  <c r="A1583" i="7"/>
  <c r="K1582" i="7"/>
  <c r="J1582" i="7"/>
  <c r="I1582" i="7"/>
  <c r="H1582" i="7"/>
  <c r="G1582" i="7"/>
  <c r="F1582" i="7"/>
  <c r="E1582" i="7"/>
  <c r="D1582" i="7"/>
  <c r="C1582" i="7"/>
  <c r="B1582" i="7"/>
  <c r="A1582" i="7"/>
  <c r="K1581" i="7"/>
  <c r="J1581" i="7"/>
  <c r="I1581" i="7"/>
  <c r="H1581" i="7"/>
  <c r="G1581" i="7"/>
  <c r="F1581" i="7"/>
  <c r="E1581" i="7"/>
  <c r="D1581" i="7"/>
  <c r="C1581" i="7"/>
  <c r="B1581" i="7"/>
  <c r="A1581" i="7"/>
  <c r="K1580" i="7"/>
  <c r="J1580" i="7"/>
  <c r="I1580" i="7"/>
  <c r="H1580" i="7"/>
  <c r="G1580" i="7"/>
  <c r="F1580" i="7"/>
  <c r="E1580" i="7"/>
  <c r="D1580" i="7"/>
  <c r="C1580" i="7"/>
  <c r="B1580" i="7"/>
  <c r="A1580" i="7"/>
  <c r="K1579" i="7"/>
  <c r="J1579" i="7"/>
  <c r="I1579" i="7"/>
  <c r="H1579" i="7"/>
  <c r="G1579" i="7"/>
  <c r="F1579" i="7"/>
  <c r="E1579" i="7"/>
  <c r="D1579" i="7"/>
  <c r="C1579" i="7"/>
  <c r="B1579" i="7"/>
  <c r="A1579" i="7"/>
  <c r="K1578" i="7"/>
  <c r="J1578" i="7"/>
  <c r="I1578" i="7"/>
  <c r="H1578" i="7"/>
  <c r="G1578" i="7"/>
  <c r="F1578" i="7"/>
  <c r="E1578" i="7"/>
  <c r="D1578" i="7"/>
  <c r="C1578" i="7"/>
  <c r="B1578" i="7"/>
  <c r="A1578" i="7"/>
  <c r="K1577" i="7"/>
  <c r="J1577" i="7"/>
  <c r="I1577" i="7"/>
  <c r="H1577" i="7"/>
  <c r="G1577" i="7"/>
  <c r="F1577" i="7"/>
  <c r="E1577" i="7"/>
  <c r="D1577" i="7"/>
  <c r="C1577" i="7"/>
  <c r="B1577" i="7"/>
  <c r="A1577" i="7"/>
  <c r="K1576" i="7"/>
  <c r="J1576" i="7"/>
  <c r="I1576" i="7"/>
  <c r="H1576" i="7"/>
  <c r="G1576" i="7"/>
  <c r="F1576" i="7"/>
  <c r="E1576" i="7"/>
  <c r="D1576" i="7"/>
  <c r="C1576" i="7"/>
  <c r="B1576" i="7"/>
  <c r="A1576" i="7"/>
  <c r="K1575" i="7"/>
  <c r="J1575" i="7"/>
  <c r="I1575" i="7"/>
  <c r="H1575" i="7"/>
  <c r="G1575" i="7"/>
  <c r="F1575" i="7"/>
  <c r="E1575" i="7"/>
  <c r="D1575" i="7"/>
  <c r="C1575" i="7"/>
  <c r="B1575" i="7"/>
  <c r="A1575" i="7"/>
  <c r="K1574" i="7"/>
  <c r="J1574" i="7"/>
  <c r="I1574" i="7"/>
  <c r="H1574" i="7"/>
  <c r="G1574" i="7"/>
  <c r="F1574" i="7"/>
  <c r="E1574" i="7"/>
  <c r="D1574" i="7"/>
  <c r="C1574" i="7"/>
  <c r="B1574" i="7"/>
  <c r="A1574" i="7"/>
  <c r="K1573" i="7"/>
  <c r="J1573" i="7"/>
  <c r="I1573" i="7"/>
  <c r="H1573" i="7"/>
  <c r="G1573" i="7"/>
  <c r="F1573" i="7"/>
  <c r="E1573" i="7"/>
  <c r="D1573" i="7"/>
  <c r="C1573" i="7"/>
  <c r="B1573" i="7"/>
  <c r="A1573" i="7"/>
  <c r="K1572" i="7"/>
  <c r="J1572" i="7"/>
  <c r="I1572" i="7"/>
  <c r="H1572" i="7"/>
  <c r="G1572" i="7"/>
  <c r="F1572" i="7"/>
  <c r="E1572" i="7"/>
  <c r="D1572" i="7"/>
  <c r="C1572" i="7"/>
  <c r="B1572" i="7"/>
  <c r="A1572" i="7"/>
  <c r="K1571" i="7"/>
  <c r="J1571" i="7"/>
  <c r="I1571" i="7"/>
  <c r="H1571" i="7"/>
  <c r="G1571" i="7"/>
  <c r="F1571" i="7"/>
  <c r="E1571" i="7"/>
  <c r="D1571" i="7"/>
  <c r="C1571" i="7"/>
  <c r="B1571" i="7"/>
  <c r="A1571" i="7"/>
  <c r="K1570" i="7"/>
  <c r="J1570" i="7"/>
  <c r="I1570" i="7"/>
  <c r="H1570" i="7"/>
  <c r="G1570" i="7"/>
  <c r="F1570" i="7"/>
  <c r="E1570" i="7"/>
  <c r="D1570" i="7"/>
  <c r="C1570" i="7"/>
  <c r="B1570" i="7"/>
  <c r="A1570" i="7"/>
  <c r="K1569" i="7"/>
  <c r="J1569" i="7"/>
  <c r="I1569" i="7"/>
  <c r="H1569" i="7"/>
  <c r="G1569" i="7"/>
  <c r="F1569" i="7"/>
  <c r="E1569" i="7"/>
  <c r="D1569" i="7"/>
  <c r="C1569" i="7"/>
  <c r="B1569" i="7"/>
  <c r="A1569" i="7"/>
  <c r="K1568" i="7"/>
  <c r="J1568" i="7"/>
  <c r="I1568" i="7"/>
  <c r="H1568" i="7"/>
  <c r="G1568" i="7"/>
  <c r="F1568" i="7"/>
  <c r="E1568" i="7"/>
  <c r="D1568" i="7"/>
  <c r="C1568" i="7"/>
  <c r="B1568" i="7"/>
  <c r="A1568" i="7"/>
  <c r="K1567" i="7"/>
  <c r="J1567" i="7"/>
  <c r="I1567" i="7"/>
  <c r="H1567" i="7"/>
  <c r="G1567" i="7"/>
  <c r="F1567" i="7"/>
  <c r="E1567" i="7"/>
  <c r="D1567" i="7"/>
  <c r="C1567" i="7"/>
  <c r="B1567" i="7"/>
  <c r="A1567" i="7"/>
  <c r="K1566" i="7"/>
  <c r="J1566" i="7"/>
  <c r="I1566" i="7"/>
  <c r="H1566" i="7"/>
  <c r="G1566" i="7"/>
  <c r="F1566" i="7"/>
  <c r="E1566" i="7"/>
  <c r="D1566" i="7"/>
  <c r="C1566" i="7"/>
  <c r="B1566" i="7"/>
  <c r="A1566" i="7"/>
  <c r="K1565" i="7"/>
  <c r="J1565" i="7"/>
  <c r="I1565" i="7"/>
  <c r="H1565" i="7"/>
  <c r="G1565" i="7"/>
  <c r="F1565" i="7"/>
  <c r="E1565" i="7"/>
  <c r="D1565" i="7"/>
  <c r="C1565" i="7"/>
  <c r="B1565" i="7"/>
  <c r="A1565" i="7"/>
  <c r="K1564" i="7"/>
  <c r="J1564" i="7"/>
  <c r="I1564" i="7"/>
  <c r="H1564" i="7"/>
  <c r="G1564" i="7"/>
  <c r="F1564" i="7"/>
  <c r="E1564" i="7"/>
  <c r="D1564" i="7"/>
  <c r="C1564" i="7"/>
  <c r="B1564" i="7"/>
  <c r="A1564" i="7"/>
  <c r="K1563" i="7"/>
  <c r="J1563" i="7"/>
  <c r="I1563" i="7"/>
  <c r="H1563" i="7"/>
  <c r="G1563" i="7"/>
  <c r="F1563" i="7"/>
  <c r="E1563" i="7"/>
  <c r="D1563" i="7"/>
  <c r="C1563" i="7"/>
  <c r="B1563" i="7"/>
  <c r="A1563" i="7"/>
  <c r="K1562" i="7"/>
  <c r="J1562" i="7"/>
  <c r="I1562" i="7"/>
  <c r="H1562" i="7"/>
  <c r="G1562" i="7"/>
  <c r="F1562" i="7"/>
  <c r="E1562" i="7"/>
  <c r="D1562" i="7"/>
  <c r="C1562" i="7"/>
  <c r="B1562" i="7"/>
  <c r="A1562" i="7"/>
  <c r="K1561" i="7"/>
  <c r="J1561" i="7"/>
  <c r="I1561" i="7"/>
  <c r="H1561" i="7"/>
  <c r="G1561" i="7"/>
  <c r="F1561" i="7"/>
  <c r="E1561" i="7"/>
  <c r="D1561" i="7"/>
  <c r="C1561" i="7"/>
  <c r="B1561" i="7"/>
  <c r="A1561" i="7"/>
  <c r="K1560" i="7"/>
  <c r="J1560" i="7"/>
  <c r="I1560" i="7"/>
  <c r="H1560" i="7"/>
  <c r="G1560" i="7"/>
  <c r="F1560" i="7"/>
  <c r="E1560" i="7"/>
  <c r="D1560" i="7"/>
  <c r="C1560" i="7"/>
  <c r="B1560" i="7"/>
  <c r="A1560" i="7"/>
  <c r="K1559" i="7"/>
  <c r="J1559" i="7"/>
  <c r="I1559" i="7"/>
  <c r="H1559" i="7"/>
  <c r="G1559" i="7"/>
  <c r="F1559" i="7"/>
  <c r="E1559" i="7"/>
  <c r="D1559" i="7"/>
  <c r="C1559" i="7"/>
  <c r="B1559" i="7"/>
  <c r="A1559" i="7"/>
  <c r="K1558" i="7"/>
  <c r="J1558" i="7"/>
  <c r="I1558" i="7"/>
  <c r="H1558" i="7"/>
  <c r="G1558" i="7"/>
  <c r="F1558" i="7"/>
  <c r="E1558" i="7"/>
  <c r="D1558" i="7"/>
  <c r="C1558" i="7"/>
  <c r="B1558" i="7"/>
  <c r="A1558" i="7"/>
  <c r="K1557" i="7"/>
  <c r="J1557" i="7"/>
  <c r="I1557" i="7"/>
  <c r="H1557" i="7"/>
  <c r="G1557" i="7"/>
  <c r="F1557" i="7"/>
  <c r="E1557" i="7"/>
  <c r="D1557" i="7"/>
  <c r="C1557" i="7"/>
  <c r="B1557" i="7"/>
  <c r="A1557" i="7"/>
  <c r="K1556" i="7"/>
  <c r="J1556" i="7"/>
  <c r="I1556" i="7"/>
  <c r="H1556" i="7"/>
  <c r="G1556" i="7"/>
  <c r="F1556" i="7"/>
  <c r="E1556" i="7"/>
  <c r="D1556" i="7"/>
  <c r="C1556" i="7"/>
  <c r="B1556" i="7"/>
  <c r="A1556" i="7"/>
  <c r="K1555" i="7"/>
  <c r="J1555" i="7"/>
  <c r="I1555" i="7"/>
  <c r="H1555" i="7"/>
  <c r="G1555" i="7"/>
  <c r="F1555" i="7"/>
  <c r="E1555" i="7"/>
  <c r="D1555" i="7"/>
  <c r="C1555" i="7"/>
  <c r="B1555" i="7"/>
  <c r="A1555" i="7"/>
  <c r="K1554" i="7"/>
  <c r="J1554" i="7"/>
  <c r="I1554" i="7"/>
  <c r="H1554" i="7"/>
  <c r="G1554" i="7"/>
  <c r="F1554" i="7"/>
  <c r="E1554" i="7"/>
  <c r="D1554" i="7"/>
  <c r="C1554" i="7"/>
  <c r="B1554" i="7"/>
  <c r="A1554" i="7"/>
  <c r="K1553" i="7"/>
  <c r="J1553" i="7"/>
  <c r="I1553" i="7"/>
  <c r="H1553" i="7"/>
  <c r="G1553" i="7"/>
  <c r="F1553" i="7"/>
  <c r="E1553" i="7"/>
  <c r="D1553" i="7"/>
  <c r="C1553" i="7"/>
  <c r="B1553" i="7"/>
  <c r="A1553" i="7"/>
  <c r="K1552" i="7"/>
  <c r="J1552" i="7"/>
  <c r="I1552" i="7"/>
  <c r="H1552" i="7"/>
  <c r="G1552" i="7"/>
  <c r="F1552" i="7"/>
  <c r="E1552" i="7"/>
  <c r="D1552" i="7"/>
  <c r="C1552" i="7"/>
  <c r="B1552" i="7"/>
  <c r="A1552" i="7"/>
  <c r="K1551" i="7"/>
  <c r="J1551" i="7"/>
  <c r="I1551" i="7"/>
  <c r="H1551" i="7"/>
  <c r="G1551" i="7"/>
  <c r="F1551" i="7"/>
  <c r="E1551" i="7"/>
  <c r="D1551" i="7"/>
  <c r="C1551" i="7"/>
  <c r="B1551" i="7"/>
  <c r="A1551" i="7"/>
  <c r="K1550" i="7"/>
  <c r="J1550" i="7"/>
  <c r="I1550" i="7"/>
  <c r="H1550" i="7"/>
  <c r="G1550" i="7"/>
  <c r="F1550" i="7"/>
  <c r="E1550" i="7"/>
  <c r="D1550" i="7"/>
  <c r="C1550" i="7"/>
  <c r="B1550" i="7"/>
  <c r="A1550" i="7"/>
  <c r="K1549" i="7"/>
  <c r="J1549" i="7"/>
  <c r="I1549" i="7"/>
  <c r="H1549" i="7"/>
  <c r="G1549" i="7"/>
  <c r="F1549" i="7"/>
  <c r="E1549" i="7"/>
  <c r="D1549" i="7"/>
  <c r="C1549" i="7"/>
  <c r="B1549" i="7"/>
  <c r="A1549" i="7"/>
  <c r="K1548" i="7"/>
  <c r="J1548" i="7"/>
  <c r="I1548" i="7"/>
  <c r="H1548" i="7"/>
  <c r="G1548" i="7"/>
  <c r="F1548" i="7"/>
  <c r="E1548" i="7"/>
  <c r="D1548" i="7"/>
  <c r="C1548" i="7"/>
  <c r="B1548" i="7"/>
  <c r="A1548" i="7"/>
  <c r="K1547" i="7"/>
  <c r="J1547" i="7"/>
  <c r="I1547" i="7"/>
  <c r="H1547" i="7"/>
  <c r="G1547" i="7"/>
  <c r="F1547" i="7"/>
  <c r="E1547" i="7"/>
  <c r="D1547" i="7"/>
  <c r="C1547" i="7"/>
  <c r="B1547" i="7"/>
  <c r="A1547" i="7"/>
  <c r="K1546" i="7"/>
  <c r="J1546" i="7"/>
  <c r="I1546" i="7"/>
  <c r="H1546" i="7"/>
  <c r="G1546" i="7"/>
  <c r="F1546" i="7"/>
  <c r="E1546" i="7"/>
  <c r="D1546" i="7"/>
  <c r="C1546" i="7"/>
  <c r="B1546" i="7"/>
  <c r="A1546" i="7"/>
  <c r="K1545" i="7"/>
  <c r="J1545" i="7"/>
  <c r="I1545" i="7"/>
  <c r="H1545" i="7"/>
  <c r="G1545" i="7"/>
  <c r="F1545" i="7"/>
  <c r="E1545" i="7"/>
  <c r="D1545" i="7"/>
  <c r="C1545" i="7"/>
  <c r="B1545" i="7"/>
  <c r="A1545" i="7"/>
  <c r="K1544" i="7"/>
  <c r="J1544" i="7"/>
  <c r="I1544" i="7"/>
  <c r="H1544" i="7"/>
  <c r="G1544" i="7"/>
  <c r="F1544" i="7"/>
  <c r="E1544" i="7"/>
  <c r="D1544" i="7"/>
  <c r="C1544" i="7"/>
  <c r="B1544" i="7"/>
  <c r="A1544" i="7"/>
  <c r="K1543" i="7"/>
  <c r="J1543" i="7"/>
  <c r="I1543" i="7"/>
  <c r="H1543" i="7"/>
  <c r="G1543" i="7"/>
  <c r="F1543" i="7"/>
  <c r="E1543" i="7"/>
  <c r="D1543" i="7"/>
  <c r="C1543" i="7"/>
  <c r="B1543" i="7"/>
  <c r="A1543" i="7"/>
  <c r="K1542" i="7"/>
  <c r="J1542" i="7"/>
  <c r="I1542" i="7"/>
  <c r="H1542" i="7"/>
  <c r="G1542" i="7"/>
  <c r="F1542" i="7"/>
  <c r="E1542" i="7"/>
  <c r="D1542" i="7"/>
  <c r="C1542" i="7"/>
  <c r="B1542" i="7"/>
  <c r="A1542" i="7"/>
  <c r="K1541" i="7"/>
  <c r="J1541" i="7"/>
  <c r="I1541" i="7"/>
  <c r="H1541" i="7"/>
  <c r="G1541" i="7"/>
  <c r="F1541" i="7"/>
  <c r="E1541" i="7"/>
  <c r="D1541" i="7"/>
  <c r="C1541" i="7"/>
  <c r="B1541" i="7"/>
  <c r="A1541" i="7"/>
  <c r="K1540" i="7"/>
  <c r="J1540" i="7"/>
  <c r="I1540" i="7"/>
  <c r="H1540" i="7"/>
  <c r="G1540" i="7"/>
  <c r="F1540" i="7"/>
  <c r="E1540" i="7"/>
  <c r="D1540" i="7"/>
  <c r="C1540" i="7"/>
  <c r="B1540" i="7"/>
  <c r="A1540" i="7"/>
  <c r="K1539" i="7"/>
  <c r="J1539" i="7"/>
  <c r="I1539" i="7"/>
  <c r="H1539" i="7"/>
  <c r="G1539" i="7"/>
  <c r="F1539" i="7"/>
  <c r="E1539" i="7"/>
  <c r="D1539" i="7"/>
  <c r="C1539" i="7"/>
  <c r="B1539" i="7"/>
  <c r="A1539" i="7"/>
  <c r="K1538" i="7"/>
  <c r="J1538" i="7"/>
  <c r="I1538" i="7"/>
  <c r="H1538" i="7"/>
  <c r="G1538" i="7"/>
  <c r="F1538" i="7"/>
  <c r="E1538" i="7"/>
  <c r="D1538" i="7"/>
  <c r="C1538" i="7"/>
  <c r="B1538" i="7"/>
  <c r="A1538" i="7"/>
  <c r="K1537" i="7"/>
  <c r="J1537" i="7"/>
  <c r="I1537" i="7"/>
  <c r="H1537" i="7"/>
  <c r="G1537" i="7"/>
  <c r="F1537" i="7"/>
  <c r="E1537" i="7"/>
  <c r="D1537" i="7"/>
  <c r="C1537" i="7"/>
  <c r="B1537" i="7"/>
  <c r="A1537" i="7"/>
  <c r="K1536" i="7"/>
  <c r="J1536" i="7"/>
  <c r="I1536" i="7"/>
  <c r="H1536" i="7"/>
  <c r="G1536" i="7"/>
  <c r="F1536" i="7"/>
  <c r="E1536" i="7"/>
  <c r="D1536" i="7"/>
  <c r="C1536" i="7"/>
  <c r="B1536" i="7"/>
  <c r="A1536" i="7"/>
  <c r="K1535" i="7"/>
  <c r="J1535" i="7"/>
  <c r="I1535" i="7"/>
  <c r="H1535" i="7"/>
  <c r="G1535" i="7"/>
  <c r="F1535" i="7"/>
  <c r="E1535" i="7"/>
  <c r="D1535" i="7"/>
  <c r="C1535" i="7"/>
  <c r="B1535" i="7"/>
  <c r="A1535" i="7"/>
  <c r="K1534" i="7"/>
  <c r="J1534" i="7"/>
  <c r="I1534" i="7"/>
  <c r="H1534" i="7"/>
  <c r="G1534" i="7"/>
  <c r="F1534" i="7"/>
  <c r="E1534" i="7"/>
  <c r="D1534" i="7"/>
  <c r="C1534" i="7"/>
  <c r="B1534" i="7"/>
  <c r="A1534" i="7"/>
  <c r="K1533" i="7"/>
  <c r="J1533" i="7"/>
  <c r="I1533" i="7"/>
  <c r="H1533" i="7"/>
  <c r="G1533" i="7"/>
  <c r="F1533" i="7"/>
  <c r="E1533" i="7"/>
  <c r="D1533" i="7"/>
  <c r="C1533" i="7"/>
  <c r="B1533" i="7"/>
  <c r="A1533" i="7"/>
  <c r="K1532" i="7"/>
  <c r="J1532" i="7"/>
  <c r="I1532" i="7"/>
  <c r="H1532" i="7"/>
  <c r="G1532" i="7"/>
  <c r="F1532" i="7"/>
  <c r="E1532" i="7"/>
  <c r="D1532" i="7"/>
  <c r="C1532" i="7"/>
  <c r="B1532" i="7"/>
  <c r="A1532" i="7"/>
  <c r="K1531" i="7"/>
  <c r="J1531" i="7"/>
  <c r="I1531" i="7"/>
  <c r="H1531" i="7"/>
  <c r="G1531" i="7"/>
  <c r="F1531" i="7"/>
  <c r="E1531" i="7"/>
  <c r="D1531" i="7"/>
  <c r="C1531" i="7"/>
  <c r="B1531" i="7"/>
  <c r="A1531" i="7"/>
  <c r="K1530" i="7"/>
  <c r="J1530" i="7"/>
  <c r="I1530" i="7"/>
  <c r="H1530" i="7"/>
  <c r="G1530" i="7"/>
  <c r="F1530" i="7"/>
  <c r="E1530" i="7"/>
  <c r="D1530" i="7"/>
  <c r="C1530" i="7"/>
  <c r="B1530" i="7"/>
  <c r="A1530" i="7"/>
  <c r="K1529" i="7"/>
  <c r="J1529" i="7"/>
  <c r="I1529" i="7"/>
  <c r="H1529" i="7"/>
  <c r="G1529" i="7"/>
  <c r="F1529" i="7"/>
  <c r="E1529" i="7"/>
  <c r="D1529" i="7"/>
  <c r="C1529" i="7"/>
  <c r="B1529" i="7"/>
  <c r="A1529" i="7"/>
  <c r="K1528" i="7"/>
  <c r="J1528" i="7"/>
  <c r="I1528" i="7"/>
  <c r="H1528" i="7"/>
  <c r="G1528" i="7"/>
  <c r="F1528" i="7"/>
  <c r="E1528" i="7"/>
  <c r="D1528" i="7"/>
  <c r="C1528" i="7"/>
  <c r="B1528" i="7"/>
  <c r="A1528" i="7"/>
  <c r="K1527" i="7"/>
  <c r="J1527" i="7"/>
  <c r="I1527" i="7"/>
  <c r="H1527" i="7"/>
  <c r="G1527" i="7"/>
  <c r="F1527" i="7"/>
  <c r="E1527" i="7"/>
  <c r="D1527" i="7"/>
  <c r="C1527" i="7"/>
  <c r="B1527" i="7"/>
  <c r="A1527" i="7"/>
  <c r="K1526" i="7"/>
  <c r="J1526" i="7"/>
  <c r="I1526" i="7"/>
  <c r="H1526" i="7"/>
  <c r="G1526" i="7"/>
  <c r="F1526" i="7"/>
  <c r="E1526" i="7"/>
  <c r="D1526" i="7"/>
  <c r="C1526" i="7"/>
  <c r="B1526" i="7"/>
  <c r="A1526" i="7"/>
  <c r="K1525" i="7"/>
  <c r="J1525" i="7"/>
  <c r="I1525" i="7"/>
  <c r="H1525" i="7"/>
  <c r="G1525" i="7"/>
  <c r="F1525" i="7"/>
  <c r="E1525" i="7"/>
  <c r="D1525" i="7"/>
  <c r="C1525" i="7"/>
  <c r="B1525" i="7"/>
  <c r="A1525" i="7"/>
  <c r="K1524" i="7"/>
  <c r="J1524" i="7"/>
  <c r="I1524" i="7"/>
  <c r="H1524" i="7"/>
  <c r="G1524" i="7"/>
  <c r="F1524" i="7"/>
  <c r="E1524" i="7"/>
  <c r="D1524" i="7"/>
  <c r="C1524" i="7"/>
  <c r="B1524" i="7"/>
  <c r="A1524" i="7"/>
  <c r="K1523" i="7"/>
  <c r="J1523" i="7"/>
  <c r="I1523" i="7"/>
  <c r="H1523" i="7"/>
  <c r="G1523" i="7"/>
  <c r="F1523" i="7"/>
  <c r="E1523" i="7"/>
  <c r="D1523" i="7"/>
  <c r="C1523" i="7"/>
  <c r="B1523" i="7"/>
  <c r="A1523" i="7"/>
  <c r="K1522" i="7"/>
  <c r="J1522" i="7"/>
  <c r="I1522" i="7"/>
  <c r="H1522" i="7"/>
  <c r="G1522" i="7"/>
  <c r="F1522" i="7"/>
  <c r="E1522" i="7"/>
  <c r="D1522" i="7"/>
  <c r="C1522" i="7"/>
  <c r="B1522" i="7"/>
  <c r="A1522" i="7"/>
  <c r="K1521" i="7"/>
  <c r="J1521" i="7"/>
  <c r="I1521" i="7"/>
  <c r="H1521" i="7"/>
  <c r="G1521" i="7"/>
  <c r="F1521" i="7"/>
  <c r="E1521" i="7"/>
  <c r="D1521" i="7"/>
  <c r="C1521" i="7"/>
  <c r="B1521" i="7"/>
  <c r="A1521" i="7"/>
  <c r="K1520" i="7"/>
  <c r="J1520" i="7"/>
  <c r="I1520" i="7"/>
  <c r="H1520" i="7"/>
  <c r="G1520" i="7"/>
  <c r="F1520" i="7"/>
  <c r="E1520" i="7"/>
  <c r="D1520" i="7"/>
  <c r="C1520" i="7"/>
  <c r="B1520" i="7"/>
  <c r="A1520" i="7"/>
  <c r="K1519" i="7"/>
  <c r="J1519" i="7"/>
  <c r="I1519" i="7"/>
  <c r="H1519" i="7"/>
  <c r="G1519" i="7"/>
  <c r="F1519" i="7"/>
  <c r="E1519" i="7"/>
  <c r="D1519" i="7"/>
  <c r="C1519" i="7"/>
  <c r="B1519" i="7"/>
  <c r="A1519" i="7"/>
  <c r="K1518" i="7"/>
  <c r="J1518" i="7"/>
  <c r="I1518" i="7"/>
  <c r="H1518" i="7"/>
  <c r="G1518" i="7"/>
  <c r="F1518" i="7"/>
  <c r="E1518" i="7"/>
  <c r="D1518" i="7"/>
  <c r="C1518" i="7"/>
  <c r="B1518" i="7"/>
  <c r="A1518" i="7"/>
  <c r="K1517" i="7"/>
  <c r="J1517" i="7"/>
  <c r="I1517" i="7"/>
  <c r="H1517" i="7"/>
  <c r="G1517" i="7"/>
  <c r="F1517" i="7"/>
  <c r="E1517" i="7"/>
  <c r="D1517" i="7"/>
  <c r="C1517" i="7"/>
  <c r="B1517" i="7"/>
  <c r="A1517" i="7"/>
  <c r="K1516" i="7"/>
  <c r="J1516" i="7"/>
  <c r="I1516" i="7"/>
  <c r="H1516" i="7"/>
  <c r="G1516" i="7"/>
  <c r="F1516" i="7"/>
  <c r="E1516" i="7"/>
  <c r="D1516" i="7"/>
  <c r="C1516" i="7"/>
  <c r="B1516" i="7"/>
  <c r="A1516" i="7"/>
  <c r="K1515" i="7"/>
  <c r="J1515" i="7"/>
  <c r="I1515" i="7"/>
  <c r="H1515" i="7"/>
  <c r="G1515" i="7"/>
  <c r="F1515" i="7"/>
  <c r="E1515" i="7"/>
  <c r="D1515" i="7"/>
  <c r="C1515" i="7"/>
  <c r="B1515" i="7"/>
  <c r="A1515" i="7"/>
  <c r="K1514" i="7"/>
  <c r="J1514" i="7"/>
  <c r="I1514" i="7"/>
  <c r="H1514" i="7"/>
  <c r="G1514" i="7"/>
  <c r="F1514" i="7"/>
  <c r="E1514" i="7"/>
  <c r="D1514" i="7"/>
  <c r="C1514" i="7"/>
  <c r="B1514" i="7"/>
  <c r="A1514" i="7"/>
  <c r="K1513" i="7"/>
  <c r="J1513" i="7"/>
  <c r="I1513" i="7"/>
  <c r="H1513" i="7"/>
  <c r="G1513" i="7"/>
  <c r="F1513" i="7"/>
  <c r="E1513" i="7"/>
  <c r="D1513" i="7"/>
  <c r="C1513" i="7"/>
  <c r="B1513" i="7"/>
  <c r="A1513" i="7"/>
  <c r="K1512" i="7"/>
  <c r="J1512" i="7"/>
  <c r="I1512" i="7"/>
  <c r="H1512" i="7"/>
  <c r="G1512" i="7"/>
  <c r="F1512" i="7"/>
  <c r="E1512" i="7"/>
  <c r="D1512" i="7"/>
  <c r="C1512" i="7"/>
  <c r="B1512" i="7"/>
  <c r="A1512" i="7"/>
  <c r="K1511" i="7"/>
  <c r="J1511" i="7"/>
  <c r="I1511" i="7"/>
  <c r="H1511" i="7"/>
  <c r="G1511" i="7"/>
  <c r="F1511" i="7"/>
  <c r="E1511" i="7"/>
  <c r="D1511" i="7"/>
  <c r="C1511" i="7"/>
  <c r="B1511" i="7"/>
  <c r="A1511" i="7"/>
  <c r="K1510" i="7"/>
  <c r="J1510" i="7"/>
  <c r="I1510" i="7"/>
  <c r="H1510" i="7"/>
  <c r="G1510" i="7"/>
  <c r="F1510" i="7"/>
  <c r="E1510" i="7"/>
  <c r="D1510" i="7"/>
  <c r="C1510" i="7"/>
  <c r="B1510" i="7"/>
  <c r="A1510" i="7"/>
  <c r="K1509" i="7"/>
  <c r="J1509" i="7"/>
  <c r="I1509" i="7"/>
  <c r="H1509" i="7"/>
  <c r="G1509" i="7"/>
  <c r="F1509" i="7"/>
  <c r="E1509" i="7"/>
  <c r="D1509" i="7"/>
  <c r="C1509" i="7"/>
  <c r="B1509" i="7"/>
  <c r="A1509" i="7"/>
  <c r="K1508" i="7"/>
  <c r="J1508" i="7"/>
  <c r="I1508" i="7"/>
  <c r="H1508" i="7"/>
  <c r="G1508" i="7"/>
  <c r="F1508" i="7"/>
  <c r="E1508" i="7"/>
  <c r="D1508" i="7"/>
  <c r="C1508" i="7"/>
  <c r="B1508" i="7"/>
  <c r="A1508" i="7"/>
  <c r="K1507" i="7"/>
  <c r="J1507" i="7"/>
  <c r="I1507" i="7"/>
  <c r="H1507" i="7"/>
  <c r="G1507" i="7"/>
  <c r="F1507" i="7"/>
  <c r="E1507" i="7"/>
  <c r="D1507" i="7"/>
  <c r="C1507" i="7"/>
  <c r="B1507" i="7"/>
  <c r="A1507" i="7"/>
  <c r="K1506" i="7"/>
  <c r="J1506" i="7"/>
  <c r="I1506" i="7"/>
  <c r="H1506" i="7"/>
  <c r="G1506" i="7"/>
  <c r="F1506" i="7"/>
  <c r="E1506" i="7"/>
  <c r="D1506" i="7"/>
  <c r="C1506" i="7"/>
  <c r="B1506" i="7"/>
  <c r="A1506" i="7"/>
  <c r="K1505" i="7"/>
  <c r="J1505" i="7"/>
  <c r="I1505" i="7"/>
  <c r="H1505" i="7"/>
  <c r="G1505" i="7"/>
  <c r="F1505" i="7"/>
  <c r="E1505" i="7"/>
  <c r="D1505" i="7"/>
  <c r="C1505" i="7"/>
  <c r="B1505" i="7"/>
  <c r="A1505" i="7"/>
  <c r="K1504" i="7"/>
  <c r="J1504" i="7"/>
  <c r="I1504" i="7"/>
  <c r="H1504" i="7"/>
  <c r="G1504" i="7"/>
  <c r="F1504" i="7"/>
  <c r="E1504" i="7"/>
  <c r="D1504" i="7"/>
  <c r="C1504" i="7"/>
  <c r="B1504" i="7"/>
  <c r="A1504" i="7"/>
  <c r="K1503" i="7"/>
  <c r="J1503" i="7"/>
  <c r="I1503" i="7"/>
  <c r="H1503" i="7"/>
  <c r="G1503" i="7"/>
  <c r="F1503" i="7"/>
  <c r="E1503" i="7"/>
  <c r="D1503" i="7"/>
  <c r="C1503" i="7"/>
  <c r="B1503" i="7"/>
  <c r="A1503" i="7"/>
  <c r="K1502" i="7"/>
  <c r="J1502" i="7"/>
  <c r="I1502" i="7"/>
  <c r="H1502" i="7"/>
  <c r="G1502" i="7"/>
  <c r="F1502" i="7"/>
  <c r="E1502" i="7"/>
  <c r="D1502" i="7"/>
  <c r="C1502" i="7"/>
  <c r="B1502" i="7"/>
  <c r="A1502" i="7"/>
  <c r="K1501" i="7"/>
  <c r="J1501" i="7"/>
  <c r="I1501" i="7"/>
  <c r="H1501" i="7"/>
  <c r="G1501" i="7"/>
  <c r="F1501" i="7"/>
  <c r="E1501" i="7"/>
  <c r="D1501" i="7"/>
  <c r="C1501" i="7"/>
  <c r="B1501" i="7"/>
  <c r="A1501" i="7"/>
  <c r="K1500" i="7"/>
  <c r="J1500" i="7"/>
  <c r="I1500" i="7"/>
  <c r="H1500" i="7"/>
  <c r="G1500" i="7"/>
  <c r="F1500" i="7"/>
  <c r="E1500" i="7"/>
  <c r="D1500" i="7"/>
  <c r="C1500" i="7"/>
  <c r="B1500" i="7"/>
  <c r="A1500" i="7"/>
  <c r="K1499" i="7"/>
  <c r="J1499" i="7"/>
  <c r="I1499" i="7"/>
  <c r="H1499" i="7"/>
  <c r="G1499" i="7"/>
  <c r="F1499" i="7"/>
  <c r="E1499" i="7"/>
  <c r="D1499" i="7"/>
  <c r="C1499" i="7"/>
  <c r="B1499" i="7"/>
  <c r="A1499" i="7"/>
  <c r="K1498" i="7"/>
  <c r="J1498" i="7"/>
  <c r="I1498" i="7"/>
  <c r="H1498" i="7"/>
  <c r="G1498" i="7"/>
  <c r="F1498" i="7"/>
  <c r="E1498" i="7"/>
  <c r="D1498" i="7"/>
  <c r="C1498" i="7"/>
  <c r="B1498" i="7"/>
  <c r="A1498" i="7"/>
  <c r="K1497" i="7"/>
  <c r="J1497" i="7"/>
  <c r="I1497" i="7"/>
  <c r="H1497" i="7"/>
  <c r="G1497" i="7"/>
  <c r="F1497" i="7"/>
  <c r="E1497" i="7"/>
  <c r="D1497" i="7"/>
  <c r="C1497" i="7"/>
  <c r="B1497" i="7"/>
  <c r="A1497" i="7"/>
  <c r="K1496" i="7"/>
  <c r="J1496" i="7"/>
  <c r="I1496" i="7"/>
  <c r="H1496" i="7"/>
  <c r="G1496" i="7"/>
  <c r="F1496" i="7"/>
  <c r="E1496" i="7"/>
  <c r="D1496" i="7"/>
  <c r="C1496" i="7"/>
  <c r="B1496" i="7"/>
  <c r="A1496" i="7"/>
  <c r="K1495" i="7"/>
  <c r="J1495" i="7"/>
  <c r="I1495" i="7"/>
  <c r="H1495" i="7"/>
  <c r="G1495" i="7"/>
  <c r="F1495" i="7"/>
  <c r="E1495" i="7"/>
  <c r="D1495" i="7"/>
  <c r="C1495" i="7"/>
  <c r="B1495" i="7"/>
  <c r="A1495" i="7"/>
  <c r="K1494" i="7"/>
  <c r="J1494" i="7"/>
  <c r="I1494" i="7"/>
  <c r="H1494" i="7"/>
  <c r="G1494" i="7"/>
  <c r="F1494" i="7"/>
  <c r="E1494" i="7"/>
  <c r="D1494" i="7"/>
  <c r="C1494" i="7"/>
  <c r="B1494" i="7"/>
  <c r="A1494" i="7"/>
  <c r="K1493" i="7"/>
  <c r="J1493" i="7"/>
  <c r="I1493" i="7"/>
  <c r="H1493" i="7"/>
  <c r="G1493" i="7"/>
  <c r="F1493" i="7"/>
  <c r="E1493" i="7"/>
  <c r="D1493" i="7"/>
  <c r="C1493" i="7"/>
  <c r="B1493" i="7"/>
  <c r="A1493" i="7"/>
  <c r="K1492" i="7"/>
  <c r="J1492" i="7"/>
  <c r="I1492" i="7"/>
  <c r="H1492" i="7"/>
  <c r="G1492" i="7"/>
  <c r="F1492" i="7"/>
  <c r="E1492" i="7"/>
  <c r="D1492" i="7"/>
  <c r="C1492" i="7"/>
  <c r="B1492" i="7"/>
  <c r="A1492" i="7"/>
  <c r="K1491" i="7"/>
  <c r="J1491" i="7"/>
  <c r="I1491" i="7"/>
  <c r="H1491" i="7"/>
  <c r="G1491" i="7"/>
  <c r="F1491" i="7"/>
  <c r="E1491" i="7"/>
  <c r="D1491" i="7"/>
  <c r="C1491" i="7"/>
  <c r="B1491" i="7"/>
  <c r="A1491" i="7"/>
  <c r="K1490" i="7"/>
  <c r="J1490" i="7"/>
  <c r="I1490" i="7"/>
  <c r="H1490" i="7"/>
  <c r="G1490" i="7"/>
  <c r="F1490" i="7"/>
  <c r="E1490" i="7"/>
  <c r="D1490" i="7"/>
  <c r="C1490" i="7"/>
  <c r="B1490" i="7"/>
  <c r="A1490" i="7"/>
  <c r="K1489" i="7"/>
  <c r="J1489" i="7"/>
  <c r="I1489" i="7"/>
  <c r="H1489" i="7"/>
  <c r="G1489" i="7"/>
  <c r="F1489" i="7"/>
  <c r="E1489" i="7"/>
  <c r="D1489" i="7"/>
  <c r="C1489" i="7"/>
  <c r="B1489" i="7"/>
  <c r="A1489" i="7"/>
  <c r="K1488" i="7"/>
  <c r="J1488" i="7"/>
  <c r="I1488" i="7"/>
  <c r="H1488" i="7"/>
  <c r="G1488" i="7"/>
  <c r="F1488" i="7"/>
  <c r="E1488" i="7"/>
  <c r="D1488" i="7"/>
  <c r="C1488" i="7"/>
  <c r="B1488" i="7"/>
  <c r="A1488" i="7"/>
  <c r="K1487" i="7"/>
  <c r="J1487" i="7"/>
  <c r="I1487" i="7"/>
  <c r="H1487" i="7"/>
  <c r="G1487" i="7"/>
  <c r="F1487" i="7"/>
  <c r="E1487" i="7"/>
  <c r="D1487" i="7"/>
  <c r="C1487" i="7"/>
  <c r="B1487" i="7"/>
  <c r="A1487" i="7"/>
  <c r="K1486" i="7"/>
  <c r="J1486" i="7"/>
  <c r="I1486" i="7"/>
  <c r="H1486" i="7"/>
  <c r="G1486" i="7"/>
  <c r="F1486" i="7"/>
  <c r="E1486" i="7"/>
  <c r="D1486" i="7"/>
  <c r="C1486" i="7"/>
  <c r="B1486" i="7"/>
  <c r="A1486" i="7"/>
  <c r="K1485" i="7"/>
  <c r="J1485" i="7"/>
  <c r="I1485" i="7"/>
  <c r="H1485" i="7"/>
  <c r="G1485" i="7"/>
  <c r="F1485" i="7"/>
  <c r="E1485" i="7"/>
  <c r="D1485" i="7"/>
  <c r="C1485" i="7"/>
  <c r="B1485" i="7"/>
  <c r="A1485" i="7"/>
  <c r="K1484" i="7"/>
  <c r="J1484" i="7"/>
  <c r="I1484" i="7"/>
  <c r="H1484" i="7"/>
  <c r="G1484" i="7"/>
  <c r="F1484" i="7"/>
  <c r="E1484" i="7"/>
  <c r="D1484" i="7"/>
  <c r="C1484" i="7"/>
  <c r="B1484" i="7"/>
  <c r="A1484" i="7"/>
  <c r="K1483" i="7"/>
  <c r="J1483" i="7"/>
  <c r="I1483" i="7"/>
  <c r="H1483" i="7"/>
  <c r="G1483" i="7"/>
  <c r="F1483" i="7"/>
  <c r="E1483" i="7"/>
  <c r="D1483" i="7"/>
  <c r="C1483" i="7"/>
  <c r="B1483" i="7"/>
  <c r="A1483" i="7"/>
  <c r="K1482" i="7"/>
  <c r="J1482" i="7"/>
  <c r="I1482" i="7"/>
  <c r="H1482" i="7"/>
  <c r="G1482" i="7"/>
  <c r="F1482" i="7"/>
  <c r="E1482" i="7"/>
  <c r="D1482" i="7"/>
  <c r="C1482" i="7"/>
  <c r="B1482" i="7"/>
  <c r="A1482" i="7"/>
  <c r="K1481" i="7"/>
  <c r="J1481" i="7"/>
  <c r="I1481" i="7"/>
  <c r="H1481" i="7"/>
  <c r="G1481" i="7"/>
  <c r="F1481" i="7"/>
  <c r="E1481" i="7"/>
  <c r="D1481" i="7"/>
  <c r="C1481" i="7"/>
  <c r="B1481" i="7"/>
  <c r="A1481" i="7"/>
  <c r="K1480" i="7"/>
  <c r="J1480" i="7"/>
  <c r="I1480" i="7"/>
  <c r="H1480" i="7"/>
  <c r="G1480" i="7"/>
  <c r="F1480" i="7"/>
  <c r="E1480" i="7"/>
  <c r="D1480" i="7"/>
  <c r="C1480" i="7"/>
  <c r="B1480" i="7"/>
  <c r="A1480" i="7"/>
  <c r="K1479" i="7"/>
  <c r="J1479" i="7"/>
  <c r="I1479" i="7"/>
  <c r="H1479" i="7"/>
  <c r="G1479" i="7"/>
  <c r="F1479" i="7"/>
  <c r="E1479" i="7"/>
  <c r="D1479" i="7"/>
  <c r="C1479" i="7"/>
  <c r="B1479" i="7"/>
  <c r="A1479" i="7"/>
  <c r="K1478" i="7"/>
  <c r="J1478" i="7"/>
  <c r="I1478" i="7"/>
  <c r="H1478" i="7"/>
  <c r="G1478" i="7"/>
  <c r="F1478" i="7"/>
  <c r="E1478" i="7"/>
  <c r="D1478" i="7"/>
  <c r="C1478" i="7"/>
  <c r="B1478" i="7"/>
  <c r="A1478" i="7"/>
  <c r="K1477" i="7"/>
  <c r="J1477" i="7"/>
  <c r="I1477" i="7"/>
  <c r="H1477" i="7"/>
  <c r="G1477" i="7"/>
  <c r="F1477" i="7"/>
  <c r="E1477" i="7"/>
  <c r="D1477" i="7"/>
  <c r="C1477" i="7"/>
  <c r="B1477" i="7"/>
  <c r="A1477" i="7"/>
  <c r="K1476" i="7"/>
  <c r="J1476" i="7"/>
  <c r="I1476" i="7"/>
  <c r="H1476" i="7"/>
  <c r="G1476" i="7"/>
  <c r="F1476" i="7"/>
  <c r="E1476" i="7"/>
  <c r="D1476" i="7"/>
  <c r="C1476" i="7"/>
  <c r="B1476" i="7"/>
  <c r="A1476" i="7"/>
  <c r="K1475" i="7"/>
  <c r="J1475" i="7"/>
  <c r="I1475" i="7"/>
  <c r="H1475" i="7"/>
  <c r="G1475" i="7"/>
  <c r="F1475" i="7"/>
  <c r="E1475" i="7"/>
  <c r="D1475" i="7"/>
  <c r="C1475" i="7"/>
  <c r="B1475" i="7"/>
  <c r="A1475" i="7"/>
  <c r="K1474" i="7"/>
  <c r="J1474" i="7"/>
  <c r="I1474" i="7"/>
  <c r="H1474" i="7"/>
  <c r="G1474" i="7"/>
  <c r="F1474" i="7"/>
  <c r="E1474" i="7"/>
  <c r="D1474" i="7"/>
  <c r="C1474" i="7"/>
  <c r="B1474" i="7"/>
  <c r="A1474" i="7"/>
  <c r="K1473" i="7"/>
  <c r="J1473" i="7"/>
  <c r="I1473" i="7"/>
  <c r="H1473" i="7"/>
  <c r="G1473" i="7"/>
  <c r="F1473" i="7"/>
  <c r="E1473" i="7"/>
  <c r="D1473" i="7"/>
  <c r="C1473" i="7"/>
  <c r="B1473" i="7"/>
  <c r="A1473" i="7"/>
  <c r="K1472" i="7"/>
  <c r="J1472" i="7"/>
  <c r="I1472" i="7"/>
  <c r="H1472" i="7"/>
  <c r="G1472" i="7"/>
  <c r="F1472" i="7"/>
  <c r="E1472" i="7"/>
  <c r="D1472" i="7"/>
  <c r="C1472" i="7"/>
  <c r="B1472" i="7"/>
  <c r="A1472" i="7"/>
  <c r="K1471" i="7"/>
  <c r="J1471" i="7"/>
  <c r="I1471" i="7"/>
  <c r="H1471" i="7"/>
  <c r="G1471" i="7"/>
  <c r="F1471" i="7"/>
  <c r="E1471" i="7"/>
  <c r="D1471" i="7"/>
  <c r="C1471" i="7"/>
  <c r="B1471" i="7"/>
  <c r="A1471" i="7"/>
  <c r="K1470" i="7"/>
  <c r="J1470" i="7"/>
  <c r="I1470" i="7"/>
  <c r="H1470" i="7"/>
  <c r="G1470" i="7"/>
  <c r="F1470" i="7"/>
  <c r="E1470" i="7"/>
  <c r="D1470" i="7"/>
  <c r="C1470" i="7"/>
  <c r="B1470" i="7"/>
  <c r="A1470" i="7"/>
  <c r="K1469" i="7"/>
  <c r="J1469" i="7"/>
  <c r="I1469" i="7"/>
  <c r="H1469" i="7"/>
  <c r="G1469" i="7"/>
  <c r="F1469" i="7"/>
  <c r="E1469" i="7"/>
  <c r="D1469" i="7"/>
  <c r="C1469" i="7"/>
  <c r="B1469" i="7"/>
  <c r="A1469" i="7"/>
  <c r="K1468" i="7"/>
  <c r="J1468" i="7"/>
  <c r="I1468" i="7"/>
  <c r="H1468" i="7"/>
  <c r="G1468" i="7"/>
  <c r="F1468" i="7"/>
  <c r="E1468" i="7"/>
  <c r="D1468" i="7"/>
  <c r="C1468" i="7"/>
  <c r="B1468" i="7"/>
  <c r="A1468" i="7"/>
  <c r="K1467" i="7"/>
  <c r="J1467" i="7"/>
  <c r="I1467" i="7"/>
  <c r="H1467" i="7"/>
  <c r="G1467" i="7"/>
  <c r="F1467" i="7"/>
  <c r="E1467" i="7"/>
  <c r="D1467" i="7"/>
  <c r="C1467" i="7"/>
  <c r="B1467" i="7"/>
  <c r="A1467" i="7"/>
  <c r="K1466" i="7"/>
  <c r="J1466" i="7"/>
  <c r="I1466" i="7"/>
  <c r="H1466" i="7"/>
  <c r="G1466" i="7"/>
  <c r="F1466" i="7"/>
  <c r="E1466" i="7"/>
  <c r="D1466" i="7"/>
  <c r="C1466" i="7"/>
  <c r="B1466" i="7"/>
  <c r="A1466" i="7"/>
  <c r="K1465" i="7"/>
  <c r="J1465" i="7"/>
  <c r="I1465" i="7"/>
  <c r="H1465" i="7"/>
  <c r="G1465" i="7"/>
  <c r="F1465" i="7"/>
  <c r="E1465" i="7"/>
  <c r="D1465" i="7"/>
  <c r="C1465" i="7"/>
  <c r="B1465" i="7"/>
  <c r="A1465" i="7"/>
  <c r="K1464" i="7"/>
  <c r="J1464" i="7"/>
  <c r="I1464" i="7"/>
  <c r="H1464" i="7"/>
  <c r="G1464" i="7"/>
  <c r="F1464" i="7"/>
  <c r="E1464" i="7"/>
  <c r="D1464" i="7"/>
  <c r="C1464" i="7"/>
  <c r="B1464" i="7"/>
  <c r="A1464" i="7"/>
  <c r="K1463" i="7"/>
  <c r="J1463" i="7"/>
  <c r="I1463" i="7"/>
  <c r="H1463" i="7"/>
  <c r="G1463" i="7"/>
  <c r="F1463" i="7"/>
  <c r="E1463" i="7"/>
  <c r="D1463" i="7"/>
  <c r="C1463" i="7"/>
  <c r="B1463" i="7"/>
  <c r="A1463" i="7"/>
  <c r="K1462" i="7"/>
  <c r="J1462" i="7"/>
  <c r="I1462" i="7"/>
  <c r="H1462" i="7"/>
  <c r="G1462" i="7"/>
  <c r="F1462" i="7"/>
  <c r="E1462" i="7"/>
  <c r="D1462" i="7"/>
  <c r="C1462" i="7"/>
  <c r="B1462" i="7"/>
  <c r="A1462" i="7"/>
  <c r="K1461" i="7"/>
  <c r="J1461" i="7"/>
  <c r="I1461" i="7"/>
  <c r="H1461" i="7"/>
  <c r="G1461" i="7"/>
  <c r="F1461" i="7"/>
  <c r="E1461" i="7"/>
  <c r="D1461" i="7"/>
  <c r="C1461" i="7"/>
  <c r="B1461" i="7"/>
  <c r="A1461" i="7"/>
  <c r="K1460" i="7"/>
  <c r="J1460" i="7"/>
  <c r="I1460" i="7"/>
  <c r="H1460" i="7"/>
  <c r="G1460" i="7"/>
  <c r="F1460" i="7"/>
  <c r="E1460" i="7"/>
  <c r="D1460" i="7"/>
  <c r="C1460" i="7"/>
  <c r="B1460" i="7"/>
  <c r="A1460" i="7"/>
  <c r="K1459" i="7"/>
  <c r="J1459" i="7"/>
  <c r="I1459" i="7"/>
  <c r="H1459" i="7"/>
  <c r="G1459" i="7"/>
  <c r="F1459" i="7"/>
  <c r="E1459" i="7"/>
  <c r="D1459" i="7"/>
  <c r="C1459" i="7"/>
  <c r="B1459" i="7"/>
  <c r="A1459" i="7"/>
  <c r="K1458" i="7"/>
  <c r="J1458" i="7"/>
  <c r="I1458" i="7"/>
  <c r="H1458" i="7"/>
  <c r="G1458" i="7"/>
  <c r="F1458" i="7"/>
  <c r="E1458" i="7"/>
  <c r="D1458" i="7"/>
  <c r="C1458" i="7"/>
  <c r="B1458" i="7"/>
  <c r="A1458" i="7"/>
  <c r="K1457" i="7"/>
  <c r="J1457" i="7"/>
  <c r="I1457" i="7"/>
  <c r="H1457" i="7"/>
  <c r="G1457" i="7"/>
  <c r="F1457" i="7"/>
  <c r="E1457" i="7"/>
  <c r="D1457" i="7"/>
  <c r="C1457" i="7"/>
  <c r="B1457" i="7"/>
  <c r="A1457" i="7"/>
  <c r="K1456" i="7"/>
  <c r="J1456" i="7"/>
  <c r="I1456" i="7"/>
  <c r="H1456" i="7"/>
  <c r="G1456" i="7"/>
  <c r="F1456" i="7"/>
  <c r="E1456" i="7"/>
  <c r="D1456" i="7"/>
  <c r="C1456" i="7"/>
  <c r="B1456" i="7"/>
  <c r="A1456" i="7"/>
  <c r="K1455" i="7"/>
  <c r="J1455" i="7"/>
  <c r="I1455" i="7"/>
  <c r="H1455" i="7"/>
  <c r="G1455" i="7"/>
  <c r="F1455" i="7"/>
  <c r="E1455" i="7"/>
  <c r="D1455" i="7"/>
  <c r="C1455" i="7"/>
  <c r="B1455" i="7"/>
  <c r="A1455" i="7"/>
  <c r="K1454" i="7"/>
  <c r="J1454" i="7"/>
  <c r="I1454" i="7"/>
  <c r="H1454" i="7"/>
  <c r="G1454" i="7"/>
  <c r="F1454" i="7"/>
  <c r="E1454" i="7"/>
  <c r="D1454" i="7"/>
  <c r="C1454" i="7"/>
  <c r="B1454" i="7"/>
  <c r="A1454" i="7"/>
  <c r="K1453" i="7"/>
  <c r="J1453" i="7"/>
  <c r="I1453" i="7"/>
  <c r="H1453" i="7"/>
  <c r="G1453" i="7"/>
  <c r="F1453" i="7"/>
  <c r="E1453" i="7"/>
  <c r="D1453" i="7"/>
  <c r="C1453" i="7"/>
  <c r="B1453" i="7"/>
  <c r="A1453" i="7"/>
  <c r="K1452" i="7"/>
  <c r="J1452" i="7"/>
  <c r="I1452" i="7"/>
  <c r="H1452" i="7"/>
  <c r="G1452" i="7"/>
  <c r="F1452" i="7"/>
  <c r="E1452" i="7"/>
  <c r="D1452" i="7"/>
  <c r="C1452" i="7"/>
  <c r="B1452" i="7"/>
  <c r="A1452" i="7"/>
  <c r="K1451" i="7"/>
  <c r="J1451" i="7"/>
  <c r="I1451" i="7"/>
  <c r="H1451" i="7"/>
  <c r="G1451" i="7"/>
  <c r="F1451" i="7"/>
  <c r="E1451" i="7"/>
  <c r="D1451" i="7"/>
  <c r="C1451" i="7"/>
  <c r="B1451" i="7"/>
  <c r="A1451" i="7"/>
  <c r="K1450" i="7"/>
  <c r="J1450" i="7"/>
  <c r="I1450" i="7"/>
  <c r="H1450" i="7"/>
  <c r="G1450" i="7"/>
  <c r="F1450" i="7"/>
  <c r="E1450" i="7"/>
  <c r="D1450" i="7"/>
  <c r="C1450" i="7"/>
  <c r="B1450" i="7"/>
  <c r="A1450" i="7"/>
  <c r="K1449" i="7"/>
  <c r="J1449" i="7"/>
  <c r="I1449" i="7"/>
  <c r="H1449" i="7"/>
  <c r="G1449" i="7"/>
  <c r="F1449" i="7"/>
  <c r="E1449" i="7"/>
  <c r="D1449" i="7"/>
  <c r="C1449" i="7"/>
  <c r="B1449" i="7"/>
  <c r="A1449" i="7"/>
  <c r="K1448" i="7"/>
  <c r="J1448" i="7"/>
  <c r="I1448" i="7"/>
  <c r="H1448" i="7"/>
  <c r="G1448" i="7"/>
  <c r="F1448" i="7"/>
  <c r="E1448" i="7"/>
  <c r="D1448" i="7"/>
  <c r="C1448" i="7"/>
  <c r="B1448" i="7"/>
  <c r="A1448" i="7"/>
  <c r="K1447" i="7"/>
  <c r="J1447" i="7"/>
  <c r="I1447" i="7"/>
  <c r="H1447" i="7"/>
  <c r="G1447" i="7"/>
  <c r="F1447" i="7"/>
  <c r="E1447" i="7"/>
  <c r="D1447" i="7"/>
  <c r="C1447" i="7"/>
  <c r="B1447" i="7"/>
  <c r="A1447" i="7"/>
  <c r="K1446" i="7"/>
  <c r="J1446" i="7"/>
  <c r="I1446" i="7"/>
  <c r="H1446" i="7"/>
  <c r="G1446" i="7"/>
  <c r="F1446" i="7"/>
  <c r="E1446" i="7"/>
  <c r="D1446" i="7"/>
  <c r="C1446" i="7"/>
  <c r="B1446" i="7"/>
  <c r="A1446" i="7"/>
  <c r="K1445" i="7"/>
  <c r="J1445" i="7"/>
  <c r="I1445" i="7"/>
  <c r="H1445" i="7"/>
  <c r="G1445" i="7"/>
  <c r="F1445" i="7"/>
  <c r="E1445" i="7"/>
  <c r="D1445" i="7"/>
  <c r="C1445" i="7"/>
  <c r="B1445" i="7"/>
  <c r="A1445" i="7"/>
  <c r="K1444" i="7"/>
  <c r="J1444" i="7"/>
  <c r="I1444" i="7"/>
  <c r="H1444" i="7"/>
  <c r="G1444" i="7"/>
  <c r="F1444" i="7"/>
  <c r="E1444" i="7"/>
  <c r="D1444" i="7"/>
  <c r="C1444" i="7"/>
  <c r="B1444" i="7"/>
  <c r="A1444" i="7"/>
  <c r="K1443" i="7"/>
  <c r="J1443" i="7"/>
  <c r="I1443" i="7"/>
  <c r="H1443" i="7"/>
  <c r="G1443" i="7"/>
  <c r="F1443" i="7"/>
  <c r="E1443" i="7"/>
  <c r="D1443" i="7"/>
  <c r="C1443" i="7"/>
  <c r="B1443" i="7"/>
  <c r="A1443" i="7"/>
  <c r="K1442" i="7"/>
  <c r="J1442" i="7"/>
  <c r="I1442" i="7"/>
  <c r="H1442" i="7"/>
  <c r="G1442" i="7"/>
  <c r="F1442" i="7"/>
  <c r="E1442" i="7"/>
  <c r="D1442" i="7"/>
  <c r="C1442" i="7"/>
  <c r="B1442" i="7"/>
  <c r="A1442" i="7"/>
  <c r="K1441" i="7"/>
  <c r="J1441" i="7"/>
  <c r="I1441" i="7"/>
  <c r="H1441" i="7"/>
  <c r="G1441" i="7"/>
  <c r="F1441" i="7"/>
  <c r="E1441" i="7"/>
  <c r="D1441" i="7"/>
  <c r="C1441" i="7"/>
  <c r="B1441" i="7"/>
  <c r="A1441" i="7"/>
  <c r="K1440" i="7"/>
  <c r="J1440" i="7"/>
  <c r="I1440" i="7"/>
  <c r="H1440" i="7"/>
  <c r="G1440" i="7"/>
  <c r="F1440" i="7"/>
  <c r="E1440" i="7"/>
  <c r="D1440" i="7"/>
  <c r="C1440" i="7"/>
  <c r="B1440" i="7"/>
  <c r="A1440" i="7"/>
  <c r="K1439" i="7"/>
  <c r="J1439" i="7"/>
  <c r="I1439" i="7"/>
  <c r="H1439" i="7"/>
  <c r="G1439" i="7"/>
  <c r="F1439" i="7"/>
  <c r="E1439" i="7"/>
  <c r="D1439" i="7"/>
  <c r="C1439" i="7"/>
  <c r="B1439" i="7"/>
  <c r="A1439" i="7"/>
  <c r="K1438" i="7"/>
  <c r="J1438" i="7"/>
  <c r="I1438" i="7"/>
  <c r="H1438" i="7"/>
  <c r="G1438" i="7"/>
  <c r="F1438" i="7"/>
  <c r="E1438" i="7"/>
  <c r="D1438" i="7"/>
  <c r="C1438" i="7"/>
  <c r="B1438" i="7"/>
  <c r="A1438" i="7"/>
  <c r="K1437" i="7"/>
  <c r="J1437" i="7"/>
  <c r="I1437" i="7"/>
  <c r="H1437" i="7"/>
  <c r="G1437" i="7"/>
  <c r="F1437" i="7"/>
  <c r="E1437" i="7"/>
  <c r="D1437" i="7"/>
  <c r="C1437" i="7"/>
  <c r="B1437" i="7"/>
  <c r="A1437" i="7"/>
  <c r="K1436" i="7"/>
  <c r="J1436" i="7"/>
  <c r="I1436" i="7"/>
  <c r="H1436" i="7"/>
  <c r="G1436" i="7"/>
  <c r="F1436" i="7"/>
  <c r="E1436" i="7"/>
  <c r="D1436" i="7"/>
  <c r="C1436" i="7"/>
  <c r="B1436" i="7"/>
  <c r="A1436" i="7"/>
  <c r="K1435" i="7"/>
  <c r="J1435" i="7"/>
  <c r="I1435" i="7"/>
  <c r="H1435" i="7"/>
  <c r="G1435" i="7"/>
  <c r="F1435" i="7"/>
  <c r="E1435" i="7"/>
  <c r="D1435" i="7"/>
  <c r="C1435" i="7"/>
  <c r="B1435" i="7"/>
  <c r="A1435" i="7"/>
  <c r="K1434" i="7"/>
  <c r="J1434" i="7"/>
  <c r="I1434" i="7"/>
  <c r="H1434" i="7"/>
  <c r="G1434" i="7"/>
  <c r="F1434" i="7"/>
  <c r="E1434" i="7"/>
  <c r="D1434" i="7"/>
  <c r="C1434" i="7"/>
  <c r="B1434" i="7"/>
  <c r="A1434" i="7"/>
  <c r="K1433" i="7"/>
  <c r="J1433" i="7"/>
  <c r="I1433" i="7"/>
  <c r="H1433" i="7"/>
  <c r="G1433" i="7"/>
  <c r="F1433" i="7"/>
  <c r="E1433" i="7"/>
  <c r="D1433" i="7"/>
  <c r="C1433" i="7"/>
  <c r="B1433" i="7"/>
  <c r="A1433" i="7"/>
  <c r="K1432" i="7"/>
  <c r="J1432" i="7"/>
  <c r="I1432" i="7"/>
  <c r="H1432" i="7"/>
  <c r="G1432" i="7"/>
  <c r="F1432" i="7"/>
  <c r="E1432" i="7"/>
  <c r="D1432" i="7"/>
  <c r="C1432" i="7"/>
  <c r="B1432" i="7"/>
  <c r="A1432" i="7"/>
  <c r="K1431" i="7"/>
  <c r="J1431" i="7"/>
  <c r="I1431" i="7"/>
  <c r="H1431" i="7"/>
  <c r="G1431" i="7"/>
  <c r="F1431" i="7"/>
  <c r="E1431" i="7"/>
  <c r="D1431" i="7"/>
  <c r="C1431" i="7"/>
  <c r="B1431" i="7"/>
  <c r="A1431" i="7"/>
  <c r="K1430" i="7"/>
  <c r="J1430" i="7"/>
  <c r="I1430" i="7"/>
  <c r="H1430" i="7"/>
  <c r="G1430" i="7"/>
  <c r="F1430" i="7"/>
  <c r="E1430" i="7"/>
  <c r="D1430" i="7"/>
  <c r="C1430" i="7"/>
  <c r="B1430" i="7"/>
  <c r="A1430" i="7"/>
  <c r="K1429" i="7"/>
  <c r="J1429" i="7"/>
  <c r="I1429" i="7"/>
  <c r="H1429" i="7"/>
  <c r="G1429" i="7"/>
  <c r="F1429" i="7"/>
  <c r="E1429" i="7"/>
  <c r="D1429" i="7"/>
  <c r="C1429" i="7"/>
  <c r="B1429" i="7"/>
  <c r="A1429" i="7"/>
  <c r="K1428" i="7"/>
  <c r="J1428" i="7"/>
  <c r="I1428" i="7"/>
  <c r="H1428" i="7"/>
  <c r="G1428" i="7"/>
  <c r="F1428" i="7"/>
  <c r="E1428" i="7"/>
  <c r="D1428" i="7"/>
  <c r="C1428" i="7"/>
  <c r="B1428" i="7"/>
  <c r="A1428" i="7"/>
  <c r="K1427" i="7"/>
  <c r="J1427" i="7"/>
  <c r="I1427" i="7"/>
  <c r="H1427" i="7"/>
  <c r="G1427" i="7"/>
  <c r="F1427" i="7"/>
  <c r="E1427" i="7"/>
  <c r="D1427" i="7"/>
  <c r="C1427" i="7"/>
  <c r="B1427" i="7"/>
  <c r="A1427" i="7"/>
  <c r="K1426" i="7"/>
  <c r="J1426" i="7"/>
  <c r="I1426" i="7"/>
  <c r="H1426" i="7"/>
  <c r="G1426" i="7"/>
  <c r="F1426" i="7"/>
  <c r="E1426" i="7"/>
  <c r="D1426" i="7"/>
  <c r="C1426" i="7"/>
  <c r="B1426" i="7"/>
  <c r="A1426" i="7"/>
  <c r="K1425" i="7"/>
  <c r="J1425" i="7"/>
  <c r="I1425" i="7"/>
  <c r="H1425" i="7"/>
  <c r="G1425" i="7"/>
  <c r="F1425" i="7"/>
  <c r="E1425" i="7"/>
  <c r="D1425" i="7"/>
  <c r="C1425" i="7"/>
  <c r="B1425" i="7"/>
  <c r="A1425" i="7"/>
  <c r="K1424" i="7"/>
  <c r="J1424" i="7"/>
  <c r="I1424" i="7"/>
  <c r="H1424" i="7"/>
  <c r="G1424" i="7"/>
  <c r="F1424" i="7"/>
  <c r="E1424" i="7"/>
  <c r="D1424" i="7"/>
  <c r="C1424" i="7"/>
  <c r="B1424" i="7"/>
  <c r="A1424" i="7"/>
  <c r="K1423" i="7"/>
  <c r="J1423" i="7"/>
  <c r="I1423" i="7"/>
  <c r="H1423" i="7"/>
  <c r="G1423" i="7"/>
  <c r="F1423" i="7"/>
  <c r="E1423" i="7"/>
  <c r="D1423" i="7"/>
  <c r="C1423" i="7"/>
  <c r="B1423" i="7"/>
  <c r="A1423" i="7"/>
  <c r="K1422" i="7"/>
  <c r="J1422" i="7"/>
  <c r="I1422" i="7"/>
  <c r="H1422" i="7"/>
  <c r="G1422" i="7"/>
  <c r="F1422" i="7"/>
  <c r="E1422" i="7"/>
  <c r="D1422" i="7"/>
  <c r="C1422" i="7"/>
  <c r="B1422" i="7"/>
  <c r="A1422" i="7"/>
  <c r="K1421" i="7"/>
  <c r="J1421" i="7"/>
  <c r="I1421" i="7"/>
  <c r="H1421" i="7"/>
  <c r="G1421" i="7"/>
  <c r="F1421" i="7"/>
  <c r="E1421" i="7"/>
  <c r="D1421" i="7"/>
  <c r="C1421" i="7"/>
  <c r="B1421" i="7"/>
  <c r="A1421" i="7"/>
  <c r="K1420" i="7"/>
  <c r="J1420" i="7"/>
  <c r="I1420" i="7"/>
  <c r="H1420" i="7"/>
  <c r="G1420" i="7"/>
  <c r="F1420" i="7"/>
  <c r="E1420" i="7"/>
  <c r="D1420" i="7"/>
  <c r="C1420" i="7"/>
  <c r="B1420" i="7"/>
  <c r="A1420" i="7"/>
  <c r="K1419" i="7"/>
  <c r="J1419" i="7"/>
  <c r="I1419" i="7"/>
  <c r="H1419" i="7"/>
  <c r="G1419" i="7"/>
  <c r="F1419" i="7"/>
  <c r="E1419" i="7"/>
  <c r="D1419" i="7"/>
  <c r="C1419" i="7"/>
  <c r="B1419" i="7"/>
  <c r="A1419" i="7"/>
  <c r="K1418" i="7"/>
  <c r="J1418" i="7"/>
  <c r="I1418" i="7"/>
  <c r="H1418" i="7"/>
  <c r="G1418" i="7"/>
  <c r="F1418" i="7"/>
  <c r="E1418" i="7"/>
  <c r="D1418" i="7"/>
  <c r="C1418" i="7"/>
  <c r="B1418" i="7"/>
  <c r="A1418" i="7"/>
  <c r="K1417" i="7"/>
  <c r="J1417" i="7"/>
  <c r="I1417" i="7"/>
  <c r="H1417" i="7"/>
  <c r="G1417" i="7"/>
  <c r="F1417" i="7"/>
  <c r="E1417" i="7"/>
  <c r="D1417" i="7"/>
  <c r="C1417" i="7"/>
  <c r="B1417" i="7"/>
  <c r="A1417" i="7"/>
  <c r="K1416" i="7"/>
  <c r="J1416" i="7"/>
  <c r="I1416" i="7"/>
  <c r="H1416" i="7"/>
  <c r="G1416" i="7"/>
  <c r="F1416" i="7"/>
  <c r="E1416" i="7"/>
  <c r="D1416" i="7"/>
  <c r="C1416" i="7"/>
  <c r="B1416" i="7"/>
  <c r="A1416" i="7"/>
  <c r="K1415" i="7"/>
  <c r="J1415" i="7"/>
  <c r="I1415" i="7"/>
  <c r="H1415" i="7"/>
  <c r="G1415" i="7"/>
  <c r="F1415" i="7"/>
  <c r="E1415" i="7"/>
  <c r="D1415" i="7"/>
  <c r="C1415" i="7"/>
  <c r="B1415" i="7"/>
  <c r="A1415" i="7"/>
  <c r="K1414" i="7"/>
  <c r="J1414" i="7"/>
  <c r="I1414" i="7"/>
  <c r="H1414" i="7"/>
  <c r="G1414" i="7"/>
  <c r="F1414" i="7"/>
  <c r="E1414" i="7"/>
  <c r="D1414" i="7"/>
  <c r="C1414" i="7"/>
  <c r="B1414" i="7"/>
  <c r="A1414" i="7"/>
  <c r="K1413" i="7"/>
  <c r="J1413" i="7"/>
  <c r="I1413" i="7"/>
  <c r="H1413" i="7"/>
  <c r="G1413" i="7"/>
  <c r="F1413" i="7"/>
  <c r="E1413" i="7"/>
  <c r="D1413" i="7"/>
  <c r="C1413" i="7"/>
  <c r="B1413" i="7"/>
  <c r="A1413" i="7"/>
  <c r="K1412" i="7"/>
  <c r="J1412" i="7"/>
  <c r="I1412" i="7"/>
  <c r="H1412" i="7"/>
  <c r="G1412" i="7"/>
  <c r="F1412" i="7"/>
  <c r="E1412" i="7"/>
  <c r="D1412" i="7"/>
  <c r="C1412" i="7"/>
  <c r="B1412" i="7"/>
  <c r="A1412" i="7"/>
  <c r="K1411" i="7"/>
  <c r="J1411" i="7"/>
  <c r="I1411" i="7"/>
  <c r="H1411" i="7"/>
  <c r="G1411" i="7"/>
  <c r="F1411" i="7"/>
  <c r="E1411" i="7"/>
  <c r="D1411" i="7"/>
  <c r="C1411" i="7"/>
  <c r="B1411" i="7"/>
  <c r="A1411" i="7"/>
  <c r="K1410" i="7"/>
  <c r="J1410" i="7"/>
  <c r="I1410" i="7"/>
  <c r="H1410" i="7"/>
  <c r="G1410" i="7"/>
  <c r="F1410" i="7"/>
  <c r="E1410" i="7"/>
  <c r="D1410" i="7"/>
  <c r="C1410" i="7"/>
  <c r="B1410" i="7"/>
  <c r="A1410" i="7"/>
  <c r="K1409" i="7"/>
  <c r="J1409" i="7"/>
  <c r="I1409" i="7"/>
  <c r="H1409" i="7"/>
  <c r="G1409" i="7"/>
  <c r="F1409" i="7"/>
  <c r="E1409" i="7"/>
  <c r="D1409" i="7"/>
  <c r="C1409" i="7"/>
  <c r="B1409" i="7"/>
  <c r="A1409" i="7"/>
  <c r="K1408" i="7"/>
  <c r="J1408" i="7"/>
  <c r="I1408" i="7"/>
  <c r="H1408" i="7"/>
  <c r="G1408" i="7"/>
  <c r="F1408" i="7"/>
  <c r="E1408" i="7"/>
  <c r="D1408" i="7"/>
  <c r="C1408" i="7"/>
  <c r="B1408" i="7"/>
  <c r="A1408" i="7"/>
  <c r="K1407" i="7"/>
  <c r="J1407" i="7"/>
  <c r="I1407" i="7"/>
  <c r="H1407" i="7"/>
  <c r="G1407" i="7"/>
  <c r="F1407" i="7"/>
  <c r="E1407" i="7"/>
  <c r="D1407" i="7"/>
  <c r="C1407" i="7"/>
  <c r="B1407" i="7"/>
  <c r="A1407" i="7"/>
  <c r="K1406" i="7"/>
  <c r="J1406" i="7"/>
  <c r="I1406" i="7"/>
  <c r="H1406" i="7"/>
  <c r="G1406" i="7"/>
  <c r="F1406" i="7"/>
  <c r="E1406" i="7"/>
  <c r="D1406" i="7"/>
  <c r="C1406" i="7"/>
  <c r="B1406" i="7"/>
  <c r="A1406" i="7"/>
  <c r="K1405" i="7"/>
  <c r="J1405" i="7"/>
  <c r="I1405" i="7"/>
  <c r="H1405" i="7"/>
  <c r="G1405" i="7"/>
  <c r="F1405" i="7"/>
  <c r="E1405" i="7"/>
  <c r="D1405" i="7"/>
  <c r="C1405" i="7"/>
  <c r="B1405" i="7"/>
  <c r="A1405" i="7"/>
  <c r="K1404" i="7"/>
  <c r="J1404" i="7"/>
  <c r="I1404" i="7"/>
  <c r="H1404" i="7"/>
  <c r="G1404" i="7"/>
  <c r="F1404" i="7"/>
  <c r="E1404" i="7"/>
  <c r="D1404" i="7"/>
  <c r="C1404" i="7"/>
  <c r="B1404" i="7"/>
  <c r="A1404" i="7"/>
  <c r="K1403" i="7"/>
  <c r="J1403" i="7"/>
  <c r="I1403" i="7"/>
  <c r="H1403" i="7"/>
  <c r="G1403" i="7"/>
  <c r="F1403" i="7"/>
  <c r="E1403" i="7"/>
  <c r="D1403" i="7"/>
  <c r="C1403" i="7"/>
  <c r="B1403" i="7"/>
  <c r="A1403" i="7"/>
  <c r="K1402" i="7"/>
  <c r="J1402" i="7"/>
  <c r="I1402" i="7"/>
  <c r="H1402" i="7"/>
  <c r="G1402" i="7"/>
  <c r="F1402" i="7"/>
  <c r="E1402" i="7"/>
  <c r="D1402" i="7"/>
  <c r="C1402" i="7"/>
  <c r="B1402" i="7"/>
  <c r="A1402" i="7"/>
  <c r="K1401" i="7"/>
  <c r="J1401" i="7"/>
  <c r="I1401" i="7"/>
  <c r="H1401" i="7"/>
  <c r="G1401" i="7"/>
  <c r="F1401" i="7"/>
  <c r="E1401" i="7"/>
  <c r="D1401" i="7"/>
  <c r="C1401" i="7"/>
  <c r="B1401" i="7"/>
  <c r="A1401" i="7"/>
  <c r="K1400" i="7"/>
  <c r="J1400" i="7"/>
  <c r="I1400" i="7"/>
  <c r="H1400" i="7"/>
  <c r="G1400" i="7"/>
  <c r="F1400" i="7"/>
  <c r="E1400" i="7"/>
  <c r="D1400" i="7"/>
  <c r="C1400" i="7"/>
  <c r="B1400" i="7"/>
  <c r="A1400" i="7"/>
  <c r="K1399" i="7"/>
  <c r="J1399" i="7"/>
  <c r="I1399" i="7"/>
  <c r="H1399" i="7"/>
  <c r="G1399" i="7"/>
  <c r="F1399" i="7"/>
  <c r="E1399" i="7"/>
  <c r="D1399" i="7"/>
  <c r="C1399" i="7"/>
  <c r="B1399" i="7"/>
  <c r="A1399" i="7"/>
  <c r="K1398" i="7"/>
  <c r="J1398" i="7"/>
  <c r="I1398" i="7"/>
  <c r="H1398" i="7"/>
  <c r="G1398" i="7"/>
  <c r="F1398" i="7"/>
  <c r="E1398" i="7"/>
  <c r="D1398" i="7"/>
  <c r="C1398" i="7"/>
  <c r="B1398" i="7"/>
  <c r="A1398" i="7"/>
  <c r="K1397" i="7"/>
  <c r="J1397" i="7"/>
  <c r="I1397" i="7"/>
  <c r="H1397" i="7"/>
  <c r="G1397" i="7"/>
  <c r="F1397" i="7"/>
  <c r="E1397" i="7"/>
  <c r="D1397" i="7"/>
  <c r="C1397" i="7"/>
  <c r="B1397" i="7"/>
  <c r="A1397" i="7"/>
  <c r="K1396" i="7"/>
  <c r="J1396" i="7"/>
  <c r="I1396" i="7"/>
  <c r="H1396" i="7"/>
  <c r="G1396" i="7"/>
  <c r="F1396" i="7"/>
  <c r="E1396" i="7"/>
  <c r="D1396" i="7"/>
  <c r="C1396" i="7"/>
  <c r="B1396" i="7"/>
  <c r="A1396" i="7"/>
  <c r="K1395" i="7"/>
  <c r="J1395" i="7"/>
  <c r="I1395" i="7"/>
  <c r="H1395" i="7"/>
  <c r="G1395" i="7"/>
  <c r="F1395" i="7"/>
  <c r="E1395" i="7"/>
  <c r="D1395" i="7"/>
  <c r="C1395" i="7"/>
  <c r="B1395" i="7"/>
  <c r="A1395" i="7"/>
  <c r="K1394" i="7"/>
  <c r="J1394" i="7"/>
  <c r="I1394" i="7"/>
  <c r="H1394" i="7"/>
  <c r="G1394" i="7"/>
  <c r="F1394" i="7"/>
  <c r="E1394" i="7"/>
  <c r="D1394" i="7"/>
  <c r="C1394" i="7"/>
  <c r="B1394" i="7"/>
  <c r="A1394" i="7"/>
  <c r="K1393" i="7"/>
  <c r="J1393" i="7"/>
  <c r="I1393" i="7"/>
  <c r="H1393" i="7"/>
  <c r="G1393" i="7"/>
  <c r="F1393" i="7"/>
  <c r="E1393" i="7"/>
  <c r="D1393" i="7"/>
  <c r="C1393" i="7"/>
  <c r="B1393" i="7"/>
  <c r="A1393" i="7"/>
  <c r="K1392" i="7"/>
  <c r="J1392" i="7"/>
  <c r="I1392" i="7"/>
  <c r="H1392" i="7"/>
  <c r="G1392" i="7"/>
  <c r="F1392" i="7"/>
  <c r="E1392" i="7"/>
  <c r="D1392" i="7"/>
  <c r="C1392" i="7"/>
  <c r="B1392" i="7"/>
  <c r="A1392" i="7"/>
  <c r="K1391" i="7"/>
  <c r="J1391" i="7"/>
  <c r="I1391" i="7"/>
  <c r="H1391" i="7"/>
  <c r="G1391" i="7"/>
  <c r="F1391" i="7"/>
  <c r="E1391" i="7"/>
  <c r="D1391" i="7"/>
  <c r="C1391" i="7"/>
  <c r="B1391" i="7"/>
  <c r="A1391" i="7"/>
  <c r="K1390" i="7"/>
  <c r="J1390" i="7"/>
  <c r="I1390" i="7"/>
  <c r="H1390" i="7"/>
  <c r="G1390" i="7"/>
  <c r="F1390" i="7"/>
  <c r="E1390" i="7"/>
  <c r="D1390" i="7"/>
  <c r="C1390" i="7"/>
  <c r="B1390" i="7"/>
  <c r="A1390" i="7"/>
  <c r="K1389" i="7"/>
  <c r="J1389" i="7"/>
  <c r="I1389" i="7"/>
  <c r="H1389" i="7"/>
  <c r="G1389" i="7"/>
  <c r="F1389" i="7"/>
  <c r="E1389" i="7"/>
  <c r="D1389" i="7"/>
  <c r="C1389" i="7"/>
  <c r="B1389" i="7"/>
  <c r="A1389" i="7"/>
  <c r="K1388" i="7"/>
  <c r="J1388" i="7"/>
  <c r="I1388" i="7"/>
  <c r="H1388" i="7"/>
  <c r="G1388" i="7"/>
  <c r="F1388" i="7"/>
  <c r="E1388" i="7"/>
  <c r="D1388" i="7"/>
  <c r="C1388" i="7"/>
  <c r="B1388" i="7"/>
  <c r="A1388" i="7"/>
  <c r="K1387" i="7"/>
  <c r="J1387" i="7"/>
  <c r="I1387" i="7"/>
  <c r="H1387" i="7"/>
  <c r="G1387" i="7"/>
  <c r="F1387" i="7"/>
  <c r="E1387" i="7"/>
  <c r="D1387" i="7"/>
  <c r="C1387" i="7"/>
  <c r="B1387" i="7"/>
  <c r="A1387" i="7"/>
  <c r="K1386" i="7"/>
  <c r="J1386" i="7"/>
  <c r="I1386" i="7"/>
  <c r="H1386" i="7"/>
  <c r="G1386" i="7"/>
  <c r="F1386" i="7"/>
  <c r="E1386" i="7"/>
  <c r="D1386" i="7"/>
  <c r="C1386" i="7"/>
  <c r="B1386" i="7"/>
  <c r="A1386" i="7"/>
  <c r="K1385" i="7"/>
  <c r="J1385" i="7"/>
  <c r="I1385" i="7"/>
  <c r="H1385" i="7"/>
  <c r="G1385" i="7"/>
  <c r="F1385" i="7"/>
  <c r="E1385" i="7"/>
  <c r="D1385" i="7"/>
  <c r="C1385" i="7"/>
  <c r="B1385" i="7"/>
  <c r="A1385" i="7"/>
  <c r="K1384" i="7"/>
  <c r="J1384" i="7"/>
  <c r="I1384" i="7"/>
  <c r="H1384" i="7"/>
  <c r="G1384" i="7"/>
  <c r="F1384" i="7"/>
  <c r="E1384" i="7"/>
  <c r="D1384" i="7"/>
  <c r="C1384" i="7"/>
  <c r="B1384" i="7"/>
  <c r="A1384" i="7"/>
  <c r="K1383" i="7"/>
  <c r="J1383" i="7"/>
  <c r="I1383" i="7"/>
  <c r="H1383" i="7"/>
  <c r="G1383" i="7"/>
  <c r="F1383" i="7"/>
  <c r="E1383" i="7"/>
  <c r="D1383" i="7"/>
  <c r="C1383" i="7"/>
  <c r="B1383" i="7"/>
  <c r="A1383" i="7"/>
  <c r="K1382" i="7"/>
  <c r="J1382" i="7"/>
  <c r="I1382" i="7"/>
  <c r="H1382" i="7"/>
  <c r="G1382" i="7"/>
  <c r="F1382" i="7"/>
  <c r="E1382" i="7"/>
  <c r="D1382" i="7"/>
  <c r="C1382" i="7"/>
  <c r="B1382" i="7"/>
  <c r="A1382" i="7"/>
  <c r="K1381" i="7"/>
  <c r="J1381" i="7"/>
  <c r="I1381" i="7"/>
  <c r="H1381" i="7"/>
  <c r="G1381" i="7"/>
  <c r="F1381" i="7"/>
  <c r="E1381" i="7"/>
  <c r="D1381" i="7"/>
  <c r="C1381" i="7"/>
  <c r="B1381" i="7"/>
  <c r="A1381" i="7"/>
  <c r="K1380" i="7"/>
  <c r="J1380" i="7"/>
  <c r="I1380" i="7"/>
  <c r="H1380" i="7"/>
  <c r="G1380" i="7"/>
  <c r="F1380" i="7"/>
  <c r="E1380" i="7"/>
  <c r="D1380" i="7"/>
  <c r="C1380" i="7"/>
  <c r="B1380" i="7"/>
  <c r="A1380" i="7"/>
  <c r="K1379" i="7"/>
  <c r="J1379" i="7"/>
  <c r="I1379" i="7"/>
  <c r="H1379" i="7"/>
  <c r="G1379" i="7"/>
  <c r="F1379" i="7"/>
  <c r="E1379" i="7"/>
  <c r="D1379" i="7"/>
  <c r="C1379" i="7"/>
  <c r="B1379" i="7"/>
  <c r="A1379" i="7"/>
  <c r="K1378" i="7"/>
  <c r="J1378" i="7"/>
  <c r="I1378" i="7"/>
  <c r="H1378" i="7"/>
  <c r="G1378" i="7"/>
  <c r="F1378" i="7"/>
  <c r="E1378" i="7"/>
  <c r="D1378" i="7"/>
  <c r="C1378" i="7"/>
  <c r="B1378" i="7"/>
  <c r="A1378" i="7"/>
  <c r="K1377" i="7"/>
  <c r="J1377" i="7"/>
  <c r="I1377" i="7"/>
  <c r="H1377" i="7"/>
  <c r="G1377" i="7"/>
  <c r="F1377" i="7"/>
  <c r="E1377" i="7"/>
  <c r="D1377" i="7"/>
  <c r="C1377" i="7"/>
  <c r="B1377" i="7"/>
  <c r="A1377" i="7"/>
  <c r="K1376" i="7"/>
  <c r="J1376" i="7"/>
  <c r="I1376" i="7"/>
  <c r="H1376" i="7"/>
  <c r="G1376" i="7"/>
  <c r="F1376" i="7"/>
  <c r="E1376" i="7"/>
  <c r="D1376" i="7"/>
  <c r="C1376" i="7"/>
  <c r="B1376" i="7"/>
  <c r="A1376" i="7"/>
  <c r="K1375" i="7"/>
  <c r="J1375" i="7"/>
  <c r="I1375" i="7"/>
  <c r="H1375" i="7"/>
  <c r="G1375" i="7"/>
  <c r="F1375" i="7"/>
  <c r="E1375" i="7"/>
  <c r="D1375" i="7"/>
  <c r="C1375" i="7"/>
  <c r="B1375" i="7"/>
  <c r="A1375" i="7"/>
  <c r="K1374" i="7"/>
  <c r="J1374" i="7"/>
  <c r="I1374" i="7"/>
  <c r="H1374" i="7"/>
  <c r="G1374" i="7"/>
  <c r="F1374" i="7"/>
  <c r="E1374" i="7"/>
  <c r="D1374" i="7"/>
  <c r="C1374" i="7"/>
  <c r="B1374" i="7"/>
  <c r="A1374" i="7"/>
  <c r="K1373" i="7"/>
  <c r="J1373" i="7"/>
  <c r="I1373" i="7"/>
  <c r="H1373" i="7"/>
  <c r="G1373" i="7"/>
  <c r="F1373" i="7"/>
  <c r="E1373" i="7"/>
  <c r="D1373" i="7"/>
  <c r="C1373" i="7"/>
  <c r="B1373" i="7"/>
  <c r="A1373" i="7"/>
  <c r="K1372" i="7"/>
  <c r="J1372" i="7"/>
  <c r="I1372" i="7"/>
  <c r="H1372" i="7"/>
  <c r="G1372" i="7"/>
  <c r="F1372" i="7"/>
  <c r="E1372" i="7"/>
  <c r="D1372" i="7"/>
  <c r="C1372" i="7"/>
  <c r="B1372" i="7"/>
  <c r="A1372" i="7"/>
  <c r="K1371" i="7"/>
  <c r="J1371" i="7"/>
  <c r="I1371" i="7"/>
  <c r="H1371" i="7"/>
  <c r="G1371" i="7"/>
  <c r="F1371" i="7"/>
  <c r="E1371" i="7"/>
  <c r="D1371" i="7"/>
  <c r="C1371" i="7"/>
  <c r="B1371" i="7"/>
  <c r="A1371" i="7"/>
  <c r="K1370" i="7"/>
  <c r="J1370" i="7"/>
  <c r="I1370" i="7"/>
  <c r="H1370" i="7"/>
  <c r="G1370" i="7"/>
  <c r="F1370" i="7"/>
  <c r="E1370" i="7"/>
  <c r="D1370" i="7"/>
  <c r="C1370" i="7"/>
  <c r="B1370" i="7"/>
  <c r="A1370" i="7"/>
  <c r="K1369" i="7"/>
  <c r="J1369" i="7"/>
  <c r="I1369" i="7"/>
  <c r="H1369" i="7"/>
  <c r="G1369" i="7"/>
  <c r="F1369" i="7"/>
  <c r="E1369" i="7"/>
  <c r="D1369" i="7"/>
  <c r="C1369" i="7"/>
  <c r="B1369" i="7"/>
  <c r="A1369" i="7"/>
  <c r="K1368" i="7"/>
  <c r="J1368" i="7"/>
  <c r="I1368" i="7"/>
  <c r="H1368" i="7"/>
  <c r="G1368" i="7"/>
  <c r="F1368" i="7"/>
  <c r="E1368" i="7"/>
  <c r="D1368" i="7"/>
  <c r="C1368" i="7"/>
  <c r="B1368" i="7"/>
  <c r="A1368" i="7"/>
  <c r="K1367" i="7"/>
  <c r="J1367" i="7"/>
  <c r="I1367" i="7"/>
  <c r="H1367" i="7"/>
  <c r="G1367" i="7"/>
  <c r="F1367" i="7"/>
  <c r="E1367" i="7"/>
  <c r="D1367" i="7"/>
  <c r="C1367" i="7"/>
  <c r="B1367" i="7"/>
  <c r="A1367" i="7"/>
  <c r="K1366" i="7"/>
  <c r="J1366" i="7"/>
  <c r="I1366" i="7"/>
  <c r="H1366" i="7"/>
  <c r="G1366" i="7"/>
  <c r="F1366" i="7"/>
  <c r="E1366" i="7"/>
  <c r="D1366" i="7"/>
  <c r="C1366" i="7"/>
  <c r="B1366" i="7"/>
  <c r="A1366" i="7"/>
  <c r="K1365" i="7"/>
  <c r="J1365" i="7"/>
  <c r="I1365" i="7"/>
  <c r="H1365" i="7"/>
  <c r="G1365" i="7"/>
  <c r="F1365" i="7"/>
  <c r="E1365" i="7"/>
  <c r="D1365" i="7"/>
  <c r="C1365" i="7"/>
  <c r="B1365" i="7"/>
  <c r="A1365" i="7"/>
  <c r="K1364" i="7"/>
  <c r="J1364" i="7"/>
  <c r="I1364" i="7"/>
  <c r="H1364" i="7"/>
  <c r="G1364" i="7"/>
  <c r="F1364" i="7"/>
  <c r="E1364" i="7"/>
  <c r="D1364" i="7"/>
  <c r="C1364" i="7"/>
  <c r="B1364" i="7"/>
  <c r="A1364" i="7"/>
  <c r="K1363" i="7"/>
  <c r="J1363" i="7"/>
  <c r="I1363" i="7"/>
  <c r="H1363" i="7"/>
  <c r="G1363" i="7"/>
  <c r="F1363" i="7"/>
  <c r="E1363" i="7"/>
  <c r="D1363" i="7"/>
  <c r="C1363" i="7"/>
  <c r="B1363" i="7"/>
  <c r="A1363" i="7"/>
  <c r="K1362" i="7"/>
  <c r="J1362" i="7"/>
  <c r="I1362" i="7"/>
  <c r="H1362" i="7"/>
  <c r="G1362" i="7"/>
  <c r="F1362" i="7"/>
  <c r="E1362" i="7"/>
  <c r="D1362" i="7"/>
  <c r="C1362" i="7"/>
  <c r="B1362" i="7"/>
  <c r="A1362" i="7"/>
  <c r="K1361" i="7"/>
  <c r="J1361" i="7"/>
  <c r="I1361" i="7"/>
  <c r="H1361" i="7"/>
  <c r="G1361" i="7"/>
  <c r="F1361" i="7"/>
  <c r="E1361" i="7"/>
  <c r="D1361" i="7"/>
  <c r="C1361" i="7"/>
  <c r="B1361" i="7"/>
  <c r="A1361" i="7"/>
  <c r="K1360" i="7"/>
  <c r="J1360" i="7"/>
  <c r="I1360" i="7"/>
  <c r="H1360" i="7"/>
  <c r="G1360" i="7"/>
  <c r="F1360" i="7"/>
  <c r="E1360" i="7"/>
  <c r="D1360" i="7"/>
  <c r="C1360" i="7"/>
  <c r="B1360" i="7"/>
  <c r="A1360" i="7"/>
  <c r="K1359" i="7"/>
  <c r="J1359" i="7"/>
  <c r="I1359" i="7"/>
  <c r="H1359" i="7"/>
  <c r="G1359" i="7"/>
  <c r="F1359" i="7"/>
  <c r="E1359" i="7"/>
  <c r="D1359" i="7"/>
  <c r="C1359" i="7"/>
  <c r="B1359" i="7"/>
  <c r="A1359" i="7"/>
  <c r="K1358" i="7"/>
  <c r="J1358" i="7"/>
  <c r="I1358" i="7"/>
  <c r="H1358" i="7"/>
  <c r="G1358" i="7"/>
  <c r="F1358" i="7"/>
  <c r="E1358" i="7"/>
  <c r="D1358" i="7"/>
  <c r="C1358" i="7"/>
  <c r="B1358" i="7"/>
  <c r="A1358" i="7"/>
  <c r="K1357" i="7"/>
  <c r="J1357" i="7"/>
  <c r="I1357" i="7"/>
  <c r="H1357" i="7"/>
  <c r="G1357" i="7"/>
  <c r="F1357" i="7"/>
  <c r="E1357" i="7"/>
  <c r="D1357" i="7"/>
  <c r="C1357" i="7"/>
  <c r="B1357" i="7"/>
  <c r="A1357" i="7"/>
  <c r="K1356" i="7"/>
  <c r="J1356" i="7"/>
  <c r="I1356" i="7"/>
  <c r="H1356" i="7"/>
  <c r="G1356" i="7"/>
  <c r="F1356" i="7"/>
  <c r="E1356" i="7"/>
  <c r="D1356" i="7"/>
  <c r="C1356" i="7"/>
  <c r="B1356" i="7"/>
  <c r="A1356" i="7"/>
  <c r="K1355" i="7"/>
  <c r="J1355" i="7"/>
  <c r="I1355" i="7"/>
  <c r="H1355" i="7"/>
  <c r="G1355" i="7"/>
  <c r="F1355" i="7"/>
  <c r="E1355" i="7"/>
  <c r="D1355" i="7"/>
  <c r="C1355" i="7"/>
  <c r="B1355" i="7"/>
  <c r="A1355" i="7"/>
  <c r="K1354" i="7"/>
  <c r="J1354" i="7"/>
  <c r="I1354" i="7"/>
  <c r="H1354" i="7"/>
  <c r="G1354" i="7"/>
  <c r="F1354" i="7"/>
  <c r="E1354" i="7"/>
  <c r="D1354" i="7"/>
  <c r="C1354" i="7"/>
  <c r="B1354" i="7"/>
  <c r="A1354" i="7"/>
  <c r="K1353" i="7"/>
  <c r="J1353" i="7"/>
  <c r="I1353" i="7"/>
  <c r="H1353" i="7"/>
  <c r="G1353" i="7"/>
  <c r="F1353" i="7"/>
  <c r="E1353" i="7"/>
  <c r="D1353" i="7"/>
  <c r="C1353" i="7"/>
  <c r="B1353" i="7"/>
  <c r="A1353" i="7"/>
  <c r="K1352" i="7"/>
  <c r="J1352" i="7"/>
  <c r="I1352" i="7"/>
  <c r="H1352" i="7"/>
  <c r="G1352" i="7"/>
  <c r="F1352" i="7"/>
  <c r="E1352" i="7"/>
  <c r="D1352" i="7"/>
  <c r="C1352" i="7"/>
  <c r="B1352" i="7"/>
  <c r="A1352" i="7"/>
  <c r="K1351" i="7"/>
  <c r="J1351" i="7"/>
  <c r="I1351" i="7"/>
  <c r="H1351" i="7"/>
  <c r="G1351" i="7"/>
  <c r="F1351" i="7"/>
  <c r="E1351" i="7"/>
  <c r="D1351" i="7"/>
  <c r="C1351" i="7"/>
  <c r="B1351" i="7"/>
  <c r="A1351" i="7"/>
  <c r="K1350" i="7"/>
  <c r="J1350" i="7"/>
  <c r="I1350" i="7"/>
  <c r="H1350" i="7"/>
  <c r="G1350" i="7"/>
  <c r="F1350" i="7"/>
  <c r="E1350" i="7"/>
  <c r="D1350" i="7"/>
  <c r="C1350" i="7"/>
  <c r="B1350" i="7"/>
  <c r="A1350" i="7"/>
  <c r="K1349" i="7"/>
  <c r="J1349" i="7"/>
  <c r="I1349" i="7"/>
  <c r="H1349" i="7"/>
  <c r="G1349" i="7"/>
  <c r="F1349" i="7"/>
  <c r="E1349" i="7"/>
  <c r="D1349" i="7"/>
  <c r="C1349" i="7"/>
  <c r="B1349" i="7"/>
  <c r="A1349" i="7"/>
  <c r="K1348" i="7"/>
  <c r="J1348" i="7"/>
  <c r="I1348" i="7"/>
  <c r="H1348" i="7"/>
  <c r="G1348" i="7"/>
  <c r="F1348" i="7"/>
  <c r="E1348" i="7"/>
  <c r="D1348" i="7"/>
  <c r="C1348" i="7"/>
  <c r="B1348" i="7"/>
  <c r="A1348" i="7"/>
  <c r="K1347" i="7"/>
  <c r="J1347" i="7"/>
  <c r="I1347" i="7"/>
  <c r="H1347" i="7"/>
  <c r="G1347" i="7"/>
  <c r="F1347" i="7"/>
  <c r="E1347" i="7"/>
  <c r="D1347" i="7"/>
  <c r="C1347" i="7"/>
  <c r="B1347" i="7"/>
  <c r="A1347" i="7"/>
  <c r="K1346" i="7"/>
  <c r="J1346" i="7"/>
  <c r="I1346" i="7"/>
  <c r="H1346" i="7"/>
  <c r="G1346" i="7"/>
  <c r="F1346" i="7"/>
  <c r="E1346" i="7"/>
  <c r="D1346" i="7"/>
  <c r="C1346" i="7"/>
  <c r="B1346" i="7"/>
  <c r="A1346" i="7"/>
  <c r="K1345" i="7"/>
  <c r="J1345" i="7"/>
  <c r="I1345" i="7"/>
  <c r="H1345" i="7"/>
  <c r="G1345" i="7"/>
  <c r="F1345" i="7"/>
  <c r="E1345" i="7"/>
  <c r="D1345" i="7"/>
  <c r="C1345" i="7"/>
  <c r="B1345" i="7"/>
  <c r="A1345" i="7"/>
  <c r="K1344" i="7"/>
  <c r="J1344" i="7"/>
  <c r="I1344" i="7"/>
  <c r="H1344" i="7"/>
  <c r="G1344" i="7"/>
  <c r="F1344" i="7"/>
  <c r="E1344" i="7"/>
  <c r="D1344" i="7"/>
  <c r="C1344" i="7"/>
  <c r="B1344" i="7"/>
  <c r="A1344" i="7"/>
  <c r="K1343" i="7"/>
  <c r="J1343" i="7"/>
  <c r="I1343" i="7"/>
  <c r="H1343" i="7"/>
  <c r="G1343" i="7"/>
  <c r="F1343" i="7"/>
  <c r="E1343" i="7"/>
  <c r="D1343" i="7"/>
  <c r="C1343" i="7"/>
  <c r="B1343" i="7"/>
  <c r="A1343" i="7"/>
  <c r="K1342" i="7"/>
  <c r="J1342" i="7"/>
  <c r="I1342" i="7"/>
  <c r="H1342" i="7"/>
  <c r="G1342" i="7"/>
  <c r="F1342" i="7"/>
  <c r="E1342" i="7"/>
  <c r="D1342" i="7"/>
  <c r="C1342" i="7"/>
  <c r="B1342" i="7"/>
  <c r="A1342" i="7"/>
  <c r="K1341" i="7"/>
  <c r="J1341" i="7"/>
  <c r="I1341" i="7"/>
  <c r="H1341" i="7"/>
  <c r="G1341" i="7"/>
  <c r="F1341" i="7"/>
  <c r="E1341" i="7"/>
  <c r="D1341" i="7"/>
  <c r="C1341" i="7"/>
  <c r="B1341" i="7"/>
  <c r="A1341" i="7"/>
  <c r="K1340" i="7"/>
  <c r="J1340" i="7"/>
  <c r="I1340" i="7"/>
  <c r="H1340" i="7"/>
  <c r="G1340" i="7"/>
  <c r="F1340" i="7"/>
  <c r="E1340" i="7"/>
  <c r="D1340" i="7"/>
  <c r="C1340" i="7"/>
  <c r="B1340" i="7"/>
  <c r="A1340" i="7"/>
  <c r="K1339" i="7"/>
  <c r="J1339" i="7"/>
  <c r="I1339" i="7"/>
  <c r="H1339" i="7"/>
  <c r="G1339" i="7"/>
  <c r="F1339" i="7"/>
  <c r="E1339" i="7"/>
  <c r="D1339" i="7"/>
  <c r="C1339" i="7"/>
  <c r="B1339" i="7"/>
  <c r="A1339" i="7"/>
  <c r="K1338" i="7"/>
  <c r="J1338" i="7"/>
  <c r="I1338" i="7"/>
  <c r="H1338" i="7"/>
  <c r="G1338" i="7"/>
  <c r="F1338" i="7"/>
  <c r="E1338" i="7"/>
  <c r="D1338" i="7"/>
  <c r="C1338" i="7"/>
  <c r="B1338" i="7"/>
  <c r="A1338" i="7"/>
  <c r="K1337" i="7"/>
  <c r="J1337" i="7"/>
  <c r="I1337" i="7"/>
  <c r="H1337" i="7"/>
  <c r="G1337" i="7"/>
  <c r="F1337" i="7"/>
  <c r="E1337" i="7"/>
  <c r="D1337" i="7"/>
  <c r="C1337" i="7"/>
  <c r="B1337" i="7"/>
  <c r="A1337" i="7"/>
  <c r="K1336" i="7"/>
  <c r="J1336" i="7"/>
  <c r="I1336" i="7"/>
  <c r="H1336" i="7"/>
  <c r="G1336" i="7"/>
  <c r="F1336" i="7"/>
  <c r="E1336" i="7"/>
  <c r="D1336" i="7"/>
  <c r="C1336" i="7"/>
  <c r="B1336" i="7"/>
  <c r="A1336" i="7"/>
  <c r="K1335" i="7"/>
  <c r="J1335" i="7"/>
  <c r="I1335" i="7"/>
  <c r="H1335" i="7"/>
  <c r="G1335" i="7"/>
  <c r="F1335" i="7"/>
  <c r="E1335" i="7"/>
  <c r="D1335" i="7"/>
  <c r="C1335" i="7"/>
  <c r="B1335" i="7"/>
  <c r="A1335" i="7"/>
  <c r="K1334" i="7"/>
  <c r="J1334" i="7"/>
  <c r="I1334" i="7"/>
  <c r="H1334" i="7"/>
  <c r="G1334" i="7"/>
  <c r="F1334" i="7"/>
  <c r="E1334" i="7"/>
  <c r="D1334" i="7"/>
  <c r="C1334" i="7"/>
  <c r="B1334" i="7"/>
  <c r="A1334" i="7"/>
  <c r="K1333" i="7"/>
  <c r="J1333" i="7"/>
  <c r="I1333" i="7"/>
  <c r="H1333" i="7"/>
  <c r="G1333" i="7"/>
  <c r="F1333" i="7"/>
  <c r="E1333" i="7"/>
  <c r="D1333" i="7"/>
  <c r="C1333" i="7"/>
  <c r="B1333" i="7"/>
  <c r="A1333" i="7"/>
  <c r="K1332" i="7"/>
  <c r="J1332" i="7"/>
  <c r="I1332" i="7"/>
  <c r="H1332" i="7"/>
  <c r="G1332" i="7"/>
  <c r="F1332" i="7"/>
  <c r="E1332" i="7"/>
  <c r="D1332" i="7"/>
  <c r="C1332" i="7"/>
  <c r="B1332" i="7"/>
  <c r="A1332" i="7"/>
  <c r="K1331" i="7"/>
  <c r="J1331" i="7"/>
  <c r="I1331" i="7"/>
  <c r="H1331" i="7"/>
  <c r="G1331" i="7"/>
  <c r="F1331" i="7"/>
  <c r="E1331" i="7"/>
  <c r="D1331" i="7"/>
  <c r="C1331" i="7"/>
  <c r="B1331" i="7"/>
  <c r="A1331" i="7"/>
  <c r="K1330" i="7"/>
  <c r="J1330" i="7"/>
  <c r="I1330" i="7"/>
  <c r="H1330" i="7"/>
  <c r="G1330" i="7"/>
  <c r="F1330" i="7"/>
  <c r="E1330" i="7"/>
  <c r="D1330" i="7"/>
  <c r="C1330" i="7"/>
  <c r="B1330" i="7"/>
  <c r="A1330" i="7"/>
  <c r="K1329" i="7"/>
  <c r="J1329" i="7"/>
  <c r="I1329" i="7"/>
  <c r="H1329" i="7"/>
  <c r="G1329" i="7"/>
  <c r="F1329" i="7"/>
  <c r="E1329" i="7"/>
  <c r="D1329" i="7"/>
  <c r="C1329" i="7"/>
  <c r="B1329" i="7"/>
  <c r="A1329" i="7"/>
  <c r="K1328" i="7"/>
  <c r="J1328" i="7"/>
  <c r="I1328" i="7"/>
  <c r="H1328" i="7"/>
  <c r="G1328" i="7"/>
  <c r="F1328" i="7"/>
  <c r="E1328" i="7"/>
  <c r="D1328" i="7"/>
  <c r="C1328" i="7"/>
  <c r="B1328" i="7"/>
  <c r="A1328" i="7"/>
  <c r="K1327" i="7"/>
  <c r="J1327" i="7"/>
  <c r="I1327" i="7"/>
  <c r="H1327" i="7"/>
  <c r="G1327" i="7"/>
  <c r="F1327" i="7"/>
  <c r="E1327" i="7"/>
  <c r="D1327" i="7"/>
  <c r="C1327" i="7"/>
  <c r="B1327" i="7"/>
  <c r="A1327" i="7"/>
  <c r="K1326" i="7"/>
  <c r="J1326" i="7"/>
  <c r="I1326" i="7"/>
  <c r="H1326" i="7"/>
  <c r="G1326" i="7"/>
  <c r="F1326" i="7"/>
  <c r="E1326" i="7"/>
  <c r="D1326" i="7"/>
  <c r="C1326" i="7"/>
  <c r="B1326" i="7"/>
  <c r="A1326" i="7"/>
  <c r="K1325" i="7"/>
  <c r="J1325" i="7"/>
  <c r="I1325" i="7"/>
  <c r="H1325" i="7"/>
  <c r="G1325" i="7"/>
  <c r="F1325" i="7"/>
  <c r="E1325" i="7"/>
  <c r="D1325" i="7"/>
  <c r="C1325" i="7"/>
  <c r="B1325" i="7"/>
  <c r="A1325" i="7"/>
  <c r="K1324" i="7"/>
  <c r="J1324" i="7"/>
  <c r="I1324" i="7"/>
  <c r="H1324" i="7"/>
  <c r="G1324" i="7"/>
  <c r="F1324" i="7"/>
  <c r="E1324" i="7"/>
  <c r="D1324" i="7"/>
  <c r="C1324" i="7"/>
  <c r="B1324" i="7"/>
  <c r="A1324" i="7"/>
  <c r="K1323" i="7"/>
  <c r="J1323" i="7"/>
  <c r="I1323" i="7"/>
  <c r="H1323" i="7"/>
  <c r="G1323" i="7"/>
  <c r="F1323" i="7"/>
  <c r="E1323" i="7"/>
  <c r="D1323" i="7"/>
  <c r="C1323" i="7"/>
  <c r="B1323" i="7"/>
  <c r="A1323" i="7"/>
  <c r="K1322" i="7"/>
  <c r="J1322" i="7"/>
  <c r="I1322" i="7"/>
  <c r="H1322" i="7"/>
  <c r="G1322" i="7"/>
  <c r="F1322" i="7"/>
  <c r="E1322" i="7"/>
  <c r="D1322" i="7"/>
  <c r="C1322" i="7"/>
  <c r="B1322" i="7"/>
  <c r="A1322" i="7"/>
  <c r="K1321" i="7"/>
  <c r="J1321" i="7"/>
  <c r="I1321" i="7"/>
  <c r="H1321" i="7"/>
  <c r="G1321" i="7"/>
  <c r="F1321" i="7"/>
  <c r="E1321" i="7"/>
  <c r="D1321" i="7"/>
  <c r="C1321" i="7"/>
  <c r="B1321" i="7"/>
  <c r="A1321" i="7"/>
  <c r="K1320" i="7"/>
  <c r="J1320" i="7"/>
  <c r="I1320" i="7"/>
  <c r="H1320" i="7"/>
  <c r="G1320" i="7"/>
  <c r="F1320" i="7"/>
  <c r="E1320" i="7"/>
  <c r="D1320" i="7"/>
  <c r="C1320" i="7"/>
  <c r="B1320" i="7"/>
  <c r="A1320" i="7"/>
  <c r="K1319" i="7"/>
  <c r="J1319" i="7"/>
  <c r="I1319" i="7"/>
  <c r="H1319" i="7"/>
  <c r="G1319" i="7"/>
  <c r="F1319" i="7"/>
  <c r="E1319" i="7"/>
  <c r="D1319" i="7"/>
  <c r="C1319" i="7"/>
  <c r="B1319" i="7"/>
  <c r="A1319" i="7"/>
  <c r="K1318" i="7"/>
  <c r="J1318" i="7"/>
  <c r="I1318" i="7"/>
  <c r="H1318" i="7"/>
  <c r="G1318" i="7"/>
  <c r="F1318" i="7"/>
  <c r="E1318" i="7"/>
  <c r="D1318" i="7"/>
  <c r="C1318" i="7"/>
  <c r="B1318" i="7"/>
  <c r="A1318" i="7"/>
  <c r="K1317" i="7"/>
  <c r="J1317" i="7"/>
  <c r="I1317" i="7"/>
  <c r="H1317" i="7"/>
  <c r="G1317" i="7"/>
  <c r="F1317" i="7"/>
  <c r="E1317" i="7"/>
  <c r="D1317" i="7"/>
  <c r="C1317" i="7"/>
  <c r="B1317" i="7"/>
  <c r="A1317" i="7"/>
  <c r="K1316" i="7"/>
  <c r="J1316" i="7"/>
  <c r="I1316" i="7"/>
  <c r="H1316" i="7"/>
  <c r="G1316" i="7"/>
  <c r="F1316" i="7"/>
  <c r="E1316" i="7"/>
  <c r="D1316" i="7"/>
  <c r="C1316" i="7"/>
  <c r="B1316" i="7"/>
  <c r="A1316" i="7"/>
  <c r="K1315" i="7"/>
  <c r="J1315" i="7"/>
  <c r="I1315" i="7"/>
  <c r="H1315" i="7"/>
  <c r="G1315" i="7"/>
  <c r="F1315" i="7"/>
  <c r="E1315" i="7"/>
  <c r="D1315" i="7"/>
  <c r="C1315" i="7"/>
  <c r="B1315" i="7"/>
  <c r="A1315" i="7"/>
  <c r="K1314" i="7"/>
  <c r="J1314" i="7"/>
  <c r="I1314" i="7"/>
  <c r="H1314" i="7"/>
  <c r="G1314" i="7"/>
  <c r="F1314" i="7"/>
  <c r="E1314" i="7"/>
  <c r="D1314" i="7"/>
  <c r="C1314" i="7"/>
  <c r="B1314" i="7"/>
  <c r="A1314" i="7"/>
  <c r="K1313" i="7"/>
  <c r="J1313" i="7"/>
  <c r="I1313" i="7"/>
  <c r="H1313" i="7"/>
  <c r="G1313" i="7"/>
  <c r="F1313" i="7"/>
  <c r="E1313" i="7"/>
  <c r="D1313" i="7"/>
  <c r="C1313" i="7"/>
  <c r="B1313" i="7"/>
  <c r="A1313" i="7"/>
  <c r="K1312" i="7"/>
  <c r="J1312" i="7"/>
  <c r="I1312" i="7"/>
  <c r="H1312" i="7"/>
  <c r="G1312" i="7"/>
  <c r="F1312" i="7"/>
  <c r="E1312" i="7"/>
  <c r="D1312" i="7"/>
  <c r="C1312" i="7"/>
  <c r="B1312" i="7"/>
  <c r="A1312" i="7"/>
  <c r="K1311" i="7"/>
  <c r="J1311" i="7"/>
  <c r="I1311" i="7"/>
  <c r="H1311" i="7"/>
  <c r="G1311" i="7"/>
  <c r="F1311" i="7"/>
  <c r="E1311" i="7"/>
  <c r="D1311" i="7"/>
  <c r="C1311" i="7"/>
  <c r="B1311" i="7"/>
  <c r="A1311" i="7"/>
  <c r="K1310" i="7"/>
  <c r="J1310" i="7"/>
  <c r="I1310" i="7"/>
  <c r="H1310" i="7"/>
  <c r="G1310" i="7"/>
  <c r="F1310" i="7"/>
  <c r="E1310" i="7"/>
  <c r="D1310" i="7"/>
  <c r="C1310" i="7"/>
  <c r="B1310" i="7"/>
  <c r="A1310" i="7"/>
  <c r="K1309" i="7"/>
  <c r="J1309" i="7"/>
  <c r="I1309" i="7"/>
  <c r="H1309" i="7"/>
  <c r="G1309" i="7"/>
  <c r="F1309" i="7"/>
  <c r="E1309" i="7"/>
  <c r="D1309" i="7"/>
  <c r="C1309" i="7"/>
  <c r="B1309" i="7"/>
  <c r="A1309" i="7"/>
  <c r="K1308" i="7"/>
  <c r="J1308" i="7"/>
  <c r="I1308" i="7"/>
  <c r="H1308" i="7"/>
  <c r="G1308" i="7"/>
  <c r="F1308" i="7"/>
  <c r="E1308" i="7"/>
  <c r="D1308" i="7"/>
  <c r="C1308" i="7"/>
  <c r="B1308" i="7"/>
  <c r="A1308" i="7"/>
  <c r="K1307" i="7"/>
  <c r="J1307" i="7"/>
  <c r="I1307" i="7"/>
  <c r="H1307" i="7"/>
  <c r="G1307" i="7"/>
  <c r="F1307" i="7"/>
  <c r="E1307" i="7"/>
  <c r="D1307" i="7"/>
  <c r="C1307" i="7"/>
  <c r="B1307" i="7"/>
  <c r="A1307" i="7"/>
  <c r="K1306" i="7"/>
  <c r="J1306" i="7"/>
  <c r="I1306" i="7"/>
  <c r="H1306" i="7"/>
  <c r="G1306" i="7"/>
  <c r="F1306" i="7"/>
  <c r="E1306" i="7"/>
  <c r="D1306" i="7"/>
  <c r="C1306" i="7"/>
  <c r="B1306" i="7"/>
  <c r="A1306" i="7"/>
  <c r="K1305" i="7"/>
  <c r="J1305" i="7"/>
  <c r="I1305" i="7"/>
  <c r="H1305" i="7"/>
  <c r="G1305" i="7"/>
  <c r="F1305" i="7"/>
  <c r="E1305" i="7"/>
  <c r="D1305" i="7"/>
  <c r="C1305" i="7"/>
  <c r="B1305" i="7"/>
  <c r="A1305" i="7"/>
  <c r="K1304" i="7"/>
  <c r="J1304" i="7"/>
  <c r="I1304" i="7"/>
  <c r="H1304" i="7"/>
  <c r="G1304" i="7"/>
  <c r="F1304" i="7"/>
  <c r="E1304" i="7"/>
  <c r="D1304" i="7"/>
  <c r="C1304" i="7"/>
  <c r="B1304" i="7"/>
  <c r="A1304" i="7"/>
  <c r="K1303" i="7"/>
  <c r="J1303" i="7"/>
  <c r="I1303" i="7"/>
  <c r="H1303" i="7"/>
  <c r="G1303" i="7"/>
  <c r="F1303" i="7"/>
  <c r="E1303" i="7"/>
  <c r="D1303" i="7"/>
  <c r="C1303" i="7"/>
  <c r="B1303" i="7"/>
  <c r="A1303" i="7"/>
  <c r="K1302" i="7"/>
  <c r="J1302" i="7"/>
  <c r="I1302" i="7"/>
  <c r="H1302" i="7"/>
  <c r="G1302" i="7"/>
  <c r="F1302" i="7"/>
  <c r="E1302" i="7"/>
  <c r="D1302" i="7"/>
  <c r="C1302" i="7"/>
  <c r="B1302" i="7"/>
  <c r="A1302" i="7"/>
  <c r="K1301" i="7"/>
  <c r="J1301" i="7"/>
  <c r="I1301" i="7"/>
  <c r="H1301" i="7"/>
  <c r="G1301" i="7"/>
  <c r="F1301" i="7"/>
  <c r="E1301" i="7"/>
  <c r="D1301" i="7"/>
  <c r="C1301" i="7"/>
  <c r="B1301" i="7"/>
  <c r="A1301" i="7"/>
  <c r="K1300" i="7"/>
  <c r="J1300" i="7"/>
  <c r="I1300" i="7"/>
  <c r="H1300" i="7"/>
  <c r="G1300" i="7"/>
  <c r="F1300" i="7"/>
  <c r="E1300" i="7"/>
  <c r="D1300" i="7"/>
  <c r="C1300" i="7"/>
  <c r="B1300" i="7"/>
  <c r="A1300" i="7"/>
  <c r="K1299" i="7"/>
  <c r="J1299" i="7"/>
  <c r="I1299" i="7"/>
  <c r="H1299" i="7"/>
  <c r="G1299" i="7"/>
  <c r="F1299" i="7"/>
  <c r="E1299" i="7"/>
  <c r="D1299" i="7"/>
  <c r="C1299" i="7"/>
  <c r="B1299" i="7"/>
  <c r="A1299" i="7"/>
  <c r="K1298" i="7"/>
  <c r="J1298" i="7"/>
  <c r="I1298" i="7"/>
  <c r="H1298" i="7"/>
  <c r="G1298" i="7"/>
  <c r="F1298" i="7"/>
  <c r="E1298" i="7"/>
  <c r="D1298" i="7"/>
  <c r="C1298" i="7"/>
  <c r="B1298" i="7"/>
  <c r="A1298" i="7"/>
  <c r="K1297" i="7"/>
  <c r="J1297" i="7"/>
  <c r="I1297" i="7"/>
  <c r="H1297" i="7"/>
  <c r="G1297" i="7"/>
  <c r="F1297" i="7"/>
  <c r="E1297" i="7"/>
  <c r="D1297" i="7"/>
  <c r="C1297" i="7"/>
  <c r="B1297" i="7"/>
  <c r="A1297" i="7"/>
  <c r="K1296" i="7"/>
  <c r="J1296" i="7"/>
  <c r="I1296" i="7"/>
  <c r="H1296" i="7"/>
  <c r="G1296" i="7"/>
  <c r="F1296" i="7"/>
  <c r="E1296" i="7"/>
  <c r="D1296" i="7"/>
  <c r="C1296" i="7"/>
  <c r="B1296" i="7"/>
  <c r="A1296" i="7"/>
  <c r="K1295" i="7"/>
  <c r="J1295" i="7"/>
  <c r="I1295" i="7"/>
  <c r="H1295" i="7"/>
  <c r="G1295" i="7"/>
  <c r="F1295" i="7"/>
  <c r="E1295" i="7"/>
  <c r="D1295" i="7"/>
  <c r="C1295" i="7"/>
  <c r="B1295" i="7"/>
  <c r="A1295" i="7"/>
  <c r="K1294" i="7"/>
  <c r="J1294" i="7"/>
  <c r="I1294" i="7"/>
  <c r="H1294" i="7"/>
  <c r="G1294" i="7"/>
  <c r="F1294" i="7"/>
  <c r="E1294" i="7"/>
  <c r="D1294" i="7"/>
  <c r="C1294" i="7"/>
  <c r="B1294" i="7"/>
  <c r="A1294" i="7"/>
  <c r="K1293" i="7"/>
  <c r="J1293" i="7"/>
  <c r="I1293" i="7"/>
  <c r="H1293" i="7"/>
  <c r="G1293" i="7"/>
  <c r="F1293" i="7"/>
  <c r="E1293" i="7"/>
  <c r="D1293" i="7"/>
  <c r="C1293" i="7"/>
  <c r="B1293" i="7"/>
  <c r="A1293" i="7"/>
  <c r="K1292" i="7"/>
  <c r="J1292" i="7"/>
  <c r="I1292" i="7"/>
  <c r="H1292" i="7"/>
  <c r="G1292" i="7"/>
  <c r="F1292" i="7"/>
  <c r="E1292" i="7"/>
  <c r="D1292" i="7"/>
  <c r="C1292" i="7"/>
  <c r="B1292" i="7"/>
  <c r="A1292" i="7"/>
  <c r="K1291" i="7"/>
  <c r="J1291" i="7"/>
  <c r="I1291" i="7"/>
  <c r="H1291" i="7"/>
  <c r="G1291" i="7"/>
  <c r="F1291" i="7"/>
  <c r="E1291" i="7"/>
  <c r="D1291" i="7"/>
  <c r="C1291" i="7"/>
  <c r="B1291" i="7"/>
  <c r="A1291" i="7"/>
  <c r="K1290" i="7"/>
  <c r="J1290" i="7"/>
  <c r="I1290" i="7"/>
  <c r="H1290" i="7"/>
  <c r="G1290" i="7"/>
  <c r="F1290" i="7"/>
  <c r="E1290" i="7"/>
  <c r="D1290" i="7"/>
  <c r="C1290" i="7"/>
  <c r="B1290" i="7"/>
  <c r="A1290" i="7"/>
  <c r="K1289" i="7"/>
  <c r="J1289" i="7"/>
  <c r="I1289" i="7"/>
  <c r="H1289" i="7"/>
  <c r="G1289" i="7"/>
  <c r="F1289" i="7"/>
  <c r="E1289" i="7"/>
  <c r="D1289" i="7"/>
  <c r="C1289" i="7"/>
  <c r="B1289" i="7"/>
  <c r="A1289" i="7"/>
  <c r="K1288" i="7"/>
  <c r="J1288" i="7"/>
  <c r="I1288" i="7"/>
  <c r="H1288" i="7"/>
  <c r="G1288" i="7"/>
  <c r="F1288" i="7"/>
  <c r="E1288" i="7"/>
  <c r="D1288" i="7"/>
  <c r="C1288" i="7"/>
  <c r="B1288" i="7"/>
  <c r="A1288" i="7"/>
  <c r="K1287" i="7"/>
  <c r="J1287" i="7"/>
  <c r="I1287" i="7"/>
  <c r="H1287" i="7"/>
  <c r="G1287" i="7"/>
  <c r="F1287" i="7"/>
  <c r="E1287" i="7"/>
  <c r="D1287" i="7"/>
  <c r="C1287" i="7"/>
  <c r="B1287" i="7"/>
  <c r="A1287" i="7"/>
  <c r="K1286" i="7"/>
  <c r="J1286" i="7"/>
  <c r="I1286" i="7"/>
  <c r="H1286" i="7"/>
  <c r="G1286" i="7"/>
  <c r="F1286" i="7"/>
  <c r="E1286" i="7"/>
  <c r="D1286" i="7"/>
  <c r="C1286" i="7"/>
  <c r="B1286" i="7"/>
  <c r="A1286" i="7"/>
  <c r="K1285" i="7"/>
  <c r="J1285" i="7"/>
  <c r="I1285" i="7"/>
  <c r="H1285" i="7"/>
  <c r="G1285" i="7"/>
  <c r="F1285" i="7"/>
  <c r="E1285" i="7"/>
  <c r="D1285" i="7"/>
  <c r="C1285" i="7"/>
  <c r="B1285" i="7"/>
  <c r="A1285" i="7"/>
  <c r="K1284" i="7"/>
  <c r="J1284" i="7"/>
  <c r="I1284" i="7"/>
  <c r="H1284" i="7"/>
  <c r="G1284" i="7"/>
  <c r="F1284" i="7"/>
  <c r="E1284" i="7"/>
  <c r="D1284" i="7"/>
  <c r="C1284" i="7"/>
  <c r="B1284" i="7"/>
  <c r="A1284" i="7"/>
  <c r="K1283" i="7"/>
  <c r="J1283" i="7"/>
  <c r="I1283" i="7"/>
  <c r="H1283" i="7"/>
  <c r="G1283" i="7"/>
  <c r="F1283" i="7"/>
  <c r="E1283" i="7"/>
  <c r="D1283" i="7"/>
  <c r="C1283" i="7"/>
  <c r="B1283" i="7"/>
  <c r="A1283" i="7"/>
  <c r="K1282" i="7"/>
  <c r="J1282" i="7"/>
  <c r="I1282" i="7"/>
  <c r="H1282" i="7"/>
  <c r="G1282" i="7"/>
  <c r="F1282" i="7"/>
  <c r="E1282" i="7"/>
  <c r="D1282" i="7"/>
  <c r="C1282" i="7"/>
  <c r="B1282" i="7"/>
  <c r="A1282" i="7"/>
  <c r="K1281" i="7"/>
  <c r="J1281" i="7"/>
  <c r="I1281" i="7"/>
  <c r="H1281" i="7"/>
  <c r="G1281" i="7"/>
  <c r="F1281" i="7"/>
  <c r="E1281" i="7"/>
  <c r="D1281" i="7"/>
  <c r="C1281" i="7"/>
  <c r="B1281" i="7"/>
  <c r="A1281" i="7"/>
  <c r="K1280" i="7"/>
  <c r="J1280" i="7"/>
  <c r="I1280" i="7"/>
  <c r="H1280" i="7"/>
  <c r="G1280" i="7"/>
  <c r="F1280" i="7"/>
  <c r="E1280" i="7"/>
  <c r="D1280" i="7"/>
  <c r="C1280" i="7"/>
  <c r="B1280" i="7"/>
  <c r="A1280" i="7"/>
  <c r="K1279" i="7"/>
  <c r="J1279" i="7"/>
  <c r="I1279" i="7"/>
  <c r="H1279" i="7"/>
  <c r="G1279" i="7"/>
  <c r="F1279" i="7"/>
  <c r="E1279" i="7"/>
  <c r="D1279" i="7"/>
  <c r="C1279" i="7"/>
  <c r="B1279" i="7"/>
  <c r="A1279" i="7"/>
  <c r="K1278" i="7"/>
  <c r="J1278" i="7"/>
  <c r="I1278" i="7"/>
  <c r="H1278" i="7"/>
  <c r="G1278" i="7"/>
  <c r="F1278" i="7"/>
  <c r="E1278" i="7"/>
  <c r="D1278" i="7"/>
  <c r="C1278" i="7"/>
  <c r="B1278" i="7"/>
  <c r="A1278" i="7"/>
  <c r="K1277" i="7"/>
  <c r="J1277" i="7"/>
  <c r="I1277" i="7"/>
  <c r="H1277" i="7"/>
  <c r="G1277" i="7"/>
  <c r="F1277" i="7"/>
  <c r="E1277" i="7"/>
  <c r="D1277" i="7"/>
  <c r="C1277" i="7"/>
  <c r="B1277" i="7"/>
  <c r="A1277" i="7"/>
  <c r="K1276" i="7"/>
  <c r="J1276" i="7"/>
  <c r="I1276" i="7"/>
  <c r="H1276" i="7"/>
  <c r="G1276" i="7"/>
  <c r="F1276" i="7"/>
  <c r="E1276" i="7"/>
  <c r="D1276" i="7"/>
  <c r="C1276" i="7"/>
  <c r="B1276" i="7"/>
  <c r="A1276" i="7"/>
  <c r="K1275" i="7"/>
  <c r="J1275" i="7"/>
  <c r="I1275" i="7"/>
  <c r="H1275" i="7"/>
  <c r="G1275" i="7"/>
  <c r="F1275" i="7"/>
  <c r="E1275" i="7"/>
  <c r="D1275" i="7"/>
  <c r="C1275" i="7"/>
  <c r="B1275" i="7"/>
  <c r="A1275" i="7"/>
  <c r="K1274" i="7"/>
  <c r="J1274" i="7"/>
  <c r="I1274" i="7"/>
  <c r="H1274" i="7"/>
  <c r="G1274" i="7"/>
  <c r="F1274" i="7"/>
  <c r="E1274" i="7"/>
  <c r="D1274" i="7"/>
  <c r="C1274" i="7"/>
  <c r="B1274" i="7"/>
  <c r="A1274" i="7"/>
  <c r="K1273" i="7"/>
  <c r="J1273" i="7"/>
  <c r="I1273" i="7"/>
  <c r="H1273" i="7"/>
  <c r="G1273" i="7"/>
  <c r="F1273" i="7"/>
  <c r="E1273" i="7"/>
  <c r="D1273" i="7"/>
  <c r="C1273" i="7"/>
  <c r="B1273" i="7"/>
  <c r="A1273" i="7"/>
  <c r="K1272" i="7"/>
  <c r="J1272" i="7"/>
  <c r="I1272" i="7"/>
  <c r="H1272" i="7"/>
  <c r="G1272" i="7"/>
  <c r="F1272" i="7"/>
  <c r="E1272" i="7"/>
  <c r="D1272" i="7"/>
  <c r="C1272" i="7"/>
  <c r="B1272" i="7"/>
  <c r="A1272" i="7"/>
  <c r="K1271" i="7"/>
  <c r="J1271" i="7"/>
  <c r="I1271" i="7"/>
  <c r="H1271" i="7"/>
  <c r="G1271" i="7"/>
  <c r="F1271" i="7"/>
  <c r="E1271" i="7"/>
  <c r="D1271" i="7"/>
  <c r="C1271" i="7"/>
  <c r="B1271" i="7"/>
  <c r="A1271" i="7"/>
  <c r="K1270" i="7"/>
  <c r="J1270" i="7"/>
  <c r="I1270" i="7"/>
  <c r="H1270" i="7"/>
  <c r="G1270" i="7"/>
  <c r="F1270" i="7"/>
  <c r="E1270" i="7"/>
  <c r="D1270" i="7"/>
  <c r="C1270" i="7"/>
  <c r="B1270" i="7"/>
  <c r="A1270" i="7"/>
  <c r="K1269" i="7"/>
  <c r="J1269" i="7"/>
  <c r="I1269" i="7"/>
  <c r="H1269" i="7"/>
  <c r="G1269" i="7"/>
  <c r="F1269" i="7"/>
  <c r="E1269" i="7"/>
  <c r="D1269" i="7"/>
  <c r="C1269" i="7"/>
  <c r="B1269" i="7"/>
  <c r="A1269" i="7"/>
  <c r="K1268" i="7"/>
  <c r="J1268" i="7"/>
  <c r="I1268" i="7"/>
  <c r="H1268" i="7"/>
  <c r="G1268" i="7"/>
  <c r="F1268" i="7"/>
  <c r="E1268" i="7"/>
  <c r="D1268" i="7"/>
  <c r="C1268" i="7"/>
  <c r="B1268" i="7"/>
  <c r="A1268" i="7"/>
  <c r="K1267" i="7"/>
  <c r="J1267" i="7"/>
  <c r="I1267" i="7"/>
  <c r="H1267" i="7"/>
  <c r="G1267" i="7"/>
  <c r="F1267" i="7"/>
  <c r="E1267" i="7"/>
  <c r="D1267" i="7"/>
  <c r="C1267" i="7"/>
  <c r="B1267" i="7"/>
  <c r="A1267" i="7"/>
  <c r="K1266" i="7"/>
  <c r="J1266" i="7"/>
  <c r="I1266" i="7"/>
  <c r="H1266" i="7"/>
  <c r="G1266" i="7"/>
  <c r="F1266" i="7"/>
  <c r="E1266" i="7"/>
  <c r="D1266" i="7"/>
  <c r="C1266" i="7"/>
  <c r="B1266" i="7"/>
  <c r="A1266" i="7"/>
  <c r="K1265" i="7"/>
  <c r="J1265" i="7"/>
  <c r="I1265" i="7"/>
  <c r="H1265" i="7"/>
  <c r="G1265" i="7"/>
  <c r="F1265" i="7"/>
  <c r="E1265" i="7"/>
  <c r="D1265" i="7"/>
  <c r="C1265" i="7"/>
  <c r="B1265" i="7"/>
  <c r="A1265" i="7"/>
  <c r="K1264" i="7"/>
  <c r="J1264" i="7"/>
  <c r="I1264" i="7"/>
  <c r="H1264" i="7"/>
  <c r="G1264" i="7"/>
  <c r="F1264" i="7"/>
  <c r="E1264" i="7"/>
  <c r="D1264" i="7"/>
  <c r="C1264" i="7"/>
  <c r="B1264" i="7"/>
  <c r="A1264" i="7"/>
  <c r="K1263" i="7"/>
  <c r="J1263" i="7"/>
  <c r="I1263" i="7"/>
  <c r="H1263" i="7"/>
  <c r="G1263" i="7"/>
  <c r="F1263" i="7"/>
  <c r="E1263" i="7"/>
  <c r="D1263" i="7"/>
  <c r="C1263" i="7"/>
  <c r="B1263" i="7"/>
  <c r="A1263" i="7"/>
  <c r="K1262" i="7"/>
  <c r="J1262" i="7"/>
  <c r="I1262" i="7"/>
  <c r="H1262" i="7"/>
  <c r="G1262" i="7"/>
  <c r="F1262" i="7"/>
  <c r="E1262" i="7"/>
  <c r="D1262" i="7"/>
  <c r="C1262" i="7"/>
  <c r="B1262" i="7"/>
  <c r="A1262" i="7"/>
  <c r="K1261" i="7"/>
  <c r="J1261" i="7"/>
  <c r="I1261" i="7"/>
  <c r="H1261" i="7"/>
  <c r="G1261" i="7"/>
  <c r="F1261" i="7"/>
  <c r="E1261" i="7"/>
  <c r="D1261" i="7"/>
  <c r="C1261" i="7"/>
  <c r="B1261" i="7"/>
  <c r="A1261" i="7"/>
  <c r="K1260" i="7"/>
  <c r="J1260" i="7"/>
  <c r="I1260" i="7"/>
  <c r="H1260" i="7"/>
  <c r="G1260" i="7"/>
  <c r="F1260" i="7"/>
  <c r="E1260" i="7"/>
  <c r="D1260" i="7"/>
  <c r="C1260" i="7"/>
  <c r="B1260" i="7"/>
  <c r="A1260" i="7"/>
  <c r="K1259" i="7"/>
  <c r="J1259" i="7"/>
  <c r="I1259" i="7"/>
  <c r="H1259" i="7"/>
  <c r="G1259" i="7"/>
  <c r="F1259" i="7"/>
  <c r="E1259" i="7"/>
  <c r="D1259" i="7"/>
  <c r="C1259" i="7"/>
  <c r="B1259" i="7"/>
  <c r="A1259" i="7"/>
  <c r="K1258" i="7"/>
  <c r="J1258" i="7"/>
  <c r="I1258" i="7"/>
  <c r="H1258" i="7"/>
  <c r="G1258" i="7"/>
  <c r="F1258" i="7"/>
  <c r="E1258" i="7"/>
  <c r="D1258" i="7"/>
  <c r="C1258" i="7"/>
  <c r="B1258" i="7"/>
  <c r="A1258" i="7"/>
  <c r="K1257" i="7"/>
  <c r="J1257" i="7"/>
  <c r="I1257" i="7"/>
  <c r="H1257" i="7"/>
  <c r="G1257" i="7"/>
  <c r="F1257" i="7"/>
  <c r="E1257" i="7"/>
  <c r="D1257" i="7"/>
  <c r="C1257" i="7"/>
  <c r="B1257" i="7"/>
  <c r="A1257" i="7"/>
  <c r="K1256" i="7"/>
  <c r="J1256" i="7"/>
  <c r="I1256" i="7"/>
  <c r="H1256" i="7"/>
  <c r="G1256" i="7"/>
  <c r="F1256" i="7"/>
  <c r="E1256" i="7"/>
  <c r="D1256" i="7"/>
  <c r="C1256" i="7"/>
  <c r="B1256" i="7"/>
  <c r="A1256" i="7"/>
  <c r="K1255" i="7"/>
  <c r="J1255" i="7"/>
  <c r="I1255" i="7"/>
  <c r="H1255" i="7"/>
  <c r="G1255" i="7"/>
  <c r="F1255" i="7"/>
  <c r="E1255" i="7"/>
  <c r="D1255" i="7"/>
  <c r="C1255" i="7"/>
  <c r="B1255" i="7"/>
  <c r="A1255" i="7"/>
  <c r="K1254" i="7"/>
  <c r="J1254" i="7"/>
  <c r="I1254" i="7"/>
  <c r="H1254" i="7"/>
  <c r="G1254" i="7"/>
  <c r="F1254" i="7"/>
  <c r="E1254" i="7"/>
  <c r="D1254" i="7"/>
  <c r="C1254" i="7"/>
  <c r="B1254" i="7"/>
  <c r="A1254" i="7"/>
  <c r="K1253" i="7"/>
  <c r="J1253" i="7"/>
  <c r="I1253" i="7"/>
  <c r="H1253" i="7"/>
  <c r="G1253" i="7"/>
  <c r="F1253" i="7"/>
  <c r="E1253" i="7"/>
  <c r="D1253" i="7"/>
  <c r="C1253" i="7"/>
  <c r="B1253" i="7"/>
  <c r="A1253" i="7"/>
  <c r="K1252" i="7"/>
  <c r="J1252" i="7"/>
  <c r="I1252" i="7"/>
  <c r="H1252" i="7"/>
  <c r="G1252" i="7"/>
  <c r="F1252" i="7"/>
  <c r="E1252" i="7"/>
  <c r="D1252" i="7"/>
  <c r="C1252" i="7"/>
  <c r="B1252" i="7"/>
  <c r="A1252" i="7"/>
  <c r="K1251" i="7"/>
  <c r="J1251" i="7"/>
  <c r="I1251" i="7"/>
  <c r="H1251" i="7"/>
  <c r="G1251" i="7"/>
  <c r="F1251" i="7"/>
  <c r="E1251" i="7"/>
  <c r="D1251" i="7"/>
  <c r="C1251" i="7"/>
  <c r="B1251" i="7"/>
  <c r="A1251" i="7"/>
  <c r="K1250" i="7"/>
  <c r="J1250" i="7"/>
  <c r="I1250" i="7"/>
  <c r="H1250" i="7"/>
  <c r="G1250" i="7"/>
  <c r="F1250" i="7"/>
  <c r="E1250" i="7"/>
  <c r="D1250" i="7"/>
  <c r="C1250" i="7"/>
  <c r="B1250" i="7"/>
  <c r="A1250" i="7"/>
  <c r="K1249" i="7"/>
  <c r="J1249" i="7"/>
  <c r="I1249" i="7"/>
  <c r="H1249" i="7"/>
  <c r="G1249" i="7"/>
  <c r="F1249" i="7"/>
  <c r="E1249" i="7"/>
  <c r="D1249" i="7"/>
  <c r="C1249" i="7"/>
  <c r="B1249" i="7"/>
  <c r="A1249" i="7"/>
  <c r="K1248" i="7"/>
  <c r="J1248" i="7"/>
  <c r="I1248" i="7"/>
  <c r="H1248" i="7"/>
  <c r="G1248" i="7"/>
  <c r="F1248" i="7"/>
  <c r="E1248" i="7"/>
  <c r="D1248" i="7"/>
  <c r="C1248" i="7"/>
  <c r="B1248" i="7"/>
  <c r="A1248" i="7"/>
  <c r="K1247" i="7"/>
  <c r="J1247" i="7"/>
  <c r="I1247" i="7"/>
  <c r="H1247" i="7"/>
  <c r="G1247" i="7"/>
  <c r="F1247" i="7"/>
  <c r="E1247" i="7"/>
  <c r="D1247" i="7"/>
  <c r="C1247" i="7"/>
  <c r="B1247" i="7"/>
  <c r="A1247" i="7"/>
  <c r="K1246" i="7"/>
  <c r="J1246" i="7"/>
  <c r="I1246" i="7"/>
  <c r="H1246" i="7"/>
  <c r="G1246" i="7"/>
  <c r="F1246" i="7"/>
  <c r="E1246" i="7"/>
  <c r="D1246" i="7"/>
  <c r="C1246" i="7"/>
  <c r="B1246" i="7"/>
  <c r="A1246" i="7"/>
  <c r="K1245" i="7"/>
  <c r="J1245" i="7"/>
  <c r="I1245" i="7"/>
  <c r="H1245" i="7"/>
  <c r="G1245" i="7"/>
  <c r="F1245" i="7"/>
  <c r="E1245" i="7"/>
  <c r="D1245" i="7"/>
  <c r="C1245" i="7"/>
  <c r="B1245" i="7"/>
  <c r="A1245" i="7"/>
  <c r="K1244" i="7"/>
  <c r="J1244" i="7"/>
  <c r="I1244" i="7"/>
  <c r="H1244" i="7"/>
  <c r="G1244" i="7"/>
  <c r="F1244" i="7"/>
  <c r="E1244" i="7"/>
  <c r="D1244" i="7"/>
  <c r="C1244" i="7"/>
  <c r="B1244" i="7"/>
  <c r="A1244" i="7"/>
  <c r="K1243" i="7"/>
  <c r="J1243" i="7"/>
  <c r="I1243" i="7"/>
  <c r="H1243" i="7"/>
  <c r="G1243" i="7"/>
  <c r="F1243" i="7"/>
  <c r="E1243" i="7"/>
  <c r="D1243" i="7"/>
  <c r="C1243" i="7"/>
  <c r="B1243" i="7"/>
  <c r="A1243" i="7"/>
  <c r="K1242" i="7"/>
  <c r="J1242" i="7"/>
  <c r="I1242" i="7"/>
  <c r="H1242" i="7"/>
  <c r="G1242" i="7"/>
  <c r="F1242" i="7"/>
  <c r="E1242" i="7"/>
  <c r="D1242" i="7"/>
  <c r="C1242" i="7"/>
  <c r="B1242" i="7"/>
  <c r="A1242" i="7"/>
  <c r="K1241" i="7"/>
  <c r="J1241" i="7"/>
  <c r="I1241" i="7"/>
  <c r="H1241" i="7"/>
  <c r="G1241" i="7"/>
  <c r="F1241" i="7"/>
  <c r="E1241" i="7"/>
  <c r="D1241" i="7"/>
  <c r="C1241" i="7"/>
  <c r="B1241" i="7"/>
  <c r="A1241" i="7"/>
  <c r="K1240" i="7"/>
  <c r="J1240" i="7"/>
  <c r="I1240" i="7"/>
  <c r="H1240" i="7"/>
  <c r="G1240" i="7"/>
  <c r="F1240" i="7"/>
  <c r="E1240" i="7"/>
  <c r="D1240" i="7"/>
  <c r="C1240" i="7"/>
  <c r="B1240" i="7"/>
  <c r="A1240" i="7"/>
  <c r="K1239" i="7"/>
  <c r="J1239" i="7"/>
  <c r="I1239" i="7"/>
  <c r="H1239" i="7"/>
  <c r="G1239" i="7"/>
  <c r="F1239" i="7"/>
  <c r="E1239" i="7"/>
  <c r="D1239" i="7"/>
  <c r="C1239" i="7"/>
  <c r="B1239" i="7"/>
  <c r="A1239" i="7"/>
  <c r="K1238" i="7"/>
  <c r="J1238" i="7"/>
  <c r="I1238" i="7"/>
  <c r="H1238" i="7"/>
  <c r="G1238" i="7"/>
  <c r="F1238" i="7"/>
  <c r="E1238" i="7"/>
  <c r="D1238" i="7"/>
  <c r="C1238" i="7"/>
  <c r="B1238" i="7"/>
  <c r="A1238" i="7"/>
  <c r="K1237" i="7"/>
  <c r="J1237" i="7"/>
  <c r="I1237" i="7"/>
  <c r="H1237" i="7"/>
  <c r="G1237" i="7"/>
  <c r="F1237" i="7"/>
  <c r="E1237" i="7"/>
  <c r="D1237" i="7"/>
  <c r="C1237" i="7"/>
  <c r="B1237" i="7"/>
  <c r="A1237" i="7"/>
  <c r="K1236" i="7"/>
  <c r="J1236" i="7"/>
  <c r="I1236" i="7"/>
  <c r="H1236" i="7"/>
  <c r="G1236" i="7"/>
  <c r="F1236" i="7"/>
  <c r="E1236" i="7"/>
  <c r="D1236" i="7"/>
  <c r="C1236" i="7"/>
  <c r="B1236" i="7"/>
  <c r="A1236" i="7"/>
  <c r="K1235" i="7"/>
  <c r="J1235" i="7"/>
  <c r="I1235" i="7"/>
  <c r="H1235" i="7"/>
  <c r="G1235" i="7"/>
  <c r="F1235" i="7"/>
  <c r="E1235" i="7"/>
  <c r="D1235" i="7"/>
  <c r="C1235" i="7"/>
  <c r="B1235" i="7"/>
  <c r="A1235" i="7"/>
  <c r="K1234" i="7"/>
  <c r="J1234" i="7"/>
  <c r="I1234" i="7"/>
  <c r="H1234" i="7"/>
  <c r="G1234" i="7"/>
  <c r="F1234" i="7"/>
  <c r="E1234" i="7"/>
  <c r="D1234" i="7"/>
  <c r="C1234" i="7"/>
  <c r="B1234" i="7"/>
  <c r="A1234" i="7"/>
  <c r="K1233" i="7"/>
  <c r="J1233" i="7"/>
  <c r="I1233" i="7"/>
  <c r="H1233" i="7"/>
  <c r="G1233" i="7"/>
  <c r="F1233" i="7"/>
  <c r="E1233" i="7"/>
  <c r="D1233" i="7"/>
  <c r="C1233" i="7"/>
  <c r="B1233" i="7"/>
  <c r="A1233" i="7"/>
  <c r="K1232" i="7"/>
  <c r="J1232" i="7"/>
  <c r="I1232" i="7"/>
  <c r="H1232" i="7"/>
  <c r="G1232" i="7"/>
  <c r="F1232" i="7"/>
  <c r="E1232" i="7"/>
  <c r="D1232" i="7"/>
  <c r="C1232" i="7"/>
  <c r="B1232" i="7"/>
  <c r="A1232" i="7"/>
  <c r="K1231" i="7"/>
  <c r="J1231" i="7"/>
  <c r="I1231" i="7"/>
  <c r="H1231" i="7"/>
  <c r="G1231" i="7"/>
  <c r="F1231" i="7"/>
  <c r="E1231" i="7"/>
  <c r="D1231" i="7"/>
  <c r="C1231" i="7"/>
  <c r="B1231" i="7"/>
  <c r="A1231" i="7"/>
  <c r="K1230" i="7"/>
  <c r="J1230" i="7"/>
  <c r="I1230" i="7"/>
  <c r="H1230" i="7"/>
  <c r="G1230" i="7"/>
  <c r="F1230" i="7"/>
  <c r="E1230" i="7"/>
  <c r="D1230" i="7"/>
  <c r="C1230" i="7"/>
  <c r="B1230" i="7"/>
  <c r="A1230" i="7"/>
  <c r="K1229" i="7"/>
  <c r="J1229" i="7"/>
  <c r="I1229" i="7"/>
  <c r="H1229" i="7"/>
  <c r="G1229" i="7"/>
  <c r="F1229" i="7"/>
  <c r="E1229" i="7"/>
  <c r="D1229" i="7"/>
  <c r="C1229" i="7"/>
  <c r="B1229" i="7"/>
  <c r="A1229" i="7"/>
  <c r="K1228" i="7"/>
  <c r="J1228" i="7"/>
  <c r="I1228" i="7"/>
  <c r="H1228" i="7"/>
  <c r="G1228" i="7"/>
  <c r="F1228" i="7"/>
  <c r="E1228" i="7"/>
  <c r="D1228" i="7"/>
  <c r="C1228" i="7"/>
  <c r="B1228" i="7"/>
  <c r="A1228" i="7"/>
  <c r="K1227" i="7"/>
  <c r="J1227" i="7"/>
  <c r="I1227" i="7"/>
  <c r="H1227" i="7"/>
  <c r="G1227" i="7"/>
  <c r="F1227" i="7"/>
  <c r="E1227" i="7"/>
  <c r="D1227" i="7"/>
  <c r="C1227" i="7"/>
  <c r="B1227" i="7"/>
  <c r="A1227" i="7"/>
  <c r="K1226" i="7"/>
  <c r="J1226" i="7"/>
  <c r="I1226" i="7"/>
  <c r="H1226" i="7"/>
  <c r="G1226" i="7"/>
  <c r="F1226" i="7"/>
  <c r="E1226" i="7"/>
  <c r="D1226" i="7"/>
  <c r="C1226" i="7"/>
  <c r="B1226" i="7"/>
  <c r="A1226" i="7"/>
  <c r="K1225" i="7"/>
  <c r="J1225" i="7"/>
  <c r="I1225" i="7"/>
  <c r="H1225" i="7"/>
  <c r="G1225" i="7"/>
  <c r="F1225" i="7"/>
  <c r="E1225" i="7"/>
  <c r="D1225" i="7"/>
  <c r="C1225" i="7"/>
  <c r="B1225" i="7"/>
  <c r="A1225" i="7"/>
  <c r="K1224" i="7"/>
  <c r="J1224" i="7"/>
  <c r="I1224" i="7"/>
  <c r="H1224" i="7"/>
  <c r="G1224" i="7"/>
  <c r="F1224" i="7"/>
  <c r="E1224" i="7"/>
  <c r="D1224" i="7"/>
  <c r="C1224" i="7"/>
  <c r="B1224" i="7"/>
  <c r="A1224" i="7"/>
  <c r="K1223" i="7"/>
  <c r="J1223" i="7"/>
  <c r="I1223" i="7"/>
  <c r="H1223" i="7"/>
  <c r="G1223" i="7"/>
  <c r="F1223" i="7"/>
  <c r="E1223" i="7"/>
  <c r="D1223" i="7"/>
  <c r="C1223" i="7"/>
  <c r="B1223" i="7"/>
  <c r="A1223" i="7"/>
  <c r="K1222" i="7"/>
  <c r="J1222" i="7"/>
  <c r="I1222" i="7"/>
  <c r="H1222" i="7"/>
  <c r="G1222" i="7"/>
  <c r="F1222" i="7"/>
  <c r="E1222" i="7"/>
  <c r="D1222" i="7"/>
  <c r="C1222" i="7"/>
  <c r="B1222" i="7"/>
  <c r="A1222" i="7"/>
  <c r="K1221" i="7"/>
  <c r="J1221" i="7"/>
  <c r="I1221" i="7"/>
  <c r="H1221" i="7"/>
  <c r="G1221" i="7"/>
  <c r="F1221" i="7"/>
  <c r="E1221" i="7"/>
  <c r="D1221" i="7"/>
  <c r="C1221" i="7"/>
  <c r="B1221" i="7"/>
  <c r="A1221" i="7"/>
  <c r="K1220" i="7"/>
  <c r="J1220" i="7"/>
  <c r="I1220" i="7"/>
  <c r="H1220" i="7"/>
  <c r="G1220" i="7"/>
  <c r="F1220" i="7"/>
  <c r="E1220" i="7"/>
  <c r="D1220" i="7"/>
  <c r="C1220" i="7"/>
  <c r="B1220" i="7"/>
  <c r="A1220" i="7"/>
  <c r="K1219" i="7"/>
  <c r="J1219" i="7"/>
  <c r="I1219" i="7"/>
  <c r="H1219" i="7"/>
  <c r="G1219" i="7"/>
  <c r="F1219" i="7"/>
  <c r="E1219" i="7"/>
  <c r="D1219" i="7"/>
  <c r="C1219" i="7"/>
  <c r="B1219" i="7"/>
  <c r="A1219" i="7"/>
  <c r="K1218" i="7"/>
  <c r="J1218" i="7"/>
  <c r="I1218" i="7"/>
  <c r="H1218" i="7"/>
  <c r="G1218" i="7"/>
  <c r="F1218" i="7"/>
  <c r="E1218" i="7"/>
  <c r="D1218" i="7"/>
  <c r="C1218" i="7"/>
  <c r="B1218" i="7"/>
  <c r="A1218" i="7"/>
  <c r="K1217" i="7"/>
  <c r="J1217" i="7"/>
  <c r="I1217" i="7"/>
  <c r="H1217" i="7"/>
  <c r="G1217" i="7"/>
  <c r="F1217" i="7"/>
  <c r="E1217" i="7"/>
  <c r="D1217" i="7"/>
  <c r="C1217" i="7"/>
  <c r="B1217" i="7"/>
  <c r="A1217" i="7"/>
  <c r="K1216" i="7"/>
  <c r="J1216" i="7"/>
  <c r="I1216" i="7"/>
  <c r="H1216" i="7"/>
  <c r="G1216" i="7"/>
  <c r="F1216" i="7"/>
  <c r="E1216" i="7"/>
  <c r="D1216" i="7"/>
  <c r="C1216" i="7"/>
  <c r="B1216" i="7"/>
  <c r="A1216" i="7"/>
  <c r="K1215" i="7"/>
  <c r="J1215" i="7"/>
  <c r="I1215" i="7"/>
  <c r="H1215" i="7"/>
  <c r="G1215" i="7"/>
  <c r="F1215" i="7"/>
  <c r="E1215" i="7"/>
  <c r="D1215" i="7"/>
  <c r="C1215" i="7"/>
  <c r="B1215" i="7"/>
  <c r="A1215" i="7"/>
  <c r="K1214" i="7"/>
  <c r="J1214" i="7"/>
  <c r="I1214" i="7"/>
  <c r="H1214" i="7"/>
  <c r="G1214" i="7"/>
  <c r="F1214" i="7"/>
  <c r="E1214" i="7"/>
  <c r="D1214" i="7"/>
  <c r="C1214" i="7"/>
  <c r="B1214" i="7"/>
  <c r="A1214" i="7"/>
  <c r="K1213" i="7"/>
  <c r="J1213" i="7"/>
  <c r="I1213" i="7"/>
  <c r="H1213" i="7"/>
  <c r="G1213" i="7"/>
  <c r="F1213" i="7"/>
  <c r="E1213" i="7"/>
  <c r="D1213" i="7"/>
  <c r="C1213" i="7"/>
  <c r="B1213" i="7"/>
  <c r="A1213" i="7"/>
  <c r="K1212" i="7"/>
  <c r="J1212" i="7"/>
  <c r="I1212" i="7"/>
  <c r="H1212" i="7"/>
  <c r="G1212" i="7"/>
  <c r="F1212" i="7"/>
  <c r="E1212" i="7"/>
  <c r="D1212" i="7"/>
  <c r="C1212" i="7"/>
  <c r="B1212" i="7"/>
  <c r="A1212" i="7"/>
  <c r="K1211" i="7"/>
  <c r="J1211" i="7"/>
  <c r="I1211" i="7"/>
  <c r="H1211" i="7"/>
  <c r="G1211" i="7"/>
  <c r="F1211" i="7"/>
  <c r="E1211" i="7"/>
  <c r="D1211" i="7"/>
  <c r="C1211" i="7"/>
  <c r="B1211" i="7"/>
  <c r="A1211" i="7"/>
  <c r="K1210" i="7"/>
  <c r="J1210" i="7"/>
  <c r="I1210" i="7"/>
  <c r="H1210" i="7"/>
  <c r="G1210" i="7"/>
  <c r="F1210" i="7"/>
  <c r="E1210" i="7"/>
  <c r="D1210" i="7"/>
  <c r="C1210" i="7"/>
  <c r="B1210" i="7"/>
  <c r="A1210" i="7"/>
  <c r="K1209" i="7"/>
  <c r="J1209" i="7"/>
  <c r="I1209" i="7"/>
  <c r="H1209" i="7"/>
  <c r="G1209" i="7"/>
  <c r="F1209" i="7"/>
  <c r="E1209" i="7"/>
  <c r="D1209" i="7"/>
  <c r="C1209" i="7"/>
  <c r="B1209" i="7"/>
  <c r="A1209" i="7"/>
  <c r="K1208" i="7"/>
  <c r="J1208" i="7"/>
  <c r="I1208" i="7"/>
  <c r="H1208" i="7"/>
  <c r="G1208" i="7"/>
  <c r="F1208" i="7"/>
  <c r="E1208" i="7"/>
  <c r="D1208" i="7"/>
  <c r="C1208" i="7"/>
  <c r="B1208" i="7"/>
  <c r="A1208" i="7"/>
  <c r="K1207" i="7"/>
  <c r="J1207" i="7"/>
  <c r="I1207" i="7"/>
  <c r="H1207" i="7"/>
  <c r="G1207" i="7"/>
  <c r="F1207" i="7"/>
  <c r="E1207" i="7"/>
  <c r="D1207" i="7"/>
  <c r="C1207" i="7"/>
  <c r="B1207" i="7"/>
  <c r="A1207" i="7"/>
  <c r="K1206" i="7"/>
  <c r="J1206" i="7"/>
  <c r="I1206" i="7"/>
  <c r="H1206" i="7"/>
  <c r="G1206" i="7"/>
  <c r="F1206" i="7"/>
  <c r="E1206" i="7"/>
  <c r="D1206" i="7"/>
  <c r="C1206" i="7"/>
  <c r="B1206" i="7"/>
  <c r="A1206" i="7"/>
  <c r="K1205" i="7"/>
  <c r="J1205" i="7"/>
  <c r="I1205" i="7"/>
  <c r="H1205" i="7"/>
  <c r="G1205" i="7"/>
  <c r="F1205" i="7"/>
  <c r="E1205" i="7"/>
  <c r="D1205" i="7"/>
  <c r="C1205" i="7"/>
  <c r="B1205" i="7"/>
  <c r="A1205" i="7"/>
  <c r="K1204" i="7"/>
  <c r="J1204" i="7"/>
  <c r="I1204" i="7"/>
  <c r="H1204" i="7"/>
  <c r="G1204" i="7"/>
  <c r="F1204" i="7"/>
  <c r="E1204" i="7"/>
  <c r="D1204" i="7"/>
  <c r="C1204" i="7"/>
  <c r="B1204" i="7"/>
  <c r="A1204" i="7"/>
  <c r="K1203" i="7"/>
  <c r="J1203" i="7"/>
  <c r="I1203" i="7"/>
  <c r="H1203" i="7"/>
  <c r="G1203" i="7"/>
  <c r="F1203" i="7"/>
  <c r="E1203" i="7"/>
  <c r="D1203" i="7"/>
  <c r="C1203" i="7"/>
  <c r="B1203" i="7"/>
  <c r="A1203" i="7"/>
  <c r="K1202" i="7"/>
  <c r="J1202" i="7"/>
  <c r="I1202" i="7"/>
  <c r="H1202" i="7"/>
  <c r="G1202" i="7"/>
  <c r="F1202" i="7"/>
  <c r="E1202" i="7"/>
  <c r="D1202" i="7"/>
  <c r="C1202" i="7"/>
  <c r="B1202" i="7"/>
  <c r="A1202" i="7"/>
  <c r="K1201" i="7"/>
  <c r="J1201" i="7"/>
  <c r="I1201" i="7"/>
  <c r="H1201" i="7"/>
  <c r="G1201" i="7"/>
  <c r="F1201" i="7"/>
  <c r="E1201" i="7"/>
  <c r="D1201" i="7"/>
  <c r="C1201" i="7"/>
  <c r="B1201" i="7"/>
  <c r="A1201" i="7"/>
  <c r="K1200" i="7"/>
  <c r="J1200" i="7"/>
  <c r="I1200" i="7"/>
  <c r="H1200" i="7"/>
  <c r="G1200" i="7"/>
  <c r="F1200" i="7"/>
  <c r="E1200" i="7"/>
  <c r="D1200" i="7"/>
  <c r="C1200" i="7"/>
  <c r="B1200" i="7"/>
  <c r="A1200" i="7"/>
  <c r="K1199" i="7"/>
  <c r="J1199" i="7"/>
  <c r="I1199" i="7"/>
  <c r="H1199" i="7"/>
  <c r="G1199" i="7"/>
  <c r="F1199" i="7"/>
  <c r="E1199" i="7"/>
  <c r="D1199" i="7"/>
  <c r="C1199" i="7"/>
  <c r="B1199" i="7"/>
  <c r="A1199" i="7"/>
  <c r="K1198" i="7"/>
  <c r="J1198" i="7"/>
  <c r="I1198" i="7"/>
  <c r="H1198" i="7"/>
  <c r="G1198" i="7"/>
  <c r="F1198" i="7"/>
  <c r="E1198" i="7"/>
  <c r="D1198" i="7"/>
  <c r="C1198" i="7"/>
  <c r="B1198" i="7"/>
  <c r="A1198" i="7"/>
  <c r="K1197" i="7"/>
  <c r="J1197" i="7"/>
  <c r="I1197" i="7"/>
  <c r="H1197" i="7"/>
  <c r="G1197" i="7"/>
  <c r="F1197" i="7"/>
  <c r="E1197" i="7"/>
  <c r="D1197" i="7"/>
  <c r="C1197" i="7"/>
  <c r="B1197" i="7"/>
  <c r="A1197" i="7"/>
  <c r="K1196" i="7"/>
  <c r="J1196" i="7"/>
  <c r="I1196" i="7"/>
  <c r="H1196" i="7"/>
  <c r="G1196" i="7"/>
  <c r="F1196" i="7"/>
  <c r="E1196" i="7"/>
  <c r="D1196" i="7"/>
  <c r="C1196" i="7"/>
  <c r="B1196" i="7"/>
  <c r="A1196" i="7"/>
  <c r="K1195" i="7"/>
  <c r="J1195" i="7"/>
  <c r="I1195" i="7"/>
  <c r="H1195" i="7"/>
  <c r="G1195" i="7"/>
  <c r="F1195" i="7"/>
  <c r="E1195" i="7"/>
  <c r="D1195" i="7"/>
  <c r="C1195" i="7"/>
  <c r="B1195" i="7"/>
  <c r="A1195" i="7"/>
  <c r="K1194" i="7"/>
  <c r="J1194" i="7"/>
  <c r="I1194" i="7"/>
  <c r="H1194" i="7"/>
  <c r="G1194" i="7"/>
  <c r="F1194" i="7"/>
  <c r="E1194" i="7"/>
  <c r="D1194" i="7"/>
  <c r="C1194" i="7"/>
  <c r="B1194" i="7"/>
  <c r="A1194" i="7"/>
  <c r="K1193" i="7"/>
  <c r="J1193" i="7"/>
  <c r="I1193" i="7"/>
  <c r="H1193" i="7"/>
  <c r="G1193" i="7"/>
  <c r="F1193" i="7"/>
  <c r="E1193" i="7"/>
  <c r="D1193" i="7"/>
  <c r="C1193" i="7"/>
  <c r="B1193" i="7"/>
  <c r="A1193" i="7"/>
  <c r="K1192" i="7"/>
  <c r="J1192" i="7"/>
  <c r="I1192" i="7"/>
  <c r="H1192" i="7"/>
  <c r="G1192" i="7"/>
  <c r="F1192" i="7"/>
  <c r="E1192" i="7"/>
  <c r="D1192" i="7"/>
  <c r="C1192" i="7"/>
  <c r="B1192" i="7"/>
  <c r="A1192" i="7"/>
  <c r="K1191" i="7"/>
  <c r="J1191" i="7"/>
  <c r="I1191" i="7"/>
  <c r="H1191" i="7"/>
  <c r="G1191" i="7"/>
  <c r="F1191" i="7"/>
  <c r="E1191" i="7"/>
  <c r="D1191" i="7"/>
  <c r="C1191" i="7"/>
  <c r="B1191" i="7"/>
  <c r="A1191" i="7"/>
  <c r="K1190" i="7"/>
  <c r="J1190" i="7"/>
  <c r="I1190" i="7"/>
  <c r="H1190" i="7"/>
  <c r="G1190" i="7"/>
  <c r="F1190" i="7"/>
  <c r="E1190" i="7"/>
  <c r="D1190" i="7"/>
  <c r="C1190" i="7"/>
  <c r="B1190" i="7"/>
  <c r="A1190" i="7"/>
  <c r="K1189" i="7"/>
  <c r="J1189" i="7"/>
  <c r="I1189" i="7"/>
  <c r="H1189" i="7"/>
  <c r="G1189" i="7"/>
  <c r="F1189" i="7"/>
  <c r="E1189" i="7"/>
  <c r="D1189" i="7"/>
  <c r="C1189" i="7"/>
  <c r="B1189" i="7"/>
  <c r="A1189" i="7"/>
  <c r="K1188" i="7"/>
  <c r="J1188" i="7"/>
  <c r="I1188" i="7"/>
  <c r="H1188" i="7"/>
  <c r="G1188" i="7"/>
  <c r="F1188" i="7"/>
  <c r="E1188" i="7"/>
  <c r="D1188" i="7"/>
  <c r="C1188" i="7"/>
  <c r="B1188" i="7"/>
  <c r="A1188" i="7"/>
  <c r="K1187" i="7"/>
  <c r="J1187" i="7"/>
  <c r="I1187" i="7"/>
  <c r="H1187" i="7"/>
  <c r="G1187" i="7"/>
  <c r="F1187" i="7"/>
  <c r="E1187" i="7"/>
  <c r="D1187" i="7"/>
  <c r="C1187" i="7"/>
  <c r="B1187" i="7"/>
  <c r="A1187" i="7"/>
  <c r="K1186" i="7"/>
  <c r="J1186" i="7"/>
  <c r="I1186" i="7"/>
  <c r="H1186" i="7"/>
  <c r="G1186" i="7"/>
  <c r="F1186" i="7"/>
  <c r="E1186" i="7"/>
  <c r="D1186" i="7"/>
  <c r="C1186" i="7"/>
  <c r="B1186" i="7"/>
  <c r="A1186" i="7"/>
  <c r="K1185" i="7"/>
  <c r="J1185" i="7"/>
  <c r="I1185" i="7"/>
  <c r="H1185" i="7"/>
  <c r="G1185" i="7"/>
  <c r="F1185" i="7"/>
  <c r="E1185" i="7"/>
  <c r="D1185" i="7"/>
  <c r="C1185" i="7"/>
  <c r="B1185" i="7"/>
  <c r="A1185" i="7"/>
  <c r="K1184" i="7"/>
  <c r="J1184" i="7"/>
  <c r="I1184" i="7"/>
  <c r="H1184" i="7"/>
  <c r="G1184" i="7"/>
  <c r="F1184" i="7"/>
  <c r="E1184" i="7"/>
  <c r="D1184" i="7"/>
  <c r="C1184" i="7"/>
  <c r="B1184" i="7"/>
  <c r="A1184" i="7"/>
  <c r="K1183" i="7"/>
  <c r="J1183" i="7"/>
  <c r="I1183" i="7"/>
  <c r="H1183" i="7"/>
  <c r="G1183" i="7"/>
  <c r="F1183" i="7"/>
  <c r="E1183" i="7"/>
  <c r="D1183" i="7"/>
  <c r="C1183" i="7"/>
  <c r="B1183" i="7"/>
  <c r="A1183" i="7"/>
  <c r="K1182" i="7"/>
  <c r="J1182" i="7"/>
  <c r="I1182" i="7"/>
  <c r="H1182" i="7"/>
  <c r="G1182" i="7"/>
  <c r="F1182" i="7"/>
  <c r="E1182" i="7"/>
  <c r="D1182" i="7"/>
  <c r="C1182" i="7"/>
  <c r="B1182" i="7"/>
  <c r="A1182" i="7"/>
  <c r="K1181" i="7"/>
  <c r="J1181" i="7"/>
  <c r="I1181" i="7"/>
  <c r="H1181" i="7"/>
  <c r="G1181" i="7"/>
  <c r="F1181" i="7"/>
  <c r="E1181" i="7"/>
  <c r="D1181" i="7"/>
  <c r="C1181" i="7"/>
  <c r="B1181" i="7"/>
  <c r="A1181" i="7"/>
  <c r="K1180" i="7"/>
  <c r="J1180" i="7"/>
  <c r="I1180" i="7"/>
  <c r="H1180" i="7"/>
  <c r="G1180" i="7"/>
  <c r="F1180" i="7"/>
  <c r="E1180" i="7"/>
  <c r="D1180" i="7"/>
  <c r="C1180" i="7"/>
  <c r="B1180" i="7"/>
  <c r="A1180" i="7"/>
  <c r="K1179" i="7"/>
  <c r="J1179" i="7"/>
  <c r="I1179" i="7"/>
  <c r="H1179" i="7"/>
  <c r="G1179" i="7"/>
  <c r="F1179" i="7"/>
  <c r="E1179" i="7"/>
  <c r="D1179" i="7"/>
  <c r="C1179" i="7"/>
  <c r="B1179" i="7"/>
  <c r="A1179" i="7"/>
  <c r="K1178" i="7"/>
  <c r="J1178" i="7"/>
  <c r="I1178" i="7"/>
  <c r="H1178" i="7"/>
  <c r="G1178" i="7"/>
  <c r="F1178" i="7"/>
  <c r="E1178" i="7"/>
  <c r="D1178" i="7"/>
  <c r="C1178" i="7"/>
  <c r="B1178" i="7"/>
  <c r="A1178" i="7"/>
  <c r="K1177" i="7"/>
  <c r="J1177" i="7"/>
  <c r="I1177" i="7"/>
  <c r="H1177" i="7"/>
  <c r="G1177" i="7"/>
  <c r="F1177" i="7"/>
  <c r="E1177" i="7"/>
  <c r="D1177" i="7"/>
  <c r="C1177" i="7"/>
  <c r="B1177" i="7"/>
  <c r="A1177" i="7"/>
  <c r="K1176" i="7"/>
  <c r="J1176" i="7"/>
  <c r="I1176" i="7"/>
  <c r="H1176" i="7"/>
  <c r="G1176" i="7"/>
  <c r="F1176" i="7"/>
  <c r="E1176" i="7"/>
  <c r="D1176" i="7"/>
  <c r="C1176" i="7"/>
  <c r="B1176" i="7"/>
  <c r="A1176" i="7"/>
  <c r="K1175" i="7"/>
  <c r="J1175" i="7"/>
  <c r="I1175" i="7"/>
  <c r="H1175" i="7"/>
  <c r="G1175" i="7"/>
  <c r="F1175" i="7"/>
  <c r="E1175" i="7"/>
  <c r="D1175" i="7"/>
  <c r="C1175" i="7"/>
  <c r="B1175" i="7"/>
  <c r="A1175" i="7"/>
  <c r="K1174" i="7"/>
  <c r="J1174" i="7"/>
  <c r="I1174" i="7"/>
  <c r="H1174" i="7"/>
  <c r="G1174" i="7"/>
  <c r="F1174" i="7"/>
  <c r="E1174" i="7"/>
  <c r="D1174" i="7"/>
  <c r="C1174" i="7"/>
  <c r="B1174" i="7"/>
  <c r="A1174" i="7"/>
  <c r="K1173" i="7"/>
  <c r="J1173" i="7"/>
  <c r="I1173" i="7"/>
  <c r="H1173" i="7"/>
  <c r="G1173" i="7"/>
  <c r="F1173" i="7"/>
  <c r="E1173" i="7"/>
  <c r="D1173" i="7"/>
  <c r="C1173" i="7"/>
  <c r="B1173" i="7"/>
  <c r="A1173" i="7"/>
  <c r="K1172" i="7"/>
  <c r="J1172" i="7"/>
  <c r="I1172" i="7"/>
  <c r="H1172" i="7"/>
  <c r="G1172" i="7"/>
  <c r="F1172" i="7"/>
  <c r="E1172" i="7"/>
  <c r="D1172" i="7"/>
  <c r="C1172" i="7"/>
  <c r="B1172" i="7"/>
  <c r="A1172" i="7"/>
  <c r="K1171" i="7"/>
  <c r="J1171" i="7"/>
  <c r="I1171" i="7"/>
  <c r="H1171" i="7"/>
  <c r="G1171" i="7"/>
  <c r="F1171" i="7"/>
  <c r="E1171" i="7"/>
  <c r="D1171" i="7"/>
  <c r="C1171" i="7"/>
  <c r="B1171" i="7"/>
  <c r="A1171" i="7"/>
  <c r="K1170" i="7"/>
  <c r="J1170" i="7"/>
  <c r="I1170" i="7"/>
  <c r="H1170" i="7"/>
  <c r="G1170" i="7"/>
  <c r="F1170" i="7"/>
  <c r="E1170" i="7"/>
  <c r="D1170" i="7"/>
  <c r="C1170" i="7"/>
  <c r="B1170" i="7"/>
  <c r="A1170" i="7"/>
  <c r="K1169" i="7"/>
  <c r="J1169" i="7"/>
  <c r="I1169" i="7"/>
  <c r="H1169" i="7"/>
  <c r="G1169" i="7"/>
  <c r="F1169" i="7"/>
  <c r="E1169" i="7"/>
  <c r="D1169" i="7"/>
  <c r="C1169" i="7"/>
  <c r="B1169" i="7"/>
  <c r="A1169" i="7"/>
  <c r="K1168" i="7"/>
  <c r="J1168" i="7"/>
  <c r="I1168" i="7"/>
  <c r="H1168" i="7"/>
  <c r="G1168" i="7"/>
  <c r="F1168" i="7"/>
  <c r="E1168" i="7"/>
  <c r="D1168" i="7"/>
  <c r="C1168" i="7"/>
  <c r="B1168" i="7"/>
  <c r="A1168" i="7"/>
  <c r="K1167" i="7"/>
  <c r="J1167" i="7"/>
  <c r="I1167" i="7"/>
  <c r="H1167" i="7"/>
  <c r="G1167" i="7"/>
  <c r="F1167" i="7"/>
  <c r="E1167" i="7"/>
  <c r="D1167" i="7"/>
  <c r="C1167" i="7"/>
  <c r="B1167" i="7"/>
  <c r="A1167" i="7"/>
  <c r="K1166" i="7"/>
  <c r="J1166" i="7"/>
  <c r="I1166" i="7"/>
  <c r="H1166" i="7"/>
  <c r="G1166" i="7"/>
  <c r="F1166" i="7"/>
  <c r="E1166" i="7"/>
  <c r="D1166" i="7"/>
  <c r="C1166" i="7"/>
  <c r="B1166" i="7"/>
  <c r="A1166" i="7"/>
  <c r="K1165" i="7"/>
  <c r="J1165" i="7"/>
  <c r="I1165" i="7"/>
  <c r="H1165" i="7"/>
  <c r="G1165" i="7"/>
  <c r="F1165" i="7"/>
  <c r="E1165" i="7"/>
  <c r="D1165" i="7"/>
  <c r="C1165" i="7"/>
  <c r="B1165" i="7"/>
  <c r="A1165" i="7"/>
  <c r="K1164" i="7"/>
  <c r="J1164" i="7"/>
  <c r="I1164" i="7"/>
  <c r="H1164" i="7"/>
  <c r="G1164" i="7"/>
  <c r="F1164" i="7"/>
  <c r="E1164" i="7"/>
  <c r="D1164" i="7"/>
  <c r="C1164" i="7"/>
  <c r="B1164" i="7"/>
  <c r="A1164" i="7"/>
  <c r="K1163" i="7"/>
  <c r="J1163" i="7"/>
  <c r="I1163" i="7"/>
  <c r="H1163" i="7"/>
  <c r="G1163" i="7"/>
  <c r="F1163" i="7"/>
  <c r="E1163" i="7"/>
  <c r="D1163" i="7"/>
  <c r="C1163" i="7"/>
  <c r="B1163" i="7"/>
  <c r="A1163" i="7"/>
  <c r="K1162" i="7"/>
  <c r="J1162" i="7"/>
  <c r="I1162" i="7"/>
  <c r="H1162" i="7"/>
  <c r="G1162" i="7"/>
  <c r="F1162" i="7"/>
  <c r="E1162" i="7"/>
  <c r="D1162" i="7"/>
  <c r="C1162" i="7"/>
  <c r="B1162" i="7"/>
  <c r="A1162" i="7"/>
  <c r="K1161" i="7"/>
  <c r="J1161" i="7"/>
  <c r="I1161" i="7"/>
  <c r="H1161" i="7"/>
  <c r="G1161" i="7"/>
  <c r="F1161" i="7"/>
  <c r="E1161" i="7"/>
  <c r="D1161" i="7"/>
  <c r="C1161" i="7"/>
  <c r="B1161" i="7"/>
  <c r="A1161" i="7"/>
  <c r="K1160" i="7"/>
  <c r="J1160" i="7"/>
  <c r="I1160" i="7"/>
  <c r="H1160" i="7"/>
  <c r="G1160" i="7"/>
  <c r="F1160" i="7"/>
  <c r="E1160" i="7"/>
  <c r="D1160" i="7"/>
  <c r="C1160" i="7"/>
  <c r="B1160" i="7"/>
  <c r="A1160" i="7"/>
  <c r="K1159" i="7"/>
  <c r="J1159" i="7"/>
  <c r="I1159" i="7"/>
  <c r="H1159" i="7"/>
  <c r="G1159" i="7"/>
  <c r="F1159" i="7"/>
  <c r="E1159" i="7"/>
  <c r="D1159" i="7"/>
  <c r="C1159" i="7"/>
  <c r="B1159" i="7"/>
  <c r="A1159" i="7"/>
  <c r="K1158" i="7"/>
  <c r="J1158" i="7"/>
  <c r="I1158" i="7"/>
  <c r="H1158" i="7"/>
  <c r="G1158" i="7"/>
  <c r="F1158" i="7"/>
  <c r="E1158" i="7"/>
  <c r="D1158" i="7"/>
  <c r="C1158" i="7"/>
  <c r="B1158" i="7"/>
  <c r="A1158" i="7"/>
  <c r="K1157" i="7"/>
  <c r="J1157" i="7"/>
  <c r="I1157" i="7"/>
  <c r="H1157" i="7"/>
  <c r="G1157" i="7"/>
  <c r="F1157" i="7"/>
  <c r="E1157" i="7"/>
  <c r="D1157" i="7"/>
  <c r="C1157" i="7"/>
  <c r="B1157" i="7"/>
  <c r="A1157" i="7"/>
  <c r="K1156" i="7"/>
  <c r="J1156" i="7"/>
  <c r="I1156" i="7"/>
  <c r="H1156" i="7"/>
  <c r="G1156" i="7"/>
  <c r="F1156" i="7"/>
  <c r="E1156" i="7"/>
  <c r="D1156" i="7"/>
  <c r="C1156" i="7"/>
  <c r="B1156" i="7"/>
  <c r="A1156" i="7"/>
  <c r="K1155" i="7"/>
  <c r="J1155" i="7"/>
  <c r="I1155" i="7"/>
  <c r="H1155" i="7"/>
  <c r="G1155" i="7"/>
  <c r="F1155" i="7"/>
  <c r="E1155" i="7"/>
  <c r="D1155" i="7"/>
  <c r="C1155" i="7"/>
  <c r="B1155" i="7"/>
  <c r="A1155" i="7"/>
  <c r="K1154" i="7"/>
  <c r="J1154" i="7"/>
  <c r="I1154" i="7"/>
  <c r="H1154" i="7"/>
  <c r="G1154" i="7"/>
  <c r="F1154" i="7"/>
  <c r="E1154" i="7"/>
  <c r="D1154" i="7"/>
  <c r="C1154" i="7"/>
  <c r="B1154" i="7"/>
  <c r="A1154" i="7"/>
  <c r="K1153" i="7"/>
  <c r="J1153" i="7"/>
  <c r="I1153" i="7"/>
  <c r="H1153" i="7"/>
  <c r="G1153" i="7"/>
  <c r="F1153" i="7"/>
  <c r="E1153" i="7"/>
  <c r="D1153" i="7"/>
  <c r="C1153" i="7"/>
  <c r="B1153" i="7"/>
  <c r="A1153" i="7"/>
  <c r="K1152" i="7"/>
  <c r="J1152" i="7"/>
  <c r="I1152" i="7"/>
  <c r="H1152" i="7"/>
  <c r="G1152" i="7"/>
  <c r="F1152" i="7"/>
  <c r="E1152" i="7"/>
  <c r="D1152" i="7"/>
  <c r="C1152" i="7"/>
  <c r="B1152" i="7"/>
  <c r="A1152" i="7"/>
  <c r="K1151" i="7"/>
  <c r="J1151" i="7"/>
  <c r="I1151" i="7"/>
  <c r="H1151" i="7"/>
  <c r="G1151" i="7"/>
  <c r="F1151" i="7"/>
  <c r="E1151" i="7"/>
  <c r="D1151" i="7"/>
  <c r="C1151" i="7"/>
  <c r="B1151" i="7"/>
  <c r="A1151" i="7"/>
  <c r="K1150" i="7"/>
  <c r="J1150" i="7"/>
  <c r="I1150" i="7"/>
  <c r="H1150" i="7"/>
  <c r="G1150" i="7"/>
  <c r="F1150" i="7"/>
  <c r="E1150" i="7"/>
  <c r="D1150" i="7"/>
  <c r="C1150" i="7"/>
  <c r="B1150" i="7"/>
  <c r="A1150" i="7"/>
  <c r="K1149" i="7"/>
  <c r="J1149" i="7"/>
  <c r="I1149" i="7"/>
  <c r="H1149" i="7"/>
  <c r="G1149" i="7"/>
  <c r="F1149" i="7"/>
  <c r="E1149" i="7"/>
  <c r="D1149" i="7"/>
  <c r="C1149" i="7"/>
  <c r="B1149" i="7"/>
  <c r="A1149" i="7"/>
  <c r="K1148" i="7"/>
  <c r="J1148" i="7"/>
  <c r="I1148" i="7"/>
  <c r="H1148" i="7"/>
  <c r="G1148" i="7"/>
  <c r="F1148" i="7"/>
  <c r="E1148" i="7"/>
  <c r="D1148" i="7"/>
  <c r="C1148" i="7"/>
  <c r="B1148" i="7"/>
  <c r="A1148" i="7"/>
  <c r="K1147" i="7"/>
  <c r="J1147" i="7"/>
  <c r="I1147" i="7"/>
  <c r="H1147" i="7"/>
  <c r="G1147" i="7"/>
  <c r="F1147" i="7"/>
  <c r="E1147" i="7"/>
  <c r="D1147" i="7"/>
  <c r="C1147" i="7"/>
  <c r="B1147" i="7"/>
  <c r="A1147" i="7"/>
  <c r="K1146" i="7"/>
  <c r="J1146" i="7"/>
  <c r="I1146" i="7"/>
  <c r="H1146" i="7"/>
  <c r="G1146" i="7"/>
  <c r="F1146" i="7"/>
  <c r="E1146" i="7"/>
  <c r="D1146" i="7"/>
  <c r="C1146" i="7"/>
  <c r="B1146" i="7"/>
  <c r="A1146" i="7"/>
  <c r="K1145" i="7"/>
  <c r="J1145" i="7"/>
  <c r="I1145" i="7"/>
  <c r="H1145" i="7"/>
  <c r="G1145" i="7"/>
  <c r="F1145" i="7"/>
  <c r="E1145" i="7"/>
  <c r="D1145" i="7"/>
  <c r="C1145" i="7"/>
  <c r="B1145" i="7"/>
  <c r="A1145" i="7"/>
  <c r="K1144" i="7"/>
  <c r="J1144" i="7"/>
  <c r="I1144" i="7"/>
  <c r="H1144" i="7"/>
  <c r="G1144" i="7"/>
  <c r="F1144" i="7"/>
  <c r="E1144" i="7"/>
  <c r="D1144" i="7"/>
  <c r="C1144" i="7"/>
  <c r="B1144" i="7"/>
  <c r="A1144" i="7"/>
  <c r="K1143" i="7"/>
  <c r="J1143" i="7"/>
  <c r="I1143" i="7"/>
  <c r="H1143" i="7"/>
  <c r="G1143" i="7"/>
  <c r="F1143" i="7"/>
  <c r="E1143" i="7"/>
  <c r="D1143" i="7"/>
  <c r="C1143" i="7"/>
  <c r="B1143" i="7"/>
  <c r="A1143" i="7"/>
  <c r="K1142" i="7"/>
  <c r="J1142" i="7"/>
  <c r="I1142" i="7"/>
  <c r="H1142" i="7"/>
  <c r="G1142" i="7"/>
  <c r="F1142" i="7"/>
  <c r="E1142" i="7"/>
  <c r="D1142" i="7"/>
  <c r="C1142" i="7"/>
  <c r="B1142" i="7"/>
  <c r="A1142" i="7"/>
  <c r="K1141" i="7"/>
  <c r="J1141" i="7"/>
  <c r="I1141" i="7"/>
  <c r="H1141" i="7"/>
  <c r="G1141" i="7"/>
  <c r="F1141" i="7"/>
  <c r="E1141" i="7"/>
  <c r="D1141" i="7"/>
  <c r="C1141" i="7"/>
  <c r="B1141" i="7"/>
  <c r="A1141" i="7"/>
  <c r="K1140" i="7"/>
  <c r="J1140" i="7"/>
  <c r="I1140" i="7"/>
  <c r="H1140" i="7"/>
  <c r="G1140" i="7"/>
  <c r="F1140" i="7"/>
  <c r="E1140" i="7"/>
  <c r="D1140" i="7"/>
  <c r="C1140" i="7"/>
  <c r="B1140" i="7"/>
  <c r="A1140" i="7"/>
  <c r="K1139" i="7"/>
  <c r="J1139" i="7"/>
  <c r="I1139" i="7"/>
  <c r="H1139" i="7"/>
  <c r="G1139" i="7"/>
  <c r="F1139" i="7"/>
  <c r="E1139" i="7"/>
  <c r="D1139" i="7"/>
  <c r="C1139" i="7"/>
  <c r="B1139" i="7"/>
  <c r="A1139" i="7"/>
  <c r="K1138" i="7"/>
  <c r="J1138" i="7"/>
  <c r="I1138" i="7"/>
  <c r="H1138" i="7"/>
  <c r="G1138" i="7"/>
  <c r="F1138" i="7"/>
  <c r="E1138" i="7"/>
  <c r="D1138" i="7"/>
  <c r="C1138" i="7"/>
  <c r="B1138" i="7"/>
  <c r="A1138" i="7"/>
  <c r="K1137" i="7"/>
  <c r="J1137" i="7"/>
  <c r="I1137" i="7"/>
  <c r="H1137" i="7"/>
  <c r="G1137" i="7"/>
  <c r="F1137" i="7"/>
  <c r="E1137" i="7"/>
  <c r="D1137" i="7"/>
  <c r="C1137" i="7"/>
  <c r="B1137" i="7"/>
  <c r="A1137" i="7"/>
  <c r="K1136" i="7"/>
  <c r="J1136" i="7"/>
  <c r="I1136" i="7"/>
  <c r="H1136" i="7"/>
  <c r="G1136" i="7"/>
  <c r="F1136" i="7"/>
  <c r="E1136" i="7"/>
  <c r="D1136" i="7"/>
  <c r="C1136" i="7"/>
  <c r="B1136" i="7"/>
  <c r="A1136" i="7"/>
  <c r="K1135" i="7"/>
  <c r="J1135" i="7"/>
  <c r="I1135" i="7"/>
  <c r="H1135" i="7"/>
  <c r="G1135" i="7"/>
  <c r="F1135" i="7"/>
  <c r="E1135" i="7"/>
  <c r="D1135" i="7"/>
  <c r="C1135" i="7"/>
  <c r="B1135" i="7"/>
  <c r="A1135" i="7"/>
  <c r="K1134" i="7"/>
  <c r="J1134" i="7"/>
  <c r="I1134" i="7"/>
  <c r="H1134" i="7"/>
  <c r="G1134" i="7"/>
  <c r="F1134" i="7"/>
  <c r="E1134" i="7"/>
  <c r="D1134" i="7"/>
  <c r="C1134" i="7"/>
  <c r="B1134" i="7"/>
  <c r="A1134" i="7"/>
  <c r="K1133" i="7"/>
  <c r="J1133" i="7"/>
  <c r="I1133" i="7"/>
  <c r="H1133" i="7"/>
  <c r="G1133" i="7"/>
  <c r="F1133" i="7"/>
  <c r="E1133" i="7"/>
  <c r="D1133" i="7"/>
  <c r="C1133" i="7"/>
  <c r="B1133" i="7"/>
  <c r="A1133" i="7"/>
  <c r="K1132" i="7"/>
  <c r="J1132" i="7"/>
  <c r="I1132" i="7"/>
  <c r="H1132" i="7"/>
  <c r="G1132" i="7"/>
  <c r="F1132" i="7"/>
  <c r="E1132" i="7"/>
  <c r="D1132" i="7"/>
  <c r="C1132" i="7"/>
  <c r="B1132" i="7"/>
  <c r="A1132" i="7"/>
  <c r="K1131" i="7"/>
  <c r="J1131" i="7"/>
  <c r="I1131" i="7"/>
  <c r="H1131" i="7"/>
  <c r="G1131" i="7"/>
  <c r="F1131" i="7"/>
  <c r="E1131" i="7"/>
  <c r="D1131" i="7"/>
  <c r="C1131" i="7"/>
  <c r="B1131" i="7"/>
  <c r="A1131" i="7"/>
  <c r="K1130" i="7"/>
  <c r="J1130" i="7"/>
  <c r="I1130" i="7"/>
  <c r="H1130" i="7"/>
  <c r="G1130" i="7"/>
  <c r="F1130" i="7"/>
  <c r="E1130" i="7"/>
  <c r="D1130" i="7"/>
  <c r="C1130" i="7"/>
  <c r="B1130" i="7"/>
  <c r="A1130" i="7"/>
  <c r="K1129" i="7"/>
  <c r="J1129" i="7"/>
  <c r="I1129" i="7"/>
  <c r="H1129" i="7"/>
  <c r="G1129" i="7"/>
  <c r="F1129" i="7"/>
  <c r="E1129" i="7"/>
  <c r="D1129" i="7"/>
  <c r="C1129" i="7"/>
  <c r="B1129" i="7"/>
  <c r="A1129" i="7"/>
  <c r="K1128" i="7"/>
  <c r="J1128" i="7"/>
  <c r="I1128" i="7"/>
  <c r="H1128" i="7"/>
  <c r="G1128" i="7"/>
  <c r="F1128" i="7"/>
  <c r="E1128" i="7"/>
  <c r="D1128" i="7"/>
  <c r="C1128" i="7"/>
  <c r="B1128" i="7"/>
  <c r="A1128" i="7"/>
  <c r="K1127" i="7"/>
  <c r="J1127" i="7"/>
  <c r="I1127" i="7"/>
  <c r="H1127" i="7"/>
  <c r="G1127" i="7"/>
  <c r="F1127" i="7"/>
  <c r="E1127" i="7"/>
  <c r="D1127" i="7"/>
  <c r="C1127" i="7"/>
  <c r="B1127" i="7"/>
  <c r="A1127" i="7"/>
  <c r="K1126" i="7"/>
  <c r="J1126" i="7"/>
  <c r="I1126" i="7"/>
  <c r="H1126" i="7"/>
  <c r="G1126" i="7"/>
  <c r="F1126" i="7"/>
  <c r="E1126" i="7"/>
  <c r="D1126" i="7"/>
  <c r="C1126" i="7"/>
  <c r="B1126" i="7"/>
  <c r="A1126" i="7"/>
  <c r="K1125" i="7"/>
  <c r="J1125" i="7"/>
  <c r="I1125" i="7"/>
  <c r="H1125" i="7"/>
  <c r="G1125" i="7"/>
  <c r="F1125" i="7"/>
  <c r="E1125" i="7"/>
  <c r="D1125" i="7"/>
  <c r="C1125" i="7"/>
  <c r="B1125" i="7"/>
  <c r="A1125" i="7"/>
  <c r="K1124" i="7"/>
  <c r="J1124" i="7"/>
  <c r="I1124" i="7"/>
  <c r="H1124" i="7"/>
  <c r="G1124" i="7"/>
  <c r="F1124" i="7"/>
  <c r="E1124" i="7"/>
  <c r="D1124" i="7"/>
  <c r="C1124" i="7"/>
  <c r="B1124" i="7"/>
  <c r="A1124" i="7"/>
  <c r="K1123" i="7"/>
  <c r="J1123" i="7"/>
  <c r="I1123" i="7"/>
  <c r="H1123" i="7"/>
  <c r="G1123" i="7"/>
  <c r="F1123" i="7"/>
  <c r="E1123" i="7"/>
  <c r="D1123" i="7"/>
  <c r="C1123" i="7"/>
  <c r="B1123" i="7"/>
  <c r="A1123" i="7"/>
  <c r="K1122" i="7"/>
  <c r="J1122" i="7"/>
  <c r="I1122" i="7"/>
  <c r="H1122" i="7"/>
  <c r="G1122" i="7"/>
  <c r="F1122" i="7"/>
  <c r="E1122" i="7"/>
  <c r="D1122" i="7"/>
  <c r="C1122" i="7"/>
  <c r="B1122" i="7"/>
  <c r="A1122" i="7"/>
  <c r="K1121" i="7"/>
  <c r="J1121" i="7"/>
  <c r="I1121" i="7"/>
  <c r="H1121" i="7"/>
  <c r="G1121" i="7"/>
  <c r="F1121" i="7"/>
  <c r="E1121" i="7"/>
  <c r="D1121" i="7"/>
  <c r="C1121" i="7"/>
  <c r="B1121" i="7"/>
  <c r="A1121" i="7"/>
  <c r="K1120" i="7"/>
  <c r="J1120" i="7"/>
  <c r="I1120" i="7"/>
  <c r="H1120" i="7"/>
  <c r="G1120" i="7"/>
  <c r="F1120" i="7"/>
  <c r="E1120" i="7"/>
  <c r="D1120" i="7"/>
  <c r="C1120" i="7"/>
  <c r="B1120" i="7"/>
  <c r="A1120" i="7"/>
  <c r="K1119" i="7"/>
  <c r="J1119" i="7"/>
  <c r="I1119" i="7"/>
  <c r="H1119" i="7"/>
  <c r="G1119" i="7"/>
  <c r="F1119" i="7"/>
  <c r="E1119" i="7"/>
  <c r="D1119" i="7"/>
  <c r="C1119" i="7"/>
  <c r="B1119" i="7"/>
  <c r="A1119" i="7"/>
  <c r="K1118" i="7"/>
  <c r="J1118" i="7"/>
  <c r="I1118" i="7"/>
  <c r="H1118" i="7"/>
  <c r="G1118" i="7"/>
  <c r="F1118" i="7"/>
  <c r="E1118" i="7"/>
  <c r="D1118" i="7"/>
  <c r="C1118" i="7"/>
  <c r="B1118" i="7"/>
  <c r="A1118" i="7"/>
  <c r="K1117" i="7"/>
  <c r="J1117" i="7"/>
  <c r="I1117" i="7"/>
  <c r="H1117" i="7"/>
  <c r="G1117" i="7"/>
  <c r="F1117" i="7"/>
  <c r="E1117" i="7"/>
  <c r="D1117" i="7"/>
  <c r="C1117" i="7"/>
  <c r="B1117" i="7"/>
  <c r="A1117" i="7"/>
  <c r="K1116" i="7"/>
  <c r="J1116" i="7"/>
  <c r="I1116" i="7"/>
  <c r="H1116" i="7"/>
  <c r="G1116" i="7"/>
  <c r="F1116" i="7"/>
  <c r="E1116" i="7"/>
  <c r="D1116" i="7"/>
  <c r="C1116" i="7"/>
  <c r="B1116" i="7"/>
  <c r="A1116" i="7"/>
  <c r="K1115" i="7"/>
  <c r="J1115" i="7"/>
  <c r="I1115" i="7"/>
  <c r="H1115" i="7"/>
  <c r="G1115" i="7"/>
  <c r="F1115" i="7"/>
  <c r="E1115" i="7"/>
  <c r="D1115" i="7"/>
  <c r="C1115" i="7"/>
  <c r="B1115" i="7"/>
  <c r="A1115" i="7"/>
  <c r="K1114" i="7"/>
  <c r="J1114" i="7"/>
  <c r="I1114" i="7"/>
  <c r="H1114" i="7"/>
  <c r="G1114" i="7"/>
  <c r="F1114" i="7"/>
  <c r="E1114" i="7"/>
  <c r="D1114" i="7"/>
  <c r="C1114" i="7"/>
  <c r="B1114" i="7"/>
  <c r="A1114" i="7"/>
  <c r="K1113" i="7"/>
  <c r="J1113" i="7"/>
  <c r="I1113" i="7"/>
  <c r="H1113" i="7"/>
  <c r="G1113" i="7"/>
  <c r="F1113" i="7"/>
  <c r="E1113" i="7"/>
  <c r="D1113" i="7"/>
  <c r="C1113" i="7"/>
  <c r="B1113" i="7"/>
  <c r="A1113" i="7"/>
  <c r="K1112" i="7"/>
  <c r="J1112" i="7"/>
  <c r="I1112" i="7"/>
  <c r="H1112" i="7"/>
  <c r="G1112" i="7"/>
  <c r="F1112" i="7"/>
  <c r="E1112" i="7"/>
  <c r="D1112" i="7"/>
  <c r="C1112" i="7"/>
  <c r="B1112" i="7"/>
  <c r="A1112" i="7"/>
  <c r="K1111" i="7"/>
  <c r="J1111" i="7"/>
  <c r="I1111" i="7"/>
  <c r="H1111" i="7"/>
  <c r="G1111" i="7"/>
  <c r="F1111" i="7"/>
  <c r="E1111" i="7"/>
  <c r="D1111" i="7"/>
  <c r="C1111" i="7"/>
  <c r="B1111" i="7"/>
  <c r="A1111" i="7"/>
  <c r="K1110" i="7"/>
  <c r="J1110" i="7"/>
  <c r="I1110" i="7"/>
  <c r="H1110" i="7"/>
  <c r="G1110" i="7"/>
  <c r="F1110" i="7"/>
  <c r="E1110" i="7"/>
  <c r="D1110" i="7"/>
  <c r="C1110" i="7"/>
  <c r="B1110" i="7"/>
  <c r="A1110" i="7"/>
  <c r="K1109" i="7"/>
  <c r="J1109" i="7"/>
  <c r="I1109" i="7"/>
  <c r="H1109" i="7"/>
  <c r="G1109" i="7"/>
  <c r="F1109" i="7"/>
  <c r="E1109" i="7"/>
  <c r="D1109" i="7"/>
  <c r="C1109" i="7"/>
  <c r="B1109" i="7"/>
  <c r="A1109" i="7"/>
  <c r="K1108" i="7"/>
  <c r="J1108" i="7"/>
  <c r="I1108" i="7"/>
  <c r="H1108" i="7"/>
  <c r="G1108" i="7"/>
  <c r="F1108" i="7"/>
  <c r="E1108" i="7"/>
  <c r="D1108" i="7"/>
  <c r="C1108" i="7"/>
  <c r="B1108" i="7"/>
  <c r="A1108" i="7"/>
  <c r="K1107" i="7"/>
  <c r="J1107" i="7"/>
  <c r="I1107" i="7"/>
  <c r="H1107" i="7"/>
  <c r="G1107" i="7"/>
  <c r="F1107" i="7"/>
  <c r="E1107" i="7"/>
  <c r="D1107" i="7"/>
  <c r="C1107" i="7"/>
  <c r="B1107" i="7"/>
  <c r="A1107" i="7"/>
  <c r="K1106" i="7"/>
  <c r="J1106" i="7"/>
  <c r="I1106" i="7"/>
  <c r="H1106" i="7"/>
  <c r="G1106" i="7"/>
  <c r="F1106" i="7"/>
  <c r="E1106" i="7"/>
  <c r="D1106" i="7"/>
  <c r="C1106" i="7"/>
  <c r="B1106" i="7"/>
  <c r="A1106" i="7"/>
  <c r="K1105" i="7"/>
  <c r="J1105" i="7"/>
  <c r="I1105" i="7"/>
  <c r="H1105" i="7"/>
  <c r="G1105" i="7"/>
  <c r="F1105" i="7"/>
  <c r="E1105" i="7"/>
  <c r="D1105" i="7"/>
  <c r="C1105" i="7"/>
  <c r="B1105" i="7"/>
  <c r="A1105" i="7"/>
  <c r="K1104" i="7"/>
  <c r="J1104" i="7"/>
  <c r="I1104" i="7"/>
  <c r="H1104" i="7"/>
  <c r="G1104" i="7"/>
  <c r="F1104" i="7"/>
  <c r="E1104" i="7"/>
  <c r="D1104" i="7"/>
  <c r="C1104" i="7"/>
  <c r="B1104" i="7"/>
  <c r="A1104" i="7"/>
  <c r="K1103" i="7"/>
  <c r="J1103" i="7"/>
  <c r="I1103" i="7"/>
  <c r="H1103" i="7"/>
  <c r="G1103" i="7"/>
  <c r="F1103" i="7"/>
  <c r="E1103" i="7"/>
  <c r="D1103" i="7"/>
  <c r="C1103" i="7"/>
  <c r="B1103" i="7"/>
  <c r="A1103" i="7"/>
  <c r="K1102" i="7"/>
  <c r="J1102" i="7"/>
  <c r="I1102" i="7"/>
  <c r="H1102" i="7"/>
  <c r="G1102" i="7"/>
  <c r="F1102" i="7"/>
  <c r="E1102" i="7"/>
  <c r="D1102" i="7"/>
  <c r="C1102" i="7"/>
  <c r="B1102" i="7"/>
  <c r="A1102" i="7"/>
  <c r="K1101" i="7"/>
  <c r="J1101" i="7"/>
  <c r="I1101" i="7"/>
  <c r="H1101" i="7"/>
  <c r="G1101" i="7"/>
  <c r="F1101" i="7"/>
  <c r="E1101" i="7"/>
  <c r="D1101" i="7"/>
  <c r="C1101" i="7"/>
  <c r="B1101" i="7"/>
  <c r="A1101" i="7"/>
  <c r="K1100" i="7"/>
  <c r="J1100" i="7"/>
  <c r="I1100" i="7"/>
  <c r="H1100" i="7"/>
  <c r="G1100" i="7"/>
  <c r="F1100" i="7"/>
  <c r="E1100" i="7"/>
  <c r="D1100" i="7"/>
  <c r="C1100" i="7"/>
  <c r="B1100" i="7"/>
  <c r="A1100" i="7"/>
  <c r="K1099" i="7"/>
  <c r="J1099" i="7"/>
  <c r="I1099" i="7"/>
  <c r="H1099" i="7"/>
  <c r="G1099" i="7"/>
  <c r="F1099" i="7"/>
  <c r="E1099" i="7"/>
  <c r="D1099" i="7"/>
  <c r="C1099" i="7"/>
  <c r="B1099" i="7"/>
  <c r="A1099" i="7"/>
  <c r="K1098" i="7"/>
  <c r="J1098" i="7"/>
  <c r="I1098" i="7"/>
  <c r="H1098" i="7"/>
  <c r="G1098" i="7"/>
  <c r="F1098" i="7"/>
  <c r="E1098" i="7"/>
  <c r="D1098" i="7"/>
  <c r="C1098" i="7"/>
  <c r="B1098" i="7"/>
  <c r="A1098" i="7"/>
  <c r="K1097" i="7"/>
  <c r="J1097" i="7"/>
  <c r="I1097" i="7"/>
  <c r="H1097" i="7"/>
  <c r="G1097" i="7"/>
  <c r="F1097" i="7"/>
  <c r="E1097" i="7"/>
  <c r="D1097" i="7"/>
  <c r="C1097" i="7"/>
  <c r="B1097" i="7"/>
  <c r="A1097" i="7"/>
  <c r="K1096" i="7"/>
  <c r="J1096" i="7"/>
  <c r="I1096" i="7"/>
  <c r="H1096" i="7"/>
  <c r="G1096" i="7"/>
  <c r="F1096" i="7"/>
  <c r="E1096" i="7"/>
  <c r="D1096" i="7"/>
  <c r="C1096" i="7"/>
  <c r="B1096" i="7"/>
  <c r="A1096" i="7"/>
  <c r="K1095" i="7"/>
  <c r="J1095" i="7"/>
  <c r="I1095" i="7"/>
  <c r="H1095" i="7"/>
  <c r="G1095" i="7"/>
  <c r="F1095" i="7"/>
  <c r="E1095" i="7"/>
  <c r="D1095" i="7"/>
  <c r="C1095" i="7"/>
  <c r="B1095" i="7"/>
  <c r="A1095" i="7"/>
  <c r="K1094" i="7"/>
  <c r="J1094" i="7"/>
  <c r="I1094" i="7"/>
  <c r="H1094" i="7"/>
  <c r="G1094" i="7"/>
  <c r="F1094" i="7"/>
  <c r="E1094" i="7"/>
  <c r="D1094" i="7"/>
  <c r="C1094" i="7"/>
  <c r="B1094" i="7"/>
  <c r="A1094" i="7"/>
  <c r="K1093" i="7"/>
  <c r="J1093" i="7"/>
  <c r="I1093" i="7"/>
  <c r="H1093" i="7"/>
  <c r="G1093" i="7"/>
  <c r="F1093" i="7"/>
  <c r="E1093" i="7"/>
  <c r="D1093" i="7"/>
  <c r="C1093" i="7"/>
  <c r="B1093" i="7"/>
  <c r="A1093" i="7"/>
  <c r="K1092" i="7"/>
  <c r="J1092" i="7"/>
  <c r="I1092" i="7"/>
  <c r="H1092" i="7"/>
  <c r="G1092" i="7"/>
  <c r="F1092" i="7"/>
  <c r="E1092" i="7"/>
  <c r="D1092" i="7"/>
  <c r="C1092" i="7"/>
  <c r="B1092" i="7"/>
  <c r="A1092" i="7"/>
  <c r="K1091" i="7"/>
  <c r="J1091" i="7"/>
  <c r="I1091" i="7"/>
  <c r="H1091" i="7"/>
  <c r="G1091" i="7"/>
  <c r="F1091" i="7"/>
  <c r="E1091" i="7"/>
  <c r="D1091" i="7"/>
  <c r="C1091" i="7"/>
  <c r="B1091" i="7"/>
  <c r="A1091" i="7"/>
  <c r="K1090" i="7"/>
  <c r="J1090" i="7"/>
  <c r="I1090" i="7"/>
  <c r="H1090" i="7"/>
  <c r="G1090" i="7"/>
  <c r="F1090" i="7"/>
  <c r="E1090" i="7"/>
  <c r="D1090" i="7"/>
  <c r="C1090" i="7"/>
  <c r="B1090" i="7"/>
  <c r="A1090" i="7"/>
  <c r="K1089" i="7"/>
  <c r="J1089" i="7"/>
  <c r="I1089" i="7"/>
  <c r="H1089" i="7"/>
  <c r="G1089" i="7"/>
  <c r="F1089" i="7"/>
  <c r="E1089" i="7"/>
  <c r="D1089" i="7"/>
  <c r="C1089" i="7"/>
  <c r="B1089" i="7"/>
  <c r="A1089" i="7"/>
  <c r="K1088" i="7"/>
  <c r="J1088" i="7"/>
  <c r="I1088" i="7"/>
  <c r="H1088" i="7"/>
  <c r="G1088" i="7"/>
  <c r="F1088" i="7"/>
  <c r="E1088" i="7"/>
  <c r="D1088" i="7"/>
  <c r="C1088" i="7"/>
  <c r="B1088" i="7"/>
  <c r="A1088" i="7"/>
  <c r="K1087" i="7"/>
  <c r="J1087" i="7"/>
  <c r="I1087" i="7"/>
  <c r="H1087" i="7"/>
  <c r="G1087" i="7"/>
  <c r="F1087" i="7"/>
  <c r="E1087" i="7"/>
  <c r="D1087" i="7"/>
  <c r="C1087" i="7"/>
  <c r="B1087" i="7"/>
  <c r="A1087" i="7"/>
  <c r="K1086" i="7"/>
  <c r="J1086" i="7"/>
  <c r="I1086" i="7"/>
  <c r="H1086" i="7"/>
  <c r="G1086" i="7"/>
  <c r="F1086" i="7"/>
  <c r="E1086" i="7"/>
  <c r="D1086" i="7"/>
  <c r="C1086" i="7"/>
  <c r="B1086" i="7"/>
  <c r="A1086" i="7"/>
  <c r="K1085" i="7"/>
  <c r="J1085" i="7"/>
  <c r="I1085" i="7"/>
  <c r="H1085" i="7"/>
  <c r="G1085" i="7"/>
  <c r="F1085" i="7"/>
  <c r="E1085" i="7"/>
  <c r="D1085" i="7"/>
  <c r="C1085" i="7"/>
  <c r="B1085" i="7"/>
  <c r="A1085" i="7"/>
  <c r="K1084" i="7"/>
  <c r="J1084" i="7"/>
  <c r="I1084" i="7"/>
  <c r="H1084" i="7"/>
  <c r="G1084" i="7"/>
  <c r="F1084" i="7"/>
  <c r="E1084" i="7"/>
  <c r="D1084" i="7"/>
  <c r="C1084" i="7"/>
  <c r="B1084" i="7"/>
  <c r="A1084" i="7"/>
  <c r="K1083" i="7"/>
  <c r="J1083" i="7"/>
  <c r="I1083" i="7"/>
  <c r="H1083" i="7"/>
  <c r="G1083" i="7"/>
  <c r="F1083" i="7"/>
  <c r="E1083" i="7"/>
  <c r="D1083" i="7"/>
  <c r="C1083" i="7"/>
  <c r="B1083" i="7"/>
  <c r="A1083" i="7"/>
  <c r="K1082" i="7"/>
  <c r="J1082" i="7"/>
  <c r="I1082" i="7"/>
  <c r="H1082" i="7"/>
  <c r="G1082" i="7"/>
  <c r="F1082" i="7"/>
  <c r="E1082" i="7"/>
  <c r="D1082" i="7"/>
  <c r="C1082" i="7"/>
  <c r="B1082" i="7"/>
  <c r="A1082" i="7"/>
  <c r="K1081" i="7"/>
  <c r="J1081" i="7"/>
  <c r="I1081" i="7"/>
  <c r="H1081" i="7"/>
  <c r="G1081" i="7"/>
  <c r="F1081" i="7"/>
  <c r="E1081" i="7"/>
  <c r="D1081" i="7"/>
  <c r="C1081" i="7"/>
  <c r="B1081" i="7"/>
  <c r="A1081" i="7"/>
  <c r="K1080" i="7"/>
  <c r="J1080" i="7"/>
  <c r="I1080" i="7"/>
  <c r="H1080" i="7"/>
  <c r="G1080" i="7"/>
  <c r="F1080" i="7"/>
  <c r="E1080" i="7"/>
  <c r="D1080" i="7"/>
  <c r="C1080" i="7"/>
  <c r="B1080" i="7"/>
  <c r="A1080" i="7"/>
  <c r="K1079" i="7"/>
  <c r="J1079" i="7"/>
  <c r="I1079" i="7"/>
  <c r="H1079" i="7"/>
  <c r="G1079" i="7"/>
  <c r="F1079" i="7"/>
  <c r="E1079" i="7"/>
  <c r="D1079" i="7"/>
  <c r="C1079" i="7"/>
  <c r="B1079" i="7"/>
  <c r="A1079" i="7"/>
  <c r="K1078" i="7"/>
  <c r="J1078" i="7"/>
  <c r="I1078" i="7"/>
  <c r="H1078" i="7"/>
  <c r="G1078" i="7"/>
  <c r="F1078" i="7"/>
  <c r="E1078" i="7"/>
  <c r="D1078" i="7"/>
  <c r="C1078" i="7"/>
  <c r="B1078" i="7"/>
  <c r="A1078" i="7"/>
  <c r="K1077" i="7"/>
  <c r="J1077" i="7"/>
  <c r="I1077" i="7"/>
  <c r="H1077" i="7"/>
  <c r="G1077" i="7"/>
  <c r="F1077" i="7"/>
  <c r="E1077" i="7"/>
  <c r="D1077" i="7"/>
  <c r="C1077" i="7"/>
  <c r="B1077" i="7"/>
  <c r="A1077" i="7"/>
  <c r="K1076" i="7"/>
  <c r="J1076" i="7"/>
  <c r="I1076" i="7"/>
  <c r="H1076" i="7"/>
  <c r="G1076" i="7"/>
  <c r="F1076" i="7"/>
  <c r="E1076" i="7"/>
  <c r="D1076" i="7"/>
  <c r="C1076" i="7"/>
  <c r="B1076" i="7"/>
  <c r="A1076" i="7"/>
  <c r="K1075" i="7"/>
  <c r="J1075" i="7"/>
  <c r="I1075" i="7"/>
  <c r="H1075" i="7"/>
  <c r="G1075" i="7"/>
  <c r="F1075" i="7"/>
  <c r="E1075" i="7"/>
  <c r="D1075" i="7"/>
  <c r="C1075" i="7"/>
  <c r="B1075" i="7"/>
  <c r="A1075" i="7"/>
  <c r="K1074" i="7"/>
  <c r="J1074" i="7"/>
  <c r="I1074" i="7"/>
  <c r="H1074" i="7"/>
  <c r="G1074" i="7"/>
  <c r="F1074" i="7"/>
  <c r="E1074" i="7"/>
  <c r="D1074" i="7"/>
  <c r="C1074" i="7"/>
  <c r="B1074" i="7"/>
  <c r="A1074" i="7"/>
  <c r="K1073" i="7"/>
  <c r="J1073" i="7"/>
  <c r="I1073" i="7"/>
  <c r="H1073" i="7"/>
  <c r="G1073" i="7"/>
  <c r="F1073" i="7"/>
  <c r="E1073" i="7"/>
  <c r="D1073" i="7"/>
  <c r="C1073" i="7"/>
  <c r="B1073" i="7"/>
  <c r="A1073" i="7"/>
  <c r="K1072" i="7"/>
  <c r="J1072" i="7"/>
  <c r="I1072" i="7"/>
  <c r="H1072" i="7"/>
  <c r="G1072" i="7"/>
  <c r="F1072" i="7"/>
  <c r="E1072" i="7"/>
  <c r="D1072" i="7"/>
  <c r="C1072" i="7"/>
  <c r="B1072" i="7"/>
  <c r="A1072" i="7"/>
  <c r="K1071" i="7"/>
  <c r="J1071" i="7"/>
  <c r="I1071" i="7"/>
  <c r="H1071" i="7"/>
  <c r="G1071" i="7"/>
  <c r="F1071" i="7"/>
  <c r="E1071" i="7"/>
  <c r="D1071" i="7"/>
  <c r="C1071" i="7"/>
  <c r="B1071" i="7"/>
  <c r="A1071" i="7"/>
  <c r="K1070" i="7"/>
  <c r="J1070" i="7"/>
  <c r="I1070" i="7"/>
  <c r="H1070" i="7"/>
  <c r="G1070" i="7"/>
  <c r="F1070" i="7"/>
  <c r="E1070" i="7"/>
  <c r="D1070" i="7"/>
  <c r="C1070" i="7"/>
  <c r="B1070" i="7"/>
  <c r="A1070" i="7"/>
  <c r="K1069" i="7"/>
  <c r="J1069" i="7"/>
  <c r="I1069" i="7"/>
  <c r="H1069" i="7"/>
  <c r="G1069" i="7"/>
  <c r="F1069" i="7"/>
  <c r="E1069" i="7"/>
  <c r="D1069" i="7"/>
  <c r="C1069" i="7"/>
  <c r="B1069" i="7"/>
  <c r="A1069" i="7"/>
  <c r="K1068" i="7"/>
  <c r="J1068" i="7"/>
  <c r="I1068" i="7"/>
  <c r="H1068" i="7"/>
  <c r="G1068" i="7"/>
  <c r="F1068" i="7"/>
  <c r="E1068" i="7"/>
  <c r="D1068" i="7"/>
  <c r="C1068" i="7"/>
  <c r="B1068" i="7"/>
  <c r="A1068" i="7"/>
  <c r="K1067" i="7"/>
  <c r="J1067" i="7"/>
  <c r="I1067" i="7"/>
  <c r="H1067" i="7"/>
  <c r="G1067" i="7"/>
  <c r="F1067" i="7"/>
  <c r="E1067" i="7"/>
  <c r="D1067" i="7"/>
  <c r="C1067" i="7"/>
  <c r="B1067" i="7"/>
  <c r="A1067" i="7"/>
  <c r="K1066" i="7"/>
  <c r="J1066" i="7"/>
  <c r="I1066" i="7"/>
  <c r="H1066" i="7"/>
  <c r="G1066" i="7"/>
  <c r="F1066" i="7"/>
  <c r="E1066" i="7"/>
  <c r="D1066" i="7"/>
  <c r="C1066" i="7"/>
  <c r="B1066" i="7"/>
  <c r="A1066" i="7"/>
  <c r="K1065" i="7"/>
  <c r="J1065" i="7"/>
  <c r="I1065" i="7"/>
  <c r="H1065" i="7"/>
  <c r="G1065" i="7"/>
  <c r="F1065" i="7"/>
  <c r="E1065" i="7"/>
  <c r="D1065" i="7"/>
  <c r="C1065" i="7"/>
  <c r="B1065" i="7"/>
  <c r="A1065" i="7"/>
  <c r="K1064" i="7"/>
  <c r="J1064" i="7"/>
  <c r="I1064" i="7"/>
  <c r="H1064" i="7"/>
  <c r="G1064" i="7"/>
  <c r="F1064" i="7"/>
  <c r="E1064" i="7"/>
  <c r="D1064" i="7"/>
  <c r="C1064" i="7"/>
  <c r="B1064" i="7"/>
  <c r="A1064" i="7"/>
  <c r="K1063" i="7"/>
  <c r="J1063" i="7"/>
  <c r="I1063" i="7"/>
  <c r="H1063" i="7"/>
  <c r="G1063" i="7"/>
  <c r="F1063" i="7"/>
  <c r="E1063" i="7"/>
  <c r="D1063" i="7"/>
  <c r="C1063" i="7"/>
  <c r="B1063" i="7"/>
  <c r="A1063" i="7"/>
  <c r="K1062" i="7"/>
  <c r="J1062" i="7"/>
  <c r="I1062" i="7"/>
  <c r="H1062" i="7"/>
  <c r="G1062" i="7"/>
  <c r="F1062" i="7"/>
  <c r="E1062" i="7"/>
  <c r="D1062" i="7"/>
  <c r="C1062" i="7"/>
  <c r="B1062" i="7"/>
  <c r="A1062" i="7"/>
  <c r="K1061" i="7"/>
  <c r="J1061" i="7"/>
  <c r="I1061" i="7"/>
  <c r="H1061" i="7"/>
  <c r="G1061" i="7"/>
  <c r="F1061" i="7"/>
  <c r="E1061" i="7"/>
  <c r="D1061" i="7"/>
  <c r="C1061" i="7"/>
  <c r="B1061" i="7"/>
  <c r="A1061" i="7"/>
  <c r="K1060" i="7"/>
  <c r="J1060" i="7"/>
  <c r="I1060" i="7"/>
  <c r="H1060" i="7"/>
  <c r="G1060" i="7"/>
  <c r="F1060" i="7"/>
  <c r="E1060" i="7"/>
  <c r="D1060" i="7"/>
  <c r="C1060" i="7"/>
  <c r="B1060" i="7"/>
  <c r="A1060" i="7"/>
  <c r="K1059" i="7"/>
  <c r="J1059" i="7"/>
  <c r="I1059" i="7"/>
  <c r="H1059" i="7"/>
  <c r="G1059" i="7"/>
  <c r="F1059" i="7"/>
  <c r="E1059" i="7"/>
  <c r="D1059" i="7"/>
  <c r="C1059" i="7"/>
  <c r="B1059" i="7"/>
  <c r="A1059" i="7"/>
  <c r="K1058" i="7"/>
  <c r="J1058" i="7"/>
  <c r="I1058" i="7"/>
  <c r="H1058" i="7"/>
  <c r="G1058" i="7"/>
  <c r="F1058" i="7"/>
  <c r="E1058" i="7"/>
  <c r="D1058" i="7"/>
  <c r="C1058" i="7"/>
  <c r="B1058" i="7"/>
  <c r="A1058" i="7"/>
  <c r="K1057" i="7"/>
  <c r="J1057" i="7"/>
  <c r="I1057" i="7"/>
  <c r="H1057" i="7"/>
  <c r="G1057" i="7"/>
  <c r="F1057" i="7"/>
  <c r="E1057" i="7"/>
  <c r="D1057" i="7"/>
  <c r="C1057" i="7"/>
  <c r="B1057" i="7"/>
  <c r="A1057" i="7"/>
  <c r="K1056" i="7"/>
  <c r="J1056" i="7"/>
  <c r="I1056" i="7"/>
  <c r="H1056" i="7"/>
  <c r="G1056" i="7"/>
  <c r="F1056" i="7"/>
  <c r="E1056" i="7"/>
  <c r="D1056" i="7"/>
  <c r="C1056" i="7"/>
  <c r="B1056" i="7"/>
  <c r="A1056" i="7"/>
  <c r="K1055" i="7"/>
  <c r="J1055" i="7"/>
  <c r="I1055" i="7"/>
  <c r="H1055" i="7"/>
  <c r="G1055" i="7"/>
  <c r="F1055" i="7"/>
  <c r="E1055" i="7"/>
  <c r="D1055" i="7"/>
  <c r="C1055" i="7"/>
  <c r="B1055" i="7"/>
  <c r="A1055" i="7"/>
  <c r="K1054" i="7"/>
  <c r="J1054" i="7"/>
  <c r="I1054" i="7"/>
  <c r="H1054" i="7"/>
  <c r="G1054" i="7"/>
  <c r="F1054" i="7"/>
  <c r="E1054" i="7"/>
  <c r="D1054" i="7"/>
  <c r="C1054" i="7"/>
  <c r="B1054" i="7"/>
  <c r="A1054" i="7"/>
  <c r="K1053" i="7"/>
  <c r="J1053" i="7"/>
  <c r="I1053" i="7"/>
  <c r="H1053" i="7"/>
  <c r="G1053" i="7"/>
  <c r="F1053" i="7"/>
  <c r="E1053" i="7"/>
  <c r="D1053" i="7"/>
  <c r="C1053" i="7"/>
  <c r="B1053" i="7"/>
  <c r="A1053" i="7"/>
  <c r="K1052" i="7"/>
  <c r="J1052" i="7"/>
  <c r="I1052" i="7"/>
  <c r="H1052" i="7"/>
  <c r="G1052" i="7"/>
  <c r="F1052" i="7"/>
  <c r="E1052" i="7"/>
  <c r="D1052" i="7"/>
  <c r="C1052" i="7"/>
  <c r="B1052" i="7"/>
  <c r="A1052" i="7"/>
  <c r="K1051" i="7"/>
  <c r="J1051" i="7"/>
  <c r="I1051" i="7"/>
  <c r="H1051" i="7"/>
  <c r="G1051" i="7"/>
  <c r="F1051" i="7"/>
  <c r="E1051" i="7"/>
  <c r="D1051" i="7"/>
  <c r="C1051" i="7"/>
  <c r="B1051" i="7"/>
  <c r="A1051" i="7"/>
  <c r="K1050" i="7"/>
  <c r="J1050" i="7"/>
  <c r="I1050" i="7"/>
  <c r="H1050" i="7"/>
  <c r="G1050" i="7"/>
  <c r="F1050" i="7"/>
  <c r="E1050" i="7"/>
  <c r="D1050" i="7"/>
  <c r="C1050" i="7"/>
  <c r="B1050" i="7"/>
  <c r="A1050" i="7"/>
  <c r="K1049" i="7"/>
  <c r="J1049" i="7"/>
  <c r="I1049" i="7"/>
  <c r="H1049" i="7"/>
  <c r="G1049" i="7"/>
  <c r="F1049" i="7"/>
  <c r="E1049" i="7"/>
  <c r="D1049" i="7"/>
  <c r="C1049" i="7"/>
  <c r="B1049" i="7"/>
  <c r="A1049" i="7"/>
  <c r="K1048" i="7"/>
  <c r="J1048" i="7"/>
  <c r="I1048" i="7"/>
  <c r="H1048" i="7"/>
  <c r="G1048" i="7"/>
  <c r="F1048" i="7"/>
  <c r="E1048" i="7"/>
  <c r="D1048" i="7"/>
  <c r="C1048" i="7"/>
  <c r="B1048" i="7"/>
  <c r="A1048" i="7"/>
  <c r="K1047" i="7"/>
  <c r="J1047" i="7"/>
  <c r="I1047" i="7"/>
  <c r="H1047" i="7"/>
  <c r="G1047" i="7"/>
  <c r="F1047" i="7"/>
  <c r="E1047" i="7"/>
  <c r="D1047" i="7"/>
  <c r="C1047" i="7"/>
  <c r="B1047" i="7"/>
  <c r="A1047" i="7"/>
  <c r="K1046" i="7"/>
  <c r="J1046" i="7"/>
  <c r="I1046" i="7"/>
  <c r="H1046" i="7"/>
  <c r="G1046" i="7"/>
  <c r="F1046" i="7"/>
  <c r="E1046" i="7"/>
  <c r="D1046" i="7"/>
  <c r="C1046" i="7"/>
  <c r="B1046" i="7"/>
  <c r="A1046" i="7"/>
  <c r="K1045" i="7"/>
  <c r="J1045" i="7"/>
  <c r="I1045" i="7"/>
  <c r="H1045" i="7"/>
  <c r="G1045" i="7"/>
  <c r="F1045" i="7"/>
  <c r="E1045" i="7"/>
  <c r="D1045" i="7"/>
  <c r="C1045" i="7"/>
  <c r="B1045" i="7"/>
  <c r="A1045" i="7"/>
  <c r="K1044" i="7"/>
  <c r="J1044" i="7"/>
  <c r="I1044" i="7"/>
  <c r="H1044" i="7"/>
  <c r="G1044" i="7"/>
  <c r="F1044" i="7"/>
  <c r="E1044" i="7"/>
  <c r="D1044" i="7"/>
  <c r="C1044" i="7"/>
  <c r="B1044" i="7"/>
  <c r="A1044" i="7"/>
  <c r="K1043" i="7"/>
  <c r="J1043" i="7"/>
  <c r="I1043" i="7"/>
  <c r="H1043" i="7"/>
  <c r="G1043" i="7"/>
  <c r="F1043" i="7"/>
  <c r="E1043" i="7"/>
  <c r="D1043" i="7"/>
  <c r="C1043" i="7"/>
  <c r="B1043" i="7"/>
  <c r="A1043" i="7"/>
  <c r="K1042" i="7"/>
  <c r="J1042" i="7"/>
  <c r="I1042" i="7"/>
  <c r="H1042" i="7"/>
  <c r="G1042" i="7"/>
  <c r="F1042" i="7"/>
  <c r="E1042" i="7"/>
  <c r="D1042" i="7"/>
  <c r="C1042" i="7"/>
  <c r="B1042" i="7"/>
  <c r="A1042" i="7"/>
  <c r="K1041" i="7"/>
  <c r="J1041" i="7"/>
  <c r="I1041" i="7"/>
  <c r="H1041" i="7"/>
  <c r="G1041" i="7"/>
  <c r="F1041" i="7"/>
  <c r="E1041" i="7"/>
  <c r="D1041" i="7"/>
  <c r="C1041" i="7"/>
  <c r="B1041" i="7"/>
  <c r="A1041" i="7"/>
  <c r="K1040" i="7"/>
  <c r="J1040" i="7"/>
  <c r="I1040" i="7"/>
  <c r="H1040" i="7"/>
  <c r="G1040" i="7"/>
  <c r="F1040" i="7"/>
  <c r="E1040" i="7"/>
  <c r="D1040" i="7"/>
  <c r="C1040" i="7"/>
  <c r="B1040" i="7"/>
  <c r="A1040" i="7"/>
  <c r="K1039" i="7"/>
  <c r="J1039" i="7"/>
  <c r="I1039" i="7"/>
  <c r="H1039" i="7"/>
  <c r="G1039" i="7"/>
  <c r="F1039" i="7"/>
  <c r="E1039" i="7"/>
  <c r="D1039" i="7"/>
  <c r="C1039" i="7"/>
  <c r="B1039" i="7"/>
  <c r="A1039" i="7"/>
  <c r="K1038" i="7"/>
  <c r="J1038" i="7"/>
  <c r="I1038" i="7"/>
  <c r="H1038" i="7"/>
  <c r="G1038" i="7"/>
  <c r="F1038" i="7"/>
  <c r="E1038" i="7"/>
  <c r="D1038" i="7"/>
  <c r="C1038" i="7"/>
  <c r="B1038" i="7"/>
  <c r="A1038" i="7"/>
  <c r="K1037" i="7"/>
  <c r="J1037" i="7"/>
  <c r="I1037" i="7"/>
  <c r="H1037" i="7"/>
  <c r="G1037" i="7"/>
  <c r="F1037" i="7"/>
  <c r="E1037" i="7"/>
  <c r="D1037" i="7"/>
  <c r="C1037" i="7"/>
  <c r="B1037" i="7"/>
  <c r="A1037" i="7"/>
  <c r="K1036" i="7"/>
  <c r="J1036" i="7"/>
  <c r="I1036" i="7"/>
  <c r="H1036" i="7"/>
  <c r="G1036" i="7"/>
  <c r="F1036" i="7"/>
  <c r="E1036" i="7"/>
  <c r="D1036" i="7"/>
  <c r="C1036" i="7"/>
  <c r="B1036" i="7"/>
  <c r="A1036" i="7"/>
  <c r="K1035" i="7"/>
  <c r="J1035" i="7"/>
  <c r="I1035" i="7"/>
  <c r="H1035" i="7"/>
  <c r="G1035" i="7"/>
  <c r="F1035" i="7"/>
  <c r="E1035" i="7"/>
  <c r="D1035" i="7"/>
  <c r="C1035" i="7"/>
  <c r="B1035" i="7"/>
  <c r="A1035" i="7"/>
  <c r="K1034" i="7"/>
  <c r="J1034" i="7"/>
  <c r="I1034" i="7"/>
  <c r="H1034" i="7"/>
  <c r="G1034" i="7"/>
  <c r="F1034" i="7"/>
  <c r="E1034" i="7"/>
  <c r="D1034" i="7"/>
  <c r="C1034" i="7"/>
  <c r="B1034" i="7"/>
  <c r="A1034" i="7"/>
  <c r="K1033" i="7"/>
  <c r="J1033" i="7"/>
  <c r="I1033" i="7"/>
  <c r="H1033" i="7"/>
  <c r="G1033" i="7"/>
  <c r="F1033" i="7"/>
  <c r="E1033" i="7"/>
  <c r="D1033" i="7"/>
  <c r="C1033" i="7"/>
  <c r="B1033" i="7"/>
  <c r="A1033" i="7"/>
  <c r="K1032" i="7"/>
  <c r="J1032" i="7"/>
  <c r="I1032" i="7"/>
  <c r="H1032" i="7"/>
  <c r="G1032" i="7"/>
  <c r="F1032" i="7"/>
  <c r="E1032" i="7"/>
  <c r="D1032" i="7"/>
  <c r="C1032" i="7"/>
  <c r="B1032" i="7"/>
  <c r="A1032" i="7"/>
  <c r="K1031" i="7"/>
  <c r="J1031" i="7"/>
  <c r="I1031" i="7"/>
  <c r="H1031" i="7"/>
  <c r="G1031" i="7"/>
  <c r="F1031" i="7"/>
  <c r="E1031" i="7"/>
  <c r="D1031" i="7"/>
  <c r="C1031" i="7"/>
  <c r="B1031" i="7"/>
  <c r="A1031" i="7"/>
  <c r="K1030" i="7"/>
  <c r="J1030" i="7"/>
  <c r="I1030" i="7"/>
  <c r="H1030" i="7"/>
  <c r="G1030" i="7"/>
  <c r="F1030" i="7"/>
  <c r="E1030" i="7"/>
  <c r="D1030" i="7"/>
  <c r="C1030" i="7"/>
  <c r="B1030" i="7"/>
  <c r="A1030" i="7"/>
  <c r="K1029" i="7"/>
  <c r="J1029" i="7"/>
  <c r="I1029" i="7"/>
  <c r="H1029" i="7"/>
  <c r="G1029" i="7"/>
  <c r="F1029" i="7"/>
  <c r="E1029" i="7"/>
  <c r="D1029" i="7"/>
  <c r="C1029" i="7"/>
  <c r="B1029" i="7"/>
  <c r="A1029" i="7"/>
  <c r="K1028" i="7"/>
  <c r="J1028" i="7"/>
  <c r="I1028" i="7"/>
  <c r="H1028" i="7"/>
  <c r="G1028" i="7"/>
  <c r="F1028" i="7"/>
  <c r="E1028" i="7"/>
  <c r="D1028" i="7"/>
  <c r="C1028" i="7"/>
  <c r="B1028" i="7"/>
  <c r="A1028" i="7"/>
  <c r="K1027" i="7"/>
  <c r="J1027" i="7"/>
  <c r="I1027" i="7"/>
  <c r="H1027" i="7"/>
  <c r="G1027" i="7"/>
  <c r="F1027" i="7"/>
  <c r="E1027" i="7"/>
  <c r="D1027" i="7"/>
  <c r="C1027" i="7"/>
  <c r="B1027" i="7"/>
  <c r="A1027" i="7"/>
  <c r="K1026" i="7"/>
  <c r="J1026" i="7"/>
  <c r="I1026" i="7"/>
  <c r="H1026" i="7"/>
  <c r="G1026" i="7"/>
  <c r="F1026" i="7"/>
  <c r="E1026" i="7"/>
  <c r="D1026" i="7"/>
  <c r="C1026" i="7"/>
  <c r="B1026" i="7"/>
  <c r="A1026" i="7"/>
  <c r="K1025" i="7"/>
  <c r="J1025" i="7"/>
  <c r="I1025" i="7"/>
  <c r="H1025" i="7"/>
  <c r="G1025" i="7"/>
  <c r="F1025" i="7"/>
  <c r="E1025" i="7"/>
  <c r="D1025" i="7"/>
  <c r="C1025" i="7"/>
  <c r="B1025" i="7"/>
  <c r="A1025" i="7"/>
  <c r="K1024" i="7"/>
  <c r="J1024" i="7"/>
  <c r="I1024" i="7"/>
  <c r="H1024" i="7"/>
  <c r="G1024" i="7"/>
  <c r="F1024" i="7"/>
  <c r="E1024" i="7"/>
  <c r="D1024" i="7"/>
  <c r="C1024" i="7"/>
  <c r="B1024" i="7"/>
  <c r="A1024" i="7"/>
  <c r="K1023" i="7"/>
  <c r="J1023" i="7"/>
  <c r="I1023" i="7"/>
  <c r="H1023" i="7"/>
  <c r="G1023" i="7"/>
  <c r="F1023" i="7"/>
  <c r="E1023" i="7"/>
  <c r="D1023" i="7"/>
  <c r="C1023" i="7"/>
  <c r="B1023" i="7"/>
  <c r="A1023" i="7"/>
  <c r="K1022" i="7"/>
  <c r="J1022" i="7"/>
  <c r="I1022" i="7"/>
  <c r="H1022" i="7"/>
  <c r="G1022" i="7"/>
  <c r="F1022" i="7"/>
  <c r="E1022" i="7"/>
  <c r="D1022" i="7"/>
  <c r="C1022" i="7"/>
  <c r="B1022" i="7"/>
  <c r="A1022" i="7"/>
  <c r="K1021" i="7"/>
  <c r="J1021" i="7"/>
  <c r="I1021" i="7"/>
  <c r="H1021" i="7"/>
  <c r="G1021" i="7"/>
  <c r="F1021" i="7"/>
  <c r="E1021" i="7"/>
  <c r="D1021" i="7"/>
  <c r="C1021" i="7"/>
  <c r="B1021" i="7"/>
  <c r="A1021" i="7"/>
  <c r="K1020" i="7"/>
  <c r="J1020" i="7"/>
  <c r="I1020" i="7"/>
  <c r="H1020" i="7"/>
  <c r="G1020" i="7"/>
  <c r="F1020" i="7"/>
  <c r="E1020" i="7"/>
  <c r="D1020" i="7"/>
  <c r="C1020" i="7"/>
  <c r="B1020" i="7"/>
  <c r="A1020" i="7"/>
  <c r="K1019" i="7"/>
  <c r="J1019" i="7"/>
  <c r="I1019" i="7"/>
  <c r="H1019" i="7"/>
  <c r="G1019" i="7"/>
  <c r="F1019" i="7"/>
  <c r="E1019" i="7"/>
  <c r="D1019" i="7"/>
  <c r="C1019" i="7"/>
  <c r="B1019" i="7"/>
  <c r="A1019" i="7"/>
  <c r="K1018" i="7"/>
  <c r="J1018" i="7"/>
  <c r="I1018" i="7"/>
  <c r="H1018" i="7"/>
  <c r="G1018" i="7"/>
  <c r="F1018" i="7"/>
  <c r="E1018" i="7"/>
  <c r="D1018" i="7"/>
  <c r="C1018" i="7"/>
  <c r="B1018" i="7"/>
  <c r="A1018" i="7"/>
  <c r="K1017" i="7"/>
  <c r="J1017" i="7"/>
  <c r="I1017" i="7"/>
  <c r="H1017" i="7"/>
  <c r="G1017" i="7"/>
  <c r="F1017" i="7"/>
  <c r="E1017" i="7"/>
  <c r="D1017" i="7"/>
  <c r="C1017" i="7"/>
  <c r="B1017" i="7"/>
  <c r="A1017" i="7"/>
  <c r="K1016" i="7"/>
  <c r="J1016" i="7"/>
  <c r="I1016" i="7"/>
  <c r="H1016" i="7"/>
  <c r="G1016" i="7"/>
  <c r="F1016" i="7"/>
  <c r="E1016" i="7"/>
  <c r="D1016" i="7"/>
  <c r="C1016" i="7"/>
  <c r="B1016" i="7"/>
  <c r="A1016" i="7"/>
  <c r="K1015" i="7"/>
  <c r="J1015" i="7"/>
  <c r="I1015" i="7"/>
  <c r="H1015" i="7"/>
  <c r="G1015" i="7"/>
  <c r="F1015" i="7"/>
  <c r="E1015" i="7"/>
  <c r="D1015" i="7"/>
  <c r="C1015" i="7"/>
  <c r="B1015" i="7"/>
  <c r="A1015" i="7"/>
  <c r="K1014" i="7"/>
  <c r="J1014" i="7"/>
  <c r="I1014" i="7"/>
  <c r="H1014" i="7"/>
  <c r="G1014" i="7"/>
  <c r="F1014" i="7"/>
  <c r="E1014" i="7"/>
  <c r="D1014" i="7"/>
  <c r="C1014" i="7"/>
  <c r="B1014" i="7"/>
  <c r="A1014" i="7"/>
  <c r="K1013" i="7"/>
  <c r="J1013" i="7"/>
  <c r="I1013" i="7"/>
  <c r="H1013" i="7"/>
  <c r="G1013" i="7"/>
  <c r="F1013" i="7"/>
  <c r="E1013" i="7"/>
  <c r="D1013" i="7"/>
  <c r="C1013" i="7"/>
  <c r="B1013" i="7"/>
  <c r="A1013" i="7"/>
  <c r="K1012" i="7"/>
  <c r="J1012" i="7"/>
  <c r="I1012" i="7"/>
  <c r="H1012" i="7"/>
  <c r="G1012" i="7"/>
  <c r="F1012" i="7"/>
  <c r="E1012" i="7"/>
  <c r="D1012" i="7"/>
  <c r="C1012" i="7"/>
  <c r="B1012" i="7"/>
  <c r="A1012" i="7"/>
  <c r="K1011" i="7"/>
  <c r="J1011" i="7"/>
  <c r="I1011" i="7"/>
  <c r="H1011" i="7"/>
  <c r="G1011" i="7"/>
  <c r="F1011" i="7"/>
  <c r="E1011" i="7"/>
  <c r="D1011" i="7"/>
  <c r="C1011" i="7"/>
  <c r="B1011" i="7"/>
  <c r="A1011" i="7"/>
  <c r="K1010" i="7"/>
  <c r="J1010" i="7"/>
  <c r="I1010" i="7"/>
  <c r="H1010" i="7"/>
  <c r="G1010" i="7"/>
  <c r="F1010" i="7"/>
  <c r="E1010" i="7"/>
  <c r="D1010" i="7"/>
  <c r="C1010" i="7"/>
  <c r="B1010" i="7"/>
  <c r="A1010" i="7"/>
  <c r="K1009" i="7"/>
  <c r="J1009" i="7"/>
  <c r="I1009" i="7"/>
  <c r="H1009" i="7"/>
  <c r="G1009" i="7"/>
  <c r="F1009" i="7"/>
  <c r="E1009" i="7"/>
  <c r="D1009" i="7"/>
  <c r="C1009" i="7"/>
  <c r="B1009" i="7"/>
  <c r="A1009" i="7"/>
  <c r="K1008" i="7"/>
  <c r="J1008" i="7"/>
  <c r="I1008" i="7"/>
  <c r="H1008" i="7"/>
  <c r="G1008" i="7"/>
  <c r="F1008" i="7"/>
  <c r="E1008" i="7"/>
  <c r="D1008" i="7"/>
  <c r="C1008" i="7"/>
  <c r="B1008" i="7"/>
  <c r="A1008" i="7"/>
  <c r="K1007" i="7"/>
  <c r="J1007" i="7"/>
  <c r="I1007" i="7"/>
  <c r="H1007" i="7"/>
  <c r="G1007" i="7"/>
  <c r="F1007" i="7"/>
  <c r="E1007" i="7"/>
  <c r="D1007" i="7"/>
  <c r="C1007" i="7"/>
  <c r="B1007" i="7"/>
  <c r="A1007" i="7"/>
  <c r="K1006" i="7"/>
  <c r="J1006" i="7"/>
  <c r="I1006" i="7"/>
  <c r="H1006" i="7"/>
  <c r="G1006" i="7"/>
  <c r="F1006" i="7"/>
  <c r="E1006" i="7"/>
  <c r="D1006" i="7"/>
  <c r="C1006" i="7"/>
  <c r="B1006" i="7"/>
  <c r="A1006" i="7"/>
  <c r="K1005" i="7"/>
  <c r="J1005" i="7"/>
  <c r="I1005" i="7"/>
  <c r="H1005" i="7"/>
  <c r="G1005" i="7"/>
  <c r="F1005" i="7"/>
  <c r="E1005" i="7"/>
  <c r="D1005" i="7"/>
  <c r="C1005" i="7"/>
  <c r="B1005" i="7"/>
  <c r="A1005" i="7"/>
  <c r="K1004" i="7"/>
  <c r="J1004" i="7"/>
  <c r="I1004" i="7"/>
  <c r="H1004" i="7"/>
  <c r="G1004" i="7"/>
  <c r="F1004" i="7"/>
  <c r="E1004" i="7"/>
  <c r="D1004" i="7"/>
  <c r="C1004" i="7"/>
  <c r="B1004" i="7"/>
  <c r="A1004" i="7"/>
  <c r="K1003" i="7"/>
  <c r="J1003" i="7"/>
  <c r="I1003" i="7"/>
  <c r="H1003" i="7"/>
  <c r="G1003" i="7"/>
  <c r="F1003" i="7"/>
  <c r="E1003" i="7"/>
  <c r="D1003" i="7"/>
  <c r="C1003" i="7"/>
  <c r="B1003" i="7"/>
  <c r="A1003" i="7"/>
  <c r="K1002" i="7"/>
  <c r="J1002" i="7"/>
  <c r="I1002" i="7"/>
  <c r="H1002" i="7"/>
  <c r="G1002" i="7"/>
  <c r="F1002" i="7"/>
  <c r="E1002" i="7"/>
  <c r="D1002" i="7"/>
  <c r="C1002" i="7"/>
  <c r="B1002" i="7"/>
  <c r="A1002" i="7"/>
  <c r="K1001" i="7"/>
  <c r="J1001" i="7"/>
  <c r="I1001" i="7"/>
  <c r="H1001" i="7"/>
  <c r="G1001" i="7"/>
  <c r="F1001" i="7"/>
  <c r="E1001" i="7"/>
  <c r="D1001" i="7"/>
  <c r="C1001" i="7"/>
  <c r="B1001" i="7"/>
  <c r="A1001" i="7"/>
  <c r="K1000" i="7"/>
  <c r="J1000" i="7"/>
  <c r="I1000" i="7"/>
  <c r="H1000" i="7"/>
  <c r="G1000" i="7"/>
  <c r="F1000" i="7"/>
  <c r="E1000" i="7"/>
  <c r="D1000" i="7"/>
  <c r="C1000" i="7"/>
  <c r="B1000" i="7"/>
  <c r="A1000" i="7"/>
  <c r="K999" i="7"/>
  <c r="J999" i="7"/>
  <c r="I999" i="7"/>
  <c r="H999" i="7"/>
  <c r="G999" i="7"/>
  <c r="F999" i="7"/>
  <c r="E999" i="7"/>
  <c r="D999" i="7"/>
  <c r="C999" i="7"/>
  <c r="B999" i="7"/>
  <c r="A999" i="7"/>
  <c r="K998" i="7"/>
  <c r="J998" i="7"/>
  <c r="I998" i="7"/>
  <c r="H998" i="7"/>
  <c r="G998" i="7"/>
  <c r="F998" i="7"/>
  <c r="E998" i="7"/>
  <c r="D998" i="7"/>
  <c r="C998" i="7"/>
  <c r="B998" i="7"/>
  <c r="A998" i="7"/>
  <c r="K997" i="7"/>
  <c r="J997" i="7"/>
  <c r="I997" i="7"/>
  <c r="H997" i="7"/>
  <c r="G997" i="7"/>
  <c r="F997" i="7"/>
  <c r="E997" i="7"/>
  <c r="D997" i="7"/>
  <c r="C997" i="7"/>
  <c r="B997" i="7"/>
  <c r="A997" i="7"/>
  <c r="K996" i="7"/>
  <c r="J996" i="7"/>
  <c r="I996" i="7"/>
  <c r="H996" i="7"/>
  <c r="G996" i="7"/>
  <c r="F996" i="7"/>
  <c r="E996" i="7"/>
  <c r="D996" i="7"/>
  <c r="C996" i="7"/>
  <c r="B996" i="7"/>
  <c r="A996" i="7"/>
  <c r="K995" i="7"/>
  <c r="J995" i="7"/>
  <c r="I995" i="7"/>
  <c r="H995" i="7"/>
  <c r="G995" i="7"/>
  <c r="F995" i="7"/>
  <c r="E995" i="7"/>
  <c r="D995" i="7"/>
  <c r="C995" i="7"/>
  <c r="B995" i="7"/>
  <c r="A995" i="7"/>
  <c r="K994" i="7"/>
  <c r="J994" i="7"/>
  <c r="I994" i="7"/>
  <c r="H994" i="7"/>
  <c r="G994" i="7"/>
  <c r="F994" i="7"/>
  <c r="E994" i="7"/>
  <c r="D994" i="7"/>
  <c r="C994" i="7"/>
  <c r="B994" i="7"/>
  <c r="A994" i="7"/>
  <c r="K993" i="7"/>
  <c r="J993" i="7"/>
  <c r="I993" i="7"/>
  <c r="H993" i="7"/>
  <c r="G993" i="7"/>
  <c r="F993" i="7"/>
  <c r="E993" i="7"/>
  <c r="D993" i="7"/>
  <c r="C993" i="7"/>
  <c r="B993" i="7"/>
  <c r="A993" i="7"/>
  <c r="K992" i="7"/>
  <c r="J992" i="7"/>
  <c r="I992" i="7"/>
  <c r="H992" i="7"/>
  <c r="G992" i="7"/>
  <c r="F992" i="7"/>
  <c r="E992" i="7"/>
  <c r="D992" i="7"/>
  <c r="C992" i="7"/>
  <c r="B992" i="7"/>
  <c r="A992" i="7"/>
  <c r="K991" i="7"/>
  <c r="J991" i="7"/>
  <c r="I991" i="7"/>
  <c r="H991" i="7"/>
  <c r="G991" i="7"/>
  <c r="F991" i="7"/>
  <c r="E991" i="7"/>
  <c r="D991" i="7"/>
  <c r="C991" i="7"/>
  <c r="B991" i="7"/>
  <c r="A991" i="7"/>
  <c r="K990" i="7"/>
  <c r="J990" i="7"/>
  <c r="I990" i="7"/>
  <c r="H990" i="7"/>
  <c r="G990" i="7"/>
  <c r="F990" i="7"/>
  <c r="E990" i="7"/>
  <c r="D990" i="7"/>
  <c r="C990" i="7"/>
  <c r="B990" i="7"/>
  <c r="A990" i="7"/>
  <c r="K989" i="7"/>
  <c r="J989" i="7"/>
  <c r="I989" i="7"/>
  <c r="H989" i="7"/>
  <c r="G989" i="7"/>
  <c r="F989" i="7"/>
  <c r="E989" i="7"/>
  <c r="D989" i="7"/>
  <c r="C989" i="7"/>
  <c r="B989" i="7"/>
  <c r="A989" i="7"/>
  <c r="K988" i="7"/>
  <c r="J988" i="7"/>
  <c r="I988" i="7"/>
  <c r="H988" i="7"/>
  <c r="G988" i="7"/>
  <c r="F988" i="7"/>
  <c r="E988" i="7"/>
  <c r="D988" i="7"/>
  <c r="C988" i="7"/>
  <c r="B988" i="7"/>
  <c r="A988" i="7"/>
  <c r="K987" i="7"/>
  <c r="J987" i="7"/>
  <c r="I987" i="7"/>
  <c r="H987" i="7"/>
  <c r="G987" i="7"/>
  <c r="F987" i="7"/>
  <c r="E987" i="7"/>
  <c r="D987" i="7"/>
  <c r="C987" i="7"/>
  <c r="B987" i="7"/>
  <c r="A987" i="7"/>
  <c r="K986" i="7"/>
  <c r="J986" i="7"/>
  <c r="I986" i="7"/>
  <c r="H986" i="7"/>
  <c r="G986" i="7"/>
  <c r="F986" i="7"/>
  <c r="E986" i="7"/>
  <c r="D986" i="7"/>
  <c r="C986" i="7"/>
  <c r="B986" i="7"/>
  <c r="A986" i="7"/>
  <c r="K985" i="7"/>
  <c r="J985" i="7"/>
  <c r="I985" i="7"/>
  <c r="H985" i="7"/>
  <c r="G985" i="7"/>
  <c r="F985" i="7"/>
  <c r="E985" i="7"/>
  <c r="D985" i="7"/>
  <c r="C985" i="7"/>
  <c r="B985" i="7"/>
  <c r="A985" i="7"/>
  <c r="K984" i="7"/>
  <c r="J984" i="7"/>
  <c r="I984" i="7"/>
  <c r="H984" i="7"/>
  <c r="G984" i="7"/>
  <c r="F984" i="7"/>
  <c r="E984" i="7"/>
  <c r="D984" i="7"/>
  <c r="C984" i="7"/>
  <c r="B984" i="7"/>
  <c r="A984" i="7"/>
  <c r="K983" i="7"/>
  <c r="J983" i="7"/>
  <c r="I983" i="7"/>
  <c r="H983" i="7"/>
  <c r="G983" i="7"/>
  <c r="F983" i="7"/>
  <c r="E983" i="7"/>
  <c r="D983" i="7"/>
  <c r="C983" i="7"/>
  <c r="B983" i="7"/>
  <c r="A983" i="7"/>
  <c r="K982" i="7"/>
  <c r="J982" i="7"/>
  <c r="I982" i="7"/>
  <c r="H982" i="7"/>
  <c r="G982" i="7"/>
  <c r="F982" i="7"/>
  <c r="E982" i="7"/>
  <c r="D982" i="7"/>
  <c r="C982" i="7"/>
  <c r="B982" i="7"/>
  <c r="A982" i="7"/>
  <c r="K981" i="7"/>
  <c r="J981" i="7"/>
  <c r="I981" i="7"/>
  <c r="H981" i="7"/>
  <c r="G981" i="7"/>
  <c r="F981" i="7"/>
  <c r="E981" i="7"/>
  <c r="D981" i="7"/>
  <c r="C981" i="7"/>
  <c r="B981" i="7"/>
  <c r="A981" i="7"/>
  <c r="K980" i="7"/>
  <c r="J980" i="7"/>
  <c r="I980" i="7"/>
  <c r="H980" i="7"/>
  <c r="G980" i="7"/>
  <c r="F980" i="7"/>
  <c r="E980" i="7"/>
  <c r="D980" i="7"/>
  <c r="C980" i="7"/>
  <c r="B980" i="7"/>
  <c r="A980" i="7"/>
  <c r="K979" i="7"/>
  <c r="J979" i="7"/>
  <c r="I979" i="7"/>
  <c r="H979" i="7"/>
  <c r="G979" i="7"/>
  <c r="F979" i="7"/>
  <c r="E979" i="7"/>
  <c r="D979" i="7"/>
  <c r="C979" i="7"/>
  <c r="B979" i="7"/>
  <c r="A979" i="7"/>
  <c r="K978" i="7"/>
  <c r="J978" i="7"/>
  <c r="I978" i="7"/>
  <c r="H978" i="7"/>
  <c r="G978" i="7"/>
  <c r="F978" i="7"/>
  <c r="E978" i="7"/>
  <c r="D978" i="7"/>
  <c r="C978" i="7"/>
  <c r="B978" i="7"/>
  <c r="A978" i="7"/>
  <c r="K977" i="7"/>
  <c r="J977" i="7"/>
  <c r="I977" i="7"/>
  <c r="H977" i="7"/>
  <c r="G977" i="7"/>
  <c r="F977" i="7"/>
  <c r="E977" i="7"/>
  <c r="D977" i="7"/>
  <c r="C977" i="7"/>
  <c r="B977" i="7"/>
  <c r="A977" i="7"/>
  <c r="K976" i="7"/>
  <c r="J976" i="7"/>
  <c r="I976" i="7"/>
  <c r="H976" i="7"/>
  <c r="G976" i="7"/>
  <c r="F976" i="7"/>
  <c r="E976" i="7"/>
  <c r="D976" i="7"/>
  <c r="C976" i="7"/>
  <c r="B976" i="7"/>
  <c r="A976" i="7"/>
  <c r="K975" i="7"/>
  <c r="J975" i="7"/>
  <c r="I975" i="7"/>
  <c r="H975" i="7"/>
  <c r="G975" i="7"/>
  <c r="F975" i="7"/>
  <c r="E975" i="7"/>
  <c r="D975" i="7"/>
  <c r="C975" i="7"/>
  <c r="B975" i="7"/>
  <c r="A975" i="7"/>
  <c r="K974" i="7"/>
  <c r="J974" i="7"/>
  <c r="I974" i="7"/>
  <c r="H974" i="7"/>
  <c r="G974" i="7"/>
  <c r="F974" i="7"/>
  <c r="E974" i="7"/>
  <c r="D974" i="7"/>
  <c r="C974" i="7"/>
  <c r="B974" i="7"/>
  <c r="A974" i="7"/>
  <c r="K973" i="7"/>
  <c r="J973" i="7"/>
  <c r="I973" i="7"/>
  <c r="H973" i="7"/>
  <c r="G973" i="7"/>
  <c r="F973" i="7"/>
  <c r="E973" i="7"/>
  <c r="D973" i="7"/>
  <c r="C973" i="7"/>
  <c r="B973" i="7"/>
  <c r="A973" i="7"/>
  <c r="K972" i="7"/>
  <c r="J972" i="7"/>
  <c r="I972" i="7"/>
  <c r="H972" i="7"/>
  <c r="G972" i="7"/>
  <c r="F972" i="7"/>
  <c r="E972" i="7"/>
  <c r="D972" i="7"/>
  <c r="C972" i="7"/>
  <c r="B972" i="7"/>
  <c r="A972" i="7"/>
  <c r="K971" i="7"/>
  <c r="J971" i="7"/>
  <c r="I971" i="7"/>
  <c r="H971" i="7"/>
  <c r="G971" i="7"/>
  <c r="F971" i="7"/>
  <c r="E971" i="7"/>
  <c r="D971" i="7"/>
  <c r="C971" i="7"/>
  <c r="B971" i="7"/>
  <c r="A971" i="7"/>
  <c r="K970" i="7"/>
  <c r="J970" i="7"/>
  <c r="I970" i="7"/>
  <c r="H970" i="7"/>
  <c r="G970" i="7"/>
  <c r="F970" i="7"/>
  <c r="E970" i="7"/>
  <c r="D970" i="7"/>
  <c r="C970" i="7"/>
  <c r="B970" i="7"/>
  <c r="A970" i="7"/>
  <c r="K969" i="7"/>
  <c r="J969" i="7"/>
  <c r="I969" i="7"/>
  <c r="H969" i="7"/>
  <c r="G969" i="7"/>
  <c r="F969" i="7"/>
  <c r="E969" i="7"/>
  <c r="D969" i="7"/>
  <c r="C969" i="7"/>
  <c r="B969" i="7"/>
  <c r="A969" i="7"/>
  <c r="K968" i="7"/>
  <c r="J968" i="7"/>
  <c r="I968" i="7"/>
  <c r="H968" i="7"/>
  <c r="G968" i="7"/>
  <c r="F968" i="7"/>
  <c r="E968" i="7"/>
  <c r="D968" i="7"/>
  <c r="C968" i="7"/>
  <c r="B968" i="7"/>
  <c r="A968" i="7"/>
  <c r="K967" i="7"/>
  <c r="J967" i="7"/>
  <c r="I967" i="7"/>
  <c r="H967" i="7"/>
  <c r="G967" i="7"/>
  <c r="F967" i="7"/>
  <c r="E967" i="7"/>
  <c r="D967" i="7"/>
  <c r="C967" i="7"/>
  <c r="B967" i="7"/>
  <c r="A967" i="7"/>
  <c r="K966" i="7"/>
  <c r="J966" i="7"/>
  <c r="I966" i="7"/>
  <c r="H966" i="7"/>
  <c r="G966" i="7"/>
  <c r="F966" i="7"/>
  <c r="E966" i="7"/>
  <c r="D966" i="7"/>
  <c r="C966" i="7"/>
  <c r="B966" i="7"/>
  <c r="A966" i="7"/>
  <c r="K965" i="7"/>
  <c r="J965" i="7"/>
  <c r="I965" i="7"/>
  <c r="H965" i="7"/>
  <c r="G965" i="7"/>
  <c r="F965" i="7"/>
  <c r="E965" i="7"/>
  <c r="D965" i="7"/>
  <c r="C965" i="7"/>
  <c r="B965" i="7"/>
  <c r="A965" i="7"/>
  <c r="K964" i="7"/>
  <c r="J964" i="7"/>
  <c r="I964" i="7"/>
  <c r="H964" i="7"/>
  <c r="G964" i="7"/>
  <c r="F964" i="7"/>
  <c r="E964" i="7"/>
  <c r="D964" i="7"/>
  <c r="C964" i="7"/>
  <c r="B964" i="7"/>
  <c r="A964" i="7"/>
  <c r="K963" i="7"/>
  <c r="J963" i="7"/>
  <c r="I963" i="7"/>
  <c r="H963" i="7"/>
  <c r="G963" i="7"/>
  <c r="F963" i="7"/>
  <c r="E963" i="7"/>
  <c r="D963" i="7"/>
  <c r="C963" i="7"/>
  <c r="B963" i="7"/>
  <c r="A963" i="7"/>
  <c r="K962" i="7"/>
  <c r="J962" i="7"/>
  <c r="I962" i="7"/>
  <c r="H962" i="7"/>
  <c r="G962" i="7"/>
  <c r="F962" i="7"/>
  <c r="E962" i="7"/>
  <c r="D962" i="7"/>
  <c r="C962" i="7"/>
  <c r="B962" i="7"/>
  <c r="A962" i="7"/>
  <c r="K961" i="7"/>
  <c r="J961" i="7"/>
  <c r="I961" i="7"/>
  <c r="H961" i="7"/>
  <c r="G961" i="7"/>
  <c r="F961" i="7"/>
  <c r="E961" i="7"/>
  <c r="D961" i="7"/>
  <c r="C961" i="7"/>
  <c r="B961" i="7"/>
  <c r="A961" i="7"/>
  <c r="K960" i="7"/>
  <c r="J960" i="7"/>
  <c r="I960" i="7"/>
  <c r="H960" i="7"/>
  <c r="G960" i="7"/>
  <c r="F960" i="7"/>
  <c r="E960" i="7"/>
  <c r="D960" i="7"/>
  <c r="C960" i="7"/>
  <c r="B960" i="7"/>
  <c r="A960" i="7"/>
  <c r="K959" i="7"/>
  <c r="J959" i="7"/>
  <c r="I959" i="7"/>
  <c r="H959" i="7"/>
  <c r="G959" i="7"/>
  <c r="F959" i="7"/>
  <c r="E959" i="7"/>
  <c r="D959" i="7"/>
  <c r="C959" i="7"/>
  <c r="B959" i="7"/>
  <c r="A959" i="7"/>
  <c r="K958" i="7"/>
  <c r="J958" i="7"/>
  <c r="I958" i="7"/>
  <c r="H958" i="7"/>
  <c r="G958" i="7"/>
  <c r="F958" i="7"/>
  <c r="E958" i="7"/>
  <c r="D958" i="7"/>
  <c r="C958" i="7"/>
  <c r="B958" i="7"/>
  <c r="A958" i="7"/>
  <c r="K957" i="7"/>
  <c r="J957" i="7"/>
  <c r="I957" i="7"/>
  <c r="H957" i="7"/>
  <c r="G957" i="7"/>
  <c r="F957" i="7"/>
  <c r="E957" i="7"/>
  <c r="D957" i="7"/>
  <c r="C957" i="7"/>
  <c r="B957" i="7"/>
  <c r="A957" i="7"/>
  <c r="K956" i="7"/>
  <c r="J956" i="7"/>
  <c r="I956" i="7"/>
  <c r="H956" i="7"/>
  <c r="G956" i="7"/>
  <c r="F956" i="7"/>
  <c r="E956" i="7"/>
  <c r="D956" i="7"/>
  <c r="C956" i="7"/>
  <c r="B956" i="7"/>
  <c r="A956" i="7"/>
  <c r="K955" i="7"/>
  <c r="J955" i="7"/>
  <c r="I955" i="7"/>
  <c r="H955" i="7"/>
  <c r="G955" i="7"/>
  <c r="F955" i="7"/>
  <c r="E955" i="7"/>
  <c r="D955" i="7"/>
  <c r="C955" i="7"/>
  <c r="B955" i="7"/>
  <c r="A955" i="7"/>
  <c r="K954" i="7"/>
  <c r="J954" i="7"/>
  <c r="I954" i="7"/>
  <c r="H954" i="7"/>
  <c r="G954" i="7"/>
  <c r="F954" i="7"/>
  <c r="E954" i="7"/>
  <c r="D954" i="7"/>
  <c r="C954" i="7"/>
  <c r="B954" i="7"/>
  <c r="A954" i="7"/>
  <c r="K953" i="7"/>
  <c r="J953" i="7"/>
  <c r="I953" i="7"/>
  <c r="H953" i="7"/>
  <c r="G953" i="7"/>
  <c r="F953" i="7"/>
  <c r="E953" i="7"/>
  <c r="D953" i="7"/>
  <c r="C953" i="7"/>
  <c r="B953" i="7"/>
  <c r="A953" i="7"/>
  <c r="K952" i="7"/>
  <c r="J952" i="7"/>
  <c r="I952" i="7"/>
  <c r="H952" i="7"/>
  <c r="G952" i="7"/>
  <c r="F952" i="7"/>
  <c r="E952" i="7"/>
  <c r="D952" i="7"/>
  <c r="C952" i="7"/>
  <c r="B952" i="7"/>
  <c r="A952" i="7"/>
  <c r="K951" i="7"/>
  <c r="J951" i="7"/>
  <c r="I951" i="7"/>
  <c r="H951" i="7"/>
  <c r="G951" i="7"/>
  <c r="F951" i="7"/>
  <c r="E951" i="7"/>
  <c r="D951" i="7"/>
  <c r="C951" i="7"/>
  <c r="B951" i="7"/>
  <c r="A951" i="7"/>
  <c r="K950" i="7"/>
  <c r="J950" i="7"/>
  <c r="I950" i="7"/>
  <c r="H950" i="7"/>
  <c r="G950" i="7"/>
  <c r="F950" i="7"/>
  <c r="E950" i="7"/>
  <c r="D950" i="7"/>
  <c r="C950" i="7"/>
  <c r="B950" i="7"/>
  <c r="A950" i="7"/>
  <c r="K949" i="7"/>
  <c r="J949" i="7"/>
  <c r="I949" i="7"/>
  <c r="H949" i="7"/>
  <c r="G949" i="7"/>
  <c r="F949" i="7"/>
  <c r="E949" i="7"/>
  <c r="D949" i="7"/>
  <c r="C949" i="7"/>
  <c r="B949" i="7"/>
  <c r="A949" i="7"/>
  <c r="K948" i="7"/>
  <c r="J948" i="7"/>
  <c r="I948" i="7"/>
  <c r="H948" i="7"/>
  <c r="G948" i="7"/>
  <c r="F948" i="7"/>
  <c r="E948" i="7"/>
  <c r="D948" i="7"/>
  <c r="C948" i="7"/>
  <c r="B948" i="7"/>
  <c r="A948" i="7"/>
  <c r="K947" i="7"/>
  <c r="J947" i="7"/>
  <c r="I947" i="7"/>
  <c r="H947" i="7"/>
  <c r="G947" i="7"/>
  <c r="F947" i="7"/>
  <c r="E947" i="7"/>
  <c r="D947" i="7"/>
  <c r="C947" i="7"/>
  <c r="B947" i="7"/>
  <c r="A947" i="7"/>
  <c r="K946" i="7"/>
  <c r="J946" i="7"/>
  <c r="I946" i="7"/>
  <c r="H946" i="7"/>
  <c r="G946" i="7"/>
  <c r="F946" i="7"/>
  <c r="E946" i="7"/>
  <c r="D946" i="7"/>
  <c r="C946" i="7"/>
  <c r="B946" i="7"/>
  <c r="A946" i="7"/>
  <c r="K945" i="7"/>
  <c r="J945" i="7"/>
  <c r="I945" i="7"/>
  <c r="H945" i="7"/>
  <c r="G945" i="7"/>
  <c r="F945" i="7"/>
  <c r="E945" i="7"/>
  <c r="D945" i="7"/>
  <c r="C945" i="7"/>
  <c r="B945" i="7"/>
  <c r="A945" i="7"/>
  <c r="K944" i="7"/>
  <c r="J944" i="7"/>
  <c r="I944" i="7"/>
  <c r="H944" i="7"/>
  <c r="G944" i="7"/>
  <c r="F944" i="7"/>
  <c r="E944" i="7"/>
  <c r="D944" i="7"/>
  <c r="C944" i="7"/>
  <c r="B944" i="7"/>
  <c r="A944" i="7"/>
  <c r="K943" i="7"/>
  <c r="J943" i="7"/>
  <c r="I943" i="7"/>
  <c r="H943" i="7"/>
  <c r="G943" i="7"/>
  <c r="F943" i="7"/>
  <c r="E943" i="7"/>
  <c r="D943" i="7"/>
  <c r="C943" i="7"/>
  <c r="B943" i="7"/>
  <c r="A943" i="7"/>
  <c r="K942" i="7"/>
  <c r="J942" i="7"/>
  <c r="I942" i="7"/>
  <c r="H942" i="7"/>
  <c r="G942" i="7"/>
  <c r="F942" i="7"/>
  <c r="E942" i="7"/>
  <c r="D942" i="7"/>
  <c r="C942" i="7"/>
  <c r="B942" i="7"/>
  <c r="A942" i="7"/>
  <c r="K941" i="7"/>
  <c r="J941" i="7"/>
  <c r="I941" i="7"/>
  <c r="H941" i="7"/>
  <c r="G941" i="7"/>
  <c r="F941" i="7"/>
  <c r="E941" i="7"/>
  <c r="D941" i="7"/>
  <c r="C941" i="7"/>
  <c r="B941" i="7"/>
  <c r="A941" i="7"/>
  <c r="K940" i="7"/>
  <c r="J940" i="7"/>
  <c r="I940" i="7"/>
  <c r="H940" i="7"/>
  <c r="G940" i="7"/>
  <c r="F940" i="7"/>
  <c r="E940" i="7"/>
  <c r="D940" i="7"/>
  <c r="C940" i="7"/>
  <c r="B940" i="7"/>
  <c r="A940" i="7"/>
  <c r="K939" i="7"/>
  <c r="J939" i="7"/>
  <c r="I939" i="7"/>
  <c r="H939" i="7"/>
  <c r="G939" i="7"/>
  <c r="F939" i="7"/>
  <c r="E939" i="7"/>
  <c r="D939" i="7"/>
  <c r="C939" i="7"/>
  <c r="B939" i="7"/>
  <c r="A939" i="7"/>
  <c r="K938" i="7"/>
  <c r="J938" i="7"/>
  <c r="I938" i="7"/>
  <c r="H938" i="7"/>
  <c r="G938" i="7"/>
  <c r="F938" i="7"/>
  <c r="E938" i="7"/>
  <c r="D938" i="7"/>
  <c r="C938" i="7"/>
  <c r="B938" i="7"/>
  <c r="A938" i="7"/>
  <c r="K937" i="7"/>
  <c r="J937" i="7"/>
  <c r="I937" i="7"/>
  <c r="H937" i="7"/>
  <c r="G937" i="7"/>
  <c r="F937" i="7"/>
  <c r="E937" i="7"/>
  <c r="D937" i="7"/>
  <c r="C937" i="7"/>
  <c r="B937" i="7"/>
  <c r="A937" i="7"/>
  <c r="K936" i="7"/>
  <c r="J936" i="7"/>
  <c r="I936" i="7"/>
  <c r="H936" i="7"/>
  <c r="G936" i="7"/>
  <c r="F936" i="7"/>
  <c r="E936" i="7"/>
  <c r="D936" i="7"/>
  <c r="C936" i="7"/>
  <c r="B936" i="7"/>
  <c r="A936" i="7"/>
  <c r="K935" i="7"/>
  <c r="J935" i="7"/>
  <c r="I935" i="7"/>
  <c r="H935" i="7"/>
  <c r="G935" i="7"/>
  <c r="F935" i="7"/>
  <c r="E935" i="7"/>
  <c r="D935" i="7"/>
  <c r="C935" i="7"/>
  <c r="B935" i="7"/>
  <c r="A935" i="7"/>
  <c r="K934" i="7"/>
  <c r="J934" i="7"/>
  <c r="I934" i="7"/>
  <c r="H934" i="7"/>
  <c r="G934" i="7"/>
  <c r="F934" i="7"/>
  <c r="E934" i="7"/>
  <c r="D934" i="7"/>
  <c r="C934" i="7"/>
  <c r="B934" i="7"/>
  <c r="A934" i="7"/>
  <c r="K933" i="7"/>
  <c r="J933" i="7"/>
  <c r="I933" i="7"/>
  <c r="H933" i="7"/>
  <c r="G933" i="7"/>
  <c r="F933" i="7"/>
  <c r="E933" i="7"/>
  <c r="D933" i="7"/>
  <c r="C933" i="7"/>
  <c r="B933" i="7"/>
  <c r="A933" i="7"/>
  <c r="K932" i="7"/>
  <c r="J932" i="7"/>
  <c r="I932" i="7"/>
  <c r="H932" i="7"/>
  <c r="G932" i="7"/>
  <c r="F932" i="7"/>
  <c r="E932" i="7"/>
  <c r="D932" i="7"/>
  <c r="C932" i="7"/>
  <c r="B932" i="7"/>
  <c r="A932" i="7"/>
  <c r="K931" i="7"/>
  <c r="J931" i="7"/>
  <c r="I931" i="7"/>
  <c r="H931" i="7"/>
  <c r="G931" i="7"/>
  <c r="F931" i="7"/>
  <c r="E931" i="7"/>
  <c r="D931" i="7"/>
  <c r="C931" i="7"/>
  <c r="B931" i="7"/>
  <c r="A931" i="7"/>
  <c r="K930" i="7"/>
  <c r="J930" i="7"/>
  <c r="I930" i="7"/>
  <c r="H930" i="7"/>
  <c r="G930" i="7"/>
  <c r="F930" i="7"/>
  <c r="E930" i="7"/>
  <c r="D930" i="7"/>
  <c r="C930" i="7"/>
  <c r="B930" i="7"/>
  <c r="A930" i="7"/>
  <c r="K929" i="7"/>
  <c r="J929" i="7"/>
  <c r="I929" i="7"/>
  <c r="H929" i="7"/>
  <c r="G929" i="7"/>
  <c r="F929" i="7"/>
  <c r="E929" i="7"/>
  <c r="D929" i="7"/>
  <c r="C929" i="7"/>
  <c r="B929" i="7"/>
  <c r="A929" i="7"/>
  <c r="K928" i="7"/>
  <c r="J928" i="7"/>
  <c r="I928" i="7"/>
  <c r="H928" i="7"/>
  <c r="G928" i="7"/>
  <c r="F928" i="7"/>
  <c r="E928" i="7"/>
  <c r="D928" i="7"/>
  <c r="C928" i="7"/>
  <c r="B928" i="7"/>
  <c r="A928" i="7"/>
  <c r="K927" i="7"/>
  <c r="J927" i="7"/>
  <c r="I927" i="7"/>
  <c r="H927" i="7"/>
  <c r="G927" i="7"/>
  <c r="F927" i="7"/>
  <c r="E927" i="7"/>
  <c r="D927" i="7"/>
  <c r="C927" i="7"/>
  <c r="B927" i="7"/>
  <c r="A927" i="7"/>
  <c r="K926" i="7"/>
  <c r="J926" i="7"/>
  <c r="I926" i="7"/>
  <c r="H926" i="7"/>
  <c r="G926" i="7"/>
  <c r="F926" i="7"/>
  <c r="E926" i="7"/>
  <c r="D926" i="7"/>
  <c r="C926" i="7"/>
  <c r="B926" i="7"/>
  <c r="A926" i="7"/>
  <c r="K925" i="7"/>
  <c r="J925" i="7"/>
  <c r="I925" i="7"/>
  <c r="H925" i="7"/>
  <c r="G925" i="7"/>
  <c r="F925" i="7"/>
  <c r="E925" i="7"/>
  <c r="D925" i="7"/>
  <c r="C925" i="7"/>
  <c r="B925" i="7"/>
  <c r="A925" i="7"/>
  <c r="K924" i="7"/>
  <c r="J924" i="7"/>
  <c r="I924" i="7"/>
  <c r="H924" i="7"/>
  <c r="G924" i="7"/>
  <c r="F924" i="7"/>
  <c r="E924" i="7"/>
  <c r="D924" i="7"/>
  <c r="C924" i="7"/>
  <c r="B924" i="7"/>
  <c r="A924" i="7"/>
  <c r="K923" i="7"/>
  <c r="J923" i="7"/>
  <c r="I923" i="7"/>
  <c r="H923" i="7"/>
  <c r="G923" i="7"/>
  <c r="F923" i="7"/>
  <c r="E923" i="7"/>
  <c r="D923" i="7"/>
  <c r="C923" i="7"/>
  <c r="B923" i="7"/>
  <c r="A923" i="7"/>
  <c r="K922" i="7"/>
  <c r="J922" i="7"/>
  <c r="I922" i="7"/>
  <c r="H922" i="7"/>
  <c r="G922" i="7"/>
  <c r="F922" i="7"/>
  <c r="E922" i="7"/>
  <c r="D922" i="7"/>
  <c r="C922" i="7"/>
  <c r="B922" i="7"/>
  <c r="A922" i="7"/>
  <c r="K921" i="7"/>
  <c r="J921" i="7"/>
  <c r="I921" i="7"/>
  <c r="H921" i="7"/>
  <c r="G921" i="7"/>
  <c r="F921" i="7"/>
  <c r="E921" i="7"/>
  <c r="D921" i="7"/>
  <c r="C921" i="7"/>
  <c r="B921" i="7"/>
  <c r="A921" i="7"/>
  <c r="K920" i="7"/>
  <c r="J920" i="7"/>
  <c r="I920" i="7"/>
  <c r="H920" i="7"/>
  <c r="G920" i="7"/>
  <c r="F920" i="7"/>
  <c r="E920" i="7"/>
  <c r="D920" i="7"/>
  <c r="C920" i="7"/>
  <c r="B920" i="7"/>
  <c r="A920" i="7"/>
  <c r="K919" i="7"/>
  <c r="J919" i="7"/>
  <c r="I919" i="7"/>
  <c r="H919" i="7"/>
  <c r="G919" i="7"/>
  <c r="F919" i="7"/>
  <c r="E919" i="7"/>
  <c r="D919" i="7"/>
  <c r="C919" i="7"/>
  <c r="B919" i="7"/>
  <c r="A919" i="7"/>
  <c r="K918" i="7"/>
  <c r="J918" i="7"/>
  <c r="I918" i="7"/>
  <c r="H918" i="7"/>
  <c r="G918" i="7"/>
  <c r="F918" i="7"/>
  <c r="E918" i="7"/>
  <c r="D918" i="7"/>
  <c r="C918" i="7"/>
  <c r="B918" i="7"/>
  <c r="A918" i="7"/>
  <c r="K917" i="7"/>
  <c r="J917" i="7"/>
  <c r="I917" i="7"/>
  <c r="H917" i="7"/>
  <c r="G917" i="7"/>
  <c r="F917" i="7"/>
  <c r="E917" i="7"/>
  <c r="D917" i="7"/>
  <c r="C917" i="7"/>
  <c r="B917" i="7"/>
  <c r="A917" i="7"/>
  <c r="K916" i="7"/>
  <c r="J916" i="7"/>
  <c r="I916" i="7"/>
  <c r="H916" i="7"/>
  <c r="G916" i="7"/>
  <c r="F916" i="7"/>
  <c r="E916" i="7"/>
  <c r="D916" i="7"/>
  <c r="C916" i="7"/>
  <c r="B916" i="7"/>
  <c r="A916" i="7"/>
  <c r="K915" i="7"/>
  <c r="J915" i="7"/>
  <c r="I915" i="7"/>
  <c r="H915" i="7"/>
  <c r="G915" i="7"/>
  <c r="F915" i="7"/>
  <c r="E915" i="7"/>
  <c r="D915" i="7"/>
  <c r="C915" i="7"/>
  <c r="B915" i="7"/>
  <c r="A915" i="7"/>
  <c r="K914" i="7"/>
  <c r="J914" i="7"/>
  <c r="I914" i="7"/>
  <c r="H914" i="7"/>
  <c r="G914" i="7"/>
  <c r="F914" i="7"/>
  <c r="E914" i="7"/>
  <c r="D914" i="7"/>
  <c r="C914" i="7"/>
  <c r="B914" i="7"/>
  <c r="A914" i="7"/>
  <c r="K913" i="7"/>
  <c r="J913" i="7"/>
  <c r="I913" i="7"/>
  <c r="H913" i="7"/>
  <c r="G913" i="7"/>
  <c r="F913" i="7"/>
  <c r="E913" i="7"/>
  <c r="D913" i="7"/>
  <c r="C913" i="7"/>
  <c r="B913" i="7"/>
  <c r="A913" i="7"/>
  <c r="K912" i="7"/>
  <c r="J912" i="7"/>
  <c r="I912" i="7"/>
  <c r="H912" i="7"/>
  <c r="G912" i="7"/>
  <c r="F912" i="7"/>
  <c r="E912" i="7"/>
  <c r="D912" i="7"/>
  <c r="C912" i="7"/>
  <c r="B912" i="7"/>
  <c r="A912" i="7"/>
  <c r="K911" i="7"/>
  <c r="J911" i="7"/>
  <c r="I911" i="7"/>
  <c r="H911" i="7"/>
  <c r="G911" i="7"/>
  <c r="F911" i="7"/>
  <c r="E911" i="7"/>
  <c r="D911" i="7"/>
  <c r="C911" i="7"/>
  <c r="B911" i="7"/>
  <c r="A911" i="7"/>
  <c r="K910" i="7"/>
  <c r="J910" i="7"/>
  <c r="I910" i="7"/>
  <c r="H910" i="7"/>
  <c r="G910" i="7"/>
  <c r="F910" i="7"/>
  <c r="E910" i="7"/>
  <c r="D910" i="7"/>
  <c r="C910" i="7"/>
  <c r="B910" i="7"/>
  <c r="A910" i="7"/>
  <c r="K909" i="7"/>
  <c r="J909" i="7"/>
  <c r="I909" i="7"/>
  <c r="H909" i="7"/>
  <c r="G909" i="7"/>
  <c r="F909" i="7"/>
  <c r="E909" i="7"/>
  <c r="D909" i="7"/>
  <c r="C909" i="7"/>
  <c r="B909" i="7"/>
  <c r="A909" i="7"/>
  <c r="K908" i="7"/>
  <c r="J908" i="7"/>
  <c r="I908" i="7"/>
  <c r="H908" i="7"/>
  <c r="G908" i="7"/>
  <c r="F908" i="7"/>
  <c r="E908" i="7"/>
  <c r="D908" i="7"/>
  <c r="C908" i="7"/>
  <c r="B908" i="7"/>
  <c r="A908" i="7"/>
  <c r="K907" i="7"/>
  <c r="J907" i="7"/>
  <c r="I907" i="7"/>
  <c r="H907" i="7"/>
  <c r="G907" i="7"/>
  <c r="F907" i="7"/>
  <c r="E907" i="7"/>
  <c r="D907" i="7"/>
  <c r="C907" i="7"/>
  <c r="B907" i="7"/>
  <c r="A907" i="7"/>
  <c r="K906" i="7"/>
  <c r="J906" i="7"/>
  <c r="I906" i="7"/>
  <c r="H906" i="7"/>
  <c r="G906" i="7"/>
  <c r="F906" i="7"/>
  <c r="E906" i="7"/>
  <c r="D906" i="7"/>
  <c r="C906" i="7"/>
  <c r="B906" i="7"/>
  <c r="A906" i="7"/>
  <c r="K905" i="7"/>
  <c r="J905" i="7"/>
  <c r="I905" i="7"/>
  <c r="H905" i="7"/>
  <c r="G905" i="7"/>
  <c r="F905" i="7"/>
  <c r="E905" i="7"/>
  <c r="D905" i="7"/>
  <c r="C905" i="7"/>
  <c r="B905" i="7"/>
  <c r="A905" i="7"/>
  <c r="K904" i="7"/>
  <c r="J904" i="7"/>
  <c r="I904" i="7"/>
  <c r="H904" i="7"/>
  <c r="G904" i="7"/>
  <c r="F904" i="7"/>
  <c r="E904" i="7"/>
  <c r="D904" i="7"/>
  <c r="C904" i="7"/>
  <c r="B904" i="7"/>
  <c r="A904" i="7"/>
  <c r="K903" i="7"/>
  <c r="J903" i="7"/>
  <c r="I903" i="7"/>
  <c r="H903" i="7"/>
  <c r="G903" i="7"/>
  <c r="F903" i="7"/>
  <c r="E903" i="7"/>
  <c r="D903" i="7"/>
  <c r="C903" i="7"/>
  <c r="B903" i="7"/>
  <c r="A903" i="7"/>
  <c r="K902" i="7"/>
  <c r="J902" i="7"/>
  <c r="I902" i="7"/>
  <c r="H902" i="7"/>
  <c r="G902" i="7"/>
  <c r="F902" i="7"/>
  <c r="E902" i="7"/>
  <c r="D902" i="7"/>
  <c r="C902" i="7"/>
  <c r="B902" i="7"/>
  <c r="A902" i="7"/>
  <c r="K901" i="7"/>
  <c r="J901" i="7"/>
  <c r="I901" i="7"/>
  <c r="H901" i="7"/>
  <c r="G901" i="7"/>
  <c r="F901" i="7"/>
  <c r="E901" i="7"/>
  <c r="D901" i="7"/>
  <c r="C901" i="7"/>
  <c r="B901" i="7"/>
  <c r="A901" i="7"/>
  <c r="K900" i="7"/>
  <c r="J900" i="7"/>
  <c r="I900" i="7"/>
  <c r="H900" i="7"/>
  <c r="G900" i="7"/>
  <c r="F900" i="7"/>
  <c r="E900" i="7"/>
  <c r="D900" i="7"/>
  <c r="C900" i="7"/>
  <c r="B900" i="7"/>
  <c r="A900" i="7"/>
  <c r="K899" i="7"/>
  <c r="J899" i="7"/>
  <c r="I899" i="7"/>
  <c r="H899" i="7"/>
  <c r="G899" i="7"/>
  <c r="F899" i="7"/>
  <c r="E899" i="7"/>
  <c r="D899" i="7"/>
  <c r="C899" i="7"/>
  <c r="B899" i="7"/>
  <c r="A899" i="7"/>
  <c r="K898" i="7"/>
  <c r="J898" i="7"/>
  <c r="I898" i="7"/>
  <c r="H898" i="7"/>
  <c r="G898" i="7"/>
  <c r="F898" i="7"/>
  <c r="E898" i="7"/>
  <c r="D898" i="7"/>
  <c r="C898" i="7"/>
  <c r="B898" i="7"/>
  <c r="A898" i="7"/>
  <c r="K897" i="7"/>
  <c r="J897" i="7"/>
  <c r="I897" i="7"/>
  <c r="H897" i="7"/>
  <c r="G897" i="7"/>
  <c r="F897" i="7"/>
  <c r="E897" i="7"/>
  <c r="D897" i="7"/>
  <c r="C897" i="7"/>
  <c r="B897" i="7"/>
  <c r="A897" i="7"/>
  <c r="K896" i="7"/>
  <c r="J896" i="7"/>
  <c r="I896" i="7"/>
  <c r="H896" i="7"/>
  <c r="G896" i="7"/>
  <c r="F896" i="7"/>
  <c r="E896" i="7"/>
  <c r="D896" i="7"/>
  <c r="C896" i="7"/>
  <c r="B896" i="7"/>
  <c r="A896" i="7"/>
  <c r="K895" i="7"/>
  <c r="J895" i="7"/>
  <c r="I895" i="7"/>
  <c r="H895" i="7"/>
  <c r="G895" i="7"/>
  <c r="F895" i="7"/>
  <c r="E895" i="7"/>
  <c r="D895" i="7"/>
  <c r="C895" i="7"/>
  <c r="B895" i="7"/>
  <c r="A895" i="7"/>
  <c r="K894" i="7"/>
  <c r="J894" i="7"/>
  <c r="I894" i="7"/>
  <c r="H894" i="7"/>
  <c r="G894" i="7"/>
  <c r="F894" i="7"/>
  <c r="E894" i="7"/>
  <c r="D894" i="7"/>
  <c r="C894" i="7"/>
  <c r="B894" i="7"/>
  <c r="A894" i="7"/>
  <c r="K893" i="7"/>
  <c r="J893" i="7"/>
  <c r="I893" i="7"/>
  <c r="H893" i="7"/>
  <c r="G893" i="7"/>
  <c r="F893" i="7"/>
  <c r="E893" i="7"/>
  <c r="D893" i="7"/>
  <c r="C893" i="7"/>
  <c r="B893" i="7"/>
  <c r="A893" i="7"/>
  <c r="K892" i="7"/>
  <c r="J892" i="7"/>
  <c r="I892" i="7"/>
  <c r="H892" i="7"/>
  <c r="G892" i="7"/>
  <c r="F892" i="7"/>
  <c r="E892" i="7"/>
  <c r="D892" i="7"/>
  <c r="C892" i="7"/>
  <c r="B892" i="7"/>
  <c r="A892" i="7"/>
  <c r="K891" i="7"/>
  <c r="J891" i="7"/>
  <c r="I891" i="7"/>
  <c r="H891" i="7"/>
  <c r="G891" i="7"/>
  <c r="F891" i="7"/>
  <c r="E891" i="7"/>
  <c r="D891" i="7"/>
  <c r="C891" i="7"/>
  <c r="B891" i="7"/>
  <c r="A891" i="7"/>
  <c r="K890" i="7"/>
  <c r="J890" i="7"/>
  <c r="I890" i="7"/>
  <c r="H890" i="7"/>
  <c r="G890" i="7"/>
  <c r="F890" i="7"/>
  <c r="E890" i="7"/>
  <c r="D890" i="7"/>
  <c r="C890" i="7"/>
  <c r="B890" i="7"/>
  <c r="A890" i="7"/>
  <c r="K889" i="7"/>
  <c r="J889" i="7"/>
  <c r="I889" i="7"/>
  <c r="H889" i="7"/>
  <c r="G889" i="7"/>
  <c r="F889" i="7"/>
  <c r="E889" i="7"/>
  <c r="D889" i="7"/>
  <c r="C889" i="7"/>
  <c r="B889" i="7"/>
  <c r="A889" i="7"/>
  <c r="K888" i="7"/>
  <c r="J888" i="7"/>
  <c r="I888" i="7"/>
  <c r="H888" i="7"/>
  <c r="G888" i="7"/>
  <c r="F888" i="7"/>
  <c r="E888" i="7"/>
  <c r="D888" i="7"/>
  <c r="C888" i="7"/>
  <c r="B888" i="7"/>
  <c r="A888" i="7"/>
  <c r="K887" i="7"/>
  <c r="J887" i="7"/>
  <c r="I887" i="7"/>
  <c r="H887" i="7"/>
  <c r="G887" i="7"/>
  <c r="F887" i="7"/>
  <c r="E887" i="7"/>
  <c r="D887" i="7"/>
  <c r="C887" i="7"/>
  <c r="B887" i="7"/>
  <c r="A887" i="7"/>
  <c r="K886" i="7"/>
  <c r="J886" i="7"/>
  <c r="I886" i="7"/>
  <c r="H886" i="7"/>
  <c r="G886" i="7"/>
  <c r="F886" i="7"/>
  <c r="E886" i="7"/>
  <c r="D886" i="7"/>
  <c r="C886" i="7"/>
  <c r="B886" i="7"/>
  <c r="A886" i="7"/>
  <c r="K885" i="7"/>
  <c r="J885" i="7"/>
  <c r="I885" i="7"/>
  <c r="H885" i="7"/>
  <c r="G885" i="7"/>
  <c r="F885" i="7"/>
  <c r="E885" i="7"/>
  <c r="D885" i="7"/>
  <c r="C885" i="7"/>
  <c r="B885" i="7"/>
  <c r="A885" i="7"/>
  <c r="K884" i="7"/>
  <c r="J884" i="7"/>
  <c r="I884" i="7"/>
  <c r="H884" i="7"/>
  <c r="G884" i="7"/>
  <c r="F884" i="7"/>
  <c r="E884" i="7"/>
  <c r="D884" i="7"/>
  <c r="C884" i="7"/>
  <c r="B884" i="7"/>
  <c r="A884" i="7"/>
  <c r="K883" i="7"/>
  <c r="J883" i="7"/>
  <c r="I883" i="7"/>
  <c r="H883" i="7"/>
  <c r="G883" i="7"/>
  <c r="F883" i="7"/>
  <c r="E883" i="7"/>
  <c r="D883" i="7"/>
  <c r="C883" i="7"/>
  <c r="B883" i="7"/>
  <c r="A883" i="7"/>
  <c r="K882" i="7"/>
  <c r="J882" i="7"/>
  <c r="I882" i="7"/>
  <c r="H882" i="7"/>
  <c r="G882" i="7"/>
  <c r="F882" i="7"/>
  <c r="E882" i="7"/>
  <c r="D882" i="7"/>
  <c r="C882" i="7"/>
  <c r="B882" i="7"/>
  <c r="A882" i="7"/>
  <c r="K881" i="7"/>
  <c r="J881" i="7"/>
  <c r="I881" i="7"/>
  <c r="H881" i="7"/>
  <c r="G881" i="7"/>
  <c r="F881" i="7"/>
  <c r="E881" i="7"/>
  <c r="D881" i="7"/>
  <c r="C881" i="7"/>
  <c r="B881" i="7"/>
  <c r="A881" i="7"/>
  <c r="K880" i="7"/>
  <c r="J880" i="7"/>
  <c r="I880" i="7"/>
  <c r="H880" i="7"/>
  <c r="G880" i="7"/>
  <c r="F880" i="7"/>
  <c r="E880" i="7"/>
  <c r="D880" i="7"/>
  <c r="C880" i="7"/>
  <c r="B880" i="7"/>
  <c r="A880" i="7"/>
  <c r="K879" i="7"/>
  <c r="J879" i="7"/>
  <c r="I879" i="7"/>
  <c r="H879" i="7"/>
  <c r="G879" i="7"/>
  <c r="F879" i="7"/>
  <c r="E879" i="7"/>
  <c r="D879" i="7"/>
  <c r="C879" i="7"/>
  <c r="B879" i="7"/>
  <c r="A879" i="7"/>
  <c r="K878" i="7"/>
  <c r="J878" i="7"/>
  <c r="I878" i="7"/>
  <c r="H878" i="7"/>
  <c r="G878" i="7"/>
  <c r="F878" i="7"/>
  <c r="E878" i="7"/>
  <c r="D878" i="7"/>
  <c r="C878" i="7"/>
  <c r="B878" i="7"/>
  <c r="A878" i="7"/>
  <c r="K877" i="7"/>
  <c r="J877" i="7"/>
  <c r="I877" i="7"/>
  <c r="H877" i="7"/>
  <c r="G877" i="7"/>
  <c r="F877" i="7"/>
  <c r="E877" i="7"/>
  <c r="D877" i="7"/>
  <c r="C877" i="7"/>
  <c r="B877" i="7"/>
  <c r="A877" i="7"/>
  <c r="K876" i="7"/>
  <c r="J876" i="7"/>
  <c r="I876" i="7"/>
  <c r="H876" i="7"/>
  <c r="G876" i="7"/>
  <c r="F876" i="7"/>
  <c r="E876" i="7"/>
  <c r="D876" i="7"/>
  <c r="C876" i="7"/>
  <c r="B876" i="7"/>
  <c r="A876" i="7"/>
  <c r="K875" i="7"/>
  <c r="J875" i="7"/>
  <c r="I875" i="7"/>
  <c r="H875" i="7"/>
  <c r="G875" i="7"/>
  <c r="F875" i="7"/>
  <c r="E875" i="7"/>
  <c r="D875" i="7"/>
  <c r="C875" i="7"/>
  <c r="B875" i="7"/>
  <c r="A875" i="7"/>
  <c r="K874" i="7"/>
  <c r="J874" i="7"/>
  <c r="I874" i="7"/>
  <c r="H874" i="7"/>
  <c r="G874" i="7"/>
  <c r="F874" i="7"/>
  <c r="E874" i="7"/>
  <c r="D874" i="7"/>
  <c r="C874" i="7"/>
  <c r="B874" i="7"/>
  <c r="A874" i="7"/>
  <c r="K873" i="7"/>
  <c r="J873" i="7"/>
  <c r="I873" i="7"/>
  <c r="H873" i="7"/>
  <c r="G873" i="7"/>
  <c r="F873" i="7"/>
  <c r="E873" i="7"/>
  <c r="D873" i="7"/>
  <c r="C873" i="7"/>
  <c r="B873" i="7"/>
  <c r="A873" i="7"/>
  <c r="K872" i="7"/>
  <c r="J872" i="7"/>
  <c r="I872" i="7"/>
  <c r="H872" i="7"/>
  <c r="G872" i="7"/>
  <c r="F872" i="7"/>
  <c r="E872" i="7"/>
  <c r="D872" i="7"/>
  <c r="C872" i="7"/>
  <c r="B872" i="7"/>
  <c r="A872" i="7"/>
  <c r="K871" i="7"/>
  <c r="J871" i="7"/>
  <c r="I871" i="7"/>
  <c r="H871" i="7"/>
  <c r="G871" i="7"/>
  <c r="F871" i="7"/>
  <c r="E871" i="7"/>
  <c r="D871" i="7"/>
  <c r="C871" i="7"/>
  <c r="B871" i="7"/>
  <c r="A871" i="7"/>
  <c r="K870" i="7"/>
  <c r="J870" i="7"/>
  <c r="I870" i="7"/>
  <c r="H870" i="7"/>
  <c r="G870" i="7"/>
  <c r="F870" i="7"/>
  <c r="E870" i="7"/>
  <c r="D870" i="7"/>
  <c r="C870" i="7"/>
  <c r="B870" i="7"/>
  <c r="A870" i="7"/>
  <c r="K869" i="7"/>
  <c r="J869" i="7"/>
  <c r="I869" i="7"/>
  <c r="H869" i="7"/>
  <c r="G869" i="7"/>
  <c r="F869" i="7"/>
  <c r="E869" i="7"/>
  <c r="D869" i="7"/>
  <c r="C869" i="7"/>
  <c r="B869" i="7"/>
  <c r="A869" i="7"/>
  <c r="K868" i="7"/>
  <c r="J868" i="7"/>
  <c r="I868" i="7"/>
  <c r="H868" i="7"/>
  <c r="G868" i="7"/>
  <c r="F868" i="7"/>
  <c r="E868" i="7"/>
  <c r="D868" i="7"/>
  <c r="C868" i="7"/>
  <c r="B868" i="7"/>
  <c r="A868" i="7"/>
  <c r="K867" i="7"/>
  <c r="J867" i="7"/>
  <c r="I867" i="7"/>
  <c r="H867" i="7"/>
  <c r="G867" i="7"/>
  <c r="F867" i="7"/>
  <c r="E867" i="7"/>
  <c r="D867" i="7"/>
  <c r="C867" i="7"/>
  <c r="B867" i="7"/>
  <c r="A867" i="7"/>
  <c r="K866" i="7"/>
  <c r="J866" i="7"/>
  <c r="I866" i="7"/>
  <c r="H866" i="7"/>
  <c r="G866" i="7"/>
  <c r="F866" i="7"/>
  <c r="E866" i="7"/>
  <c r="D866" i="7"/>
  <c r="C866" i="7"/>
  <c r="B866" i="7"/>
  <c r="A866" i="7"/>
  <c r="K865" i="7"/>
  <c r="J865" i="7"/>
  <c r="I865" i="7"/>
  <c r="H865" i="7"/>
  <c r="G865" i="7"/>
  <c r="F865" i="7"/>
  <c r="E865" i="7"/>
  <c r="D865" i="7"/>
  <c r="C865" i="7"/>
  <c r="B865" i="7"/>
  <c r="A865" i="7"/>
  <c r="K864" i="7"/>
  <c r="J864" i="7"/>
  <c r="I864" i="7"/>
  <c r="H864" i="7"/>
  <c r="G864" i="7"/>
  <c r="F864" i="7"/>
  <c r="E864" i="7"/>
  <c r="D864" i="7"/>
  <c r="C864" i="7"/>
  <c r="B864" i="7"/>
  <c r="A864" i="7"/>
  <c r="K863" i="7"/>
  <c r="J863" i="7"/>
  <c r="I863" i="7"/>
  <c r="H863" i="7"/>
  <c r="G863" i="7"/>
  <c r="F863" i="7"/>
  <c r="E863" i="7"/>
  <c r="D863" i="7"/>
  <c r="C863" i="7"/>
  <c r="B863" i="7"/>
  <c r="A863" i="7"/>
  <c r="K862" i="7"/>
  <c r="J862" i="7"/>
  <c r="I862" i="7"/>
  <c r="H862" i="7"/>
  <c r="G862" i="7"/>
  <c r="F862" i="7"/>
  <c r="E862" i="7"/>
  <c r="D862" i="7"/>
  <c r="C862" i="7"/>
  <c r="B862" i="7"/>
  <c r="A862" i="7"/>
  <c r="K861" i="7"/>
  <c r="J861" i="7"/>
  <c r="I861" i="7"/>
  <c r="H861" i="7"/>
  <c r="G861" i="7"/>
  <c r="F861" i="7"/>
  <c r="E861" i="7"/>
  <c r="D861" i="7"/>
  <c r="C861" i="7"/>
  <c r="B861" i="7"/>
  <c r="A861" i="7"/>
  <c r="K860" i="7"/>
  <c r="J860" i="7"/>
  <c r="I860" i="7"/>
  <c r="H860" i="7"/>
  <c r="G860" i="7"/>
  <c r="F860" i="7"/>
  <c r="E860" i="7"/>
  <c r="D860" i="7"/>
  <c r="C860" i="7"/>
  <c r="B860" i="7"/>
  <c r="A860" i="7"/>
  <c r="K859" i="7"/>
  <c r="J859" i="7"/>
  <c r="I859" i="7"/>
  <c r="H859" i="7"/>
  <c r="G859" i="7"/>
  <c r="F859" i="7"/>
  <c r="E859" i="7"/>
  <c r="D859" i="7"/>
  <c r="C859" i="7"/>
  <c r="B859" i="7"/>
  <c r="A859" i="7"/>
  <c r="K858" i="7"/>
  <c r="J858" i="7"/>
  <c r="I858" i="7"/>
  <c r="H858" i="7"/>
  <c r="G858" i="7"/>
  <c r="F858" i="7"/>
  <c r="E858" i="7"/>
  <c r="D858" i="7"/>
  <c r="C858" i="7"/>
  <c r="B858" i="7"/>
  <c r="A858" i="7"/>
  <c r="K857" i="7"/>
  <c r="J857" i="7"/>
  <c r="I857" i="7"/>
  <c r="H857" i="7"/>
  <c r="G857" i="7"/>
  <c r="F857" i="7"/>
  <c r="E857" i="7"/>
  <c r="D857" i="7"/>
  <c r="C857" i="7"/>
  <c r="B857" i="7"/>
  <c r="A857" i="7"/>
  <c r="K856" i="7"/>
  <c r="J856" i="7"/>
  <c r="I856" i="7"/>
  <c r="H856" i="7"/>
  <c r="G856" i="7"/>
  <c r="F856" i="7"/>
  <c r="E856" i="7"/>
  <c r="D856" i="7"/>
  <c r="C856" i="7"/>
  <c r="B856" i="7"/>
  <c r="A856" i="7"/>
  <c r="K855" i="7"/>
  <c r="J855" i="7"/>
  <c r="I855" i="7"/>
  <c r="H855" i="7"/>
  <c r="G855" i="7"/>
  <c r="F855" i="7"/>
  <c r="E855" i="7"/>
  <c r="D855" i="7"/>
  <c r="C855" i="7"/>
  <c r="B855" i="7"/>
  <c r="A855" i="7"/>
  <c r="K854" i="7"/>
  <c r="J854" i="7"/>
  <c r="I854" i="7"/>
  <c r="H854" i="7"/>
  <c r="G854" i="7"/>
  <c r="F854" i="7"/>
  <c r="E854" i="7"/>
  <c r="D854" i="7"/>
  <c r="C854" i="7"/>
  <c r="B854" i="7"/>
  <c r="A854" i="7"/>
  <c r="K853" i="7"/>
  <c r="J853" i="7"/>
  <c r="I853" i="7"/>
  <c r="H853" i="7"/>
  <c r="G853" i="7"/>
  <c r="F853" i="7"/>
  <c r="E853" i="7"/>
  <c r="D853" i="7"/>
  <c r="C853" i="7"/>
  <c r="B853" i="7"/>
  <c r="A853" i="7"/>
  <c r="K852" i="7"/>
  <c r="J852" i="7"/>
  <c r="I852" i="7"/>
  <c r="H852" i="7"/>
  <c r="G852" i="7"/>
  <c r="F852" i="7"/>
  <c r="E852" i="7"/>
  <c r="D852" i="7"/>
  <c r="C852" i="7"/>
  <c r="B852" i="7"/>
  <c r="A852" i="7"/>
  <c r="K851" i="7"/>
  <c r="J851" i="7"/>
  <c r="I851" i="7"/>
  <c r="H851" i="7"/>
  <c r="G851" i="7"/>
  <c r="F851" i="7"/>
  <c r="E851" i="7"/>
  <c r="D851" i="7"/>
  <c r="C851" i="7"/>
  <c r="B851" i="7"/>
  <c r="A851" i="7"/>
  <c r="K850" i="7"/>
  <c r="J850" i="7"/>
  <c r="I850" i="7"/>
  <c r="H850" i="7"/>
  <c r="G850" i="7"/>
  <c r="F850" i="7"/>
  <c r="E850" i="7"/>
  <c r="D850" i="7"/>
  <c r="C850" i="7"/>
  <c r="B850" i="7"/>
  <c r="A850" i="7"/>
  <c r="K849" i="7"/>
  <c r="J849" i="7"/>
  <c r="I849" i="7"/>
  <c r="H849" i="7"/>
  <c r="G849" i="7"/>
  <c r="F849" i="7"/>
  <c r="E849" i="7"/>
  <c r="D849" i="7"/>
  <c r="C849" i="7"/>
  <c r="B849" i="7"/>
  <c r="A849" i="7"/>
  <c r="K848" i="7"/>
  <c r="J848" i="7"/>
  <c r="I848" i="7"/>
  <c r="H848" i="7"/>
  <c r="G848" i="7"/>
  <c r="F848" i="7"/>
  <c r="E848" i="7"/>
  <c r="D848" i="7"/>
  <c r="C848" i="7"/>
  <c r="B848" i="7"/>
  <c r="A848" i="7"/>
  <c r="K847" i="7"/>
  <c r="J847" i="7"/>
  <c r="I847" i="7"/>
  <c r="H847" i="7"/>
  <c r="G847" i="7"/>
  <c r="F847" i="7"/>
  <c r="E847" i="7"/>
  <c r="D847" i="7"/>
  <c r="C847" i="7"/>
  <c r="B847" i="7"/>
  <c r="A847" i="7"/>
  <c r="K846" i="7"/>
  <c r="J846" i="7"/>
  <c r="I846" i="7"/>
  <c r="H846" i="7"/>
  <c r="G846" i="7"/>
  <c r="F846" i="7"/>
  <c r="E846" i="7"/>
  <c r="D846" i="7"/>
  <c r="C846" i="7"/>
  <c r="B846" i="7"/>
  <c r="A846" i="7"/>
  <c r="K845" i="7"/>
  <c r="J845" i="7"/>
  <c r="I845" i="7"/>
  <c r="H845" i="7"/>
  <c r="G845" i="7"/>
  <c r="F845" i="7"/>
  <c r="E845" i="7"/>
  <c r="D845" i="7"/>
  <c r="C845" i="7"/>
  <c r="B845" i="7"/>
  <c r="A845" i="7"/>
  <c r="K844" i="7"/>
  <c r="J844" i="7"/>
  <c r="I844" i="7"/>
  <c r="H844" i="7"/>
  <c r="G844" i="7"/>
  <c r="F844" i="7"/>
  <c r="E844" i="7"/>
  <c r="D844" i="7"/>
  <c r="C844" i="7"/>
  <c r="B844" i="7"/>
  <c r="A844" i="7"/>
  <c r="K843" i="7"/>
  <c r="J843" i="7"/>
  <c r="I843" i="7"/>
  <c r="H843" i="7"/>
  <c r="G843" i="7"/>
  <c r="F843" i="7"/>
  <c r="E843" i="7"/>
  <c r="D843" i="7"/>
  <c r="C843" i="7"/>
  <c r="B843" i="7"/>
  <c r="A843" i="7"/>
  <c r="K842" i="7"/>
  <c r="J842" i="7"/>
  <c r="I842" i="7"/>
  <c r="H842" i="7"/>
  <c r="G842" i="7"/>
  <c r="F842" i="7"/>
  <c r="E842" i="7"/>
  <c r="D842" i="7"/>
  <c r="C842" i="7"/>
  <c r="B842" i="7"/>
  <c r="A842" i="7"/>
  <c r="K841" i="7"/>
  <c r="J841" i="7"/>
  <c r="I841" i="7"/>
  <c r="H841" i="7"/>
  <c r="G841" i="7"/>
  <c r="F841" i="7"/>
  <c r="E841" i="7"/>
  <c r="D841" i="7"/>
  <c r="C841" i="7"/>
  <c r="B841" i="7"/>
  <c r="A841" i="7"/>
  <c r="K840" i="7"/>
  <c r="J840" i="7"/>
  <c r="I840" i="7"/>
  <c r="H840" i="7"/>
  <c r="G840" i="7"/>
  <c r="F840" i="7"/>
  <c r="E840" i="7"/>
  <c r="D840" i="7"/>
  <c r="C840" i="7"/>
  <c r="B840" i="7"/>
  <c r="A840" i="7"/>
  <c r="K839" i="7"/>
  <c r="J839" i="7"/>
  <c r="I839" i="7"/>
  <c r="H839" i="7"/>
  <c r="G839" i="7"/>
  <c r="F839" i="7"/>
  <c r="E839" i="7"/>
  <c r="D839" i="7"/>
  <c r="C839" i="7"/>
  <c r="B839" i="7"/>
  <c r="A839" i="7"/>
  <c r="K838" i="7"/>
  <c r="J838" i="7"/>
  <c r="I838" i="7"/>
  <c r="H838" i="7"/>
  <c r="G838" i="7"/>
  <c r="F838" i="7"/>
  <c r="E838" i="7"/>
  <c r="D838" i="7"/>
  <c r="C838" i="7"/>
  <c r="B838" i="7"/>
  <c r="A838" i="7"/>
  <c r="K837" i="7"/>
  <c r="J837" i="7"/>
  <c r="I837" i="7"/>
  <c r="H837" i="7"/>
  <c r="G837" i="7"/>
  <c r="F837" i="7"/>
  <c r="E837" i="7"/>
  <c r="D837" i="7"/>
  <c r="C837" i="7"/>
  <c r="B837" i="7"/>
  <c r="A837" i="7"/>
  <c r="K836" i="7"/>
  <c r="J836" i="7"/>
  <c r="I836" i="7"/>
  <c r="H836" i="7"/>
  <c r="G836" i="7"/>
  <c r="F836" i="7"/>
  <c r="E836" i="7"/>
  <c r="D836" i="7"/>
  <c r="C836" i="7"/>
  <c r="B836" i="7"/>
  <c r="A836" i="7"/>
  <c r="K835" i="7"/>
  <c r="J835" i="7"/>
  <c r="I835" i="7"/>
  <c r="H835" i="7"/>
  <c r="G835" i="7"/>
  <c r="F835" i="7"/>
  <c r="E835" i="7"/>
  <c r="D835" i="7"/>
  <c r="C835" i="7"/>
  <c r="B835" i="7"/>
  <c r="A835" i="7"/>
  <c r="K834" i="7"/>
  <c r="J834" i="7"/>
  <c r="I834" i="7"/>
  <c r="H834" i="7"/>
  <c r="G834" i="7"/>
  <c r="F834" i="7"/>
  <c r="E834" i="7"/>
  <c r="D834" i="7"/>
  <c r="C834" i="7"/>
  <c r="B834" i="7"/>
  <c r="A834" i="7"/>
  <c r="K833" i="7"/>
  <c r="J833" i="7"/>
  <c r="I833" i="7"/>
  <c r="H833" i="7"/>
  <c r="G833" i="7"/>
  <c r="F833" i="7"/>
  <c r="E833" i="7"/>
  <c r="D833" i="7"/>
  <c r="C833" i="7"/>
  <c r="B833" i="7"/>
  <c r="A833" i="7"/>
  <c r="K832" i="7"/>
  <c r="J832" i="7"/>
  <c r="I832" i="7"/>
  <c r="H832" i="7"/>
  <c r="G832" i="7"/>
  <c r="F832" i="7"/>
  <c r="E832" i="7"/>
  <c r="D832" i="7"/>
  <c r="C832" i="7"/>
  <c r="B832" i="7"/>
  <c r="A832" i="7"/>
  <c r="K831" i="7"/>
  <c r="J831" i="7"/>
  <c r="I831" i="7"/>
  <c r="H831" i="7"/>
  <c r="G831" i="7"/>
  <c r="F831" i="7"/>
  <c r="E831" i="7"/>
  <c r="D831" i="7"/>
  <c r="C831" i="7"/>
  <c r="B831" i="7"/>
  <c r="A831" i="7"/>
  <c r="K830" i="7"/>
  <c r="J830" i="7"/>
  <c r="I830" i="7"/>
  <c r="H830" i="7"/>
  <c r="G830" i="7"/>
  <c r="F830" i="7"/>
  <c r="E830" i="7"/>
  <c r="D830" i="7"/>
  <c r="C830" i="7"/>
  <c r="B830" i="7"/>
  <c r="A830" i="7"/>
  <c r="K829" i="7"/>
  <c r="J829" i="7"/>
  <c r="I829" i="7"/>
  <c r="H829" i="7"/>
  <c r="G829" i="7"/>
  <c r="F829" i="7"/>
  <c r="E829" i="7"/>
  <c r="D829" i="7"/>
  <c r="C829" i="7"/>
  <c r="B829" i="7"/>
  <c r="A829" i="7"/>
  <c r="K828" i="7"/>
  <c r="J828" i="7"/>
  <c r="I828" i="7"/>
  <c r="H828" i="7"/>
  <c r="G828" i="7"/>
  <c r="F828" i="7"/>
  <c r="E828" i="7"/>
  <c r="D828" i="7"/>
  <c r="C828" i="7"/>
  <c r="B828" i="7"/>
  <c r="A828" i="7"/>
  <c r="K827" i="7"/>
  <c r="J827" i="7"/>
  <c r="I827" i="7"/>
  <c r="H827" i="7"/>
  <c r="G827" i="7"/>
  <c r="F827" i="7"/>
  <c r="E827" i="7"/>
  <c r="D827" i="7"/>
  <c r="C827" i="7"/>
  <c r="B827" i="7"/>
  <c r="A827" i="7"/>
  <c r="K826" i="7"/>
  <c r="J826" i="7"/>
  <c r="I826" i="7"/>
  <c r="H826" i="7"/>
  <c r="G826" i="7"/>
  <c r="F826" i="7"/>
  <c r="E826" i="7"/>
  <c r="D826" i="7"/>
  <c r="C826" i="7"/>
  <c r="B826" i="7"/>
  <c r="A826" i="7"/>
  <c r="K825" i="7"/>
  <c r="J825" i="7"/>
  <c r="I825" i="7"/>
  <c r="H825" i="7"/>
  <c r="G825" i="7"/>
  <c r="F825" i="7"/>
  <c r="E825" i="7"/>
  <c r="D825" i="7"/>
  <c r="C825" i="7"/>
  <c r="B825" i="7"/>
  <c r="A825" i="7"/>
  <c r="K824" i="7"/>
  <c r="J824" i="7"/>
  <c r="I824" i="7"/>
  <c r="H824" i="7"/>
  <c r="G824" i="7"/>
  <c r="F824" i="7"/>
  <c r="E824" i="7"/>
  <c r="D824" i="7"/>
  <c r="C824" i="7"/>
  <c r="B824" i="7"/>
  <c r="A824" i="7"/>
  <c r="K823" i="7"/>
  <c r="J823" i="7"/>
  <c r="I823" i="7"/>
  <c r="H823" i="7"/>
  <c r="G823" i="7"/>
  <c r="F823" i="7"/>
  <c r="E823" i="7"/>
  <c r="D823" i="7"/>
  <c r="C823" i="7"/>
  <c r="B823" i="7"/>
  <c r="A823" i="7"/>
  <c r="K822" i="7"/>
  <c r="J822" i="7"/>
  <c r="I822" i="7"/>
  <c r="H822" i="7"/>
  <c r="G822" i="7"/>
  <c r="F822" i="7"/>
  <c r="E822" i="7"/>
  <c r="D822" i="7"/>
  <c r="C822" i="7"/>
  <c r="B822" i="7"/>
  <c r="A822" i="7"/>
  <c r="K821" i="7"/>
  <c r="J821" i="7"/>
  <c r="I821" i="7"/>
  <c r="H821" i="7"/>
  <c r="G821" i="7"/>
  <c r="F821" i="7"/>
  <c r="E821" i="7"/>
  <c r="D821" i="7"/>
  <c r="C821" i="7"/>
  <c r="B821" i="7"/>
  <c r="A821" i="7"/>
  <c r="K820" i="7"/>
  <c r="J820" i="7"/>
  <c r="I820" i="7"/>
  <c r="H820" i="7"/>
  <c r="G820" i="7"/>
  <c r="F820" i="7"/>
  <c r="E820" i="7"/>
  <c r="D820" i="7"/>
  <c r="C820" i="7"/>
  <c r="B820" i="7"/>
  <c r="A820" i="7"/>
  <c r="K819" i="7"/>
  <c r="J819" i="7"/>
  <c r="I819" i="7"/>
  <c r="H819" i="7"/>
  <c r="G819" i="7"/>
  <c r="F819" i="7"/>
  <c r="E819" i="7"/>
  <c r="D819" i="7"/>
  <c r="C819" i="7"/>
  <c r="B819" i="7"/>
  <c r="A819" i="7"/>
  <c r="K818" i="7"/>
  <c r="J818" i="7"/>
  <c r="I818" i="7"/>
  <c r="H818" i="7"/>
  <c r="G818" i="7"/>
  <c r="F818" i="7"/>
  <c r="E818" i="7"/>
  <c r="D818" i="7"/>
  <c r="C818" i="7"/>
  <c r="B818" i="7"/>
  <c r="A818" i="7"/>
  <c r="K817" i="7"/>
  <c r="J817" i="7"/>
  <c r="I817" i="7"/>
  <c r="H817" i="7"/>
  <c r="G817" i="7"/>
  <c r="F817" i="7"/>
  <c r="E817" i="7"/>
  <c r="D817" i="7"/>
  <c r="C817" i="7"/>
  <c r="B817" i="7"/>
  <c r="A817" i="7"/>
  <c r="K816" i="7"/>
  <c r="J816" i="7"/>
  <c r="I816" i="7"/>
  <c r="H816" i="7"/>
  <c r="G816" i="7"/>
  <c r="F816" i="7"/>
  <c r="E816" i="7"/>
  <c r="D816" i="7"/>
  <c r="C816" i="7"/>
  <c r="B816" i="7"/>
  <c r="A816" i="7"/>
  <c r="K815" i="7"/>
  <c r="J815" i="7"/>
  <c r="I815" i="7"/>
  <c r="H815" i="7"/>
  <c r="G815" i="7"/>
  <c r="F815" i="7"/>
  <c r="E815" i="7"/>
  <c r="D815" i="7"/>
  <c r="C815" i="7"/>
  <c r="B815" i="7"/>
  <c r="A815" i="7"/>
  <c r="K814" i="7"/>
  <c r="J814" i="7"/>
  <c r="I814" i="7"/>
  <c r="H814" i="7"/>
  <c r="G814" i="7"/>
  <c r="F814" i="7"/>
  <c r="E814" i="7"/>
  <c r="D814" i="7"/>
  <c r="C814" i="7"/>
  <c r="B814" i="7"/>
  <c r="A814" i="7"/>
  <c r="K813" i="7"/>
  <c r="J813" i="7"/>
  <c r="I813" i="7"/>
  <c r="H813" i="7"/>
  <c r="G813" i="7"/>
  <c r="F813" i="7"/>
  <c r="E813" i="7"/>
  <c r="D813" i="7"/>
  <c r="C813" i="7"/>
  <c r="B813" i="7"/>
  <c r="A813" i="7"/>
  <c r="K812" i="7"/>
  <c r="J812" i="7"/>
  <c r="I812" i="7"/>
  <c r="H812" i="7"/>
  <c r="G812" i="7"/>
  <c r="F812" i="7"/>
  <c r="E812" i="7"/>
  <c r="D812" i="7"/>
  <c r="C812" i="7"/>
  <c r="B812" i="7"/>
  <c r="A812" i="7"/>
  <c r="K811" i="7"/>
  <c r="J811" i="7"/>
  <c r="I811" i="7"/>
  <c r="H811" i="7"/>
  <c r="G811" i="7"/>
  <c r="F811" i="7"/>
  <c r="E811" i="7"/>
  <c r="D811" i="7"/>
  <c r="C811" i="7"/>
  <c r="B811" i="7"/>
  <c r="A811" i="7"/>
  <c r="K810" i="7"/>
  <c r="J810" i="7"/>
  <c r="I810" i="7"/>
  <c r="H810" i="7"/>
  <c r="G810" i="7"/>
  <c r="F810" i="7"/>
  <c r="E810" i="7"/>
  <c r="D810" i="7"/>
  <c r="C810" i="7"/>
  <c r="B810" i="7"/>
  <c r="A810" i="7"/>
  <c r="K809" i="7"/>
  <c r="J809" i="7"/>
  <c r="I809" i="7"/>
  <c r="H809" i="7"/>
  <c r="G809" i="7"/>
  <c r="F809" i="7"/>
  <c r="E809" i="7"/>
  <c r="D809" i="7"/>
  <c r="C809" i="7"/>
  <c r="B809" i="7"/>
  <c r="A809" i="7"/>
  <c r="K808" i="7"/>
  <c r="J808" i="7"/>
  <c r="I808" i="7"/>
  <c r="H808" i="7"/>
  <c r="G808" i="7"/>
  <c r="F808" i="7"/>
  <c r="E808" i="7"/>
  <c r="D808" i="7"/>
  <c r="C808" i="7"/>
  <c r="B808" i="7"/>
  <c r="A808" i="7"/>
  <c r="K807" i="7"/>
  <c r="J807" i="7"/>
  <c r="I807" i="7"/>
  <c r="H807" i="7"/>
  <c r="G807" i="7"/>
  <c r="F807" i="7"/>
  <c r="E807" i="7"/>
  <c r="D807" i="7"/>
  <c r="C807" i="7"/>
  <c r="B807" i="7"/>
  <c r="A807" i="7"/>
  <c r="K806" i="7"/>
  <c r="J806" i="7"/>
  <c r="I806" i="7"/>
  <c r="H806" i="7"/>
  <c r="G806" i="7"/>
  <c r="F806" i="7"/>
  <c r="E806" i="7"/>
  <c r="D806" i="7"/>
  <c r="C806" i="7"/>
  <c r="B806" i="7"/>
  <c r="A806" i="7"/>
  <c r="K805" i="7"/>
  <c r="J805" i="7"/>
  <c r="I805" i="7"/>
  <c r="H805" i="7"/>
  <c r="G805" i="7"/>
  <c r="F805" i="7"/>
  <c r="E805" i="7"/>
  <c r="D805" i="7"/>
  <c r="C805" i="7"/>
  <c r="B805" i="7"/>
  <c r="A805" i="7"/>
  <c r="K804" i="7"/>
  <c r="J804" i="7"/>
  <c r="I804" i="7"/>
  <c r="H804" i="7"/>
  <c r="G804" i="7"/>
  <c r="F804" i="7"/>
  <c r="E804" i="7"/>
  <c r="D804" i="7"/>
  <c r="C804" i="7"/>
  <c r="B804" i="7"/>
  <c r="A804" i="7"/>
  <c r="K803" i="7"/>
  <c r="J803" i="7"/>
  <c r="I803" i="7"/>
  <c r="H803" i="7"/>
  <c r="G803" i="7"/>
  <c r="F803" i="7"/>
  <c r="E803" i="7"/>
  <c r="D803" i="7"/>
  <c r="C803" i="7"/>
  <c r="B803" i="7"/>
  <c r="A803" i="7"/>
  <c r="K802" i="7"/>
  <c r="J802" i="7"/>
  <c r="I802" i="7"/>
  <c r="H802" i="7"/>
  <c r="G802" i="7"/>
  <c r="F802" i="7"/>
  <c r="E802" i="7"/>
  <c r="D802" i="7"/>
  <c r="C802" i="7"/>
  <c r="B802" i="7"/>
  <c r="A802" i="7"/>
  <c r="K801" i="7"/>
  <c r="J801" i="7"/>
  <c r="I801" i="7"/>
  <c r="H801" i="7"/>
  <c r="G801" i="7"/>
  <c r="F801" i="7"/>
  <c r="E801" i="7"/>
  <c r="D801" i="7"/>
  <c r="C801" i="7"/>
  <c r="B801" i="7"/>
  <c r="A801" i="7"/>
  <c r="K800" i="7"/>
  <c r="J800" i="7"/>
  <c r="I800" i="7"/>
  <c r="H800" i="7"/>
  <c r="G800" i="7"/>
  <c r="F800" i="7"/>
  <c r="E800" i="7"/>
  <c r="D800" i="7"/>
  <c r="C800" i="7"/>
  <c r="B800" i="7"/>
  <c r="A800" i="7"/>
  <c r="K799" i="7"/>
  <c r="J799" i="7"/>
  <c r="I799" i="7"/>
  <c r="H799" i="7"/>
  <c r="G799" i="7"/>
  <c r="F799" i="7"/>
  <c r="E799" i="7"/>
  <c r="D799" i="7"/>
  <c r="C799" i="7"/>
  <c r="B799" i="7"/>
  <c r="A799" i="7"/>
  <c r="K798" i="7"/>
  <c r="J798" i="7"/>
  <c r="I798" i="7"/>
  <c r="H798" i="7"/>
  <c r="G798" i="7"/>
  <c r="F798" i="7"/>
  <c r="E798" i="7"/>
  <c r="D798" i="7"/>
  <c r="C798" i="7"/>
  <c r="B798" i="7"/>
  <c r="A798" i="7"/>
  <c r="K797" i="7"/>
  <c r="J797" i="7"/>
  <c r="I797" i="7"/>
  <c r="H797" i="7"/>
  <c r="G797" i="7"/>
  <c r="F797" i="7"/>
  <c r="E797" i="7"/>
  <c r="D797" i="7"/>
  <c r="C797" i="7"/>
  <c r="B797" i="7"/>
  <c r="A797" i="7"/>
  <c r="K796" i="7"/>
  <c r="J796" i="7"/>
  <c r="I796" i="7"/>
  <c r="H796" i="7"/>
  <c r="G796" i="7"/>
  <c r="F796" i="7"/>
  <c r="E796" i="7"/>
  <c r="D796" i="7"/>
  <c r="C796" i="7"/>
  <c r="B796" i="7"/>
  <c r="A796" i="7"/>
  <c r="K795" i="7"/>
  <c r="J795" i="7"/>
  <c r="I795" i="7"/>
  <c r="H795" i="7"/>
  <c r="G795" i="7"/>
  <c r="F795" i="7"/>
  <c r="E795" i="7"/>
  <c r="D795" i="7"/>
  <c r="C795" i="7"/>
  <c r="B795" i="7"/>
  <c r="A795" i="7"/>
  <c r="K794" i="7"/>
  <c r="J794" i="7"/>
  <c r="I794" i="7"/>
  <c r="H794" i="7"/>
  <c r="G794" i="7"/>
  <c r="F794" i="7"/>
  <c r="E794" i="7"/>
  <c r="D794" i="7"/>
  <c r="C794" i="7"/>
  <c r="B794" i="7"/>
  <c r="A794" i="7"/>
  <c r="K793" i="7"/>
  <c r="J793" i="7"/>
  <c r="I793" i="7"/>
  <c r="H793" i="7"/>
  <c r="G793" i="7"/>
  <c r="F793" i="7"/>
  <c r="E793" i="7"/>
  <c r="D793" i="7"/>
  <c r="C793" i="7"/>
  <c r="B793" i="7"/>
  <c r="A793" i="7"/>
  <c r="K792" i="7"/>
  <c r="J792" i="7"/>
  <c r="I792" i="7"/>
  <c r="H792" i="7"/>
  <c r="G792" i="7"/>
  <c r="F792" i="7"/>
  <c r="E792" i="7"/>
  <c r="D792" i="7"/>
  <c r="C792" i="7"/>
  <c r="B792" i="7"/>
  <c r="A792" i="7"/>
  <c r="K791" i="7"/>
  <c r="J791" i="7"/>
  <c r="I791" i="7"/>
  <c r="H791" i="7"/>
  <c r="G791" i="7"/>
  <c r="F791" i="7"/>
  <c r="E791" i="7"/>
  <c r="D791" i="7"/>
  <c r="C791" i="7"/>
  <c r="B791" i="7"/>
  <c r="A791" i="7"/>
  <c r="K790" i="7"/>
  <c r="J790" i="7"/>
  <c r="I790" i="7"/>
  <c r="H790" i="7"/>
  <c r="G790" i="7"/>
  <c r="F790" i="7"/>
  <c r="E790" i="7"/>
  <c r="D790" i="7"/>
  <c r="C790" i="7"/>
  <c r="B790" i="7"/>
  <c r="A790" i="7"/>
  <c r="K789" i="7"/>
  <c r="J789" i="7"/>
  <c r="I789" i="7"/>
  <c r="H789" i="7"/>
  <c r="G789" i="7"/>
  <c r="F789" i="7"/>
  <c r="E789" i="7"/>
  <c r="D789" i="7"/>
  <c r="C789" i="7"/>
  <c r="B789" i="7"/>
  <c r="A789" i="7"/>
  <c r="K788" i="7"/>
  <c r="J788" i="7"/>
  <c r="I788" i="7"/>
  <c r="H788" i="7"/>
  <c r="G788" i="7"/>
  <c r="F788" i="7"/>
  <c r="E788" i="7"/>
  <c r="D788" i="7"/>
  <c r="C788" i="7"/>
  <c r="B788" i="7"/>
  <c r="A788" i="7"/>
  <c r="K787" i="7"/>
  <c r="J787" i="7"/>
  <c r="I787" i="7"/>
  <c r="H787" i="7"/>
  <c r="G787" i="7"/>
  <c r="F787" i="7"/>
  <c r="E787" i="7"/>
  <c r="D787" i="7"/>
  <c r="C787" i="7"/>
  <c r="B787" i="7"/>
  <c r="A787" i="7"/>
  <c r="K786" i="7"/>
  <c r="J786" i="7"/>
  <c r="I786" i="7"/>
  <c r="H786" i="7"/>
  <c r="G786" i="7"/>
  <c r="F786" i="7"/>
  <c r="E786" i="7"/>
  <c r="D786" i="7"/>
  <c r="C786" i="7"/>
  <c r="B786" i="7"/>
  <c r="A786" i="7"/>
  <c r="K785" i="7"/>
  <c r="J785" i="7"/>
  <c r="I785" i="7"/>
  <c r="H785" i="7"/>
  <c r="G785" i="7"/>
  <c r="F785" i="7"/>
  <c r="E785" i="7"/>
  <c r="D785" i="7"/>
  <c r="C785" i="7"/>
  <c r="B785" i="7"/>
  <c r="A785" i="7"/>
  <c r="K784" i="7"/>
  <c r="J784" i="7"/>
  <c r="I784" i="7"/>
  <c r="H784" i="7"/>
  <c r="G784" i="7"/>
  <c r="F784" i="7"/>
  <c r="E784" i="7"/>
  <c r="D784" i="7"/>
  <c r="C784" i="7"/>
  <c r="B784" i="7"/>
  <c r="A784" i="7"/>
  <c r="K783" i="7"/>
  <c r="J783" i="7"/>
  <c r="I783" i="7"/>
  <c r="H783" i="7"/>
  <c r="G783" i="7"/>
  <c r="F783" i="7"/>
  <c r="E783" i="7"/>
  <c r="D783" i="7"/>
  <c r="C783" i="7"/>
  <c r="B783" i="7"/>
  <c r="A783" i="7"/>
  <c r="K782" i="7"/>
  <c r="J782" i="7"/>
  <c r="I782" i="7"/>
  <c r="H782" i="7"/>
  <c r="G782" i="7"/>
  <c r="F782" i="7"/>
  <c r="E782" i="7"/>
  <c r="D782" i="7"/>
  <c r="C782" i="7"/>
  <c r="B782" i="7"/>
  <c r="A782" i="7"/>
  <c r="K781" i="7"/>
  <c r="J781" i="7"/>
  <c r="I781" i="7"/>
  <c r="H781" i="7"/>
  <c r="G781" i="7"/>
  <c r="F781" i="7"/>
  <c r="E781" i="7"/>
  <c r="D781" i="7"/>
  <c r="C781" i="7"/>
  <c r="B781" i="7"/>
  <c r="A781" i="7"/>
  <c r="K780" i="7"/>
  <c r="J780" i="7"/>
  <c r="I780" i="7"/>
  <c r="H780" i="7"/>
  <c r="G780" i="7"/>
  <c r="F780" i="7"/>
  <c r="E780" i="7"/>
  <c r="D780" i="7"/>
  <c r="C780" i="7"/>
  <c r="B780" i="7"/>
  <c r="A780" i="7"/>
  <c r="K779" i="7"/>
  <c r="J779" i="7"/>
  <c r="I779" i="7"/>
  <c r="H779" i="7"/>
  <c r="G779" i="7"/>
  <c r="F779" i="7"/>
  <c r="E779" i="7"/>
  <c r="D779" i="7"/>
  <c r="C779" i="7"/>
  <c r="B779" i="7"/>
  <c r="A779" i="7"/>
  <c r="K778" i="7"/>
  <c r="J778" i="7"/>
  <c r="I778" i="7"/>
  <c r="H778" i="7"/>
  <c r="G778" i="7"/>
  <c r="F778" i="7"/>
  <c r="E778" i="7"/>
  <c r="D778" i="7"/>
  <c r="C778" i="7"/>
  <c r="B778" i="7"/>
  <c r="A778" i="7"/>
  <c r="K777" i="7"/>
  <c r="J777" i="7"/>
  <c r="I777" i="7"/>
  <c r="H777" i="7"/>
  <c r="G777" i="7"/>
  <c r="F777" i="7"/>
  <c r="E777" i="7"/>
  <c r="D777" i="7"/>
  <c r="C777" i="7"/>
  <c r="B777" i="7"/>
  <c r="A777" i="7"/>
  <c r="K776" i="7"/>
  <c r="J776" i="7"/>
  <c r="I776" i="7"/>
  <c r="H776" i="7"/>
  <c r="G776" i="7"/>
  <c r="F776" i="7"/>
  <c r="E776" i="7"/>
  <c r="D776" i="7"/>
  <c r="C776" i="7"/>
  <c r="B776" i="7"/>
  <c r="A776" i="7"/>
  <c r="K775" i="7"/>
  <c r="J775" i="7"/>
  <c r="I775" i="7"/>
  <c r="H775" i="7"/>
  <c r="G775" i="7"/>
  <c r="F775" i="7"/>
  <c r="E775" i="7"/>
  <c r="D775" i="7"/>
  <c r="C775" i="7"/>
  <c r="B775" i="7"/>
  <c r="A775" i="7"/>
  <c r="K774" i="7"/>
  <c r="J774" i="7"/>
  <c r="I774" i="7"/>
  <c r="H774" i="7"/>
  <c r="G774" i="7"/>
  <c r="F774" i="7"/>
  <c r="E774" i="7"/>
  <c r="D774" i="7"/>
  <c r="C774" i="7"/>
  <c r="B774" i="7"/>
  <c r="A774" i="7"/>
  <c r="K773" i="7"/>
  <c r="J773" i="7"/>
  <c r="I773" i="7"/>
  <c r="H773" i="7"/>
  <c r="G773" i="7"/>
  <c r="F773" i="7"/>
  <c r="E773" i="7"/>
  <c r="D773" i="7"/>
  <c r="C773" i="7"/>
  <c r="B773" i="7"/>
  <c r="A773" i="7"/>
  <c r="K772" i="7"/>
  <c r="J772" i="7"/>
  <c r="I772" i="7"/>
  <c r="H772" i="7"/>
  <c r="G772" i="7"/>
  <c r="F772" i="7"/>
  <c r="E772" i="7"/>
  <c r="D772" i="7"/>
  <c r="C772" i="7"/>
  <c r="B772" i="7"/>
  <c r="A772" i="7"/>
  <c r="K771" i="7"/>
  <c r="J771" i="7"/>
  <c r="I771" i="7"/>
  <c r="H771" i="7"/>
  <c r="G771" i="7"/>
  <c r="F771" i="7"/>
  <c r="E771" i="7"/>
  <c r="D771" i="7"/>
  <c r="C771" i="7"/>
  <c r="B771" i="7"/>
  <c r="A771" i="7"/>
  <c r="K770" i="7"/>
  <c r="J770" i="7"/>
  <c r="I770" i="7"/>
  <c r="H770" i="7"/>
  <c r="G770" i="7"/>
  <c r="F770" i="7"/>
  <c r="E770" i="7"/>
  <c r="D770" i="7"/>
  <c r="C770" i="7"/>
  <c r="B770" i="7"/>
  <c r="A770" i="7"/>
  <c r="K769" i="7"/>
  <c r="J769" i="7"/>
  <c r="I769" i="7"/>
  <c r="H769" i="7"/>
  <c r="G769" i="7"/>
  <c r="F769" i="7"/>
  <c r="E769" i="7"/>
  <c r="D769" i="7"/>
  <c r="C769" i="7"/>
  <c r="B769" i="7"/>
  <c r="A769" i="7"/>
  <c r="K768" i="7"/>
  <c r="J768" i="7"/>
  <c r="I768" i="7"/>
  <c r="H768" i="7"/>
  <c r="G768" i="7"/>
  <c r="F768" i="7"/>
  <c r="E768" i="7"/>
  <c r="D768" i="7"/>
  <c r="C768" i="7"/>
  <c r="B768" i="7"/>
  <c r="A768" i="7"/>
  <c r="K767" i="7"/>
  <c r="J767" i="7"/>
  <c r="I767" i="7"/>
  <c r="H767" i="7"/>
  <c r="G767" i="7"/>
  <c r="F767" i="7"/>
  <c r="E767" i="7"/>
  <c r="D767" i="7"/>
  <c r="C767" i="7"/>
  <c r="B767" i="7"/>
  <c r="A767" i="7"/>
  <c r="K766" i="7"/>
  <c r="J766" i="7"/>
  <c r="I766" i="7"/>
  <c r="H766" i="7"/>
  <c r="G766" i="7"/>
  <c r="F766" i="7"/>
  <c r="E766" i="7"/>
  <c r="D766" i="7"/>
  <c r="C766" i="7"/>
  <c r="B766" i="7"/>
  <c r="A766" i="7"/>
  <c r="K765" i="7"/>
  <c r="J765" i="7"/>
  <c r="I765" i="7"/>
  <c r="H765" i="7"/>
  <c r="G765" i="7"/>
  <c r="F765" i="7"/>
  <c r="E765" i="7"/>
  <c r="D765" i="7"/>
  <c r="C765" i="7"/>
  <c r="B765" i="7"/>
  <c r="A765" i="7"/>
  <c r="K764" i="7"/>
  <c r="J764" i="7"/>
  <c r="I764" i="7"/>
  <c r="H764" i="7"/>
  <c r="G764" i="7"/>
  <c r="F764" i="7"/>
  <c r="E764" i="7"/>
  <c r="D764" i="7"/>
  <c r="C764" i="7"/>
  <c r="B764" i="7"/>
  <c r="A764" i="7"/>
  <c r="K763" i="7"/>
  <c r="J763" i="7"/>
  <c r="I763" i="7"/>
  <c r="H763" i="7"/>
  <c r="G763" i="7"/>
  <c r="F763" i="7"/>
  <c r="E763" i="7"/>
  <c r="D763" i="7"/>
  <c r="C763" i="7"/>
  <c r="B763" i="7"/>
  <c r="A763" i="7"/>
  <c r="K762" i="7"/>
  <c r="J762" i="7"/>
  <c r="I762" i="7"/>
  <c r="H762" i="7"/>
  <c r="G762" i="7"/>
  <c r="F762" i="7"/>
  <c r="E762" i="7"/>
  <c r="D762" i="7"/>
  <c r="C762" i="7"/>
  <c r="B762" i="7"/>
  <c r="A762" i="7"/>
  <c r="K761" i="7"/>
  <c r="J761" i="7"/>
  <c r="I761" i="7"/>
  <c r="H761" i="7"/>
  <c r="G761" i="7"/>
  <c r="F761" i="7"/>
  <c r="E761" i="7"/>
  <c r="D761" i="7"/>
  <c r="C761" i="7"/>
  <c r="B761" i="7"/>
  <c r="A761" i="7"/>
  <c r="K760" i="7"/>
  <c r="J760" i="7"/>
  <c r="I760" i="7"/>
  <c r="H760" i="7"/>
  <c r="G760" i="7"/>
  <c r="F760" i="7"/>
  <c r="E760" i="7"/>
  <c r="D760" i="7"/>
  <c r="C760" i="7"/>
  <c r="B760" i="7"/>
  <c r="A760" i="7"/>
  <c r="K759" i="7"/>
  <c r="J759" i="7"/>
  <c r="I759" i="7"/>
  <c r="H759" i="7"/>
  <c r="G759" i="7"/>
  <c r="F759" i="7"/>
  <c r="E759" i="7"/>
  <c r="D759" i="7"/>
  <c r="C759" i="7"/>
  <c r="B759" i="7"/>
  <c r="A759" i="7"/>
  <c r="K758" i="7"/>
  <c r="J758" i="7"/>
  <c r="I758" i="7"/>
  <c r="H758" i="7"/>
  <c r="G758" i="7"/>
  <c r="F758" i="7"/>
  <c r="E758" i="7"/>
  <c r="D758" i="7"/>
  <c r="C758" i="7"/>
  <c r="B758" i="7"/>
  <c r="A758" i="7"/>
  <c r="K757" i="7"/>
  <c r="J757" i="7"/>
  <c r="I757" i="7"/>
  <c r="H757" i="7"/>
  <c r="G757" i="7"/>
  <c r="F757" i="7"/>
  <c r="E757" i="7"/>
  <c r="D757" i="7"/>
  <c r="C757" i="7"/>
  <c r="B757" i="7"/>
  <c r="A757" i="7"/>
  <c r="K756" i="7"/>
  <c r="J756" i="7"/>
  <c r="I756" i="7"/>
  <c r="H756" i="7"/>
  <c r="G756" i="7"/>
  <c r="F756" i="7"/>
  <c r="E756" i="7"/>
  <c r="D756" i="7"/>
  <c r="C756" i="7"/>
  <c r="B756" i="7"/>
  <c r="A756" i="7"/>
  <c r="K755" i="7"/>
  <c r="J755" i="7"/>
  <c r="I755" i="7"/>
  <c r="H755" i="7"/>
  <c r="G755" i="7"/>
  <c r="F755" i="7"/>
  <c r="E755" i="7"/>
  <c r="D755" i="7"/>
  <c r="C755" i="7"/>
  <c r="B755" i="7"/>
  <c r="A755" i="7"/>
  <c r="K754" i="7"/>
  <c r="J754" i="7"/>
  <c r="I754" i="7"/>
  <c r="H754" i="7"/>
  <c r="G754" i="7"/>
  <c r="F754" i="7"/>
  <c r="E754" i="7"/>
  <c r="D754" i="7"/>
  <c r="C754" i="7"/>
  <c r="B754" i="7"/>
  <c r="A754" i="7"/>
  <c r="K753" i="7"/>
  <c r="J753" i="7"/>
  <c r="I753" i="7"/>
  <c r="H753" i="7"/>
  <c r="G753" i="7"/>
  <c r="F753" i="7"/>
  <c r="E753" i="7"/>
  <c r="D753" i="7"/>
  <c r="C753" i="7"/>
  <c r="B753" i="7"/>
  <c r="A753" i="7"/>
  <c r="K752" i="7"/>
  <c r="J752" i="7"/>
  <c r="I752" i="7"/>
  <c r="H752" i="7"/>
  <c r="G752" i="7"/>
  <c r="F752" i="7"/>
  <c r="E752" i="7"/>
  <c r="D752" i="7"/>
  <c r="C752" i="7"/>
  <c r="B752" i="7"/>
  <c r="A752" i="7"/>
  <c r="K751" i="7"/>
  <c r="J751" i="7"/>
  <c r="I751" i="7"/>
  <c r="H751" i="7"/>
  <c r="G751" i="7"/>
  <c r="F751" i="7"/>
  <c r="E751" i="7"/>
  <c r="D751" i="7"/>
  <c r="C751" i="7"/>
  <c r="B751" i="7"/>
  <c r="A751" i="7"/>
  <c r="K750" i="7"/>
  <c r="J750" i="7"/>
  <c r="I750" i="7"/>
  <c r="H750" i="7"/>
  <c r="G750" i="7"/>
  <c r="F750" i="7"/>
  <c r="E750" i="7"/>
  <c r="D750" i="7"/>
  <c r="C750" i="7"/>
  <c r="B750" i="7"/>
  <c r="A750" i="7"/>
  <c r="K749" i="7"/>
  <c r="J749" i="7"/>
  <c r="I749" i="7"/>
  <c r="H749" i="7"/>
  <c r="G749" i="7"/>
  <c r="F749" i="7"/>
  <c r="E749" i="7"/>
  <c r="D749" i="7"/>
  <c r="C749" i="7"/>
  <c r="B749" i="7"/>
  <c r="A749" i="7"/>
  <c r="K748" i="7"/>
  <c r="J748" i="7"/>
  <c r="I748" i="7"/>
  <c r="H748" i="7"/>
  <c r="G748" i="7"/>
  <c r="F748" i="7"/>
  <c r="E748" i="7"/>
  <c r="D748" i="7"/>
  <c r="C748" i="7"/>
  <c r="B748" i="7"/>
  <c r="A748" i="7"/>
  <c r="K747" i="7"/>
  <c r="J747" i="7"/>
  <c r="I747" i="7"/>
  <c r="H747" i="7"/>
  <c r="G747" i="7"/>
  <c r="F747" i="7"/>
  <c r="E747" i="7"/>
  <c r="D747" i="7"/>
  <c r="C747" i="7"/>
  <c r="B747" i="7"/>
  <c r="A747" i="7"/>
  <c r="K746" i="7"/>
  <c r="J746" i="7"/>
  <c r="I746" i="7"/>
  <c r="H746" i="7"/>
  <c r="G746" i="7"/>
  <c r="F746" i="7"/>
  <c r="E746" i="7"/>
  <c r="D746" i="7"/>
  <c r="C746" i="7"/>
  <c r="B746" i="7"/>
  <c r="A746" i="7"/>
  <c r="K745" i="7"/>
  <c r="J745" i="7"/>
  <c r="I745" i="7"/>
  <c r="H745" i="7"/>
  <c r="G745" i="7"/>
  <c r="F745" i="7"/>
  <c r="E745" i="7"/>
  <c r="D745" i="7"/>
  <c r="C745" i="7"/>
  <c r="B745" i="7"/>
  <c r="A745" i="7"/>
  <c r="K744" i="7"/>
  <c r="J744" i="7"/>
  <c r="I744" i="7"/>
  <c r="H744" i="7"/>
  <c r="G744" i="7"/>
  <c r="F744" i="7"/>
  <c r="E744" i="7"/>
  <c r="D744" i="7"/>
  <c r="C744" i="7"/>
  <c r="B744" i="7"/>
  <c r="A744" i="7"/>
  <c r="K743" i="7"/>
  <c r="J743" i="7"/>
  <c r="I743" i="7"/>
  <c r="H743" i="7"/>
  <c r="G743" i="7"/>
  <c r="F743" i="7"/>
  <c r="E743" i="7"/>
  <c r="D743" i="7"/>
  <c r="C743" i="7"/>
  <c r="B743" i="7"/>
  <c r="A743" i="7"/>
  <c r="K742" i="7"/>
  <c r="J742" i="7"/>
  <c r="I742" i="7"/>
  <c r="H742" i="7"/>
  <c r="G742" i="7"/>
  <c r="F742" i="7"/>
  <c r="E742" i="7"/>
  <c r="D742" i="7"/>
  <c r="C742" i="7"/>
  <c r="B742" i="7"/>
  <c r="A742" i="7"/>
  <c r="K741" i="7"/>
  <c r="J741" i="7"/>
  <c r="I741" i="7"/>
  <c r="H741" i="7"/>
  <c r="G741" i="7"/>
  <c r="F741" i="7"/>
  <c r="E741" i="7"/>
  <c r="D741" i="7"/>
  <c r="C741" i="7"/>
  <c r="B741" i="7"/>
  <c r="A741" i="7"/>
  <c r="K740" i="7"/>
  <c r="J740" i="7"/>
  <c r="I740" i="7"/>
  <c r="H740" i="7"/>
  <c r="G740" i="7"/>
  <c r="F740" i="7"/>
  <c r="E740" i="7"/>
  <c r="D740" i="7"/>
  <c r="C740" i="7"/>
  <c r="B740" i="7"/>
  <c r="A740" i="7"/>
  <c r="K739" i="7"/>
  <c r="J739" i="7"/>
  <c r="I739" i="7"/>
  <c r="H739" i="7"/>
  <c r="G739" i="7"/>
  <c r="F739" i="7"/>
  <c r="E739" i="7"/>
  <c r="D739" i="7"/>
  <c r="C739" i="7"/>
  <c r="B739" i="7"/>
  <c r="A739" i="7"/>
  <c r="K738" i="7"/>
  <c r="J738" i="7"/>
  <c r="I738" i="7"/>
  <c r="H738" i="7"/>
  <c r="G738" i="7"/>
  <c r="F738" i="7"/>
  <c r="E738" i="7"/>
  <c r="D738" i="7"/>
  <c r="C738" i="7"/>
  <c r="B738" i="7"/>
  <c r="A738" i="7"/>
  <c r="K737" i="7"/>
  <c r="J737" i="7"/>
  <c r="I737" i="7"/>
  <c r="H737" i="7"/>
  <c r="G737" i="7"/>
  <c r="F737" i="7"/>
  <c r="E737" i="7"/>
  <c r="D737" i="7"/>
  <c r="C737" i="7"/>
  <c r="B737" i="7"/>
  <c r="A737" i="7"/>
  <c r="K736" i="7"/>
  <c r="J736" i="7"/>
  <c r="I736" i="7"/>
  <c r="H736" i="7"/>
  <c r="G736" i="7"/>
  <c r="F736" i="7"/>
  <c r="E736" i="7"/>
  <c r="D736" i="7"/>
  <c r="C736" i="7"/>
  <c r="B736" i="7"/>
  <c r="A736" i="7"/>
  <c r="K735" i="7"/>
  <c r="J735" i="7"/>
  <c r="I735" i="7"/>
  <c r="H735" i="7"/>
  <c r="G735" i="7"/>
  <c r="F735" i="7"/>
  <c r="E735" i="7"/>
  <c r="D735" i="7"/>
  <c r="C735" i="7"/>
  <c r="B735" i="7"/>
  <c r="A735" i="7"/>
  <c r="K734" i="7"/>
  <c r="J734" i="7"/>
  <c r="I734" i="7"/>
  <c r="H734" i="7"/>
  <c r="G734" i="7"/>
  <c r="F734" i="7"/>
  <c r="E734" i="7"/>
  <c r="D734" i="7"/>
  <c r="C734" i="7"/>
  <c r="B734" i="7"/>
  <c r="A734" i="7"/>
  <c r="K733" i="7"/>
  <c r="J733" i="7"/>
  <c r="I733" i="7"/>
  <c r="H733" i="7"/>
  <c r="G733" i="7"/>
  <c r="F733" i="7"/>
  <c r="E733" i="7"/>
  <c r="D733" i="7"/>
  <c r="C733" i="7"/>
  <c r="B733" i="7"/>
  <c r="A733" i="7"/>
  <c r="K732" i="7"/>
  <c r="J732" i="7"/>
  <c r="I732" i="7"/>
  <c r="H732" i="7"/>
  <c r="G732" i="7"/>
  <c r="F732" i="7"/>
  <c r="E732" i="7"/>
  <c r="D732" i="7"/>
  <c r="C732" i="7"/>
  <c r="B732" i="7"/>
  <c r="A732" i="7"/>
  <c r="K731" i="7"/>
  <c r="J731" i="7"/>
  <c r="I731" i="7"/>
  <c r="H731" i="7"/>
  <c r="G731" i="7"/>
  <c r="F731" i="7"/>
  <c r="E731" i="7"/>
  <c r="D731" i="7"/>
  <c r="C731" i="7"/>
  <c r="B731" i="7"/>
  <c r="A731" i="7"/>
  <c r="K730" i="7"/>
  <c r="J730" i="7"/>
  <c r="I730" i="7"/>
  <c r="H730" i="7"/>
  <c r="G730" i="7"/>
  <c r="F730" i="7"/>
  <c r="E730" i="7"/>
  <c r="D730" i="7"/>
  <c r="C730" i="7"/>
  <c r="B730" i="7"/>
  <c r="A730" i="7"/>
  <c r="K729" i="7"/>
  <c r="J729" i="7"/>
  <c r="I729" i="7"/>
  <c r="H729" i="7"/>
  <c r="G729" i="7"/>
  <c r="F729" i="7"/>
  <c r="E729" i="7"/>
  <c r="D729" i="7"/>
  <c r="C729" i="7"/>
  <c r="B729" i="7"/>
  <c r="A729" i="7"/>
  <c r="K728" i="7"/>
  <c r="J728" i="7"/>
  <c r="I728" i="7"/>
  <c r="H728" i="7"/>
  <c r="G728" i="7"/>
  <c r="F728" i="7"/>
  <c r="E728" i="7"/>
  <c r="D728" i="7"/>
  <c r="C728" i="7"/>
  <c r="B728" i="7"/>
  <c r="A728" i="7"/>
  <c r="K727" i="7"/>
  <c r="J727" i="7"/>
  <c r="I727" i="7"/>
  <c r="H727" i="7"/>
  <c r="G727" i="7"/>
  <c r="F727" i="7"/>
  <c r="E727" i="7"/>
  <c r="D727" i="7"/>
  <c r="C727" i="7"/>
  <c r="B727" i="7"/>
  <c r="A727" i="7"/>
  <c r="K726" i="7"/>
  <c r="J726" i="7"/>
  <c r="I726" i="7"/>
  <c r="H726" i="7"/>
  <c r="G726" i="7"/>
  <c r="F726" i="7"/>
  <c r="E726" i="7"/>
  <c r="D726" i="7"/>
  <c r="C726" i="7"/>
  <c r="B726" i="7"/>
  <c r="A726" i="7"/>
  <c r="K725" i="7"/>
  <c r="J725" i="7"/>
  <c r="I725" i="7"/>
  <c r="H725" i="7"/>
  <c r="G725" i="7"/>
  <c r="F725" i="7"/>
  <c r="E725" i="7"/>
  <c r="D725" i="7"/>
  <c r="C725" i="7"/>
  <c r="B725" i="7"/>
  <c r="A725" i="7"/>
  <c r="K724" i="7"/>
  <c r="J724" i="7"/>
  <c r="I724" i="7"/>
  <c r="H724" i="7"/>
  <c r="G724" i="7"/>
  <c r="F724" i="7"/>
  <c r="E724" i="7"/>
  <c r="D724" i="7"/>
  <c r="C724" i="7"/>
  <c r="B724" i="7"/>
  <c r="A724" i="7"/>
  <c r="K723" i="7"/>
  <c r="J723" i="7"/>
  <c r="I723" i="7"/>
  <c r="H723" i="7"/>
  <c r="G723" i="7"/>
  <c r="F723" i="7"/>
  <c r="E723" i="7"/>
  <c r="D723" i="7"/>
  <c r="C723" i="7"/>
  <c r="B723" i="7"/>
  <c r="A723" i="7"/>
  <c r="K722" i="7"/>
  <c r="J722" i="7"/>
  <c r="I722" i="7"/>
  <c r="H722" i="7"/>
  <c r="G722" i="7"/>
  <c r="F722" i="7"/>
  <c r="E722" i="7"/>
  <c r="D722" i="7"/>
  <c r="C722" i="7"/>
  <c r="B722" i="7"/>
  <c r="A722" i="7"/>
  <c r="K721" i="7"/>
  <c r="J721" i="7"/>
  <c r="I721" i="7"/>
  <c r="H721" i="7"/>
  <c r="G721" i="7"/>
  <c r="F721" i="7"/>
  <c r="E721" i="7"/>
  <c r="D721" i="7"/>
  <c r="C721" i="7"/>
  <c r="B721" i="7"/>
  <c r="A721" i="7"/>
  <c r="K720" i="7"/>
  <c r="J720" i="7"/>
  <c r="I720" i="7"/>
  <c r="H720" i="7"/>
  <c r="G720" i="7"/>
  <c r="F720" i="7"/>
  <c r="E720" i="7"/>
  <c r="D720" i="7"/>
  <c r="C720" i="7"/>
  <c r="B720" i="7"/>
  <c r="A720" i="7"/>
  <c r="K719" i="7"/>
  <c r="J719" i="7"/>
  <c r="I719" i="7"/>
  <c r="H719" i="7"/>
  <c r="G719" i="7"/>
  <c r="F719" i="7"/>
  <c r="E719" i="7"/>
  <c r="D719" i="7"/>
  <c r="C719" i="7"/>
  <c r="B719" i="7"/>
  <c r="A719" i="7"/>
  <c r="K718" i="7"/>
  <c r="J718" i="7"/>
  <c r="I718" i="7"/>
  <c r="H718" i="7"/>
  <c r="G718" i="7"/>
  <c r="F718" i="7"/>
  <c r="E718" i="7"/>
  <c r="D718" i="7"/>
  <c r="C718" i="7"/>
  <c r="B718" i="7"/>
  <c r="A718" i="7"/>
  <c r="K717" i="7"/>
  <c r="J717" i="7"/>
  <c r="I717" i="7"/>
  <c r="H717" i="7"/>
  <c r="G717" i="7"/>
  <c r="F717" i="7"/>
  <c r="E717" i="7"/>
  <c r="D717" i="7"/>
  <c r="C717" i="7"/>
  <c r="B717" i="7"/>
  <c r="A717" i="7"/>
  <c r="K716" i="7"/>
  <c r="J716" i="7"/>
  <c r="I716" i="7"/>
  <c r="H716" i="7"/>
  <c r="G716" i="7"/>
  <c r="F716" i="7"/>
  <c r="E716" i="7"/>
  <c r="D716" i="7"/>
  <c r="C716" i="7"/>
  <c r="B716" i="7"/>
  <c r="A716" i="7"/>
  <c r="K715" i="7"/>
  <c r="J715" i="7"/>
  <c r="I715" i="7"/>
  <c r="H715" i="7"/>
  <c r="G715" i="7"/>
  <c r="F715" i="7"/>
  <c r="E715" i="7"/>
  <c r="D715" i="7"/>
  <c r="C715" i="7"/>
  <c r="B715" i="7"/>
  <c r="A715" i="7"/>
  <c r="K714" i="7"/>
  <c r="J714" i="7"/>
  <c r="I714" i="7"/>
  <c r="H714" i="7"/>
  <c r="G714" i="7"/>
  <c r="F714" i="7"/>
  <c r="E714" i="7"/>
  <c r="D714" i="7"/>
  <c r="C714" i="7"/>
  <c r="B714" i="7"/>
  <c r="A714" i="7"/>
  <c r="K713" i="7"/>
  <c r="J713" i="7"/>
  <c r="I713" i="7"/>
  <c r="H713" i="7"/>
  <c r="G713" i="7"/>
  <c r="F713" i="7"/>
  <c r="E713" i="7"/>
  <c r="D713" i="7"/>
  <c r="C713" i="7"/>
  <c r="B713" i="7"/>
  <c r="A713" i="7"/>
  <c r="K712" i="7"/>
  <c r="J712" i="7"/>
  <c r="I712" i="7"/>
  <c r="H712" i="7"/>
  <c r="G712" i="7"/>
  <c r="F712" i="7"/>
  <c r="E712" i="7"/>
  <c r="D712" i="7"/>
  <c r="C712" i="7"/>
  <c r="B712" i="7"/>
  <c r="A712" i="7"/>
  <c r="K711" i="7"/>
  <c r="J711" i="7"/>
  <c r="I711" i="7"/>
  <c r="H711" i="7"/>
  <c r="G711" i="7"/>
  <c r="F711" i="7"/>
  <c r="E711" i="7"/>
  <c r="D711" i="7"/>
  <c r="C711" i="7"/>
  <c r="B711" i="7"/>
  <c r="A711" i="7"/>
  <c r="K710" i="7"/>
  <c r="J710" i="7"/>
  <c r="I710" i="7"/>
  <c r="H710" i="7"/>
  <c r="G710" i="7"/>
  <c r="F710" i="7"/>
  <c r="E710" i="7"/>
  <c r="D710" i="7"/>
  <c r="C710" i="7"/>
  <c r="B710" i="7"/>
  <c r="A710" i="7"/>
  <c r="K709" i="7"/>
  <c r="J709" i="7"/>
  <c r="I709" i="7"/>
  <c r="H709" i="7"/>
  <c r="G709" i="7"/>
  <c r="F709" i="7"/>
  <c r="E709" i="7"/>
  <c r="D709" i="7"/>
  <c r="C709" i="7"/>
  <c r="B709" i="7"/>
  <c r="A709" i="7"/>
  <c r="K708" i="7"/>
  <c r="J708" i="7"/>
  <c r="I708" i="7"/>
  <c r="H708" i="7"/>
  <c r="G708" i="7"/>
  <c r="F708" i="7"/>
  <c r="E708" i="7"/>
  <c r="D708" i="7"/>
  <c r="C708" i="7"/>
  <c r="B708" i="7"/>
  <c r="A708" i="7"/>
  <c r="K707" i="7"/>
  <c r="J707" i="7"/>
  <c r="I707" i="7"/>
  <c r="H707" i="7"/>
  <c r="G707" i="7"/>
  <c r="F707" i="7"/>
  <c r="E707" i="7"/>
  <c r="D707" i="7"/>
  <c r="C707" i="7"/>
  <c r="B707" i="7"/>
  <c r="A707" i="7"/>
  <c r="K706" i="7"/>
  <c r="J706" i="7"/>
  <c r="I706" i="7"/>
  <c r="H706" i="7"/>
  <c r="G706" i="7"/>
  <c r="F706" i="7"/>
  <c r="E706" i="7"/>
  <c r="D706" i="7"/>
  <c r="C706" i="7"/>
  <c r="B706" i="7"/>
  <c r="A706" i="7"/>
  <c r="K705" i="7"/>
  <c r="J705" i="7"/>
  <c r="I705" i="7"/>
  <c r="H705" i="7"/>
  <c r="G705" i="7"/>
  <c r="F705" i="7"/>
  <c r="E705" i="7"/>
  <c r="D705" i="7"/>
  <c r="C705" i="7"/>
  <c r="B705" i="7"/>
  <c r="A705" i="7"/>
  <c r="K704" i="7"/>
  <c r="J704" i="7"/>
  <c r="I704" i="7"/>
  <c r="H704" i="7"/>
  <c r="G704" i="7"/>
  <c r="F704" i="7"/>
  <c r="E704" i="7"/>
  <c r="D704" i="7"/>
  <c r="C704" i="7"/>
  <c r="B704" i="7"/>
  <c r="A704" i="7"/>
  <c r="K703" i="7"/>
  <c r="J703" i="7"/>
  <c r="I703" i="7"/>
  <c r="H703" i="7"/>
  <c r="G703" i="7"/>
  <c r="F703" i="7"/>
  <c r="E703" i="7"/>
  <c r="D703" i="7"/>
  <c r="C703" i="7"/>
  <c r="B703" i="7"/>
  <c r="A703" i="7"/>
  <c r="K702" i="7"/>
  <c r="J702" i="7"/>
  <c r="I702" i="7"/>
  <c r="H702" i="7"/>
  <c r="G702" i="7"/>
  <c r="F702" i="7"/>
  <c r="E702" i="7"/>
  <c r="D702" i="7"/>
  <c r="C702" i="7"/>
  <c r="B702" i="7"/>
  <c r="A702" i="7"/>
  <c r="K701" i="7"/>
  <c r="J701" i="7"/>
  <c r="I701" i="7"/>
  <c r="H701" i="7"/>
  <c r="G701" i="7"/>
  <c r="F701" i="7"/>
  <c r="E701" i="7"/>
  <c r="D701" i="7"/>
  <c r="C701" i="7"/>
  <c r="B701" i="7"/>
  <c r="A701" i="7"/>
  <c r="K700" i="7"/>
  <c r="J700" i="7"/>
  <c r="I700" i="7"/>
  <c r="H700" i="7"/>
  <c r="G700" i="7"/>
  <c r="F700" i="7"/>
  <c r="E700" i="7"/>
  <c r="D700" i="7"/>
  <c r="C700" i="7"/>
  <c r="B700" i="7"/>
  <c r="A700" i="7"/>
  <c r="K699" i="7"/>
  <c r="J699" i="7"/>
  <c r="I699" i="7"/>
  <c r="H699" i="7"/>
  <c r="G699" i="7"/>
  <c r="F699" i="7"/>
  <c r="E699" i="7"/>
  <c r="D699" i="7"/>
  <c r="C699" i="7"/>
  <c r="B699" i="7"/>
  <c r="A699" i="7"/>
  <c r="K698" i="7"/>
  <c r="J698" i="7"/>
  <c r="I698" i="7"/>
  <c r="H698" i="7"/>
  <c r="G698" i="7"/>
  <c r="F698" i="7"/>
  <c r="E698" i="7"/>
  <c r="D698" i="7"/>
  <c r="C698" i="7"/>
  <c r="B698" i="7"/>
  <c r="A698" i="7"/>
  <c r="K697" i="7"/>
  <c r="J697" i="7"/>
  <c r="I697" i="7"/>
  <c r="H697" i="7"/>
  <c r="G697" i="7"/>
  <c r="F697" i="7"/>
  <c r="E697" i="7"/>
  <c r="D697" i="7"/>
  <c r="C697" i="7"/>
  <c r="B697" i="7"/>
  <c r="A697" i="7"/>
  <c r="K696" i="7"/>
  <c r="J696" i="7"/>
  <c r="I696" i="7"/>
  <c r="H696" i="7"/>
  <c r="G696" i="7"/>
  <c r="F696" i="7"/>
  <c r="E696" i="7"/>
  <c r="D696" i="7"/>
  <c r="C696" i="7"/>
  <c r="B696" i="7"/>
  <c r="A696" i="7"/>
  <c r="K695" i="7"/>
  <c r="J695" i="7"/>
  <c r="I695" i="7"/>
  <c r="H695" i="7"/>
  <c r="G695" i="7"/>
  <c r="F695" i="7"/>
  <c r="E695" i="7"/>
  <c r="D695" i="7"/>
  <c r="C695" i="7"/>
  <c r="B695" i="7"/>
  <c r="A695" i="7"/>
  <c r="K694" i="7"/>
  <c r="J694" i="7"/>
  <c r="I694" i="7"/>
  <c r="H694" i="7"/>
  <c r="G694" i="7"/>
  <c r="F694" i="7"/>
  <c r="E694" i="7"/>
  <c r="D694" i="7"/>
  <c r="C694" i="7"/>
  <c r="B694" i="7"/>
  <c r="A694" i="7"/>
  <c r="K693" i="7"/>
  <c r="J693" i="7"/>
  <c r="I693" i="7"/>
  <c r="H693" i="7"/>
  <c r="G693" i="7"/>
  <c r="F693" i="7"/>
  <c r="E693" i="7"/>
  <c r="D693" i="7"/>
  <c r="C693" i="7"/>
  <c r="B693" i="7"/>
  <c r="A693" i="7"/>
  <c r="K692" i="7"/>
  <c r="J692" i="7"/>
  <c r="I692" i="7"/>
  <c r="H692" i="7"/>
  <c r="G692" i="7"/>
  <c r="F692" i="7"/>
  <c r="E692" i="7"/>
  <c r="D692" i="7"/>
  <c r="C692" i="7"/>
  <c r="B692" i="7"/>
  <c r="A692" i="7"/>
  <c r="K691" i="7"/>
  <c r="J691" i="7"/>
  <c r="I691" i="7"/>
  <c r="H691" i="7"/>
  <c r="G691" i="7"/>
  <c r="F691" i="7"/>
  <c r="E691" i="7"/>
  <c r="D691" i="7"/>
  <c r="C691" i="7"/>
  <c r="B691" i="7"/>
  <c r="A691" i="7"/>
  <c r="K690" i="7"/>
  <c r="J690" i="7"/>
  <c r="I690" i="7"/>
  <c r="H690" i="7"/>
  <c r="G690" i="7"/>
  <c r="F690" i="7"/>
  <c r="E690" i="7"/>
  <c r="D690" i="7"/>
  <c r="C690" i="7"/>
  <c r="B690" i="7"/>
  <c r="A690" i="7"/>
  <c r="K689" i="7"/>
  <c r="J689" i="7"/>
  <c r="I689" i="7"/>
  <c r="H689" i="7"/>
  <c r="G689" i="7"/>
  <c r="F689" i="7"/>
  <c r="E689" i="7"/>
  <c r="D689" i="7"/>
  <c r="C689" i="7"/>
  <c r="B689" i="7"/>
  <c r="A689" i="7"/>
  <c r="K688" i="7"/>
  <c r="J688" i="7"/>
  <c r="I688" i="7"/>
  <c r="H688" i="7"/>
  <c r="G688" i="7"/>
  <c r="F688" i="7"/>
  <c r="E688" i="7"/>
  <c r="D688" i="7"/>
  <c r="C688" i="7"/>
  <c r="B688" i="7"/>
  <c r="A688" i="7"/>
  <c r="K687" i="7"/>
  <c r="J687" i="7"/>
  <c r="I687" i="7"/>
  <c r="H687" i="7"/>
  <c r="G687" i="7"/>
  <c r="F687" i="7"/>
  <c r="E687" i="7"/>
  <c r="D687" i="7"/>
  <c r="C687" i="7"/>
  <c r="B687" i="7"/>
  <c r="A687" i="7"/>
  <c r="K686" i="7"/>
  <c r="J686" i="7"/>
  <c r="I686" i="7"/>
  <c r="H686" i="7"/>
  <c r="G686" i="7"/>
  <c r="F686" i="7"/>
  <c r="E686" i="7"/>
  <c r="D686" i="7"/>
  <c r="C686" i="7"/>
  <c r="B686" i="7"/>
  <c r="A686" i="7"/>
  <c r="K685" i="7"/>
  <c r="J685" i="7"/>
  <c r="I685" i="7"/>
  <c r="H685" i="7"/>
  <c r="G685" i="7"/>
  <c r="F685" i="7"/>
  <c r="E685" i="7"/>
  <c r="D685" i="7"/>
  <c r="C685" i="7"/>
  <c r="B685" i="7"/>
  <c r="A685" i="7"/>
  <c r="K684" i="7"/>
  <c r="J684" i="7"/>
  <c r="I684" i="7"/>
  <c r="H684" i="7"/>
  <c r="G684" i="7"/>
  <c r="F684" i="7"/>
  <c r="E684" i="7"/>
  <c r="D684" i="7"/>
  <c r="C684" i="7"/>
  <c r="B684" i="7"/>
  <c r="A684" i="7"/>
  <c r="K683" i="7"/>
  <c r="J683" i="7"/>
  <c r="I683" i="7"/>
  <c r="H683" i="7"/>
  <c r="G683" i="7"/>
  <c r="F683" i="7"/>
  <c r="E683" i="7"/>
  <c r="D683" i="7"/>
  <c r="C683" i="7"/>
  <c r="B683" i="7"/>
  <c r="A683" i="7"/>
  <c r="K682" i="7"/>
  <c r="J682" i="7"/>
  <c r="I682" i="7"/>
  <c r="H682" i="7"/>
  <c r="G682" i="7"/>
  <c r="F682" i="7"/>
  <c r="E682" i="7"/>
  <c r="D682" i="7"/>
  <c r="C682" i="7"/>
  <c r="B682" i="7"/>
  <c r="A682" i="7"/>
  <c r="K681" i="7"/>
  <c r="J681" i="7"/>
  <c r="I681" i="7"/>
  <c r="H681" i="7"/>
  <c r="G681" i="7"/>
  <c r="F681" i="7"/>
  <c r="E681" i="7"/>
  <c r="D681" i="7"/>
  <c r="C681" i="7"/>
  <c r="B681" i="7"/>
  <c r="A681" i="7"/>
  <c r="K680" i="7"/>
  <c r="J680" i="7"/>
  <c r="I680" i="7"/>
  <c r="H680" i="7"/>
  <c r="G680" i="7"/>
  <c r="F680" i="7"/>
  <c r="E680" i="7"/>
  <c r="D680" i="7"/>
  <c r="C680" i="7"/>
  <c r="B680" i="7"/>
  <c r="A680" i="7"/>
  <c r="K679" i="7"/>
  <c r="J679" i="7"/>
  <c r="I679" i="7"/>
  <c r="H679" i="7"/>
  <c r="G679" i="7"/>
  <c r="F679" i="7"/>
  <c r="E679" i="7"/>
  <c r="D679" i="7"/>
  <c r="C679" i="7"/>
  <c r="B679" i="7"/>
  <c r="A679" i="7"/>
  <c r="K678" i="7"/>
  <c r="J678" i="7"/>
  <c r="I678" i="7"/>
  <c r="H678" i="7"/>
  <c r="G678" i="7"/>
  <c r="F678" i="7"/>
  <c r="E678" i="7"/>
  <c r="D678" i="7"/>
  <c r="C678" i="7"/>
  <c r="B678" i="7"/>
  <c r="A678" i="7"/>
  <c r="K677" i="7"/>
  <c r="J677" i="7"/>
  <c r="I677" i="7"/>
  <c r="H677" i="7"/>
  <c r="G677" i="7"/>
  <c r="F677" i="7"/>
  <c r="E677" i="7"/>
  <c r="D677" i="7"/>
  <c r="C677" i="7"/>
  <c r="B677" i="7"/>
  <c r="A677" i="7"/>
  <c r="K676" i="7"/>
  <c r="J676" i="7"/>
  <c r="I676" i="7"/>
  <c r="H676" i="7"/>
  <c r="G676" i="7"/>
  <c r="F676" i="7"/>
  <c r="E676" i="7"/>
  <c r="D676" i="7"/>
  <c r="C676" i="7"/>
  <c r="B676" i="7"/>
  <c r="A676" i="7"/>
  <c r="K675" i="7"/>
  <c r="J675" i="7"/>
  <c r="I675" i="7"/>
  <c r="H675" i="7"/>
  <c r="G675" i="7"/>
  <c r="F675" i="7"/>
  <c r="E675" i="7"/>
  <c r="D675" i="7"/>
  <c r="C675" i="7"/>
  <c r="B675" i="7"/>
  <c r="A675" i="7"/>
  <c r="K674" i="7"/>
  <c r="J674" i="7"/>
  <c r="I674" i="7"/>
  <c r="H674" i="7"/>
  <c r="G674" i="7"/>
  <c r="F674" i="7"/>
  <c r="E674" i="7"/>
  <c r="D674" i="7"/>
  <c r="C674" i="7"/>
  <c r="B674" i="7"/>
  <c r="A674" i="7"/>
  <c r="K673" i="7"/>
  <c r="J673" i="7"/>
  <c r="I673" i="7"/>
  <c r="H673" i="7"/>
  <c r="G673" i="7"/>
  <c r="F673" i="7"/>
  <c r="E673" i="7"/>
  <c r="D673" i="7"/>
  <c r="C673" i="7"/>
  <c r="B673" i="7"/>
  <c r="A673" i="7"/>
  <c r="K672" i="7"/>
  <c r="J672" i="7"/>
  <c r="I672" i="7"/>
  <c r="H672" i="7"/>
  <c r="G672" i="7"/>
  <c r="F672" i="7"/>
  <c r="E672" i="7"/>
  <c r="D672" i="7"/>
  <c r="C672" i="7"/>
  <c r="B672" i="7"/>
  <c r="A672" i="7"/>
  <c r="K671" i="7"/>
  <c r="J671" i="7"/>
  <c r="I671" i="7"/>
  <c r="H671" i="7"/>
  <c r="G671" i="7"/>
  <c r="F671" i="7"/>
  <c r="E671" i="7"/>
  <c r="D671" i="7"/>
  <c r="C671" i="7"/>
  <c r="B671" i="7"/>
  <c r="A671" i="7"/>
  <c r="K670" i="7"/>
  <c r="J670" i="7"/>
  <c r="I670" i="7"/>
  <c r="H670" i="7"/>
  <c r="G670" i="7"/>
  <c r="F670" i="7"/>
  <c r="E670" i="7"/>
  <c r="D670" i="7"/>
  <c r="C670" i="7"/>
  <c r="B670" i="7"/>
  <c r="A670" i="7"/>
  <c r="K669" i="7"/>
  <c r="J669" i="7"/>
  <c r="I669" i="7"/>
  <c r="H669" i="7"/>
  <c r="G669" i="7"/>
  <c r="F669" i="7"/>
  <c r="E669" i="7"/>
  <c r="D669" i="7"/>
  <c r="C669" i="7"/>
  <c r="B669" i="7"/>
  <c r="A669" i="7"/>
  <c r="K668" i="7"/>
  <c r="J668" i="7"/>
  <c r="I668" i="7"/>
  <c r="H668" i="7"/>
  <c r="G668" i="7"/>
  <c r="F668" i="7"/>
  <c r="E668" i="7"/>
  <c r="D668" i="7"/>
  <c r="C668" i="7"/>
  <c r="B668" i="7"/>
  <c r="A668" i="7"/>
  <c r="K667" i="7"/>
  <c r="J667" i="7"/>
  <c r="I667" i="7"/>
  <c r="H667" i="7"/>
  <c r="G667" i="7"/>
  <c r="F667" i="7"/>
  <c r="E667" i="7"/>
  <c r="D667" i="7"/>
  <c r="C667" i="7"/>
  <c r="B667" i="7"/>
  <c r="A667" i="7"/>
  <c r="K666" i="7"/>
  <c r="J666" i="7"/>
  <c r="I666" i="7"/>
  <c r="H666" i="7"/>
  <c r="G666" i="7"/>
  <c r="F666" i="7"/>
  <c r="E666" i="7"/>
  <c r="D666" i="7"/>
  <c r="C666" i="7"/>
  <c r="B666" i="7"/>
  <c r="A666" i="7"/>
  <c r="K665" i="7"/>
  <c r="J665" i="7"/>
  <c r="I665" i="7"/>
  <c r="H665" i="7"/>
  <c r="G665" i="7"/>
  <c r="F665" i="7"/>
  <c r="E665" i="7"/>
  <c r="D665" i="7"/>
  <c r="C665" i="7"/>
  <c r="B665" i="7"/>
  <c r="A665" i="7"/>
  <c r="K664" i="7"/>
  <c r="J664" i="7"/>
  <c r="I664" i="7"/>
  <c r="H664" i="7"/>
  <c r="G664" i="7"/>
  <c r="F664" i="7"/>
  <c r="E664" i="7"/>
  <c r="D664" i="7"/>
  <c r="C664" i="7"/>
  <c r="B664" i="7"/>
  <c r="A664" i="7"/>
  <c r="K663" i="7"/>
  <c r="J663" i="7"/>
  <c r="I663" i="7"/>
  <c r="H663" i="7"/>
  <c r="G663" i="7"/>
  <c r="F663" i="7"/>
  <c r="E663" i="7"/>
  <c r="D663" i="7"/>
  <c r="C663" i="7"/>
  <c r="B663" i="7"/>
  <c r="A663" i="7"/>
  <c r="K662" i="7"/>
  <c r="J662" i="7"/>
  <c r="I662" i="7"/>
  <c r="H662" i="7"/>
  <c r="G662" i="7"/>
  <c r="F662" i="7"/>
  <c r="E662" i="7"/>
  <c r="D662" i="7"/>
  <c r="C662" i="7"/>
  <c r="B662" i="7"/>
  <c r="A662" i="7"/>
  <c r="K661" i="7"/>
  <c r="J661" i="7"/>
  <c r="I661" i="7"/>
  <c r="H661" i="7"/>
  <c r="G661" i="7"/>
  <c r="F661" i="7"/>
  <c r="E661" i="7"/>
  <c r="D661" i="7"/>
  <c r="C661" i="7"/>
  <c r="B661" i="7"/>
  <c r="A661" i="7"/>
  <c r="K660" i="7"/>
  <c r="J660" i="7"/>
  <c r="I660" i="7"/>
  <c r="H660" i="7"/>
  <c r="G660" i="7"/>
  <c r="F660" i="7"/>
  <c r="E660" i="7"/>
  <c r="D660" i="7"/>
  <c r="C660" i="7"/>
  <c r="B660" i="7"/>
  <c r="A660" i="7"/>
  <c r="K659" i="7"/>
  <c r="J659" i="7"/>
  <c r="I659" i="7"/>
  <c r="H659" i="7"/>
  <c r="G659" i="7"/>
  <c r="F659" i="7"/>
  <c r="E659" i="7"/>
  <c r="D659" i="7"/>
  <c r="C659" i="7"/>
  <c r="B659" i="7"/>
  <c r="A659" i="7"/>
  <c r="K658" i="7"/>
  <c r="J658" i="7"/>
  <c r="I658" i="7"/>
  <c r="H658" i="7"/>
  <c r="G658" i="7"/>
  <c r="F658" i="7"/>
  <c r="E658" i="7"/>
  <c r="D658" i="7"/>
  <c r="C658" i="7"/>
  <c r="B658" i="7"/>
  <c r="A658" i="7"/>
  <c r="K657" i="7"/>
  <c r="J657" i="7"/>
  <c r="I657" i="7"/>
  <c r="H657" i="7"/>
  <c r="G657" i="7"/>
  <c r="F657" i="7"/>
  <c r="E657" i="7"/>
  <c r="D657" i="7"/>
  <c r="C657" i="7"/>
  <c r="B657" i="7"/>
  <c r="A657" i="7"/>
  <c r="K656" i="7"/>
  <c r="J656" i="7"/>
  <c r="I656" i="7"/>
  <c r="H656" i="7"/>
  <c r="G656" i="7"/>
  <c r="F656" i="7"/>
  <c r="E656" i="7"/>
  <c r="D656" i="7"/>
  <c r="C656" i="7"/>
  <c r="B656" i="7"/>
  <c r="A656" i="7"/>
  <c r="K655" i="7"/>
  <c r="J655" i="7"/>
  <c r="I655" i="7"/>
  <c r="H655" i="7"/>
  <c r="G655" i="7"/>
  <c r="F655" i="7"/>
  <c r="E655" i="7"/>
  <c r="D655" i="7"/>
  <c r="C655" i="7"/>
  <c r="B655" i="7"/>
  <c r="A655" i="7"/>
  <c r="K654" i="7"/>
  <c r="J654" i="7"/>
  <c r="I654" i="7"/>
  <c r="H654" i="7"/>
  <c r="G654" i="7"/>
  <c r="F654" i="7"/>
  <c r="E654" i="7"/>
  <c r="D654" i="7"/>
  <c r="C654" i="7"/>
  <c r="B654" i="7"/>
  <c r="A654" i="7"/>
  <c r="K653" i="7"/>
  <c r="J653" i="7"/>
  <c r="I653" i="7"/>
  <c r="H653" i="7"/>
  <c r="G653" i="7"/>
  <c r="F653" i="7"/>
  <c r="E653" i="7"/>
  <c r="D653" i="7"/>
  <c r="C653" i="7"/>
  <c r="B653" i="7"/>
  <c r="A653" i="7"/>
  <c r="K652" i="7"/>
  <c r="J652" i="7"/>
  <c r="I652" i="7"/>
  <c r="H652" i="7"/>
  <c r="G652" i="7"/>
  <c r="F652" i="7"/>
  <c r="E652" i="7"/>
  <c r="D652" i="7"/>
  <c r="C652" i="7"/>
  <c r="B652" i="7"/>
  <c r="A652" i="7"/>
  <c r="K651" i="7"/>
  <c r="J651" i="7"/>
  <c r="I651" i="7"/>
  <c r="H651" i="7"/>
  <c r="G651" i="7"/>
  <c r="F651" i="7"/>
  <c r="E651" i="7"/>
  <c r="D651" i="7"/>
  <c r="C651" i="7"/>
  <c r="B651" i="7"/>
  <c r="A651" i="7"/>
  <c r="K650" i="7"/>
  <c r="J650" i="7"/>
  <c r="I650" i="7"/>
  <c r="H650" i="7"/>
  <c r="G650" i="7"/>
  <c r="F650" i="7"/>
  <c r="E650" i="7"/>
  <c r="D650" i="7"/>
  <c r="C650" i="7"/>
  <c r="B650" i="7"/>
  <c r="A650" i="7"/>
  <c r="K649" i="7"/>
  <c r="J649" i="7"/>
  <c r="I649" i="7"/>
  <c r="H649" i="7"/>
  <c r="G649" i="7"/>
  <c r="F649" i="7"/>
  <c r="E649" i="7"/>
  <c r="D649" i="7"/>
  <c r="C649" i="7"/>
  <c r="B649" i="7"/>
  <c r="A649" i="7"/>
  <c r="K648" i="7"/>
  <c r="J648" i="7"/>
  <c r="I648" i="7"/>
  <c r="H648" i="7"/>
  <c r="G648" i="7"/>
  <c r="F648" i="7"/>
  <c r="E648" i="7"/>
  <c r="D648" i="7"/>
  <c r="C648" i="7"/>
  <c r="B648" i="7"/>
  <c r="A648" i="7"/>
  <c r="K647" i="7"/>
  <c r="J647" i="7"/>
  <c r="I647" i="7"/>
  <c r="H647" i="7"/>
  <c r="G647" i="7"/>
  <c r="F647" i="7"/>
  <c r="E647" i="7"/>
  <c r="D647" i="7"/>
  <c r="C647" i="7"/>
  <c r="B647" i="7"/>
  <c r="A647" i="7"/>
  <c r="K646" i="7"/>
  <c r="J646" i="7"/>
  <c r="I646" i="7"/>
  <c r="H646" i="7"/>
  <c r="G646" i="7"/>
  <c r="F646" i="7"/>
  <c r="E646" i="7"/>
  <c r="D646" i="7"/>
  <c r="C646" i="7"/>
  <c r="B646" i="7"/>
  <c r="A646" i="7"/>
  <c r="K645" i="7"/>
  <c r="J645" i="7"/>
  <c r="I645" i="7"/>
  <c r="H645" i="7"/>
  <c r="G645" i="7"/>
  <c r="F645" i="7"/>
  <c r="E645" i="7"/>
  <c r="D645" i="7"/>
  <c r="C645" i="7"/>
  <c r="B645" i="7"/>
  <c r="A645" i="7"/>
  <c r="K644" i="7"/>
  <c r="J644" i="7"/>
  <c r="I644" i="7"/>
  <c r="H644" i="7"/>
  <c r="G644" i="7"/>
  <c r="F644" i="7"/>
  <c r="E644" i="7"/>
  <c r="D644" i="7"/>
  <c r="C644" i="7"/>
  <c r="B644" i="7"/>
  <c r="A644" i="7"/>
  <c r="K643" i="7"/>
  <c r="J643" i="7"/>
  <c r="I643" i="7"/>
  <c r="H643" i="7"/>
  <c r="G643" i="7"/>
  <c r="F643" i="7"/>
  <c r="E643" i="7"/>
  <c r="D643" i="7"/>
  <c r="C643" i="7"/>
  <c r="B643" i="7"/>
  <c r="A643" i="7"/>
  <c r="K642" i="7"/>
  <c r="J642" i="7"/>
  <c r="I642" i="7"/>
  <c r="H642" i="7"/>
  <c r="G642" i="7"/>
  <c r="F642" i="7"/>
  <c r="E642" i="7"/>
  <c r="D642" i="7"/>
  <c r="C642" i="7"/>
  <c r="B642" i="7"/>
  <c r="A642" i="7"/>
  <c r="K641" i="7"/>
  <c r="J641" i="7"/>
  <c r="I641" i="7"/>
  <c r="H641" i="7"/>
  <c r="G641" i="7"/>
  <c r="F641" i="7"/>
  <c r="E641" i="7"/>
  <c r="D641" i="7"/>
  <c r="C641" i="7"/>
  <c r="B641" i="7"/>
  <c r="A641" i="7"/>
  <c r="K640" i="7"/>
  <c r="J640" i="7"/>
  <c r="I640" i="7"/>
  <c r="H640" i="7"/>
  <c r="G640" i="7"/>
  <c r="F640" i="7"/>
  <c r="E640" i="7"/>
  <c r="D640" i="7"/>
  <c r="C640" i="7"/>
  <c r="B640" i="7"/>
  <c r="A640" i="7"/>
  <c r="K639" i="7"/>
  <c r="J639" i="7"/>
  <c r="I639" i="7"/>
  <c r="H639" i="7"/>
  <c r="G639" i="7"/>
  <c r="F639" i="7"/>
  <c r="E639" i="7"/>
  <c r="D639" i="7"/>
  <c r="C639" i="7"/>
  <c r="B639" i="7"/>
  <c r="A639" i="7"/>
  <c r="K638" i="7"/>
  <c r="J638" i="7"/>
  <c r="I638" i="7"/>
  <c r="H638" i="7"/>
  <c r="G638" i="7"/>
  <c r="F638" i="7"/>
  <c r="E638" i="7"/>
  <c r="D638" i="7"/>
  <c r="C638" i="7"/>
  <c r="B638" i="7"/>
  <c r="A638" i="7"/>
  <c r="K637" i="7"/>
  <c r="J637" i="7"/>
  <c r="I637" i="7"/>
  <c r="H637" i="7"/>
  <c r="G637" i="7"/>
  <c r="F637" i="7"/>
  <c r="E637" i="7"/>
  <c r="D637" i="7"/>
  <c r="C637" i="7"/>
  <c r="B637" i="7"/>
  <c r="A637" i="7"/>
  <c r="K636" i="7"/>
  <c r="J636" i="7"/>
  <c r="I636" i="7"/>
  <c r="H636" i="7"/>
  <c r="G636" i="7"/>
  <c r="F636" i="7"/>
  <c r="E636" i="7"/>
  <c r="D636" i="7"/>
  <c r="C636" i="7"/>
  <c r="B636" i="7"/>
  <c r="A636" i="7"/>
  <c r="K635" i="7"/>
  <c r="J635" i="7"/>
  <c r="I635" i="7"/>
  <c r="H635" i="7"/>
  <c r="G635" i="7"/>
  <c r="F635" i="7"/>
  <c r="E635" i="7"/>
  <c r="D635" i="7"/>
  <c r="C635" i="7"/>
  <c r="B635" i="7"/>
  <c r="A635" i="7"/>
  <c r="K634" i="7"/>
  <c r="J634" i="7"/>
  <c r="I634" i="7"/>
  <c r="H634" i="7"/>
  <c r="G634" i="7"/>
  <c r="F634" i="7"/>
  <c r="E634" i="7"/>
  <c r="D634" i="7"/>
  <c r="C634" i="7"/>
  <c r="B634" i="7"/>
  <c r="A634" i="7"/>
  <c r="K633" i="7"/>
  <c r="J633" i="7"/>
  <c r="I633" i="7"/>
  <c r="H633" i="7"/>
  <c r="G633" i="7"/>
  <c r="F633" i="7"/>
  <c r="E633" i="7"/>
  <c r="D633" i="7"/>
  <c r="C633" i="7"/>
  <c r="B633" i="7"/>
  <c r="A633" i="7"/>
  <c r="K632" i="7"/>
  <c r="J632" i="7"/>
  <c r="I632" i="7"/>
  <c r="H632" i="7"/>
  <c r="G632" i="7"/>
  <c r="F632" i="7"/>
  <c r="E632" i="7"/>
  <c r="D632" i="7"/>
  <c r="C632" i="7"/>
  <c r="B632" i="7"/>
  <c r="A632" i="7"/>
  <c r="K631" i="7"/>
  <c r="J631" i="7"/>
  <c r="I631" i="7"/>
  <c r="H631" i="7"/>
  <c r="G631" i="7"/>
  <c r="F631" i="7"/>
  <c r="E631" i="7"/>
  <c r="D631" i="7"/>
  <c r="C631" i="7"/>
  <c r="B631" i="7"/>
  <c r="A631" i="7"/>
  <c r="K630" i="7"/>
  <c r="J630" i="7"/>
  <c r="I630" i="7"/>
  <c r="H630" i="7"/>
  <c r="G630" i="7"/>
  <c r="F630" i="7"/>
  <c r="E630" i="7"/>
  <c r="D630" i="7"/>
  <c r="C630" i="7"/>
  <c r="B630" i="7"/>
  <c r="A630" i="7"/>
  <c r="K629" i="7"/>
  <c r="J629" i="7"/>
  <c r="I629" i="7"/>
  <c r="H629" i="7"/>
  <c r="G629" i="7"/>
  <c r="F629" i="7"/>
  <c r="E629" i="7"/>
  <c r="D629" i="7"/>
  <c r="C629" i="7"/>
  <c r="B629" i="7"/>
  <c r="A629" i="7"/>
  <c r="K628" i="7"/>
  <c r="J628" i="7"/>
  <c r="I628" i="7"/>
  <c r="H628" i="7"/>
  <c r="G628" i="7"/>
  <c r="F628" i="7"/>
  <c r="E628" i="7"/>
  <c r="D628" i="7"/>
  <c r="C628" i="7"/>
  <c r="B628" i="7"/>
  <c r="A628" i="7"/>
  <c r="K627" i="7"/>
  <c r="J627" i="7"/>
  <c r="I627" i="7"/>
  <c r="H627" i="7"/>
  <c r="G627" i="7"/>
  <c r="F627" i="7"/>
  <c r="E627" i="7"/>
  <c r="D627" i="7"/>
  <c r="C627" i="7"/>
  <c r="B627" i="7"/>
  <c r="A627" i="7"/>
  <c r="K626" i="7"/>
  <c r="J626" i="7"/>
  <c r="I626" i="7"/>
  <c r="H626" i="7"/>
  <c r="G626" i="7"/>
  <c r="F626" i="7"/>
  <c r="E626" i="7"/>
  <c r="D626" i="7"/>
  <c r="C626" i="7"/>
  <c r="B626" i="7"/>
  <c r="A626" i="7"/>
  <c r="K625" i="7"/>
  <c r="J625" i="7"/>
  <c r="I625" i="7"/>
  <c r="H625" i="7"/>
  <c r="G625" i="7"/>
  <c r="F625" i="7"/>
  <c r="E625" i="7"/>
  <c r="D625" i="7"/>
  <c r="C625" i="7"/>
  <c r="B625" i="7"/>
  <c r="A625" i="7"/>
  <c r="K624" i="7"/>
  <c r="J624" i="7"/>
  <c r="I624" i="7"/>
  <c r="H624" i="7"/>
  <c r="G624" i="7"/>
  <c r="F624" i="7"/>
  <c r="E624" i="7"/>
  <c r="D624" i="7"/>
  <c r="C624" i="7"/>
  <c r="B624" i="7"/>
  <c r="A624" i="7"/>
  <c r="K623" i="7"/>
  <c r="J623" i="7"/>
  <c r="I623" i="7"/>
  <c r="H623" i="7"/>
  <c r="G623" i="7"/>
  <c r="F623" i="7"/>
  <c r="E623" i="7"/>
  <c r="D623" i="7"/>
  <c r="C623" i="7"/>
  <c r="B623" i="7"/>
  <c r="A623" i="7"/>
  <c r="K622" i="7"/>
  <c r="J622" i="7"/>
  <c r="I622" i="7"/>
  <c r="H622" i="7"/>
  <c r="G622" i="7"/>
  <c r="F622" i="7"/>
  <c r="E622" i="7"/>
  <c r="D622" i="7"/>
  <c r="C622" i="7"/>
  <c r="B622" i="7"/>
  <c r="A622" i="7"/>
  <c r="K621" i="7"/>
  <c r="J621" i="7"/>
  <c r="I621" i="7"/>
  <c r="H621" i="7"/>
  <c r="G621" i="7"/>
  <c r="F621" i="7"/>
  <c r="E621" i="7"/>
  <c r="D621" i="7"/>
  <c r="C621" i="7"/>
  <c r="B621" i="7"/>
  <c r="A621" i="7"/>
  <c r="K620" i="7"/>
  <c r="J620" i="7"/>
  <c r="I620" i="7"/>
  <c r="H620" i="7"/>
  <c r="G620" i="7"/>
  <c r="F620" i="7"/>
  <c r="E620" i="7"/>
  <c r="D620" i="7"/>
  <c r="C620" i="7"/>
  <c r="B620" i="7"/>
  <c r="A620" i="7"/>
  <c r="K619" i="7"/>
  <c r="J619" i="7"/>
  <c r="I619" i="7"/>
  <c r="H619" i="7"/>
  <c r="G619" i="7"/>
  <c r="F619" i="7"/>
  <c r="E619" i="7"/>
  <c r="D619" i="7"/>
  <c r="C619" i="7"/>
  <c r="B619" i="7"/>
  <c r="A619" i="7"/>
  <c r="K618" i="7"/>
  <c r="J618" i="7"/>
  <c r="I618" i="7"/>
  <c r="H618" i="7"/>
  <c r="G618" i="7"/>
  <c r="F618" i="7"/>
  <c r="E618" i="7"/>
  <c r="D618" i="7"/>
  <c r="C618" i="7"/>
  <c r="B618" i="7"/>
  <c r="A618" i="7"/>
  <c r="K617" i="7"/>
  <c r="J617" i="7"/>
  <c r="I617" i="7"/>
  <c r="H617" i="7"/>
  <c r="G617" i="7"/>
  <c r="F617" i="7"/>
  <c r="E617" i="7"/>
  <c r="D617" i="7"/>
  <c r="C617" i="7"/>
  <c r="B617" i="7"/>
  <c r="A617" i="7"/>
  <c r="K616" i="7"/>
  <c r="J616" i="7"/>
  <c r="I616" i="7"/>
  <c r="H616" i="7"/>
  <c r="G616" i="7"/>
  <c r="F616" i="7"/>
  <c r="E616" i="7"/>
  <c r="D616" i="7"/>
  <c r="C616" i="7"/>
  <c r="B616" i="7"/>
  <c r="A616" i="7"/>
  <c r="K615" i="7"/>
  <c r="J615" i="7"/>
  <c r="I615" i="7"/>
  <c r="H615" i="7"/>
  <c r="G615" i="7"/>
  <c r="F615" i="7"/>
  <c r="E615" i="7"/>
  <c r="D615" i="7"/>
  <c r="C615" i="7"/>
  <c r="B615" i="7"/>
  <c r="A615" i="7"/>
  <c r="K614" i="7"/>
  <c r="J614" i="7"/>
  <c r="I614" i="7"/>
  <c r="H614" i="7"/>
  <c r="G614" i="7"/>
  <c r="F614" i="7"/>
  <c r="E614" i="7"/>
  <c r="D614" i="7"/>
  <c r="C614" i="7"/>
  <c r="B614" i="7"/>
  <c r="A614" i="7"/>
  <c r="K613" i="7"/>
  <c r="J613" i="7"/>
  <c r="I613" i="7"/>
  <c r="H613" i="7"/>
  <c r="G613" i="7"/>
  <c r="F613" i="7"/>
  <c r="E613" i="7"/>
  <c r="D613" i="7"/>
  <c r="C613" i="7"/>
  <c r="B613" i="7"/>
  <c r="A613" i="7"/>
  <c r="K612" i="7"/>
  <c r="J612" i="7"/>
  <c r="I612" i="7"/>
  <c r="H612" i="7"/>
  <c r="G612" i="7"/>
  <c r="F612" i="7"/>
  <c r="E612" i="7"/>
  <c r="D612" i="7"/>
  <c r="C612" i="7"/>
  <c r="B612" i="7"/>
  <c r="A612" i="7"/>
  <c r="K611" i="7"/>
  <c r="J611" i="7"/>
  <c r="I611" i="7"/>
  <c r="H611" i="7"/>
  <c r="G611" i="7"/>
  <c r="F611" i="7"/>
  <c r="E611" i="7"/>
  <c r="D611" i="7"/>
  <c r="C611" i="7"/>
  <c r="B611" i="7"/>
  <c r="A611" i="7"/>
  <c r="K610" i="7"/>
  <c r="J610" i="7"/>
  <c r="I610" i="7"/>
  <c r="H610" i="7"/>
  <c r="G610" i="7"/>
  <c r="F610" i="7"/>
  <c r="E610" i="7"/>
  <c r="D610" i="7"/>
  <c r="C610" i="7"/>
  <c r="B610" i="7"/>
  <c r="A610" i="7"/>
  <c r="K609" i="7"/>
  <c r="J609" i="7"/>
  <c r="I609" i="7"/>
  <c r="H609" i="7"/>
  <c r="G609" i="7"/>
  <c r="F609" i="7"/>
  <c r="E609" i="7"/>
  <c r="D609" i="7"/>
  <c r="C609" i="7"/>
  <c r="B609" i="7"/>
  <c r="A609" i="7"/>
  <c r="K608" i="7"/>
  <c r="J608" i="7"/>
  <c r="I608" i="7"/>
  <c r="H608" i="7"/>
  <c r="G608" i="7"/>
  <c r="F608" i="7"/>
  <c r="E608" i="7"/>
  <c r="D608" i="7"/>
  <c r="C608" i="7"/>
  <c r="B608" i="7"/>
  <c r="A608" i="7"/>
  <c r="K607" i="7"/>
  <c r="J607" i="7"/>
  <c r="I607" i="7"/>
  <c r="H607" i="7"/>
  <c r="G607" i="7"/>
  <c r="F607" i="7"/>
  <c r="E607" i="7"/>
  <c r="D607" i="7"/>
  <c r="C607" i="7"/>
  <c r="B607" i="7"/>
  <c r="A607" i="7"/>
  <c r="K606" i="7"/>
  <c r="J606" i="7"/>
  <c r="I606" i="7"/>
  <c r="H606" i="7"/>
  <c r="G606" i="7"/>
  <c r="F606" i="7"/>
  <c r="E606" i="7"/>
  <c r="D606" i="7"/>
  <c r="C606" i="7"/>
  <c r="B606" i="7"/>
  <c r="A606" i="7"/>
  <c r="K605" i="7"/>
  <c r="J605" i="7"/>
  <c r="I605" i="7"/>
  <c r="H605" i="7"/>
  <c r="G605" i="7"/>
  <c r="F605" i="7"/>
  <c r="E605" i="7"/>
  <c r="D605" i="7"/>
  <c r="C605" i="7"/>
  <c r="B605" i="7"/>
  <c r="A605" i="7"/>
  <c r="K604" i="7"/>
  <c r="J604" i="7"/>
  <c r="I604" i="7"/>
  <c r="H604" i="7"/>
  <c r="G604" i="7"/>
  <c r="F604" i="7"/>
  <c r="E604" i="7"/>
  <c r="D604" i="7"/>
  <c r="C604" i="7"/>
  <c r="B604" i="7"/>
  <c r="A604" i="7"/>
  <c r="K603" i="7"/>
  <c r="J603" i="7"/>
  <c r="I603" i="7"/>
  <c r="H603" i="7"/>
  <c r="G603" i="7"/>
  <c r="F603" i="7"/>
  <c r="E603" i="7"/>
  <c r="D603" i="7"/>
  <c r="C603" i="7"/>
  <c r="B603" i="7"/>
  <c r="A603" i="7"/>
  <c r="K602" i="7"/>
  <c r="J602" i="7"/>
  <c r="I602" i="7"/>
  <c r="H602" i="7"/>
  <c r="G602" i="7"/>
  <c r="F602" i="7"/>
  <c r="E602" i="7"/>
  <c r="D602" i="7"/>
  <c r="C602" i="7"/>
  <c r="B602" i="7"/>
  <c r="A602" i="7"/>
  <c r="K601" i="7"/>
  <c r="J601" i="7"/>
  <c r="I601" i="7"/>
  <c r="H601" i="7"/>
  <c r="G601" i="7"/>
  <c r="F601" i="7"/>
  <c r="E601" i="7"/>
  <c r="D601" i="7"/>
  <c r="C601" i="7"/>
  <c r="B601" i="7"/>
  <c r="A601" i="7"/>
  <c r="K600" i="7"/>
  <c r="J600" i="7"/>
  <c r="I600" i="7"/>
  <c r="H600" i="7"/>
  <c r="G600" i="7"/>
  <c r="F600" i="7"/>
  <c r="E600" i="7"/>
  <c r="D600" i="7"/>
  <c r="C600" i="7"/>
  <c r="B600" i="7"/>
  <c r="A600" i="7"/>
  <c r="K599" i="7"/>
  <c r="J599" i="7"/>
  <c r="I599" i="7"/>
  <c r="H599" i="7"/>
  <c r="G599" i="7"/>
  <c r="F599" i="7"/>
  <c r="E599" i="7"/>
  <c r="D599" i="7"/>
  <c r="C599" i="7"/>
  <c r="B599" i="7"/>
  <c r="A599" i="7"/>
  <c r="K598" i="7"/>
  <c r="J598" i="7"/>
  <c r="I598" i="7"/>
  <c r="H598" i="7"/>
  <c r="G598" i="7"/>
  <c r="F598" i="7"/>
  <c r="E598" i="7"/>
  <c r="D598" i="7"/>
  <c r="C598" i="7"/>
  <c r="B598" i="7"/>
  <c r="A598" i="7"/>
  <c r="K597" i="7"/>
  <c r="J597" i="7"/>
  <c r="I597" i="7"/>
  <c r="H597" i="7"/>
  <c r="G597" i="7"/>
  <c r="F597" i="7"/>
  <c r="E597" i="7"/>
  <c r="D597" i="7"/>
  <c r="C597" i="7"/>
  <c r="B597" i="7"/>
  <c r="A597" i="7"/>
  <c r="K596" i="7"/>
  <c r="J596" i="7"/>
  <c r="I596" i="7"/>
  <c r="H596" i="7"/>
  <c r="G596" i="7"/>
  <c r="F596" i="7"/>
  <c r="E596" i="7"/>
  <c r="D596" i="7"/>
  <c r="C596" i="7"/>
  <c r="B596" i="7"/>
  <c r="A596" i="7"/>
  <c r="K595" i="7"/>
  <c r="J595" i="7"/>
  <c r="I595" i="7"/>
  <c r="H595" i="7"/>
  <c r="G595" i="7"/>
  <c r="F595" i="7"/>
  <c r="E595" i="7"/>
  <c r="D595" i="7"/>
  <c r="C595" i="7"/>
  <c r="B595" i="7"/>
  <c r="A595" i="7"/>
  <c r="K594" i="7"/>
  <c r="J594" i="7"/>
  <c r="I594" i="7"/>
  <c r="H594" i="7"/>
  <c r="G594" i="7"/>
  <c r="F594" i="7"/>
  <c r="E594" i="7"/>
  <c r="D594" i="7"/>
  <c r="C594" i="7"/>
  <c r="B594" i="7"/>
  <c r="A594" i="7"/>
  <c r="K593" i="7"/>
  <c r="J593" i="7"/>
  <c r="I593" i="7"/>
  <c r="H593" i="7"/>
  <c r="G593" i="7"/>
  <c r="F593" i="7"/>
  <c r="E593" i="7"/>
  <c r="D593" i="7"/>
  <c r="C593" i="7"/>
  <c r="B593" i="7"/>
  <c r="A593" i="7"/>
  <c r="K592" i="7"/>
  <c r="J592" i="7"/>
  <c r="I592" i="7"/>
  <c r="H592" i="7"/>
  <c r="G592" i="7"/>
  <c r="F592" i="7"/>
  <c r="E592" i="7"/>
  <c r="D592" i="7"/>
  <c r="C592" i="7"/>
  <c r="B592" i="7"/>
  <c r="A592" i="7"/>
  <c r="K591" i="7"/>
  <c r="J591" i="7"/>
  <c r="I591" i="7"/>
  <c r="H591" i="7"/>
  <c r="G591" i="7"/>
  <c r="F591" i="7"/>
  <c r="E591" i="7"/>
  <c r="D591" i="7"/>
  <c r="C591" i="7"/>
  <c r="B591" i="7"/>
  <c r="A591" i="7"/>
  <c r="K590" i="7"/>
  <c r="J590" i="7"/>
  <c r="I590" i="7"/>
  <c r="H590" i="7"/>
  <c r="G590" i="7"/>
  <c r="F590" i="7"/>
  <c r="E590" i="7"/>
  <c r="D590" i="7"/>
  <c r="C590" i="7"/>
  <c r="B590" i="7"/>
  <c r="A590" i="7"/>
  <c r="K589" i="7"/>
  <c r="J589" i="7"/>
  <c r="I589" i="7"/>
  <c r="H589" i="7"/>
  <c r="G589" i="7"/>
  <c r="F589" i="7"/>
  <c r="E589" i="7"/>
  <c r="D589" i="7"/>
  <c r="C589" i="7"/>
  <c r="B589" i="7"/>
  <c r="A589" i="7"/>
  <c r="K588" i="7"/>
  <c r="J588" i="7"/>
  <c r="I588" i="7"/>
  <c r="H588" i="7"/>
  <c r="G588" i="7"/>
  <c r="F588" i="7"/>
  <c r="E588" i="7"/>
  <c r="D588" i="7"/>
  <c r="C588" i="7"/>
  <c r="B588" i="7"/>
  <c r="A588" i="7"/>
  <c r="K587" i="7"/>
  <c r="J587" i="7"/>
  <c r="I587" i="7"/>
  <c r="H587" i="7"/>
  <c r="G587" i="7"/>
  <c r="F587" i="7"/>
  <c r="E587" i="7"/>
  <c r="D587" i="7"/>
  <c r="C587" i="7"/>
  <c r="B587" i="7"/>
  <c r="A587" i="7"/>
  <c r="K586" i="7"/>
  <c r="J586" i="7"/>
  <c r="I586" i="7"/>
  <c r="H586" i="7"/>
  <c r="G586" i="7"/>
  <c r="F586" i="7"/>
  <c r="E586" i="7"/>
  <c r="D586" i="7"/>
  <c r="C586" i="7"/>
  <c r="B586" i="7"/>
  <c r="A586" i="7"/>
  <c r="K585" i="7"/>
  <c r="J585" i="7"/>
  <c r="I585" i="7"/>
  <c r="H585" i="7"/>
  <c r="G585" i="7"/>
  <c r="F585" i="7"/>
  <c r="E585" i="7"/>
  <c r="D585" i="7"/>
  <c r="C585" i="7"/>
  <c r="B585" i="7"/>
  <c r="A585" i="7"/>
  <c r="K584" i="7"/>
  <c r="J584" i="7"/>
  <c r="I584" i="7"/>
  <c r="H584" i="7"/>
  <c r="G584" i="7"/>
  <c r="F584" i="7"/>
  <c r="E584" i="7"/>
  <c r="D584" i="7"/>
  <c r="C584" i="7"/>
  <c r="B584" i="7"/>
  <c r="A584" i="7"/>
  <c r="K583" i="7"/>
  <c r="J583" i="7"/>
  <c r="I583" i="7"/>
  <c r="H583" i="7"/>
  <c r="G583" i="7"/>
  <c r="F583" i="7"/>
  <c r="E583" i="7"/>
  <c r="D583" i="7"/>
  <c r="C583" i="7"/>
  <c r="B583" i="7"/>
  <c r="A583" i="7"/>
  <c r="K582" i="7"/>
  <c r="J582" i="7"/>
  <c r="I582" i="7"/>
  <c r="H582" i="7"/>
  <c r="G582" i="7"/>
  <c r="F582" i="7"/>
  <c r="E582" i="7"/>
  <c r="D582" i="7"/>
  <c r="C582" i="7"/>
  <c r="B582" i="7"/>
  <c r="A582" i="7"/>
  <c r="K581" i="7"/>
  <c r="J581" i="7"/>
  <c r="I581" i="7"/>
  <c r="H581" i="7"/>
  <c r="G581" i="7"/>
  <c r="F581" i="7"/>
  <c r="E581" i="7"/>
  <c r="D581" i="7"/>
  <c r="C581" i="7"/>
  <c r="B581" i="7"/>
  <c r="A581" i="7"/>
  <c r="K580" i="7"/>
  <c r="J580" i="7"/>
  <c r="I580" i="7"/>
  <c r="H580" i="7"/>
  <c r="G580" i="7"/>
  <c r="F580" i="7"/>
  <c r="E580" i="7"/>
  <c r="D580" i="7"/>
  <c r="C580" i="7"/>
  <c r="B580" i="7"/>
  <c r="A580" i="7"/>
  <c r="K579" i="7"/>
  <c r="J579" i="7"/>
  <c r="I579" i="7"/>
  <c r="H579" i="7"/>
  <c r="G579" i="7"/>
  <c r="F579" i="7"/>
  <c r="E579" i="7"/>
  <c r="D579" i="7"/>
  <c r="C579" i="7"/>
  <c r="B579" i="7"/>
  <c r="A579" i="7"/>
  <c r="K578" i="7"/>
  <c r="J578" i="7"/>
  <c r="I578" i="7"/>
  <c r="H578" i="7"/>
  <c r="G578" i="7"/>
  <c r="F578" i="7"/>
  <c r="E578" i="7"/>
  <c r="D578" i="7"/>
  <c r="C578" i="7"/>
  <c r="B578" i="7"/>
  <c r="A578" i="7"/>
  <c r="K577" i="7"/>
  <c r="J577" i="7"/>
  <c r="I577" i="7"/>
  <c r="H577" i="7"/>
  <c r="G577" i="7"/>
  <c r="F577" i="7"/>
  <c r="E577" i="7"/>
  <c r="D577" i="7"/>
  <c r="C577" i="7"/>
  <c r="B577" i="7"/>
  <c r="A577" i="7"/>
  <c r="K576" i="7"/>
  <c r="J576" i="7"/>
  <c r="I576" i="7"/>
  <c r="H576" i="7"/>
  <c r="G576" i="7"/>
  <c r="F576" i="7"/>
  <c r="E576" i="7"/>
  <c r="D576" i="7"/>
  <c r="C576" i="7"/>
  <c r="B576" i="7"/>
  <c r="A576" i="7"/>
  <c r="K575" i="7"/>
  <c r="J575" i="7"/>
  <c r="I575" i="7"/>
  <c r="H575" i="7"/>
  <c r="G575" i="7"/>
  <c r="F575" i="7"/>
  <c r="E575" i="7"/>
  <c r="D575" i="7"/>
  <c r="C575" i="7"/>
  <c r="B575" i="7"/>
  <c r="A575" i="7"/>
  <c r="K574" i="7"/>
  <c r="J574" i="7"/>
  <c r="I574" i="7"/>
  <c r="H574" i="7"/>
  <c r="G574" i="7"/>
  <c r="F574" i="7"/>
  <c r="E574" i="7"/>
  <c r="D574" i="7"/>
  <c r="C574" i="7"/>
  <c r="B574" i="7"/>
  <c r="A574" i="7"/>
  <c r="K573" i="7"/>
  <c r="J573" i="7"/>
  <c r="I573" i="7"/>
  <c r="H573" i="7"/>
  <c r="G573" i="7"/>
  <c r="F573" i="7"/>
  <c r="E573" i="7"/>
  <c r="D573" i="7"/>
  <c r="C573" i="7"/>
  <c r="B573" i="7"/>
  <c r="A573" i="7"/>
  <c r="K572" i="7"/>
  <c r="J572" i="7"/>
  <c r="I572" i="7"/>
  <c r="H572" i="7"/>
  <c r="G572" i="7"/>
  <c r="F572" i="7"/>
  <c r="E572" i="7"/>
  <c r="D572" i="7"/>
  <c r="C572" i="7"/>
  <c r="B572" i="7"/>
  <c r="A572" i="7"/>
  <c r="K571" i="7"/>
  <c r="J571" i="7"/>
  <c r="I571" i="7"/>
  <c r="H571" i="7"/>
  <c r="G571" i="7"/>
  <c r="F571" i="7"/>
  <c r="E571" i="7"/>
  <c r="D571" i="7"/>
  <c r="C571" i="7"/>
  <c r="B571" i="7"/>
  <c r="A571" i="7"/>
  <c r="K570" i="7"/>
  <c r="J570" i="7"/>
  <c r="I570" i="7"/>
  <c r="H570" i="7"/>
  <c r="G570" i="7"/>
  <c r="F570" i="7"/>
  <c r="E570" i="7"/>
  <c r="D570" i="7"/>
  <c r="C570" i="7"/>
  <c r="B570" i="7"/>
  <c r="A570" i="7"/>
  <c r="K569" i="7"/>
  <c r="J569" i="7"/>
  <c r="I569" i="7"/>
  <c r="H569" i="7"/>
  <c r="G569" i="7"/>
  <c r="F569" i="7"/>
  <c r="E569" i="7"/>
  <c r="D569" i="7"/>
  <c r="C569" i="7"/>
  <c r="B569" i="7"/>
  <c r="A569" i="7"/>
  <c r="K568" i="7"/>
  <c r="J568" i="7"/>
  <c r="I568" i="7"/>
  <c r="H568" i="7"/>
  <c r="G568" i="7"/>
  <c r="F568" i="7"/>
  <c r="E568" i="7"/>
  <c r="D568" i="7"/>
  <c r="C568" i="7"/>
  <c r="B568" i="7"/>
  <c r="A568" i="7"/>
  <c r="K567" i="7"/>
  <c r="J567" i="7"/>
  <c r="I567" i="7"/>
  <c r="H567" i="7"/>
  <c r="G567" i="7"/>
  <c r="F567" i="7"/>
  <c r="E567" i="7"/>
  <c r="D567" i="7"/>
  <c r="C567" i="7"/>
  <c r="B567" i="7"/>
  <c r="A567" i="7"/>
  <c r="K566" i="7"/>
  <c r="J566" i="7"/>
  <c r="I566" i="7"/>
  <c r="H566" i="7"/>
  <c r="G566" i="7"/>
  <c r="F566" i="7"/>
  <c r="E566" i="7"/>
  <c r="D566" i="7"/>
  <c r="C566" i="7"/>
  <c r="B566" i="7"/>
  <c r="A566" i="7"/>
  <c r="K565" i="7"/>
  <c r="J565" i="7"/>
  <c r="I565" i="7"/>
  <c r="H565" i="7"/>
  <c r="G565" i="7"/>
  <c r="F565" i="7"/>
  <c r="E565" i="7"/>
  <c r="D565" i="7"/>
  <c r="C565" i="7"/>
  <c r="B565" i="7"/>
  <c r="A565" i="7"/>
  <c r="K564" i="7"/>
  <c r="J564" i="7"/>
  <c r="I564" i="7"/>
  <c r="H564" i="7"/>
  <c r="G564" i="7"/>
  <c r="F564" i="7"/>
  <c r="E564" i="7"/>
  <c r="D564" i="7"/>
  <c r="C564" i="7"/>
  <c r="B564" i="7"/>
  <c r="A564" i="7"/>
  <c r="K563" i="7"/>
  <c r="J563" i="7"/>
  <c r="I563" i="7"/>
  <c r="H563" i="7"/>
  <c r="G563" i="7"/>
  <c r="F563" i="7"/>
  <c r="E563" i="7"/>
  <c r="D563" i="7"/>
  <c r="C563" i="7"/>
  <c r="B563" i="7"/>
  <c r="A563" i="7"/>
  <c r="K562" i="7"/>
  <c r="J562" i="7"/>
  <c r="I562" i="7"/>
  <c r="H562" i="7"/>
  <c r="G562" i="7"/>
  <c r="F562" i="7"/>
  <c r="E562" i="7"/>
  <c r="D562" i="7"/>
  <c r="C562" i="7"/>
  <c r="B562" i="7"/>
  <c r="A562" i="7"/>
  <c r="K561" i="7"/>
  <c r="J561" i="7"/>
  <c r="I561" i="7"/>
  <c r="H561" i="7"/>
  <c r="G561" i="7"/>
  <c r="F561" i="7"/>
  <c r="E561" i="7"/>
  <c r="D561" i="7"/>
  <c r="C561" i="7"/>
  <c r="B561" i="7"/>
  <c r="A561" i="7"/>
  <c r="K560" i="7"/>
  <c r="J560" i="7"/>
  <c r="I560" i="7"/>
  <c r="H560" i="7"/>
  <c r="G560" i="7"/>
  <c r="F560" i="7"/>
  <c r="E560" i="7"/>
  <c r="D560" i="7"/>
  <c r="C560" i="7"/>
  <c r="B560" i="7"/>
  <c r="A560" i="7"/>
  <c r="K559" i="7"/>
  <c r="J559" i="7"/>
  <c r="I559" i="7"/>
  <c r="H559" i="7"/>
  <c r="G559" i="7"/>
  <c r="F559" i="7"/>
  <c r="E559" i="7"/>
  <c r="D559" i="7"/>
  <c r="C559" i="7"/>
  <c r="B559" i="7"/>
  <c r="A559" i="7"/>
  <c r="K558" i="7"/>
  <c r="J558" i="7"/>
  <c r="I558" i="7"/>
  <c r="H558" i="7"/>
  <c r="G558" i="7"/>
  <c r="F558" i="7"/>
  <c r="E558" i="7"/>
  <c r="D558" i="7"/>
  <c r="C558" i="7"/>
  <c r="B558" i="7"/>
  <c r="A558" i="7"/>
  <c r="K557" i="7"/>
  <c r="J557" i="7"/>
  <c r="I557" i="7"/>
  <c r="H557" i="7"/>
  <c r="G557" i="7"/>
  <c r="F557" i="7"/>
  <c r="E557" i="7"/>
  <c r="D557" i="7"/>
  <c r="C557" i="7"/>
  <c r="B557" i="7"/>
  <c r="A557" i="7"/>
  <c r="K556" i="7"/>
  <c r="J556" i="7"/>
  <c r="I556" i="7"/>
  <c r="H556" i="7"/>
  <c r="G556" i="7"/>
  <c r="F556" i="7"/>
  <c r="E556" i="7"/>
  <c r="D556" i="7"/>
  <c r="C556" i="7"/>
  <c r="B556" i="7"/>
  <c r="A556" i="7"/>
  <c r="K555" i="7"/>
  <c r="J555" i="7"/>
  <c r="I555" i="7"/>
  <c r="H555" i="7"/>
  <c r="G555" i="7"/>
  <c r="F555" i="7"/>
  <c r="E555" i="7"/>
  <c r="D555" i="7"/>
  <c r="C555" i="7"/>
  <c r="B555" i="7"/>
  <c r="A555" i="7"/>
  <c r="K554" i="7"/>
  <c r="J554" i="7"/>
  <c r="I554" i="7"/>
  <c r="H554" i="7"/>
  <c r="G554" i="7"/>
  <c r="F554" i="7"/>
  <c r="E554" i="7"/>
  <c r="D554" i="7"/>
  <c r="C554" i="7"/>
  <c r="B554" i="7"/>
  <c r="A554" i="7"/>
  <c r="K553" i="7"/>
  <c r="J553" i="7"/>
  <c r="I553" i="7"/>
  <c r="H553" i="7"/>
  <c r="G553" i="7"/>
  <c r="F553" i="7"/>
  <c r="E553" i="7"/>
  <c r="D553" i="7"/>
  <c r="C553" i="7"/>
  <c r="B553" i="7"/>
  <c r="A553" i="7"/>
  <c r="K552" i="7"/>
  <c r="J552" i="7"/>
  <c r="I552" i="7"/>
  <c r="H552" i="7"/>
  <c r="G552" i="7"/>
  <c r="F552" i="7"/>
  <c r="E552" i="7"/>
  <c r="D552" i="7"/>
  <c r="C552" i="7"/>
  <c r="B552" i="7"/>
  <c r="A552" i="7"/>
  <c r="K551" i="7"/>
  <c r="J551" i="7"/>
  <c r="I551" i="7"/>
  <c r="H551" i="7"/>
  <c r="G551" i="7"/>
  <c r="F551" i="7"/>
  <c r="E551" i="7"/>
  <c r="D551" i="7"/>
  <c r="C551" i="7"/>
  <c r="B551" i="7"/>
  <c r="A551" i="7"/>
  <c r="K550" i="7"/>
  <c r="J550" i="7"/>
  <c r="I550" i="7"/>
  <c r="H550" i="7"/>
  <c r="G550" i="7"/>
  <c r="F550" i="7"/>
  <c r="E550" i="7"/>
  <c r="D550" i="7"/>
  <c r="C550" i="7"/>
  <c r="B550" i="7"/>
  <c r="A550" i="7"/>
  <c r="K549" i="7"/>
  <c r="J549" i="7"/>
  <c r="I549" i="7"/>
  <c r="H549" i="7"/>
  <c r="G549" i="7"/>
  <c r="F549" i="7"/>
  <c r="E549" i="7"/>
  <c r="D549" i="7"/>
  <c r="C549" i="7"/>
  <c r="B549" i="7"/>
  <c r="A549" i="7"/>
  <c r="K548" i="7"/>
  <c r="J548" i="7"/>
  <c r="I548" i="7"/>
  <c r="H548" i="7"/>
  <c r="G548" i="7"/>
  <c r="F548" i="7"/>
  <c r="E548" i="7"/>
  <c r="D548" i="7"/>
  <c r="C548" i="7"/>
  <c r="B548" i="7"/>
  <c r="A548" i="7"/>
  <c r="K547" i="7"/>
  <c r="J547" i="7"/>
  <c r="I547" i="7"/>
  <c r="H547" i="7"/>
  <c r="G547" i="7"/>
  <c r="F547" i="7"/>
  <c r="E547" i="7"/>
  <c r="D547" i="7"/>
  <c r="C547" i="7"/>
  <c r="B547" i="7"/>
  <c r="A547" i="7"/>
  <c r="K546" i="7"/>
  <c r="J546" i="7"/>
  <c r="I546" i="7"/>
  <c r="H546" i="7"/>
  <c r="G546" i="7"/>
  <c r="F546" i="7"/>
  <c r="E546" i="7"/>
  <c r="D546" i="7"/>
  <c r="C546" i="7"/>
  <c r="B546" i="7"/>
  <c r="A546" i="7"/>
  <c r="K545" i="7"/>
  <c r="J545" i="7"/>
  <c r="I545" i="7"/>
  <c r="H545" i="7"/>
  <c r="G545" i="7"/>
  <c r="F545" i="7"/>
  <c r="E545" i="7"/>
  <c r="D545" i="7"/>
  <c r="C545" i="7"/>
  <c r="B545" i="7"/>
  <c r="A545" i="7"/>
  <c r="K544" i="7"/>
  <c r="J544" i="7"/>
  <c r="I544" i="7"/>
  <c r="H544" i="7"/>
  <c r="G544" i="7"/>
  <c r="F544" i="7"/>
  <c r="E544" i="7"/>
  <c r="D544" i="7"/>
  <c r="C544" i="7"/>
  <c r="B544" i="7"/>
  <c r="A544" i="7"/>
  <c r="K543" i="7"/>
  <c r="J543" i="7"/>
  <c r="I543" i="7"/>
  <c r="H543" i="7"/>
  <c r="G543" i="7"/>
  <c r="F543" i="7"/>
  <c r="E543" i="7"/>
  <c r="D543" i="7"/>
  <c r="C543" i="7"/>
  <c r="B543" i="7"/>
  <c r="A543" i="7"/>
  <c r="K542" i="7"/>
  <c r="J542" i="7"/>
  <c r="I542" i="7"/>
  <c r="H542" i="7"/>
  <c r="G542" i="7"/>
  <c r="F542" i="7"/>
  <c r="E542" i="7"/>
  <c r="D542" i="7"/>
  <c r="C542" i="7"/>
  <c r="B542" i="7"/>
  <c r="A542" i="7"/>
  <c r="K541" i="7"/>
  <c r="J541" i="7"/>
  <c r="I541" i="7"/>
  <c r="H541" i="7"/>
  <c r="G541" i="7"/>
  <c r="F541" i="7"/>
  <c r="E541" i="7"/>
  <c r="D541" i="7"/>
  <c r="C541" i="7"/>
  <c r="B541" i="7"/>
  <c r="A541" i="7"/>
  <c r="K540" i="7"/>
  <c r="J540" i="7"/>
  <c r="I540" i="7"/>
  <c r="H540" i="7"/>
  <c r="G540" i="7"/>
  <c r="F540" i="7"/>
  <c r="E540" i="7"/>
  <c r="D540" i="7"/>
  <c r="C540" i="7"/>
  <c r="B540" i="7"/>
  <c r="A540" i="7"/>
  <c r="K539" i="7"/>
  <c r="J539" i="7"/>
  <c r="I539" i="7"/>
  <c r="H539" i="7"/>
  <c r="G539" i="7"/>
  <c r="F539" i="7"/>
  <c r="E539" i="7"/>
  <c r="D539" i="7"/>
  <c r="C539" i="7"/>
  <c r="B539" i="7"/>
  <c r="A539" i="7"/>
  <c r="K538" i="7"/>
  <c r="J538" i="7"/>
  <c r="I538" i="7"/>
  <c r="H538" i="7"/>
  <c r="G538" i="7"/>
  <c r="F538" i="7"/>
  <c r="E538" i="7"/>
  <c r="D538" i="7"/>
  <c r="C538" i="7"/>
  <c r="B538" i="7"/>
  <c r="A538" i="7"/>
  <c r="K537" i="7"/>
  <c r="J537" i="7"/>
  <c r="I537" i="7"/>
  <c r="H537" i="7"/>
  <c r="G537" i="7"/>
  <c r="F537" i="7"/>
  <c r="E537" i="7"/>
  <c r="D537" i="7"/>
  <c r="C537" i="7"/>
  <c r="B537" i="7"/>
  <c r="A537" i="7"/>
  <c r="K536" i="7"/>
  <c r="J536" i="7"/>
  <c r="I536" i="7"/>
  <c r="H536" i="7"/>
  <c r="G536" i="7"/>
  <c r="F536" i="7"/>
  <c r="E536" i="7"/>
  <c r="D536" i="7"/>
  <c r="C536" i="7"/>
  <c r="B536" i="7"/>
  <c r="A536" i="7"/>
  <c r="K535" i="7"/>
  <c r="J535" i="7"/>
  <c r="I535" i="7"/>
  <c r="H535" i="7"/>
  <c r="G535" i="7"/>
  <c r="F535" i="7"/>
  <c r="E535" i="7"/>
  <c r="D535" i="7"/>
  <c r="C535" i="7"/>
  <c r="B535" i="7"/>
  <c r="A535" i="7"/>
  <c r="K534" i="7"/>
  <c r="J534" i="7"/>
  <c r="I534" i="7"/>
  <c r="H534" i="7"/>
  <c r="G534" i="7"/>
  <c r="F534" i="7"/>
  <c r="E534" i="7"/>
  <c r="D534" i="7"/>
  <c r="C534" i="7"/>
  <c r="B534" i="7"/>
  <c r="A534" i="7"/>
  <c r="K533" i="7"/>
  <c r="J533" i="7"/>
  <c r="I533" i="7"/>
  <c r="H533" i="7"/>
  <c r="G533" i="7"/>
  <c r="F533" i="7"/>
  <c r="E533" i="7"/>
  <c r="D533" i="7"/>
  <c r="C533" i="7"/>
  <c r="B533" i="7"/>
  <c r="A533" i="7"/>
  <c r="K532" i="7"/>
  <c r="J532" i="7"/>
  <c r="I532" i="7"/>
  <c r="H532" i="7"/>
  <c r="G532" i="7"/>
  <c r="F532" i="7"/>
  <c r="E532" i="7"/>
  <c r="D532" i="7"/>
  <c r="C532" i="7"/>
  <c r="B532" i="7"/>
  <c r="A532" i="7"/>
  <c r="K531" i="7"/>
  <c r="J531" i="7"/>
  <c r="I531" i="7"/>
  <c r="H531" i="7"/>
  <c r="G531" i="7"/>
  <c r="F531" i="7"/>
  <c r="E531" i="7"/>
  <c r="D531" i="7"/>
  <c r="C531" i="7"/>
  <c r="B531" i="7"/>
  <c r="A531" i="7"/>
  <c r="K530" i="7"/>
  <c r="J530" i="7"/>
  <c r="I530" i="7"/>
  <c r="H530" i="7"/>
  <c r="G530" i="7"/>
  <c r="F530" i="7"/>
  <c r="E530" i="7"/>
  <c r="D530" i="7"/>
  <c r="C530" i="7"/>
  <c r="B530" i="7"/>
  <c r="A530" i="7"/>
  <c r="K529" i="7"/>
  <c r="J529" i="7"/>
  <c r="I529" i="7"/>
  <c r="H529" i="7"/>
  <c r="G529" i="7"/>
  <c r="F529" i="7"/>
  <c r="E529" i="7"/>
  <c r="D529" i="7"/>
  <c r="C529" i="7"/>
  <c r="B529" i="7"/>
  <c r="A529" i="7"/>
  <c r="K528" i="7"/>
  <c r="J528" i="7"/>
  <c r="I528" i="7"/>
  <c r="H528" i="7"/>
  <c r="G528" i="7"/>
  <c r="F528" i="7"/>
  <c r="E528" i="7"/>
  <c r="D528" i="7"/>
  <c r="C528" i="7"/>
  <c r="B528" i="7"/>
  <c r="A528" i="7"/>
  <c r="K527" i="7"/>
  <c r="J527" i="7"/>
  <c r="I527" i="7"/>
  <c r="H527" i="7"/>
  <c r="G527" i="7"/>
  <c r="F527" i="7"/>
  <c r="E527" i="7"/>
  <c r="D527" i="7"/>
  <c r="C527" i="7"/>
  <c r="B527" i="7"/>
  <c r="A527" i="7"/>
  <c r="K526" i="7"/>
  <c r="J526" i="7"/>
  <c r="I526" i="7"/>
  <c r="H526" i="7"/>
  <c r="G526" i="7"/>
  <c r="F526" i="7"/>
  <c r="E526" i="7"/>
  <c r="D526" i="7"/>
  <c r="C526" i="7"/>
  <c r="B526" i="7"/>
  <c r="A526" i="7"/>
  <c r="K525" i="7"/>
  <c r="J525" i="7"/>
  <c r="I525" i="7"/>
  <c r="H525" i="7"/>
  <c r="G525" i="7"/>
  <c r="F525" i="7"/>
  <c r="E525" i="7"/>
  <c r="D525" i="7"/>
  <c r="C525" i="7"/>
  <c r="B525" i="7"/>
  <c r="A525" i="7"/>
  <c r="K524" i="7"/>
  <c r="J524" i="7"/>
  <c r="I524" i="7"/>
  <c r="H524" i="7"/>
  <c r="G524" i="7"/>
  <c r="F524" i="7"/>
  <c r="E524" i="7"/>
  <c r="D524" i="7"/>
  <c r="C524" i="7"/>
  <c r="B524" i="7"/>
  <c r="A524" i="7"/>
  <c r="K523" i="7"/>
  <c r="J523" i="7"/>
  <c r="I523" i="7"/>
  <c r="H523" i="7"/>
  <c r="G523" i="7"/>
  <c r="F523" i="7"/>
  <c r="E523" i="7"/>
  <c r="D523" i="7"/>
  <c r="C523" i="7"/>
  <c r="B523" i="7"/>
  <c r="A523" i="7"/>
  <c r="K522" i="7"/>
  <c r="J522" i="7"/>
  <c r="I522" i="7"/>
  <c r="H522" i="7"/>
  <c r="G522" i="7"/>
  <c r="F522" i="7"/>
  <c r="E522" i="7"/>
  <c r="D522" i="7"/>
  <c r="C522" i="7"/>
  <c r="B522" i="7"/>
  <c r="A522" i="7"/>
  <c r="K521" i="7"/>
  <c r="J521" i="7"/>
  <c r="I521" i="7"/>
  <c r="H521" i="7"/>
  <c r="G521" i="7"/>
  <c r="F521" i="7"/>
  <c r="E521" i="7"/>
  <c r="D521" i="7"/>
  <c r="C521" i="7"/>
  <c r="B521" i="7"/>
  <c r="A521" i="7"/>
  <c r="K520" i="7"/>
  <c r="J520" i="7"/>
  <c r="I520" i="7"/>
  <c r="H520" i="7"/>
  <c r="G520" i="7"/>
  <c r="F520" i="7"/>
  <c r="E520" i="7"/>
  <c r="D520" i="7"/>
  <c r="C520" i="7"/>
  <c r="B520" i="7"/>
  <c r="A520" i="7"/>
  <c r="K519" i="7"/>
  <c r="J519" i="7"/>
  <c r="I519" i="7"/>
  <c r="H519" i="7"/>
  <c r="G519" i="7"/>
  <c r="F519" i="7"/>
  <c r="E519" i="7"/>
  <c r="D519" i="7"/>
  <c r="C519" i="7"/>
  <c r="B519" i="7"/>
  <c r="A519" i="7"/>
  <c r="K518" i="7"/>
  <c r="J518" i="7"/>
  <c r="I518" i="7"/>
  <c r="H518" i="7"/>
  <c r="G518" i="7"/>
  <c r="F518" i="7"/>
  <c r="E518" i="7"/>
  <c r="D518" i="7"/>
  <c r="C518" i="7"/>
  <c r="B518" i="7"/>
  <c r="A518" i="7"/>
  <c r="K517" i="7"/>
  <c r="J517" i="7"/>
  <c r="I517" i="7"/>
  <c r="H517" i="7"/>
  <c r="G517" i="7"/>
  <c r="F517" i="7"/>
  <c r="E517" i="7"/>
  <c r="D517" i="7"/>
  <c r="C517" i="7"/>
  <c r="B517" i="7"/>
  <c r="A517" i="7"/>
  <c r="K516" i="7"/>
  <c r="J516" i="7"/>
  <c r="I516" i="7"/>
  <c r="H516" i="7"/>
  <c r="G516" i="7"/>
  <c r="F516" i="7"/>
  <c r="E516" i="7"/>
  <c r="D516" i="7"/>
  <c r="C516" i="7"/>
  <c r="B516" i="7"/>
  <c r="A516" i="7"/>
  <c r="K515" i="7"/>
  <c r="J515" i="7"/>
  <c r="I515" i="7"/>
  <c r="H515" i="7"/>
  <c r="G515" i="7"/>
  <c r="F515" i="7"/>
  <c r="E515" i="7"/>
  <c r="D515" i="7"/>
  <c r="C515" i="7"/>
  <c r="B515" i="7"/>
  <c r="A515" i="7"/>
  <c r="K514" i="7"/>
  <c r="J514" i="7"/>
  <c r="I514" i="7"/>
  <c r="H514" i="7"/>
  <c r="G514" i="7"/>
  <c r="F514" i="7"/>
  <c r="E514" i="7"/>
  <c r="D514" i="7"/>
  <c r="C514" i="7"/>
  <c r="B514" i="7"/>
  <c r="A514" i="7"/>
  <c r="K513" i="7"/>
  <c r="J513" i="7"/>
  <c r="I513" i="7"/>
  <c r="H513" i="7"/>
  <c r="G513" i="7"/>
  <c r="F513" i="7"/>
  <c r="E513" i="7"/>
  <c r="D513" i="7"/>
  <c r="C513" i="7"/>
  <c r="B513" i="7"/>
  <c r="A513" i="7"/>
  <c r="K512" i="7"/>
  <c r="J512" i="7"/>
  <c r="I512" i="7"/>
  <c r="H512" i="7"/>
  <c r="G512" i="7"/>
  <c r="F512" i="7"/>
  <c r="E512" i="7"/>
  <c r="D512" i="7"/>
  <c r="C512" i="7"/>
  <c r="B512" i="7"/>
  <c r="A512" i="7"/>
  <c r="K511" i="7"/>
  <c r="J511" i="7"/>
  <c r="I511" i="7"/>
  <c r="H511" i="7"/>
  <c r="G511" i="7"/>
  <c r="F511" i="7"/>
  <c r="E511" i="7"/>
  <c r="D511" i="7"/>
  <c r="C511" i="7"/>
  <c r="B511" i="7"/>
  <c r="A511" i="7"/>
  <c r="K510" i="7"/>
  <c r="J510" i="7"/>
  <c r="I510" i="7"/>
  <c r="H510" i="7"/>
  <c r="G510" i="7"/>
  <c r="F510" i="7"/>
  <c r="E510" i="7"/>
  <c r="D510" i="7"/>
  <c r="C510" i="7"/>
  <c r="B510" i="7"/>
  <c r="A510" i="7"/>
  <c r="K509" i="7"/>
  <c r="J509" i="7"/>
  <c r="I509" i="7"/>
  <c r="H509" i="7"/>
  <c r="G509" i="7"/>
  <c r="F509" i="7"/>
  <c r="E509" i="7"/>
  <c r="D509" i="7"/>
  <c r="C509" i="7"/>
  <c r="B509" i="7"/>
  <c r="A509" i="7"/>
  <c r="K508" i="7"/>
  <c r="J508" i="7"/>
  <c r="I508" i="7"/>
  <c r="H508" i="7"/>
  <c r="G508" i="7"/>
  <c r="F508" i="7"/>
  <c r="E508" i="7"/>
  <c r="D508" i="7"/>
  <c r="C508" i="7"/>
  <c r="B508" i="7"/>
  <c r="A508" i="7"/>
  <c r="K507" i="7"/>
  <c r="J507" i="7"/>
  <c r="I507" i="7"/>
  <c r="H507" i="7"/>
  <c r="G507" i="7"/>
  <c r="F507" i="7"/>
  <c r="E507" i="7"/>
  <c r="D507" i="7"/>
  <c r="C507" i="7"/>
  <c r="B507" i="7"/>
  <c r="A507" i="7"/>
  <c r="K506" i="7"/>
  <c r="J506" i="7"/>
  <c r="I506" i="7"/>
  <c r="H506" i="7"/>
  <c r="G506" i="7"/>
  <c r="F506" i="7"/>
  <c r="E506" i="7"/>
  <c r="D506" i="7"/>
  <c r="C506" i="7"/>
  <c r="B506" i="7"/>
  <c r="A506" i="7"/>
  <c r="K505" i="7"/>
  <c r="J505" i="7"/>
  <c r="I505" i="7"/>
  <c r="H505" i="7"/>
  <c r="G505" i="7"/>
  <c r="F505" i="7"/>
  <c r="E505" i="7"/>
  <c r="D505" i="7"/>
  <c r="C505" i="7"/>
  <c r="B505" i="7"/>
  <c r="A505" i="7"/>
  <c r="K504" i="7"/>
  <c r="J504" i="7"/>
  <c r="I504" i="7"/>
  <c r="H504" i="7"/>
  <c r="G504" i="7"/>
  <c r="F504" i="7"/>
  <c r="E504" i="7"/>
  <c r="D504" i="7"/>
  <c r="C504" i="7"/>
  <c r="B504" i="7"/>
  <c r="A504" i="7"/>
  <c r="K503" i="7"/>
  <c r="J503" i="7"/>
  <c r="I503" i="7"/>
  <c r="H503" i="7"/>
  <c r="G503" i="7"/>
  <c r="F503" i="7"/>
  <c r="E503" i="7"/>
  <c r="D503" i="7"/>
  <c r="C503" i="7"/>
  <c r="B503" i="7"/>
  <c r="A503" i="7"/>
  <c r="K502" i="7"/>
  <c r="J502" i="7"/>
  <c r="I502" i="7"/>
  <c r="H502" i="7"/>
  <c r="G502" i="7"/>
  <c r="F502" i="7"/>
  <c r="E502" i="7"/>
  <c r="D502" i="7"/>
  <c r="C502" i="7"/>
  <c r="B502" i="7"/>
  <c r="A502" i="7"/>
  <c r="K501" i="7"/>
  <c r="J501" i="7"/>
  <c r="I501" i="7"/>
  <c r="H501" i="7"/>
  <c r="G501" i="7"/>
  <c r="F501" i="7"/>
  <c r="E501" i="7"/>
  <c r="D501" i="7"/>
  <c r="C501" i="7"/>
  <c r="B501" i="7"/>
  <c r="A501" i="7"/>
  <c r="K500" i="7"/>
  <c r="J500" i="7"/>
  <c r="I500" i="7"/>
  <c r="H500" i="7"/>
  <c r="G500" i="7"/>
  <c r="F500" i="7"/>
  <c r="E500" i="7"/>
  <c r="D500" i="7"/>
  <c r="C500" i="7"/>
  <c r="B500" i="7"/>
  <c r="A500" i="7"/>
  <c r="K499" i="7"/>
  <c r="J499" i="7"/>
  <c r="I499" i="7"/>
  <c r="H499" i="7"/>
  <c r="G499" i="7"/>
  <c r="F499" i="7"/>
  <c r="E499" i="7"/>
  <c r="D499" i="7"/>
  <c r="C499" i="7"/>
  <c r="B499" i="7"/>
  <c r="A499" i="7"/>
  <c r="K498" i="7"/>
  <c r="J498" i="7"/>
  <c r="I498" i="7"/>
  <c r="H498" i="7"/>
  <c r="G498" i="7"/>
  <c r="F498" i="7"/>
  <c r="E498" i="7"/>
  <c r="D498" i="7"/>
  <c r="C498" i="7"/>
  <c r="B498" i="7"/>
  <c r="A498" i="7"/>
  <c r="K497" i="7"/>
  <c r="J497" i="7"/>
  <c r="I497" i="7"/>
  <c r="H497" i="7"/>
  <c r="G497" i="7"/>
  <c r="F497" i="7"/>
  <c r="E497" i="7"/>
  <c r="D497" i="7"/>
  <c r="C497" i="7"/>
  <c r="B497" i="7"/>
  <c r="A497" i="7"/>
  <c r="K496" i="7"/>
  <c r="J496" i="7"/>
  <c r="I496" i="7"/>
  <c r="H496" i="7"/>
  <c r="G496" i="7"/>
  <c r="F496" i="7"/>
  <c r="E496" i="7"/>
  <c r="D496" i="7"/>
  <c r="C496" i="7"/>
  <c r="B496" i="7"/>
  <c r="A496" i="7"/>
  <c r="K495" i="7"/>
  <c r="J495" i="7"/>
  <c r="I495" i="7"/>
  <c r="H495" i="7"/>
  <c r="G495" i="7"/>
  <c r="F495" i="7"/>
  <c r="E495" i="7"/>
  <c r="D495" i="7"/>
  <c r="C495" i="7"/>
  <c r="B495" i="7"/>
  <c r="A495" i="7"/>
  <c r="K494" i="7"/>
  <c r="J494" i="7"/>
  <c r="I494" i="7"/>
  <c r="H494" i="7"/>
  <c r="G494" i="7"/>
  <c r="F494" i="7"/>
  <c r="E494" i="7"/>
  <c r="D494" i="7"/>
  <c r="C494" i="7"/>
  <c r="B494" i="7"/>
  <c r="A494" i="7"/>
  <c r="K493" i="7"/>
  <c r="J493" i="7"/>
  <c r="I493" i="7"/>
  <c r="H493" i="7"/>
  <c r="G493" i="7"/>
  <c r="F493" i="7"/>
  <c r="E493" i="7"/>
  <c r="D493" i="7"/>
  <c r="C493" i="7"/>
  <c r="B493" i="7"/>
  <c r="A493" i="7"/>
  <c r="K492" i="7"/>
  <c r="J492" i="7"/>
  <c r="I492" i="7"/>
  <c r="H492" i="7"/>
  <c r="G492" i="7"/>
  <c r="F492" i="7"/>
  <c r="E492" i="7"/>
  <c r="D492" i="7"/>
  <c r="C492" i="7"/>
  <c r="B492" i="7"/>
  <c r="A492" i="7"/>
  <c r="K491" i="7"/>
  <c r="J491" i="7"/>
  <c r="I491" i="7"/>
  <c r="H491" i="7"/>
  <c r="G491" i="7"/>
  <c r="F491" i="7"/>
  <c r="E491" i="7"/>
  <c r="D491" i="7"/>
  <c r="C491" i="7"/>
  <c r="B491" i="7"/>
  <c r="A491" i="7"/>
  <c r="K490" i="7"/>
  <c r="J490" i="7"/>
  <c r="I490" i="7"/>
  <c r="H490" i="7"/>
  <c r="G490" i="7"/>
  <c r="F490" i="7"/>
  <c r="E490" i="7"/>
  <c r="D490" i="7"/>
  <c r="C490" i="7"/>
  <c r="B490" i="7"/>
  <c r="A490" i="7"/>
  <c r="K489" i="7"/>
  <c r="J489" i="7"/>
  <c r="I489" i="7"/>
  <c r="H489" i="7"/>
  <c r="G489" i="7"/>
  <c r="F489" i="7"/>
  <c r="E489" i="7"/>
  <c r="D489" i="7"/>
  <c r="C489" i="7"/>
  <c r="B489" i="7"/>
  <c r="A489" i="7"/>
  <c r="K488" i="7"/>
  <c r="J488" i="7"/>
  <c r="I488" i="7"/>
  <c r="H488" i="7"/>
  <c r="G488" i="7"/>
  <c r="F488" i="7"/>
  <c r="E488" i="7"/>
  <c r="D488" i="7"/>
  <c r="C488" i="7"/>
  <c r="B488" i="7"/>
  <c r="A488" i="7"/>
  <c r="K487" i="7"/>
  <c r="J487" i="7"/>
  <c r="I487" i="7"/>
  <c r="H487" i="7"/>
  <c r="G487" i="7"/>
  <c r="F487" i="7"/>
  <c r="E487" i="7"/>
  <c r="D487" i="7"/>
  <c r="C487" i="7"/>
  <c r="B487" i="7"/>
  <c r="A487" i="7"/>
  <c r="K486" i="7"/>
  <c r="J486" i="7"/>
  <c r="I486" i="7"/>
  <c r="H486" i="7"/>
  <c r="G486" i="7"/>
  <c r="F486" i="7"/>
  <c r="E486" i="7"/>
  <c r="D486" i="7"/>
  <c r="C486" i="7"/>
  <c r="B486" i="7"/>
  <c r="A486" i="7"/>
  <c r="K485" i="7"/>
  <c r="J485" i="7"/>
  <c r="I485" i="7"/>
  <c r="H485" i="7"/>
  <c r="G485" i="7"/>
  <c r="F485" i="7"/>
  <c r="E485" i="7"/>
  <c r="D485" i="7"/>
  <c r="C485" i="7"/>
  <c r="B485" i="7"/>
  <c r="A485" i="7"/>
  <c r="K484" i="7"/>
  <c r="J484" i="7"/>
  <c r="I484" i="7"/>
  <c r="H484" i="7"/>
  <c r="G484" i="7"/>
  <c r="F484" i="7"/>
  <c r="E484" i="7"/>
  <c r="D484" i="7"/>
  <c r="C484" i="7"/>
  <c r="B484" i="7"/>
  <c r="A484" i="7"/>
  <c r="K483" i="7"/>
  <c r="J483" i="7"/>
  <c r="I483" i="7"/>
  <c r="H483" i="7"/>
  <c r="G483" i="7"/>
  <c r="F483" i="7"/>
  <c r="E483" i="7"/>
  <c r="D483" i="7"/>
  <c r="C483" i="7"/>
  <c r="B483" i="7"/>
  <c r="A483" i="7"/>
  <c r="K482" i="7"/>
  <c r="J482" i="7"/>
  <c r="I482" i="7"/>
  <c r="H482" i="7"/>
  <c r="G482" i="7"/>
  <c r="F482" i="7"/>
  <c r="E482" i="7"/>
  <c r="D482" i="7"/>
  <c r="C482" i="7"/>
  <c r="B482" i="7"/>
  <c r="A482" i="7"/>
  <c r="K481" i="7"/>
  <c r="J481" i="7"/>
  <c r="I481" i="7"/>
  <c r="H481" i="7"/>
  <c r="G481" i="7"/>
  <c r="F481" i="7"/>
  <c r="E481" i="7"/>
  <c r="D481" i="7"/>
  <c r="C481" i="7"/>
  <c r="B481" i="7"/>
  <c r="A481" i="7"/>
  <c r="K480" i="7"/>
  <c r="J480" i="7"/>
  <c r="I480" i="7"/>
  <c r="H480" i="7"/>
  <c r="G480" i="7"/>
  <c r="F480" i="7"/>
  <c r="E480" i="7"/>
  <c r="D480" i="7"/>
  <c r="C480" i="7"/>
  <c r="B480" i="7"/>
  <c r="A480" i="7"/>
  <c r="K479" i="7"/>
  <c r="J479" i="7"/>
  <c r="I479" i="7"/>
  <c r="H479" i="7"/>
  <c r="G479" i="7"/>
  <c r="F479" i="7"/>
  <c r="E479" i="7"/>
  <c r="D479" i="7"/>
  <c r="C479" i="7"/>
  <c r="B479" i="7"/>
  <c r="A479" i="7"/>
  <c r="K478" i="7"/>
  <c r="J478" i="7"/>
  <c r="I478" i="7"/>
  <c r="H478" i="7"/>
  <c r="G478" i="7"/>
  <c r="F478" i="7"/>
  <c r="E478" i="7"/>
  <c r="D478" i="7"/>
  <c r="C478" i="7"/>
  <c r="B478" i="7"/>
  <c r="A478" i="7"/>
  <c r="K477" i="7"/>
  <c r="J477" i="7"/>
  <c r="I477" i="7"/>
  <c r="H477" i="7"/>
  <c r="G477" i="7"/>
  <c r="F477" i="7"/>
  <c r="E477" i="7"/>
  <c r="D477" i="7"/>
  <c r="C477" i="7"/>
  <c r="B477" i="7"/>
  <c r="A477" i="7"/>
  <c r="K476" i="7"/>
  <c r="J476" i="7"/>
  <c r="I476" i="7"/>
  <c r="H476" i="7"/>
  <c r="G476" i="7"/>
  <c r="F476" i="7"/>
  <c r="E476" i="7"/>
  <c r="D476" i="7"/>
  <c r="C476" i="7"/>
  <c r="B476" i="7"/>
  <c r="A476" i="7"/>
  <c r="K475" i="7"/>
  <c r="J475" i="7"/>
  <c r="I475" i="7"/>
  <c r="H475" i="7"/>
  <c r="G475" i="7"/>
  <c r="F475" i="7"/>
  <c r="E475" i="7"/>
  <c r="D475" i="7"/>
  <c r="C475" i="7"/>
  <c r="B475" i="7"/>
  <c r="A475" i="7"/>
  <c r="K474" i="7"/>
  <c r="J474" i="7"/>
  <c r="I474" i="7"/>
  <c r="H474" i="7"/>
  <c r="G474" i="7"/>
  <c r="F474" i="7"/>
  <c r="E474" i="7"/>
  <c r="D474" i="7"/>
  <c r="C474" i="7"/>
  <c r="B474" i="7"/>
  <c r="A474" i="7"/>
  <c r="K473" i="7"/>
  <c r="J473" i="7"/>
  <c r="I473" i="7"/>
  <c r="H473" i="7"/>
  <c r="G473" i="7"/>
  <c r="F473" i="7"/>
  <c r="E473" i="7"/>
  <c r="D473" i="7"/>
  <c r="C473" i="7"/>
  <c r="B473" i="7"/>
  <c r="A473" i="7"/>
  <c r="K472" i="7"/>
  <c r="J472" i="7"/>
  <c r="I472" i="7"/>
  <c r="H472" i="7"/>
  <c r="G472" i="7"/>
  <c r="F472" i="7"/>
  <c r="E472" i="7"/>
  <c r="D472" i="7"/>
  <c r="C472" i="7"/>
  <c r="B472" i="7"/>
  <c r="A472" i="7"/>
  <c r="K471" i="7"/>
  <c r="J471" i="7"/>
  <c r="I471" i="7"/>
  <c r="H471" i="7"/>
  <c r="G471" i="7"/>
  <c r="F471" i="7"/>
  <c r="E471" i="7"/>
  <c r="D471" i="7"/>
  <c r="C471" i="7"/>
  <c r="B471" i="7"/>
  <c r="A471" i="7"/>
  <c r="K470" i="7"/>
  <c r="J470" i="7"/>
  <c r="I470" i="7"/>
  <c r="H470" i="7"/>
  <c r="G470" i="7"/>
  <c r="F470" i="7"/>
  <c r="E470" i="7"/>
  <c r="D470" i="7"/>
  <c r="C470" i="7"/>
  <c r="B470" i="7"/>
  <c r="A470" i="7"/>
  <c r="K469" i="7"/>
  <c r="J469" i="7"/>
  <c r="I469" i="7"/>
  <c r="H469" i="7"/>
  <c r="G469" i="7"/>
  <c r="F469" i="7"/>
  <c r="E469" i="7"/>
  <c r="D469" i="7"/>
  <c r="C469" i="7"/>
  <c r="B469" i="7"/>
  <c r="A469" i="7"/>
  <c r="K468" i="7"/>
  <c r="J468" i="7"/>
  <c r="I468" i="7"/>
  <c r="H468" i="7"/>
  <c r="G468" i="7"/>
  <c r="F468" i="7"/>
  <c r="E468" i="7"/>
  <c r="D468" i="7"/>
  <c r="C468" i="7"/>
  <c r="B468" i="7"/>
  <c r="A468" i="7"/>
  <c r="K467" i="7"/>
  <c r="J467" i="7"/>
  <c r="I467" i="7"/>
  <c r="H467" i="7"/>
  <c r="G467" i="7"/>
  <c r="F467" i="7"/>
  <c r="E467" i="7"/>
  <c r="D467" i="7"/>
  <c r="C467" i="7"/>
  <c r="B467" i="7"/>
  <c r="A467" i="7"/>
  <c r="K466" i="7"/>
  <c r="J466" i="7"/>
  <c r="I466" i="7"/>
  <c r="H466" i="7"/>
  <c r="G466" i="7"/>
  <c r="F466" i="7"/>
  <c r="E466" i="7"/>
  <c r="D466" i="7"/>
  <c r="C466" i="7"/>
  <c r="B466" i="7"/>
  <c r="A466" i="7"/>
  <c r="K465" i="7"/>
  <c r="J465" i="7"/>
  <c r="I465" i="7"/>
  <c r="H465" i="7"/>
  <c r="G465" i="7"/>
  <c r="F465" i="7"/>
  <c r="E465" i="7"/>
  <c r="D465" i="7"/>
  <c r="C465" i="7"/>
  <c r="B465" i="7"/>
  <c r="A465" i="7"/>
  <c r="K464" i="7"/>
  <c r="J464" i="7"/>
  <c r="I464" i="7"/>
  <c r="H464" i="7"/>
  <c r="G464" i="7"/>
  <c r="F464" i="7"/>
  <c r="E464" i="7"/>
  <c r="D464" i="7"/>
  <c r="C464" i="7"/>
  <c r="B464" i="7"/>
  <c r="A464" i="7"/>
  <c r="K463" i="7"/>
  <c r="J463" i="7"/>
  <c r="I463" i="7"/>
  <c r="H463" i="7"/>
  <c r="G463" i="7"/>
  <c r="F463" i="7"/>
  <c r="E463" i="7"/>
  <c r="D463" i="7"/>
  <c r="C463" i="7"/>
  <c r="B463" i="7"/>
  <c r="A463" i="7"/>
  <c r="K462" i="7"/>
  <c r="J462" i="7"/>
  <c r="I462" i="7"/>
  <c r="H462" i="7"/>
  <c r="G462" i="7"/>
  <c r="F462" i="7"/>
  <c r="E462" i="7"/>
  <c r="D462" i="7"/>
  <c r="C462" i="7"/>
  <c r="B462" i="7"/>
  <c r="A462" i="7"/>
  <c r="K461" i="7"/>
  <c r="J461" i="7"/>
  <c r="I461" i="7"/>
  <c r="H461" i="7"/>
  <c r="G461" i="7"/>
  <c r="F461" i="7"/>
  <c r="E461" i="7"/>
  <c r="D461" i="7"/>
  <c r="C461" i="7"/>
  <c r="B461" i="7"/>
  <c r="A461" i="7"/>
  <c r="K460" i="7"/>
  <c r="J460" i="7"/>
  <c r="I460" i="7"/>
  <c r="H460" i="7"/>
  <c r="G460" i="7"/>
  <c r="F460" i="7"/>
  <c r="E460" i="7"/>
  <c r="D460" i="7"/>
  <c r="C460" i="7"/>
  <c r="B460" i="7"/>
  <c r="A460" i="7"/>
  <c r="K459" i="7"/>
  <c r="J459" i="7"/>
  <c r="I459" i="7"/>
  <c r="H459" i="7"/>
  <c r="G459" i="7"/>
  <c r="F459" i="7"/>
  <c r="E459" i="7"/>
  <c r="D459" i="7"/>
  <c r="C459" i="7"/>
  <c r="B459" i="7"/>
  <c r="A459" i="7"/>
  <c r="K458" i="7"/>
  <c r="J458" i="7"/>
  <c r="I458" i="7"/>
  <c r="H458" i="7"/>
  <c r="G458" i="7"/>
  <c r="F458" i="7"/>
  <c r="E458" i="7"/>
  <c r="D458" i="7"/>
  <c r="C458" i="7"/>
  <c r="B458" i="7"/>
  <c r="A458" i="7"/>
  <c r="K457" i="7"/>
  <c r="J457" i="7"/>
  <c r="I457" i="7"/>
  <c r="H457" i="7"/>
  <c r="G457" i="7"/>
  <c r="F457" i="7"/>
  <c r="E457" i="7"/>
  <c r="D457" i="7"/>
  <c r="C457" i="7"/>
  <c r="B457" i="7"/>
  <c r="A457" i="7"/>
  <c r="K456" i="7"/>
  <c r="J456" i="7"/>
  <c r="I456" i="7"/>
  <c r="H456" i="7"/>
  <c r="G456" i="7"/>
  <c r="F456" i="7"/>
  <c r="E456" i="7"/>
  <c r="D456" i="7"/>
  <c r="C456" i="7"/>
  <c r="B456" i="7"/>
  <c r="A456" i="7"/>
  <c r="K455" i="7"/>
  <c r="J455" i="7"/>
  <c r="I455" i="7"/>
  <c r="H455" i="7"/>
  <c r="G455" i="7"/>
  <c r="F455" i="7"/>
  <c r="E455" i="7"/>
  <c r="D455" i="7"/>
  <c r="C455" i="7"/>
  <c r="B455" i="7"/>
  <c r="A455" i="7"/>
  <c r="K454" i="7"/>
  <c r="J454" i="7"/>
  <c r="I454" i="7"/>
  <c r="H454" i="7"/>
  <c r="G454" i="7"/>
  <c r="F454" i="7"/>
  <c r="E454" i="7"/>
  <c r="D454" i="7"/>
  <c r="C454" i="7"/>
  <c r="B454" i="7"/>
  <c r="A454" i="7"/>
  <c r="K453" i="7"/>
  <c r="J453" i="7"/>
  <c r="I453" i="7"/>
  <c r="H453" i="7"/>
  <c r="G453" i="7"/>
  <c r="F453" i="7"/>
  <c r="E453" i="7"/>
  <c r="D453" i="7"/>
  <c r="C453" i="7"/>
  <c r="B453" i="7"/>
  <c r="A453" i="7"/>
  <c r="K452" i="7"/>
  <c r="J452" i="7"/>
  <c r="I452" i="7"/>
  <c r="H452" i="7"/>
  <c r="G452" i="7"/>
  <c r="F452" i="7"/>
  <c r="E452" i="7"/>
  <c r="D452" i="7"/>
  <c r="C452" i="7"/>
  <c r="B452" i="7"/>
  <c r="A452" i="7"/>
  <c r="K451" i="7"/>
  <c r="J451" i="7"/>
  <c r="I451" i="7"/>
  <c r="H451" i="7"/>
  <c r="G451" i="7"/>
  <c r="F451" i="7"/>
  <c r="E451" i="7"/>
  <c r="D451" i="7"/>
  <c r="C451" i="7"/>
  <c r="B451" i="7"/>
  <c r="A451" i="7"/>
  <c r="K450" i="7"/>
  <c r="J450" i="7"/>
  <c r="I450" i="7"/>
  <c r="H450" i="7"/>
  <c r="G450" i="7"/>
  <c r="F450" i="7"/>
  <c r="E450" i="7"/>
  <c r="D450" i="7"/>
  <c r="C450" i="7"/>
  <c r="B450" i="7"/>
  <c r="A450" i="7"/>
  <c r="K449" i="7"/>
  <c r="J449" i="7"/>
  <c r="I449" i="7"/>
  <c r="H449" i="7"/>
  <c r="G449" i="7"/>
  <c r="F449" i="7"/>
  <c r="E449" i="7"/>
  <c r="D449" i="7"/>
  <c r="C449" i="7"/>
  <c r="B449" i="7"/>
  <c r="A449" i="7"/>
  <c r="K448" i="7"/>
  <c r="J448" i="7"/>
  <c r="I448" i="7"/>
  <c r="H448" i="7"/>
  <c r="G448" i="7"/>
  <c r="F448" i="7"/>
  <c r="E448" i="7"/>
  <c r="D448" i="7"/>
  <c r="C448" i="7"/>
  <c r="B448" i="7"/>
  <c r="A448" i="7"/>
  <c r="K447" i="7"/>
  <c r="J447" i="7"/>
  <c r="I447" i="7"/>
  <c r="H447" i="7"/>
  <c r="G447" i="7"/>
  <c r="F447" i="7"/>
  <c r="E447" i="7"/>
  <c r="D447" i="7"/>
  <c r="C447" i="7"/>
  <c r="B447" i="7"/>
  <c r="A447" i="7"/>
  <c r="K446" i="7"/>
  <c r="J446" i="7"/>
  <c r="I446" i="7"/>
  <c r="H446" i="7"/>
  <c r="G446" i="7"/>
  <c r="F446" i="7"/>
  <c r="E446" i="7"/>
  <c r="D446" i="7"/>
  <c r="C446" i="7"/>
  <c r="B446" i="7"/>
  <c r="A446" i="7"/>
  <c r="K445" i="7"/>
  <c r="J445" i="7"/>
  <c r="I445" i="7"/>
  <c r="H445" i="7"/>
  <c r="G445" i="7"/>
  <c r="F445" i="7"/>
  <c r="E445" i="7"/>
  <c r="D445" i="7"/>
  <c r="C445" i="7"/>
  <c r="B445" i="7"/>
  <c r="A445" i="7"/>
  <c r="K444" i="7"/>
  <c r="J444" i="7"/>
  <c r="I444" i="7"/>
  <c r="H444" i="7"/>
  <c r="G444" i="7"/>
  <c r="F444" i="7"/>
  <c r="E444" i="7"/>
  <c r="D444" i="7"/>
  <c r="C444" i="7"/>
  <c r="B444" i="7"/>
  <c r="A444" i="7"/>
  <c r="K443" i="7"/>
  <c r="J443" i="7"/>
  <c r="I443" i="7"/>
  <c r="H443" i="7"/>
  <c r="G443" i="7"/>
  <c r="F443" i="7"/>
  <c r="E443" i="7"/>
  <c r="D443" i="7"/>
  <c r="C443" i="7"/>
  <c r="B443" i="7"/>
  <c r="A443" i="7"/>
  <c r="K442" i="7"/>
  <c r="J442" i="7"/>
  <c r="I442" i="7"/>
  <c r="H442" i="7"/>
  <c r="G442" i="7"/>
  <c r="F442" i="7"/>
  <c r="E442" i="7"/>
  <c r="D442" i="7"/>
  <c r="C442" i="7"/>
  <c r="B442" i="7"/>
  <c r="A442" i="7"/>
  <c r="K441" i="7"/>
  <c r="J441" i="7"/>
  <c r="I441" i="7"/>
  <c r="H441" i="7"/>
  <c r="G441" i="7"/>
  <c r="F441" i="7"/>
  <c r="E441" i="7"/>
  <c r="D441" i="7"/>
  <c r="C441" i="7"/>
  <c r="B441" i="7"/>
  <c r="A441" i="7"/>
  <c r="K440" i="7"/>
  <c r="J440" i="7"/>
  <c r="I440" i="7"/>
  <c r="H440" i="7"/>
  <c r="G440" i="7"/>
  <c r="F440" i="7"/>
  <c r="E440" i="7"/>
  <c r="D440" i="7"/>
  <c r="C440" i="7"/>
  <c r="B440" i="7"/>
  <c r="A440" i="7"/>
  <c r="K439" i="7"/>
  <c r="J439" i="7"/>
  <c r="I439" i="7"/>
  <c r="H439" i="7"/>
  <c r="G439" i="7"/>
  <c r="F439" i="7"/>
  <c r="E439" i="7"/>
  <c r="D439" i="7"/>
  <c r="C439" i="7"/>
  <c r="B439" i="7"/>
  <c r="A439" i="7"/>
  <c r="K438" i="7"/>
  <c r="J438" i="7"/>
  <c r="I438" i="7"/>
  <c r="H438" i="7"/>
  <c r="G438" i="7"/>
  <c r="F438" i="7"/>
  <c r="E438" i="7"/>
  <c r="D438" i="7"/>
  <c r="C438" i="7"/>
  <c r="B438" i="7"/>
  <c r="A438" i="7"/>
  <c r="K437" i="7"/>
  <c r="J437" i="7"/>
  <c r="I437" i="7"/>
  <c r="H437" i="7"/>
  <c r="G437" i="7"/>
  <c r="F437" i="7"/>
  <c r="E437" i="7"/>
  <c r="D437" i="7"/>
  <c r="C437" i="7"/>
  <c r="B437" i="7"/>
  <c r="A437" i="7"/>
  <c r="K436" i="7"/>
  <c r="J436" i="7"/>
  <c r="I436" i="7"/>
  <c r="H436" i="7"/>
  <c r="G436" i="7"/>
  <c r="F436" i="7"/>
  <c r="E436" i="7"/>
  <c r="D436" i="7"/>
  <c r="C436" i="7"/>
  <c r="B436" i="7"/>
  <c r="A436" i="7"/>
  <c r="K435" i="7"/>
  <c r="J435" i="7"/>
  <c r="I435" i="7"/>
  <c r="H435" i="7"/>
  <c r="G435" i="7"/>
  <c r="F435" i="7"/>
  <c r="E435" i="7"/>
  <c r="D435" i="7"/>
  <c r="C435" i="7"/>
  <c r="B435" i="7"/>
  <c r="A435" i="7"/>
  <c r="K434" i="7"/>
  <c r="J434" i="7"/>
  <c r="I434" i="7"/>
  <c r="H434" i="7"/>
  <c r="G434" i="7"/>
  <c r="F434" i="7"/>
  <c r="E434" i="7"/>
  <c r="D434" i="7"/>
  <c r="C434" i="7"/>
  <c r="B434" i="7"/>
  <c r="A434" i="7"/>
  <c r="K433" i="7"/>
  <c r="J433" i="7"/>
  <c r="I433" i="7"/>
  <c r="H433" i="7"/>
  <c r="G433" i="7"/>
  <c r="F433" i="7"/>
  <c r="E433" i="7"/>
  <c r="D433" i="7"/>
  <c r="C433" i="7"/>
  <c r="B433" i="7"/>
  <c r="A433" i="7"/>
  <c r="K432" i="7"/>
  <c r="J432" i="7"/>
  <c r="I432" i="7"/>
  <c r="H432" i="7"/>
  <c r="G432" i="7"/>
  <c r="F432" i="7"/>
  <c r="E432" i="7"/>
  <c r="D432" i="7"/>
  <c r="C432" i="7"/>
  <c r="B432" i="7"/>
  <c r="A432" i="7"/>
  <c r="K431" i="7"/>
  <c r="J431" i="7"/>
  <c r="I431" i="7"/>
  <c r="H431" i="7"/>
  <c r="G431" i="7"/>
  <c r="F431" i="7"/>
  <c r="E431" i="7"/>
  <c r="D431" i="7"/>
  <c r="C431" i="7"/>
  <c r="B431" i="7"/>
  <c r="A431" i="7"/>
  <c r="K430" i="7"/>
  <c r="J430" i="7"/>
  <c r="I430" i="7"/>
  <c r="H430" i="7"/>
  <c r="G430" i="7"/>
  <c r="F430" i="7"/>
  <c r="E430" i="7"/>
  <c r="D430" i="7"/>
  <c r="C430" i="7"/>
  <c r="B430" i="7"/>
  <c r="A430" i="7"/>
  <c r="K429" i="7"/>
  <c r="J429" i="7"/>
  <c r="I429" i="7"/>
  <c r="H429" i="7"/>
  <c r="G429" i="7"/>
  <c r="F429" i="7"/>
  <c r="E429" i="7"/>
  <c r="D429" i="7"/>
  <c r="C429" i="7"/>
  <c r="B429" i="7"/>
  <c r="A429" i="7"/>
  <c r="K428" i="7"/>
  <c r="J428" i="7"/>
  <c r="I428" i="7"/>
  <c r="H428" i="7"/>
  <c r="G428" i="7"/>
  <c r="F428" i="7"/>
  <c r="E428" i="7"/>
  <c r="D428" i="7"/>
  <c r="C428" i="7"/>
  <c r="B428" i="7"/>
  <c r="A428" i="7"/>
  <c r="K427" i="7"/>
  <c r="J427" i="7"/>
  <c r="I427" i="7"/>
  <c r="H427" i="7"/>
  <c r="G427" i="7"/>
  <c r="F427" i="7"/>
  <c r="E427" i="7"/>
  <c r="D427" i="7"/>
  <c r="C427" i="7"/>
  <c r="B427" i="7"/>
  <c r="A427" i="7"/>
  <c r="K426" i="7"/>
  <c r="J426" i="7"/>
  <c r="I426" i="7"/>
  <c r="H426" i="7"/>
  <c r="G426" i="7"/>
  <c r="F426" i="7"/>
  <c r="E426" i="7"/>
  <c r="D426" i="7"/>
  <c r="C426" i="7"/>
  <c r="B426" i="7"/>
  <c r="A426" i="7"/>
  <c r="K425" i="7"/>
  <c r="J425" i="7"/>
  <c r="I425" i="7"/>
  <c r="H425" i="7"/>
  <c r="G425" i="7"/>
  <c r="F425" i="7"/>
  <c r="E425" i="7"/>
  <c r="D425" i="7"/>
  <c r="C425" i="7"/>
  <c r="B425" i="7"/>
  <c r="A425" i="7"/>
  <c r="K424" i="7"/>
  <c r="J424" i="7"/>
  <c r="I424" i="7"/>
  <c r="H424" i="7"/>
  <c r="G424" i="7"/>
  <c r="F424" i="7"/>
  <c r="E424" i="7"/>
  <c r="D424" i="7"/>
  <c r="C424" i="7"/>
  <c r="B424" i="7"/>
  <c r="A424" i="7"/>
  <c r="K423" i="7"/>
  <c r="J423" i="7"/>
  <c r="I423" i="7"/>
  <c r="H423" i="7"/>
  <c r="G423" i="7"/>
  <c r="F423" i="7"/>
  <c r="E423" i="7"/>
  <c r="D423" i="7"/>
  <c r="C423" i="7"/>
  <c r="B423" i="7"/>
  <c r="A423" i="7"/>
  <c r="K422" i="7"/>
  <c r="J422" i="7"/>
  <c r="I422" i="7"/>
  <c r="H422" i="7"/>
  <c r="G422" i="7"/>
  <c r="F422" i="7"/>
  <c r="E422" i="7"/>
  <c r="D422" i="7"/>
  <c r="C422" i="7"/>
  <c r="B422" i="7"/>
  <c r="A422" i="7"/>
  <c r="K421" i="7"/>
  <c r="J421" i="7"/>
  <c r="I421" i="7"/>
  <c r="H421" i="7"/>
  <c r="G421" i="7"/>
  <c r="F421" i="7"/>
  <c r="E421" i="7"/>
  <c r="D421" i="7"/>
  <c r="C421" i="7"/>
  <c r="B421" i="7"/>
  <c r="A421" i="7"/>
  <c r="K420" i="7"/>
  <c r="J420" i="7"/>
  <c r="I420" i="7"/>
  <c r="H420" i="7"/>
  <c r="G420" i="7"/>
  <c r="F420" i="7"/>
  <c r="E420" i="7"/>
  <c r="D420" i="7"/>
  <c r="C420" i="7"/>
  <c r="B420" i="7"/>
  <c r="A420" i="7"/>
  <c r="K419" i="7"/>
  <c r="J419" i="7"/>
  <c r="I419" i="7"/>
  <c r="H419" i="7"/>
  <c r="G419" i="7"/>
  <c r="F419" i="7"/>
  <c r="E419" i="7"/>
  <c r="D419" i="7"/>
  <c r="C419" i="7"/>
  <c r="B419" i="7"/>
  <c r="A419" i="7"/>
  <c r="K418" i="7"/>
  <c r="J418" i="7"/>
  <c r="I418" i="7"/>
  <c r="H418" i="7"/>
  <c r="G418" i="7"/>
  <c r="F418" i="7"/>
  <c r="E418" i="7"/>
  <c r="D418" i="7"/>
  <c r="C418" i="7"/>
  <c r="B418" i="7"/>
  <c r="A418" i="7"/>
  <c r="K417" i="7"/>
  <c r="J417" i="7"/>
  <c r="I417" i="7"/>
  <c r="H417" i="7"/>
  <c r="G417" i="7"/>
  <c r="F417" i="7"/>
  <c r="E417" i="7"/>
  <c r="D417" i="7"/>
  <c r="C417" i="7"/>
  <c r="B417" i="7"/>
  <c r="A417" i="7"/>
  <c r="K416" i="7"/>
  <c r="J416" i="7"/>
  <c r="I416" i="7"/>
  <c r="H416" i="7"/>
  <c r="G416" i="7"/>
  <c r="F416" i="7"/>
  <c r="E416" i="7"/>
  <c r="D416" i="7"/>
  <c r="C416" i="7"/>
  <c r="B416" i="7"/>
  <c r="A416" i="7"/>
  <c r="K415" i="7"/>
  <c r="J415" i="7"/>
  <c r="I415" i="7"/>
  <c r="H415" i="7"/>
  <c r="G415" i="7"/>
  <c r="F415" i="7"/>
  <c r="E415" i="7"/>
  <c r="D415" i="7"/>
  <c r="C415" i="7"/>
  <c r="B415" i="7"/>
  <c r="A415" i="7"/>
  <c r="K414" i="7"/>
  <c r="J414" i="7"/>
  <c r="I414" i="7"/>
  <c r="H414" i="7"/>
  <c r="G414" i="7"/>
  <c r="F414" i="7"/>
  <c r="E414" i="7"/>
  <c r="D414" i="7"/>
  <c r="C414" i="7"/>
  <c r="B414" i="7"/>
  <c r="A414" i="7"/>
  <c r="K413" i="7"/>
  <c r="J413" i="7"/>
  <c r="I413" i="7"/>
  <c r="H413" i="7"/>
  <c r="G413" i="7"/>
  <c r="F413" i="7"/>
  <c r="E413" i="7"/>
  <c r="D413" i="7"/>
  <c r="C413" i="7"/>
  <c r="B413" i="7"/>
  <c r="A413" i="7"/>
  <c r="K412" i="7"/>
  <c r="J412" i="7"/>
  <c r="I412" i="7"/>
  <c r="H412" i="7"/>
  <c r="G412" i="7"/>
  <c r="F412" i="7"/>
  <c r="E412" i="7"/>
  <c r="D412" i="7"/>
  <c r="C412" i="7"/>
  <c r="B412" i="7"/>
  <c r="A412" i="7"/>
  <c r="K411" i="7"/>
  <c r="J411" i="7"/>
  <c r="I411" i="7"/>
  <c r="H411" i="7"/>
  <c r="G411" i="7"/>
  <c r="F411" i="7"/>
  <c r="E411" i="7"/>
  <c r="D411" i="7"/>
  <c r="C411" i="7"/>
  <c r="B411" i="7"/>
  <c r="A411" i="7"/>
  <c r="K410" i="7"/>
  <c r="J410" i="7"/>
  <c r="I410" i="7"/>
  <c r="H410" i="7"/>
  <c r="G410" i="7"/>
  <c r="F410" i="7"/>
  <c r="E410" i="7"/>
  <c r="D410" i="7"/>
  <c r="C410" i="7"/>
  <c r="B410" i="7"/>
  <c r="A410" i="7"/>
  <c r="K409" i="7"/>
  <c r="J409" i="7"/>
  <c r="I409" i="7"/>
  <c r="H409" i="7"/>
  <c r="G409" i="7"/>
  <c r="F409" i="7"/>
  <c r="E409" i="7"/>
  <c r="D409" i="7"/>
  <c r="C409" i="7"/>
  <c r="B409" i="7"/>
  <c r="A409" i="7"/>
  <c r="K408" i="7"/>
  <c r="J408" i="7"/>
  <c r="I408" i="7"/>
  <c r="H408" i="7"/>
  <c r="G408" i="7"/>
  <c r="F408" i="7"/>
  <c r="E408" i="7"/>
  <c r="D408" i="7"/>
  <c r="C408" i="7"/>
  <c r="B408" i="7"/>
  <c r="A408" i="7"/>
  <c r="K407" i="7"/>
  <c r="J407" i="7"/>
  <c r="I407" i="7"/>
  <c r="H407" i="7"/>
  <c r="G407" i="7"/>
  <c r="F407" i="7"/>
  <c r="E407" i="7"/>
  <c r="D407" i="7"/>
  <c r="C407" i="7"/>
  <c r="B407" i="7"/>
  <c r="A407" i="7"/>
  <c r="K406" i="7"/>
  <c r="J406" i="7"/>
  <c r="I406" i="7"/>
  <c r="H406" i="7"/>
  <c r="G406" i="7"/>
  <c r="F406" i="7"/>
  <c r="E406" i="7"/>
  <c r="D406" i="7"/>
  <c r="C406" i="7"/>
  <c r="B406" i="7"/>
  <c r="A406" i="7"/>
  <c r="K405" i="7"/>
  <c r="J405" i="7"/>
  <c r="I405" i="7"/>
  <c r="H405" i="7"/>
  <c r="G405" i="7"/>
  <c r="F405" i="7"/>
  <c r="E405" i="7"/>
  <c r="D405" i="7"/>
  <c r="C405" i="7"/>
  <c r="B405" i="7"/>
  <c r="A405" i="7"/>
  <c r="K404" i="7"/>
  <c r="J404" i="7"/>
  <c r="I404" i="7"/>
  <c r="H404" i="7"/>
  <c r="G404" i="7"/>
  <c r="F404" i="7"/>
  <c r="E404" i="7"/>
  <c r="D404" i="7"/>
  <c r="C404" i="7"/>
  <c r="B404" i="7"/>
  <c r="A404" i="7"/>
  <c r="K403" i="7"/>
  <c r="J403" i="7"/>
  <c r="I403" i="7"/>
  <c r="H403" i="7"/>
  <c r="G403" i="7"/>
  <c r="F403" i="7"/>
  <c r="E403" i="7"/>
  <c r="D403" i="7"/>
  <c r="C403" i="7"/>
  <c r="B403" i="7"/>
  <c r="A403" i="7"/>
  <c r="K402" i="7"/>
  <c r="J402" i="7"/>
  <c r="I402" i="7"/>
  <c r="H402" i="7"/>
  <c r="G402" i="7"/>
  <c r="F402" i="7"/>
  <c r="E402" i="7"/>
  <c r="D402" i="7"/>
  <c r="C402" i="7"/>
  <c r="B402" i="7"/>
  <c r="A402" i="7"/>
  <c r="K401" i="7"/>
  <c r="J401" i="7"/>
  <c r="I401" i="7"/>
  <c r="H401" i="7"/>
  <c r="G401" i="7"/>
  <c r="F401" i="7"/>
  <c r="E401" i="7"/>
  <c r="D401" i="7"/>
  <c r="C401" i="7"/>
  <c r="B401" i="7"/>
  <c r="A401" i="7"/>
  <c r="K400" i="7"/>
  <c r="J400" i="7"/>
  <c r="I400" i="7"/>
  <c r="H400" i="7"/>
  <c r="G400" i="7"/>
  <c r="F400" i="7"/>
  <c r="E400" i="7"/>
  <c r="D400" i="7"/>
  <c r="C400" i="7"/>
  <c r="B400" i="7"/>
  <c r="A400" i="7"/>
  <c r="K399" i="7"/>
  <c r="J399" i="7"/>
  <c r="I399" i="7"/>
  <c r="H399" i="7"/>
  <c r="G399" i="7"/>
  <c r="F399" i="7"/>
  <c r="E399" i="7"/>
  <c r="D399" i="7"/>
  <c r="C399" i="7"/>
  <c r="B399" i="7"/>
  <c r="A399" i="7"/>
  <c r="K398" i="7"/>
  <c r="J398" i="7"/>
  <c r="I398" i="7"/>
  <c r="H398" i="7"/>
  <c r="G398" i="7"/>
  <c r="F398" i="7"/>
  <c r="E398" i="7"/>
  <c r="D398" i="7"/>
  <c r="C398" i="7"/>
  <c r="B398" i="7"/>
  <c r="A398" i="7"/>
  <c r="K397" i="7"/>
  <c r="J397" i="7"/>
  <c r="I397" i="7"/>
  <c r="H397" i="7"/>
  <c r="G397" i="7"/>
  <c r="F397" i="7"/>
  <c r="E397" i="7"/>
  <c r="D397" i="7"/>
  <c r="C397" i="7"/>
  <c r="B397" i="7"/>
  <c r="A397" i="7"/>
  <c r="K396" i="7"/>
  <c r="J396" i="7"/>
  <c r="I396" i="7"/>
  <c r="H396" i="7"/>
  <c r="G396" i="7"/>
  <c r="F396" i="7"/>
  <c r="E396" i="7"/>
  <c r="D396" i="7"/>
  <c r="C396" i="7"/>
  <c r="B396" i="7"/>
  <c r="A396" i="7"/>
  <c r="K395" i="7"/>
  <c r="J395" i="7"/>
  <c r="I395" i="7"/>
  <c r="H395" i="7"/>
  <c r="G395" i="7"/>
  <c r="F395" i="7"/>
  <c r="E395" i="7"/>
  <c r="D395" i="7"/>
  <c r="C395" i="7"/>
  <c r="B395" i="7"/>
  <c r="A395" i="7"/>
  <c r="K394" i="7"/>
  <c r="J394" i="7"/>
  <c r="I394" i="7"/>
  <c r="H394" i="7"/>
  <c r="G394" i="7"/>
  <c r="F394" i="7"/>
  <c r="E394" i="7"/>
  <c r="D394" i="7"/>
  <c r="C394" i="7"/>
  <c r="B394" i="7"/>
  <c r="A394" i="7"/>
  <c r="K393" i="7"/>
  <c r="J393" i="7"/>
  <c r="I393" i="7"/>
  <c r="H393" i="7"/>
  <c r="G393" i="7"/>
  <c r="F393" i="7"/>
  <c r="E393" i="7"/>
  <c r="D393" i="7"/>
  <c r="C393" i="7"/>
  <c r="B393" i="7"/>
  <c r="A393" i="7"/>
  <c r="K392" i="7"/>
  <c r="J392" i="7"/>
  <c r="I392" i="7"/>
  <c r="H392" i="7"/>
  <c r="G392" i="7"/>
  <c r="F392" i="7"/>
  <c r="E392" i="7"/>
  <c r="D392" i="7"/>
  <c r="C392" i="7"/>
  <c r="B392" i="7"/>
  <c r="A392" i="7"/>
  <c r="K391" i="7"/>
  <c r="J391" i="7"/>
  <c r="I391" i="7"/>
  <c r="H391" i="7"/>
  <c r="G391" i="7"/>
  <c r="F391" i="7"/>
  <c r="E391" i="7"/>
  <c r="D391" i="7"/>
  <c r="C391" i="7"/>
  <c r="B391" i="7"/>
  <c r="A391" i="7"/>
  <c r="K390" i="7"/>
  <c r="J390" i="7"/>
  <c r="I390" i="7"/>
  <c r="H390" i="7"/>
  <c r="G390" i="7"/>
  <c r="F390" i="7"/>
  <c r="E390" i="7"/>
  <c r="D390" i="7"/>
  <c r="C390" i="7"/>
  <c r="B390" i="7"/>
  <c r="A390" i="7"/>
  <c r="K389" i="7"/>
  <c r="J389" i="7"/>
  <c r="I389" i="7"/>
  <c r="H389" i="7"/>
  <c r="G389" i="7"/>
  <c r="F389" i="7"/>
  <c r="E389" i="7"/>
  <c r="D389" i="7"/>
  <c r="C389" i="7"/>
  <c r="B389" i="7"/>
  <c r="A389" i="7"/>
  <c r="K388" i="7"/>
  <c r="J388" i="7"/>
  <c r="I388" i="7"/>
  <c r="H388" i="7"/>
  <c r="G388" i="7"/>
  <c r="F388" i="7"/>
  <c r="E388" i="7"/>
  <c r="D388" i="7"/>
  <c r="C388" i="7"/>
  <c r="B388" i="7"/>
  <c r="A388" i="7"/>
  <c r="K387" i="7"/>
  <c r="J387" i="7"/>
  <c r="I387" i="7"/>
  <c r="H387" i="7"/>
  <c r="G387" i="7"/>
  <c r="F387" i="7"/>
  <c r="E387" i="7"/>
  <c r="D387" i="7"/>
  <c r="C387" i="7"/>
  <c r="B387" i="7"/>
  <c r="A387" i="7"/>
  <c r="K386" i="7"/>
  <c r="J386" i="7"/>
  <c r="I386" i="7"/>
  <c r="H386" i="7"/>
  <c r="G386" i="7"/>
  <c r="F386" i="7"/>
  <c r="E386" i="7"/>
  <c r="D386" i="7"/>
  <c r="C386" i="7"/>
  <c r="B386" i="7"/>
  <c r="A386" i="7"/>
  <c r="K385" i="7"/>
  <c r="J385" i="7"/>
  <c r="I385" i="7"/>
  <c r="H385" i="7"/>
  <c r="G385" i="7"/>
  <c r="F385" i="7"/>
  <c r="E385" i="7"/>
  <c r="D385" i="7"/>
  <c r="C385" i="7"/>
  <c r="B385" i="7"/>
  <c r="A385" i="7"/>
  <c r="K384" i="7"/>
  <c r="J384" i="7"/>
  <c r="I384" i="7"/>
  <c r="H384" i="7"/>
  <c r="G384" i="7"/>
  <c r="F384" i="7"/>
  <c r="E384" i="7"/>
  <c r="D384" i="7"/>
  <c r="C384" i="7"/>
  <c r="B384" i="7"/>
  <c r="A384" i="7"/>
  <c r="K383" i="7"/>
  <c r="J383" i="7"/>
  <c r="I383" i="7"/>
  <c r="H383" i="7"/>
  <c r="G383" i="7"/>
  <c r="F383" i="7"/>
  <c r="E383" i="7"/>
  <c r="D383" i="7"/>
  <c r="C383" i="7"/>
  <c r="B383" i="7"/>
  <c r="A383" i="7"/>
  <c r="K382" i="7"/>
  <c r="J382" i="7"/>
  <c r="I382" i="7"/>
  <c r="H382" i="7"/>
  <c r="G382" i="7"/>
  <c r="F382" i="7"/>
  <c r="E382" i="7"/>
  <c r="D382" i="7"/>
  <c r="C382" i="7"/>
  <c r="B382" i="7"/>
  <c r="A382" i="7"/>
  <c r="K381" i="7"/>
  <c r="J381" i="7"/>
  <c r="I381" i="7"/>
  <c r="H381" i="7"/>
  <c r="G381" i="7"/>
  <c r="F381" i="7"/>
  <c r="E381" i="7"/>
  <c r="D381" i="7"/>
  <c r="C381" i="7"/>
  <c r="B381" i="7"/>
  <c r="A381" i="7"/>
  <c r="K380" i="7"/>
  <c r="J380" i="7"/>
  <c r="I380" i="7"/>
  <c r="H380" i="7"/>
  <c r="G380" i="7"/>
  <c r="F380" i="7"/>
  <c r="E380" i="7"/>
  <c r="D380" i="7"/>
  <c r="C380" i="7"/>
  <c r="B380" i="7"/>
  <c r="A380" i="7"/>
  <c r="K379" i="7"/>
  <c r="J379" i="7"/>
  <c r="I379" i="7"/>
  <c r="H379" i="7"/>
  <c r="G379" i="7"/>
  <c r="F379" i="7"/>
  <c r="E379" i="7"/>
  <c r="D379" i="7"/>
  <c r="C379" i="7"/>
  <c r="B379" i="7"/>
  <c r="A379" i="7"/>
  <c r="K378" i="7"/>
  <c r="J378" i="7"/>
  <c r="I378" i="7"/>
  <c r="H378" i="7"/>
  <c r="G378" i="7"/>
  <c r="F378" i="7"/>
  <c r="E378" i="7"/>
  <c r="D378" i="7"/>
  <c r="C378" i="7"/>
  <c r="B378" i="7"/>
  <c r="A378" i="7"/>
  <c r="K377" i="7"/>
  <c r="J377" i="7"/>
  <c r="I377" i="7"/>
  <c r="H377" i="7"/>
  <c r="G377" i="7"/>
  <c r="F377" i="7"/>
  <c r="E377" i="7"/>
  <c r="D377" i="7"/>
  <c r="C377" i="7"/>
  <c r="B377" i="7"/>
  <c r="A377" i="7"/>
  <c r="K376" i="7"/>
  <c r="J376" i="7"/>
  <c r="I376" i="7"/>
  <c r="H376" i="7"/>
  <c r="G376" i="7"/>
  <c r="F376" i="7"/>
  <c r="E376" i="7"/>
  <c r="D376" i="7"/>
  <c r="C376" i="7"/>
  <c r="B376" i="7"/>
  <c r="A376" i="7"/>
  <c r="K375" i="7"/>
  <c r="J375" i="7"/>
  <c r="I375" i="7"/>
  <c r="H375" i="7"/>
  <c r="G375" i="7"/>
  <c r="F375" i="7"/>
  <c r="E375" i="7"/>
  <c r="D375" i="7"/>
  <c r="C375" i="7"/>
  <c r="B375" i="7"/>
  <c r="A375" i="7"/>
  <c r="K374" i="7"/>
  <c r="J374" i="7"/>
  <c r="I374" i="7"/>
  <c r="H374" i="7"/>
  <c r="G374" i="7"/>
  <c r="F374" i="7"/>
  <c r="E374" i="7"/>
  <c r="D374" i="7"/>
  <c r="C374" i="7"/>
  <c r="B374" i="7"/>
  <c r="A374" i="7"/>
  <c r="K373" i="7"/>
  <c r="J373" i="7"/>
  <c r="I373" i="7"/>
  <c r="H373" i="7"/>
  <c r="G373" i="7"/>
  <c r="F373" i="7"/>
  <c r="E373" i="7"/>
  <c r="D373" i="7"/>
  <c r="C373" i="7"/>
  <c r="B373" i="7"/>
  <c r="A373" i="7"/>
  <c r="K372" i="7"/>
  <c r="J372" i="7"/>
  <c r="I372" i="7"/>
  <c r="H372" i="7"/>
  <c r="G372" i="7"/>
  <c r="F372" i="7"/>
  <c r="E372" i="7"/>
  <c r="D372" i="7"/>
  <c r="C372" i="7"/>
  <c r="B372" i="7"/>
  <c r="A372" i="7"/>
  <c r="K371" i="7"/>
  <c r="J371" i="7"/>
  <c r="I371" i="7"/>
  <c r="H371" i="7"/>
  <c r="G371" i="7"/>
  <c r="F371" i="7"/>
  <c r="E371" i="7"/>
  <c r="D371" i="7"/>
  <c r="C371" i="7"/>
  <c r="B371" i="7"/>
  <c r="A371" i="7"/>
  <c r="K370" i="7"/>
  <c r="J370" i="7"/>
  <c r="I370" i="7"/>
  <c r="H370" i="7"/>
  <c r="G370" i="7"/>
  <c r="F370" i="7"/>
  <c r="E370" i="7"/>
  <c r="D370" i="7"/>
  <c r="C370" i="7"/>
  <c r="B370" i="7"/>
  <c r="A370" i="7"/>
  <c r="K369" i="7"/>
  <c r="J369" i="7"/>
  <c r="I369" i="7"/>
  <c r="H369" i="7"/>
  <c r="G369" i="7"/>
  <c r="F369" i="7"/>
  <c r="E369" i="7"/>
  <c r="D369" i="7"/>
  <c r="C369" i="7"/>
  <c r="B369" i="7"/>
  <c r="A369" i="7"/>
  <c r="K368" i="7"/>
  <c r="J368" i="7"/>
  <c r="I368" i="7"/>
  <c r="H368" i="7"/>
  <c r="G368" i="7"/>
  <c r="F368" i="7"/>
  <c r="E368" i="7"/>
  <c r="D368" i="7"/>
  <c r="C368" i="7"/>
  <c r="B368" i="7"/>
  <c r="A368" i="7"/>
  <c r="K367" i="7"/>
  <c r="J367" i="7"/>
  <c r="I367" i="7"/>
  <c r="H367" i="7"/>
  <c r="G367" i="7"/>
  <c r="F367" i="7"/>
  <c r="E367" i="7"/>
  <c r="D367" i="7"/>
  <c r="C367" i="7"/>
  <c r="B367" i="7"/>
  <c r="A367" i="7"/>
  <c r="K366" i="7"/>
  <c r="J366" i="7"/>
  <c r="I366" i="7"/>
  <c r="H366" i="7"/>
  <c r="G366" i="7"/>
  <c r="F366" i="7"/>
  <c r="E366" i="7"/>
  <c r="D366" i="7"/>
  <c r="C366" i="7"/>
  <c r="B366" i="7"/>
  <c r="A366" i="7"/>
  <c r="K365" i="7"/>
  <c r="J365" i="7"/>
  <c r="I365" i="7"/>
  <c r="H365" i="7"/>
  <c r="G365" i="7"/>
  <c r="F365" i="7"/>
  <c r="E365" i="7"/>
  <c r="D365" i="7"/>
  <c r="C365" i="7"/>
  <c r="B365" i="7"/>
  <c r="A365" i="7"/>
  <c r="K364" i="7"/>
  <c r="J364" i="7"/>
  <c r="I364" i="7"/>
  <c r="H364" i="7"/>
  <c r="G364" i="7"/>
  <c r="F364" i="7"/>
  <c r="E364" i="7"/>
  <c r="D364" i="7"/>
  <c r="C364" i="7"/>
  <c r="B364" i="7"/>
  <c r="A364" i="7"/>
  <c r="K363" i="7"/>
  <c r="J363" i="7"/>
  <c r="I363" i="7"/>
  <c r="H363" i="7"/>
  <c r="G363" i="7"/>
  <c r="F363" i="7"/>
  <c r="E363" i="7"/>
  <c r="D363" i="7"/>
  <c r="C363" i="7"/>
  <c r="B363" i="7"/>
  <c r="A363" i="7"/>
  <c r="K362" i="7"/>
  <c r="J362" i="7"/>
  <c r="I362" i="7"/>
  <c r="H362" i="7"/>
  <c r="G362" i="7"/>
  <c r="F362" i="7"/>
  <c r="E362" i="7"/>
  <c r="D362" i="7"/>
  <c r="C362" i="7"/>
  <c r="B362" i="7"/>
  <c r="A362" i="7"/>
  <c r="K361" i="7"/>
  <c r="J361" i="7"/>
  <c r="I361" i="7"/>
  <c r="H361" i="7"/>
  <c r="G361" i="7"/>
  <c r="F361" i="7"/>
  <c r="E361" i="7"/>
  <c r="D361" i="7"/>
  <c r="C361" i="7"/>
  <c r="B361" i="7"/>
  <c r="A361" i="7"/>
  <c r="K360" i="7"/>
  <c r="J360" i="7"/>
  <c r="I360" i="7"/>
  <c r="H360" i="7"/>
  <c r="G360" i="7"/>
  <c r="F360" i="7"/>
  <c r="E360" i="7"/>
  <c r="D360" i="7"/>
  <c r="C360" i="7"/>
  <c r="B360" i="7"/>
  <c r="A360" i="7"/>
  <c r="K359" i="7"/>
  <c r="J359" i="7"/>
  <c r="I359" i="7"/>
  <c r="H359" i="7"/>
  <c r="G359" i="7"/>
  <c r="F359" i="7"/>
  <c r="E359" i="7"/>
  <c r="D359" i="7"/>
  <c r="C359" i="7"/>
  <c r="B359" i="7"/>
  <c r="A359" i="7"/>
  <c r="K358" i="7"/>
  <c r="J358" i="7"/>
  <c r="I358" i="7"/>
  <c r="H358" i="7"/>
  <c r="G358" i="7"/>
  <c r="F358" i="7"/>
  <c r="E358" i="7"/>
  <c r="D358" i="7"/>
  <c r="C358" i="7"/>
  <c r="B358" i="7"/>
  <c r="A358" i="7"/>
  <c r="K357" i="7"/>
  <c r="J357" i="7"/>
  <c r="I357" i="7"/>
  <c r="H357" i="7"/>
  <c r="G357" i="7"/>
  <c r="F357" i="7"/>
  <c r="E357" i="7"/>
  <c r="D357" i="7"/>
  <c r="C357" i="7"/>
  <c r="B357" i="7"/>
  <c r="A357" i="7"/>
  <c r="K356" i="7"/>
  <c r="J356" i="7"/>
  <c r="I356" i="7"/>
  <c r="H356" i="7"/>
  <c r="G356" i="7"/>
  <c r="F356" i="7"/>
  <c r="E356" i="7"/>
  <c r="D356" i="7"/>
  <c r="C356" i="7"/>
  <c r="B356" i="7"/>
  <c r="A356" i="7"/>
  <c r="K355" i="7"/>
  <c r="J355" i="7"/>
  <c r="I355" i="7"/>
  <c r="H355" i="7"/>
  <c r="G355" i="7"/>
  <c r="F355" i="7"/>
  <c r="E355" i="7"/>
  <c r="D355" i="7"/>
  <c r="C355" i="7"/>
  <c r="B355" i="7"/>
  <c r="A355" i="7"/>
  <c r="K354" i="7"/>
  <c r="J354" i="7"/>
  <c r="I354" i="7"/>
  <c r="H354" i="7"/>
  <c r="G354" i="7"/>
  <c r="F354" i="7"/>
  <c r="E354" i="7"/>
  <c r="D354" i="7"/>
  <c r="C354" i="7"/>
  <c r="B354" i="7"/>
  <c r="A354" i="7"/>
  <c r="K353" i="7"/>
  <c r="J353" i="7"/>
  <c r="I353" i="7"/>
  <c r="H353" i="7"/>
  <c r="G353" i="7"/>
  <c r="F353" i="7"/>
  <c r="E353" i="7"/>
  <c r="D353" i="7"/>
  <c r="C353" i="7"/>
  <c r="B353" i="7"/>
  <c r="A353" i="7"/>
  <c r="K352" i="7"/>
  <c r="J352" i="7"/>
  <c r="I352" i="7"/>
  <c r="H352" i="7"/>
  <c r="G352" i="7"/>
  <c r="F352" i="7"/>
  <c r="E352" i="7"/>
  <c r="D352" i="7"/>
  <c r="C352" i="7"/>
  <c r="B352" i="7"/>
  <c r="A352" i="7"/>
  <c r="K351" i="7"/>
  <c r="J351" i="7"/>
  <c r="I351" i="7"/>
  <c r="H351" i="7"/>
  <c r="G351" i="7"/>
  <c r="F351" i="7"/>
  <c r="E351" i="7"/>
  <c r="D351" i="7"/>
  <c r="C351" i="7"/>
  <c r="B351" i="7"/>
  <c r="A351" i="7"/>
  <c r="K350" i="7"/>
  <c r="J350" i="7"/>
  <c r="I350" i="7"/>
  <c r="H350" i="7"/>
  <c r="G350" i="7"/>
  <c r="F350" i="7"/>
  <c r="E350" i="7"/>
  <c r="D350" i="7"/>
  <c r="C350" i="7"/>
  <c r="B350" i="7"/>
  <c r="A350" i="7"/>
  <c r="K349" i="7"/>
  <c r="J349" i="7"/>
  <c r="I349" i="7"/>
  <c r="H349" i="7"/>
  <c r="G349" i="7"/>
  <c r="F349" i="7"/>
  <c r="E349" i="7"/>
  <c r="D349" i="7"/>
  <c r="C349" i="7"/>
  <c r="B349" i="7"/>
  <c r="A349" i="7"/>
  <c r="K348" i="7"/>
  <c r="J348" i="7"/>
  <c r="I348" i="7"/>
  <c r="H348" i="7"/>
  <c r="G348" i="7"/>
  <c r="F348" i="7"/>
  <c r="E348" i="7"/>
  <c r="D348" i="7"/>
  <c r="C348" i="7"/>
  <c r="B348" i="7"/>
  <c r="A348" i="7"/>
  <c r="K347" i="7"/>
  <c r="J347" i="7"/>
  <c r="I347" i="7"/>
  <c r="H347" i="7"/>
  <c r="G347" i="7"/>
  <c r="F347" i="7"/>
  <c r="E347" i="7"/>
  <c r="D347" i="7"/>
  <c r="C347" i="7"/>
  <c r="B347" i="7"/>
  <c r="A347" i="7"/>
  <c r="K346" i="7"/>
  <c r="J346" i="7"/>
  <c r="I346" i="7"/>
  <c r="H346" i="7"/>
  <c r="G346" i="7"/>
  <c r="F346" i="7"/>
  <c r="E346" i="7"/>
  <c r="D346" i="7"/>
  <c r="C346" i="7"/>
  <c r="B346" i="7"/>
  <c r="A346" i="7"/>
  <c r="K345" i="7"/>
  <c r="J345" i="7"/>
  <c r="I345" i="7"/>
  <c r="H345" i="7"/>
  <c r="G345" i="7"/>
  <c r="F345" i="7"/>
  <c r="E345" i="7"/>
  <c r="D345" i="7"/>
  <c r="C345" i="7"/>
  <c r="B345" i="7"/>
  <c r="A345" i="7"/>
  <c r="K344" i="7"/>
  <c r="J344" i="7"/>
  <c r="I344" i="7"/>
  <c r="H344" i="7"/>
  <c r="G344" i="7"/>
  <c r="F344" i="7"/>
  <c r="E344" i="7"/>
  <c r="D344" i="7"/>
  <c r="C344" i="7"/>
  <c r="B344" i="7"/>
  <c r="A344" i="7"/>
  <c r="K343" i="7"/>
  <c r="J343" i="7"/>
  <c r="I343" i="7"/>
  <c r="H343" i="7"/>
  <c r="G343" i="7"/>
  <c r="F343" i="7"/>
  <c r="E343" i="7"/>
  <c r="D343" i="7"/>
  <c r="C343" i="7"/>
  <c r="B343" i="7"/>
  <c r="A343" i="7"/>
  <c r="K342" i="7"/>
  <c r="J342" i="7"/>
  <c r="I342" i="7"/>
  <c r="H342" i="7"/>
  <c r="G342" i="7"/>
  <c r="F342" i="7"/>
  <c r="E342" i="7"/>
  <c r="D342" i="7"/>
  <c r="C342" i="7"/>
  <c r="B342" i="7"/>
  <c r="A342" i="7"/>
  <c r="K341" i="7"/>
  <c r="J341" i="7"/>
  <c r="I341" i="7"/>
  <c r="H341" i="7"/>
  <c r="G341" i="7"/>
  <c r="F341" i="7"/>
  <c r="E341" i="7"/>
  <c r="D341" i="7"/>
  <c r="C341" i="7"/>
  <c r="B341" i="7"/>
  <c r="A341" i="7"/>
  <c r="K340" i="7"/>
  <c r="J340" i="7"/>
  <c r="I340" i="7"/>
  <c r="H340" i="7"/>
  <c r="G340" i="7"/>
  <c r="F340" i="7"/>
  <c r="E340" i="7"/>
  <c r="D340" i="7"/>
  <c r="C340" i="7"/>
  <c r="B340" i="7"/>
  <c r="A340" i="7"/>
  <c r="K339" i="7"/>
  <c r="J339" i="7"/>
  <c r="I339" i="7"/>
  <c r="H339" i="7"/>
  <c r="G339" i="7"/>
  <c r="F339" i="7"/>
  <c r="E339" i="7"/>
  <c r="D339" i="7"/>
  <c r="C339" i="7"/>
  <c r="B339" i="7"/>
  <c r="A339" i="7"/>
  <c r="K338" i="7"/>
  <c r="J338" i="7"/>
  <c r="I338" i="7"/>
  <c r="H338" i="7"/>
  <c r="G338" i="7"/>
  <c r="F338" i="7"/>
  <c r="E338" i="7"/>
  <c r="D338" i="7"/>
  <c r="C338" i="7"/>
  <c r="B338" i="7"/>
  <c r="A338" i="7"/>
  <c r="K337" i="7"/>
  <c r="J337" i="7"/>
  <c r="I337" i="7"/>
  <c r="H337" i="7"/>
  <c r="G337" i="7"/>
  <c r="F337" i="7"/>
  <c r="E337" i="7"/>
  <c r="D337" i="7"/>
  <c r="C337" i="7"/>
  <c r="B337" i="7"/>
  <c r="A337" i="7"/>
  <c r="K336" i="7"/>
  <c r="J336" i="7"/>
  <c r="I336" i="7"/>
  <c r="H336" i="7"/>
  <c r="G336" i="7"/>
  <c r="F336" i="7"/>
  <c r="E336" i="7"/>
  <c r="D336" i="7"/>
  <c r="C336" i="7"/>
  <c r="B336" i="7"/>
  <c r="A336" i="7"/>
  <c r="K335" i="7"/>
  <c r="J335" i="7"/>
  <c r="I335" i="7"/>
  <c r="H335" i="7"/>
  <c r="G335" i="7"/>
  <c r="F335" i="7"/>
  <c r="E335" i="7"/>
  <c r="D335" i="7"/>
  <c r="C335" i="7"/>
  <c r="B335" i="7"/>
  <c r="A335" i="7"/>
  <c r="K334" i="7"/>
  <c r="J334" i="7"/>
  <c r="I334" i="7"/>
  <c r="H334" i="7"/>
  <c r="G334" i="7"/>
  <c r="F334" i="7"/>
  <c r="E334" i="7"/>
  <c r="D334" i="7"/>
  <c r="C334" i="7"/>
  <c r="B334" i="7"/>
  <c r="A334" i="7"/>
  <c r="K333" i="7"/>
  <c r="J333" i="7"/>
  <c r="I333" i="7"/>
  <c r="H333" i="7"/>
  <c r="G333" i="7"/>
  <c r="F333" i="7"/>
  <c r="E333" i="7"/>
  <c r="D333" i="7"/>
  <c r="C333" i="7"/>
  <c r="B333" i="7"/>
  <c r="A333" i="7"/>
  <c r="K332" i="7"/>
  <c r="J332" i="7"/>
  <c r="I332" i="7"/>
  <c r="H332" i="7"/>
  <c r="G332" i="7"/>
  <c r="F332" i="7"/>
  <c r="E332" i="7"/>
  <c r="D332" i="7"/>
  <c r="C332" i="7"/>
  <c r="B332" i="7"/>
  <c r="A332" i="7"/>
  <c r="K331" i="7"/>
  <c r="J331" i="7"/>
  <c r="I331" i="7"/>
  <c r="H331" i="7"/>
  <c r="G331" i="7"/>
  <c r="F331" i="7"/>
  <c r="E331" i="7"/>
  <c r="D331" i="7"/>
  <c r="C331" i="7"/>
  <c r="B331" i="7"/>
  <c r="A331" i="7"/>
  <c r="K330" i="7"/>
  <c r="J330" i="7"/>
  <c r="I330" i="7"/>
  <c r="H330" i="7"/>
  <c r="G330" i="7"/>
  <c r="F330" i="7"/>
  <c r="E330" i="7"/>
  <c r="D330" i="7"/>
  <c r="C330" i="7"/>
  <c r="B330" i="7"/>
  <c r="A330" i="7"/>
  <c r="K329" i="7"/>
  <c r="J329" i="7"/>
  <c r="I329" i="7"/>
  <c r="H329" i="7"/>
  <c r="G329" i="7"/>
  <c r="F329" i="7"/>
  <c r="E329" i="7"/>
  <c r="D329" i="7"/>
  <c r="C329" i="7"/>
  <c r="B329" i="7"/>
  <c r="A329" i="7"/>
  <c r="K328" i="7"/>
  <c r="J328" i="7"/>
  <c r="I328" i="7"/>
  <c r="H328" i="7"/>
  <c r="G328" i="7"/>
  <c r="F328" i="7"/>
  <c r="E328" i="7"/>
  <c r="D328" i="7"/>
  <c r="C328" i="7"/>
  <c r="B328" i="7"/>
  <c r="A328" i="7"/>
  <c r="K327" i="7"/>
  <c r="J327" i="7"/>
  <c r="I327" i="7"/>
  <c r="H327" i="7"/>
  <c r="G327" i="7"/>
  <c r="F327" i="7"/>
  <c r="E327" i="7"/>
  <c r="D327" i="7"/>
  <c r="C327" i="7"/>
  <c r="B327" i="7"/>
  <c r="A327" i="7"/>
  <c r="K326" i="7"/>
  <c r="J326" i="7"/>
  <c r="I326" i="7"/>
  <c r="H326" i="7"/>
  <c r="G326" i="7"/>
  <c r="F326" i="7"/>
  <c r="E326" i="7"/>
  <c r="D326" i="7"/>
  <c r="C326" i="7"/>
  <c r="B326" i="7"/>
  <c r="A326" i="7"/>
  <c r="K325" i="7"/>
  <c r="J325" i="7"/>
  <c r="I325" i="7"/>
  <c r="H325" i="7"/>
  <c r="G325" i="7"/>
  <c r="F325" i="7"/>
  <c r="E325" i="7"/>
  <c r="D325" i="7"/>
  <c r="C325" i="7"/>
  <c r="B325" i="7"/>
  <c r="A325" i="7"/>
  <c r="K324" i="7"/>
  <c r="J324" i="7"/>
  <c r="I324" i="7"/>
  <c r="H324" i="7"/>
  <c r="G324" i="7"/>
  <c r="F324" i="7"/>
  <c r="E324" i="7"/>
  <c r="D324" i="7"/>
  <c r="C324" i="7"/>
  <c r="B324" i="7"/>
  <c r="A324" i="7"/>
  <c r="K323" i="7"/>
  <c r="J323" i="7"/>
  <c r="I323" i="7"/>
  <c r="H323" i="7"/>
  <c r="G323" i="7"/>
  <c r="F323" i="7"/>
  <c r="E323" i="7"/>
  <c r="D323" i="7"/>
  <c r="C323" i="7"/>
  <c r="B323" i="7"/>
  <c r="A323" i="7"/>
  <c r="K322" i="7"/>
  <c r="J322" i="7"/>
  <c r="I322" i="7"/>
  <c r="H322" i="7"/>
  <c r="G322" i="7"/>
  <c r="F322" i="7"/>
  <c r="E322" i="7"/>
  <c r="D322" i="7"/>
  <c r="C322" i="7"/>
  <c r="B322" i="7"/>
  <c r="A322" i="7"/>
  <c r="K321" i="7"/>
  <c r="J321" i="7"/>
  <c r="I321" i="7"/>
  <c r="H321" i="7"/>
  <c r="G321" i="7"/>
  <c r="F321" i="7"/>
  <c r="E321" i="7"/>
  <c r="D321" i="7"/>
  <c r="C321" i="7"/>
  <c r="B321" i="7"/>
  <c r="A321" i="7"/>
  <c r="K320" i="7"/>
  <c r="J320" i="7"/>
  <c r="I320" i="7"/>
  <c r="H320" i="7"/>
  <c r="G320" i="7"/>
  <c r="F320" i="7"/>
  <c r="E320" i="7"/>
  <c r="D320" i="7"/>
  <c r="C320" i="7"/>
  <c r="B320" i="7"/>
  <c r="A320" i="7"/>
  <c r="K319" i="7"/>
  <c r="J319" i="7"/>
  <c r="I319" i="7"/>
  <c r="H319" i="7"/>
  <c r="G319" i="7"/>
  <c r="F319" i="7"/>
  <c r="E319" i="7"/>
  <c r="D319" i="7"/>
  <c r="C319" i="7"/>
  <c r="B319" i="7"/>
  <c r="A319" i="7"/>
  <c r="K318" i="7"/>
  <c r="J318" i="7"/>
  <c r="I318" i="7"/>
  <c r="H318" i="7"/>
  <c r="G318" i="7"/>
  <c r="F318" i="7"/>
  <c r="E318" i="7"/>
  <c r="D318" i="7"/>
  <c r="C318" i="7"/>
  <c r="B318" i="7"/>
  <c r="A318" i="7"/>
  <c r="K317" i="7"/>
  <c r="J317" i="7"/>
  <c r="I317" i="7"/>
  <c r="H317" i="7"/>
  <c r="G317" i="7"/>
  <c r="F317" i="7"/>
  <c r="E317" i="7"/>
  <c r="D317" i="7"/>
  <c r="C317" i="7"/>
  <c r="B317" i="7"/>
  <c r="A317" i="7"/>
  <c r="K316" i="7"/>
  <c r="J316" i="7"/>
  <c r="I316" i="7"/>
  <c r="H316" i="7"/>
  <c r="G316" i="7"/>
  <c r="F316" i="7"/>
  <c r="E316" i="7"/>
  <c r="D316" i="7"/>
  <c r="C316" i="7"/>
  <c r="B316" i="7"/>
  <c r="A316" i="7"/>
  <c r="K315" i="7"/>
  <c r="J315" i="7"/>
  <c r="I315" i="7"/>
  <c r="H315" i="7"/>
  <c r="G315" i="7"/>
  <c r="F315" i="7"/>
  <c r="E315" i="7"/>
  <c r="D315" i="7"/>
  <c r="C315" i="7"/>
  <c r="B315" i="7"/>
  <c r="A315" i="7"/>
  <c r="K314" i="7"/>
  <c r="J314" i="7"/>
  <c r="I314" i="7"/>
  <c r="H314" i="7"/>
  <c r="G314" i="7"/>
  <c r="F314" i="7"/>
  <c r="E314" i="7"/>
  <c r="D314" i="7"/>
  <c r="C314" i="7"/>
  <c r="B314" i="7"/>
  <c r="A314" i="7"/>
  <c r="K313" i="7"/>
  <c r="J313" i="7"/>
  <c r="I313" i="7"/>
  <c r="H313" i="7"/>
  <c r="G313" i="7"/>
  <c r="F313" i="7"/>
  <c r="E313" i="7"/>
  <c r="D313" i="7"/>
  <c r="C313" i="7"/>
  <c r="B313" i="7"/>
  <c r="A313" i="7"/>
  <c r="K312" i="7"/>
  <c r="J312" i="7"/>
  <c r="I312" i="7"/>
  <c r="H312" i="7"/>
  <c r="G312" i="7"/>
  <c r="F312" i="7"/>
  <c r="E312" i="7"/>
  <c r="D312" i="7"/>
  <c r="C312" i="7"/>
  <c r="B312" i="7"/>
  <c r="A312" i="7"/>
  <c r="K311" i="7"/>
  <c r="J311" i="7"/>
  <c r="I311" i="7"/>
  <c r="H311" i="7"/>
  <c r="G311" i="7"/>
  <c r="F311" i="7"/>
  <c r="E311" i="7"/>
  <c r="D311" i="7"/>
  <c r="C311" i="7"/>
  <c r="B311" i="7"/>
  <c r="A311" i="7"/>
  <c r="K310" i="7"/>
  <c r="J310" i="7"/>
  <c r="I310" i="7"/>
  <c r="H310" i="7"/>
  <c r="G310" i="7"/>
  <c r="F310" i="7"/>
  <c r="E310" i="7"/>
  <c r="D310" i="7"/>
  <c r="C310" i="7"/>
  <c r="B310" i="7"/>
  <c r="A310" i="7"/>
  <c r="K309" i="7"/>
  <c r="J309" i="7"/>
  <c r="I309" i="7"/>
  <c r="H309" i="7"/>
  <c r="G309" i="7"/>
  <c r="F309" i="7"/>
  <c r="E309" i="7"/>
  <c r="D309" i="7"/>
  <c r="C309" i="7"/>
  <c r="B309" i="7"/>
  <c r="A309" i="7"/>
  <c r="K308" i="7"/>
  <c r="J308" i="7"/>
  <c r="I308" i="7"/>
  <c r="H308" i="7"/>
  <c r="G308" i="7"/>
  <c r="F308" i="7"/>
  <c r="E308" i="7"/>
  <c r="D308" i="7"/>
  <c r="C308" i="7"/>
  <c r="B308" i="7"/>
  <c r="A308" i="7"/>
  <c r="K307" i="7"/>
  <c r="J307" i="7"/>
  <c r="I307" i="7"/>
  <c r="H307" i="7"/>
  <c r="G307" i="7"/>
  <c r="F307" i="7"/>
  <c r="E307" i="7"/>
  <c r="D307" i="7"/>
  <c r="C307" i="7"/>
  <c r="B307" i="7"/>
  <c r="A307" i="7"/>
  <c r="K306" i="7"/>
  <c r="J306" i="7"/>
  <c r="I306" i="7"/>
  <c r="H306" i="7"/>
  <c r="G306" i="7"/>
  <c r="F306" i="7"/>
  <c r="E306" i="7"/>
  <c r="D306" i="7"/>
  <c r="C306" i="7"/>
  <c r="B306" i="7"/>
  <c r="A306" i="7"/>
  <c r="K305" i="7"/>
  <c r="J305" i="7"/>
  <c r="I305" i="7"/>
  <c r="H305" i="7"/>
  <c r="G305" i="7"/>
  <c r="F305" i="7"/>
  <c r="E305" i="7"/>
  <c r="D305" i="7"/>
  <c r="C305" i="7"/>
  <c r="B305" i="7"/>
  <c r="A305" i="7"/>
  <c r="K304" i="7"/>
  <c r="J304" i="7"/>
  <c r="I304" i="7"/>
  <c r="H304" i="7"/>
  <c r="G304" i="7"/>
  <c r="F304" i="7"/>
  <c r="E304" i="7"/>
  <c r="D304" i="7"/>
  <c r="C304" i="7"/>
  <c r="B304" i="7"/>
  <c r="A304" i="7"/>
  <c r="K303" i="7"/>
  <c r="J303" i="7"/>
  <c r="I303" i="7"/>
  <c r="H303" i="7"/>
  <c r="G303" i="7"/>
  <c r="F303" i="7"/>
  <c r="E303" i="7"/>
  <c r="D303" i="7"/>
  <c r="C303" i="7"/>
  <c r="B303" i="7"/>
  <c r="A303" i="7"/>
  <c r="K302" i="7"/>
  <c r="J302" i="7"/>
  <c r="I302" i="7"/>
  <c r="H302" i="7"/>
  <c r="G302" i="7"/>
  <c r="F302" i="7"/>
  <c r="E302" i="7"/>
  <c r="D302" i="7"/>
  <c r="C302" i="7"/>
  <c r="B302" i="7"/>
  <c r="A302" i="7"/>
  <c r="K301" i="7"/>
  <c r="J301" i="7"/>
  <c r="I301" i="7"/>
  <c r="H301" i="7"/>
  <c r="G301" i="7"/>
  <c r="F301" i="7"/>
  <c r="E301" i="7"/>
  <c r="D301" i="7"/>
  <c r="C301" i="7"/>
  <c r="B301" i="7"/>
  <c r="A301" i="7"/>
  <c r="K300" i="7"/>
  <c r="J300" i="7"/>
  <c r="I300" i="7"/>
  <c r="H300" i="7"/>
  <c r="G300" i="7"/>
  <c r="F300" i="7"/>
  <c r="E300" i="7"/>
  <c r="D300" i="7"/>
  <c r="C300" i="7"/>
  <c r="B300" i="7"/>
  <c r="A300" i="7"/>
  <c r="K299" i="7"/>
  <c r="J299" i="7"/>
  <c r="I299" i="7"/>
  <c r="H299" i="7"/>
  <c r="G299" i="7"/>
  <c r="F299" i="7"/>
  <c r="E299" i="7"/>
  <c r="D299" i="7"/>
  <c r="C299" i="7"/>
  <c r="B299" i="7"/>
  <c r="A299" i="7"/>
  <c r="K298" i="7"/>
  <c r="J298" i="7"/>
  <c r="I298" i="7"/>
  <c r="H298" i="7"/>
  <c r="G298" i="7"/>
  <c r="F298" i="7"/>
  <c r="E298" i="7"/>
  <c r="D298" i="7"/>
  <c r="C298" i="7"/>
  <c r="B298" i="7"/>
  <c r="A298" i="7"/>
  <c r="K297" i="7"/>
  <c r="J297" i="7"/>
  <c r="I297" i="7"/>
  <c r="H297" i="7"/>
  <c r="G297" i="7"/>
  <c r="F297" i="7"/>
  <c r="E297" i="7"/>
  <c r="D297" i="7"/>
  <c r="C297" i="7"/>
  <c r="B297" i="7"/>
  <c r="A297" i="7"/>
  <c r="K296" i="7"/>
  <c r="J296" i="7"/>
  <c r="I296" i="7"/>
  <c r="H296" i="7"/>
  <c r="G296" i="7"/>
  <c r="F296" i="7"/>
  <c r="E296" i="7"/>
  <c r="D296" i="7"/>
  <c r="C296" i="7"/>
  <c r="B296" i="7"/>
  <c r="A296" i="7"/>
  <c r="K295" i="7"/>
  <c r="J295" i="7"/>
  <c r="I295" i="7"/>
  <c r="H295" i="7"/>
  <c r="G295" i="7"/>
  <c r="F295" i="7"/>
  <c r="E295" i="7"/>
  <c r="D295" i="7"/>
  <c r="C295" i="7"/>
  <c r="B295" i="7"/>
  <c r="A295" i="7"/>
  <c r="K294" i="7"/>
  <c r="J294" i="7"/>
  <c r="I294" i="7"/>
  <c r="H294" i="7"/>
  <c r="G294" i="7"/>
  <c r="F294" i="7"/>
  <c r="E294" i="7"/>
  <c r="D294" i="7"/>
  <c r="C294" i="7"/>
  <c r="B294" i="7"/>
  <c r="A294" i="7"/>
  <c r="K293" i="7"/>
  <c r="J293" i="7"/>
  <c r="I293" i="7"/>
  <c r="H293" i="7"/>
  <c r="G293" i="7"/>
  <c r="F293" i="7"/>
  <c r="E293" i="7"/>
  <c r="D293" i="7"/>
  <c r="C293" i="7"/>
  <c r="B293" i="7"/>
  <c r="A293" i="7"/>
  <c r="K292" i="7"/>
  <c r="J292" i="7"/>
  <c r="I292" i="7"/>
  <c r="H292" i="7"/>
  <c r="G292" i="7"/>
  <c r="F292" i="7"/>
  <c r="E292" i="7"/>
  <c r="D292" i="7"/>
  <c r="C292" i="7"/>
  <c r="B292" i="7"/>
  <c r="A292" i="7"/>
  <c r="K291" i="7"/>
  <c r="J291" i="7"/>
  <c r="I291" i="7"/>
  <c r="H291" i="7"/>
  <c r="G291" i="7"/>
  <c r="F291" i="7"/>
  <c r="E291" i="7"/>
  <c r="D291" i="7"/>
  <c r="C291" i="7"/>
  <c r="B291" i="7"/>
  <c r="A291" i="7"/>
  <c r="K290" i="7"/>
  <c r="J290" i="7"/>
  <c r="I290" i="7"/>
  <c r="H290" i="7"/>
  <c r="G290" i="7"/>
  <c r="F290" i="7"/>
  <c r="E290" i="7"/>
  <c r="D290" i="7"/>
  <c r="C290" i="7"/>
  <c r="B290" i="7"/>
  <c r="A290" i="7"/>
  <c r="K289" i="7"/>
  <c r="J289" i="7"/>
  <c r="I289" i="7"/>
  <c r="H289" i="7"/>
  <c r="G289" i="7"/>
  <c r="F289" i="7"/>
  <c r="E289" i="7"/>
  <c r="D289" i="7"/>
  <c r="C289" i="7"/>
  <c r="B289" i="7"/>
  <c r="A289" i="7"/>
  <c r="K288" i="7"/>
  <c r="J288" i="7"/>
  <c r="I288" i="7"/>
  <c r="H288" i="7"/>
  <c r="G288" i="7"/>
  <c r="F288" i="7"/>
  <c r="E288" i="7"/>
  <c r="D288" i="7"/>
  <c r="C288" i="7"/>
  <c r="B288" i="7"/>
  <c r="A288" i="7"/>
  <c r="K287" i="7"/>
  <c r="J287" i="7"/>
  <c r="I287" i="7"/>
  <c r="H287" i="7"/>
  <c r="G287" i="7"/>
  <c r="F287" i="7"/>
  <c r="E287" i="7"/>
  <c r="D287" i="7"/>
  <c r="C287" i="7"/>
  <c r="B287" i="7"/>
  <c r="A287" i="7"/>
  <c r="K286" i="7"/>
  <c r="J286" i="7"/>
  <c r="I286" i="7"/>
  <c r="H286" i="7"/>
  <c r="G286" i="7"/>
  <c r="F286" i="7"/>
  <c r="E286" i="7"/>
  <c r="D286" i="7"/>
  <c r="C286" i="7"/>
  <c r="B286" i="7"/>
  <c r="A286" i="7"/>
  <c r="K285" i="7"/>
  <c r="J285" i="7"/>
  <c r="I285" i="7"/>
  <c r="H285" i="7"/>
  <c r="G285" i="7"/>
  <c r="F285" i="7"/>
  <c r="E285" i="7"/>
  <c r="D285" i="7"/>
  <c r="C285" i="7"/>
  <c r="B285" i="7"/>
  <c r="A285" i="7"/>
  <c r="K284" i="7"/>
  <c r="J284" i="7"/>
  <c r="I284" i="7"/>
  <c r="H284" i="7"/>
  <c r="G284" i="7"/>
  <c r="F284" i="7"/>
  <c r="E284" i="7"/>
  <c r="D284" i="7"/>
  <c r="C284" i="7"/>
  <c r="B284" i="7"/>
  <c r="A284" i="7"/>
  <c r="K283" i="7"/>
  <c r="J283" i="7"/>
  <c r="I283" i="7"/>
  <c r="H283" i="7"/>
  <c r="G283" i="7"/>
  <c r="F283" i="7"/>
  <c r="E283" i="7"/>
  <c r="D283" i="7"/>
  <c r="C283" i="7"/>
  <c r="B283" i="7"/>
  <c r="A283" i="7"/>
  <c r="K282" i="7"/>
  <c r="J282" i="7"/>
  <c r="I282" i="7"/>
  <c r="H282" i="7"/>
  <c r="G282" i="7"/>
  <c r="F282" i="7"/>
  <c r="E282" i="7"/>
  <c r="D282" i="7"/>
  <c r="C282" i="7"/>
  <c r="B282" i="7"/>
  <c r="A282" i="7"/>
  <c r="K281" i="7"/>
  <c r="J281" i="7"/>
  <c r="I281" i="7"/>
  <c r="H281" i="7"/>
  <c r="G281" i="7"/>
  <c r="F281" i="7"/>
  <c r="E281" i="7"/>
  <c r="D281" i="7"/>
  <c r="C281" i="7"/>
  <c r="B281" i="7"/>
  <c r="A281" i="7"/>
  <c r="K280" i="7"/>
  <c r="J280" i="7"/>
  <c r="I280" i="7"/>
  <c r="H280" i="7"/>
  <c r="G280" i="7"/>
  <c r="F280" i="7"/>
  <c r="E280" i="7"/>
  <c r="D280" i="7"/>
  <c r="C280" i="7"/>
  <c r="B280" i="7"/>
  <c r="A280" i="7"/>
  <c r="K279" i="7"/>
  <c r="J279" i="7"/>
  <c r="I279" i="7"/>
  <c r="H279" i="7"/>
  <c r="G279" i="7"/>
  <c r="F279" i="7"/>
  <c r="E279" i="7"/>
  <c r="D279" i="7"/>
  <c r="C279" i="7"/>
  <c r="B279" i="7"/>
  <c r="A279" i="7"/>
  <c r="K278" i="7"/>
  <c r="J278" i="7"/>
  <c r="I278" i="7"/>
  <c r="H278" i="7"/>
  <c r="G278" i="7"/>
  <c r="F278" i="7"/>
  <c r="E278" i="7"/>
  <c r="D278" i="7"/>
  <c r="C278" i="7"/>
  <c r="B278" i="7"/>
  <c r="A278" i="7"/>
  <c r="K277" i="7"/>
  <c r="J277" i="7"/>
  <c r="I277" i="7"/>
  <c r="H277" i="7"/>
  <c r="G277" i="7"/>
  <c r="F277" i="7"/>
  <c r="E277" i="7"/>
  <c r="D277" i="7"/>
  <c r="C277" i="7"/>
  <c r="B277" i="7"/>
  <c r="A277" i="7"/>
  <c r="K276" i="7"/>
  <c r="J276" i="7"/>
  <c r="I276" i="7"/>
  <c r="H276" i="7"/>
  <c r="G276" i="7"/>
  <c r="F276" i="7"/>
  <c r="E276" i="7"/>
  <c r="D276" i="7"/>
  <c r="C276" i="7"/>
  <c r="B276" i="7"/>
  <c r="A276" i="7"/>
  <c r="K275" i="7"/>
  <c r="J275" i="7"/>
  <c r="I275" i="7"/>
  <c r="H275" i="7"/>
  <c r="G275" i="7"/>
  <c r="F275" i="7"/>
  <c r="E275" i="7"/>
  <c r="D275" i="7"/>
  <c r="C275" i="7"/>
  <c r="B275" i="7"/>
  <c r="A275" i="7"/>
  <c r="K274" i="7"/>
  <c r="J274" i="7"/>
  <c r="I274" i="7"/>
  <c r="H274" i="7"/>
  <c r="G274" i="7"/>
  <c r="F274" i="7"/>
  <c r="E274" i="7"/>
  <c r="D274" i="7"/>
  <c r="C274" i="7"/>
  <c r="B274" i="7"/>
  <c r="A274" i="7"/>
  <c r="K273" i="7"/>
  <c r="J273" i="7"/>
  <c r="I273" i="7"/>
  <c r="H273" i="7"/>
  <c r="G273" i="7"/>
  <c r="F273" i="7"/>
  <c r="E273" i="7"/>
  <c r="D273" i="7"/>
  <c r="C273" i="7"/>
  <c r="B273" i="7"/>
  <c r="A273" i="7"/>
  <c r="K272" i="7"/>
  <c r="J272" i="7"/>
  <c r="I272" i="7"/>
  <c r="H272" i="7"/>
  <c r="G272" i="7"/>
  <c r="F272" i="7"/>
  <c r="E272" i="7"/>
  <c r="D272" i="7"/>
  <c r="C272" i="7"/>
  <c r="B272" i="7"/>
  <c r="A272" i="7"/>
  <c r="K271" i="7"/>
  <c r="J271" i="7"/>
  <c r="I271" i="7"/>
  <c r="H271" i="7"/>
  <c r="G271" i="7"/>
  <c r="F271" i="7"/>
  <c r="E271" i="7"/>
  <c r="D271" i="7"/>
  <c r="C271" i="7"/>
  <c r="B271" i="7"/>
  <c r="A271" i="7"/>
  <c r="K270" i="7"/>
  <c r="J270" i="7"/>
  <c r="I270" i="7"/>
  <c r="H270" i="7"/>
  <c r="G270" i="7"/>
  <c r="F270" i="7"/>
  <c r="E270" i="7"/>
  <c r="D270" i="7"/>
  <c r="C270" i="7"/>
  <c r="B270" i="7"/>
  <c r="A270" i="7"/>
  <c r="K269" i="7"/>
  <c r="J269" i="7"/>
  <c r="I269" i="7"/>
  <c r="H269" i="7"/>
  <c r="G269" i="7"/>
  <c r="F269" i="7"/>
  <c r="E269" i="7"/>
  <c r="D269" i="7"/>
  <c r="C269" i="7"/>
  <c r="B269" i="7"/>
  <c r="A269" i="7"/>
  <c r="K268" i="7"/>
  <c r="J268" i="7"/>
  <c r="I268" i="7"/>
  <c r="H268" i="7"/>
  <c r="G268" i="7"/>
  <c r="F268" i="7"/>
  <c r="E268" i="7"/>
  <c r="D268" i="7"/>
  <c r="C268" i="7"/>
  <c r="B268" i="7"/>
  <c r="A268" i="7"/>
  <c r="K267" i="7"/>
  <c r="J267" i="7"/>
  <c r="I267" i="7"/>
  <c r="H267" i="7"/>
  <c r="G267" i="7"/>
  <c r="F267" i="7"/>
  <c r="E267" i="7"/>
  <c r="D267" i="7"/>
  <c r="C267" i="7"/>
  <c r="B267" i="7"/>
  <c r="A267" i="7"/>
  <c r="K266" i="7"/>
  <c r="J266" i="7"/>
  <c r="I266" i="7"/>
  <c r="H266" i="7"/>
  <c r="G266" i="7"/>
  <c r="F266" i="7"/>
  <c r="E266" i="7"/>
  <c r="D266" i="7"/>
  <c r="C266" i="7"/>
  <c r="B266" i="7"/>
  <c r="A266" i="7"/>
  <c r="K265" i="7"/>
  <c r="J265" i="7"/>
  <c r="I265" i="7"/>
  <c r="H265" i="7"/>
  <c r="G265" i="7"/>
  <c r="F265" i="7"/>
  <c r="E265" i="7"/>
  <c r="D265" i="7"/>
  <c r="C265" i="7"/>
  <c r="B265" i="7"/>
  <c r="A265" i="7"/>
  <c r="K264" i="7"/>
  <c r="J264" i="7"/>
  <c r="I264" i="7"/>
  <c r="H264" i="7"/>
  <c r="G264" i="7"/>
  <c r="F264" i="7"/>
  <c r="E264" i="7"/>
  <c r="D264" i="7"/>
  <c r="C264" i="7"/>
  <c r="B264" i="7"/>
  <c r="A264" i="7"/>
  <c r="K263" i="7"/>
  <c r="J263" i="7"/>
  <c r="I263" i="7"/>
  <c r="H263" i="7"/>
  <c r="G263" i="7"/>
  <c r="F263" i="7"/>
  <c r="E263" i="7"/>
  <c r="D263" i="7"/>
  <c r="C263" i="7"/>
  <c r="B263" i="7"/>
  <c r="A263" i="7"/>
  <c r="K262" i="7"/>
  <c r="J262" i="7"/>
  <c r="I262" i="7"/>
  <c r="H262" i="7"/>
  <c r="G262" i="7"/>
  <c r="F262" i="7"/>
  <c r="E262" i="7"/>
  <c r="D262" i="7"/>
  <c r="C262" i="7"/>
  <c r="B262" i="7"/>
  <c r="A262" i="7"/>
  <c r="K261" i="7"/>
  <c r="J261" i="7"/>
  <c r="I261" i="7"/>
  <c r="H261" i="7"/>
  <c r="G261" i="7"/>
  <c r="F261" i="7"/>
  <c r="E261" i="7"/>
  <c r="D261" i="7"/>
  <c r="C261" i="7"/>
  <c r="B261" i="7"/>
  <c r="A261" i="7"/>
  <c r="K260" i="7"/>
  <c r="J260" i="7"/>
  <c r="I260" i="7"/>
  <c r="H260" i="7"/>
  <c r="G260" i="7"/>
  <c r="F260" i="7"/>
  <c r="E260" i="7"/>
  <c r="D260" i="7"/>
  <c r="C260" i="7"/>
  <c r="B260" i="7"/>
  <c r="A260" i="7"/>
  <c r="K259" i="7"/>
  <c r="J259" i="7"/>
  <c r="I259" i="7"/>
  <c r="H259" i="7"/>
  <c r="G259" i="7"/>
  <c r="F259" i="7"/>
  <c r="E259" i="7"/>
  <c r="D259" i="7"/>
  <c r="C259" i="7"/>
  <c r="B259" i="7"/>
  <c r="A259" i="7"/>
  <c r="K258" i="7"/>
  <c r="J258" i="7"/>
  <c r="I258" i="7"/>
  <c r="H258" i="7"/>
  <c r="G258" i="7"/>
  <c r="F258" i="7"/>
  <c r="E258" i="7"/>
  <c r="D258" i="7"/>
  <c r="C258" i="7"/>
  <c r="B258" i="7"/>
  <c r="A258" i="7"/>
  <c r="K257" i="7"/>
  <c r="J257" i="7"/>
  <c r="I257" i="7"/>
  <c r="H257" i="7"/>
  <c r="G257" i="7"/>
  <c r="F257" i="7"/>
  <c r="E257" i="7"/>
  <c r="D257" i="7"/>
  <c r="C257" i="7"/>
  <c r="B257" i="7"/>
  <c r="A257" i="7"/>
  <c r="K256" i="7"/>
  <c r="J256" i="7"/>
  <c r="I256" i="7"/>
  <c r="H256" i="7"/>
  <c r="G256" i="7"/>
  <c r="F256" i="7"/>
  <c r="E256" i="7"/>
  <c r="D256" i="7"/>
  <c r="C256" i="7"/>
  <c r="B256" i="7"/>
  <c r="A256" i="7"/>
  <c r="K255" i="7"/>
  <c r="J255" i="7"/>
  <c r="I255" i="7"/>
  <c r="H255" i="7"/>
  <c r="G255" i="7"/>
  <c r="F255" i="7"/>
  <c r="E255" i="7"/>
  <c r="D255" i="7"/>
  <c r="C255" i="7"/>
  <c r="B255" i="7"/>
  <c r="A255" i="7"/>
  <c r="K254" i="7"/>
  <c r="J254" i="7"/>
  <c r="I254" i="7"/>
  <c r="H254" i="7"/>
  <c r="G254" i="7"/>
  <c r="F254" i="7"/>
  <c r="E254" i="7"/>
  <c r="D254" i="7"/>
  <c r="C254" i="7"/>
  <c r="B254" i="7"/>
  <c r="A254" i="7"/>
  <c r="K253" i="7"/>
  <c r="J253" i="7"/>
  <c r="I253" i="7"/>
  <c r="H253" i="7"/>
  <c r="G253" i="7"/>
  <c r="F253" i="7"/>
  <c r="E253" i="7"/>
  <c r="D253" i="7"/>
  <c r="C253" i="7"/>
  <c r="B253" i="7"/>
  <c r="A253" i="7"/>
  <c r="K252" i="7"/>
  <c r="J252" i="7"/>
  <c r="I252" i="7"/>
  <c r="H252" i="7"/>
  <c r="G252" i="7"/>
  <c r="F252" i="7"/>
  <c r="E252" i="7"/>
  <c r="D252" i="7"/>
  <c r="C252" i="7"/>
  <c r="B252" i="7"/>
  <c r="A252" i="7"/>
  <c r="K251" i="7"/>
  <c r="J251" i="7"/>
  <c r="I251" i="7"/>
  <c r="H251" i="7"/>
  <c r="G251" i="7"/>
  <c r="F251" i="7"/>
  <c r="E251" i="7"/>
  <c r="D251" i="7"/>
  <c r="C251" i="7"/>
  <c r="B251" i="7"/>
  <c r="A251" i="7"/>
  <c r="K250" i="7"/>
  <c r="J250" i="7"/>
  <c r="I250" i="7"/>
  <c r="H250" i="7"/>
  <c r="G250" i="7"/>
  <c r="F250" i="7"/>
  <c r="E250" i="7"/>
  <c r="D250" i="7"/>
  <c r="C250" i="7"/>
  <c r="B250" i="7"/>
  <c r="A250" i="7"/>
  <c r="K249" i="7"/>
  <c r="J249" i="7"/>
  <c r="I249" i="7"/>
  <c r="H249" i="7"/>
  <c r="G249" i="7"/>
  <c r="F249" i="7"/>
  <c r="E249" i="7"/>
  <c r="D249" i="7"/>
  <c r="C249" i="7"/>
  <c r="B249" i="7"/>
  <c r="A249" i="7"/>
  <c r="K248" i="7"/>
  <c r="J248" i="7"/>
  <c r="I248" i="7"/>
  <c r="H248" i="7"/>
  <c r="G248" i="7"/>
  <c r="F248" i="7"/>
  <c r="E248" i="7"/>
  <c r="D248" i="7"/>
  <c r="C248" i="7"/>
  <c r="B248" i="7"/>
  <c r="A248" i="7"/>
  <c r="K247" i="7"/>
  <c r="J247" i="7"/>
  <c r="I247" i="7"/>
  <c r="H247" i="7"/>
  <c r="G247" i="7"/>
  <c r="F247" i="7"/>
  <c r="E247" i="7"/>
  <c r="D247" i="7"/>
  <c r="C247" i="7"/>
  <c r="B247" i="7"/>
  <c r="A247" i="7"/>
  <c r="K246" i="7"/>
  <c r="J246" i="7"/>
  <c r="I246" i="7"/>
  <c r="H246" i="7"/>
  <c r="G246" i="7"/>
  <c r="F246" i="7"/>
  <c r="E246" i="7"/>
  <c r="D246" i="7"/>
  <c r="C246" i="7"/>
  <c r="B246" i="7"/>
  <c r="A246" i="7"/>
  <c r="K245" i="7"/>
  <c r="J245" i="7"/>
  <c r="I245" i="7"/>
  <c r="H245" i="7"/>
  <c r="G245" i="7"/>
  <c r="F245" i="7"/>
  <c r="E245" i="7"/>
  <c r="D245" i="7"/>
  <c r="C245" i="7"/>
  <c r="B245" i="7"/>
  <c r="A245" i="7"/>
  <c r="K244" i="7"/>
  <c r="J244" i="7"/>
  <c r="I244" i="7"/>
  <c r="H244" i="7"/>
  <c r="G244" i="7"/>
  <c r="F244" i="7"/>
  <c r="E244" i="7"/>
  <c r="D244" i="7"/>
  <c r="C244" i="7"/>
  <c r="B244" i="7"/>
  <c r="A244" i="7"/>
  <c r="K243" i="7"/>
  <c r="J243" i="7"/>
  <c r="I243" i="7"/>
  <c r="H243" i="7"/>
  <c r="G243" i="7"/>
  <c r="F243" i="7"/>
  <c r="E243" i="7"/>
  <c r="D243" i="7"/>
  <c r="C243" i="7"/>
  <c r="B243" i="7"/>
  <c r="A243" i="7"/>
  <c r="K242" i="7"/>
  <c r="J242" i="7"/>
  <c r="I242" i="7"/>
  <c r="H242" i="7"/>
  <c r="G242" i="7"/>
  <c r="F242" i="7"/>
  <c r="E242" i="7"/>
  <c r="D242" i="7"/>
  <c r="C242" i="7"/>
  <c r="B242" i="7"/>
  <c r="A242" i="7"/>
  <c r="K241" i="7"/>
  <c r="J241" i="7"/>
  <c r="I241" i="7"/>
  <c r="H241" i="7"/>
  <c r="G241" i="7"/>
  <c r="F241" i="7"/>
  <c r="E241" i="7"/>
  <c r="D241" i="7"/>
  <c r="C241" i="7"/>
  <c r="B241" i="7"/>
  <c r="A241" i="7"/>
  <c r="K240" i="7"/>
  <c r="J240" i="7"/>
  <c r="I240" i="7"/>
  <c r="H240" i="7"/>
  <c r="G240" i="7"/>
  <c r="F240" i="7"/>
  <c r="E240" i="7"/>
  <c r="D240" i="7"/>
  <c r="C240" i="7"/>
  <c r="B240" i="7"/>
  <c r="A240" i="7"/>
  <c r="K239" i="7"/>
  <c r="J239" i="7"/>
  <c r="I239" i="7"/>
  <c r="H239" i="7"/>
  <c r="G239" i="7"/>
  <c r="F239" i="7"/>
  <c r="E239" i="7"/>
  <c r="D239" i="7"/>
  <c r="C239" i="7"/>
  <c r="B239" i="7"/>
  <c r="A239" i="7"/>
  <c r="K238" i="7"/>
  <c r="J238" i="7"/>
  <c r="I238" i="7"/>
  <c r="H238" i="7"/>
  <c r="G238" i="7"/>
  <c r="F238" i="7"/>
  <c r="E238" i="7"/>
  <c r="D238" i="7"/>
  <c r="C238" i="7"/>
  <c r="B238" i="7"/>
  <c r="A238" i="7"/>
  <c r="K237" i="7"/>
  <c r="J237" i="7"/>
  <c r="I237" i="7"/>
  <c r="H237" i="7"/>
  <c r="G237" i="7"/>
  <c r="F237" i="7"/>
  <c r="E237" i="7"/>
  <c r="D237" i="7"/>
  <c r="C237" i="7"/>
  <c r="B237" i="7"/>
  <c r="A237" i="7"/>
  <c r="K236" i="7"/>
  <c r="J236" i="7"/>
  <c r="I236" i="7"/>
  <c r="H236" i="7"/>
  <c r="G236" i="7"/>
  <c r="F236" i="7"/>
  <c r="E236" i="7"/>
  <c r="D236" i="7"/>
  <c r="C236" i="7"/>
  <c r="B236" i="7"/>
  <c r="A236" i="7"/>
  <c r="K235" i="7"/>
  <c r="J235" i="7"/>
  <c r="I235" i="7"/>
  <c r="H235" i="7"/>
  <c r="G235" i="7"/>
  <c r="F235" i="7"/>
  <c r="E235" i="7"/>
  <c r="D235" i="7"/>
  <c r="C235" i="7"/>
  <c r="B235" i="7"/>
  <c r="A235" i="7"/>
  <c r="K234" i="7"/>
  <c r="J234" i="7"/>
  <c r="I234" i="7"/>
  <c r="H234" i="7"/>
  <c r="G234" i="7"/>
  <c r="F234" i="7"/>
  <c r="E234" i="7"/>
  <c r="D234" i="7"/>
  <c r="C234" i="7"/>
  <c r="B234" i="7"/>
  <c r="A234" i="7"/>
  <c r="K233" i="7"/>
  <c r="J233" i="7"/>
  <c r="I233" i="7"/>
  <c r="H233" i="7"/>
  <c r="G233" i="7"/>
  <c r="F233" i="7"/>
  <c r="E233" i="7"/>
  <c r="D233" i="7"/>
  <c r="C233" i="7"/>
  <c r="B233" i="7"/>
  <c r="A233" i="7"/>
  <c r="K232" i="7"/>
  <c r="J232" i="7"/>
  <c r="I232" i="7"/>
  <c r="H232" i="7"/>
  <c r="G232" i="7"/>
  <c r="F232" i="7"/>
  <c r="E232" i="7"/>
  <c r="D232" i="7"/>
  <c r="C232" i="7"/>
  <c r="B232" i="7"/>
  <c r="A232" i="7"/>
  <c r="K231" i="7"/>
  <c r="J231" i="7"/>
  <c r="I231" i="7"/>
  <c r="H231" i="7"/>
  <c r="G231" i="7"/>
  <c r="F231" i="7"/>
  <c r="E231" i="7"/>
  <c r="D231" i="7"/>
  <c r="C231" i="7"/>
  <c r="B231" i="7"/>
  <c r="A231" i="7"/>
  <c r="K230" i="7"/>
  <c r="J230" i="7"/>
  <c r="I230" i="7"/>
  <c r="H230" i="7"/>
  <c r="G230" i="7"/>
  <c r="F230" i="7"/>
  <c r="E230" i="7"/>
  <c r="D230" i="7"/>
  <c r="C230" i="7"/>
  <c r="B230" i="7"/>
  <c r="A230" i="7"/>
  <c r="K229" i="7"/>
  <c r="J229" i="7"/>
  <c r="I229" i="7"/>
  <c r="H229" i="7"/>
  <c r="G229" i="7"/>
  <c r="F229" i="7"/>
  <c r="E229" i="7"/>
  <c r="D229" i="7"/>
  <c r="C229" i="7"/>
  <c r="B229" i="7"/>
  <c r="A229" i="7"/>
  <c r="K228" i="7"/>
  <c r="J228" i="7"/>
  <c r="I228" i="7"/>
  <c r="H228" i="7"/>
  <c r="G228" i="7"/>
  <c r="F228" i="7"/>
  <c r="E228" i="7"/>
  <c r="D228" i="7"/>
  <c r="C228" i="7"/>
  <c r="B228" i="7"/>
  <c r="A228" i="7"/>
  <c r="K227" i="7"/>
  <c r="J227" i="7"/>
  <c r="I227" i="7"/>
  <c r="H227" i="7"/>
  <c r="G227" i="7"/>
  <c r="F227" i="7"/>
  <c r="E227" i="7"/>
  <c r="D227" i="7"/>
  <c r="C227" i="7"/>
  <c r="B227" i="7"/>
  <c r="A227" i="7"/>
  <c r="K226" i="7"/>
  <c r="J226" i="7"/>
  <c r="I226" i="7"/>
  <c r="H226" i="7"/>
  <c r="G226" i="7"/>
  <c r="F226" i="7"/>
  <c r="E226" i="7"/>
  <c r="D226" i="7"/>
  <c r="C226" i="7"/>
  <c r="B226" i="7"/>
  <c r="A226" i="7"/>
  <c r="K225" i="7"/>
  <c r="J225" i="7"/>
  <c r="I225" i="7"/>
  <c r="H225" i="7"/>
  <c r="G225" i="7"/>
  <c r="F225" i="7"/>
  <c r="E225" i="7"/>
  <c r="D225" i="7"/>
  <c r="C225" i="7"/>
  <c r="B225" i="7"/>
  <c r="A225" i="7"/>
  <c r="K224" i="7"/>
  <c r="J224" i="7"/>
  <c r="I224" i="7"/>
  <c r="H224" i="7"/>
  <c r="G224" i="7"/>
  <c r="F224" i="7"/>
  <c r="E224" i="7"/>
  <c r="D224" i="7"/>
  <c r="C224" i="7"/>
  <c r="B224" i="7"/>
  <c r="A224" i="7"/>
  <c r="K223" i="7"/>
  <c r="J223" i="7"/>
  <c r="I223" i="7"/>
  <c r="H223" i="7"/>
  <c r="G223" i="7"/>
  <c r="F223" i="7"/>
  <c r="E223" i="7"/>
  <c r="D223" i="7"/>
  <c r="C223" i="7"/>
  <c r="B223" i="7"/>
  <c r="A223" i="7"/>
  <c r="K222" i="7"/>
  <c r="J222" i="7"/>
  <c r="I222" i="7"/>
  <c r="H222" i="7"/>
  <c r="G222" i="7"/>
  <c r="F222" i="7"/>
  <c r="E222" i="7"/>
  <c r="D222" i="7"/>
  <c r="C222" i="7"/>
  <c r="B222" i="7"/>
  <c r="A222" i="7"/>
  <c r="K221" i="7"/>
  <c r="J221" i="7"/>
  <c r="I221" i="7"/>
  <c r="H221" i="7"/>
  <c r="G221" i="7"/>
  <c r="F221" i="7"/>
  <c r="E221" i="7"/>
  <c r="D221" i="7"/>
  <c r="C221" i="7"/>
  <c r="B221" i="7"/>
  <c r="A221" i="7"/>
  <c r="K220" i="7"/>
  <c r="J220" i="7"/>
  <c r="I220" i="7"/>
  <c r="H220" i="7"/>
  <c r="G220" i="7"/>
  <c r="F220" i="7"/>
  <c r="E220" i="7"/>
  <c r="D220" i="7"/>
  <c r="C220" i="7"/>
  <c r="B220" i="7"/>
  <c r="A220" i="7"/>
  <c r="K219" i="7"/>
  <c r="J219" i="7"/>
  <c r="I219" i="7"/>
  <c r="H219" i="7"/>
  <c r="G219" i="7"/>
  <c r="F219" i="7"/>
  <c r="E219" i="7"/>
  <c r="D219" i="7"/>
  <c r="C219" i="7"/>
  <c r="B219" i="7"/>
  <c r="A219" i="7"/>
  <c r="K218" i="7"/>
  <c r="J218" i="7"/>
  <c r="I218" i="7"/>
  <c r="H218" i="7"/>
  <c r="G218" i="7"/>
  <c r="F218" i="7"/>
  <c r="E218" i="7"/>
  <c r="D218" i="7"/>
  <c r="C218" i="7"/>
  <c r="B218" i="7"/>
  <c r="A218" i="7"/>
  <c r="K217" i="7"/>
  <c r="J217" i="7"/>
  <c r="I217" i="7"/>
  <c r="H217" i="7"/>
  <c r="G217" i="7"/>
  <c r="F217" i="7"/>
  <c r="E217" i="7"/>
  <c r="D217" i="7"/>
  <c r="C217" i="7"/>
  <c r="B217" i="7"/>
  <c r="A217" i="7"/>
  <c r="K216" i="7"/>
  <c r="J216" i="7"/>
  <c r="I216" i="7"/>
  <c r="H216" i="7"/>
  <c r="G216" i="7"/>
  <c r="F216" i="7"/>
  <c r="E216" i="7"/>
  <c r="D216" i="7"/>
  <c r="C216" i="7"/>
  <c r="B216" i="7"/>
  <c r="A216" i="7"/>
  <c r="K215" i="7"/>
  <c r="J215" i="7"/>
  <c r="I215" i="7"/>
  <c r="H215" i="7"/>
  <c r="G215" i="7"/>
  <c r="F215" i="7"/>
  <c r="E215" i="7"/>
  <c r="D215" i="7"/>
  <c r="C215" i="7"/>
  <c r="B215" i="7"/>
  <c r="A215" i="7"/>
  <c r="K214" i="7"/>
  <c r="J214" i="7"/>
  <c r="I214" i="7"/>
  <c r="H214" i="7"/>
  <c r="G214" i="7"/>
  <c r="F214" i="7"/>
  <c r="E214" i="7"/>
  <c r="D214" i="7"/>
  <c r="C214" i="7"/>
  <c r="B214" i="7"/>
  <c r="A214" i="7"/>
  <c r="K213" i="7"/>
  <c r="J213" i="7"/>
  <c r="I213" i="7"/>
  <c r="H213" i="7"/>
  <c r="G213" i="7"/>
  <c r="F213" i="7"/>
  <c r="E213" i="7"/>
  <c r="D213" i="7"/>
  <c r="C213" i="7"/>
  <c r="B213" i="7"/>
  <c r="A213" i="7"/>
  <c r="K212" i="7"/>
  <c r="J212" i="7"/>
  <c r="I212" i="7"/>
  <c r="H212" i="7"/>
  <c r="G212" i="7"/>
  <c r="F212" i="7"/>
  <c r="E212" i="7"/>
  <c r="D212" i="7"/>
  <c r="C212" i="7"/>
  <c r="B212" i="7"/>
  <c r="A212" i="7"/>
  <c r="K211" i="7"/>
  <c r="J211" i="7"/>
  <c r="I211" i="7"/>
  <c r="H211" i="7"/>
  <c r="G211" i="7"/>
  <c r="F211" i="7"/>
  <c r="E211" i="7"/>
  <c r="D211" i="7"/>
  <c r="C211" i="7"/>
  <c r="B211" i="7"/>
  <c r="A211" i="7"/>
  <c r="K210" i="7"/>
  <c r="J210" i="7"/>
  <c r="I210" i="7"/>
  <c r="H210" i="7"/>
  <c r="G210" i="7"/>
  <c r="F210" i="7"/>
  <c r="E210" i="7"/>
  <c r="D210" i="7"/>
  <c r="C210" i="7"/>
  <c r="B210" i="7"/>
  <c r="A210" i="7"/>
  <c r="K209" i="7"/>
  <c r="J209" i="7"/>
  <c r="I209" i="7"/>
  <c r="H209" i="7"/>
  <c r="G209" i="7"/>
  <c r="F209" i="7"/>
  <c r="E209" i="7"/>
  <c r="D209" i="7"/>
  <c r="C209" i="7"/>
  <c r="B209" i="7"/>
  <c r="A209" i="7"/>
  <c r="K208" i="7"/>
  <c r="J208" i="7"/>
  <c r="I208" i="7"/>
  <c r="H208" i="7"/>
  <c r="G208" i="7"/>
  <c r="F208" i="7"/>
  <c r="E208" i="7"/>
  <c r="D208" i="7"/>
  <c r="C208" i="7"/>
  <c r="B208" i="7"/>
  <c r="A208" i="7"/>
  <c r="K207" i="7"/>
  <c r="J207" i="7"/>
  <c r="I207" i="7"/>
  <c r="H207" i="7"/>
  <c r="G207" i="7"/>
  <c r="F207" i="7"/>
  <c r="E207" i="7"/>
  <c r="D207" i="7"/>
  <c r="C207" i="7"/>
  <c r="B207" i="7"/>
  <c r="A207" i="7"/>
  <c r="K206" i="7"/>
  <c r="J206" i="7"/>
  <c r="I206" i="7"/>
  <c r="H206" i="7"/>
  <c r="G206" i="7"/>
  <c r="F206" i="7"/>
  <c r="E206" i="7"/>
  <c r="D206" i="7"/>
  <c r="C206" i="7"/>
  <c r="B206" i="7"/>
  <c r="A206" i="7"/>
  <c r="K205" i="7"/>
  <c r="J205" i="7"/>
  <c r="I205" i="7"/>
  <c r="H205" i="7"/>
  <c r="G205" i="7"/>
  <c r="F205" i="7"/>
  <c r="E205" i="7"/>
  <c r="D205" i="7"/>
  <c r="C205" i="7"/>
  <c r="B205" i="7"/>
  <c r="A205" i="7"/>
  <c r="K204" i="7"/>
  <c r="J204" i="7"/>
  <c r="I204" i="7"/>
  <c r="H204" i="7"/>
  <c r="G204" i="7"/>
  <c r="F204" i="7"/>
  <c r="E204" i="7"/>
  <c r="D204" i="7"/>
  <c r="C204" i="7"/>
  <c r="B204" i="7"/>
  <c r="A204" i="7"/>
  <c r="K203" i="7"/>
  <c r="J203" i="7"/>
  <c r="I203" i="7"/>
  <c r="H203" i="7"/>
  <c r="G203" i="7"/>
  <c r="F203" i="7"/>
  <c r="E203" i="7"/>
  <c r="D203" i="7"/>
  <c r="C203" i="7"/>
  <c r="B203" i="7"/>
  <c r="A203" i="7"/>
  <c r="K202" i="7"/>
  <c r="J202" i="7"/>
  <c r="I202" i="7"/>
  <c r="H202" i="7"/>
  <c r="G202" i="7"/>
  <c r="F202" i="7"/>
  <c r="E202" i="7"/>
  <c r="D202" i="7"/>
  <c r="C202" i="7"/>
  <c r="B202" i="7"/>
  <c r="A202" i="7"/>
  <c r="K201" i="7"/>
  <c r="J201" i="7"/>
  <c r="I201" i="7"/>
  <c r="H201" i="7"/>
  <c r="G201" i="7"/>
  <c r="F201" i="7"/>
  <c r="E201" i="7"/>
  <c r="D201" i="7"/>
  <c r="C201" i="7"/>
  <c r="B201" i="7"/>
  <c r="A201" i="7"/>
  <c r="K200" i="7"/>
  <c r="J200" i="7"/>
  <c r="I200" i="7"/>
  <c r="H200" i="7"/>
  <c r="G200" i="7"/>
  <c r="F200" i="7"/>
  <c r="E200" i="7"/>
  <c r="D200" i="7"/>
  <c r="C200" i="7"/>
  <c r="B200" i="7"/>
  <c r="A200" i="7"/>
  <c r="K199" i="7"/>
  <c r="J199" i="7"/>
  <c r="I199" i="7"/>
  <c r="H199" i="7"/>
  <c r="G199" i="7"/>
  <c r="F199" i="7"/>
  <c r="E199" i="7"/>
  <c r="D199" i="7"/>
  <c r="C199" i="7"/>
  <c r="B199" i="7"/>
  <c r="A199" i="7"/>
  <c r="K198" i="7"/>
  <c r="J198" i="7"/>
  <c r="I198" i="7"/>
  <c r="H198" i="7"/>
  <c r="G198" i="7"/>
  <c r="F198" i="7"/>
  <c r="E198" i="7"/>
  <c r="D198" i="7"/>
  <c r="C198" i="7"/>
  <c r="B198" i="7"/>
  <c r="A198" i="7"/>
  <c r="K197" i="7"/>
  <c r="J197" i="7"/>
  <c r="I197" i="7"/>
  <c r="H197" i="7"/>
  <c r="G197" i="7"/>
  <c r="F197" i="7"/>
  <c r="E197" i="7"/>
  <c r="D197" i="7"/>
  <c r="C197" i="7"/>
  <c r="B197" i="7"/>
  <c r="A197" i="7"/>
  <c r="K196" i="7"/>
  <c r="J196" i="7"/>
  <c r="I196" i="7"/>
  <c r="H196" i="7"/>
  <c r="G196" i="7"/>
  <c r="F196" i="7"/>
  <c r="E196" i="7"/>
  <c r="D196" i="7"/>
  <c r="C196" i="7"/>
  <c r="B196" i="7"/>
  <c r="A196" i="7"/>
  <c r="K195" i="7"/>
  <c r="J195" i="7"/>
  <c r="I195" i="7"/>
  <c r="H195" i="7"/>
  <c r="G195" i="7"/>
  <c r="F195" i="7"/>
  <c r="E195" i="7"/>
  <c r="D195" i="7"/>
  <c r="C195" i="7"/>
  <c r="B195" i="7"/>
  <c r="A195" i="7"/>
  <c r="K194" i="7"/>
  <c r="J194" i="7"/>
  <c r="I194" i="7"/>
  <c r="H194" i="7"/>
  <c r="G194" i="7"/>
  <c r="F194" i="7"/>
  <c r="E194" i="7"/>
  <c r="D194" i="7"/>
  <c r="C194" i="7"/>
  <c r="B194" i="7"/>
  <c r="A194" i="7"/>
  <c r="K193" i="7"/>
  <c r="J193" i="7"/>
  <c r="I193" i="7"/>
  <c r="H193" i="7"/>
  <c r="G193" i="7"/>
  <c r="F193" i="7"/>
  <c r="E193" i="7"/>
  <c r="D193" i="7"/>
  <c r="C193" i="7"/>
  <c r="B193" i="7"/>
  <c r="A193" i="7"/>
  <c r="K192" i="7"/>
  <c r="J192" i="7"/>
  <c r="I192" i="7"/>
  <c r="H192" i="7"/>
  <c r="G192" i="7"/>
  <c r="F192" i="7"/>
  <c r="E192" i="7"/>
  <c r="D192" i="7"/>
  <c r="C192" i="7"/>
  <c r="B192" i="7"/>
  <c r="A192" i="7"/>
  <c r="K191" i="7"/>
  <c r="J191" i="7"/>
  <c r="I191" i="7"/>
  <c r="H191" i="7"/>
  <c r="G191" i="7"/>
  <c r="F191" i="7"/>
  <c r="E191" i="7"/>
  <c r="D191" i="7"/>
  <c r="C191" i="7"/>
  <c r="B191" i="7"/>
  <c r="A191" i="7"/>
  <c r="K190" i="7"/>
  <c r="J190" i="7"/>
  <c r="I190" i="7"/>
  <c r="H190" i="7"/>
  <c r="G190" i="7"/>
  <c r="F190" i="7"/>
  <c r="E190" i="7"/>
  <c r="D190" i="7"/>
  <c r="C190" i="7"/>
  <c r="B190" i="7"/>
  <c r="A190" i="7"/>
  <c r="K189" i="7"/>
  <c r="J189" i="7"/>
  <c r="I189" i="7"/>
  <c r="H189" i="7"/>
  <c r="G189" i="7"/>
  <c r="F189" i="7"/>
  <c r="E189" i="7"/>
  <c r="D189" i="7"/>
  <c r="C189" i="7"/>
  <c r="B189" i="7"/>
  <c r="A189" i="7"/>
  <c r="K188" i="7"/>
  <c r="J188" i="7"/>
  <c r="I188" i="7"/>
  <c r="H188" i="7"/>
  <c r="G188" i="7"/>
  <c r="F188" i="7"/>
  <c r="E188" i="7"/>
  <c r="D188" i="7"/>
  <c r="C188" i="7"/>
  <c r="B188" i="7"/>
  <c r="A188" i="7"/>
  <c r="K187" i="7"/>
  <c r="J187" i="7"/>
  <c r="I187" i="7"/>
  <c r="H187" i="7"/>
  <c r="G187" i="7"/>
  <c r="F187" i="7"/>
  <c r="E187" i="7"/>
  <c r="D187" i="7"/>
  <c r="C187" i="7"/>
  <c r="B187" i="7"/>
  <c r="A187" i="7"/>
  <c r="K186" i="7"/>
  <c r="J186" i="7"/>
  <c r="I186" i="7"/>
  <c r="H186" i="7"/>
  <c r="G186" i="7"/>
  <c r="F186" i="7"/>
  <c r="E186" i="7"/>
  <c r="D186" i="7"/>
  <c r="C186" i="7"/>
  <c r="B186" i="7"/>
  <c r="A186" i="7"/>
  <c r="K185" i="7"/>
  <c r="J185" i="7"/>
  <c r="I185" i="7"/>
  <c r="H185" i="7"/>
  <c r="G185" i="7"/>
  <c r="F185" i="7"/>
  <c r="E185" i="7"/>
  <c r="D185" i="7"/>
  <c r="C185" i="7"/>
  <c r="B185" i="7"/>
  <c r="A185" i="7"/>
  <c r="K184" i="7"/>
  <c r="J184" i="7"/>
  <c r="I184" i="7"/>
  <c r="H184" i="7"/>
  <c r="G184" i="7"/>
  <c r="F184" i="7"/>
  <c r="E184" i="7"/>
  <c r="D184" i="7"/>
  <c r="C184" i="7"/>
  <c r="B184" i="7"/>
  <c r="A184" i="7"/>
  <c r="K183" i="7"/>
  <c r="J183" i="7"/>
  <c r="I183" i="7"/>
  <c r="H183" i="7"/>
  <c r="G183" i="7"/>
  <c r="F183" i="7"/>
  <c r="E183" i="7"/>
  <c r="D183" i="7"/>
  <c r="C183" i="7"/>
  <c r="B183" i="7"/>
  <c r="A183" i="7"/>
  <c r="K182" i="7"/>
  <c r="J182" i="7"/>
  <c r="I182" i="7"/>
  <c r="H182" i="7"/>
  <c r="G182" i="7"/>
  <c r="F182" i="7"/>
  <c r="E182" i="7"/>
  <c r="D182" i="7"/>
  <c r="C182" i="7"/>
  <c r="B182" i="7"/>
  <c r="A182" i="7"/>
  <c r="K181" i="7"/>
  <c r="J181" i="7"/>
  <c r="I181" i="7"/>
  <c r="H181" i="7"/>
  <c r="G181" i="7"/>
  <c r="F181" i="7"/>
  <c r="E181" i="7"/>
  <c r="D181" i="7"/>
  <c r="C181" i="7"/>
  <c r="B181" i="7"/>
  <c r="A181" i="7"/>
  <c r="K180" i="7"/>
  <c r="J180" i="7"/>
  <c r="I180" i="7"/>
  <c r="H180" i="7"/>
  <c r="G180" i="7"/>
  <c r="F180" i="7"/>
  <c r="E180" i="7"/>
  <c r="D180" i="7"/>
  <c r="C180" i="7"/>
  <c r="B180" i="7"/>
  <c r="A180" i="7"/>
  <c r="K179" i="7"/>
  <c r="J179" i="7"/>
  <c r="I179" i="7"/>
  <c r="H179" i="7"/>
  <c r="G179" i="7"/>
  <c r="F179" i="7"/>
  <c r="E179" i="7"/>
  <c r="D179" i="7"/>
  <c r="C179" i="7"/>
  <c r="B179" i="7"/>
  <c r="A179" i="7"/>
  <c r="K178" i="7"/>
  <c r="J178" i="7"/>
  <c r="I178" i="7"/>
  <c r="H178" i="7"/>
  <c r="G178" i="7"/>
  <c r="F178" i="7"/>
  <c r="E178" i="7"/>
  <c r="D178" i="7"/>
  <c r="C178" i="7"/>
  <c r="B178" i="7"/>
  <c r="A178" i="7"/>
  <c r="K177" i="7"/>
  <c r="J177" i="7"/>
  <c r="I177" i="7"/>
  <c r="H177" i="7"/>
  <c r="G177" i="7"/>
  <c r="F177" i="7"/>
  <c r="E177" i="7"/>
  <c r="D177" i="7"/>
  <c r="C177" i="7"/>
  <c r="B177" i="7"/>
  <c r="A177" i="7"/>
  <c r="K176" i="7"/>
  <c r="J176" i="7"/>
  <c r="I176" i="7"/>
  <c r="H176" i="7"/>
  <c r="G176" i="7"/>
  <c r="F176" i="7"/>
  <c r="E176" i="7"/>
  <c r="D176" i="7"/>
  <c r="C176" i="7"/>
  <c r="B176" i="7"/>
  <c r="A176" i="7"/>
  <c r="K175" i="7"/>
  <c r="J175" i="7"/>
  <c r="I175" i="7"/>
  <c r="H175" i="7"/>
  <c r="G175" i="7"/>
  <c r="F175" i="7"/>
  <c r="E175" i="7"/>
  <c r="D175" i="7"/>
  <c r="C175" i="7"/>
  <c r="B175" i="7"/>
  <c r="A175" i="7"/>
  <c r="K174" i="7"/>
  <c r="J174" i="7"/>
  <c r="I174" i="7"/>
  <c r="H174" i="7"/>
  <c r="G174" i="7"/>
  <c r="F174" i="7"/>
  <c r="E174" i="7"/>
  <c r="D174" i="7"/>
  <c r="C174" i="7"/>
  <c r="B174" i="7"/>
  <c r="A174" i="7"/>
  <c r="K173" i="7"/>
  <c r="J173" i="7"/>
  <c r="I173" i="7"/>
  <c r="H173" i="7"/>
  <c r="G173" i="7"/>
  <c r="F173" i="7"/>
  <c r="E173" i="7"/>
  <c r="D173" i="7"/>
  <c r="C173" i="7"/>
  <c r="B173" i="7"/>
  <c r="A173" i="7"/>
  <c r="K172" i="7"/>
  <c r="J172" i="7"/>
  <c r="I172" i="7"/>
  <c r="H172" i="7"/>
  <c r="G172" i="7"/>
  <c r="F172" i="7"/>
  <c r="E172" i="7"/>
  <c r="D172" i="7"/>
  <c r="C172" i="7"/>
  <c r="B172" i="7"/>
  <c r="A172" i="7"/>
  <c r="K171" i="7"/>
  <c r="J171" i="7"/>
  <c r="I171" i="7"/>
  <c r="H171" i="7"/>
  <c r="G171" i="7"/>
  <c r="F171" i="7"/>
  <c r="E171" i="7"/>
  <c r="D171" i="7"/>
  <c r="C171" i="7"/>
  <c r="B171" i="7"/>
  <c r="A171" i="7"/>
  <c r="K170" i="7"/>
  <c r="J170" i="7"/>
  <c r="I170" i="7"/>
  <c r="H170" i="7"/>
  <c r="G170" i="7"/>
  <c r="F170" i="7"/>
  <c r="E170" i="7"/>
  <c r="D170" i="7"/>
  <c r="C170" i="7"/>
  <c r="B170" i="7"/>
  <c r="A170" i="7"/>
  <c r="K169" i="7"/>
  <c r="J169" i="7"/>
  <c r="I169" i="7"/>
  <c r="H169" i="7"/>
  <c r="G169" i="7"/>
  <c r="F169" i="7"/>
  <c r="E169" i="7"/>
  <c r="D169" i="7"/>
  <c r="C169" i="7"/>
  <c r="B169" i="7"/>
  <c r="A169" i="7"/>
  <c r="K168" i="7"/>
  <c r="J168" i="7"/>
  <c r="I168" i="7"/>
  <c r="H168" i="7"/>
  <c r="G168" i="7"/>
  <c r="F168" i="7"/>
  <c r="E168" i="7"/>
  <c r="D168" i="7"/>
  <c r="C168" i="7"/>
  <c r="B168" i="7"/>
  <c r="A168" i="7"/>
  <c r="K167" i="7"/>
  <c r="J167" i="7"/>
  <c r="I167" i="7"/>
  <c r="H167" i="7"/>
  <c r="G167" i="7"/>
  <c r="F167" i="7"/>
  <c r="E167" i="7"/>
  <c r="D167" i="7"/>
  <c r="C167" i="7"/>
  <c r="B167" i="7"/>
  <c r="A167" i="7"/>
  <c r="K166" i="7"/>
  <c r="J166" i="7"/>
  <c r="I166" i="7"/>
  <c r="H166" i="7"/>
  <c r="G166" i="7"/>
  <c r="F166" i="7"/>
  <c r="E166" i="7"/>
  <c r="D166" i="7"/>
  <c r="C166" i="7"/>
  <c r="B166" i="7"/>
  <c r="A166" i="7"/>
  <c r="K165" i="7"/>
  <c r="J165" i="7"/>
  <c r="I165" i="7"/>
  <c r="H165" i="7"/>
  <c r="G165" i="7"/>
  <c r="F165" i="7"/>
  <c r="E165" i="7"/>
  <c r="D165" i="7"/>
  <c r="C165" i="7"/>
  <c r="B165" i="7"/>
  <c r="A165" i="7"/>
  <c r="K164" i="7"/>
  <c r="J164" i="7"/>
  <c r="I164" i="7"/>
  <c r="H164" i="7"/>
  <c r="G164" i="7"/>
  <c r="F164" i="7"/>
  <c r="E164" i="7"/>
  <c r="D164" i="7"/>
  <c r="C164" i="7"/>
  <c r="B164" i="7"/>
  <c r="A164" i="7"/>
  <c r="K163" i="7"/>
  <c r="J163" i="7"/>
  <c r="I163" i="7"/>
  <c r="H163" i="7"/>
  <c r="G163" i="7"/>
  <c r="F163" i="7"/>
  <c r="E163" i="7"/>
  <c r="D163" i="7"/>
  <c r="C163" i="7"/>
  <c r="B163" i="7"/>
  <c r="A163" i="7"/>
  <c r="K162" i="7"/>
  <c r="J162" i="7"/>
  <c r="I162" i="7"/>
  <c r="H162" i="7"/>
  <c r="G162" i="7"/>
  <c r="F162" i="7"/>
  <c r="E162" i="7"/>
  <c r="D162" i="7"/>
  <c r="C162" i="7"/>
  <c r="B162" i="7"/>
  <c r="A162" i="7"/>
  <c r="K161" i="7"/>
  <c r="J161" i="7"/>
  <c r="I161" i="7"/>
  <c r="H161" i="7"/>
  <c r="G161" i="7"/>
  <c r="F161" i="7"/>
  <c r="E161" i="7"/>
  <c r="D161" i="7"/>
  <c r="C161" i="7"/>
  <c r="B161" i="7"/>
  <c r="A161" i="7"/>
  <c r="K160" i="7"/>
  <c r="J160" i="7"/>
  <c r="I160" i="7"/>
  <c r="H160" i="7"/>
  <c r="G160" i="7"/>
  <c r="F160" i="7"/>
  <c r="E160" i="7"/>
  <c r="D160" i="7"/>
  <c r="C160" i="7"/>
  <c r="B160" i="7"/>
  <c r="A160" i="7"/>
  <c r="K159" i="7"/>
  <c r="J159" i="7"/>
  <c r="I159" i="7"/>
  <c r="H159" i="7"/>
  <c r="G159" i="7"/>
  <c r="F159" i="7"/>
  <c r="E159" i="7"/>
  <c r="D159" i="7"/>
  <c r="C159" i="7"/>
  <c r="B159" i="7"/>
  <c r="A159" i="7"/>
  <c r="K158" i="7"/>
  <c r="J158" i="7"/>
  <c r="I158" i="7"/>
  <c r="H158" i="7"/>
  <c r="G158" i="7"/>
  <c r="F158" i="7"/>
  <c r="E158" i="7"/>
  <c r="D158" i="7"/>
  <c r="C158" i="7"/>
  <c r="B158" i="7"/>
  <c r="A158" i="7"/>
  <c r="K157" i="7"/>
  <c r="J157" i="7"/>
  <c r="I157" i="7"/>
  <c r="H157" i="7"/>
  <c r="G157" i="7"/>
  <c r="F157" i="7"/>
  <c r="E157" i="7"/>
  <c r="D157" i="7"/>
  <c r="C157" i="7"/>
  <c r="B157" i="7"/>
  <c r="A157" i="7"/>
  <c r="K156" i="7"/>
  <c r="J156" i="7"/>
  <c r="I156" i="7"/>
  <c r="H156" i="7"/>
  <c r="G156" i="7"/>
  <c r="F156" i="7"/>
  <c r="E156" i="7"/>
  <c r="D156" i="7"/>
  <c r="C156" i="7"/>
  <c r="B156" i="7"/>
  <c r="A156" i="7"/>
  <c r="K155" i="7"/>
  <c r="J155" i="7"/>
  <c r="I155" i="7"/>
  <c r="H155" i="7"/>
  <c r="G155" i="7"/>
  <c r="F155" i="7"/>
  <c r="E155" i="7"/>
  <c r="D155" i="7"/>
  <c r="C155" i="7"/>
  <c r="B155" i="7"/>
  <c r="A155" i="7"/>
  <c r="K154" i="7"/>
  <c r="J154" i="7"/>
  <c r="I154" i="7"/>
  <c r="H154" i="7"/>
  <c r="G154" i="7"/>
  <c r="F154" i="7"/>
  <c r="E154" i="7"/>
  <c r="D154" i="7"/>
  <c r="C154" i="7"/>
  <c r="B154" i="7"/>
  <c r="A154" i="7"/>
  <c r="K153" i="7"/>
  <c r="J153" i="7"/>
  <c r="I153" i="7"/>
  <c r="H153" i="7"/>
  <c r="G153" i="7"/>
  <c r="F153" i="7"/>
  <c r="E153" i="7"/>
  <c r="D153" i="7"/>
  <c r="C153" i="7"/>
  <c r="B153" i="7"/>
  <c r="A153" i="7"/>
  <c r="K152" i="7"/>
  <c r="J152" i="7"/>
  <c r="I152" i="7"/>
  <c r="H152" i="7"/>
  <c r="G152" i="7"/>
  <c r="F152" i="7"/>
  <c r="E152" i="7"/>
  <c r="D152" i="7"/>
  <c r="C152" i="7"/>
  <c r="B152" i="7"/>
  <c r="A152" i="7"/>
  <c r="K151" i="7"/>
  <c r="J151" i="7"/>
  <c r="I151" i="7"/>
  <c r="H151" i="7"/>
  <c r="G151" i="7"/>
  <c r="F151" i="7"/>
  <c r="E151" i="7"/>
  <c r="D151" i="7"/>
  <c r="C151" i="7"/>
  <c r="B151" i="7"/>
  <c r="A151" i="7"/>
  <c r="K150" i="7"/>
  <c r="J150" i="7"/>
  <c r="I150" i="7"/>
  <c r="H150" i="7"/>
  <c r="G150" i="7"/>
  <c r="F150" i="7"/>
  <c r="E150" i="7"/>
  <c r="D150" i="7"/>
  <c r="C150" i="7"/>
  <c r="B150" i="7"/>
  <c r="A150" i="7"/>
  <c r="K149" i="7"/>
  <c r="J149" i="7"/>
  <c r="I149" i="7"/>
  <c r="H149" i="7"/>
  <c r="G149" i="7"/>
  <c r="F149" i="7"/>
  <c r="E149" i="7"/>
  <c r="D149" i="7"/>
  <c r="C149" i="7"/>
  <c r="B149" i="7"/>
  <c r="A149" i="7"/>
  <c r="K148" i="7"/>
  <c r="J148" i="7"/>
  <c r="I148" i="7"/>
  <c r="H148" i="7"/>
  <c r="G148" i="7"/>
  <c r="F148" i="7"/>
  <c r="E148" i="7"/>
  <c r="D148" i="7"/>
  <c r="C148" i="7"/>
  <c r="B148" i="7"/>
  <c r="A148" i="7"/>
  <c r="K147" i="7"/>
  <c r="J147" i="7"/>
  <c r="I147" i="7"/>
  <c r="H147" i="7"/>
  <c r="G147" i="7"/>
  <c r="F147" i="7"/>
  <c r="E147" i="7"/>
  <c r="D147" i="7"/>
  <c r="C147" i="7"/>
  <c r="B147" i="7"/>
  <c r="A147" i="7"/>
  <c r="K146" i="7"/>
  <c r="J146" i="7"/>
  <c r="I146" i="7"/>
  <c r="H146" i="7"/>
  <c r="G146" i="7"/>
  <c r="F146" i="7"/>
  <c r="E146" i="7"/>
  <c r="D146" i="7"/>
  <c r="C146" i="7"/>
  <c r="B146" i="7"/>
  <c r="A146" i="7"/>
  <c r="K145" i="7"/>
  <c r="J145" i="7"/>
  <c r="I145" i="7"/>
  <c r="H145" i="7"/>
  <c r="G145" i="7"/>
  <c r="F145" i="7"/>
  <c r="E145" i="7"/>
  <c r="D145" i="7"/>
  <c r="C145" i="7"/>
  <c r="B145" i="7"/>
  <c r="A145" i="7"/>
  <c r="K144" i="7"/>
  <c r="J144" i="7"/>
  <c r="I144" i="7"/>
  <c r="H144" i="7"/>
  <c r="G144" i="7"/>
  <c r="F144" i="7"/>
  <c r="E144" i="7"/>
  <c r="D144" i="7"/>
  <c r="C144" i="7"/>
  <c r="B144" i="7"/>
  <c r="A144" i="7"/>
  <c r="K143" i="7"/>
  <c r="J143" i="7"/>
  <c r="I143" i="7"/>
  <c r="H143" i="7"/>
  <c r="G143" i="7"/>
  <c r="F143" i="7"/>
  <c r="E143" i="7"/>
  <c r="D143" i="7"/>
  <c r="C143" i="7"/>
  <c r="B143" i="7"/>
  <c r="A143" i="7"/>
  <c r="K142" i="7"/>
  <c r="J142" i="7"/>
  <c r="I142" i="7"/>
  <c r="H142" i="7"/>
  <c r="G142" i="7"/>
  <c r="F142" i="7"/>
  <c r="E142" i="7"/>
  <c r="D142" i="7"/>
  <c r="C142" i="7"/>
  <c r="B142" i="7"/>
  <c r="A142" i="7"/>
  <c r="K141" i="7"/>
  <c r="J141" i="7"/>
  <c r="I141" i="7"/>
  <c r="H141" i="7"/>
  <c r="G141" i="7"/>
  <c r="F141" i="7"/>
  <c r="E141" i="7"/>
  <c r="D141" i="7"/>
  <c r="C141" i="7"/>
  <c r="B141" i="7"/>
  <c r="A141" i="7"/>
  <c r="K140" i="7"/>
  <c r="J140" i="7"/>
  <c r="I140" i="7"/>
  <c r="H140" i="7"/>
  <c r="G140" i="7"/>
  <c r="F140" i="7"/>
  <c r="E140" i="7"/>
  <c r="D140" i="7"/>
  <c r="C140" i="7"/>
  <c r="B140" i="7"/>
  <c r="A140" i="7"/>
  <c r="K139" i="7"/>
  <c r="J139" i="7"/>
  <c r="I139" i="7"/>
  <c r="H139" i="7"/>
  <c r="G139" i="7"/>
  <c r="F139" i="7"/>
  <c r="E139" i="7"/>
  <c r="D139" i="7"/>
  <c r="C139" i="7"/>
  <c r="B139" i="7"/>
  <c r="A139" i="7"/>
  <c r="K138" i="7"/>
  <c r="J138" i="7"/>
  <c r="I138" i="7"/>
  <c r="H138" i="7"/>
  <c r="G138" i="7"/>
  <c r="F138" i="7"/>
  <c r="E138" i="7"/>
  <c r="D138" i="7"/>
  <c r="C138" i="7"/>
  <c r="B138" i="7"/>
  <c r="A138" i="7"/>
  <c r="K137" i="7"/>
  <c r="J137" i="7"/>
  <c r="I137" i="7"/>
  <c r="H137" i="7"/>
  <c r="G137" i="7"/>
  <c r="F137" i="7"/>
  <c r="E137" i="7"/>
  <c r="D137" i="7"/>
  <c r="C137" i="7"/>
  <c r="B137" i="7"/>
  <c r="A137" i="7"/>
  <c r="K136" i="7"/>
  <c r="J136" i="7"/>
  <c r="I136" i="7"/>
  <c r="H136" i="7"/>
  <c r="G136" i="7"/>
  <c r="F136" i="7"/>
  <c r="E136" i="7"/>
  <c r="D136" i="7"/>
  <c r="C136" i="7"/>
  <c r="B136" i="7"/>
  <c r="A136" i="7"/>
  <c r="K135" i="7"/>
  <c r="J135" i="7"/>
  <c r="I135" i="7"/>
  <c r="H135" i="7"/>
  <c r="G135" i="7"/>
  <c r="F135" i="7"/>
  <c r="E135" i="7"/>
  <c r="D135" i="7"/>
  <c r="C135" i="7"/>
  <c r="B135" i="7"/>
  <c r="A135" i="7"/>
  <c r="K134" i="7"/>
  <c r="J134" i="7"/>
  <c r="I134" i="7"/>
  <c r="H134" i="7"/>
  <c r="G134" i="7"/>
  <c r="F134" i="7"/>
  <c r="E134" i="7"/>
  <c r="D134" i="7"/>
  <c r="C134" i="7"/>
  <c r="B134" i="7"/>
  <c r="A134" i="7"/>
  <c r="K133" i="7"/>
  <c r="J133" i="7"/>
  <c r="I133" i="7"/>
  <c r="H133" i="7"/>
  <c r="G133" i="7"/>
  <c r="F133" i="7"/>
  <c r="E133" i="7"/>
  <c r="D133" i="7"/>
  <c r="C133" i="7"/>
  <c r="B133" i="7"/>
  <c r="A133" i="7"/>
  <c r="K132" i="7"/>
  <c r="J132" i="7"/>
  <c r="I132" i="7"/>
  <c r="H132" i="7"/>
  <c r="G132" i="7"/>
  <c r="F132" i="7"/>
  <c r="E132" i="7"/>
  <c r="D132" i="7"/>
  <c r="C132" i="7"/>
  <c r="B132" i="7"/>
  <c r="A132" i="7"/>
  <c r="K131" i="7"/>
  <c r="J131" i="7"/>
  <c r="I131" i="7"/>
  <c r="H131" i="7"/>
  <c r="G131" i="7"/>
  <c r="F131" i="7"/>
  <c r="E131" i="7"/>
  <c r="D131" i="7"/>
  <c r="C131" i="7"/>
  <c r="B131" i="7"/>
  <c r="A131" i="7"/>
  <c r="K130" i="7"/>
  <c r="J130" i="7"/>
  <c r="I130" i="7"/>
  <c r="H130" i="7"/>
  <c r="G130" i="7"/>
  <c r="F130" i="7"/>
  <c r="E130" i="7"/>
  <c r="D130" i="7"/>
  <c r="C130" i="7"/>
  <c r="B130" i="7"/>
  <c r="A130" i="7"/>
  <c r="K129" i="7"/>
  <c r="J129" i="7"/>
  <c r="I129" i="7"/>
  <c r="H129" i="7"/>
  <c r="G129" i="7"/>
  <c r="F129" i="7"/>
  <c r="E129" i="7"/>
  <c r="D129" i="7"/>
  <c r="C129" i="7"/>
  <c r="B129" i="7"/>
  <c r="A129" i="7"/>
  <c r="K128" i="7"/>
  <c r="J128" i="7"/>
  <c r="I128" i="7"/>
  <c r="H128" i="7"/>
  <c r="G128" i="7"/>
  <c r="F128" i="7"/>
  <c r="E128" i="7"/>
  <c r="D128" i="7"/>
  <c r="C128" i="7"/>
  <c r="B128" i="7"/>
  <c r="A128" i="7"/>
  <c r="K127" i="7"/>
  <c r="J127" i="7"/>
  <c r="I127" i="7"/>
  <c r="H127" i="7"/>
  <c r="G127" i="7"/>
  <c r="F127" i="7"/>
  <c r="E127" i="7"/>
  <c r="D127" i="7"/>
  <c r="C127" i="7"/>
  <c r="B127" i="7"/>
  <c r="A127" i="7"/>
  <c r="K126" i="7"/>
  <c r="J126" i="7"/>
  <c r="I126" i="7"/>
  <c r="H126" i="7"/>
  <c r="G126" i="7"/>
  <c r="F126" i="7"/>
  <c r="E126" i="7"/>
  <c r="D126" i="7"/>
  <c r="C126" i="7"/>
  <c r="B126" i="7"/>
  <c r="A126" i="7"/>
  <c r="K125" i="7"/>
  <c r="J125" i="7"/>
  <c r="I125" i="7"/>
  <c r="H125" i="7"/>
  <c r="G125" i="7"/>
  <c r="F125" i="7"/>
  <c r="E125" i="7"/>
  <c r="D125" i="7"/>
  <c r="C125" i="7"/>
  <c r="B125" i="7"/>
  <c r="A125" i="7"/>
  <c r="K124" i="7"/>
  <c r="J124" i="7"/>
  <c r="I124" i="7"/>
  <c r="H124" i="7"/>
  <c r="G124" i="7"/>
  <c r="F124" i="7"/>
  <c r="E124" i="7"/>
  <c r="D124" i="7"/>
  <c r="C124" i="7"/>
  <c r="B124" i="7"/>
  <c r="A124" i="7"/>
  <c r="K123" i="7"/>
  <c r="J123" i="7"/>
  <c r="I123" i="7"/>
  <c r="H123" i="7"/>
  <c r="G123" i="7"/>
  <c r="F123" i="7"/>
  <c r="E123" i="7"/>
  <c r="D123" i="7"/>
  <c r="C123" i="7"/>
  <c r="B123" i="7"/>
  <c r="A123" i="7"/>
  <c r="K122" i="7"/>
  <c r="J122" i="7"/>
  <c r="I122" i="7"/>
  <c r="H122" i="7"/>
  <c r="G122" i="7"/>
  <c r="F122" i="7"/>
  <c r="E122" i="7"/>
  <c r="D122" i="7"/>
  <c r="C122" i="7"/>
  <c r="B122" i="7"/>
  <c r="A122" i="7"/>
  <c r="K121" i="7"/>
  <c r="J121" i="7"/>
  <c r="I121" i="7"/>
  <c r="H121" i="7"/>
  <c r="G121" i="7"/>
  <c r="F121" i="7"/>
  <c r="E121" i="7"/>
  <c r="D121" i="7"/>
  <c r="C121" i="7"/>
  <c r="B121" i="7"/>
  <c r="A121" i="7"/>
  <c r="K120" i="7"/>
  <c r="J120" i="7"/>
  <c r="I120" i="7"/>
  <c r="H120" i="7"/>
  <c r="G120" i="7"/>
  <c r="F120" i="7"/>
  <c r="E120" i="7"/>
  <c r="D120" i="7"/>
  <c r="C120" i="7"/>
  <c r="B120" i="7"/>
  <c r="A120" i="7"/>
  <c r="K119" i="7"/>
  <c r="J119" i="7"/>
  <c r="I119" i="7"/>
  <c r="H119" i="7"/>
  <c r="G119" i="7"/>
  <c r="F119" i="7"/>
  <c r="E119" i="7"/>
  <c r="D119" i="7"/>
  <c r="C119" i="7"/>
  <c r="B119" i="7"/>
  <c r="A119" i="7"/>
  <c r="K118" i="7"/>
  <c r="J118" i="7"/>
  <c r="I118" i="7"/>
  <c r="H118" i="7"/>
  <c r="G118" i="7"/>
  <c r="F118" i="7"/>
  <c r="E118" i="7"/>
  <c r="D118" i="7"/>
  <c r="C118" i="7"/>
  <c r="B118" i="7"/>
  <c r="A118" i="7"/>
  <c r="K117" i="7"/>
  <c r="J117" i="7"/>
  <c r="I117" i="7"/>
  <c r="H117" i="7"/>
  <c r="G117" i="7"/>
  <c r="F117" i="7"/>
  <c r="E117" i="7"/>
  <c r="D117" i="7"/>
  <c r="C117" i="7"/>
  <c r="B117" i="7"/>
  <c r="A117" i="7"/>
  <c r="K116" i="7"/>
  <c r="J116" i="7"/>
  <c r="I116" i="7"/>
  <c r="H116" i="7"/>
  <c r="G116" i="7"/>
  <c r="F116" i="7"/>
  <c r="E116" i="7"/>
  <c r="D116" i="7"/>
  <c r="C116" i="7"/>
  <c r="B116" i="7"/>
  <c r="A116" i="7"/>
  <c r="K115" i="7"/>
  <c r="J115" i="7"/>
  <c r="I115" i="7"/>
  <c r="H115" i="7"/>
  <c r="G115" i="7"/>
  <c r="F115" i="7"/>
  <c r="E115" i="7"/>
  <c r="D115" i="7"/>
  <c r="C115" i="7"/>
  <c r="B115" i="7"/>
  <c r="A115" i="7"/>
  <c r="K114" i="7"/>
  <c r="J114" i="7"/>
  <c r="I114" i="7"/>
  <c r="H114" i="7"/>
  <c r="G114" i="7"/>
  <c r="F114" i="7"/>
  <c r="E114" i="7"/>
  <c r="D114" i="7"/>
  <c r="C114" i="7"/>
  <c r="B114" i="7"/>
  <c r="A114" i="7"/>
  <c r="K113" i="7"/>
  <c r="J113" i="7"/>
  <c r="I113" i="7"/>
  <c r="H113" i="7"/>
  <c r="G113" i="7"/>
  <c r="F113" i="7"/>
  <c r="E113" i="7"/>
  <c r="D113" i="7"/>
  <c r="C113" i="7"/>
  <c r="B113" i="7"/>
  <c r="A113" i="7"/>
  <c r="K112" i="7"/>
  <c r="J112" i="7"/>
  <c r="I112" i="7"/>
  <c r="H112" i="7"/>
  <c r="G112" i="7"/>
  <c r="F112" i="7"/>
  <c r="E112" i="7"/>
  <c r="D112" i="7"/>
  <c r="C112" i="7"/>
  <c r="B112" i="7"/>
  <c r="A112" i="7"/>
  <c r="K111" i="7"/>
  <c r="J111" i="7"/>
  <c r="I111" i="7"/>
  <c r="H111" i="7"/>
  <c r="G111" i="7"/>
  <c r="F111" i="7"/>
  <c r="E111" i="7"/>
  <c r="D111" i="7"/>
  <c r="C111" i="7"/>
  <c r="B111" i="7"/>
  <c r="A111" i="7"/>
  <c r="K110" i="7"/>
  <c r="J110" i="7"/>
  <c r="I110" i="7"/>
  <c r="H110" i="7"/>
  <c r="G110" i="7"/>
  <c r="F110" i="7"/>
  <c r="E110" i="7"/>
  <c r="D110" i="7"/>
  <c r="C110" i="7"/>
  <c r="B110" i="7"/>
  <c r="A110" i="7"/>
  <c r="K109" i="7"/>
  <c r="J109" i="7"/>
  <c r="I109" i="7"/>
  <c r="H109" i="7"/>
  <c r="G109" i="7"/>
  <c r="F109" i="7"/>
  <c r="E109" i="7"/>
  <c r="D109" i="7"/>
  <c r="C109" i="7"/>
  <c r="B109" i="7"/>
  <c r="A109" i="7"/>
  <c r="K108" i="7"/>
  <c r="J108" i="7"/>
  <c r="I108" i="7"/>
  <c r="H108" i="7"/>
  <c r="G108" i="7"/>
  <c r="F108" i="7"/>
  <c r="E108" i="7"/>
  <c r="D108" i="7"/>
  <c r="C108" i="7"/>
  <c r="B108" i="7"/>
  <c r="A108" i="7"/>
  <c r="K107" i="7"/>
  <c r="J107" i="7"/>
  <c r="I107" i="7"/>
  <c r="H107" i="7"/>
  <c r="G107" i="7"/>
  <c r="F107" i="7"/>
  <c r="E107" i="7"/>
  <c r="D107" i="7"/>
  <c r="C107" i="7"/>
  <c r="B107" i="7"/>
  <c r="A107" i="7"/>
  <c r="K106" i="7"/>
  <c r="J106" i="7"/>
  <c r="I106" i="7"/>
  <c r="H106" i="7"/>
  <c r="G106" i="7"/>
  <c r="F106" i="7"/>
  <c r="E106" i="7"/>
  <c r="D106" i="7"/>
  <c r="C106" i="7"/>
  <c r="B106" i="7"/>
  <c r="A106" i="7"/>
  <c r="K105" i="7"/>
  <c r="J105" i="7"/>
  <c r="I105" i="7"/>
  <c r="H105" i="7"/>
  <c r="G105" i="7"/>
  <c r="F105" i="7"/>
  <c r="E105" i="7"/>
  <c r="D105" i="7"/>
  <c r="C105" i="7"/>
  <c r="B105" i="7"/>
  <c r="A105" i="7"/>
  <c r="K104" i="7"/>
  <c r="J104" i="7"/>
  <c r="I104" i="7"/>
  <c r="H104" i="7"/>
  <c r="G104" i="7"/>
  <c r="F104" i="7"/>
  <c r="E104" i="7"/>
  <c r="D104" i="7"/>
  <c r="C104" i="7"/>
  <c r="B104" i="7"/>
  <c r="A104" i="7"/>
  <c r="K103" i="7"/>
  <c r="J103" i="7"/>
  <c r="I103" i="7"/>
  <c r="H103" i="7"/>
  <c r="G103" i="7"/>
  <c r="F103" i="7"/>
  <c r="E103" i="7"/>
  <c r="D103" i="7"/>
  <c r="C103" i="7"/>
  <c r="B103" i="7"/>
  <c r="A103" i="7"/>
  <c r="K102" i="7"/>
  <c r="J102" i="7"/>
  <c r="I102" i="7"/>
  <c r="H102" i="7"/>
  <c r="G102" i="7"/>
  <c r="F102" i="7"/>
  <c r="E102" i="7"/>
  <c r="D102" i="7"/>
  <c r="C102" i="7"/>
  <c r="B102" i="7"/>
  <c r="A102" i="7"/>
  <c r="K101" i="7"/>
  <c r="J101" i="7"/>
  <c r="I101" i="7"/>
  <c r="H101" i="7"/>
  <c r="G101" i="7"/>
  <c r="F101" i="7"/>
  <c r="E101" i="7"/>
  <c r="D101" i="7"/>
  <c r="C101" i="7"/>
  <c r="B101" i="7"/>
  <c r="A101" i="7"/>
  <c r="K100" i="7"/>
  <c r="J100" i="7"/>
  <c r="I100" i="7"/>
  <c r="H100" i="7"/>
  <c r="G100" i="7"/>
  <c r="F100" i="7"/>
  <c r="E100" i="7"/>
  <c r="D100" i="7"/>
  <c r="C100" i="7"/>
  <c r="B100" i="7"/>
  <c r="A100" i="7"/>
  <c r="K99" i="7"/>
  <c r="J99" i="7"/>
  <c r="I99" i="7"/>
  <c r="H99" i="7"/>
  <c r="G99" i="7"/>
  <c r="F99" i="7"/>
  <c r="E99" i="7"/>
  <c r="D99" i="7"/>
  <c r="C99" i="7"/>
  <c r="B99" i="7"/>
  <c r="A99" i="7"/>
  <c r="K98" i="7"/>
  <c r="J98" i="7"/>
  <c r="I98" i="7"/>
  <c r="H98" i="7"/>
  <c r="G98" i="7"/>
  <c r="F98" i="7"/>
  <c r="E98" i="7"/>
  <c r="D98" i="7"/>
  <c r="C98" i="7"/>
  <c r="B98" i="7"/>
  <c r="A98" i="7"/>
  <c r="K97" i="7"/>
  <c r="J97" i="7"/>
  <c r="I97" i="7"/>
  <c r="H97" i="7"/>
  <c r="G97" i="7"/>
  <c r="F97" i="7"/>
  <c r="E97" i="7"/>
  <c r="D97" i="7"/>
  <c r="C97" i="7"/>
  <c r="B97" i="7"/>
  <c r="A97" i="7"/>
  <c r="K96" i="7"/>
  <c r="J96" i="7"/>
  <c r="I96" i="7"/>
  <c r="H96" i="7"/>
  <c r="G96" i="7"/>
  <c r="F96" i="7"/>
  <c r="E96" i="7"/>
  <c r="D96" i="7"/>
  <c r="C96" i="7"/>
  <c r="B96" i="7"/>
  <c r="A96" i="7"/>
  <c r="K95" i="7"/>
  <c r="J95" i="7"/>
  <c r="I95" i="7"/>
  <c r="H95" i="7"/>
  <c r="G95" i="7"/>
  <c r="F95" i="7"/>
  <c r="E95" i="7"/>
  <c r="D95" i="7"/>
  <c r="C95" i="7"/>
  <c r="B95" i="7"/>
  <c r="A95" i="7"/>
  <c r="K94" i="7"/>
  <c r="J94" i="7"/>
  <c r="I94" i="7"/>
  <c r="H94" i="7"/>
  <c r="G94" i="7"/>
  <c r="F94" i="7"/>
  <c r="E94" i="7"/>
  <c r="D94" i="7"/>
  <c r="C94" i="7"/>
  <c r="B94" i="7"/>
  <c r="A94" i="7"/>
  <c r="K93" i="7"/>
  <c r="J93" i="7"/>
  <c r="I93" i="7"/>
  <c r="H93" i="7"/>
  <c r="G93" i="7"/>
  <c r="F93" i="7"/>
  <c r="E93" i="7"/>
  <c r="D93" i="7"/>
  <c r="C93" i="7"/>
  <c r="B93" i="7"/>
  <c r="A93" i="7"/>
  <c r="K92" i="7"/>
  <c r="J92" i="7"/>
  <c r="I92" i="7"/>
  <c r="H92" i="7"/>
  <c r="G92" i="7"/>
  <c r="F92" i="7"/>
  <c r="E92" i="7"/>
  <c r="D92" i="7"/>
  <c r="C92" i="7"/>
  <c r="B92" i="7"/>
  <c r="A92" i="7"/>
  <c r="K91" i="7"/>
  <c r="J91" i="7"/>
  <c r="I91" i="7"/>
  <c r="H91" i="7"/>
  <c r="G91" i="7"/>
  <c r="F91" i="7"/>
  <c r="E91" i="7"/>
  <c r="D91" i="7"/>
  <c r="C91" i="7"/>
  <c r="B91" i="7"/>
  <c r="A91" i="7"/>
  <c r="K90" i="7"/>
  <c r="J90" i="7"/>
  <c r="I90" i="7"/>
  <c r="H90" i="7"/>
  <c r="G90" i="7"/>
  <c r="F90" i="7"/>
  <c r="E90" i="7"/>
  <c r="D90" i="7"/>
  <c r="C90" i="7"/>
  <c r="B90" i="7"/>
  <c r="A90" i="7"/>
  <c r="K89" i="7"/>
  <c r="J89" i="7"/>
  <c r="I89" i="7"/>
  <c r="H89" i="7"/>
  <c r="G89" i="7"/>
  <c r="F89" i="7"/>
  <c r="E89" i="7"/>
  <c r="D89" i="7"/>
  <c r="C89" i="7"/>
  <c r="B89" i="7"/>
  <c r="A89" i="7"/>
  <c r="K88" i="7"/>
  <c r="J88" i="7"/>
  <c r="I88" i="7"/>
  <c r="H88" i="7"/>
  <c r="G88" i="7"/>
  <c r="F88" i="7"/>
  <c r="E88" i="7"/>
  <c r="D88" i="7"/>
  <c r="C88" i="7"/>
  <c r="B88" i="7"/>
  <c r="A88" i="7"/>
  <c r="K87" i="7"/>
  <c r="J87" i="7"/>
  <c r="I87" i="7"/>
  <c r="H87" i="7"/>
  <c r="G87" i="7"/>
  <c r="F87" i="7"/>
  <c r="E87" i="7"/>
  <c r="D87" i="7"/>
  <c r="C87" i="7"/>
  <c r="B87" i="7"/>
  <c r="A87" i="7"/>
  <c r="K86" i="7"/>
  <c r="J86" i="7"/>
  <c r="I86" i="7"/>
  <c r="H86" i="7"/>
  <c r="G86" i="7"/>
  <c r="F86" i="7"/>
  <c r="E86" i="7"/>
  <c r="D86" i="7"/>
  <c r="C86" i="7"/>
  <c r="B86" i="7"/>
  <c r="A86" i="7"/>
  <c r="K85" i="7"/>
  <c r="J85" i="7"/>
  <c r="I85" i="7"/>
  <c r="H85" i="7"/>
  <c r="G85" i="7"/>
  <c r="F85" i="7"/>
  <c r="E85" i="7"/>
  <c r="D85" i="7"/>
  <c r="C85" i="7"/>
  <c r="B85" i="7"/>
  <c r="A85" i="7"/>
  <c r="K84" i="7"/>
  <c r="J84" i="7"/>
  <c r="I84" i="7"/>
  <c r="H84" i="7"/>
  <c r="G84" i="7"/>
  <c r="F84" i="7"/>
  <c r="E84" i="7"/>
  <c r="D84" i="7"/>
  <c r="C84" i="7"/>
  <c r="B84" i="7"/>
  <c r="A84" i="7"/>
  <c r="K83" i="7"/>
  <c r="J83" i="7"/>
  <c r="I83" i="7"/>
  <c r="H83" i="7"/>
  <c r="G83" i="7"/>
  <c r="F83" i="7"/>
  <c r="E83" i="7"/>
  <c r="D83" i="7"/>
  <c r="C83" i="7"/>
  <c r="B83" i="7"/>
  <c r="A83" i="7"/>
  <c r="K82" i="7"/>
  <c r="J82" i="7"/>
  <c r="I82" i="7"/>
  <c r="H82" i="7"/>
  <c r="G82" i="7"/>
  <c r="F82" i="7"/>
  <c r="E82" i="7"/>
  <c r="D82" i="7"/>
  <c r="C82" i="7"/>
  <c r="B82" i="7"/>
  <c r="A82" i="7"/>
  <c r="K81" i="7"/>
  <c r="J81" i="7"/>
  <c r="I81" i="7"/>
  <c r="H81" i="7"/>
  <c r="G81" i="7"/>
  <c r="F81" i="7"/>
  <c r="E81" i="7"/>
  <c r="D81" i="7"/>
  <c r="C81" i="7"/>
  <c r="B81" i="7"/>
  <c r="A81" i="7"/>
  <c r="K80" i="7"/>
  <c r="J80" i="7"/>
  <c r="I80" i="7"/>
  <c r="H80" i="7"/>
  <c r="G80" i="7"/>
  <c r="F80" i="7"/>
  <c r="E80" i="7"/>
  <c r="D80" i="7"/>
  <c r="C80" i="7"/>
  <c r="B80" i="7"/>
  <c r="A80" i="7"/>
  <c r="K79" i="7"/>
  <c r="J79" i="7"/>
  <c r="I79" i="7"/>
  <c r="H79" i="7"/>
  <c r="G79" i="7"/>
  <c r="F79" i="7"/>
  <c r="E79" i="7"/>
  <c r="D79" i="7"/>
  <c r="C79" i="7"/>
  <c r="B79" i="7"/>
  <c r="A79" i="7"/>
  <c r="K78" i="7"/>
  <c r="J78" i="7"/>
  <c r="I78" i="7"/>
  <c r="H78" i="7"/>
  <c r="G78" i="7"/>
  <c r="F78" i="7"/>
  <c r="E78" i="7"/>
  <c r="D78" i="7"/>
  <c r="C78" i="7"/>
  <c r="B78" i="7"/>
  <c r="A78" i="7"/>
  <c r="K77" i="7"/>
  <c r="J77" i="7"/>
  <c r="I77" i="7"/>
  <c r="H77" i="7"/>
  <c r="G77" i="7"/>
  <c r="F77" i="7"/>
  <c r="E77" i="7"/>
  <c r="D77" i="7"/>
  <c r="C77" i="7"/>
  <c r="B77" i="7"/>
  <c r="A77" i="7"/>
  <c r="K76" i="7"/>
  <c r="J76" i="7"/>
  <c r="I76" i="7"/>
  <c r="H76" i="7"/>
  <c r="G76" i="7"/>
  <c r="F76" i="7"/>
  <c r="E76" i="7"/>
  <c r="D76" i="7"/>
  <c r="C76" i="7"/>
  <c r="B76" i="7"/>
  <c r="A76" i="7"/>
  <c r="K75" i="7"/>
  <c r="J75" i="7"/>
  <c r="I75" i="7"/>
  <c r="H75" i="7"/>
  <c r="G75" i="7"/>
  <c r="F75" i="7"/>
  <c r="E75" i="7"/>
  <c r="D75" i="7"/>
  <c r="C75" i="7"/>
  <c r="B75" i="7"/>
  <c r="A75" i="7"/>
  <c r="K74" i="7"/>
  <c r="J74" i="7"/>
  <c r="I74" i="7"/>
  <c r="H74" i="7"/>
  <c r="G74" i="7"/>
  <c r="F74" i="7"/>
  <c r="E74" i="7"/>
  <c r="D74" i="7"/>
  <c r="C74" i="7"/>
  <c r="B74" i="7"/>
  <c r="A74" i="7"/>
  <c r="K73" i="7"/>
  <c r="J73" i="7"/>
  <c r="I73" i="7"/>
  <c r="H73" i="7"/>
  <c r="G73" i="7"/>
  <c r="F73" i="7"/>
  <c r="E73" i="7"/>
  <c r="D73" i="7"/>
  <c r="C73" i="7"/>
  <c r="B73" i="7"/>
  <c r="A73" i="7"/>
  <c r="K72" i="7"/>
  <c r="J72" i="7"/>
  <c r="I72" i="7"/>
  <c r="H72" i="7"/>
  <c r="G72" i="7"/>
  <c r="F72" i="7"/>
  <c r="E72" i="7"/>
  <c r="D72" i="7"/>
  <c r="C72" i="7"/>
  <c r="B72" i="7"/>
  <c r="A72" i="7"/>
  <c r="K71" i="7"/>
  <c r="J71" i="7"/>
  <c r="I71" i="7"/>
  <c r="H71" i="7"/>
  <c r="G71" i="7"/>
  <c r="F71" i="7"/>
  <c r="E71" i="7"/>
  <c r="D71" i="7"/>
  <c r="C71" i="7"/>
  <c r="B71" i="7"/>
  <c r="A71" i="7"/>
  <c r="K70" i="7"/>
  <c r="J70" i="7"/>
  <c r="I70" i="7"/>
  <c r="H70" i="7"/>
  <c r="G70" i="7"/>
  <c r="F70" i="7"/>
  <c r="E70" i="7"/>
  <c r="D70" i="7"/>
  <c r="C70" i="7"/>
  <c r="B70" i="7"/>
  <c r="A70" i="7"/>
  <c r="K69" i="7"/>
  <c r="J69" i="7"/>
  <c r="I69" i="7"/>
  <c r="H69" i="7"/>
  <c r="G69" i="7"/>
  <c r="F69" i="7"/>
  <c r="E69" i="7"/>
  <c r="D69" i="7"/>
  <c r="C69" i="7"/>
  <c r="B69" i="7"/>
  <c r="A69" i="7"/>
  <c r="K68" i="7"/>
  <c r="J68" i="7"/>
  <c r="I68" i="7"/>
  <c r="H68" i="7"/>
  <c r="G68" i="7"/>
  <c r="F68" i="7"/>
  <c r="E68" i="7"/>
  <c r="D68" i="7"/>
  <c r="C68" i="7"/>
  <c r="B68" i="7"/>
  <c r="A68" i="7"/>
  <c r="K67" i="7"/>
  <c r="J67" i="7"/>
  <c r="I67" i="7"/>
  <c r="H67" i="7"/>
  <c r="G67" i="7"/>
  <c r="F67" i="7"/>
  <c r="E67" i="7"/>
  <c r="D67" i="7"/>
  <c r="C67" i="7"/>
  <c r="B67" i="7"/>
  <c r="A67" i="7"/>
  <c r="K66" i="7"/>
  <c r="J66" i="7"/>
  <c r="I66" i="7"/>
  <c r="H66" i="7"/>
  <c r="G66" i="7"/>
  <c r="F66" i="7"/>
  <c r="E66" i="7"/>
  <c r="D66" i="7"/>
  <c r="C66" i="7"/>
  <c r="B66" i="7"/>
  <c r="A66" i="7"/>
  <c r="K65" i="7"/>
  <c r="J65" i="7"/>
  <c r="I65" i="7"/>
  <c r="H65" i="7"/>
  <c r="G65" i="7"/>
  <c r="F65" i="7"/>
  <c r="E65" i="7"/>
  <c r="D65" i="7"/>
  <c r="C65" i="7"/>
  <c r="B65" i="7"/>
  <c r="A65" i="7"/>
  <c r="K64" i="7"/>
  <c r="J64" i="7"/>
  <c r="I64" i="7"/>
  <c r="H64" i="7"/>
  <c r="G64" i="7"/>
  <c r="F64" i="7"/>
  <c r="E64" i="7"/>
  <c r="D64" i="7"/>
  <c r="C64" i="7"/>
  <c r="B64" i="7"/>
  <c r="A64" i="7"/>
  <c r="K63" i="7"/>
  <c r="J63" i="7"/>
  <c r="I63" i="7"/>
  <c r="H63" i="7"/>
  <c r="G63" i="7"/>
  <c r="F63" i="7"/>
  <c r="E63" i="7"/>
  <c r="D63" i="7"/>
  <c r="C63" i="7"/>
  <c r="B63" i="7"/>
  <c r="A63" i="7"/>
  <c r="K62" i="7"/>
  <c r="J62" i="7"/>
  <c r="I62" i="7"/>
  <c r="H62" i="7"/>
  <c r="G62" i="7"/>
  <c r="F62" i="7"/>
  <c r="E62" i="7"/>
  <c r="D62" i="7"/>
  <c r="C62" i="7"/>
  <c r="B62" i="7"/>
  <c r="A62" i="7"/>
  <c r="K61" i="7"/>
  <c r="J61" i="7"/>
  <c r="I61" i="7"/>
  <c r="H61" i="7"/>
  <c r="G61" i="7"/>
  <c r="F61" i="7"/>
  <c r="E61" i="7"/>
  <c r="D61" i="7"/>
  <c r="C61" i="7"/>
  <c r="B61" i="7"/>
  <c r="A61" i="7"/>
  <c r="K60" i="7"/>
  <c r="J60" i="7"/>
  <c r="I60" i="7"/>
  <c r="H60" i="7"/>
  <c r="G60" i="7"/>
  <c r="F60" i="7"/>
  <c r="E60" i="7"/>
  <c r="D60" i="7"/>
  <c r="C60" i="7"/>
  <c r="B60" i="7"/>
  <c r="A60" i="7"/>
  <c r="K59" i="7"/>
  <c r="J59" i="7"/>
  <c r="I59" i="7"/>
  <c r="H59" i="7"/>
  <c r="G59" i="7"/>
  <c r="F59" i="7"/>
  <c r="E59" i="7"/>
  <c r="D59" i="7"/>
  <c r="C59" i="7"/>
  <c r="B59" i="7"/>
  <c r="A59" i="7"/>
  <c r="K58" i="7"/>
  <c r="J58" i="7"/>
  <c r="I58" i="7"/>
  <c r="H58" i="7"/>
  <c r="G58" i="7"/>
  <c r="F58" i="7"/>
  <c r="E58" i="7"/>
  <c r="D58" i="7"/>
  <c r="C58" i="7"/>
  <c r="B58" i="7"/>
  <c r="A58" i="7"/>
  <c r="K57" i="7"/>
  <c r="J57" i="7"/>
  <c r="I57" i="7"/>
  <c r="H57" i="7"/>
  <c r="G57" i="7"/>
  <c r="F57" i="7"/>
  <c r="E57" i="7"/>
  <c r="D57" i="7"/>
  <c r="C57" i="7"/>
  <c r="B57" i="7"/>
  <c r="A57" i="7"/>
  <c r="K56" i="7"/>
  <c r="J56" i="7"/>
  <c r="I56" i="7"/>
  <c r="H56" i="7"/>
  <c r="G56" i="7"/>
  <c r="F56" i="7"/>
  <c r="E56" i="7"/>
  <c r="D56" i="7"/>
  <c r="C56" i="7"/>
  <c r="B56" i="7"/>
  <c r="A56" i="7"/>
  <c r="K55" i="7"/>
  <c r="J55" i="7"/>
  <c r="I55" i="7"/>
  <c r="H55" i="7"/>
  <c r="G55" i="7"/>
  <c r="F55" i="7"/>
  <c r="E55" i="7"/>
  <c r="D55" i="7"/>
  <c r="C55" i="7"/>
  <c r="B55" i="7"/>
  <c r="A55" i="7"/>
  <c r="K54" i="7"/>
  <c r="J54" i="7"/>
  <c r="I54" i="7"/>
  <c r="H54" i="7"/>
  <c r="G54" i="7"/>
  <c r="F54" i="7"/>
  <c r="E54" i="7"/>
  <c r="D54" i="7"/>
  <c r="C54" i="7"/>
  <c r="B54" i="7"/>
  <c r="A54" i="7"/>
  <c r="K53" i="7"/>
  <c r="J53" i="7"/>
  <c r="I53" i="7"/>
  <c r="H53" i="7"/>
  <c r="G53" i="7"/>
  <c r="F53" i="7"/>
  <c r="E53" i="7"/>
  <c r="D53" i="7"/>
  <c r="C53" i="7"/>
  <c r="B53" i="7"/>
  <c r="A53" i="7"/>
  <c r="K52" i="7"/>
  <c r="J52" i="7"/>
  <c r="I52" i="7"/>
  <c r="H52" i="7"/>
  <c r="G52" i="7"/>
  <c r="F52" i="7"/>
  <c r="E52" i="7"/>
  <c r="D52" i="7"/>
  <c r="C52" i="7"/>
  <c r="B52" i="7"/>
  <c r="A52" i="7"/>
  <c r="K51" i="7"/>
  <c r="J51" i="7"/>
  <c r="I51" i="7"/>
  <c r="H51" i="7"/>
  <c r="G51" i="7"/>
  <c r="F51" i="7"/>
  <c r="E51" i="7"/>
  <c r="D51" i="7"/>
  <c r="C51" i="7"/>
  <c r="B51" i="7"/>
  <c r="A51" i="7"/>
  <c r="K50" i="7"/>
  <c r="J50" i="7"/>
  <c r="I50" i="7"/>
  <c r="H50" i="7"/>
  <c r="G50" i="7"/>
  <c r="F50" i="7"/>
  <c r="E50" i="7"/>
  <c r="D50" i="7"/>
  <c r="C50" i="7"/>
  <c r="B50" i="7"/>
  <c r="A50" i="7"/>
  <c r="K49" i="7"/>
  <c r="J49" i="7"/>
  <c r="I49" i="7"/>
  <c r="H49" i="7"/>
  <c r="G49" i="7"/>
  <c r="F49" i="7"/>
  <c r="E49" i="7"/>
  <c r="D49" i="7"/>
  <c r="C49" i="7"/>
  <c r="B49" i="7"/>
  <c r="A49" i="7"/>
  <c r="K48" i="7"/>
  <c r="J48" i="7"/>
  <c r="I48" i="7"/>
  <c r="H48" i="7"/>
  <c r="G48" i="7"/>
  <c r="F48" i="7"/>
  <c r="E48" i="7"/>
  <c r="D48" i="7"/>
  <c r="C48" i="7"/>
  <c r="B48" i="7"/>
  <c r="A48" i="7"/>
  <c r="K47" i="7"/>
  <c r="J47" i="7"/>
  <c r="I47" i="7"/>
  <c r="H47" i="7"/>
  <c r="G47" i="7"/>
  <c r="F47" i="7"/>
  <c r="E47" i="7"/>
  <c r="D47" i="7"/>
  <c r="C47" i="7"/>
  <c r="B47" i="7"/>
  <c r="A47" i="7"/>
  <c r="K46" i="7"/>
  <c r="J46" i="7"/>
  <c r="I46" i="7"/>
  <c r="H46" i="7"/>
  <c r="G46" i="7"/>
  <c r="F46" i="7"/>
  <c r="E46" i="7"/>
  <c r="D46" i="7"/>
  <c r="C46" i="7"/>
  <c r="B46" i="7"/>
  <c r="A46" i="7"/>
  <c r="K45" i="7"/>
  <c r="J45" i="7"/>
  <c r="I45" i="7"/>
  <c r="H45" i="7"/>
  <c r="G45" i="7"/>
  <c r="F45" i="7"/>
  <c r="E45" i="7"/>
  <c r="D45" i="7"/>
  <c r="C45" i="7"/>
  <c r="B45" i="7"/>
  <c r="A45" i="7"/>
  <c r="K44" i="7"/>
  <c r="J44" i="7"/>
  <c r="I44" i="7"/>
  <c r="H44" i="7"/>
  <c r="G44" i="7"/>
  <c r="F44" i="7"/>
  <c r="E44" i="7"/>
  <c r="D44" i="7"/>
  <c r="C44" i="7"/>
  <c r="B44" i="7"/>
  <c r="A44" i="7"/>
  <c r="K43" i="7"/>
  <c r="J43" i="7"/>
  <c r="I43" i="7"/>
  <c r="H43" i="7"/>
  <c r="G43" i="7"/>
  <c r="F43" i="7"/>
  <c r="E43" i="7"/>
  <c r="D43" i="7"/>
  <c r="C43" i="7"/>
  <c r="B43" i="7"/>
  <c r="A43" i="7"/>
  <c r="K42" i="7"/>
  <c r="J42" i="7"/>
  <c r="I42" i="7"/>
  <c r="H42" i="7"/>
  <c r="G42" i="7"/>
  <c r="F42" i="7"/>
  <c r="E42" i="7"/>
  <c r="D42" i="7"/>
  <c r="C42" i="7"/>
  <c r="B42" i="7"/>
  <c r="A42" i="7"/>
  <c r="K41" i="7"/>
  <c r="J41" i="7"/>
  <c r="I41" i="7"/>
  <c r="H41" i="7"/>
  <c r="G41" i="7"/>
  <c r="F41" i="7"/>
  <c r="E41" i="7"/>
  <c r="D41" i="7"/>
  <c r="C41" i="7"/>
  <c r="B41" i="7"/>
  <c r="A41" i="7"/>
  <c r="K40" i="7"/>
  <c r="J40" i="7"/>
  <c r="I40" i="7"/>
  <c r="H40" i="7"/>
  <c r="G40" i="7"/>
  <c r="F40" i="7"/>
  <c r="E40" i="7"/>
  <c r="D40" i="7"/>
  <c r="C40" i="7"/>
  <c r="B40" i="7"/>
  <c r="A40" i="7"/>
  <c r="K39" i="7"/>
  <c r="J39" i="7"/>
  <c r="I39" i="7"/>
  <c r="H39" i="7"/>
  <c r="G39" i="7"/>
  <c r="F39" i="7"/>
  <c r="E39" i="7"/>
  <c r="D39" i="7"/>
  <c r="C39" i="7"/>
  <c r="B39" i="7"/>
  <c r="A39" i="7"/>
  <c r="K38" i="7"/>
  <c r="J38" i="7"/>
  <c r="I38" i="7"/>
  <c r="H38" i="7"/>
  <c r="G38" i="7"/>
  <c r="F38" i="7"/>
  <c r="E38" i="7"/>
  <c r="D38" i="7"/>
  <c r="C38" i="7"/>
  <c r="B38" i="7"/>
  <c r="A38" i="7"/>
  <c r="K37" i="7"/>
  <c r="J37" i="7"/>
  <c r="I37" i="7"/>
  <c r="H37" i="7"/>
  <c r="G37" i="7"/>
  <c r="F37" i="7"/>
  <c r="E37" i="7"/>
  <c r="D37" i="7"/>
  <c r="C37" i="7"/>
  <c r="B37" i="7"/>
  <c r="A37" i="7"/>
  <c r="K36" i="7"/>
  <c r="J36" i="7"/>
  <c r="I36" i="7"/>
  <c r="H36" i="7"/>
  <c r="G36" i="7"/>
  <c r="F36" i="7"/>
  <c r="E36" i="7"/>
  <c r="D36" i="7"/>
  <c r="C36" i="7"/>
  <c r="B36" i="7"/>
  <c r="A36" i="7"/>
  <c r="K35" i="7"/>
  <c r="J35" i="7"/>
  <c r="I35" i="7"/>
  <c r="H35" i="7"/>
  <c r="G35" i="7"/>
  <c r="F35" i="7"/>
  <c r="E35" i="7"/>
  <c r="D35" i="7"/>
  <c r="C35" i="7"/>
  <c r="B35" i="7"/>
  <c r="A35" i="7"/>
  <c r="K34" i="7"/>
  <c r="J34" i="7"/>
  <c r="I34" i="7"/>
  <c r="H34" i="7"/>
  <c r="G34" i="7"/>
  <c r="F34" i="7"/>
  <c r="E34" i="7"/>
  <c r="D34" i="7"/>
  <c r="C34" i="7"/>
  <c r="B34" i="7"/>
  <c r="A34" i="7"/>
  <c r="K33" i="7"/>
  <c r="J33" i="7"/>
  <c r="I33" i="7"/>
  <c r="H33" i="7"/>
  <c r="G33" i="7"/>
  <c r="F33" i="7"/>
  <c r="E33" i="7"/>
  <c r="D33" i="7"/>
  <c r="C33" i="7"/>
  <c r="B33" i="7"/>
  <c r="A33" i="7"/>
  <c r="K32" i="7"/>
  <c r="J32" i="7"/>
  <c r="I32" i="7"/>
  <c r="H32" i="7"/>
  <c r="G32" i="7"/>
  <c r="F32" i="7"/>
  <c r="E32" i="7"/>
  <c r="D32" i="7"/>
  <c r="C32" i="7"/>
  <c r="B32" i="7"/>
  <c r="A32" i="7"/>
  <c r="K31" i="7"/>
  <c r="J31" i="7"/>
  <c r="I31" i="7"/>
  <c r="H31" i="7"/>
  <c r="G31" i="7"/>
  <c r="F31" i="7"/>
  <c r="E31" i="7"/>
  <c r="D31" i="7"/>
  <c r="C31" i="7"/>
  <c r="B31" i="7"/>
  <c r="A31" i="7"/>
  <c r="K30" i="7"/>
  <c r="J30" i="7"/>
  <c r="I30" i="7"/>
  <c r="H30" i="7"/>
  <c r="G30" i="7"/>
  <c r="F30" i="7"/>
  <c r="E30" i="7"/>
  <c r="D30" i="7"/>
  <c r="C30" i="7"/>
  <c r="B30" i="7"/>
  <c r="A30" i="7"/>
  <c r="K29" i="7"/>
  <c r="J29" i="7"/>
  <c r="I29" i="7"/>
  <c r="H29" i="7"/>
  <c r="G29" i="7"/>
  <c r="F29" i="7"/>
  <c r="E29" i="7"/>
  <c r="D29" i="7"/>
  <c r="C29" i="7"/>
  <c r="B29" i="7"/>
  <c r="A29" i="7"/>
  <c r="K28" i="7"/>
  <c r="J28" i="7"/>
  <c r="I28" i="7"/>
  <c r="H28" i="7"/>
  <c r="G28" i="7"/>
  <c r="F28" i="7"/>
  <c r="E28" i="7"/>
  <c r="D28" i="7"/>
  <c r="C28" i="7"/>
  <c r="B28" i="7"/>
  <c r="A28" i="7"/>
  <c r="K27" i="7"/>
  <c r="J27" i="7"/>
  <c r="I27" i="7"/>
  <c r="H27" i="7"/>
  <c r="G27" i="7"/>
  <c r="F27" i="7"/>
  <c r="E27" i="7"/>
  <c r="D27" i="7"/>
  <c r="C27" i="7"/>
  <c r="B27" i="7"/>
  <c r="A27" i="7"/>
  <c r="K26" i="7"/>
  <c r="J26" i="7"/>
  <c r="I26" i="7"/>
  <c r="H26" i="7"/>
  <c r="G26" i="7"/>
  <c r="F26" i="7"/>
  <c r="E26" i="7"/>
  <c r="D26" i="7"/>
  <c r="C26" i="7"/>
  <c r="B26" i="7"/>
  <c r="A26" i="7"/>
  <c r="K25" i="7"/>
  <c r="J25" i="7"/>
  <c r="I25" i="7"/>
  <c r="H25" i="7"/>
  <c r="G25" i="7"/>
  <c r="F25" i="7"/>
  <c r="E25" i="7"/>
  <c r="D25" i="7"/>
  <c r="C25" i="7"/>
  <c r="B25" i="7"/>
  <c r="A25" i="7"/>
  <c r="K24" i="7"/>
  <c r="J24" i="7"/>
  <c r="I24" i="7"/>
  <c r="H24" i="7"/>
  <c r="G24" i="7"/>
  <c r="F24" i="7"/>
  <c r="E24" i="7"/>
  <c r="D24" i="7"/>
  <c r="C24" i="7"/>
  <c r="B24" i="7"/>
  <c r="A24" i="7"/>
  <c r="K23" i="7"/>
  <c r="J23" i="7"/>
  <c r="I23" i="7"/>
  <c r="H23" i="7"/>
  <c r="G23" i="7"/>
  <c r="F23" i="7"/>
  <c r="E23" i="7"/>
  <c r="D23" i="7"/>
  <c r="C23" i="7"/>
  <c r="B23" i="7"/>
  <c r="A23" i="7"/>
  <c r="K22" i="7"/>
  <c r="J22" i="7"/>
  <c r="I22" i="7"/>
  <c r="H22" i="7"/>
  <c r="G22" i="7"/>
  <c r="F22" i="7"/>
  <c r="E22" i="7"/>
  <c r="D22" i="7"/>
  <c r="C22" i="7"/>
  <c r="B22" i="7"/>
  <c r="A22" i="7"/>
  <c r="K21" i="7"/>
  <c r="J21" i="7"/>
  <c r="I21" i="7"/>
  <c r="H21" i="7"/>
  <c r="G21" i="7"/>
  <c r="F21" i="7"/>
  <c r="E21" i="7"/>
  <c r="D21" i="7"/>
  <c r="C21" i="7"/>
  <c r="B21" i="7"/>
  <c r="A21" i="7"/>
  <c r="K20" i="7"/>
  <c r="J20" i="7"/>
  <c r="I20" i="7"/>
  <c r="H20" i="7"/>
  <c r="G20" i="7"/>
  <c r="F20" i="7"/>
  <c r="E20" i="7"/>
  <c r="D20" i="7"/>
  <c r="C20" i="7"/>
  <c r="B20" i="7"/>
  <c r="A20" i="7"/>
  <c r="K19" i="7"/>
  <c r="J19" i="7"/>
  <c r="I19" i="7"/>
  <c r="H19" i="7"/>
  <c r="G19" i="7"/>
  <c r="F19" i="7"/>
  <c r="E19" i="7"/>
  <c r="D19" i="7"/>
  <c r="C19" i="7"/>
  <c r="B19" i="7"/>
  <c r="A19" i="7"/>
  <c r="K18" i="7"/>
  <c r="J18" i="7"/>
  <c r="I18" i="7"/>
  <c r="H18" i="7"/>
  <c r="G18" i="7"/>
  <c r="F18" i="7"/>
  <c r="E18" i="7"/>
  <c r="D18" i="7"/>
  <c r="C18" i="7"/>
  <c r="B18" i="7"/>
  <c r="A18" i="7"/>
  <c r="K17" i="7"/>
  <c r="J17" i="7"/>
  <c r="I17" i="7"/>
  <c r="H17" i="7"/>
  <c r="G17" i="7"/>
  <c r="F17" i="7"/>
  <c r="E17" i="7"/>
  <c r="D17" i="7"/>
  <c r="C17" i="7"/>
  <c r="B17" i="7"/>
  <c r="A17" i="7"/>
  <c r="K16" i="7"/>
  <c r="J16" i="7"/>
  <c r="I16" i="7"/>
  <c r="H16" i="7"/>
  <c r="G16" i="7"/>
  <c r="F16" i="7"/>
  <c r="E16" i="7"/>
  <c r="D16" i="7"/>
  <c r="C16" i="7"/>
  <c r="B16" i="7"/>
  <c r="A16" i="7"/>
  <c r="K15" i="7"/>
  <c r="J15" i="7"/>
  <c r="I15" i="7"/>
  <c r="H15" i="7"/>
  <c r="G15" i="7"/>
  <c r="F15" i="7"/>
  <c r="E15" i="7"/>
  <c r="D15" i="7"/>
  <c r="C15" i="7"/>
  <c r="B15" i="7"/>
  <c r="A15" i="7"/>
  <c r="K14" i="7"/>
  <c r="J14" i="7"/>
  <c r="I14" i="7"/>
  <c r="H14" i="7"/>
  <c r="G14" i="7"/>
  <c r="F14" i="7"/>
  <c r="E14" i="7"/>
  <c r="D14" i="7"/>
  <c r="C14" i="7"/>
  <c r="B14" i="7"/>
  <c r="A14" i="7"/>
  <c r="K13" i="7"/>
  <c r="J13" i="7"/>
  <c r="I13" i="7"/>
  <c r="H13" i="7"/>
  <c r="G13" i="7"/>
  <c r="F13" i="7"/>
  <c r="E13" i="7"/>
  <c r="D13" i="7"/>
  <c r="C13" i="7"/>
  <c r="B13" i="7"/>
  <c r="A13" i="7"/>
  <c r="K12" i="7"/>
  <c r="J12" i="7"/>
  <c r="I12" i="7"/>
  <c r="H12" i="7"/>
  <c r="G12" i="7"/>
  <c r="F12" i="7"/>
  <c r="E12" i="7"/>
  <c r="D12" i="7"/>
  <c r="C12" i="7"/>
  <c r="B12" i="7"/>
  <c r="A12" i="7"/>
  <c r="K11" i="7"/>
  <c r="J11" i="7"/>
  <c r="I11" i="7"/>
  <c r="H11" i="7"/>
  <c r="G11" i="7"/>
  <c r="F11" i="7"/>
  <c r="E11" i="7"/>
  <c r="D11" i="7"/>
  <c r="B17" i="4" s="1"/>
  <c r="C11" i="7"/>
  <c r="B11" i="7"/>
  <c r="A11" i="7"/>
  <c r="K10" i="7"/>
  <c r="J10" i="7"/>
  <c r="I10" i="7"/>
  <c r="H10" i="7"/>
  <c r="G10" i="7"/>
  <c r="F10" i="7"/>
  <c r="E10" i="7"/>
  <c r="D10" i="7"/>
  <c r="C10" i="7"/>
  <c r="B10" i="7"/>
  <c r="A10" i="7"/>
  <c r="K9" i="7"/>
  <c r="J9" i="7"/>
  <c r="I9" i="7"/>
  <c r="H9" i="7"/>
  <c r="G9" i="7"/>
  <c r="F9" i="7"/>
  <c r="E9" i="7"/>
  <c r="D9" i="7"/>
  <c r="C9" i="7"/>
  <c r="B9" i="7"/>
  <c r="A9" i="7"/>
  <c r="K8" i="7"/>
  <c r="J8" i="7"/>
  <c r="I8" i="7"/>
  <c r="H8" i="7"/>
  <c r="G8" i="7"/>
  <c r="F8" i="7"/>
  <c r="E8" i="7"/>
  <c r="D8" i="7"/>
  <c r="C8" i="7"/>
  <c r="B8" i="7"/>
  <c r="A8" i="7"/>
  <c r="K7" i="7"/>
  <c r="J7" i="7"/>
  <c r="I7" i="7"/>
  <c r="H7" i="7"/>
  <c r="G7" i="7"/>
  <c r="F7" i="7"/>
  <c r="E7" i="7"/>
  <c r="D7" i="7"/>
  <c r="C7" i="7"/>
  <c r="B7" i="7"/>
  <c r="A7" i="7"/>
  <c r="K6" i="7"/>
  <c r="J6" i="7"/>
  <c r="I6" i="7"/>
  <c r="H6" i="7"/>
  <c r="G6" i="7"/>
  <c r="F6" i="7"/>
  <c r="E6" i="7"/>
  <c r="D6" i="7"/>
  <c r="C6" i="7"/>
  <c r="B6" i="7"/>
  <c r="A6" i="7"/>
  <c r="K5" i="7"/>
  <c r="J5" i="7"/>
  <c r="I5" i="7"/>
  <c r="H5" i="7"/>
  <c r="G5" i="7"/>
  <c r="F5" i="7"/>
  <c r="E5" i="7"/>
  <c r="D5" i="7"/>
  <c r="C5" i="7"/>
  <c r="B5" i="7"/>
  <c r="A5" i="7"/>
  <c r="K4" i="7"/>
  <c r="J4" i="7"/>
  <c r="I4" i="7"/>
  <c r="H4" i="7"/>
  <c r="G4" i="7"/>
  <c r="F4" i="7"/>
  <c r="E4" i="7"/>
  <c r="D4" i="7"/>
  <c r="C4" i="7"/>
  <c r="B4" i="7"/>
  <c r="A4" i="7"/>
  <c r="H489" i="6"/>
  <c r="G479" i="6"/>
  <c r="H465" i="6"/>
  <c r="G456" i="6"/>
  <c r="F434" i="6"/>
  <c r="H432" i="6"/>
  <c r="G428" i="6"/>
  <c r="F426" i="6"/>
  <c r="F412" i="6"/>
  <c r="B409" i="6"/>
  <c r="E399" i="6"/>
  <c r="B394" i="6"/>
  <c r="G384" i="6"/>
  <c r="G378" i="6"/>
  <c r="B377" i="6"/>
  <c r="I363" i="6"/>
  <c r="G361" i="6"/>
  <c r="I360" i="6"/>
  <c r="J359" i="6"/>
  <c r="A356" i="6"/>
  <c r="E353" i="6"/>
  <c r="E352" i="6"/>
  <c r="E345" i="6"/>
  <c r="C344" i="6"/>
  <c r="H340" i="6"/>
  <c r="D332" i="6"/>
  <c r="G330" i="6"/>
  <c r="I328" i="6"/>
  <c r="K324" i="6"/>
  <c r="A324" i="6"/>
  <c r="D322" i="6"/>
  <c r="B321" i="6"/>
  <c r="M316" i="6"/>
  <c r="A316" i="6"/>
  <c r="I314" i="6"/>
  <c r="D314" i="6"/>
  <c r="B313" i="6"/>
  <c r="C312" i="6"/>
  <c r="D308" i="6"/>
  <c r="G306" i="6"/>
  <c r="B305" i="6"/>
  <c r="I304" i="6"/>
  <c r="D300" i="6"/>
  <c r="G298" i="6"/>
  <c r="G297" i="6"/>
  <c r="I296" i="6"/>
  <c r="G290" i="6"/>
  <c r="I288" i="6"/>
  <c r="C288" i="6"/>
  <c r="E280" i="6"/>
  <c r="A278" i="6"/>
  <c r="B273" i="6"/>
  <c r="E270" i="6"/>
  <c r="A268" i="6"/>
  <c r="D266" i="6"/>
  <c r="G265" i="6"/>
  <c r="H262" i="6"/>
  <c r="A260" i="6"/>
  <c r="G258" i="6"/>
  <c r="G257" i="6"/>
  <c r="B257" i="6"/>
  <c r="C256" i="6"/>
  <c r="H254" i="6"/>
  <c r="A252" i="6"/>
  <c r="B249" i="6"/>
  <c r="E248" i="6"/>
  <c r="I246" i="6"/>
  <c r="D244" i="6"/>
  <c r="H243" i="6"/>
  <c r="F242" i="6"/>
  <c r="D241" i="6"/>
  <c r="D240" i="6"/>
  <c r="B240" i="6"/>
  <c r="D236" i="6"/>
  <c r="F234" i="6"/>
  <c r="J233" i="6"/>
  <c r="J232" i="6"/>
  <c r="B232" i="6"/>
  <c r="B228" i="6"/>
  <c r="B227" i="6"/>
  <c r="H226" i="6"/>
  <c r="F226" i="6"/>
  <c r="J225" i="6"/>
  <c r="D225" i="6"/>
  <c r="B224" i="6"/>
  <c r="D222" i="6"/>
  <c r="J220" i="6"/>
  <c r="H220" i="6"/>
  <c r="B219" i="6"/>
  <c r="F218" i="6"/>
  <c r="F217" i="6"/>
  <c r="H216" i="6"/>
  <c r="J212" i="6"/>
  <c r="J209" i="6"/>
  <c r="D209" i="6"/>
  <c r="H208" i="6"/>
  <c r="D208" i="6"/>
  <c r="J204" i="6"/>
  <c r="D202" i="6"/>
  <c r="D201" i="6"/>
  <c r="H200" i="6"/>
  <c r="D196" i="6"/>
  <c r="B196" i="6"/>
  <c r="H195" i="6"/>
  <c r="H194" i="6"/>
  <c r="J193" i="6"/>
  <c r="B193" i="6"/>
  <c r="H192" i="6"/>
  <c r="B192" i="6"/>
  <c r="H190" i="6"/>
  <c r="J188" i="6"/>
  <c r="D188" i="6"/>
  <c r="H187" i="6"/>
  <c r="F186" i="6"/>
  <c r="J185" i="6"/>
  <c r="D185" i="6"/>
  <c r="B184" i="6"/>
  <c r="D180" i="6"/>
  <c r="F178" i="6"/>
  <c r="J177" i="6"/>
  <c r="H176" i="6"/>
  <c r="B176" i="6"/>
  <c r="B172" i="6"/>
  <c r="H171" i="6"/>
  <c r="F170" i="6"/>
  <c r="C170" i="6"/>
  <c r="I169" i="6"/>
  <c r="G169" i="6"/>
  <c r="D169" i="6"/>
  <c r="B169" i="6"/>
  <c r="I168" i="6"/>
  <c r="H168" i="6"/>
  <c r="D168" i="6"/>
  <c r="B168" i="6"/>
  <c r="B166" i="6"/>
  <c r="I164" i="6"/>
  <c r="H164" i="6"/>
  <c r="D164" i="6"/>
  <c r="A164" i="6"/>
  <c r="L164" i="6" s="1"/>
  <c r="F163" i="6"/>
  <c r="B163" i="6"/>
  <c r="J162" i="6"/>
  <c r="F162" i="6"/>
  <c r="D162" i="6"/>
  <c r="B162" i="6"/>
  <c r="H161" i="6"/>
  <c r="D161" i="6"/>
  <c r="C161" i="6"/>
  <c r="I160" i="6"/>
  <c r="F160" i="6"/>
  <c r="D160" i="6"/>
  <c r="A160" i="6"/>
  <c r="L160" i="6" s="1"/>
  <c r="J156" i="6"/>
  <c r="F156" i="6"/>
  <c r="D156" i="6"/>
  <c r="A156" i="6"/>
  <c r="B155" i="6"/>
  <c r="H154" i="6"/>
  <c r="F154" i="6"/>
  <c r="D154" i="6"/>
  <c r="J153" i="6"/>
  <c r="H153" i="6"/>
  <c r="D153" i="6"/>
  <c r="B153" i="6"/>
  <c r="J152" i="6"/>
  <c r="I152" i="6"/>
  <c r="F152" i="6"/>
  <c r="B152" i="6"/>
  <c r="A152" i="6"/>
  <c r="L152" i="6" s="1"/>
  <c r="G151" i="6"/>
  <c r="H150" i="6"/>
  <c r="J148" i="6"/>
  <c r="H148" i="6"/>
  <c r="B148" i="6"/>
  <c r="A148" i="6"/>
  <c r="L148" i="6" s="1"/>
  <c r="H147" i="6"/>
  <c r="J146" i="6"/>
  <c r="H146" i="6"/>
  <c r="E146" i="6"/>
  <c r="D146" i="6"/>
  <c r="J145" i="6"/>
  <c r="F145" i="6"/>
  <c r="D145" i="6"/>
  <c r="B145" i="6"/>
  <c r="J144" i="6"/>
  <c r="H144" i="6"/>
  <c r="F144" i="6"/>
  <c r="B144" i="6"/>
  <c r="D143" i="6"/>
  <c r="E142" i="6"/>
  <c r="B142" i="6"/>
  <c r="J140" i="6"/>
  <c r="H140" i="6"/>
  <c r="D140" i="6"/>
  <c r="H139" i="6"/>
  <c r="F139" i="6"/>
  <c r="J138" i="6"/>
  <c r="F138" i="6"/>
  <c r="E138" i="6"/>
  <c r="B138" i="6"/>
  <c r="H137" i="6"/>
  <c r="F137" i="6"/>
  <c r="C137" i="6"/>
  <c r="B137" i="6"/>
  <c r="I136" i="6"/>
  <c r="H136" i="6"/>
  <c r="D136" i="6"/>
  <c r="B136" i="6"/>
  <c r="B134" i="6"/>
  <c r="I132" i="6"/>
  <c r="H132" i="6"/>
  <c r="D132" i="6"/>
  <c r="A132" i="6"/>
  <c r="L132" i="6" s="1"/>
  <c r="F131" i="6"/>
  <c r="B131" i="6"/>
  <c r="J130" i="6"/>
  <c r="F130" i="6"/>
  <c r="D130" i="6"/>
  <c r="B130" i="6"/>
  <c r="H129" i="6"/>
  <c r="D129" i="6"/>
  <c r="C129" i="6"/>
  <c r="I128" i="6"/>
  <c r="F128" i="6"/>
  <c r="D128" i="6"/>
  <c r="A128" i="6"/>
  <c r="L128" i="6" s="1"/>
  <c r="J127" i="6"/>
  <c r="H126" i="6"/>
  <c r="J124" i="6"/>
  <c r="F124" i="6"/>
  <c r="D124" i="6"/>
  <c r="A124" i="6"/>
  <c r="B123" i="6"/>
  <c r="H122" i="6"/>
  <c r="F122" i="6"/>
  <c r="D122" i="6"/>
  <c r="J121" i="6"/>
  <c r="H121" i="6"/>
  <c r="D121" i="6"/>
  <c r="B121" i="6"/>
  <c r="J120" i="6"/>
  <c r="I120" i="6"/>
  <c r="F120" i="6"/>
  <c r="B120" i="6"/>
  <c r="A120" i="6"/>
  <c r="L120" i="6" s="1"/>
  <c r="G119" i="6"/>
  <c r="H118" i="6"/>
  <c r="E118" i="6"/>
  <c r="J116" i="6"/>
  <c r="H116" i="6"/>
  <c r="B116" i="6"/>
  <c r="A116" i="6"/>
  <c r="L116" i="6" s="1"/>
  <c r="H115" i="6"/>
  <c r="J114" i="6"/>
  <c r="H114" i="6"/>
  <c r="E114" i="6"/>
  <c r="D114" i="6"/>
  <c r="J113" i="6"/>
  <c r="F113" i="6"/>
  <c r="D113" i="6"/>
  <c r="B113" i="6"/>
  <c r="J112" i="6"/>
  <c r="H112" i="6"/>
  <c r="F112" i="6"/>
  <c r="B112" i="6"/>
  <c r="D111" i="6"/>
  <c r="E110" i="6"/>
  <c r="B110" i="6"/>
  <c r="J108" i="6"/>
  <c r="H108" i="6"/>
  <c r="D108" i="6"/>
  <c r="H107" i="6"/>
  <c r="F107" i="6"/>
  <c r="J106" i="6"/>
  <c r="F106" i="6"/>
  <c r="E106" i="6"/>
  <c r="B106" i="6"/>
  <c r="H105" i="6"/>
  <c r="F105" i="6"/>
  <c r="C105" i="6"/>
  <c r="B105" i="6"/>
  <c r="I104" i="6"/>
  <c r="H104" i="6"/>
  <c r="D104" i="6"/>
  <c r="B104" i="6"/>
  <c r="B102" i="6"/>
  <c r="I100" i="6"/>
  <c r="H100" i="6"/>
  <c r="D100" i="6"/>
  <c r="A100" i="6"/>
  <c r="L100" i="6" s="1"/>
  <c r="F99" i="6"/>
  <c r="B99" i="6"/>
  <c r="J98" i="6"/>
  <c r="F98" i="6"/>
  <c r="D98" i="6"/>
  <c r="B98" i="6"/>
  <c r="H97" i="6"/>
  <c r="D97" i="6"/>
  <c r="C97" i="6"/>
  <c r="I96" i="6"/>
  <c r="F96" i="6"/>
  <c r="D96" i="6"/>
  <c r="A96" i="6"/>
  <c r="L96" i="6" s="1"/>
  <c r="J95" i="6"/>
  <c r="H94" i="6"/>
  <c r="J92" i="6"/>
  <c r="F92" i="6"/>
  <c r="D92" i="6"/>
  <c r="A92" i="6"/>
  <c r="B91" i="6"/>
  <c r="H90" i="6"/>
  <c r="F90" i="6"/>
  <c r="D90" i="6"/>
  <c r="J89" i="6"/>
  <c r="H89" i="6"/>
  <c r="D89" i="6"/>
  <c r="B89" i="6"/>
  <c r="J88" i="6"/>
  <c r="I88" i="6"/>
  <c r="F88" i="6"/>
  <c r="B88" i="6"/>
  <c r="A88" i="6"/>
  <c r="L88" i="6" s="1"/>
  <c r="G87" i="6"/>
  <c r="H86" i="6"/>
  <c r="E86" i="6"/>
  <c r="J84" i="6"/>
  <c r="H84" i="6"/>
  <c r="B84" i="6"/>
  <c r="A84" i="6"/>
  <c r="L84" i="6" s="1"/>
  <c r="H83" i="6"/>
  <c r="J82" i="6"/>
  <c r="H82" i="6"/>
  <c r="E82" i="6"/>
  <c r="D82" i="6"/>
  <c r="J81" i="6"/>
  <c r="F81" i="6"/>
  <c r="D81" i="6"/>
  <c r="B81" i="6"/>
  <c r="J80" i="6"/>
  <c r="H80" i="6"/>
  <c r="F80" i="6"/>
  <c r="B80" i="6"/>
  <c r="D79" i="6"/>
  <c r="E78" i="6"/>
  <c r="B78" i="6"/>
  <c r="J76" i="6"/>
  <c r="H76" i="6"/>
  <c r="D76" i="6"/>
  <c r="H75" i="6"/>
  <c r="F75" i="6"/>
  <c r="J74" i="6"/>
  <c r="F74" i="6"/>
  <c r="E74" i="6"/>
  <c r="B74" i="6"/>
  <c r="H73" i="6"/>
  <c r="F73" i="6"/>
  <c r="D73" i="6"/>
  <c r="C73" i="6"/>
  <c r="N72" i="6"/>
  <c r="J72" i="6"/>
  <c r="H72" i="6"/>
  <c r="F72" i="6"/>
  <c r="C72" i="6"/>
  <c r="A72" i="6"/>
  <c r="M72" i="6" s="1"/>
  <c r="G71" i="6"/>
  <c r="J70" i="6"/>
  <c r="G70" i="6"/>
  <c r="J68" i="6"/>
  <c r="I68" i="6"/>
  <c r="F68" i="6"/>
  <c r="C68" i="6"/>
  <c r="I67" i="6"/>
  <c r="G67" i="6"/>
  <c r="J66" i="6"/>
  <c r="H66" i="6"/>
  <c r="F66" i="6"/>
  <c r="E66" i="6"/>
  <c r="B66" i="6"/>
  <c r="J65" i="6"/>
  <c r="H65" i="6"/>
  <c r="E65" i="6"/>
  <c r="C65" i="6"/>
  <c r="B65" i="6"/>
  <c r="L64" i="6"/>
  <c r="I64" i="6"/>
  <c r="F64" i="6"/>
  <c r="D64" i="6"/>
  <c r="B64" i="6"/>
  <c r="A64" i="6"/>
  <c r="M64" i="6" s="1"/>
  <c r="A63" i="6"/>
  <c r="E62" i="6"/>
  <c r="B62" i="6"/>
  <c r="I60" i="6"/>
  <c r="D60" i="6"/>
  <c r="C60" i="6"/>
  <c r="A60" i="6"/>
  <c r="M60" i="6" s="1"/>
  <c r="H59" i="6"/>
  <c r="D59" i="6"/>
  <c r="A59" i="6"/>
  <c r="J58" i="6"/>
  <c r="G58" i="6"/>
  <c r="E58" i="6"/>
  <c r="D58" i="6"/>
  <c r="H57" i="6"/>
  <c r="F57" i="6"/>
  <c r="D57" i="6"/>
  <c r="C57" i="6"/>
  <c r="N56" i="6"/>
  <c r="J56" i="6"/>
  <c r="H56" i="6"/>
  <c r="F56" i="6"/>
  <c r="C56" i="6"/>
  <c r="A56" i="6"/>
  <c r="M56" i="6" s="1"/>
  <c r="G55" i="6"/>
  <c r="J54" i="6"/>
  <c r="G54" i="6"/>
  <c r="J52" i="6"/>
  <c r="I52" i="6"/>
  <c r="F52" i="6"/>
  <c r="C52" i="6"/>
  <c r="I51" i="6"/>
  <c r="G51" i="6"/>
  <c r="B51" i="6"/>
  <c r="J50" i="6"/>
  <c r="H50" i="6"/>
  <c r="F50" i="6"/>
  <c r="E50" i="6"/>
  <c r="B50" i="6"/>
  <c r="J49" i="6"/>
  <c r="H49" i="6"/>
  <c r="E49" i="6"/>
  <c r="C49" i="6"/>
  <c r="B49" i="6"/>
  <c r="L48" i="6"/>
  <c r="I48" i="6"/>
  <c r="F48" i="6"/>
  <c r="D48" i="6"/>
  <c r="B48" i="6"/>
  <c r="A48" i="6"/>
  <c r="M48" i="6" s="1"/>
  <c r="A47" i="6"/>
  <c r="E46" i="6"/>
  <c r="B46" i="6"/>
  <c r="I44" i="6"/>
  <c r="D44" i="6"/>
  <c r="C44" i="6"/>
  <c r="A44" i="6"/>
  <c r="M44" i="6" s="1"/>
  <c r="H43" i="6"/>
  <c r="D43" i="6"/>
  <c r="A43" i="6"/>
  <c r="J42" i="6"/>
  <c r="G42" i="6"/>
  <c r="E42" i="6"/>
  <c r="D42" i="6"/>
  <c r="H41" i="6"/>
  <c r="F41" i="6"/>
  <c r="D41" i="6"/>
  <c r="C41" i="6"/>
  <c r="N40" i="6"/>
  <c r="J40" i="6"/>
  <c r="H40" i="6"/>
  <c r="F40" i="6"/>
  <c r="C40" i="6"/>
  <c r="A40" i="6"/>
  <c r="M40" i="6" s="1"/>
  <c r="G39" i="6"/>
  <c r="J38" i="6"/>
  <c r="D38" i="6"/>
  <c r="B38" i="6"/>
  <c r="J36" i="6"/>
  <c r="H36" i="6"/>
  <c r="F36" i="6"/>
  <c r="C36" i="6"/>
  <c r="B36" i="6"/>
  <c r="N35" i="6"/>
  <c r="L35" i="6"/>
  <c r="I35" i="6"/>
  <c r="F35" i="6"/>
  <c r="D35" i="6"/>
  <c r="A35" i="6"/>
  <c r="M35" i="6" s="1"/>
  <c r="N34" i="6"/>
  <c r="L34" i="6"/>
  <c r="J34" i="6"/>
  <c r="I34" i="6"/>
  <c r="G34" i="6"/>
  <c r="F34" i="6"/>
  <c r="D34" i="6"/>
  <c r="B34" i="6"/>
  <c r="A34" i="6"/>
  <c r="K34" i="6" s="1"/>
  <c r="J33" i="6"/>
  <c r="H33" i="6"/>
  <c r="G33" i="6"/>
  <c r="E33" i="6"/>
  <c r="D33" i="6"/>
  <c r="B33" i="6"/>
  <c r="J32" i="6"/>
  <c r="H32" i="6"/>
  <c r="F32" i="6"/>
  <c r="E32" i="6"/>
  <c r="C32" i="6"/>
  <c r="B32" i="6"/>
  <c r="F31" i="6"/>
  <c r="J30" i="6"/>
  <c r="D30" i="6"/>
  <c r="B30" i="6"/>
  <c r="J28" i="6"/>
  <c r="H28" i="6"/>
  <c r="F28" i="6"/>
  <c r="C28" i="6"/>
  <c r="B28" i="6"/>
  <c r="N27" i="6"/>
  <c r="L27" i="6"/>
  <c r="I27" i="6"/>
  <c r="F27" i="6"/>
  <c r="D27" i="6"/>
  <c r="A27" i="6"/>
  <c r="M27" i="6" s="1"/>
  <c r="N26" i="6"/>
  <c r="L26" i="6"/>
  <c r="J26" i="6"/>
  <c r="I26" i="6"/>
  <c r="G26" i="6"/>
  <c r="F26" i="6"/>
  <c r="D26" i="6"/>
  <c r="B26" i="6"/>
  <c r="A26" i="6"/>
  <c r="K26" i="6" s="1"/>
  <c r="J25" i="6"/>
  <c r="H25" i="6"/>
  <c r="G25" i="6"/>
  <c r="E25" i="6"/>
  <c r="D25" i="6"/>
  <c r="B25" i="6"/>
  <c r="J24" i="6"/>
  <c r="H24" i="6"/>
  <c r="F24" i="6"/>
  <c r="E24" i="6"/>
  <c r="C24" i="6"/>
  <c r="B24" i="6"/>
  <c r="F23" i="6"/>
  <c r="J22" i="6"/>
  <c r="D22" i="6"/>
  <c r="B22" i="6"/>
  <c r="J20" i="6"/>
  <c r="H20" i="6"/>
  <c r="F20" i="6"/>
  <c r="C20" i="6"/>
  <c r="B20" i="6"/>
  <c r="N19" i="6"/>
  <c r="L19" i="6"/>
  <c r="I19" i="6"/>
  <c r="F19" i="6"/>
  <c r="D19" i="6"/>
  <c r="A19" i="6"/>
  <c r="M19" i="6" s="1"/>
  <c r="N18" i="6"/>
  <c r="L18" i="6"/>
  <c r="J18" i="6"/>
  <c r="I18" i="6"/>
  <c r="G18" i="6"/>
  <c r="F18" i="6"/>
  <c r="D18" i="6"/>
  <c r="B18" i="6"/>
  <c r="A18" i="6"/>
  <c r="K18" i="6" s="1"/>
  <c r="J17" i="6"/>
  <c r="H17" i="6"/>
  <c r="G17" i="6"/>
  <c r="E17" i="6"/>
  <c r="D17" i="6"/>
  <c r="B17" i="6"/>
  <c r="J16" i="6"/>
  <c r="H16" i="6"/>
  <c r="F16" i="6"/>
  <c r="E16" i="6"/>
  <c r="C16" i="6"/>
  <c r="B16" i="6"/>
  <c r="F15" i="6"/>
  <c r="J14" i="6"/>
  <c r="D14" i="6"/>
  <c r="B14" i="6"/>
  <c r="J12" i="6"/>
  <c r="H12" i="6"/>
  <c r="F12" i="6"/>
  <c r="C12" i="6"/>
  <c r="B12" i="6"/>
  <c r="N11" i="6"/>
  <c r="L11" i="6"/>
  <c r="I11" i="6"/>
  <c r="F11" i="6"/>
  <c r="D11" i="6"/>
  <c r="A11" i="6"/>
  <c r="M11" i="6" s="1"/>
  <c r="N10" i="6"/>
  <c r="L10" i="6"/>
  <c r="J10" i="6"/>
  <c r="I10" i="6"/>
  <c r="G10" i="6"/>
  <c r="F10" i="6"/>
  <c r="D10" i="6"/>
  <c r="B10" i="6"/>
  <c r="A10" i="6"/>
  <c r="K10" i="6" s="1"/>
  <c r="M9" i="6"/>
  <c r="L9" i="6"/>
  <c r="J9" i="6"/>
  <c r="I9" i="6"/>
  <c r="H9" i="6"/>
  <c r="G9" i="6"/>
  <c r="E9" i="6"/>
  <c r="D9" i="6"/>
  <c r="B9" i="6"/>
  <c r="A9" i="6"/>
  <c r="N9" i="6" s="1"/>
  <c r="J8" i="6"/>
  <c r="H8" i="6"/>
  <c r="G8" i="6"/>
  <c r="F8" i="6"/>
  <c r="E8" i="6"/>
  <c r="C8" i="6"/>
  <c r="B8" i="6"/>
  <c r="F7" i="6"/>
  <c r="J6" i="6"/>
  <c r="D6" i="6"/>
  <c r="B6" i="6"/>
  <c r="J4" i="6"/>
  <c r="H4" i="6"/>
  <c r="F4" i="6"/>
  <c r="C4" i="6"/>
  <c r="B4" i="6"/>
  <c r="J504" i="5"/>
  <c r="I504" i="5"/>
  <c r="A504" i="5"/>
  <c r="J503" i="5"/>
  <c r="I503" i="5"/>
  <c r="A503" i="5"/>
  <c r="J502" i="5"/>
  <c r="I502" i="5"/>
  <c r="A502" i="5"/>
  <c r="J501" i="5"/>
  <c r="I501" i="5"/>
  <c r="A501" i="5"/>
  <c r="J500" i="5"/>
  <c r="I500" i="5"/>
  <c r="A500" i="5"/>
  <c r="J499" i="5"/>
  <c r="I499" i="5"/>
  <c r="A499" i="5"/>
  <c r="J498" i="5"/>
  <c r="I498" i="5"/>
  <c r="A498" i="5"/>
  <c r="J497" i="5"/>
  <c r="I497" i="5"/>
  <c r="A497" i="5"/>
  <c r="J496" i="5"/>
  <c r="I496" i="5"/>
  <c r="A496" i="5"/>
  <c r="J495" i="5"/>
  <c r="I495" i="5"/>
  <c r="A495" i="5"/>
  <c r="J494" i="5"/>
  <c r="I494" i="5"/>
  <c r="A494" i="5"/>
  <c r="J493" i="5"/>
  <c r="I493" i="5"/>
  <c r="A493" i="5"/>
  <c r="J492" i="5"/>
  <c r="I492" i="5"/>
  <c r="A492" i="5"/>
  <c r="J491" i="5"/>
  <c r="I491" i="5"/>
  <c r="A491" i="5"/>
  <c r="J490" i="5"/>
  <c r="I490" i="5"/>
  <c r="A490" i="5"/>
  <c r="J489" i="5"/>
  <c r="I489" i="5"/>
  <c r="A489" i="5"/>
  <c r="J488" i="5"/>
  <c r="I488" i="5"/>
  <c r="A488" i="5"/>
  <c r="J487" i="5"/>
  <c r="I487" i="5"/>
  <c r="A487" i="5"/>
  <c r="J486" i="5"/>
  <c r="I486" i="5"/>
  <c r="A486" i="5"/>
  <c r="J485" i="5"/>
  <c r="I485" i="5"/>
  <c r="A485" i="5"/>
  <c r="J484" i="5"/>
  <c r="I484" i="5"/>
  <c r="A484" i="5"/>
  <c r="J483" i="5"/>
  <c r="I483" i="5"/>
  <c r="A483" i="5"/>
  <c r="J482" i="5"/>
  <c r="I482" i="5"/>
  <c r="A482" i="5"/>
  <c r="J481" i="5"/>
  <c r="I481" i="5"/>
  <c r="A481" i="5"/>
  <c r="J480" i="5"/>
  <c r="I480" i="5"/>
  <c r="A480" i="5"/>
  <c r="J479" i="5"/>
  <c r="I479" i="5"/>
  <c r="A479" i="5"/>
  <c r="J478" i="5"/>
  <c r="I478" i="5"/>
  <c r="A478" i="5"/>
  <c r="J477" i="5"/>
  <c r="I477" i="5"/>
  <c r="A477" i="5"/>
  <c r="J476" i="5"/>
  <c r="I476" i="5"/>
  <c r="A476" i="5"/>
  <c r="J475" i="5"/>
  <c r="I475" i="5"/>
  <c r="A475" i="5"/>
  <c r="J474" i="5"/>
  <c r="I474" i="5"/>
  <c r="A474" i="5"/>
  <c r="J473" i="5"/>
  <c r="I473" i="5"/>
  <c r="A473" i="5"/>
  <c r="J472" i="5"/>
  <c r="I472" i="5"/>
  <c r="A472" i="5"/>
  <c r="D471" i="6" s="1"/>
  <c r="J471" i="5"/>
  <c r="I471" i="5"/>
  <c r="A471" i="5"/>
  <c r="J470" i="5"/>
  <c r="I470" i="5"/>
  <c r="A470" i="5"/>
  <c r="J469" i="5"/>
  <c r="I469" i="5"/>
  <c r="A469" i="5"/>
  <c r="J468" i="5"/>
  <c r="I468" i="5"/>
  <c r="A468" i="5"/>
  <c r="J467" i="5"/>
  <c r="I467" i="5"/>
  <c r="A467" i="5"/>
  <c r="D466" i="6" s="1"/>
  <c r="J466" i="5"/>
  <c r="I466" i="5"/>
  <c r="A466" i="5"/>
  <c r="J465" i="5"/>
  <c r="I465" i="5"/>
  <c r="A465" i="5"/>
  <c r="J464" i="5"/>
  <c r="I464" i="5"/>
  <c r="A464" i="5"/>
  <c r="J463" i="5"/>
  <c r="I463" i="5"/>
  <c r="A463" i="5"/>
  <c r="J462" i="5"/>
  <c r="I462" i="5"/>
  <c r="A462" i="5"/>
  <c r="J461" i="5"/>
  <c r="I461" i="5"/>
  <c r="A461" i="5"/>
  <c r="G460" i="6" s="1"/>
  <c r="J460" i="5"/>
  <c r="I460" i="5"/>
  <c r="A460" i="5"/>
  <c r="J459" i="5"/>
  <c r="I459" i="5"/>
  <c r="A459" i="5"/>
  <c r="J458" i="5"/>
  <c r="I458" i="5"/>
  <c r="A458" i="5"/>
  <c r="J457" i="5"/>
  <c r="I457" i="5"/>
  <c r="A457" i="5"/>
  <c r="J456" i="5"/>
  <c r="I456" i="5"/>
  <c r="A456" i="5"/>
  <c r="J455" i="5"/>
  <c r="I455" i="5"/>
  <c r="A455" i="5"/>
  <c r="J454" i="5"/>
  <c r="I454" i="5"/>
  <c r="A454" i="5"/>
  <c r="J453" i="5"/>
  <c r="I453" i="5"/>
  <c r="A453" i="5"/>
  <c r="J452" i="5"/>
  <c r="I452" i="5"/>
  <c r="A452" i="5"/>
  <c r="J451" i="5"/>
  <c r="I451" i="5"/>
  <c r="A451" i="5"/>
  <c r="J450" i="5"/>
  <c r="I450" i="5"/>
  <c r="A450" i="5"/>
  <c r="J449" i="5"/>
  <c r="I449" i="5"/>
  <c r="A449" i="5"/>
  <c r="J448" i="5"/>
  <c r="I448" i="5"/>
  <c r="A448" i="5"/>
  <c r="J447" i="5"/>
  <c r="I447" i="5"/>
  <c r="A447" i="5"/>
  <c r="J446" i="5"/>
  <c r="I446" i="5"/>
  <c r="A446" i="5"/>
  <c r="J445" i="5"/>
  <c r="I445" i="5"/>
  <c r="A445" i="5"/>
  <c r="J444" i="5"/>
  <c r="I444" i="5"/>
  <c r="A444" i="5"/>
  <c r="J443" i="5"/>
  <c r="I443" i="5"/>
  <c r="A443" i="5"/>
  <c r="J442" i="5"/>
  <c r="I442" i="5"/>
  <c r="A442" i="5"/>
  <c r="A441" i="6" s="1"/>
  <c r="J441" i="5"/>
  <c r="I441" i="5"/>
  <c r="A441" i="5"/>
  <c r="J440" i="5"/>
  <c r="I440" i="5"/>
  <c r="A440" i="5"/>
  <c r="J439" i="5"/>
  <c r="I439" i="5"/>
  <c r="A439" i="5"/>
  <c r="J438" i="5"/>
  <c r="I438" i="5"/>
  <c r="A438" i="5"/>
  <c r="J437" i="5"/>
  <c r="I437" i="5"/>
  <c r="A437" i="5"/>
  <c r="J436" i="5"/>
  <c r="I436" i="5"/>
  <c r="A436" i="5"/>
  <c r="J435" i="5"/>
  <c r="I435" i="5"/>
  <c r="A435" i="5"/>
  <c r="J434" i="5"/>
  <c r="I434" i="5"/>
  <c r="A434" i="5"/>
  <c r="J433" i="5"/>
  <c r="I433" i="5"/>
  <c r="A433" i="5"/>
  <c r="J432" i="5"/>
  <c r="I432" i="5"/>
  <c r="A432" i="5"/>
  <c r="J431" i="5"/>
  <c r="I431" i="5"/>
  <c r="A431" i="5"/>
  <c r="J430" i="5"/>
  <c r="I430" i="5"/>
  <c r="A430" i="5"/>
  <c r="J429" i="5"/>
  <c r="I429" i="5"/>
  <c r="A429" i="5"/>
  <c r="J428" i="5"/>
  <c r="I428" i="5"/>
  <c r="A428" i="5"/>
  <c r="J427" i="5"/>
  <c r="I427" i="5"/>
  <c r="A427" i="5"/>
  <c r="J426" i="5"/>
  <c r="I426" i="5"/>
  <c r="A426" i="5"/>
  <c r="J425" i="5"/>
  <c r="I425" i="5"/>
  <c r="A425" i="5"/>
  <c r="J424" i="5"/>
  <c r="I424" i="5"/>
  <c r="A424" i="5"/>
  <c r="J423" i="5"/>
  <c r="I423" i="5"/>
  <c r="A423" i="5"/>
  <c r="J422" i="5"/>
  <c r="I422" i="5"/>
  <c r="A422" i="5"/>
  <c r="J421" i="5"/>
  <c r="I421" i="5"/>
  <c r="A421" i="5"/>
  <c r="J420" i="5"/>
  <c r="I420" i="5"/>
  <c r="A420" i="5"/>
  <c r="J419" i="5"/>
  <c r="I419" i="5"/>
  <c r="A419" i="5"/>
  <c r="J418" i="5"/>
  <c r="I418" i="5"/>
  <c r="A418" i="5"/>
  <c r="J417" i="5"/>
  <c r="I417" i="5"/>
  <c r="A417" i="5"/>
  <c r="J416" i="5"/>
  <c r="I416" i="5"/>
  <c r="A416" i="5"/>
  <c r="J415" i="5"/>
  <c r="I415" i="5"/>
  <c r="A415" i="5"/>
  <c r="J414" i="5"/>
  <c r="I414" i="5"/>
  <c r="A414" i="5"/>
  <c r="J413" i="5"/>
  <c r="I413" i="5"/>
  <c r="A413" i="5"/>
  <c r="J412" i="5"/>
  <c r="I412" i="5"/>
  <c r="A412" i="5"/>
  <c r="D411" i="6" s="1"/>
  <c r="J411" i="5"/>
  <c r="I411" i="5"/>
  <c r="A411" i="5"/>
  <c r="J410" i="5"/>
  <c r="I410" i="5"/>
  <c r="A410" i="5"/>
  <c r="J409" i="5"/>
  <c r="I409" i="5"/>
  <c r="A409" i="5"/>
  <c r="J408" i="5"/>
  <c r="I408" i="5"/>
  <c r="A408" i="5"/>
  <c r="J407" i="5"/>
  <c r="I407" i="5"/>
  <c r="A407" i="5"/>
  <c r="J406" i="5"/>
  <c r="I406" i="5"/>
  <c r="A406" i="5"/>
  <c r="J405" i="5"/>
  <c r="I405" i="5"/>
  <c r="A405" i="5"/>
  <c r="E404" i="6" s="1"/>
  <c r="J404" i="5"/>
  <c r="I404" i="5"/>
  <c r="A404" i="5"/>
  <c r="J403" i="5"/>
  <c r="I403" i="5"/>
  <c r="A403" i="5"/>
  <c r="J402" i="5"/>
  <c r="I402" i="5"/>
  <c r="A402" i="5"/>
  <c r="H401" i="6" s="1"/>
  <c r="J401" i="5"/>
  <c r="I401" i="5"/>
  <c r="A401" i="5"/>
  <c r="J400" i="5"/>
  <c r="I400" i="5"/>
  <c r="A400" i="5"/>
  <c r="J399" i="5"/>
  <c r="I399" i="5"/>
  <c r="A399" i="5"/>
  <c r="J398" i="5"/>
  <c r="I398" i="5"/>
  <c r="A398" i="5"/>
  <c r="J397" i="5"/>
  <c r="I397" i="5"/>
  <c r="A397" i="5"/>
  <c r="J396" i="5"/>
  <c r="I396" i="5"/>
  <c r="A396" i="5"/>
  <c r="J395" i="5"/>
  <c r="I395" i="5"/>
  <c r="A395" i="5"/>
  <c r="H394" i="6" s="1"/>
  <c r="J394" i="5"/>
  <c r="I394" i="5"/>
  <c r="A394" i="5"/>
  <c r="J393" i="5"/>
  <c r="I393" i="5"/>
  <c r="A393" i="5"/>
  <c r="J392" i="5"/>
  <c r="I392" i="5"/>
  <c r="A392" i="5"/>
  <c r="J391" i="5"/>
  <c r="I391" i="5"/>
  <c r="A391" i="5"/>
  <c r="J390" i="5"/>
  <c r="I390" i="5"/>
  <c r="A390" i="5"/>
  <c r="J389" i="5"/>
  <c r="I389" i="5"/>
  <c r="A389" i="5"/>
  <c r="J388" i="5"/>
  <c r="I388" i="5"/>
  <c r="A388" i="5"/>
  <c r="J387" i="5"/>
  <c r="I387" i="5"/>
  <c r="A387" i="5"/>
  <c r="J386" i="5"/>
  <c r="I386" i="5"/>
  <c r="A386" i="5"/>
  <c r="J385" i="5"/>
  <c r="I385" i="5"/>
  <c r="A385" i="5"/>
  <c r="J384" i="5"/>
  <c r="I384" i="5"/>
  <c r="A384" i="5"/>
  <c r="D383" i="6" s="1"/>
  <c r="J383" i="5"/>
  <c r="I383" i="5"/>
  <c r="A383" i="5"/>
  <c r="J382" i="5"/>
  <c r="I382" i="5"/>
  <c r="A382" i="5"/>
  <c r="J381" i="5"/>
  <c r="I381" i="5"/>
  <c r="A381" i="5"/>
  <c r="J380" i="5"/>
  <c r="I380" i="5"/>
  <c r="A380" i="5"/>
  <c r="J379" i="5"/>
  <c r="I379" i="5"/>
  <c r="A379" i="5"/>
  <c r="J378" i="5"/>
  <c r="I378" i="5"/>
  <c r="A378" i="5"/>
  <c r="J377" i="5"/>
  <c r="I377" i="5"/>
  <c r="A377" i="5"/>
  <c r="J376" i="5"/>
  <c r="I376" i="5"/>
  <c r="A376" i="5"/>
  <c r="A375" i="6" s="1"/>
  <c r="J375" i="5"/>
  <c r="I375" i="5"/>
  <c r="A375" i="5"/>
  <c r="J374" i="5"/>
  <c r="I374" i="5"/>
  <c r="A374" i="5"/>
  <c r="J373" i="5"/>
  <c r="I373" i="5"/>
  <c r="A373" i="5"/>
  <c r="H372" i="6" s="1"/>
  <c r="J372" i="5"/>
  <c r="I372" i="5"/>
  <c r="A372" i="5"/>
  <c r="J371" i="5"/>
  <c r="I371" i="5"/>
  <c r="A371" i="5"/>
  <c r="J370" i="5"/>
  <c r="I370" i="5"/>
  <c r="A370" i="5"/>
  <c r="J369" i="5"/>
  <c r="I369" i="5"/>
  <c r="A369" i="5"/>
  <c r="J368" i="5"/>
  <c r="I368" i="5"/>
  <c r="A368" i="5"/>
  <c r="C367" i="6" s="1"/>
  <c r="J367" i="5"/>
  <c r="I367" i="5"/>
  <c r="A367" i="5"/>
  <c r="A366" i="6" s="1"/>
  <c r="J366" i="5"/>
  <c r="I366" i="5"/>
  <c r="A366" i="5"/>
  <c r="J365" i="5"/>
  <c r="I365" i="5"/>
  <c r="A365" i="5"/>
  <c r="J364" i="5"/>
  <c r="I364" i="5"/>
  <c r="A364" i="5"/>
  <c r="J363" i="5"/>
  <c r="I363" i="5"/>
  <c r="A363" i="5"/>
  <c r="G362" i="6" s="1"/>
  <c r="J362" i="5"/>
  <c r="I362" i="5"/>
  <c r="A362" i="5"/>
  <c r="J361" i="5"/>
  <c r="I361" i="5"/>
  <c r="A361" i="5"/>
  <c r="J360" i="5"/>
  <c r="I360" i="5"/>
  <c r="A360" i="5"/>
  <c r="J359" i="5"/>
  <c r="I359" i="5"/>
  <c r="A359" i="5"/>
  <c r="J358" i="5"/>
  <c r="I358" i="5"/>
  <c r="A358" i="5"/>
  <c r="J357" i="5"/>
  <c r="I357" i="5"/>
  <c r="A357" i="5"/>
  <c r="D356" i="6" s="1"/>
  <c r="J356" i="5"/>
  <c r="I356" i="5"/>
  <c r="A356" i="5"/>
  <c r="J355" i="5"/>
  <c r="I355" i="5"/>
  <c r="A355" i="5"/>
  <c r="D354" i="6" s="1"/>
  <c r="J354" i="5"/>
  <c r="I354" i="5"/>
  <c r="A354" i="5"/>
  <c r="J353" i="5"/>
  <c r="I353" i="5"/>
  <c r="A353" i="5"/>
  <c r="J352" i="5"/>
  <c r="I352" i="5"/>
  <c r="A352" i="5"/>
  <c r="G351" i="6" s="1"/>
  <c r="J351" i="5"/>
  <c r="I351" i="5"/>
  <c r="A351" i="5"/>
  <c r="J350" i="5"/>
  <c r="I350" i="5"/>
  <c r="A350" i="5"/>
  <c r="J349" i="5"/>
  <c r="I349" i="5"/>
  <c r="A349" i="5"/>
  <c r="J348" i="5"/>
  <c r="I348" i="5"/>
  <c r="A348" i="5"/>
  <c r="J347" i="5"/>
  <c r="I347" i="5"/>
  <c r="A347" i="5"/>
  <c r="J346" i="5"/>
  <c r="I346" i="5"/>
  <c r="A346" i="5"/>
  <c r="J345" i="5"/>
  <c r="I345" i="5"/>
  <c r="A345" i="5"/>
  <c r="J344" i="5"/>
  <c r="I344" i="5"/>
  <c r="A344" i="5"/>
  <c r="C343" i="6" s="1"/>
  <c r="J343" i="5"/>
  <c r="I343" i="5"/>
  <c r="A343" i="5"/>
  <c r="E342" i="6" s="1"/>
  <c r="J342" i="5"/>
  <c r="I342" i="5"/>
  <c r="A342" i="5"/>
  <c r="J341" i="5"/>
  <c r="I341" i="5"/>
  <c r="A341" i="5"/>
  <c r="J340" i="5"/>
  <c r="I340" i="5"/>
  <c r="A340" i="5"/>
  <c r="J339" i="5"/>
  <c r="I339" i="5"/>
  <c r="A339" i="5"/>
  <c r="I338" i="6" s="1"/>
  <c r="J338" i="5"/>
  <c r="I338" i="5"/>
  <c r="A338" i="5"/>
  <c r="J337" i="5"/>
  <c r="I337" i="5"/>
  <c r="A337" i="5"/>
  <c r="J336" i="5"/>
  <c r="I336" i="5"/>
  <c r="A336" i="5"/>
  <c r="J335" i="5"/>
  <c r="I335" i="5"/>
  <c r="A335" i="5"/>
  <c r="J334" i="5"/>
  <c r="I334" i="5"/>
  <c r="A334" i="5"/>
  <c r="J333" i="5"/>
  <c r="I333" i="5"/>
  <c r="A333" i="5"/>
  <c r="J332" i="5"/>
  <c r="I332" i="5"/>
  <c r="A332" i="5"/>
  <c r="J331" i="5"/>
  <c r="I331" i="5"/>
  <c r="A331" i="5"/>
  <c r="I330" i="6" s="1"/>
  <c r="J330" i="5"/>
  <c r="I330" i="5"/>
  <c r="A330" i="5"/>
  <c r="J329" i="5"/>
  <c r="I329" i="5"/>
  <c r="A329" i="5"/>
  <c r="J328" i="5"/>
  <c r="I328" i="5"/>
  <c r="A328" i="5"/>
  <c r="J327" i="6" s="1"/>
  <c r="J327" i="5"/>
  <c r="I327" i="5"/>
  <c r="A327" i="5"/>
  <c r="J326" i="5"/>
  <c r="I326" i="5"/>
  <c r="A326" i="5"/>
  <c r="J325" i="5"/>
  <c r="I325" i="5"/>
  <c r="A325" i="5"/>
  <c r="J324" i="5"/>
  <c r="I324" i="5"/>
  <c r="A324" i="5"/>
  <c r="J323" i="5"/>
  <c r="I323" i="5"/>
  <c r="A323" i="5"/>
  <c r="J322" i="5"/>
  <c r="I322" i="5"/>
  <c r="A322" i="5"/>
  <c r="G321" i="6" s="1"/>
  <c r="J321" i="5"/>
  <c r="I321" i="5"/>
  <c r="A321" i="5"/>
  <c r="J320" i="5"/>
  <c r="I320" i="5"/>
  <c r="A320" i="5"/>
  <c r="G319" i="6" s="1"/>
  <c r="J319" i="5"/>
  <c r="I319" i="5"/>
  <c r="A319" i="5"/>
  <c r="J318" i="5"/>
  <c r="I318" i="5"/>
  <c r="A318" i="5"/>
  <c r="J317" i="5"/>
  <c r="I317" i="5"/>
  <c r="A317" i="5"/>
  <c r="J316" i="5"/>
  <c r="I316" i="5"/>
  <c r="A316" i="5"/>
  <c r="J315" i="5"/>
  <c r="I315" i="5"/>
  <c r="A315" i="5"/>
  <c r="J314" i="5"/>
  <c r="I314" i="5"/>
  <c r="A314" i="5"/>
  <c r="J313" i="5"/>
  <c r="I313" i="5"/>
  <c r="A313" i="5"/>
  <c r="J312" i="5"/>
  <c r="I312" i="5"/>
  <c r="A312" i="5"/>
  <c r="C311" i="6" s="1"/>
  <c r="J311" i="5"/>
  <c r="I311" i="5"/>
  <c r="A311" i="5"/>
  <c r="H310" i="6" s="1"/>
  <c r="J310" i="5"/>
  <c r="I310" i="5"/>
  <c r="A310" i="5"/>
  <c r="J309" i="5"/>
  <c r="I309" i="5"/>
  <c r="A309" i="5"/>
  <c r="J308" i="5"/>
  <c r="I308" i="5"/>
  <c r="A308" i="5"/>
  <c r="J307" i="5"/>
  <c r="I307" i="5"/>
  <c r="A307" i="5"/>
  <c r="J306" i="5"/>
  <c r="I306" i="5"/>
  <c r="A306" i="5"/>
  <c r="J305" i="5"/>
  <c r="I305" i="5"/>
  <c r="A305" i="5"/>
  <c r="J304" i="5"/>
  <c r="I304" i="5"/>
  <c r="A304" i="5"/>
  <c r="C303" i="6" s="1"/>
  <c r="J303" i="5"/>
  <c r="I303" i="5"/>
  <c r="A303" i="5"/>
  <c r="E302" i="6" s="1"/>
  <c r="J302" i="5"/>
  <c r="I302" i="5"/>
  <c r="A302" i="5"/>
  <c r="J301" i="5"/>
  <c r="I301" i="5"/>
  <c r="A301" i="5"/>
  <c r="J300" i="5"/>
  <c r="I300" i="5"/>
  <c r="A300" i="5"/>
  <c r="J299" i="5"/>
  <c r="I299" i="5"/>
  <c r="A299" i="5"/>
  <c r="J298" i="5"/>
  <c r="I298" i="5"/>
  <c r="A298" i="5"/>
  <c r="J297" i="5"/>
  <c r="I297" i="5"/>
  <c r="A297" i="5"/>
  <c r="J296" i="5"/>
  <c r="I296" i="5"/>
  <c r="A296" i="5"/>
  <c r="G295" i="6" s="1"/>
  <c r="J295" i="5"/>
  <c r="I295" i="5"/>
  <c r="A295" i="5"/>
  <c r="A294" i="6" s="1"/>
  <c r="J294" i="5"/>
  <c r="I294" i="5"/>
  <c r="A294" i="5"/>
  <c r="J293" i="5"/>
  <c r="I293" i="5"/>
  <c r="A293" i="5"/>
  <c r="J292" i="5"/>
  <c r="I292" i="5"/>
  <c r="A292" i="5"/>
  <c r="J291" i="5"/>
  <c r="I291" i="5"/>
  <c r="A291" i="5"/>
  <c r="D290" i="6" s="1"/>
  <c r="J290" i="5"/>
  <c r="I290" i="5"/>
  <c r="A290" i="5"/>
  <c r="J289" i="5"/>
  <c r="I289" i="5"/>
  <c r="A289" i="5"/>
  <c r="J288" i="5"/>
  <c r="I288" i="5"/>
  <c r="A288" i="5"/>
  <c r="J287" i="6" s="1"/>
  <c r="J287" i="5"/>
  <c r="I287" i="5"/>
  <c r="A287" i="5"/>
  <c r="E286" i="6" s="1"/>
  <c r="J286" i="5"/>
  <c r="I286" i="5"/>
  <c r="A286" i="5"/>
  <c r="J285" i="5"/>
  <c r="I285" i="5"/>
  <c r="A285" i="5"/>
  <c r="J284" i="5"/>
  <c r="I284" i="5"/>
  <c r="A284" i="5"/>
  <c r="J283" i="5"/>
  <c r="I283" i="5"/>
  <c r="A283" i="5"/>
  <c r="I282" i="6" s="1"/>
  <c r="J282" i="5"/>
  <c r="I282" i="5"/>
  <c r="A282" i="5"/>
  <c r="J281" i="5"/>
  <c r="I281" i="5"/>
  <c r="A281" i="5"/>
  <c r="J280" i="5"/>
  <c r="I280" i="5"/>
  <c r="A280" i="5"/>
  <c r="G279" i="6" s="1"/>
  <c r="J279" i="5"/>
  <c r="I279" i="5"/>
  <c r="A279" i="5"/>
  <c r="E278" i="6" s="1"/>
  <c r="J278" i="5"/>
  <c r="I278" i="5"/>
  <c r="A278" i="5"/>
  <c r="J277" i="5"/>
  <c r="I277" i="5"/>
  <c r="A277" i="5"/>
  <c r="J276" i="5"/>
  <c r="I276" i="5"/>
  <c r="A276" i="5"/>
  <c r="J275" i="5"/>
  <c r="I275" i="5"/>
  <c r="A275" i="5"/>
  <c r="I274" i="6" s="1"/>
  <c r="J274" i="5"/>
  <c r="I274" i="5"/>
  <c r="A274" i="5"/>
  <c r="J273" i="5"/>
  <c r="I273" i="5"/>
  <c r="A273" i="5"/>
  <c r="J272" i="5"/>
  <c r="I272" i="5"/>
  <c r="A272" i="5"/>
  <c r="J271" i="6" s="1"/>
  <c r="J271" i="5"/>
  <c r="I271" i="5"/>
  <c r="A271" i="5"/>
  <c r="J270" i="5"/>
  <c r="I270" i="5"/>
  <c r="A270" i="5"/>
  <c r="J269" i="5"/>
  <c r="I269" i="5"/>
  <c r="A269" i="5"/>
  <c r="D268" i="6" s="1"/>
  <c r="J268" i="5"/>
  <c r="I268" i="5"/>
  <c r="A268" i="5"/>
  <c r="J267" i="5"/>
  <c r="I267" i="5"/>
  <c r="A267" i="5"/>
  <c r="I266" i="6" s="1"/>
  <c r="J266" i="5"/>
  <c r="I266" i="5"/>
  <c r="A266" i="5"/>
  <c r="J265" i="5"/>
  <c r="I265" i="5"/>
  <c r="A265" i="5"/>
  <c r="J264" i="5"/>
  <c r="I264" i="5"/>
  <c r="A264" i="5"/>
  <c r="J263" i="6" s="1"/>
  <c r="J263" i="5"/>
  <c r="I263" i="5"/>
  <c r="A263" i="5"/>
  <c r="J262" i="5"/>
  <c r="I262" i="5"/>
  <c r="A262" i="5"/>
  <c r="J261" i="5"/>
  <c r="I261" i="5"/>
  <c r="A261" i="5"/>
  <c r="J260" i="5"/>
  <c r="I260" i="5"/>
  <c r="A260" i="5"/>
  <c r="J259" i="5"/>
  <c r="I259" i="5"/>
  <c r="A259" i="5"/>
  <c r="J258" i="5"/>
  <c r="I258" i="5"/>
  <c r="A258" i="5"/>
  <c r="J257" i="5"/>
  <c r="I257" i="5"/>
  <c r="A257" i="5"/>
  <c r="J256" i="5"/>
  <c r="I256" i="5"/>
  <c r="A256" i="5"/>
  <c r="J255" i="6" s="1"/>
  <c r="J255" i="5"/>
  <c r="I255" i="5"/>
  <c r="A255" i="5"/>
  <c r="J254" i="5"/>
  <c r="I254" i="5"/>
  <c r="A254" i="5"/>
  <c r="J253" i="5"/>
  <c r="I253" i="5"/>
  <c r="A253" i="5"/>
  <c r="J252" i="5"/>
  <c r="I252" i="5"/>
  <c r="A252" i="5"/>
  <c r="B251" i="6" s="1"/>
  <c r="J251" i="5"/>
  <c r="I251" i="5"/>
  <c r="A251" i="5"/>
  <c r="J250" i="5"/>
  <c r="I250" i="5"/>
  <c r="A250" i="5"/>
  <c r="J249" i="5"/>
  <c r="I249" i="5"/>
  <c r="A249" i="5"/>
  <c r="J248" i="5"/>
  <c r="I248" i="5"/>
  <c r="A248" i="5"/>
  <c r="C247" i="6" s="1"/>
  <c r="J247" i="5"/>
  <c r="I247" i="5"/>
  <c r="A247" i="5"/>
  <c r="J246" i="5"/>
  <c r="I246" i="5"/>
  <c r="A246" i="5"/>
  <c r="J245" i="5"/>
  <c r="I245" i="5"/>
  <c r="A245" i="5"/>
  <c r="J244" i="6" s="1"/>
  <c r="J244" i="5"/>
  <c r="I244" i="5"/>
  <c r="A244" i="5"/>
  <c r="J243" i="5"/>
  <c r="I243" i="5"/>
  <c r="A243" i="5"/>
  <c r="J242" i="5"/>
  <c r="I242" i="5"/>
  <c r="A242" i="5"/>
  <c r="J241" i="5"/>
  <c r="I241" i="5"/>
  <c r="A241" i="5"/>
  <c r="J240" i="5"/>
  <c r="I240" i="5"/>
  <c r="A240" i="5"/>
  <c r="J239" i="6" s="1"/>
  <c r="J239" i="5"/>
  <c r="I239" i="5"/>
  <c r="A239" i="5"/>
  <c r="J238" i="5"/>
  <c r="I238" i="5"/>
  <c r="A238" i="5"/>
  <c r="J237" i="5"/>
  <c r="I237" i="5"/>
  <c r="A237" i="5"/>
  <c r="J236" i="5"/>
  <c r="I236" i="5"/>
  <c r="A236" i="5"/>
  <c r="J235" i="5"/>
  <c r="I235" i="5"/>
  <c r="A235" i="5"/>
  <c r="J234" i="5"/>
  <c r="I234" i="5"/>
  <c r="A234" i="5"/>
  <c r="J233" i="5"/>
  <c r="I233" i="5"/>
  <c r="A233" i="5"/>
  <c r="J232" i="5"/>
  <c r="I232" i="5"/>
  <c r="A232" i="5"/>
  <c r="B231" i="6" s="1"/>
  <c r="J231" i="5"/>
  <c r="I231" i="5"/>
  <c r="A231" i="5"/>
  <c r="H230" i="6" s="1"/>
  <c r="J230" i="5"/>
  <c r="I230" i="5"/>
  <c r="A230" i="5"/>
  <c r="J229" i="5"/>
  <c r="I229" i="5"/>
  <c r="A229" i="5"/>
  <c r="D228" i="6" s="1"/>
  <c r="J228" i="5"/>
  <c r="I228" i="5"/>
  <c r="A228" i="5"/>
  <c r="H227" i="6" s="1"/>
  <c r="J227" i="5"/>
  <c r="I227" i="5"/>
  <c r="A227" i="5"/>
  <c r="J226" i="5"/>
  <c r="I226" i="5"/>
  <c r="A226" i="5"/>
  <c r="B225" i="6" s="1"/>
  <c r="J225" i="5"/>
  <c r="I225" i="5"/>
  <c r="A225" i="5"/>
  <c r="J224" i="5"/>
  <c r="I224" i="5"/>
  <c r="A224" i="5"/>
  <c r="J223" i="6" s="1"/>
  <c r="J223" i="5"/>
  <c r="I223" i="5"/>
  <c r="A223" i="5"/>
  <c r="H222" i="6" s="1"/>
  <c r="J222" i="5"/>
  <c r="I222" i="5"/>
  <c r="A222" i="5"/>
  <c r="J221" i="5"/>
  <c r="I221" i="5"/>
  <c r="A221" i="5"/>
  <c r="D220" i="6" s="1"/>
  <c r="J220" i="5"/>
  <c r="I220" i="5"/>
  <c r="A220" i="5"/>
  <c r="J219" i="5"/>
  <c r="I219" i="5"/>
  <c r="A219" i="5"/>
  <c r="J218" i="5"/>
  <c r="I218" i="5"/>
  <c r="A218" i="5"/>
  <c r="J217" i="6" s="1"/>
  <c r="J217" i="5"/>
  <c r="I217" i="5"/>
  <c r="A217" i="5"/>
  <c r="J216" i="5"/>
  <c r="I216" i="5"/>
  <c r="A216" i="5"/>
  <c r="J215" i="6" s="1"/>
  <c r="J215" i="5"/>
  <c r="I215" i="5"/>
  <c r="A215" i="5"/>
  <c r="J214" i="5"/>
  <c r="I214" i="5"/>
  <c r="A214" i="5"/>
  <c r="J213" i="5"/>
  <c r="I213" i="5"/>
  <c r="A213" i="5"/>
  <c r="J212" i="5"/>
  <c r="I212" i="5"/>
  <c r="A212" i="5"/>
  <c r="J211" i="5"/>
  <c r="I211" i="5"/>
  <c r="A211" i="5"/>
  <c r="F210" i="6" s="1"/>
  <c r="J210" i="5"/>
  <c r="I210" i="5"/>
  <c r="A210" i="5"/>
  <c r="J209" i="5"/>
  <c r="I209" i="5"/>
  <c r="A209" i="5"/>
  <c r="J208" i="5"/>
  <c r="I208" i="5"/>
  <c r="A208" i="5"/>
  <c r="J207" i="6" s="1"/>
  <c r="J207" i="5"/>
  <c r="I207" i="5"/>
  <c r="A207" i="5"/>
  <c r="J206" i="5"/>
  <c r="I206" i="5"/>
  <c r="A206" i="5"/>
  <c r="J205" i="5"/>
  <c r="I205" i="5"/>
  <c r="A205" i="5"/>
  <c r="J204" i="5"/>
  <c r="I204" i="5"/>
  <c r="A204" i="5"/>
  <c r="B203" i="6" s="1"/>
  <c r="J203" i="5"/>
  <c r="I203" i="5"/>
  <c r="A203" i="5"/>
  <c r="J202" i="5"/>
  <c r="I202" i="5"/>
  <c r="A202" i="5"/>
  <c r="J201" i="5"/>
  <c r="I201" i="5"/>
  <c r="A201" i="5"/>
  <c r="J200" i="5"/>
  <c r="I200" i="5"/>
  <c r="A200" i="5"/>
  <c r="F199" i="6" s="1"/>
  <c r="J199" i="5"/>
  <c r="I199" i="5"/>
  <c r="A199" i="5"/>
  <c r="H198" i="6" s="1"/>
  <c r="J198" i="5"/>
  <c r="I198" i="5"/>
  <c r="A198" i="5"/>
  <c r="J197" i="5"/>
  <c r="I197" i="5"/>
  <c r="A197" i="5"/>
  <c r="J196" i="6" s="1"/>
  <c r="J196" i="5"/>
  <c r="I196" i="5"/>
  <c r="A196" i="5"/>
  <c r="J195" i="5"/>
  <c r="I195" i="5"/>
  <c r="A195" i="5"/>
  <c r="F194" i="6" s="1"/>
  <c r="J194" i="5"/>
  <c r="I194" i="5"/>
  <c r="A194" i="5"/>
  <c r="D193" i="6" s="1"/>
  <c r="J193" i="5"/>
  <c r="I193" i="5"/>
  <c r="A193" i="5"/>
  <c r="J192" i="5"/>
  <c r="I192" i="5"/>
  <c r="A192" i="5"/>
  <c r="J191" i="6" s="1"/>
  <c r="J191" i="5"/>
  <c r="I191" i="5"/>
  <c r="A191" i="5"/>
  <c r="J190" i="5"/>
  <c r="I190" i="5"/>
  <c r="A190" i="5"/>
  <c r="J189" i="5"/>
  <c r="I189" i="5"/>
  <c r="A189" i="5"/>
  <c r="H188" i="6" s="1"/>
  <c r="J188" i="5"/>
  <c r="I188" i="5"/>
  <c r="A188" i="5"/>
  <c r="J187" i="5"/>
  <c r="I187" i="5"/>
  <c r="A187" i="5"/>
  <c r="J186" i="5"/>
  <c r="I186" i="5"/>
  <c r="A186" i="5"/>
  <c r="J185" i="5"/>
  <c r="I185" i="5"/>
  <c r="A185" i="5"/>
  <c r="J184" i="5"/>
  <c r="I184" i="5"/>
  <c r="A184" i="5"/>
  <c r="J183" i="6" s="1"/>
  <c r="J183" i="5"/>
  <c r="I183" i="5"/>
  <c r="A183" i="5"/>
  <c r="J182" i="5"/>
  <c r="I182" i="5"/>
  <c r="A182" i="5"/>
  <c r="J181" i="5"/>
  <c r="I181" i="5"/>
  <c r="A181" i="5"/>
  <c r="J180" i="5"/>
  <c r="I180" i="5"/>
  <c r="A180" i="5"/>
  <c r="J179" i="5"/>
  <c r="I179" i="5"/>
  <c r="A179" i="5"/>
  <c r="J178" i="5"/>
  <c r="I178" i="5"/>
  <c r="A178" i="5"/>
  <c r="J177" i="5"/>
  <c r="I177" i="5"/>
  <c r="A177" i="5"/>
  <c r="J176" i="5"/>
  <c r="I176" i="5"/>
  <c r="A176" i="5"/>
  <c r="J175" i="5"/>
  <c r="I175" i="5"/>
  <c r="A175" i="5"/>
  <c r="H174" i="6" s="1"/>
  <c r="J174" i="5"/>
  <c r="I174" i="5"/>
  <c r="A174" i="5"/>
  <c r="J173" i="5"/>
  <c r="I173" i="5"/>
  <c r="A173" i="5"/>
  <c r="D172" i="6" s="1"/>
  <c r="J172" i="5"/>
  <c r="I172" i="5"/>
  <c r="A172" i="5"/>
  <c r="J171" i="6" s="1"/>
  <c r="J171" i="5"/>
  <c r="I171" i="5"/>
  <c r="A171" i="5"/>
  <c r="H170" i="6" s="1"/>
  <c r="J170" i="5"/>
  <c r="I170" i="5"/>
  <c r="A170" i="5"/>
  <c r="J169" i="5"/>
  <c r="I169" i="5"/>
  <c r="A169" i="5"/>
  <c r="J168" i="5"/>
  <c r="I168" i="5"/>
  <c r="A168" i="5"/>
  <c r="H167" i="6" s="1"/>
  <c r="J167" i="5"/>
  <c r="I167" i="5"/>
  <c r="A167" i="5"/>
  <c r="E166" i="6" s="1"/>
  <c r="J166" i="5"/>
  <c r="I166" i="5"/>
  <c r="A166" i="5"/>
  <c r="J165" i="5"/>
  <c r="I165" i="5"/>
  <c r="A165" i="5"/>
  <c r="J164" i="6" s="1"/>
  <c r="J164" i="5"/>
  <c r="I164" i="5"/>
  <c r="A164" i="5"/>
  <c r="G163" i="6" s="1"/>
  <c r="J163" i="5"/>
  <c r="I163" i="5"/>
  <c r="A163" i="5"/>
  <c r="H162" i="6" s="1"/>
  <c r="J162" i="5"/>
  <c r="I162" i="5"/>
  <c r="A162" i="5"/>
  <c r="J161" i="6" s="1"/>
  <c r="J161" i="5"/>
  <c r="I161" i="5"/>
  <c r="A161" i="5"/>
  <c r="J160" i="5"/>
  <c r="I160" i="5"/>
  <c r="A160" i="5"/>
  <c r="F159" i="6" s="1"/>
  <c r="J159" i="5"/>
  <c r="I159" i="5"/>
  <c r="A159" i="5"/>
  <c r="B158" i="6" s="1"/>
  <c r="J158" i="5"/>
  <c r="I158" i="5"/>
  <c r="A158" i="5"/>
  <c r="J157" i="5"/>
  <c r="I157" i="5"/>
  <c r="A157" i="5"/>
  <c r="H156" i="6" s="1"/>
  <c r="J156" i="5"/>
  <c r="I156" i="5"/>
  <c r="A156" i="5"/>
  <c r="D155" i="6" s="1"/>
  <c r="J155" i="5"/>
  <c r="I155" i="5"/>
  <c r="A155" i="5"/>
  <c r="J154" i="6" s="1"/>
  <c r="J154" i="5"/>
  <c r="I154" i="5"/>
  <c r="A154" i="5"/>
  <c r="F153" i="6" s="1"/>
  <c r="J153" i="5"/>
  <c r="I153" i="5"/>
  <c r="A153" i="5"/>
  <c r="J152" i="5"/>
  <c r="I152" i="5"/>
  <c r="A152" i="5"/>
  <c r="B151" i="6" s="1"/>
  <c r="J151" i="5"/>
  <c r="I151" i="5"/>
  <c r="A151" i="5"/>
  <c r="J150" i="6" s="1"/>
  <c r="J150" i="5"/>
  <c r="I150" i="5"/>
  <c r="A150" i="5"/>
  <c r="J149" i="5"/>
  <c r="I149" i="5"/>
  <c r="A149" i="5"/>
  <c r="D148" i="6" s="1"/>
  <c r="J148" i="5"/>
  <c r="I148" i="5"/>
  <c r="A148" i="5"/>
  <c r="J147" i="5"/>
  <c r="I147" i="5"/>
  <c r="A147" i="5"/>
  <c r="F146" i="6" s="1"/>
  <c r="J146" i="5"/>
  <c r="I146" i="5"/>
  <c r="A146" i="5"/>
  <c r="C145" i="6" s="1"/>
  <c r="J145" i="5"/>
  <c r="I145" i="5"/>
  <c r="A145" i="5"/>
  <c r="J144" i="5"/>
  <c r="I144" i="5"/>
  <c r="A144" i="5"/>
  <c r="J143" i="6" s="1"/>
  <c r="J143" i="5"/>
  <c r="I143" i="5"/>
  <c r="A143" i="5"/>
  <c r="H142" i="6" s="1"/>
  <c r="J142" i="5"/>
  <c r="I142" i="5"/>
  <c r="A142" i="5"/>
  <c r="J141" i="5"/>
  <c r="I141" i="5"/>
  <c r="A141" i="5"/>
  <c r="A140" i="6" s="1"/>
  <c r="J140" i="5"/>
  <c r="I140" i="5"/>
  <c r="A140" i="5"/>
  <c r="J139" i="6" s="1"/>
  <c r="J139" i="5"/>
  <c r="I139" i="5"/>
  <c r="A139" i="5"/>
  <c r="D138" i="6" s="1"/>
  <c r="J138" i="5"/>
  <c r="I138" i="5"/>
  <c r="A138" i="5"/>
  <c r="J137" i="5"/>
  <c r="I137" i="5"/>
  <c r="A137" i="5"/>
  <c r="J136" i="5"/>
  <c r="I136" i="5"/>
  <c r="A136" i="5"/>
  <c r="H135" i="6" s="1"/>
  <c r="J135" i="5"/>
  <c r="I135" i="5"/>
  <c r="A135" i="5"/>
  <c r="F134" i="6" s="1"/>
  <c r="J134" i="5"/>
  <c r="I134" i="5"/>
  <c r="A134" i="5"/>
  <c r="J133" i="5"/>
  <c r="I133" i="5"/>
  <c r="A133" i="5"/>
  <c r="J132" i="6" s="1"/>
  <c r="J132" i="5"/>
  <c r="I132" i="5"/>
  <c r="A132" i="5"/>
  <c r="G131" i="6" s="1"/>
  <c r="J131" i="5"/>
  <c r="I131" i="5"/>
  <c r="A131" i="5"/>
  <c r="H130" i="6" s="1"/>
  <c r="J130" i="5"/>
  <c r="I130" i="5"/>
  <c r="A130" i="5"/>
  <c r="J129" i="6" s="1"/>
  <c r="J129" i="5"/>
  <c r="I129" i="5"/>
  <c r="A129" i="5"/>
  <c r="J128" i="5"/>
  <c r="I128" i="5"/>
  <c r="A128" i="5"/>
  <c r="F127" i="6" s="1"/>
  <c r="J127" i="5"/>
  <c r="I127" i="5"/>
  <c r="A127" i="5"/>
  <c r="D126" i="6" s="1"/>
  <c r="J126" i="5"/>
  <c r="I126" i="5"/>
  <c r="A126" i="5"/>
  <c r="J125" i="5"/>
  <c r="I125" i="5"/>
  <c r="A125" i="5"/>
  <c r="H124" i="6" s="1"/>
  <c r="J124" i="5"/>
  <c r="I124" i="5"/>
  <c r="A124" i="5"/>
  <c r="D123" i="6" s="1"/>
  <c r="J123" i="5"/>
  <c r="I123" i="5"/>
  <c r="A123" i="5"/>
  <c r="J122" i="6" s="1"/>
  <c r="J122" i="5"/>
  <c r="I122" i="5"/>
  <c r="A122" i="5"/>
  <c r="F121" i="6" s="1"/>
  <c r="J121" i="5"/>
  <c r="I121" i="5"/>
  <c r="A121" i="5"/>
  <c r="J120" i="5"/>
  <c r="I120" i="5"/>
  <c r="A120" i="5"/>
  <c r="B119" i="6" s="1"/>
  <c r="J119" i="5"/>
  <c r="I119" i="5"/>
  <c r="A119" i="5"/>
  <c r="J118" i="6" s="1"/>
  <c r="J118" i="5"/>
  <c r="I118" i="5"/>
  <c r="A118" i="5"/>
  <c r="J117" i="5"/>
  <c r="I117" i="5"/>
  <c r="A117" i="5"/>
  <c r="D116" i="6" s="1"/>
  <c r="J116" i="5"/>
  <c r="I116" i="5"/>
  <c r="A116" i="5"/>
  <c r="J115" i="5"/>
  <c r="I115" i="5"/>
  <c r="A115" i="5"/>
  <c r="F114" i="6" s="1"/>
  <c r="J114" i="5"/>
  <c r="I114" i="5"/>
  <c r="A114" i="5"/>
  <c r="C113" i="6" s="1"/>
  <c r="J113" i="5"/>
  <c r="I113" i="5"/>
  <c r="A113" i="5"/>
  <c r="J112" i="5"/>
  <c r="I112" i="5"/>
  <c r="A112" i="5"/>
  <c r="J111" i="6" s="1"/>
  <c r="J111" i="5"/>
  <c r="I111" i="5"/>
  <c r="A111" i="5"/>
  <c r="H110" i="6" s="1"/>
  <c r="J110" i="5"/>
  <c r="I110" i="5"/>
  <c r="A110" i="5"/>
  <c r="J109" i="5"/>
  <c r="I109" i="5"/>
  <c r="A109" i="5"/>
  <c r="A108" i="6" s="1"/>
  <c r="J108" i="5"/>
  <c r="I108" i="5"/>
  <c r="A108" i="5"/>
  <c r="J107" i="6" s="1"/>
  <c r="J107" i="5"/>
  <c r="I107" i="5"/>
  <c r="A107" i="5"/>
  <c r="D106" i="6" s="1"/>
  <c r="J106" i="5"/>
  <c r="I106" i="5"/>
  <c r="A106" i="5"/>
  <c r="J105" i="5"/>
  <c r="I105" i="5"/>
  <c r="A105" i="5"/>
  <c r="J104" i="5"/>
  <c r="I104" i="5"/>
  <c r="A104" i="5"/>
  <c r="H103" i="6" s="1"/>
  <c r="J103" i="5"/>
  <c r="I103" i="5"/>
  <c r="A103" i="5"/>
  <c r="F102" i="6" s="1"/>
  <c r="J102" i="5"/>
  <c r="I102" i="5"/>
  <c r="A102" i="5"/>
  <c r="J101" i="5"/>
  <c r="I101" i="5"/>
  <c r="A101" i="5"/>
  <c r="J100" i="6" s="1"/>
  <c r="J100" i="5"/>
  <c r="I100" i="5"/>
  <c r="A100" i="5"/>
  <c r="G99" i="6" s="1"/>
  <c r="J99" i="5"/>
  <c r="I99" i="5"/>
  <c r="A99" i="5"/>
  <c r="H98" i="6" s="1"/>
  <c r="J98" i="5"/>
  <c r="I98" i="5"/>
  <c r="A98" i="5"/>
  <c r="J97" i="6" s="1"/>
  <c r="J97" i="5"/>
  <c r="I97" i="5"/>
  <c r="A97" i="5"/>
  <c r="J96" i="5"/>
  <c r="I96" i="5"/>
  <c r="A96" i="5"/>
  <c r="F95" i="6" s="1"/>
  <c r="J95" i="5"/>
  <c r="I95" i="5"/>
  <c r="A95" i="5"/>
  <c r="D94" i="6" s="1"/>
  <c r="J94" i="5"/>
  <c r="I94" i="5"/>
  <c r="A94" i="5"/>
  <c r="J93" i="5"/>
  <c r="I93" i="5"/>
  <c r="A93" i="5"/>
  <c r="H92" i="6" s="1"/>
  <c r="J92" i="5"/>
  <c r="I92" i="5"/>
  <c r="A92" i="5"/>
  <c r="D91" i="6" s="1"/>
  <c r="J91" i="5"/>
  <c r="I91" i="5"/>
  <c r="A91" i="5"/>
  <c r="J90" i="6" s="1"/>
  <c r="J90" i="5"/>
  <c r="I90" i="5"/>
  <c r="A90" i="5"/>
  <c r="F89" i="6" s="1"/>
  <c r="J89" i="5"/>
  <c r="I89" i="5"/>
  <c r="A89" i="5"/>
  <c r="J88" i="5"/>
  <c r="I88" i="5"/>
  <c r="A88" i="5"/>
  <c r="B87" i="6" s="1"/>
  <c r="J87" i="5"/>
  <c r="I87" i="5"/>
  <c r="A87" i="5"/>
  <c r="J86" i="6" s="1"/>
  <c r="J86" i="5"/>
  <c r="I86" i="5"/>
  <c r="A86" i="5"/>
  <c r="J85" i="5"/>
  <c r="I85" i="5"/>
  <c r="A85" i="5"/>
  <c r="D84" i="6" s="1"/>
  <c r="J84" i="5"/>
  <c r="I84" i="5"/>
  <c r="A84" i="5"/>
  <c r="J83" i="5"/>
  <c r="I83" i="5"/>
  <c r="A83" i="5"/>
  <c r="F82" i="6" s="1"/>
  <c r="J82" i="5"/>
  <c r="I82" i="5"/>
  <c r="A82" i="5"/>
  <c r="C81" i="6" s="1"/>
  <c r="J81" i="5"/>
  <c r="I81" i="5"/>
  <c r="A81" i="5"/>
  <c r="J80" i="5"/>
  <c r="I80" i="5"/>
  <c r="A80" i="5"/>
  <c r="J79" i="6" s="1"/>
  <c r="J79" i="5"/>
  <c r="I79" i="5"/>
  <c r="A79" i="5"/>
  <c r="H78" i="6" s="1"/>
  <c r="J78" i="5"/>
  <c r="I78" i="5"/>
  <c r="A78" i="5"/>
  <c r="J77" i="5"/>
  <c r="I77" i="5"/>
  <c r="A77" i="5"/>
  <c r="A76" i="6" s="1"/>
  <c r="J76" i="5"/>
  <c r="I76" i="5"/>
  <c r="A76" i="5"/>
  <c r="J75" i="6" s="1"/>
  <c r="J75" i="5"/>
  <c r="I75" i="5"/>
  <c r="A75" i="5"/>
  <c r="D74" i="6" s="1"/>
  <c r="J74" i="5"/>
  <c r="I74" i="5"/>
  <c r="A74" i="5"/>
  <c r="B73" i="6" s="1"/>
  <c r="J73" i="5"/>
  <c r="I73" i="5"/>
  <c r="A73" i="5"/>
  <c r="J72" i="5"/>
  <c r="I72" i="5"/>
  <c r="A72" i="5"/>
  <c r="B71" i="6" s="1"/>
  <c r="J71" i="5"/>
  <c r="I71" i="5"/>
  <c r="A71" i="5"/>
  <c r="D70" i="6" s="1"/>
  <c r="J70" i="5"/>
  <c r="I70" i="5"/>
  <c r="A70" i="5"/>
  <c r="J69" i="5"/>
  <c r="I69" i="5"/>
  <c r="A69" i="5"/>
  <c r="A68" i="6" s="1"/>
  <c r="J68" i="5"/>
  <c r="I68" i="5"/>
  <c r="A68" i="5"/>
  <c r="J67" i="6" s="1"/>
  <c r="J67" i="5"/>
  <c r="I67" i="5"/>
  <c r="A67" i="5"/>
  <c r="G66" i="6" s="1"/>
  <c r="J66" i="5"/>
  <c r="I66" i="5"/>
  <c r="A66" i="5"/>
  <c r="F65" i="6" s="1"/>
  <c r="J65" i="5"/>
  <c r="I65" i="5"/>
  <c r="A65" i="5"/>
  <c r="J64" i="5"/>
  <c r="I64" i="5"/>
  <c r="A64" i="5"/>
  <c r="H63" i="6" s="1"/>
  <c r="J63" i="5"/>
  <c r="I63" i="5"/>
  <c r="A63" i="5"/>
  <c r="H62" i="6" s="1"/>
  <c r="J62" i="5"/>
  <c r="I62" i="5"/>
  <c r="A62" i="5"/>
  <c r="J61" i="5"/>
  <c r="I61" i="5"/>
  <c r="A61" i="5"/>
  <c r="F60" i="6" s="1"/>
  <c r="J60" i="5"/>
  <c r="I60" i="5"/>
  <c r="A60" i="5"/>
  <c r="F59" i="6" s="1"/>
  <c r="J59" i="5"/>
  <c r="I59" i="5"/>
  <c r="A59" i="5"/>
  <c r="B58" i="6" s="1"/>
  <c r="J58" i="5"/>
  <c r="I58" i="5"/>
  <c r="A58" i="5"/>
  <c r="B57" i="6" s="1"/>
  <c r="J57" i="5"/>
  <c r="I57" i="5"/>
  <c r="A57" i="5"/>
  <c r="J56" i="5"/>
  <c r="I56" i="5"/>
  <c r="A56" i="5"/>
  <c r="B55" i="6" s="1"/>
  <c r="J55" i="5"/>
  <c r="I55" i="5"/>
  <c r="A55" i="5"/>
  <c r="B54" i="6" s="1"/>
  <c r="J54" i="5"/>
  <c r="I54" i="5"/>
  <c r="A54" i="5"/>
  <c r="J53" i="5"/>
  <c r="I53" i="5"/>
  <c r="A53" i="5"/>
  <c r="A52" i="6" s="1"/>
  <c r="J52" i="5"/>
  <c r="I52" i="5"/>
  <c r="A52" i="5"/>
  <c r="J51" i="6" s="1"/>
  <c r="J51" i="5"/>
  <c r="I51" i="5"/>
  <c r="A51" i="5"/>
  <c r="G50" i="6" s="1"/>
  <c r="J50" i="5"/>
  <c r="I50" i="5"/>
  <c r="A50" i="5"/>
  <c r="F49" i="6" s="1"/>
  <c r="J49" i="5"/>
  <c r="I49" i="5"/>
  <c r="A49" i="5"/>
  <c r="J48" i="5"/>
  <c r="I48" i="5"/>
  <c r="A48" i="5"/>
  <c r="H47" i="6" s="1"/>
  <c r="J47" i="5"/>
  <c r="I47" i="5"/>
  <c r="A47" i="5"/>
  <c r="G46" i="6" s="1"/>
  <c r="J46" i="5"/>
  <c r="I46" i="5"/>
  <c r="A46" i="5"/>
  <c r="J45" i="5"/>
  <c r="I45" i="5"/>
  <c r="A45" i="5"/>
  <c r="F44" i="6" s="1"/>
  <c r="J44" i="5"/>
  <c r="I44" i="5"/>
  <c r="A44" i="5"/>
  <c r="F43" i="6" s="1"/>
  <c r="J43" i="5"/>
  <c r="I43" i="5"/>
  <c r="A43" i="5"/>
  <c r="B42" i="6" s="1"/>
  <c r="J42" i="5"/>
  <c r="I42" i="5"/>
  <c r="A42" i="5"/>
  <c r="B41" i="6" s="1"/>
  <c r="J41" i="5"/>
  <c r="I41" i="5"/>
  <c r="A41" i="5"/>
  <c r="J40" i="5"/>
  <c r="I40" i="5"/>
  <c r="A40" i="5"/>
  <c r="C39" i="6" s="1"/>
  <c r="J39" i="5"/>
  <c r="I39" i="5"/>
  <c r="A39" i="5"/>
  <c r="C38" i="6" s="1"/>
  <c r="J38" i="5"/>
  <c r="I38" i="5"/>
  <c r="A38" i="5"/>
  <c r="I37" i="6" s="1"/>
  <c r="J37" i="5"/>
  <c r="I37" i="5"/>
  <c r="A37" i="5"/>
  <c r="G36" i="6" s="1"/>
  <c r="J36" i="5"/>
  <c r="I36" i="5"/>
  <c r="A36" i="5"/>
  <c r="E35" i="6" s="1"/>
  <c r="J35" i="5"/>
  <c r="I35" i="5"/>
  <c r="A35" i="5"/>
  <c r="C34" i="6" s="1"/>
  <c r="J34" i="5"/>
  <c r="I34" i="5"/>
  <c r="A34" i="5"/>
  <c r="I33" i="6" s="1"/>
  <c r="J33" i="5"/>
  <c r="I33" i="5"/>
  <c r="A33" i="5"/>
  <c r="G32" i="6" s="1"/>
  <c r="J32" i="5"/>
  <c r="I32" i="5"/>
  <c r="A32" i="5"/>
  <c r="E31" i="6" s="1"/>
  <c r="J31" i="5"/>
  <c r="I31" i="5"/>
  <c r="A31" i="5"/>
  <c r="C30" i="6" s="1"/>
  <c r="J30" i="5"/>
  <c r="I30" i="5"/>
  <c r="A30" i="5"/>
  <c r="I29" i="6" s="1"/>
  <c r="J29" i="5"/>
  <c r="I29" i="5"/>
  <c r="A29" i="5"/>
  <c r="G28" i="6" s="1"/>
  <c r="J28" i="5"/>
  <c r="I28" i="5"/>
  <c r="A28" i="5"/>
  <c r="E27" i="6" s="1"/>
  <c r="J27" i="5"/>
  <c r="I27" i="5"/>
  <c r="A27" i="5"/>
  <c r="C26" i="6" s="1"/>
  <c r="J26" i="5"/>
  <c r="I26" i="5"/>
  <c r="A26" i="5"/>
  <c r="I25" i="6" s="1"/>
  <c r="J25" i="5"/>
  <c r="I25" i="5"/>
  <c r="A25" i="5"/>
  <c r="G24" i="6" s="1"/>
  <c r="J24" i="5"/>
  <c r="I24" i="5"/>
  <c r="A24" i="5"/>
  <c r="E23" i="6" s="1"/>
  <c r="J23" i="5"/>
  <c r="I23" i="5"/>
  <c r="A23" i="5"/>
  <c r="C22" i="6" s="1"/>
  <c r="J22" i="5"/>
  <c r="I22" i="5"/>
  <c r="A22" i="5"/>
  <c r="I21" i="6" s="1"/>
  <c r="J21" i="5"/>
  <c r="I21" i="5"/>
  <c r="A21" i="5"/>
  <c r="G20" i="6" s="1"/>
  <c r="J20" i="5"/>
  <c r="I20" i="5"/>
  <c r="A20" i="5"/>
  <c r="E19" i="6" s="1"/>
  <c r="J19" i="5"/>
  <c r="I19" i="5"/>
  <c r="A19" i="5"/>
  <c r="C18" i="6" s="1"/>
  <c r="J18" i="5"/>
  <c r="I18" i="5"/>
  <c r="A18" i="5"/>
  <c r="I17" i="6" s="1"/>
  <c r="J17" i="5"/>
  <c r="I17" i="5"/>
  <c r="A17" i="5"/>
  <c r="G16" i="6" s="1"/>
  <c r="J16" i="5"/>
  <c r="I16" i="5"/>
  <c r="A16" i="5"/>
  <c r="E15" i="6" s="1"/>
  <c r="J15" i="5"/>
  <c r="I15" i="5"/>
  <c r="A15" i="5"/>
  <c r="C14" i="6" s="1"/>
  <c r="J14" i="5"/>
  <c r="I14" i="5"/>
  <c r="A14" i="5"/>
  <c r="I13" i="6" s="1"/>
  <c r="J13" i="5"/>
  <c r="I13" i="5"/>
  <c r="A13" i="5"/>
  <c r="G12" i="6" s="1"/>
  <c r="J12" i="5"/>
  <c r="I12" i="5"/>
  <c r="A12" i="5"/>
  <c r="E11" i="6" s="1"/>
  <c r="J11" i="5"/>
  <c r="I11" i="5"/>
  <c r="A11" i="5"/>
  <c r="C10" i="6" s="1"/>
  <c r="J10" i="5"/>
  <c r="I10" i="5"/>
  <c r="A10" i="5"/>
  <c r="F9" i="6" s="1"/>
  <c r="J9" i="5"/>
  <c r="I9" i="5"/>
  <c r="A9" i="5"/>
  <c r="D8" i="6" s="1"/>
  <c r="J8" i="5"/>
  <c r="I8" i="5"/>
  <c r="A8" i="5"/>
  <c r="E7" i="6" s="1"/>
  <c r="J7" i="5"/>
  <c r="I7" i="5"/>
  <c r="A7" i="5"/>
  <c r="C6" i="6" s="1"/>
  <c r="J6" i="5"/>
  <c r="I6" i="5"/>
  <c r="A6" i="5"/>
  <c r="I5" i="6" s="1"/>
  <c r="J5" i="5"/>
  <c r="I5" i="5"/>
  <c r="A5" i="5"/>
  <c r="G4" i="6" s="1"/>
  <c r="H19" i="4"/>
  <c r="F18" i="4"/>
  <c r="B18" i="4"/>
  <c r="I18" i="4" s="1"/>
  <c r="F17" i="4"/>
  <c r="E17" i="4"/>
  <c r="C17" i="4"/>
  <c r="E16" i="4"/>
  <c r="B16" i="4"/>
  <c r="I16" i="4" s="1"/>
  <c r="C15" i="4"/>
  <c r="F14" i="4"/>
  <c r="C14" i="4"/>
  <c r="B14" i="4"/>
  <c r="D14" i="4" s="1"/>
  <c r="E13" i="4"/>
  <c r="B13" i="4"/>
  <c r="F12" i="4"/>
  <c r="C12" i="4"/>
  <c r="E11" i="4"/>
  <c r="C11" i="4"/>
  <c r="B11" i="4"/>
  <c r="D11" i="4" s="1"/>
  <c r="F10" i="4"/>
  <c r="E10" i="4"/>
  <c r="B10" i="4"/>
  <c r="I10" i="4" s="1"/>
  <c r="I9" i="4"/>
  <c r="F9" i="4"/>
  <c r="E9" i="4"/>
  <c r="C9" i="4"/>
  <c r="B9" i="4"/>
  <c r="L5" i="4"/>
  <c r="J5" i="4"/>
  <c r="D5" i="4"/>
  <c r="F5" i="4" s="1"/>
  <c r="B5" i="4"/>
  <c r="A2" i="4"/>
  <c r="J5" i="1"/>
  <c r="H5" i="1"/>
  <c r="B5" i="1"/>
  <c r="A2" i="1"/>
  <c r="I14" i="4" l="1"/>
  <c r="N375" i="6"/>
  <c r="M375" i="6"/>
  <c r="K375" i="6"/>
  <c r="L375" i="6"/>
  <c r="I17" i="4"/>
  <c r="D17" i="4"/>
  <c r="N294" i="6"/>
  <c r="K294" i="6"/>
  <c r="M294" i="6"/>
  <c r="L294" i="6"/>
  <c r="N366" i="6"/>
  <c r="K366" i="6"/>
  <c r="M366" i="6"/>
  <c r="L366" i="6"/>
  <c r="N441" i="6"/>
  <c r="M441" i="6"/>
  <c r="L441" i="6"/>
  <c r="K441" i="6"/>
  <c r="M52" i="6"/>
  <c r="N52" i="6"/>
  <c r="L52" i="6"/>
  <c r="K52" i="6"/>
  <c r="M68" i="6"/>
  <c r="N68" i="6"/>
  <c r="L68" i="6"/>
  <c r="K68" i="6"/>
  <c r="M76" i="6"/>
  <c r="K76" i="6"/>
  <c r="N76" i="6"/>
  <c r="L76" i="6"/>
  <c r="M108" i="6"/>
  <c r="K108" i="6"/>
  <c r="N108" i="6"/>
  <c r="L108" i="6"/>
  <c r="M140" i="6"/>
  <c r="K140" i="6"/>
  <c r="N140" i="6"/>
  <c r="L140" i="6"/>
  <c r="D18" i="4"/>
  <c r="I45" i="6"/>
  <c r="A45" i="6"/>
  <c r="G45" i="6"/>
  <c r="I53" i="6"/>
  <c r="A53" i="6"/>
  <c r="G53" i="6"/>
  <c r="I61" i="6"/>
  <c r="A61" i="6"/>
  <c r="G61" i="6"/>
  <c r="I69" i="6"/>
  <c r="A69" i="6"/>
  <c r="G69" i="6"/>
  <c r="I77" i="6"/>
  <c r="A77" i="6"/>
  <c r="G77" i="6"/>
  <c r="E77" i="6"/>
  <c r="I85" i="6"/>
  <c r="A85" i="6"/>
  <c r="G85" i="6"/>
  <c r="E85" i="6"/>
  <c r="I93" i="6"/>
  <c r="A93" i="6"/>
  <c r="G93" i="6"/>
  <c r="E93" i="6"/>
  <c r="I101" i="6"/>
  <c r="A101" i="6"/>
  <c r="G101" i="6"/>
  <c r="E101" i="6"/>
  <c r="I109" i="6"/>
  <c r="A109" i="6"/>
  <c r="G109" i="6"/>
  <c r="E109" i="6"/>
  <c r="I117" i="6"/>
  <c r="A117" i="6"/>
  <c r="G117" i="6"/>
  <c r="E117" i="6"/>
  <c r="I125" i="6"/>
  <c r="A125" i="6"/>
  <c r="G125" i="6"/>
  <c r="E125" i="6"/>
  <c r="I133" i="6"/>
  <c r="A133" i="6"/>
  <c r="G133" i="6"/>
  <c r="E133" i="6"/>
  <c r="I141" i="6"/>
  <c r="A141" i="6"/>
  <c r="G141" i="6"/>
  <c r="E141" i="6"/>
  <c r="I149" i="6"/>
  <c r="A149" i="6"/>
  <c r="G149" i="6"/>
  <c r="E149" i="6"/>
  <c r="I157" i="6"/>
  <c r="A157" i="6"/>
  <c r="G157" i="6"/>
  <c r="E157" i="6"/>
  <c r="I165" i="6"/>
  <c r="A165" i="6"/>
  <c r="G165" i="6"/>
  <c r="E165" i="6"/>
  <c r="E173" i="6"/>
  <c r="C173" i="6"/>
  <c r="I173" i="6"/>
  <c r="A173" i="6"/>
  <c r="H173" i="6"/>
  <c r="G173" i="6"/>
  <c r="J173" i="6"/>
  <c r="E181" i="6"/>
  <c r="C181" i="6"/>
  <c r="I181" i="6"/>
  <c r="A181" i="6"/>
  <c r="H181" i="6"/>
  <c r="G181" i="6"/>
  <c r="J181" i="6"/>
  <c r="D181" i="6"/>
  <c r="E189" i="6"/>
  <c r="C189" i="6"/>
  <c r="I189" i="6"/>
  <c r="A189" i="6"/>
  <c r="H189" i="6"/>
  <c r="G189" i="6"/>
  <c r="J189" i="6"/>
  <c r="D189" i="6"/>
  <c r="E197" i="6"/>
  <c r="C197" i="6"/>
  <c r="I197" i="6"/>
  <c r="A197" i="6"/>
  <c r="H197" i="6"/>
  <c r="G197" i="6"/>
  <c r="D197" i="6"/>
  <c r="E205" i="6"/>
  <c r="C205" i="6"/>
  <c r="I205" i="6"/>
  <c r="A205" i="6"/>
  <c r="H205" i="6"/>
  <c r="G205" i="6"/>
  <c r="J205" i="6"/>
  <c r="E213" i="6"/>
  <c r="C213" i="6"/>
  <c r="I213" i="6"/>
  <c r="A213" i="6"/>
  <c r="H213" i="6"/>
  <c r="G213" i="6"/>
  <c r="J213" i="6"/>
  <c r="D213" i="6"/>
  <c r="E221" i="6"/>
  <c r="C221" i="6"/>
  <c r="I221" i="6"/>
  <c r="A221" i="6"/>
  <c r="H221" i="6"/>
  <c r="G221" i="6"/>
  <c r="J221" i="6"/>
  <c r="D221" i="6"/>
  <c r="E229" i="6"/>
  <c r="C229" i="6"/>
  <c r="I229" i="6"/>
  <c r="A229" i="6"/>
  <c r="H229" i="6"/>
  <c r="G229" i="6"/>
  <c r="D229" i="6"/>
  <c r="E237" i="6"/>
  <c r="C237" i="6"/>
  <c r="I237" i="6"/>
  <c r="A237" i="6"/>
  <c r="H237" i="6"/>
  <c r="G237" i="6"/>
  <c r="J237" i="6"/>
  <c r="E245" i="6"/>
  <c r="C245" i="6"/>
  <c r="I245" i="6"/>
  <c r="A245" i="6"/>
  <c r="H245" i="6"/>
  <c r="G245" i="6"/>
  <c r="J245" i="6"/>
  <c r="D245" i="6"/>
  <c r="D253" i="6"/>
  <c r="I253" i="6"/>
  <c r="A253" i="6"/>
  <c r="H253" i="6"/>
  <c r="G253" i="6"/>
  <c r="E253" i="6"/>
  <c r="C253" i="6"/>
  <c r="B253" i="6"/>
  <c r="D261" i="6"/>
  <c r="I261" i="6"/>
  <c r="A261" i="6"/>
  <c r="H261" i="6"/>
  <c r="B261" i="6"/>
  <c r="G261" i="6"/>
  <c r="F261" i="6"/>
  <c r="E261" i="6"/>
  <c r="J261" i="6"/>
  <c r="D269" i="6"/>
  <c r="I269" i="6"/>
  <c r="A269" i="6"/>
  <c r="H269" i="6"/>
  <c r="E269" i="6"/>
  <c r="B269" i="6"/>
  <c r="J269" i="6"/>
  <c r="G269" i="6"/>
  <c r="F269" i="6"/>
  <c r="D277" i="6"/>
  <c r="I277" i="6"/>
  <c r="A277" i="6"/>
  <c r="H277" i="6"/>
  <c r="G277" i="6"/>
  <c r="E277" i="6"/>
  <c r="B277" i="6"/>
  <c r="F277" i="6"/>
  <c r="D285" i="6"/>
  <c r="I285" i="6"/>
  <c r="A285" i="6"/>
  <c r="H285" i="6"/>
  <c r="G285" i="6"/>
  <c r="E285" i="6"/>
  <c r="C285" i="6"/>
  <c r="B285" i="6"/>
  <c r="D293" i="6"/>
  <c r="I293" i="6"/>
  <c r="A293" i="6"/>
  <c r="H293" i="6"/>
  <c r="B293" i="6"/>
  <c r="G293" i="6"/>
  <c r="F293" i="6"/>
  <c r="E293" i="6"/>
  <c r="C293" i="6"/>
  <c r="D301" i="6"/>
  <c r="I301" i="6"/>
  <c r="A301" i="6"/>
  <c r="H301" i="6"/>
  <c r="E301" i="6"/>
  <c r="B301" i="6"/>
  <c r="J301" i="6"/>
  <c r="G301" i="6"/>
  <c r="C301" i="6"/>
  <c r="D309" i="6"/>
  <c r="I309" i="6"/>
  <c r="A309" i="6"/>
  <c r="H309" i="6"/>
  <c r="G309" i="6"/>
  <c r="E309" i="6"/>
  <c r="B309" i="6"/>
  <c r="C309" i="6"/>
  <c r="D317" i="6"/>
  <c r="I317" i="6"/>
  <c r="A317" i="6"/>
  <c r="H317" i="6"/>
  <c r="G317" i="6"/>
  <c r="E317" i="6"/>
  <c r="C317" i="6"/>
  <c r="B317" i="6"/>
  <c r="J317" i="6"/>
  <c r="D325" i="6"/>
  <c r="I325" i="6"/>
  <c r="A325" i="6"/>
  <c r="H325" i="6"/>
  <c r="B325" i="6"/>
  <c r="G325" i="6"/>
  <c r="F325" i="6"/>
  <c r="E325" i="6"/>
  <c r="J325" i="6"/>
  <c r="D333" i="6"/>
  <c r="I333" i="6"/>
  <c r="A333" i="6"/>
  <c r="H333" i="6"/>
  <c r="E333" i="6"/>
  <c r="B333" i="6"/>
  <c r="J333" i="6"/>
  <c r="G333" i="6"/>
  <c r="F333" i="6"/>
  <c r="D341" i="6"/>
  <c r="I341" i="6"/>
  <c r="A341" i="6"/>
  <c r="H341" i="6"/>
  <c r="G341" i="6"/>
  <c r="E341" i="6"/>
  <c r="C341" i="6"/>
  <c r="B341" i="6"/>
  <c r="D349" i="6"/>
  <c r="I349" i="6"/>
  <c r="A349" i="6"/>
  <c r="H349" i="6"/>
  <c r="G349" i="6"/>
  <c r="F349" i="6"/>
  <c r="E349" i="6"/>
  <c r="C349" i="6"/>
  <c r="B349" i="6"/>
  <c r="D357" i="6"/>
  <c r="I357" i="6"/>
  <c r="A357" i="6"/>
  <c r="H357" i="6"/>
  <c r="B357" i="6"/>
  <c r="J357" i="6"/>
  <c r="G357" i="6"/>
  <c r="F357" i="6"/>
  <c r="E357" i="6"/>
  <c r="C357" i="6"/>
  <c r="D365" i="6"/>
  <c r="I365" i="6"/>
  <c r="A365" i="6"/>
  <c r="H365" i="6"/>
  <c r="E365" i="6"/>
  <c r="B365" i="6"/>
  <c r="J365" i="6"/>
  <c r="G365" i="6"/>
  <c r="F365" i="6"/>
  <c r="D373" i="6"/>
  <c r="E373" i="6"/>
  <c r="J373" i="6"/>
  <c r="A373" i="6"/>
  <c r="I373" i="6"/>
  <c r="H373" i="6"/>
  <c r="F373" i="6"/>
  <c r="C373" i="6"/>
  <c r="B373" i="6"/>
  <c r="D381" i="6"/>
  <c r="C381" i="6"/>
  <c r="I381" i="6"/>
  <c r="F381" i="6"/>
  <c r="E381" i="6"/>
  <c r="J381" i="6"/>
  <c r="H381" i="6"/>
  <c r="G381" i="6"/>
  <c r="B381" i="6"/>
  <c r="A381" i="6"/>
  <c r="D389" i="6"/>
  <c r="C389" i="6"/>
  <c r="E389" i="6"/>
  <c r="J389" i="6"/>
  <c r="I389" i="6"/>
  <c r="G389" i="6"/>
  <c r="B389" i="6"/>
  <c r="A389" i="6"/>
  <c r="D397" i="6"/>
  <c r="C397" i="6"/>
  <c r="I397" i="6"/>
  <c r="F397" i="6"/>
  <c r="E397" i="6"/>
  <c r="J397" i="6"/>
  <c r="H397" i="6"/>
  <c r="G397" i="6"/>
  <c r="B397" i="6"/>
  <c r="A397" i="6"/>
  <c r="D405" i="6"/>
  <c r="C405" i="6"/>
  <c r="E405" i="6"/>
  <c r="J405" i="6"/>
  <c r="I405" i="6"/>
  <c r="F405" i="6"/>
  <c r="A405" i="6"/>
  <c r="H405" i="6"/>
  <c r="G405" i="6"/>
  <c r="B405" i="6"/>
  <c r="D413" i="6"/>
  <c r="C413" i="6"/>
  <c r="I413" i="6"/>
  <c r="F413" i="6"/>
  <c r="E413" i="6"/>
  <c r="H413" i="6"/>
  <c r="G413" i="6"/>
  <c r="B413" i="6"/>
  <c r="A413" i="6"/>
  <c r="G421" i="6"/>
  <c r="F421" i="6"/>
  <c r="E421" i="6"/>
  <c r="D421" i="6"/>
  <c r="C421" i="6"/>
  <c r="H421" i="6"/>
  <c r="A421" i="6"/>
  <c r="J421" i="6"/>
  <c r="I421" i="6"/>
  <c r="G429" i="6"/>
  <c r="F429" i="6"/>
  <c r="E429" i="6"/>
  <c r="I429" i="6"/>
  <c r="H429" i="6"/>
  <c r="D429" i="6"/>
  <c r="C429" i="6"/>
  <c r="J429" i="6"/>
  <c r="B429" i="6"/>
  <c r="G437" i="6"/>
  <c r="F437" i="6"/>
  <c r="E437" i="6"/>
  <c r="J437" i="6"/>
  <c r="H437" i="6"/>
  <c r="C437" i="6"/>
  <c r="I437" i="6"/>
  <c r="D437" i="6"/>
  <c r="B437" i="6"/>
  <c r="G445" i="6"/>
  <c r="F445" i="6"/>
  <c r="E445" i="6"/>
  <c r="B445" i="6"/>
  <c r="A445" i="6"/>
  <c r="J445" i="6"/>
  <c r="D445" i="6"/>
  <c r="C445" i="6"/>
  <c r="I445" i="6"/>
  <c r="H445" i="6"/>
  <c r="G453" i="6"/>
  <c r="F453" i="6"/>
  <c r="E453" i="6"/>
  <c r="D453" i="6"/>
  <c r="C453" i="6"/>
  <c r="H453" i="6"/>
  <c r="A453" i="6"/>
  <c r="J453" i="6"/>
  <c r="I453" i="6"/>
  <c r="G461" i="6"/>
  <c r="F461" i="6"/>
  <c r="E461" i="6"/>
  <c r="I461" i="6"/>
  <c r="H461" i="6"/>
  <c r="J461" i="6"/>
  <c r="B461" i="6"/>
  <c r="A461" i="6"/>
  <c r="D461" i="6"/>
  <c r="C461" i="6"/>
  <c r="G469" i="6"/>
  <c r="F469" i="6"/>
  <c r="E469" i="6"/>
  <c r="C469" i="6"/>
  <c r="J469" i="6"/>
  <c r="I469" i="6"/>
  <c r="D469" i="6"/>
  <c r="H469" i="6"/>
  <c r="B469" i="6"/>
  <c r="A469" i="6"/>
  <c r="G477" i="6"/>
  <c r="F477" i="6"/>
  <c r="E477" i="6"/>
  <c r="H477" i="6"/>
  <c r="C477" i="6"/>
  <c r="B477" i="6"/>
  <c r="A477" i="6"/>
  <c r="I477" i="6"/>
  <c r="D477" i="6"/>
  <c r="J477" i="6"/>
  <c r="G485" i="6"/>
  <c r="F485" i="6"/>
  <c r="E485" i="6"/>
  <c r="J485" i="6"/>
  <c r="H485" i="6"/>
  <c r="D485" i="6"/>
  <c r="C485" i="6"/>
  <c r="I485" i="6"/>
  <c r="B485" i="6"/>
  <c r="A485" i="6"/>
  <c r="G493" i="6"/>
  <c r="F493" i="6"/>
  <c r="E493" i="6"/>
  <c r="A493" i="6"/>
  <c r="J493" i="6"/>
  <c r="I493" i="6"/>
  <c r="H493" i="6"/>
  <c r="C493" i="6"/>
  <c r="D493" i="6"/>
  <c r="G501" i="6"/>
  <c r="F501" i="6"/>
  <c r="E501" i="6"/>
  <c r="C501" i="6"/>
  <c r="A501" i="6"/>
  <c r="J501" i="6"/>
  <c r="D501" i="6"/>
  <c r="B501" i="6"/>
  <c r="I501" i="6"/>
  <c r="H501" i="6"/>
  <c r="B5" i="6"/>
  <c r="J5" i="6"/>
  <c r="B13" i="6"/>
  <c r="J13" i="6"/>
  <c r="B21" i="6"/>
  <c r="J21" i="6"/>
  <c r="B29" i="6"/>
  <c r="J29" i="6"/>
  <c r="B37" i="6"/>
  <c r="J37" i="6"/>
  <c r="K44" i="6"/>
  <c r="H45" i="6"/>
  <c r="M47" i="6"/>
  <c r="K47" i="6"/>
  <c r="L47" i="6"/>
  <c r="C53" i="6"/>
  <c r="K60" i="6"/>
  <c r="H61" i="6"/>
  <c r="M63" i="6"/>
  <c r="K63" i="6"/>
  <c r="L63" i="6"/>
  <c r="C69" i="6"/>
  <c r="F77" i="6"/>
  <c r="J85" i="6"/>
  <c r="M92" i="6"/>
  <c r="K92" i="6"/>
  <c r="N92" i="6"/>
  <c r="C101" i="6"/>
  <c r="F109" i="6"/>
  <c r="J117" i="6"/>
  <c r="M124" i="6"/>
  <c r="K124" i="6"/>
  <c r="N124" i="6"/>
  <c r="C133" i="6"/>
  <c r="F141" i="6"/>
  <c r="J149" i="6"/>
  <c r="M156" i="6"/>
  <c r="K156" i="6"/>
  <c r="N156" i="6"/>
  <c r="J159" i="6"/>
  <c r="C165" i="6"/>
  <c r="F173" i="6"/>
  <c r="F183" i="6"/>
  <c r="D205" i="6"/>
  <c r="J229" i="6"/>
  <c r="B237" i="6"/>
  <c r="F239" i="6"/>
  <c r="N278" i="6"/>
  <c r="K278" i="6"/>
  <c r="M278" i="6"/>
  <c r="L278" i="6"/>
  <c r="J285" i="6"/>
  <c r="J293" i="6"/>
  <c r="F301" i="6"/>
  <c r="F309" i="6"/>
  <c r="J341" i="6"/>
  <c r="C365" i="6"/>
  <c r="H389" i="6"/>
  <c r="B421" i="6"/>
  <c r="A437" i="6"/>
  <c r="D4" i="11"/>
  <c r="A4" i="15"/>
  <c r="D9" i="4"/>
  <c r="F11" i="4"/>
  <c r="F19" i="4" s="1"/>
  <c r="I13" i="4"/>
  <c r="B15" i="4"/>
  <c r="C16" i="4"/>
  <c r="D16" i="4" s="1"/>
  <c r="E18" i="4"/>
  <c r="G40" i="6"/>
  <c r="E40" i="6"/>
  <c r="G48" i="6"/>
  <c r="E48" i="6"/>
  <c r="G56" i="6"/>
  <c r="E56" i="6"/>
  <c r="G64" i="6"/>
  <c r="E64" i="6"/>
  <c r="G72" i="6"/>
  <c r="E72" i="6"/>
  <c r="G80" i="6"/>
  <c r="E80" i="6"/>
  <c r="C80" i="6"/>
  <c r="G88" i="6"/>
  <c r="E88" i="6"/>
  <c r="C88" i="6"/>
  <c r="G96" i="6"/>
  <c r="E96" i="6"/>
  <c r="C96" i="6"/>
  <c r="G104" i="6"/>
  <c r="E104" i="6"/>
  <c r="C104" i="6"/>
  <c r="G112" i="6"/>
  <c r="E112" i="6"/>
  <c r="C112" i="6"/>
  <c r="G120" i="6"/>
  <c r="E120" i="6"/>
  <c r="C120" i="6"/>
  <c r="G128" i="6"/>
  <c r="E128" i="6"/>
  <c r="C128" i="6"/>
  <c r="G136" i="6"/>
  <c r="E136" i="6"/>
  <c r="C136" i="6"/>
  <c r="G144" i="6"/>
  <c r="E144" i="6"/>
  <c r="C144" i="6"/>
  <c r="G152" i="6"/>
  <c r="E152" i="6"/>
  <c r="C152" i="6"/>
  <c r="G160" i="6"/>
  <c r="E160" i="6"/>
  <c r="C160" i="6"/>
  <c r="G168" i="6"/>
  <c r="E168" i="6"/>
  <c r="C168" i="6"/>
  <c r="C176" i="6"/>
  <c r="I176" i="6"/>
  <c r="A176" i="6"/>
  <c r="G176" i="6"/>
  <c r="F176" i="6"/>
  <c r="E176" i="6"/>
  <c r="J176" i="6"/>
  <c r="C184" i="6"/>
  <c r="I184" i="6"/>
  <c r="A184" i="6"/>
  <c r="G184" i="6"/>
  <c r="F184" i="6"/>
  <c r="E184" i="6"/>
  <c r="J184" i="6"/>
  <c r="D184" i="6"/>
  <c r="C192" i="6"/>
  <c r="I192" i="6"/>
  <c r="A192" i="6"/>
  <c r="G192" i="6"/>
  <c r="F192" i="6"/>
  <c r="E192" i="6"/>
  <c r="J192" i="6"/>
  <c r="D192" i="6"/>
  <c r="C200" i="6"/>
  <c r="I200" i="6"/>
  <c r="A200" i="6"/>
  <c r="G200" i="6"/>
  <c r="F200" i="6"/>
  <c r="E200" i="6"/>
  <c r="D200" i="6"/>
  <c r="C208" i="6"/>
  <c r="I208" i="6"/>
  <c r="A208" i="6"/>
  <c r="G208" i="6"/>
  <c r="F208" i="6"/>
  <c r="E208" i="6"/>
  <c r="J208" i="6"/>
  <c r="C216" i="6"/>
  <c r="I216" i="6"/>
  <c r="A216" i="6"/>
  <c r="G216" i="6"/>
  <c r="F216" i="6"/>
  <c r="E216" i="6"/>
  <c r="J216" i="6"/>
  <c r="D216" i="6"/>
  <c r="C224" i="6"/>
  <c r="I224" i="6"/>
  <c r="A224" i="6"/>
  <c r="G224" i="6"/>
  <c r="F224" i="6"/>
  <c r="E224" i="6"/>
  <c r="J224" i="6"/>
  <c r="D224" i="6"/>
  <c r="C232" i="6"/>
  <c r="I232" i="6"/>
  <c r="A232" i="6"/>
  <c r="G232" i="6"/>
  <c r="F232" i="6"/>
  <c r="E232" i="6"/>
  <c r="D232" i="6"/>
  <c r="C240" i="6"/>
  <c r="I240" i="6"/>
  <c r="A240" i="6"/>
  <c r="G240" i="6"/>
  <c r="F240" i="6"/>
  <c r="E240" i="6"/>
  <c r="J240" i="6"/>
  <c r="J248" i="6"/>
  <c r="B248" i="6"/>
  <c r="G248" i="6"/>
  <c r="F248" i="6"/>
  <c r="D248" i="6"/>
  <c r="A248" i="6"/>
  <c r="I248" i="6"/>
  <c r="H248" i="6"/>
  <c r="C248" i="6"/>
  <c r="J256" i="6"/>
  <c r="B256" i="6"/>
  <c r="G256" i="6"/>
  <c r="F256" i="6"/>
  <c r="H256" i="6"/>
  <c r="D256" i="6"/>
  <c r="A256" i="6"/>
  <c r="I256" i="6"/>
  <c r="J264" i="6"/>
  <c r="B264" i="6"/>
  <c r="G264" i="6"/>
  <c r="F264" i="6"/>
  <c r="H264" i="6"/>
  <c r="D264" i="6"/>
  <c r="C264" i="6"/>
  <c r="A264" i="6"/>
  <c r="I264" i="6"/>
  <c r="J272" i="6"/>
  <c r="B272" i="6"/>
  <c r="G272" i="6"/>
  <c r="F272" i="6"/>
  <c r="A272" i="6"/>
  <c r="H272" i="6"/>
  <c r="E272" i="6"/>
  <c r="D272" i="6"/>
  <c r="I272" i="6"/>
  <c r="J280" i="6"/>
  <c r="B280" i="6"/>
  <c r="G280" i="6"/>
  <c r="F280" i="6"/>
  <c r="D280" i="6"/>
  <c r="A280" i="6"/>
  <c r="I280" i="6"/>
  <c r="H280" i="6"/>
  <c r="J288" i="6"/>
  <c r="B288" i="6"/>
  <c r="G288" i="6"/>
  <c r="F288" i="6"/>
  <c r="H288" i="6"/>
  <c r="D288" i="6"/>
  <c r="A288" i="6"/>
  <c r="E288" i="6"/>
  <c r="J296" i="6"/>
  <c r="B296" i="6"/>
  <c r="G296" i="6"/>
  <c r="F296" i="6"/>
  <c r="H296" i="6"/>
  <c r="D296" i="6"/>
  <c r="C296" i="6"/>
  <c r="A296" i="6"/>
  <c r="E296" i="6"/>
  <c r="J304" i="6"/>
  <c r="B304" i="6"/>
  <c r="G304" i="6"/>
  <c r="F304" i="6"/>
  <c r="A304" i="6"/>
  <c r="H304" i="6"/>
  <c r="E304" i="6"/>
  <c r="D304" i="6"/>
  <c r="C304" i="6"/>
  <c r="J312" i="6"/>
  <c r="B312" i="6"/>
  <c r="G312" i="6"/>
  <c r="F312" i="6"/>
  <c r="D312" i="6"/>
  <c r="A312" i="6"/>
  <c r="I312" i="6"/>
  <c r="H312" i="6"/>
  <c r="J320" i="6"/>
  <c r="B320" i="6"/>
  <c r="G320" i="6"/>
  <c r="F320" i="6"/>
  <c r="H320" i="6"/>
  <c r="D320" i="6"/>
  <c r="A320" i="6"/>
  <c r="I320" i="6"/>
  <c r="C320" i="6"/>
  <c r="J328" i="6"/>
  <c r="B328" i="6"/>
  <c r="G328" i="6"/>
  <c r="F328" i="6"/>
  <c r="H328" i="6"/>
  <c r="E328" i="6"/>
  <c r="D328" i="6"/>
  <c r="C328" i="6"/>
  <c r="A328" i="6"/>
  <c r="J336" i="6"/>
  <c r="B336" i="6"/>
  <c r="G336" i="6"/>
  <c r="F336" i="6"/>
  <c r="A336" i="6"/>
  <c r="I336" i="6"/>
  <c r="H336" i="6"/>
  <c r="E336" i="6"/>
  <c r="D336" i="6"/>
  <c r="C336" i="6"/>
  <c r="J344" i="6"/>
  <c r="B344" i="6"/>
  <c r="G344" i="6"/>
  <c r="F344" i="6"/>
  <c r="D344" i="6"/>
  <c r="A344" i="6"/>
  <c r="I344" i="6"/>
  <c r="H344" i="6"/>
  <c r="E344" i="6"/>
  <c r="J352" i="6"/>
  <c r="B352" i="6"/>
  <c r="G352" i="6"/>
  <c r="F352" i="6"/>
  <c r="H352" i="6"/>
  <c r="D352" i="6"/>
  <c r="C352" i="6"/>
  <c r="A352" i="6"/>
  <c r="J360" i="6"/>
  <c r="B360" i="6"/>
  <c r="G360" i="6"/>
  <c r="F360" i="6"/>
  <c r="H360" i="6"/>
  <c r="E360" i="6"/>
  <c r="D360" i="6"/>
  <c r="C360" i="6"/>
  <c r="A360" i="6"/>
  <c r="J368" i="6"/>
  <c r="B368" i="6"/>
  <c r="G368" i="6"/>
  <c r="F368" i="6"/>
  <c r="A368" i="6"/>
  <c r="I368" i="6"/>
  <c r="H368" i="6"/>
  <c r="E368" i="6"/>
  <c r="D368" i="6"/>
  <c r="C368" i="6"/>
  <c r="J376" i="6"/>
  <c r="B376" i="6"/>
  <c r="I376" i="6"/>
  <c r="A376" i="6"/>
  <c r="E376" i="6"/>
  <c r="C376" i="6"/>
  <c r="H376" i="6"/>
  <c r="G376" i="6"/>
  <c r="F376" i="6"/>
  <c r="D376" i="6"/>
  <c r="J384" i="6"/>
  <c r="B384" i="6"/>
  <c r="I384" i="6"/>
  <c r="A384" i="6"/>
  <c r="F384" i="6"/>
  <c r="E384" i="6"/>
  <c r="H384" i="6"/>
  <c r="D384" i="6"/>
  <c r="C384" i="6"/>
  <c r="J392" i="6"/>
  <c r="B392" i="6"/>
  <c r="I392" i="6"/>
  <c r="A392" i="6"/>
  <c r="E392" i="6"/>
  <c r="H392" i="6"/>
  <c r="G392" i="6"/>
  <c r="F392" i="6"/>
  <c r="D392" i="6"/>
  <c r="C392" i="6"/>
  <c r="J400" i="6"/>
  <c r="B400" i="6"/>
  <c r="I400" i="6"/>
  <c r="A400" i="6"/>
  <c r="F400" i="6"/>
  <c r="E400" i="6"/>
  <c r="G400" i="6"/>
  <c r="C400" i="6"/>
  <c r="H400" i="6"/>
  <c r="D400" i="6"/>
  <c r="J408" i="6"/>
  <c r="B408" i="6"/>
  <c r="I408" i="6"/>
  <c r="A408" i="6"/>
  <c r="E408" i="6"/>
  <c r="H408" i="6"/>
  <c r="G408" i="6"/>
  <c r="F408" i="6"/>
  <c r="D408" i="6"/>
  <c r="C408" i="6"/>
  <c r="E416" i="6"/>
  <c r="D416" i="6"/>
  <c r="C416" i="6"/>
  <c r="J416" i="6"/>
  <c r="I416" i="6"/>
  <c r="G416" i="6"/>
  <c r="A416" i="6"/>
  <c r="H416" i="6"/>
  <c r="F416" i="6"/>
  <c r="B416" i="6"/>
  <c r="E424" i="6"/>
  <c r="D424" i="6"/>
  <c r="C424" i="6"/>
  <c r="A424" i="6"/>
  <c r="H424" i="6"/>
  <c r="G424" i="6"/>
  <c r="J424" i="6"/>
  <c r="F424" i="6"/>
  <c r="B424" i="6"/>
  <c r="E432" i="6"/>
  <c r="D432" i="6"/>
  <c r="C432" i="6"/>
  <c r="F432" i="6"/>
  <c r="B432" i="6"/>
  <c r="G432" i="6"/>
  <c r="I432" i="6"/>
  <c r="A432" i="6"/>
  <c r="J432" i="6"/>
  <c r="E440" i="6"/>
  <c r="D440" i="6"/>
  <c r="C440" i="6"/>
  <c r="H440" i="6"/>
  <c r="G440" i="6"/>
  <c r="F440" i="6"/>
  <c r="B440" i="6"/>
  <c r="J440" i="6"/>
  <c r="I440" i="6"/>
  <c r="A440" i="6"/>
  <c r="E448" i="6"/>
  <c r="D448" i="6"/>
  <c r="C448" i="6"/>
  <c r="J448" i="6"/>
  <c r="I448" i="6"/>
  <c r="G448" i="6"/>
  <c r="B448" i="6"/>
  <c r="H448" i="6"/>
  <c r="A448" i="6"/>
  <c r="F448" i="6"/>
  <c r="E456" i="6"/>
  <c r="D456" i="6"/>
  <c r="C456" i="6"/>
  <c r="A456" i="6"/>
  <c r="I456" i="6"/>
  <c r="F456" i="6"/>
  <c r="B456" i="6"/>
  <c r="J456" i="6"/>
  <c r="H456" i="6"/>
  <c r="E464" i="6"/>
  <c r="D464" i="6"/>
  <c r="C464" i="6"/>
  <c r="F464" i="6"/>
  <c r="B464" i="6"/>
  <c r="G464" i="6"/>
  <c r="J464" i="6"/>
  <c r="I464" i="6"/>
  <c r="H464" i="6"/>
  <c r="A464" i="6"/>
  <c r="E472" i="6"/>
  <c r="D472" i="6"/>
  <c r="C472" i="6"/>
  <c r="I472" i="6"/>
  <c r="H472" i="6"/>
  <c r="G472" i="6"/>
  <c r="J472" i="6"/>
  <c r="A472" i="6"/>
  <c r="F472" i="6"/>
  <c r="B472" i="6"/>
  <c r="E480" i="6"/>
  <c r="D480" i="6"/>
  <c r="C480" i="6"/>
  <c r="B480" i="6"/>
  <c r="J480" i="6"/>
  <c r="I480" i="6"/>
  <c r="G480" i="6"/>
  <c r="A480" i="6"/>
  <c r="H480" i="6"/>
  <c r="F480" i="6"/>
  <c r="E488" i="6"/>
  <c r="D488" i="6"/>
  <c r="C488" i="6"/>
  <c r="G488" i="6"/>
  <c r="B488" i="6"/>
  <c r="A488" i="6"/>
  <c r="H488" i="6"/>
  <c r="F488" i="6"/>
  <c r="J488" i="6"/>
  <c r="I488" i="6"/>
  <c r="E496" i="6"/>
  <c r="D496" i="6"/>
  <c r="C496" i="6"/>
  <c r="I496" i="6"/>
  <c r="G496" i="6"/>
  <c r="F496" i="6"/>
  <c r="B496" i="6"/>
  <c r="H496" i="6"/>
  <c r="A496" i="6"/>
  <c r="J496" i="6"/>
  <c r="A4" i="6"/>
  <c r="I4" i="6"/>
  <c r="C5" i="6"/>
  <c r="E6" i="6"/>
  <c r="G7" i="6"/>
  <c r="A8" i="6"/>
  <c r="I8" i="6"/>
  <c r="C9" i="6"/>
  <c r="K9" i="6"/>
  <c r="E10" i="6"/>
  <c r="M10" i="6"/>
  <c r="G11" i="6"/>
  <c r="A12" i="6"/>
  <c r="I12" i="6"/>
  <c r="C13" i="6"/>
  <c r="E14" i="6"/>
  <c r="G15" i="6"/>
  <c r="A16" i="6"/>
  <c r="I16" i="6"/>
  <c r="C17" i="6"/>
  <c r="E18" i="6"/>
  <c r="M18" i="6"/>
  <c r="G19" i="6"/>
  <c r="A20" i="6"/>
  <c r="I20" i="6"/>
  <c r="C21" i="6"/>
  <c r="E22" i="6"/>
  <c r="G23" i="6"/>
  <c r="A24" i="6"/>
  <c r="I24" i="6"/>
  <c r="C25" i="6"/>
  <c r="E26" i="6"/>
  <c r="M26" i="6"/>
  <c r="G27" i="6"/>
  <c r="A28" i="6"/>
  <c r="I28" i="6"/>
  <c r="C29" i="6"/>
  <c r="E30" i="6"/>
  <c r="G31" i="6"/>
  <c r="A32" i="6"/>
  <c r="I32" i="6"/>
  <c r="C33" i="6"/>
  <c r="E34" i="6"/>
  <c r="M34" i="6"/>
  <c r="G35" i="6"/>
  <c r="A36" i="6"/>
  <c r="I36" i="6"/>
  <c r="C37" i="6"/>
  <c r="E38" i="6"/>
  <c r="H39" i="6"/>
  <c r="D40" i="6"/>
  <c r="H42" i="6"/>
  <c r="B44" i="6"/>
  <c r="L44" i="6"/>
  <c r="J45" i="6"/>
  <c r="F46" i="6"/>
  <c r="B47" i="6"/>
  <c r="N47" i="6"/>
  <c r="J48" i="6"/>
  <c r="D50" i="6"/>
  <c r="H52" i="6"/>
  <c r="D53" i="6"/>
  <c r="H55" i="6"/>
  <c r="D56" i="6"/>
  <c r="H58" i="6"/>
  <c r="B60" i="6"/>
  <c r="L60" i="6"/>
  <c r="J61" i="6"/>
  <c r="F62" i="6"/>
  <c r="B63" i="6"/>
  <c r="N63" i="6"/>
  <c r="J64" i="6"/>
  <c r="D66" i="6"/>
  <c r="H68" i="6"/>
  <c r="D69" i="6"/>
  <c r="H71" i="6"/>
  <c r="D72" i="6"/>
  <c r="I76" i="6"/>
  <c r="H77" i="6"/>
  <c r="F78" i="6"/>
  <c r="F79" i="6"/>
  <c r="D80" i="6"/>
  <c r="B82" i="6"/>
  <c r="H87" i="6"/>
  <c r="H88" i="6"/>
  <c r="E90" i="6"/>
  <c r="B92" i="6"/>
  <c r="B93" i="6"/>
  <c r="J96" i="6"/>
  <c r="F100" i="6"/>
  <c r="D101" i="6"/>
  <c r="D102" i="6"/>
  <c r="B103" i="6"/>
  <c r="A104" i="6"/>
  <c r="I108" i="6"/>
  <c r="H109" i="6"/>
  <c r="F110" i="6"/>
  <c r="F111" i="6"/>
  <c r="D112" i="6"/>
  <c r="B114" i="6"/>
  <c r="H119" i="6"/>
  <c r="H120" i="6"/>
  <c r="E122" i="6"/>
  <c r="B124" i="6"/>
  <c r="B125" i="6"/>
  <c r="J128" i="6"/>
  <c r="F132" i="6"/>
  <c r="D133" i="6"/>
  <c r="D134" i="6"/>
  <c r="B135" i="6"/>
  <c r="A136" i="6"/>
  <c r="I140" i="6"/>
  <c r="H141" i="6"/>
  <c r="F142" i="6"/>
  <c r="F143" i="6"/>
  <c r="D144" i="6"/>
  <c r="B146" i="6"/>
  <c r="H151" i="6"/>
  <c r="H152" i="6"/>
  <c r="E154" i="6"/>
  <c r="B156" i="6"/>
  <c r="B157" i="6"/>
  <c r="J160" i="6"/>
  <c r="F164" i="6"/>
  <c r="D165" i="6"/>
  <c r="D166" i="6"/>
  <c r="B167" i="6"/>
  <c r="A168" i="6"/>
  <c r="D176" i="6"/>
  <c r="B181" i="6"/>
  <c r="D198" i="6"/>
  <c r="J200" i="6"/>
  <c r="F205" i="6"/>
  <c r="B208" i="6"/>
  <c r="F215" i="6"/>
  <c r="H232" i="6"/>
  <c r="D237" i="6"/>
  <c r="C255" i="6"/>
  <c r="A263" i="6"/>
  <c r="A302" i="6"/>
  <c r="J309" i="6"/>
  <c r="F317" i="6"/>
  <c r="C325" i="6"/>
  <c r="I424" i="6"/>
  <c r="E43" i="6"/>
  <c r="C43" i="6"/>
  <c r="E51" i="6"/>
  <c r="C51" i="6"/>
  <c r="E59" i="6"/>
  <c r="C59" i="6"/>
  <c r="E67" i="6"/>
  <c r="C67" i="6"/>
  <c r="E75" i="6"/>
  <c r="C75" i="6"/>
  <c r="I75" i="6"/>
  <c r="A75" i="6"/>
  <c r="E83" i="6"/>
  <c r="C83" i="6"/>
  <c r="I83" i="6"/>
  <c r="A83" i="6"/>
  <c r="E91" i="6"/>
  <c r="C91" i="6"/>
  <c r="I91" i="6"/>
  <c r="A91" i="6"/>
  <c r="E99" i="6"/>
  <c r="C99" i="6"/>
  <c r="I99" i="6"/>
  <c r="A99" i="6"/>
  <c r="E107" i="6"/>
  <c r="C107" i="6"/>
  <c r="I107" i="6"/>
  <c r="A107" i="6"/>
  <c r="E115" i="6"/>
  <c r="C115" i="6"/>
  <c r="I115" i="6"/>
  <c r="A115" i="6"/>
  <c r="E123" i="6"/>
  <c r="C123" i="6"/>
  <c r="I123" i="6"/>
  <c r="A123" i="6"/>
  <c r="E131" i="6"/>
  <c r="C131" i="6"/>
  <c r="I131" i="6"/>
  <c r="A131" i="6"/>
  <c r="E139" i="6"/>
  <c r="C139" i="6"/>
  <c r="I139" i="6"/>
  <c r="A139" i="6"/>
  <c r="E147" i="6"/>
  <c r="C147" i="6"/>
  <c r="I147" i="6"/>
  <c r="A147" i="6"/>
  <c r="E155" i="6"/>
  <c r="C155" i="6"/>
  <c r="I155" i="6"/>
  <c r="A155" i="6"/>
  <c r="E163" i="6"/>
  <c r="C163" i="6"/>
  <c r="I163" i="6"/>
  <c r="A163" i="6"/>
  <c r="G171" i="6"/>
  <c r="E171" i="6"/>
  <c r="D171" i="6"/>
  <c r="C171" i="6"/>
  <c r="I171" i="6"/>
  <c r="F171" i="6"/>
  <c r="A171" i="6"/>
  <c r="I179" i="6"/>
  <c r="A179" i="6"/>
  <c r="G179" i="6"/>
  <c r="E179" i="6"/>
  <c r="D179" i="6"/>
  <c r="C179" i="6"/>
  <c r="J179" i="6"/>
  <c r="I187" i="6"/>
  <c r="A187" i="6"/>
  <c r="G187" i="6"/>
  <c r="E187" i="6"/>
  <c r="D187" i="6"/>
  <c r="C187" i="6"/>
  <c r="J187" i="6"/>
  <c r="F187" i="6"/>
  <c r="I195" i="6"/>
  <c r="A195" i="6"/>
  <c r="G195" i="6"/>
  <c r="E195" i="6"/>
  <c r="D195" i="6"/>
  <c r="C195" i="6"/>
  <c r="J195" i="6"/>
  <c r="F195" i="6"/>
  <c r="I203" i="6"/>
  <c r="A203" i="6"/>
  <c r="G203" i="6"/>
  <c r="E203" i="6"/>
  <c r="D203" i="6"/>
  <c r="C203" i="6"/>
  <c r="F203" i="6"/>
  <c r="I211" i="6"/>
  <c r="A211" i="6"/>
  <c r="G211" i="6"/>
  <c r="E211" i="6"/>
  <c r="D211" i="6"/>
  <c r="C211" i="6"/>
  <c r="J211" i="6"/>
  <c r="I219" i="6"/>
  <c r="A219" i="6"/>
  <c r="G219" i="6"/>
  <c r="E219" i="6"/>
  <c r="D219" i="6"/>
  <c r="C219" i="6"/>
  <c r="J219" i="6"/>
  <c r="F219" i="6"/>
  <c r="I227" i="6"/>
  <c r="A227" i="6"/>
  <c r="G227" i="6"/>
  <c r="E227" i="6"/>
  <c r="D227" i="6"/>
  <c r="C227" i="6"/>
  <c r="J227" i="6"/>
  <c r="F227" i="6"/>
  <c r="I235" i="6"/>
  <c r="A235" i="6"/>
  <c r="G235" i="6"/>
  <c r="E235" i="6"/>
  <c r="D235" i="6"/>
  <c r="C235" i="6"/>
  <c r="F235" i="6"/>
  <c r="I243" i="6"/>
  <c r="A243" i="6"/>
  <c r="G243" i="6"/>
  <c r="E243" i="6"/>
  <c r="D243" i="6"/>
  <c r="C243" i="6"/>
  <c r="J243" i="6"/>
  <c r="H251" i="6"/>
  <c r="E251" i="6"/>
  <c r="D251" i="6"/>
  <c r="A251" i="6"/>
  <c r="J251" i="6"/>
  <c r="G251" i="6"/>
  <c r="F251" i="6"/>
  <c r="C251" i="6"/>
  <c r="H259" i="6"/>
  <c r="E259" i="6"/>
  <c r="D259" i="6"/>
  <c r="C259" i="6"/>
  <c r="A259" i="6"/>
  <c r="J259" i="6"/>
  <c r="I259" i="6"/>
  <c r="G259" i="6"/>
  <c r="B259" i="6"/>
  <c r="H267" i="6"/>
  <c r="E267" i="6"/>
  <c r="D267" i="6"/>
  <c r="G267" i="6"/>
  <c r="C267" i="6"/>
  <c r="A267" i="6"/>
  <c r="J267" i="6"/>
  <c r="I267" i="6"/>
  <c r="B267" i="6"/>
  <c r="H275" i="6"/>
  <c r="E275" i="6"/>
  <c r="D275" i="6"/>
  <c r="J275" i="6"/>
  <c r="G275" i="6"/>
  <c r="C275" i="6"/>
  <c r="B275" i="6"/>
  <c r="A275" i="6"/>
  <c r="H283" i="6"/>
  <c r="E283" i="6"/>
  <c r="D283" i="6"/>
  <c r="A283" i="6"/>
  <c r="J283" i="6"/>
  <c r="G283" i="6"/>
  <c r="F283" i="6"/>
  <c r="C283" i="6"/>
  <c r="I283" i="6"/>
  <c r="H291" i="6"/>
  <c r="E291" i="6"/>
  <c r="D291" i="6"/>
  <c r="C291" i="6"/>
  <c r="A291" i="6"/>
  <c r="J291" i="6"/>
  <c r="I291" i="6"/>
  <c r="G291" i="6"/>
  <c r="F291" i="6"/>
  <c r="H299" i="6"/>
  <c r="E299" i="6"/>
  <c r="D299" i="6"/>
  <c r="G299" i="6"/>
  <c r="C299" i="6"/>
  <c r="A299" i="6"/>
  <c r="J299" i="6"/>
  <c r="F299" i="6"/>
  <c r="H307" i="6"/>
  <c r="E307" i="6"/>
  <c r="D307" i="6"/>
  <c r="J307" i="6"/>
  <c r="G307" i="6"/>
  <c r="C307" i="6"/>
  <c r="B307" i="6"/>
  <c r="A307" i="6"/>
  <c r="H315" i="6"/>
  <c r="E315" i="6"/>
  <c r="D315" i="6"/>
  <c r="A315" i="6"/>
  <c r="J315" i="6"/>
  <c r="G315" i="6"/>
  <c r="F315" i="6"/>
  <c r="C315" i="6"/>
  <c r="B315" i="6"/>
  <c r="H323" i="6"/>
  <c r="E323" i="6"/>
  <c r="D323" i="6"/>
  <c r="C323" i="6"/>
  <c r="A323" i="6"/>
  <c r="J323" i="6"/>
  <c r="I323" i="6"/>
  <c r="G323" i="6"/>
  <c r="B323" i="6"/>
  <c r="H331" i="6"/>
  <c r="E331" i="6"/>
  <c r="D331" i="6"/>
  <c r="G331" i="6"/>
  <c r="C331" i="6"/>
  <c r="B331" i="6"/>
  <c r="A331" i="6"/>
  <c r="J331" i="6"/>
  <c r="I331" i="6"/>
  <c r="H339" i="6"/>
  <c r="E339" i="6"/>
  <c r="D339" i="6"/>
  <c r="J339" i="6"/>
  <c r="G339" i="6"/>
  <c r="F339" i="6"/>
  <c r="C339" i="6"/>
  <c r="B339" i="6"/>
  <c r="A339" i="6"/>
  <c r="H347" i="6"/>
  <c r="E347" i="6"/>
  <c r="D347" i="6"/>
  <c r="A347" i="6"/>
  <c r="J347" i="6"/>
  <c r="I347" i="6"/>
  <c r="G347" i="6"/>
  <c r="F347" i="6"/>
  <c r="C347" i="6"/>
  <c r="B347" i="6"/>
  <c r="H355" i="6"/>
  <c r="E355" i="6"/>
  <c r="D355" i="6"/>
  <c r="C355" i="6"/>
  <c r="A355" i="6"/>
  <c r="J355" i="6"/>
  <c r="I355" i="6"/>
  <c r="G355" i="6"/>
  <c r="F355" i="6"/>
  <c r="H363" i="6"/>
  <c r="E363" i="6"/>
  <c r="D363" i="6"/>
  <c r="G363" i="6"/>
  <c r="C363" i="6"/>
  <c r="B363" i="6"/>
  <c r="A363" i="6"/>
  <c r="J363" i="6"/>
  <c r="H371" i="6"/>
  <c r="E371" i="6"/>
  <c r="D371" i="6"/>
  <c r="J371" i="6"/>
  <c r="G371" i="6"/>
  <c r="F371" i="6"/>
  <c r="C371" i="6"/>
  <c r="B371" i="6"/>
  <c r="A371" i="6"/>
  <c r="I371" i="6"/>
  <c r="H379" i="6"/>
  <c r="G379" i="6"/>
  <c r="E379" i="6"/>
  <c r="B379" i="6"/>
  <c r="A379" i="6"/>
  <c r="J379" i="6"/>
  <c r="F379" i="6"/>
  <c r="D379" i="6"/>
  <c r="C379" i="6"/>
  <c r="H387" i="6"/>
  <c r="G387" i="6"/>
  <c r="A387" i="6"/>
  <c r="F387" i="6"/>
  <c r="E387" i="6"/>
  <c r="B387" i="6"/>
  <c r="J387" i="6"/>
  <c r="I387" i="6"/>
  <c r="D387" i="6"/>
  <c r="C387" i="6"/>
  <c r="H395" i="6"/>
  <c r="G395" i="6"/>
  <c r="E395" i="6"/>
  <c r="B395" i="6"/>
  <c r="A395" i="6"/>
  <c r="I395" i="6"/>
  <c r="D395" i="6"/>
  <c r="C395" i="6"/>
  <c r="J395" i="6"/>
  <c r="F395" i="6"/>
  <c r="H403" i="6"/>
  <c r="G403" i="6"/>
  <c r="A403" i="6"/>
  <c r="F403" i="6"/>
  <c r="E403" i="6"/>
  <c r="J403" i="6"/>
  <c r="I403" i="6"/>
  <c r="D403" i="6"/>
  <c r="C403" i="6"/>
  <c r="B403" i="6"/>
  <c r="H411" i="6"/>
  <c r="G411" i="6"/>
  <c r="E411" i="6"/>
  <c r="B411" i="6"/>
  <c r="A411" i="6"/>
  <c r="F411" i="6"/>
  <c r="C411" i="6"/>
  <c r="J411" i="6"/>
  <c r="I411" i="6"/>
  <c r="C419" i="6"/>
  <c r="J419" i="6"/>
  <c r="B419" i="6"/>
  <c r="I419" i="6"/>
  <c r="A419" i="6"/>
  <c r="G419" i="6"/>
  <c r="F419" i="6"/>
  <c r="H419" i="6"/>
  <c r="E419" i="6"/>
  <c r="D419" i="6"/>
  <c r="C427" i="6"/>
  <c r="J427" i="6"/>
  <c r="B427" i="6"/>
  <c r="I427" i="6"/>
  <c r="A427" i="6"/>
  <c r="H427" i="6"/>
  <c r="F427" i="6"/>
  <c r="G427" i="6"/>
  <c r="E427" i="6"/>
  <c r="D427" i="6"/>
  <c r="C435" i="6"/>
  <c r="J435" i="6"/>
  <c r="B435" i="6"/>
  <c r="I435" i="6"/>
  <c r="A435" i="6"/>
  <c r="G435" i="6"/>
  <c r="F435" i="6"/>
  <c r="H435" i="6"/>
  <c r="E435" i="6"/>
  <c r="D435" i="6"/>
  <c r="C443" i="6"/>
  <c r="J443" i="6"/>
  <c r="B443" i="6"/>
  <c r="I443" i="6"/>
  <c r="A443" i="6"/>
  <c r="E443" i="6"/>
  <c r="D443" i="6"/>
  <c r="H443" i="6"/>
  <c r="F443" i="6"/>
  <c r="C451" i="6"/>
  <c r="J451" i="6"/>
  <c r="B451" i="6"/>
  <c r="I451" i="6"/>
  <c r="A451" i="6"/>
  <c r="G451" i="6"/>
  <c r="F451" i="6"/>
  <c r="E451" i="6"/>
  <c r="D451" i="6"/>
  <c r="H451" i="6"/>
  <c r="C459" i="6"/>
  <c r="J459" i="6"/>
  <c r="B459" i="6"/>
  <c r="I459" i="6"/>
  <c r="A459" i="6"/>
  <c r="H459" i="6"/>
  <c r="F459" i="6"/>
  <c r="D459" i="6"/>
  <c r="G459" i="6"/>
  <c r="E459" i="6"/>
  <c r="C467" i="6"/>
  <c r="J467" i="6"/>
  <c r="B467" i="6"/>
  <c r="I467" i="6"/>
  <c r="A467" i="6"/>
  <c r="F467" i="6"/>
  <c r="E467" i="6"/>
  <c r="D467" i="6"/>
  <c r="H467" i="6"/>
  <c r="G467" i="6"/>
  <c r="C475" i="6"/>
  <c r="J475" i="6"/>
  <c r="B475" i="6"/>
  <c r="I475" i="6"/>
  <c r="A475" i="6"/>
  <c r="H475" i="6"/>
  <c r="F475" i="6"/>
  <c r="E475" i="6"/>
  <c r="D475" i="6"/>
  <c r="G475" i="6"/>
  <c r="C483" i="6"/>
  <c r="J483" i="6"/>
  <c r="B483" i="6"/>
  <c r="I483" i="6"/>
  <c r="A483" i="6"/>
  <c r="H483" i="6"/>
  <c r="G483" i="6"/>
  <c r="F483" i="6"/>
  <c r="E483" i="6"/>
  <c r="D483" i="6"/>
  <c r="C491" i="6"/>
  <c r="J491" i="6"/>
  <c r="B491" i="6"/>
  <c r="I491" i="6"/>
  <c r="A491" i="6"/>
  <c r="D491" i="6"/>
  <c r="H491" i="6"/>
  <c r="F491" i="6"/>
  <c r="G491" i="6"/>
  <c r="E491" i="6"/>
  <c r="C499" i="6"/>
  <c r="J499" i="6"/>
  <c r="B499" i="6"/>
  <c r="I499" i="6"/>
  <c r="A499" i="6"/>
  <c r="F499" i="6"/>
  <c r="D499" i="6"/>
  <c r="G499" i="6"/>
  <c r="E499" i="6"/>
  <c r="H499" i="6"/>
  <c r="D5" i="6"/>
  <c r="F6" i="6"/>
  <c r="H7" i="6"/>
  <c r="H11" i="6"/>
  <c r="D13" i="6"/>
  <c r="F14" i="6"/>
  <c r="H15" i="6"/>
  <c r="H19" i="6"/>
  <c r="D21" i="6"/>
  <c r="F22" i="6"/>
  <c r="H23" i="6"/>
  <c r="H27" i="6"/>
  <c r="D29" i="6"/>
  <c r="F30" i="6"/>
  <c r="H31" i="6"/>
  <c r="H35" i="6"/>
  <c r="D37" i="6"/>
  <c r="F38" i="6"/>
  <c r="I39" i="6"/>
  <c r="G43" i="6"/>
  <c r="N44" i="6"/>
  <c r="D47" i="6"/>
  <c r="K48" i="6"/>
  <c r="A51" i="6"/>
  <c r="E53" i="6"/>
  <c r="I55" i="6"/>
  <c r="G59" i="6"/>
  <c r="N60" i="6"/>
  <c r="G62" i="6"/>
  <c r="D63" i="6"/>
  <c r="K64" i="6"/>
  <c r="A67" i="6"/>
  <c r="E69" i="6"/>
  <c r="B70" i="6"/>
  <c r="I71" i="6"/>
  <c r="J77" i="6"/>
  <c r="G79" i="6"/>
  <c r="B83" i="6"/>
  <c r="M84" i="6"/>
  <c r="K84" i="6"/>
  <c r="N84" i="6"/>
  <c r="J87" i="6"/>
  <c r="F91" i="6"/>
  <c r="C93" i="6"/>
  <c r="B94" i="6"/>
  <c r="H99" i="6"/>
  <c r="F101" i="6"/>
  <c r="E102" i="6"/>
  <c r="D103" i="6"/>
  <c r="J109" i="6"/>
  <c r="G111" i="6"/>
  <c r="B115" i="6"/>
  <c r="M116" i="6"/>
  <c r="K116" i="6"/>
  <c r="N116" i="6"/>
  <c r="J119" i="6"/>
  <c r="F123" i="6"/>
  <c r="C125" i="6"/>
  <c r="B126" i="6"/>
  <c r="H131" i="6"/>
  <c r="F133" i="6"/>
  <c r="E134" i="6"/>
  <c r="D135" i="6"/>
  <c r="J141" i="6"/>
  <c r="G143" i="6"/>
  <c r="B147" i="6"/>
  <c r="M148" i="6"/>
  <c r="K148" i="6"/>
  <c r="N148" i="6"/>
  <c r="J151" i="6"/>
  <c r="F155" i="6"/>
  <c r="C157" i="6"/>
  <c r="H163" i="6"/>
  <c r="F165" i="6"/>
  <c r="D167" i="6"/>
  <c r="D174" i="6"/>
  <c r="B179" i="6"/>
  <c r="F181" i="6"/>
  <c r="F191" i="6"/>
  <c r="H203" i="6"/>
  <c r="B213" i="6"/>
  <c r="D230" i="6"/>
  <c r="B235" i="6"/>
  <c r="F237" i="6"/>
  <c r="I251" i="6"/>
  <c r="F259" i="6"/>
  <c r="G263" i="6"/>
  <c r="F267" i="6"/>
  <c r="A271" i="6"/>
  <c r="F275" i="6"/>
  <c r="A279" i="6"/>
  <c r="A310" i="6"/>
  <c r="F331" i="6"/>
  <c r="B355" i="6"/>
  <c r="A367" i="6"/>
  <c r="G373" i="6"/>
  <c r="G443" i="6"/>
  <c r="I11" i="4"/>
  <c r="C46" i="6"/>
  <c r="I46" i="6"/>
  <c r="A46" i="6"/>
  <c r="C54" i="6"/>
  <c r="I54" i="6"/>
  <c r="A54" i="6"/>
  <c r="C78" i="6"/>
  <c r="I78" i="6"/>
  <c r="A78" i="6"/>
  <c r="G78" i="6"/>
  <c r="C110" i="6"/>
  <c r="I110" i="6"/>
  <c r="A110" i="6"/>
  <c r="G110" i="6"/>
  <c r="C118" i="6"/>
  <c r="I118" i="6"/>
  <c r="A118" i="6"/>
  <c r="G118" i="6"/>
  <c r="C142" i="6"/>
  <c r="I142" i="6"/>
  <c r="A142" i="6"/>
  <c r="G142" i="6"/>
  <c r="C150" i="6"/>
  <c r="I150" i="6"/>
  <c r="A150" i="6"/>
  <c r="G150" i="6"/>
  <c r="C158" i="6"/>
  <c r="I158" i="6"/>
  <c r="A158" i="6"/>
  <c r="G158" i="6"/>
  <c r="C166" i="6"/>
  <c r="I166" i="6"/>
  <c r="A166" i="6"/>
  <c r="G166" i="6"/>
  <c r="G190" i="6"/>
  <c r="E190" i="6"/>
  <c r="C190" i="6"/>
  <c r="J190" i="6"/>
  <c r="B190" i="6"/>
  <c r="I190" i="6"/>
  <c r="A190" i="6"/>
  <c r="F190" i="6"/>
  <c r="G206" i="6"/>
  <c r="E206" i="6"/>
  <c r="C206" i="6"/>
  <c r="J206" i="6"/>
  <c r="B206" i="6"/>
  <c r="I206" i="6"/>
  <c r="A206" i="6"/>
  <c r="F206" i="6"/>
  <c r="G222" i="6"/>
  <c r="E222" i="6"/>
  <c r="C222" i="6"/>
  <c r="J222" i="6"/>
  <c r="B222" i="6"/>
  <c r="I222" i="6"/>
  <c r="A222" i="6"/>
  <c r="F222" i="6"/>
  <c r="G238" i="6"/>
  <c r="E238" i="6"/>
  <c r="C238" i="6"/>
  <c r="J238" i="6"/>
  <c r="B238" i="6"/>
  <c r="I238" i="6"/>
  <c r="A238" i="6"/>
  <c r="F238" i="6"/>
  <c r="F254" i="6"/>
  <c r="C254" i="6"/>
  <c r="J254" i="6"/>
  <c r="B254" i="6"/>
  <c r="I254" i="6"/>
  <c r="G254" i="6"/>
  <c r="D254" i="6"/>
  <c r="A254" i="6"/>
  <c r="E254" i="6"/>
  <c r="F270" i="6"/>
  <c r="C270" i="6"/>
  <c r="J270" i="6"/>
  <c r="B270" i="6"/>
  <c r="D270" i="6"/>
  <c r="I270" i="6"/>
  <c r="H270" i="6"/>
  <c r="G270" i="6"/>
  <c r="A270" i="6"/>
  <c r="F278" i="6"/>
  <c r="C278" i="6"/>
  <c r="J278" i="6"/>
  <c r="B278" i="6"/>
  <c r="G278" i="6"/>
  <c r="D278" i="6"/>
  <c r="I278" i="6"/>
  <c r="H278" i="6"/>
  <c r="F294" i="6"/>
  <c r="C294" i="6"/>
  <c r="J294" i="6"/>
  <c r="B294" i="6"/>
  <c r="I294" i="6"/>
  <c r="G294" i="6"/>
  <c r="E294" i="6"/>
  <c r="D294" i="6"/>
  <c r="H294" i="6"/>
  <c r="F302" i="6"/>
  <c r="C302" i="6"/>
  <c r="J302" i="6"/>
  <c r="B302" i="6"/>
  <c r="D302" i="6"/>
  <c r="I302" i="6"/>
  <c r="H302" i="6"/>
  <c r="G302" i="6"/>
  <c r="F318" i="6"/>
  <c r="C318" i="6"/>
  <c r="J318" i="6"/>
  <c r="B318" i="6"/>
  <c r="I318" i="6"/>
  <c r="G318" i="6"/>
  <c r="D318" i="6"/>
  <c r="A318" i="6"/>
  <c r="E318" i="6"/>
  <c r="F342" i="6"/>
  <c r="C342" i="6"/>
  <c r="J342" i="6"/>
  <c r="B342" i="6"/>
  <c r="G342" i="6"/>
  <c r="D342" i="6"/>
  <c r="A342" i="6"/>
  <c r="I342" i="6"/>
  <c r="H342" i="6"/>
  <c r="F358" i="6"/>
  <c r="C358" i="6"/>
  <c r="J358" i="6"/>
  <c r="B358" i="6"/>
  <c r="I358" i="6"/>
  <c r="H358" i="6"/>
  <c r="G358" i="6"/>
  <c r="E358" i="6"/>
  <c r="D358" i="6"/>
  <c r="A358" i="6"/>
  <c r="F374" i="6"/>
  <c r="E374" i="6"/>
  <c r="A374" i="6"/>
  <c r="H374" i="6"/>
  <c r="G374" i="6"/>
  <c r="I374" i="6"/>
  <c r="D374" i="6"/>
  <c r="C374" i="6"/>
  <c r="B374" i="6"/>
  <c r="F382" i="6"/>
  <c r="E382" i="6"/>
  <c r="G382" i="6"/>
  <c r="B382" i="6"/>
  <c r="A382" i="6"/>
  <c r="C382" i="6"/>
  <c r="J382" i="6"/>
  <c r="I382" i="6"/>
  <c r="H382" i="6"/>
  <c r="D382" i="6"/>
  <c r="F390" i="6"/>
  <c r="E390" i="6"/>
  <c r="A390" i="6"/>
  <c r="H390" i="6"/>
  <c r="G390" i="6"/>
  <c r="J390" i="6"/>
  <c r="D390" i="6"/>
  <c r="C390" i="6"/>
  <c r="B390" i="6"/>
  <c r="I390" i="6"/>
  <c r="F398" i="6"/>
  <c r="E398" i="6"/>
  <c r="G398" i="6"/>
  <c r="B398" i="6"/>
  <c r="A398" i="6"/>
  <c r="J398" i="6"/>
  <c r="I398" i="6"/>
  <c r="H398" i="6"/>
  <c r="D398" i="6"/>
  <c r="C398" i="6"/>
  <c r="F414" i="6"/>
  <c r="E414" i="6"/>
  <c r="G414" i="6"/>
  <c r="B414" i="6"/>
  <c r="A414" i="6"/>
  <c r="J414" i="6"/>
  <c r="I414" i="6"/>
  <c r="H414" i="6"/>
  <c r="D414" i="6"/>
  <c r="C414" i="6"/>
  <c r="I422" i="6"/>
  <c r="A422" i="6"/>
  <c r="H422" i="6"/>
  <c r="G422" i="6"/>
  <c r="D422" i="6"/>
  <c r="C422" i="6"/>
  <c r="J422" i="6"/>
  <c r="B422" i="6"/>
  <c r="F422" i="6"/>
  <c r="E422" i="6"/>
  <c r="I446" i="6"/>
  <c r="A446" i="6"/>
  <c r="H446" i="6"/>
  <c r="G446" i="6"/>
  <c r="B446" i="6"/>
  <c r="C446" i="6"/>
  <c r="F446" i="6"/>
  <c r="E446" i="6"/>
  <c r="D446" i="6"/>
  <c r="I470" i="6"/>
  <c r="A470" i="6"/>
  <c r="H470" i="6"/>
  <c r="G470" i="6"/>
  <c r="C470" i="6"/>
  <c r="J470" i="6"/>
  <c r="D470" i="6"/>
  <c r="B470" i="6"/>
  <c r="F470" i="6"/>
  <c r="E470" i="6"/>
  <c r="I478" i="6"/>
  <c r="A478" i="6"/>
  <c r="H478" i="6"/>
  <c r="G478" i="6"/>
  <c r="E478" i="6"/>
  <c r="C478" i="6"/>
  <c r="B478" i="6"/>
  <c r="J478" i="6"/>
  <c r="D478" i="6"/>
  <c r="I486" i="6"/>
  <c r="A486" i="6"/>
  <c r="H486" i="6"/>
  <c r="G486" i="6"/>
  <c r="J486" i="6"/>
  <c r="E486" i="6"/>
  <c r="D486" i="6"/>
  <c r="C486" i="6"/>
  <c r="F486" i="6"/>
  <c r="B486" i="6"/>
  <c r="E5" i="6"/>
  <c r="A7" i="6"/>
  <c r="I7" i="6"/>
  <c r="E13" i="6"/>
  <c r="A15" i="6"/>
  <c r="E21" i="6"/>
  <c r="G22" i="6"/>
  <c r="A23" i="6"/>
  <c r="I23" i="6"/>
  <c r="E29" i="6"/>
  <c r="G30" i="6"/>
  <c r="A31" i="6"/>
  <c r="I31" i="6"/>
  <c r="E37" i="6"/>
  <c r="G38" i="6"/>
  <c r="A39" i="6"/>
  <c r="J39" i="6"/>
  <c r="B45" i="6"/>
  <c r="H46" i="6"/>
  <c r="F47" i="6"/>
  <c r="F53" i="6"/>
  <c r="D54" i="6"/>
  <c r="J55" i="6"/>
  <c r="B61" i="6"/>
  <c r="F63" i="6"/>
  <c r="B67" i="6"/>
  <c r="F69" i="6"/>
  <c r="J71" i="6"/>
  <c r="J78" i="6"/>
  <c r="H79" i="6"/>
  <c r="D83" i="6"/>
  <c r="B85" i="6"/>
  <c r="G91" i="6"/>
  <c r="D93" i="6"/>
  <c r="B95" i="6"/>
  <c r="M96" i="6"/>
  <c r="K96" i="6"/>
  <c r="N96" i="6"/>
  <c r="J99" i="6"/>
  <c r="H101" i="6"/>
  <c r="F103" i="6"/>
  <c r="J110" i="6"/>
  <c r="H111" i="6"/>
  <c r="D115" i="6"/>
  <c r="B117" i="6"/>
  <c r="G123" i="6"/>
  <c r="D125" i="6"/>
  <c r="B127" i="6"/>
  <c r="M128" i="6"/>
  <c r="K128" i="6"/>
  <c r="N128" i="6"/>
  <c r="J131" i="6"/>
  <c r="H133" i="6"/>
  <c r="F135" i="6"/>
  <c r="J142" i="6"/>
  <c r="H143" i="6"/>
  <c r="D147" i="6"/>
  <c r="B149" i="6"/>
  <c r="G155" i="6"/>
  <c r="D157" i="6"/>
  <c r="D158" i="6"/>
  <c r="B159" i="6"/>
  <c r="M160" i="6"/>
  <c r="K160" i="6"/>
  <c r="N160" i="6"/>
  <c r="J163" i="6"/>
  <c r="H165" i="6"/>
  <c r="F166" i="6"/>
  <c r="F167" i="6"/>
  <c r="F179" i="6"/>
  <c r="B189" i="6"/>
  <c r="H191" i="6"/>
  <c r="J203" i="6"/>
  <c r="D206" i="6"/>
  <c r="B211" i="6"/>
  <c r="F213" i="6"/>
  <c r="F223" i="6"/>
  <c r="H235" i="6"/>
  <c r="B245" i="6"/>
  <c r="N252" i="6"/>
  <c r="L252" i="6"/>
  <c r="M252" i="6"/>
  <c r="N260" i="6"/>
  <c r="L260" i="6"/>
  <c r="N268" i="6"/>
  <c r="L268" i="6"/>
  <c r="K268" i="6"/>
  <c r="M268" i="6"/>
  <c r="I275" i="6"/>
  <c r="B283" i="6"/>
  <c r="G287" i="6"/>
  <c r="B291" i="6"/>
  <c r="A295" i="6"/>
  <c r="B299" i="6"/>
  <c r="H318" i="6"/>
  <c r="J349" i="6"/>
  <c r="N356" i="6"/>
  <c r="L356" i="6"/>
  <c r="K356" i="6"/>
  <c r="J374" i="6"/>
  <c r="J413" i="6"/>
  <c r="B493" i="6"/>
  <c r="C62" i="6"/>
  <c r="I62" i="6"/>
  <c r="A62" i="6"/>
  <c r="C70" i="6"/>
  <c r="I70" i="6"/>
  <c r="A70" i="6"/>
  <c r="C86" i="6"/>
  <c r="I86" i="6"/>
  <c r="A86" i="6"/>
  <c r="G86" i="6"/>
  <c r="C94" i="6"/>
  <c r="I94" i="6"/>
  <c r="A94" i="6"/>
  <c r="G94" i="6"/>
  <c r="C102" i="6"/>
  <c r="I102" i="6"/>
  <c r="A102" i="6"/>
  <c r="G102" i="6"/>
  <c r="C126" i="6"/>
  <c r="I126" i="6"/>
  <c r="A126" i="6"/>
  <c r="G126" i="6"/>
  <c r="C134" i="6"/>
  <c r="I134" i="6"/>
  <c r="A134" i="6"/>
  <c r="G134" i="6"/>
  <c r="G174" i="6"/>
  <c r="E174" i="6"/>
  <c r="C174" i="6"/>
  <c r="J174" i="6"/>
  <c r="B174" i="6"/>
  <c r="I174" i="6"/>
  <c r="A174" i="6"/>
  <c r="F174" i="6"/>
  <c r="G182" i="6"/>
  <c r="E182" i="6"/>
  <c r="C182" i="6"/>
  <c r="J182" i="6"/>
  <c r="B182" i="6"/>
  <c r="I182" i="6"/>
  <c r="A182" i="6"/>
  <c r="G198" i="6"/>
  <c r="E198" i="6"/>
  <c r="C198" i="6"/>
  <c r="J198" i="6"/>
  <c r="B198" i="6"/>
  <c r="I198" i="6"/>
  <c r="A198" i="6"/>
  <c r="F198" i="6"/>
  <c r="G214" i="6"/>
  <c r="E214" i="6"/>
  <c r="C214" i="6"/>
  <c r="J214" i="6"/>
  <c r="B214" i="6"/>
  <c r="I214" i="6"/>
  <c r="A214" i="6"/>
  <c r="G230" i="6"/>
  <c r="E230" i="6"/>
  <c r="C230" i="6"/>
  <c r="J230" i="6"/>
  <c r="B230" i="6"/>
  <c r="I230" i="6"/>
  <c r="A230" i="6"/>
  <c r="F230" i="6"/>
  <c r="F246" i="6"/>
  <c r="J246" i="6"/>
  <c r="H246" i="6"/>
  <c r="E246" i="6"/>
  <c r="C246" i="6"/>
  <c r="B246" i="6"/>
  <c r="A246" i="6"/>
  <c r="F262" i="6"/>
  <c r="C262" i="6"/>
  <c r="J262" i="6"/>
  <c r="B262" i="6"/>
  <c r="I262" i="6"/>
  <c r="G262" i="6"/>
  <c r="E262" i="6"/>
  <c r="D262" i="6"/>
  <c r="A262" i="6"/>
  <c r="F286" i="6"/>
  <c r="C286" i="6"/>
  <c r="J286" i="6"/>
  <c r="B286" i="6"/>
  <c r="I286" i="6"/>
  <c r="G286" i="6"/>
  <c r="D286" i="6"/>
  <c r="A286" i="6"/>
  <c r="H286" i="6"/>
  <c r="F310" i="6"/>
  <c r="C310" i="6"/>
  <c r="J310" i="6"/>
  <c r="B310" i="6"/>
  <c r="G310" i="6"/>
  <c r="D310" i="6"/>
  <c r="I310" i="6"/>
  <c r="E310" i="6"/>
  <c r="F326" i="6"/>
  <c r="C326" i="6"/>
  <c r="J326" i="6"/>
  <c r="B326" i="6"/>
  <c r="I326" i="6"/>
  <c r="H326" i="6"/>
  <c r="G326" i="6"/>
  <c r="E326" i="6"/>
  <c r="D326" i="6"/>
  <c r="A326" i="6"/>
  <c r="F334" i="6"/>
  <c r="C334" i="6"/>
  <c r="J334" i="6"/>
  <c r="B334" i="6"/>
  <c r="D334" i="6"/>
  <c r="I334" i="6"/>
  <c r="H334" i="6"/>
  <c r="G334" i="6"/>
  <c r="F350" i="6"/>
  <c r="C350" i="6"/>
  <c r="J350" i="6"/>
  <c r="B350" i="6"/>
  <c r="I350" i="6"/>
  <c r="G350" i="6"/>
  <c r="E350" i="6"/>
  <c r="D350" i="6"/>
  <c r="A350" i="6"/>
  <c r="F366" i="6"/>
  <c r="C366" i="6"/>
  <c r="J366" i="6"/>
  <c r="B366" i="6"/>
  <c r="D366" i="6"/>
  <c r="I366" i="6"/>
  <c r="H366" i="6"/>
  <c r="G366" i="6"/>
  <c r="E366" i="6"/>
  <c r="F406" i="6"/>
  <c r="E406" i="6"/>
  <c r="A406" i="6"/>
  <c r="H406" i="6"/>
  <c r="G406" i="6"/>
  <c r="I406" i="6"/>
  <c r="C406" i="6"/>
  <c r="B406" i="6"/>
  <c r="J406" i="6"/>
  <c r="I430" i="6"/>
  <c r="A430" i="6"/>
  <c r="H430" i="6"/>
  <c r="G430" i="6"/>
  <c r="F430" i="6"/>
  <c r="E430" i="6"/>
  <c r="J430" i="6"/>
  <c r="C430" i="6"/>
  <c r="B430" i="6"/>
  <c r="D430" i="6"/>
  <c r="I438" i="6"/>
  <c r="A438" i="6"/>
  <c r="H438" i="6"/>
  <c r="G438" i="6"/>
  <c r="J438" i="6"/>
  <c r="E438" i="6"/>
  <c r="B438" i="6"/>
  <c r="D438" i="6"/>
  <c r="C438" i="6"/>
  <c r="F438" i="6"/>
  <c r="I454" i="6"/>
  <c r="A454" i="6"/>
  <c r="H454" i="6"/>
  <c r="G454" i="6"/>
  <c r="D454" i="6"/>
  <c r="C454" i="6"/>
  <c r="J454" i="6"/>
  <c r="E454" i="6"/>
  <c r="F454" i="6"/>
  <c r="B454" i="6"/>
  <c r="I462" i="6"/>
  <c r="A462" i="6"/>
  <c r="H462" i="6"/>
  <c r="G462" i="6"/>
  <c r="F462" i="6"/>
  <c r="E462" i="6"/>
  <c r="D462" i="6"/>
  <c r="C462" i="6"/>
  <c r="J462" i="6"/>
  <c r="B462" i="6"/>
  <c r="I494" i="6"/>
  <c r="A494" i="6"/>
  <c r="H494" i="6"/>
  <c r="G494" i="6"/>
  <c r="J494" i="6"/>
  <c r="F494" i="6"/>
  <c r="E494" i="6"/>
  <c r="B494" i="6"/>
  <c r="D494" i="6"/>
  <c r="I502" i="6"/>
  <c r="A502" i="6"/>
  <c r="H502" i="6"/>
  <c r="G502" i="6"/>
  <c r="C502" i="6"/>
  <c r="J502" i="6"/>
  <c r="E502" i="6"/>
  <c r="B502" i="6"/>
  <c r="F502" i="6"/>
  <c r="D502" i="6"/>
  <c r="G6" i="6"/>
  <c r="G14" i="6"/>
  <c r="I15" i="6"/>
  <c r="D5" i="1"/>
  <c r="B12" i="4"/>
  <c r="B19" i="4" s="1"/>
  <c r="I19" i="4" s="1"/>
  <c r="C13" i="4"/>
  <c r="D13" i="4" s="1"/>
  <c r="E15" i="4"/>
  <c r="F16" i="4"/>
  <c r="I41" i="6"/>
  <c r="A41" i="6"/>
  <c r="G41" i="6"/>
  <c r="I49" i="6"/>
  <c r="A49" i="6"/>
  <c r="G49" i="6"/>
  <c r="I57" i="6"/>
  <c r="A57" i="6"/>
  <c r="G57" i="6"/>
  <c r="I65" i="6"/>
  <c r="A65" i="6"/>
  <c r="G65" i="6"/>
  <c r="I73" i="6"/>
  <c r="A73" i="6"/>
  <c r="G73" i="6"/>
  <c r="I81" i="6"/>
  <c r="A81" i="6"/>
  <c r="G81" i="6"/>
  <c r="E81" i="6"/>
  <c r="I89" i="6"/>
  <c r="A89" i="6"/>
  <c r="G89" i="6"/>
  <c r="E89" i="6"/>
  <c r="I97" i="6"/>
  <c r="A97" i="6"/>
  <c r="G97" i="6"/>
  <c r="E97" i="6"/>
  <c r="I105" i="6"/>
  <c r="A105" i="6"/>
  <c r="G105" i="6"/>
  <c r="E105" i="6"/>
  <c r="I113" i="6"/>
  <c r="A113" i="6"/>
  <c r="G113" i="6"/>
  <c r="E113" i="6"/>
  <c r="I121" i="6"/>
  <c r="A121" i="6"/>
  <c r="G121" i="6"/>
  <c r="E121" i="6"/>
  <c r="I129" i="6"/>
  <c r="A129" i="6"/>
  <c r="G129" i="6"/>
  <c r="E129" i="6"/>
  <c r="I137" i="6"/>
  <c r="A137" i="6"/>
  <c r="G137" i="6"/>
  <c r="E137" i="6"/>
  <c r="I145" i="6"/>
  <c r="A145" i="6"/>
  <c r="G145" i="6"/>
  <c r="E145" i="6"/>
  <c r="I153" i="6"/>
  <c r="A153" i="6"/>
  <c r="G153" i="6"/>
  <c r="E153" i="6"/>
  <c r="I161" i="6"/>
  <c r="A161" i="6"/>
  <c r="G161" i="6"/>
  <c r="E161" i="6"/>
  <c r="C169" i="6"/>
  <c r="J169" i="6"/>
  <c r="A169" i="6"/>
  <c r="H169" i="6"/>
  <c r="F169" i="6"/>
  <c r="E177" i="6"/>
  <c r="C177" i="6"/>
  <c r="I177" i="6"/>
  <c r="A177" i="6"/>
  <c r="H177" i="6"/>
  <c r="G177" i="6"/>
  <c r="F177" i="6"/>
  <c r="B177" i="6"/>
  <c r="E185" i="6"/>
  <c r="C185" i="6"/>
  <c r="I185" i="6"/>
  <c r="A185" i="6"/>
  <c r="H185" i="6"/>
  <c r="G185" i="6"/>
  <c r="B185" i="6"/>
  <c r="E193" i="6"/>
  <c r="C193" i="6"/>
  <c r="I193" i="6"/>
  <c r="A193" i="6"/>
  <c r="H193" i="6"/>
  <c r="G193" i="6"/>
  <c r="F193" i="6"/>
  <c r="E201" i="6"/>
  <c r="C201" i="6"/>
  <c r="I201" i="6"/>
  <c r="A201" i="6"/>
  <c r="H201" i="6"/>
  <c r="G201" i="6"/>
  <c r="F201" i="6"/>
  <c r="B201" i="6"/>
  <c r="E209" i="6"/>
  <c r="C209" i="6"/>
  <c r="I209" i="6"/>
  <c r="A209" i="6"/>
  <c r="H209" i="6"/>
  <c r="G209" i="6"/>
  <c r="F209" i="6"/>
  <c r="B209" i="6"/>
  <c r="E217" i="6"/>
  <c r="C217" i="6"/>
  <c r="I217" i="6"/>
  <c r="A217" i="6"/>
  <c r="H217" i="6"/>
  <c r="G217" i="6"/>
  <c r="B217" i="6"/>
  <c r="E225" i="6"/>
  <c r="C225" i="6"/>
  <c r="I225" i="6"/>
  <c r="A225" i="6"/>
  <c r="H225" i="6"/>
  <c r="G225" i="6"/>
  <c r="F225" i="6"/>
  <c r="E233" i="6"/>
  <c r="C233" i="6"/>
  <c r="I233" i="6"/>
  <c r="A233" i="6"/>
  <c r="H233" i="6"/>
  <c r="G233" i="6"/>
  <c r="F233" i="6"/>
  <c r="B233" i="6"/>
  <c r="E241" i="6"/>
  <c r="C241" i="6"/>
  <c r="I241" i="6"/>
  <c r="A241" i="6"/>
  <c r="H241" i="6"/>
  <c r="G241" i="6"/>
  <c r="F241" i="6"/>
  <c r="B241" i="6"/>
  <c r="D249" i="6"/>
  <c r="I249" i="6"/>
  <c r="A249" i="6"/>
  <c r="H249" i="6"/>
  <c r="C249" i="6"/>
  <c r="J249" i="6"/>
  <c r="G249" i="6"/>
  <c r="F249" i="6"/>
  <c r="E249" i="6"/>
  <c r="D257" i="6"/>
  <c r="I257" i="6"/>
  <c r="A257" i="6"/>
  <c r="H257" i="6"/>
  <c r="F257" i="6"/>
  <c r="C257" i="6"/>
  <c r="J257" i="6"/>
  <c r="E257" i="6"/>
  <c r="D265" i="6"/>
  <c r="I265" i="6"/>
  <c r="A265" i="6"/>
  <c r="H265" i="6"/>
  <c r="J265" i="6"/>
  <c r="F265" i="6"/>
  <c r="C265" i="6"/>
  <c r="B265" i="6"/>
  <c r="E265" i="6"/>
  <c r="D273" i="6"/>
  <c r="I273" i="6"/>
  <c r="A273" i="6"/>
  <c r="H273" i="6"/>
  <c r="J273" i="6"/>
  <c r="F273" i="6"/>
  <c r="E273" i="6"/>
  <c r="C273" i="6"/>
  <c r="D281" i="6"/>
  <c r="I281" i="6"/>
  <c r="A281" i="6"/>
  <c r="H281" i="6"/>
  <c r="C281" i="6"/>
  <c r="J281" i="6"/>
  <c r="G281" i="6"/>
  <c r="F281" i="6"/>
  <c r="B281" i="6"/>
  <c r="D289" i="6"/>
  <c r="I289" i="6"/>
  <c r="A289" i="6"/>
  <c r="H289" i="6"/>
  <c r="F289" i="6"/>
  <c r="C289" i="6"/>
  <c r="J289" i="6"/>
  <c r="G289" i="6"/>
  <c r="B289" i="6"/>
  <c r="D297" i="6"/>
  <c r="I297" i="6"/>
  <c r="A297" i="6"/>
  <c r="H297" i="6"/>
  <c r="J297" i="6"/>
  <c r="F297" i="6"/>
  <c r="C297" i="6"/>
  <c r="B297" i="6"/>
  <c r="D305" i="6"/>
  <c r="I305" i="6"/>
  <c r="A305" i="6"/>
  <c r="H305" i="6"/>
  <c r="J305" i="6"/>
  <c r="F305" i="6"/>
  <c r="E305" i="6"/>
  <c r="C305" i="6"/>
  <c r="G305" i="6"/>
  <c r="D313" i="6"/>
  <c r="I313" i="6"/>
  <c r="A313" i="6"/>
  <c r="H313" i="6"/>
  <c r="C313" i="6"/>
  <c r="J313" i="6"/>
  <c r="G313" i="6"/>
  <c r="F313" i="6"/>
  <c r="E313" i="6"/>
  <c r="D321" i="6"/>
  <c r="I321" i="6"/>
  <c r="A321" i="6"/>
  <c r="H321" i="6"/>
  <c r="F321" i="6"/>
  <c r="C321" i="6"/>
  <c r="J321" i="6"/>
  <c r="E321" i="6"/>
  <c r="D329" i="6"/>
  <c r="I329" i="6"/>
  <c r="A329" i="6"/>
  <c r="H329" i="6"/>
  <c r="J329" i="6"/>
  <c r="F329" i="6"/>
  <c r="E329" i="6"/>
  <c r="C329" i="6"/>
  <c r="B329" i="6"/>
  <c r="D337" i="6"/>
  <c r="I337" i="6"/>
  <c r="A337" i="6"/>
  <c r="H337" i="6"/>
  <c r="J337" i="6"/>
  <c r="G337" i="6"/>
  <c r="F337" i="6"/>
  <c r="E337" i="6"/>
  <c r="C337" i="6"/>
  <c r="B337" i="6"/>
  <c r="D345" i="6"/>
  <c r="I345" i="6"/>
  <c r="A345" i="6"/>
  <c r="H345" i="6"/>
  <c r="C345" i="6"/>
  <c r="J345" i="6"/>
  <c r="G345" i="6"/>
  <c r="F345" i="6"/>
  <c r="D353" i="6"/>
  <c r="I353" i="6"/>
  <c r="A353" i="6"/>
  <c r="H353" i="6"/>
  <c r="F353" i="6"/>
  <c r="C353" i="6"/>
  <c r="B353" i="6"/>
  <c r="J353" i="6"/>
  <c r="G353" i="6"/>
  <c r="D361" i="6"/>
  <c r="I361" i="6"/>
  <c r="A361" i="6"/>
  <c r="H361" i="6"/>
  <c r="J361" i="6"/>
  <c r="F361" i="6"/>
  <c r="E361" i="6"/>
  <c r="C361" i="6"/>
  <c r="B361" i="6"/>
  <c r="D369" i="6"/>
  <c r="I369" i="6"/>
  <c r="A369" i="6"/>
  <c r="H369" i="6"/>
  <c r="J369" i="6"/>
  <c r="G369" i="6"/>
  <c r="F369" i="6"/>
  <c r="E369" i="6"/>
  <c r="C369" i="6"/>
  <c r="B369" i="6"/>
  <c r="D377" i="6"/>
  <c r="C377" i="6"/>
  <c r="A377" i="6"/>
  <c r="H377" i="6"/>
  <c r="G377" i="6"/>
  <c r="E377" i="6"/>
  <c r="J377" i="6"/>
  <c r="I377" i="6"/>
  <c r="F377" i="6"/>
  <c r="D385" i="6"/>
  <c r="C385" i="6"/>
  <c r="G385" i="6"/>
  <c r="B385" i="6"/>
  <c r="A385" i="6"/>
  <c r="J385" i="6"/>
  <c r="H385" i="6"/>
  <c r="F385" i="6"/>
  <c r="E385" i="6"/>
  <c r="I385" i="6"/>
  <c r="D393" i="6"/>
  <c r="C393" i="6"/>
  <c r="A393" i="6"/>
  <c r="H393" i="6"/>
  <c r="G393" i="6"/>
  <c r="B393" i="6"/>
  <c r="J393" i="6"/>
  <c r="I393" i="6"/>
  <c r="F393" i="6"/>
  <c r="E393" i="6"/>
  <c r="D401" i="6"/>
  <c r="C401" i="6"/>
  <c r="G401" i="6"/>
  <c r="B401" i="6"/>
  <c r="A401" i="6"/>
  <c r="I401" i="6"/>
  <c r="F401" i="6"/>
  <c r="E401" i="6"/>
  <c r="J401" i="6"/>
  <c r="D409" i="6"/>
  <c r="C409" i="6"/>
  <c r="A409" i="6"/>
  <c r="H409" i="6"/>
  <c r="G409" i="6"/>
  <c r="J409" i="6"/>
  <c r="I409" i="6"/>
  <c r="F409" i="6"/>
  <c r="E409" i="6"/>
  <c r="G417" i="6"/>
  <c r="F417" i="6"/>
  <c r="E417" i="6"/>
  <c r="J417" i="6"/>
  <c r="I417" i="6"/>
  <c r="C417" i="6"/>
  <c r="B417" i="6"/>
  <c r="A417" i="6"/>
  <c r="H417" i="6"/>
  <c r="D417" i="6"/>
  <c r="G425" i="6"/>
  <c r="F425" i="6"/>
  <c r="E425" i="6"/>
  <c r="A425" i="6"/>
  <c r="B425" i="6"/>
  <c r="J425" i="6"/>
  <c r="I425" i="6"/>
  <c r="H425" i="6"/>
  <c r="D425" i="6"/>
  <c r="C425" i="6"/>
  <c r="G433" i="6"/>
  <c r="F433" i="6"/>
  <c r="E433" i="6"/>
  <c r="C433" i="6"/>
  <c r="B433" i="6"/>
  <c r="I433" i="6"/>
  <c r="A433" i="6"/>
  <c r="J433" i="6"/>
  <c r="H433" i="6"/>
  <c r="D433" i="6"/>
  <c r="G441" i="6"/>
  <c r="F441" i="6"/>
  <c r="E441" i="6"/>
  <c r="H441" i="6"/>
  <c r="D441" i="6"/>
  <c r="B441" i="6"/>
  <c r="J441" i="6"/>
  <c r="I441" i="6"/>
  <c r="C441" i="6"/>
  <c r="G449" i="6"/>
  <c r="F449" i="6"/>
  <c r="E449" i="6"/>
  <c r="J449" i="6"/>
  <c r="I449" i="6"/>
  <c r="D449" i="6"/>
  <c r="A449" i="6"/>
  <c r="H449" i="6"/>
  <c r="C449" i="6"/>
  <c r="B449" i="6"/>
  <c r="G457" i="6"/>
  <c r="F457" i="6"/>
  <c r="E457" i="6"/>
  <c r="A457" i="6"/>
  <c r="B457" i="6"/>
  <c r="H457" i="6"/>
  <c r="D457" i="6"/>
  <c r="J457" i="6"/>
  <c r="I457" i="6"/>
  <c r="C457" i="6"/>
  <c r="G465" i="6"/>
  <c r="F465" i="6"/>
  <c r="E465" i="6"/>
  <c r="C465" i="6"/>
  <c r="B465" i="6"/>
  <c r="I465" i="6"/>
  <c r="D465" i="6"/>
  <c r="J465" i="6"/>
  <c r="A465" i="6"/>
  <c r="G473" i="6"/>
  <c r="F473" i="6"/>
  <c r="E473" i="6"/>
  <c r="I473" i="6"/>
  <c r="H473" i="6"/>
  <c r="D473" i="6"/>
  <c r="B473" i="6"/>
  <c r="J473" i="6"/>
  <c r="C473" i="6"/>
  <c r="A473" i="6"/>
  <c r="G481" i="6"/>
  <c r="F481" i="6"/>
  <c r="E481" i="6"/>
  <c r="B481" i="6"/>
  <c r="J481" i="6"/>
  <c r="I481" i="6"/>
  <c r="C481" i="6"/>
  <c r="A481" i="6"/>
  <c r="H481" i="6"/>
  <c r="D481" i="6"/>
  <c r="G489" i="6"/>
  <c r="F489" i="6"/>
  <c r="E489" i="6"/>
  <c r="D489" i="6"/>
  <c r="B489" i="6"/>
  <c r="A489" i="6"/>
  <c r="I489" i="6"/>
  <c r="C489" i="6"/>
  <c r="J489" i="6"/>
  <c r="G497" i="6"/>
  <c r="F497" i="6"/>
  <c r="E497" i="6"/>
  <c r="I497" i="6"/>
  <c r="D497" i="6"/>
  <c r="C497" i="6"/>
  <c r="B497" i="6"/>
  <c r="J497" i="6"/>
  <c r="H497" i="6"/>
  <c r="A497" i="6"/>
  <c r="D4" i="6"/>
  <c r="F5" i="6"/>
  <c r="H6" i="6"/>
  <c r="B7" i="6"/>
  <c r="J7" i="6"/>
  <c r="D6" i="41" s="1"/>
  <c r="H10" i="6"/>
  <c r="B11" i="6"/>
  <c r="J11" i="6"/>
  <c r="D12" i="6"/>
  <c r="F13" i="6"/>
  <c r="H14" i="6"/>
  <c r="B15" i="6"/>
  <c r="J15" i="6"/>
  <c r="D16" i="6"/>
  <c r="F17" i="6"/>
  <c r="H18" i="6"/>
  <c r="B19" i="6"/>
  <c r="J19" i="6"/>
  <c r="D20" i="6"/>
  <c r="F21" i="6"/>
  <c r="H22" i="6"/>
  <c r="B23" i="6"/>
  <c r="J23" i="6"/>
  <c r="D24" i="6"/>
  <c r="F25" i="6"/>
  <c r="H26" i="6"/>
  <c r="B27" i="6"/>
  <c r="J27" i="6"/>
  <c r="D28" i="6"/>
  <c r="F29" i="6"/>
  <c r="H30" i="6"/>
  <c r="B31" i="6"/>
  <c r="J31" i="6"/>
  <c r="D32" i="6"/>
  <c r="F33" i="6"/>
  <c r="H34" i="6"/>
  <c r="B35" i="6"/>
  <c r="J35" i="6"/>
  <c r="D36" i="6"/>
  <c r="F37" i="6"/>
  <c r="H38" i="6"/>
  <c r="B39" i="6"/>
  <c r="I40" i="6"/>
  <c r="E41" i="6"/>
  <c r="I43" i="6"/>
  <c r="C45" i="6"/>
  <c r="J46" i="6"/>
  <c r="G47" i="6"/>
  <c r="C48" i="6"/>
  <c r="N48" i="6"/>
  <c r="D51" i="6"/>
  <c r="H53" i="6"/>
  <c r="E54" i="6"/>
  <c r="A55" i="6"/>
  <c r="I56" i="6"/>
  <c r="E57" i="6"/>
  <c r="I59" i="6"/>
  <c r="C61" i="6"/>
  <c r="J62" i="6"/>
  <c r="G63" i="6"/>
  <c r="C64" i="6"/>
  <c r="N64" i="6"/>
  <c r="D67" i="6"/>
  <c r="H69" i="6"/>
  <c r="E70" i="6"/>
  <c r="A71" i="6"/>
  <c r="I72" i="6"/>
  <c r="E73" i="6"/>
  <c r="B75" i="6"/>
  <c r="I80" i="6"/>
  <c r="H81" i="6"/>
  <c r="F83" i="6"/>
  <c r="C85" i="6"/>
  <c r="B86" i="6"/>
  <c r="H91" i="6"/>
  <c r="F93" i="6"/>
  <c r="E94" i="6"/>
  <c r="D95" i="6"/>
  <c r="B96" i="6"/>
  <c r="B97" i="6"/>
  <c r="J101" i="6"/>
  <c r="H102" i="6"/>
  <c r="G103" i="6"/>
  <c r="F104" i="6"/>
  <c r="D105" i="6"/>
  <c r="B107" i="6"/>
  <c r="I112" i="6"/>
  <c r="H113" i="6"/>
  <c r="F115" i="6"/>
  <c r="C117" i="6"/>
  <c r="B118" i="6"/>
  <c r="H123" i="6"/>
  <c r="F125" i="6"/>
  <c r="E126" i="6"/>
  <c r="D127" i="6"/>
  <c r="B128" i="6"/>
  <c r="B129" i="6"/>
  <c r="J133" i="6"/>
  <c r="H134" i="6"/>
  <c r="G135" i="6"/>
  <c r="F136" i="6"/>
  <c r="D137" i="6"/>
  <c r="B139" i="6"/>
  <c r="I144" i="6"/>
  <c r="H145" i="6"/>
  <c r="F147" i="6"/>
  <c r="C149" i="6"/>
  <c r="B150" i="6"/>
  <c r="H155" i="6"/>
  <c r="F157" i="6"/>
  <c r="E158" i="6"/>
  <c r="D159" i="6"/>
  <c r="B160" i="6"/>
  <c r="B161" i="6"/>
  <c r="J165" i="6"/>
  <c r="H166" i="6"/>
  <c r="G167" i="6"/>
  <c r="F168" i="6"/>
  <c r="E169" i="6"/>
  <c r="D177" i="6"/>
  <c r="H179" i="6"/>
  <c r="D182" i="6"/>
  <c r="H184" i="6"/>
  <c r="F189" i="6"/>
  <c r="B199" i="6"/>
  <c r="J201" i="6"/>
  <c r="H206" i="6"/>
  <c r="F211" i="6"/>
  <c r="B216" i="6"/>
  <c r="B221" i="6"/>
  <c r="H223" i="6"/>
  <c r="D233" i="6"/>
  <c r="J235" i="6"/>
  <c r="D238" i="6"/>
  <c r="H240" i="6"/>
  <c r="B243" i="6"/>
  <c r="F245" i="6"/>
  <c r="K252" i="6"/>
  <c r="E256" i="6"/>
  <c r="K260" i="6"/>
  <c r="E264" i="6"/>
  <c r="C272" i="6"/>
  <c r="C280" i="6"/>
  <c r="I299" i="6"/>
  <c r="F307" i="6"/>
  <c r="C319" i="6"/>
  <c r="A327" i="6"/>
  <c r="C333" i="6"/>
  <c r="B345" i="6"/>
  <c r="H350" i="6"/>
  <c r="A429" i="6"/>
  <c r="J446" i="6"/>
  <c r="C494" i="6"/>
  <c r="E14" i="4"/>
  <c r="F15" i="4"/>
  <c r="G44" i="6"/>
  <c r="E44" i="6"/>
  <c r="G52" i="6"/>
  <c r="E52" i="6"/>
  <c r="G60" i="6"/>
  <c r="E60" i="6"/>
  <c r="G68" i="6"/>
  <c r="E68" i="6"/>
  <c r="G76" i="6"/>
  <c r="E76" i="6"/>
  <c r="C76" i="6"/>
  <c r="G84" i="6"/>
  <c r="E84" i="6"/>
  <c r="C84" i="6"/>
  <c r="G92" i="6"/>
  <c r="E92" i="6"/>
  <c r="C92" i="6"/>
  <c r="G100" i="6"/>
  <c r="E100" i="6"/>
  <c r="C100" i="6"/>
  <c r="G108" i="6"/>
  <c r="E108" i="6"/>
  <c r="C108" i="6"/>
  <c r="G116" i="6"/>
  <c r="E116" i="6"/>
  <c r="C116" i="6"/>
  <c r="G124" i="6"/>
  <c r="E124" i="6"/>
  <c r="C124" i="6"/>
  <c r="G132" i="6"/>
  <c r="E132" i="6"/>
  <c r="C132" i="6"/>
  <c r="G140" i="6"/>
  <c r="E140" i="6"/>
  <c r="C140" i="6"/>
  <c r="G148" i="6"/>
  <c r="E148" i="6"/>
  <c r="C148" i="6"/>
  <c r="G156" i="6"/>
  <c r="E156" i="6"/>
  <c r="C156" i="6"/>
  <c r="G164" i="6"/>
  <c r="E164" i="6"/>
  <c r="C164" i="6"/>
  <c r="I172" i="6"/>
  <c r="A172" i="6"/>
  <c r="G172" i="6"/>
  <c r="F172" i="6"/>
  <c r="E172" i="6"/>
  <c r="H172" i="6"/>
  <c r="C172" i="6"/>
  <c r="C180" i="6"/>
  <c r="I180" i="6"/>
  <c r="A180" i="6"/>
  <c r="G180" i="6"/>
  <c r="F180" i="6"/>
  <c r="E180" i="6"/>
  <c r="H180" i="6"/>
  <c r="B180" i="6"/>
  <c r="C188" i="6"/>
  <c r="I188" i="6"/>
  <c r="A188" i="6"/>
  <c r="G188" i="6"/>
  <c r="F188" i="6"/>
  <c r="E188" i="6"/>
  <c r="B188" i="6"/>
  <c r="C196" i="6"/>
  <c r="I196" i="6"/>
  <c r="A196" i="6"/>
  <c r="G196" i="6"/>
  <c r="F196" i="6"/>
  <c r="E196" i="6"/>
  <c r="H196" i="6"/>
  <c r="C204" i="6"/>
  <c r="I204" i="6"/>
  <c r="A204" i="6"/>
  <c r="G204" i="6"/>
  <c r="F204" i="6"/>
  <c r="E204" i="6"/>
  <c r="H204" i="6"/>
  <c r="B204" i="6"/>
  <c r="C212" i="6"/>
  <c r="I212" i="6"/>
  <c r="A212" i="6"/>
  <c r="G212" i="6"/>
  <c r="F212" i="6"/>
  <c r="E212" i="6"/>
  <c r="H212" i="6"/>
  <c r="B212" i="6"/>
  <c r="C220" i="6"/>
  <c r="I220" i="6"/>
  <c r="A220" i="6"/>
  <c r="G220" i="6"/>
  <c r="F220" i="6"/>
  <c r="E220" i="6"/>
  <c r="B220" i="6"/>
  <c r="C228" i="6"/>
  <c r="I228" i="6"/>
  <c r="A228" i="6"/>
  <c r="G228" i="6"/>
  <c r="F228" i="6"/>
  <c r="E228" i="6"/>
  <c r="H228" i="6"/>
  <c r="C236" i="6"/>
  <c r="I236" i="6"/>
  <c r="A236" i="6"/>
  <c r="G236" i="6"/>
  <c r="F236" i="6"/>
  <c r="E236" i="6"/>
  <c r="H236" i="6"/>
  <c r="B236" i="6"/>
  <c r="C244" i="6"/>
  <c r="I244" i="6"/>
  <c r="A244" i="6"/>
  <c r="G244" i="6"/>
  <c r="F244" i="6"/>
  <c r="E244" i="6"/>
  <c r="H244" i="6"/>
  <c r="B244" i="6"/>
  <c r="J252" i="6"/>
  <c r="B252" i="6"/>
  <c r="G252" i="6"/>
  <c r="F252" i="6"/>
  <c r="I252" i="6"/>
  <c r="E252" i="6"/>
  <c r="D252" i="6"/>
  <c r="C252" i="6"/>
  <c r="H252" i="6"/>
  <c r="J260" i="6"/>
  <c r="B260" i="6"/>
  <c r="G260" i="6"/>
  <c r="F260" i="6"/>
  <c r="C260" i="6"/>
  <c r="I260" i="6"/>
  <c r="H260" i="6"/>
  <c r="E260" i="6"/>
  <c r="D260" i="6"/>
  <c r="J268" i="6"/>
  <c r="B268" i="6"/>
  <c r="G268" i="6"/>
  <c r="F268" i="6"/>
  <c r="E268" i="6"/>
  <c r="C268" i="6"/>
  <c r="I268" i="6"/>
  <c r="J276" i="6"/>
  <c r="B276" i="6"/>
  <c r="G276" i="6"/>
  <c r="F276" i="6"/>
  <c r="I276" i="6"/>
  <c r="E276" i="6"/>
  <c r="C276" i="6"/>
  <c r="A276" i="6"/>
  <c r="D276" i="6"/>
  <c r="J284" i="6"/>
  <c r="B284" i="6"/>
  <c r="G284" i="6"/>
  <c r="F284" i="6"/>
  <c r="I284" i="6"/>
  <c r="E284" i="6"/>
  <c r="D284" i="6"/>
  <c r="C284" i="6"/>
  <c r="A284" i="6"/>
  <c r="J292" i="6"/>
  <c r="B292" i="6"/>
  <c r="G292" i="6"/>
  <c r="F292" i="6"/>
  <c r="C292" i="6"/>
  <c r="I292" i="6"/>
  <c r="H292" i="6"/>
  <c r="E292" i="6"/>
  <c r="A292" i="6"/>
  <c r="J300" i="6"/>
  <c r="B300" i="6"/>
  <c r="G300" i="6"/>
  <c r="F300" i="6"/>
  <c r="E300" i="6"/>
  <c r="C300" i="6"/>
  <c r="I300" i="6"/>
  <c r="H300" i="6"/>
  <c r="J308" i="6"/>
  <c r="B308" i="6"/>
  <c r="G308" i="6"/>
  <c r="F308" i="6"/>
  <c r="I308" i="6"/>
  <c r="E308" i="6"/>
  <c r="C308" i="6"/>
  <c r="A308" i="6"/>
  <c r="H308" i="6"/>
  <c r="J316" i="6"/>
  <c r="B316" i="6"/>
  <c r="G316" i="6"/>
  <c r="F316" i="6"/>
  <c r="I316" i="6"/>
  <c r="E316" i="6"/>
  <c r="D316" i="6"/>
  <c r="C316" i="6"/>
  <c r="H316" i="6"/>
  <c r="J324" i="6"/>
  <c r="B324" i="6"/>
  <c r="G324" i="6"/>
  <c r="F324" i="6"/>
  <c r="C324" i="6"/>
  <c r="I324" i="6"/>
  <c r="H324" i="6"/>
  <c r="E324" i="6"/>
  <c r="J332" i="6"/>
  <c r="B332" i="6"/>
  <c r="G332" i="6"/>
  <c r="F332" i="6"/>
  <c r="E332" i="6"/>
  <c r="C332" i="6"/>
  <c r="A332" i="6"/>
  <c r="I332" i="6"/>
  <c r="H332" i="6"/>
  <c r="J340" i="6"/>
  <c r="B340" i="6"/>
  <c r="G340" i="6"/>
  <c r="F340" i="6"/>
  <c r="I340" i="6"/>
  <c r="E340" i="6"/>
  <c r="D340" i="6"/>
  <c r="C340" i="6"/>
  <c r="A340" i="6"/>
  <c r="J348" i="6"/>
  <c r="B348" i="6"/>
  <c r="G348" i="6"/>
  <c r="F348" i="6"/>
  <c r="I348" i="6"/>
  <c r="H348" i="6"/>
  <c r="E348" i="6"/>
  <c r="D348" i="6"/>
  <c r="C348" i="6"/>
  <c r="A348" i="6"/>
  <c r="J356" i="6"/>
  <c r="B356" i="6"/>
  <c r="G356" i="6"/>
  <c r="F356" i="6"/>
  <c r="C356" i="6"/>
  <c r="I356" i="6"/>
  <c r="H356" i="6"/>
  <c r="E356" i="6"/>
  <c r="J364" i="6"/>
  <c r="B364" i="6"/>
  <c r="G364" i="6"/>
  <c r="F364" i="6"/>
  <c r="E364" i="6"/>
  <c r="C364" i="6"/>
  <c r="A364" i="6"/>
  <c r="I364" i="6"/>
  <c r="H364" i="6"/>
  <c r="J372" i="6"/>
  <c r="B372" i="6"/>
  <c r="G372" i="6"/>
  <c r="F372" i="6"/>
  <c r="I372" i="6"/>
  <c r="E372" i="6"/>
  <c r="D372" i="6"/>
  <c r="C372" i="6"/>
  <c r="A372" i="6"/>
  <c r="J380" i="6"/>
  <c r="B380" i="6"/>
  <c r="I380" i="6"/>
  <c r="A380" i="6"/>
  <c r="C380" i="6"/>
  <c r="H380" i="6"/>
  <c r="G380" i="6"/>
  <c r="F380" i="6"/>
  <c r="E380" i="6"/>
  <c r="D380" i="6"/>
  <c r="J388" i="6"/>
  <c r="B388" i="6"/>
  <c r="I388" i="6"/>
  <c r="A388" i="6"/>
  <c r="G388" i="6"/>
  <c r="D388" i="6"/>
  <c r="C388" i="6"/>
  <c r="E388" i="6"/>
  <c r="H388" i="6"/>
  <c r="F388" i="6"/>
  <c r="J396" i="6"/>
  <c r="B396" i="6"/>
  <c r="I396" i="6"/>
  <c r="A396" i="6"/>
  <c r="C396" i="6"/>
  <c r="H396" i="6"/>
  <c r="G396" i="6"/>
  <c r="F396" i="6"/>
  <c r="E396" i="6"/>
  <c r="D396" i="6"/>
  <c r="J404" i="6"/>
  <c r="B404" i="6"/>
  <c r="I404" i="6"/>
  <c r="A404" i="6"/>
  <c r="G404" i="6"/>
  <c r="D404" i="6"/>
  <c r="C404" i="6"/>
  <c r="H404" i="6"/>
  <c r="F404" i="6"/>
  <c r="J412" i="6"/>
  <c r="B412" i="6"/>
  <c r="I412" i="6"/>
  <c r="A412" i="6"/>
  <c r="C412" i="6"/>
  <c r="H412" i="6"/>
  <c r="G412" i="6"/>
  <c r="E412" i="6"/>
  <c r="D412" i="6"/>
  <c r="E420" i="6"/>
  <c r="D420" i="6"/>
  <c r="C420" i="6"/>
  <c r="G420" i="6"/>
  <c r="F420" i="6"/>
  <c r="A420" i="6"/>
  <c r="J420" i="6"/>
  <c r="H420" i="6"/>
  <c r="B420" i="6"/>
  <c r="E428" i="6"/>
  <c r="D428" i="6"/>
  <c r="C428" i="6"/>
  <c r="I428" i="6"/>
  <c r="H428" i="6"/>
  <c r="J428" i="6"/>
  <c r="B428" i="6"/>
  <c r="A428" i="6"/>
  <c r="F428" i="6"/>
  <c r="E436" i="6"/>
  <c r="D436" i="6"/>
  <c r="C436" i="6"/>
  <c r="J436" i="6"/>
  <c r="A436" i="6"/>
  <c r="I436" i="6"/>
  <c r="H436" i="6"/>
  <c r="G436" i="6"/>
  <c r="B436" i="6"/>
  <c r="E444" i="6"/>
  <c r="D444" i="6"/>
  <c r="C444" i="6"/>
  <c r="B444" i="6"/>
  <c r="A444" i="6"/>
  <c r="J444" i="6"/>
  <c r="H444" i="6"/>
  <c r="I444" i="6"/>
  <c r="G444" i="6"/>
  <c r="F444" i="6"/>
  <c r="E452" i="6"/>
  <c r="D452" i="6"/>
  <c r="C452" i="6"/>
  <c r="G452" i="6"/>
  <c r="F452" i="6"/>
  <c r="A452" i="6"/>
  <c r="I452" i="6"/>
  <c r="H452" i="6"/>
  <c r="J452" i="6"/>
  <c r="B452" i="6"/>
  <c r="E460" i="6"/>
  <c r="D460" i="6"/>
  <c r="C460" i="6"/>
  <c r="I460" i="6"/>
  <c r="H460" i="6"/>
  <c r="J460" i="6"/>
  <c r="F460" i="6"/>
  <c r="B460" i="6"/>
  <c r="A460" i="6"/>
  <c r="E468" i="6"/>
  <c r="D468" i="6"/>
  <c r="C468" i="6"/>
  <c r="F468" i="6"/>
  <c r="J468" i="6"/>
  <c r="B468" i="6"/>
  <c r="I468" i="6"/>
  <c r="H468" i="6"/>
  <c r="G468" i="6"/>
  <c r="A468" i="6"/>
  <c r="E476" i="6"/>
  <c r="D476" i="6"/>
  <c r="C476" i="6"/>
  <c r="H476" i="6"/>
  <c r="F476" i="6"/>
  <c r="B476" i="6"/>
  <c r="A476" i="6"/>
  <c r="J476" i="6"/>
  <c r="G476" i="6"/>
  <c r="I476" i="6"/>
  <c r="E484" i="6"/>
  <c r="D484" i="6"/>
  <c r="C484" i="6"/>
  <c r="J484" i="6"/>
  <c r="H484" i="6"/>
  <c r="G484" i="6"/>
  <c r="F484" i="6"/>
  <c r="A484" i="6"/>
  <c r="I484" i="6"/>
  <c r="B484" i="6"/>
  <c r="E492" i="6"/>
  <c r="D492" i="6"/>
  <c r="C492" i="6"/>
  <c r="A492" i="6"/>
  <c r="J492" i="6"/>
  <c r="I492" i="6"/>
  <c r="H492" i="6"/>
  <c r="B492" i="6"/>
  <c r="G492" i="6"/>
  <c r="F492" i="6"/>
  <c r="E500" i="6"/>
  <c r="D500" i="6"/>
  <c r="C500" i="6"/>
  <c r="F500" i="6"/>
  <c r="A500" i="6"/>
  <c r="J500" i="6"/>
  <c r="H500" i="6"/>
  <c r="B500" i="6"/>
  <c r="I500" i="6"/>
  <c r="E4" i="6"/>
  <c r="G5" i="6"/>
  <c r="G15" i="4" s="1"/>
  <c r="A6" i="6"/>
  <c r="I6" i="6"/>
  <c r="C7" i="6"/>
  <c r="C11" i="6"/>
  <c r="K11" i="6"/>
  <c r="E12" i="6"/>
  <c r="G13" i="6"/>
  <c r="A14" i="6"/>
  <c r="I14" i="6"/>
  <c r="C15" i="6"/>
  <c r="C19" i="6"/>
  <c r="K19" i="6"/>
  <c r="E20" i="6"/>
  <c r="G21" i="6"/>
  <c r="A22" i="6"/>
  <c r="I22" i="6"/>
  <c r="C23" i="6"/>
  <c r="C27" i="6"/>
  <c r="K27" i="6"/>
  <c r="E28" i="6"/>
  <c r="G29" i="6"/>
  <c r="A30" i="6"/>
  <c r="I30" i="6"/>
  <c r="C31" i="6"/>
  <c r="C35" i="6"/>
  <c r="K35" i="6"/>
  <c r="E36" i="6"/>
  <c r="G37" i="6"/>
  <c r="A38" i="6"/>
  <c r="I38" i="6"/>
  <c r="D39" i="6"/>
  <c r="J43" i="6"/>
  <c r="H44" i="6"/>
  <c r="D45" i="6"/>
  <c r="F51" i="6"/>
  <c r="B52" i="6"/>
  <c r="J53" i="6"/>
  <c r="F54" i="6"/>
  <c r="J59" i="6"/>
  <c r="H60" i="6"/>
  <c r="D61" i="6"/>
  <c r="F67" i="6"/>
  <c r="B68" i="6"/>
  <c r="J69" i="6"/>
  <c r="F70" i="6"/>
  <c r="D75" i="6"/>
  <c r="B76" i="6"/>
  <c r="B77" i="6"/>
  <c r="G83" i="6"/>
  <c r="F84" i="6"/>
  <c r="D85" i="6"/>
  <c r="D86" i="6"/>
  <c r="M88" i="6"/>
  <c r="K88" i="6"/>
  <c r="N88" i="6"/>
  <c r="J91" i="6"/>
  <c r="I92" i="6"/>
  <c r="H93" i="6"/>
  <c r="F94" i="6"/>
  <c r="J102" i="6"/>
  <c r="D107" i="6"/>
  <c r="B108" i="6"/>
  <c r="B109" i="6"/>
  <c r="G115" i="6"/>
  <c r="F116" i="6"/>
  <c r="D117" i="6"/>
  <c r="D118" i="6"/>
  <c r="M120" i="6"/>
  <c r="K120" i="6"/>
  <c r="N120" i="6"/>
  <c r="J123" i="6"/>
  <c r="I124" i="6"/>
  <c r="H125" i="6"/>
  <c r="F126" i="6"/>
  <c r="J134" i="6"/>
  <c r="D139" i="6"/>
  <c r="B140" i="6"/>
  <c r="B141" i="6"/>
  <c r="G147" i="6"/>
  <c r="F148" i="6"/>
  <c r="D149" i="6"/>
  <c r="D150" i="6"/>
  <c r="M152" i="6"/>
  <c r="K152" i="6"/>
  <c r="N152" i="6"/>
  <c r="J155" i="6"/>
  <c r="I156" i="6"/>
  <c r="H157" i="6"/>
  <c r="F158" i="6"/>
  <c r="J166" i="6"/>
  <c r="J172" i="6"/>
  <c r="F182" i="6"/>
  <c r="B187" i="6"/>
  <c r="B197" i="6"/>
  <c r="D204" i="6"/>
  <c r="H211" i="6"/>
  <c r="D214" i="6"/>
  <c r="F221" i="6"/>
  <c r="J228" i="6"/>
  <c r="H238" i="6"/>
  <c r="F243" i="6"/>
  <c r="F253" i="6"/>
  <c r="M260" i="6"/>
  <c r="H268" i="6"/>
  <c r="H276" i="6"/>
  <c r="H284" i="6"/>
  <c r="D292" i="6"/>
  <c r="A300" i="6"/>
  <c r="I307" i="6"/>
  <c r="I315" i="6"/>
  <c r="F323" i="6"/>
  <c r="A334" i="6"/>
  <c r="I339" i="6"/>
  <c r="M356" i="6"/>
  <c r="F363" i="6"/>
  <c r="D406" i="6"/>
  <c r="G500" i="6"/>
  <c r="E47" i="6"/>
  <c r="C47" i="6"/>
  <c r="E55" i="6"/>
  <c r="C55" i="6"/>
  <c r="E63" i="6"/>
  <c r="C63" i="6"/>
  <c r="E71" i="6"/>
  <c r="C71" i="6"/>
  <c r="E79" i="6"/>
  <c r="C79" i="6"/>
  <c r="I79" i="6"/>
  <c r="A79" i="6"/>
  <c r="E87" i="6"/>
  <c r="C87" i="6"/>
  <c r="I87" i="6"/>
  <c r="A87" i="6"/>
  <c r="E95" i="6"/>
  <c r="C95" i="6"/>
  <c r="I95" i="6"/>
  <c r="A95" i="6"/>
  <c r="E103" i="6"/>
  <c r="C103" i="6"/>
  <c r="I103" i="6"/>
  <c r="A103" i="6"/>
  <c r="E111" i="6"/>
  <c r="C111" i="6"/>
  <c r="I111" i="6"/>
  <c r="A111" i="6"/>
  <c r="E119" i="6"/>
  <c r="C119" i="6"/>
  <c r="I119" i="6"/>
  <c r="A119" i="6"/>
  <c r="E127" i="6"/>
  <c r="C127" i="6"/>
  <c r="I127" i="6"/>
  <c r="A127" i="6"/>
  <c r="E135" i="6"/>
  <c r="C135" i="6"/>
  <c r="I135" i="6"/>
  <c r="A135" i="6"/>
  <c r="E143" i="6"/>
  <c r="C143" i="6"/>
  <c r="I143" i="6"/>
  <c r="A143" i="6"/>
  <c r="E151" i="6"/>
  <c r="C151" i="6"/>
  <c r="I151" i="6"/>
  <c r="A151" i="6"/>
  <c r="E159" i="6"/>
  <c r="C159" i="6"/>
  <c r="I159" i="6"/>
  <c r="A159" i="6"/>
  <c r="E167" i="6"/>
  <c r="C167" i="6"/>
  <c r="I167" i="6"/>
  <c r="A167" i="6"/>
  <c r="I175" i="6"/>
  <c r="A175" i="6"/>
  <c r="G175" i="6"/>
  <c r="E175" i="6"/>
  <c r="D175" i="6"/>
  <c r="C175" i="6"/>
  <c r="H175" i="6"/>
  <c r="B175" i="6"/>
  <c r="I183" i="6"/>
  <c r="A183" i="6"/>
  <c r="G183" i="6"/>
  <c r="E183" i="6"/>
  <c r="D183" i="6"/>
  <c r="C183" i="6"/>
  <c r="H183" i="6"/>
  <c r="B183" i="6"/>
  <c r="I191" i="6"/>
  <c r="A191" i="6"/>
  <c r="G191" i="6"/>
  <c r="E191" i="6"/>
  <c r="D191" i="6"/>
  <c r="C191" i="6"/>
  <c r="B191" i="6"/>
  <c r="I199" i="6"/>
  <c r="A199" i="6"/>
  <c r="G199" i="6"/>
  <c r="E199" i="6"/>
  <c r="D199" i="6"/>
  <c r="C199" i="6"/>
  <c r="H199" i="6"/>
  <c r="I207" i="6"/>
  <c r="A207" i="6"/>
  <c r="G207" i="6"/>
  <c r="E207" i="6"/>
  <c r="D207" i="6"/>
  <c r="C207" i="6"/>
  <c r="H207" i="6"/>
  <c r="B207" i="6"/>
  <c r="I215" i="6"/>
  <c r="A215" i="6"/>
  <c r="G215" i="6"/>
  <c r="E215" i="6"/>
  <c r="D215" i="6"/>
  <c r="C215" i="6"/>
  <c r="H215" i="6"/>
  <c r="B215" i="6"/>
  <c r="I223" i="6"/>
  <c r="A223" i="6"/>
  <c r="G223" i="6"/>
  <c r="E223" i="6"/>
  <c r="D223" i="6"/>
  <c r="C223" i="6"/>
  <c r="B223" i="6"/>
  <c r="I231" i="6"/>
  <c r="A231" i="6"/>
  <c r="G231" i="6"/>
  <c r="E231" i="6"/>
  <c r="D231" i="6"/>
  <c r="C231" i="6"/>
  <c r="H231" i="6"/>
  <c r="I239" i="6"/>
  <c r="A239" i="6"/>
  <c r="G239" i="6"/>
  <c r="E239" i="6"/>
  <c r="D239" i="6"/>
  <c r="C239" i="6"/>
  <c r="H239" i="6"/>
  <c r="B239" i="6"/>
  <c r="H247" i="6"/>
  <c r="E247" i="6"/>
  <c r="D247" i="6"/>
  <c r="F247" i="6"/>
  <c r="B247" i="6"/>
  <c r="J247" i="6"/>
  <c r="I247" i="6"/>
  <c r="G247" i="6"/>
  <c r="A247" i="6"/>
  <c r="H255" i="6"/>
  <c r="E255" i="6"/>
  <c r="D255" i="6"/>
  <c r="I255" i="6"/>
  <c r="F255" i="6"/>
  <c r="B255" i="6"/>
  <c r="A255" i="6"/>
  <c r="G255" i="6"/>
  <c r="H263" i="6"/>
  <c r="E263" i="6"/>
  <c r="D263" i="6"/>
  <c r="I263" i="6"/>
  <c r="F263" i="6"/>
  <c r="C263" i="6"/>
  <c r="B263" i="6"/>
  <c r="H271" i="6"/>
  <c r="E271" i="6"/>
  <c r="D271" i="6"/>
  <c r="B271" i="6"/>
  <c r="I271" i="6"/>
  <c r="G271" i="6"/>
  <c r="F271" i="6"/>
  <c r="C271" i="6"/>
  <c r="H279" i="6"/>
  <c r="E279" i="6"/>
  <c r="D279" i="6"/>
  <c r="F279" i="6"/>
  <c r="B279" i="6"/>
  <c r="J279" i="6"/>
  <c r="I279" i="6"/>
  <c r="C279" i="6"/>
  <c r="H287" i="6"/>
  <c r="E287" i="6"/>
  <c r="D287" i="6"/>
  <c r="I287" i="6"/>
  <c r="F287" i="6"/>
  <c r="B287" i="6"/>
  <c r="A287" i="6"/>
  <c r="C287" i="6"/>
  <c r="H295" i="6"/>
  <c r="E295" i="6"/>
  <c r="D295" i="6"/>
  <c r="I295" i="6"/>
  <c r="F295" i="6"/>
  <c r="C295" i="6"/>
  <c r="B295" i="6"/>
  <c r="J295" i="6"/>
  <c r="H303" i="6"/>
  <c r="E303" i="6"/>
  <c r="D303" i="6"/>
  <c r="B303" i="6"/>
  <c r="I303" i="6"/>
  <c r="G303" i="6"/>
  <c r="F303" i="6"/>
  <c r="J303" i="6"/>
  <c r="A303" i="6"/>
  <c r="H311" i="6"/>
  <c r="E311" i="6"/>
  <c r="D311" i="6"/>
  <c r="F311" i="6"/>
  <c r="B311" i="6"/>
  <c r="J311" i="6"/>
  <c r="I311" i="6"/>
  <c r="G311" i="6"/>
  <c r="A311" i="6"/>
  <c r="H319" i="6"/>
  <c r="E319" i="6"/>
  <c r="D319" i="6"/>
  <c r="I319" i="6"/>
  <c r="F319" i="6"/>
  <c r="B319" i="6"/>
  <c r="A319" i="6"/>
  <c r="H327" i="6"/>
  <c r="E327" i="6"/>
  <c r="D327" i="6"/>
  <c r="I327" i="6"/>
  <c r="G327" i="6"/>
  <c r="F327" i="6"/>
  <c r="C327" i="6"/>
  <c r="B327" i="6"/>
  <c r="H335" i="6"/>
  <c r="E335" i="6"/>
  <c r="D335" i="6"/>
  <c r="B335" i="6"/>
  <c r="J335" i="6"/>
  <c r="I335" i="6"/>
  <c r="G335" i="6"/>
  <c r="F335" i="6"/>
  <c r="C335" i="6"/>
  <c r="H343" i="6"/>
  <c r="E343" i="6"/>
  <c r="D343" i="6"/>
  <c r="F343" i="6"/>
  <c r="B343" i="6"/>
  <c r="A343" i="6"/>
  <c r="J343" i="6"/>
  <c r="I343" i="6"/>
  <c r="G343" i="6"/>
  <c r="H351" i="6"/>
  <c r="E351" i="6"/>
  <c r="D351" i="6"/>
  <c r="I351" i="6"/>
  <c r="F351" i="6"/>
  <c r="C351" i="6"/>
  <c r="B351" i="6"/>
  <c r="A351" i="6"/>
  <c r="J351" i="6"/>
  <c r="H359" i="6"/>
  <c r="E359" i="6"/>
  <c r="D359" i="6"/>
  <c r="I359" i="6"/>
  <c r="G359" i="6"/>
  <c r="F359" i="6"/>
  <c r="C359" i="6"/>
  <c r="B359" i="6"/>
  <c r="A359" i="6"/>
  <c r="H367" i="6"/>
  <c r="E367" i="6"/>
  <c r="D367" i="6"/>
  <c r="B367" i="6"/>
  <c r="J367" i="6"/>
  <c r="I367" i="6"/>
  <c r="G367" i="6"/>
  <c r="F367" i="6"/>
  <c r="H375" i="6"/>
  <c r="G375" i="6"/>
  <c r="I375" i="6"/>
  <c r="D375" i="6"/>
  <c r="C375" i="6"/>
  <c r="J375" i="6"/>
  <c r="F375" i="6"/>
  <c r="E375" i="6"/>
  <c r="B375" i="6"/>
  <c r="H383" i="6"/>
  <c r="G383" i="6"/>
  <c r="C383" i="6"/>
  <c r="J383" i="6"/>
  <c r="I383" i="6"/>
  <c r="E383" i="6"/>
  <c r="B383" i="6"/>
  <c r="A383" i="6"/>
  <c r="F383" i="6"/>
  <c r="H391" i="6"/>
  <c r="G391" i="6"/>
  <c r="I391" i="6"/>
  <c r="D391" i="6"/>
  <c r="C391" i="6"/>
  <c r="J391" i="6"/>
  <c r="F391" i="6"/>
  <c r="E391" i="6"/>
  <c r="B391" i="6"/>
  <c r="A391" i="6"/>
  <c r="H399" i="6"/>
  <c r="G399" i="6"/>
  <c r="C399" i="6"/>
  <c r="J399" i="6"/>
  <c r="I399" i="6"/>
  <c r="D399" i="6"/>
  <c r="A399" i="6"/>
  <c r="F399" i="6"/>
  <c r="H407" i="6"/>
  <c r="G407" i="6"/>
  <c r="I407" i="6"/>
  <c r="D407" i="6"/>
  <c r="C407" i="6"/>
  <c r="F407" i="6"/>
  <c r="E407" i="6"/>
  <c r="B407" i="6"/>
  <c r="A407" i="6"/>
  <c r="J415" i="6"/>
  <c r="B415" i="6"/>
  <c r="I415" i="6"/>
  <c r="A415" i="6"/>
  <c r="E415" i="6"/>
  <c r="D415" i="6"/>
  <c r="H415" i="6"/>
  <c r="G415" i="6"/>
  <c r="F415" i="6"/>
  <c r="C415" i="6"/>
  <c r="C423" i="6"/>
  <c r="J423" i="6"/>
  <c r="B423" i="6"/>
  <c r="I423" i="6"/>
  <c r="A423" i="6"/>
  <c r="D423" i="6"/>
  <c r="F423" i="6"/>
  <c r="E423" i="6"/>
  <c r="H423" i="6"/>
  <c r="G423" i="6"/>
  <c r="C431" i="6"/>
  <c r="J431" i="6"/>
  <c r="B431" i="6"/>
  <c r="I431" i="6"/>
  <c r="A431" i="6"/>
  <c r="F431" i="6"/>
  <c r="E431" i="6"/>
  <c r="H431" i="6"/>
  <c r="G431" i="6"/>
  <c r="D431" i="6"/>
  <c r="C439" i="6"/>
  <c r="J439" i="6"/>
  <c r="B439" i="6"/>
  <c r="I439" i="6"/>
  <c r="A439" i="6"/>
  <c r="H439" i="6"/>
  <c r="G439" i="6"/>
  <c r="D439" i="6"/>
  <c r="F439" i="6"/>
  <c r="E439" i="6"/>
  <c r="C447" i="6"/>
  <c r="J447" i="6"/>
  <c r="B447" i="6"/>
  <c r="I447" i="6"/>
  <c r="A447" i="6"/>
  <c r="E447" i="6"/>
  <c r="H447" i="6"/>
  <c r="G447" i="6"/>
  <c r="F447" i="6"/>
  <c r="D447" i="6"/>
  <c r="C455" i="6"/>
  <c r="J455" i="6"/>
  <c r="B455" i="6"/>
  <c r="I455" i="6"/>
  <c r="A455" i="6"/>
  <c r="D455" i="6"/>
  <c r="G455" i="6"/>
  <c r="F455" i="6"/>
  <c r="E455" i="6"/>
  <c r="C463" i="6"/>
  <c r="J463" i="6"/>
  <c r="B463" i="6"/>
  <c r="I463" i="6"/>
  <c r="A463" i="6"/>
  <c r="F463" i="6"/>
  <c r="E463" i="6"/>
  <c r="H463" i="6"/>
  <c r="G463" i="6"/>
  <c r="D463" i="6"/>
  <c r="C471" i="6"/>
  <c r="J471" i="6"/>
  <c r="B471" i="6"/>
  <c r="I471" i="6"/>
  <c r="A471" i="6"/>
  <c r="H471" i="6"/>
  <c r="G471" i="6"/>
  <c r="E471" i="6"/>
  <c r="F471" i="6"/>
  <c r="C479" i="6"/>
  <c r="J479" i="6"/>
  <c r="B479" i="6"/>
  <c r="I479" i="6"/>
  <c r="A479" i="6"/>
  <c r="E479" i="6"/>
  <c r="F479" i="6"/>
  <c r="D479" i="6"/>
  <c r="H479" i="6"/>
  <c r="C487" i="6"/>
  <c r="J487" i="6"/>
  <c r="B487" i="6"/>
  <c r="I487" i="6"/>
  <c r="A487" i="6"/>
  <c r="G487" i="6"/>
  <c r="E487" i="6"/>
  <c r="D487" i="6"/>
  <c r="F487" i="6"/>
  <c r="H487" i="6"/>
  <c r="C495" i="6"/>
  <c r="J495" i="6"/>
  <c r="B495" i="6"/>
  <c r="I495" i="6"/>
  <c r="A495" i="6"/>
  <c r="G495" i="6"/>
  <c r="F495" i="6"/>
  <c r="E495" i="6"/>
  <c r="H495" i="6"/>
  <c r="D495" i="6"/>
  <c r="C503" i="6"/>
  <c r="J503" i="6"/>
  <c r="B503" i="6"/>
  <c r="I503" i="6"/>
  <c r="A503" i="6"/>
  <c r="H503" i="6"/>
  <c r="G503" i="6"/>
  <c r="D503" i="6"/>
  <c r="F503" i="6"/>
  <c r="E503" i="6"/>
  <c r="H5" i="6"/>
  <c r="D7" i="6"/>
  <c r="H13" i="6"/>
  <c r="D15" i="6"/>
  <c r="H21" i="6"/>
  <c r="D23" i="6"/>
  <c r="H29" i="6"/>
  <c r="D31" i="6"/>
  <c r="H37" i="6"/>
  <c r="E39" i="6"/>
  <c r="K40" i="6"/>
  <c r="M43" i="6"/>
  <c r="K43" i="6"/>
  <c r="L43" i="6"/>
  <c r="E45" i="6"/>
  <c r="I47" i="6"/>
  <c r="D55" i="6"/>
  <c r="K56" i="6"/>
  <c r="M59" i="6"/>
  <c r="K59" i="6"/>
  <c r="L59" i="6"/>
  <c r="E61" i="6"/>
  <c r="I63" i="6"/>
  <c r="D71" i="6"/>
  <c r="K72" i="6"/>
  <c r="C77" i="6"/>
  <c r="F85" i="6"/>
  <c r="D87" i="6"/>
  <c r="J93" i="6"/>
  <c r="G95" i="6"/>
  <c r="M100" i="6"/>
  <c r="K100" i="6"/>
  <c r="N100" i="6"/>
  <c r="J103" i="6"/>
  <c r="C109" i="6"/>
  <c r="F117" i="6"/>
  <c r="D119" i="6"/>
  <c r="J125" i="6"/>
  <c r="G127" i="6"/>
  <c r="M132" i="6"/>
  <c r="K132" i="6"/>
  <c r="N132" i="6"/>
  <c r="J135" i="6"/>
  <c r="C141" i="6"/>
  <c r="F149" i="6"/>
  <c r="E150" i="6"/>
  <c r="D151" i="6"/>
  <c r="J157" i="6"/>
  <c r="H158" i="6"/>
  <c r="G159" i="6"/>
  <c r="M164" i="6"/>
  <c r="K164" i="6"/>
  <c r="N164" i="6"/>
  <c r="J167" i="6"/>
  <c r="B173" i="6"/>
  <c r="F175" i="6"/>
  <c r="H182" i="6"/>
  <c r="F197" i="6"/>
  <c r="J199" i="6"/>
  <c r="F214" i="6"/>
  <c r="B229" i="6"/>
  <c r="F231" i="6"/>
  <c r="D246" i="6"/>
  <c r="J253" i="6"/>
  <c r="C261" i="6"/>
  <c r="C269" i="6"/>
  <c r="C277" i="6"/>
  <c r="N316" i="6"/>
  <c r="L316" i="6"/>
  <c r="J319" i="6"/>
  <c r="N324" i="6"/>
  <c r="L324" i="6"/>
  <c r="M324" i="6"/>
  <c r="E334" i="6"/>
  <c r="J407" i="6"/>
  <c r="B453" i="6"/>
  <c r="C10" i="4"/>
  <c r="C19" i="4" s="1"/>
  <c r="E12" i="4"/>
  <c r="F13" i="4"/>
  <c r="C42" i="6"/>
  <c r="I42" i="6"/>
  <c r="A42" i="6"/>
  <c r="C50" i="6"/>
  <c r="I50" i="6"/>
  <c r="A50" i="6"/>
  <c r="C58" i="6"/>
  <c r="I58" i="6"/>
  <c r="A58" i="6"/>
  <c r="C66" i="6"/>
  <c r="I66" i="6"/>
  <c r="A66" i="6"/>
  <c r="C74" i="6"/>
  <c r="I74" i="6"/>
  <c r="A74" i="6"/>
  <c r="G74" i="6"/>
  <c r="C82" i="6"/>
  <c r="I82" i="6"/>
  <c r="A82" i="6"/>
  <c r="G82" i="6"/>
  <c r="C90" i="6"/>
  <c r="I90" i="6"/>
  <c r="A90" i="6"/>
  <c r="G90" i="6"/>
  <c r="C98" i="6"/>
  <c r="I98" i="6"/>
  <c r="A98" i="6"/>
  <c r="G98" i="6"/>
  <c r="C106" i="6"/>
  <c r="I106" i="6"/>
  <c r="A106" i="6"/>
  <c r="G106" i="6"/>
  <c r="C114" i="6"/>
  <c r="I114" i="6"/>
  <c r="A114" i="6"/>
  <c r="G114" i="6"/>
  <c r="C122" i="6"/>
  <c r="I122" i="6"/>
  <c r="A122" i="6"/>
  <c r="G122" i="6"/>
  <c r="C130" i="6"/>
  <c r="I130" i="6"/>
  <c r="A130" i="6"/>
  <c r="G130" i="6"/>
  <c r="C138" i="6"/>
  <c r="I138" i="6"/>
  <c r="A138" i="6"/>
  <c r="G138" i="6"/>
  <c r="C146" i="6"/>
  <c r="I146" i="6"/>
  <c r="A146" i="6"/>
  <c r="G146" i="6"/>
  <c r="C154" i="6"/>
  <c r="I154" i="6"/>
  <c r="A154" i="6"/>
  <c r="G154" i="6"/>
  <c r="C162" i="6"/>
  <c r="I162" i="6"/>
  <c r="A162" i="6"/>
  <c r="G162" i="6"/>
  <c r="E170" i="6"/>
  <c r="J170" i="6"/>
  <c r="I170" i="6"/>
  <c r="A170" i="6"/>
  <c r="G170" i="6"/>
  <c r="D170" i="6"/>
  <c r="B170" i="6"/>
  <c r="G178" i="6"/>
  <c r="E178" i="6"/>
  <c r="C178" i="6"/>
  <c r="J178" i="6"/>
  <c r="B178" i="6"/>
  <c r="I178" i="6"/>
  <c r="A178" i="6"/>
  <c r="H178" i="6"/>
  <c r="D178" i="6"/>
  <c r="G186" i="6"/>
  <c r="E186" i="6"/>
  <c r="C186" i="6"/>
  <c r="J186" i="6"/>
  <c r="B186" i="6"/>
  <c r="I186" i="6"/>
  <c r="A186" i="6"/>
  <c r="H186" i="6"/>
  <c r="D186" i="6"/>
  <c r="G194" i="6"/>
  <c r="E194" i="6"/>
  <c r="C194" i="6"/>
  <c r="J194" i="6"/>
  <c r="B194" i="6"/>
  <c r="I194" i="6"/>
  <c r="A194" i="6"/>
  <c r="D194" i="6"/>
  <c r="G202" i="6"/>
  <c r="E202" i="6"/>
  <c r="C202" i="6"/>
  <c r="J202" i="6"/>
  <c r="B202" i="6"/>
  <c r="I202" i="6"/>
  <c r="A202" i="6"/>
  <c r="H202" i="6"/>
  <c r="G210" i="6"/>
  <c r="E210" i="6"/>
  <c r="C210" i="6"/>
  <c r="J210" i="6"/>
  <c r="B210" i="6"/>
  <c r="I210" i="6"/>
  <c r="A210" i="6"/>
  <c r="H210" i="6"/>
  <c r="D210" i="6"/>
  <c r="G218" i="6"/>
  <c r="E218" i="6"/>
  <c r="C218" i="6"/>
  <c r="J218" i="6"/>
  <c r="B218" i="6"/>
  <c r="I218" i="6"/>
  <c r="A218" i="6"/>
  <c r="H218" i="6"/>
  <c r="D218" i="6"/>
  <c r="G226" i="6"/>
  <c r="E226" i="6"/>
  <c r="C226" i="6"/>
  <c r="J226" i="6"/>
  <c r="B226" i="6"/>
  <c r="I226" i="6"/>
  <c r="A226" i="6"/>
  <c r="D226" i="6"/>
  <c r="G234" i="6"/>
  <c r="E234" i="6"/>
  <c r="C234" i="6"/>
  <c r="J234" i="6"/>
  <c r="B234" i="6"/>
  <c r="I234" i="6"/>
  <c r="A234" i="6"/>
  <c r="H234" i="6"/>
  <c r="G242" i="6"/>
  <c r="E242" i="6"/>
  <c r="C242" i="6"/>
  <c r="J242" i="6"/>
  <c r="B242" i="6"/>
  <c r="I242" i="6"/>
  <c r="A242" i="6"/>
  <c r="H242" i="6"/>
  <c r="D242" i="6"/>
  <c r="F250" i="6"/>
  <c r="C250" i="6"/>
  <c r="J250" i="6"/>
  <c r="B250" i="6"/>
  <c r="A250" i="6"/>
  <c r="H250" i="6"/>
  <c r="G250" i="6"/>
  <c r="E250" i="6"/>
  <c r="I250" i="6"/>
  <c r="F258" i="6"/>
  <c r="C258" i="6"/>
  <c r="J258" i="6"/>
  <c r="B258" i="6"/>
  <c r="E258" i="6"/>
  <c r="A258" i="6"/>
  <c r="I258" i="6"/>
  <c r="H258" i="6"/>
  <c r="F266" i="6"/>
  <c r="C266" i="6"/>
  <c r="J266" i="6"/>
  <c r="B266" i="6"/>
  <c r="H266" i="6"/>
  <c r="E266" i="6"/>
  <c r="A266" i="6"/>
  <c r="G266" i="6"/>
  <c r="F274" i="6"/>
  <c r="C274" i="6"/>
  <c r="J274" i="6"/>
  <c r="B274" i="6"/>
  <c r="H274" i="6"/>
  <c r="E274" i="6"/>
  <c r="D274" i="6"/>
  <c r="A274" i="6"/>
  <c r="G274" i="6"/>
  <c r="F282" i="6"/>
  <c r="C282" i="6"/>
  <c r="J282" i="6"/>
  <c r="B282" i="6"/>
  <c r="A282" i="6"/>
  <c r="H282" i="6"/>
  <c r="G282" i="6"/>
  <c r="E282" i="6"/>
  <c r="D282" i="6"/>
  <c r="F290" i="6"/>
  <c r="C290" i="6"/>
  <c r="J290" i="6"/>
  <c r="B290" i="6"/>
  <c r="E290" i="6"/>
  <c r="A290" i="6"/>
  <c r="I290" i="6"/>
  <c r="H290" i="6"/>
  <c r="F298" i="6"/>
  <c r="C298" i="6"/>
  <c r="J298" i="6"/>
  <c r="B298" i="6"/>
  <c r="H298" i="6"/>
  <c r="E298" i="6"/>
  <c r="A298" i="6"/>
  <c r="I298" i="6"/>
  <c r="D298" i="6"/>
  <c r="F306" i="6"/>
  <c r="C306" i="6"/>
  <c r="J306" i="6"/>
  <c r="B306" i="6"/>
  <c r="H306" i="6"/>
  <c r="E306" i="6"/>
  <c r="D306" i="6"/>
  <c r="A306" i="6"/>
  <c r="I306" i="6"/>
  <c r="F314" i="6"/>
  <c r="C314" i="6"/>
  <c r="J314" i="6"/>
  <c r="B314" i="6"/>
  <c r="A314" i="6"/>
  <c r="H314" i="6"/>
  <c r="G314" i="6"/>
  <c r="E314" i="6"/>
  <c r="F322" i="6"/>
  <c r="C322" i="6"/>
  <c r="J322" i="6"/>
  <c r="B322" i="6"/>
  <c r="E322" i="6"/>
  <c r="A322" i="6"/>
  <c r="I322" i="6"/>
  <c r="H322" i="6"/>
  <c r="G322" i="6"/>
  <c r="F330" i="6"/>
  <c r="C330" i="6"/>
  <c r="J330" i="6"/>
  <c r="B330" i="6"/>
  <c r="H330" i="6"/>
  <c r="E330" i="6"/>
  <c r="D330" i="6"/>
  <c r="A330" i="6"/>
  <c r="F338" i="6"/>
  <c r="C338" i="6"/>
  <c r="J338" i="6"/>
  <c r="B338" i="6"/>
  <c r="H338" i="6"/>
  <c r="G338" i="6"/>
  <c r="E338" i="6"/>
  <c r="D338" i="6"/>
  <c r="A338" i="6"/>
  <c r="F346" i="6"/>
  <c r="C346" i="6"/>
  <c r="J346" i="6"/>
  <c r="B346" i="6"/>
  <c r="A346" i="6"/>
  <c r="I346" i="6"/>
  <c r="H346" i="6"/>
  <c r="G346" i="6"/>
  <c r="E346" i="6"/>
  <c r="D346" i="6"/>
  <c r="F354" i="6"/>
  <c r="C354" i="6"/>
  <c r="J354" i="6"/>
  <c r="B354" i="6"/>
  <c r="E354" i="6"/>
  <c r="A354" i="6"/>
  <c r="I354" i="6"/>
  <c r="H354" i="6"/>
  <c r="G354" i="6"/>
  <c r="F362" i="6"/>
  <c r="C362" i="6"/>
  <c r="J362" i="6"/>
  <c r="B362" i="6"/>
  <c r="H362" i="6"/>
  <c r="E362" i="6"/>
  <c r="D362" i="6"/>
  <c r="A362" i="6"/>
  <c r="I362" i="6"/>
  <c r="F370" i="6"/>
  <c r="C370" i="6"/>
  <c r="J370" i="6"/>
  <c r="B370" i="6"/>
  <c r="H370" i="6"/>
  <c r="G370" i="6"/>
  <c r="E370" i="6"/>
  <c r="D370" i="6"/>
  <c r="A370" i="6"/>
  <c r="F378" i="6"/>
  <c r="E378" i="6"/>
  <c r="I378" i="6"/>
  <c r="D378" i="6"/>
  <c r="C378" i="6"/>
  <c r="H378" i="6"/>
  <c r="B378" i="6"/>
  <c r="A378" i="6"/>
  <c r="J378" i="6"/>
  <c r="F386" i="6"/>
  <c r="E386" i="6"/>
  <c r="C386" i="6"/>
  <c r="J386" i="6"/>
  <c r="I386" i="6"/>
  <c r="H386" i="6"/>
  <c r="G386" i="6"/>
  <c r="D386" i="6"/>
  <c r="B386" i="6"/>
  <c r="A386" i="6"/>
  <c r="F394" i="6"/>
  <c r="E394" i="6"/>
  <c r="I394" i="6"/>
  <c r="D394" i="6"/>
  <c r="C394" i="6"/>
  <c r="G394" i="6"/>
  <c r="A394" i="6"/>
  <c r="J394" i="6"/>
  <c r="F402" i="6"/>
  <c r="E402" i="6"/>
  <c r="C402" i="6"/>
  <c r="J402" i="6"/>
  <c r="I402" i="6"/>
  <c r="H402" i="6"/>
  <c r="G402" i="6"/>
  <c r="D402" i="6"/>
  <c r="B402" i="6"/>
  <c r="A402" i="6"/>
  <c r="F410" i="6"/>
  <c r="E410" i="6"/>
  <c r="I410" i="6"/>
  <c r="D410" i="6"/>
  <c r="C410" i="6"/>
  <c r="B410" i="6"/>
  <c r="J410" i="6"/>
  <c r="H410" i="6"/>
  <c r="G410" i="6"/>
  <c r="A410" i="6"/>
  <c r="I418" i="6"/>
  <c r="A418" i="6"/>
  <c r="H418" i="6"/>
  <c r="G418" i="6"/>
  <c r="J418" i="6"/>
  <c r="F418" i="6"/>
  <c r="E418" i="6"/>
  <c r="D418" i="6"/>
  <c r="C418" i="6"/>
  <c r="B418" i="6"/>
  <c r="I426" i="6"/>
  <c r="A426" i="6"/>
  <c r="H426" i="6"/>
  <c r="G426" i="6"/>
  <c r="D426" i="6"/>
  <c r="J426" i="6"/>
  <c r="E426" i="6"/>
  <c r="C426" i="6"/>
  <c r="B426" i="6"/>
  <c r="I434" i="6"/>
  <c r="A434" i="6"/>
  <c r="H434" i="6"/>
  <c r="G434" i="6"/>
  <c r="C434" i="6"/>
  <c r="B434" i="6"/>
  <c r="E434" i="6"/>
  <c r="D434" i="6"/>
  <c r="J434" i="6"/>
  <c r="I442" i="6"/>
  <c r="A442" i="6"/>
  <c r="H442" i="6"/>
  <c r="G442" i="6"/>
  <c r="E442" i="6"/>
  <c r="D442" i="6"/>
  <c r="F442" i="6"/>
  <c r="B442" i="6"/>
  <c r="J442" i="6"/>
  <c r="C442" i="6"/>
  <c r="I450" i="6"/>
  <c r="A450" i="6"/>
  <c r="H450" i="6"/>
  <c r="G450" i="6"/>
  <c r="J450" i="6"/>
  <c r="F450" i="6"/>
  <c r="C450" i="6"/>
  <c r="B450" i="6"/>
  <c r="E450" i="6"/>
  <c r="D450" i="6"/>
  <c r="I458" i="6"/>
  <c r="A458" i="6"/>
  <c r="H458" i="6"/>
  <c r="G458" i="6"/>
  <c r="D458" i="6"/>
  <c r="B458" i="6"/>
  <c r="J458" i="6"/>
  <c r="F458" i="6"/>
  <c r="E458" i="6"/>
  <c r="C458" i="6"/>
  <c r="I466" i="6"/>
  <c r="A466" i="6"/>
  <c r="H466" i="6"/>
  <c r="G466" i="6"/>
  <c r="C466" i="6"/>
  <c r="B466" i="6"/>
  <c r="F466" i="6"/>
  <c r="J466" i="6"/>
  <c r="E466" i="6"/>
  <c r="I474" i="6"/>
  <c r="A474" i="6"/>
  <c r="H474" i="6"/>
  <c r="G474" i="6"/>
  <c r="F474" i="6"/>
  <c r="E474" i="6"/>
  <c r="D474" i="6"/>
  <c r="J474" i="6"/>
  <c r="C474" i="6"/>
  <c r="B474" i="6"/>
  <c r="I482" i="6"/>
  <c r="A482" i="6"/>
  <c r="H482" i="6"/>
  <c r="G482" i="6"/>
  <c r="B482" i="6"/>
  <c r="J482" i="6"/>
  <c r="F482" i="6"/>
  <c r="D482" i="6"/>
  <c r="E482" i="6"/>
  <c r="C482" i="6"/>
  <c r="I490" i="6"/>
  <c r="A490" i="6"/>
  <c r="H490" i="6"/>
  <c r="G490" i="6"/>
  <c r="D490" i="6"/>
  <c r="B490" i="6"/>
  <c r="E490" i="6"/>
  <c r="C490" i="6"/>
  <c r="J490" i="6"/>
  <c r="F490" i="6"/>
  <c r="I498" i="6"/>
  <c r="A498" i="6"/>
  <c r="H498" i="6"/>
  <c r="G498" i="6"/>
  <c r="F498" i="6"/>
  <c r="D498" i="6"/>
  <c r="C498" i="6"/>
  <c r="B498" i="6"/>
  <c r="E498" i="6"/>
  <c r="J498" i="6"/>
  <c r="A5" i="6"/>
  <c r="A13" i="6"/>
  <c r="A17" i="6"/>
  <c r="A21" i="6"/>
  <c r="A25" i="6"/>
  <c r="A29" i="6"/>
  <c r="A33" i="6"/>
  <c r="A37" i="6"/>
  <c r="F39" i="6"/>
  <c r="B40" i="6"/>
  <c r="L40" i="6"/>
  <c r="J41" i="6"/>
  <c r="F42" i="6"/>
  <c r="B43" i="6"/>
  <c r="N43" i="6"/>
  <c r="J44" i="6"/>
  <c r="F45" i="6"/>
  <c r="D46" i="6"/>
  <c r="J47" i="6"/>
  <c r="H48" i="6"/>
  <c r="D49" i="6"/>
  <c r="H51" i="6"/>
  <c r="D52" i="6"/>
  <c r="B53" i="6"/>
  <c r="H54" i="6"/>
  <c r="F55" i="6"/>
  <c r="B56" i="6"/>
  <c r="L56" i="6"/>
  <c r="J57" i="6"/>
  <c r="F58" i="6"/>
  <c r="B59" i="6"/>
  <c r="N59" i="6"/>
  <c r="J60" i="6"/>
  <c r="F61" i="6"/>
  <c r="D62" i="6"/>
  <c r="J63" i="6"/>
  <c r="H64" i="6"/>
  <c r="D65" i="6"/>
  <c r="H67" i="6"/>
  <c r="D68" i="6"/>
  <c r="B69" i="6"/>
  <c r="H70" i="6"/>
  <c r="F71" i="6"/>
  <c r="B72" i="6"/>
  <c r="L72" i="6"/>
  <c r="J73" i="6"/>
  <c r="H74" i="6"/>
  <c r="G75" i="6"/>
  <c r="F76" i="6"/>
  <c r="D77" i="6"/>
  <c r="D78" i="6"/>
  <c r="B79" i="6"/>
  <c r="A80" i="6"/>
  <c r="J83" i="6"/>
  <c r="I84" i="6"/>
  <c r="H85" i="6"/>
  <c r="F86" i="6"/>
  <c r="F87" i="6"/>
  <c r="D88" i="6"/>
  <c r="C89" i="6"/>
  <c r="B90" i="6"/>
  <c r="L92" i="6"/>
  <c r="J94" i="6"/>
  <c r="H95" i="6"/>
  <c r="H96" i="6"/>
  <c r="F97" i="6"/>
  <c r="E98" i="6"/>
  <c r="D99" i="6"/>
  <c r="B100" i="6"/>
  <c r="B101" i="6"/>
  <c r="J104" i="6"/>
  <c r="J105" i="6"/>
  <c r="H106" i="6"/>
  <c r="G107" i="6"/>
  <c r="F108" i="6"/>
  <c r="D109" i="6"/>
  <c r="D110" i="6"/>
  <c r="B111" i="6"/>
  <c r="A112" i="6"/>
  <c r="J115" i="6"/>
  <c r="I116" i="6"/>
  <c r="H117" i="6"/>
  <c r="F118" i="6"/>
  <c r="F119" i="6"/>
  <c r="D120" i="6"/>
  <c r="C121" i="6"/>
  <c r="B122" i="6"/>
  <c r="L124" i="6"/>
  <c r="J126" i="6"/>
  <c r="H127" i="6"/>
  <c r="H128" i="6"/>
  <c r="F129" i="6"/>
  <c r="E130" i="6"/>
  <c r="D131" i="6"/>
  <c r="B132" i="6"/>
  <c r="B133" i="6"/>
  <c r="J136" i="6"/>
  <c r="J137" i="6"/>
  <c r="H138" i="6"/>
  <c r="G139" i="6"/>
  <c r="F140" i="6"/>
  <c r="D141" i="6"/>
  <c r="D142" i="6"/>
  <c r="B143" i="6"/>
  <c r="A144" i="6"/>
  <c r="J147" i="6"/>
  <c r="I148" i="6"/>
  <c r="H149" i="6"/>
  <c r="F150" i="6"/>
  <c r="F151" i="6"/>
  <c r="D152" i="6"/>
  <c r="C153" i="6"/>
  <c r="B154" i="6"/>
  <c r="L156" i="6"/>
  <c r="J158" i="6"/>
  <c r="H159" i="6"/>
  <c r="H160" i="6"/>
  <c r="F161" i="6"/>
  <c r="E162" i="6"/>
  <c r="D163" i="6"/>
  <c r="B164" i="6"/>
  <c r="B165" i="6"/>
  <c r="J168" i="6"/>
  <c r="B171" i="6"/>
  <c r="D173" i="6"/>
  <c r="J175" i="6"/>
  <c r="J180" i="6"/>
  <c r="F185" i="6"/>
  <c r="D190" i="6"/>
  <c r="B195" i="6"/>
  <c r="J197" i="6"/>
  <c r="B200" i="6"/>
  <c r="F202" i="6"/>
  <c r="B205" i="6"/>
  <c r="F207" i="6"/>
  <c r="D212" i="6"/>
  <c r="H214" i="6"/>
  <c r="D217" i="6"/>
  <c r="H219" i="6"/>
  <c r="H224" i="6"/>
  <c r="F229" i="6"/>
  <c r="J231" i="6"/>
  <c r="D234" i="6"/>
  <c r="J236" i="6"/>
  <c r="J241" i="6"/>
  <c r="G246" i="6"/>
  <c r="D250" i="6"/>
  <c r="D258" i="6"/>
  <c r="G273" i="6"/>
  <c r="J277" i="6"/>
  <c r="E281" i="6"/>
  <c r="F285" i="6"/>
  <c r="E289" i="6"/>
  <c r="E297" i="6"/>
  <c r="E312" i="6"/>
  <c r="K316" i="6"/>
  <c r="E320" i="6"/>
  <c r="D324" i="6"/>
  <c r="G329" i="6"/>
  <c r="A335" i="6"/>
  <c r="F341" i="6"/>
  <c r="I352" i="6"/>
  <c r="D364" i="6"/>
  <c r="I370" i="6"/>
  <c r="I379" i="6"/>
  <c r="F389" i="6"/>
  <c r="B399" i="6"/>
  <c r="I420" i="6"/>
  <c r="F436" i="6"/>
  <c r="H455" i="6"/>
  <c r="F478" i="6"/>
  <c r="D9" i="41"/>
  <c r="G4" i="39"/>
  <c r="D4" i="39"/>
  <c r="A4" i="39"/>
  <c r="G4" i="36"/>
  <c r="D4" i="36"/>
  <c r="A4" i="36"/>
  <c r="G4" i="33"/>
  <c r="D4" i="33"/>
  <c r="A4" i="33"/>
  <c r="A4" i="30"/>
  <c r="G4" i="30"/>
  <c r="D4" i="30"/>
  <c r="A4" i="27"/>
  <c r="G4" i="27"/>
  <c r="D4" i="27"/>
  <c r="G4" i="24"/>
  <c r="D4" i="24"/>
  <c r="A4" i="24"/>
  <c r="D4" i="21"/>
  <c r="A4" i="21"/>
  <c r="A4" i="18"/>
  <c r="G4" i="21"/>
  <c r="G4" i="18"/>
  <c r="D4" i="18"/>
  <c r="G4" i="15"/>
  <c r="D4" i="15"/>
  <c r="G4" i="12"/>
  <c r="D4" i="12"/>
  <c r="A4" i="12"/>
  <c r="D29" i="41"/>
  <c r="D21" i="41"/>
  <c r="D28" i="41"/>
  <c r="D20" i="41"/>
  <c r="D27" i="41"/>
  <c r="D26" i="41"/>
  <c r="D25" i="41"/>
  <c r="D24" i="41"/>
  <c r="D23" i="41"/>
  <c r="D22" i="41"/>
  <c r="D4" i="38"/>
  <c r="A4" i="38"/>
  <c r="A4" i="35"/>
  <c r="D4" i="35"/>
  <c r="D4" i="32"/>
  <c r="A4" i="32"/>
  <c r="D4" i="29"/>
  <c r="D4" i="26"/>
  <c r="A4" i="26"/>
  <c r="A4" i="29"/>
  <c r="D4" i="23"/>
  <c r="A4" i="23"/>
  <c r="D4" i="20"/>
  <c r="A4" i="20"/>
  <c r="D4" i="17"/>
  <c r="A4" i="17"/>
  <c r="D4" i="14"/>
  <c r="A4" i="14"/>
  <c r="A4" i="11"/>
  <c r="D10" i="41"/>
  <c r="D15" i="41"/>
  <c r="D14" i="41"/>
  <c r="D17" i="41" s="1"/>
  <c r="E19" i="4" l="1"/>
  <c r="N29" i="6"/>
  <c r="M29" i="6"/>
  <c r="L29" i="6"/>
  <c r="K29" i="6"/>
  <c r="M490" i="6"/>
  <c r="L490" i="6"/>
  <c r="K490" i="6"/>
  <c r="N490" i="6"/>
  <c r="N378" i="6"/>
  <c r="M378" i="6"/>
  <c r="L378" i="6"/>
  <c r="K378" i="6"/>
  <c r="N370" i="6"/>
  <c r="K370" i="6"/>
  <c r="L370" i="6"/>
  <c r="M370" i="6"/>
  <c r="N346" i="6"/>
  <c r="K346" i="6"/>
  <c r="L346" i="6"/>
  <c r="M346" i="6"/>
  <c r="N306" i="6"/>
  <c r="K306" i="6"/>
  <c r="L306" i="6"/>
  <c r="M306" i="6"/>
  <c r="M210" i="6"/>
  <c r="K210" i="6"/>
  <c r="N210" i="6"/>
  <c r="L210" i="6"/>
  <c r="M202" i="6"/>
  <c r="K202" i="6"/>
  <c r="N202" i="6"/>
  <c r="L202" i="6"/>
  <c r="M194" i="6"/>
  <c r="K194" i="6"/>
  <c r="N194" i="6"/>
  <c r="L194" i="6"/>
  <c r="K66" i="6"/>
  <c r="L66" i="6"/>
  <c r="N66" i="6"/>
  <c r="M66" i="6"/>
  <c r="K503" i="6"/>
  <c r="N503" i="6"/>
  <c r="L503" i="6"/>
  <c r="M503" i="6"/>
  <c r="K463" i="6"/>
  <c r="N463" i="6"/>
  <c r="M463" i="6"/>
  <c r="L463" i="6"/>
  <c r="N407" i="6"/>
  <c r="M407" i="6"/>
  <c r="K407" i="6"/>
  <c r="L407" i="6"/>
  <c r="M311" i="6"/>
  <c r="L311" i="6"/>
  <c r="K311" i="6"/>
  <c r="N311" i="6"/>
  <c r="M239" i="6"/>
  <c r="L239" i="6"/>
  <c r="K239" i="6"/>
  <c r="N239" i="6"/>
  <c r="M420" i="6"/>
  <c r="L420" i="6"/>
  <c r="K420" i="6"/>
  <c r="N420" i="6"/>
  <c r="N388" i="6"/>
  <c r="M388" i="6"/>
  <c r="L388" i="6"/>
  <c r="K388" i="6"/>
  <c r="N348" i="6"/>
  <c r="L348" i="6"/>
  <c r="M348" i="6"/>
  <c r="K348" i="6"/>
  <c r="L393" i="6"/>
  <c r="K393" i="6"/>
  <c r="M393" i="6"/>
  <c r="N393" i="6"/>
  <c r="L385" i="6"/>
  <c r="K385" i="6"/>
  <c r="N385" i="6"/>
  <c r="M385" i="6"/>
  <c r="L249" i="6"/>
  <c r="M249" i="6"/>
  <c r="N249" i="6"/>
  <c r="K249" i="6"/>
  <c r="L494" i="6"/>
  <c r="N494" i="6"/>
  <c r="K494" i="6"/>
  <c r="M494" i="6"/>
  <c r="N430" i="6"/>
  <c r="K430" i="6"/>
  <c r="L430" i="6"/>
  <c r="M430" i="6"/>
  <c r="N406" i="6"/>
  <c r="M406" i="6"/>
  <c r="K406" i="6"/>
  <c r="L406" i="6"/>
  <c r="N286" i="6"/>
  <c r="K286" i="6"/>
  <c r="M286" i="6"/>
  <c r="L286" i="6"/>
  <c r="N262" i="6"/>
  <c r="K262" i="6"/>
  <c r="M262" i="6"/>
  <c r="L262" i="6"/>
  <c r="M214" i="6"/>
  <c r="K214" i="6"/>
  <c r="L214" i="6"/>
  <c r="N214" i="6"/>
  <c r="M198" i="6"/>
  <c r="K198" i="6"/>
  <c r="L198" i="6"/>
  <c r="N198" i="6"/>
  <c r="K499" i="6"/>
  <c r="N499" i="6"/>
  <c r="M499" i="6"/>
  <c r="L499" i="6"/>
  <c r="K467" i="6"/>
  <c r="N467" i="6"/>
  <c r="M467" i="6"/>
  <c r="L467" i="6"/>
  <c r="K403" i="6"/>
  <c r="N403" i="6"/>
  <c r="L403" i="6"/>
  <c r="M403" i="6"/>
  <c r="L395" i="6"/>
  <c r="K395" i="6"/>
  <c r="N395" i="6"/>
  <c r="M395" i="6"/>
  <c r="M331" i="6"/>
  <c r="L331" i="6"/>
  <c r="N331" i="6"/>
  <c r="K331" i="6"/>
  <c r="M259" i="6"/>
  <c r="L259" i="6"/>
  <c r="N259" i="6"/>
  <c r="K259" i="6"/>
  <c r="M211" i="6"/>
  <c r="L211" i="6"/>
  <c r="K211" i="6"/>
  <c r="N211" i="6"/>
  <c r="M171" i="6"/>
  <c r="L171" i="6"/>
  <c r="K171" i="6"/>
  <c r="N171" i="6"/>
  <c r="M168" i="6"/>
  <c r="K168" i="6"/>
  <c r="N168" i="6"/>
  <c r="L168" i="6"/>
  <c r="N32" i="6"/>
  <c r="M32" i="6"/>
  <c r="L32" i="6"/>
  <c r="K32" i="6"/>
  <c r="N20" i="6"/>
  <c r="M20" i="6"/>
  <c r="L20" i="6"/>
  <c r="K20" i="6"/>
  <c r="M472" i="6"/>
  <c r="L472" i="6"/>
  <c r="K472" i="6"/>
  <c r="N472" i="6"/>
  <c r="M464" i="6"/>
  <c r="L464" i="6"/>
  <c r="K464" i="6"/>
  <c r="N464" i="6"/>
  <c r="M432" i="6"/>
  <c r="L432" i="6"/>
  <c r="K432" i="6"/>
  <c r="N432" i="6"/>
  <c r="L376" i="6"/>
  <c r="K376" i="6"/>
  <c r="N376" i="6"/>
  <c r="M376" i="6"/>
  <c r="N304" i="6"/>
  <c r="M304" i="6"/>
  <c r="K304" i="6"/>
  <c r="L304" i="6"/>
  <c r="N280" i="6"/>
  <c r="M280" i="6"/>
  <c r="K280" i="6"/>
  <c r="L280" i="6"/>
  <c r="N264" i="6"/>
  <c r="K264" i="6"/>
  <c r="M264" i="6"/>
  <c r="L264" i="6"/>
  <c r="N421" i="6"/>
  <c r="M421" i="6"/>
  <c r="L421" i="6"/>
  <c r="K421" i="6"/>
  <c r="L349" i="6"/>
  <c r="K349" i="6"/>
  <c r="N349" i="6"/>
  <c r="M349" i="6"/>
  <c r="L341" i="6"/>
  <c r="N341" i="6"/>
  <c r="M341" i="6"/>
  <c r="K341" i="6"/>
  <c r="G12" i="4"/>
  <c r="G14" i="4"/>
  <c r="M80" i="6"/>
  <c r="K80" i="6"/>
  <c r="N80" i="6"/>
  <c r="L80" i="6"/>
  <c r="N25" i="6"/>
  <c r="M25" i="6"/>
  <c r="L25" i="6"/>
  <c r="K25" i="6"/>
  <c r="M450" i="6"/>
  <c r="K450" i="6"/>
  <c r="N450" i="6"/>
  <c r="L450" i="6"/>
  <c r="N410" i="6"/>
  <c r="M410" i="6"/>
  <c r="L410" i="6"/>
  <c r="K410" i="6"/>
  <c r="N322" i="6"/>
  <c r="K322" i="6"/>
  <c r="L322" i="6"/>
  <c r="M322" i="6"/>
  <c r="M186" i="6"/>
  <c r="K186" i="6"/>
  <c r="N186" i="6"/>
  <c r="L186" i="6"/>
  <c r="K162" i="6"/>
  <c r="N162" i="6"/>
  <c r="M162" i="6"/>
  <c r="L162" i="6"/>
  <c r="K146" i="6"/>
  <c r="L146" i="6"/>
  <c r="N146" i="6"/>
  <c r="M146" i="6"/>
  <c r="K130" i="6"/>
  <c r="N130" i="6"/>
  <c r="M130" i="6"/>
  <c r="L130" i="6"/>
  <c r="K114" i="6"/>
  <c r="L114" i="6"/>
  <c r="N114" i="6"/>
  <c r="M114" i="6"/>
  <c r="K98" i="6"/>
  <c r="N98" i="6"/>
  <c r="M98" i="6"/>
  <c r="L98" i="6"/>
  <c r="K82" i="6"/>
  <c r="L82" i="6"/>
  <c r="N82" i="6"/>
  <c r="M82" i="6"/>
  <c r="K42" i="6"/>
  <c r="N42" i="6"/>
  <c r="M42" i="6"/>
  <c r="L42" i="6"/>
  <c r="K455" i="6"/>
  <c r="N455" i="6"/>
  <c r="L455" i="6"/>
  <c r="M455" i="6"/>
  <c r="K423" i="6"/>
  <c r="N423" i="6"/>
  <c r="L423" i="6"/>
  <c r="M423" i="6"/>
  <c r="N391" i="6"/>
  <c r="M391" i="6"/>
  <c r="L391" i="6"/>
  <c r="K391" i="6"/>
  <c r="M319" i="6"/>
  <c r="L319" i="6"/>
  <c r="N319" i="6"/>
  <c r="K319" i="6"/>
  <c r="M303" i="6"/>
  <c r="L303" i="6"/>
  <c r="K303" i="6"/>
  <c r="N303" i="6"/>
  <c r="M247" i="6"/>
  <c r="L247" i="6"/>
  <c r="K247" i="6"/>
  <c r="N247" i="6"/>
  <c r="M500" i="6"/>
  <c r="L500" i="6"/>
  <c r="K500" i="6"/>
  <c r="N500" i="6"/>
  <c r="N364" i="6"/>
  <c r="M364" i="6"/>
  <c r="L364" i="6"/>
  <c r="K364" i="6"/>
  <c r="N276" i="6"/>
  <c r="M276" i="6"/>
  <c r="L276" i="6"/>
  <c r="K276" i="6"/>
  <c r="M327" i="6"/>
  <c r="L327" i="6"/>
  <c r="K327" i="6"/>
  <c r="N327" i="6"/>
  <c r="N489" i="6"/>
  <c r="M489" i="6"/>
  <c r="L489" i="6"/>
  <c r="K489" i="6"/>
  <c r="N481" i="6"/>
  <c r="M481" i="6"/>
  <c r="K481" i="6"/>
  <c r="L481" i="6"/>
  <c r="N473" i="6"/>
  <c r="M473" i="6"/>
  <c r="K473" i="6"/>
  <c r="L473" i="6"/>
  <c r="N449" i="6"/>
  <c r="M449" i="6"/>
  <c r="K449" i="6"/>
  <c r="L449" i="6"/>
  <c r="N425" i="6"/>
  <c r="M425" i="6"/>
  <c r="L425" i="6"/>
  <c r="K425" i="6"/>
  <c r="L337" i="6"/>
  <c r="M337" i="6"/>
  <c r="N337" i="6"/>
  <c r="K337" i="6"/>
  <c r="K169" i="6"/>
  <c r="L169" i="6"/>
  <c r="N169" i="6"/>
  <c r="M169" i="6"/>
  <c r="M73" i="6"/>
  <c r="N73" i="6"/>
  <c r="L73" i="6"/>
  <c r="K73" i="6"/>
  <c r="N246" i="6"/>
  <c r="M246" i="6"/>
  <c r="L246" i="6"/>
  <c r="K246" i="6"/>
  <c r="M230" i="6"/>
  <c r="K230" i="6"/>
  <c r="L230" i="6"/>
  <c r="N230" i="6"/>
  <c r="M295" i="6"/>
  <c r="L295" i="6"/>
  <c r="K295" i="6"/>
  <c r="N295" i="6"/>
  <c r="M15" i="6"/>
  <c r="L15" i="6"/>
  <c r="K15" i="6"/>
  <c r="N15" i="6"/>
  <c r="N470" i="6"/>
  <c r="L470" i="6"/>
  <c r="K470" i="6"/>
  <c r="M470" i="6"/>
  <c r="N390" i="6"/>
  <c r="M390" i="6"/>
  <c r="K390" i="6"/>
  <c r="L390" i="6"/>
  <c r="N382" i="6"/>
  <c r="M382" i="6"/>
  <c r="L382" i="6"/>
  <c r="K382" i="6"/>
  <c r="M271" i="6"/>
  <c r="L271" i="6"/>
  <c r="K271" i="6"/>
  <c r="N271" i="6"/>
  <c r="K427" i="6"/>
  <c r="L427" i="6"/>
  <c r="N427" i="6"/>
  <c r="M427" i="6"/>
  <c r="M371" i="6"/>
  <c r="L371" i="6"/>
  <c r="N371" i="6"/>
  <c r="K371" i="6"/>
  <c r="M347" i="6"/>
  <c r="L347" i="6"/>
  <c r="N347" i="6"/>
  <c r="K347" i="6"/>
  <c r="M307" i="6"/>
  <c r="L307" i="6"/>
  <c r="N307" i="6"/>
  <c r="K307" i="6"/>
  <c r="M251" i="6"/>
  <c r="L251" i="6"/>
  <c r="N251" i="6"/>
  <c r="K251" i="6"/>
  <c r="M235" i="6"/>
  <c r="L235" i="6"/>
  <c r="K235" i="6"/>
  <c r="N235" i="6"/>
  <c r="M227" i="6"/>
  <c r="L227" i="6"/>
  <c r="K227" i="6"/>
  <c r="N227" i="6"/>
  <c r="M219" i="6"/>
  <c r="L219" i="6"/>
  <c r="K219" i="6"/>
  <c r="N219" i="6"/>
  <c r="M136" i="6"/>
  <c r="K136" i="6"/>
  <c r="N136" i="6"/>
  <c r="L136" i="6"/>
  <c r="M496" i="6"/>
  <c r="L496" i="6"/>
  <c r="K496" i="6"/>
  <c r="N496" i="6"/>
  <c r="L408" i="6"/>
  <c r="K408" i="6"/>
  <c r="N408" i="6"/>
  <c r="M408" i="6"/>
  <c r="N368" i="6"/>
  <c r="M368" i="6"/>
  <c r="K368" i="6"/>
  <c r="L368" i="6"/>
  <c r="N256" i="6"/>
  <c r="M256" i="6"/>
  <c r="L256" i="6"/>
  <c r="K256" i="6"/>
  <c r="K176" i="6"/>
  <c r="N176" i="6"/>
  <c r="M176" i="6"/>
  <c r="L176" i="6"/>
  <c r="N485" i="6"/>
  <c r="M485" i="6"/>
  <c r="L485" i="6"/>
  <c r="K485" i="6"/>
  <c r="N461" i="6"/>
  <c r="M461" i="6"/>
  <c r="L461" i="6"/>
  <c r="K461" i="6"/>
  <c r="L333" i="6"/>
  <c r="N333" i="6"/>
  <c r="M333" i="6"/>
  <c r="K333" i="6"/>
  <c r="M173" i="6"/>
  <c r="K173" i="6"/>
  <c r="N173" i="6"/>
  <c r="L173" i="6"/>
  <c r="N61" i="6"/>
  <c r="M61" i="6"/>
  <c r="L61" i="6"/>
  <c r="K61" i="6"/>
  <c r="G11" i="4"/>
  <c r="D11" i="41"/>
  <c r="N21" i="6"/>
  <c r="M21" i="6"/>
  <c r="L21" i="6"/>
  <c r="K21" i="6"/>
  <c r="M482" i="6"/>
  <c r="K482" i="6"/>
  <c r="N482" i="6"/>
  <c r="L482" i="6"/>
  <c r="N362" i="6"/>
  <c r="K362" i="6"/>
  <c r="M362" i="6"/>
  <c r="L362" i="6"/>
  <c r="N314" i="6"/>
  <c r="K314" i="6"/>
  <c r="L314" i="6"/>
  <c r="M314" i="6"/>
  <c r="N298" i="6"/>
  <c r="K298" i="6"/>
  <c r="M298" i="6"/>
  <c r="L298" i="6"/>
  <c r="M178" i="6"/>
  <c r="K178" i="6"/>
  <c r="N178" i="6"/>
  <c r="L178" i="6"/>
  <c r="K495" i="6"/>
  <c r="L495" i="6"/>
  <c r="M495" i="6"/>
  <c r="N495" i="6"/>
  <c r="M399" i="6"/>
  <c r="N399" i="6"/>
  <c r="L399" i="6"/>
  <c r="K399" i="6"/>
  <c r="M343" i="6"/>
  <c r="L343" i="6"/>
  <c r="N343" i="6"/>
  <c r="K343" i="6"/>
  <c r="M255" i="6"/>
  <c r="L255" i="6"/>
  <c r="N255" i="6"/>
  <c r="K255" i="6"/>
  <c r="M159" i="6"/>
  <c r="K159" i="6"/>
  <c r="N159" i="6"/>
  <c r="L159" i="6"/>
  <c r="M143" i="6"/>
  <c r="K143" i="6"/>
  <c r="N143" i="6"/>
  <c r="L143" i="6"/>
  <c r="M127" i="6"/>
  <c r="K127" i="6"/>
  <c r="N127" i="6"/>
  <c r="L127" i="6"/>
  <c r="M111" i="6"/>
  <c r="K111" i="6"/>
  <c r="N111" i="6"/>
  <c r="L111" i="6"/>
  <c r="M95" i="6"/>
  <c r="K95" i="6"/>
  <c r="N95" i="6"/>
  <c r="L95" i="6"/>
  <c r="M79" i="6"/>
  <c r="K79" i="6"/>
  <c r="N79" i="6"/>
  <c r="L79" i="6"/>
  <c r="K6" i="6"/>
  <c r="N6" i="6"/>
  <c r="M6" i="6"/>
  <c r="L6" i="6"/>
  <c r="M484" i="6"/>
  <c r="L484" i="6"/>
  <c r="K484" i="6"/>
  <c r="N484" i="6"/>
  <c r="M380" i="6"/>
  <c r="N380" i="6"/>
  <c r="K380" i="6"/>
  <c r="L380" i="6"/>
  <c r="N340" i="6"/>
  <c r="M340" i="6"/>
  <c r="L340" i="6"/>
  <c r="K340" i="6"/>
  <c r="M71" i="6"/>
  <c r="K71" i="6"/>
  <c r="N71" i="6"/>
  <c r="L71" i="6"/>
  <c r="N457" i="6"/>
  <c r="M457" i="6"/>
  <c r="L457" i="6"/>
  <c r="K457" i="6"/>
  <c r="L329" i="6"/>
  <c r="N329" i="6"/>
  <c r="M329" i="6"/>
  <c r="K329" i="6"/>
  <c r="L321" i="6"/>
  <c r="M321" i="6"/>
  <c r="K321" i="6"/>
  <c r="N321" i="6"/>
  <c r="M153" i="6"/>
  <c r="N153" i="6"/>
  <c r="L153" i="6"/>
  <c r="K153" i="6"/>
  <c r="M137" i="6"/>
  <c r="N137" i="6"/>
  <c r="L137" i="6"/>
  <c r="K137" i="6"/>
  <c r="M121" i="6"/>
  <c r="N121" i="6"/>
  <c r="L121" i="6"/>
  <c r="K121" i="6"/>
  <c r="M105" i="6"/>
  <c r="N105" i="6"/>
  <c r="L105" i="6"/>
  <c r="K105" i="6"/>
  <c r="M89" i="6"/>
  <c r="N89" i="6"/>
  <c r="L89" i="6"/>
  <c r="K89" i="6"/>
  <c r="N49" i="6"/>
  <c r="M49" i="6"/>
  <c r="L49" i="6"/>
  <c r="K49" i="6"/>
  <c r="D12" i="4"/>
  <c r="I12" i="4"/>
  <c r="N462" i="6"/>
  <c r="L462" i="6"/>
  <c r="K462" i="6"/>
  <c r="M462" i="6"/>
  <c r="K70" i="6"/>
  <c r="N70" i="6"/>
  <c r="M70" i="6"/>
  <c r="L70" i="6"/>
  <c r="M31" i="6"/>
  <c r="L31" i="6"/>
  <c r="K31" i="6"/>
  <c r="N31" i="6"/>
  <c r="M446" i="6"/>
  <c r="L446" i="6"/>
  <c r="N446" i="6"/>
  <c r="K446" i="6"/>
  <c r="K54" i="6"/>
  <c r="N54" i="6"/>
  <c r="M54" i="6"/>
  <c r="L54" i="6"/>
  <c r="M67" i="6"/>
  <c r="K67" i="6"/>
  <c r="N67" i="6"/>
  <c r="L67" i="6"/>
  <c r="M51" i="6"/>
  <c r="K51" i="6"/>
  <c r="N51" i="6"/>
  <c r="L51" i="6"/>
  <c r="K491" i="6"/>
  <c r="M491" i="6"/>
  <c r="L491" i="6"/>
  <c r="N491" i="6"/>
  <c r="K459" i="6"/>
  <c r="L459" i="6"/>
  <c r="N459" i="6"/>
  <c r="M459" i="6"/>
  <c r="M243" i="6"/>
  <c r="L243" i="6"/>
  <c r="K243" i="6"/>
  <c r="N243" i="6"/>
  <c r="M104" i="6"/>
  <c r="K104" i="6"/>
  <c r="N104" i="6"/>
  <c r="L104" i="6"/>
  <c r="N36" i="6"/>
  <c r="M36" i="6"/>
  <c r="L36" i="6"/>
  <c r="K36" i="6"/>
  <c r="N8" i="6"/>
  <c r="M8" i="6"/>
  <c r="L8" i="6"/>
  <c r="K8" i="6"/>
  <c r="N344" i="6"/>
  <c r="M344" i="6"/>
  <c r="L344" i="6"/>
  <c r="K344" i="6"/>
  <c r="N328" i="6"/>
  <c r="K328" i="6"/>
  <c r="M328" i="6"/>
  <c r="L328" i="6"/>
  <c r="N272" i="6"/>
  <c r="M272" i="6"/>
  <c r="K272" i="6"/>
  <c r="L272" i="6"/>
  <c r="K200" i="6"/>
  <c r="N200" i="6"/>
  <c r="M200" i="6"/>
  <c r="L200" i="6"/>
  <c r="K192" i="6"/>
  <c r="N192" i="6"/>
  <c r="M192" i="6"/>
  <c r="L192" i="6"/>
  <c r="K184" i="6"/>
  <c r="N184" i="6"/>
  <c r="M184" i="6"/>
  <c r="L184" i="6"/>
  <c r="N437" i="6"/>
  <c r="M437" i="6"/>
  <c r="K437" i="6"/>
  <c r="L437" i="6"/>
  <c r="L397" i="6"/>
  <c r="K397" i="6"/>
  <c r="N397" i="6"/>
  <c r="M397" i="6"/>
  <c r="L325" i="6"/>
  <c r="N325" i="6"/>
  <c r="K325" i="6"/>
  <c r="M325" i="6"/>
  <c r="M197" i="6"/>
  <c r="K197" i="6"/>
  <c r="N197" i="6"/>
  <c r="L197" i="6"/>
  <c r="M189" i="6"/>
  <c r="K189" i="6"/>
  <c r="N189" i="6"/>
  <c r="L189" i="6"/>
  <c r="M181" i="6"/>
  <c r="K181" i="6"/>
  <c r="N181" i="6"/>
  <c r="L181" i="6"/>
  <c r="D10" i="4"/>
  <c r="D19" i="4" s="1"/>
  <c r="G10" i="4"/>
  <c r="N17" i="6"/>
  <c r="M17" i="6"/>
  <c r="L17" i="6"/>
  <c r="K17" i="6"/>
  <c r="L442" i="6"/>
  <c r="K442" i="6"/>
  <c r="N442" i="6"/>
  <c r="M442" i="6"/>
  <c r="N402" i="6"/>
  <c r="M402" i="6"/>
  <c r="L402" i="6"/>
  <c r="K402" i="6"/>
  <c r="N290" i="6"/>
  <c r="K290" i="6"/>
  <c r="L290" i="6"/>
  <c r="M290" i="6"/>
  <c r="N274" i="6"/>
  <c r="K274" i="6"/>
  <c r="L274" i="6"/>
  <c r="M274" i="6"/>
  <c r="K58" i="6"/>
  <c r="N58" i="6"/>
  <c r="M58" i="6"/>
  <c r="L58" i="6"/>
  <c r="K447" i="6"/>
  <c r="M447" i="6"/>
  <c r="L447" i="6"/>
  <c r="N447" i="6"/>
  <c r="M287" i="6"/>
  <c r="L287" i="6"/>
  <c r="N287" i="6"/>
  <c r="K287" i="6"/>
  <c r="N334" i="6"/>
  <c r="K334" i="6"/>
  <c r="M334" i="6"/>
  <c r="L334" i="6"/>
  <c r="K14" i="6"/>
  <c r="N14" i="6"/>
  <c r="M14" i="6"/>
  <c r="L14" i="6"/>
  <c r="M452" i="6"/>
  <c r="L452" i="6"/>
  <c r="K452" i="6"/>
  <c r="N452" i="6"/>
  <c r="M412" i="6"/>
  <c r="K412" i="6"/>
  <c r="N412" i="6"/>
  <c r="L412" i="6"/>
  <c r="K188" i="6"/>
  <c r="N188" i="6"/>
  <c r="M188" i="6"/>
  <c r="L188" i="6"/>
  <c r="K180" i="6"/>
  <c r="N180" i="6"/>
  <c r="M180" i="6"/>
  <c r="L180" i="6"/>
  <c r="K172" i="6"/>
  <c r="N172" i="6"/>
  <c r="M172" i="6"/>
  <c r="L172" i="6"/>
  <c r="N465" i="6"/>
  <c r="M465" i="6"/>
  <c r="L465" i="6"/>
  <c r="K465" i="6"/>
  <c r="L377" i="6"/>
  <c r="K377" i="6"/>
  <c r="M377" i="6"/>
  <c r="N377" i="6"/>
  <c r="L313" i="6"/>
  <c r="M313" i="6"/>
  <c r="N313" i="6"/>
  <c r="K313" i="6"/>
  <c r="M185" i="6"/>
  <c r="K185" i="6"/>
  <c r="L185" i="6"/>
  <c r="N185" i="6"/>
  <c r="M177" i="6"/>
  <c r="K177" i="6"/>
  <c r="N177" i="6"/>
  <c r="L177" i="6"/>
  <c r="K126" i="6"/>
  <c r="N126" i="6"/>
  <c r="M126" i="6"/>
  <c r="L126" i="6"/>
  <c r="K94" i="6"/>
  <c r="N94" i="6"/>
  <c r="M94" i="6"/>
  <c r="L94" i="6"/>
  <c r="N414" i="6"/>
  <c r="M414" i="6"/>
  <c r="L414" i="6"/>
  <c r="K414" i="6"/>
  <c r="N342" i="6"/>
  <c r="K342" i="6"/>
  <c r="M342" i="6"/>
  <c r="L342" i="6"/>
  <c r="N318" i="6"/>
  <c r="K318" i="6"/>
  <c r="M318" i="6"/>
  <c r="L318" i="6"/>
  <c r="K158" i="6"/>
  <c r="N158" i="6"/>
  <c r="M158" i="6"/>
  <c r="L158" i="6"/>
  <c r="K142" i="6"/>
  <c r="N142" i="6"/>
  <c r="M142" i="6"/>
  <c r="L142" i="6"/>
  <c r="K110" i="6"/>
  <c r="N110" i="6"/>
  <c r="M110" i="6"/>
  <c r="L110" i="6"/>
  <c r="M367" i="6"/>
  <c r="L367" i="6"/>
  <c r="K367" i="6"/>
  <c r="N367" i="6"/>
  <c r="K419" i="6"/>
  <c r="L419" i="6"/>
  <c r="N419" i="6"/>
  <c r="M419" i="6"/>
  <c r="L379" i="6"/>
  <c r="K379" i="6"/>
  <c r="N379" i="6"/>
  <c r="M379" i="6"/>
  <c r="M363" i="6"/>
  <c r="L363" i="6"/>
  <c r="N363" i="6"/>
  <c r="K363" i="6"/>
  <c r="M323" i="6"/>
  <c r="L323" i="6"/>
  <c r="N323" i="6"/>
  <c r="K323" i="6"/>
  <c r="M299" i="6"/>
  <c r="L299" i="6"/>
  <c r="N299" i="6"/>
  <c r="K299" i="6"/>
  <c r="M275" i="6"/>
  <c r="L275" i="6"/>
  <c r="N275" i="6"/>
  <c r="K275" i="6"/>
  <c r="M155" i="6"/>
  <c r="K155" i="6"/>
  <c r="N155" i="6"/>
  <c r="L155" i="6"/>
  <c r="M139" i="6"/>
  <c r="K139" i="6"/>
  <c r="N139" i="6"/>
  <c r="L139" i="6"/>
  <c r="M123" i="6"/>
  <c r="K123" i="6"/>
  <c r="N123" i="6"/>
  <c r="L123" i="6"/>
  <c r="M107" i="6"/>
  <c r="K107" i="6"/>
  <c r="N107" i="6"/>
  <c r="L107" i="6"/>
  <c r="M91" i="6"/>
  <c r="K91" i="6"/>
  <c r="N91" i="6"/>
  <c r="L91" i="6"/>
  <c r="M75" i="6"/>
  <c r="K75" i="6"/>
  <c r="N75" i="6"/>
  <c r="L75" i="6"/>
  <c r="N24" i="6"/>
  <c r="M24" i="6"/>
  <c r="L24" i="6"/>
  <c r="K24" i="6"/>
  <c r="N12" i="6"/>
  <c r="M12" i="6"/>
  <c r="L12" i="6"/>
  <c r="K12" i="6"/>
  <c r="K400" i="6"/>
  <c r="N400" i="6"/>
  <c r="M400" i="6"/>
  <c r="L400" i="6"/>
  <c r="N248" i="6"/>
  <c r="M248" i="6"/>
  <c r="K248" i="6"/>
  <c r="L248" i="6"/>
  <c r="K208" i="6"/>
  <c r="N208" i="6"/>
  <c r="M208" i="6"/>
  <c r="L208" i="6"/>
  <c r="N501" i="6"/>
  <c r="M501" i="6"/>
  <c r="L501" i="6"/>
  <c r="K501" i="6"/>
  <c r="N453" i="6"/>
  <c r="M453" i="6"/>
  <c r="K453" i="6"/>
  <c r="L453" i="6"/>
  <c r="L405" i="6"/>
  <c r="K405" i="6"/>
  <c r="N405" i="6"/>
  <c r="M405" i="6"/>
  <c r="L373" i="6"/>
  <c r="K373" i="6"/>
  <c r="N373" i="6"/>
  <c r="M373" i="6"/>
  <c r="L317" i="6"/>
  <c r="K317" i="6"/>
  <c r="N317" i="6"/>
  <c r="M317" i="6"/>
  <c r="L309" i="6"/>
  <c r="N309" i="6"/>
  <c r="M309" i="6"/>
  <c r="K309" i="6"/>
  <c r="M205" i="6"/>
  <c r="K205" i="6"/>
  <c r="N205" i="6"/>
  <c r="L205" i="6"/>
  <c r="M157" i="6"/>
  <c r="K157" i="6"/>
  <c r="N157" i="6"/>
  <c r="L157" i="6"/>
  <c r="M141" i="6"/>
  <c r="N141" i="6"/>
  <c r="L141" i="6"/>
  <c r="K141" i="6"/>
  <c r="M125" i="6"/>
  <c r="K125" i="6"/>
  <c r="N125" i="6"/>
  <c r="L125" i="6"/>
  <c r="M109" i="6"/>
  <c r="N109" i="6"/>
  <c r="L109" i="6"/>
  <c r="K109" i="6"/>
  <c r="M93" i="6"/>
  <c r="K93" i="6"/>
  <c r="N93" i="6"/>
  <c r="L93" i="6"/>
  <c r="M77" i="6"/>
  <c r="N77" i="6"/>
  <c r="L77" i="6"/>
  <c r="K77" i="6"/>
  <c r="G18" i="4"/>
  <c r="N13" i="6"/>
  <c r="M13" i="6"/>
  <c r="L13" i="6"/>
  <c r="K13" i="6"/>
  <c r="K474" i="6"/>
  <c r="M474" i="6"/>
  <c r="N474" i="6"/>
  <c r="L474" i="6"/>
  <c r="N434" i="6"/>
  <c r="M434" i="6"/>
  <c r="K434" i="6"/>
  <c r="L434" i="6"/>
  <c r="N266" i="6"/>
  <c r="K266" i="6"/>
  <c r="M266" i="6"/>
  <c r="L266" i="6"/>
  <c r="M170" i="6"/>
  <c r="K170" i="6"/>
  <c r="N170" i="6"/>
  <c r="L170" i="6"/>
  <c r="K487" i="6"/>
  <c r="N487" i="6"/>
  <c r="L487" i="6"/>
  <c r="M487" i="6"/>
  <c r="K415" i="6"/>
  <c r="M415" i="6"/>
  <c r="L415" i="6"/>
  <c r="N415" i="6"/>
  <c r="M383" i="6"/>
  <c r="N383" i="6"/>
  <c r="L383" i="6"/>
  <c r="K383" i="6"/>
  <c r="M191" i="6"/>
  <c r="L191" i="6"/>
  <c r="K191" i="6"/>
  <c r="N191" i="6"/>
  <c r="M183" i="6"/>
  <c r="L183" i="6"/>
  <c r="K183" i="6"/>
  <c r="N183" i="6"/>
  <c r="M175" i="6"/>
  <c r="L175" i="6"/>
  <c r="K175" i="6"/>
  <c r="N175" i="6"/>
  <c r="K22" i="6"/>
  <c r="N22" i="6"/>
  <c r="M22" i="6"/>
  <c r="L22" i="6"/>
  <c r="M492" i="6"/>
  <c r="L492" i="6"/>
  <c r="K492" i="6"/>
  <c r="N492" i="6"/>
  <c r="M468" i="6"/>
  <c r="L468" i="6"/>
  <c r="K468" i="6"/>
  <c r="N468" i="6"/>
  <c r="N404" i="6"/>
  <c r="M404" i="6"/>
  <c r="L404" i="6"/>
  <c r="K404" i="6"/>
  <c r="K196" i="6"/>
  <c r="N196" i="6"/>
  <c r="M196" i="6"/>
  <c r="L196" i="6"/>
  <c r="N497" i="6"/>
  <c r="M497" i="6"/>
  <c r="L497" i="6"/>
  <c r="K497" i="6"/>
  <c r="N433" i="6"/>
  <c r="M433" i="6"/>
  <c r="L433" i="6"/>
  <c r="K433" i="6"/>
  <c r="L401" i="6"/>
  <c r="K401" i="6"/>
  <c r="N401" i="6"/>
  <c r="M401" i="6"/>
  <c r="L305" i="6"/>
  <c r="M305" i="6"/>
  <c r="N305" i="6"/>
  <c r="K305" i="6"/>
  <c r="L297" i="6"/>
  <c r="N297" i="6"/>
  <c r="M297" i="6"/>
  <c r="K297" i="6"/>
  <c r="M193" i="6"/>
  <c r="K193" i="6"/>
  <c r="L193" i="6"/>
  <c r="N193" i="6"/>
  <c r="N65" i="6"/>
  <c r="M65" i="6"/>
  <c r="L65" i="6"/>
  <c r="K65" i="6"/>
  <c r="N454" i="6"/>
  <c r="M454" i="6"/>
  <c r="L454" i="6"/>
  <c r="K454" i="6"/>
  <c r="N350" i="6"/>
  <c r="K350" i="6"/>
  <c r="M350" i="6"/>
  <c r="L350" i="6"/>
  <c r="M7" i="6"/>
  <c r="L7" i="6"/>
  <c r="K7" i="6"/>
  <c r="N7" i="6"/>
  <c r="N422" i="6"/>
  <c r="L422" i="6"/>
  <c r="M422" i="6"/>
  <c r="K422" i="6"/>
  <c r="N374" i="6"/>
  <c r="M374" i="6"/>
  <c r="K374" i="6"/>
  <c r="L374" i="6"/>
  <c r="N270" i="6"/>
  <c r="K270" i="6"/>
  <c r="M270" i="6"/>
  <c r="L270" i="6"/>
  <c r="K483" i="6"/>
  <c r="M483" i="6"/>
  <c r="L483" i="6"/>
  <c r="N483" i="6"/>
  <c r="K451" i="6"/>
  <c r="M451" i="6"/>
  <c r="N451" i="6"/>
  <c r="L451" i="6"/>
  <c r="L411" i="6"/>
  <c r="K411" i="6"/>
  <c r="N411" i="6"/>
  <c r="M411" i="6"/>
  <c r="K387" i="6"/>
  <c r="M387" i="6"/>
  <c r="L387" i="6"/>
  <c r="N387" i="6"/>
  <c r="N302" i="6"/>
  <c r="K302" i="6"/>
  <c r="M302" i="6"/>
  <c r="L302" i="6"/>
  <c r="M448" i="6"/>
  <c r="L448" i="6"/>
  <c r="K448" i="6"/>
  <c r="N448" i="6"/>
  <c r="M416" i="6"/>
  <c r="L416" i="6"/>
  <c r="K416" i="6"/>
  <c r="N416" i="6"/>
  <c r="K232" i="6"/>
  <c r="N232" i="6"/>
  <c r="M232" i="6"/>
  <c r="L232" i="6"/>
  <c r="K224" i="6"/>
  <c r="N224" i="6"/>
  <c r="M224" i="6"/>
  <c r="L224" i="6"/>
  <c r="K216" i="6"/>
  <c r="N216" i="6"/>
  <c r="M216" i="6"/>
  <c r="L216" i="6"/>
  <c r="I15" i="4"/>
  <c r="D15" i="4"/>
  <c r="L389" i="6"/>
  <c r="K389" i="6"/>
  <c r="N389" i="6"/>
  <c r="M389" i="6"/>
  <c r="L381" i="6"/>
  <c r="K381" i="6"/>
  <c r="M381" i="6"/>
  <c r="N381" i="6"/>
  <c r="L301" i="6"/>
  <c r="N301" i="6"/>
  <c r="K301" i="6"/>
  <c r="M301" i="6"/>
  <c r="M229" i="6"/>
  <c r="K229" i="6"/>
  <c r="N229" i="6"/>
  <c r="L229" i="6"/>
  <c r="M221" i="6"/>
  <c r="K221" i="6"/>
  <c r="N221" i="6"/>
  <c r="L221" i="6"/>
  <c r="M213" i="6"/>
  <c r="K213" i="6"/>
  <c r="N213" i="6"/>
  <c r="L213" i="6"/>
  <c r="L53" i="6"/>
  <c r="K53" i="6"/>
  <c r="N53" i="6"/>
  <c r="M53" i="6"/>
  <c r="G9" i="4"/>
  <c r="G19" i="4" s="1"/>
  <c r="M144" i="6"/>
  <c r="K144" i="6"/>
  <c r="N144" i="6"/>
  <c r="L144" i="6"/>
  <c r="N5" i="6"/>
  <c r="M5" i="6"/>
  <c r="L5" i="6"/>
  <c r="K5" i="6"/>
  <c r="N466" i="6"/>
  <c r="M466" i="6"/>
  <c r="K466" i="6"/>
  <c r="L466" i="6"/>
  <c r="L426" i="6"/>
  <c r="K426" i="6"/>
  <c r="N426" i="6"/>
  <c r="M426" i="6"/>
  <c r="N386" i="6"/>
  <c r="M386" i="6"/>
  <c r="K386" i="6"/>
  <c r="L386" i="6"/>
  <c r="N354" i="6"/>
  <c r="K354" i="6"/>
  <c r="M354" i="6"/>
  <c r="L354" i="6"/>
  <c r="N338" i="6"/>
  <c r="K338" i="6"/>
  <c r="L338" i="6"/>
  <c r="M338" i="6"/>
  <c r="N282" i="6"/>
  <c r="K282" i="6"/>
  <c r="L282" i="6"/>
  <c r="M282" i="6"/>
  <c r="N258" i="6"/>
  <c r="K258" i="6"/>
  <c r="L258" i="6"/>
  <c r="M258" i="6"/>
  <c r="K154" i="6"/>
  <c r="N154" i="6"/>
  <c r="M154" i="6"/>
  <c r="L154" i="6"/>
  <c r="K138" i="6"/>
  <c r="N138" i="6"/>
  <c r="M138" i="6"/>
  <c r="L138" i="6"/>
  <c r="K122" i="6"/>
  <c r="N122" i="6"/>
  <c r="M122" i="6"/>
  <c r="L122" i="6"/>
  <c r="K106" i="6"/>
  <c r="N106" i="6"/>
  <c r="M106" i="6"/>
  <c r="L106" i="6"/>
  <c r="K90" i="6"/>
  <c r="N90" i="6"/>
  <c r="M90" i="6"/>
  <c r="L90" i="6"/>
  <c r="K74" i="6"/>
  <c r="N74" i="6"/>
  <c r="M74" i="6"/>
  <c r="L74" i="6"/>
  <c r="K479" i="6"/>
  <c r="N479" i="6"/>
  <c r="M479" i="6"/>
  <c r="L479" i="6"/>
  <c r="K439" i="6"/>
  <c r="N439" i="6"/>
  <c r="L439" i="6"/>
  <c r="M439" i="6"/>
  <c r="M359" i="6"/>
  <c r="L359" i="6"/>
  <c r="K359" i="6"/>
  <c r="N359" i="6"/>
  <c r="M199" i="6"/>
  <c r="L199" i="6"/>
  <c r="K199" i="6"/>
  <c r="N199" i="6"/>
  <c r="K30" i="6"/>
  <c r="N30" i="6"/>
  <c r="M30" i="6"/>
  <c r="L30" i="6"/>
  <c r="M476" i="6"/>
  <c r="L476" i="6"/>
  <c r="K476" i="6"/>
  <c r="N476" i="6"/>
  <c r="M428" i="6"/>
  <c r="L428" i="6"/>
  <c r="K428" i="6"/>
  <c r="N428" i="6"/>
  <c r="N332" i="6"/>
  <c r="M332" i="6"/>
  <c r="L332" i="6"/>
  <c r="K332" i="6"/>
  <c r="K220" i="6"/>
  <c r="N220" i="6"/>
  <c r="M220" i="6"/>
  <c r="L220" i="6"/>
  <c r="K212" i="6"/>
  <c r="N212" i="6"/>
  <c r="M212" i="6"/>
  <c r="L212" i="6"/>
  <c r="K204" i="6"/>
  <c r="N204" i="6"/>
  <c r="M204" i="6"/>
  <c r="L204" i="6"/>
  <c r="N429" i="6"/>
  <c r="M429" i="6"/>
  <c r="L429" i="6"/>
  <c r="K429" i="6"/>
  <c r="L409" i="6"/>
  <c r="K409" i="6"/>
  <c r="M409" i="6"/>
  <c r="N409" i="6"/>
  <c r="L369" i="6"/>
  <c r="M369" i="6"/>
  <c r="N369" i="6"/>
  <c r="K369" i="6"/>
  <c r="L289" i="6"/>
  <c r="M289" i="6"/>
  <c r="K289" i="6"/>
  <c r="N289" i="6"/>
  <c r="M217" i="6"/>
  <c r="K217" i="6"/>
  <c r="L217" i="6"/>
  <c r="N217" i="6"/>
  <c r="M209" i="6"/>
  <c r="K209" i="6"/>
  <c r="L209" i="6"/>
  <c r="N209" i="6"/>
  <c r="M201" i="6"/>
  <c r="K201" i="6"/>
  <c r="L201" i="6"/>
  <c r="N201" i="6"/>
  <c r="N41" i="6"/>
  <c r="M41" i="6"/>
  <c r="L41" i="6"/>
  <c r="K41" i="6"/>
  <c r="N326" i="6"/>
  <c r="K326" i="6"/>
  <c r="M326" i="6"/>
  <c r="L326" i="6"/>
  <c r="K62" i="6"/>
  <c r="N62" i="6"/>
  <c r="M62" i="6"/>
  <c r="L62" i="6"/>
  <c r="N398" i="6"/>
  <c r="M398" i="6"/>
  <c r="L398" i="6"/>
  <c r="K398" i="6"/>
  <c r="K46" i="6"/>
  <c r="N46" i="6"/>
  <c r="M46" i="6"/>
  <c r="L46" i="6"/>
  <c r="K443" i="6"/>
  <c r="N443" i="6"/>
  <c r="M443" i="6"/>
  <c r="L443" i="6"/>
  <c r="M339" i="6"/>
  <c r="L339" i="6"/>
  <c r="N339" i="6"/>
  <c r="K339" i="6"/>
  <c r="M315" i="6"/>
  <c r="L315" i="6"/>
  <c r="N315" i="6"/>
  <c r="K315" i="6"/>
  <c r="M291" i="6"/>
  <c r="L291" i="6"/>
  <c r="N291" i="6"/>
  <c r="K291" i="6"/>
  <c r="M263" i="6"/>
  <c r="L263" i="6"/>
  <c r="K263" i="6"/>
  <c r="N263" i="6"/>
  <c r="N28" i="6"/>
  <c r="M28" i="6"/>
  <c r="L28" i="6"/>
  <c r="K28" i="6"/>
  <c r="M440" i="6"/>
  <c r="L440" i="6"/>
  <c r="K440" i="6"/>
  <c r="N440" i="6"/>
  <c r="M424" i="6"/>
  <c r="L424" i="6"/>
  <c r="K424" i="6"/>
  <c r="N424" i="6"/>
  <c r="L392" i="6"/>
  <c r="K392" i="6"/>
  <c r="M392" i="6"/>
  <c r="N392" i="6"/>
  <c r="N336" i="6"/>
  <c r="M336" i="6"/>
  <c r="K336" i="6"/>
  <c r="L336" i="6"/>
  <c r="N320" i="6"/>
  <c r="M320" i="6"/>
  <c r="L320" i="6"/>
  <c r="K320" i="6"/>
  <c r="K240" i="6"/>
  <c r="N240" i="6"/>
  <c r="M240" i="6"/>
  <c r="L240" i="6"/>
  <c r="N493" i="6"/>
  <c r="M493" i="6"/>
  <c r="L493" i="6"/>
  <c r="K493" i="6"/>
  <c r="N469" i="6"/>
  <c r="M469" i="6"/>
  <c r="K469" i="6"/>
  <c r="L469" i="6"/>
  <c r="L365" i="6"/>
  <c r="N365" i="6"/>
  <c r="M365" i="6"/>
  <c r="K365" i="6"/>
  <c r="L293" i="6"/>
  <c r="N293" i="6"/>
  <c r="K293" i="6"/>
  <c r="M293" i="6"/>
  <c r="L285" i="6"/>
  <c r="K285" i="6"/>
  <c r="N285" i="6"/>
  <c r="M285" i="6"/>
  <c r="L277" i="6"/>
  <c r="N277" i="6"/>
  <c r="M277" i="6"/>
  <c r="K277" i="6"/>
  <c r="M237" i="6"/>
  <c r="K237" i="6"/>
  <c r="N237" i="6"/>
  <c r="L237" i="6"/>
  <c r="G17" i="4"/>
  <c r="M335" i="6"/>
  <c r="L335" i="6"/>
  <c r="K335" i="6"/>
  <c r="N335" i="6"/>
  <c r="N37" i="6"/>
  <c r="M37" i="6"/>
  <c r="L37" i="6"/>
  <c r="K37" i="6"/>
  <c r="N498" i="6"/>
  <c r="M498" i="6"/>
  <c r="K498" i="6"/>
  <c r="L498" i="6"/>
  <c r="N394" i="6"/>
  <c r="M394" i="6"/>
  <c r="L394" i="6"/>
  <c r="K394" i="6"/>
  <c r="N330" i="6"/>
  <c r="K330" i="6"/>
  <c r="M330" i="6"/>
  <c r="L330" i="6"/>
  <c r="M242" i="6"/>
  <c r="K242" i="6"/>
  <c r="N242" i="6"/>
  <c r="L242" i="6"/>
  <c r="M234" i="6"/>
  <c r="K234" i="6"/>
  <c r="N234" i="6"/>
  <c r="L234" i="6"/>
  <c r="M226" i="6"/>
  <c r="K226" i="6"/>
  <c r="N226" i="6"/>
  <c r="L226" i="6"/>
  <c r="K50" i="6"/>
  <c r="L50" i="6"/>
  <c r="N50" i="6"/>
  <c r="M50" i="6"/>
  <c r="K471" i="6"/>
  <c r="N471" i="6"/>
  <c r="L471" i="6"/>
  <c r="M471" i="6"/>
  <c r="M223" i="6"/>
  <c r="L223" i="6"/>
  <c r="K223" i="6"/>
  <c r="N223" i="6"/>
  <c r="M215" i="6"/>
  <c r="L215" i="6"/>
  <c r="K215" i="6"/>
  <c r="N215" i="6"/>
  <c r="M207" i="6"/>
  <c r="L207" i="6"/>
  <c r="K207" i="6"/>
  <c r="N207" i="6"/>
  <c r="M167" i="6"/>
  <c r="K167" i="6"/>
  <c r="L167" i="6"/>
  <c r="N167" i="6"/>
  <c r="M151" i="6"/>
  <c r="K151" i="6"/>
  <c r="N151" i="6"/>
  <c r="L151" i="6"/>
  <c r="M135" i="6"/>
  <c r="K135" i="6"/>
  <c r="L135" i="6"/>
  <c r="N135" i="6"/>
  <c r="M119" i="6"/>
  <c r="K119" i="6"/>
  <c r="N119" i="6"/>
  <c r="L119" i="6"/>
  <c r="M103" i="6"/>
  <c r="K103" i="6"/>
  <c r="L103" i="6"/>
  <c r="N103" i="6"/>
  <c r="M87" i="6"/>
  <c r="K87" i="6"/>
  <c r="N87" i="6"/>
  <c r="L87" i="6"/>
  <c r="K38" i="6"/>
  <c r="N38" i="6"/>
  <c r="M38" i="6"/>
  <c r="L38" i="6"/>
  <c r="M460" i="6"/>
  <c r="L460" i="6"/>
  <c r="K460" i="6"/>
  <c r="N460" i="6"/>
  <c r="M444" i="6"/>
  <c r="L444" i="6"/>
  <c r="K444" i="6"/>
  <c r="N444" i="6"/>
  <c r="M396" i="6"/>
  <c r="L396" i="6"/>
  <c r="N396" i="6"/>
  <c r="K396" i="6"/>
  <c r="N372" i="6"/>
  <c r="M372" i="6"/>
  <c r="L372" i="6"/>
  <c r="K372" i="6"/>
  <c r="N308" i="6"/>
  <c r="M308" i="6"/>
  <c r="L308" i="6"/>
  <c r="K308" i="6"/>
  <c r="N292" i="6"/>
  <c r="L292" i="6"/>
  <c r="M292" i="6"/>
  <c r="K292" i="6"/>
  <c r="K228" i="6"/>
  <c r="N228" i="6"/>
  <c r="M228" i="6"/>
  <c r="L228" i="6"/>
  <c r="M55" i="6"/>
  <c r="K55" i="6"/>
  <c r="N55" i="6"/>
  <c r="L55" i="6"/>
  <c r="L361" i="6"/>
  <c r="N361" i="6"/>
  <c r="M361" i="6"/>
  <c r="K361" i="6"/>
  <c r="L281" i="6"/>
  <c r="M281" i="6"/>
  <c r="K281" i="6"/>
  <c r="N281" i="6"/>
  <c r="L273" i="6"/>
  <c r="M273" i="6"/>
  <c r="K273" i="6"/>
  <c r="N273" i="6"/>
  <c r="M225" i="6"/>
  <c r="K225" i="6"/>
  <c r="L225" i="6"/>
  <c r="N225" i="6"/>
  <c r="M161" i="6"/>
  <c r="N161" i="6"/>
  <c r="L161" i="6"/>
  <c r="K161" i="6"/>
  <c r="M145" i="6"/>
  <c r="L145" i="6"/>
  <c r="K145" i="6"/>
  <c r="N145" i="6"/>
  <c r="M129" i="6"/>
  <c r="N129" i="6"/>
  <c r="L129" i="6"/>
  <c r="K129" i="6"/>
  <c r="M113" i="6"/>
  <c r="L113" i="6"/>
  <c r="K113" i="6"/>
  <c r="N113" i="6"/>
  <c r="M97" i="6"/>
  <c r="N97" i="6"/>
  <c r="L97" i="6"/>
  <c r="K97" i="6"/>
  <c r="M81" i="6"/>
  <c r="L81" i="6"/>
  <c r="K81" i="6"/>
  <c r="N81" i="6"/>
  <c r="K438" i="6"/>
  <c r="L438" i="6"/>
  <c r="N438" i="6"/>
  <c r="M438" i="6"/>
  <c r="M39" i="6"/>
  <c r="K39" i="6"/>
  <c r="N39" i="6"/>
  <c r="L39" i="6"/>
  <c r="M23" i="6"/>
  <c r="L23" i="6"/>
  <c r="K23" i="6"/>
  <c r="N23" i="6"/>
  <c r="N486" i="6"/>
  <c r="K486" i="6"/>
  <c r="M486" i="6"/>
  <c r="L486" i="6"/>
  <c r="N254" i="6"/>
  <c r="K254" i="6"/>
  <c r="M254" i="6"/>
  <c r="L254" i="6"/>
  <c r="N310" i="6"/>
  <c r="K310" i="6"/>
  <c r="M310" i="6"/>
  <c r="L310" i="6"/>
  <c r="K475" i="6"/>
  <c r="L475" i="6"/>
  <c r="N475" i="6"/>
  <c r="M475" i="6"/>
  <c r="M355" i="6"/>
  <c r="L355" i="6"/>
  <c r="N355" i="6"/>
  <c r="K355" i="6"/>
  <c r="M267" i="6"/>
  <c r="L267" i="6"/>
  <c r="N267" i="6"/>
  <c r="K267" i="6"/>
  <c r="M179" i="6"/>
  <c r="L179" i="6"/>
  <c r="K179" i="6"/>
  <c r="N179" i="6"/>
  <c r="N16" i="6"/>
  <c r="M16" i="6"/>
  <c r="L16" i="6"/>
  <c r="K16" i="6"/>
  <c r="M488" i="6"/>
  <c r="L488" i="6"/>
  <c r="K488" i="6"/>
  <c r="N488" i="6"/>
  <c r="M480" i="6"/>
  <c r="L480" i="6"/>
  <c r="K480" i="6"/>
  <c r="N480" i="6"/>
  <c r="K384" i="6"/>
  <c r="N384" i="6"/>
  <c r="M384" i="6"/>
  <c r="L384" i="6"/>
  <c r="N360" i="6"/>
  <c r="K360" i="6"/>
  <c r="M360" i="6"/>
  <c r="L360" i="6"/>
  <c r="N312" i="6"/>
  <c r="M312" i="6"/>
  <c r="K312" i="6"/>
  <c r="L312" i="6"/>
  <c r="N296" i="6"/>
  <c r="K296" i="6"/>
  <c r="M296" i="6"/>
  <c r="L296" i="6"/>
  <c r="N477" i="6"/>
  <c r="M477" i="6"/>
  <c r="L477" i="6"/>
  <c r="K477" i="6"/>
  <c r="L269" i="6"/>
  <c r="N269" i="6"/>
  <c r="K269" i="6"/>
  <c r="M269" i="6"/>
  <c r="M245" i="6"/>
  <c r="K245" i="6"/>
  <c r="N245" i="6"/>
  <c r="L245" i="6"/>
  <c r="L69" i="6"/>
  <c r="K69" i="6"/>
  <c r="N69" i="6"/>
  <c r="M69" i="6"/>
  <c r="G16" i="4"/>
  <c r="M112" i="6"/>
  <c r="K112" i="6"/>
  <c r="N112" i="6"/>
  <c r="L112" i="6"/>
  <c r="N33" i="6"/>
  <c r="M33" i="6"/>
  <c r="L33" i="6"/>
  <c r="K33" i="6"/>
  <c r="L458" i="6"/>
  <c r="K458" i="6"/>
  <c r="N458" i="6"/>
  <c r="M458" i="6"/>
  <c r="M418" i="6"/>
  <c r="N418" i="6"/>
  <c r="K418" i="6"/>
  <c r="L418" i="6"/>
  <c r="N250" i="6"/>
  <c r="K250" i="6"/>
  <c r="L250" i="6"/>
  <c r="M250" i="6"/>
  <c r="M218" i="6"/>
  <c r="K218" i="6"/>
  <c r="N218" i="6"/>
  <c r="L218" i="6"/>
  <c r="K431" i="6"/>
  <c r="M431" i="6"/>
  <c r="L431" i="6"/>
  <c r="N431" i="6"/>
  <c r="M351" i="6"/>
  <c r="L351" i="6"/>
  <c r="N351" i="6"/>
  <c r="K351" i="6"/>
  <c r="M231" i="6"/>
  <c r="L231" i="6"/>
  <c r="K231" i="6"/>
  <c r="N231" i="6"/>
  <c r="N300" i="6"/>
  <c r="L300" i="6"/>
  <c r="K300" i="6"/>
  <c r="M300" i="6"/>
  <c r="M436" i="6"/>
  <c r="L436" i="6"/>
  <c r="K436" i="6"/>
  <c r="N436" i="6"/>
  <c r="N284" i="6"/>
  <c r="L284" i="6"/>
  <c r="K284" i="6"/>
  <c r="M284" i="6"/>
  <c r="K244" i="6"/>
  <c r="N244" i="6"/>
  <c r="M244" i="6"/>
  <c r="L244" i="6"/>
  <c r="K236" i="6"/>
  <c r="N236" i="6"/>
  <c r="M236" i="6"/>
  <c r="L236" i="6"/>
  <c r="N417" i="6"/>
  <c r="M417" i="6"/>
  <c r="K417" i="6"/>
  <c r="L417" i="6"/>
  <c r="L353" i="6"/>
  <c r="N353" i="6"/>
  <c r="M353" i="6"/>
  <c r="K353" i="6"/>
  <c r="L345" i="6"/>
  <c r="M345" i="6"/>
  <c r="K345" i="6"/>
  <c r="N345" i="6"/>
  <c r="L265" i="6"/>
  <c r="N265" i="6"/>
  <c r="M265" i="6"/>
  <c r="K265" i="6"/>
  <c r="L257" i="6"/>
  <c r="M257" i="6"/>
  <c r="K257" i="6"/>
  <c r="N257" i="6"/>
  <c r="M241" i="6"/>
  <c r="K241" i="6"/>
  <c r="N241" i="6"/>
  <c r="L241" i="6"/>
  <c r="M233" i="6"/>
  <c r="K233" i="6"/>
  <c r="L233" i="6"/>
  <c r="N233" i="6"/>
  <c r="N57" i="6"/>
  <c r="M57" i="6"/>
  <c r="L57" i="6"/>
  <c r="K57" i="6"/>
  <c r="N502" i="6"/>
  <c r="L502" i="6"/>
  <c r="K502" i="6"/>
  <c r="M502" i="6"/>
  <c r="M182" i="6"/>
  <c r="K182" i="6"/>
  <c r="L182" i="6"/>
  <c r="N182" i="6"/>
  <c r="M174" i="6"/>
  <c r="K174" i="6"/>
  <c r="N174" i="6"/>
  <c r="L174" i="6"/>
  <c r="K134" i="6"/>
  <c r="M134" i="6"/>
  <c r="L134" i="6"/>
  <c r="N134" i="6"/>
  <c r="K102" i="6"/>
  <c r="M102" i="6"/>
  <c r="L102" i="6"/>
  <c r="N102" i="6"/>
  <c r="K86" i="6"/>
  <c r="N86" i="6"/>
  <c r="M86" i="6"/>
  <c r="L86" i="6"/>
  <c r="N478" i="6"/>
  <c r="M478" i="6"/>
  <c r="L478" i="6"/>
  <c r="K478" i="6"/>
  <c r="N358" i="6"/>
  <c r="K358" i="6"/>
  <c r="M358" i="6"/>
  <c r="L358" i="6"/>
  <c r="M238" i="6"/>
  <c r="K238" i="6"/>
  <c r="N238" i="6"/>
  <c r="L238" i="6"/>
  <c r="M222" i="6"/>
  <c r="K222" i="6"/>
  <c r="L222" i="6"/>
  <c r="N222" i="6"/>
  <c r="M206" i="6"/>
  <c r="K206" i="6"/>
  <c r="N206" i="6"/>
  <c r="L206" i="6"/>
  <c r="M190" i="6"/>
  <c r="K190" i="6"/>
  <c r="L190" i="6"/>
  <c r="N190" i="6"/>
  <c r="K166" i="6"/>
  <c r="M166" i="6"/>
  <c r="L166" i="6"/>
  <c r="N166" i="6"/>
  <c r="K150" i="6"/>
  <c r="N150" i="6"/>
  <c r="M150" i="6"/>
  <c r="L150" i="6"/>
  <c r="K118" i="6"/>
  <c r="N118" i="6"/>
  <c r="M118" i="6"/>
  <c r="L118" i="6"/>
  <c r="K78" i="6"/>
  <c r="N78" i="6"/>
  <c r="M78" i="6"/>
  <c r="L78" i="6"/>
  <c r="M279" i="6"/>
  <c r="L279" i="6"/>
  <c r="K279" i="6"/>
  <c r="N279" i="6"/>
  <c r="K435" i="6"/>
  <c r="N435" i="6"/>
  <c r="M435" i="6"/>
  <c r="L435" i="6"/>
  <c r="M283" i="6"/>
  <c r="L283" i="6"/>
  <c r="N283" i="6"/>
  <c r="K283" i="6"/>
  <c r="M203" i="6"/>
  <c r="L203" i="6"/>
  <c r="K203" i="6"/>
  <c r="N203" i="6"/>
  <c r="M195" i="6"/>
  <c r="L195" i="6"/>
  <c r="K195" i="6"/>
  <c r="N195" i="6"/>
  <c r="M187" i="6"/>
  <c r="L187" i="6"/>
  <c r="K187" i="6"/>
  <c r="N187" i="6"/>
  <c r="M163" i="6"/>
  <c r="K163" i="6"/>
  <c r="N163" i="6"/>
  <c r="L163" i="6"/>
  <c r="M147" i="6"/>
  <c r="K147" i="6"/>
  <c r="N147" i="6"/>
  <c r="L147" i="6"/>
  <c r="M131" i="6"/>
  <c r="K131" i="6"/>
  <c r="N131" i="6"/>
  <c r="L131" i="6"/>
  <c r="M115" i="6"/>
  <c r="K115" i="6"/>
  <c r="N115" i="6"/>
  <c r="L115" i="6"/>
  <c r="M99" i="6"/>
  <c r="K99" i="6"/>
  <c r="N99" i="6"/>
  <c r="L99" i="6"/>
  <c r="M83" i="6"/>
  <c r="K83" i="6"/>
  <c r="N83" i="6"/>
  <c r="L83" i="6"/>
  <c r="D5" i="41"/>
  <c r="N4" i="6"/>
  <c r="M4" i="6"/>
  <c r="F5" i="1"/>
  <c r="L4" i="6"/>
  <c r="H5" i="4"/>
  <c r="K4" i="6"/>
  <c r="M456" i="6"/>
  <c r="L456" i="6"/>
  <c r="K456" i="6"/>
  <c r="N456" i="6"/>
  <c r="N352" i="6"/>
  <c r="M352" i="6"/>
  <c r="L352" i="6"/>
  <c r="K352" i="6"/>
  <c r="N288" i="6"/>
  <c r="M288" i="6"/>
  <c r="L288" i="6"/>
  <c r="K288" i="6"/>
  <c r="N445" i="6"/>
  <c r="M445" i="6"/>
  <c r="L445" i="6"/>
  <c r="K445" i="6"/>
  <c r="L413" i="6"/>
  <c r="K413" i="6"/>
  <c r="M413" i="6"/>
  <c r="N413" i="6"/>
  <c r="L357" i="6"/>
  <c r="N357" i="6"/>
  <c r="K357" i="6"/>
  <c r="M357" i="6"/>
  <c r="L261" i="6"/>
  <c r="N261" i="6"/>
  <c r="K261" i="6"/>
  <c r="M261" i="6"/>
  <c r="L253" i="6"/>
  <c r="K253" i="6"/>
  <c r="N253" i="6"/>
  <c r="M253" i="6"/>
  <c r="M165" i="6"/>
  <c r="N165" i="6"/>
  <c r="L165" i="6"/>
  <c r="K165" i="6"/>
  <c r="M149" i="6"/>
  <c r="N149" i="6"/>
  <c r="L149" i="6"/>
  <c r="K149" i="6"/>
  <c r="M133" i="6"/>
  <c r="N133" i="6"/>
  <c r="L133" i="6"/>
  <c r="K133" i="6"/>
  <c r="M117" i="6"/>
  <c r="N117" i="6"/>
  <c r="L117" i="6"/>
  <c r="K117" i="6"/>
  <c r="M101" i="6"/>
  <c r="N101" i="6"/>
  <c r="L101" i="6"/>
  <c r="K101" i="6"/>
  <c r="M85" i="6"/>
  <c r="N85" i="6"/>
  <c r="L85" i="6"/>
  <c r="K85" i="6"/>
  <c r="N45" i="6"/>
  <c r="M45" i="6"/>
  <c r="L45" i="6"/>
  <c r="K45" i="6"/>
  <c r="G13" i="4"/>
</calcChain>
</file>

<file path=xl/sharedStrings.xml><?xml version="1.0" encoding="utf-8"?>
<sst xmlns="http://schemas.openxmlformats.org/spreadsheetml/2006/main" count="6955" uniqueCount="329">
  <si>
    <t>🏦  SAMICIOUS MICROFINANCE ENTERPRISE  v16.0</t>
  </si>
  <si>
    <t>TOTAL SAVINGS (GHS)</t>
  </si>
  <si>
    <t>TOTAL WITHDRAWALS</t>
  </si>
  <si>
    <t>CUSTOMERS</t>
  </si>
  <si>
    <t>LOAN PORTFOLIO</t>
  </si>
  <si>
    <t>TOP-UPS</t>
  </si>
  <si>
    <t>🟡 YELLOW = Enter your data   |   🔵 BLUE = Auto-computed — DO NOT EDIT   |   🔒 WRONG CODE = Agent code mismatch — check code in System_Config</t>
  </si>
  <si>
    <t>📋 NEW ACCOUNT</t>
  </si>
  <si>
    <t>🗄️ DATABASE</t>
  </si>
  <si>
    <t>🏦 MANAGER DASHBOARD</t>
  </si>
  <si>
    <t>📊 REPORTS</t>
  </si>
  <si>
    <t>🔗 LOAN TOP-UP</t>
  </si>
  <si>
    <t>💰 SAVINGS DB</t>
  </si>
  <si>
    <t>🏧 WITHDRAWALS DB</t>
  </si>
  <si>
    <t>🏦 LOANS DB</t>
  </si>
  <si>
    <t>⚙️ SYSTEM CONFIG</t>
  </si>
  <si>
    <t>👥 AGENTS DB</t>
  </si>
  <si>
    <t>⚡  FULLY AUTOMATED  •  10 Agents  •  4-Digit Code Security (FIXED BUG v16)  •  GHS 10 Min Balance  •  Real-Time DB Sync  •  Multi-Year  •  🔵 Blue = System-Controlled  •  🟡 Yellow = User Input  •  Zero VBA</t>
  </si>
  <si>
    <t>🏦  SAMICIOUS MICROFINANCE</t>
  </si>
  <si>
    <t>ENTERPRISE MANAGEMENT SYSTEM  |  Developer Information</t>
  </si>
  <si>
    <t>ABOUT THE DEVELOPER</t>
  </si>
  <si>
    <t>THIS SAMICIOUS MICROFINANCE MANAGEMENT SYSTEM WAS DESIGNED AND DEVELOPED BY</t>
  </si>
  <si>
    <t>FRANK ABBAN</t>
  </si>
  <si>
    <t>IT CONSULTANT</t>
  </si>
  <si>
    <t>📞  FOR ALL ENQUIRIES, KINDLY REACH OUT USING ANY OF THE CONTACT NUMBERS BELOW:</t>
  </si>
  <si>
    <t>📱  0241911273</t>
  </si>
  <si>
    <t>📱  0207530771</t>
  </si>
  <si>
    <t>📋  Select any number above → Ctrl+C to copy</t>
  </si>
  <si>
    <t>SAMICIOUS MICROFINANCE  v16.0  |  Formula-Driven Architecture  |  No VBA</t>
  </si>
  <si>
    <t>ENTERPRISE MANAGEMENT SYSTEM  |  Official Documentation</t>
  </si>
  <si>
    <t>ACKNOWLEDGEMENT</t>
  </si>
  <si>
    <t>I give all glory to the Almighty God for His grace, strength, and wisdom that have guided me throughout this journey. Without Him, this work would not have been possible.</t>
  </si>
  <si>
    <t>I sincerely appreciate Dr. Gabriel Annan, Lecturer at the University of Cape Coast (UCC), for his mentorship, guidance, and invaluable support throughout the development of this system.</t>
  </si>
  <si>
    <t>I am deeply grateful to Rev. Ebenezer Asibu Dadzie for his spiritual guidance, encouragement, and prayers, which strengthened me greatly.</t>
  </si>
  <si>
    <t>Special thanks to Mr. Addu Gyamfi, CEO of Samicious Microfinance, for his trust and confidence in my ability to serve as the IT Consultant for this project.</t>
  </si>
  <si>
    <t>To my beloved wife and children, your patience, sacrifices, and unwavering support have been invaluable. Your love continues to inspire me.</t>
  </si>
  <si>
    <t>Through your collective support, this vision has been successfully realized.</t>
  </si>
  <si>
    <t>📖  BIBLICAL SUPPORT</t>
  </si>
  <si>
    <t>"I can do all things through Christ who strengthens me."</t>
  </si>
  <si>
    <t>— Philippians 4:13</t>
  </si>
  <si>
    <t>A  M  E  N</t>
  </si>
  <si>
    <t>🏦  SAMICIOUS MICROFINANCE — MANAGER COMMAND CENTER  v16.0</t>
  </si>
  <si>
    <t>NET FLOW (GHS)</t>
  </si>
  <si>
    <t>ACTIVE TOP-UPS</t>
  </si>
  <si>
    <t>📊  REAL-TIME AGENT PERFORMANCE TRACKER</t>
  </si>
  <si>
    <t>Agent</t>
  </si>
  <si>
    <t>Today Savings</t>
  </si>
  <si>
    <t>Today Withdrawals</t>
  </si>
  <si>
    <t>Net Today</t>
  </si>
  <si>
    <t>Txns Today</t>
  </si>
  <si>
    <t>MTD Savings</t>
  </si>
  <si>
    <t>Active Customers</t>
  </si>
  <si>
    <t>Target</t>
  </si>
  <si>
    <t>% Target</t>
  </si>
  <si>
    <t>Agent 01</t>
  </si>
  <si>
    <t>Agent 02</t>
  </si>
  <si>
    <t>Agent 03</t>
  </si>
  <si>
    <t>Agent 04</t>
  </si>
  <si>
    <t>Agent 05</t>
  </si>
  <si>
    <t>Agent 06</t>
  </si>
  <si>
    <t>Agent 07</t>
  </si>
  <si>
    <t>Agent 08</t>
  </si>
  <si>
    <t>Agent 09</t>
  </si>
  <si>
    <t>Agent 10</t>
  </si>
  <si>
    <t>TOTALS</t>
  </si>
  <si>
    <t>👤  NEW CUSTOMER ACCOUNT REGISTRATION</t>
  </si>
  <si>
    <t>✅  AUTOMATED — Type customer details in 🟡 YELLOW cells. Account Number (col A) and Date (col I) are 🔵 BLUE = auto-generated. DATABASE reads this table live. No copy-paste. No buttons.</t>
  </si>
  <si>
    <t>⚠️  GHS 10.00 MINIMUM OPENING BALANCE ENFORCED  |  Accounts below GHS 10 are flagged ⚠️ Below Min Balance</t>
  </si>
  <si>
    <t>Account No.</t>
  </si>
  <si>
    <t>Customer Name</t>
  </si>
  <si>
    <t>Date of Birth</t>
  </si>
  <si>
    <t>Phone Number</t>
  </si>
  <si>
    <t>Location</t>
  </si>
  <si>
    <t>Occupation</t>
  </si>
  <si>
    <t>Assigned Agent</t>
  </si>
  <si>
    <t>Opening Balance (GHS)</t>
  </si>
  <si>
    <t>Date Registered</t>
  </si>
  <si>
    <t>Status</t>
  </si>
  <si>
    <t>🟡 Yellow = Enter data here   |   🔵 Blue = Auto-generated (DO NOT EDIT)</t>
  </si>
  <si>
    <t>🗄️  CUSTOMER DATABASE  —  Central Source of Truth  (All columns formula-driven, READ-ONLY)</t>
  </si>
  <si>
    <t>🔵 ALL CELLS AUTO-COMPUTED — Do NOT type here. Columns A–J mirror NEW ACCOUNT. Columns K–N computed from all transactions.</t>
  </si>
  <si>
    <t>Full Name</t>
  </si>
  <si>
    <t>Total Savings (GHS)</t>
  </si>
  <si>
    <t>Total Withdrawals (GHS)</t>
  </si>
  <si>
    <t>Current Balance (GHS)</t>
  </si>
  <si>
    <t>Withdrawable Balance (GHS)</t>
  </si>
  <si>
    <t>💰  SAVINGS DATABASE — All 10 Agents Combined (Formula-Driven, READ-ONLY)</t>
  </si>
  <si>
    <t>🔵 DO NOT ENTER DATA HERE — This sheet auto-aggregates from all Agent Savings sheets. Rows 4–203 = Agent 01, 204–403 = Agent 02, …, 1804–2003 = Agent 10.</t>
  </si>
  <si>
    <t>Account_No</t>
  </si>
  <si>
    <t>Transaction_ID</t>
  </si>
  <si>
    <t>Customer_Name</t>
  </si>
  <si>
    <t>Date</t>
  </si>
  <si>
    <t>Amount_GHS</t>
  </si>
  <si>
    <t>New_Balance</t>
  </si>
  <si>
    <t>Saved_At</t>
  </si>
  <si>
    <t>Notes</t>
  </si>
  <si>
    <t>Year</t>
  </si>
  <si>
    <t>🏧  WITHDRAWALS DATABASE — All 10 Agents Combined (Formula-Driven, READ-ONLY)</t>
  </si>
  <si>
    <t>🔵 DO NOT ENTER DATA HERE — auto-aggregates from all Agent Withdrawal sheets. Rows 4–203=Agent01, 204–403=Agent02 … 1804–2003=Agent10.</t>
  </si>
  <si>
    <t>Balance_Before</t>
  </si>
  <si>
    <t>Authorized_By</t>
  </si>
  <si>
    <t>Withdrawal_Amt_GHS</t>
  </si>
  <si>
    <t>New_Balance_GHS</t>
  </si>
  <si>
    <t>Min_Bal_Compliant</t>
  </si>
  <si>
    <t>🏦  LOANS DATABASE — All 10 Agents Combined (Formula-Driven, READ-ONLY)</t>
  </si>
  <si>
    <t>🔵 DO NOT ENTER DATA HERE — auto-aggregates from all Agent Loan sheets.</t>
  </si>
  <si>
    <t>Loan_ID</t>
  </si>
  <si>
    <t>Request_Date</t>
  </si>
  <si>
    <t>Loan_Amount</t>
  </si>
  <si>
    <t>Purpose</t>
  </si>
  <si>
    <t>Months</t>
  </si>
  <si>
    <t>Rate_%</t>
  </si>
  <si>
    <t>Total_Repayable</t>
  </si>
  <si>
    <t>Monthly_Install</t>
  </si>
  <si>
    <t>🔗  LOAN TOP-UP REGISTER — All Agents</t>
  </si>
  <si>
    <t>Link top-up to original loan via Account Number + Parent Loan ID. Aggregated balance and unified repayment auto-calculated.</t>
  </si>
  <si>
    <t>🟡 Yellow = Enter data  |  🔵 Blue = Auto-computed  |  Top-Up ID auto-generates  |  Date auto-fills</t>
  </si>
  <si>
    <t>Top-Up ID</t>
  </si>
  <si>
    <t>Account Number</t>
  </si>
  <si>
    <t>Parent Loan ID</t>
  </si>
  <si>
    <t>Top-Up Amount (GHS)</t>
  </si>
  <si>
    <t>Purpose / Notes</t>
  </si>
  <si>
    <t>Aggregated Loan Balance (GHS)</t>
  </si>
  <si>
    <t>Unified Monthly Repay (GHS)</t>
  </si>
  <si>
    <t>💰  SAMICIOUS MICROFINANCE — AGENT 01 SAVINGS</t>
  </si>
  <si>
    <t>Agent: Agent 01  |  🟡 Enter Account # &amp; Amount  |  🔵 All other fields auto-populate  |  Enter your 4-digit Agent Code in col H to confirm each transaction</t>
  </si>
  <si>
    <t>💰 Total Collected Today</t>
  </si>
  <si>
    <t>📊 Transactions Today</t>
  </si>
  <si>
    <t>📅 Today</t>
  </si>
  <si>
    <t>🟡 Yellow = Enter Account # and Savings Amount  |  🔵 Blue = Auto-populated (DO NOT EDIT)  |  Enter your 4-digit Agent Code in col H → Status auto-confirms</t>
  </si>
  <si>
    <t>⚠️ Security: Only Agent 01 code (4832) accepted. Wrong code → 🔒 WRONG CODE. Cross-agent usage BLOCKED.</t>
  </si>
  <si>
    <t>Account #</t>
  </si>
  <si>
    <t>Savings Amount (GHS)</t>
  </si>
  <si>
    <t>New Balance (GHS)</t>
  </si>
  <si>
    <t>🔑 Agent Code</t>
  </si>
  <si>
    <t>Saved At</t>
  </si>
  <si>
    <t>🏧  SAMICIOUS MICROFINANCE — AGENT 01 WITHDRAWALS</t>
  </si>
  <si>
    <t>Agent: Agent 01  |  🟡 Enter Account # &amp; Amount  |  🔵 Auto-fields  |  GHS 10 minimum balance enforced  |  Enter 4-digit code to authorize</t>
  </si>
  <si>
    <t>🏧 Total Withdrawn Today</t>
  </si>
  <si>
    <t>✅ Successful</t>
  </si>
  <si>
    <t>❌ Insufficient</t>
  </si>
  <si>
    <t>🔵 Blue = Auto (DO NOT EDIT)  |  🟡 Yellow = Enter data  |  Available Balance = Current Balance – GHS 10 reserve  |  Withdrawal blocked if insufficient withdrawable balance</t>
  </si>
  <si>
    <t>Withdrawal Amount (GHS)</t>
  </si>
  <si>
    <t>Authorized By</t>
  </si>
  <si>
    <t>🏦  SAMICIOUS MICROFINANCE — AGENT 01 LOAN REQUESTS</t>
  </si>
  <si>
    <t>Agent: Agent 01  |  Total Repayable = Loan × (1 + Rate% × Months)  |  Monthly = Total ÷ Months  |  Enter 4-digit code to submit</t>
  </si>
  <si>
    <t>🔢  INSTANT LOAN CALCULATOR</t>
  </si>
  <si>
    <t>Loan Amount (GHS):</t>
  </si>
  <si>
    <t>Duration (Months):</t>
  </si>
  <si>
    <t>Rate (%/month):</t>
  </si>
  <si>
    <t>Total Interest:</t>
  </si>
  <si>
    <t>Total Repayable:</t>
  </si>
  <si>
    <t>Monthly Payment:</t>
  </si>
  <si>
    <t>🟡 Enter: Account # | Loan Amount | Purpose | Months | Agent Code  🔵 Auto: Loan ID | Name | Date | Total | Monthly</t>
  </si>
  <si>
    <t>Loan ID</t>
  </si>
  <si>
    <t>Request Date</t>
  </si>
  <si>
    <t>Loan Amount (GHS)</t>
  </si>
  <si>
    <t>Rate %</t>
  </si>
  <si>
    <t>Total Repayable (GHS)</t>
  </si>
  <si>
    <t>Monthly Install (GHS)</t>
  </si>
  <si>
    <t>💰  SAMICIOUS MICROFINANCE — AGENT 02 SAVINGS</t>
  </si>
  <si>
    <t>Agent: Agent 02  |  🟡 Enter Account # &amp; Amount  |  🔵 All other fields auto-populate  |  Enter your 4-digit Agent Code in col H to confirm each transaction</t>
  </si>
  <si>
    <t>⚠️ Security: Only Agent 02 code (9174) accepted. Wrong code → 🔒 WRONG CODE. Cross-agent usage BLOCKED.</t>
  </si>
  <si>
    <t>🏧  SAMICIOUS MICROFINANCE — AGENT 02 WITHDRAWALS</t>
  </si>
  <si>
    <t>Agent: Agent 02  |  🟡 Enter Account # &amp; Amount  |  🔵 Auto-fields  |  GHS 10 minimum balance enforced  |  Enter 4-digit code to authorize</t>
  </si>
  <si>
    <t>🏦  SAMICIOUS MICROFINANCE — AGENT 02 LOAN REQUESTS</t>
  </si>
  <si>
    <t>Agent: Agent 02  |  Total Repayable = Loan × (1 + Rate% × Months)  |  Monthly = Total ÷ Months  |  Enter 4-digit code to submit</t>
  </si>
  <si>
    <t>💰  SAMICIOUS MICROFINANCE — AGENT 03 SAVINGS</t>
  </si>
  <si>
    <t>Agent: Agent 03  |  🟡 Enter Account # &amp; Amount  |  🔵 All other fields auto-populate  |  Enter your 4-digit Agent Code in col H to confirm each transaction</t>
  </si>
  <si>
    <t>⚠️ Security: Only Agent 03 code (2651) accepted. Wrong code → 🔒 WRONG CODE. Cross-agent usage BLOCKED.</t>
  </si>
  <si>
    <t>🏧  SAMICIOUS MICROFINANCE — AGENT 03 WITHDRAWALS</t>
  </si>
  <si>
    <t>Agent: Agent 03  |  🟡 Enter Account # &amp; Amount  |  🔵 Auto-fields  |  GHS 10 minimum balance enforced  |  Enter 4-digit code to authorize</t>
  </si>
  <si>
    <t>🏦  SAMICIOUS MICROFINANCE — AGENT 03 LOAN REQUESTS</t>
  </si>
  <si>
    <t>Agent: Agent 03  |  Total Repayable = Loan × (1 + Rate% × Months)  |  Monthly = Total ÷ Months  |  Enter 4-digit code to submit</t>
  </si>
  <si>
    <t>💰  SAMICIOUS MICROFINANCE — AGENT 04 SAVINGS</t>
  </si>
  <si>
    <t>Agent: Agent 04  |  🟡 Enter Account # &amp; Amount  |  🔵 All other fields auto-populate  |  Enter your 4-digit Agent Code in col H to confirm each transaction</t>
  </si>
  <si>
    <t>⚠️ Security: Only Agent 04 code (7389) accepted. Wrong code → 🔒 WRONG CODE. Cross-agent usage BLOCKED.</t>
  </si>
  <si>
    <t>🏧  SAMICIOUS MICROFINANCE — AGENT 04 WITHDRAWALS</t>
  </si>
  <si>
    <t>Agent: Agent 04  |  🟡 Enter Account # &amp; Amount  |  🔵 Auto-fields  |  GHS 10 minimum balance enforced  |  Enter 4-digit code to authorize</t>
  </si>
  <si>
    <t>🏦  SAMICIOUS MICROFINANCE — AGENT 04 LOAN REQUESTS</t>
  </si>
  <si>
    <t>Agent: Agent 04  |  Total Repayable = Loan × (1 + Rate% × Months)  |  Monthly = Total ÷ Months  |  Enter 4-digit code to submit</t>
  </si>
  <si>
    <t>💰  SAMICIOUS MICROFINANCE — AGENT 05 SAVINGS</t>
  </si>
  <si>
    <t>Agent: Agent 05  |  🟡 Enter Account # &amp; Amount  |  🔵 All other fields auto-populate  |  Enter your 4-digit Agent Code in col H to confirm each transaction</t>
  </si>
  <si>
    <t>⚠️ Security: Only Agent 05 code (5216) accepted. Wrong code → 🔒 WRONG CODE. Cross-agent usage BLOCKED.</t>
  </si>
  <si>
    <t>🏧  SAMICIOUS MICROFINANCE — AGENT 05 WITHDRAWALS</t>
  </si>
  <si>
    <t>Agent: Agent 05  |  🟡 Enter Account # &amp; Amount  |  🔵 Auto-fields  |  GHS 10 minimum balance enforced  |  Enter 4-digit code to authorize</t>
  </si>
  <si>
    <t>🏦  SAMICIOUS MICROFINANCE — AGENT 05 LOAN REQUESTS</t>
  </si>
  <si>
    <t>Agent: Agent 05  |  Total Repayable = Loan × (1 + Rate% × Months)  |  Monthly = Total ÷ Months  |  Enter 4-digit code to submit</t>
  </si>
  <si>
    <t>💰  SAMICIOUS MICROFINANCE — AGENT 06 SAVINGS</t>
  </si>
  <si>
    <t>Agent: Agent 06  |  🟡 Enter Account # &amp; Amount  |  🔵 All other fields auto-populate  |  Enter your 4-digit Agent Code in col H to confirm each transaction</t>
  </si>
  <si>
    <t>⚠️ Security: Only Agent 06 code (8043) accepted. Wrong code → 🔒 WRONG CODE. Cross-agent usage BLOCKED.</t>
  </si>
  <si>
    <t>🏧  SAMICIOUS MICROFINANCE — AGENT 06 WITHDRAWALS</t>
  </si>
  <si>
    <t>Agent: Agent 06  |  🟡 Enter Account # &amp; Amount  |  🔵 Auto-fields  |  GHS 10 minimum balance enforced  |  Enter 4-digit code to authorize</t>
  </si>
  <si>
    <t>🏦  SAMICIOUS MICROFINANCE — AGENT 06 LOAN REQUESTS</t>
  </si>
  <si>
    <t>Agent: Agent 06  |  Total Repayable = Loan × (1 + Rate% × Months)  |  Monthly = Total ÷ Months  |  Enter 4-digit code to submit</t>
  </si>
  <si>
    <t>💰  SAMICIOUS MICROFINANCE — AGENT 07 SAVINGS</t>
  </si>
  <si>
    <t>Agent: Agent 07  |  🟡 Enter Account # &amp; Amount  |  🔵 All other fields auto-populate  |  Enter your 4-digit Agent Code in col H to confirm each transaction</t>
  </si>
  <si>
    <t>⚠️ Security: Only Agent 07 code (3571) accepted. Wrong code → 🔒 WRONG CODE. Cross-agent usage BLOCKED.</t>
  </si>
  <si>
    <t>🏧  SAMICIOUS MICROFINANCE — AGENT 07 WITHDRAWALS</t>
  </si>
  <si>
    <t>Agent: Agent 07  |  🟡 Enter Account # &amp; Amount  |  🔵 Auto-fields  |  GHS 10 minimum balance enforced  |  Enter 4-digit code to authorize</t>
  </si>
  <si>
    <t>🏦  SAMICIOUS MICROFINANCE — AGENT 07 LOAN REQUESTS</t>
  </si>
  <si>
    <t>Agent: Agent 07  |  Total Repayable = Loan × (1 + Rate% × Months)  |  Monthly = Total ÷ Months  |  Enter 4-digit code to submit</t>
  </si>
  <si>
    <t>💰  SAMICIOUS MICROFINANCE — AGENT 08 SAVINGS</t>
  </si>
  <si>
    <t>Agent: Agent 08  |  🟡 Enter Account # &amp; Amount  |  🔵 All other fields auto-populate  |  Enter your 4-digit Agent Code in col H to confirm each transaction</t>
  </si>
  <si>
    <t>⚠️ Security: Only Agent 08 code (6920) accepted. Wrong code → 🔒 WRONG CODE. Cross-agent usage BLOCKED.</t>
  </si>
  <si>
    <t>🏧  SAMICIOUS MICROFINANCE — AGENT 08 WITHDRAWALS</t>
  </si>
  <si>
    <t>Agent: Agent 08  |  🟡 Enter Account # &amp; Amount  |  🔵 Auto-fields  |  GHS 10 minimum balance enforced  |  Enter 4-digit code to authorize</t>
  </si>
  <si>
    <t>🏦  SAMICIOUS MICROFINANCE — AGENT 08 LOAN REQUESTS</t>
  </si>
  <si>
    <t>Agent: Agent 08  |  Total Repayable = Loan × (1 + Rate% × Months)  |  Monthly = Total ÷ Months  |  Enter 4-digit code to submit</t>
  </si>
  <si>
    <t>💰  SAMICIOUS MICROFINANCE — AGENT 09 SAVINGS</t>
  </si>
  <si>
    <t>Agent: Agent 09  |  🟡 Enter Account # &amp; Amount  |  🔵 All other fields auto-populate  |  Enter your 4-digit Agent Code in col H to confirm each transaction</t>
  </si>
  <si>
    <t>⚠️ Security: Only Agent 09 code (1748) accepted. Wrong code → 🔒 WRONG CODE. Cross-agent usage BLOCKED.</t>
  </si>
  <si>
    <t>🏧  SAMICIOUS MICROFINANCE — AGENT 09 WITHDRAWALS</t>
  </si>
  <si>
    <t>Agent: Agent 09  |  🟡 Enter Account # &amp; Amount  |  🔵 Auto-fields  |  GHS 10 minimum balance enforced  |  Enter 4-digit code to authorize</t>
  </si>
  <si>
    <t>🏦  SAMICIOUS MICROFINANCE — AGENT 09 LOAN REQUESTS</t>
  </si>
  <si>
    <t>Agent: Agent 09  |  Total Repayable = Loan × (1 + Rate% × Months)  |  Monthly = Total ÷ Months  |  Enter 4-digit code to submit</t>
  </si>
  <si>
    <t>💰  SAMICIOUS MICROFINANCE — AGENT 10 SAVINGS</t>
  </si>
  <si>
    <t>Agent: Agent 10  |  🟡 Enter Account # &amp; Amount  |  🔵 All other fields auto-populate  |  Enter your 4-digit Agent Code in col H to confirm each transaction</t>
  </si>
  <si>
    <t>⚠️ Security: Only Agent 10 code (9305) accepted. Wrong code → 🔒 WRONG CODE. Cross-agent usage BLOCKED.</t>
  </si>
  <si>
    <t>🏧  SAMICIOUS MICROFINANCE — AGENT 10 WITHDRAWALS</t>
  </si>
  <si>
    <t>Agent: Agent 10  |  🟡 Enter Account # &amp; Amount  |  🔵 Auto-fields  |  GHS 10 minimum balance enforced  |  Enter 4-digit code to authorize</t>
  </si>
  <si>
    <t>🏦  SAMICIOUS MICROFINANCE — AGENT 10 LOAN REQUESTS</t>
  </si>
  <si>
    <t>Agent: Agent 10  |  Total Repayable = Loan × (1 + Rate% × Months)  |  Monthly = Total ÷ Months  |  Enter 4-digit code to submit</t>
  </si>
  <si>
    <t>📊  SAMICIOUS MICROFINANCE — COMPREHENSIVE REPORTS (Live Auto-Refresh)</t>
  </si>
  <si>
    <t>👥  CUSTOMER METRICS</t>
  </si>
  <si>
    <t>Total Registered Customers</t>
  </si>
  <si>
    <t>💰  SAVINGS &amp; WITHDRAWALS</t>
  </si>
  <si>
    <t>Total Savings Deposited (GHS)</t>
  </si>
  <si>
    <t>Net Balance All Accounts (GHS)</t>
  </si>
  <si>
    <t>🏦  LOAN PORTFOLIO</t>
  </si>
  <si>
    <t>Total Loans (GHS)</t>
  </si>
  <si>
    <t>Number of Loan Records</t>
  </si>
  <si>
    <t>Total Top-Up Amounts (GHS)</t>
  </si>
  <si>
    <t>Total Loan Portfolio (GHS)</t>
  </si>
  <si>
    <t>👤  AGENT SAVINGS SUMMARY</t>
  </si>
  <si>
    <t>Agent 01 — MTD Savings</t>
  </si>
  <si>
    <t>Agent 02 — MTD Savings</t>
  </si>
  <si>
    <t>Agent 03 — MTD Savings</t>
  </si>
  <si>
    <t>Agent 04 — MTD Savings</t>
  </si>
  <si>
    <t>Agent 05 — MTD Savings</t>
  </si>
  <si>
    <t>Agent 06 — MTD Savings</t>
  </si>
  <si>
    <t>Agent 07 — MTD Savings</t>
  </si>
  <si>
    <t>Agent 08 — MTD Savings</t>
  </si>
  <si>
    <t>Agent 09 — MTD Savings</t>
  </si>
  <si>
    <t>Agent 10 — MTD Savings</t>
  </si>
  <si>
    <t>⚡ All figures update automatically — no refresh button needed.</t>
  </si>
  <si>
    <t>⚙️  SYSTEM CONFIGURATION — SAMICIOUS MICROFINANCE v16</t>
  </si>
  <si>
    <t>Company</t>
  </si>
  <si>
    <t>SAMICIOUS MICROFINANCE</t>
  </si>
  <si>
    <t>Currency</t>
  </si>
  <si>
    <t>GHS (Ghana Cedis)</t>
  </si>
  <si>
    <t>Interest Rate</t>
  </si>
  <si>
    <t>2.5% per month flat</t>
  </si>
  <si>
    <t>Max Loan</t>
  </si>
  <si>
    <t>GHS 50,000</t>
  </si>
  <si>
    <t>Min Loan</t>
  </si>
  <si>
    <t>GHS 100</t>
  </si>
  <si>
    <t>Total Agents</t>
  </si>
  <si>
    <t>10</t>
  </si>
  <si>
    <t>Min Balance (GHS)</t>
  </si>
  <si>
    <t>Min Balance Rule</t>
  </si>
  <si>
    <t>GHS 10 non-withdrawable reserve — enforced on ALL withdrawals</t>
  </si>
  <si>
    <t>Version</t>
  </si>
  <si>
    <t>v16.0 — Enterprise Multi-Agent Formula-Only</t>
  </si>
  <si>
    <t>Updated</t>
  </si>
  <si>
    <t>2026</t>
  </si>
  <si>
    <t>🎨  CELL COLOR LEGEND</t>
  </si>
  <si>
    <t>🟡 USER INPUT — Enter your data here</t>
  </si>
  <si>
    <t>🔵 AUTO-COMPUTED — DO NOT ENTER DATA (system-controlled)</t>
  </si>
  <si>
    <t>🟢 Savings module rows (even)</t>
  </si>
  <si>
    <t>🟠 Withdrawals module rows (even)</t>
  </si>
  <si>
    <t>🩵 Loans module rows (even)</t>
  </si>
  <si>
    <t>🟣 Loan Top-Up module rows (even)</t>
  </si>
  <si>
    <t>🔷 Database / Customer rows (even)</t>
  </si>
  <si>
    <t>🔴 WRONG CODE — Agent code mismatch (check your code)</t>
  </si>
  <si>
    <t>🔑  AGENT SECURITY CODES</t>
  </si>
  <si>
    <t>Agent Name</t>
  </si>
  <si>
    <t>4-Digit Code</t>
  </si>
  <si>
    <t>Area</t>
  </si>
  <si>
    <t>4832</t>
  </si>
  <si>
    <t>Active</t>
  </si>
  <si>
    <t>Agent01_Zone</t>
  </si>
  <si>
    <t>9174</t>
  </si>
  <si>
    <t>Agent02_Zone</t>
  </si>
  <si>
    <t>2651</t>
  </si>
  <si>
    <t>Agent03_Zone</t>
  </si>
  <si>
    <t>7389</t>
  </si>
  <si>
    <t>Agent04_Zone</t>
  </si>
  <si>
    <t>5216</t>
  </si>
  <si>
    <t>Agent05_Zone</t>
  </si>
  <si>
    <t>8043</t>
  </si>
  <si>
    <t>Agent06_Zone</t>
  </si>
  <si>
    <t>3571</t>
  </si>
  <si>
    <t>Agent07_Zone</t>
  </si>
  <si>
    <t>6920</t>
  </si>
  <si>
    <t>Agent08_Zone</t>
  </si>
  <si>
    <t>1748</t>
  </si>
  <si>
    <t>Agent09_Zone</t>
  </si>
  <si>
    <t>9305</t>
  </si>
  <si>
    <t>Agent10_Zone</t>
  </si>
  <si>
    <t>👥  AGENTS MASTER DATABASE — All 10 Agents Pre-loaded</t>
  </si>
  <si>
    <t>⚠️  DO NOT MODIFY this sheet — agent code validation depends on it</t>
  </si>
  <si>
    <t>Agent_Code</t>
  </si>
  <si>
    <t>Agent_Name</t>
  </si>
  <si>
    <t>Email</t>
  </si>
  <si>
    <t>Agent_4Digit_Code</t>
  </si>
  <si>
    <t>Working_Area</t>
  </si>
  <si>
    <t>Min_Balance_GHS</t>
  </si>
  <si>
    <t>Agent01</t>
  </si>
  <si>
    <t>agent01@samicious.com</t>
  </si>
  <si>
    <t>Keep code confidential</t>
  </si>
  <si>
    <t>Agent02</t>
  </si>
  <si>
    <t>agent02@samicious.com</t>
  </si>
  <si>
    <t>Agent03</t>
  </si>
  <si>
    <t>agent03@samicious.com</t>
  </si>
  <si>
    <t>Agent04</t>
  </si>
  <si>
    <t>agent04@samicious.com</t>
  </si>
  <si>
    <t>Agent05</t>
  </si>
  <si>
    <t>agent05@samicious.com</t>
  </si>
  <si>
    <t>Agent06</t>
  </si>
  <si>
    <t>agent06@samicious.com</t>
  </si>
  <si>
    <t>Agent07</t>
  </si>
  <si>
    <t>agent07@samicious.com</t>
  </si>
  <si>
    <t>Agent08</t>
  </si>
  <si>
    <t>agent08@samicious.com</t>
  </si>
  <si>
    <t>Agent09</t>
  </si>
  <si>
    <t>agent09@samicious.com</t>
  </si>
  <si>
    <t>Agent10</t>
  </si>
  <si>
    <t>agent10@samicious.com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</si>
</sst>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0"/>
      <color rgb="FF1F3864"/>
      <name val="Arial"/>
      <family val="2"/>
    </font>
    <font>
      <b/>
      <sz val="13"/>
      <color rgb="FF2E75B6"/>
      <name val="Arial"/>
      <family val="2"/>
    </font>
    <font>
      <i/>
      <sz val="9"/>
      <color rgb="FFC0C0C0"/>
      <name val="Arial"/>
      <family val="2"/>
    </font>
    <font>
      <b/>
      <i/>
      <sz val="12"/>
      <color rgb="FF1F3864"/>
      <name val="Arial"/>
      <family val="2"/>
    </font>
    <font>
      <sz val="11"/>
      <color rgb="FF2E75B6"/>
      <name val="Arial"/>
      <family val="2"/>
    </font>
    <font>
      <b/>
      <sz val="14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70C0"/>
      <name val="Arial"/>
      <family val="2"/>
    </font>
    <font>
      <sz val="10"/>
      <color rgb="FF375623"/>
      <name val="Arial"/>
      <family val="2"/>
    </font>
    <font>
      <sz val="10"/>
      <color rgb="FFC55A11"/>
      <name val="Arial"/>
      <family val="2"/>
    </font>
    <font>
      <sz val="10"/>
      <color rgb="FF1F5C6B"/>
      <name val="Arial"/>
      <family val="2"/>
    </font>
    <font>
      <sz val="10"/>
      <color rgb="FF7030A0"/>
      <name val="Arial"/>
      <family val="2"/>
    </font>
    <font>
      <sz val="10"/>
      <color rgb="FFFFFFFF"/>
      <name val="Arial"/>
      <family val="2"/>
    </font>
    <font>
      <i/>
      <sz val="9"/>
      <color rgb="FFC55A11"/>
      <name val="Arial"/>
      <family val="2"/>
    </font>
    <font>
      <b/>
      <sz val="10"/>
      <color rgb="FF1F3864"/>
      <name val="Arial"/>
      <family val="2"/>
    </font>
    <font>
      <b/>
      <sz val="14"/>
      <color rgb="FFFFFFFF"/>
      <name val="Arial"/>
      <family val="2"/>
    </font>
    <font>
      <i/>
      <sz val="9"/>
      <color rgb="FF2E75B6"/>
      <name val="Arial"/>
      <family val="2"/>
    </font>
    <font>
      <b/>
      <sz val="10"/>
      <color rgb="FF0070C0"/>
      <name val="Arial"/>
      <family val="2"/>
    </font>
    <font>
      <i/>
      <sz val="9"/>
      <color rgb="FF1F3864"/>
      <name val="Arial"/>
      <family val="2"/>
    </font>
    <font>
      <i/>
      <sz val="9"/>
      <color rgb="FF0070C0"/>
      <name val="Arial"/>
      <family val="2"/>
    </font>
    <font>
      <sz val="9"/>
      <color rgb="FF0070C0"/>
      <name val="Arial"/>
      <family val="2"/>
    </font>
    <font>
      <b/>
      <sz val="9"/>
      <color rgb="FF375623"/>
      <name val="Arial"/>
      <family val="2"/>
    </font>
    <font>
      <b/>
      <sz val="11"/>
      <name val="Arial"/>
      <family val="2"/>
    </font>
    <font>
      <b/>
      <sz val="9"/>
      <color rgb="FFC55A11"/>
      <name val="Arial"/>
      <family val="2"/>
    </font>
    <font>
      <b/>
      <sz val="9"/>
      <color rgb="FFFF0000"/>
      <name val="Arial"/>
      <family val="2"/>
    </font>
    <font>
      <b/>
      <sz val="10"/>
      <color rgb="FF1F5C6B"/>
      <name val="Arial"/>
      <family val="2"/>
    </font>
    <font>
      <sz val="9"/>
      <name val="Arial"/>
      <family val="2"/>
    </font>
    <font>
      <b/>
      <sz val="9"/>
      <color rgb="FF1F5C6B"/>
      <name val="Arial"/>
      <family val="2"/>
    </font>
    <font>
      <b/>
      <sz val="13"/>
      <color rgb="FFFFFFFF"/>
      <name val="Arial"/>
      <family val="2"/>
    </font>
    <font>
      <i/>
      <sz val="9"/>
      <color rgb="FF7030A0"/>
      <name val="Arial"/>
      <family val="2"/>
    </font>
    <font>
      <b/>
      <sz val="15"/>
      <color rgb="FFFFFFFF"/>
      <name val="Arial"/>
      <family val="2"/>
    </font>
    <font>
      <b/>
      <sz val="9"/>
      <color rgb="FFFFFFFF"/>
      <name val="Arial"/>
      <family val="2"/>
    </font>
    <font>
      <b/>
      <sz val="18"/>
      <color rgb="FF375623"/>
      <name val="Arial"/>
      <family val="2"/>
    </font>
    <font>
      <b/>
      <sz val="18"/>
      <color rgb="FFC55A11"/>
      <name val="Arial"/>
      <family val="2"/>
    </font>
    <font>
      <b/>
      <sz val="18"/>
      <color rgb="FF1F5C6B"/>
      <name val="Arial"/>
      <family val="2"/>
    </font>
    <font>
      <b/>
      <sz val="18"/>
      <color rgb="FF1F3864"/>
      <name val="Arial"/>
      <family val="2"/>
    </font>
    <font>
      <b/>
      <sz val="18"/>
      <color rgb="FF7030A0"/>
      <name val="Arial"/>
      <family val="2"/>
    </font>
    <font>
      <b/>
      <sz val="18"/>
      <color rgb="FF7B2D00"/>
      <name val="Arial"/>
      <family val="2"/>
    </font>
    <font>
      <i/>
      <sz val="10"/>
      <color rgb="FF2E75B6"/>
      <name val="Arial"/>
      <family val="2"/>
    </font>
    <font>
      <sz val="11"/>
      <color rgb="FF1F3864"/>
      <name val="Arial"/>
      <family val="2"/>
    </font>
    <font>
      <i/>
      <sz val="9"/>
      <color rgb="FF375623"/>
      <name val="Arial"/>
      <family val="2"/>
    </font>
    <font>
      <sz val="11"/>
      <color rgb="FFFFFFFF"/>
      <name val="Arial"/>
      <family val="2"/>
    </font>
    <font>
      <b/>
      <sz val="20"/>
      <color rgb="FF375623"/>
      <name val="Arial"/>
      <family val="2"/>
    </font>
    <font>
      <b/>
      <sz val="20"/>
      <color rgb="FFC55A11"/>
      <name val="Arial"/>
      <family val="2"/>
    </font>
    <font>
      <b/>
      <sz val="20"/>
      <color rgb="FF1F3864"/>
      <name val="Arial"/>
      <family val="2"/>
    </font>
    <font>
      <b/>
      <sz val="20"/>
      <color rgb="FF1F5C6B"/>
      <name val="Arial"/>
      <family val="2"/>
    </font>
    <font>
      <b/>
      <sz val="20"/>
      <color rgb="FF7030A0"/>
      <name val="Arial"/>
      <family val="2"/>
    </font>
    <font>
      <i/>
      <sz val="10"/>
      <color rgb="FF1F3864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04040"/>
      </patternFill>
    </fill>
    <fill>
      <patternFill patternType="solid">
        <fgColor rgb="FFFFFF99"/>
      </patternFill>
    </fill>
    <fill>
      <patternFill patternType="solid">
        <fgColor rgb="FFDDEE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AD1DC"/>
      </patternFill>
    </fill>
    <fill>
      <patternFill patternType="solid">
        <fgColor rgb="FFBDD7EE"/>
      </patternFill>
    </fill>
    <fill>
      <patternFill patternType="solid">
        <fgColor rgb="FFFF000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C55A11"/>
      </patternFill>
    </fill>
    <fill>
      <patternFill patternType="solid">
        <fgColor rgb="FF1F5C6B"/>
      </patternFill>
    </fill>
    <fill>
      <patternFill patternType="solid">
        <fgColor rgb="FF7030A0"/>
      </patternFill>
    </fill>
    <fill>
      <patternFill patternType="solid">
        <fgColor rgb="FF7B2D00"/>
      </patternFill>
    </fill>
  </fills>
  <borders count="8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9BBFDD"/>
      </left>
      <right style="thin">
        <color rgb="FF9BBFDD"/>
      </right>
      <top style="thin">
        <color rgb="FF9BBFDD"/>
      </top>
      <bottom style="thin">
        <color rgb="FF9BBFDD"/>
      </bottom>
      <diagonal/>
    </border>
    <border>
      <left style="thin">
        <color rgb="FFB0B000"/>
      </left>
      <right style="thin">
        <color rgb="FFB0B000"/>
      </right>
      <top style="thin">
        <color rgb="FFB0B000"/>
      </top>
      <bottom style="thin">
        <color rgb="FFB0B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8" fillId="15" borderId="1" xfId="0" applyFont="1" applyFill="1" applyBorder="1" applyAlignment="1">
      <alignment horizontal="center" vertical="center" wrapText="1"/>
    </xf>
    <xf numFmtId="0" fontId="38" fillId="16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8" fillId="17" borderId="1" xfId="0" applyFont="1" applyFill="1" applyBorder="1" applyAlignment="1">
      <alignment horizontal="center" vertical="center" wrapText="1"/>
    </xf>
    <xf numFmtId="0" fontId="38" fillId="18" borderId="1" xfId="0" applyFont="1" applyFill="1" applyBorder="1" applyAlignment="1">
      <alignment horizontal="center" vertical="center" wrapText="1"/>
    </xf>
    <xf numFmtId="4" fontId="49" fillId="0" borderId="0" xfId="0" applyNumberFormat="1" applyFont="1" applyAlignment="1">
      <alignment horizontal="center" vertical="center"/>
    </xf>
    <xf numFmtId="4" fontId="50" fillId="0" borderId="0" xfId="0" applyNumberFormat="1" applyFont="1" applyAlignment="1">
      <alignment horizontal="center" vertical="center"/>
    </xf>
    <xf numFmtId="4" fontId="51" fillId="0" borderId="0" xfId="0" applyNumberFormat="1" applyFont="1" applyAlignment="1">
      <alignment horizontal="center" vertical="center"/>
    </xf>
    <xf numFmtId="4" fontId="52" fillId="0" borderId="0" xfId="0" applyNumberFormat="1" applyFont="1" applyAlignment="1">
      <alignment horizontal="center" vertical="center"/>
    </xf>
    <xf numFmtId="4" fontId="53" fillId="0" borderId="0" xfId="0" applyNumberFormat="1" applyFont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38" fillId="19" borderId="1" xfId="0" applyFont="1" applyFill="1" applyBorder="1" applyAlignment="1">
      <alignment horizontal="center" vertical="center" wrapText="1"/>
    </xf>
    <xf numFmtId="4" fontId="39" fillId="0" borderId="0" xfId="0" applyNumberFormat="1" applyFont="1" applyAlignment="1">
      <alignment horizontal="center" vertical="center"/>
    </xf>
    <xf numFmtId="4" fontId="40" fillId="0" borderId="0" xfId="0" applyNumberFormat="1" applyFont="1" applyAlignment="1">
      <alignment horizontal="center" vertical="center"/>
    </xf>
    <xf numFmtId="4" fontId="41" fillId="0" borderId="0" xfId="0" applyNumberFormat="1" applyFont="1" applyAlignment="1">
      <alignment horizontal="center" vertical="center"/>
    </xf>
    <xf numFmtId="4" fontId="42" fillId="0" borderId="0" xfId="0" applyNumberFormat="1" applyFont="1" applyAlignment="1">
      <alignment horizontal="center" vertical="center"/>
    </xf>
    <xf numFmtId="4" fontId="43" fillId="0" borderId="0" xfId="0" applyNumberFormat="1" applyFont="1" applyAlignment="1">
      <alignment horizontal="center" vertical="center"/>
    </xf>
    <xf numFmtId="4" fontId="44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0" fillId="14" borderId="4" xfId="0" applyFont="1" applyFill="1" applyBorder="1"/>
    <xf numFmtId="4" fontId="11" fillId="14" borderId="4" xfId="0" applyNumberFormat="1" applyFont="1" applyFill="1" applyBorder="1"/>
    <xf numFmtId="0" fontId="11" fillId="14" borderId="4" xfId="0" applyFont="1" applyFill="1" applyBorder="1"/>
    <xf numFmtId="9" fontId="11" fillId="14" borderId="4" xfId="0" applyNumberFormat="1" applyFont="1" applyFill="1" applyBorder="1"/>
    <xf numFmtId="0" fontId="10" fillId="11" borderId="4" xfId="0" applyFont="1" applyFill="1" applyBorder="1"/>
    <xf numFmtId="4" fontId="11" fillId="11" borderId="4" xfId="0" applyNumberFormat="1" applyFont="1" applyFill="1" applyBorder="1"/>
    <xf numFmtId="0" fontId="11" fillId="11" borderId="4" xfId="0" applyFont="1" applyFill="1" applyBorder="1"/>
    <xf numFmtId="9" fontId="11" fillId="11" borderId="4" xfId="0" applyNumberFormat="1" applyFont="1" applyFill="1" applyBorder="1"/>
    <xf numFmtId="4" fontId="12" fillId="2" borderId="1" xfId="0" applyNumberFormat="1" applyFont="1" applyFill="1" applyBorder="1" applyAlignment="1">
      <alignment horizontal="center" vertical="center" wrapText="1"/>
    </xf>
    <xf numFmtId="9" fontId="12" fillId="2" borderId="1" xfId="0" applyNumberFormat="1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left" vertical="center"/>
    </xf>
    <xf numFmtId="4" fontId="13" fillId="5" borderId="6" xfId="0" applyNumberFormat="1" applyFont="1" applyFill="1" applyBorder="1" applyAlignment="1">
      <alignment horizontal="right" vertical="center"/>
    </xf>
    <xf numFmtId="0" fontId="14" fillId="6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left" vertical="center"/>
    </xf>
    <xf numFmtId="4" fontId="14" fillId="6" borderId="5" xfId="0" applyNumberFormat="1" applyFont="1" applyFill="1" applyBorder="1" applyAlignment="1">
      <alignment horizontal="right"/>
    </xf>
    <xf numFmtId="0" fontId="27" fillId="6" borderId="5" xfId="0" applyFont="1" applyFill="1" applyBorder="1" applyAlignment="1">
      <alignment horizontal="left" vertical="center"/>
    </xf>
    <xf numFmtId="14" fontId="27" fillId="6" borderId="5" xfId="0" applyNumberFormat="1" applyFont="1" applyFill="1" applyBorder="1" applyAlignment="1">
      <alignment horizontal="left" vertical="center"/>
    </xf>
    <xf numFmtId="4" fontId="27" fillId="6" borderId="5" xfId="0" applyNumberFormat="1" applyFont="1" applyFill="1" applyBorder="1" applyAlignment="1">
      <alignment horizontal="right"/>
    </xf>
    <xf numFmtId="4" fontId="27" fillId="6" borderId="5" xfId="0" applyNumberFormat="1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center" vertical="center"/>
    </xf>
    <xf numFmtId="14" fontId="14" fillId="6" borderId="5" xfId="0" applyNumberFormat="1" applyFont="1" applyFill="1" applyBorder="1" applyAlignment="1">
      <alignment horizontal="center" vertical="center"/>
    </xf>
    <xf numFmtId="4" fontId="14" fillId="6" borderId="5" xfId="0" applyNumberFormat="1" applyFont="1" applyFill="1" applyBorder="1" applyAlignment="1">
      <alignment horizontal="right" vertical="center"/>
    </xf>
    <xf numFmtId="0" fontId="28" fillId="0" borderId="0" xfId="0" applyFont="1"/>
    <xf numFmtId="4" fontId="29" fillId="0" borderId="0" xfId="0" applyNumberFormat="1" applyFont="1"/>
    <xf numFmtId="0" fontId="11" fillId="7" borderId="4" xfId="0" applyFont="1" applyFill="1" applyBorder="1"/>
    <xf numFmtId="0" fontId="30" fillId="0" borderId="0" xfId="0" applyFont="1"/>
    <xf numFmtId="0" fontId="31" fillId="0" borderId="0" xfId="0" applyFont="1"/>
    <xf numFmtId="0" fontId="29" fillId="0" borderId="0" xfId="0" applyFont="1"/>
    <xf numFmtId="0" fontId="11" fillId="8" borderId="4" xfId="0" applyFont="1" applyFill="1" applyBorder="1"/>
    <xf numFmtId="0" fontId="32" fillId="0" borderId="0" xfId="0" applyFont="1"/>
    <xf numFmtId="0" fontId="33" fillId="0" borderId="0" xfId="0" applyFont="1"/>
    <xf numFmtId="1" fontId="13" fillId="5" borderId="6" xfId="0" applyNumberFormat="1" applyFont="1" applyFill="1" applyBorder="1" applyAlignment="1">
      <alignment horizontal="right" vertical="center"/>
    </xf>
    <xf numFmtId="2" fontId="13" fillId="5" borderId="6" xfId="0" applyNumberFormat="1" applyFont="1" applyFill="1" applyBorder="1" applyAlignment="1">
      <alignment horizontal="right" vertical="center"/>
    </xf>
    <xf numFmtId="0" fontId="34" fillId="0" borderId="0" xfId="0" applyFont="1"/>
    <xf numFmtId="0" fontId="13" fillId="5" borderId="6" xfId="0" applyFont="1" applyFill="1" applyBorder="1" applyAlignment="1">
      <alignment horizontal="right" vertical="center"/>
    </xf>
    <xf numFmtId="0" fontId="11" fillId="9" borderId="4" xfId="0" applyFont="1" applyFill="1" applyBorder="1"/>
    <xf numFmtId="0" fontId="46" fillId="0" borderId="7" xfId="0" applyFont="1" applyBorder="1" applyAlignment="1">
      <alignment horizontal="right"/>
    </xf>
    <xf numFmtId="4" fontId="29" fillId="11" borderId="1" xfId="0" applyNumberFormat="1" applyFont="1" applyFill="1" applyBorder="1" applyAlignment="1">
      <alignment horizontal="right"/>
    </xf>
    <xf numFmtId="0" fontId="10" fillId="0" borderId="1" xfId="0" applyFont="1" applyBorder="1"/>
    <xf numFmtId="0" fontId="11" fillId="0" borderId="1" xfId="0" applyFont="1" applyBorder="1"/>
    <xf numFmtId="0" fontId="10" fillId="13" borderId="1" xfId="0" applyFont="1" applyFill="1" applyBorder="1"/>
    <xf numFmtId="0" fontId="11" fillId="13" borderId="1" xfId="0" applyFont="1" applyFill="1" applyBorder="1"/>
    <xf numFmtId="0" fontId="10" fillId="14" borderId="1" xfId="0" applyFont="1" applyFill="1" applyBorder="1"/>
    <xf numFmtId="0" fontId="11" fillId="14" borderId="1" xfId="0" applyFont="1" applyFill="1" applyBorder="1"/>
    <xf numFmtId="0" fontId="11" fillId="13" borderId="4" xfId="0" applyFont="1" applyFill="1" applyBorder="1"/>
    <xf numFmtId="0" fontId="10" fillId="13" borderId="4" xfId="0" applyFont="1" applyFill="1" applyBorder="1"/>
    <xf numFmtId="0" fontId="21" fillId="13" borderId="4" xfId="0" applyFont="1" applyFill="1" applyBorder="1"/>
    <xf numFmtId="0" fontId="21" fillId="14" borderId="4" xfId="0" applyFont="1" applyFill="1" applyBorder="1"/>
    <xf numFmtId="0" fontId="48" fillId="3" borderId="1" xfId="0" applyFont="1" applyFill="1" applyBorder="1" applyAlignment="1">
      <alignment horizontal="center" vertical="center" wrapText="1"/>
    </xf>
    <xf numFmtId="0" fontId="0" fillId="0" borderId="0" xfId="0"/>
    <xf numFmtId="0" fontId="21" fillId="1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5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5" fillId="0" borderId="0" xfId="0" applyFont="1"/>
    <xf numFmtId="0" fontId="20" fillId="8" borderId="0" xfId="0" applyFont="1" applyFill="1" applyAlignment="1">
      <alignment horizontal="center" wrapText="1"/>
    </xf>
    <xf numFmtId="0" fontId="23" fillId="0" borderId="0" xfId="0" applyFont="1" applyAlignment="1">
      <alignment horizontal="center" wrapText="1"/>
    </xf>
    <xf numFmtId="0" fontId="26" fillId="6" borderId="0" xfId="0" applyFont="1" applyFill="1" applyAlignment="1">
      <alignment horizont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5" fillId="18" borderId="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36" fillId="10" borderId="0" xfId="0" applyFont="1" applyFill="1" applyAlignment="1">
      <alignment horizontal="center" wrapText="1"/>
    </xf>
    <xf numFmtId="0" fontId="45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3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5" fillId="7" borderId="1" xfId="0" applyFont="1" applyFill="1" applyBorder="1"/>
    <xf numFmtId="0" fontId="0" fillId="0" borderId="2" xfId="0" applyBorder="1"/>
    <xf numFmtId="0" fontId="0" fillId="0" borderId="3" xfId="0" applyBorder="1"/>
    <xf numFmtId="0" fontId="16" fillId="8" borderId="1" xfId="0" applyFont="1" applyFill="1" applyBorder="1"/>
    <xf numFmtId="0" fontId="19" fillId="12" borderId="1" xfId="0" applyFont="1" applyFill="1" applyBorder="1"/>
    <xf numFmtId="0" fontId="18" fillId="10" borderId="1" xfId="0" applyFont="1" applyFill="1" applyBorder="1"/>
    <xf numFmtId="0" fontId="4" fillId="11" borderId="1" xfId="0" applyFont="1" applyFill="1" applyBorder="1"/>
    <xf numFmtId="0" fontId="13" fillId="5" borderId="1" xfId="0" applyFont="1" applyFill="1" applyBorder="1"/>
    <xf numFmtId="0" fontId="12" fillId="2" borderId="1" xfId="0" applyFont="1" applyFill="1" applyBorder="1" applyAlignment="1">
      <alignment horizontal="center" vertical="center" wrapText="1"/>
    </xf>
    <xf numFmtId="0" fontId="14" fillId="6" borderId="1" xfId="0" applyFont="1" applyFill="1" applyBorder="1"/>
    <xf numFmtId="0" fontId="17" fillId="9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K10"/>
  <sheetViews>
    <sheetView showGridLines="0" tabSelected="1" workbookViewId="0">
      <selection sqref="A1:K1"/>
    </sheetView>
  </sheetViews>
  <sheetFormatPr defaultRowHeight="15" x14ac:dyDescent="0.25"/>
  <cols>
    <col min="1" max="1" width="3" customWidth="1"/>
    <col min="2" max="2" width="23" customWidth="1"/>
    <col min="3" max="3" width="3" customWidth="1"/>
    <col min="4" max="4" width="23" customWidth="1"/>
    <col min="5" max="5" width="3" customWidth="1"/>
    <col min="6" max="6" width="23" customWidth="1"/>
    <col min="7" max="7" width="3" customWidth="1"/>
    <col min="8" max="8" width="23" customWidth="1"/>
    <col min="9" max="9" width="3" customWidth="1"/>
    <col min="10" max="10" width="23" customWidth="1"/>
    <col min="11" max="11" width="3" customWidth="1"/>
  </cols>
  <sheetData>
    <row r="1" spans="1:11" ht="48" customHeight="1" x14ac:dyDescent="0.25">
      <c r="A1" s="73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4" customHeight="1" x14ac:dyDescent="0.25">
      <c r="A2" s="70" t="str">
        <f ca="1">TEXT(TODAY(),"dddd, mmmm d, yyyy")&amp;"  |  10-Agent  |  Formula-Only  |  Zero VBA  |  "</f>
        <v xml:space="preserve">Saturday, April 25, 2026  |  10-Agent  |  Formula-Only  |  Zero VBA  |  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4" spans="1:11" ht="27.95" customHeight="1" x14ac:dyDescent="0.25">
      <c r="B4" s="1" t="s">
        <v>1</v>
      </c>
      <c r="D4" s="2" t="s">
        <v>2</v>
      </c>
      <c r="F4" s="3" t="s">
        <v>3</v>
      </c>
      <c r="H4" s="4" t="s">
        <v>4</v>
      </c>
      <c r="J4" s="5" t="s">
        <v>5</v>
      </c>
    </row>
    <row r="5" spans="1:11" ht="48" customHeight="1" x14ac:dyDescent="0.25">
      <c r="B5" s="6">
        <f>IFERROR(SUM(DB_Savings!F:F),0)</f>
        <v>0</v>
      </c>
      <c r="D5" s="7">
        <f>IFERROR(SUM(DB_Withdrawals!G:G),0)</f>
        <v>0</v>
      </c>
      <c r="F5" s="8">
        <f>IFERROR(COUNTA(DB_Customers!A:A)-3,0)</f>
        <v>500</v>
      </c>
      <c r="H5" s="9">
        <f>IFERROR(SUM(DB_Loans!E:E),0)</f>
        <v>0</v>
      </c>
      <c r="J5" s="10">
        <f>IFERROR(COUNTA('LOAN TOPUP'!B:B)-4,0)</f>
        <v>-3</v>
      </c>
    </row>
    <row r="6" spans="1:11" ht="27.95" customHeight="1" x14ac:dyDescent="0.25">
      <c r="A6" s="72" t="s">
        <v>6</v>
      </c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ht="30" customHeight="1" x14ac:dyDescent="0.25">
      <c r="B7" s="11" t="s">
        <v>7</v>
      </c>
      <c r="D7" s="11" t="s">
        <v>8</v>
      </c>
      <c r="F7" s="11" t="s">
        <v>9</v>
      </c>
      <c r="H7" s="11" t="s">
        <v>10</v>
      </c>
      <c r="J7" s="11" t="s">
        <v>11</v>
      </c>
    </row>
    <row r="8" spans="1:11" ht="30" customHeight="1" x14ac:dyDescent="0.25">
      <c r="B8" s="11" t="s">
        <v>12</v>
      </c>
      <c r="D8" s="11" t="s">
        <v>13</v>
      </c>
      <c r="F8" s="11" t="s">
        <v>14</v>
      </c>
      <c r="H8" s="11" t="s">
        <v>15</v>
      </c>
      <c r="J8" s="11" t="s">
        <v>16</v>
      </c>
    </row>
    <row r="10" spans="1:11" ht="38.1" customHeight="1" x14ac:dyDescent="0.25">
      <c r="A10" s="74" t="s">
        <v>17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</row>
  </sheetData>
  <mergeCells count="4">
    <mergeCell ref="A2:K2"/>
    <mergeCell ref="A6:K6"/>
    <mergeCell ref="A1:K1"/>
    <mergeCell ref="A10:K10"/>
  </mergeCells>
  <hyperlinks>
    <hyperlink ref="B7" location="'NEW ACCOUNT'!A1" display="📋 NEW ACCOUNT" xr:uid="{00000000-0004-0000-0000-000000000000}"/>
    <hyperlink ref="D7" location="DB_Customers!A1" display="🗄️ DATABASE" xr:uid="{00000000-0004-0000-0000-000001000000}"/>
    <hyperlink ref="F7" location="'🏦 MANAGER DASHBOARD'!A1" display="🏦 MANAGER DASHBOARD" xr:uid="{00000000-0004-0000-0000-000002000000}"/>
    <hyperlink ref="H7" location="REPORTS!A1" display="📊 REPORTS" xr:uid="{00000000-0004-0000-0000-000003000000}"/>
    <hyperlink ref="J7" location="'LOAN TOPUP'!A1" display="🔗 LOAN TOP-UP" xr:uid="{00000000-0004-0000-0000-000004000000}"/>
    <hyperlink ref="B8" location="DB_Savings!A1" display="💰 SAVINGS DB" xr:uid="{00000000-0004-0000-0000-000005000000}"/>
    <hyperlink ref="D8" location="DB_Withdrawals!A1" display="🏧 WITHDRAWALS DB" xr:uid="{00000000-0004-0000-0000-000006000000}"/>
    <hyperlink ref="F8" location="DB_Loans!A1" display="🏦 LOANS DB" xr:uid="{00000000-0004-0000-0000-000007000000}"/>
    <hyperlink ref="H8" location="System_Config!A1" display="⚙️ SYSTEM CONFIG" xr:uid="{00000000-0004-0000-0000-000008000000}"/>
    <hyperlink ref="J8" location="DB_Agents!A1" display="👥 AGENTS DB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E20"/>
  <sheetViews>
    <sheetView showGridLines="0" workbookViewId="0"/>
  </sheetViews>
  <sheetFormatPr defaultRowHeight="15" x14ac:dyDescent="0.25"/>
  <cols>
    <col min="1" max="1" width="10" customWidth="1"/>
    <col min="2" max="2" width="30" customWidth="1"/>
    <col min="3" max="5" width="10" customWidth="1"/>
  </cols>
  <sheetData>
    <row r="1" spans="1:5" ht="44.1" customHeight="1" x14ac:dyDescent="0.25">
      <c r="A1" s="73" t="s">
        <v>18</v>
      </c>
      <c r="B1" s="71"/>
      <c r="C1" s="71"/>
      <c r="D1" s="71"/>
      <c r="E1" s="71"/>
    </row>
    <row r="2" spans="1:5" ht="26.1" customHeight="1" x14ac:dyDescent="0.25">
      <c r="A2" s="78" t="s">
        <v>19</v>
      </c>
      <c r="B2" s="71"/>
      <c r="C2" s="71"/>
      <c r="D2" s="71"/>
      <c r="E2" s="71"/>
    </row>
    <row r="4" spans="1:5" ht="27.95" customHeight="1" x14ac:dyDescent="0.25">
      <c r="A4" s="76" t="s">
        <v>20</v>
      </c>
      <c r="B4" s="71"/>
      <c r="C4" s="71"/>
      <c r="D4" s="71"/>
      <c r="E4" s="71"/>
    </row>
    <row r="6" spans="1:5" x14ac:dyDescent="0.25">
      <c r="A6" s="75" t="s">
        <v>21</v>
      </c>
      <c r="B6" s="71"/>
      <c r="C6" s="71"/>
      <c r="D6" s="71"/>
      <c r="E6" s="71"/>
    </row>
    <row r="7" spans="1:5" ht="16.5" x14ac:dyDescent="0.25">
      <c r="A7" s="79" t="s">
        <v>22</v>
      </c>
      <c r="B7" s="71"/>
      <c r="C7" s="71"/>
      <c r="D7" s="71"/>
      <c r="E7" s="71"/>
    </row>
    <row r="8" spans="1:5" x14ac:dyDescent="0.25">
      <c r="A8" s="75" t="s">
        <v>23</v>
      </c>
      <c r="B8" s="71"/>
      <c r="C8" s="71"/>
      <c r="D8" s="71"/>
      <c r="E8" s="71"/>
    </row>
    <row r="10" spans="1:5" x14ac:dyDescent="0.25">
      <c r="A10" s="75" t="s">
        <v>24</v>
      </c>
      <c r="B10" s="71"/>
      <c r="C10" s="71"/>
      <c r="D10" s="71"/>
      <c r="E10" s="71"/>
    </row>
    <row r="12" spans="1:5" x14ac:dyDescent="0.25">
      <c r="A12" s="75" t="s">
        <v>25</v>
      </c>
      <c r="B12" s="71"/>
      <c r="C12" s="71"/>
      <c r="D12" s="71"/>
      <c r="E12" s="71"/>
    </row>
    <row r="14" spans="1:5" x14ac:dyDescent="0.25">
      <c r="A14" s="75" t="s">
        <v>26</v>
      </c>
      <c r="B14" s="71"/>
      <c r="C14" s="71"/>
      <c r="D14" s="71"/>
      <c r="E14" s="71"/>
    </row>
    <row r="16" spans="1:5" x14ac:dyDescent="0.25">
      <c r="A16" s="75" t="s">
        <v>27</v>
      </c>
      <c r="B16" s="71"/>
      <c r="C16" s="71"/>
      <c r="D16" s="71"/>
      <c r="E16" s="71"/>
    </row>
    <row r="20" spans="1:5" x14ac:dyDescent="0.25">
      <c r="A20" s="77" t="s">
        <v>28</v>
      </c>
      <c r="B20" s="71"/>
      <c r="C20" s="71"/>
      <c r="D20" s="71"/>
      <c r="E20" s="71"/>
    </row>
  </sheetData>
  <mergeCells count="11">
    <mergeCell ref="A1:E1"/>
    <mergeCell ref="A8:E8"/>
    <mergeCell ref="A6:E6"/>
    <mergeCell ref="A12:E12"/>
    <mergeCell ref="A4:E4"/>
    <mergeCell ref="A20:E20"/>
    <mergeCell ref="A2:E2"/>
    <mergeCell ref="A16:E16"/>
    <mergeCell ref="A14:E14"/>
    <mergeCell ref="A7:E7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E24"/>
  <sheetViews>
    <sheetView showGridLines="0" workbookViewId="0"/>
  </sheetViews>
  <sheetFormatPr defaultRowHeight="15" x14ac:dyDescent="0.25"/>
  <cols>
    <col min="1" max="1" width="8" customWidth="1"/>
    <col min="2" max="2" width="30" customWidth="1"/>
    <col min="3" max="5" width="10" customWidth="1"/>
  </cols>
  <sheetData>
    <row r="1" spans="1:5" ht="44.1" customHeight="1" x14ac:dyDescent="0.25">
      <c r="A1" s="73" t="s">
        <v>18</v>
      </c>
      <c r="B1" s="71"/>
      <c r="C1" s="71"/>
      <c r="D1" s="71"/>
      <c r="E1" s="71"/>
    </row>
    <row r="2" spans="1:5" ht="26.1" customHeight="1" x14ac:dyDescent="0.25">
      <c r="A2" s="78" t="s">
        <v>29</v>
      </c>
      <c r="B2" s="71"/>
      <c r="C2" s="71"/>
      <c r="D2" s="71"/>
      <c r="E2" s="71"/>
    </row>
    <row r="4" spans="1:5" ht="27.95" customHeight="1" x14ac:dyDescent="0.25">
      <c r="A4" s="76" t="s">
        <v>30</v>
      </c>
      <c r="B4" s="71"/>
      <c r="C4" s="71"/>
      <c r="D4" s="71"/>
      <c r="E4" s="71"/>
    </row>
    <row r="6" spans="1:5" ht="44.1" customHeight="1" x14ac:dyDescent="0.25">
      <c r="B6" s="80" t="s">
        <v>31</v>
      </c>
      <c r="C6" s="71"/>
      <c r="D6" s="71"/>
      <c r="E6" s="71"/>
    </row>
    <row r="8" spans="1:5" ht="44.1" customHeight="1" x14ac:dyDescent="0.25">
      <c r="B8" s="80" t="s">
        <v>32</v>
      </c>
      <c r="C8" s="71"/>
      <c r="D8" s="71"/>
      <c r="E8" s="71"/>
    </row>
    <row r="10" spans="1:5" ht="44.1" customHeight="1" x14ac:dyDescent="0.25">
      <c r="B10" s="80" t="s">
        <v>33</v>
      </c>
      <c r="C10" s="71"/>
      <c r="D10" s="71"/>
      <c r="E10" s="71"/>
    </row>
    <row r="12" spans="1:5" ht="44.1" customHeight="1" x14ac:dyDescent="0.25">
      <c r="B12" s="80" t="s">
        <v>34</v>
      </c>
      <c r="C12" s="71"/>
      <c r="D12" s="71"/>
      <c r="E12" s="71"/>
    </row>
    <row r="14" spans="1:5" ht="44.1" customHeight="1" x14ac:dyDescent="0.25">
      <c r="B14" s="80" t="s">
        <v>35</v>
      </c>
      <c r="C14" s="71"/>
      <c r="D14" s="71"/>
      <c r="E14" s="71"/>
    </row>
    <row r="16" spans="1:5" ht="44.1" customHeight="1" x14ac:dyDescent="0.25">
      <c r="B16" s="80" t="s">
        <v>36</v>
      </c>
      <c r="C16" s="71"/>
      <c r="D16" s="71"/>
      <c r="E16" s="71"/>
    </row>
    <row r="18" spans="1:5" ht="26.1" customHeight="1" x14ac:dyDescent="0.25">
      <c r="A18" s="83" t="s">
        <v>37</v>
      </c>
      <c r="B18" s="71"/>
      <c r="C18" s="71"/>
      <c r="D18" s="71"/>
      <c r="E18" s="71"/>
    </row>
    <row r="20" spans="1:5" ht="15.75" x14ac:dyDescent="0.25">
      <c r="B20" s="82" t="s">
        <v>38</v>
      </c>
      <c r="C20" s="71"/>
      <c r="D20" s="71"/>
      <c r="E20" s="71"/>
    </row>
    <row r="22" spans="1:5" x14ac:dyDescent="0.25">
      <c r="B22" s="84" t="s">
        <v>39</v>
      </c>
      <c r="C22" s="71"/>
      <c r="D22" s="71"/>
      <c r="E22" s="71"/>
    </row>
    <row r="24" spans="1:5" ht="18" x14ac:dyDescent="0.25">
      <c r="A24" s="81" t="s">
        <v>40</v>
      </c>
      <c r="B24" s="71"/>
      <c r="C24" s="71"/>
      <c r="D24" s="71"/>
      <c r="E24" s="71"/>
    </row>
  </sheetData>
  <mergeCells count="13">
    <mergeCell ref="A1:E1"/>
    <mergeCell ref="B20:E20"/>
    <mergeCell ref="B10:E10"/>
    <mergeCell ref="A18:E18"/>
    <mergeCell ref="B22:E22"/>
    <mergeCell ref="B14:E14"/>
    <mergeCell ref="A4:E4"/>
    <mergeCell ref="B8:E8"/>
    <mergeCell ref="A24:E24"/>
    <mergeCell ref="A2:E2"/>
    <mergeCell ref="B12:E12"/>
    <mergeCell ref="B6:E6"/>
    <mergeCell ref="B16: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N19"/>
  <sheetViews>
    <sheetView showGridLines="0" workbookViewId="0"/>
  </sheetViews>
  <sheetFormatPr defaultRowHeight="15" x14ac:dyDescent="0.25"/>
  <cols>
    <col min="1" max="1" width="3" customWidth="1"/>
    <col min="2" max="2" width="16" customWidth="1"/>
    <col min="3" max="4" width="18" customWidth="1"/>
    <col min="5" max="5" width="13" customWidth="1"/>
    <col min="6" max="6" width="15" customWidth="1"/>
    <col min="7" max="8" width="18" customWidth="1"/>
    <col min="9" max="9" width="10" customWidth="1"/>
    <col min="10" max="10" width="14" customWidth="1"/>
  </cols>
  <sheetData>
    <row r="1" spans="1:14" ht="44.1" customHeight="1" x14ac:dyDescent="0.25">
      <c r="A1" s="87" t="s">
        <v>41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21.95" customHeight="1" x14ac:dyDescent="0.25">
      <c r="A2" s="86" t="str">
        <f ca="1">UPPER(TEXT(TODAY(),"DDDD, DD MMMM YYYY"))&amp;"  |  10 Agents  |  Real-Time  |  Formula Engine  |  Zero VBA"</f>
        <v>SATURDAY, 25 APRIL 2026  |  10 Agents  |  Real-Time  |  Formula Engine  |  Zero VBA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4" spans="1:14" ht="27.95" customHeight="1" x14ac:dyDescent="0.25">
      <c r="B4" s="1" t="s">
        <v>1</v>
      </c>
      <c r="D4" s="2" t="s">
        <v>2</v>
      </c>
      <c r="F4" s="4" t="s">
        <v>42</v>
      </c>
      <c r="H4" s="3" t="s">
        <v>3</v>
      </c>
      <c r="J4" s="5" t="s">
        <v>4</v>
      </c>
      <c r="L4" s="12" t="s">
        <v>43</v>
      </c>
    </row>
    <row r="5" spans="1:14" ht="48" customHeight="1" x14ac:dyDescent="0.25">
      <c r="B5" s="13">
        <f>IFERROR(SUM(DB_Savings!$F:$F),0)</f>
        <v>0</v>
      </c>
      <c r="D5" s="14">
        <f>IFERROR(SUM(DB_Withdrawals!$G:$G),0)</f>
        <v>0</v>
      </c>
      <c r="F5" s="15">
        <f>B5-D5</f>
        <v>0</v>
      </c>
      <c r="H5" s="16">
        <f>IFERROR(COUNTA(DB_Customers!A:A)-3,0)</f>
        <v>500</v>
      </c>
      <c r="J5" s="17">
        <f>IFERROR(SUM(DB_Loans!$E:$E),0)</f>
        <v>0</v>
      </c>
      <c r="L5" s="18">
        <f>IFERROR(COUNTA('LOAN TOPUP'!B:B)-4,0)</f>
        <v>-3</v>
      </c>
    </row>
    <row r="7" spans="1:14" ht="26.1" customHeight="1" x14ac:dyDescent="0.25">
      <c r="A7" s="85" t="s">
        <v>44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</row>
    <row r="8" spans="1:14" ht="30" customHeight="1" x14ac:dyDescent="0.25">
      <c r="A8" s="19" t="s">
        <v>45</v>
      </c>
      <c r="B8" s="19" t="s">
        <v>46</v>
      </c>
      <c r="C8" s="19" t="s">
        <v>47</v>
      </c>
      <c r="D8" s="19" t="s">
        <v>48</v>
      </c>
      <c r="E8" s="19" t="s">
        <v>49</v>
      </c>
      <c r="F8" s="19" t="s">
        <v>50</v>
      </c>
      <c r="G8" s="19" t="s">
        <v>51</v>
      </c>
      <c r="H8" s="19" t="s">
        <v>52</v>
      </c>
      <c r="I8" s="19" t="s">
        <v>53</v>
      </c>
    </row>
    <row r="9" spans="1:14" x14ac:dyDescent="0.25">
      <c r="A9" s="20" t="s">
        <v>54</v>
      </c>
      <c r="B9" s="21">
        <f ca="1">IFERROR(SUMIFS(DB_Savings!$F:$F,DB_Savings!$D:$D,"Agent 01",DB_Savings!$E:$E,TODAY()),0)</f>
        <v>0</v>
      </c>
      <c r="C9" s="21">
        <f ca="1">IFERROR(SUMIFS(DB_Withdrawals!$G:$G,DB_Withdrawals!$I:$I,"Agent 01",DB_Withdrawals!$E:$E,TODAY()),0)</f>
        <v>0</v>
      </c>
      <c r="D9" s="21">
        <f t="shared" ref="D9:D18" ca="1" si="0">B9-C9</f>
        <v>0</v>
      </c>
      <c r="E9" s="22">
        <f ca="1">IFERROR(COUNTIFS(DB_Savings!$D:$D,"Agent 01",DB_Savings!$E:$E,TODAY()),0)</f>
        <v>0</v>
      </c>
      <c r="F9" s="21">
        <f>IFERROR(SUMIF(DB_Savings!$D:$D,"Agent 01",DB_Savings!$F:$F),0)</f>
        <v>0</v>
      </c>
      <c r="G9" s="22">
        <f>IFERROR(COUNTIF(DB_Customers!$G:$G,"Agent 01"),0)</f>
        <v>0</v>
      </c>
      <c r="H9" s="22">
        <v>5000</v>
      </c>
      <c r="I9" s="23">
        <f t="shared" ref="I9:I19" ca="1" si="1">IFERROR(B9/H9,0)</f>
        <v>0</v>
      </c>
    </row>
    <row r="10" spans="1:14" x14ac:dyDescent="0.25">
      <c r="A10" s="24" t="s">
        <v>55</v>
      </c>
      <c r="B10" s="25">
        <f ca="1">IFERROR(SUMIFS(DB_Savings!$F:$F,DB_Savings!$D:$D,"Agent 02",DB_Savings!$E:$E,TODAY()),0)</f>
        <v>0</v>
      </c>
      <c r="C10" s="25">
        <f ca="1">IFERROR(SUMIFS(DB_Withdrawals!$G:$G,DB_Withdrawals!$I:$I,"Agent 02",DB_Withdrawals!$E:$E,TODAY()),0)</f>
        <v>0</v>
      </c>
      <c r="D10" s="25">
        <f t="shared" ca="1" si="0"/>
        <v>0</v>
      </c>
      <c r="E10" s="26">
        <f ca="1">IFERROR(COUNTIFS(DB_Savings!$D:$D,"Agent 02",DB_Savings!$E:$E,TODAY()),0)</f>
        <v>0</v>
      </c>
      <c r="F10" s="25">
        <f>IFERROR(SUMIF(DB_Savings!$D:$D,"Agent 02",DB_Savings!$F:$F),0)</f>
        <v>0</v>
      </c>
      <c r="G10" s="26">
        <f>IFERROR(COUNTIF(DB_Customers!$G:$G,"Agent 02"),0)</f>
        <v>0</v>
      </c>
      <c r="H10" s="26">
        <v>5000</v>
      </c>
      <c r="I10" s="27">
        <f t="shared" ca="1" si="1"/>
        <v>0</v>
      </c>
    </row>
    <row r="11" spans="1:14" x14ac:dyDescent="0.25">
      <c r="A11" s="20" t="s">
        <v>56</v>
      </c>
      <c r="B11" s="21">
        <f ca="1">IFERROR(SUMIFS(DB_Savings!$F:$F,DB_Savings!$D:$D,"Agent 03",DB_Savings!$E:$E,TODAY()),0)</f>
        <v>0</v>
      </c>
      <c r="C11" s="21">
        <f ca="1">IFERROR(SUMIFS(DB_Withdrawals!$G:$G,DB_Withdrawals!$I:$I,"Agent 03",DB_Withdrawals!$E:$E,TODAY()),0)</f>
        <v>0</v>
      </c>
      <c r="D11" s="21">
        <f t="shared" ca="1" si="0"/>
        <v>0</v>
      </c>
      <c r="E11" s="22">
        <f ca="1">IFERROR(COUNTIFS(DB_Savings!$D:$D,"Agent 03",DB_Savings!$E:$E,TODAY()),0)</f>
        <v>0</v>
      </c>
      <c r="F11" s="21">
        <f>IFERROR(SUMIF(DB_Savings!$D:$D,"Agent 03",DB_Savings!$F:$F),0)</f>
        <v>0</v>
      </c>
      <c r="G11" s="22">
        <f>IFERROR(COUNTIF(DB_Customers!$G:$G,"Agent 03"),0)</f>
        <v>0</v>
      </c>
      <c r="H11" s="22">
        <v>5000</v>
      </c>
      <c r="I11" s="23">
        <f t="shared" ca="1" si="1"/>
        <v>0</v>
      </c>
    </row>
    <row r="12" spans="1:14" x14ac:dyDescent="0.25">
      <c r="A12" s="24" t="s">
        <v>57</v>
      </c>
      <c r="B12" s="25">
        <f ca="1">IFERROR(SUMIFS(DB_Savings!$F:$F,DB_Savings!$D:$D,"Agent 04",DB_Savings!$E:$E,TODAY()),0)</f>
        <v>0</v>
      </c>
      <c r="C12" s="25">
        <f ca="1">IFERROR(SUMIFS(DB_Withdrawals!$G:$G,DB_Withdrawals!$I:$I,"Agent 04",DB_Withdrawals!$E:$E,TODAY()),0)</f>
        <v>0</v>
      </c>
      <c r="D12" s="25">
        <f t="shared" ca="1" si="0"/>
        <v>0</v>
      </c>
      <c r="E12" s="26">
        <f ca="1">IFERROR(COUNTIFS(DB_Savings!$D:$D,"Agent 04",DB_Savings!$E:$E,TODAY()),0)</f>
        <v>0</v>
      </c>
      <c r="F12" s="25">
        <f>IFERROR(SUMIF(DB_Savings!$D:$D,"Agent 04",DB_Savings!$F:$F),0)</f>
        <v>0</v>
      </c>
      <c r="G12" s="26">
        <f>IFERROR(COUNTIF(DB_Customers!$G:$G,"Agent 04"),0)</f>
        <v>0</v>
      </c>
      <c r="H12" s="26">
        <v>5000</v>
      </c>
      <c r="I12" s="27">
        <f t="shared" ca="1" si="1"/>
        <v>0</v>
      </c>
    </row>
    <row r="13" spans="1:14" x14ac:dyDescent="0.25">
      <c r="A13" s="20" t="s">
        <v>58</v>
      </c>
      <c r="B13" s="21">
        <f ca="1">IFERROR(SUMIFS(DB_Savings!$F:$F,DB_Savings!$D:$D,"Agent 05",DB_Savings!$E:$E,TODAY()),0)</f>
        <v>0</v>
      </c>
      <c r="C13" s="21">
        <f ca="1">IFERROR(SUMIFS(DB_Withdrawals!$G:$G,DB_Withdrawals!$I:$I,"Agent 05",DB_Withdrawals!$E:$E,TODAY()),0)</f>
        <v>0</v>
      </c>
      <c r="D13" s="21">
        <f t="shared" ca="1" si="0"/>
        <v>0</v>
      </c>
      <c r="E13" s="22">
        <f ca="1">IFERROR(COUNTIFS(DB_Savings!$D:$D,"Agent 05",DB_Savings!$E:$E,TODAY()),0)</f>
        <v>0</v>
      </c>
      <c r="F13" s="21">
        <f>IFERROR(SUMIF(DB_Savings!$D:$D,"Agent 05",DB_Savings!$F:$F),0)</f>
        <v>0</v>
      </c>
      <c r="G13" s="22">
        <f>IFERROR(COUNTIF(DB_Customers!$G:$G,"Agent 05"),0)</f>
        <v>0</v>
      </c>
      <c r="H13" s="22">
        <v>5000</v>
      </c>
      <c r="I13" s="23">
        <f t="shared" ca="1" si="1"/>
        <v>0</v>
      </c>
    </row>
    <row r="14" spans="1:14" x14ac:dyDescent="0.25">
      <c r="A14" s="24" t="s">
        <v>59</v>
      </c>
      <c r="B14" s="25">
        <f ca="1">IFERROR(SUMIFS(DB_Savings!$F:$F,DB_Savings!$D:$D,"Agent 06",DB_Savings!$E:$E,TODAY()),0)</f>
        <v>0</v>
      </c>
      <c r="C14" s="25">
        <f ca="1">IFERROR(SUMIFS(DB_Withdrawals!$G:$G,DB_Withdrawals!$I:$I,"Agent 06",DB_Withdrawals!$E:$E,TODAY()),0)</f>
        <v>0</v>
      </c>
      <c r="D14" s="25">
        <f t="shared" ca="1" si="0"/>
        <v>0</v>
      </c>
      <c r="E14" s="26">
        <f ca="1">IFERROR(COUNTIFS(DB_Savings!$D:$D,"Agent 06",DB_Savings!$E:$E,TODAY()),0)</f>
        <v>0</v>
      </c>
      <c r="F14" s="25">
        <f>IFERROR(SUMIF(DB_Savings!$D:$D,"Agent 06",DB_Savings!$F:$F),0)</f>
        <v>0</v>
      </c>
      <c r="G14" s="26">
        <f>IFERROR(COUNTIF(DB_Customers!$G:$G,"Agent 06"),0)</f>
        <v>0</v>
      </c>
      <c r="H14" s="26">
        <v>5000</v>
      </c>
      <c r="I14" s="27">
        <f t="shared" ca="1" si="1"/>
        <v>0</v>
      </c>
    </row>
    <row r="15" spans="1:14" x14ac:dyDescent="0.25">
      <c r="A15" s="20" t="s">
        <v>60</v>
      </c>
      <c r="B15" s="21">
        <f ca="1">IFERROR(SUMIFS(DB_Savings!$F:$F,DB_Savings!$D:$D,"Agent 07",DB_Savings!$E:$E,TODAY()),0)</f>
        <v>0</v>
      </c>
      <c r="C15" s="21">
        <f ca="1">IFERROR(SUMIFS(DB_Withdrawals!$G:$G,DB_Withdrawals!$I:$I,"Agent 07",DB_Withdrawals!$E:$E,TODAY()),0)</f>
        <v>0</v>
      </c>
      <c r="D15" s="21">
        <f t="shared" ca="1" si="0"/>
        <v>0</v>
      </c>
      <c r="E15" s="22">
        <f ca="1">IFERROR(COUNTIFS(DB_Savings!$D:$D,"Agent 07",DB_Savings!$E:$E,TODAY()),0)</f>
        <v>0</v>
      </c>
      <c r="F15" s="21">
        <f>IFERROR(SUMIF(DB_Savings!$D:$D,"Agent 07",DB_Savings!$F:$F),0)</f>
        <v>0</v>
      </c>
      <c r="G15" s="22">
        <f>IFERROR(COUNTIF(DB_Customers!$G:$G,"Agent 07"),0)</f>
        <v>0</v>
      </c>
      <c r="H15" s="22">
        <v>5000</v>
      </c>
      <c r="I15" s="23">
        <f t="shared" ca="1" si="1"/>
        <v>0</v>
      </c>
    </row>
    <row r="16" spans="1:14" x14ac:dyDescent="0.25">
      <c r="A16" s="24" t="s">
        <v>61</v>
      </c>
      <c r="B16" s="25">
        <f ca="1">IFERROR(SUMIFS(DB_Savings!$F:$F,DB_Savings!$D:$D,"Agent 08",DB_Savings!$E:$E,TODAY()),0)</f>
        <v>0</v>
      </c>
      <c r="C16" s="25">
        <f ca="1">IFERROR(SUMIFS(DB_Withdrawals!$G:$G,DB_Withdrawals!$I:$I,"Agent 08",DB_Withdrawals!$E:$E,TODAY()),0)</f>
        <v>0</v>
      </c>
      <c r="D16" s="25">
        <f t="shared" ca="1" si="0"/>
        <v>0</v>
      </c>
      <c r="E16" s="26">
        <f ca="1">IFERROR(COUNTIFS(DB_Savings!$D:$D,"Agent 08",DB_Savings!$E:$E,TODAY()),0)</f>
        <v>0</v>
      </c>
      <c r="F16" s="25">
        <f>IFERROR(SUMIF(DB_Savings!$D:$D,"Agent 08",DB_Savings!$F:$F),0)</f>
        <v>0</v>
      </c>
      <c r="G16" s="26">
        <f>IFERROR(COUNTIF(DB_Customers!$G:$G,"Agent 08"),0)</f>
        <v>0</v>
      </c>
      <c r="H16" s="26">
        <v>5000</v>
      </c>
      <c r="I16" s="27">
        <f t="shared" ca="1" si="1"/>
        <v>0</v>
      </c>
    </row>
    <row r="17" spans="1:9" x14ac:dyDescent="0.25">
      <c r="A17" s="20" t="s">
        <v>62</v>
      </c>
      <c r="B17" s="21">
        <f ca="1">IFERROR(SUMIFS(DB_Savings!$F:$F,DB_Savings!$D:$D,"Agent 09",DB_Savings!$E:$E,TODAY()),0)</f>
        <v>0</v>
      </c>
      <c r="C17" s="21">
        <f ca="1">IFERROR(SUMIFS(DB_Withdrawals!$G:$G,DB_Withdrawals!$I:$I,"Agent 09",DB_Withdrawals!$E:$E,TODAY()),0)</f>
        <v>0</v>
      </c>
      <c r="D17" s="21">
        <f t="shared" ca="1" si="0"/>
        <v>0</v>
      </c>
      <c r="E17" s="22">
        <f ca="1">IFERROR(COUNTIFS(DB_Savings!$D:$D,"Agent 09",DB_Savings!$E:$E,TODAY()),0)</f>
        <v>0</v>
      </c>
      <c r="F17" s="21">
        <f>IFERROR(SUMIF(DB_Savings!$D:$D,"Agent 09",DB_Savings!$F:$F),0)</f>
        <v>0</v>
      </c>
      <c r="G17" s="22">
        <f>IFERROR(COUNTIF(DB_Customers!$G:$G,"Agent 09"),0)</f>
        <v>0</v>
      </c>
      <c r="H17" s="22">
        <v>5000</v>
      </c>
      <c r="I17" s="23">
        <f t="shared" ca="1" si="1"/>
        <v>0</v>
      </c>
    </row>
    <row r="18" spans="1:9" x14ac:dyDescent="0.25">
      <c r="A18" s="24" t="s">
        <v>63</v>
      </c>
      <c r="B18" s="25">
        <f ca="1">IFERROR(SUMIFS(DB_Savings!$F:$F,DB_Savings!$D:$D,"Agent 10",DB_Savings!$E:$E,TODAY()),0)</f>
        <v>0</v>
      </c>
      <c r="C18" s="25">
        <f ca="1">IFERROR(SUMIFS(DB_Withdrawals!$G:$G,DB_Withdrawals!$I:$I,"Agent 10",DB_Withdrawals!$E:$E,TODAY()),0)</f>
        <v>0</v>
      </c>
      <c r="D18" s="25">
        <f t="shared" ca="1" si="0"/>
        <v>0</v>
      </c>
      <c r="E18" s="26">
        <f ca="1">IFERROR(COUNTIFS(DB_Savings!$D:$D,"Agent 10",DB_Savings!$E:$E,TODAY()),0)</f>
        <v>0</v>
      </c>
      <c r="F18" s="25">
        <f>IFERROR(SUMIF(DB_Savings!$D:$D,"Agent 10",DB_Savings!$F:$F),0)</f>
        <v>0</v>
      </c>
      <c r="G18" s="26">
        <f>IFERROR(COUNTIF(DB_Customers!$G:$G,"Agent 10"),0)</f>
        <v>0</v>
      </c>
      <c r="H18" s="26">
        <v>5000</v>
      </c>
      <c r="I18" s="27">
        <f t="shared" ca="1" si="1"/>
        <v>0</v>
      </c>
    </row>
    <row r="19" spans="1:9" ht="76.5" x14ac:dyDescent="0.25">
      <c r="A19" s="19" t="s">
        <v>64</v>
      </c>
      <c r="B19" s="28">
        <f t="shared" ref="B19:H19" ca="1" si="2">SUM(B9:B18)</f>
        <v>0</v>
      </c>
      <c r="C19" s="28">
        <f t="shared" ca="1" si="2"/>
        <v>0</v>
      </c>
      <c r="D19" s="28">
        <f t="shared" ca="1" si="2"/>
        <v>0</v>
      </c>
      <c r="E19" s="19">
        <f t="shared" ca="1" si="2"/>
        <v>0</v>
      </c>
      <c r="F19" s="28">
        <f t="shared" si="2"/>
        <v>0</v>
      </c>
      <c r="G19" s="19">
        <f t="shared" si="2"/>
        <v>0</v>
      </c>
      <c r="H19" s="19">
        <f t="shared" si="2"/>
        <v>50000</v>
      </c>
      <c r="I19" s="29">
        <f t="shared" ca="1" si="1"/>
        <v>0</v>
      </c>
    </row>
  </sheetData>
  <mergeCells count="3">
    <mergeCell ref="A7:N7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J506"/>
  <sheetViews>
    <sheetView showGridLines="0" workbookViewId="0"/>
  </sheetViews>
  <sheetFormatPr defaultRowHeight="15" x14ac:dyDescent="0.25"/>
  <cols>
    <col min="1" max="1" width="18" customWidth="1"/>
    <col min="2" max="2" width="28" customWidth="1"/>
    <col min="3" max="4" width="16" customWidth="1"/>
    <col min="5" max="5" width="18" customWidth="1"/>
    <col min="6" max="6" width="20" customWidth="1"/>
    <col min="7" max="8" width="22" customWidth="1"/>
    <col min="9" max="9" width="18" customWidth="1"/>
    <col min="10" max="10" width="22" customWidth="1"/>
  </cols>
  <sheetData>
    <row r="1" spans="1:10" ht="36" customHeight="1" x14ac:dyDescent="0.25">
      <c r="A1" s="88" t="s">
        <v>65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30" customHeight="1" x14ac:dyDescent="0.25">
      <c r="A2" s="91" t="s">
        <v>66</v>
      </c>
      <c r="B2" s="71"/>
      <c r="C2" s="71"/>
      <c r="D2" s="71"/>
      <c r="E2" s="71"/>
      <c r="F2" s="71"/>
      <c r="G2" s="71"/>
      <c r="H2" s="71"/>
      <c r="I2" s="71"/>
      <c r="J2" s="71"/>
    </row>
    <row r="3" spans="1:10" ht="21.95" customHeight="1" x14ac:dyDescent="0.25">
      <c r="A3" s="90" t="s">
        <v>67</v>
      </c>
      <c r="B3" s="71"/>
      <c r="C3" s="71"/>
      <c r="D3" s="71"/>
      <c r="E3" s="71"/>
      <c r="F3" s="71"/>
      <c r="G3" s="71"/>
      <c r="H3" s="71"/>
      <c r="I3" s="71"/>
      <c r="J3" s="71"/>
    </row>
    <row r="4" spans="1:10" ht="30" customHeight="1" x14ac:dyDescent="0.25">
      <c r="A4" s="11" t="s">
        <v>68</v>
      </c>
      <c r="B4" s="11" t="s">
        <v>69</v>
      </c>
      <c r="C4" s="11" t="s">
        <v>70</v>
      </c>
      <c r="D4" s="11" t="s">
        <v>71</v>
      </c>
      <c r="E4" s="11" t="s">
        <v>72</v>
      </c>
      <c r="F4" s="11" t="s">
        <v>73</v>
      </c>
      <c r="G4" s="11" t="s">
        <v>74</v>
      </c>
      <c r="H4" s="11" t="s">
        <v>75</v>
      </c>
      <c r="I4" s="11" t="s">
        <v>76</v>
      </c>
      <c r="J4" s="11" t="s">
        <v>77</v>
      </c>
    </row>
    <row r="5" spans="1:10" ht="20.100000000000001" customHeight="1" x14ac:dyDescent="0.25">
      <c r="A5" s="30" t="str">
        <f t="shared" ref="A5:A68" si="0">IF(B5="","","ACC"&amp;TEXT(ROW()-4,"0000"))</f>
        <v/>
      </c>
      <c r="B5" s="31"/>
      <c r="C5" s="31"/>
      <c r="D5" s="31"/>
      <c r="E5" s="31"/>
      <c r="F5" s="31"/>
      <c r="G5" s="31"/>
      <c r="H5" s="32"/>
      <c r="I5" s="33" t="str">
        <f t="shared" ref="I5:I68" ca="1" si="1">IF(B5="","",TEXT(TODAY(),"dd/mm/yyyy"))</f>
        <v/>
      </c>
      <c r="J5" s="33" t="str">
        <f t="shared" ref="J5:J68" si="2">IF(B5="","",IF(ISNUMBER(H5),IF(H5&gt;=10,"✅ Active","⚠️ Below Min Balance"),"Pending"))</f>
        <v/>
      </c>
    </row>
    <row r="6" spans="1:10" ht="20.100000000000001" customHeight="1" x14ac:dyDescent="0.25">
      <c r="A6" s="30" t="str">
        <f t="shared" si="0"/>
        <v/>
      </c>
      <c r="B6" s="31"/>
      <c r="C6" s="31"/>
      <c r="D6" s="31"/>
      <c r="E6" s="31"/>
      <c r="F6" s="31"/>
      <c r="G6" s="31"/>
      <c r="H6" s="32"/>
      <c r="I6" s="33" t="str">
        <f t="shared" ca="1" si="1"/>
        <v/>
      </c>
      <c r="J6" s="33" t="str">
        <f t="shared" si="2"/>
        <v/>
      </c>
    </row>
    <row r="7" spans="1:10" ht="20.100000000000001" customHeight="1" x14ac:dyDescent="0.25">
      <c r="A7" s="30" t="str">
        <f t="shared" si="0"/>
        <v/>
      </c>
      <c r="B7" s="31"/>
      <c r="C7" s="31"/>
      <c r="D7" s="31"/>
      <c r="E7" s="31"/>
      <c r="F7" s="31"/>
      <c r="G7" s="31"/>
      <c r="H7" s="32"/>
      <c r="I7" s="33" t="str">
        <f t="shared" ca="1" si="1"/>
        <v/>
      </c>
      <c r="J7" s="33" t="str">
        <f t="shared" si="2"/>
        <v/>
      </c>
    </row>
    <row r="8" spans="1:10" ht="20.100000000000001" customHeight="1" x14ac:dyDescent="0.25">
      <c r="A8" s="30" t="str">
        <f t="shared" si="0"/>
        <v/>
      </c>
      <c r="B8" s="31"/>
      <c r="C8" s="31"/>
      <c r="D8" s="31"/>
      <c r="E8" s="31"/>
      <c r="F8" s="31"/>
      <c r="G8" s="31"/>
      <c r="H8" s="32"/>
      <c r="I8" s="33" t="str">
        <f t="shared" ca="1" si="1"/>
        <v/>
      </c>
      <c r="J8" s="33" t="str">
        <f t="shared" si="2"/>
        <v/>
      </c>
    </row>
    <row r="9" spans="1:10" ht="20.100000000000001" customHeight="1" x14ac:dyDescent="0.25">
      <c r="A9" s="30" t="str">
        <f t="shared" si="0"/>
        <v/>
      </c>
      <c r="B9" s="31"/>
      <c r="C9" s="31"/>
      <c r="D9" s="31"/>
      <c r="E9" s="31"/>
      <c r="F9" s="31"/>
      <c r="G9" s="31"/>
      <c r="H9" s="32"/>
      <c r="I9" s="33" t="str">
        <f t="shared" ca="1" si="1"/>
        <v/>
      </c>
      <c r="J9" s="33" t="str">
        <f t="shared" si="2"/>
        <v/>
      </c>
    </row>
    <row r="10" spans="1:10" ht="20.100000000000001" customHeight="1" x14ac:dyDescent="0.25">
      <c r="A10" s="30" t="str">
        <f t="shared" si="0"/>
        <v/>
      </c>
      <c r="B10" s="31"/>
      <c r="C10" s="31"/>
      <c r="D10" s="31"/>
      <c r="E10" s="31"/>
      <c r="F10" s="31"/>
      <c r="G10" s="31"/>
      <c r="H10" s="32"/>
      <c r="I10" s="33" t="str">
        <f t="shared" ca="1" si="1"/>
        <v/>
      </c>
      <c r="J10" s="33" t="str">
        <f t="shared" si="2"/>
        <v/>
      </c>
    </row>
    <row r="11" spans="1:10" ht="20.100000000000001" customHeight="1" x14ac:dyDescent="0.25">
      <c r="A11" s="30" t="str">
        <f t="shared" si="0"/>
        <v/>
      </c>
      <c r="B11" s="31"/>
      <c r="C11" s="31"/>
      <c r="D11" s="31"/>
      <c r="E11" s="31"/>
      <c r="F11" s="31"/>
      <c r="G11" s="31"/>
      <c r="H11" s="32"/>
      <c r="I11" s="33" t="str">
        <f t="shared" ca="1" si="1"/>
        <v/>
      </c>
      <c r="J11" s="33" t="str">
        <f t="shared" si="2"/>
        <v/>
      </c>
    </row>
    <row r="12" spans="1:10" ht="20.100000000000001" customHeight="1" x14ac:dyDescent="0.25">
      <c r="A12" s="30" t="str">
        <f t="shared" si="0"/>
        <v/>
      </c>
      <c r="B12" s="31"/>
      <c r="C12" s="31"/>
      <c r="D12" s="31"/>
      <c r="E12" s="31"/>
      <c r="F12" s="31"/>
      <c r="G12" s="31"/>
      <c r="H12" s="32"/>
      <c r="I12" s="33" t="str">
        <f t="shared" ca="1" si="1"/>
        <v/>
      </c>
      <c r="J12" s="33" t="str">
        <f t="shared" si="2"/>
        <v/>
      </c>
    </row>
    <row r="13" spans="1:10" ht="20.100000000000001" customHeight="1" x14ac:dyDescent="0.25">
      <c r="A13" s="30" t="str">
        <f t="shared" si="0"/>
        <v/>
      </c>
      <c r="B13" s="31"/>
      <c r="C13" s="31"/>
      <c r="D13" s="31"/>
      <c r="E13" s="31"/>
      <c r="F13" s="31"/>
      <c r="G13" s="31"/>
      <c r="H13" s="32"/>
      <c r="I13" s="33" t="str">
        <f t="shared" ca="1" si="1"/>
        <v/>
      </c>
      <c r="J13" s="33" t="str">
        <f t="shared" si="2"/>
        <v/>
      </c>
    </row>
    <row r="14" spans="1:10" ht="20.100000000000001" customHeight="1" x14ac:dyDescent="0.25">
      <c r="A14" s="30" t="str">
        <f t="shared" si="0"/>
        <v/>
      </c>
      <c r="B14" s="31"/>
      <c r="C14" s="31"/>
      <c r="D14" s="31"/>
      <c r="E14" s="31"/>
      <c r="F14" s="31"/>
      <c r="G14" s="31"/>
      <c r="H14" s="32"/>
      <c r="I14" s="33" t="str">
        <f t="shared" ca="1" si="1"/>
        <v/>
      </c>
      <c r="J14" s="33" t="str">
        <f t="shared" si="2"/>
        <v/>
      </c>
    </row>
    <row r="15" spans="1:10" ht="20.100000000000001" customHeight="1" x14ac:dyDescent="0.25">
      <c r="A15" s="30" t="str">
        <f t="shared" si="0"/>
        <v/>
      </c>
      <c r="B15" s="31"/>
      <c r="C15" s="31"/>
      <c r="D15" s="31"/>
      <c r="E15" s="31"/>
      <c r="F15" s="31"/>
      <c r="G15" s="31"/>
      <c r="H15" s="32"/>
      <c r="I15" s="33" t="str">
        <f t="shared" ca="1" si="1"/>
        <v/>
      </c>
      <c r="J15" s="33" t="str">
        <f t="shared" si="2"/>
        <v/>
      </c>
    </row>
    <row r="16" spans="1:10" ht="20.100000000000001" customHeight="1" x14ac:dyDescent="0.25">
      <c r="A16" s="30" t="str">
        <f t="shared" si="0"/>
        <v/>
      </c>
      <c r="B16" s="31"/>
      <c r="C16" s="31"/>
      <c r="D16" s="31"/>
      <c r="E16" s="31"/>
      <c r="F16" s="31"/>
      <c r="G16" s="31"/>
      <c r="H16" s="32"/>
      <c r="I16" s="33" t="str">
        <f t="shared" ca="1" si="1"/>
        <v/>
      </c>
      <c r="J16" s="33" t="str">
        <f t="shared" si="2"/>
        <v/>
      </c>
    </row>
    <row r="17" spans="1:10" ht="20.100000000000001" customHeight="1" x14ac:dyDescent="0.25">
      <c r="A17" s="30" t="str">
        <f t="shared" si="0"/>
        <v/>
      </c>
      <c r="B17" s="31"/>
      <c r="C17" s="31"/>
      <c r="D17" s="31"/>
      <c r="E17" s="31"/>
      <c r="F17" s="31"/>
      <c r="G17" s="31"/>
      <c r="H17" s="32"/>
      <c r="I17" s="33" t="str">
        <f t="shared" ca="1" si="1"/>
        <v/>
      </c>
      <c r="J17" s="33" t="str">
        <f t="shared" si="2"/>
        <v/>
      </c>
    </row>
    <row r="18" spans="1:10" ht="20.100000000000001" customHeight="1" x14ac:dyDescent="0.25">
      <c r="A18" s="30" t="str">
        <f t="shared" si="0"/>
        <v/>
      </c>
      <c r="B18" s="31"/>
      <c r="C18" s="31"/>
      <c r="D18" s="31"/>
      <c r="E18" s="31"/>
      <c r="F18" s="31"/>
      <c r="G18" s="31"/>
      <c r="H18" s="32"/>
      <c r="I18" s="33" t="str">
        <f t="shared" ca="1" si="1"/>
        <v/>
      </c>
      <c r="J18" s="33" t="str">
        <f t="shared" si="2"/>
        <v/>
      </c>
    </row>
    <row r="19" spans="1:10" ht="20.100000000000001" customHeight="1" x14ac:dyDescent="0.25">
      <c r="A19" s="30" t="str">
        <f t="shared" si="0"/>
        <v/>
      </c>
      <c r="B19" s="31"/>
      <c r="C19" s="31"/>
      <c r="D19" s="31"/>
      <c r="E19" s="31"/>
      <c r="F19" s="31"/>
      <c r="G19" s="31"/>
      <c r="H19" s="32"/>
      <c r="I19" s="33" t="str">
        <f t="shared" ca="1" si="1"/>
        <v/>
      </c>
      <c r="J19" s="33" t="str">
        <f t="shared" si="2"/>
        <v/>
      </c>
    </row>
    <row r="20" spans="1:10" ht="20.100000000000001" customHeight="1" x14ac:dyDescent="0.25">
      <c r="A20" s="30" t="str">
        <f t="shared" si="0"/>
        <v/>
      </c>
      <c r="B20" s="31"/>
      <c r="C20" s="31"/>
      <c r="D20" s="31"/>
      <c r="E20" s="31"/>
      <c r="F20" s="31"/>
      <c r="G20" s="31"/>
      <c r="H20" s="32"/>
      <c r="I20" s="33" t="str">
        <f t="shared" ca="1" si="1"/>
        <v/>
      </c>
      <c r="J20" s="33" t="str">
        <f t="shared" si="2"/>
        <v/>
      </c>
    </row>
    <row r="21" spans="1:10" ht="20.100000000000001" customHeight="1" x14ac:dyDescent="0.25">
      <c r="A21" s="30" t="str">
        <f t="shared" si="0"/>
        <v/>
      </c>
      <c r="B21" s="31"/>
      <c r="C21" s="31"/>
      <c r="D21" s="31"/>
      <c r="E21" s="31"/>
      <c r="F21" s="31"/>
      <c r="G21" s="31"/>
      <c r="H21" s="32"/>
      <c r="I21" s="33" t="str">
        <f t="shared" ca="1" si="1"/>
        <v/>
      </c>
      <c r="J21" s="33" t="str">
        <f t="shared" si="2"/>
        <v/>
      </c>
    </row>
    <row r="22" spans="1:10" ht="20.100000000000001" customHeight="1" x14ac:dyDescent="0.25">
      <c r="A22" s="30" t="str">
        <f t="shared" si="0"/>
        <v/>
      </c>
      <c r="B22" s="31"/>
      <c r="C22" s="31"/>
      <c r="D22" s="31"/>
      <c r="E22" s="31"/>
      <c r="F22" s="31"/>
      <c r="G22" s="31"/>
      <c r="H22" s="32"/>
      <c r="I22" s="33" t="str">
        <f t="shared" ca="1" si="1"/>
        <v/>
      </c>
      <c r="J22" s="33" t="str">
        <f t="shared" si="2"/>
        <v/>
      </c>
    </row>
    <row r="23" spans="1:10" ht="20.100000000000001" customHeight="1" x14ac:dyDescent="0.25">
      <c r="A23" s="30" t="str">
        <f t="shared" si="0"/>
        <v/>
      </c>
      <c r="B23" s="31"/>
      <c r="C23" s="31"/>
      <c r="D23" s="31"/>
      <c r="E23" s="31"/>
      <c r="F23" s="31"/>
      <c r="G23" s="31"/>
      <c r="H23" s="32"/>
      <c r="I23" s="33" t="str">
        <f t="shared" ca="1" si="1"/>
        <v/>
      </c>
      <c r="J23" s="33" t="str">
        <f t="shared" si="2"/>
        <v/>
      </c>
    </row>
    <row r="24" spans="1:10" ht="20.100000000000001" customHeight="1" x14ac:dyDescent="0.25">
      <c r="A24" s="30" t="str">
        <f t="shared" si="0"/>
        <v/>
      </c>
      <c r="B24" s="31"/>
      <c r="C24" s="31"/>
      <c r="D24" s="31"/>
      <c r="E24" s="31"/>
      <c r="F24" s="31"/>
      <c r="G24" s="31"/>
      <c r="H24" s="32"/>
      <c r="I24" s="33" t="str">
        <f t="shared" ca="1" si="1"/>
        <v/>
      </c>
      <c r="J24" s="33" t="str">
        <f t="shared" si="2"/>
        <v/>
      </c>
    </row>
    <row r="25" spans="1:10" ht="20.100000000000001" customHeight="1" x14ac:dyDescent="0.25">
      <c r="A25" s="30" t="str">
        <f t="shared" si="0"/>
        <v/>
      </c>
      <c r="B25" s="31"/>
      <c r="C25" s="31"/>
      <c r="D25" s="31"/>
      <c r="E25" s="31"/>
      <c r="F25" s="31"/>
      <c r="G25" s="31"/>
      <c r="H25" s="32"/>
      <c r="I25" s="33" t="str">
        <f t="shared" ca="1" si="1"/>
        <v/>
      </c>
      <c r="J25" s="33" t="str">
        <f t="shared" si="2"/>
        <v/>
      </c>
    </row>
    <row r="26" spans="1:10" ht="20.100000000000001" customHeight="1" x14ac:dyDescent="0.25">
      <c r="A26" s="30" t="str">
        <f t="shared" si="0"/>
        <v/>
      </c>
      <c r="B26" s="31"/>
      <c r="C26" s="31"/>
      <c r="D26" s="31"/>
      <c r="E26" s="31"/>
      <c r="F26" s="31"/>
      <c r="G26" s="31"/>
      <c r="H26" s="32"/>
      <c r="I26" s="33" t="str">
        <f t="shared" ca="1" si="1"/>
        <v/>
      </c>
      <c r="J26" s="33" t="str">
        <f t="shared" si="2"/>
        <v/>
      </c>
    </row>
    <row r="27" spans="1:10" ht="20.100000000000001" customHeight="1" x14ac:dyDescent="0.25">
      <c r="A27" s="30" t="str">
        <f t="shared" si="0"/>
        <v/>
      </c>
      <c r="B27" s="31"/>
      <c r="C27" s="31"/>
      <c r="D27" s="31"/>
      <c r="E27" s="31"/>
      <c r="F27" s="31"/>
      <c r="G27" s="31"/>
      <c r="H27" s="32"/>
      <c r="I27" s="33" t="str">
        <f t="shared" ca="1" si="1"/>
        <v/>
      </c>
      <c r="J27" s="33" t="str">
        <f t="shared" si="2"/>
        <v/>
      </c>
    </row>
    <row r="28" spans="1:10" ht="20.100000000000001" customHeight="1" x14ac:dyDescent="0.25">
      <c r="A28" s="30" t="str">
        <f t="shared" si="0"/>
        <v/>
      </c>
      <c r="B28" s="31"/>
      <c r="C28" s="31"/>
      <c r="D28" s="31"/>
      <c r="E28" s="31"/>
      <c r="F28" s="31"/>
      <c r="G28" s="31"/>
      <c r="H28" s="32"/>
      <c r="I28" s="33" t="str">
        <f t="shared" ca="1" si="1"/>
        <v/>
      </c>
      <c r="J28" s="33" t="str">
        <f t="shared" si="2"/>
        <v/>
      </c>
    </row>
    <row r="29" spans="1:10" ht="20.100000000000001" customHeight="1" x14ac:dyDescent="0.25">
      <c r="A29" s="30" t="str">
        <f t="shared" si="0"/>
        <v/>
      </c>
      <c r="B29" s="31"/>
      <c r="C29" s="31"/>
      <c r="D29" s="31"/>
      <c r="E29" s="31"/>
      <c r="F29" s="31"/>
      <c r="G29" s="31"/>
      <c r="H29" s="32"/>
      <c r="I29" s="33" t="str">
        <f t="shared" ca="1" si="1"/>
        <v/>
      </c>
      <c r="J29" s="33" t="str">
        <f t="shared" si="2"/>
        <v/>
      </c>
    </row>
    <row r="30" spans="1:10" ht="20.100000000000001" customHeight="1" x14ac:dyDescent="0.25">
      <c r="A30" s="30" t="str">
        <f t="shared" si="0"/>
        <v/>
      </c>
      <c r="B30" s="31"/>
      <c r="C30" s="31"/>
      <c r="D30" s="31"/>
      <c r="E30" s="31"/>
      <c r="F30" s="31"/>
      <c r="G30" s="31"/>
      <c r="H30" s="32"/>
      <c r="I30" s="33" t="str">
        <f t="shared" ca="1" si="1"/>
        <v/>
      </c>
      <c r="J30" s="33" t="str">
        <f t="shared" si="2"/>
        <v/>
      </c>
    </row>
    <row r="31" spans="1:10" ht="20.100000000000001" customHeight="1" x14ac:dyDescent="0.25">
      <c r="A31" s="30" t="str">
        <f t="shared" si="0"/>
        <v/>
      </c>
      <c r="B31" s="31"/>
      <c r="C31" s="31"/>
      <c r="D31" s="31"/>
      <c r="E31" s="31"/>
      <c r="F31" s="31"/>
      <c r="G31" s="31"/>
      <c r="H31" s="32"/>
      <c r="I31" s="33" t="str">
        <f t="shared" ca="1" si="1"/>
        <v/>
      </c>
      <c r="J31" s="33" t="str">
        <f t="shared" si="2"/>
        <v/>
      </c>
    </row>
    <row r="32" spans="1:10" ht="20.100000000000001" customHeight="1" x14ac:dyDescent="0.25">
      <c r="A32" s="30" t="str">
        <f t="shared" si="0"/>
        <v/>
      </c>
      <c r="B32" s="31"/>
      <c r="C32" s="31"/>
      <c r="D32" s="31"/>
      <c r="E32" s="31"/>
      <c r="F32" s="31"/>
      <c r="G32" s="31"/>
      <c r="H32" s="32"/>
      <c r="I32" s="33" t="str">
        <f t="shared" ca="1" si="1"/>
        <v/>
      </c>
      <c r="J32" s="33" t="str">
        <f t="shared" si="2"/>
        <v/>
      </c>
    </row>
    <row r="33" spans="1:10" ht="20.100000000000001" customHeight="1" x14ac:dyDescent="0.25">
      <c r="A33" s="30" t="str">
        <f t="shared" si="0"/>
        <v/>
      </c>
      <c r="B33" s="31"/>
      <c r="C33" s="31"/>
      <c r="D33" s="31"/>
      <c r="E33" s="31"/>
      <c r="F33" s="31"/>
      <c r="G33" s="31"/>
      <c r="H33" s="32"/>
      <c r="I33" s="33" t="str">
        <f t="shared" ca="1" si="1"/>
        <v/>
      </c>
      <c r="J33" s="33" t="str">
        <f t="shared" si="2"/>
        <v/>
      </c>
    </row>
    <row r="34" spans="1:10" ht="20.100000000000001" customHeight="1" x14ac:dyDescent="0.25">
      <c r="A34" s="30" t="str">
        <f t="shared" si="0"/>
        <v/>
      </c>
      <c r="B34" s="31"/>
      <c r="C34" s="31"/>
      <c r="D34" s="31"/>
      <c r="E34" s="31"/>
      <c r="F34" s="31"/>
      <c r="G34" s="31"/>
      <c r="H34" s="32"/>
      <c r="I34" s="33" t="str">
        <f t="shared" ca="1" si="1"/>
        <v/>
      </c>
      <c r="J34" s="33" t="str">
        <f t="shared" si="2"/>
        <v/>
      </c>
    </row>
    <row r="35" spans="1:10" ht="20.100000000000001" customHeight="1" x14ac:dyDescent="0.25">
      <c r="A35" s="30" t="str">
        <f t="shared" si="0"/>
        <v/>
      </c>
      <c r="B35" s="31"/>
      <c r="C35" s="31"/>
      <c r="D35" s="31"/>
      <c r="E35" s="31"/>
      <c r="F35" s="31"/>
      <c r="G35" s="31"/>
      <c r="H35" s="32"/>
      <c r="I35" s="33" t="str">
        <f t="shared" ca="1" si="1"/>
        <v/>
      </c>
      <c r="J35" s="33" t="str">
        <f t="shared" si="2"/>
        <v/>
      </c>
    </row>
    <row r="36" spans="1:10" ht="20.100000000000001" customHeight="1" x14ac:dyDescent="0.25">
      <c r="A36" s="30" t="str">
        <f t="shared" si="0"/>
        <v/>
      </c>
      <c r="B36" s="31"/>
      <c r="C36" s="31"/>
      <c r="D36" s="31"/>
      <c r="E36" s="31"/>
      <c r="F36" s="31"/>
      <c r="G36" s="31"/>
      <c r="H36" s="32"/>
      <c r="I36" s="33" t="str">
        <f t="shared" ca="1" si="1"/>
        <v/>
      </c>
      <c r="J36" s="33" t="str">
        <f t="shared" si="2"/>
        <v/>
      </c>
    </row>
    <row r="37" spans="1:10" ht="20.100000000000001" customHeight="1" x14ac:dyDescent="0.25">
      <c r="A37" s="30" t="str">
        <f t="shared" si="0"/>
        <v/>
      </c>
      <c r="B37" s="31"/>
      <c r="C37" s="31"/>
      <c r="D37" s="31"/>
      <c r="E37" s="31"/>
      <c r="F37" s="31"/>
      <c r="G37" s="31"/>
      <c r="H37" s="32"/>
      <c r="I37" s="33" t="str">
        <f t="shared" ca="1" si="1"/>
        <v/>
      </c>
      <c r="J37" s="33" t="str">
        <f t="shared" si="2"/>
        <v/>
      </c>
    </row>
    <row r="38" spans="1:10" ht="20.100000000000001" customHeight="1" x14ac:dyDescent="0.25">
      <c r="A38" s="30" t="str">
        <f t="shared" si="0"/>
        <v/>
      </c>
      <c r="B38" s="31"/>
      <c r="C38" s="31"/>
      <c r="D38" s="31"/>
      <c r="E38" s="31"/>
      <c r="F38" s="31"/>
      <c r="G38" s="31"/>
      <c r="H38" s="32"/>
      <c r="I38" s="33" t="str">
        <f t="shared" ca="1" si="1"/>
        <v/>
      </c>
      <c r="J38" s="33" t="str">
        <f t="shared" si="2"/>
        <v/>
      </c>
    </row>
    <row r="39" spans="1:10" ht="20.100000000000001" customHeight="1" x14ac:dyDescent="0.25">
      <c r="A39" s="30" t="str">
        <f t="shared" si="0"/>
        <v/>
      </c>
      <c r="B39" s="31"/>
      <c r="C39" s="31"/>
      <c r="D39" s="31"/>
      <c r="E39" s="31"/>
      <c r="F39" s="31"/>
      <c r="G39" s="31"/>
      <c r="H39" s="32"/>
      <c r="I39" s="33" t="str">
        <f t="shared" ca="1" si="1"/>
        <v/>
      </c>
      <c r="J39" s="33" t="str">
        <f t="shared" si="2"/>
        <v/>
      </c>
    </row>
    <row r="40" spans="1:10" ht="20.100000000000001" customHeight="1" x14ac:dyDescent="0.25">
      <c r="A40" s="30" t="str">
        <f t="shared" si="0"/>
        <v/>
      </c>
      <c r="B40" s="31"/>
      <c r="C40" s="31"/>
      <c r="D40" s="31"/>
      <c r="E40" s="31"/>
      <c r="F40" s="31"/>
      <c r="G40" s="31"/>
      <c r="H40" s="32"/>
      <c r="I40" s="33" t="str">
        <f t="shared" ca="1" si="1"/>
        <v/>
      </c>
      <c r="J40" s="33" t="str">
        <f t="shared" si="2"/>
        <v/>
      </c>
    </row>
    <row r="41" spans="1:10" ht="20.100000000000001" customHeight="1" x14ac:dyDescent="0.25">
      <c r="A41" s="30" t="str">
        <f t="shared" si="0"/>
        <v/>
      </c>
      <c r="B41" s="31"/>
      <c r="C41" s="31"/>
      <c r="D41" s="31"/>
      <c r="E41" s="31"/>
      <c r="F41" s="31"/>
      <c r="G41" s="31"/>
      <c r="H41" s="32"/>
      <c r="I41" s="33" t="str">
        <f t="shared" ca="1" si="1"/>
        <v/>
      </c>
      <c r="J41" s="33" t="str">
        <f t="shared" si="2"/>
        <v/>
      </c>
    </row>
    <row r="42" spans="1:10" ht="20.100000000000001" customHeight="1" x14ac:dyDescent="0.25">
      <c r="A42" s="30" t="str">
        <f t="shared" si="0"/>
        <v/>
      </c>
      <c r="B42" s="31"/>
      <c r="C42" s="31"/>
      <c r="D42" s="31"/>
      <c r="E42" s="31"/>
      <c r="F42" s="31"/>
      <c r="G42" s="31"/>
      <c r="H42" s="32"/>
      <c r="I42" s="33" t="str">
        <f t="shared" ca="1" si="1"/>
        <v/>
      </c>
      <c r="J42" s="33" t="str">
        <f t="shared" si="2"/>
        <v/>
      </c>
    </row>
    <row r="43" spans="1:10" ht="20.100000000000001" customHeight="1" x14ac:dyDescent="0.25">
      <c r="A43" s="30" t="str">
        <f t="shared" si="0"/>
        <v/>
      </c>
      <c r="B43" s="31"/>
      <c r="C43" s="31"/>
      <c r="D43" s="31"/>
      <c r="E43" s="31"/>
      <c r="F43" s="31"/>
      <c r="G43" s="31"/>
      <c r="H43" s="32"/>
      <c r="I43" s="33" t="str">
        <f t="shared" ca="1" si="1"/>
        <v/>
      </c>
      <c r="J43" s="33" t="str">
        <f t="shared" si="2"/>
        <v/>
      </c>
    </row>
    <row r="44" spans="1:10" ht="20.100000000000001" customHeight="1" x14ac:dyDescent="0.25">
      <c r="A44" s="30" t="str">
        <f t="shared" si="0"/>
        <v/>
      </c>
      <c r="B44" s="31"/>
      <c r="C44" s="31"/>
      <c r="D44" s="31"/>
      <c r="E44" s="31"/>
      <c r="F44" s="31"/>
      <c r="G44" s="31"/>
      <c r="H44" s="32"/>
      <c r="I44" s="33" t="str">
        <f t="shared" ca="1" si="1"/>
        <v/>
      </c>
      <c r="J44" s="33" t="str">
        <f t="shared" si="2"/>
        <v/>
      </c>
    </row>
    <row r="45" spans="1:10" ht="20.100000000000001" customHeight="1" x14ac:dyDescent="0.25">
      <c r="A45" s="30" t="str">
        <f t="shared" si="0"/>
        <v/>
      </c>
      <c r="B45" s="31"/>
      <c r="C45" s="31"/>
      <c r="D45" s="31"/>
      <c r="E45" s="31"/>
      <c r="F45" s="31"/>
      <c r="G45" s="31"/>
      <c r="H45" s="32"/>
      <c r="I45" s="33" t="str">
        <f t="shared" ca="1" si="1"/>
        <v/>
      </c>
      <c r="J45" s="33" t="str">
        <f t="shared" si="2"/>
        <v/>
      </c>
    </row>
    <row r="46" spans="1:10" ht="20.100000000000001" customHeight="1" x14ac:dyDescent="0.25">
      <c r="A46" s="30" t="str">
        <f t="shared" si="0"/>
        <v/>
      </c>
      <c r="B46" s="31"/>
      <c r="C46" s="31"/>
      <c r="D46" s="31"/>
      <c r="E46" s="31"/>
      <c r="F46" s="31"/>
      <c r="G46" s="31"/>
      <c r="H46" s="32"/>
      <c r="I46" s="33" t="str">
        <f t="shared" ca="1" si="1"/>
        <v/>
      </c>
      <c r="J46" s="33" t="str">
        <f t="shared" si="2"/>
        <v/>
      </c>
    </row>
    <row r="47" spans="1:10" ht="20.100000000000001" customHeight="1" x14ac:dyDescent="0.25">
      <c r="A47" s="30" t="str">
        <f t="shared" si="0"/>
        <v/>
      </c>
      <c r="B47" s="31"/>
      <c r="C47" s="31"/>
      <c r="D47" s="31"/>
      <c r="E47" s="31"/>
      <c r="F47" s="31"/>
      <c r="G47" s="31"/>
      <c r="H47" s="32"/>
      <c r="I47" s="33" t="str">
        <f t="shared" ca="1" si="1"/>
        <v/>
      </c>
      <c r="J47" s="33" t="str">
        <f t="shared" si="2"/>
        <v/>
      </c>
    </row>
    <row r="48" spans="1:10" ht="20.100000000000001" customHeight="1" x14ac:dyDescent="0.25">
      <c r="A48" s="30" t="str">
        <f t="shared" si="0"/>
        <v/>
      </c>
      <c r="B48" s="31"/>
      <c r="C48" s="31"/>
      <c r="D48" s="31"/>
      <c r="E48" s="31"/>
      <c r="F48" s="31"/>
      <c r="G48" s="31"/>
      <c r="H48" s="32"/>
      <c r="I48" s="33" t="str">
        <f t="shared" ca="1" si="1"/>
        <v/>
      </c>
      <c r="J48" s="33" t="str">
        <f t="shared" si="2"/>
        <v/>
      </c>
    </row>
    <row r="49" spans="1:10" ht="20.100000000000001" customHeight="1" x14ac:dyDescent="0.25">
      <c r="A49" s="30" t="str">
        <f t="shared" si="0"/>
        <v/>
      </c>
      <c r="B49" s="31"/>
      <c r="C49" s="31"/>
      <c r="D49" s="31"/>
      <c r="E49" s="31"/>
      <c r="F49" s="31"/>
      <c r="G49" s="31"/>
      <c r="H49" s="32"/>
      <c r="I49" s="33" t="str">
        <f t="shared" ca="1" si="1"/>
        <v/>
      </c>
      <c r="J49" s="33" t="str">
        <f t="shared" si="2"/>
        <v/>
      </c>
    </row>
    <row r="50" spans="1:10" ht="20.100000000000001" customHeight="1" x14ac:dyDescent="0.25">
      <c r="A50" s="30" t="str">
        <f t="shared" si="0"/>
        <v/>
      </c>
      <c r="B50" s="31"/>
      <c r="C50" s="31"/>
      <c r="D50" s="31"/>
      <c r="E50" s="31"/>
      <c r="F50" s="31"/>
      <c r="G50" s="31"/>
      <c r="H50" s="32"/>
      <c r="I50" s="33" t="str">
        <f t="shared" ca="1" si="1"/>
        <v/>
      </c>
      <c r="J50" s="33" t="str">
        <f t="shared" si="2"/>
        <v/>
      </c>
    </row>
    <row r="51" spans="1:10" ht="20.100000000000001" customHeight="1" x14ac:dyDescent="0.25">
      <c r="A51" s="30" t="str">
        <f t="shared" si="0"/>
        <v/>
      </c>
      <c r="B51" s="31"/>
      <c r="C51" s="31"/>
      <c r="D51" s="31"/>
      <c r="E51" s="31"/>
      <c r="F51" s="31"/>
      <c r="G51" s="31"/>
      <c r="H51" s="32"/>
      <c r="I51" s="33" t="str">
        <f t="shared" ca="1" si="1"/>
        <v/>
      </c>
      <c r="J51" s="33" t="str">
        <f t="shared" si="2"/>
        <v/>
      </c>
    </row>
    <row r="52" spans="1:10" ht="20.100000000000001" customHeight="1" x14ac:dyDescent="0.25">
      <c r="A52" s="30" t="str">
        <f t="shared" si="0"/>
        <v/>
      </c>
      <c r="B52" s="31"/>
      <c r="C52" s="31"/>
      <c r="D52" s="31"/>
      <c r="E52" s="31"/>
      <c r="F52" s="31"/>
      <c r="G52" s="31"/>
      <c r="H52" s="32"/>
      <c r="I52" s="33" t="str">
        <f t="shared" ca="1" si="1"/>
        <v/>
      </c>
      <c r="J52" s="33" t="str">
        <f t="shared" si="2"/>
        <v/>
      </c>
    </row>
    <row r="53" spans="1:10" ht="20.100000000000001" customHeight="1" x14ac:dyDescent="0.25">
      <c r="A53" s="30" t="str">
        <f t="shared" si="0"/>
        <v/>
      </c>
      <c r="B53" s="31"/>
      <c r="C53" s="31"/>
      <c r="D53" s="31"/>
      <c r="E53" s="31"/>
      <c r="F53" s="31"/>
      <c r="G53" s="31"/>
      <c r="H53" s="32"/>
      <c r="I53" s="33" t="str">
        <f t="shared" ca="1" si="1"/>
        <v/>
      </c>
      <c r="J53" s="33" t="str">
        <f t="shared" si="2"/>
        <v/>
      </c>
    </row>
    <row r="54" spans="1:10" ht="20.100000000000001" customHeight="1" x14ac:dyDescent="0.25">
      <c r="A54" s="30" t="str">
        <f t="shared" si="0"/>
        <v/>
      </c>
      <c r="B54" s="31"/>
      <c r="C54" s="31"/>
      <c r="D54" s="31"/>
      <c r="E54" s="31"/>
      <c r="F54" s="31"/>
      <c r="G54" s="31"/>
      <c r="H54" s="32"/>
      <c r="I54" s="33" t="str">
        <f t="shared" ca="1" si="1"/>
        <v/>
      </c>
      <c r="J54" s="33" t="str">
        <f t="shared" si="2"/>
        <v/>
      </c>
    </row>
    <row r="55" spans="1:10" ht="20.100000000000001" customHeight="1" x14ac:dyDescent="0.25">
      <c r="A55" s="30" t="str">
        <f t="shared" si="0"/>
        <v/>
      </c>
      <c r="B55" s="31"/>
      <c r="C55" s="31"/>
      <c r="D55" s="31"/>
      <c r="E55" s="31"/>
      <c r="F55" s="31"/>
      <c r="G55" s="31"/>
      <c r="H55" s="32"/>
      <c r="I55" s="33" t="str">
        <f t="shared" ca="1" si="1"/>
        <v/>
      </c>
      <c r="J55" s="33" t="str">
        <f t="shared" si="2"/>
        <v/>
      </c>
    </row>
    <row r="56" spans="1:10" ht="20.100000000000001" customHeight="1" x14ac:dyDescent="0.25">
      <c r="A56" s="30" t="str">
        <f t="shared" si="0"/>
        <v/>
      </c>
      <c r="B56" s="31"/>
      <c r="C56" s="31"/>
      <c r="D56" s="31"/>
      <c r="E56" s="31"/>
      <c r="F56" s="31"/>
      <c r="G56" s="31"/>
      <c r="H56" s="32"/>
      <c r="I56" s="33" t="str">
        <f t="shared" ca="1" si="1"/>
        <v/>
      </c>
      <c r="J56" s="33" t="str">
        <f t="shared" si="2"/>
        <v/>
      </c>
    </row>
    <row r="57" spans="1:10" ht="20.100000000000001" customHeight="1" x14ac:dyDescent="0.25">
      <c r="A57" s="30" t="str">
        <f t="shared" si="0"/>
        <v/>
      </c>
      <c r="B57" s="31"/>
      <c r="C57" s="31"/>
      <c r="D57" s="31"/>
      <c r="E57" s="31"/>
      <c r="F57" s="31"/>
      <c r="G57" s="31"/>
      <c r="H57" s="32"/>
      <c r="I57" s="33" t="str">
        <f t="shared" ca="1" si="1"/>
        <v/>
      </c>
      <c r="J57" s="33" t="str">
        <f t="shared" si="2"/>
        <v/>
      </c>
    </row>
    <row r="58" spans="1:10" ht="20.100000000000001" customHeight="1" x14ac:dyDescent="0.25">
      <c r="A58" s="30" t="str">
        <f t="shared" si="0"/>
        <v/>
      </c>
      <c r="B58" s="31"/>
      <c r="C58" s="31"/>
      <c r="D58" s="31"/>
      <c r="E58" s="31"/>
      <c r="F58" s="31"/>
      <c r="G58" s="31"/>
      <c r="H58" s="32"/>
      <c r="I58" s="33" t="str">
        <f t="shared" ca="1" si="1"/>
        <v/>
      </c>
      <c r="J58" s="33" t="str">
        <f t="shared" si="2"/>
        <v/>
      </c>
    </row>
    <row r="59" spans="1:10" ht="20.100000000000001" customHeight="1" x14ac:dyDescent="0.25">
      <c r="A59" s="30" t="str">
        <f t="shared" si="0"/>
        <v/>
      </c>
      <c r="B59" s="31"/>
      <c r="C59" s="31"/>
      <c r="D59" s="31"/>
      <c r="E59" s="31"/>
      <c r="F59" s="31"/>
      <c r="G59" s="31"/>
      <c r="H59" s="32"/>
      <c r="I59" s="33" t="str">
        <f t="shared" ca="1" si="1"/>
        <v/>
      </c>
      <c r="J59" s="33" t="str">
        <f t="shared" si="2"/>
        <v/>
      </c>
    </row>
    <row r="60" spans="1:10" ht="20.100000000000001" customHeight="1" x14ac:dyDescent="0.25">
      <c r="A60" s="30" t="str">
        <f t="shared" si="0"/>
        <v/>
      </c>
      <c r="B60" s="31"/>
      <c r="C60" s="31"/>
      <c r="D60" s="31"/>
      <c r="E60" s="31"/>
      <c r="F60" s="31"/>
      <c r="G60" s="31"/>
      <c r="H60" s="32"/>
      <c r="I60" s="33" t="str">
        <f t="shared" ca="1" si="1"/>
        <v/>
      </c>
      <c r="J60" s="33" t="str">
        <f t="shared" si="2"/>
        <v/>
      </c>
    </row>
    <row r="61" spans="1:10" ht="20.100000000000001" customHeight="1" x14ac:dyDescent="0.25">
      <c r="A61" s="30" t="str">
        <f t="shared" si="0"/>
        <v/>
      </c>
      <c r="B61" s="31"/>
      <c r="C61" s="31"/>
      <c r="D61" s="31"/>
      <c r="E61" s="31"/>
      <c r="F61" s="31"/>
      <c r="G61" s="31"/>
      <c r="H61" s="32"/>
      <c r="I61" s="33" t="str">
        <f t="shared" ca="1" si="1"/>
        <v/>
      </c>
      <c r="J61" s="33" t="str">
        <f t="shared" si="2"/>
        <v/>
      </c>
    </row>
    <row r="62" spans="1:10" ht="20.100000000000001" customHeight="1" x14ac:dyDescent="0.25">
      <c r="A62" s="30" t="str">
        <f t="shared" si="0"/>
        <v/>
      </c>
      <c r="B62" s="31"/>
      <c r="C62" s="31"/>
      <c r="D62" s="31"/>
      <c r="E62" s="31"/>
      <c r="F62" s="31"/>
      <c r="G62" s="31"/>
      <c r="H62" s="32"/>
      <c r="I62" s="33" t="str">
        <f t="shared" ca="1" si="1"/>
        <v/>
      </c>
      <c r="J62" s="33" t="str">
        <f t="shared" si="2"/>
        <v/>
      </c>
    </row>
    <row r="63" spans="1:10" ht="20.100000000000001" customHeight="1" x14ac:dyDescent="0.25">
      <c r="A63" s="30" t="str">
        <f t="shared" si="0"/>
        <v/>
      </c>
      <c r="B63" s="31"/>
      <c r="C63" s="31"/>
      <c r="D63" s="31"/>
      <c r="E63" s="31"/>
      <c r="F63" s="31"/>
      <c r="G63" s="31"/>
      <c r="H63" s="32"/>
      <c r="I63" s="33" t="str">
        <f t="shared" ca="1" si="1"/>
        <v/>
      </c>
      <c r="J63" s="33" t="str">
        <f t="shared" si="2"/>
        <v/>
      </c>
    </row>
    <row r="64" spans="1:10" ht="20.100000000000001" customHeight="1" x14ac:dyDescent="0.25">
      <c r="A64" s="30" t="str">
        <f t="shared" si="0"/>
        <v/>
      </c>
      <c r="B64" s="31"/>
      <c r="C64" s="31"/>
      <c r="D64" s="31"/>
      <c r="E64" s="31"/>
      <c r="F64" s="31"/>
      <c r="G64" s="31"/>
      <c r="H64" s="32"/>
      <c r="I64" s="33" t="str">
        <f t="shared" ca="1" si="1"/>
        <v/>
      </c>
      <c r="J64" s="33" t="str">
        <f t="shared" si="2"/>
        <v/>
      </c>
    </row>
    <row r="65" spans="1:10" ht="20.100000000000001" customHeight="1" x14ac:dyDescent="0.25">
      <c r="A65" s="30" t="str">
        <f t="shared" si="0"/>
        <v/>
      </c>
      <c r="B65" s="31"/>
      <c r="C65" s="31"/>
      <c r="D65" s="31"/>
      <c r="E65" s="31"/>
      <c r="F65" s="31"/>
      <c r="G65" s="31"/>
      <c r="H65" s="32"/>
      <c r="I65" s="33" t="str">
        <f t="shared" ca="1" si="1"/>
        <v/>
      </c>
      <c r="J65" s="33" t="str">
        <f t="shared" si="2"/>
        <v/>
      </c>
    </row>
    <row r="66" spans="1:10" ht="20.100000000000001" customHeight="1" x14ac:dyDescent="0.25">
      <c r="A66" s="30" t="str">
        <f t="shared" si="0"/>
        <v/>
      </c>
      <c r="B66" s="31"/>
      <c r="C66" s="31"/>
      <c r="D66" s="31"/>
      <c r="E66" s="31"/>
      <c r="F66" s="31"/>
      <c r="G66" s="31"/>
      <c r="H66" s="32"/>
      <c r="I66" s="33" t="str">
        <f t="shared" ca="1" si="1"/>
        <v/>
      </c>
      <c r="J66" s="33" t="str">
        <f t="shared" si="2"/>
        <v/>
      </c>
    </row>
    <row r="67" spans="1:10" ht="20.100000000000001" customHeight="1" x14ac:dyDescent="0.25">
      <c r="A67" s="30" t="str">
        <f t="shared" si="0"/>
        <v/>
      </c>
      <c r="B67" s="31"/>
      <c r="C67" s="31"/>
      <c r="D67" s="31"/>
      <c r="E67" s="31"/>
      <c r="F67" s="31"/>
      <c r="G67" s="31"/>
      <c r="H67" s="32"/>
      <c r="I67" s="33" t="str">
        <f t="shared" ca="1" si="1"/>
        <v/>
      </c>
      <c r="J67" s="33" t="str">
        <f t="shared" si="2"/>
        <v/>
      </c>
    </row>
    <row r="68" spans="1:10" ht="20.100000000000001" customHeight="1" x14ac:dyDescent="0.25">
      <c r="A68" s="30" t="str">
        <f t="shared" si="0"/>
        <v/>
      </c>
      <c r="B68" s="31"/>
      <c r="C68" s="31"/>
      <c r="D68" s="31"/>
      <c r="E68" s="31"/>
      <c r="F68" s="31"/>
      <c r="G68" s="31"/>
      <c r="H68" s="32"/>
      <c r="I68" s="33" t="str">
        <f t="shared" ca="1" si="1"/>
        <v/>
      </c>
      <c r="J68" s="33" t="str">
        <f t="shared" si="2"/>
        <v/>
      </c>
    </row>
    <row r="69" spans="1:10" ht="20.100000000000001" customHeight="1" x14ac:dyDescent="0.25">
      <c r="A69" s="30" t="str">
        <f t="shared" ref="A69:A132" si="3">IF(B69="","","ACC"&amp;TEXT(ROW()-4,"0000"))</f>
        <v/>
      </c>
      <c r="B69" s="31"/>
      <c r="C69" s="31"/>
      <c r="D69" s="31"/>
      <c r="E69" s="31"/>
      <c r="F69" s="31"/>
      <c r="G69" s="31"/>
      <c r="H69" s="32"/>
      <c r="I69" s="33" t="str">
        <f t="shared" ref="I69:I132" ca="1" si="4">IF(B69="","",TEXT(TODAY(),"dd/mm/yyyy"))</f>
        <v/>
      </c>
      <c r="J69" s="33" t="str">
        <f t="shared" ref="J69:J132" si="5">IF(B69="","",IF(ISNUMBER(H69),IF(H69&gt;=10,"✅ Active","⚠️ Below Min Balance"),"Pending"))</f>
        <v/>
      </c>
    </row>
    <row r="70" spans="1:10" ht="20.100000000000001" customHeight="1" x14ac:dyDescent="0.25">
      <c r="A70" s="30" t="str">
        <f t="shared" si="3"/>
        <v/>
      </c>
      <c r="B70" s="31"/>
      <c r="C70" s="31"/>
      <c r="D70" s="31"/>
      <c r="E70" s="31"/>
      <c r="F70" s="31"/>
      <c r="G70" s="31"/>
      <c r="H70" s="32"/>
      <c r="I70" s="33" t="str">
        <f t="shared" ca="1" si="4"/>
        <v/>
      </c>
      <c r="J70" s="33" t="str">
        <f t="shared" si="5"/>
        <v/>
      </c>
    </row>
    <row r="71" spans="1:10" ht="20.100000000000001" customHeight="1" x14ac:dyDescent="0.25">
      <c r="A71" s="30" t="str">
        <f t="shared" si="3"/>
        <v/>
      </c>
      <c r="B71" s="31"/>
      <c r="C71" s="31"/>
      <c r="D71" s="31"/>
      <c r="E71" s="31"/>
      <c r="F71" s="31"/>
      <c r="G71" s="31"/>
      <c r="H71" s="32"/>
      <c r="I71" s="33" t="str">
        <f t="shared" ca="1" si="4"/>
        <v/>
      </c>
      <c r="J71" s="33" t="str">
        <f t="shared" si="5"/>
        <v/>
      </c>
    </row>
    <row r="72" spans="1:10" ht="20.100000000000001" customHeight="1" x14ac:dyDescent="0.25">
      <c r="A72" s="30" t="str">
        <f t="shared" si="3"/>
        <v/>
      </c>
      <c r="B72" s="31"/>
      <c r="C72" s="31"/>
      <c r="D72" s="31"/>
      <c r="E72" s="31"/>
      <c r="F72" s="31"/>
      <c r="G72" s="31"/>
      <c r="H72" s="32"/>
      <c r="I72" s="33" t="str">
        <f t="shared" ca="1" si="4"/>
        <v/>
      </c>
      <c r="J72" s="33" t="str">
        <f t="shared" si="5"/>
        <v/>
      </c>
    </row>
    <row r="73" spans="1:10" ht="20.100000000000001" customHeight="1" x14ac:dyDescent="0.25">
      <c r="A73" s="30" t="str">
        <f t="shared" si="3"/>
        <v/>
      </c>
      <c r="B73" s="31"/>
      <c r="C73" s="31"/>
      <c r="D73" s="31"/>
      <c r="E73" s="31"/>
      <c r="F73" s="31"/>
      <c r="G73" s="31"/>
      <c r="H73" s="32"/>
      <c r="I73" s="33" t="str">
        <f t="shared" ca="1" si="4"/>
        <v/>
      </c>
      <c r="J73" s="33" t="str">
        <f t="shared" si="5"/>
        <v/>
      </c>
    </row>
    <row r="74" spans="1:10" ht="20.100000000000001" customHeight="1" x14ac:dyDescent="0.25">
      <c r="A74" s="30" t="str">
        <f t="shared" si="3"/>
        <v/>
      </c>
      <c r="B74" s="31"/>
      <c r="C74" s="31"/>
      <c r="D74" s="31"/>
      <c r="E74" s="31"/>
      <c r="F74" s="31"/>
      <c r="G74" s="31"/>
      <c r="H74" s="32"/>
      <c r="I74" s="33" t="str">
        <f t="shared" ca="1" si="4"/>
        <v/>
      </c>
      <c r="J74" s="33" t="str">
        <f t="shared" si="5"/>
        <v/>
      </c>
    </row>
    <row r="75" spans="1:10" ht="20.100000000000001" customHeight="1" x14ac:dyDescent="0.25">
      <c r="A75" s="30" t="str">
        <f t="shared" si="3"/>
        <v/>
      </c>
      <c r="B75" s="31"/>
      <c r="C75" s="31"/>
      <c r="D75" s="31"/>
      <c r="E75" s="31"/>
      <c r="F75" s="31"/>
      <c r="G75" s="31"/>
      <c r="H75" s="32"/>
      <c r="I75" s="33" t="str">
        <f t="shared" ca="1" si="4"/>
        <v/>
      </c>
      <c r="J75" s="33" t="str">
        <f t="shared" si="5"/>
        <v/>
      </c>
    </row>
    <row r="76" spans="1:10" ht="20.100000000000001" customHeight="1" x14ac:dyDescent="0.25">
      <c r="A76" s="30" t="str">
        <f t="shared" si="3"/>
        <v/>
      </c>
      <c r="B76" s="31"/>
      <c r="C76" s="31"/>
      <c r="D76" s="31"/>
      <c r="E76" s="31"/>
      <c r="F76" s="31"/>
      <c r="G76" s="31"/>
      <c r="H76" s="32"/>
      <c r="I76" s="33" t="str">
        <f t="shared" ca="1" si="4"/>
        <v/>
      </c>
      <c r="J76" s="33" t="str">
        <f t="shared" si="5"/>
        <v/>
      </c>
    </row>
    <row r="77" spans="1:10" ht="20.100000000000001" customHeight="1" x14ac:dyDescent="0.25">
      <c r="A77" s="30" t="str">
        <f t="shared" si="3"/>
        <v/>
      </c>
      <c r="B77" s="31"/>
      <c r="C77" s="31"/>
      <c r="D77" s="31"/>
      <c r="E77" s="31"/>
      <c r="F77" s="31"/>
      <c r="G77" s="31"/>
      <c r="H77" s="32"/>
      <c r="I77" s="33" t="str">
        <f t="shared" ca="1" si="4"/>
        <v/>
      </c>
      <c r="J77" s="33" t="str">
        <f t="shared" si="5"/>
        <v/>
      </c>
    </row>
    <row r="78" spans="1:10" ht="20.100000000000001" customHeight="1" x14ac:dyDescent="0.25">
      <c r="A78" s="30" t="str">
        <f t="shared" si="3"/>
        <v/>
      </c>
      <c r="B78" s="31"/>
      <c r="C78" s="31"/>
      <c r="D78" s="31"/>
      <c r="E78" s="31"/>
      <c r="F78" s="31"/>
      <c r="G78" s="31"/>
      <c r="H78" s="32"/>
      <c r="I78" s="33" t="str">
        <f t="shared" ca="1" si="4"/>
        <v/>
      </c>
      <c r="J78" s="33" t="str">
        <f t="shared" si="5"/>
        <v/>
      </c>
    </row>
    <row r="79" spans="1:10" ht="20.100000000000001" customHeight="1" x14ac:dyDescent="0.25">
      <c r="A79" s="30" t="str">
        <f t="shared" si="3"/>
        <v/>
      </c>
      <c r="B79" s="31"/>
      <c r="C79" s="31"/>
      <c r="D79" s="31"/>
      <c r="E79" s="31"/>
      <c r="F79" s="31"/>
      <c r="G79" s="31"/>
      <c r="H79" s="32"/>
      <c r="I79" s="33" t="str">
        <f t="shared" ca="1" si="4"/>
        <v/>
      </c>
      <c r="J79" s="33" t="str">
        <f t="shared" si="5"/>
        <v/>
      </c>
    </row>
    <row r="80" spans="1:10" ht="20.100000000000001" customHeight="1" x14ac:dyDescent="0.25">
      <c r="A80" s="30" t="str">
        <f t="shared" si="3"/>
        <v/>
      </c>
      <c r="B80" s="31"/>
      <c r="C80" s="31"/>
      <c r="D80" s="31"/>
      <c r="E80" s="31"/>
      <c r="F80" s="31"/>
      <c r="G80" s="31"/>
      <c r="H80" s="32"/>
      <c r="I80" s="33" t="str">
        <f t="shared" ca="1" si="4"/>
        <v/>
      </c>
      <c r="J80" s="33" t="str">
        <f t="shared" si="5"/>
        <v/>
      </c>
    </row>
    <row r="81" spans="1:10" ht="20.100000000000001" customHeight="1" x14ac:dyDescent="0.25">
      <c r="A81" s="30" t="str">
        <f t="shared" si="3"/>
        <v/>
      </c>
      <c r="B81" s="31"/>
      <c r="C81" s="31"/>
      <c r="D81" s="31"/>
      <c r="E81" s="31"/>
      <c r="F81" s="31"/>
      <c r="G81" s="31"/>
      <c r="H81" s="32"/>
      <c r="I81" s="33" t="str">
        <f t="shared" ca="1" si="4"/>
        <v/>
      </c>
      <c r="J81" s="33" t="str">
        <f t="shared" si="5"/>
        <v/>
      </c>
    </row>
    <row r="82" spans="1:10" ht="20.100000000000001" customHeight="1" x14ac:dyDescent="0.25">
      <c r="A82" s="30" t="str">
        <f t="shared" si="3"/>
        <v/>
      </c>
      <c r="B82" s="31"/>
      <c r="C82" s="31"/>
      <c r="D82" s="31"/>
      <c r="E82" s="31"/>
      <c r="F82" s="31"/>
      <c r="G82" s="31"/>
      <c r="H82" s="32"/>
      <c r="I82" s="33" t="str">
        <f t="shared" ca="1" si="4"/>
        <v/>
      </c>
      <c r="J82" s="33" t="str">
        <f t="shared" si="5"/>
        <v/>
      </c>
    </row>
    <row r="83" spans="1:10" ht="20.100000000000001" customHeight="1" x14ac:dyDescent="0.25">
      <c r="A83" s="30" t="str">
        <f t="shared" si="3"/>
        <v/>
      </c>
      <c r="B83" s="31"/>
      <c r="C83" s="31"/>
      <c r="D83" s="31"/>
      <c r="E83" s="31"/>
      <c r="F83" s="31"/>
      <c r="G83" s="31"/>
      <c r="H83" s="32"/>
      <c r="I83" s="33" t="str">
        <f t="shared" ca="1" si="4"/>
        <v/>
      </c>
      <c r="J83" s="33" t="str">
        <f t="shared" si="5"/>
        <v/>
      </c>
    </row>
    <row r="84" spans="1:10" ht="20.100000000000001" customHeight="1" x14ac:dyDescent="0.25">
      <c r="A84" s="30" t="str">
        <f t="shared" si="3"/>
        <v/>
      </c>
      <c r="B84" s="31"/>
      <c r="C84" s="31"/>
      <c r="D84" s="31"/>
      <c r="E84" s="31"/>
      <c r="F84" s="31"/>
      <c r="G84" s="31"/>
      <c r="H84" s="32"/>
      <c r="I84" s="33" t="str">
        <f t="shared" ca="1" si="4"/>
        <v/>
      </c>
      <c r="J84" s="33" t="str">
        <f t="shared" si="5"/>
        <v/>
      </c>
    </row>
    <row r="85" spans="1:10" ht="20.100000000000001" customHeight="1" x14ac:dyDescent="0.25">
      <c r="A85" s="30" t="str">
        <f t="shared" si="3"/>
        <v/>
      </c>
      <c r="B85" s="31"/>
      <c r="C85" s="31"/>
      <c r="D85" s="31"/>
      <c r="E85" s="31"/>
      <c r="F85" s="31"/>
      <c r="G85" s="31"/>
      <c r="H85" s="32"/>
      <c r="I85" s="33" t="str">
        <f t="shared" ca="1" si="4"/>
        <v/>
      </c>
      <c r="J85" s="33" t="str">
        <f t="shared" si="5"/>
        <v/>
      </c>
    </row>
    <row r="86" spans="1:10" ht="20.100000000000001" customHeight="1" x14ac:dyDescent="0.25">
      <c r="A86" s="30" t="str">
        <f t="shared" si="3"/>
        <v/>
      </c>
      <c r="B86" s="31"/>
      <c r="C86" s="31"/>
      <c r="D86" s="31"/>
      <c r="E86" s="31"/>
      <c r="F86" s="31"/>
      <c r="G86" s="31"/>
      <c r="H86" s="32"/>
      <c r="I86" s="33" t="str">
        <f t="shared" ca="1" si="4"/>
        <v/>
      </c>
      <c r="J86" s="33" t="str">
        <f t="shared" si="5"/>
        <v/>
      </c>
    </row>
    <row r="87" spans="1:10" ht="20.100000000000001" customHeight="1" x14ac:dyDescent="0.25">
      <c r="A87" s="30" t="str">
        <f t="shared" si="3"/>
        <v/>
      </c>
      <c r="B87" s="31"/>
      <c r="C87" s="31"/>
      <c r="D87" s="31"/>
      <c r="E87" s="31"/>
      <c r="F87" s="31"/>
      <c r="G87" s="31"/>
      <c r="H87" s="32"/>
      <c r="I87" s="33" t="str">
        <f t="shared" ca="1" si="4"/>
        <v/>
      </c>
      <c r="J87" s="33" t="str">
        <f t="shared" si="5"/>
        <v/>
      </c>
    </row>
    <row r="88" spans="1:10" ht="20.100000000000001" customHeight="1" x14ac:dyDescent="0.25">
      <c r="A88" s="30" t="str">
        <f t="shared" si="3"/>
        <v/>
      </c>
      <c r="B88" s="31"/>
      <c r="C88" s="31"/>
      <c r="D88" s="31"/>
      <c r="E88" s="31"/>
      <c r="F88" s="31"/>
      <c r="G88" s="31"/>
      <c r="H88" s="32"/>
      <c r="I88" s="33" t="str">
        <f t="shared" ca="1" si="4"/>
        <v/>
      </c>
      <c r="J88" s="33" t="str">
        <f t="shared" si="5"/>
        <v/>
      </c>
    </row>
    <row r="89" spans="1:10" ht="20.100000000000001" customHeight="1" x14ac:dyDescent="0.25">
      <c r="A89" s="30" t="str">
        <f t="shared" si="3"/>
        <v/>
      </c>
      <c r="B89" s="31"/>
      <c r="C89" s="31"/>
      <c r="D89" s="31"/>
      <c r="E89" s="31"/>
      <c r="F89" s="31"/>
      <c r="G89" s="31"/>
      <c r="H89" s="32"/>
      <c r="I89" s="33" t="str">
        <f t="shared" ca="1" si="4"/>
        <v/>
      </c>
      <c r="J89" s="33" t="str">
        <f t="shared" si="5"/>
        <v/>
      </c>
    </row>
    <row r="90" spans="1:10" ht="20.100000000000001" customHeight="1" x14ac:dyDescent="0.25">
      <c r="A90" s="30" t="str">
        <f t="shared" si="3"/>
        <v/>
      </c>
      <c r="B90" s="31"/>
      <c r="C90" s="31"/>
      <c r="D90" s="31"/>
      <c r="E90" s="31"/>
      <c r="F90" s="31"/>
      <c r="G90" s="31"/>
      <c r="H90" s="32"/>
      <c r="I90" s="33" t="str">
        <f t="shared" ca="1" si="4"/>
        <v/>
      </c>
      <c r="J90" s="33" t="str">
        <f t="shared" si="5"/>
        <v/>
      </c>
    </row>
    <row r="91" spans="1:10" ht="20.100000000000001" customHeight="1" x14ac:dyDescent="0.25">
      <c r="A91" s="30" t="str">
        <f t="shared" si="3"/>
        <v/>
      </c>
      <c r="B91" s="31"/>
      <c r="C91" s="31"/>
      <c r="D91" s="31"/>
      <c r="E91" s="31"/>
      <c r="F91" s="31"/>
      <c r="G91" s="31"/>
      <c r="H91" s="32"/>
      <c r="I91" s="33" t="str">
        <f t="shared" ca="1" si="4"/>
        <v/>
      </c>
      <c r="J91" s="33" t="str">
        <f t="shared" si="5"/>
        <v/>
      </c>
    </row>
    <row r="92" spans="1:10" ht="20.100000000000001" customHeight="1" x14ac:dyDescent="0.25">
      <c r="A92" s="30" t="str">
        <f t="shared" si="3"/>
        <v/>
      </c>
      <c r="B92" s="31"/>
      <c r="C92" s="31"/>
      <c r="D92" s="31"/>
      <c r="E92" s="31"/>
      <c r="F92" s="31"/>
      <c r="G92" s="31"/>
      <c r="H92" s="32"/>
      <c r="I92" s="33" t="str">
        <f t="shared" ca="1" si="4"/>
        <v/>
      </c>
      <c r="J92" s="33" t="str">
        <f t="shared" si="5"/>
        <v/>
      </c>
    </row>
    <row r="93" spans="1:10" ht="20.100000000000001" customHeight="1" x14ac:dyDescent="0.25">
      <c r="A93" s="30" t="str">
        <f t="shared" si="3"/>
        <v/>
      </c>
      <c r="B93" s="31"/>
      <c r="C93" s="31"/>
      <c r="D93" s="31"/>
      <c r="E93" s="31"/>
      <c r="F93" s="31"/>
      <c r="G93" s="31"/>
      <c r="H93" s="32"/>
      <c r="I93" s="33" t="str">
        <f t="shared" ca="1" si="4"/>
        <v/>
      </c>
      <c r="J93" s="33" t="str">
        <f t="shared" si="5"/>
        <v/>
      </c>
    </row>
    <row r="94" spans="1:10" ht="20.100000000000001" customHeight="1" x14ac:dyDescent="0.25">
      <c r="A94" s="30" t="str">
        <f t="shared" si="3"/>
        <v/>
      </c>
      <c r="B94" s="31"/>
      <c r="C94" s="31"/>
      <c r="D94" s="31"/>
      <c r="E94" s="31"/>
      <c r="F94" s="31"/>
      <c r="G94" s="31"/>
      <c r="H94" s="32"/>
      <c r="I94" s="33" t="str">
        <f t="shared" ca="1" si="4"/>
        <v/>
      </c>
      <c r="J94" s="33" t="str">
        <f t="shared" si="5"/>
        <v/>
      </c>
    </row>
    <row r="95" spans="1:10" ht="20.100000000000001" customHeight="1" x14ac:dyDescent="0.25">
      <c r="A95" s="30" t="str">
        <f t="shared" si="3"/>
        <v/>
      </c>
      <c r="B95" s="31"/>
      <c r="C95" s="31"/>
      <c r="D95" s="31"/>
      <c r="E95" s="31"/>
      <c r="F95" s="31"/>
      <c r="G95" s="31"/>
      <c r="H95" s="32"/>
      <c r="I95" s="33" t="str">
        <f t="shared" ca="1" si="4"/>
        <v/>
      </c>
      <c r="J95" s="33" t="str">
        <f t="shared" si="5"/>
        <v/>
      </c>
    </row>
    <row r="96" spans="1:10" ht="20.100000000000001" customHeight="1" x14ac:dyDescent="0.25">
      <c r="A96" s="30" t="str">
        <f t="shared" si="3"/>
        <v/>
      </c>
      <c r="B96" s="31"/>
      <c r="C96" s="31"/>
      <c r="D96" s="31"/>
      <c r="E96" s="31"/>
      <c r="F96" s="31"/>
      <c r="G96" s="31"/>
      <c r="H96" s="32"/>
      <c r="I96" s="33" t="str">
        <f t="shared" ca="1" si="4"/>
        <v/>
      </c>
      <c r="J96" s="33" t="str">
        <f t="shared" si="5"/>
        <v/>
      </c>
    </row>
    <row r="97" spans="1:10" ht="20.100000000000001" customHeight="1" x14ac:dyDescent="0.25">
      <c r="A97" s="30" t="str">
        <f t="shared" si="3"/>
        <v/>
      </c>
      <c r="B97" s="31"/>
      <c r="C97" s="31"/>
      <c r="D97" s="31"/>
      <c r="E97" s="31"/>
      <c r="F97" s="31"/>
      <c r="G97" s="31"/>
      <c r="H97" s="32"/>
      <c r="I97" s="33" t="str">
        <f t="shared" ca="1" si="4"/>
        <v/>
      </c>
      <c r="J97" s="33" t="str">
        <f t="shared" si="5"/>
        <v/>
      </c>
    </row>
    <row r="98" spans="1:10" ht="20.100000000000001" customHeight="1" x14ac:dyDescent="0.25">
      <c r="A98" s="30" t="str">
        <f t="shared" si="3"/>
        <v/>
      </c>
      <c r="B98" s="31"/>
      <c r="C98" s="31"/>
      <c r="D98" s="31"/>
      <c r="E98" s="31"/>
      <c r="F98" s="31"/>
      <c r="G98" s="31"/>
      <c r="H98" s="32"/>
      <c r="I98" s="33" t="str">
        <f t="shared" ca="1" si="4"/>
        <v/>
      </c>
      <c r="J98" s="33" t="str">
        <f t="shared" si="5"/>
        <v/>
      </c>
    </row>
    <row r="99" spans="1:10" ht="20.100000000000001" customHeight="1" x14ac:dyDescent="0.25">
      <c r="A99" s="30" t="str">
        <f t="shared" si="3"/>
        <v/>
      </c>
      <c r="B99" s="31"/>
      <c r="C99" s="31"/>
      <c r="D99" s="31"/>
      <c r="E99" s="31"/>
      <c r="F99" s="31"/>
      <c r="G99" s="31"/>
      <c r="H99" s="32"/>
      <c r="I99" s="33" t="str">
        <f t="shared" ca="1" si="4"/>
        <v/>
      </c>
      <c r="J99" s="33" t="str">
        <f t="shared" si="5"/>
        <v/>
      </c>
    </row>
    <row r="100" spans="1:10" ht="20.100000000000001" customHeight="1" x14ac:dyDescent="0.25">
      <c r="A100" s="30" t="str">
        <f t="shared" si="3"/>
        <v/>
      </c>
      <c r="B100" s="31"/>
      <c r="C100" s="31"/>
      <c r="D100" s="31"/>
      <c r="E100" s="31"/>
      <c r="F100" s="31"/>
      <c r="G100" s="31"/>
      <c r="H100" s="32"/>
      <c r="I100" s="33" t="str">
        <f t="shared" ca="1" si="4"/>
        <v/>
      </c>
      <c r="J100" s="33" t="str">
        <f t="shared" si="5"/>
        <v/>
      </c>
    </row>
    <row r="101" spans="1:10" ht="20.100000000000001" customHeight="1" x14ac:dyDescent="0.25">
      <c r="A101" s="30" t="str">
        <f t="shared" si="3"/>
        <v/>
      </c>
      <c r="B101" s="31"/>
      <c r="C101" s="31"/>
      <c r="D101" s="31"/>
      <c r="E101" s="31"/>
      <c r="F101" s="31"/>
      <c r="G101" s="31"/>
      <c r="H101" s="32"/>
      <c r="I101" s="33" t="str">
        <f t="shared" ca="1" si="4"/>
        <v/>
      </c>
      <c r="J101" s="33" t="str">
        <f t="shared" si="5"/>
        <v/>
      </c>
    </row>
    <row r="102" spans="1:10" ht="20.100000000000001" customHeight="1" x14ac:dyDescent="0.25">
      <c r="A102" s="30" t="str">
        <f t="shared" si="3"/>
        <v/>
      </c>
      <c r="B102" s="31"/>
      <c r="C102" s="31"/>
      <c r="D102" s="31"/>
      <c r="E102" s="31"/>
      <c r="F102" s="31"/>
      <c r="G102" s="31"/>
      <c r="H102" s="32"/>
      <c r="I102" s="33" t="str">
        <f t="shared" ca="1" si="4"/>
        <v/>
      </c>
      <c r="J102" s="33" t="str">
        <f t="shared" si="5"/>
        <v/>
      </c>
    </row>
    <row r="103" spans="1:10" ht="20.100000000000001" customHeight="1" x14ac:dyDescent="0.25">
      <c r="A103" s="30" t="str">
        <f t="shared" si="3"/>
        <v/>
      </c>
      <c r="B103" s="31"/>
      <c r="C103" s="31"/>
      <c r="D103" s="31"/>
      <c r="E103" s="31"/>
      <c r="F103" s="31"/>
      <c r="G103" s="31"/>
      <c r="H103" s="32"/>
      <c r="I103" s="33" t="str">
        <f t="shared" ca="1" si="4"/>
        <v/>
      </c>
      <c r="J103" s="33" t="str">
        <f t="shared" si="5"/>
        <v/>
      </c>
    </row>
    <row r="104" spans="1:10" ht="20.100000000000001" customHeight="1" x14ac:dyDescent="0.25">
      <c r="A104" s="30" t="str">
        <f t="shared" si="3"/>
        <v/>
      </c>
      <c r="B104" s="31"/>
      <c r="C104" s="31"/>
      <c r="D104" s="31"/>
      <c r="E104" s="31"/>
      <c r="F104" s="31"/>
      <c r="G104" s="31"/>
      <c r="H104" s="32"/>
      <c r="I104" s="33" t="str">
        <f t="shared" ca="1" si="4"/>
        <v/>
      </c>
      <c r="J104" s="33" t="str">
        <f t="shared" si="5"/>
        <v/>
      </c>
    </row>
    <row r="105" spans="1:10" ht="20.100000000000001" customHeight="1" x14ac:dyDescent="0.25">
      <c r="A105" s="30" t="str">
        <f t="shared" si="3"/>
        <v/>
      </c>
      <c r="B105" s="31"/>
      <c r="C105" s="31"/>
      <c r="D105" s="31"/>
      <c r="E105" s="31"/>
      <c r="F105" s="31"/>
      <c r="G105" s="31"/>
      <c r="H105" s="32"/>
      <c r="I105" s="33" t="str">
        <f t="shared" ca="1" si="4"/>
        <v/>
      </c>
      <c r="J105" s="33" t="str">
        <f t="shared" si="5"/>
        <v/>
      </c>
    </row>
    <row r="106" spans="1:10" ht="20.100000000000001" customHeight="1" x14ac:dyDescent="0.25">
      <c r="A106" s="30" t="str">
        <f t="shared" si="3"/>
        <v/>
      </c>
      <c r="B106" s="31"/>
      <c r="C106" s="31"/>
      <c r="D106" s="31"/>
      <c r="E106" s="31"/>
      <c r="F106" s="31"/>
      <c r="G106" s="31"/>
      <c r="H106" s="32"/>
      <c r="I106" s="33" t="str">
        <f t="shared" ca="1" si="4"/>
        <v/>
      </c>
      <c r="J106" s="33" t="str">
        <f t="shared" si="5"/>
        <v/>
      </c>
    </row>
    <row r="107" spans="1:10" ht="20.100000000000001" customHeight="1" x14ac:dyDescent="0.25">
      <c r="A107" s="30" t="str">
        <f t="shared" si="3"/>
        <v/>
      </c>
      <c r="B107" s="31"/>
      <c r="C107" s="31"/>
      <c r="D107" s="31"/>
      <c r="E107" s="31"/>
      <c r="F107" s="31"/>
      <c r="G107" s="31"/>
      <c r="H107" s="32"/>
      <c r="I107" s="33" t="str">
        <f t="shared" ca="1" si="4"/>
        <v/>
      </c>
      <c r="J107" s="33" t="str">
        <f t="shared" si="5"/>
        <v/>
      </c>
    </row>
    <row r="108" spans="1:10" ht="20.100000000000001" customHeight="1" x14ac:dyDescent="0.25">
      <c r="A108" s="30" t="str">
        <f t="shared" si="3"/>
        <v/>
      </c>
      <c r="B108" s="31"/>
      <c r="C108" s="31"/>
      <c r="D108" s="31"/>
      <c r="E108" s="31"/>
      <c r="F108" s="31"/>
      <c r="G108" s="31"/>
      <c r="H108" s="32"/>
      <c r="I108" s="33" t="str">
        <f t="shared" ca="1" si="4"/>
        <v/>
      </c>
      <c r="J108" s="33" t="str">
        <f t="shared" si="5"/>
        <v/>
      </c>
    </row>
    <row r="109" spans="1:10" ht="20.100000000000001" customHeight="1" x14ac:dyDescent="0.25">
      <c r="A109" s="30" t="str">
        <f t="shared" si="3"/>
        <v/>
      </c>
      <c r="B109" s="31"/>
      <c r="C109" s="31"/>
      <c r="D109" s="31"/>
      <c r="E109" s="31"/>
      <c r="F109" s="31"/>
      <c r="G109" s="31"/>
      <c r="H109" s="32"/>
      <c r="I109" s="33" t="str">
        <f t="shared" ca="1" si="4"/>
        <v/>
      </c>
      <c r="J109" s="33" t="str">
        <f t="shared" si="5"/>
        <v/>
      </c>
    </row>
    <row r="110" spans="1:10" ht="20.100000000000001" customHeight="1" x14ac:dyDescent="0.25">
      <c r="A110" s="30" t="str">
        <f t="shared" si="3"/>
        <v/>
      </c>
      <c r="B110" s="31"/>
      <c r="C110" s="31"/>
      <c r="D110" s="31"/>
      <c r="E110" s="31"/>
      <c r="F110" s="31"/>
      <c r="G110" s="31"/>
      <c r="H110" s="32"/>
      <c r="I110" s="33" t="str">
        <f t="shared" ca="1" si="4"/>
        <v/>
      </c>
      <c r="J110" s="33" t="str">
        <f t="shared" si="5"/>
        <v/>
      </c>
    </row>
    <row r="111" spans="1:10" ht="20.100000000000001" customHeight="1" x14ac:dyDescent="0.25">
      <c r="A111" s="30" t="str">
        <f t="shared" si="3"/>
        <v/>
      </c>
      <c r="B111" s="31"/>
      <c r="C111" s="31"/>
      <c r="D111" s="31"/>
      <c r="E111" s="31"/>
      <c r="F111" s="31"/>
      <c r="G111" s="31"/>
      <c r="H111" s="32"/>
      <c r="I111" s="33" t="str">
        <f t="shared" ca="1" si="4"/>
        <v/>
      </c>
      <c r="J111" s="33" t="str">
        <f t="shared" si="5"/>
        <v/>
      </c>
    </row>
    <row r="112" spans="1:10" ht="20.100000000000001" customHeight="1" x14ac:dyDescent="0.25">
      <c r="A112" s="30" t="str">
        <f t="shared" si="3"/>
        <v/>
      </c>
      <c r="B112" s="31"/>
      <c r="C112" s="31"/>
      <c r="D112" s="31"/>
      <c r="E112" s="31"/>
      <c r="F112" s="31"/>
      <c r="G112" s="31"/>
      <c r="H112" s="32"/>
      <c r="I112" s="33" t="str">
        <f t="shared" ca="1" si="4"/>
        <v/>
      </c>
      <c r="J112" s="33" t="str">
        <f t="shared" si="5"/>
        <v/>
      </c>
    </row>
    <row r="113" spans="1:10" ht="20.100000000000001" customHeight="1" x14ac:dyDescent="0.25">
      <c r="A113" s="30" t="str">
        <f t="shared" si="3"/>
        <v/>
      </c>
      <c r="B113" s="31"/>
      <c r="C113" s="31"/>
      <c r="D113" s="31"/>
      <c r="E113" s="31"/>
      <c r="F113" s="31"/>
      <c r="G113" s="31"/>
      <c r="H113" s="32"/>
      <c r="I113" s="33" t="str">
        <f t="shared" ca="1" si="4"/>
        <v/>
      </c>
      <c r="J113" s="33" t="str">
        <f t="shared" si="5"/>
        <v/>
      </c>
    </row>
    <row r="114" spans="1:10" ht="20.100000000000001" customHeight="1" x14ac:dyDescent="0.25">
      <c r="A114" s="30" t="str">
        <f t="shared" si="3"/>
        <v/>
      </c>
      <c r="B114" s="31"/>
      <c r="C114" s="31"/>
      <c r="D114" s="31"/>
      <c r="E114" s="31"/>
      <c r="F114" s="31"/>
      <c r="G114" s="31"/>
      <c r="H114" s="32"/>
      <c r="I114" s="33" t="str">
        <f t="shared" ca="1" si="4"/>
        <v/>
      </c>
      <c r="J114" s="33" t="str">
        <f t="shared" si="5"/>
        <v/>
      </c>
    </row>
    <row r="115" spans="1:10" ht="20.100000000000001" customHeight="1" x14ac:dyDescent="0.25">
      <c r="A115" s="30" t="str">
        <f t="shared" si="3"/>
        <v/>
      </c>
      <c r="B115" s="31"/>
      <c r="C115" s="31"/>
      <c r="D115" s="31"/>
      <c r="E115" s="31"/>
      <c r="F115" s="31"/>
      <c r="G115" s="31"/>
      <c r="H115" s="32"/>
      <c r="I115" s="33" t="str">
        <f t="shared" ca="1" si="4"/>
        <v/>
      </c>
      <c r="J115" s="33" t="str">
        <f t="shared" si="5"/>
        <v/>
      </c>
    </row>
    <row r="116" spans="1:10" ht="20.100000000000001" customHeight="1" x14ac:dyDescent="0.25">
      <c r="A116" s="30" t="str">
        <f t="shared" si="3"/>
        <v/>
      </c>
      <c r="B116" s="31"/>
      <c r="C116" s="31"/>
      <c r="D116" s="31"/>
      <c r="E116" s="31"/>
      <c r="F116" s="31"/>
      <c r="G116" s="31"/>
      <c r="H116" s="32"/>
      <c r="I116" s="33" t="str">
        <f t="shared" ca="1" si="4"/>
        <v/>
      </c>
      <c r="J116" s="33" t="str">
        <f t="shared" si="5"/>
        <v/>
      </c>
    </row>
    <row r="117" spans="1:10" ht="20.100000000000001" customHeight="1" x14ac:dyDescent="0.25">
      <c r="A117" s="30" t="str">
        <f t="shared" si="3"/>
        <v/>
      </c>
      <c r="B117" s="31"/>
      <c r="C117" s="31"/>
      <c r="D117" s="31"/>
      <c r="E117" s="31"/>
      <c r="F117" s="31"/>
      <c r="G117" s="31"/>
      <c r="H117" s="32"/>
      <c r="I117" s="33" t="str">
        <f t="shared" ca="1" si="4"/>
        <v/>
      </c>
      <c r="J117" s="33" t="str">
        <f t="shared" si="5"/>
        <v/>
      </c>
    </row>
    <row r="118" spans="1:10" ht="20.100000000000001" customHeight="1" x14ac:dyDescent="0.25">
      <c r="A118" s="30" t="str">
        <f t="shared" si="3"/>
        <v/>
      </c>
      <c r="B118" s="31"/>
      <c r="C118" s="31"/>
      <c r="D118" s="31"/>
      <c r="E118" s="31"/>
      <c r="F118" s="31"/>
      <c r="G118" s="31"/>
      <c r="H118" s="32"/>
      <c r="I118" s="33" t="str">
        <f t="shared" ca="1" si="4"/>
        <v/>
      </c>
      <c r="J118" s="33" t="str">
        <f t="shared" si="5"/>
        <v/>
      </c>
    </row>
    <row r="119" spans="1:10" ht="20.100000000000001" customHeight="1" x14ac:dyDescent="0.25">
      <c r="A119" s="30" t="str">
        <f t="shared" si="3"/>
        <v/>
      </c>
      <c r="B119" s="31"/>
      <c r="C119" s="31"/>
      <c r="D119" s="31"/>
      <c r="E119" s="31"/>
      <c r="F119" s="31"/>
      <c r="G119" s="31"/>
      <c r="H119" s="32"/>
      <c r="I119" s="33" t="str">
        <f t="shared" ca="1" si="4"/>
        <v/>
      </c>
      <c r="J119" s="33" t="str">
        <f t="shared" si="5"/>
        <v/>
      </c>
    </row>
    <row r="120" spans="1:10" ht="20.100000000000001" customHeight="1" x14ac:dyDescent="0.25">
      <c r="A120" s="30" t="str">
        <f t="shared" si="3"/>
        <v/>
      </c>
      <c r="B120" s="31"/>
      <c r="C120" s="31"/>
      <c r="D120" s="31"/>
      <c r="E120" s="31"/>
      <c r="F120" s="31"/>
      <c r="G120" s="31"/>
      <c r="H120" s="32"/>
      <c r="I120" s="33" t="str">
        <f t="shared" ca="1" si="4"/>
        <v/>
      </c>
      <c r="J120" s="33" t="str">
        <f t="shared" si="5"/>
        <v/>
      </c>
    </row>
    <row r="121" spans="1:10" ht="20.100000000000001" customHeight="1" x14ac:dyDescent="0.25">
      <c r="A121" s="30" t="str">
        <f t="shared" si="3"/>
        <v/>
      </c>
      <c r="B121" s="31"/>
      <c r="C121" s="31"/>
      <c r="D121" s="31"/>
      <c r="E121" s="31"/>
      <c r="F121" s="31"/>
      <c r="G121" s="31"/>
      <c r="H121" s="32"/>
      <c r="I121" s="33" t="str">
        <f t="shared" ca="1" si="4"/>
        <v/>
      </c>
      <c r="J121" s="33" t="str">
        <f t="shared" si="5"/>
        <v/>
      </c>
    </row>
    <row r="122" spans="1:10" ht="20.100000000000001" customHeight="1" x14ac:dyDescent="0.25">
      <c r="A122" s="30" t="str">
        <f t="shared" si="3"/>
        <v/>
      </c>
      <c r="B122" s="31"/>
      <c r="C122" s="31"/>
      <c r="D122" s="31"/>
      <c r="E122" s="31"/>
      <c r="F122" s="31"/>
      <c r="G122" s="31"/>
      <c r="H122" s="32"/>
      <c r="I122" s="33" t="str">
        <f t="shared" ca="1" si="4"/>
        <v/>
      </c>
      <c r="J122" s="33" t="str">
        <f t="shared" si="5"/>
        <v/>
      </c>
    </row>
    <row r="123" spans="1:10" ht="20.100000000000001" customHeight="1" x14ac:dyDescent="0.25">
      <c r="A123" s="30" t="str">
        <f t="shared" si="3"/>
        <v/>
      </c>
      <c r="B123" s="31"/>
      <c r="C123" s="31"/>
      <c r="D123" s="31"/>
      <c r="E123" s="31"/>
      <c r="F123" s="31"/>
      <c r="G123" s="31"/>
      <c r="H123" s="32"/>
      <c r="I123" s="33" t="str">
        <f t="shared" ca="1" si="4"/>
        <v/>
      </c>
      <c r="J123" s="33" t="str">
        <f t="shared" si="5"/>
        <v/>
      </c>
    </row>
    <row r="124" spans="1:10" ht="20.100000000000001" customHeight="1" x14ac:dyDescent="0.25">
      <c r="A124" s="30" t="str">
        <f t="shared" si="3"/>
        <v/>
      </c>
      <c r="B124" s="31"/>
      <c r="C124" s="31"/>
      <c r="D124" s="31"/>
      <c r="E124" s="31"/>
      <c r="F124" s="31"/>
      <c r="G124" s="31"/>
      <c r="H124" s="32"/>
      <c r="I124" s="33" t="str">
        <f t="shared" ca="1" si="4"/>
        <v/>
      </c>
      <c r="J124" s="33" t="str">
        <f t="shared" si="5"/>
        <v/>
      </c>
    </row>
    <row r="125" spans="1:10" ht="20.100000000000001" customHeight="1" x14ac:dyDescent="0.25">
      <c r="A125" s="30" t="str">
        <f t="shared" si="3"/>
        <v/>
      </c>
      <c r="B125" s="31"/>
      <c r="C125" s="31"/>
      <c r="D125" s="31"/>
      <c r="E125" s="31"/>
      <c r="F125" s="31"/>
      <c r="G125" s="31"/>
      <c r="H125" s="32"/>
      <c r="I125" s="33" t="str">
        <f t="shared" ca="1" si="4"/>
        <v/>
      </c>
      <c r="J125" s="33" t="str">
        <f t="shared" si="5"/>
        <v/>
      </c>
    </row>
    <row r="126" spans="1:10" ht="20.100000000000001" customHeight="1" x14ac:dyDescent="0.25">
      <c r="A126" s="30" t="str">
        <f t="shared" si="3"/>
        <v/>
      </c>
      <c r="B126" s="31"/>
      <c r="C126" s="31"/>
      <c r="D126" s="31"/>
      <c r="E126" s="31"/>
      <c r="F126" s="31"/>
      <c r="G126" s="31"/>
      <c r="H126" s="32"/>
      <c r="I126" s="33" t="str">
        <f t="shared" ca="1" si="4"/>
        <v/>
      </c>
      <c r="J126" s="33" t="str">
        <f t="shared" si="5"/>
        <v/>
      </c>
    </row>
    <row r="127" spans="1:10" ht="20.100000000000001" customHeight="1" x14ac:dyDescent="0.25">
      <c r="A127" s="30" t="str">
        <f t="shared" si="3"/>
        <v/>
      </c>
      <c r="B127" s="31"/>
      <c r="C127" s="31"/>
      <c r="D127" s="31"/>
      <c r="E127" s="31"/>
      <c r="F127" s="31"/>
      <c r="G127" s="31"/>
      <c r="H127" s="32"/>
      <c r="I127" s="33" t="str">
        <f t="shared" ca="1" si="4"/>
        <v/>
      </c>
      <c r="J127" s="33" t="str">
        <f t="shared" si="5"/>
        <v/>
      </c>
    </row>
    <row r="128" spans="1:10" ht="20.100000000000001" customHeight="1" x14ac:dyDescent="0.25">
      <c r="A128" s="30" t="str">
        <f t="shared" si="3"/>
        <v/>
      </c>
      <c r="B128" s="31"/>
      <c r="C128" s="31"/>
      <c r="D128" s="31"/>
      <c r="E128" s="31"/>
      <c r="F128" s="31"/>
      <c r="G128" s="31"/>
      <c r="H128" s="32"/>
      <c r="I128" s="33" t="str">
        <f t="shared" ca="1" si="4"/>
        <v/>
      </c>
      <c r="J128" s="33" t="str">
        <f t="shared" si="5"/>
        <v/>
      </c>
    </row>
    <row r="129" spans="1:10" ht="20.100000000000001" customHeight="1" x14ac:dyDescent="0.25">
      <c r="A129" s="30" t="str">
        <f t="shared" si="3"/>
        <v/>
      </c>
      <c r="B129" s="31"/>
      <c r="C129" s="31"/>
      <c r="D129" s="31"/>
      <c r="E129" s="31"/>
      <c r="F129" s="31"/>
      <c r="G129" s="31"/>
      <c r="H129" s="32"/>
      <c r="I129" s="33" t="str">
        <f t="shared" ca="1" si="4"/>
        <v/>
      </c>
      <c r="J129" s="33" t="str">
        <f t="shared" si="5"/>
        <v/>
      </c>
    </row>
    <row r="130" spans="1:10" ht="20.100000000000001" customHeight="1" x14ac:dyDescent="0.25">
      <c r="A130" s="30" t="str">
        <f t="shared" si="3"/>
        <v/>
      </c>
      <c r="B130" s="31"/>
      <c r="C130" s="31"/>
      <c r="D130" s="31"/>
      <c r="E130" s="31"/>
      <c r="F130" s="31"/>
      <c r="G130" s="31"/>
      <c r="H130" s="32"/>
      <c r="I130" s="33" t="str">
        <f t="shared" ca="1" si="4"/>
        <v/>
      </c>
      <c r="J130" s="33" t="str">
        <f t="shared" si="5"/>
        <v/>
      </c>
    </row>
    <row r="131" spans="1:10" ht="20.100000000000001" customHeight="1" x14ac:dyDescent="0.25">
      <c r="A131" s="30" t="str">
        <f t="shared" si="3"/>
        <v/>
      </c>
      <c r="B131" s="31"/>
      <c r="C131" s="31"/>
      <c r="D131" s="31"/>
      <c r="E131" s="31"/>
      <c r="F131" s="31"/>
      <c r="G131" s="31"/>
      <c r="H131" s="32"/>
      <c r="I131" s="33" t="str">
        <f t="shared" ca="1" si="4"/>
        <v/>
      </c>
      <c r="J131" s="33" t="str">
        <f t="shared" si="5"/>
        <v/>
      </c>
    </row>
    <row r="132" spans="1:10" ht="20.100000000000001" customHeight="1" x14ac:dyDescent="0.25">
      <c r="A132" s="30" t="str">
        <f t="shared" si="3"/>
        <v/>
      </c>
      <c r="B132" s="31"/>
      <c r="C132" s="31"/>
      <c r="D132" s="31"/>
      <c r="E132" s="31"/>
      <c r="F132" s="31"/>
      <c r="G132" s="31"/>
      <c r="H132" s="32"/>
      <c r="I132" s="33" t="str">
        <f t="shared" ca="1" si="4"/>
        <v/>
      </c>
      <c r="J132" s="33" t="str">
        <f t="shared" si="5"/>
        <v/>
      </c>
    </row>
    <row r="133" spans="1:10" ht="20.100000000000001" customHeight="1" x14ac:dyDescent="0.25">
      <c r="A133" s="30" t="str">
        <f t="shared" ref="A133:A196" si="6">IF(B133="","","ACC"&amp;TEXT(ROW()-4,"0000"))</f>
        <v/>
      </c>
      <c r="B133" s="31"/>
      <c r="C133" s="31"/>
      <c r="D133" s="31"/>
      <c r="E133" s="31"/>
      <c r="F133" s="31"/>
      <c r="G133" s="31"/>
      <c r="H133" s="32"/>
      <c r="I133" s="33" t="str">
        <f t="shared" ref="I133:I196" ca="1" si="7">IF(B133="","",TEXT(TODAY(),"dd/mm/yyyy"))</f>
        <v/>
      </c>
      <c r="J133" s="33" t="str">
        <f t="shared" ref="J133:J196" si="8">IF(B133="","",IF(ISNUMBER(H133),IF(H133&gt;=10,"✅ Active","⚠️ Below Min Balance"),"Pending"))</f>
        <v/>
      </c>
    </row>
    <row r="134" spans="1:10" ht="20.100000000000001" customHeight="1" x14ac:dyDescent="0.25">
      <c r="A134" s="30" t="str">
        <f t="shared" si="6"/>
        <v/>
      </c>
      <c r="B134" s="31"/>
      <c r="C134" s="31"/>
      <c r="D134" s="31"/>
      <c r="E134" s="31"/>
      <c r="F134" s="31"/>
      <c r="G134" s="31"/>
      <c r="H134" s="32"/>
      <c r="I134" s="33" t="str">
        <f t="shared" ca="1" si="7"/>
        <v/>
      </c>
      <c r="J134" s="33" t="str">
        <f t="shared" si="8"/>
        <v/>
      </c>
    </row>
    <row r="135" spans="1:10" ht="20.100000000000001" customHeight="1" x14ac:dyDescent="0.25">
      <c r="A135" s="30" t="str">
        <f t="shared" si="6"/>
        <v/>
      </c>
      <c r="B135" s="31"/>
      <c r="C135" s="31"/>
      <c r="D135" s="31"/>
      <c r="E135" s="31"/>
      <c r="F135" s="31"/>
      <c r="G135" s="31"/>
      <c r="H135" s="32"/>
      <c r="I135" s="33" t="str">
        <f t="shared" ca="1" si="7"/>
        <v/>
      </c>
      <c r="J135" s="33" t="str">
        <f t="shared" si="8"/>
        <v/>
      </c>
    </row>
    <row r="136" spans="1:10" ht="20.100000000000001" customHeight="1" x14ac:dyDescent="0.25">
      <c r="A136" s="30" t="str">
        <f t="shared" si="6"/>
        <v/>
      </c>
      <c r="B136" s="31"/>
      <c r="C136" s="31"/>
      <c r="D136" s="31"/>
      <c r="E136" s="31"/>
      <c r="F136" s="31"/>
      <c r="G136" s="31"/>
      <c r="H136" s="32"/>
      <c r="I136" s="33" t="str">
        <f t="shared" ca="1" si="7"/>
        <v/>
      </c>
      <c r="J136" s="33" t="str">
        <f t="shared" si="8"/>
        <v/>
      </c>
    </row>
    <row r="137" spans="1:10" ht="20.100000000000001" customHeight="1" x14ac:dyDescent="0.25">
      <c r="A137" s="30" t="str">
        <f t="shared" si="6"/>
        <v/>
      </c>
      <c r="B137" s="31"/>
      <c r="C137" s="31"/>
      <c r="D137" s="31"/>
      <c r="E137" s="31"/>
      <c r="F137" s="31"/>
      <c r="G137" s="31"/>
      <c r="H137" s="32"/>
      <c r="I137" s="33" t="str">
        <f t="shared" ca="1" si="7"/>
        <v/>
      </c>
      <c r="J137" s="33" t="str">
        <f t="shared" si="8"/>
        <v/>
      </c>
    </row>
    <row r="138" spans="1:10" ht="20.100000000000001" customHeight="1" x14ac:dyDescent="0.25">
      <c r="A138" s="30" t="str">
        <f t="shared" si="6"/>
        <v/>
      </c>
      <c r="B138" s="31"/>
      <c r="C138" s="31"/>
      <c r="D138" s="31"/>
      <c r="E138" s="31"/>
      <c r="F138" s="31"/>
      <c r="G138" s="31"/>
      <c r="H138" s="32"/>
      <c r="I138" s="33" t="str">
        <f t="shared" ca="1" si="7"/>
        <v/>
      </c>
      <c r="J138" s="33" t="str">
        <f t="shared" si="8"/>
        <v/>
      </c>
    </row>
    <row r="139" spans="1:10" ht="20.100000000000001" customHeight="1" x14ac:dyDescent="0.25">
      <c r="A139" s="30" t="str">
        <f t="shared" si="6"/>
        <v/>
      </c>
      <c r="B139" s="31"/>
      <c r="C139" s="31"/>
      <c r="D139" s="31"/>
      <c r="E139" s="31"/>
      <c r="F139" s="31"/>
      <c r="G139" s="31"/>
      <c r="H139" s="32"/>
      <c r="I139" s="33" t="str">
        <f t="shared" ca="1" si="7"/>
        <v/>
      </c>
      <c r="J139" s="33" t="str">
        <f t="shared" si="8"/>
        <v/>
      </c>
    </row>
    <row r="140" spans="1:10" ht="20.100000000000001" customHeight="1" x14ac:dyDescent="0.25">
      <c r="A140" s="30" t="str">
        <f t="shared" si="6"/>
        <v/>
      </c>
      <c r="B140" s="31"/>
      <c r="C140" s="31"/>
      <c r="D140" s="31"/>
      <c r="E140" s="31"/>
      <c r="F140" s="31"/>
      <c r="G140" s="31"/>
      <c r="H140" s="32"/>
      <c r="I140" s="33" t="str">
        <f t="shared" ca="1" si="7"/>
        <v/>
      </c>
      <c r="J140" s="33" t="str">
        <f t="shared" si="8"/>
        <v/>
      </c>
    </row>
    <row r="141" spans="1:10" ht="20.100000000000001" customHeight="1" x14ac:dyDescent="0.25">
      <c r="A141" s="30" t="str">
        <f t="shared" si="6"/>
        <v/>
      </c>
      <c r="B141" s="31"/>
      <c r="C141" s="31"/>
      <c r="D141" s="31"/>
      <c r="E141" s="31"/>
      <c r="F141" s="31"/>
      <c r="G141" s="31"/>
      <c r="H141" s="32"/>
      <c r="I141" s="33" t="str">
        <f t="shared" ca="1" si="7"/>
        <v/>
      </c>
      <c r="J141" s="33" t="str">
        <f t="shared" si="8"/>
        <v/>
      </c>
    </row>
    <row r="142" spans="1:10" ht="20.100000000000001" customHeight="1" x14ac:dyDescent="0.25">
      <c r="A142" s="30" t="str">
        <f t="shared" si="6"/>
        <v/>
      </c>
      <c r="B142" s="31"/>
      <c r="C142" s="31"/>
      <c r="D142" s="31"/>
      <c r="E142" s="31"/>
      <c r="F142" s="31"/>
      <c r="G142" s="31"/>
      <c r="H142" s="32"/>
      <c r="I142" s="33" t="str">
        <f t="shared" ca="1" si="7"/>
        <v/>
      </c>
      <c r="J142" s="33" t="str">
        <f t="shared" si="8"/>
        <v/>
      </c>
    </row>
    <row r="143" spans="1:10" ht="20.100000000000001" customHeight="1" x14ac:dyDescent="0.25">
      <c r="A143" s="30" t="str">
        <f t="shared" si="6"/>
        <v/>
      </c>
      <c r="B143" s="31"/>
      <c r="C143" s="31"/>
      <c r="D143" s="31"/>
      <c r="E143" s="31"/>
      <c r="F143" s="31"/>
      <c r="G143" s="31"/>
      <c r="H143" s="32"/>
      <c r="I143" s="33" t="str">
        <f t="shared" ca="1" si="7"/>
        <v/>
      </c>
      <c r="J143" s="33" t="str">
        <f t="shared" si="8"/>
        <v/>
      </c>
    </row>
    <row r="144" spans="1:10" ht="20.100000000000001" customHeight="1" x14ac:dyDescent="0.25">
      <c r="A144" s="30" t="str">
        <f t="shared" si="6"/>
        <v/>
      </c>
      <c r="B144" s="31"/>
      <c r="C144" s="31"/>
      <c r="D144" s="31"/>
      <c r="E144" s="31"/>
      <c r="F144" s="31"/>
      <c r="G144" s="31"/>
      <c r="H144" s="32"/>
      <c r="I144" s="33" t="str">
        <f t="shared" ca="1" si="7"/>
        <v/>
      </c>
      <c r="J144" s="33" t="str">
        <f t="shared" si="8"/>
        <v/>
      </c>
    </row>
    <row r="145" spans="1:10" ht="20.100000000000001" customHeight="1" x14ac:dyDescent="0.25">
      <c r="A145" s="30" t="str">
        <f t="shared" si="6"/>
        <v/>
      </c>
      <c r="B145" s="31"/>
      <c r="C145" s="31"/>
      <c r="D145" s="31"/>
      <c r="E145" s="31"/>
      <c r="F145" s="31"/>
      <c r="G145" s="31"/>
      <c r="H145" s="32"/>
      <c r="I145" s="33" t="str">
        <f t="shared" ca="1" si="7"/>
        <v/>
      </c>
      <c r="J145" s="33" t="str">
        <f t="shared" si="8"/>
        <v/>
      </c>
    </row>
    <row r="146" spans="1:10" ht="20.100000000000001" customHeight="1" x14ac:dyDescent="0.25">
      <c r="A146" s="30" t="str">
        <f t="shared" si="6"/>
        <v/>
      </c>
      <c r="B146" s="31"/>
      <c r="C146" s="31"/>
      <c r="D146" s="31"/>
      <c r="E146" s="31"/>
      <c r="F146" s="31"/>
      <c r="G146" s="31"/>
      <c r="H146" s="32"/>
      <c r="I146" s="33" t="str">
        <f t="shared" ca="1" si="7"/>
        <v/>
      </c>
      <c r="J146" s="33" t="str">
        <f t="shared" si="8"/>
        <v/>
      </c>
    </row>
    <row r="147" spans="1:10" ht="20.100000000000001" customHeight="1" x14ac:dyDescent="0.25">
      <c r="A147" s="30" t="str">
        <f t="shared" si="6"/>
        <v/>
      </c>
      <c r="B147" s="31"/>
      <c r="C147" s="31"/>
      <c r="D147" s="31"/>
      <c r="E147" s="31"/>
      <c r="F147" s="31"/>
      <c r="G147" s="31"/>
      <c r="H147" s="32"/>
      <c r="I147" s="33" t="str">
        <f t="shared" ca="1" si="7"/>
        <v/>
      </c>
      <c r="J147" s="33" t="str">
        <f t="shared" si="8"/>
        <v/>
      </c>
    </row>
    <row r="148" spans="1:10" ht="20.100000000000001" customHeight="1" x14ac:dyDescent="0.25">
      <c r="A148" s="30" t="str">
        <f t="shared" si="6"/>
        <v/>
      </c>
      <c r="B148" s="31"/>
      <c r="C148" s="31"/>
      <c r="D148" s="31"/>
      <c r="E148" s="31"/>
      <c r="F148" s="31"/>
      <c r="G148" s="31"/>
      <c r="H148" s="32"/>
      <c r="I148" s="33" t="str">
        <f t="shared" ca="1" si="7"/>
        <v/>
      </c>
      <c r="J148" s="33" t="str">
        <f t="shared" si="8"/>
        <v/>
      </c>
    </row>
    <row r="149" spans="1:10" ht="20.100000000000001" customHeight="1" x14ac:dyDescent="0.25">
      <c r="A149" s="30" t="str">
        <f t="shared" si="6"/>
        <v/>
      </c>
      <c r="B149" s="31"/>
      <c r="C149" s="31"/>
      <c r="D149" s="31"/>
      <c r="E149" s="31"/>
      <c r="F149" s="31"/>
      <c r="G149" s="31"/>
      <c r="H149" s="32"/>
      <c r="I149" s="33" t="str">
        <f t="shared" ca="1" si="7"/>
        <v/>
      </c>
      <c r="J149" s="33" t="str">
        <f t="shared" si="8"/>
        <v/>
      </c>
    </row>
    <row r="150" spans="1:10" ht="20.100000000000001" customHeight="1" x14ac:dyDescent="0.25">
      <c r="A150" s="30" t="str">
        <f t="shared" si="6"/>
        <v/>
      </c>
      <c r="B150" s="31"/>
      <c r="C150" s="31"/>
      <c r="D150" s="31"/>
      <c r="E150" s="31"/>
      <c r="F150" s="31"/>
      <c r="G150" s="31"/>
      <c r="H150" s="32"/>
      <c r="I150" s="33" t="str">
        <f t="shared" ca="1" si="7"/>
        <v/>
      </c>
      <c r="J150" s="33" t="str">
        <f t="shared" si="8"/>
        <v/>
      </c>
    </row>
    <row r="151" spans="1:10" ht="20.100000000000001" customHeight="1" x14ac:dyDescent="0.25">
      <c r="A151" s="30" t="str">
        <f t="shared" si="6"/>
        <v/>
      </c>
      <c r="B151" s="31"/>
      <c r="C151" s="31"/>
      <c r="D151" s="31"/>
      <c r="E151" s="31"/>
      <c r="F151" s="31"/>
      <c r="G151" s="31"/>
      <c r="H151" s="32"/>
      <c r="I151" s="33" t="str">
        <f t="shared" ca="1" si="7"/>
        <v/>
      </c>
      <c r="J151" s="33" t="str">
        <f t="shared" si="8"/>
        <v/>
      </c>
    </row>
    <row r="152" spans="1:10" ht="20.100000000000001" customHeight="1" x14ac:dyDescent="0.25">
      <c r="A152" s="30" t="str">
        <f t="shared" si="6"/>
        <v/>
      </c>
      <c r="B152" s="31"/>
      <c r="C152" s="31"/>
      <c r="D152" s="31"/>
      <c r="E152" s="31"/>
      <c r="F152" s="31"/>
      <c r="G152" s="31"/>
      <c r="H152" s="32"/>
      <c r="I152" s="33" t="str">
        <f t="shared" ca="1" si="7"/>
        <v/>
      </c>
      <c r="J152" s="33" t="str">
        <f t="shared" si="8"/>
        <v/>
      </c>
    </row>
    <row r="153" spans="1:10" ht="20.100000000000001" customHeight="1" x14ac:dyDescent="0.25">
      <c r="A153" s="30" t="str">
        <f t="shared" si="6"/>
        <v/>
      </c>
      <c r="B153" s="31"/>
      <c r="C153" s="31"/>
      <c r="D153" s="31"/>
      <c r="E153" s="31"/>
      <c r="F153" s="31"/>
      <c r="G153" s="31"/>
      <c r="H153" s="32"/>
      <c r="I153" s="33" t="str">
        <f t="shared" ca="1" si="7"/>
        <v/>
      </c>
      <c r="J153" s="33" t="str">
        <f t="shared" si="8"/>
        <v/>
      </c>
    </row>
    <row r="154" spans="1:10" ht="20.100000000000001" customHeight="1" x14ac:dyDescent="0.25">
      <c r="A154" s="30" t="str">
        <f t="shared" si="6"/>
        <v/>
      </c>
      <c r="B154" s="31"/>
      <c r="C154" s="31"/>
      <c r="D154" s="31"/>
      <c r="E154" s="31"/>
      <c r="F154" s="31"/>
      <c r="G154" s="31"/>
      <c r="H154" s="32"/>
      <c r="I154" s="33" t="str">
        <f t="shared" ca="1" si="7"/>
        <v/>
      </c>
      <c r="J154" s="33" t="str">
        <f t="shared" si="8"/>
        <v/>
      </c>
    </row>
    <row r="155" spans="1:10" ht="20.100000000000001" customHeight="1" x14ac:dyDescent="0.25">
      <c r="A155" s="30" t="str">
        <f t="shared" si="6"/>
        <v/>
      </c>
      <c r="B155" s="31"/>
      <c r="C155" s="31"/>
      <c r="D155" s="31"/>
      <c r="E155" s="31"/>
      <c r="F155" s="31"/>
      <c r="G155" s="31"/>
      <c r="H155" s="32"/>
      <c r="I155" s="33" t="str">
        <f t="shared" ca="1" si="7"/>
        <v/>
      </c>
      <c r="J155" s="33" t="str">
        <f t="shared" si="8"/>
        <v/>
      </c>
    </row>
    <row r="156" spans="1:10" ht="20.100000000000001" customHeight="1" x14ac:dyDescent="0.25">
      <c r="A156" s="30" t="str">
        <f t="shared" si="6"/>
        <v/>
      </c>
      <c r="B156" s="31"/>
      <c r="C156" s="31"/>
      <c r="D156" s="31"/>
      <c r="E156" s="31"/>
      <c r="F156" s="31"/>
      <c r="G156" s="31"/>
      <c r="H156" s="32"/>
      <c r="I156" s="33" t="str">
        <f t="shared" ca="1" si="7"/>
        <v/>
      </c>
      <c r="J156" s="33" t="str">
        <f t="shared" si="8"/>
        <v/>
      </c>
    </row>
    <row r="157" spans="1:10" ht="20.100000000000001" customHeight="1" x14ac:dyDescent="0.25">
      <c r="A157" s="30" t="str">
        <f t="shared" si="6"/>
        <v/>
      </c>
      <c r="B157" s="31"/>
      <c r="C157" s="31"/>
      <c r="D157" s="31"/>
      <c r="E157" s="31"/>
      <c r="F157" s="31"/>
      <c r="G157" s="31"/>
      <c r="H157" s="32"/>
      <c r="I157" s="33" t="str">
        <f t="shared" ca="1" si="7"/>
        <v/>
      </c>
      <c r="J157" s="33" t="str">
        <f t="shared" si="8"/>
        <v/>
      </c>
    </row>
    <row r="158" spans="1:10" ht="20.100000000000001" customHeight="1" x14ac:dyDescent="0.25">
      <c r="A158" s="30" t="str">
        <f t="shared" si="6"/>
        <v/>
      </c>
      <c r="B158" s="31"/>
      <c r="C158" s="31"/>
      <c r="D158" s="31"/>
      <c r="E158" s="31"/>
      <c r="F158" s="31"/>
      <c r="G158" s="31"/>
      <c r="H158" s="32"/>
      <c r="I158" s="33" t="str">
        <f t="shared" ca="1" si="7"/>
        <v/>
      </c>
      <c r="J158" s="33" t="str">
        <f t="shared" si="8"/>
        <v/>
      </c>
    </row>
    <row r="159" spans="1:10" ht="20.100000000000001" customHeight="1" x14ac:dyDescent="0.25">
      <c r="A159" s="30" t="str">
        <f t="shared" si="6"/>
        <v/>
      </c>
      <c r="B159" s="31"/>
      <c r="C159" s="31"/>
      <c r="D159" s="31"/>
      <c r="E159" s="31"/>
      <c r="F159" s="31"/>
      <c r="G159" s="31"/>
      <c r="H159" s="32"/>
      <c r="I159" s="33" t="str">
        <f t="shared" ca="1" si="7"/>
        <v/>
      </c>
      <c r="J159" s="33" t="str">
        <f t="shared" si="8"/>
        <v/>
      </c>
    </row>
    <row r="160" spans="1:10" ht="20.100000000000001" customHeight="1" x14ac:dyDescent="0.25">
      <c r="A160" s="30" t="str">
        <f t="shared" si="6"/>
        <v/>
      </c>
      <c r="B160" s="31"/>
      <c r="C160" s="31"/>
      <c r="D160" s="31"/>
      <c r="E160" s="31"/>
      <c r="F160" s="31"/>
      <c r="G160" s="31"/>
      <c r="H160" s="32"/>
      <c r="I160" s="33" t="str">
        <f t="shared" ca="1" si="7"/>
        <v/>
      </c>
      <c r="J160" s="33" t="str">
        <f t="shared" si="8"/>
        <v/>
      </c>
    </row>
    <row r="161" spans="1:10" ht="20.100000000000001" customHeight="1" x14ac:dyDescent="0.25">
      <c r="A161" s="30" t="str">
        <f t="shared" si="6"/>
        <v/>
      </c>
      <c r="B161" s="31"/>
      <c r="C161" s="31"/>
      <c r="D161" s="31"/>
      <c r="E161" s="31"/>
      <c r="F161" s="31"/>
      <c r="G161" s="31"/>
      <c r="H161" s="32"/>
      <c r="I161" s="33" t="str">
        <f t="shared" ca="1" si="7"/>
        <v/>
      </c>
      <c r="J161" s="33" t="str">
        <f t="shared" si="8"/>
        <v/>
      </c>
    </row>
    <row r="162" spans="1:10" ht="20.100000000000001" customHeight="1" x14ac:dyDescent="0.25">
      <c r="A162" s="30" t="str">
        <f t="shared" si="6"/>
        <v/>
      </c>
      <c r="B162" s="31"/>
      <c r="C162" s="31"/>
      <c r="D162" s="31"/>
      <c r="E162" s="31"/>
      <c r="F162" s="31"/>
      <c r="G162" s="31"/>
      <c r="H162" s="32"/>
      <c r="I162" s="33" t="str">
        <f t="shared" ca="1" si="7"/>
        <v/>
      </c>
      <c r="J162" s="33" t="str">
        <f t="shared" si="8"/>
        <v/>
      </c>
    </row>
    <row r="163" spans="1:10" ht="20.100000000000001" customHeight="1" x14ac:dyDescent="0.25">
      <c r="A163" s="30" t="str">
        <f t="shared" si="6"/>
        <v/>
      </c>
      <c r="B163" s="31"/>
      <c r="C163" s="31"/>
      <c r="D163" s="31"/>
      <c r="E163" s="31"/>
      <c r="F163" s="31"/>
      <c r="G163" s="31"/>
      <c r="H163" s="32"/>
      <c r="I163" s="33" t="str">
        <f t="shared" ca="1" si="7"/>
        <v/>
      </c>
      <c r="J163" s="33" t="str">
        <f t="shared" si="8"/>
        <v/>
      </c>
    </row>
    <row r="164" spans="1:10" ht="20.100000000000001" customHeight="1" x14ac:dyDescent="0.25">
      <c r="A164" s="30" t="str">
        <f t="shared" si="6"/>
        <v/>
      </c>
      <c r="B164" s="31"/>
      <c r="C164" s="31"/>
      <c r="D164" s="31"/>
      <c r="E164" s="31"/>
      <c r="F164" s="31"/>
      <c r="G164" s="31"/>
      <c r="H164" s="32"/>
      <c r="I164" s="33" t="str">
        <f t="shared" ca="1" si="7"/>
        <v/>
      </c>
      <c r="J164" s="33" t="str">
        <f t="shared" si="8"/>
        <v/>
      </c>
    </row>
    <row r="165" spans="1:10" ht="20.100000000000001" customHeight="1" x14ac:dyDescent="0.25">
      <c r="A165" s="30" t="str">
        <f t="shared" si="6"/>
        <v/>
      </c>
      <c r="B165" s="31"/>
      <c r="C165" s="31"/>
      <c r="D165" s="31"/>
      <c r="E165" s="31"/>
      <c r="F165" s="31"/>
      <c r="G165" s="31"/>
      <c r="H165" s="32"/>
      <c r="I165" s="33" t="str">
        <f t="shared" ca="1" si="7"/>
        <v/>
      </c>
      <c r="J165" s="33" t="str">
        <f t="shared" si="8"/>
        <v/>
      </c>
    </row>
    <row r="166" spans="1:10" ht="20.100000000000001" customHeight="1" x14ac:dyDescent="0.25">
      <c r="A166" s="30" t="str">
        <f t="shared" si="6"/>
        <v/>
      </c>
      <c r="B166" s="31"/>
      <c r="C166" s="31"/>
      <c r="D166" s="31"/>
      <c r="E166" s="31"/>
      <c r="F166" s="31"/>
      <c r="G166" s="31"/>
      <c r="H166" s="32"/>
      <c r="I166" s="33" t="str">
        <f t="shared" ca="1" si="7"/>
        <v/>
      </c>
      <c r="J166" s="33" t="str">
        <f t="shared" si="8"/>
        <v/>
      </c>
    </row>
    <row r="167" spans="1:10" ht="20.100000000000001" customHeight="1" x14ac:dyDescent="0.25">
      <c r="A167" s="30" t="str">
        <f t="shared" si="6"/>
        <v/>
      </c>
      <c r="B167" s="31"/>
      <c r="C167" s="31"/>
      <c r="D167" s="31"/>
      <c r="E167" s="31"/>
      <c r="F167" s="31"/>
      <c r="G167" s="31"/>
      <c r="H167" s="32"/>
      <c r="I167" s="33" t="str">
        <f t="shared" ca="1" si="7"/>
        <v/>
      </c>
      <c r="J167" s="33" t="str">
        <f t="shared" si="8"/>
        <v/>
      </c>
    </row>
    <row r="168" spans="1:10" ht="20.100000000000001" customHeight="1" x14ac:dyDescent="0.25">
      <c r="A168" s="30" t="str">
        <f t="shared" si="6"/>
        <v/>
      </c>
      <c r="B168" s="31"/>
      <c r="C168" s="31"/>
      <c r="D168" s="31"/>
      <c r="E168" s="31"/>
      <c r="F168" s="31"/>
      <c r="G168" s="31"/>
      <c r="H168" s="32"/>
      <c r="I168" s="33" t="str">
        <f t="shared" ca="1" si="7"/>
        <v/>
      </c>
      <c r="J168" s="33" t="str">
        <f t="shared" si="8"/>
        <v/>
      </c>
    </row>
    <row r="169" spans="1:10" ht="20.100000000000001" customHeight="1" x14ac:dyDescent="0.25">
      <c r="A169" s="30" t="str">
        <f t="shared" si="6"/>
        <v/>
      </c>
      <c r="B169" s="31"/>
      <c r="C169" s="31"/>
      <c r="D169" s="31"/>
      <c r="E169" s="31"/>
      <c r="F169" s="31"/>
      <c r="G169" s="31"/>
      <c r="H169" s="32"/>
      <c r="I169" s="33" t="str">
        <f t="shared" ca="1" si="7"/>
        <v/>
      </c>
      <c r="J169" s="33" t="str">
        <f t="shared" si="8"/>
        <v/>
      </c>
    </row>
    <row r="170" spans="1:10" ht="20.100000000000001" customHeight="1" x14ac:dyDescent="0.25">
      <c r="A170" s="30" t="str">
        <f t="shared" si="6"/>
        <v/>
      </c>
      <c r="B170" s="31"/>
      <c r="C170" s="31"/>
      <c r="D170" s="31"/>
      <c r="E170" s="31"/>
      <c r="F170" s="31"/>
      <c r="G170" s="31"/>
      <c r="H170" s="32"/>
      <c r="I170" s="33" t="str">
        <f t="shared" ca="1" si="7"/>
        <v/>
      </c>
      <c r="J170" s="33" t="str">
        <f t="shared" si="8"/>
        <v/>
      </c>
    </row>
    <row r="171" spans="1:10" ht="20.100000000000001" customHeight="1" x14ac:dyDescent="0.25">
      <c r="A171" s="30" t="str">
        <f t="shared" si="6"/>
        <v/>
      </c>
      <c r="B171" s="31"/>
      <c r="C171" s="31"/>
      <c r="D171" s="31"/>
      <c r="E171" s="31"/>
      <c r="F171" s="31"/>
      <c r="G171" s="31"/>
      <c r="H171" s="32"/>
      <c r="I171" s="33" t="str">
        <f t="shared" ca="1" si="7"/>
        <v/>
      </c>
      <c r="J171" s="33" t="str">
        <f t="shared" si="8"/>
        <v/>
      </c>
    </row>
    <row r="172" spans="1:10" ht="20.100000000000001" customHeight="1" x14ac:dyDescent="0.25">
      <c r="A172" s="30" t="str">
        <f t="shared" si="6"/>
        <v/>
      </c>
      <c r="B172" s="31"/>
      <c r="C172" s="31"/>
      <c r="D172" s="31"/>
      <c r="E172" s="31"/>
      <c r="F172" s="31"/>
      <c r="G172" s="31"/>
      <c r="H172" s="32"/>
      <c r="I172" s="33" t="str">
        <f t="shared" ca="1" si="7"/>
        <v/>
      </c>
      <c r="J172" s="33" t="str">
        <f t="shared" si="8"/>
        <v/>
      </c>
    </row>
    <row r="173" spans="1:10" ht="20.100000000000001" customHeight="1" x14ac:dyDescent="0.25">
      <c r="A173" s="30" t="str">
        <f t="shared" si="6"/>
        <v/>
      </c>
      <c r="B173" s="31"/>
      <c r="C173" s="31"/>
      <c r="D173" s="31"/>
      <c r="E173" s="31"/>
      <c r="F173" s="31"/>
      <c r="G173" s="31"/>
      <c r="H173" s="32"/>
      <c r="I173" s="33" t="str">
        <f t="shared" ca="1" si="7"/>
        <v/>
      </c>
      <c r="J173" s="33" t="str">
        <f t="shared" si="8"/>
        <v/>
      </c>
    </row>
    <row r="174" spans="1:10" ht="20.100000000000001" customHeight="1" x14ac:dyDescent="0.25">
      <c r="A174" s="30" t="str">
        <f t="shared" si="6"/>
        <v/>
      </c>
      <c r="B174" s="31"/>
      <c r="C174" s="31"/>
      <c r="D174" s="31"/>
      <c r="E174" s="31"/>
      <c r="F174" s="31"/>
      <c r="G174" s="31"/>
      <c r="H174" s="32"/>
      <c r="I174" s="33" t="str">
        <f t="shared" ca="1" si="7"/>
        <v/>
      </c>
      <c r="J174" s="33" t="str">
        <f t="shared" si="8"/>
        <v/>
      </c>
    </row>
    <row r="175" spans="1:10" ht="20.100000000000001" customHeight="1" x14ac:dyDescent="0.25">
      <c r="A175" s="30" t="str">
        <f t="shared" si="6"/>
        <v/>
      </c>
      <c r="B175" s="31"/>
      <c r="C175" s="31"/>
      <c r="D175" s="31"/>
      <c r="E175" s="31"/>
      <c r="F175" s="31"/>
      <c r="G175" s="31"/>
      <c r="H175" s="32"/>
      <c r="I175" s="33" t="str">
        <f t="shared" ca="1" si="7"/>
        <v/>
      </c>
      <c r="J175" s="33" t="str">
        <f t="shared" si="8"/>
        <v/>
      </c>
    </row>
    <row r="176" spans="1:10" ht="20.100000000000001" customHeight="1" x14ac:dyDescent="0.25">
      <c r="A176" s="30" t="str">
        <f t="shared" si="6"/>
        <v/>
      </c>
      <c r="B176" s="31"/>
      <c r="C176" s="31"/>
      <c r="D176" s="31"/>
      <c r="E176" s="31"/>
      <c r="F176" s="31"/>
      <c r="G176" s="31"/>
      <c r="H176" s="32"/>
      <c r="I176" s="33" t="str">
        <f t="shared" ca="1" si="7"/>
        <v/>
      </c>
      <c r="J176" s="33" t="str">
        <f t="shared" si="8"/>
        <v/>
      </c>
    </row>
    <row r="177" spans="1:10" ht="20.100000000000001" customHeight="1" x14ac:dyDescent="0.25">
      <c r="A177" s="30" t="str">
        <f t="shared" si="6"/>
        <v/>
      </c>
      <c r="B177" s="31"/>
      <c r="C177" s="31"/>
      <c r="D177" s="31"/>
      <c r="E177" s="31"/>
      <c r="F177" s="31"/>
      <c r="G177" s="31"/>
      <c r="H177" s="32"/>
      <c r="I177" s="33" t="str">
        <f t="shared" ca="1" si="7"/>
        <v/>
      </c>
      <c r="J177" s="33" t="str">
        <f t="shared" si="8"/>
        <v/>
      </c>
    </row>
    <row r="178" spans="1:10" ht="20.100000000000001" customHeight="1" x14ac:dyDescent="0.25">
      <c r="A178" s="30" t="str">
        <f t="shared" si="6"/>
        <v/>
      </c>
      <c r="B178" s="31"/>
      <c r="C178" s="31"/>
      <c r="D178" s="31"/>
      <c r="E178" s="31"/>
      <c r="F178" s="31"/>
      <c r="G178" s="31"/>
      <c r="H178" s="32"/>
      <c r="I178" s="33" t="str">
        <f t="shared" ca="1" si="7"/>
        <v/>
      </c>
      <c r="J178" s="33" t="str">
        <f t="shared" si="8"/>
        <v/>
      </c>
    </row>
    <row r="179" spans="1:10" ht="20.100000000000001" customHeight="1" x14ac:dyDescent="0.25">
      <c r="A179" s="30" t="str">
        <f t="shared" si="6"/>
        <v/>
      </c>
      <c r="B179" s="31"/>
      <c r="C179" s="31"/>
      <c r="D179" s="31"/>
      <c r="E179" s="31"/>
      <c r="F179" s="31"/>
      <c r="G179" s="31"/>
      <c r="H179" s="32"/>
      <c r="I179" s="33" t="str">
        <f t="shared" ca="1" si="7"/>
        <v/>
      </c>
      <c r="J179" s="33" t="str">
        <f t="shared" si="8"/>
        <v/>
      </c>
    </row>
    <row r="180" spans="1:10" ht="20.100000000000001" customHeight="1" x14ac:dyDescent="0.25">
      <c r="A180" s="30" t="str">
        <f t="shared" si="6"/>
        <v/>
      </c>
      <c r="B180" s="31"/>
      <c r="C180" s="31"/>
      <c r="D180" s="31"/>
      <c r="E180" s="31"/>
      <c r="F180" s="31"/>
      <c r="G180" s="31"/>
      <c r="H180" s="32"/>
      <c r="I180" s="33" t="str">
        <f t="shared" ca="1" si="7"/>
        <v/>
      </c>
      <c r="J180" s="33" t="str">
        <f t="shared" si="8"/>
        <v/>
      </c>
    </row>
    <row r="181" spans="1:10" ht="20.100000000000001" customHeight="1" x14ac:dyDescent="0.25">
      <c r="A181" s="30" t="str">
        <f t="shared" si="6"/>
        <v/>
      </c>
      <c r="B181" s="31"/>
      <c r="C181" s="31"/>
      <c r="D181" s="31"/>
      <c r="E181" s="31"/>
      <c r="F181" s="31"/>
      <c r="G181" s="31"/>
      <c r="H181" s="32"/>
      <c r="I181" s="33" t="str">
        <f t="shared" ca="1" si="7"/>
        <v/>
      </c>
      <c r="J181" s="33" t="str">
        <f t="shared" si="8"/>
        <v/>
      </c>
    </row>
    <row r="182" spans="1:10" ht="20.100000000000001" customHeight="1" x14ac:dyDescent="0.25">
      <c r="A182" s="30" t="str">
        <f t="shared" si="6"/>
        <v/>
      </c>
      <c r="B182" s="31"/>
      <c r="C182" s="31"/>
      <c r="D182" s="31"/>
      <c r="E182" s="31"/>
      <c r="F182" s="31"/>
      <c r="G182" s="31"/>
      <c r="H182" s="32"/>
      <c r="I182" s="33" t="str">
        <f t="shared" ca="1" si="7"/>
        <v/>
      </c>
      <c r="J182" s="33" t="str">
        <f t="shared" si="8"/>
        <v/>
      </c>
    </row>
    <row r="183" spans="1:10" ht="20.100000000000001" customHeight="1" x14ac:dyDescent="0.25">
      <c r="A183" s="30" t="str">
        <f t="shared" si="6"/>
        <v/>
      </c>
      <c r="B183" s="31"/>
      <c r="C183" s="31"/>
      <c r="D183" s="31"/>
      <c r="E183" s="31"/>
      <c r="F183" s="31"/>
      <c r="G183" s="31"/>
      <c r="H183" s="32"/>
      <c r="I183" s="33" t="str">
        <f t="shared" ca="1" si="7"/>
        <v/>
      </c>
      <c r="J183" s="33" t="str">
        <f t="shared" si="8"/>
        <v/>
      </c>
    </row>
    <row r="184" spans="1:10" ht="20.100000000000001" customHeight="1" x14ac:dyDescent="0.25">
      <c r="A184" s="30" t="str">
        <f t="shared" si="6"/>
        <v/>
      </c>
      <c r="B184" s="31"/>
      <c r="C184" s="31"/>
      <c r="D184" s="31"/>
      <c r="E184" s="31"/>
      <c r="F184" s="31"/>
      <c r="G184" s="31"/>
      <c r="H184" s="32"/>
      <c r="I184" s="33" t="str">
        <f t="shared" ca="1" si="7"/>
        <v/>
      </c>
      <c r="J184" s="33" t="str">
        <f t="shared" si="8"/>
        <v/>
      </c>
    </row>
    <row r="185" spans="1:10" ht="20.100000000000001" customHeight="1" x14ac:dyDescent="0.25">
      <c r="A185" s="30" t="str">
        <f t="shared" si="6"/>
        <v/>
      </c>
      <c r="B185" s="31"/>
      <c r="C185" s="31"/>
      <c r="D185" s="31"/>
      <c r="E185" s="31"/>
      <c r="F185" s="31"/>
      <c r="G185" s="31"/>
      <c r="H185" s="32"/>
      <c r="I185" s="33" t="str">
        <f t="shared" ca="1" si="7"/>
        <v/>
      </c>
      <c r="J185" s="33" t="str">
        <f t="shared" si="8"/>
        <v/>
      </c>
    </row>
    <row r="186" spans="1:10" ht="20.100000000000001" customHeight="1" x14ac:dyDescent="0.25">
      <c r="A186" s="30" t="str">
        <f t="shared" si="6"/>
        <v/>
      </c>
      <c r="B186" s="31"/>
      <c r="C186" s="31"/>
      <c r="D186" s="31"/>
      <c r="E186" s="31"/>
      <c r="F186" s="31"/>
      <c r="G186" s="31"/>
      <c r="H186" s="32"/>
      <c r="I186" s="33" t="str">
        <f t="shared" ca="1" si="7"/>
        <v/>
      </c>
      <c r="J186" s="33" t="str">
        <f t="shared" si="8"/>
        <v/>
      </c>
    </row>
    <row r="187" spans="1:10" ht="20.100000000000001" customHeight="1" x14ac:dyDescent="0.25">
      <c r="A187" s="30" t="str">
        <f t="shared" si="6"/>
        <v/>
      </c>
      <c r="B187" s="31"/>
      <c r="C187" s="31"/>
      <c r="D187" s="31"/>
      <c r="E187" s="31"/>
      <c r="F187" s="31"/>
      <c r="G187" s="31"/>
      <c r="H187" s="32"/>
      <c r="I187" s="33" t="str">
        <f t="shared" ca="1" si="7"/>
        <v/>
      </c>
      <c r="J187" s="33" t="str">
        <f t="shared" si="8"/>
        <v/>
      </c>
    </row>
    <row r="188" spans="1:10" ht="20.100000000000001" customHeight="1" x14ac:dyDescent="0.25">
      <c r="A188" s="30" t="str">
        <f t="shared" si="6"/>
        <v/>
      </c>
      <c r="B188" s="31"/>
      <c r="C188" s="31"/>
      <c r="D188" s="31"/>
      <c r="E188" s="31"/>
      <c r="F188" s="31"/>
      <c r="G188" s="31"/>
      <c r="H188" s="32"/>
      <c r="I188" s="33" t="str">
        <f t="shared" ca="1" si="7"/>
        <v/>
      </c>
      <c r="J188" s="33" t="str">
        <f t="shared" si="8"/>
        <v/>
      </c>
    </row>
    <row r="189" spans="1:10" ht="20.100000000000001" customHeight="1" x14ac:dyDescent="0.25">
      <c r="A189" s="30" t="str">
        <f t="shared" si="6"/>
        <v/>
      </c>
      <c r="B189" s="31"/>
      <c r="C189" s="31"/>
      <c r="D189" s="31"/>
      <c r="E189" s="31"/>
      <c r="F189" s="31"/>
      <c r="G189" s="31"/>
      <c r="H189" s="32"/>
      <c r="I189" s="33" t="str">
        <f t="shared" ca="1" si="7"/>
        <v/>
      </c>
      <c r="J189" s="33" t="str">
        <f t="shared" si="8"/>
        <v/>
      </c>
    </row>
    <row r="190" spans="1:10" ht="20.100000000000001" customHeight="1" x14ac:dyDescent="0.25">
      <c r="A190" s="30" t="str">
        <f t="shared" si="6"/>
        <v/>
      </c>
      <c r="B190" s="31"/>
      <c r="C190" s="31"/>
      <c r="D190" s="31"/>
      <c r="E190" s="31"/>
      <c r="F190" s="31"/>
      <c r="G190" s="31"/>
      <c r="H190" s="32"/>
      <c r="I190" s="33" t="str">
        <f t="shared" ca="1" si="7"/>
        <v/>
      </c>
      <c r="J190" s="33" t="str">
        <f t="shared" si="8"/>
        <v/>
      </c>
    </row>
    <row r="191" spans="1:10" ht="20.100000000000001" customHeight="1" x14ac:dyDescent="0.25">
      <c r="A191" s="30" t="str">
        <f t="shared" si="6"/>
        <v/>
      </c>
      <c r="B191" s="31"/>
      <c r="C191" s="31"/>
      <c r="D191" s="31"/>
      <c r="E191" s="31"/>
      <c r="F191" s="31"/>
      <c r="G191" s="31"/>
      <c r="H191" s="32"/>
      <c r="I191" s="33" t="str">
        <f t="shared" ca="1" si="7"/>
        <v/>
      </c>
      <c r="J191" s="33" t="str">
        <f t="shared" si="8"/>
        <v/>
      </c>
    </row>
    <row r="192" spans="1:10" ht="20.100000000000001" customHeight="1" x14ac:dyDescent="0.25">
      <c r="A192" s="30" t="str">
        <f t="shared" si="6"/>
        <v/>
      </c>
      <c r="B192" s="31"/>
      <c r="C192" s="31"/>
      <c r="D192" s="31"/>
      <c r="E192" s="31"/>
      <c r="F192" s="31"/>
      <c r="G192" s="31"/>
      <c r="H192" s="32"/>
      <c r="I192" s="33" t="str">
        <f t="shared" ca="1" si="7"/>
        <v/>
      </c>
      <c r="J192" s="33" t="str">
        <f t="shared" si="8"/>
        <v/>
      </c>
    </row>
    <row r="193" spans="1:10" ht="20.100000000000001" customHeight="1" x14ac:dyDescent="0.25">
      <c r="A193" s="30" t="str">
        <f t="shared" si="6"/>
        <v/>
      </c>
      <c r="B193" s="31"/>
      <c r="C193" s="31"/>
      <c r="D193" s="31"/>
      <c r="E193" s="31"/>
      <c r="F193" s="31"/>
      <c r="G193" s="31"/>
      <c r="H193" s="32"/>
      <c r="I193" s="33" t="str">
        <f t="shared" ca="1" si="7"/>
        <v/>
      </c>
      <c r="J193" s="33" t="str">
        <f t="shared" si="8"/>
        <v/>
      </c>
    </row>
    <row r="194" spans="1:10" ht="20.100000000000001" customHeight="1" x14ac:dyDescent="0.25">
      <c r="A194" s="30" t="str">
        <f t="shared" si="6"/>
        <v/>
      </c>
      <c r="B194" s="31"/>
      <c r="C194" s="31"/>
      <c r="D194" s="31"/>
      <c r="E194" s="31"/>
      <c r="F194" s="31"/>
      <c r="G194" s="31"/>
      <c r="H194" s="32"/>
      <c r="I194" s="33" t="str">
        <f t="shared" ca="1" si="7"/>
        <v/>
      </c>
      <c r="J194" s="33" t="str">
        <f t="shared" si="8"/>
        <v/>
      </c>
    </row>
    <row r="195" spans="1:10" ht="20.100000000000001" customHeight="1" x14ac:dyDescent="0.25">
      <c r="A195" s="30" t="str">
        <f t="shared" si="6"/>
        <v/>
      </c>
      <c r="B195" s="31"/>
      <c r="C195" s="31"/>
      <c r="D195" s="31"/>
      <c r="E195" s="31"/>
      <c r="F195" s="31"/>
      <c r="G195" s="31"/>
      <c r="H195" s="32"/>
      <c r="I195" s="33" t="str">
        <f t="shared" ca="1" si="7"/>
        <v/>
      </c>
      <c r="J195" s="33" t="str">
        <f t="shared" si="8"/>
        <v/>
      </c>
    </row>
    <row r="196" spans="1:10" ht="20.100000000000001" customHeight="1" x14ac:dyDescent="0.25">
      <c r="A196" s="30" t="str">
        <f t="shared" si="6"/>
        <v/>
      </c>
      <c r="B196" s="31"/>
      <c r="C196" s="31"/>
      <c r="D196" s="31"/>
      <c r="E196" s="31"/>
      <c r="F196" s="31"/>
      <c r="G196" s="31"/>
      <c r="H196" s="32"/>
      <c r="I196" s="33" t="str">
        <f t="shared" ca="1" si="7"/>
        <v/>
      </c>
      <c r="J196" s="33" t="str">
        <f t="shared" si="8"/>
        <v/>
      </c>
    </row>
    <row r="197" spans="1:10" ht="20.100000000000001" customHeight="1" x14ac:dyDescent="0.25">
      <c r="A197" s="30" t="str">
        <f t="shared" ref="A197:A260" si="9">IF(B197="","","ACC"&amp;TEXT(ROW()-4,"0000"))</f>
        <v/>
      </c>
      <c r="B197" s="31"/>
      <c r="C197" s="31"/>
      <c r="D197" s="31"/>
      <c r="E197" s="31"/>
      <c r="F197" s="31"/>
      <c r="G197" s="31"/>
      <c r="H197" s="32"/>
      <c r="I197" s="33" t="str">
        <f t="shared" ref="I197:I260" ca="1" si="10">IF(B197="","",TEXT(TODAY(),"dd/mm/yyyy"))</f>
        <v/>
      </c>
      <c r="J197" s="33" t="str">
        <f t="shared" ref="J197:J260" si="11">IF(B197="","",IF(ISNUMBER(H197),IF(H197&gt;=10,"✅ Active","⚠️ Below Min Balance"),"Pending"))</f>
        <v/>
      </c>
    </row>
    <row r="198" spans="1:10" ht="20.100000000000001" customHeight="1" x14ac:dyDescent="0.25">
      <c r="A198" s="30" t="str">
        <f t="shared" si="9"/>
        <v/>
      </c>
      <c r="B198" s="31"/>
      <c r="C198" s="31"/>
      <c r="D198" s="31"/>
      <c r="E198" s="31"/>
      <c r="F198" s="31"/>
      <c r="G198" s="31"/>
      <c r="H198" s="32"/>
      <c r="I198" s="33" t="str">
        <f t="shared" ca="1" si="10"/>
        <v/>
      </c>
      <c r="J198" s="33" t="str">
        <f t="shared" si="11"/>
        <v/>
      </c>
    </row>
    <row r="199" spans="1:10" ht="20.100000000000001" customHeight="1" x14ac:dyDescent="0.25">
      <c r="A199" s="30" t="str">
        <f t="shared" si="9"/>
        <v/>
      </c>
      <c r="B199" s="31"/>
      <c r="C199" s="31"/>
      <c r="D199" s="31"/>
      <c r="E199" s="31"/>
      <c r="F199" s="31"/>
      <c r="G199" s="31"/>
      <c r="H199" s="32"/>
      <c r="I199" s="33" t="str">
        <f t="shared" ca="1" si="10"/>
        <v/>
      </c>
      <c r="J199" s="33" t="str">
        <f t="shared" si="11"/>
        <v/>
      </c>
    </row>
    <row r="200" spans="1:10" ht="20.100000000000001" customHeight="1" x14ac:dyDescent="0.25">
      <c r="A200" s="30" t="str">
        <f t="shared" si="9"/>
        <v/>
      </c>
      <c r="B200" s="31"/>
      <c r="C200" s="31"/>
      <c r="D200" s="31"/>
      <c r="E200" s="31"/>
      <c r="F200" s="31"/>
      <c r="G200" s="31"/>
      <c r="H200" s="32"/>
      <c r="I200" s="33" t="str">
        <f t="shared" ca="1" si="10"/>
        <v/>
      </c>
      <c r="J200" s="33" t="str">
        <f t="shared" si="11"/>
        <v/>
      </c>
    </row>
    <row r="201" spans="1:10" ht="20.100000000000001" customHeight="1" x14ac:dyDescent="0.25">
      <c r="A201" s="30" t="str">
        <f t="shared" si="9"/>
        <v/>
      </c>
      <c r="B201" s="31"/>
      <c r="C201" s="31"/>
      <c r="D201" s="31"/>
      <c r="E201" s="31"/>
      <c r="F201" s="31"/>
      <c r="G201" s="31"/>
      <c r="H201" s="32"/>
      <c r="I201" s="33" t="str">
        <f t="shared" ca="1" si="10"/>
        <v/>
      </c>
      <c r="J201" s="33" t="str">
        <f t="shared" si="11"/>
        <v/>
      </c>
    </row>
    <row r="202" spans="1:10" ht="20.100000000000001" customHeight="1" x14ac:dyDescent="0.25">
      <c r="A202" s="30" t="str">
        <f t="shared" si="9"/>
        <v/>
      </c>
      <c r="B202" s="31"/>
      <c r="C202" s="31"/>
      <c r="D202" s="31"/>
      <c r="E202" s="31"/>
      <c r="F202" s="31"/>
      <c r="G202" s="31"/>
      <c r="H202" s="32"/>
      <c r="I202" s="33" t="str">
        <f t="shared" ca="1" si="10"/>
        <v/>
      </c>
      <c r="J202" s="33" t="str">
        <f t="shared" si="11"/>
        <v/>
      </c>
    </row>
    <row r="203" spans="1:10" ht="20.100000000000001" customHeight="1" x14ac:dyDescent="0.25">
      <c r="A203" s="30" t="str">
        <f t="shared" si="9"/>
        <v/>
      </c>
      <c r="B203" s="31"/>
      <c r="C203" s="31"/>
      <c r="D203" s="31"/>
      <c r="E203" s="31"/>
      <c r="F203" s="31"/>
      <c r="G203" s="31"/>
      <c r="H203" s="32"/>
      <c r="I203" s="33" t="str">
        <f t="shared" ca="1" si="10"/>
        <v/>
      </c>
      <c r="J203" s="33" t="str">
        <f t="shared" si="11"/>
        <v/>
      </c>
    </row>
    <row r="204" spans="1:10" ht="20.100000000000001" customHeight="1" x14ac:dyDescent="0.25">
      <c r="A204" s="30" t="str">
        <f t="shared" si="9"/>
        <v/>
      </c>
      <c r="B204" s="31"/>
      <c r="C204" s="31"/>
      <c r="D204" s="31"/>
      <c r="E204" s="31"/>
      <c r="F204" s="31"/>
      <c r="G204" s="31"/>
      <c r="H204" s="32"/>
      <c r="I204" s="33" t="str">
        <f t="shared" ca="1" si="10"/>
        <v/>
      </c>
      <c r="J204" s="33" t="str">
        <f t="shared" si="11"/>
        <v/>
      </c>
    </row>
    <row r="205" spans="1:10" ht="20.100000000000001" customHeight="1" x14ac:dyDescent="0.25">
      <c r="A205" s="30" t="str">
        <f t="shared" si="9"/>
        <v/>
      </c>
      <c r="B205" s="31"/>
      <c r="C205" s="31"/>
      <c r="D205" s="31"/>
      <c r="E205" s="31"/>
      <c r="F205" s="31"/>
      <c r="G205" s="31"/>
      <c r="H205" s="32"/>
      <c r="I205" s="33" t="str">
        <f t="shared" ca="1" si="10"/>
        <v/>
      </c>
      <c r="J205" s="33" t="str">
        <f t="shared" si="11"/>
        <v/>
      </c>
    </row>
    <row r="206" spans="1:10" ht="20.100000000000001" customHeight="1" x14ac:dyDescent="0.25">
      <c r="A206" s="30" t="str">
        <f t="shared" si="9"/>
        <v/>
      </c>
      <c r="B206" s="31"/>
      <c r="C206" s="31"/>
      <c r="D206" s="31"/>
      <c r="E206" s="31"/>
      <c r="F206" s="31"/>
      <c r="G206" s="31"/>
      <c r="H206" s="32"/>
      <c r="I206" s="33" t="str">
        <f t="shared" ca="1" si="10"/>
        <v/>
      </c>
      <c r="J206" s="33" t="str">
        <f t="shared" si="11"/>
        <v/>
      </c>
    </row>
    <row r="207" spans="1:10" ht="20.100000000000001" customHeight="1" x14ac:dyDescent="0.25">
      <c r="A207" s="30" t="str">
        <f t="shared" si="9"/>
        <v/>
      </c>
      <c r="B207" s="31"/>
      <c r="C207" s="31"/>
      <c r="D207" s="31"/>
      <c r="E207" s="31"/>
      <c r="F207" s="31"/>
      <c r="G207" s="31"/>
      <c r="H207" s="32"/>
      <c r="I207" s="33" t="str">
        <f t="shared" ca="1" si="10"/>
        <v/>
      </c>
      <c r="J207" s="33" t="str">
        <f t="shared" si="11"/>
        <v/>
      </c>
    </row>
    <row r="208" spans="1:10" ht="20.100000000000001" customHeight="1" x14ac:dyDescent="0.25">
      <c r="A208" s="30" t="str">
        <f t="shared" si="9"/>
        <v/>
      </c>
      <c r="B208" s="31"/>
      <c r="C208" s="31"/>
      <c r="D208" s="31"/>
      <c r="E208" s="31"/>
      <c r="F208" s="31"/>
      <c r="G208" s="31"/>
      <c r="H208" s="32"/>
      <c r="I208" s="33" t="str">
        <f t="shared" ca="1" si="10"/>
        <v/>
      </c>
      <c r="J208" s="33" t="str">
        <f t="shared" si="11"/>
        <v/>
      </c>
    </row>
    <row r="209" spans="1:10" ht="20.100000000000001" customHeight="1" x14ac:dyDescent="0.25">
      <c r="A209" s="30" t="str">
        <f t="shared" si="9"/>
        <v/>
      </c>
      <c r="B209" s="31"/>
      <c r="C209" s="31"/>
      <c r="D209" s="31"/>
      <c r="E209" s="31"/>
      <c r="F209" s="31"/>
      <c r="G209" s="31"/>
      <c r="H209" s="32"/>
      <c r="I209" s="33" t="str">
        <f t="shared" ca="1" si="10"/>
        <v/>
      </c>
      <c r="J209" s="33" t="str">
        <f t="shared" si="11"/>
        <v/>
      </c>
    </row>
    <row r="210" spans="1:10" ht="20.100000000000001" customHeight="1" x14ac:dyDescent="0.25">
      <c r="A210" s="30" t="str">
        <f t="shared" si="9"/>
        <v/>
      </c>
      <c r="B210" s="31"/>
      <c r="C210" s="31"/>
      <c r="D210" s="31"/>
      <c r="E210" s="31"/>
      <c r="F210" s="31"/>
      <c r="G210" s="31"/>
      <c r="H210" s="32"/>
      <c r="I210" s="33" t="str">
        <f t="shared" ca="1" si="10"/>
        <v/>
      </c>
      <c r="J210" s="33" t="str">
        <f t="shared" si="11"/>
        <v/>
      </c>
    </row>
    <row r="211" spans="1:10" ht="20.100000000000001" customHeight="1" x14ac:dyDescent="0.25">
      <c r="A211" s="30" t="str">
        <f t="shared" si="9"/>
        <v/>
      </c>
      <c r="B211" s="31"/>
      <c r="C211" s="31"/>
      <c r="D211" s="31"/>
      <c r="E211" s="31"/>
      <c r="F211" s="31"/>
      <c r="G211" s="31"/>
      <c r="H211" s="32"/>
      <c r="I211" s="33" t="str">
        <f t="shared" ca="1" si="10"/>
        <v/>
      </c>
      <c r="J211" s="33" t="str">
        <f t="shared" si="11"/>
        <v/>
      </c>
    </row>
    <row r="212" spans="1:10" ht="20.100000000000001" customHeight="1" x14ac:dyDescent="0.25">
      <c r="A212" s="30" t="str">
        <f t="shared" si="9"/>
        <v/>
      </c>
      <c r="B212" s="31"/>
      <c r="C212" s="31"/>
      <c r="D212" s="31"/>
      <c r="E212" s="31"/>
      <c r="F212" s="31"/>
      <c r="G212" s="31"/>
      <c r="H212" s="32"/>
      <c r="I212" s="33" t="str">
        <f t="shared" ca="1" si="10"/>
        <v/>
      </c>
      <c r="J212" s="33" t="str">
        <f t="shared" si="11"/>
        <v/>
      </c>
    </row>
    <row r="213" spans="1:10" ht="20.100000000000001" customHeight="1" x14ac:dyDescent="0.25">
      <c r="A213" s="30" t="str">
        <f t="shared" si="9"/>
        <v/>
      </c>
      <c r="B213" s="31"/>
      <c r="C213" s="31"/>
      <c r="D213" s="31"/>
      <c r="E213" s="31"/>
      <c r="F213" s="31"/>
      <c r="G213" s="31"/>
      <c r="H213" s="32"/>
      <c r="I213" s="33" t="str">
        <f t="shared" ca="1" si="10"/>
        <v/>
      </c>
      <c r="J213" s="33" t="str">
        <f t="shared" si="11"/>
        <v/>
      </c>
    </row>
    <row r="214" spans="1:10" ht="20.100000000000001" customHeight="1" x14ac:dyDescent="0.25">
      <c r="A214" s="30" t="str">
        <f t="shared" si="9"/>
        <v/>
      </c>
      <c r="B214" s="31"/>
      <c r="C214" s="31"/>
      <c r="D214" s="31"/>
      <c r="E214" s="31"/>
      <c r="F214" s="31"/>
      <c r="G214" s="31"/>
      <c r="H214" s="32"/>
      <c r="I214" s="33" t="str">
        <f t="shared" ca="1" si="10"/>
        <v/>
      </c>
      <c r="J214" s="33" t="str">
        <f t="shared" si="11"/>
        <v/>
      </c>
    </row>
    <row r="215" spans="1:10" ht="20.100000000000001" customHeight="1" x14ac:dyDescent="0.25">
      <c r="A215" s="30" t="str">
        <f t="shared" si="9"/>
        <v/>
      </c>
      <c r="B215" s="31"/>
      <c r="C215" s="31"/>
      <c r="D215" s="31"/>
      <c r="E215" s="31"/>
      <c r="F215" s="31"/>
      <c r="G215" s="31"/>
      <c r="H215" s="32"/>
      <c r="I215" s="33" t="str">
        <f t="shared" ca="1" si="10"/>
        <v/>
      </c>
      <c r="J215" s="33" t="str">
        <f t="shared" si="11"/>
        <v/>
      </c>
    </row>
    <row r="216" spans="1:10" ht="20.100000000000001" customHeight="1" x14ac:dyDescent="0.25">
      <c r="A216" s="30" t="str">
        <f t="shared" si="9"/>
        <v/>
      </c>
      <c r="B216" s="31"/>
      <c r="C216" s="31"/>
      <c r="D216" s="31"/>
      <c r="E216" s="31"/>
      <c r="F216" s="31"/>
      <c r="G216" s="31"/>
      <c r="H216" s="32"/>
      <c r="I216" s="33" t="str">
        <f t="shared" ca="1" si="10"/>
        <v/>
      </c>
      <c r="J216" s="33" t="str">
        <f t="shared" si="11"/>
        <v/>
      </c>
    </row>
    <row r="217" spans="1:10" ht="20.100000000000001" customHeight="1" x14ac:dyDescent="0.25">
      <c r="A217" s="30" t="str">
        <f t="shared" si="9"/>
        <v/>
      </c>
      <c r="B217" s="31"/>
      <c r="C217" s="31"/>
      <c r="D217" s="31"/>
      <c r="E217" s="31"/>
      <c r="F217" s="31"/>
      <c r="G217" s="31"/>
      <c r="H217" s="32"/>
      <c r="I217" s="33" t="str">
        <f t="shared" ca="1" si="10"/>
        <v/>
      </c>
      <c r="J217" s="33" t="str">
        <f t="shared" si="11"/>
        <v/>
      </c>
    </row>
    <row r="218" spans="1:10" ht="20.100000000000001" customHeight="1" x14ac:dyDescent="0.25">
      <c r="A218" s="30" t="str">
        <f t="shared" si="9"/>
        <v/>
      </c>
      <c r="B218" s="31"/>
      <c r="C218" s="31"/>
      <c r="D218" s="31"/>
      <c r="E218" s="31"/>
      <c r="F218" s="31"/>
      <c r="G218" s="31"/>
      <c r="H218" s="32"/>
      <c r="I218" s="33" t="str">
        <f t="shared" ca="1" si="10"/>
        <v/>
      </c>
      <c r="J218" s="33" t="str">
        <f t="shared" si="11"/>
        <v/>
      </c>
    </row>
    <row r="219" spans="1:10" ht="20.100000000000001" customHeight="1" x14ac:dyDescent="0.25">
      <c r="A219" s="30" t="str">
        <f t="shared" si="9"/>
        <v/>
      </c>
      <c r="B219" s="31"/>
      <c r="C219" s="31"/>
      <c r="D219" s="31"/>
      <c r="E219" s="31"/>
      <c r="F219" s="31"/>
      <c r="G219" s="31"/>
      <c r="H219" s="32"/>
      <c r="I219" s="33" t="str">
        <f t="shared" ca="1" si="10"/>
        <v/>
      </c>
      <c r="J219" s="33" t="str">
        <f t="shared" si="11"/>
        <v/>
      </c>
    </row>
    <row r="220" spans="1:10" ht="20.100000000000001" customHeight="1" x14ac:dyDescent="0.25">
      <c r="A220" s="30" t="str">
        <f t="shared" si="9"/>
        <v/>
      </c>
      <c r="B220" s="31"/>
      <c r="C220" s="31"/>
      <c r="D220" s="31"/>
      <c r="E220" s="31"/>
      <c r="F220" s="31"/>
      <c r="G220" s="31"/>
      <c r="H220" s="32"/>
      <c r="I220" s="33" t="str">
        <f t="shared" ca="1" si="10"/>
        <v/>
      </c>
      <c r="J220" s="33" t="str">
        <f t="shared" si="11"/>
        <v/>
      </c>
    </row>
    <row r="221" spans="1:10" ht="20.100000000000001" customHeight="1" x14ac:dyDescent="0.25">
      <c r="A221" s="30" t="str">
        <f t="shared" si="9"/>
        <v/>
      </c>
      <c r="B221" s="31"/>
      <c r="C221" s="31"/>
      <c r="D221" s="31"/>
      <c r="E221" s="31"/>
      <c r="F221" s="31"/>
      <c r="G221" s="31"/>
      <c r="H221" s="32"/>
      <c r="I221" s="33" t="str">
        <f t="shared" ca="1" si="10"/>
        <v/>
      </c>
      <c r="J221" s="33" t="str">
        <f t="shared" si="11"/>
        <v/>
      </c>
    </row>
    <row r="222" spans="1:10" ht="20.100000000000001" customHeight="1" x14ac:dyDescent="0.25">
      <c r="A222" s="30" t="str">
        <f t="shared" si="9"/>
        <v/>
      </c>
      <c r="B222" s="31"/>
      <c r="C222" s="31"/>
      <c r="D222" s="31"/>
      <c r="E222" s="31"/>
      <c r="F222" s="31"/>
      <c r="G222" s="31"/>
      <c r="H222" s="32"/>
      <c r="I222" s="33" t="str">
        <f t="shared" ca="1" si="10"/>
        <v/>
      </c>
      <c r="J222" s="33" t="str">
        <f t="shared" si="11"/>
        <v/>
      </c>
    </row>
    <row r="223" spans="1:10" ht="20.100000000000001" customHeight="1" x14ac:dyDescent="0.25">
      <c r="A223" s="30" t="str">
        <f t="shared" si="9"/>
        <v/>
      </c>
      <c r="B223" s="31"/>
      <c r="C223" s="31"/>
      <c r="D223" s="31"/>
      <c r="E223" s="31"/>
      <c r="F223" s="31"/>
      <c r="G223" s="31"/>
      <c r="H223" s="32"/>
      <c r="I223" s="33" t="str">
        <f t="shared" ca="1" si="10"/>
        <v/>
      </c>
      <c r="J223" s="33" t="str">
        <f t="shared" si="11"/>
        <v/>
      </c>
    </row>
    <row r="224" spans="1:10" ht="20.100000000000001" customHeight="1" x14ac:dyDescent="0.25">
      <c r="A224" s="30" t="str">
        <f t="shared" si="9"/>
        <v/>
      </c>
      <c r="B224" s="31"/>
      <c r="C224" s="31"/>
      <c r="D224" s="31"/>
      <c r="E224" s="31"/>
      <c r="F224" s="31"/>
      <c r="G224" s="31"/>
      <c r="H224" s="32"/>
      <c r="I224" s="33" t="str">
        <f t="shared" ca="1" si="10"/>
        <v/>
      </c>
      <c r="J224" s="33" t="str">
        <f t="shared" si="11"/>
        <v/>
      </c>
    </row>
    <row r="225" spans="1:10" ht="20.100000000000001" customHeight="1" x14ac:dyDescent="0.25">
      <c r="A225" s="30" t="str">
        <f t="shared" si="9"/>
        <v/>
      </c>
      <c r="B225" s="31"/>
      <c r="C225" s="31"/>
      <c r="D225" s="31"/>
      <c r="E225" s="31"/>
      <c r="F225" s="31"/>
      <c r="G225" s="31"/>
      <c r="H225" s="32"/>
      <c r="I225" s="33" t="str">
        <f t="shared" ca="1" si="10"/>
        <v/>
      </c>
      <c r="J225" s="33" t="str">
        <f t="shared" si="11"/>
        <v/>
      </c>
    </row>
    <row r="226" spans="1:10" ht="20.100000000000001" customHeight="1" x14ac:dyDescent="0.25">
      <c r="A226" s="30" t="str">
        <f t="shared" si="9"/>
        <v/>
      </c>
      <c r="B226" s="31"/>
      <c r="C226" s="31"/>
      <c r="D226" s="31"/>
      <c r="E226" s="31"/>
      <c r="F226" s="31"/>
      <c r="G226" s="31"/>
      <c r="H226" s="32"/>
      <c r="I226" s="33" t="str">
        <f t="shared" ca="1" si="10"/>
        <v/>
      </c>
      <c r="J226" s="33" t="str">
        <f t="shared" si="11"/>
        <v/>
      </c>
    </row>
    <row r="227" spans="1:10" ht="20.100000000000001" customHeight="1" x14ac:dyDescent="0.25">
      <c r="A227" s="30" t="str">
        <f t="shared" si="9"/>
        <v/>
      </c>
      <c r="B227" s="31"/>
      <c r="C227" s="31"/>
      <c r="D227" s="31"/>
      <c r="E227" s="31"/>
      <c r="F227" s="31"/>
      <c r="G227" s="31"/>
      <c r="H227" s="32"/>
      <c r="I227" s="33" t="str">
        <f t="shared" ca="1" si="10"/>
        <v/>
      </c>
      <c r="J227" s="33" t="str">
        <f t="shared" si="11"/>
        <v/>
      </c>
    </row>
    <row r="228" spans="1:10" ht="20.100000000000001" customHeight="1" x14ac:dyDescent="0.25">
      <c r="A228" s="30" t="str">
        <f t="shared" si="9"/>
        <v/>
      </c>
      <c r="B228" s="31"/>
      <c r="C228" s="31"/>
      <c r="D228" s="31"/>
      <c r="E228" s="31"/>
      <c r="F228" s="31"/>
      <c r="G228" s="31"/>
      <c r="H228" s="32"/>
      <c r="I228" s="33" t="str">
        <f t="shared" ca="1" si="10"/>
        <v/>
      </c>
      <c r="J228" s="33" t="str">
        <f t="shared" si="11"/>
        <v/>
      </c>
    </row>
    <row r="229" spans="1:10" ht="20.100000000000001" customHeight="1" x14ac:dyDescent="0.25">
      <c r="A229" s="30" t="str">
        <f t="shared" si="9"/>
        <v/>
      </c>
      <c r="B229" s="31"/>
      <c r="C229" s="31"/>
      <c r="D229" s="31"/>
      <c r="E229" s="31"/>
      <c r="F229" s="31"/>
      <c r="G229" s="31"/>
      <c r="H229" s="32"/>
      <c r="I229" s="33" t="str">
        <f t="shared" ca="1" si="10"/>
        <v/>
      </c>
      <c r="J229" s="33" t="str">
        <f t="shared" si="11"/>
        <v/>
      </c>
    </row>
    <row r="230" spans="1:10" ht="20.100000000000001" customHeight="1" x14ac:dyDescent="0.25">
      <c r="A230" s="30" t="str">
        <f t="shared" si="9"/>
        <v/>
      </c>
      <c r="B230" s="31"/>
      <c r="C230" s="31"/>
      <c r="D230" s="31"/>
      <c r="E230" s="31"/>
      <c r="F230" s="31"/>
      <c r="G230" s="31"/>
      <c r="H230" s="32"/>
      <c r="I230" s="33" t="str">
        <f t="shared" ca="1" si="10"/>
        <v/>
      </c>
      <c r="J230" s="33" t="str">
        <f t="shared" si="11"/>
        <v/>
      </c>
    </row>
    <row r="231" spans="1:10" ht="20.100000000000001" customHeight="1" x14ac:dyDescent="0.25">
      <c r="A231" s="30" t="str">
        <f t="shared" si="9"/>
        <v/>
      </c>
      <c r="B231" s="31"/>
      <c r="C231" s="31"/>
      <c r="D231" s="31"/>
      <c r="E231" s="31"/>
      <c r="F231" s="31"/>
      <c r="G231" s="31"/>
      <c r="H231" s="32"/>
      <c r="I231" s="33" t="str">
        <f t="shared" ca="1" si="10"/>
        <v/>
      </c>
      <c r="J231" s="33" t="str">
        <f t="shared" si="11"/>
        <v/>
      </c>
    </row>
    <row r="232" spans="1:10" ht="20.100000000000001" customHeight="1" x14ac:dyDescent="0.25">
      <c r="A232" s="30" t="str">
        <f t="shared" si="9"/>
        <v/>
      </c>
      <c r="B232" s="31"/>
      <c r="C232" s="31"/>
      <c r="D232" s="31"/>
      <c r="E232" s="31"/>
      <c r="F232" s="31"/>
      <c r="G232" s="31"/>
      <c r="H232" s="32"/>
      <c r="I232" s="33" t="str">
        <f t="shared" ca="1" si="10"/>
        <v/>
      </c>
      <c r="J232" s="33" t="str">
        <f t="shared" si="11"/>
        <v/>
      </c>
    </row>
    <row r="233" spans="1:10" ht="20.100000000000001" customHeight="1" x14ac:dyDescent="0.25">
      <c r="A233" s="30" t="str">
        <f t="shared" si="9"/>
        <v/>
      </c>
      <c r="B233" s="31"/>
      <c r="C233" s="31"/>
      <c r="D233" s="31"/>
      <c r="E233" s="31"/>
      <c r="F233" s="31"/>
      <c r="G233" s="31"/>
      <c r="H233" s="32"/>
      <c r="I233" s="33" t="str">
        <f t="shared" ca="1" si="10"/>
        <v/>
      </c>
      <c r="J233" s="33" t="str">
        <f t="shared" si="11"/>
        <v/>
      </c>
    </row>
    <row r="234" spans="1:10" ht="20.100000000000001" customHeight="1" x14ac:dyDescent="0.25">
      <c r="A234" s="30" t="str">
        <f t="shared" si="9"/>
        <v/>
      </c>
      <c r="B234" s="31"/>
      <c r="C234" s="31"/>
      <c r="D234" s="31"/>
      <c r="E234" s="31"/>
      <c r="F234" s="31"/>
      <c r="G234" s="31"/>
      <c r="H234" s="32"/>
      <c r="I234" s="33" t="str">
        <f t="shared" ca="1" si="10"/>
        <v/>
      </c>
      <c r="J234" s="33" t="str">
        <f t="shared" si="11"/>
        <v/>
      </c>
    </row>
    <row r="235" spans="1:10" ht="20.100000000000001" customHeight="1" x14ac:dyDescent="0.25">
      <c r="A235" s="30" t="str">
        <f t="shared" si="9"/>
        <v/>
      </c>
      <c r="B235" s="31"/>
      <c r="C235" s="31"/>
      <c r="D235" s="31"/>
      <c r="E235" s="31"/>
      <c r="F235" s="31"/>
      <c r="G235" s="31"/>
      <c r="H235" s="32"/>
      <c r="I235" s="33" t="str">
        <f t="shared" ca="1" si="10"/>
        <v/>
      </c>
      <c r="J235" s="33" t="str">
        <f t="shared" si="11"/>
        <v/>
      </c>
    </row>
    <row r="236" spans="1:10" ht="20.100000000000001" customHeight="1" x14ac:dyDescent="0.25">
      <c r="A236" s="30" t="str">
        <f t="shared" si="9"/>
        <v/>
      </c>
      <c r="B236" s="31"/>
      <c r="C236" s="31"/>
      <c r="D236" s="31"/>
      <c r="E236" s="31"/>
      <c r="F236" s="31"/>
      <c r="G236" s="31"/>
      <c r="H236" s="32"/>
      <c r="I236" s="33" t="str">
        <f t="shared" ca="1" si="10"/>
        <v/>
      </c>
      <c r="J236" s="33" t="str">
        <f t="shared" si="11"/>
        <v/>
      </c>
    </row>
    <row r="237" spans="1:10" ht="20.100000000000001" customHeight="1" x14ac:dyDescent="0.25">
      <c r="A237" s="30" t="str">
        <f t="shared" si="9"/>
        <v/>
      </c>
      <c r="B237" s="31"/>
      <c r="C237" s="31"/>
      <c r="D237" s="31"/>
      <c r="E237" s="31"/>
      <c r="F237" s="31"/>
      <c r="G237" s="31"/>
      <c r="H237" s="32"/>
      <c r="I237" s="33" t="str">
        <f t="shared" ca="1" si="10"/>
        <v/>
      </c>
      <c r="J237" s="33" t="str">
        <f t="shared" si="11"/>
        <v/>
      </c>
    </row>
    <row r="238" spans="1:10" ht="20.100000000000001" customHeight="1" x14ac:dyDescent="0.25">
      <c r="A238" s="30" t="str">
        <f t="shared" si="9"/>
        <v/>
      </c>
      <c r="B238" s="31"/>
      <c r="C238" s="31"/>
      <c r="D238" s="31"/>
      <c r="E238" s="31"/>
      <c r="F238" s="31"/>
      <c r="G238" s="31"/>
      <c r="H238" s="32"/>
      <c r="I238" s="33" t="str">
        <f t="shared" ca="1" si="10"/>
        <v/>
      </c>
      <c r="J238" s="33" t="str">
        <f t="shared" si="11"/>
        <v/>
      </c>
    </row>
    <row r="239" spans="1:10" ht="20.100000000000001" customHeight="1" x14ac:dyDescent="0.25">
      <c r="A239" s="30" t="str">
        <f t="shared" si="9"/>
        <v/>
      </c>
      <c r="B239" s="31"/>
      <c r="C239" s="31"/>
      <c r="D239" s="31"/>
      <c r="E239" s="31"/>
      <c r="F239" s="31"/>
      <c r="G239" s="31"/>
      <c r="H239" s="32"/>
      <c r="I239" s="33" t="str">
        <f t="shared" ca="1" si="10"/>
        <v/>
      </c>
      <c r="J239" s="33" t="str">
        <f t="shared" si="11"/>
        <v/>
      </c>
    </row>
    <row r="240" spans="1:10" ht="20.100000000000001" customHeight="1" x14ac:dyDescent="0.25">
      <c r="A240" s="30" t="str">
        <f t="shared" si="9"/>
        <v/>
      </c>
      <c r="B240" s="31"/>
      <c r="C240" s="31"/>
      <c r="D240" s="31"/>
      <c r="E240" s="31"/>
      <c r="F240" s="31"/>
      <c r="G240" s="31"/>
      <c r="H240" s="32"/>
      <c r="I240" s="33" t="str">
        <f t="shared" ca="1" si="10"/>
        <v/>
      </c>
      <c r="J240" s="33" t="str">
        <f t="shared" si="11"/>
        <v/>
      </c>
    </row>
    <row r="241" spans="1:10" ht="20.100000000000001" customHeight="1" x14ac:dyDescent="0.25">
      <c r="A241" s="30" t="str">
        <f t="shared" si="9"/>
        <v/>
      </c>
      <c r="B241" s="31"/>
      <c r="C241" s="31"/>
      <c r="D241" s="31"/>
      <c r="E241" s="31"/>
      <c r="F241" s="31"/>
      <c r="G241" s="31"/>
      <c r="H241" s="32"/>
      <c r="I241" s="33" t="str">
        <f t="shared" ca="1" si="10"/>
        <v/>
      </c>
      <c r="J241" s="33" t="str">
        <f t="shared" si="11"/>
        <v/>
      </c>
    </row>
    <row r="242" spans="1:10" ht="20.100000000000001" customHeight="1" x14ac:dyDescent="0.25">
      <c r="A242" s="30" t="str">
        <f t="shared" si="9"/>
        <v/>
      </c>
      <c r="B242" s="31"/>
      <c r="C242" s="31"/>
      <c r="D242" s="31"/>
      <c r="E242" s="31"/>
      <c r="F242" s="31"/>
      <c r="G242" s="31"/>
      <c r="H242" s="32"/>
      <c r="I242" s="33" t="str">
        <f t="shared" ca="1" si="10"/>
        <v/>
      </c>
      <c r="J242" s="33" t="str">
        <f t="shared" si="11"/>
        <v/>
      </c>
    </row>
    <row r="243" spans="1:10" ht="20.100000000000001" customHeight="1" x14ac:dyDescent="0.25">
      <c r="A243" s="30" t="str">
        <f t="shared" si="9"/>
        <v/>
      </c>
      <c r="B243" s="31"/>
      <c r="C243" s="31"/>
      <c r="D243" s="31"/>
      <c r="E243" s="31"/>
      <c r="F243" s="31"/>
      <c r="G243" s="31"/>
      <c r="H243" s="32"/>
      <c r="I243" s="33" t="str">
        <f t="shared" ca="1" si="10"/>
        <v/>
      </c>
      <c r="J243" s="33" t="str">
        <f t="shared" si="11"/>
        <v/>
      </c>
    </row>
    <row r="244" spans="1:10" ht="20.100000000000001" customHeight="1" x14ac:dyDescent="0.25">
      <c r="A244" s="30" t="str">
        <f t="shared" si="9"/>
        <v/>
      </c>
      <c r="B244" s="31"/>
      <c r="C244" s="31"/>
      <c r="D244" s="31"/>
      <c r="E244" s="31"/>
      <c r="F244" s="31"/>
      <c r="G244" s="31"/>
      <c r="H244" s="32"/>
      <c r="I244" s="33" t="str">
        <f t="shared" ca="1" si="10"/>
        <v/>
      </c>
      <c r="J244" s="33" t="str">
        <f t="shared" si="11"/>
        <v/>
      </c>
    </row>
    <row r="245" spans="1:10" ht="20.100000000000001" customHeight="1" x14ac:dyDescent="0.25">
      <c r="A245" s="30" t="str">
        <f t="shared" si="9"/>
        <v/>
      </c>
      <c r="B245" s="31"/>
      <c r="C245" s="31"/>
      <c r="D245" s="31"/>
      <c r="E245" s="31"/>
      <c r="F245" s="31"/>
      <c r="G245" s="31"/>
      <c r="H245" s="32"/>
      <c r="I245" s="33" t="str">
        <f t="shared" ca="1" si="10"/>
        <v/>
      </c>
      <c r="J245" s="33" t="str">
        <f t="shared" si="11"/>
        <v/>
      </c>
    </row>
    <row r="246" spans="1:10" ht="20.100000000000001" customHeight="1" x14ac:dyDescent="0.25">
      <c r="A246" s="30" t="str">
        <f t="shared" si="9"/>
        <v/>
      </c>
      <c r="B246" s="31"/>
      <c r="C246" s="31"/>
      <c r="D246" s="31"/>
      <c r="E246" s="31"/>
      <c r="F246" s="31"/>
      <c r="G246" s="31"/>
      <c r="H246" s="32"/>
      <c r="I246" s="33" t="str">
        <f t="shared" ca="1" si="10"/>
        <v/>
      </c>
      <c r="J246" s="33" t="str">
        <f t="shared" si="11"/>
        <v/>
      </c>
    </row>
    <row r="247" spans="1:10" ht="20.100000000000001" customHeight="1" x14ac:dyDescent="0.25">
      <c r="A247" s="30" t="str">
        <f t="shared" si="9"/>
        <v/>
      </c>
      <c r="B247" s="31"/>
      <c r="C247" s="31"/>
      <c r="D247" s="31"/>
      <c r="E247" s="31"/>
      <c r="F247" s="31"/>
      <c r="G247" s="31"/>
      <c r="H247" s="32"/>
      <c r="I247" s="33" t="str">
        <f t="shared" ca="1" si="10"/>
        <v/>
      </c>
      <c r="J247" s="33" t="str">
        <f t="shared" si="11"/>
        <v/>
      </c>
    </row>
    <row r="248" spans="1:10" ht="20.100000000000001" customHeight="1" x14ac:dyDescent="0.25">
      <c r="A248" s="30" t="str">
        <f t="shared" si="9"/>
        <v/>
      </c>
      <c r="B248" s="31"/>
      <c r="C248" s="31"/>
      <c r="D248" s="31"/>
      <c r="E248" s="31"/>
      <c r="F248" s="31"/>
      <c r="G248" s="31"/>
      <c r="H248" s="32"/>
      <c r="I248" s="33" t="str">
        <f t="shared" ca="1" si="10"/>
        <v/>
      </c>
      <c r="J248" s="33" t="str">
        <f t="shared" si="11"/>
        <v/>
      </c>
    </row>
    <row r="249" spans="1:10" ht="20.100000000000001" customHeight="1" x14ac:dyDescent="0.25">
      <c r="A249" s="30" t="str">
        <f t="shared" si="9"/>
        <v/>
      </c>
      <c r="B249" s="31"/>
      <c r="C249" s="31"/>
      <c r="D249" s="31"/>
      <c r="E249" s="31"/>
      <c r="F249" s="31"/>
      <c r="G249" s="31"/>
      <c r="H249" s="32"/>
      <c r="I249" s="33" t="str">
        <f t="shared" ca="1" si="10"/>
        <v/>
      </c>
      <c r="J249" s="33" t="str">
        <f t="shared" si="11"/>
        <v/>
      </c>
    </row>
    <row r="250" spans="1:10" ht="20.100000000000001" customHeight="1" x14ac:dyDescent="0.25">
      <c r="A250" s="30" t="str">
        <f t="shared" si="9"/>
        <v/>
      </c>
      <c r="B250" s="31"/>
      <c r="C250" s="31"/>
      <c r="D250" s="31"/>
      <c r="E250" s="31"/>
      <c r="F250" s="31"/>
      <c r="G250" s="31"/>
      <c r="H250" s="32"/>
      <c r="I250" s="33" t="str">
        <f t="shared" ca="1" si="10"/>
        <v/>
      </c>
      <c r="J250" s="33" t="str">
        <f t="shared" si="11"/>
        <v/>
      </c>
    </row>
    <row r="251" spans="1:10" ht="20.100000000000001" customHeight="1" x14ac:dyDescent="0.25">
      <c r="A251" s="30" t="str">
        <f t="shared" si="9"/>
        <v/>
      </c>
      <c r="B251" s="31"/>
      <c r="C251" s="31"/>
      <c r="D251" s="31"/>
      <c r="E251" s="31"/>
      <c r="F251" s="31"/>
      <c r="G251" s="31"/>
      <c r="H251" s="32"/>
      <c r="I251" s="33" t="str">
        <f t="shared" ca="1" si="10"/>
        <v/>
      </c>
      <c r="J251" s="33" t="str">
        <f t="shared" si="11"/>
        <v/>
      </c>
    </row>
    <row r="252" spans="1:10" ht="20.100000000000001" customHeight="1" x14ac:dyDescent="0.25">
      <c r="A252" s="30" t="str">
        <f t="shared" si="9"/>
        <v/>
      </c>
      <c r="B252" s="31"/>
      <c r="C252" s="31"/>
      <c r="D252" s="31"/>
      <c r="E252" s="31"/>
      <c r="F252" s="31"/>
      <c r="G252" s="31"/>
      <c r="H252" s="32"/>
      <c r="I252" s="33" t="str">
        <f t="shared" ca="1" si="10"/>
        <v/>
      </c>
      <c r="J252" s="33" t="str">
        <f t="shared" si="11"/>
        <v/>
      </c>
    </row>
    <row r="253" spans="1:10" ht="20.100000000000001" customHeight="1" x14ac:dyDescent="0.25">
      <c r="A253" s="30" t="str">
        <f t="shared" si="9"/>
        <v/>
      </c>
      <c r="B253" s="31"/>
      <c r="C253" s="31"/>
      <c r="D253" s="31"/>
      <c r="E253" s="31"/>
      <c r="F253" s="31"/>
      <c r="G253" s="31"/>
      <c r="H253" s="32"/>
      <c r="I253" s="33" t="str">
        <f t="shared" ca="1" si="10"/>
        <v/>
      </c>
      <c r="J253" s="33" t="str">
        <f t="shared" si="11"/>
        <v/>
      </c>
    </row>
    <row r="254" spans="1:10" ht="20.100000000000001" customHeight="1" x14ac:dyDescent="0.25">
      <c r="A254" s="30" t="str">
        <f t="shared" si="9"/>
        <v/>
      </c>
      <c r="B254" s="31"/>
      <c r="C254" s="31"/>
      <c r="D254" s="31"/>
      <c r="E254" s="31"/>
      <c r="F254" s="31"/>
      <c r="G254" s="31"/>
      <c r="H254" s="32"/>
      <c r="I254" s="33" t="str">
        <f t="shared" ca="1" si="10"/>
        <v/>
      </c>
      <c r="J254" s="33" t="str">
        <f t="shared" si="11"/>
        <v/>
      </c>
    </row>
    <row r="255" spans="1:10" ht="20.100000000000001" customHeight="1" x14ac:dyDescent="0.25">
      <c r="A255" s="30" t="str">
        <f t="shared" si="9"/>
        <v/>
      </c>
      <c r="B255" s="31"/>
      <c r="C255" s="31"/>
      <c r="D255" s="31"/>
      <c r="E255" s="31"/>
      <c r="F255" s="31"/>
      <c r="G255" s="31"/>
      <c r="H255" s="32"/>
      <c r="I255" s="33" t="str">
        <f t="shared" ca="1" si="10"/>
        <v/>
      </c>
      <c r="J255" s="33" t="str">
        <f t="shared" si="11"/>
        <v/>
      </c>
    </row>
    <row r="256" spans="1:10" ht="20.100000000000001" customHeight="1" x14ac:dyDescent="0.25">
      <c r="A256" s="30" t="str">
        <f t="shared" si="9"/>
        <v/>
      </c>
      <c r="B256" s="31"/>
      <c r="C256" s="31"/>
      <c r="D256" s="31"/>
      <c r="E256" s="31"/>
      <c r="F256" s="31"/>
      <c r="G256" s="31"/>
      <c r="H256" s="32"/>
      <c r="I256" s="33" t="str">
        <f t="shared" ca="1" si="10"/>
        <v/>
      </c>
      <c r="J256" s="33" t="str">
        <f t="shared" si="11"/>
        <v/>
      </c>
    </row>
    <row r="257" spans="1:10" ht="20.100000000000001" customHeight="1" x14ac:dyDescent="0.25">
      <c r="A257" s="30" t="str">
        <f t="shared" si="9"/>
        <v/>
      </c>
      <c r="B257" s="31"/>
      <c r="C257" s="31"/>
      <c r="D257" s="31"/>
      <c r="E257" s="31"/>
      <c r="F257" s="31"/>
      <c r="G257" s="31"/>
      <c r="H257" s="32"/>
      <c r="I257" s="33" t="str">
        <f t="shared" ca="1" si="10"/>
        <v/>
      </c>
      <c r="J257" s="33" t="str">
        <f t="shared" si="11"/>
        <v/>
      </c>
    </row>
    <row r="258" spans="1:10" ht="20.100000000000001" customHeight="1" x14ac:dyDescent="0.25">
      <c r="A258" s="30" t="str">
        <f t="shared" si="9"/>
        <v/>
      </c>
      <c r="B258" s="31"/>
      <c r="C258" s="31"/>
      <c r="D258" s="31"/>
      <c r="E258" s="31"/>
      <c r="F258" s="31"/>
      <c r="G258" s="31"/>
      <c r="H258" s="32"/>
      <c r="I258" s="33" t="str">
        <f t="shared" ca="1" si="10"/>
        <v/>
      </c>
      <c r="J258" s="33" t="str">
        <f t="shared" si="11"/>
        <v/>
      </c>
    </row>
    <row r="259" spans="1:10" ht="20.100000000000001" customHeight="1" x14ac:dyDescent="0.25">
      <c r="A259" s="30" t="str">
        <f t="shared" si="9"/>
        <v/>
      </c>
      <c r="B259" s="31"/>
      <c r="C259" s="31"/>
      <c r="D259" s="31"/>
      <c r="E259" s="31"/>
      <c r="F259" s="31"/>
      <c r="G259" s="31"/>
      <c r="H259" s="32"/>
      <c r="I259" s="33" t="str">
        <f t="shared" ca="1" si="10"/>
        <v/>
      </c>
      <c r="J259" s="33" t="str">
        <f t="shared" si="11"/>
        <v/>
      </c>
    </row>
    <row r="260" spans="1:10" ht="20.100000000000001" customHeight="1" x14ac:dyDescent="0.25">
      <c r="A260" s="30" t="str">
        <f t="shared" si="9"/>
        <v/>
      </c>
      <c r="B260" s="31"/>
      <c r="C260" s="31"/>
      <c r="D260" s="31"/>
      <c r="E260" s="31"/>
      <c r="F260" s="31"/>
      <c r="G260" s="31"/>
      <c r="H260" s="32"/>
      <c r="I260" s="33" t="str">
        <f t="shared" ca="1" si="10"/>
        <v/>
      </c>
      <c r="J260" s="33" t="str">
        <f t="shared" si="11"/>
        <v/>
      </c>
    </row>
    <row r="261" spans="1:10" ht="20.100000000000001" customHeight="1" x14ac:dyDescent="0.25">
      <c r="A261" s="30" t="str">
        <f t="shared" ref="A261:A324" si="12">IF(B261="","","ACC"&amp;TEXT(ROW()-4,"0000"))</f>
        <v/>
      </c>
      <c r="B261" s="31"/>
      <c r="C261" s="31"/>
      <c r="D261" s="31"/>
      <c r="E261" s="31"/>
      <c r="F261" s="31"/>
      <c r="G261" s="31"/>
      <c r="H261" s="32"/>
      <c r="I261" s="33" t="str">
        <f t="shared" ref="I261:I324" ca="1" si="13">IF(B261="","",TEXT(TODAY(),"dd/mm/yyyy"))</f>
        <v/>
      </c>
      <c r="J261" s="33" t="str">
        <f t="shared" ref="J261:J324" si="14">IF(B261="","",IF(ISNUMBER(H261),IF(H261&gt;=10,"✅ Active","⚠️ Below Min Balance"),"Pending"))</f>
        <v/>
      </c>
    </row>
    <row r="262" spans="1:10" ht="20.100000000000001" customHeight="1" x14ac:dyDescent="0.25">
      <c r="A262" s="30" t="str">
        <f t="shared" si="12"/>
        <v/>
      </c>
      <c r="B262" s="31"/>
      <c r="C262" s="31"/>
      <c r="D262" s="31"/>
      <c r="E262" s="31"/>
      <c r="F262" s="31"/>
      <c r="G262" s="31"/>
      <c r="H262" s="32"/>
      <c r="I262" s="33" t="str">
        <f t="shared" ca="1" si="13"/>
        <v/>
      </c>
      <c r="J262" s="33" t="str">
        <f t="shared" si="14"/>
        <v/>
      </c>
    </row>
    <row r="263" spans="1:10" ht="20.100000000000001" customHeight="1" x14ac:dyDescent="0.25">
      <c r="A263" s="30" t="str">
        <f t="shared" si="12"/>
        <v/>
      </c>
      <c r="B263" s="31"/>
      <c r="C263" s="31"/>
      <c r="D263" s="31"/>
      <c r="E263" s="31"/>
      <c r="F263" s="31"/>
      <c r="G263" s="31"/>
      <c r="H263" s="32"/>
      <c r="I263" s="33" t="str">
        <f t="shared" ca="1" si="13"/>
        <v/>
      </c>
      <c r="J263" s="33" t="str">
        <f t="shared" si="14"/>
        <v/>
      </c>
    </row>
    <row r="264" spans="1:10" ht="20.100000000000001" customHeight="1" x14ac:dyDescent="0.25">
      <c r="A264" s="30" t="str">
        <f t="shared" si="12"/>
        <v/>
      </c>
      <c r="B264" s="31"/>
      <c r="C264" s="31"/>
      <c r="D264" s="31"/>
      <c r="E264" s="31"/>
      <c r="F264" s="31"/>
      <c r="G264" s="31"/>
      <c r="H264" s="32"/>
      <c r="I264" s="33" t="str">
        <f t="shared" ca="1" si="13"/>
        <v/>
      </c>
      <c r="J264" s="33" t="str">
        <f t="shared" si="14"/>
        <v/>
      </c>
    </row>
    <row r="265" spans="1:10" ht="20.100000000000001" customHeight="1" x14ac:dyDescent="0.25">
      <c r="A265" s="30" t="str">
        <f t="shared" si="12"/>
        <v/>
      </c>
      <c r="B265" s="31"/>
      <c r="C265" s="31"/>
      <c r="D265" s="31"/>
      <c r="E265" s="31"/>
      <c r="F265" s="31"/>
      <c r="G265" s="31"/>
      <c r="H265" s="32"/>
      <c r="I265" s="33" t="str">
        <f t="shared" ca="1" si="13"/>
        <v/>
      </c>
      <c r="J265" s="33" t="str">
        <f t="shared" si="14"/>
        <v/>
      </c>
    </row>
    <row r="266" spans="1:10" ht="20.100000000000001" customHeight="1" x14ac:dyDescent="0.25">
      <c r="A266" s="30" t="str">
        <f t="shared" si="12"/>
        <v/>
      </c>
      <c r="B266" s="31"/>
      <c r="C266" s="31"/>
      <c r="D266" s="31"/>
      <c r="E266" s="31"/>
      <c r="F266" s="31"/>
      <c r="G266" s="31"/>
      <c r="H266" s="32"/>
      <c r="I266" s="33" t="str">
        <f t="shared" ca="1" si="13"/>
        <v/>
      </c>
      <c r="J266" s="33" t="str">
        <f t="shared" si="14"/>
        <v/>
      </c>
    </row>
    <row r="267" spans="1:10" ht="20.100000000000001" customHeight="1" x14ac:dyDescent="0.25">
      <c r="A267" s="30" t="str">
        <f t="shared" si="12"/>
        <v/>
      </c>
      <c r="B267" s="31"/>
      <c r="C267" s="31"/>
      <c r="D267" s="31"/>
      <c r="E267" s="31"/>
      <c r="F267" s="31"/>
      <c r="G267" s="31"/>
      <c r="H267" s="32"/>
      <c r="I267" s="33" t="str">
        <f t="shared" ca="1" si="13"/>
        <v/>
      </c>
      <c r="J267" s="33" t="str">
        <f t="shared" si="14"/>
        <v/>
      </c>
    </row>
    <row r="268" spans="1:10" ht="20.100000000000001" customHeight="1" x14ac:dyDescent="0.25">
      <c r="A268" s="30" t="str">
        <f t="shared" si="12"/>
        <v/>
      </c>
      <c r="B268" s="31"/>
      <c r="C268" s="31"/>
      <c r="D268" s="31"/>
      <c r="E268" s="31"/>
      <c r="F268" s="31"/>
      <c r="G268" s="31"/>
      <c r="H268" s="32"/>
      <c r="I268" s="33" t="str">
        <f t="shared" ca="1" si="13"/>
        <v/>
      </c>
      <c r="J268" s="33" t="str">
        <f t="shared" si="14"/>
        <v/>
      </c>
    </row>
    <row r="269" spans="1:10" ht="20.100000000000001" customHeight="1" x14ac:dyDescent="0.25">
      <c r="A269" s="30" t="str">
        <f t="shared" si="12"/>
        <v/>
      </c>
      <c r="B269" s="31"/>
      <c r="C269" s="31"/>
      <c r="D269" s="31"/>
      <c r="E269" s="31"/>
      <c r="F269" s="31"/>
      <c r="G269" s="31"/>
      <c r="H269" s="32"/>
      <c r="I269" s="33" t="str">
        <f t="shared" ca="1" si="13"/>
        <v/>
      </c>
      <c r="J269" s="33" t="str">
        <f t="shared" si="14"/>
        <v/>
      </c>
    </row>
    <row r="270" spans="1:10" ht="20.100000000000001" customHeight="1" x14ac:dyDescent="0.25">
      <c r="A270" s="30" t="str">
        <f t="shared" si="12"/>
        <v/>
      </c>
      <c r="B270" s="31"/>
      <c r="C270" s="31"/>
      <c r="D270" s="31"/>
      <c r="E270" s="31"/>
      <c r="F270" s="31"/>
      <c r="G270" s="31"/>
      <c r="H270" s="32"/>
      <c r="I270" s="33" t="str">
        <f t="shared" ca="1" si="13"/>
        <v/>
      </c>
      <c r="J270" s="33" t="str">
        <f t="shared" si="14"/>
        <v/>
      </c>
    </row>
    <row r="271" spans="1:10" ht="20.100000000000001" customHeight="1" x14ac:dyDescent="0.25">
      <c r="A271" s="30" t="str">
        <f t="shared" si="12"/>
        <v/>
      </c>
      <c r="B271" s="31"/>
      <c r="C271" s="31"/>
      <c r="D271" s="31"/>
      <c r="E271" s="31"/>
      <c r="F271" s="31"/>
      <c r="G271" s="31"/>
      <c r="H271" s="32"/>
      <c r="I271" s="33" t="str">
        <f t="shared" ca="1" si="13"/>
        <v/>
      </c>
      <c r="J271" s="33" t="str">
        <f t="shared" si="14"/>
        <v/>
      </c>
    </row>
    <row r="272" spans="1:10" ht="20.100000000000001" customHeight="1" x14ac:dyDescent="0.25">
      <c r="A272" s="30" t="str">
        <f t="shared" si="12"/>
        <v/>
      </c>
      <c r="B272" s="31"/>
      <c r="C272" s="31"/>
      <c r="D272" s="31"/>
      <c r="E272" s="31"/>
      <c r="F272" s="31"/>
      <c r="G272" s="31"/>
      <c r="H272" s="32"/>
      <c r="I272" s="33" t="str">
        <f t="shared" ca="1" si="13"/>
        <v/>
      </c>
      <c r="J272" s="33" t="str">
        <f t="shared" si="14"/>
        <v/>
      </c>
    </row>
    <row r="273" spans="1:10" ht="20.100000000000001" customHeight="1" x14ac:dyDescent="0.25">
      <c r="A273" s="30" t="str">
        <f t="shared" si="12"/>
        <v/>
      </c>
      <c r="B273" s="31"/>
      <c r="C273" s="31"/>
      <c r="D273" s="31"/>
      <c r="E273" s="31"/>
      <c r="F273" s="31"/>
      <c r="G273" s="31"/>
      <c r="H273" s="32"/>
      <c r="I273" s="33" t="str">
        <f t="shared" ca="1" si="13"/>
        <v/>
      </c>
      <c r="J273" s="33" t="str">
        <f t="shared" si="14"/>
        <v/>
      </c>
    </row>
    <row r="274" spans="1:10" ht="20.100000000000001" customHeight="1" x14ac:dyDescent="0.25">
      <c r="A274" s="30" t="str">
        <f t="shared" si="12"/>
        <v/>
      </c>
      <c r="B274" s="31"/>
      <c r="C274" s="31"/>
      <c r="D274" s="31"/>
      <c r="E274" s="31"/>
      <c r="F274" s="31"/>
      <c r="G274" s="31"/>
      <c r="H274" s="32"/>
      <c r="I274" s="33" t="str">
        <f t="shared" ca="1" si="13"/>
        <v/>
      </c>
      <c r="J274" s="33" t="str">
        <f t="shared" si="14"/>
        <v/>
      </c>
    </row>
    <row r="275" spans="1:10" ht="20.100000000000001" customHeight="1" x14ac:dyDescent="0.25">
      <c r="A275" s="30" t="str">
        <f t="shared" si="12"/>
        <v/>
      </c>
      <c r="B275" s="31"/>
      <c r="C275" s="31"/>
      <c r="D275" s="31"/>
      <c r="E275" s="31"/>
      <c r="F275" s="31"/>
      <c r="G275" s="31"/>
      <c r="H275" s="32"/>
      <c r="I275" s="33" t="str">
        <f t="shared" ca="1" si="13"/>
        <v/>
      </c>
      <c r="J275" s="33" t="str">
        <f t="shared" si="14"/>
        <v/>
      </c>
    </row>
    <row r="276" spans="1:10" ht="20.100000000000001" customHeight="1" x14ac:dyDescent="0.25">
      <c r="A276" s="30" t="str">
        <f t="shared" si="12"/>
        <v/>
      </c>
      <c r="B276" s="31"/>
      <c r="C276" s="31"/>
      <c r="D276" s="31"/>
      <c r="E276" s="31"/>
      <c r="F276" s="31"/>
      <c r="G276" s="31"/>
      <c r="H276" s="32"/>
      <c r="I276" s="33" t="str">
        <f t="shared" ca="1" si="13"/>
        <v/>
      </c>
      <c r="J276" s="33" t="str">
        <f t="shared" si="14"/>
        <v/>
      </c>
    </row>
    <row r="277" spans="1:10" ht="20.100000000000001" customHeight="1" x14ac:dyDescent="0.25">
      <c r="A277" s="30" t="str">
        <f t="shared" si="12"/>
        <v/>
      </c>
      <c r="B277" s="31"/>
      <c r="C277" s="31"/>
      <c r="D277" s="31"/>
      <c r="E277" s="31"/>
      <c r="F277" s="31"/>
      <c r="G277" s="31"/>
      <c r="H277" s="32"/>
      <c r="I277" s="33" t="str">
        <f t="shared" ca="1" si="13"/>
        <v/>
      </c>
      <c r="J277" s="33" t="str">
        <f t="shared" si="14"/>
        <v/>
      </c>
    </row>
    <row r="278" spans="1:10" ht="20.100000000000001" customHeight="1" x14ac:dyDescent="0.25">
      <c r="A278" s="30" t="str">
        <f t="shared" si="12"/>
        <v/>
      </c>
      <c r="B278" s="31"/>
      <c r="C278" s="31"/>
      <c r="D278" s="31"/>
      <c r="E278" s="31"/>
      <c r="F278" s="31"/>
      <c r="G278" s="31"/>
      <c r="H278" s="32"/>
      <c r="I278" s="33" t="str">
        <f t="shared" ca="1" si="13"/>
        <v/>
      </c>
      <c r="J278" s="33" t="str">
        <f t="shared" si="14"/>
        <v/>
      </c>
    </row>
    <row r="279" spans="1:10" ht="20.100000000000001" customHeight="1" x14ac:dyDescent="0.25">
      <c r="A279" s="30" t="str">
        <f t="shared" si="12"/>
        <v/>
      </c>
      <c r="B279" s="31"/>
      <c r="C279" s="31"/>
      <c r="D279" s="31"/>
      <c r="E279" s="31"/>
      <c r="F279" s="31"/>
      <c r="G279" s="31"/>
      <c r="H279" s="32"/>
      <c r="I279" s="33" t="str">
        <f t="shared" ca="1" si="13"/>
        <v/>
      </c>
      <c r="J279" s="33" t="str">
        <f t="shared" si="14"/>
        <v/>
      </c>
    </row>
    <row r="280" spans="1:10" ht="20.100000000000001" customHeight="1" x14ac:dyDescent="0.25">
      <c r="A280" s="30" t="str">
        <f t="shared" si="12"/>
        <v/>
      </c>
      <c r="B280" s="31"/>
      <c r="C280" s="31"/>
      <c r="D280" s="31"/>
      <c r="E280" s="31"/>
      <c r="F280" s="31"/>
      <c r="G280" s="31"/>
      <c r="H280" s="32"/>
      <c r="I280" s="33" t="str">
        <f t="shared" ca="1" si="13"/>
        <v/>
      </c>
      <c r="J280" s="33" t="str">
        <f t="shared" si="14"/>
        <v/>
      </c>
    </row>
    <row r="281" spans="1:10" ht="20.100000000000001" customHeight="1" x14ac:dyDescent="0.25">
      <c r="A281" s="30" t="str">
        <f t="shared" si="12"/>
        <v/>
      </c>
      <c r="B281" s="31"/>
      <c r="C281" s="31"/>
      <c r="D281" s="31"/>
      <c r="E281" s="31"/>
      <c r="F281" s="31"/>
      <c r="G281" s="31"/>
      <c r="H281" s="32"/>
      <c r="I281" s="33" t="str">
        <f t="shared" ca="1" si="13"/>
        <v/>
      </c>
      <c r="J281" s="33" t="str">
        <f t="shared" si="14"/>
        <v/>
      </c>
    </row>
    <row r="282" spans="1:10" ht="20.100000000000001" customHeight="1" x14ac:dyDescent="0.25">
      <c r="A282" s="30" t="str">
        <f t="shared" si="12"/>
        <v/>
      </c>
      <c r="B282" s="31"/>
      <c r="C282" s="31"/>
      <c r="D282" s="31"/>
      <c r="E282" s="31"/>
      <c r="F282" s="31"/>
      <c r="G282" s="31"/>
      <c r="H282" s="32"/>
      <c r="I282" s="33" t="str">
        <f t="shared" ca="1" si="13"/>
        <v/>
      </c>
      <c r="J282" s="33" t="str">
        <f t="shared" si="14"/>
        <v/>
      </c>
    </row>
    <row r="283" spans="1:10" ht="20.100000000000001" customHeight="1" x14ac:dyDescent="0.25">
      <c r="A283" s="30" t="str">
        <f t="shared" si="12"/>
        <v/>
      </c>
      <c r="B283" s="31"/>
      <c r="C283" s="31"/>
      <c r="D283" s="31"/>
      <c r="E283" s="31"/>
      <c r="F283" s="31"/>
      <c r="G283" s="31"/>
      <c r="H283" s="32"/>
      <c r="I283" s="33" t="str">
        <f t="shared" ca="1" si="13"/>
        <v/>
      </c>
      <c r="J283" s="33" t="str">
        <f t="shared" si="14"/>
        <v/>
      </c>
    </row>
    <row r="284" spans="1:10" ht="20.100000000000001" customHeight="1" x14ac:dyDescent="0.25">
      <c r="A284" s="30" t="str">
        <f t="shared" si="12"/>
        <v/>
      </c>
      <c r="B284" s="31"/>
      <c r="C284" s="31"/>
      <c r="D284" s="31"/>
      <c r="E284" s="31"/>
      <c r="F284" s="31"/>
      <c r="G284" s="31"/>
      <c r="H284" s="32"/>
      <c r="I284" s="33" t="str">
        <f t="shared" ca="1" si="13"/>
        <v/>
      </c>
      <c r="J284" s="33" t="str">
        <f t="shared" si="14"/>
        <v/>
      </c>
    </row>
    <row r="285" spans="1:10" ht="20.100000000000001" customHeight="1" x14ac:dyDescent="0.25">
      <c r="A285" s="30" t="str">
        <f t="shared" si="12"/>
        <v/>
      </c>
      <c r="B285" s="31"/>
      <c r="C285" s="31"/>
      <c r="D285" s="31"/>
      <c r="E285" s="31"/>
      <c r="F285" s="31"/>
      <c r="G285" s="31"/>
      <c r="H285" s="32"/>
      <c r="I285" s="33" t="str">
        <f t="shared" ca="1" si="13"/>
        <v/>
      </c>
      <c r="J285" s="33" t="str">
        <f t="shared" si="14"/>
        <v/>
      </c>
    </row>
    <row r="286" spans="1:10" ht="20.100000000000001" customHeight="1" x14ac:dyDescent="0.25">
      <c r="A286" s="30" t="str">
        <f t="shared" si="12"/>
        <v/>
      </c>
      <c r="B286" s="31"/>
      <c r="C286" s="31"/>
      <c r="D286" s="31"/>
      <c r="E286" s="31"/>
      <c r="F286" s="31"/>
      <c r="G286" s="31"/>
      <c r="H286" s="32"/>
      <c r="I286" s="33" t="str">
        <f t="shared" ca="1" si="13"/>
        <v/>
      </c>
      <c r="J286" s="33" t="str">
        <f t="shared" si="14"/>
        <v/>
      </c>
    </row>
    <row r="287" spans="1:10" ht="20.100000000000001" customHeight="1" x14ac:dyDescent="0.25">
      <c r="A287" s="30" t="str">
        <f t="shared" si="12"/>
        <v/>
      </c>
      <c r="B287" s="31"/>
      <c r="C287" s="31"/>
      <c r="D287" s="31"/>
      <c r="E287" s="31"/>
      <c r="F287" s="31"/>
      <c r="G287" s="31"/>
      <c r="H287" s="32"/>
      <c r="I287" s="33" t="str">
        <f t="shared" ca="1" si="13"/>
        <v/>
      </c>
      <c r="J287" s="33" t="str">
        <f t="shared" si="14"/>
        <v/>
      </c>
    </row>
    <row r="288" spans="1:10" ht="20.100000000000001" customHeight="1" x14ac:dyDescent="0.25">
      <c r="A288" s="30" t="str">
        <f t="shared" si="12"/>
        <v/>
      </c>
      <c r="B288" s="31"/>
      <c r="C288" s="31"/>
      <c r="D288" s="31"/>
      <c r="E288" s="31"/>
      <c r="F288" s="31"/>
      <c r="G288" s="31"/>
      <c r="H288" s="32"/>
      <c r="I288" s="33" t="str">
        <f t="shared" ca="1" si="13"/>
        <v/>
      </c>
      <c r="J288" s="33" t="str">
        <f t="shared" si="14"/>
        <v/>
      </c>
    </row>
    <row r="289" spans="1:10" ht="20.100000000000001" customHeight="1" x14ac:dyDescent="0.25">
      <c r="A289" s="30" t="str">
        <f t="shared" si="12"/>
        <v/>
      </c>
      <c r="B289" s="31"/>
      <c r="C289" s="31"/>
      <c r="D289" s="31"/>
      <c r="E289" s="31"/>
      <c r="F289" s="31"/>
      <c r="G289" s="31"/>
      <c r="H289" s="32"/>
      <c r="I289" s="33" t="str">
        <f t="shared" ca="1" si="13"/>
        <v/>
      </c>
      <c r="J289" s="33" t="str">
        <f t="shared" si="14"/>
        <v/>
      </c>
    </row>
    <row r="290" spans="1:10" ht="20.100000000000001" customHeight="1" x14ac:dyDescent="0.25">
      <c r="A290" s="30" t="str">
        <f t="shared" si="12"/>
        <v/>
      </c>
      <c r="B290" s="31"/>
      <c r="C290" s="31"/>
      <c r="D290" s="31"/>
      <c r="E290" s="31"/>
      <c r="F290" s="31"/>
      <c r="G290" s="31"/>
      <c r="H290" s="32"/>
      <c r="I290" s="33" t="str">
        <f t="shared" ca="1" si="13"/>
        <v/>
      </c>
      <c r="J290" s="33" t="str">
        <f t="shared" si="14"/>
        <v/>
      </c>
    </row>
    <row r="291" spans="1:10" ht="20.100000000000001" customHeight="1" x14ac:dyDescent="0.25">
      <c r="A291" s="30" t="str">
        <f t="shared" si="12"/>
        <v/>
      </c>
      <c r="B291" s="31"/>
      <c r="C291" s="31"/>
      <c r="D291" s="31"/>
      <c r="E291" s="31"/>
      <c r="F291" s="31"/>
      <c r="G291" s="31"/>
      <c r="H291" s="32"/>
      <c r="I291" s="33" t="str">
        <f t="shared" ca="1" si="13"/>
        <v/>
      </c>
      <c r="J291" s="33" t="str">
        <f t="shared" si="14"/>
        <v/>
      </c>
    </row>
    <row r="292" spans="1:10" ht="20.100000000000001" customHeight="1" x14ac:dyDescent="0.25">
      <c r="A292" s="30" t="str">
        <f t="shared" si="12"/>
        <v/>
      </c>
      <c r="B292" s="31"/>
      <c r="C292" s="31"/>
      <c r="D292" s="31"/>
      <c r="E292" s="31"/>
      <c r="F292" s="31"/>
      <c r="G292" s="31"/>
      <c r="H292" s="32"/>
      <c r="I292" s="33" t="str">
        <f t="shared" ca="1" si="13"/>
        <v/>
      </c>
      <c r="J292" s="33" t="str">
        <f t="shared" si="14"/>
        <v/>
      </c>
    </row>
    <row r="293" spans="1:10" ht="20.100000000000001" customHeight="1" x14ac:dyDescent="0.25">
      <c r="A293" s="30" t="str">
        <f t="shared" si="12"/>
        <v/>
      </c>
      <c r="B293" s="31"/>
      <c r="C293" s="31"/>
      <c r="D293" s="31"/>
      <c r="E293" s="31"/>
      <c r="F293" s="31"/>
      <c r="G293" s="31"/>
      <c r="H293" s="32"/>
      <c r="I293" s="33" t="str">
        <f t="shared" ca="1" si="13"/>
        <v/>
      </c>
      <c r="J293" s="33" t="str">
        <f t="shared" si="14"/>
        <v/>
      </c>
    </row>
    <row r="294" spans="1:10" ht="20.100000000000001" customHeight="1" x14ac:dyDescent="0.25">
      <c r="A294" s="30" t="str">
        <f t="shared" si="12"/>
        <v/>
      </c>
      <c r="B294" s="31"/>
      <c r="C294" s="31"/>
      <c r="D294" s="31"/>
      <c r="E294" s="31"/>
      <c r="F294" s="31"/>
      <c r="G294" s="31"/>
      <c r="H294" s="32"/>
      <c r="I294" s="33" t="str">
        <f t="shared" ca="1" si="13"/>
        <v/>
      </c>
      <c r="J294" s="33" t="str">
        <f t="shared" si="14"/>
        <v/>
      </c>
    </row>
    <row r="295" spans="1:10" ht="20.100000000000001" customHeight="1" x14ac:dyDescent="0.25">
      <c r="A295" s="30" t="str">
        <f t="shared" si="12"/>
        <v/>
      </c>
      <c r="B295" s="31"/>
      <c r="C295" s="31"/>
      <c r="D295" s="31"/>
      <c r="E295" s="31"/>
      <c r="F295" s="31"/>
      <c r="G295" s="31"/>
      <c r="H295" s="32"/>
      <c r="I295" s="33" t="str">
        <f t="shared" ca="1" si="13"/>
        <v/>
      </c>
      <c r="J295" s="33" t="str">
        <f t="shared" si="14"/>
        <v/>
      </c>
    </row>
    <row r="296" spans="1:10" ht="20.100000000000001" customHeight="1" x14ac:dyDescent="0.25">
      <c r="A296" s="30" t="str">
        <f t="shared" si="12"/>
        <v/>
      </c>
      <c r="B296" s="31"/>
      <c r="C296" s="31"/>
      <c r="D296" s="31"/>
      <c r="E296" s="31"/>
      <c r="F296" s="31"/>
      <c r="G296" s="31"/>
      <c r="H296" s="32"/>
      <c r="I296" s="33" t="str">
        <f t="shared" ca="1" si="13"/>
        <v/>
      </c>
      <c r="J296" s="33" t="str">
        <f t="shared" si="14"/>
        <v/>
      </c>
    </row>
    <row r="297" spans="1:10" ht="20.100000000000001" customHeight="1" x14ac:dyDescent="0.25">
      <c r="A297" s="30" t="str">
        <f t="shared" si="12"/>
        <v/>
      </c>
      <c r="B297" s="31"/>
      <c r="C297" s="31"/>
      <c r="D297" s="31"/>
      <c r="E297" s="31"/>
      <c r="F297" s="31"/>
      <c r="G297" s="31"/>
      <c r="H297" s="32"/>
      <c r="I297" s="33" t="str">
        <f t="shared" ca="1" si="13"/>
        <v/>
      </c>
      <c r="J297" s="33" t="str">
        <f t="shared" si="14"/>
        <v/>
      </c>
    </row>
    <row r="298" spans="1:10" ht="20.100000000000001" customHeight="1" x14ac:dyDescent="0.25">
      <c r="A298" s="30" t="str">
        <f t="shared" si="12"/>
        <v/>
      </c>
      <c r="B298" s="31"/>
      <c r="C298" s="31"/>
      <c r="D298" s="31"/>
      <c r="E298" s="31"/>
      <c r="F298" s="31"/>
      <c r="G298" s="31"/>
      <c r="H298" s="32"/>
      <c r="I298" s="33" t="str">
        <f t="shared" ca="1" si="13"/>
        <v/>
      </c>
      <c r="J298" s="33" t="str">
        <f t="shared" si="14"/>
        <v/>
      </c>
    </row>
    <row r="299" spans="1:10" ht="20.100000000000001" customHeight="1" x14ac:dyDescent="0.25">
      <c r="A299" s="30" t="str">
        <f t="shared" si="12"/>
        <v/>
      </c>
      <c r="B299" s="31"/>
      <c r="C299" s="31"/>
      <c r="D299" s="31"/>
      <c r="E299" s="31"/>
      <c r="F299" s="31"/>
      <c r="G299" s="31"/>
      <c r="H299" s="32"/>
      <c r="I299" s="33" t="str">
        <f t="shared" ca="1" si="13"/>
        <v/>
      </c>
      <c r="J299" s="33" t="str">
        <f t="shared" si="14"/>
        <v/>
      </c>
    </row>
    <row r="300" spans="1:10" ht="20.100000000000001" customHeight="1" x14ac:dyDescent="0.25">
      <c r="A300" s="30" t="str">
        <f t="shared" si="12"/>
        <v/>
      </c>
      <c r="B300" s="31"/>
      <c r="C300" s="31"/>
      <c r="D300" s="31"/>
      <c r="E300" s="31"/>
      <c r="F300" s="31"/>
      <c r="G300" s="31"/>
      <c r="H300" s="32"/>
      <c r="I300" s="33" t="str">
        <f t="shared" ca="1" si="13"/>
        <v/>
      </c>
      <c r="J300" s="33" t="str">
        <f t="shared" si="14"/>
        <v/>
      </c>
    </row>
    <row r="301" spans="1:10" ht="20.100000000000001" customHeight="1" x14ac:dyDescent="0.25">
      <c r="A301" s="30" t="str">
        <f t="shared" si="12"/>
        <v/>
      </c>
      <c r="B301" s="31"/>
      <c r="C301" s="31"/>
      <c r="D301" s="31"/>
      <c r="E301" s="31"/>
      <c r="F301" s="31"/>
      <c r="G301" s="31"/>
      <c r="H301" s="32"/>
      <c r="I301" s="33" t="str">
        <f t="shared" ca="1" si="13"/>
        <v/>
      </c>
      <c r="J301" s="33" t="str">
        <f t="shared" si="14"/>
        <v/>
      </c>
    </row>
    <row r="302" spans="1:10" ht="20.100000000000001" customHeight="1" x14ac:dyDescent="0.25">
      <c r="A302" s="30" t="str">
        <f t="shared" si="12"/>
        <v/>
      </c>
      <c r="B302" s="31"/>
      <c r="C302" s="31"/>
      <c r="D302" s="31"/>
      <c r="E302" s="31"/>
      <c r="F302" s="31"/>
      <c r="G302" s="31"/>
      <c r="H302" s="32"/>
      <c r="I302" s="33" t="str">
        <f t="shared" ca="1" si="13"/>
        <v/>
      </c>
      <c r="J302" s="33" t="str">
        <f t="shared" si="14"/>
        <v/>
      </c>
    </row>
    <row r="303" spans="1:10" ht="20.100000000000001" customHeight="1" x14ac:dyDescent="0.25">
      <c r="A303" s="30" t="str">
        <f t="shared" si="12"/>
        <v/>
      </c>
      <c r="B303" s="31"/>
      <c r="C303" s="31"/>
      <c r="D303" s="31"/>
      <c r="E303" s="31"/>
      <c r="F303" s="31"/>
      <c r="G303" s="31"/>
      <c r="H303" s="32"/>
      <c r="I303" s="33" t="str">
        <f t="shared" ca="1" si="13"/>
        <v/>
      </c>
      <c r="J303" s="33" t="str">
        <f t="shared" si="14"/>
        <v/>
      </c>
    </row>
    <row r="304" spans="1:10" ht="20.100000000000001" customHeight="1" x14ac:dyDescent="0.25">
      <c r="A304" s="30" t="str">
        <f t="shared" si="12"/>
        <v/>
      </c>
      <c r="B304" s="31"/>
      <c r="C304" s="31"/>
      <c r="D304" s="31"/>
      <c r="E304" s="31"/>
      <c r="F304" s="31"/>
      <c r="G304" s="31"/>
      <c r="H304" s="32"/>
      <c r="I304" s="33" t="str">
        <f t="shared" ca="1" si="13"/>
        <v/>
      </c>
      <c r="J304" s="33" t="str">
        <f t="shared" si="14"/>
        <v/>
      </c>
    </row>
    <row r="305" spans="1:10" ht="20.100000000000001" customHeight="1" x14ac:dyDescent="0.25">
      <c r="A305" s="30" t="str">
        <f t="shared" si="12"/>
        <v/>
      </c>
      <c r="B305" s="31"/>
      <c r="C305" s="31"/>
      <c r="D305" s="31"/>
      <c r="E305" s="31"/>
      <c r="F305" s="31"/>
      <c r="G305" s="31"/>
      <c r="H305" s="32"/>
      <c r="I305" s="33" t="str">
        <f t="shared" ca="1" si="13"/>
        <v/>
      </c>
      <c r="J305" s="33" t="str">
        <f t="shared" si="14"/>
        <v/>
      </c>
    </row>
    <row r="306" spans="1:10" ht="20.100000000000001" customHeight="1" x14ac:dyDescent="0.25">
      <c r="A306" s="30" t="str">
        <f t="shared" si="12"/>
        <v/>
      </c>
      <c r="B306" s="31"/>
      <c r="C306" s="31"/>
      <c r="D306" s="31"/>
      <c r="E306" s="31"/>
      <c r="F306" s="31"/>
      <c r="G306" s="31"/>
      <c r="H306" s="32"/>
      <c r="I306" s="33" t="str">
        <f t="shared" ca="1" si="13"/>
        <v/>
      </c>
      <c r="J306" s="33" t="str">
        <f t="shared" si="14"/>
        <v/>
      </c>
    </row>
    <row r="307" spans="1:10" ht="20.100000000000001" customHeight="1" x14ac:dyDescent="0.25">
      <c r="A307" s="30" t="str">
        <f t="shared" si="12"/>
        <v/>
      </c>
      <c r="B307" s="31"/>
      <c r="C307" s="31"/>
      <c r="D307" s="31"/>
      <c r="E307" s="31"/>
      <c r="F307" s="31"/>
      <c r="G307" s="31"/>
      <c r="H307" s="32"/>
      <c r="I307" s="33" t="str">
        <f t="shared" ca="1" si="13"/>
        <v/>
      </c>
      <c r="J307" s="33" t="str">
        <f t="shared" si="14"/>
        <v/>
      </c>
    </row>
    <row r="308" spans="1:10" ht="20.100000000000001" customHeight="1" x14ac:dyDescent="0.25">
      <c r="A308" s="30" t="str">
        <f t="shared" si="12"/>
        <v/>
      </c>
      <c r="B308" s="31"/>
      <c r="C308" s="31"/>
      <c r="D308" s="31"/>
      <c r="E308" s="31"/>
      <c r="F308" s="31"/>
      <c r="G308" s="31"/>
      <c r="H308" s="32"/>
      <c r="I308" s="33" t="str">
        <f t="shared" ca="1" si="13"/>
        <v/>
      </c>
      <c r="J308" s="33" t="str">
        <f t="shared" si="14"/>
        <v/>
      </c>
    </row>
    <row r="309" spans="1:10" ht="20.100000000000001" customHeight="1" x14ac:dyDescent="0.25">
      <c r="A309" s="30" t="str">
        <f t="shared" si="12"/>
        <v/>
      </c>
      <c r="B309" s="31"/>
      <c r="C309" s="31"/>
      <c r="D309" s="31"/>
      <c r="E309" s="31"/>
      <c r="F309" s="31"/>
      <c r="G309" s="31"/>
      <c r="H309" s="32"/>
      <c r="I309" s="33" t="str">
        <f t="shared" ca="1" si="13"/>
        <v/>
      </c>
      <c r="J309" s="33" t="str">
        <f t="shared" si="14"/>
        <v/>
      </c>
    </row>
    <row r="310" spans="1:10" ht="20.100000000000001" customHeight="1" x14ac:dyDescent="0.25">
      <c r="A310" s="30" t="str">
        <f t="shared" si="12"/>
        <v/>
      </c>
      <c r="B310" s="31"/>
      <c r="C310" s="31"/>
      <c r="D310" s="31"/>
      <c r="E310" s="31"/>
      <c r="F310" s="31"/>
      <c r="G310" s="31"/>
      <c r="H310" s="32"/>
      <c r="I310" s="33" t="str">
        <f t="shared" ca="1" si="13"/>
        <v/>
      </c>
      <c r="J310" s="33" t="str">
        <f t="shared" si="14"/>
        <v/>
      </c>
    </row>
    <row r="311" spans="1:10" ht="20.100000000000001" customHeight="1" x14ac:dyDescent="0.25">
      <c r="A311" s="30" t="str">
        <f t="shared" si="12"/>
        <v/>
      </c>
      <c r="B311" s="31"/>
      <c r="C311" s="31"/>
      <c r="D311" s="31"/>
      <c r="E311" s="31"/>
      <c r="F311" s="31"/>
      <c r="G311" s="31"/>
      <c r="H311" s="32"/>
      <c r="I311" s="33" t="str">
        <f t="shared" ca="1" si="13"/>
        <v/>
      </c>
      <c r="J311" s="33" t="str">
        <f t="shared" si="14"/>
        <v/>
      </c>
    </row>
    <row r="312" spans="1:10" ht="20.100000000000001" customHeight="1" x14ac:dyDescent="0.25">
      <c r="A312" s="30" t="str">
        <f t="shared" si="12"/>
        <v/>
      </c>
      <c r="B312" s="31"/>
      <c r="C312" s="31"/>
      <c r="D312" s="31"/>
      <c r="E312" s="31"/>
      <c r="F312" s="31"/>
      <c r="G312" s="31"/>
      <c r="H312" s="32"/>
      <c r="I312" s="33" t="str">
        <f t="shared" ca="1" si="13"/>
        <v/>
      </c>
      <c r="J312" s="33" t="str">
        <f t="shared" si="14"/>
        <v/>
      </c>
    </row>
    <row r="313" spans="1:10" ht="20.100000000000001" customHeight="1" x14ac:dyDescent="0.25">
      <c r="A313" s="30" t="str">
        <f t="shared" si="12"/>
        <v/>
      </c>
      <c r="B313" s="31"/>
      <c r="C313" s="31"/>
      <c r="D313" s="31"/>
      <c r="E313" s="31"/>
      <c r="F313" s="31"/>
      <c r="G313" s="31"/>
      <c r="H313" s="32"/>
      <c r="I313" s="33" t="str">
        <f t="shared" ca="1" si="13"/>
        <v/>
      </c>
      <c r="J313" s="33" t="str">
        <f t="shared" si="14"/>
        <v/>
      </c>
    </row>
    <row r="314" spans="1:10" ht="20.100000000000001" customHeight="1" x14ac:dyDescent="0.25">
      <c r="A314" s="30" t="str">
        <f t="shared" si="12"/>
        <v/>
      </c>
      <c r="B314" s="31"/>
      <c r="C314" s="31"/>
      <c r="D314" s="31"/>
      <c r="E314" s="31"/>
      <c r="F314" s="31"/>
      <c r="G314" s="31"/>
      <c r="H314" s="32"/>
      <c r="I314" s="33" t="str">
        <f t="shared" ca="1" si="13"/>
        <v/>
      </c>
      <c r="J314" s="33" t="str">
        <f t="shared" si="14"/>
        <v/>
      </c>
    </row>
    <row r="315" spans="1:10" ht="20.100000000000001" customHeight="1" x14ac:dyDescent="0.25">
      <c r="A315" s="30" t="str">
        <f t="shared" si="12"/>
        <v/>
      </c>
      <c r="B315" s="31"/>
      <c r="C315" s="31"/>
      <c r="D315" s="31"/>
      <c r="E315" s="31"/>
      <c r="F315" s="31"/>
      <c r="G315" s="31"/>
      <c r="H315" s="32"/>
      <c r="I315" s="33" t="str">
        <f t="shared" ca="1" si="13"/>
        <v/>
      </c>
      <c r="J315" s="33" t="str">
        <f t="shared" si="14"/>
        <v/>
      </c>
    </row>
    <row r="316" spans="1:10" ht="20.100000000000001" customHeight="1" x14ac:dyDescent="0.25">
      <c r="A316" s="30" t="str">
        <f t="shared" si="12"/>
        <v/>
      </c>
      <c r="B316" s="31"/>
      <c r="C316" s="31"/>
      <c r="D316" s="31"/>
      <c r="E316" s="31"/>
      <c r="F316" s="31"/>
      <c r="G316" s="31"/>
      <c r="H316" s="32"/>
      <c r="I316" s="33" t="str">
        <f t="shared" ca="1" si="13"/>
        <v/>
      </c>
      <c r="J316" s="33" t="str">
        <f t="shared" si="14"/>
        <v/>
      </c>
    </row>
    <row r="317" spans="1:10" ht="20.100000000000001" customHeight="1" x14ac:dyDescent="0.25">
      <c r="A317" s="30" t="str">
        <f t="shared" si="12"/>
        <v/>
      </c>
      <c r="B317" s="31"/>
      <c r="C317" s="31"/>
      <c r="D317" s="31"/>
      <c r="E317" s="31"/>
      <c r="F317" s="31"/>
      <c r="G317" s="31"/>
      <c r="H317" s="32"/>
      <c r="I317" s="33" t="str">
        <f t="shared" ca="1" si="13"/>
        <v/>
      </c>
      <c r="J317" s="33" t="str">
        <f t="shared" si="14"/>
        <v/>
      </c>
    </row>
    <row r="318" spans="1:10" ht="20.100000000000001" customHeight="1" x14ac:dyDescent="0.25">
      <c r="A318" s="30" t="str">
        <f t="shared" si="12"/>
        <v/>
      </c>
      <c r="B318" s="31"/>
      <c r="C318" s="31"/>
      <c r="D318" s="31"/>
      <c r="E318" s="31"/>
      <c r="F318" s="31"/>
      <c r="G318" s="31"/>
      <c r="H318" s="32"/>
      <c r="I318" s="33" t="str">
        <f t="shared" ca="1" si="13"/>
        <v/>
      </c>
      <c r="J318" s="33" t="str">
        <f t="shared" si="14"/>
        <v/>
      </c>
    </row>
    <row r="319" spans="1:10" ht="20.100000000000001" customHeight="1" x14ac:dyDescent="0.25">
      <c r="A319" s="30" t="str">
        <f t="shared" si="12"/>
        <v/>
      </c>
      <c r="B319" s="31"/>
      <c r="C319" s="31"/>
      <c r="D319" s="31"/>
      <c r="E319" s="31"/>
      <c r="F319" s="31"/>
      <c r="G319" s="31"/>
      <c r="H319" s="32"/>
      <c r="I319" s="33" t="str">
        <f t="shared" ca="1" si="13"/>
        <v/>
      </c>
      <c r="J319" s="33" t="str">
        <f t="shared" si="14"/>
        <v/>
      </c>
    </row>
    <row r="320" spans="1:10" ht="20.100000000000001" customHeight="1" x14ac:dyDescent="0.25">
      <c r="A320" s="30" t="str">
        <f t="shared" si="12"/>
        <v/>
      </c>
      <c r="B320" s="31"/>
      <c r="C320" s="31"/>
      <c r="D320" s="31"/>
      <c r="E320" s="31"/>
      <c r="F320" s="31"/>
      <c r="G320" s="31"/>
      <c r="H320" s="32"/>
      <c r="I320" s="33" t="str">
        <f t="shared" ca="1" si="13"/>
        <v/>
      </c>
      <c r="J320" s="33" t="str">
        <f t="shared" si="14"/>
        <v/>
      </c>
    </row>
    <row r="321" spans="1:10" ht="20.100000000000001" customHeight="1" x14ac:dyDescent="0.25">
      <c r="A321" s="30" t="str">
        <f t="shared" si="12"/>
        <v/>
      </c>
      <c r="B321" s="31"/>
      <c r="C321" s="31"/>
      <c r="D321" s="31"/>
      <c r="E321" s="31"/>
      <c r="F321" s="31"/>
      <c r="G321" s="31"/>
      <c r="H321" s="32"/>
      <c r="I321" s="33" t="str">
        <f t="shared" ca="1" si="13"/>
        <v/>
      </c>
      <c r="J321" s="33" t="str">
        <f t="shared" si="14"/>
        <v/>
      </c>
    </row>
    <row r="322" spans="1:10" ht="20.100000000000001" customHeight="1" x14ac:dyDescent="0.25">
      <c r="A322" s="30" t="str">
        <f t="shared" si="12"/>
        <v/>
      </c>
      <c r="B322" s="31"/>
      <c r="C322" s="31"/>
      <c r="D322" s="31"/>
      <c r="E322" s="31"/>
      <c r="F322" s="31"/>
      <c r="G322" s="31"/>
      <c r="H322" s="32"/>
      <c r="I322" s="33" t="str">
        <f t="shared" ca="1" si="13"/>
        <v/>
      </c>
      <c r="J322" s="33" t="str">
        <f t="shared" si="14"/>
        <v/>
      </c>
    </row>
    <row r="323" spans="1:10" ht="20.100000000000001" customHeight="1" x14ac:dyDescent="0.25">
      <c r="A323" s="30" t="str">
        <f t="shared" si="12"/>
        <v/>
      </c>
      <c r="B323" s="31"/>
      <c r="C323" s="31"/>
      <c r="D323" s="31"/>
      <c r="E323" s="31"/>
      <c r="F323" s="31"/>
      <c r="G323" s="31"/>
      <c r="H323" s="32"/>
      <c r="I323" s="33" t="str">
        <f t="shared" ca="1" si="13"/>
        <v/>
      </c>
      <c r="J323" s="33" t="str">
        <f t="shared" si="14"/>
        <v/>
      </c>
    </row>
    <row r="324" spans="1:10" ht="20.100000000000001" customHeight="1" x14ac:dyDescent="0.25">
      <c r="A324" s="30" t="str">
        <f t="shared" si="12"/>
        <v/>
      </c>
      <c r="B324" s="31"/>
      <c r="C324" s="31"/>
      <c r="D324" s="31"/>
      <c r="E324" s="31"/>
      <c r="F324" s="31"/>
      <c r="G324" s="31"/>
      <c r="H324" s="32"/>
      <c r="I324" s="33" t="str">
        <f t="shared" ca="1" si="13"/>
        <v/>
      </c>
      <c r="J324" s="33" t="str">
        <f t="shared" si="14"/>
        <v/>
      </c>
    </row>
    <row r="325" spans="1:10" ht="20.100000000000001" customHeight="1" x14ac:dyDescent="0.25">
      <c r="A325" s="30" t="str">
        <f t="shared" ref="A325:A388" si="15">IF(B325="","","ACC"&amp;TEXT(ROW()-4,"0000"))</f>
        <v/>
      </c>
      <c r="B325" s="31"/>
      <c r="C325" s="31"/>
      <c r="D325" s="31"/>
      <c r="E325" s="31"/>
      <c r="F325" s="31"/>
      <c r="G325" s="31"/>
      <c r="H325" s="32"/>
      <c r="I325" s="33" t="str">
        <f t="shared" ref="I325:I388" ca="1" si="16">IF(B325="","",TEXT(TODAY(),"dd/mm/yyyy"))</f>
        <v/>
      </c>
      <c r="J325" s="33" t="str">
        <f t="shared" ref="J325:J388" si="17">IF(B325="","",IF(ISNUMBER(H325),IF(H325&gt;=10,"✅ Active","⚠️ Below Min Balance"),"Pending"))</f>
        <v/>
      </c>
    </row>
    <row r="326" spans="1:10" ht="20.100000000000001" customHeight="1" x14ac:dyDescent="0.25">
      <c r="A326" s="30" t="str">
        <f t="shared" si="15"/>
        <v/>
      </c>
      <c r="B326" s="31"/>
      <c r="C326" s="31"/>
      <c r="D326" s="31"/>
      <c r="E326" s="31"/>
      <c r="F326" s="31"/>
      <c r="G326" s="31"/>
      <c r="H326" s="32"/>
      <c r="I326" s="33" t="str">
        <f t="shared" ca="1" si="16"/>
        <v/>
      </c>
      <c r="J326" s="33" t="str">
        <f t="shared" si="17"/>
        <v/>
      </c>
    </row>
    <row r="327" spans="1:10" ht="20.100000000000001" customHeight="1" x14ac:dyDescent="0.25">
      <c r="A327" s="30" t="str">
        <f t="shared" si="15"/>
        <v/>
      </c>
      <c r="B327" s="31"/>
      <c r="C327" s="31"/>
      <c r="D327" s="31"/>
      <c r="E327" s="31"/>
      <c r="F327" s="31"/>
      <c r="G327" s="31"/>
      <c r="H327" s="32"/>
      <c r="I327" s="33" t="str">
        <f t="shared" ca="1" si="16"/>
        <v/>
      </c>
      <c r="J327" s="33" t="str">
        <f t="shared" si="17"/>
        <v/>
      </c>
    </row>
    <row r="328" spans="1:10" ht="20.100000000000001" customHeight="1" x14ac:dyDescent="0.25">
      <c r="A328" s="30" t="str">
        <f t="shared" si="15"/>
        <v/>
      </c>
      <c r="B328" s="31"/>
      <c r="C328" s="31"/>
      <c r="D328" s="31"/>
      <c r="E328" s="31"/>
      <c r="F328" s="31"/>
      <c r="G328" s="31"/>
      <c r="H328" s="32"/>
      <c r="I328" s="33" t="str">
        <f t="shared" ca="1" si="16"/>
        <v/>
      </c>
      <c r="J328" s="33" t="str">
        <f t="shared" si="17"/>
        <v/>
      </c>
    </row>
    <row r="329" spans="1:10" ht="20.100000000000001" customHeight="1" x14ac:dyDescent="0.25">
      <c r="A329" s="30" t="str">
        <f t="shared" si="15"/>
        <v/>
      </c>
      <c r="B329" s="31"/>
      <c r="C329" s="31"/>
      <c r="D329" s="31"/>
      <c r="E329" s="31"/>
      <c r="F329" s="31"/>
      <c r="G329" s="31"/>
      <c r="H329" s="32"/>
      <c r="I329" s="33" t="str">
        <f t="shared" ca="1" si="16"/>
        <v/>
      </c>
      <c r="J329" s="33" t="str">
        <f t="shared" si="17"/>
        <v/>
      </c>
    </row>
    <row r="330" spans="1:10" ht="20.100000000000001" customHeight="1" x14ac:dyDescent="0.25">
      <c r="A330" s="30" t="str">
        <f t="shared" si="15"/>
        <v/>
      </c>
      <c r="B330" s="31"/>
      <c r="C330" s="31"/>
      <c r="D330" s="31"/>
      <c r="E330" s="31"/>
      <c r="F330" s="31"/>
      <c r="G330" s="31"/>
      <c r="H330" s="32"/>
      <c r="I330" s="33" t="str">
        <f t="shared" ca="1" si="16"/>
        <v/>
      </c>
      <c r="J330" s="33" t="str">
        <f t="shared" si="17"/>
        <v/>
      </c>
    </row>
    <row r="331" spans="1:10" ht="20.100000000000001" customHeight="1" x14ac:dyDescent="0.25">
      <c r="A331" s="30" t="str">
        <f t="shared" si="15"/>
        <v/>
      </c>
      <c r="B331" s="31"/>
      <c r="C331" s="31"/>
      <c r="D331" s="31"/>
      <c r="E331" s="31"/>
      <c r="F331" s="31"/>
      <c r="G331" s="31"/>
      <c r="H331" s="32"/>
      <c r="I331" s="33" t="str">
        <f t="shared" ca="1" si="16"/>
        <v/>
      </c>
      <c r="J331" s="33" t="str">
        <f t="shared" si="17"/>
        <v/>
      </c>
    </row>
    <row r="332" spans="1:10" ht="20.100000000000001" customHeight="1" x14ac:dyDescent="0.25">
      <c r="A332" s="30" t="str">
        <f t="shared" si="15"/>
        <v/>
      </c>
      <c r="B332" s="31"/>
      <c r="C332" s="31"/>
      <c r="D332" s="31"/>
      <c r="E332" s="31"/>
      <c r="F332" s="31"/>
      <c r="G332" s="31"/>
      <c r="H332" s="32"/>
      <c r="I332" s="33" t="str">
        <f t="shared" ca="1" si="16"/>
        <v/>
      </c>
      <c r="J332" s="33" t="str">
        <f t="shared" si="17"/>
        <v/>
      </c>
    </row>
    <row r="333" spans="1:10" ht="20.100000000000001" customHeight="1" x14ac:dyDescent="0.25">
      <c r="A333" s="30" t="str">
        <f t="shared" si="15"/>
        <v/>
      </c>
      <c r="B333" s="31"/>
      <c r="C333" s="31"/>
      <c r="D333" s="31"/>
      <c r="E333" s="31"/>
      <c r="F333" s="31"/>
      <c r="G333" s="31"/>
      <c r="H333" s="32"/>
      <c r="I333" s="33" t="str">
        <f t="shared" ca="1" si="16"/>
        <v/>
      </c>
      <c r="J333" s="33" t="str">
        <f t="shared" si="17"/>
        <v/>
      </c>
    </row>
    <row r="334" spans="1:10" ht="20.100000000000001" customHeight="1" x14ac:dyDescent="0.25">
      <c r="A334" s="30" t="str">
        <f t="shared" si="15"/>
        <v/>
      </c>
      <c r="B334" s="31"/>
      <c r="C334" s="31"/>
      <c r="D334" s="31"/>
      <c r="E334" s="31"/>
      <c r="F334" s="31"/>
      <c r="G334" s="31"/>
      <c r="H334" s="32"/>
      <c r="I334" s="33" t="str">
        <f t="shared" ca="1" si="16"/>
        <v/>
      </c>
      <c r="J334" s="33" t="str">
        <f t="shared" si="17"/>
        <v/>
      </c>
    </row>
    <row r="335" spans="1:10" ht="20.100000000000001" customHeight="1" x14ac:dyDescent="0.25">
      <c r="A335" s="30" t="str">
        <f t="shared" si="15"/>
        <v/>
      </c>
      <c r="B335" s="31"/>
      <c r="C335" s="31"/>
      <c r="D335" s="31"/>
      <c r="E335" s="31"/>
      <c r="F335" s="31"/>
      <c r="G335" s="31"/>
      <c r="H335" s="32"/>
      <c r="I335" s="33" t="str">
        <f t="shared" ca="1" si="16"/>
        <v/>
      </c>
      <c r="J335" s="33" t="str">
        <f t="shared" si="17"/>
        <v/>
      </c>
    </row>
    <row r="336" spans="1:10" ht="20.100000000000001" customHeight="1" x14ac:dyDescent="0.25">
      <c r="A336" s="30" t="str">
        <f t="shared" si="15"/>
        <v/>
      </c>
      <c r="B336" s="31"/>
      <c r="C336" s="31"/>
      <c r="D336" s="31"/>
      <c r="E336" s="31"/>
      <c r="F336" s="31"/>
      <c r="G336" s="31"/>
      <c r="H336" s="32"/>
      <c r="I336" s="33" t="str">
        <f t="shared" ca="1" si="16"/>
        <v/>
      </c>
      <c r="J336" s="33" t="str">
        <f t="shared" si="17"/>
        <v/>
      </c>
    </row>
    <row r="337" spans="1:10" ht="20.100000000000001" customHeight="1" x14ac:dyDescent="0.25">
      <c r="A337" s="30" t="str">
        <f t="shared" si="15"/>
        <v/>
      </c>
      <c r="B337" s="31"/>
      <c r="C337" s="31"/>
      <c r="D337" s="31"/>
      <c r="E337" s="31"/>
      <c r="F337" s="31"/>
      <c r="G337" s="31"/>
      <c r="H337" s="32"/>
      <c r="I337" s="33" t="str">
        <f t="shared" ca="1" si="16"/>
        <v/>
      </c>
      <c r="J337" s="33" t="str">
        <f t="shared" si="17"/>
        <v/>
      </c>
    </row>
    <row r="338" spans="1:10" ht="20.100000000000001" customHeight="1" x14ac:dyDescent="0.25">
      <c r="A338" s="30" t="str">
        <f t="shared" si="15"/>
        <v/>
      </c>
      <c r="B338" s="31"/>
      <c r="C338" s="31"/>
      <c r="D338" s="31"/>
      <c r="E338" s="31"/>
      <c r="F338" s="31"/>
      <c r="G338" s="31"/>
      <c r="H338" s="32"/>
      <c r="I338" s="33" t="str">
        <f t="shared" ca="1" si="16"/>
        <v/>
      </c>
      <c r="J338" s="33" t="str">
        <f t="shared" si="17"/>
        <v/>
      </c>
    </row>
    <row r="339" spans="1:10" ht="20.100000000000001" customHeight="1" x14ac:dyDescent="0.25">
      <c r="A339" s="30" t="str">
        <f t="shared" si="15"/>
        <v/>
      </c>
      <c r="B339" s="31"/>
      <c r="C339" s="31"/>
      <c r="D339" s="31"/>
      <c r="E339" s="31"/>
      <c r="F339" s="31"/>
      <c r="G339" s="31"/>
      <c r="H339" s="32"/>
      <c r="I339" s="33" t="str">
        <f t="shared" ca="1" si="16"/>
        <v/>
      </c>
      <c r="J339" s="33" t="str">
        <f t="shared" si="17"/>
        <v/>
      </c>
    </row>
    <row r="340" spans="1:10" ht="20.100000000000001" customHeight="1" x14ac:dyDescent="0.25">
      <c r="A340" s="30" t="str">
        <f t="shared" si="15"/>
        <v/>
      </c>
      <c r="B340" s="31"/>
      <c r="C340" s="31"/>
      <c r="D340" s="31"/>
      <c r="E340" s="31"/>
      <c r="F340" s="31"/>
      <c r="G340" s="31"/>
      <c r="H340" s="32"/>
      <c r="I340" s="33" t="str">
        <f t="shared" ca="1" si="16"/>
        <v/>
      </c>
      <c r="J340" s="33" t="str">
        <f t="shared" si="17"/>
        <v/>
      </c>
    </row>
    <row r="341" spans="1:10" ht="20.100000000000001" customHeight="1" x14ac:dyDescent="0.25">
      <c r="A341" s="30" t="str">
        <f t="shared" si="15"/>
        <v/>
      </c>
      <c r="B341" s="31"/>
      <c r="C341" s="31"/>
      <c r="D341" s="31"/>
      <c r="E341" s="31"/>
      <c r="F341" s="31"/>
      <c r="G341" s="31"/>
      <c r="H341" s="32"/>
      <c r="I341" s="33" t="str">
        <f t="shared" ca="1" si="16"/>
        <v/>
      </c>
      <c r="J341" s="33" t="str">
        <f t="shared" si="17"/>
        <v/>
      </c>
    </row>
    <row r="342" spans="1:10" ht="20.100000000000001" customHeight="1" x14ac:dyDescent="0.25">
      <c r="A342" s="30" t="str">
        <f t="shared" si="15"/>
        <v/>
      </c>
      <c r="B342" s="31"/>
      <c r="C342" s="31"/>
      <c r="D342" s="31"/>
      <c r="E342" s="31"/>
      <c r="F342" s="31"/>
      <c r="G342" s="31"/>
      <c r="H342" s="32"/>
      <c r="I342" s="33" t="str">
        <f t="shared" ca="1" si="16"/>
        <v/>
      </c>
      <c r="J342" s="33" t="str">
        <f t="shared" si="17"/>
        <v/>
      </c>
    </row>
    <row r="343" spans="1:10" ht="20.100000000000001" customHeight="1" x14ac:dyDescent="0.25">
      <c r="A343" s="30" t="str">
        <f t="shared" si="15"/>
        <v/>
      </c>
      <c r="B343" s="31"/>
      <c r="C343" s="31"/>
      <c r="D343" s="31"/>
      <c r="E343" s="31"/>
      <c r="F343" s="31"/>
      <c r="G343" s="31"/>
      <c r="H343" s="32"/>
      <c r="I343" s="33" t="str">
        <f t="shared" ca="1" si="16"/>
        <v/>
      </c>
      <c r="J343" s="33" t="str">
        <f t="shared" si="17"/>
        <v/>
      </c>
    </row>
    <row r="344" spans="1:10" ht="20.100000000000001" customHeight="1" x14ac:dyDescent="0.25">
      <c r="A344" s="30" t="str">
        <f t="shared" si="15"/>
        <v/>
      </c>
      <c r="B344" s="31"/>
      <c r="C344" s="31"/>
      <c r="D344" s="31"/>
      <c r="E344" s="31"/>
      <c r="F344" s="31"/>
      <c r="G344" s="31"/>
      <c r="H344" s="32"/>
      <c r="I344" s="33" t="str">
        <f t="shared" ca="1" si="16"/>
        <v/>
      </c>
      <c r="J344" s="33" t="str">
        <f t="shared" si="17"/>
        <v/>
      </c>
    </row>
    <row r="345" spans="1:10" ht="20.100000000000001" customHeight="1" x14ac:dyDescent="0.25">
      <c r="A345" s="30" t="str">
        <f t="shared" si="15"/>
        <v/>
      </c>
      <c r="B345" s="31"/>
      <c r="C345" s="31"/>
      <c r="D345" s="31"/>
      <c r="E345" s="31"/>
      <c r="F345" s="31"/>
      <c r="G345" s="31"/>
      <c r="H345" s="32"/>
      <c r="I345" s="33" t="str">
        <f t="shared" ca="1" si="16"/>
        <v/>
      </c>
      <c r="J345" s="33" t="str">
        <f t="shared" si="17"/>
        <v/>
      </c>
    </row>
    <row r="346" spans="1:10" ht="20.100000000000001" customHeight="1" x14ac:dyDescent="0.25">
      <c r="A346" s="30" t="str">
        <f t="shared" si="15"/>
        <v/>
      </c>
      <c r="B346" s="31"/>
      <c r="C346" s="31"/>
      <c r="D346" s="31"/>
      <c r="E346" s="31"/>
      <c r="F346" s="31"/>
      <c r="G346" s="31"/>
      <c r="H346" s="32"/>
      <c r="I346" s="33" t="str">
        <f t="shared" ca="1" si="16"/>
        <v/>
      </c>
      <c r="J346" s="33" t="str">
        <f t="shared" si="17"/>
        <v/>
      </c>
    </row>
    <row r="347" spans="1:10" ht="20.100000000000001" customHeight="1" x14ac:dyDescent="0.25">
      <c r="A347" s="30" t="str">
        <f t="shared" si="15"/>
        <v/>
      </c>
      <c r="B347" s="31"/>
      <c r="C347" s="31"/>
      <c r="D347" s="31"/>
      <c r="E347" s="31"/>
      <c r="F347" s="31"/>
      <c r="G347" s="31"/>
      <c r="H347" s="32"/>
      <c r="I347" s="33" t="str">
        <f t="shared" ca="1" si="16"/>
        <v/>
      </c>
      <c r="J347" s="33" t="str">
        <f t="shared" si="17"/>
        <v/>
      </c>
    </row>
    <row r="348" spans="1:10" ht="20.100000000000001" customHeight="1" x14ac:dyDescent="0.25">
      <c r="A348" s="30" t="str">
        <f t="shared" si="15"/>
        <v/>
      </c>
      <c r="B348" s="31"/>
      <c r="C348" s="31"/>
      <c r="D348" s="31"/>
      <c r="E348" s="31"/>
      <c r="F348" s="31"/>
      <c r="G348" s="31"/>
      <c r="H348" s="32"/>
      <c r="I348" s="33" t="str">
        <f t="shared" ca="1" si="16"/>
        <v/>
      </c>
      <c r="J348" s="33" t="str">
        <f t="shared" si="17"/>
        <v/>
      </c>
    </row>
    <row r="349" spans="1:10" ht="20.100000000000001" customHeight="1" x14ac:dyDescent="0.25">
      <c r="A349" s="30" t="str">
        <f t="shared" si="15"/>
        <v/>
      </c>
      <c r="B349" s="31"/>
      <c r="C349" s="31"/>
      <c r="D349" s="31"/>
      <c r="E349" s="31"/>
      <c r="F349" s="31"/>
      <c r="G349" s="31"/>
      <c r="H349" s="32"/>
      <c r="I349" s="33" t="str">
        <f t="shared" ca="1" si="16"/>
        <v/>
      </c>
      <c r="J349" s="33" t="str">
        <f t="shared" si="17"/>
        <v/>
      </c>
    </row>
    <row r="350" spans="1:10" ht="20.100000000000001" customHeight="1" x14ac:dyDescent="0.25">
      <c r="A350" s="30" t="str">
        <f t="shared" si="15"/>
        <v/>
      </c>
      <c r="B350" s="31"/>
      <c r="C350" s="31"/>
      <c r="D350" s="31"/>
      <c r="E350" s="31"/>
      <c r="F350" s="31"/>
      <c r="G350" s="31"/>
      <c r="H350" s="32"/>
      <c r="I350" s="33" t="str">
        <f t="shared" ca="1" si="16"/>
        <v/>
      </c>
      <c r="J350" s="33" t="str">
        <f t="shared" si="17"/>
        <v/>
      </c>
    </row>
    <row r="351" spans="1:10" ht="20.100000000000001" customHeight="1" x14ac:dyDescent="0.25">
      <c r="A351" s="30" t="str">
        <f t="shared" si="15"/>
        <v/>
      </c>
      <c r="B351" s="31"/>
      <c r="C351" s="31"/>
      <c r="D351" s="31"/>
      <c r="E351" s="31"/>
      <c r="F351" s="31"/>
      <c r="G351" s="31"/>
      <c r="H351" s="32"/>
      <c r="I351" s="33" t="str">
        <f t="shared" ca="1" si="16"/>
        <v/>
      </c>
      <c r="J351" s="33" t="str">
        <f t="shared" si="17"/>
        <v/>
      </c>
    </row>
    <row r="352" spans="1:10" ht="20.100000000000001" customHeight="1" x14ac:dyDescent="0.25">
      <c r="A352" s="30" t="str">
        <f t="shared" si="15"/>
        <v/>
      </c>
      <c r="B352" s="31"/>
      <c r="C352" s="31"/>
      <c r="D352" s="31"/>
      <c r="E352" s="31"/>
      <c r="F352" s="31"/>
      <c r="G352" s="31"/>
      <c r="H352" s="32"/>
      <c r="I352" s="33" t="str">
        <f t="shared" ca="1" si="16"/>
        <v/>
      </c>
      <c r="J352" s="33" t="str">
        <f t="shared" si="17"/>
        <v/>
      </c>
    </row>
    <row r="353" spans="1:10" ht="20.100000000000001" customHeight="1" x14ac:dyDescent="0.25">
      <c r="A353" s="30" t="str">
        <f t="shared" si="15"/>
        <v/>
      </c>
      <c r="B353" s="31"/>
      <c r="C353" s="31"/>
      <c r="D353" s="31"/>
      <c r="E353" s="31"/>
      <c r="F353" s="31"/>
      <c r="G353" s="31"/>
      <c r="H353" s="32"/>
      <c r="I353" s="33" t="str">
        <f t="shared" ca="1" si="16"/>
        <v/>
      </c>
      <c r="J353" s="33" t="str">
        <f t="shared" si="17"/>
        <v/>
      </c>
    </row>
    <row r="354" spans="1:10" ht="20.100000000000001" customHeight="1" x14ac:dyDescent="0.25">
      <c r="A354" s="30" t="str">
        <f t="shared" si="15"/>
        <v/>
      </c>
      <c r="B354" s="31"/>
      <c r="C354" s="31"/>
      <c r="D354" s="31"/>
      <c r="E354" s="31"/>
      <c r="F354" s="31"/>
      <c r="G354" s="31"/>
      <c r="H354" s="32"/>
      <c r="I354" s="33" t="str">
        <f t="shared" ca="1" si="16"/>
        <v/>
      </c>
      <c r="J354" s="33" t="str">
        <f t="shared" si="17"/>
        <v/>
      </c>
    </row>
    <row r="355" spans="1:10" ht="20.100000000000001" customHeight="1" x14ac:dyDescent="0.25">
      <c r="A355" s="30" t="str">
        <f t="shared" si="15"/>
        <v/>
      </c>
      <c r="B355" s="31"/>
      <c r="C355" s="31"/>
      <c r="D355" s="31"/>
      <c r="E355" s="31"/>
      <c r="F355" s="31"/>
      <c r="G355" s="31"/>
      <c r="H355" s="32"/>
      <c r="I355" s="33" t="str">
        <f t="shared" ca="1" si="16"/>
        <v/>
      </c>
      <c r="J355" s="33" t="str">
        <f t="shared" si="17"/>
        <v/>
      </c>
    </row>
    <row r="356" spans="1:10" ht="20.100000000000001" customHeight="1" x14ac:dyDescent="0.25">
      <c r="A356" s="30" t="str">
        <f t="shared" si="15"/>
        <v/>
      </c>
      <c r="B356" s="31"/>
      <c r="C356" s="31"/>
      <c r="D356" s="31"/>
      <c r="E356" s="31"/>
      <c r="F356" s="31"/>
      <c r="G356" s="31"/>
      <c r="H356" s="32"/>
      <c r="I356" s="33" t="str">
        <f t="shared" ca="1" si="16"/>
        <v/>
      </c>
      <c r="J356" s="33" t="str">
        <f t="shared" si="17"/>
        <v/>
      </c>
    </row>
    <row r="357" spans="1:10" ht="20.100000000000001" customHeight="1" x14ac:dyDescent="0.25">
      <c r="A357" s="30" t="str">
        <f t="shared" si="15"/>
        <v/>
      </c>
      <c r="B357" s="31"/>
      <c r="C357" s="31"/>
      <c r="D357" s="31"/>
      <c r="E357" s="31"/>
      <c r="F357" s="31"/>
      <c r="G357" s="31"/>
      <c r="H357" s="32"/>
      <c r="I357" s="33" t="str">
        <f t="shared" ca="1" si="16"/>
        <v/>
      </c>
      <c r="J357" s="33" t="str">
        <f t="shared" si="17"/>
        <v/>
      </c>
    </row>
    <row r="358" spans="1:10" ht="20.100000000000001" customHeight="1" x14ac:dyDescent="0.25">
      <c r="A358" s="30" t="str">
        <f t="shared" si="15"/>
        <v/>
      </c>
      <c r="B358" s="31"/>
      <c r="C358" s="31"/>
      <c r="D358" s="31"/>
      <c r="E358" s="31"/>
      <c r="F358" s="31"/>
      <c r="G358" s="31"/>
      <c r="H358" s="32"/>
      <c r="I358" s="33" t="str">
        <f t="shared" ca="1" si="16"/>
        <v/>
      </c>
      <c r="J358" s="33" t="str">
        <f t="shared" si="17"/>
        <v/>
      </c>
    </row>
    <row r="359" spans="1:10" ht="20.100000000000001" customHeight="1" x14ac:dyDescent="0.25">
      <c r="A359" s="30" t="str">
        <f t="shared" si="15"/>
        <v/>
      </c>
      <c r="B359" s="31"/>
      <c r="C359" s="31"/>
      <c r="D359" s="31"/>
      <c r="E359" s="31"/>
      <c r="F359" s="31"/>
      <c r="G359" s="31"/>
      <c r="H359" s="32"/>
      <c r="I359" s="33" t="str">
        <f t="shared" ca="1" si="16"/>
        <v/>
      </c>
      <c r="J359" s="33" t="str">
        <f t="shared" si="17"/>
        <v/>
      </c>
    </row>
    <row r="360" spans="1:10" ht="20.100000000000001" customHeight="1" x14ac:dyDescent="0.25">
      <c r="A360" s="30" t="str">
        <f t="shared" si="15"/>
        <v/>
      </c>
      <c r="B360" s="31"/>
      <c r="C360" s="31"/>
      <c r="D360" s="31"/>
      <c r="E360" s="31"/>
      <c r="F360" s="31"/>
      <c r="G360" s="31"/>
      <c r="H360" s="32"/>
      <c r="I360" s="33" t="str">
        <f t="shared" ca="1" si="16"/>
        <v/>
      </c>
      <c r="J360" s="33" t="str">
        <f t="shared" si="17"/>
        <v/>
      </c>
    </row>
    <row r="361" spans="1:10" ht="20.100000000000001" customHeight="1" x14ac:dyDescent="0.25">
      <c r="A361" s="30" t="str">
        <f t="shared" si="15"/>
        <v/>
      </c>
      <c r="B361" s="31"/>
      <c r="C361" s="31"/>
      <c r="D361" s="31"/>
      <c r="E361" s="31"/>
      <c r="F361" s="31"/>
      <c r="G361" s="31"/>
      <c r="H361" s="32"/>
      <c r="I361" s="33" t="str">
        <f t="shared" ca="1" si="16"/>
        <v/>
      </c>
      <c r="J361" s="33" t="str">
        <f t="shared" si="17"/>
        <v/>
      </c>
    </row>
    <row r="362" spans="1:10" ht="20.100000000000001" customHeight="1" x14ac:dyDescent="0.25">
      <c r="A362" s="30" t="str">
        <f t="shared" si="15"/>
        <v/>
      </c>
      <c r="B362" s="31"/>
      <c r="C362" s="31"/>
      <c r="D362" s="31"/>
      <c r="E362" s="31"/>
      <c r="F362" s="31"/>
      <c r="G362" s="31"/>
      <c r="H362" s="32"/>
      <c r="I362" s="33" t="str">
        <f t="shared" ca="1" si="16"/>
        <v/>
      </c>
      <c r="J362" s="33" t="str">
        <f t="shared" si="17"/>
        <v/>
      </c>
    </row>
    <row r="363" spans="1:10" ht="20.100000000000001" customHeight="1" x14ac:dyDescent="0.25">
      <c r="A363" s="30" t="str">
        <f t="shared" si="15"/>
        <v/>
      </c>
      <c r="B363" s="31"/>
      <c r="C363" s="31"/>
      <c r="D363" s="31"/>
      <c r="E363" s="31"/>
      <c r="F363" s="31"/>
      <c r="G363" s="31"/>
      <c r="H363" s="32"/>
      <c r="I363" s="33" t="str">
        <f t="shared" ca="1" si="16"/>
        <v/>
      </c>
      <c r="J363" s="33" t="str">
        <f t="shared" si="17"/>
        <v/>
      </c>
    </row>
    <row r="364" spans="1:10" ht="20.100000000000001" customHeight="1" x14ac:dyDescent="0.25">
      <c r="A364" s="30" t="str">
        <f t="shared" si="15"/>
        <v/>
      </c>
      <c r="B364" s="31"/>
      <c r="C364" s="31"/>
      <c r="D364" s="31"/>
      <c r="E364" s="31"/>
      <c r="F364" s="31"/>
      <c r="G364" s="31"/>
      <c r="H364" s="32"/>
      <c r="I364" s="33" t="str">
        <f t="shared" ca="1" si="16"/>
        <v/>
      </c>
      <c r="J364" s="33" t="str">
        <f t="shared" si="17"/>
        <v/>
      </c>
    </row>
    <row r="365" spans="1:10" ht="20.100000000000001" customHeight="1" x14ac:dyDescent="0.25">
      <c r="A365" s="30" t="str">
        <f t="shared" si="15"/>
        <v/>
      </c>
      <c r="B365" s="31"/>
      <c r="C365" s="31"/>
      <c r="D365" s="31"/>
      <c r="E365" s="31"/>
      <c r="F365" s="31"/>
      <c r="G365" s="31"/>
      <c r="H365" s="32"/>
      <c r="I365" s="33" t="str">
        <f t="shared" ca="1" si="16"/>
        <v/>
      </c>
      <c r="J365" s="33" t="str">
        <f t="shared" si="17"/>
        <v/>
      </c>
    </row>
    <row r="366" spans="1:10" ht="20.100000000000001" customHeight="1" x14ac:dyDescent="0.25">
      <c r="A366" s="30" t="str">
        <f t="shared" si="15"/>
        <v/>
      </c>
      <c r="B366" s="31"/>
      <c r="C366" s="31"/>
      <c r="D366" s="31"/>
      <c r="E366" s="31"/>
      <c r="F366" s="31"/>
      <c r="G366" s="31"/>
      <c r="H366" s="32"/>
      <c r="I366" s="33" t="str">
        <f t="shared" ca="1" si="16"/>
        <v/>
      </c>
      <c r="J366" s="33" t="str">
        <f t="shared" si="17"/>
        <v/>
      </c>
    </row>
    <row r="367" spans="1:10" ht="20.100000000000001" customHeight="1" x14ac:dyDescent="0.25">
      <c r="A367" s="30" t="str">
        <f t="shared" si="15"/>
        <v/>
      </c>
      <c r="B367" s="31"/>
      <c r="C367" s="31"/>
      <c r="D367" s="31"/>
      <c r="E367" s="31"/>
      <c r="F367" s="31"/>
      <c r="G367" s="31"/>
      <c r="H367" s="32"/>
      <c r="I367" s="33" t="str">
        <f t="shared" ca="1" si="16"/>
        <v/>
      </c>
      <c r="J367" s="33" t="str">
        <f t="shared" si="17"/>
        <v/>
      </c>
    </row>
    <row r="368" spans="1:10" ht="20.100000000000001" customHeight="1" x14ac:dyDescent="0.25">
      <c r="A368" s="30" t="str">
        <f t="shared" si="15"/>
        <v/>
      </c>
      <c r="B368" s="31"/>
      <c r="C368" s="31"/>
      <c r="D368" s="31"/>
      <c r="E368" s="31"/>
      <c r="F368" s="31"/>
      <c r="G368" s="31"/>
      <c r="H368" s="32"/>
      <c r="I368" s="33" t="str">
        <f t="shared" ca="1" si="16"/>
        <v/>
      </c>
      <c r="J368" s="33" t="str">
        <f t="shared" si="17"/>
        <v/>
      </c>
    </row>
    <row r="369" spans="1:10" ht="20.100000000000001" customHeight="1" x14ac:dyDescent="0.25">
      <c r="A369" s="30" t="str">
        <f t="shared" si="15"/>
        <v/>
      </c>
      <c r="B369" s="31"/>
      <c r="C369" s="31"/>
      <c r="D369" s="31"/>
      <c r="E369" s="31"/>
      <c r="F369" s="31"/>
      <c r="G369" s="31"/>
      <c r="H369" s="32"/>
      <c r="I369" s="33" t="str">
        <f t="shared" ca="1" si="16"/>
        <v/>
      </c>
      <c r="J369" s="33" t="str">
        <f t="shared" si="17"/>
        <v/>
      </c>
    </row>
    <row r="370" spans="1:10" ht="20.100000000000001" customHeight="1" x14ac:dyDescent="0.25">
      <c r="A370" s="30" t="str">
        <f t="shared" si="15"/>
        <v/>
      </c>
      <c r="B370" s="31"/>
      <c r="C370" s="31"/>
      <c r="D370" s="31"/>
      <c r="E370" s="31"/>
      <c r="F370" s="31"/>
      <c r="G370" s="31"/>
      <c r="H370" s="32"/>
      <c r="I370" s="33" t="str">
        <f t="shared" ca="1" si="16"/>
        <v/>
      </c>
      <c r="J370" s="33" t="str">
        <f t="shared" si="17"/>
        <v/>
      </c>
    </row>
    <row r="371" spans="1:10" ht="20.100000000000001" customHeight="1" x14ac:dyDescent="0.25">
      <c r="A371" s="30" t="str">
        <f t="shared" si="15"/>
        <v/>
      </c>
      <c r="B371" s="31"/>
      <c r="C371" s="31"/>
      <c r="D371" s="31"/>
      <c r="E371" s="31"/>
      <c r="F371" s="31"/>
      <c r="G371" s="31"/>
      <c r="H371" s="32"/>
      <c r="I371" s="33" t="str">
        <f t="shared" ca="1" si="16"/>
        <v/>
      </c>
      <c r="J371" s="33" t="str">
        <f t="shared" si="17"/>
        <v/>
      </c>
    </row>
    <row r="372" spans="1:10" ht="20.100000000000001" customHeight="1" x14ac:dyDescent="0.25">
      <c r="A372" s="30" t="str">
        <f t="shared" si="15"/>
        <v/>
      </c>
      <c r="B372" s="31"/>
      <c r="C372" s="31"/>
      <c r="D372" s="31"/>
      <c r="E372" s="31"/>
      <c r="F372" s="31"/>
      <c r="G372" s="31"/>
      <c r="H372" s="32"/>
      <c r="I372" s="33" t="str">
        <f t="shared" ca="1" si="16"/>
        <v/>
      </c>
      <c r="J372" s="33" t="str">
        <f t="shared" si="17"/>
        <v/>
      </c>
    </row>
    <row r="373" spans="1:10" ht="20.100000000000001" customHeight="1" x14ac:dyDescent="0.25">
      <c r="A373" s="30" t="str">
        <f t="shared" si="15"/>
        <v/>
      </c>
      <c r="B373" s="31"/>
      <c r="C373" s="31"/>
      <c r="D373" s="31"/>
      <c r="E373" s="31"/>
      <c r="F373" s="31"/>
      <c r="G373" s="31"/>
      <c r="H373" s="32"/>
      <c r="I373" s="33" t="str">
        <f t="shared" ca="1" si="16"/>
        <v/>
      </c>
      <c r="J373" s="33" t="str">
        <f t="shared" si="17"/>
        <v/>
      </c>
    </row>
    <row r="374" spans="1:10" ht="20.100000000000001" customHeight="1" x14ac:dyDescent="0.25">
      <c r="A374" s="30" t="str">
        <f t="shared" si="15"/>
        <v/>
      </c>
      <c r="B374" s="31"/>
      <c r="C374" s="31"/>
      <c r="D374" s="31"/>
      <c r="E374" s="31"/>
      <c r="F374" s="31"/>
      <c r="G374" s="31"/>
      <c r="H374" s="32"/>
      <c r="I374" s="33" t="str">
        <f t="shared" ca="1" si="16"/>
        <v/>
      </c>
      <c r="J374" s="33" t="str">
        <f t="shared" si="17"/>
        <v/>
      </c>
    </row>
    <row r="375" spans="1:10" ht="20.100000000000001" customHeight="1" x14ac:dyDescent="0.25">
      <c r="A375" s="30" t="str">
        <f t="shared" si="15"/>
        <v/>
      </c>
      <c r="B375" s="31"/>
      <c r="C375" s="31"/>
      <c r="D375" s="31"/>
      <c r="E375" s="31"/>
      <c r="F375" s="31"/>
      <c r="G375" s="31"/>
      <c r="H375" s="32"/>
      <c r="I375" s="33" t="str">
        <f t="shared" ca="1" si="16"/>
        <v/>
      </c>
      <c r="J375" s="33" t="str">
        <f t="shared" si="17"/>
        <v/>
      </c>
    </row>
    <row r="376" spans="1:10" ht="20.100000000000001" customHeight="1" x14ac:dyDescent="0.25">
      <c r="A376" s="30" t="str">
        <f t="shared" si="15"/>
        <v/>
      </c>
      <c r="B376" s="31"/>
      <c r="C376" s="31"/>
      <c r="D376" s="31"/>
      <c r="E376" s="31"/>
      <c r="F376" s="31"/>
      <c r="G376" s="31"/>
      <c r="H376" s="32"/>
      <c r="I376" s="33" t="str">
        <f t="shared" ca="1" si="16"/>
        <v/>
      </c>
      <c r="J376" s="33" t="str">
        <f t="shared" si="17"/>
        <v/>
      </c>
    </row>
    <row r="377" spans="1:10" ht="20.100000000000001" customHeight="1" x14ac:dyDescent="0.25">
      <c r="A377" s="30" t="str">
        <f t="shared" si="15"/>
        <v/>
      </c>
      <c r="B377" s="31"/>
      <c r="C377" s="31"/>
      <c r="D377" s="31"/>
      <c r="E377" s="31"/>
      <c r="F377" s="31"/>
      <c r="G377" s="31"/>
      <c r="H377" s="32"/>
      <c r="I377" s="33" t="str">
        <f t="shared" ca="1" si="16"/>
        <v/>
      </c>
      <c r="J377" s="33" t="str">
        <f t="shared" si="17"/>
        <v/>
      </c>
    </row>
    <row r="378" spans="1:10" ht="20.100000000000001" customHeight="1" x14ac:dyDescent="0.25">
      <c r="A378" s="30" t="str">
        <f t="shared" si="15"/>
        <v/>
      </c>
      <c r="B378" s="31"/>
      <c r="C378" s="31"/>
      <c r="D378" s="31"/>
      <c r="E378" s="31"/>
      <c r="F378" s="31"/>
      <c r="G378" s="31"/>
      <c r="H378" s="32"/>
      <c r="I378" s="33" t="str">
        <f t="shared" ca="1" si="16"/>
        <v/>
      </c>
      <c r="J378" s="33" t="str">
        <f t="shared" si="17"/>
        <v/>
      </c>
    </row>
    <row r="379" spans="1:10" ht="20.100000000000001" customHeight="1" x14ac:dyDescent="0.25">
      <c r="A379" s="30" t="str">
        <f t="shared" si="15"/>
        <v/>
      </c>
      <c r="B379" s="31"/>
      <c r="C379" s="31"/>
      <c r="D379" s="31"/>
      <c r="E379" s="31"/>
      <c r="F379" s="31"/>
      <c r="G379" s="31"/>
      <c r="H379" s="32"/>
      <c r="I379" s="33" t="str">
        <f t="shared" ca="1" si="16"/>
        <v/>
      </c>
      <c r="J379" s="33" t="str">
        <f t="shared" si="17"/>
        <v/>
      </c>
    </row>
    <row r="380" spans="1:10" ht="20.100000000000001" customHeight="1" x14ac:dyDescent="0.25">
      <c r="A380" s="30" t="str">
        <f t="shared" si="15"/>
        <v/>
      </c>
      <c r="B380" s="31"/>
      <c r="C380" s="31"/>
      <c r="D380" s="31"/>
      <c r="E380" s="31"/>
      <c r="F380" s="31"/>
      <c r="G380" s="31"/>
      <c r="H380" s="32"/>
      <c r="I380" s="33" t="str">
        <f t="shared" ca="1" si="16"/>
        <v/>
      </c>
      <c r="J380" s="33" t="str">
        <f t="shared" si="17"/>
        <v/>
      </c>
    </row>
    <row r="381" spans="1:10" ht="20.100000000000001" customHeight="1" x14ac:dyDescent="0.25">
      <c r="A381" s="30" t="str">
        <f t="shared" si="15"/>
        <v/>
      </c>
      <c r="B381" s="31"/>
      <c r="C381" s="31"/>
      <c r="D381" s="31"/>
      <c r="E381" s="31"/>
      <c r="F381" s="31"/>
      <c r="G381" s="31"/>
      <c r="H381" s="32"/>
      <c r="I381" s="33" t="str">
        <f t="shared" ca="1" si="16"/>
        <v/>
      </c>
      <c r="J381" s="33" t="str">
        <f t="shared" si="17"/>
        <v/>
      </c>
    </row>
    <row r="382" spans="1:10" ht="20.100000000000001" customHeight="1" x14ac:dyDescent="0.25">
      <c r="A382" s="30" t="str">
        <f t="shared" si="15"/>
        <v/>
      </c>
      <c r="B382" s="31"/>
      <c r="C382" s="31"/>
      <c r="D382" s="31"/>
      <c r="E382" s="31"/>
      <c r="F382" s="31"/>
      <c r="G382" s="31"/>
      <c r="H382" s="32"/>
      <c r="I382" s="33" t="str">
        <f t="shared" ca="1" si="16"/>
        <v/>
      </c>
      <c r="J382" s="33" t="str">
        <f t="shared" si="17"/>
        <v/>
      </c>
    </row>
    <row r="383" spans="1:10" ht="20.100000000000001" customHeight="1" x14ac:dyDescent="0.25">
      <c r="A383" s="30" t="str">
        <f t="shared" si="15"/>
        <v/>
      </c>
      <c r="B383" s="31"/>
      <c r="C383" s="31"/>
      <c r="D383" s="31"/>
      <c r="E383" s="31"/>
      <c r="F383" s="31"/>
      <c r="G383" s="31"/>
      <c r="H383" s="32"/>
      <c r="I383" s="33" t="str">
        <f t="shared" ca="1" si="16"/>
        <v/>
      </c>
      <c r="J383" s="33" t="str">
        <f t="shared" si="17"/>
        <v/>
      </c>
    </row>
    <row r="384" spans="1:10" ht="20.100000000000001" customHeight="1" x14ac:dyDescent="0.25">
      <c r="A384" s="30" t="str">
        <f t="shared" si="15"/>
        <v/>
      </c>
      <c r="B384" s="31"/>
      <c r="C384" s="31"/>
      <c r="D384" s="31"/>
      <c r="E384" s="31"/>
      <c r="F384" s="31"/>
      <c r="G384" s="31"/>
      <c r="H384" s="32"/>
      <c r="I384" s="33" t="str">
        <f t="shared" ca="1" si="16"/>
        <v/>
      </c>
      <c r="J384" s="33" t="str">
        <f t="shared" si="17"/>
        <v/>
      </c>
    </row>
    <row r="385" spans="1:10" ht="20.100000000000001" customHeight="1" x14ac:dyDescent="0.25">
      <c r="A385" s="30" t="str">
        <f t="shared" si="15"/>
        <v/>
      </c>
      <c r="B385" s="31"/>
      <c r="C385" s="31"/>
      <c r="D385" s="31"/>
      <c r="E385" s="31"/>
      <c r="F385" s="31"/>
      <c r="G385" s="31"/>
      <c r="H385" s="32"/>
      <c r="I385" s="33" t="str">
        <f t="shared" ca="1" si="16"/>
        <v/>
      </c>
      <c r="J385" s="33" t="str">
        <f t="shared" si="17"/>
        <v/>
      </c>
    </row>
    <row r="386" spans="1:10" ht="20.100000000000001" customHeight="1" x14ac:dyDescent="0.25">
      <c r="A386" s="30" t="str">
        <f t="shared" si="15"/>
        <v/>
      </c>
      <c r="B386" s="31"/>
      <c r="C386" s="31"/>
      <c r="D386" s="31"/>
      <c r="E386" s="31"/>
      <c r="F386" s="31"/>
      <c r="G386" s="31"/>
      <c r="H386" s="32"/>
      <c r="I386" s="33" t="str">
        <f t="shared" ca="1" si="16"/>
        <v/>
      </c>
      <c r="J386" s="33" t="str">
        <f t="shared" si="17"/>
        <v/>
      </c>
    </row>
    <row r="387" spans="1:10" ht="20.100000000000001" customHeight="1" x14ac:dyDescent="0.25">
      <c r="A387" s="30" t="str">
        <f t="shared" si="15"/>
        <v/>
      </c>
      <c r="B387" s="31"/>
      <c r="C387" s="31"/>
      <c r="D387" s="31"/>
      <c r="E387" s="31"/>
      <c r="F387" s="31"/>
      <c r="G387" s="31"/>
      <c r="H387" s="32"/>
      <c r="I387" s="33" t="str">
        <f t="shared" ca="1" si="16"/>
        <v/>
      </c>
      <c r="J387" s="33" t="str">
        <f t="shared" si="17"/>
        <v/>
      </c>
    </row>
    <row r="388" spans="1:10" ht="20.100000000000001" customHeight="1" x14ac:dyDescent="0.25">
      <c r="A388" s="30" t="str">
        <f t="shared" si="15"/>
        <v/>
      </c>
      <c r="B388" s="31"/>
      <c r="C388" s="31"/>
      <c r="D388" s="31"/>
      <c r="E388" s="31"/>
      <c r="F388" s="31"/>
      <c r="G388" s="31"/>
      <c r="H388" s="32"/>
      <c r="I388" s="33" t="str">
        <f t="shared" ca="1" si="16"/>
        <v/>
      </c>
      <c r="J388" s="33" t="str">
        <f t="shared" si="17"/>
        <v/>
      </c>
    </row>
    <row r="389" spans="1:10" ht="20.100000000000001" customHeight="1" x14ac:dyDescent="0.25">
      <c r="A389" s="30" t="str">
        <f t="shared" ref="A389:A452" si="18">IF(B389="","","ACC"&amp;TEXT(ROW()-4,"0000"))</f>
        <v/>
      </c>
      <c r="B389" s="31"/>
      <c r="C389" s="31"/>
      <c r="D389" s="31"/>
      <c r="E389" s="31"/>
      <c r="F389" s="31"/>
      <c r="G389" s="31"/>
      <c r="H389" s="32"/>
      <c r="I389" s="33" t="str">
        <f t="shared" ref="I389:I452" ca="1" si="19">IF(B389="","",TEXT(TODAY(),"dd/mm/yyyy"))</f>
        <v/>
      </c>
      <c r="J389" s="33" t="str">
        <f t="shared" ref="J389:J452" si="20">IF(B389="","",IF(ISNUMBER(H389),IF(H389&gt;=10,"✅ Active","⚠️ Below Min Balance"),"Pending"))</f>
        <v/>
      </c>
    </row>
    <row r="390" spans="1:10" ht="20.100000000000001" customHeight="1" x14ac:dyDescent="0.25">
      <c r="A390" s="30" t="str">
        <f t="shared" si="18"/>
        <v/>
      </c>
      <c r="B390" s="31"/>
      <c r="C390" s="31"/>
      <c r="D390" s="31"/>
      <c r="E390" s="31"/>
      <c r="F390" s="31"/>
      <c r="G390" s="31"/>
      <c r="H390" s="32"/>
      <c r="I390" s="33" t="str">
        <f t="shared" ca="1" si="19"/>
        <v/>
      </c>
      <c r="J390" s="33" t="str">
        <f t="shared" si="20"/>
        <v/>
      </c>
    </row>
    <row r="391" spans="1:10" ht="20.100000000000001" customHeight="1" x14ac:dyDescent="0.25">
      <c r="A391" s="30" t="str">
        <f t="shared" si="18"/>
        <v/>
      </c>
      <c r="B391" s="31"/>
      <c r="C391" s="31"/>
      <c r="D391" s="31"/>
      <c r="E391" s="31"/>
      <c r="F391" s="31"/>
      <c r="G391" s="31"/>
      <c r="H391" s="32"/>
      <c r="I391" s="33" t="str">
        <f t="shared" ca="1" si="19"/>
        <v/>
      </c>
      <c r="J391" s="33" t="str">
        <f t="shared" si="20"/>
        <v/>
      </c>
    </row>
    <row r="392" spans="1:10" ht="20.100000000000001" customHeight="1" x14ac:dyDescent="0.25">
      <c r="A392" s="30" t="str">
        <f t="shared" si="18"/>
        <v/>
      </c>
      <c r="B392" s="31"/>
      <c r="C392" s="31"/>
      <c r="D392" s="31"/>
      <c r="E392" s="31"/>
      <c r="F392" s="31"/>
      <c r="G392" s="31"/>
      <c r="H392" s="32"/>
      <c r="I392" s="33" t="str">
        <f t="shared" ca="1" si="19"/>
        <v/>
      </c>
      <c r="J392" s="33" t="str">
        <f t="shared" si="20"/>
        <v/>
      </c>
    </row>
    <row r="393" spans="1:10" ht="20.100000000000001" customHeight="1" x14ac:dyDescent="0.25">
      <c r="A393" s="30" t="str">
        <f t="shared" si="18"/>
        <v/>
      </c>
      <c r="B393" s="31"/>
      <c r="C393" s="31"/>
      <c r="D393" s="31"/>
      <c r="E393" s="31"/>
      <c r="F393" s="31"/>
      <c r="G393" s="31"/>
      <c r="H393" s="32"/>
      <c r="I393" s="33" t="str">
        <f t="shared" ca="1" si="19"/>
        <v/>
      </c>
      <c r="J393" s="33" t="str">
        <f t="shared" si="20"/>
        <v/>
      </c>
    </row>
    <row r="394" spans="1:10" ht="20.100000000000001" customHeight="1" x14ac:dyDescent="0.25">
      <c r="A394" s="30" t="str">
        <f t="shared" si="18"/>
        <v/>
      </c>
      <c r="B394" s="31"/>
      <c r="C394" s="31"/>
      <c r="D394" s="31"/>
      <c r="E394" s="31"/>
      <c r="F394" s="31"/>
      <c r="G394" s="31"/>
      <c r="H394" s="32"/>
      <c r="I394" s="33" t="str">
        <f t="shared" ca="1" si="19"/>
        <v/>
      </c>
      <c r="J394" s="33" t="str">
        <f t="shared" si="20"/>
        <v/>
      </c>
    </row>
    <row r="395" spans="1:10" ht="20.100000000000001" customHeight="1" x14ac:dyDescent="0.25">
      <c r="A395" s="30" t="str">
        <f t="shared" si="18"/>
        <v/>
      </c>
      <c r="B395" s="31"/>
      <c r="C395" s="31"/>
      <c r="D395" s="31"/>
      <c r="E395" s="31"/>
      <c r="F395" s="31"/>
      <c r="G395" s="31"/>
      <c r="H395" s="32"/>
      <c r="I395" s="33" t="str">
        <f t="shared" ca="1" si="19"/>
        <v/>
      </c>
      <c r="J395" s="33" t="str">
        <f t="shared" si="20"/>
        <v/>
      </c>
    </row>
    <row r="396" spans="1:10" ht="20.100000000000001" customHeight="1" x14ac:dyDescent="0.25">
      <c r="A396" s="30" t="str">
        <f t="shared" si="18"/>
        <v/>
      </c>
      <c r="B396" s="31"/>
      <c r="C396" s="31"/>
      <c r="D396" s="31"/>
      <c r="E396" s="31"/>
      <c r="F396" s="31"/>
      <c r="G396" s="31"/>
      <c r="H396" s="32"/>
      <c r="I396" s="33" t="str">
        <f t="shared" ca="1" si="19"/>
        <v/>
      </c>
      <c r="J396" s="33" t="str">
        <f t="shared" si="20"/>
        <v/>
      </c>
    </row>
    <row r="397" spans="1:10" ht="20.100000000000001" customHeight="1" x14ac:dyDescent="0.25">
      <c r="A397" s="30" t="str">
        <f t="shared" si="18"/>
        <v/>
      </c>
      <c r="B397" s="31"/>
      <c r="C397" s="31"/>
      <c r="D397" s="31"/>
      <c r="E397" s="31"/>
      <c r="F397" s="31"/>
      <c r="G397" s="31"/>
      <c r="H397" s="32"/>
      <c r="I397" s="33" t="str">
        <f t="shared" ca="1" si="19"/>
        <v/>
      </c>
      <c r="J397" s="33" t="str">
        <f t="shared" si="20"/>
        <v/>
      </c>
    </row>
    <row r="398" spans="1:10" ht="20.100000000000001" customHeight="1" x14ac:dyDescent="0.25">
      <c r="A398" s="30" t="str">
        <f t="shared" si="18"/>
        <v/>
      </c>
      <c r="B398" s="31"/>
      <c r="C398" s="31"/>
      <c r="D398" s="31"/>
      <c r="E398" s="31"/>
      <c r="F398" s="31"/>
      <c r="G398" s="31"/>
      <c r="H398" s="32"/>
      <c r="I398" s="33" t="str">
        <f t="shared" ca="1" si="19"/>
        <v/>
      </c>
      <c r="J398" s="33" t="str">
        <f t="shared" si="20"/>
        <v/>
      </c>
    </row>
    <row r="399" spans="1:10" ht="20.100000000000001" customHeight="1" x14ac:dyDescent="0.25">
      <c r="A399" s="30" t="str">
        <f t="shared" si="18"/>
        <v/>
      </c>
      <c r="B399" s="31"/>
      <c r="C399" s="31"/>
      <c r="D399" s="31"/>
      <c r="E399" s="31"/>
      <c r="F399" s="31"/>
      <c r="G399" s="31"/>
      <c r="H399" s="32"/>
      <c r="I399" s="33" t="str">
        <f t="shared" ca="1" si="19"/>
        <v/>
      </c>
      <c r="J399" s="33" t="str">
        <f t="shared" si="20"/>
        <v/>
      </c>
    </row>
    <row r="400" spans="1:10" ht="20.100000000000001" customHeight="1" x14ac:dyDescent="0.25">
      <c r="A400" s="30" t="str">
        <f t="shared" si="18"/>
        <v/>
      </c>
      <c r="B400" s="31"/>
      <c r="C400" s="31"/>
      <c r="D400" s="31"/>
      <c r="E400" s="31"/>
      <c r="F400" s="31"/>
      <c r="G400" s="31"/>
      <c r="H400" s="32"/>
      <c r="I400" s="33" t="str">
        <f t="shared" ca="1" si="19"/>
        <v/>
      </c>
      <c r="J400" s="33" t="str">
        <f t="shared" si="20"/>
        <v/>
      </c>
    </row>
    <row r="401" spans="1:10" ht="20.100000000000001" customHeight="1" x14ac:dyDescent="0.25">
      <c r="A401" s="30" t="str">
        <f t="shared" si="18"/>
        <v/>
      </c>
      <c r="B401" s="31"/>
      <c r="C401" s="31"/>
      <c r="D401" s="31"/>
      <c r="E401" s="31"/>
      <c r="F401" s="31"/>
      <c r="G401" s="31"/>
      <c r="H401" s="32"/>
      <c r="I401" s="33" t="str">
        <f t="shared" ca="1" si="19"/>
        <v/>
      </c>
      <c r="J401" s="33" t="str">
        <f t="shared" si="20"/>
        <v/>
      </c>
    </row>
    <row r="402" spans="1:10" ht="20.100000000000001" customHeight="1" x14ac:dyDescent="0.25">
      <c r="A402" s="30" t="str">
        <f t="shared" si="18"/>
        <v/>
      </c>
      <c r="B402" s="31"/>
      <c r="C402" s="31"/>
      <c r="D402" s="31"/>
      <c r="E402" s="31"/>
      <c r="F402" s="31"/>
      <c r="G402" s="31"/>
      <c r="H402" s="32"/>
      <c r="I402" s="33" t="str">
        <f t="shared" ca="1" si="19"/>
        <v/>
      </c>
      <c r="J402" s="33" t="str">
        <f t="shared" si="20"/>
        <v/>
      </c>
    </row>
    <row r="403" spans="1:10" ht="20.100000000000001" customHeight="1" x14ac:dyDescent="0.25">
      <c r="A403" s="30" t="str">
        <f t="shared" si="18"/>
        <v/>
      </c>
      <c r="B403" s="31"/>
      <c r="C403" s="31"/>
      <c r="D403" s="31"/>
      <c r="E403" s="31"/>
      <c r="F403" s="31"/>
      <c r="G403" s="31"/>
      <c r="H403" s="32"/>
      <c r="I403" s="33" t="str">
        <f t="shared" ca="1" si="19"/>
        <v/>
      </c>
      <c r="J403" s="33" t="str">
        <f t="shared" si="20"/>
        <v/>
      </c>
    </row>
    <row r="404" spans="1:10" ht="20.100000000000001" customHeight="1" x14ac:dyDescent="0.25">
      <c r="A404" s="30" t="str">
        <f t="shared" si="18"/>
        <v/>
      </c>
      <c r="B404" s="31"/>
      <c r="C404" s="31"/>
      <c r="D404" s="31"/>
      <c r="E404" s="31"/>
      <c r="F404" s="31"/>
      <c r="G404" s="31"/>
      <c r="H404" s="32"/>
      <c r="I404" s="33" t="str">
        <f t="shared" ca="1" si="19"/>
        <v/>
      </c>
      <c r="J404" s="33" t="str">
        <f t="shared" si="20"/>
        <v/>
      </c>
    </row>
    <row r="405" spans="1:10" ht="20.100000000000001" customHeight="1" x14ac:dyDescent="0.25">
      <c r="A405" s="30" t="str">
        <f t="shared" si="18"/>
        <v/>
      </c>
      <c r="B405" s="31"/>
      <c r="C405" s="31"/>
      <c r="D405" s="31"/>
      <c r="E405" s="31"/>
      <c r="F405" s="31"/>
      <c r="G405" s="31"/>
      <c r="H405" s="32"/>
      <c r="I405" s="33" t="str">
        <f t="shared" ca="1" si="19"/>
        <v/>
      </c>
      <c r="J405" s="33" t="str">
        <f t="shared" si="20"/>
        <v/>
      </c>
    </row>
    <row r="406" spans="1:10" ht="20.100000000000001" customHeight="1" x14ac:dyDescent="0.25">
      <c r="A406" s="30" t="str">
        <f t="shared" si="18"/>
        <v/>
      </c>
      <c r="B406" s="31"/>
      <c r="C406" s="31"/>
      <c r="D406" s="31"/>
      <c r="E406" s="31"/>
      <c r="F406" s="31"/>
      <c r="G406" s="31"/>
      <c r="H406" s="32"/>
      <c r="I406" s="33" t="str">
        <f t="shared" ca="1" si="19"/>
        <v/>
      </c>
      <c r="J406" s="33" t="str">
        <f t="shared" si="20"/>
        <v/>
      </c>
    </row>
    <row r="407" spans="1:10" ht="20.100000000000001" customHeight="1" x14ac:dyDescent="0.25">
      <c r="A407" s="30" t="str">
        <f t="shared" si="18"/>
        <v/>
      </c>
      <c r="B407" s="31"/>
      <c r="C407" s="31"/>
      <c r="D407" s="31"/>
      <c r="E407" s="31"/>
      <c r="F407" s="31"/>
      <c r="G407" s="31"/>
      <c r="H407" s="32"/>
      <c r="I407" s="33" t="str">
        <f t="shared" ca="1" si="19"/>
        <v/>
      </c>
      <c r="J407" s="33" t="str">
        <f t="shared" si="20"/>
        <v/>
      </c>
    </row>
    <row r="408" spans="1:10" ht="20.100000000000001" customHeight="1" x14ac:dyDescent="0.25">
      <c r="A408" s="30" t="str">
        <f t="shared" si="18"/>
        <v/>
      </c>
      <c r="B408" s="31"/>
      <c r="C408" s="31"/>
      <c r="D408" s="31"/>
      <c r="E408" s="31"/>
      <c r="F408" s="31"/>
      <c r="G408" s="31"/>
      <c r="H408" s="32"/>
      <c r="I408" s="33" t="str">
        <f t="shared" ca="1" si="19"/>
        <v/>
      </c>
      <c r="J408" s="33" t="str">
        <f t="shared" si="20"/>
        <v/>
      </c>
    </row>
    <row r="409" spans="1:10" ht="20.100000000000001" customHeight="1" x14ac:dyDescent="0.25">
      <c r="A409" s="30" t="str">
        <f t="shared" si="18"/>
        <v/>
      </c>
      <c r="B409" s="31"/>
      <c r="C409" s="31"/>
      <c r="D409" s="31"/>
      <c r="E409" s="31"/>
      <c r="F409" s="31"/>
      <c r="G409" s="31"/>
      <c r="H409" s="32"/>
      <c r="I409" s="33" t="str">
        <f t="shared" ca="1" si="19"/>
        <v/>
      </c>
      <c r="J409" s="33" t="str">
        <f t="shared" si="20"/>
        <v/>
      </c>
    </row>
    <row r="410" spans="1:10" ht="20.100000000000001" customHeight="1" x14ac:dyDescent="0.25">
      <c r="A410" s="30" t="str">
        <f t="shared" si="18"/>
        <v/>
      </c>
      <c r="B410" s="31"/>
      <c r="C410" s="31"/>
      <c r="D410" s="31"/>
      <c r="E410" s="31"/>
      <c r="F410" s="31"/>
      <c r="G410" s="31"/>
      <c r="H410" s="32"/>
      <c r="I410" s="33" t="str">
        <f t="shared" ca="1" si="19"/>
        <v/>
      </c>
      <c r="J410" s="33" t="str">
        <f t="shared" si="20"/>
        <v/>
      </c>
    </row>
    <row r="411" spans="1:10" ht="20.100000000000001" customHeight="1" x14ac:dyDescent="0.25">
      <c r="A411" s="30" t="str">
        <f t="shared" si="18"/>
        <v/>
      </c>
      <c r="B411" s="31"/>
      <c r="C411" s="31"/>
      <c r="D411" s="31"/>
      <c r="E411" s="31"/>
      <c r="F411" s="31"/>
      <c r="G411" s="31"/>
      <c r="H411" s="32"/>
      <c r="I411" s="33" t="str">
        <f t="shared" ca="1" si="19"/>
        <v/>
      </c>
      <c r="J411" s="33" t="str">
        <f t="shared" si="20"/>
        <v/>
      </c>
    </row>
    <row r="412" spans="1:10" ht="20.100000000000001" customHeight="1" x14ac:dyDescent="0.25">
      <c r="A412" s="30" t="str">
        <f t="shared" si="18"/>
        <v/>
      </c>
      <c r="B412" s="31"/>
      <c r="C412" s="31"/>
      <c r="D412" s="31"/>
      <c r="E412" s="31"/>
      <c r="F412" s="31"/>
      <c r="G412" s="31"/>
      <c r="H412" s="32"/>
      <c r="I412" s="33" t="str">
        <f t="shared" ca="1" si="19"/>
        <v/>
      </c>
      <c r="J412" s="33" t="str">
        <f t="shared" si="20"/>
        <v/>
      </c>
    </row>
    <row r="413" spans="1:10" ht="20.100000000000001" customHeight="1" x14ac:dyDescent="0.25">
      <c r="A413" s="30" t="str">
        <f t="shared" si="18"/>
        <v/>
      </c>
      <c r="B413" s="31"/>
      <c r="C413" s="31"/>
      <c r="D413" s="31"/>
      <c r="E413" s="31"/>
      <c r="F413" s="31"/>
      <c r="G413" s="31"/>
      <c r="H413" s="32"/>
      <c r="I413" s="33" t="str">
        <f t="shared" ca="1" si="19"/>
        <v/>
      </c>
      <c r="J413" s="33" t="str">
        <f t="shared" si="20"/>
        <v/>
      </c>
    </row>
    <row r="414" spans="1:10" ht="20.100000000000001" customHeight="1" x14ac:dyDescent="0.25">
      <c r="A414" s="30" t="str">
        <f t="shared" si="18"/>
        <v/>
      </c>
      <c r="B414" s="31"/>
      <c r="C414" s="31"/>
      <c r="D414" s="31"/>
      <c r="E414" s="31"/>
      <c r="F414" s="31"/>
      <c r="G414" s="31"/>
      <c r="H414" s="32"/>
      <c r="I414" s="33" t="str">
        <f t="shared" ca="1" si="19"/>
        <v/>
      </c>
      <c r="J414" s="33" t="str">
        <f t="shared" si="20"/>
        <v/>
      </c>
    </row>
    <row r="415" spans="1:10" ht="20.100000000000001" customHeight="1" x14ac:dyDescent="0.25">
      <c r="A415" s="30" t="str">
        <f t="shared" si="18"/>
        <v/>
      </c>
      <c r="B415" s="31"/>
      <c r="C415" s="31"/>
      <c r="D415" s="31"/>
      <c r="E415" s="31"/>
      <c r="F415" s="31"/>
      <c r="G415" s="31"/>
      <c r="H415" s="32"/>
      <c r="I415" s="33" t="str">
        <f t="shared" ca="1" si="19"/>
        <v/>
      </c>
      <c r="J415" s="33" t="str">
        <f t="shared" si="20"/>
        <v/>
      </c>
    </row>
    <row r="416" spans="1:10" ht="20.100000000000001" customHeight="1" x14ac:dyDescent="0.25">
      <c r="A416" s="30" t="str">
        <f t="shared" si="18"/>
        <v/>
      </c>
      <c r="B416" s="31"/>
      <c r="C416" s="31"/>
      <c r="D416" s="31"/>
      <c r="E416" s="31"/>
      <c r="F416" s="31"/>
      <c r="G416" s="31"/>
      <c r="H416" s="32"/>
      <c r="I416" s="33" t="str">
        <f t="shared" ca="1" si="19"/>
        <v/>
      </c>
      <c r="J416" s="33" t="str">
        <f t="shared" si="20"/>
        <v/>
      </c>
    </row>
    <row r="417" spans="1:10" ht="20.100000000000001" customHeight="1" x14ac:dyDescent="0.25">
      <c r="A417" s="30" t="str">
        <f t="shared" si="18"/>
        <v/>
      </c>
      <c r="B417" s="31"/>
      <c r="C417" s="31"/>
      <c r="D417" s="31"/>
      <c r="E417" s="31"/>
      <c r="F417" s="31"/>
      <c r="G417" s="31"/>
      <c r="H417" s="32"/>
      <c r="I417" s="33" t="str">
        <f t="shared" ca="1" si="19"/>
        <v/>
      </c>
      <c r="J417" s="33" t="str">
        <f t="shared" si="20"/>
        <v/>
      </c>
    </row>
    <row r="418" spans="1:10" ht="20.100000000000001" customHeight="1" x14ac:dyDescent="0.25">
      <c r="A418" s="30" t="str">
        <f t="shared" si="18"/>
        <v/>
      </c>
      <c r="B418" s="31"/>
      <c r="C418" s="31"/>
      <c r="D418" s="31"/>
      <c r="E418" s="31"/>
      <c r="F418" s="31"/>
      <c r="G418" s="31"/>
      <c r="H418" s="32"/>
      <c r="I418" s="33" t="str">
        <f t="shared" ca="1" si="19"/>
        <v/>
      </c>
      <c r="J418" s="33" t="str">
        <f t="shared" si="20"/>
        <v/>
      </c>
    </row>
    <row r="419" spans="1:10" ht="20.100000000000001" customHeight="1" x14ac:dyDescent="0.25">
      <c r="A419" s="30" t="str">
        <f t="shared" si="18"/>
        <v/>
      </c>
      <c r="B419" s="31"/>
      <c r="C419" s="31"/>
      <c r="D419" s="31"/>
      <c r="E419" s="31"/>
      <c r="F419" s="31"/>
      <c r="G419" s="31"/>
      <c r="H419" s="32"/>
      <c r="I419" s="33" t="str">
        <f t="shared" ca="1" si="19"/>
        <v/>
      </c>
      <c r="J419" s="33" t="str">
        <f t="shared" si="20"/>
        <v/>
      </c>
    </row>
    <row r="420" spans="1:10" ht="20.100000000000001" customHeight="1" x14ac:dyDescent="0.25">
      <c r="A420" s="30" t="str">
        <f t="shared" si="18"/>
        <v/>
      </c>
      <c r="B420" s="31"/>
      <c r="C420" s="31"/>
      <c r="D420" s="31"/>
      <c r="E420" s="31"/>
      <c r="F420" s="31"/>
      <c r="G420" s="31"/>
      <c r="H420" s="32"/>
      <c r="I420" s="33" t="str">
        <f t="shared" ca="1" si="19"/>
        <v/>
      </c>
      <c r="J420" s="33" t="str">
        <f t="shared" si="20"/>
        <v/>
      </c>
    </row>
    <row r="421" spans="1:10" ht="20.100000000000001" customHeight="1" x14ac:dyDescent="0.25">
      <c r="A421" s="30" t="str">
        <f t="shared" si="18"/>
        <v/>
      </c>
      <c r="B421" s="31"/>
      <c r="C421" s="31"/>
      <c r="D421" s="31"/>
      <c r="E421" s="31"/>
      <c r="F421" s="31"/>
      <c r="G421" s="31"/>
      <c r="H421" s="32"/>
      <c r="I421" s="33" t="str">
        <f t="shared" ca="1" si="19"/>
        <v/>
      </c>
      <c r="J421" s="33" t="str">
        <f t="shared" si="20"/>
        <v/>
      </c>
    </row>
    <row r="422" spans="1:10" ht="20.100000000000001" customHeight="1" x14ac:dyDescent="0.25">
      <c r="A422" s="30" t="str">
        <f t="shared" si="18"/>
        <v/>
      </c>
      <c r="B422" s="31"/>
      <c r="C422" s="31"/>
      <c r="D422" s="31"/>
      <c r="E422" s="31"/>
      <c r="F422" s="31"/>
      <c r="G422" s="31"/>
      <c r="H422" s="32"/>
      <c r="I422" s="33" t="str">
        <f t="shared" ca="1" si="19"/>
        <v/>
      </c>
      <c r="J422" s="33" t="str">
        <f t="shared" si="20"/>
        <v/>
      </c>
    </row>
    <row r="423" spans="1:10" ht="20.100000000000001" customHeight="1" x14ac:dyDescent="0.25">
      <c r="A423" s="30" t="str">
        <f t="shared" si="18"/>
        <v/>
      </c>
      <c r="B423" s="31"/>
      <c r="C423" s="31"/>
      <c r="D423" s="31"/>
      <c r="E423" s="31"/>
      <c r="F423" s="31"/>
      <c r="G423" s="31"/>
      <c r="H423" s="32"/>
      <c r="I423" s="33" t="str">
        <f t="shared" ca="1" si="19"/>
        <v/>
      </c>
      <c r="J423" s="33" t="str">
        <f t="shared" si="20"/>
        <v/>
      </c>
    </row>
    <row r="424" spans="1:10" ht="20.100000000000001" customHeight="1" x14ac:dyDescent="0.25">
      <c r="A424" s="30" t="str">
        <f t="shared" si="18"/>
        <v/>
      </c>
      <c r="B424" s="31"/>
      <c r="C424" s="31"/>
      <c r="D424" s="31"/>
      <c r="E424" s="31"/>
      <c r="F424" s="31"/>
      <c r="G424" s="31"/>
      <c r="H424" s="32"/>
      <c r="I424" s="33" t="str">
        <f t="shared" ca="1" si="19"/>
        <v/>
      </c>
      <c r="J424" s="33" t="str">
        <f t="shared" si="20"/>
        <v/>
      </c>
    </row>
    <row r="425" spans="1:10" ht="20.100000000000001" customHeight="1" x14ac:dyDescent="0.25">
      <c r="A425" s="30" t="str">
        <f t="shared" si="18"/>
        <v/>
      </c>
      <c r="B425" s="31"/>
      <c r="C425" s="31"/>
      <c r="D425" s="31"/>
      <c r="E425" s="31"/>
      <c r="F425" s="31"/>
      <c r="G425" s="31"/>
      <c r="H425" s="32"/>
      <c r="I425" s="33" t="str">
        <f t="shared" ca="1" si="19"/>
        <v/>
      </c>
      <c r="J425" s="33" t="str">
        <f t="shared" si="20"/>
        <v/>
      </c>
    </row>
    <row r="426" spans="1:10" ht="20.100000000000001" customHeight="1" x14ac:dyDescent="0.25">
      <c r="A426" s="30" t="str">
        <f t="shared" si="18"/>
        <v/>
      </c>
      <c r="B426" s="31"/>
      <c r="C426" s="31"/>
      <c r="D426" s="31"/>
      <c r="E426" s="31"/>
      <c r="F426" s="31"/>
      <c r="G426" s="31"/>
      <c r="H426" s="32"/>
      <c r="I426" s="33" t="str">
        <f t="shared" ca="1" si="19"/>
        <v/>
      </c>
      <c r="J426" s="33" t="str">
        <f t="shared" si="20"/>
        <v/>
      </c>
    </row>
    <row r="427" spans="1:10" ht="20.100000000000001" customHeight="1" x14ac:dyDescent="0.25">
      <c r="A427" s="30" t="str">
        <f t="shared" si="18"/>
        <v/>
      </c>
      <c r="B427" s="31"/>
      <c r="C427" s="31"/>
      <c r="D427" s="31"/>
      <c r="E427" s="31"/>
      <c r="F427" s="31"/>
      <c r="G427" s="31"/>
      <c r="H427" s="32"/>
      <c r="I427" s="33" t="str">
        <f t="shared" ca="1" si="19"/>
        <v/>
      </c>
      <c r="J427" s="33" t="str">
        <f t="shared" si="20"/>
        <v/>
      </c>
    </row>
    <row r="428" spans="1:10" ht="20.100000000000001" customHeight="1" x14ac:dyDescent="0.25">
      <c r="A428" s="30" t="str">
        <f t="shared" si="18"/>
        <v/>
      </c>
      <c r="B428" s="31"/>
      <c r="C428" s="31"/>
      <c r="D428" s="31"/>
      <c r="E428" s="31"/>
      <c r="F428" s="31"/>
      <c r="G428" s="31"/>
      <c r="H428" s="32"/>
      <c r="I428" s="33" t="str">
        <f t="shared" ca="1" si="19"/>
        <v/>
      </c>
      <c r="J428" s="33" t="str">
        <f t="shared" si="20"/>
        <v/>
      </c>
    </row>
    <row r="429" spans="1:10" ht="20.100000000000001" customHeight="1" x14ac:dyDescent="0.25">
      <c r="A429" s="30" t="str">
        <f t="shared" si="18"/>
        <v/>
      </c>
      <c r="B429" s="31"/>
      <c r="C429" s="31"/>
      <c r="D429" s="31"/>
      <c r="E429" s="31"/>
      <c r="F429" s="31"/>
      <c r="G429" s="31"/>
      <c r="H429" s="32"/>
      <c r="I429" s="33" t="str">
        <f t="shared" ca="1" si="19"/>
        <v/>
      </c>
      <c r="J429" s="33" t="str">
        <f t="shared" si="20"/>
        <v/>
      </c>
    </row>
    <row r="430" spans="1:10" ht="20.100000000000001" customHeight="1" x14ac:dyDescent="0.25">
      <c r="A430" s="30" t="str">
        <f t="shared" si="18"/>
        <v/>
      </c>
      <c r="B430" s="31"/>
      <c r="C430" s="31"/>
      <c r="D430" s="31"/>
      <c r="E430" s="31"/>
      <c r="F430" s="31"/>
      <c r="G430" s="31"/>
      <c r="H430" s="32"/>
      <c r="I430" s="33" t="str">
        <f t="shared" ca="1" si="19"/>
        <v/>
      </c>
      <c r="J430" s="33" t="str">
        <f t="shared" si="20"/>
        <v/>
      </c>
    </row>
    <row r="431" spans="1:10" ht="20.100000000000001" customHeight="1" x14ac:dyDescent="0.25">
      <c r="A431" s="30" t="str">
        <f t="shared" si="18"/>
        <v/>
      </c>
      <c r="B431" s="31"/>
      <c r="C431" s="31"/>
      <c r="D431" s="31"/>
      <c r="E431" s="31"/>
      <c r="F431" s="31"/>
      <c r="G431" s="31"/>
      <c r="H431" s="32"/>
      <c r="I431" s="33" t="str">
        <f t="shared" ca="1" si="19"/>
        <v/>
      </c>
      <c r="J431" s="33" t="str">
        <f t="shared" si="20"/>
        <v/>
      </c>
    </row>
    <row r="432" spans="1:10" ht="20.100000000000001" customHeight="1" x14ac:dyDescent="0.25">
      <c r="A432" s="30" t="str">
        <f t="shared" si="18"/>
        <v/>
      </c>
      <c r="B432" s="31"/>
      <c r="C432" s="31"/>
      <c r="D432" s="31"/>
      <c r="E432" s="31"/>
      <c r="F432" s="31"/>
      <c r="G432" s="31"/>
      <c r="H432" s="32"/>
      <c r="I432" s="33" t="str">
        <f t="shared" ca="1" si="19"/>
        <v/>
      </c>
      <c r="J432" s="33" t="str">
        <f t="shared" si="20"/>
        <v/>
      </c>
    </row>
    <row r="433" spans="1:10" ht="20.100000000000001" customHeight="1" x14ac:dyDescent="0.25">
      <c r="A433" s="30" t="str">
        <f t="shared" si="18"/>
        <v/>
      </c>
      <c r="B433" s="31"/>
      <c r="C433" s="31"/>
      <c r="D433" s="31"/>
      <c r="E433" s="31"/>
      <c r="F433" s="31"/>
      <c r="G433" s="31"/>
      <c r="H433" s="32"/>
      <c r="I433" s="33" t="str">
        <f t="shared" ca="1" si="19"/>
        <v/>
      </c>
      <c r="J433" s="33" t="str">
        <f t="shared" si="20"/>
        <v/>
      </c>
    </row>
    <row r="434" spans="1:10" ht="20.100000000000001" customHeight="1" x14ac:dyDescent="0.25">
      <c r="A434" s="30" t="str">
        <f t="shared" si="18"/>
        <v/>
      </c>
      <c r="B434" s="31"/>
      <c r="C434" s="31"/>
      <c r="D434" s="31"/>
      <c r="E434" s="31"/>
      <c r="F434" s="31"/>
      <c r="G434" s="31"/>
      <c r="H434" s="32"/>
      <c r="I434" s="33" t="str">
        <f t="shared" ca="1" si="19"/>
        <v/>
      </c>
      <c r="J434" s="33" t="str">
        <f t="shared" si="20"/>
        <v/>
      </c>
    </row>
    <row r="435" spans="1:10" ht="20.100000000000001" customHeight="1" x14ac:dyDescent="0.25">
      <c r="A435" s="30" t="str">
        <f t="shared" si="18"/>
        <v/>
      </c>
      <c r="B435" s="31"/>
      <c r="C435" s="31"/>
      <c r="D435" s="31"/>
      <c r="E435" s="31"/>
      <c r="F435" s="31"/>
      <c r="G435" s="31"/>
      <c r="H435" s="32"/>
      <c r="I435" s="33" t="str">
        <f t="shared" ca="1" si="19"/>
        <v/>
      </c>
      <c r="J435" s="33" t="str">
        <f t="shared" si="20"/>
        <v/>
      </c>
    </row>
    <row r="436" spans="1:10" ht="20.100000000000001" customHeight="1" x14ac:dyDescent="0.25">
      <c r="A436" s="30" t="str">
        <f t="shared" si="18"/>
        <v/>
      </c>
      <c r="B436" s="31"/>
      <c r="C436" s="31"/>
      <c r="D436" s="31"/>
      <c r="E436" s="31"/>
      <c r="F436" s="31"/>
      <c r="G436" s="31"/>
      <c r="H436" s="32"/>
      <c r="I436" s="33" t="str">
        <f t="shared" ca="1" si="19"/>
        <v/>
      </c>
      <c r="J436" s="33" t="str">
        <f t="shared" si="20"/>
        <v/>
      </c>
    </row>
    <row r="437" spans="1:10" ht="20.100000000000001" customHeight="1" x14ac:dyDescent="0.25">
      <c r="A437" s="30" t="str">
        <f t="shared" si="18"/>
        <v/>
      </c>
      <c r="B437" s="31"/>
      <c r="C437" s="31"/>
      <c r="D437" s="31"/>
      <c r="E437" s="31"/>
      <c r="F437" s="31"/>
      <c r="G437" s="31"/>
      <c r="H437" s="32"/>
      <c r="I437" s="33" t="str">
        <f t="shared" ca="1" si="19"/>
        <v/>
      </c>
      <c r="J437" s="33" t="str">
        <f t="shared" si="20"/>
        <v/>
      </c>
    </row>
    <row r="438" spans="1:10" ht="20.100000000000001" customHeight="1" x14ac:dyDescent="0.25">
      <c r="A438" s="30" t="str">
        <f t="shared" si="18"/>
        <v/>
      </c>
      <c r="B438" s="31"/>
      <c r="C438" s="31"/>
      <c r="D438" s="31"/>
      <c r="E438" s="31"/>
      <c r="F438" s="31"/>
      <c r="G438" s="31"/>
      <c r="H438" s="32"/>
      <c r="I438" s="33" t="str">
        <f t="shared" ca="1" si="19"/>
        <v/>
      </c>
      <c r="J438" s="33" t="str">
        <f t="shared" si="20"/>
        <v/>
      </c>
    </row>
    <row r="439" spans="1:10" ht="20.100000000000001" customHeight="1" x14ac:dyDescent="0.25">
      <c r="A439" s="30" t="str">
        <f t="shared" si="18"/>
        <v/>
      </c>
      <c r="B439" s="31"/>
      <c r="C439" s="31"/>
      <c r="D439" s="31"/>
      <c r="E439" s="31"/>
      <c r="F439" s="31"/>
      <c r="G439" s="31"/>
      <c r="H439" s="32"/>
      <c r="I439" s="33" t="str">
        <f t="shared" ca="1" si="19"/>
        <v/>
      </c>
      <c r="J439" s="33" t="str">
        <f t="shared" si="20"/>
        <v/>
      </c>
    </row>
    <row r="440" spans="1:10" ht="20.100000000000001" customHeight="1" x14ac:dyDescent="0.25">
      <c r="A440" s="30" t="str">
        <f t="shared" si="18"/>
        <v/>
      </c>
      <c r="B440" s="31"/>
      <c r="C440" s="31"/>
      <c r="D440" s="31"/>
      <c r="E440" s="31"/>
      <c r="F440" s="31"/>
      <c r="G440" s="31"/>
      <c r="H440" s="32"/>
      <c r="I440" s="33" t="str">
        <f t="shared" ca="1" si="19"/>
        <v/>
      </c>
      <c r="J440" s="33" t="str">
        <f t="shared" si="20"/>
        <v/>
      </c>
    </row>
    <row r="441" spans="1:10" ht="20.100000000000001" customHeight="1" x14ac:dyDescent="0.25">
      <c r="A441" s="30" t="str">
        <f t="shared" si="18"/>
        <v/>
      </c>
      <c r="B441" s="31"/>
      <c r="C441" s="31"/>
      <c r="D441" s="31"/>
      <c r="E441" s="31"/>
      <c r="F441" s="31"/>
      <c r="G441" s="31"/>
      <c r="H441" s="32"/>
      <c r="I441" s="33" t="str">
        <f t="shared" ca="1" si="19"/>
        <v/>
      </c>
      <c r="J441" s="33" t="str">
        <f t="shared" si="20"/>
        <v/>
      </c>
    </row>
    <row r="442" spans="1:10" ht="20.100000000000001" customHeight="1" x14ac:dyDescent="0.25">
      <c r="A442" s="30" t="str">
        <f t="shared" si="18"/>
        <v/>
      </c>
      <c r="B442" s="31"/>
      <c r="C442" s="31"/>
      <c r="D442" s="31"/>
      <c r="E442" s="31"/>
      <c r="F442" s="31"/>
      <c r="G442" s="31"/>
      <c r="H442" s="32"/>
      <c r="I442" s="33" t="str">
        <f t="shared" ca="1" si="19"/>
        <v/>
      </c>
      <c r="J442" s="33" t="str">
        <f t="shared" si="20"/>
        <v/>
      </c>
    </row>
    <row r="443" spans="1:10" ht="20.100000000000001" customHeight="1" x14ac:dyDescent="0.25">
      <c r="A443" s="30" t="str">
        <f t="shared" si="18"/>
        <v/>
      </c>
      <c r="B443" s="31"/>
      <c r="C443" s="31"/>
      <c r="D443" s="31"/>
      <c r="E443" s="31"/>
      <c r="F443" s="31"/>
      <c r="G443" s="31"/>
      <c r="H443" s="32"/>
      <c r="I443" s="33" t="str">
        <f t="shared" ca="1" si="19"/>
        <v/>
      </c>
      <c r="J443" s="33" t="str">
        <f t="shared" si="20"/>
        <v/>
      </c>
    </row>
    <row r="444" spans="1:10" ht="20.100000000000001" customHeight="1" x14ac:dyDescent="0.25">
      <c r="A444" s="30" t="str">
        <f t="shared" si="18"/>
        <v/>
      </c>
      <c r="B444" s="31"/>
      <c r="C444" s="31"/>
      <c r="D444" s="31"/>
      <c r="E444" s="31"/>
      <c r="F444" s="31"/>
      <c r="G444" s="31"/>
      <c r="H444" s="32"/>
      <c r="I444" s="33" t="str">
        <f t="shared" ca="1" si="19"/>
        <v/>
      </c>
      <c r="J444" s="33" t="str">
        <f t="shared" si="20"/>
        <v/>
      </c>
    </row>
    <row r="445" spans="1:10" ht="20.100000000000001" customHeight="1" x14ac:dyDescent="0.25">
      <c r="A445" s="30" t="str">
        <f t="shared" si="18"/>
        <v/>
      </c>
      <c r="B445" s="31"/>
      <c r="C445" s="31"/>
      <c r="D445" s="31"/>
      <c r="E445" s="31"/>
      <c r="F445" s="31"/>
      <c r="G445" s="31"/>
      <c r="H445" s="32"/>
      <c r="I445" s="33" t="str">
        <f t="shared" ca="1" si="19"/>
        <v/>
      </c>
      <c r="J445" s="33" t="str">
        <f t="shared" si="20"/>
        <v/>
      </c>
    </row>
    <row r="446" spans="1:10" ht="20.100000000000001" customHeight="1" x14ac:dyDescent="0.25">
      <c r="A446" s="30" t="str">
        <f t="shared" si="18"/>
        <v/>
      </c>
      <c r="B446" s="31"/>
      <c r="C446" s="31"/>
      <c r="D446" s="31"/>
      <c r="E446" s="31"/>
      <c r="F446" s="31"/>
      <c r="G446" s="31"/>
      <c r="H446" s="32"/>
      <c r="I446" s="33" t="str">
        <f t="shared" ca="1" si="19"/>
        <v/>
      </c>
      <c r="J446" s="33" t="str">
        <f t="shared" si="20"/>
        <v/>
      </c>
    </row>
    <row r="447" spans="1:10" ht="20.100000000000001" customHeight="1" x14ac:dyDescent="0.25">
      <c r="A447" s="30" t="str">
        <f t="shared" si="18"/>
        <v/>
      </c>
      <c r="B447" s="31"/>
      <c r="C447" s="31"/>
      <c r="D447" s="31"/>
      <c r="E447" s="31"/>
      <c r="F447" s="31"/>
      <c r="G447" s="31"/>
      <c r="H447" s="32"/>
      <c r="I447" s="33" t="str">
        <f t="shared" ca="1" si="19"/>
        <v/>
      </c>
      <c r="J447" s="33" t="str">
        <f t="shared" si="20"/>
        <v/>
      </c>
    </row>
    <row r="448" spans="1:10" ht="20.100000000000001" customHeight="1" x14ac:dyDescent="0.25">
      <c r="A448" s="30" t="str">
        <f t="shared" si="18"/>
        <v/>
      </c>
      <c r="B448" s="31"/>
      <c r="C448" s="31"/>
      <c r="D448" s="31"/>
      <c r="E448" s="31"/>
      <c r="F448" s="31"/>
      <c r="G448" s="31"/>
      <c r="H448" s="32"/>
      <c r="I448" s="33" t="str">
        <f t="shared" ca="1" si="19"/>
        <v/>
      </c>
      <c r="J448" s="33" t="str">
        <f t="shared" si="20"/>
        <v/>
      </c>
    </row>
    <row r="449" spans="1:10" ht="20.100000000000001" customHeight="1" x14ac:dyDescent="0.25">
      <c r="A449" s="30" t="str">
        <f t="shared" si="18"/>
        <v/>
      </c>
      <c r="B449" s="31"/>
      <c r="C449" s="31"/>
      <c r="D449" s="31"/>
      <c r="E449" s="31"/>
      <c r="F449" s="31"/>
      <c r="G449" s="31"/>
      <c r="H449" s="32"/>
      <c r="I449" s="33" t="str">
        <f t="shared" ca="1" si="19"/>
        <v/>
      </c>
      <c r="J449" s="33" t="str">
        <f t="shared" si="20"/>
        <v/>
      </c>
    </row>
    <row r="450" spans="1:10" ht="20.100000000000001" customHeight="1" x14ac:dyDescent="0.25">
      <c r="A450" s="30" t="str">
        <f t="shared" si="18"/>
        <v/>
      </c>
      <c r="B450" s="31"/>
      <c r="C450" s="31"/>
      <c r="D450" s="31"/>
      <c r="E450" s="31"/>
      <c r="F450" s="31"/>
      <c r="G450" s="31"/>
      <c r="H450" s="32"/>
      <c r="I450" s="33" t="str">
        <f t="shared" ca="1" si="19"/>
        <v/>
      </c>
      <c r="J450" s="33" t="str">
        <f t="shared" si="20"/>
        <v/>
      </c>
    </row>
    <row r="451" spans="1:10" ht="20.100000000000001" customHeight="1" x14ac:dyDescent="0.25">
      <c r="A451" s="30" t="str">
        <f t="shared" si="18"/>
        <v/>
      </c>
      <c r="B451" s="31"/>
      <c r="C451" s="31"/>
      <c r="D451" s="31"/>
      <c r="E451" s="31"/>
      <c r="F451" s="31"/>
      <c r="G451" s="31"/>
      <c r="H451" s="32"/>
      <c r="I451" s="33" t="str">
        <f t="shared" ca="1" si="19"/>
        <v/>
      </c>
      <c r="J451" s="33" t="str">
        <f t="shared" si="20"/>
        <v/>
      </c>
    </row>
    <row r="452" spans="1:10" ht="20.100000000000001" customHeight="1" x14ac:dyDescent="0.25">
      <c r="A452" s="30" t="str">
        <f t="shared" si="18"/>
        <v/>
      </c>
      <c r="B452" s="31"/>
      <c r="C452" s="31"/>
      <c r="D452" s="31"/>
      <c r="E452" s="31"/>
      <c r="F452" s="31"/>
      <c r="G452" s="31"/>
      <c r="H452" s="32"/>
      <c r="I452" s="33" t="str">
        <f t="shared" ca="1" si="19"/>
        <v/>
      </c>
      <c r="J452" s="33" t="str">
        <f t="shared" si="20"/>
        <v/>
      </c>
    </row>
    <row r="453" spans="1:10" ht="20.100000000000001" customHeight="1" x14ac:dyDescent="0.25">
      <c r="A453" s="30" t="str">
        <f t="shared" ref="A453:A516" si="21">IF(B453="","","ACC"&amp;TEXT(ROW()-4,"0000"))</f>
        <v/>
      </c>
      <c r="B453" s="31"/>
      <c r="C453" s="31"/>
      <c r="D453" s="31"/>
      <c r="E453" s="31"/>
      <c r="F453" s="31"/>
      <c r="G453" s="31"/>
      <c r="H453" s="32"/>
      <c r="I453" s="33" t="str">
        <f t="shared" ref="I453:I504" ca="1" si="22">IF(B453="","",TEXT(TODAY(),"dd/mm/yyyy"))</f>
        <v/>
      </c>
      <c r="J453" s="33" t="str">
        <f t="shared" ref="J453:J504" si="23">IF(B453="","",IF(ISNUMBER(H453),IF(H453&gt;=10,"✅ Active","⚠️ Below Min Balance"),"Pending"))</f>
        <v/>
      </c>
    </row>
    <row r="454" spans="1:10" ht="20.100000000000001" customHeight="1" x14ac:dyDescent="0.25">
      <c r="A454" s="30" t="str">
        <f t="shared" si="21"/>
        <v/>
      </c>
      <c r="B454" s="31"/>
      <c r="C454" s="31"/>
      <c r="D454" s="31"/>
      <c r="E454" s="31"/>
      <c r="F454" s="31"/>
      <c r="G454" s="31"/>
      <c r="H454" s="32"/>
      <c r="I454" s="33" t="str">
        <f t="shared" ca="1" si="22"/>
        <v/>
      </c>
      <c r="J454" s="33" t="str">
        <f t="shared" si="23"/>
        <v/>
      </c>
    </row>
    <row r="455" spans="1:10" ht="20.100000000000001" customHeight="1" x14ac:dyDescent="0.25">
      <c r="A455" s="30" t="str">
        <f t="shared" si="21"/>
        <v/>
      </c>
      <c r="B455" s="31"/>
      <c r="C455" s="31"/>
      <c r="D455" s="31"/>
      <c r="E455" s="31"/>
      <c r="F455" s="31"/>
      <c r="G455" s="31"/>
      <c r="H455" s="32"/>
      <c r="I455" s="33" t="str">
        <f t="shared" ca="1" si="22"/>
        <v/>
      </c>
      <c r="J455" s="33" t="str">
        <f t="shared" si="23"/>
        <v/>
      </c>
    </row>
    <row r="456" spans="1:10" ht="20.100000000000001" customHeight="1" x14ac:dyDescent="0.25">
      <c r="A456" s="30" t="str">
        <f t="shared" si="21"/>
        <v/>
      </c>
      <c r="B456" s="31"/>
      <c r="C456" s="31"/>
      <c r="D456" s="31"/>
      <c r="E456" s="31"/>
      <c r="F456" s="31"/>
      <c r="G456" s="31"/>
      <c r="H456" s="32"/>
      <c r="I456" s="33" t="str">
        <f t="shared" ca="1" si="22"/>
        <v/>
      </c>
      <c r="J456" s="33" t="str">
        <f t="shared" si="23"/>
        <v/>
      </c>
    </row>
    <row r="457" spans="1:10" ht="20.100000000000001" customHeight="1" x14ac:dyDescent="0.25">
      <c r="A457" s="30" t="str">
        <f t="shared" si="21"/>
        <v/>
      </c>
      <c r="B457" s="31"/>
      <c r="C457" s="31"/>
      <c r="D457" s="31"/>
      <c r="E457" s="31"/>
      <c r="F457" s="31"/>
      <c r="G457" s="31"/>
      <c r="H457" s="32"/>
      <c r="I457" s="33" t="str">
        <f t="shared" ca="1" si="22"/>
        <v/>
      </c>
      <c r="J457" s="33" t="str">
        <f t="shared" si="23"/>
        <v/>
      </c>
    </row>
    <row r="458" spans="1:10" ht="20.100000000000001" customHeight="1" x14ac:dyDescent="0.25">
      <c r="A458" s="30" t="str">
        <f t="shared" si="21"/>
        <v/>
      </c>
      <c r="B458" s="31"/>
      <c r="C458" s="31"/>
      <c r="D458" s="31"/>
      <c r="E458" s="31"/>
      <c r="F458" s="31"/>
      <c r="G458" s="31"/>
      <c r="H458" s="32"/>
      <c r="I458" s="33" t="str">
        <f t="shared" ca="1" si="22"/>
        <v/>
      </c>
      <c r="J458" s="33" t="str">
        <f t="shared" si="23"/>
        <v/>
      </c>
    </row>
    <row r="459" spans="1:10" ht="20.100000000000001" customHeight="1" x14ac:dyDescent="0.25">
      <c r="A459" s="30" t="str">
        <f t="shared" si="21"/>
        <v/>
      </c>
      <c r="B459" s="31"/>
      <c r="C459" s="31"/>
      <c r="D459" s="31"/>
      <c r="E459" s="31"/>
      <c r="F459" s="31"/>
      <c r="G459" s="31"/>
      <c r="H459" s="32"/>
      <c r="I459" s="33" t="str">
        <f t="shared" ca="1" si="22"/>
        <v/>
      </c>
      <c r="J459" s="33" t="str">
        <f t="shared" si="23"/>
        <v/>
      </c>
    </row>
    <row r="460" spans="1:10" ht="20.100000000000001" customHeight="1" x14ac:dyDescent="0.25">
      <c r="A460" s="30" t="str">
        <f t="shared" si="21"/>
        <v/>
      </c>
      <c r="B460" s="31"/>
      <c r="C460" s="31"/>
      <c r="D460" s="31"/>
      <c r="E460" s="31"/>
      <c r="F460" s="31"/>
      <c r="G460" s="31"/>
      <c r="H460" s="32"/>
      <c r="I460" s="33" t="str">
        <f t="shared" ca="1" si="22"/>
        <v/>
      </c>
      <c r="J460" s="33" t="str">
        <f t="shared" si="23"/>
        <v/>
      </c>
    </row>
    <row r="461" spans="1:10" ht="20.100000000000001" customHeight="1" x14ac:dyDescent="0.25">
      <c r="A461" s="30" t="str">
        <f t="shared" si="21"/>
        <v/>
      </c>
      <c r="B461" s="31"/>
      <c r="C461" s="31"/>
      <c r="D461" s="31"/>
      <c r="E461" s="31"/>
      <c r="F461" s="31"/>
      <c r="G461" s="31"/>
      <c r="H461" s="32"/>
      <c r="I461" s="33" t="str">
        <f t="shared" ca="1" si="22"/>
        <v/>
      </c>
      <c r="J461" s="33" t="str">
        <f t="shared" si="23"/>
        <v/>
      </c>
    </row>
    <row r="462" spans="1:10" ht="20.100000000000001" customHeight="1" x14ac:dyDescent="0.25">
      <c r="A462" s="30" t="str">
        <f t="shared" si="21"/>
        <v/>
      </c>
      <c r="B462" s="31"/>
      <c r="C462" s="31"/>
      <c r="D462" s="31"/>
      <c r="E462" s="31"/>
      <c r="F462" s="31"/>
      <c r="G462" s="31"/>
      <c r="H462" s="32"/>
      <c r="I462" s="33" t="str">
        <f t="shared" ca="1" si="22"/>
        <v/>
      </c>
      <c r="J462" s="33" t="str">
        <f t="shared" si="23"/>
        <v/>
      </c>
    </row>
    <row r="463" spans="1:10" ht="20.100000000000001" customHeight="1" x14ac:dyDescent="0.25">
      <c r="A463" s="30" t="str">
        <f t="shared" si="21"/>
        <v/>
      </c>
      <c r="B463" s="31"/>
      <c r="C463" s="31"/>
      <c r="D463" s="31"/>
      <c r="E463" s="31"/>
      <c r="F463" s="31"/>
      <c r="G463" s="31"/>
      <c r="H463" s="32"/>
      <c r="I463" s="33" t="str">
        <f t="shared" ca="1" si="22"/>
        <v/>
      </c>
      <c r="J463" s="33" t="str">
        <f t="shared" si="23"/>
        <v/>
      </c>
    </row>
    <row r="464" spans="1:10" ht="20.100000000000001" customHeight="1" x14ac:dyDescent="0.25">
      <c r="A464" s="30" t="str">
        <f t="shared" si="21"/>
        <v/>
      </c>
      <c r="B464" s="31"/>
      <c r="C464" s="31"/>
      <c r="D464" s="31"/>
      <c r="E464" s="31"/>
      <c r="F464" s="31"/>
      <c r="G464" s="31"/>
      <c r="H464" s="32"/>
      <c r="I464" s="33" t="str">
        <f t="shared" ca="1" si="22"/>
        <v/>
      </c>
      <c r="J464" s="33" t="str">
        <f t="shared" si="23"/>
        <v/>
      </c>
    </row>
    <row r="465" spans="1:10" ht="20.100000000000001" customHeight="1" x14ac:dyDescent="0.25">
      <c r="A465" s="30" t="str">
        <f t="shared" si="21"/>
        <v/>
      </c>
      <c r="B465" s="31"/>
      <c r="C465" s="31"/>
      <c r="D465" s="31"/>
      <c r="E465" s="31"/>
      <c r="F465" s="31"/>
      <c r="G465" s="31"/>
      <c r="H465" s="32"/>
      <c r="I465" s="33" t="str">
        <f t="shared" ca="1" si="22"/>
        <v/>
      </c>
      <c r="J465" s="33" t="str">
        <f t="shared" si="23"/>
        <v/>
      </c>
    </row>
    <row r="466" spans="1:10" ht="20.100000000000001" customHeight="1" x14ac:dyDescent="0.25">
      <c r="A466" s="30" t="str">
        <f t="shared" si="21"/>
        <v/>
      </c>
      <c r="B466" s="31"/>
      <c r="C466" s="31"/>
      <c r="D466" s="31"/>
      <c r="E466" s="31"/>
      <c r="F466" s="31"/>
      <c r="G466" s="31"/>
      <c r="H466" s="32"/>
      <c r="I466" s="33" t="str">
        <f t="shared" ca="1" si="22"/>
        <v/>
      </c>
      <c r="J466" s="33" t="str">
        <f t="shared" si="23"/>
        <v/>
      </c>
    </row>
    <row r="467" spans="1:10" ht="20.100000000000001" customHeight="1" x14ac:dyDescent="0.25">
      <c r="A467" s="30" t="str">
        <f t="shared" si="21"/>
        <v/>
      </c>
      <c r="B467" s="31"/>
      <c r="C467" s="31"/>
      <c r="D467" s="31"/>
      <c r="E467" s="31"/>
      <c r="F467" s="31"/>
      <c r="G467" s="31"/>
      <c r="H467" s="32"/>
      <c r="I467" s="33" t="str">
        <f t="shared" ca="1" si="22"/>
        <v/>
      </c>
      <c r="J467" s="33" t="str">
        <f t="shared" si="23"/>
        <v/>
      </c>
    </row>
    <row r="468" spans="1:10" ht="20.100000000000001" customHeight="1" x14ac:dyDescent="0.25">
      <c r="A468" s="30" t="str">
        <f t="shared" si="21"/>
        <v/>
      </c>
      <c r="B468" s="31"/>
      <c r="C468" s="31"/>
      <c r="D468" s="31"/>
      <c r="E468" s="31"/>
      <c r="F468" s="31"/>
      <c r="G468" s="31"/>
      <c r="H468" s="32"/>
      <c r="I468" s="33" t="str">
        <f t="shared" ca="1" si="22"/>
        <v/>
      </c>
      <c r="J468" s="33" t="str">
        <f t="shared" si="23"/>
        <v/>
      </c>
    </row>
    <row r="469" spans="1:10" ht="20.100000000000001" customHeight="1" x14ac:dyDescent="0.25">
      <c r="A469" s="30" t="str">
        <f t="shared" si="21"/>
        <v/>
      </c>
      <c r="B469" s="31"/>
      <c r="C469" s="31"/>
      <c r="D469" s="31"/>
      <c r="E469" s="31"/>
      <c r="F469" s="31"/>
      <c r="G469" s="31"/>
      <c r="H469" s="32"/>
      <c r="I469" s="33" t="str">
        <f t="shared" ca="1" si="22"/>
        <v/>
      </c>
      <c r="J469" s="33" t="str">
        <f t="shared" si="23"/>
        <v/>
      </c>
    </row>
    <row r="470" spans="1:10" ht="20.100000000000001" customHeight="1" x14ac:dyDescent="0.25">
      <c r="A470" s="30" t="str">
        <f t="shared" si="21"/>
        <v/>
      </c>
      <c r="B470" s="31"/>
      <c r="C470" s="31"/>
      <c r="D470" s="31"/>
      <c r="E470" s="31"/>
      <c r="F470" s="31"/>
      <c r="G470" s="31"/>
      <c r="H470" s="32"/>
      <c r="I470" s="33" t="str">
        <f t="shared" ca="1" si="22"/>
        <v/>
      </c>
      <c r="J470" s="33" t="str">
        <f t="shared" si="23"/>
        <v/>
      </c>
    </row>
    <row r="471" spans="1:10" ht="20.100000000000001" customHeight="1" x14ac:dyDescent="0.25">
      <c r="A471" s="30" t="str">
        <f t="shared" si="21"/>
        <v/>
      </c>
      <c r="B471" s="31"/>
      <c r="C471" s="31"/>
      <c r="D471" s="31"/>
      <c r="E471" s="31"/>
      <c r="F471" s="31"/>
      <c r="G471" s="31"/>
      <c r="H471" s="32"/>
      <c r="I471" s="33" t="str">
        <f t="shared" ca="1" si="22"/>
        <v/>
      </c>
      <c r="J471" s="33" t="str">
        <f t="shared" si="23"/>
        <v/>
      </c>
    </row>
    <row r="472" spans="1:10" ht="20.100000000000001" customHeight="1" x14ac:dyDescent="0.25">
      <c r="A472" s="30" t="str">
        <f t="shared" si="21"/>
        <v/>
      </c>
      <c r="B472" s="31"/>
      <c r="C472" s="31"/>
      <c r="D472" s="31"/>
      <c r="E472" s="31"/>
      <c r="F472" s="31"/>
      <c r="G472" s="31"/>
      <c r="H472" s="32"/>
      <c r="I472" s="33" t="str">
        <f t="shared" ca="1" si="22"/>
        <v/>
      </c>
      <c r="J472" s="33" t="str">
        <f t="shared" si="23"/>
        <v/>
      </c>
    </row>
    <row r="473" spans="1:10" ht="20.100000000000001" customHeight="1" x14ac:dyDescent="0.25">
      <c r="A473" s="30" t="str">
        <f t="shared" si="21"/>
        <v/>
      </c>
      <c r="B473" s="31"/>
      <c r="C473" s="31"/>
      <c r="D473" s="31"/>
      <c r="E473" s="31"/>
      <c r="F473" s="31"/>
      <c r="G473" s="31"/>
      <c r="H473" s="32"/>
      <c r="I473" s="33" t="str">
        <f t="shared" ca="1" si="22"/>
        <v/>
      </c>
      <c r="J473" s="33" t="str">
        <f t="shared" si="23"/>
        <v/>
      </c>
    </row>
    <row r="474" spans="1:10" ht="20.100000000000001" customHeight="1" x14ac:dyDescent="0.25">
      <c r="A474" s="30" t="str">
        <f t="shared" si="21"/>
        <v/>
      </c>
      <c r="B474" s="31"/>
      <c r="C474" s="31"/>
      <c r="D474" s="31"/>
      <c r="E474" s="31"/>
      <c r="F474" s="31"/>
      <c r="G474" s="31"/>
      <c r="H474" s="32"/>
      <c r="I474" s="33" t="str">
        <f t="shared" ca="1" si="22"/>
        <v/>
      </c>
      <c r="J474" s="33" t="str">
        <f t="shared" si="23"/>
        <v/>
      </c>
    </row>
    <row r="475" spans="1:10" ht="20.100000000000001" customHeight="1" x14ac:dyDescent="0.25">
      <c r="A475" s="30" t="str">
        <f t="shared" si="21"/>
        <v/>
      </c>
      <c r="B475" s="31"/>
      <c r="C475" s="31"/>
      <c r="D475" s="31"/>
      <c r="E475" s="31"/>
      <c r="F475" s="31"/>
      <c r="G475" s="31"/>
      <c r="H475" s="32"/>
      <c r="I475" s="33" t="str">
        <f t="shared" ca="1" si="22"/>
        <v/>
      </c>
      <c r="J475" s="33" t="str">
        <f t="shared" si="23"/>
        <v/>
      </c>
    </row>
    <row r="476" spans="1:10" ht="20.100000000000001" customHeight="1" x14ac:dyDescent="0.25">
      <c r="A476" s="30" t="str">
        <f t="shared" si="21"/>
        <v/>
      </c>
      <c r="B476" s="31"/>
      <c r="C476" s="31"/>
      <c r="D476" s="31"/>
      <c r="E476" s="31"/>
      <c r="F476" s="31"/>
      <c r="G476" s="31"/>
      <c r="H476" s="32"/>
      <c r="I476" s="33" t="str">
        <f t="shared" ca="1" si="22"/>
        <v/>
      </c>
      <c r="J476" s="33" t="str">
        <f t="shared" si="23"/>
        <v/>
      </c>
    </row>
    <row r="477" spans="1:10" ht="20.100000000000001" customHeight="1" x14ac:dyDescent="0.25">
      <c r="A477" s="30" t="str">
        <f t="shared" si="21"/>
        <v/>
      </c>
      <c r="B477" s="31"/>
      <c r="C477" s="31"/>
      <c r="D477" s="31"/>
      <c r="E477" s="31"/>
      <c r="F477" s="31"/>
      <c r="G477" s="31"/>
      <c r="H477" s="32"/>
      <c r="I477" s="33" t="str">
        <f t="shared" ca="1" si="22"/>
        <v/>
      </c>
      <c r="J477" s="33" t="str">
        <f t="shared" si="23"/>
        <v/>
      </c>
    </row>
    <row r="478" spans="1:10" ht="20.100000000000001" customHeight="1" x14ac:dyDescent="0.25">
      <c r="A478" s="30" t="str">
        <f t="shared" si="21"/>
        <v/>
      </c>
      <c r="B478" s="31"/>
      <c r="C478" s="31"/>
      <c r="D478" s="31"/>
      <c r="E478" s="31"/>
      <c r="F478" s="31"/>
      <c r="G478" s="31"/>
      <c r="H478" s="32"/>
      <c r="I478" s="33" t="str">
        <f t="shared" ca="1" si="22"/>
        <v/>
      </c>
      <c r="J478" s="33" t="str">
        <f t="shared" si="23"/>
        <v/>
      </c>
    </row>
    <row r="479" spans="1:10" ht="20.100000000000001" customHeight="1" x14ac:dyDescent="0.25">
      <c r="A479" s="30" t="str">
        <f t="shared" si="21"/>
        <v/>
      </c>
      <c r="B479" s="31"/>
      <c r="C479" s="31"/>
      <c r="D479" s="31"/>
      <c r="E479" s="31"/>
      <c r="F479" s="31"/>
      <c r="G479" s="31"/>
      <c r="H479" s="32"/>
      <c r="I479" s="33" t="str">
        <f t="shared" ca="1" si="22"/>
        <v/>
      </c>
      <c r="J479" s="33" t="str">
        <f t="shared" si="23"/>
        <v/>
      </c>
    </row>
    <row r="480" spans="1:10" ht="20.100000000000001" customHeight="1" x14ac:dyDescent="0.25">
      <c r="A480" s="30" t="str">
        <f t="shared" si="21"/>
        <v/>
      </c>
      <c r="B480" s="31"/>
      <c r="C480" s="31"/>
      <c r="D480" s="31"/>
      <c r="E480" s="31"/>
      <c r="F480" s="31"/>
      <c r="G480" s="31"/>
      <c r="H480" s="32"/>
      <c r="I480" s="33" t="str">
        <f t="shared" ca="1" si="22"/>
        <v/>
      </c>
      <c r="J480" s="33" t="str">
        <f t="shared" si="23"/>
        <v/>
      </c>
    </row>
    <row r="481" spans="1:10" ht="20.100000000000001" customHeight="1" x14ac:dyDescent="0.25">
      <c r="A481" s="30" t="str">
        <f t="shared" si="21"/>
        <v/>
      </c>
      <c r="B481" s="31"/>
      <c r="C481" s="31"/>
      <c r="D481" s="31"/>
      <c r="E481" s="31"/>
      <c r="F481" s="31"/>
      <c r="G481" s="31"/>
      <c r="H481" s="32"/>
      <c r="I481" s="33" t="str">
        <f t="shared" ca="1" si="22"/>
        <v/>
      </c>
      <c r="J481" s="33" t="str">
        <f t="shared" si="23"/>
        <v/>
      </c>
    </row>
    <row r="482" spans="1:10" ht="20.100000000000001" customHeight="1" x14ac:dyDescent="0.25">
      <c r="A482" s="30" t="str">
        <f t="shared" si="21"/>
        <v/>
      </c>
      <c r="B482" s="31"/>
      <c r="C482" s="31"/>
      <c r="D482" s="31"/>
      <c r="E482" s="31"/>
      <c r="F482" s="31"/>
      <c r="G482" s="31"/>
      <c r="H482" s="32"/>
      <c r="I482" s="33" t="str">
        <f t="shared" ca="1" si="22"/>
        <v/>
      </c>
      <c r="J482" s="33" t="str">
        <f t="shared" si="23"/>
        <v/>
      </c>
    </row>
    <row r="483" spans="1:10" ht="20.100000000000001" customHeight="1" x14ac:dyDescent="0.25">
      <c r="A483" s="30" t="str">
        <f t="shared" si="21"/>
        <v/>
      </c>
      <c r="B483" s="31"/>
      <c r="C483" s="31"/>
      <c r="D483" s="31"/>
      <c r="E483" s="31"/>
      <c r="F483" s="31"/>
      <c r="G483" s="31"/>
      <c r="H483" s="32"/>
      <c r="I483" s="33" t="str">
        <f t="shared" ca="1" si="22"/>
        <v/>
      </c>
      <c r="J483" s="33" t="str">
        <f t="shared" si="23"/>
        <v/>
      </c>
    </row>
    <row r="484" spans="1:10" ht="20.100000000000001" customHeight="1" x14ac:dyDescent="0.25">
      <c r="A484" s="30" t="str">
        <f t="shared" si="21"/>
        <v/>
      </c>
      <c r="B484" s="31"/>
      <c r="C484" s="31"/>
      <c r="D484" s="31"/>
      <c r="E484" s="31"/>
      <c r="F484" s="31"/>
      <c r="G484" s="31"/>
      <c r="H484" s="32"/>
      <c r="I484" s="33" t="str">
        <f t="shared" ca="1" si="22"/>
        <v/>
      </c>
      <c r="J484" s="33" t="str">
        <f t="shared" si="23"/>
        <v/>
      </c>
    </row>
    <row r="485" spans="1:10" ht="20.100000000000001" customHeight="1" x14ac:dyDescent="0.25">
      <c r="A485" s="30" t="str">
        <f t="shared" si="21"/>
        <v/>
      </c>
      <c r="B485" s="31"/>
      <c r="C485" s="31"/>
      <c r="D485" s="31"/>
      <c r="E485" s="31"/>
      <c r="F485" s="31"/>
      <c r="G485" s="31"/>
      <c r="H485" s="32"/>
      <c r="I485" s="33" t="str">
        <f t="shared" ca="1" si="22"/>
        <v/>
      </c>
      <c r="J485" s="33" t="str">
        <f t="shared" si="23"/>
        <v/>
      </c>
    </row>
    <row r="486" spans="1:10" ht="20.100000000000001" customHeight="1" x14ac:dyDescent="0.25">
      <c r="A486" s="30" t="str">
        <f t="shared" si="21"/>
        <v/>
      </c>
      <c r="B486" s="31"/>
      <c r="C486" s="31"/>
      <c r="D486" s="31"/>
      <c r="E486" s="31"/>
      <c r="F486" s="31"/>
      <c r="G486" s="31"/>
      <c r="H486" s="32"/>
      <c r="I486" s="33" t="str">
        <f t="shared" ca="1" si="22"/>
        <v/>
      </c>
      <c r="J486" s="33" t="str">
        <f t="shared" si="23"/>
        <v/>
      </c>
    </row>
    <row r="487" spans="1:10" ht="20.100000000000001" customHeight="1" x14ac:dyDescent="0.25">
      <c r="A487" s="30" t="str">
        <f t="shared" si="21"/>
        <v/>
      </c>
      <c r="B487" s="31"/>
      <c r="C487" s="31"/>
      <c r="D487" s="31"/>
      <c r="E487" s="31"/>
      <c r="F487" s="31"/>
      <c r="G487" s="31"/>
      <c r="H487" s="32"/>
      <c r="I487" s="33" t="str">
        <f t="shared" ca="1" si="22"/>
        <v/>
      </c>
      <c r="J487" s="33" t="str">
        <f t="shared" si="23"/>
        <v/>
      </c>
    </row>
    <row r="488" spans="1:10" ht="20.100000000000001" customHeight="1" x14ac:dyDescent="0.25">
      <c r="A488" s="30" t="str">
        <f t="shared" si="21"/>
        <v/>
      </c>
      <c r="B488" s="31"/>
      <c r="C488" s="31"/>
      <c r="D488" s="31"/>
      <c r="E488" s="31"/>
      <c r="F488" s="31"/>
      <c r="G488" s="31"/>
      <c r="H488" s="32"/>
      <c r="I488" s="33" t="str">
        <f t="shared" ca="1" si="22"/>
        <v/>
      </c>
      <c r="J488" s="33" t="str">
        <f t="shared" si="23"/>
        <v/>
      </c>
    </row>
    <row r="489" spans="1:10" ht="20.100000000000001" customHeight="1" x14ac:dyDescent="0.25">
      <c r="A489" s="30" t="str">
        <f t="shared" si="21"/>
        <v/>
      </c>
      <c r="B489" s="31"/>
      <c r="C489" s="31"/>
      <c r="D489" s="31"/>
      <c r="E489" s="31"/>
      <c r="F489" s="31"/>
      <c r="G489" s="31"/>
      <c r="H489" s="32"/>
      <c r="I489" s="33" t="str">
        <f t="shared" ca="1" si="22"/>
        <v/>
      </c>
      <c r="J489" s="33" t="str">
        <f t="shared" si="23"/>
        <v/>
      </c>
    </row>
    <row r="490" spans="1:10" ht="20.100000000000001" customHeight="1" x14ac:dyDescent="0.25">
      <c r="A490" s="30" t="str">
        <f t="shared" si="21"/>
        <v/>
      </c>
      <c r="B490" s="31"/>
      <c r="C490" s="31"/>
      <c r="D490" s="31"/>
      <c r="E490" s="31"/>
      <c r="F490" s="31"/>
      <c r="G490" s="31"/>
      <c r="H490" s="32"/>
      <c r="I490" s="33" t="str">
        <f t="shared" ca="1" si="22"/>
        <v/>
      </c>
      <c r="J490" s="33" t="str">
        <f t="shared" si="23"/>
        <v/>
      </c>
    </row>
    <row r="491" spans="1:10" ht="20.100000000000001" customHeight="1" x14ac:dyDescent="0.25">
      <c r="A491" s="30" t="str">
        <f t="shared" si="21"/>
        <v/>
      </c>
      <c r="B491" s="31"/>
      <c r="C491" s="31"/>
      <c r="D491" s="31"/>
      <c r="E491" s="31"/>
      <c r="F491" s="31"/>
      <c r="G491" s="31"/>
      <c r="H491" s="32"/>
      <c r="I491" s="33" t="str">
        <f t="shared" ca="1" si="22"/>
        <v/>
      </c>
      <c r="J491" s="33" t="str">
        <f t="shared" si="23"/>
        <v/>
      </c>
    </row>
    <row r="492" spans="1:10" ht="20.100000000000001" customHeight="1" x14ac:dyDescent="0.25">
      <c r="A492" s="30" t="str">
        <f t="shared" si="21"/>
        <v/>
      </c>
      <c r="B492" s="31"/>
      <c r="C492" s="31"/>
      <c r="D492" s="31"/>
      <c r="E492" s="31"/>
      <c r="F492" s="31"/>
      <c r="G492" s="31"/>
      <c r="H492" s="32"/>
      <c r="I492" s="33" t="str">
        <f t="shared" ca="1" si="22"/>
        <v/>
      </c>
      <c r="J492" s="33" t="str">
        <f t="shared" si="23"/>
        <v/>
      </c>
    </row>
    <row r="493" spans="1:10" ht="20.100000000000001" customHeight="1" x14ac:dyDescent="0.25">
      <c r="A493" s="30" t="str">
        <f t="shared" si="21"/>
        <v/>
      </c>
      <c r="B493" s="31"/>
      <c r="C493" s="31"/>
      <c r="D493" s="31"/>
      <c r="E493" s="31"/>
      <c r="F493" s="31"/>
      <c r="G493" s="31"/>
      <c r="H493" s="32"/>
      <c r="I493" s="33" t="str">
        <f t="shared" ca="1" si="22"/>
        <v/>
      </c>
      <c r="J493" s="33" t="str">
        <f t="shared" si="23"/>
        <v/>
      </c>
    </row>
    <row r="494" spans="1:10" ht="20.100000000000001" customHeight="1" x14ac:dyDescent="0.25">
      <c r="A494" s="30" t="str">
        <f t="shared" si="21"/>
        <v/>
      </c>
      <c r="B494" s="31"/>
      <c r="C494" s="31"/>
      <c r="D494" s="31"/>
      <c r="E494" s="31"/>
      <c r="F494" s="31"/>
      <c r="G494" s="31"/>
      <c r="H494" s="32"/>
      <c r="I494" s="33" t="str">
        <f t="shared" ca="1" si="22"/>
        <v/>
      </c>
      <c r="J494" s="33" t="str">
        <f t="shared" si="23"/>
        <v/>
      </c>
    </row>
    <row r="495" spans="1:10" ht="20.100000000000001" customHeight="1" x14ac:dyDescent="0.25">
      <c r="A495" s="30" t="str">
        <f t="shared" si="21"/>
        <v/>
      </c>
      <c r="B495" s="31"/>
      <c r="C495" s="31"/>
      <c r="D495" s="31"/>
      <c r="E495" s="31"/>
      <c r="F495" s="31"/>
      <c r="G495" s="31"/>
      <c r="H495" s="32"/>
      <c r="I495" s="33" t="str">
        <f t="shared" ca="1" si="22"/>
        <v/>
      </c>
      <c r="J495" s="33" t="str">
        <f t="shared" si="23"/>
        <v/>
      </c>
    </row>
    <row r="496" spans="1:10" ht="20.100000000000001" customHeight="1" x14ac:dyDescent="0.25">
      <c r="A496" s="30" t="str">
        <f t="shared" si="21"/>
        <v/>
      </c>
      <c r="B496" s="31"/>
      <c r="C496" s="31"/>
      <c r="D496" s="31"/>
      <c r="E496" s="31"/>
      <c r="F496" s="31"/>
      <c r="G496" s="31"/>
      <c r="H496" s="32"/>
      <c r="I496" s="33" t="str">
        <f t="shared" ca="1" si="22"/>
        <v/>
      </c>
      <c r="J496" s="33" t="str">
        <f t="shared" si="23"/>
        <v/>
      </c>
    </row>
    <row r="497" spans="1:10" ht="20.100000000000001" customHeight="1" x14ac:dyDescent="0.25">
      <c r="A497" s="30" t="str">
        <f t="shared" si="21"/>
        <v/>
      </c>
      <c r="B497" s="31"/>
      <c r="C497" s="31"/>
      <c r="D497" s="31"/>
      <c r="E497" s="31"/>
      <c r="F497" s="31"/>
      <c r="G497" s="31"/>
      <c r="H497" s="32"/>
      <c r="I497" s="33" t="str">
        <f t="shared" ca="1" si="22"/>
        <v/>
      </c>
      <c r="J497" s="33" t="str">
        <f t="shared" si="23"/>
        <v/>
      </c>
    </row>
    <row r="498" spans="1:10" ht="20.100000000000001" customHeight="1" x14ac:dyDescent="0.25">
      <c r="A498" s="30" t="str">
        <f t="shared" si="21"/>
        <v/>
      </c>
      <c r="B498" s="31"/>
      <c r="C498" s="31"/>
      <c r="D498" s="31"/>
      <c r="E498" s="31"/>
      <c r="F498" s="31"/>
      <c r="G498" s="31"/>
      <c r="H498" s="32"/>
      <c r="I498" s="33" t="str">
        <f t="shared" ca="1" si="22"/>
        <v/>
      </c>
      <c r="J498" s="33" t="str">
        <f t="shared" si="23"/>
        <v/>
      </c>
    </row>
    <row r="499" spans="1:10" ht="20.100000000000001" customHeight="1" x14ac:dyDescent="0.25">
      <c r="A499" s="30" t="str">
        <f t="shared" si="21"/>
        <v/>
      </c>
      <c r="B499" s="31"/>
      <c r="C499" s="31"/>
      <c r="D499" s="31"/>
      <c r="E499" s="31"/>
      <c r="F499" s="31"/>
      <c r="G499" s="31"/>
      <c r="H499" s="32"/>
      <c r="I499" s="33" t="str">
        <f t="shared" ca="1" si="22"/>
        <v/>
      </c>
      <c r="J499" s="33" t="str">
        <f t="shared" si="23"/>
        <v/>
      </c>
    </row>
    <row r="500" spans="1:10" ht="20.100000000000001" customHeight="1" x14ac:dyDescent="0.25">
      <c r="A500" s="30" t="str">
        <f t="shared" si="21"/>
        <v/>
      </c>
      <c r="B500" s="31"/>
      <c r="C500" s="31"/>
      <c r="D500" s="31"/>
      <c r="E500" s="31"/>
      <c r="F500" s="31"/>
      <c r="G500" s="31"/>
      <c r="H500" s="32"/>
      <c r="I500" s="33" t="str">
        <f t="shared" ca="1" si="22"/>
        <v/>
      </c>
      <c r="J500" s="33" t="str">
        <f t="shared" si="23"/>
        <v/>
      </c>
    </row>
    <row r="501" spans="1:10" ht="20.100000000000001" customHeight="1" x14ac:dyDescent="0.25">
      <c r="A501" s="30" t="str">
        <f t="shared" si="21"/>
        <v/>
      </c>
      <c r="B501" s="31"/>
      <c r="C501" s="31"/>
      <c r="D501" s="31"/>
      <c r="E501" s="31"/>
      <c r="F501" s="31"/>
      <c r="G501" s="31"/>
      <c r="H501" s="32"/>
      <c r="I501" s="33" t="str">
        <f t="shared" ca="1" si="22"/>
        <v/>
      </c>
      <c r="J501" s="33" t="str">
        <f t="shared" si="23"/>
        <v/>
      </c>
    </row>
    <row r="502" spans="1:10" ht="20.100000000000001" customHeight="1" x14ac:dyDescent="0.25">
      <c r="A502" s="30" t="str">
        <f t="shared" si="21"/>
        <v/>
      </c>
      <c r="B502" s="31"/>
      <c r="C502" s="31"/>
      <c r="D502" s="31"/>
      <c r="E502" s="31"/>
      <c r="F502" s="31"/>
      <c r="G502" s="31"/>
      <c r="H502" s="32"/>
      <c r="I502" s="33" t="str">
        <f t="shared" ca="1" si="22"/>
        <v/>
      </c>
      <c r="J502" s="33" t="str">
        <f t="shared" si="23"/>
        <v/>
      </c>
    </row>
    <row r="503" spans="1:10" ht="20.100000000000001" customHeight="1" x14ac:dyDescent="0.25">
      <c r="A503" s="30" t="str">
        <f t="shared" si="21"/>
        <v/>
      </c>
      <c r="B503" s="31"/>
      <c r="C503" s="31"/>
      <c r="D503" s="31"/>
      <c r="E503" s="31"/>
      <c r="F503" s="31"/>
      <c r="G503" s="31"/>
      <c r="H503" s="32"/>
      <c r="I503" s="33" t="str">
        <f t="shared" ca="1" si="22"/>
        <v/>
      </c>
      <c r="J503" s="33" t="str">
        <f t="shared" si="23"/>
        <v/>
      </c>
    </row>
    <row r="504" spans="1:10" ht="20.100000000000001" customHeight="1" x14ac:dyDescent="0.25">
      <c r="A504" s="30" t="str">
        <f t="shared" si="21"/>
        <v/>
      </c>
      <c r="B504" s="31"/>
      <c r="C504" s="31"/>
      <c r="D504" s="31"/>
      <c r="E504" s="31"/>
      <c r="F504" s="31"/>
      <c r="G504" s="31"/>
      <c r="H504" s="32"/>
      <c r="I504" s="33" t="str">
        <f t="shared" ca="1" si="22"/>
        <v/>
      </c>
      <c r="J504" s="33" t="str">
        <f t="shared" si="23"/>
        <v/>
      </c>
    </row>
    <row r="506" spans="1:10" x14ac:dyDescent="0.25">
      <c r="A506" s="89" t="s">
        <v>78</v>
      </c>
      <c r="B506" s="71"/>
      <c r="C506" s="71"/>
      <c r="D506" s="71"/>
      <c r="E506" s="71"/>
      <c r="F506" s="71"/>
      <c r="G506" s="71"/>
      <c r="H506" s="71"/>
      <c r="I506" s="71"/>
      <c r="J506" s="71"/>
    </row>
  </sheetData>
  <mergeCells count="4">
    <mergeCell ref="A1:J1"/>
    <mergeCell ref="A506:J506"/>
    <mergeCell ref="A3:J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N503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28" customWidth="1"/>
    <col min="3" max="4" width="16" customWidth="1"/>
    <col min="5" max="5" width="18" customWidth="1"/>
    <col min="6" max="6" width="20" customWidth="1"/>
    <col min="7" max="8" width="22" customWidth="1"/>
    <col min="9" max="9" width="18" customWidth="1"/>
    <col min="10" max="11" width="22" customWidth="1"/>
    <col min="12" max="12" width="24" customWidth="1"/>
    <col min="13" max="13" width="22" customWidth="1"/>
    <col min="14" max="14" width="26" customWidth="1"/>
  </cols>
  <sheetData>
    <row r="1" spans="1:14" ht="33.950000000000003" customHeight="1" x14ac:dyDescent="0.25">
      <c r="A1" s="76" t="s">
        <v>79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24" customHeight="1" x14ac:dyDescent="0.25">
      <c r="A2" s="92" t="s">
        <v>80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30" customHeight="1" x14ac:dyDescent="0.25">
      <c r="A3" s="11" t="s">
        <v>68</v>
      </c>
      <c r="B3" s="11" t="s">
        <v>81</v>
      </c>
      <c r="C3" s="11" t="s">
        <v>70</v>
      </c>
      <c r="D3" s="11" t="s">
        <v>71</v>
      </c>
      <c r="E3" s="11" t="s">
        <v>72</v>
      </c>
      <c r="F3" s="11" t="s">
        <v>73</v>
      </c>
      <c r="G3" s="11" t="s">
        <v>74</v>
      </c>
      <c r="H3" s="11" t="s">
        <v>75</v>
      </c>
      <c r="I3" s="11" t="s">
        <v>76</v>
      </c>
      <c r="J3" s="11" t="s">
        <v>77</v>
      </c>
      <c r="K3" s="11" t="s">
        <v>82</v>
      </c>
      <c r="L3" s="11" t="s">
        <v>83</v>
      </c>
      <c r="M3" s="11" t="s">
        <v>84</v>
      </c>
      <c r="N3" s="11" t="s">
        <v>85</v>
      </c>
    </row>
    <row r="4" spans="1:14" ht="20.100000000000001" customHeight="1" x14ac:dyDescent="0.25">
      <c r="A4" s="34" t="str">
        <f>'NEW ACCOUNT'!A5</f>
        <v/>
      </c>
      <c r="B4" s="35" t="str">
        <f>IF('NEW ACCOUNT'!A5="","",'NEW ACCOUNT'!B5)</f>
        <v/>
      </c>
      <c r="C4" s="35" t="str">
        <f>IF('NEW ACCOUNT'!A5="","",'NEW ACCOUNT'!C5)</f>
        <v/>
      </c>
      <c r="D4" s="35" t="str">
        <f>IF('NEW ACCOUNT'!A5="","",'NEW ACCOUNT'!D5)</f>
        <v/>
      </c>
      <c r="E4" s="35" t="str">
        <f>IF('NEW ACCOUNT'!A5="","",'NEW ACCOUNT'!E5)</f>
        <v/>
      </c>
      <c r="F4" s="35" t="str">
        <f>IF('NEW ACCOUNT'!A5="","",'NEW ACCOUNT'!F5)</f>
        <v/>
      </c>
      <c r="G4" s="35" t="str">
        <f>IF('NEW ACCOUNT'!A5="","",'NEW ACCOUNT'!G5)</f>
        <v/>
      </c>
      <c r="H4" s="35" t="str">
        <f>IF('NEW ACCOUNT'!A5="","",'NEW ACCOUNT'!H5)</f>
        <v/>
      </c>
      <c r="I4" s="35" t="str">
        <f>IF('NEW ACCOUNT'!A5="","",'NEW ACCOUNT'!I5)</f>
        <v/>
      </c>
      <c r="J4" s="35" t="str">
        <f>IF('NEW ACCOUNT'!A5="","",'NEW ACCOUNT'!J5)</f>
        <v/>
      </c>
      <c r="K4" s="36" t="str">
        <f>IFERROR(IF(A4="","",SUMIF(DB_Savings!$A:$A,A4,DB_Savings!$F:$F)),"")</f>
        <v/>
      </c>
      <c r="L4" s="36" t="str">
        <f>IFERROR(IF(A4="","",SUMIF(DB_Withdrawals!$A:$A,A4,DB_Withdrawals!$G:$G)),"")</f>
        <v/>
      </c>
      <c r="M4" s="36" t="str">
        <f>IFERROR(IF(A4="","",IFERROR(VALUE(H4),0)+IFERROR(SUMIF(DB_Savings!$A:$A,A4,DB_Savings!$F:$F),0)-IFERROR(SUMIF(DB_Withdrawals!$A:$A,A4,DB_Withdrawals!$G:$G),0)),"")</f>
        <v/>
      </c>
      <c r="N4" s="36" t="str">
        <f>IFERROR(IF(A4="","",MAX(0,M4-System_Config!$B$9)),"")</f>
        <v/>
      </c>
    </row>
    <row r="5" spans="1:14" ht="20.100000000000001" customHeight="1" x14ac:dyDescent="0.25">
      <c r="A5" s="34" t="str">
        <f>'NEW ACCOUNT'!A6</f>
        <v/>
      </c>
      <c r="B5" s="35" t="str">
        <f>IF('NEW ACCOUNT'!A6="","",'NEW ACCOUNT'!B6)</f>
        <v/>
      </c>
      <c r="C5" s="35" t="str">
        <f>IF('NEW ACCOUNT'!A6="","",'NEW ACCOUNT'!C6)</f>
        <v/>
      </c>
      <c r="D5" s="35" t="str">
        <f>IF('NEW ACCOUNT'!A6="","",'NEW ACCOUNT'!D6)</f>
        <v/>
      </c>
      <c r="E5" s="35" t="str">
        <f>IF('NEW ACCOUNT'!A6="","",'NEW ACCOUNT'!E6)</f>
        <v/>
      </c>
      <c r="F5" s="35" t="str">
        <f>IF('NEW ACCOUNT'!A6="","",'NEW ACCOUNT'!F6)</f>
        <v/>
      </c>
      <c r="G5" s="35" t="str">
        <f>IF('NEW ACCOUNT'!A6="","",'NEW ACCOUNT'!G6)</f>
        <v/>
      </c>
      <c r="H5" s="35" t="str">
        <f>IF('NEW ACCOUNT'!A6="","",'NEW ACCOUNT'!H6)</f>
        <v/>
      </c>
      <c r="I5" s="35" t="str">
        <f>IF('NEW ACCOUNT'!A6="","",'NEW ACCOUNT'!I6)</f>
        <v/>
      </c>
      <c r="J5" s="35" t="str">
        <f>IF('NEW ACCOUNT'!A6="","",'NEW ACCOUNT'!J6)</f>
        <v/>
      </c>
      <c r="K5" s="36" t="str">
        <f>IFERROR(IF(A5="","",SUMIF(DB_Savings!$A:$A,A5,DB_Savings!$F:$F)),"")</f>
        <v/>
      </c>
      <c r="L5" s="36" t="str">
        <f>IFERROR(IF(A5="","",SUMIF(DB_Withdrawals!$A:$A,A5,DB_Withdrawals!$G:$G)),"")</f>
        <v/>
      </c>
      <c r="M5" s="36" t="str">
        <f>IFERROR(IF(A5="","",IFERROR(VALUE(H5),0)+IFERROR(SUMIF(DB_Savings!$A:$A,A5,DB_Savings!$F:$F),0)-IFERROR(SUMIF(DB_Withdrawals!$A:$A,A5,DB_Withdrawals!$G:$G),0)),"")</f>
        <v/>
      </c>
      <c r="N5" s="36" t="str">
        <f>IFERROR(IF(A5="","",MAX(0,M5-System_Config!$B$9)),"")</f>
        <v/>
      </c>
    </row>
    <row r="6" spans="1:14" ht="20.100000000000001" customHeight="1" x14ac:dyDescent="0.25">
      <c r="A6" s="34" t="str">
        <f>'NEW ACCOUNT'!A7</f>
        <v/>
      </c>
      <c r="B6" s="35" t="str">
        <f>IF('NEW ACCOUNT'!A7="","",'NEW ACCOUNT'!B7)</f>
        <v/>
      </c>
      <c r="C6" s="35" t="str">
        <f>IF('NEW ACCOUNT'!A7="","",'NEW ACCOUNT'!C7)</f>
        <v/>
      </c>
      <c r="D6" s="35" t="str">
        <f>IF('NEW ACCOUNT'!A7="","",'NEW ACCOUNT'!D7)</f>
        <v/>
      </c>
      <c r="E6" s="35" t="str">
        <f>IF('NEW ACCOUNT'!A7="","",'NEW ACCOUNT'!E7)</f>
        <v/>
      </c>
      <c r="F6" s="35" t="str">
        <f>IF('NEW ACCOUNT'!A7="","",'NEW ACCOUNT'!F7)</f>
        <v/>
      </c>
      <c r="G6" s="35" t="str">
        <f>IF('NEW ACCOUNT'!A7="","",'NEW ACCOUNT'!G7)</f>
        <v/>
      </c>
      <c r="H6" s="35" t="str">
        <f>IF('NEW ACCOUNT'!A7="","",'NEW ACCOUNT'!H7)</f>
        <v/>
      </c>
      <c r="I6" s="35" t="str">
        <f>IF('NEW ACCOUNT'!A7="","",'NEW ACCOUNT'!I7)</f>
        <v/>
      </c>
      <c r="J6" s="35" t="str">
        <f>IF('NEW ACCOUNT'!A7="","",'NEW ACCOUNT'!J7)</f>
        <v/>
      </c>
      <c r="K6" s="36" t="str">
        <f>IFERROR(IF(A6="","",SUMIF(DB_Savings!$A:$A,A6,DB_Savings!$F:$F)),"")</f>
        <v/>
      </c>
      <c r="L6" s="36" t="str">
        <f>IFERROR(IF(A6="","",SUMIF(DB_Withdrawals!$A:$A,A6,DB_Withdrawals!$G:$G)),"")</f>
        <v/>
      </c>
      <c r="M6" s="36" t="str">
        <f>IFERROR(IF(A6="","",IFERROR(VALUE(H6),0)+IFERROR(SUMIF(DB_Savings!$A:$A,A6,DB_Savings!$F:$F),0)-IFERROR(SUMIF(DB_Withdrawals!$A:$A,A6,DB_Withdrawals!$G:$G),0)),"")</f>
        <v/>
      </c>
      <c r="N6" s="36" t="str">
        <f>IFERROR(IF(A6="","",MAX(0,M6-System_Config!$B$9)),"")</f>
        <v/>
      </c>
    </row>
    <row r="7" spans="1:14" ht="20.100000000000001" customHeight="1" x14ac:dyDescent="0.25">
      <c r="A7" s="34" t="str">
        <f>'NEW ACCOUNT'!A8</f>
        <v/>
      </c>
      <c r="B7" s="35" t="str">
        <f>IF('NEW ACCOUNT'!A8="","",'NEW ACCOUNT'!B8)</f>
        <v/>
      </c>
      <c r="C7" s="35" t="str">
        <f>IF('NEW ACCOUNT'!A8="","",'NEW ACCOUNT'!C8)</f>
        <v/>
      </c>
      <c r="D7" s="35" t="str">
        <f>IF('NEW ACCOUNT'!A8="","",'NEW ACCOUNT'!D8)</f>
        <v/>
      </c>
      <c r="E7" s="35" t="str">
        <f>IF('NEW ACCOUNT'!A8="","",'NEW ACCOUNT'!E8)</f>
        <v/>
      </c>
      <c r="F7" s="35" t="str">
        <f>IF('NEW ACCOUNT'!A8="","",'NEW ACCOUNT'!F8)</f>
        <v/>
      </c>
      <c r="G7" s="35" t="str">
        <f>IF('NEW ACCOUNT'!A8="","",'NEW ACCOUNT'!G8)</f>
        <v/>
      </c>
      <c r="H7" s="35" t="str">
        <f>IF('NEW ACCOUNT'!A8="","",'NEW ACCOUNT'!H8)</f>
        <v/>
      </c>
      <c r="I7" s="35" t="str">
        <f>IF('NEW ACCOUNT'!A8="","",'NEW ACCOUNT'!I8)</f>
        <v/>
      </c>
      <c r="J7" s="35" t="str">
        <f>IF('NEW ACCOUNT'!A8="","",'NEW ACCOUNT'!J8)</f>
        <v/>
      </c>
      <c r="K7" s="36" t="str">
        <f>IFERROR(IF(A7="","",SUMIF(DB_Savings!$A:$A,A7,DB_Savings!$F:$F)),"")</f>
        <v/>
      </c>
      <c r="L7" s="36" t="str">
        <f>IFERROR(IF(A7="","",SUMIF(DB_Withdrawals!$A:$A,A7,DB_Withdrawals!$G:$G)),"")</f>
        <v/>
      </c>
      <c r="M7" s="36" t="str">
        <f>IFERROR(IF(A7="","",IFERROR(VALUE(H7),0)+IFERROR(SUMIF(DB_Savings!$A:$A,A7,DB_Savings!$F:$F),0)-IFERROR(SUMIF(DB_Withdrawals!$A:$A,A7,DB_Withdrawals!$G:$G),0)),"")</f>
        <v/>
      </c>
      <c r="N7" s="36" t="str">
        <f>IFERROR(IF(A7="","",MAX(0,M7-System_Config!$B$9)),"")</f>
        <v/>
      </c>
    </row>
    <row r="8" spans="1:14" ht="20.100000000000001" customHeight="1" x14ac:dyDescent="0.25">
      <c r="A8" s="34" t="str">
        <f>'NEW ACCOUNT'!A9</f>
        <v/>
      </c>
      <c r="B8" s="35" t="str">
        <f>IF('NEW ACCOUNT'!A9="","",'NEW ACCOUNT'!B9)</f>
        <v/>
      </c>
      <c r="C8" s="35" t="str">
        <f>IF('NEW ACCOUNT'!A9="","",'NEW ACCOUNT'!C9)</f>
        <v/>
      </c>
      <c r="D8" s="35" t="str">
        <f>IF('NEW ACCOUNT'!A9="","",'NEW ACCOUNT'!D9)</f>
        <v/>
      </c>
      <c r="E8" s="35" t="str">
        <f>IF('NEW ACCOUNT'!A9="","",'NEW ACCOUNT'!E9)</f>
        <v/>
      </c>
      <c r="F8" s="35" t="str">
        <f>IF('NEW ACCOUNT'!A9="","",'NEW ACCOUNT'!F9)</f>
        <v/>
      </c>
      <c r="G8" s="35" t="str">
        <f>IF('NEW ACCOUNT'!A9="","",'NEW ACCOUNT'!G9)</f>
        <v/>
      </c>
      <c r="H8" s="35" t="str">
        <f>IF('NEW ACCOUNT'!A9="","",'NEW ACCOUNT'!H9)</f>
        <v/>
      </c>
      <c r="I8" s="35" t="str">
        <f>IF('NEW ACCOUNT'!A9="","",'NEW ACCOUNT'!I9)</f>
        <v/>
      </c>
      <c r="J8" s="35" t="str">
        <f>IF('NEW ACCOUNT'!A9="","",'NEW ACCOUNT'!J9)</f>
        <v/>
      </c>
      <c r="K8" s="36" t="str">
        <f>IFERROR(IF(A8="","",SUMIF(DB_Savings!$A:$A,A8,DB_Savings!$F:$F)),"")</f>
        <v/>
      </c>
      <c r="L8" s="36" t="str">
        <f>IFERROR(IF(A8="","",SUMIF(DB_Withdrawals!$A:$A,A8,DB_Withdrawals!$G:$G)),"")</f>
        <v/>
      </c>
      <c r="M8" s="36" t="str">
        <f>IFERROR(IF(A8="","",IFERROR(VALUE(H8),0)+IFERROR(SUMIF(DB_Savings!$A:$A,A8,DB_Savings!$F:$F),0)-IFERROR(SUMIF(DB_Withdrawals!$A:$A,A8,DB_Withdrawals!$G:$G),0)),"")</f>
        <v/>
      </c>
      <c r="N8" s="36" t="str">
        <f>IFERROR(IF(A8="","",MAX(0,M8-System_Config!$B$9)),"")</f>
        <v/>
      </c>
    </row>
    <row r="9" spans="1:14" ht="20.100000000000001" customHeight="1" x14ac:dyDescent="0.25">
      <c r="A9" s="34" t="str">
        <f>'NEW ACCOUNT'!A10</f>
        <v/>
      </c>
      <c r="B9" s="35" t="str">
        <f>IF('NEW ACCOUNT'!A10="","",'NEW ACCOUNT'!B10)</f>
        <v/>
      </c>
      <c r="C9" s="35" t="str">
        <f>IF('NEW ACCOUNT'!A10="","",'NEW ACCOUNT'!C10)</f>
        <v/>
      </c>
      <c r="D9" s="35" t="str">
        <f>IF('NEW ACCOUNT'!A10="","",'NEW ACCOUNT'!D10)</f>
        <v/>
      </c>
      <c r="E9" s="35" t="str">
        <f>IF('NEW ACCOUNT'!A10="","",'NEW ACCOUNT'!E10)</f>
        <v/>
      </c>
      <c r="F9" s="35" t="str">
        <f>IF('NEW ACCOUNT'!A10="","",'NEW ACCOUNT'!F10)</f>
        <v/>
      </c>
      <c r="G9" s="35" t="str">
        <f>IF('NEW ACCOUNT'!A10="","",'NEW ACCOUNT'!G10)</f>
        <v/>
      </c>
      <c r="H9" s="35" t="str">
        <f>IF('NEW ACCOUNT'!A10="","",'NEW ACCOUNT'!H10)</f>
        <v/>
      </c>
      <c r="I9" s="35" t="str">
        <f>IF('NEW ACCOUNT'!A10="","",'NEW ACCOUNT'!I10)</f>
        <v/>
      </c>
      <c r="J9" s="35" t="str">
        <f>IF('NEW ACCOUNT'!A10="","",'NEW ACCOUNT'!J10)</f>
        <v/>
      </c>
      <c r="K9" s="36" t="str">
        <f>IFERROR(IF(A9="","",SUMIF(DB_Savings!$A:$A,A9,DB_Savings!$F:$F)),"")</f>
        <v/>
      </c>
      <c r="L9" s="36" t="str">
        <f>IFERROR(IF(A9="","",SUMIF(DB_Withdrawals!$A:$A,A9,DB_Withdrawals!$G:$G)),"")</f>
        <v/>
      </c>
      <c r="M9" s="36" t="str">
        <f>IFERROR(IF(A9="","",IFERROR(VALUE(H9),0)+IFERROR(SUMIF(DB_Savings!$A:$A,A9,DB_Savings!$F:$F),0)-IFERROR(SUMIF(DB_Withdrawals!$A:$A,A9,DB_Withdrawals!$G:$G),0)),"")</f>
        <v/>
      </c>
      <c r="N9" s="36" t="str">
        <f>IFERROR(IF(A9="","",MAX(0,M9-System_Config!$B$9)),"")</f>
        <v/>
      </c>
    </row>
    <row r="10" spans="1:14" ht="20.100000000000001" customHeight="1" x14ac:dyDescent="0.25">
      <c r="A10" s="34" t="str">
        <f>'NEW ACCOUNT'!A11</f>
        <v/>
      </c>
      <c r="B10" s="35" t="str">
        <f>IF('NEW ACCOUNT'!A11="","",'NEW ACCOUNT'!B11)</f>
        <v/>
      </c>
      <c r="C10" s="35" t="str">
        <f>IF('NEW ACCOUNT'!A11="","",'NEW ACCOUNT'!C11)</f>
        <v/>
      </c>
      <c r="D10" s="35" t="str">
        <f>IF('NEW ACCOUNT'!A11="","",'NEW ACCOUNT'!D11)</f>
        <v/>
      </c>
      <c r="E10" s="35" t="str">
        <f>IF('NEW ACCOUNT'!A11="","",'NEW ACCOUNT'!E11)</f>
        <v/>
      </c>
      <c r="F10" s="35" t="str">
        <f>IF('NEW ACCOUNT'!A11="","",'NEW ACCOUNT'!F11)</f>
        <v/>
      </c>
      <c r="G10" s="35" t="str">
        <f>IF('NEW ACCOUNT'!A11="","",'NEW ACCOUNT'!G11)</f>
        <v/>
      </c>
      <c r="H10" s="35" t="str">
        <f>IF('NEW ACCOUNT'!A11="","",'NEW ACCOUNT'!H11)</f>
        <v/>
      </c>
      <c r="I10" s="35" t="str">
        <f>IF('NEW ACCOUNT'!A11="","",'NEW ACCOUNT'!I11)</f>
        <v/>
      </c>
      <c r="J10" s="35" t="str">
        <f>IF('NEW ACCOUNT'!A11="","",'NEW ACCOUNT'!J11)</f>
        <v/>
      </c>
      <c r="K10" s="36" t="str">
        <f>IFERROR(IF(A10="","",SUMIF(DB_Savings!$A:$A,A10,DB_Savings!$F:$F)),"")</f>
        <v/>
      </c>
      <c r="L10" s="36" t="str">
        <f>IFERROR(IF(A10="","",SUMIF(DB_Withdrawals!$A:$A,A10,DB_Withdrawals!$G:$G)),"")</f>
        <v/>
      </c>
      <c r="M10" s="36" t="str">
        <f>IFERROR(IF(A10="","",IFERROR(VALUE(H10),0)+IFERROR(SUMIF(DB_Savings!$A:$A,A10,DB_Savings!$F:$F),0)-IFERROR(SUMIF(DB_Withdrawals!$A:$A,A10,DB_Withdrawals!$G:$G),0)),"")</f>
        <v/>
      </c>
      <c r="N10" s="36" t="str">
        <f>IFERROR(IF(A10="","",MAX(0,M10-System_Config!$B$9)),"")</f>
        <v/>
      </c>
    </row>
    <row r="11" spans="1:14" ht="20.100000000000001" customHeight="1" x14ac:dyDescent="0.25">
      <c r="A11" s="34" t="str">
        <f>'NEW ACCOUNT'!A12</f>
        <v/>
      </c>
      <c r="B11" s="35" t="str">
        <f>IF('NEW ACCOUNT'!A12="","",'NEW ACCOUNT'!B12)</f>
        <v/>
      </c>
      <c r="C11" s="35" t="str">
        <f>IF('NEW ACCOUNT'!A12="","",'NEW ACCOUNT'!C12)</f>
        <v/>
      </c>
      <c r="D11" s="35" t="str">
        <f>IF('NEW ACCOUNT'!A12="","",'NEW ACCOUNT'!D12)</f>
        <v/>
      </c>
      <c r="E11" s="35" t="str">
        <f>IF('NEW ACCOUNT'!A12="","",'NEW ACCOUNT'!E12)</f>
        <v/>
      </c>
      <c r="F11" s="35" t="str">
        <f>IF('NEW ACCOUNT'!A12="","",'NEW ACCOUNT'!F12)</f>
        <v/>
      </c>
      <c r="G11" s="35" t="str">
        <f>IF('NEW ACCOUNT'!A12="","",'NEW ACCOUNT'!G12)</f>
        <v/>
      </c>
      <c r="H11" s="35" t="str">
        <f>IF('NEW ACCOUNT'!A12="","",'NEW ACCOUNT'!H12)</f>
        <v/>
      </c>
      <c r="I11" s="35" t="str">
        <f>IF('NEW ACCOUNT'!A12="","",'NEW ACCOUNT'!I12)</f>
        <v/>
      </c>
      <c r="J11" s="35" t="str">
        <f>IF('NEW ACCOUNT'!A12="","",'NEW ACCOUNT'!J12)</f>
        <v/>
      </c>
      <c r="K11" s="36" t="str">
        <f>IFERROR(IF(A11="","",SUMIF(DB_Savings!$A:$A,A11,DB_Savings!$F:$F)),"")</f>
        <v/>
      </c>
      <c r="L11" s="36" t="str">
        <f>IFERROR(IF(A11="","",SUMIF(DB_Withdrawals!$A:$A,A11,DB_Withdrawals!$G:$G)),"")</f>
        <v/>
      </c>
      <c r="M11" s="36" t="str">
        <f>IFERROR(IF(A11="","",IFERROR(VALUE(H11),0)+IFERROR(SUMIF(DB_Savings!$A:$A,A11,DB_Savings!$F:$F),0)-IFERROR(SUMIF(DB_Withdrawals!$A:$A,A11,DB_Withdrawals!$G:$G),0)),"")</f>
        <v/>
      </c>
      <c r="N11" s="36" t="str">
        <f>IFERROR(IF(A11="","",MAX(0,M11-System_Config!$B$9)),"")</f>
        <v/>
      </c>
    </row>
    <row r="12" spans="1:14" ht="20.100000000000001" customHeight="1" x14ac:dyDescent="0.25">
      <c r="A12" s="34" t="str">
        <f>'NEW ACCOUNT'!A13</f>
        <v/>
      </c>
      <c r="B12" s="35" t="str">
        <f>IF('NEW ACCOUNT'!A13="","",'NEW ACCOUNT'!B13)</f>
        <v/>
      </c>
      <c r="C12" s="35" t="str">
        <f>IF('NEW ACCOUNT'!A13="","",'NEW ACCOUNT'!C13)</f>
        <v/>
      </c>
      <c r="D12" s="35" t="str">
        <f>IF('NEW ACCOUNT'!A13="","",'NEW ACCOUNT'!D13)</f>
        <v/>
      </c>
      <c r="E12" s="35" t="str">
        <f>IF('NEW ACCOUNT'!A13="","",'NEW ACCOUNT'!E13)</f>
        <v/>
      </c>
      <c r="F12" s="35" t="str">
        <f>IF('NEW ACCOUNT'!A13="","",'NEW ACCOUNT'!F13)</f>
        <v/>
      </c>
      <c r="G12" s="35" t="str">
        <f>IF('NEW ACCOUNT'!A13="","",'NEW ACCOUNT'!G13)</f>
        <v/>
      </c>
      <c r="H12" s="35" t="str">
        <f>IF('NEW ACCOUNT'!A13="","",'NEW ACCOUNT'!H13)</f>
        <v/>
      </c>
      <c r="I12" s="35" t="str">
        <f>IF('NEW ACCOUNT'!A13="","",'NEW ACCOUNT'!I13)</f>
        <v/>
      </c>
      <c r="J12" s="35" t="str">
        <f>IF('NEW ACCOUNT'!A13="","",'NEW ACCOUNT'!J13)</f>
        <v/>
      </c>
      <c r="K12" s="36" t="str">
        <f>IFERROR(IF(A12="","",SUMIF(DB_Savings!$A:$A,A12,DB_Savings!$F:$F)),"")</f>
        <v/>
      </c>
      <c r="L12" s="36" t="str">
        <f>IFERROR(IF(A12="","",SUMIF(DB_Withdrawals!$A:$A,A12,DB_Withdrawals!$G:$G)),"")</f>
        <v/>
      </c>
      <c r="M12" s="36" t="str">
        <f>IFERROR(IF(A12="","",IFERROR(VALUE(H12),0)+IFERROR(SUMIF(DB_Savings!$A:$A,A12,DB_Savings!$F:$F),0)-IFERROR(SUMIF(DB_Withdrawals!$A:$A,A12,DB_Withdrawals!$G:$G),0)),"")</f>
        <v/>
      </c>
      <c r="N12" s="36" t="str">
        <f>IFERROR(IF(A12="","",MAX(0,M12-System_Config!$B$9)),"")</f>
        <v/>
      </c>
    </row>
    <row r="13" spans="1:14" ht="20.100000000000001" customHeight="1" x14ac:dyDescent="0.25">
      <c r="A13" s="34" t="str">
        <f>'NEW ACCOUNT'!A14</f>
        <v/>
      </c>
      <c r="B13" s="35" t="str">
        <f>IF('NEW ACCOUNT'!A14="","",'NEW ACCOUNT'!B14)</f>
        <v/>
      </c>
      <c r="C13" s="35" t="str">
        <f>IF('NEW ACCOUNT'!A14="","",'NEW ACCOUNT'!C14)</f>
        <v/>
      </c>
      <c r="D13" s="35" t="str">
        <f>IF('NEW ACCOUNT'!A14="","",'NEW ACCOUNT'!D14)</f>
        <v/>
      </c>
      <c r="E13" s="35" t="str">
        <f>IF('NEW ACCOUNT'!A14="","",'NEW ACCOUNT'!E14)</f>
        <v/>
      </c>
      <c r="F13" s="35" t="str">
        <f>IF('NEW ACCOUNT'!A14="","",'NEW ACCOUNT'!F14)</f>
        <v/>
      </c>
      <c r="G13" s="35" t="str">
        <f>IF('NEW ACCOUNT'!A14="","",'NEW ACCOUNT'!G14)</f>
        <v/>
      </c>
      <c r="H13" s="35" t="str">
        <f>IF('NEW ACCOUNT'!A14="","",'NEW ACCOUNT'!H14)</f>
        <v/>
      </c>
      <c r="I13" s="35" t="str">
        <f>IF('NEW ACCOUNT'!A14="","",'NEW ACCOUNT'!I14)</f>
        <v/>
      </c>
      <c r="J13" s="35" t="str">
        <f>IF('NEW ACCOUNT'!A14="","",'NEW ACCOUNT'!J14)</f>
        <v/>
      </c>
      <c r="K13" s="36" t="str">
        <f>IFERROR(IF(A13="","",SUMIF(DB_Savings!$A:$A,A13,DB_Savings!$F:$F)),"")</f>
        <v/>
      </c>
      <c r="L13" s="36" t="str">
        <f>IFERROR(IF(A13="","",SUMIF(DB_Withdrawals!$A:$A,A13,DB_Withdrawals!$G:$G)),"")</f>
        <v/>
      </c>
      <c r="M13" s="36" t="str">
        <f>IFERROR(IF(A13="","",IFERROR(VALUE(H13),0)+IFERROR(SUMIF(DB_Savings!$A:$A,A13,DB_Savings!$F:$F),0)-IFERROR(SUMIF(DB_Withdrawals!$A:$A,A13,DB_Withdrawals!$G:$G),0)),"")</f>
        <v/>
      </c>
      <c r="N13" s="36" t="str">
        <f>IFERROR(IF(A13="","",MAX(0,M13-System_Config!$B$9)),"")</f>
        <v/>
      </c>
    </row>
    <row r="14" spans="1:14" ht="20.100000000000001" customHeight="1" x14ac:dyDescent="0.25">
      <c r="A14" s="34" t="str">
        <f>'NEW ACCOUNT'!A15</f>
        <v/>
      </c>
      <c r="B14" s="35" t="str">
        <f>IF('NEW ACCOUNT'!A15="","",'NEW ACCOUNT'!B15)</f>
        <v/>
      </c>
      <c r="C14" s="35" t="str">
        <f>IF('NEW ACCOUNT'!A15="","",'NEW ACCOUNT'!C15)</f>
        <v/>
      </c>
      <c r="D14" s="35" t="str">
        <f>IF('NEW ACCOUNT'!A15="","",'NEW ACCOUNT'!D15)</f>
        <v/>
      </c>
      <c r="E14" s="35" t="str">
        <f>IF('NEW ACCOUNT'!A15="","",'NEW ACCOUNT'!E15)</f>
        <v/>
      </c>
      <c r="F14" s="35" t="str">
        <f>IF('NEW ACCOUNT'!A15="","",'NEW ACCOUNT'!F15)</f>
        <v/>
      </c>
      <c r="G14" s="35" t="str">
        <f>IF('NEW ACCOUNT'!A15="","",'NEW ACCOUNT'!G15)</f>
        <v/>
      </c>
      <c r="H14" s="35" t="str">
        <f>IF('NEW ACCOUNT'!A15="","",'NEW ACCOUNT'!H15)</f>
        <v/>
      </c>
      <c r="I14" s="35" t="str">
        <f>IF('NEW ACCOUNT'!A15="","",'NEW ACCOUNT'!I15)</f>
        <v/>
      </c>
      <c r="J14" s="35" t="str">
        <f>IF('NEW ACCOUNT'!A15="","",'NEW ACCOUNT'!J15)</f>
        <v/>
      </c>
      <c r="K14" s="36" t="str">
        <f>IFERROR(IF(A14="","",SUMIF(DB_Savings!$A:$A,A14,DB_Savings!$F:$F)),"")</f>
        <v/>
      </c>
      <c r="L14" s="36" t="str">
        <f>IFERROR(IF(A14="","",SUMIF(DB_Withdrawals!$A:$A,A14,DB_Withdrawals!$G:$G)),"")</f>
        <v/>
      </c>
      <c r="M14" s="36" t="str">
        <f>IFERROR(IF(A14="","",IFERROR(VALUE(H14),0)+IFERROR(SUMIF(DB_Savings!$A:$A,A14,DB_Savings!$F:$F),0)-IFERROR(SUMIF(DB_Withdrawals!$A:$A,A14,DB_Withdrawals!$G:$G),0)),"")</f>
        <v/>
      </c>
      <c r="N14" s="36" t="str">
        <f>IFERROR(IF(A14="","",MAX(0,M14-System_Config!$B$9)),"")</f>
        <v/>
      </c>
    </row>
    <row r="15" spans="1:14" ht="20.100000000000001" customHeight="1" x14ac:dyDescent="0.25">
      <c r="A15" s="34" t="str">
        <f>'NEW ACCOUNT'!A16</f>
        <v/>
      </c>
      <c r="B15" s="35" t="str">
        <f>IF('NEW ACCOUNT'!A16="","",'NEW ACCOUNT'!B16)</f>
        <v/>
      </c>
      <c r="C15" s="35" t="str">
        <f>IF('NEW ACCOUNT'!A16="","",'NEW ACCOUNT'!C16)</f>
        <v/>
      </c>
      <c r="D15" s="35" t="str">
        <f>IF('NEW ACCOUNT'!A16="","",'NEW ACCOUNT'!D16)</f>
        <v/>
      </c>
      <c r="E15" s="35" t="str">
        <f>IF('NEW ACCOUNT'!A16="","",'NEW ACCOUNT'!E16)</f>
        <v/>
      </c>
      <c r="F15" s="35" t="str">
        <f>IF('NEW ACCOUNT'!A16="","",'NEW ACCOUNT'!F16)</f>
        <v/>
      </c>
      <c r="G15" s="35" t="str">
        <f>IF('NEW ACCOUNT'!A16="","",'NEW ACCOUNT'!G16)</f>
        <v/>
      </c>
      <c r="H15" s="35" t="str">
        <f>IF('NEW ACCOUNT'!A16="","",'NEW ACCOUNT'!H16)</f>
        <v/>
      </c>
      <c r="I15" s="35" t="str">
        <f>IF('NEW ACCOUNT'!A16="","",'NEW ACCOUNT'!I16)</f>
        <v/>
      </c>
      <c r="J15" s="35" t="str">
        <f>IF('NEW ACCOUNT'!A16="","",'NEW ACCOUNT'!J16)</f>
        <v/>
      </c>
      <c r="K15" s="36" t="str">
        <f>IFERROR(IF(A15="","",SUMIF(DB_Savings!$A:$A,A15,DB_Savings!$F:$F)),"")</f>
        <v/>
      </c>
      <c r="L15" s="36" t="str">
        <f>IFERROR(IF(A15="","",SUMIF(DB_Withdrawals!$A:$A,A15,DB_Withdrawals!$G:$G)),"")</f>
        <v/>
      </c>
      <c r="M15" s="36" t="str">
        <f>IFERROR(IF(A15="","",IFERROR(VALUE(H15),0)+IFERROR(SUMIF(DB_Savings!$A:$A,A15,DB_Savings!$F:$F),0)-IFERROR(SUMIF(DB_Withdrawals!$A:$A,A15,DB_Withdrawals!$G:$G),0)),"")</f>
        <v/>
      </c>
      <c r="N15" s="36" t="str">
        <f>IFERROR(IF(A15="","",MAX(0,M15-System_Config!$B$9)),"")</f>
        <v/>
      </c>
    </row>
    <row r="16" spans="1:14" ht="20.100000000000001" customHeight="1" x14ac:dyDescent="0.25">
      <c r="A16" s="34" t="str">
        <f>'NEW ACCOUNT'!A17</f>
        <v/>
      </c>
      <c r="B16" s="35" t="str">
        <f>IF('NEW ACCOUNT'!A17="","",'NEW ACCOUNT'!B17)</f>
        <v/>
      </c>
      <c r="C16" s="35" t="str">
        <f>IF('NEW ACCOUNT'!A17="","",'NEW ACCOUNT'!C17)</f>
        <v/>
      </c>
      <c r="D16" s="35" t="str">
        <f>IF('NEW ACCOUNT'!A17="","",'NEW ACCOUNT'!D17)</f>
        <v/>
      </c>
      <c r="E16" s="35" t="str">
        <f>IF('NEW ACCOUNT'!A17="","",'NEW ACCOUNT'!E17)</f>
        <v/>
      </c>
      <c r="F16" s="35" t="str">
        <f>IF('NEW ACCOUNT'!A17="","",'NEW ACCOUNT'!F17)</f>
        <v/>
      </c>
      <c r="G16" s="35" t="str">
        <f>IF('NEW ACCOUNT'!A17="","",'NEW ACCOUNT'!G17)</f>
        <v/>
      </c>
      <c r="H16" s="35" t="str">
        <f>IF('NEW ACCOUNT'!A17="","",'NEW ACCOUNT'!H17)</f>
        <v/>
      </c>
      <c r="I16" s="35" t="str">
        <f>IF('NEW ACCOUNT'!A17="","",'NEW ACCOUNT'!I17)</f>
        <v/>
      </c>
      <c r="J16" s="35" t="str">
        <f>IF('NEW ACCOUNT'!A17="","",'NEW ACCOUNT'!J17)</f>
        <v/>
      </c>
      <c r="K16" s="36" t="str">
        <f>IFERROR(IF(A16="","",SUMIF(DB_Savings!$A:$A,A16,DB_Savings!$F:$F)),"")</f>
        <v/>
      </c>
      <c r="L16" s="36" t="str">
        <f>IFERROR(IF(A16="","",SUMIF(DB_Withdrawals!$A:$A,A16,DB_Withdrawals!$G:$G)),"")</f>
        <v/>
      </c>
      <c r="M16" s="36" t="str">
        <f>IFERROR(IF(A16="","",IFERROR(VALUE(H16),0)+IFERROR(SUMIF(DB_Savings!$A:$A,A16,DB_Savings!$F:$F),0)-IFERROR(SUMIF(DB_Withdrawals!$A:$A,A16,DB_Withdrawals!$G:$G),0)),"")</f>
        <v/>
      </c>
      <c r="N16" s="36" t="str">
        <f>IFERROR(IF(A16="","",MAX(0,M16-System_Config!$B$9)),"")</f>
        <v/>
      </c>
    </row>
    <row r="17" spans="1:14" ht="20.100000000000001" customHeight="1" x14ac:dyDescent="0.25">
      <c r="A17" s="34" t="str">
        <f>'NEW ACCOUNT'!A18</f>
        <v/>
      </c>
      <c r="B17" s="35" t="str">
        <f>IF('NEW ACCOUNT'!A18="","",'NEW ACCOUNT'!B18)</f>
        <v/>
      </c>
      <c r="C17" s="35" t="str">
        <f>IF('NEW ACCOUNT'!A18="","",'NEW ACCOUNT'!C18)</f>
        <v/>
      </c>
      <c r="D17" s="35" t="str">
        <f>IF('NEW ACCOUNT'!A18="","",'NEW ACCOUNT'!D18)</f>
        <v/>
      </c>
      <c r="E17" s="35" t="str">
        <f>IF('NEW ACCOUNT'!A18="","",'NEW ACCOUNT'!E18)</f>
        <v/>
      </c>
      <c r="F17" s="35" t="str">
        <f>IF('NEW ACCOUNT'!A18="","",'NEW ACCOUNT'!F18)</f>
        <v/>
      </c>
      <c r="G17" s="35" t="str">
        <f>IF('NEW ACCOUNT'!A18="","",'NEW ACCOUNT'!G18)</f>
        <v/>
      </c>
      <c r="H17" s="35" t="str">
        <f>IF('NEW ACCOUNT'!A18="","",'NEW ACCOUNT'!H18)</f>
        <v/>
      </c>
      <c r="I17" s="35" t="str">
        <f>IF('NEW ACCOUNT'!A18="","",'NEW ACCOUNT'!I18)</f>
        <v/>
      </c>
      <c r="J17" s="35" t="str">
        <f>IF('NEW ACCOUNT'!A18="","",'NEW ACCOUNT'!J18)</f>
        <v/>
      </c>
      <c r="K17" s="36" t="str">
        <f>IFERROR(IF(A17="","",SUMIF(DB_Savings!$A:$A,A17,DB_Savings!$F:$F)),"")</f>
        <v/>
      </c>
      <c r="L17" s="36" t="str">
        <f>IFERROR(IF(A17="","",SUMIF(DB_Withdrawals!$A:$A,A17,DB_Withdrawals!$G:$G)),"")</f>
        <v/>
      </c>
      <c r="M17" s="36" t="str">
        <f>IFERROR(IF(A17="","",IFERROR(VALUE(H17),0)+IFERROR(SUMIF(DB_Savings!$A:$A,A17,DB_Savings!$F:$F),0)-IFERROR(SUMIF(DB_Withdrawals!$A:$A,A17,DB_Withdrawals!$G:$G),0)),"")</f>
        <v/>
      </c>
      <c r="N17" s="36" t="str">
        <f>IFERROR(IF(A17="","",MAX(0,M17-System_Config!$B$9)),"")</f>
        <v/>
      </c>
    </row>
    <row r="18" spans="1:14" ht="20.100000000000001" customHeight="1" x14ac:dyDescent="0.25">
      <c r="A18" s="34" t="str">
        <f>'NEW ACCOUNT'!A19</f>
        <v/>
      </c>
      <c r="B18" s="35" t="str">
        <f>IF('NEW ACCOUNT'!A19="","",'NEW ACCOUNT'!B19)</f>
        <v/>
      </c>
      <c r="C18" s="35" t="str">
        <f>IF('NEW ACCOUNT'!A19="","",'NEW ACCOUNT'!C19)</f>
        <v/>
      </c>
      <c r="D18" s="35" t="str">
        <f>IF('NEW ACCOUNT'!A19="","",'NEW ACCOUNT'!D19)</f>
        <v/>
      </c>
      <c r="E18" s="35" t="str">
        <f>IF('NEW ACCOUNT'!A19="","",'NEW ACCOUNT'!E19)</f>
        <v/>
      </c>
      <c r="F18" s="35" t="str">
        <f>IF('NEW ACCOUNT'!A19="","",'NEW ACCOUNT'!F19)</f>
        <v/>
      </c>
      <c r="G18" s="35" t="str">
        <f>IF('NEW ACCOUNT'!A19="","",'NEW ACCOUNT'!G19)</f>
        <v/>
      </c>
      <c r="H18" s="35" t="str">
        <f>IF('NEW ACCOUNT'!A19="","",'NEW ACCOUNT'!H19)</f>
        <v/>
      </c>
      <c r="I18" s="35" t="str">
        <f>IF('NEW ACCOUNT'!A19="","",'NEW ACCOUNT'!I19)</f>
        <v/>
      </c>
      <c r="J18" s="35" t="str">
        <f>IF('NEW ACCOUNT'!A19="","",'NEW ACCOUNT'!J19)</f>
        <v/>
      </c>
      <c r="K18" s="36" t="str">
        <f>IFERROR(IF(A18="","",SUMIF(DB_Savings!$A:$A,A18,DB_Savings!$F:$F)),"")</f>
        <v/>
      </c>
      <c r="L18" s="36" t="str">
        <f>IFERROR(IF(A18="","",SUMIF(DB_Withdrawals!$A:$A,A18,DB_Withdrawals!$G:$G)),"")</f>
        <v/>
      </c>
      <c r="M18" s="36" t="str">
        <f>IFERROR(IF(A18="","",IFERROR(VALUE(H18),0)+IFERROR(SUMIF(DB_Savings!$A:$A,A18,DB_Savings!$F:$F),0)-IFERROR(SUMIF(DB_Withdrawals!$A:$A,A18,DB_Withdrawals!$G:$G),0)),"")</f>
        <v/>
      </c>
      <c r="N18" s="36" t="str">
        <f>IFERROR(IF(A18="","",MAX(0,M18-System_Config!$B$9)),"")</f>
        <v/>
      </c>
    </row>
    <row r="19" spans="1:14" ht="20.100000000000001" customHeight="1" x14ac:dyDescent="0.25">
      <c r="A19" s="34" t="str">
        <f>'NEW ACCOUNT'!A20</f>
        <v/>
      </c>
      <c r="B19" s="35" t="str">
        <f>IF('NEW ACCOUNT'!A20="","",'NEW ACCOUNT'!B20)</f>
        <v/>
      </c>
      <c r="C19" s="35" t="str">
        <f>IF('NEW ACCOUNT'!A20="","",'NEW ACCOUNT'!C20)</f>
        <v/>
      </c>
      <c r="D19" s="35" t="str">
        <f>IF('NEW ACCOUNT'!A20="","",'NEW ACCOUNT'!D20)</f>
        <v/>
      </c>
      <c r="E19" s="35" t="str">
        <f>IF('NEW ACCOUNT'!A20="","",'NEW ACCOUNT'!E20)</f>
        <v/>
      </c>
      <c r="F19" s="35" t="str">
        <f>IF('NEW ACCOUNT'!A20="","",'NEW ACCOUNT'!F20)</f>
        <v/>
      </c>
      <c r="G19" s="35" t="str">
        <f>IF('NEW ACCOUNT'!A20="","",'NEW ACCOUNT'!G20)</f>
        <v/>
      </c>
      <c r="H19" s="35" t="str">
        <f>IF('NEW ACCOUNT'!A20="","",'NEW ACCOUNT'!H20)</f>
        <v/>
      </c>
      <c r="I19" s="35" t="str">
        <f>IF('NEW ACCOUNT'!A20="","",'NEW ACCOUNT'!I20)</f>
        <v/>
      </c>
      <c r="J19" s="35" t="str">
        <f>IF('NEW ACCOUNT'!A20="","",'NEW ACCOUNT'!J20)</f>
        <v/>
      </c>
      <c r="K19" s="36" t="str">
        <f>IFERROR(IF(A19="","",SUMIF(DB_Savings!$A:$A,A19,DB_Savings!$F:$F)),"")</f>
        <v/>
      </c>
      <c r="L19" s="36" t="str">
        <f>IFERROR(IF(A19="","",SUMIF(DB_Withdrawals!$A:$A,A19,DB_Withdrawals!$G:$G)),"")</f>
        <v/>
      </c>
      <c r="M19" s="36" t="str">
        <f>IFERROR(IF(A19="","",IFERROR(VALUE(H19),0)+IFERROR(SUMIF(DB_Savings!$A:$A,A19,DB_Savings!$F:$F),0)-IFERROR(SUMIF(DB_Withdrawals!$A:$A,A19,DB_Withdrawals!$G:$G),0)),"")</f>
        <v/>
      </c>
      <c r="N19" s="36" t="str">
        <f>IFERROR(IF(A19="","",MAX(0,M19-System_Config!$B$9)),"")</f>
        <v/>
      </c>
    </row>
    <row r="20" spans="1:14" ht="20.100000000000001" customHeight="1" x14ac:dyDescent="0.25">
      <c r="A20" s="34" t="str">
        <f>'NEW ACCOUNT'!A21</f>
        <v/>
      </c>
      <c r="B20" s="35" t="str">
        <f>IF('NEW ACCOUNT'!A21="","",'NEW ACCOUNT'!B21)</f>
        <v/>
      </c>
      <c r="C20" s="35" t="str">
        <f>IF('NEW ACCOUNT'!A21="","",'NEW ACCOUNT'!C21)</f>
        <v/>
      </c>
      <c r="D20" s="35" t="str">
        <f>IF('NEW ACCOUNT'!A21="","",'NEW ACCOUNT'!D21)</f>
        <v/>
      </c>
      <c r="E20" s="35" t="str">
        <f>IF('NEW ACCOUNT'!A21="","",'NEW ACCOUNT'!E21)</f>
        <v/>
      </c>
      <c r="F20" s="35" t="str">
        <f>IF('NEW ACCOUNT'!A21="","",'NEW ACCOUNT'!F21)</f>
        <v/>
      </c>
      <c r="G20" s="35" t="str">
        <f>IF('NEW ACCOUNT'!A21="","",'NEW ACCOUNT'!G21)</f>
        <v/>
      </c>
      <c r="H20" s="35" t="str">
        <f>IF('NEW ACCOUNT'!A21="","",'NEW ACCOUNT'!H21)</f>
        <v/>
      </c>
      <c r="I20" s="35" t="str">
        <f>IF('NEW ACCOUNT'!A21="","",'NEW ACCOUNT'!I21)</f>
        <v/>
      </c>
      <c r="J20" s="35" t="str">
        <f>IF('NEW ACCOUNT'!A21="","",'NEW ACCOUNT'!J21)</f>
        <v/>
      </c>
      <c r="K20" s="36" t="str">
        <f>IFERROR(IF(A20="","",SUMIF(DB_Savings!$A:$A,A20,DB_Savings!$F:$F)),"")</f>
        <v/>
      </c>
      <c r="L20" s="36" t="str">
        <f>IFERROR(IF(A20="","",SUMIF(DB_Withdrawals!$A:$A,A20,DB_Withdrawals!$G:$G)),"")</f>
        <v/>
      </c>
      <c r="M20" s="36" t="str">
        <f>IFERROR(IF(A20="","",IFERROR(VALUE(H20),0)+IFERROR(SUMIF(DB_Savings!$A:$A,A20,DB_Savings!$F:$F),0)-IFERROR(SUMIF(DB_Withdrawals!$A:$A,A20,DB_Withdrawals!$G:$G),0)),"")</f>
        <v/>
      </c>
      <c r="N20" s="36" t="str">
        <f>IFERROR(IF(A20="","",MAX(0,M20-System_Config!$B$9)),"")</f>
        <v/>
      </c>
    </row>
    <row r="21" spans="1:14" ht="20.100000000000001" customHeight="1" x14ac:dyDescent="0.25">
      <c r="A21" s="34" t="str">
        <f>'NEW ACCOUNT'!A22</f>
        <v/>
      </c>
      <c r="B21" s="35" t="str">
        <f>IF('NEW ACCOUNT'!A22="","",'NEW ACCOUNT'!B22)</f>
        <v/>
      </c>
      <c r="C21" s="35" t="str">
        <f>IF('NEW ACCOUNT'!A22="","",'NEW ACCOUNT'!C22)</f>
        <v/>
      </c>
      <c r="D21" s="35" t="str">
        <f>IF('NEW ACCOUNT'!A22="","",'NEW ACCOUNT'!D22)</f>
        <v/>
      </c>
      <c r="E21" s="35" t="str">
        <f>IF('NEW ACCOUNT'!A22="","",'NEW ACCOUNT'!E22)</f>
        <v/>
      </c>
      <c r="F21" s="35" t="str">
        <f>IF('NEW ACCOUNT'!A22="","",'NEW ACCOUNT'!F22)</f>
        <v/>
      </c>
      <c r="G21" s="35" t="str">
        <f>IF('NEW ACCOUNT'!A22="","",'NEW ACCOUNT'!G22)</f>
        <v/>
      </c>
      <c r="H21" s="35" t="str">
        <f>IF('NEW ACCOUNT'!A22="","",'NEW ACCOUNT'!H22)</f>
        <v/>
      </c>
      <c r="I21" s="35" t="str">
        <f>IF('NEW ACCOUNT'!A22="","",'NEW ACCOUNT'!I22)</f>
        <v/>
      </c>
      <c r="J21" s="35" t="str">
        <f>IF('NEW ACCOUNT'!A22="","",'NEW ACCOUNT'!J22)</f>
        <v/>
      </c>
      <c r="K21" s="36" t="str">
        <f>IFERROR(IF(A21="","",SUMIF(DB_Savings!$A:$A,A21,DB_Savings!$F:$F)),"")</f>
        <v/>
      </c>
      <c r="L21" s="36" t="str">
        <f>IFERROR(IF(A21="","",SUMIF(DB_Withdrawals!$A:$A,A21,DB_Withdrawals!$G:$G)),"")</f>
        <v/>
      </c>
      <c r="M21" s="36" t="str">
        <f>IFERROR(IF(A21="","",IFERROR(VALUE(H21),0)+IFERROR(SUMIF(DB_Savings!$A:$A,A21,DB_Savings!$F:$F),0)-IFERROR(SUMIF(DB_Withdrawals!$A:$A,A21,DB_Withdrawals!$G:$G),0)),"")</f>
        <v/>
      </c>
      <c r="N21" s="36" t="str">
        <f>IFERROR(IF(A21="","",MAX(0,M21-System_Config!$B$9)),"")</f>
        <v/>
      </c>
    </row>
    <row r="22" spans="1:14" ht="20.100000000000001" customHeight="1" x14ac:dyDescent="0.25">
      <c r="A22" s="34" t="str">
        <f>'NEW ACCOUNT'!A23</f>
        <v/>
      </c>
      <c r="B22" s="35" t="str">
        <f>IF('NEW ACCOUNT'!A23="","",'NEW ACCOUNT'!B23)</f>
        <v/>
      </c>
      <c r="C22" s="35" t="str">
        <f>IF('NEW ACCOUNT'!A23="","",'NEW ACCOUNT'!C23)</f>
        <v/>
      </c>
      <c r="D22" s="35" t="str">
        <f>IF('NEW ACCOUNT'!A23="","",'NEW ACCOUNT'!D23)</f>
        <v/>
      </c>
      <c r="E22" s="35" t="str">
        <f>IF('NEW ACCOUNT'!A23="","",'NEW ACCOUNT'!E23)</f>
        <v/>
      </c>
      <c r="F22" s="35" t="str">
        <f>IF('NEW ACCOUNT'!A23="","",'NEW ACCOUNT'!F23)</f>
        <v/>
      </c>
      <c r="G22" s="35" t="str">
        <f>IF('NEW ACCOUNT'!A23="","",'NEW ACCOUNT'!G23)</f>
        <v/>
      </c>
      <c r="H22" s="35" t="str">
        <f>IF('NEW ACCOUNT'!A23="","",'NEW ACCOUNT'!H23)</f>
        <v/>
      </c>
      <c r="I22" s="35" t="str">
        <f>IF('NEW ACCOUNT'!A23="","",'NEW ACCOUNT'!I23)</f>
        <v/>
      </c>
      <c r="J22" s="35" t="str">
        <f>IF('NEW ACCOUNT'!A23="","",'NEW ACCOUNT'!J23)</f>
        <v/>
      </c>
      <c r="K22" s="36" t="str">
        <f>IFERROR(IF(A22="","",SUMIF(DB_Savings!$A:$A,A22,DB_Savings!$F:$F)),"")</f>
        <v/>
      </c>
      <c r="L22" s="36" t="str">
        <f>IFERROR(IF(A22="","",SUMIF(DB_Withdrawals!$A:$A,A22,DB_Withdrawals!$G:$G)),"")</f>
        <v/>
      </c>
      <c r="M22" s="36" t="str">
        <f>IFERROR(IF(A22="","",IFERROR(VALUE(H22),0)+IFERROR(SUMIF(DB_Savings!$A:$A,A22,DB_Savings!$F:$F),0)-IFERROR(SUMIF(DB_Withdrawals!$A:$A,A22,DB_Withdrawals!$G:$G),0)),"")</f>
        <v/>
      </c>
      <c r="N22" s="36" t="str">
        <f>IFERROR(IF(A22="","",MAX(0,M22-System_Config!$B$9)),"")</f>
        <v/>
      </c>
    </row>
    <row r="23" spans="1:14" ht="20.100000000000001" customHeight="1" x14ac:dyDescent="0.25">
      <c r="A23" s="34" t="str">
        <f>'NEW ACCOUNT'!A24</f>
        <v/>
      </c>
      <c r="B23" s="35" t="str">
        <f>IF('NEW ACCOUNT'!A24="","",'NEW ACCOUNT'!B24)</f>
        <v/>
      </c>
      <c r="C23" s="35" t="str">
        <f>IF('NEW ACCOUNT'!A24="","",'NEW ACCOUNT'!C24)</f>
        <v/>
      </c>
      <c r="D23" s="35" t="str">
        <f>IF('NEW ACCOUNT'!A24="","",'NEW ACCOUNT'!D24)</f>
        <v/>
      </c>
      <c r="E23" s="35" t="str">
        <f>IF('NEW ACCOUNT'!A24="","",'NEW ACCOUNT'!E24)</f>
        <v/>
      </c>
      <c r="F23" s="35" t="str">
        <f>IF('NEW ACCOUNT'!A24="","",'NEW ACCOUNT'!F24)</f>
        <v/>
      </c>
      <c r="G23" s="35" t="str">
        <f>IF('NEW ACCOUNT'!A24="","",'NEW ACCOUNT'!G24)</f>
        <v/>
      </c>
      <c r="H23" s="35" t="str">
        <f>IF('NEW ACCOUNT'!A24="","",'NEW ACCOUNT'!H24)</f>
        <v/>
      </c>
      <c r="I23" s="35" t="str">
        <f>IF('NEW ACCOUNT'!A24="","",'NEW ACCOUNT'!I24)</f>
        <v/>
      </c>
      <c r="J23" s="35" t="str">
        <f>IF('NEW ACCOUNT'!A24="","",'NEW ACCOUNT'!J24)</f>
        <v/>
      </c>
      <c r="K23" s="36" t="str">
        <f>IFERROR(IF(A23="","",SUMIF(DB_Savings!$A:$A,A23,DB_Savings!$F:$F)),"")</f>
        <v/>
      </c>
      <c r="L23" s="36" t="str">
        <f>IFERROR(IF(A23="","",SUMIF(DB_Withdrawals!$A:$A,A23,DB_Withdrawals!$G:$G)),"")</f>
        <v/>
      </c>
      <c r="M23" s="36" t="str">
        <f>IFERROR(IF(A23="","",IFERROR(VALUE(H23),0)+IFERROR(SUMIF(DB_Savings!$A:$A,A23,DB_Savings!$F:$F),0)-IFERROR(SUMIF(DB_Withdrawals!$A:$A,A23,DB_Withdrawals!$G:$G),0)),"")</f>
        <v/>
      </c>
      <c r="N23" s="36" t="str">
        <f>IFERROR(IF(A23="","",MAX(0,M23-System_Config!$B$9)),"")</f>
        <v/>
      </c>
    </row>
    <row r="24" spans="1:14" ht="20.100000000000001" customHeight="1" x14ac:dyDescent="0.25">
      <c r="A24" s="34" t="str">
        <f>'NEW ACCOUNT'!A25</f>
        <v/>
      </c>
      <c r="B24" s="35" t="str">
        <f>IF('NEW ACCOUNT'!A25="","",'NEW ACCOUNT'!B25)</f>
        <v/>
      </c>
      <c r="C24" s="35" t="str">
        <f>IF('NEW ACCOUNT'!A25="","",'NEW ACCOUNT'!C25)</f>
        <v/>
      </c>
      <c r="D24" s="35" t="str">
        <f>IF('NEW ACCOUNT'!A25="","",'NEW ACCOUNT'!D25)</f>
        <v/>
      </c>
      <c r="E24" s="35" t="str">
        <f>IF('NEW ACCOUNT'!A25="","",'NEW ACCOUNT'!E25)</f>
        <v/>
      </c>
      <c r="F24" s="35" t="str">
        <f>IF('NEW ACCOUNT'!A25="","",'NEW ACCOUNT'!F25)</f>
        <v/>
      </c>
      <c r="G24" s="35" t="str">
        <f>IF('NEW ACCOUNT'!A25="","",'NEW ACCOUNT'!G25)</f>
        <v/>
      </c>
      <c r="H24" s="35" t="str">
        <f>IF('NEW ACCOUNT'!A25="","",'NEW ACCOUNT'!H25)</f>
        <v/>
      </c>
      <c r="I24" s="35" t="str">
        <f>IF('NEW ACCOUNT'!A25="","",'NEW ACCOUNT'!I25)</f>
        <v/>
      </c>
      <c r="J24" s="35" t="str">
        <f>IF('NEW ACCOUNT'!A25="","",'NEW ACCOUNT'!J25)</f>
        <v/>
      </c>
      <c r="K24" s="36" t="str">
        <f>IFERROR(IF(A24="","",SUMIF(DB_Savings!$A:$A,A24,DB_Savings!$F:$F)),"")</f>
        <v/>
      </c>
      <c r="L24" s="36" t="str">
        <f>IFERROR(IF(A24="","",SUMIF(DB_Withdrawals!$A:$A,A24,DB_Withdrawals!$G:$G)),"")</f>
        <v/>
      </c>
      <c r="M24" s="36" t="str">
        <f>IFERROR(IF(A24="","",IFERROR(VALUE(H24),0)+IFERROR(SUMIF(DB_Savings!$A:$A,A24,DB_Savings!$F:$F),0)-IFERROR(SUMIF(DB_Withdrawals!$A:$A,A24,DB_Withdrawals!$G:$G),0)),"")</f>
        <v/>
      </c>
      <c r="N24" s="36" t="str">
        <f>IFERROR(IF(A24="","",MAX(0,M24-System_Config!$B$9)),"")</f>
        <v/>
      </c>
    </row>
    <row r="25" spans="1:14" ht="20.100000000000001" customHeight="1" x14ac:dyDescent="0.25">
      <c r="A25" s="34" t="str">
        <f>'NEW ACCOUNT'!A26</f>
        <v/>
      </c>
      <c r="B25" s="35" t="str">
        <f>IF('NEW ACCOUNT'!A26="","",'NEW ACCOUNT'!B26)</f>
        <v/>
      </c>
      <c r="C25" s="35" t="str">
        <f>IF('NEW ACCOUNT'!A26="","",'NEW ACCOUNT'!C26)</f>
        <v/>
      </c>
      <c r="D25" s="35" t="str">
        <f>IF('NEW ACCOUNT'!A26="","",'NEW ACCOUNT'!D26)</f>
        <v/>
      </c>
      <c r="E25" s="35" t="str">
        <f>IF('NEW ACCOUNT'!A26="","",'NEW ACCOUNT'!E26)</f>
        <v/>
      </c>
      <c r="F25" s="35" t="str">
        <f>IF('NEW ACCOUNT'!A26="","",'NEW ACCOUNT'!F26)</f>
        <v/>
      </c>
      <c r="G25" s="35" t="str">
        <f>IF('NEW ACCOUNT'!A26="","",'NEW ACCOUNT'!G26)</f>
        <v/>
      </c>
      <c r="H25" s="35" t="str">
        <f>IF('NEW ACCOUNT'!A26="","",'NEW ACCOUNT'!H26)</f>
        <v/>
      </c>
      <c r="I25" s="35" t="str">
        <f>IF('NEW ACCOUNT'!A26="","",'NEW ACCOUNT'!I26)</f>
        <v/>
      </c>
      <c r="J25" s="35" t="str">
        <f>IF('NEW ACCOUNT'!A26="","",'NEW ACCOUNT'!J26)</f>
        <v/>
      </c>
      <c r="K25" s="36" t="str">
        <f>IFERROR(IF(A25="","",SUMIF(DB_Savings!$A:$A,A25,DB_Savings!$F:$F)),"")</f>
        <v/>
      </c>
      <c r="L25" s="36" t="str">
        <f>IFERROR(IF(A25="","",SUMIF(DB_Withdrawals!$A:$A,A25,DB_Withdrawals!$G:$G)),"")</f>
        <v/>
      </c>
      <c r="M25" s="36" t="str">
        <f>IFERROR(IF(A25="","",IFERROR(VALUE(H25),0)+IFERROR(SUMIF(DB_Savings!$A:$A,A25,DB_Savings!$F:$F),0)-IFERROR(SUMIF(DB_Withdrawals!$A:$A,A25,DB_Withdrawals!$G:$G),0)),"")</f>
        <v/>
      </c>
      <c r="N25" s="36" t="str">
        <f>IFERROR(IF(A25="","",MAX(0,M25-System_Config!$B$9)),"")</f>
        <v/>
      </c>
    </row>
    <row r="26" spans="1:14" ht="20.100000000000001" customHeight="1" x14ac:dyDescent="0.25">
      <c r="A26" s="34" t="str">
        <f>'NEW ACCOUNT'!A27</f>
        <v/>
      </c>
      <c r="B26" s="35" t="str">
        <f>IF('NEW ACCOUNT'!A27="","",'NEW ACCOUNT'!B27)</f>
        <v/>
      </c>
      <c r="C26" s="35" t="str">
        <f>IF('NEW ACCOUNT'!A27="","",'NEW ACCOUNT'!C27)</f>
        <v/>
      </c>
      <c r="D26" s="35" t="str">
        <f>IF('NEW ACCOUNT'!A27="","",'NEW ACCOUNT'!D27)</f>
        <v/>
      </c>
      <c r="E26" s="35" t="str">
        <f>IF('NEW ACCOUNT'!A27="","",'NEW ACCOUNT'!E27)</f>
        <v/>
      </c>
      <c r="F26" s="35" t="str">
        <f>IF('NEW ACCOUNT'!A27="","",'NEW ACCOUNT'!F27)</f>
        <v/>
      </c>
      <c r="G26" s="35" t="str">
        <f>IF('NEW ACCOUNT'!A27="","",'NEW ACCOUNT'!G27)</f>
        <v/>
      </c>
      <c r="H26" s="35" t="str">
        <f>IF('NEW ACCOUNT'!A27="","",'NEW ACCOUNT'!H27)</f>
        <v/>
      </c>
      <c r="I26" s="35" t="str">
        <f>IF('NEW ACCOUNT'!A27="","",'NEW ACCOUNT'!I27)</f>
        <v/>
      </c>
      <c r="J26" s="35" t="str">
        <f>IF('NEW ACCOUNT'!A27="","",'NEW ACCOUNT'!J27)</f>
        <v/>
      </c>
      <c r="K26" s="36" t="str">
        <f>IFERROR(IF(A26="","",SUMIF(DB_Savings!$A:$A,A26,DB_Savings!$F:$F)),"")</f>
        <v/>
      </c>
      <c r="L26" s="36" t="str">
        <f>IFERROR(IF(A26="","",SUMIF(DB_Withdrawals!$A:$A,A26,DB_Withdrawals!$G:$G)),"")</f>
        <v/>
      </c>
      <c r="M26" s="36" t="str">
        <f>IFERROR(IF(A26="","",IFERROR(VALUE(H26),0)+IFERROR(SUMIF(DB_Savings!$A:$A,A26,DB_Savings!$F:$F),0)-IFERROR(SUMIF(DB_Withdrawals!$A:$A,A26,DB_Withdrawals!$G:$G),0)),"")</f>
        <v/>
      </c>
      <c r="N26" s="36" t="str">
        <f>IFERROR(IF(A26="","",MAX(0,M26-System_Config!$B$9)),"")</f>
        <v/>
      </c>
    </row>
    <row r="27" spans="1:14" ht="20.100000000000001" customHeight="1" x14ac:dyDescent="0.25">
      <c r="A27" s="34" t="str">
        <f>'NEW ACCOUNT'!A28</f>
        <v/>
      </c>
      <c r="B27" s="35" t="str">
        <f>IF('NEW ACCOUNT'!A28="","",'NEW ACCOUNT'!B28)</f>
        <v/>
      </c>
      <c r="C27" s="35" t="str">
        <f>IF('NEW ACCOUNT'!A28="","",'NEW ACCOUNT'!C28)</f>
        <v/>
      </c>
      <c r="D27" s="35" t="str">
        <f>IF('NEW ACCOUNT'!A28="","",'NEW ACCOUNT'!D28)</f>
        <v/>
      </c>
      <c r="E27" s="35" t="str">
        <f>IF('NEW ACCOUNT'!A28="","",'NEW ACCOUNT'!E28)</f>
        <v/>
      </c>
      <c r="F27" s="35" t="str">
        <f>IF('NEW ACCOUNT'!A28="","",'NEW ACCOUNT'!F28)</f>
        <v/>
      </c>
      <c r="G27" s="35" t="str">
        <f>IF('NEW ACCOUNT'!A28="","",'NEW ACCOUNT'!G28)</f>
        <v/>
      </c>
      <c r="H27" s="35" t="str">
        <f>IF('NEW ACCOUNT'!A28="","",'NEW ACCOUNT'!H28)</f>
        <v/>
      </c>
      <c r="I27" s="35" t="str">
        <f>IF('NEW ACCOUNT'!A28="","",'NEW ACCOUNT'!I28)</f>
        <v/>
      </c>
      <c r="J27" s="35" t="str">
        <f>IF('NEW ACCOUNT'!A28="","",'NEW ACCOUNT'!J28)</f>
        <v/>
      </c>
      <c r="K27" s="36" t="str">
        <f>IFERROR(IF(A27="","",SUMIF(DB_Savings!$A:$A,A27,DB_Savings!$F:$F)),"")</f>
        <v/>
      </c>
      <c r="L27" s="36" t="str">
        <f>IFERROR(IF(A27="","",SUMIF(DB_Withdrawals!$A:$A,A27,DB_Withdrawals!$G:$G)),"")</f>
        <v/>
      </c>
      <c r="M27" s="36" t="str">
        <f>IFERROR(IF(A27="","",IFERROR(VALUE(H27),0)+IFERROR(SUMIF(DB_Savings!$A:$A,A27,DB_Savings!$F:$F),0)-IFERROR(SUMIF(DB_Withdrawals!$A:$A,A27,DB_Withdrawals!$G:$G),0)),"")</f>
        <v/>
      </c>
      <c r="N27" s="36" t="str">
        <f>IFERROR(IF(A27="","",MAX(0,M27-System_Config!$B$9)),"")</f>
        <v/>
      </c>
    </row>
    <row r="28" spans="1:14" ht="20.100000000000001" customHeight="1" x14ac:dyDescent="0.25">
      <c r="A28" s="34" t="str">
        <f>'NEW ACCOUNT'!A29</f>
        <v/>
      </c>
      <c r="B28" s="35" t="str">
        <f>IF('NEW ACCOUNT'!A29="","",'NEW ACCOUNT'!B29)</f>
        <v/>
      </c>
      <c r="C28" s="35" t="str">
        <f>IF('NEW ACCOUNT'!A29="","",'NEW ACCOUNT'!C29)</f>
        <v/>
      </c>
      <c r="D28" s="35" t="str">
        <f>IF('NEW ACCOUNT'!A29="","",'NEW ACCOUNT'!D29)</f>
        <v/>
      </c>
      <c r="E28" s="35" t="str">
        <f>IF('NEW ACCOUNT'!A29="","",'NEW ACCOUNT'!E29)</f>
        <v/>
      </c>
      <c r="F28" s="35" t="str">
        <f>IF('NEW ACCOUNT'!A29="","",'NEW ACCOUNT'!F29)</f>
        <v/>
      </c>
      <c r="G28" s="35" t="str">
        <f>IF('NEW ACCOUNT'!A29="","",'NEW ACCOUNT'!G29)</f>
        <v/>
      </c>
      <c r="H28" s="35" t="str">
        <f>IF('NEW ACCOUNT'!A29="","",'NEW ACCOUNT'!H29)</f>
        <v/>
      </c>
      <c r="I28" s="35" t="str">
        <f>IF('NEW ACCOUNT'!A29="","",'NEW ACCOUNT'!I29)</f>
        <v/>
      </c>
      <c r="J28" s="35" t="str">
        <f>IF('NEW ACCOUNT'!A29="","",'NEW ACCOUNT'!J29)</f>
        <v/>
      </c>
      <c r="K28" s="36" t="str">
        <f>IFERROR(IF(A28="","",SUMIF(DB_Savings!$A:$A,A28,DB_Savings!$F:$F)),"")</f>
        <v/>
      </c>
      <c r="L28" s="36" t="str">
        <f>IFERROR(IF(A28="","",SUMIF(DB_Withdrawals!$A:$A,A28,DB_Withdrawals!$G:$G)),"")</f>
        <v/>
      </c>
      <c r="M28" s="36" t="str">
        <f>IFERROR(IF(A28="","",IFERROR(VALUE(H28),0)+IFERROR(SUMIF(DB_Savings!$A:$A,A28,DB_Savings!$F:$F),0)-IFERROR(SUMIF(DB_Withdrawals!$A:$A,A28,DB_Withdrawals!$G:$G),0)),"")</f>
        <v/>
      </c>
      <c r="N28" s="36" t="str">
        <f>IFERROR(IF(A28="","",MAX(0,M28-System_Config!$B$9)),"")</f>
        <v/>
      </c>
    </row>
    <row r="29" spans="1:14" ht="20.100000000000001" customHeight="1" x14ac:dyDescent="0.25">
      <c r="A29" s="34" t="str">
        <f>'NEW ACCOUNT'!A30</f>
        <v/>
      </c>
      <c r="B29" s="35" t="str">
        <f>IF('NEW ACCOUNT'!A30="","",'NEW ACCOUNT'!B30)</f>
        <v/>
      </c>
      <c r="C29" s="35" t="str">
        <f>IF('NEW ACCOUNT'!A30="","",'NEW ACCOUNT'!C30)</f>
        <v/>
      </c>
      <c r="D29" s="35" t="str">
        <f>IF('NEW ACCOUNT'!A30="","",'NEW ACCOUNT'!D30)</f>
        <v/>
      </c>
      <c r="E29" s="35" t="str">
        <f>IF('NEW ACCOUNT'!A30="","",'NEW ACCOUNT'!E30)</f>
        <v/>
      </c>
      <c r="F29" s="35" t="str">
        <f>IF('NEW ACCOUNT'!A30="","",'NEW ACCOUNT'!F30)</f>
        <v/>
      </c>
      <c r="G29" s="35" t="str">
        <f>IF('NEW ACCOUNT'!A30="","",'NEW ACCOUNT'!G30)</f>
        <v/>
      </c>
      <c r="H29" s="35" t="str">
        <f>IF('NEW ACCOUNT'!A30="","",'NEW ACCOUNT'!H30)</f>
        <v/>
      </c>
      <c r="I29" s="35" t="str">
        <f>IF('NEW ACCOUNT'!A30="","",'NEW ACCOUNT'!I30)</f>
        <v/>
      </c>
      <c r="J29" s="35" t="str">
        <f>IF('NEW ACCOUNT'!A30="","",'NEW ACCOUNT'!J30)</f>
        <v/>
      </c>
      <c r="K29" s="36" t="str">
        <f>IFERROR(IF(A29="","",SUMIF(DB_Savings!$A:$A,A29,DB_Savings!$F:$F)),"")</f>
        <v/>
      </c>
      <c r="L29" s="36" t="str">
        <f>IFERROR(IF(A29="","",SUMIF(DB_Withdrawals!$A:$A,A29,DB_Withdrawals!$G:$G)),"")</f>
        <v/>
      </c>
      <c r="M29" s="36" t="str">
        <f>IFERROR(IF(A29="","",IFERROR(VALUE(H29),0)+IFERROR(SUMIF(DB_Savings!$A:$A,A29,DB_Savings!$F:$F),0)-IFERROR(SUMIF(DB_Withdrawals!$A:$A,A29,DB_Withdrawals!$G:$G),0)),"")</f>
        <v/>
      </c>
      <c r="N29" s="36" t="str">
        <f>IFERROR(IF(A29="","",MAX(0,M29-System_Config!$B$9)),"")</f>
        <v/>
      </c>
    </row>
    <row r="30" spans="1:14" ht="20.100000000000001" customHeight="1" x14ac:dyDescent="0.25">
      <c r="A30" s="34" t="str">
        <f>'NEW ACCOUNT'!A31</f>
        <v/>
      </c>
      <c r="B30" s="35" t="str">
        <f>IF('NEW ACCOUNT'!A31="","",'NEW ACCOUNT'!B31)</f>
        <v/>
      </c>
      <c r="C30" s="35" t="str">
        <f>IF('NEW ACCOUNT'!A31="","",'NEW ACCOUNT'!C31)</f>
        <v/>
      </c>
      <c r="D30" s="35" t="str">
        <f>IF('NEW ACCOUNT'!A31="","",'NEW ACCOUNT'!D31)</f>
        <v/>
      </c>
      <c r="E30" s="35" t="str">
        <f>IF('NEW ACCOUNT'!A31="","",'NEW ACCOUNT'!E31)</f>
        <v/>
      </c>
      <c r="F30" s="35" t="str">
        <f>IF('NEW ACCOUNT'!A31="","",'NEW ACCOUNT'!F31)</f>
        <v/>
      </c>
      <c r="G30" s="35" t="str">
        <f>IF('NEW ACCOUNT'!A31="","",'NEW ACCOUNT'!G31)</f>
        <v/>
      </c>
      <c r="H30" s="35" t="str">
        <f>IF('NEW ACCOUNT'!A31="","",'NEW ACCOUNT'!H31)</f>
        <v/>
      </c>
      <c r="I30" s="35" t="str">
        <f>IF('NEW ACCOUNT'!A31="","",'NEW ACCOUNT'!I31)</f>
        <v/>
      </c>
      <c r="J30" s="35" t="str">
        <f>IF('NEW ACCOUNT'!A31="","",'NEW ACCOUNT'!J31)</f>
        <v/>
      </c>
      <c r="K30" s="36" t="str">
        <f>IFERROR(IF(A30="","",SUMIF(DB_Savings!$A:$A,A30,DB_Savings!$F:$F)),"")</f>
        <v/>
      </c>
      <c r="L30" s="36" t="str">
        <f>IFERROR(IF(A30="","",SUMIF(DB_Withdrawals!$A:$A,A30,DB_Withdrawals!$G:$G)),"")</f>
        <v/>
      </c>
      <c r="M30" s="36" t="str">
        <f>IFERROR(IF(A30="","",IFERROR(VALUE(H30),0)+IFERROR(SUMIF(DB_Savings!$A:$A,A30,DB_Savings!$F:$F),0)-IFERROR(SUMIF(DB_Withdrawals!$A:$A,A30,DB_Withdrawals!$G:$G),0)),"")</f>
        <v/>
      </c>
      <c r="N30" s="36" t="str">
        <f>IFERROR(IF(A30="","",MAX(0,M30-System_Config!$B$9)),"")</f>
        <v/>
      </c>
    </row>
    <row r="31" spans="1:14" ht="20.100000000000001" customHeight="1" x14ac:dyDescent="0.25">
      <c r="A31" s="34" t="str">
        <f>'NEW ACCOUNT'!A32</f>
        <v/>
      </c>
      <c r="B31" s="35" t="str">
        <f>IF('NEW ACCOUNT'!A32="","",'NEW ACCOUNT'!B32)</f>
        <v/>
      </c>
      <c r="C31" s="35" t="str">
        <f>IF('NEW ACCOUNT'!A32="","",'NEW ACCOUNT'!C32)</f>
        <v/>
      </c>
      <c r="D31" s="35" t="str">
        <f>IF('NEW ACCOUNT'!A32="","",'NEW ACCOUNT'!D32)</f>
        <v/>
      </c>
      <c r="E31" s="35" t="str">
        <f>IF('NEW ACCOUNT'!A32="","",'NEW ACCOUNT'!E32)</f>
        <v/>
      </c>
      <c r="F31" s="35" t="str">
        <f>IF('NEW ACCOUNT'!A32="","",'NEW ACCOUNT'!F32)</f>
        <v/>
      </c>
      <c r="G31" s="35" t="str">
        <f>IF('NEW ACCOUNT'!A32="","",'NEW ACCOUNT'!G32)</f>
        <v/>
      </c>
      <c r="H31" s="35" t="str">
        <f>IF('NEW ACCOUNT'!A32="","",'NEW ACCOUNT'!H32)</f>
        <v/>
      </c>
      <c r="I31" s="35" t="str">
        <f>IF('NEW ACCOUNT'!A32="","",'NEW ACCOUNT'!I32)</f>
        <v/>
      </c>
      <c r="J31" s="35" t="str">
        <f>IF('NEW ACCOUNT'!A32="","",'NEW ACCOUNT'!J32)</f>
        <v/>
      </c>
      <c r="K31" s="36" t="str">
        <f>IFERROR(IF(A31="","",SUMIF(DB_Savings!$A:$A,A31,DB_Savings!$F:$F)),"")</f>
        <v/>
      </c>
      <c r="L31" s="36" t="str">
        <f>IFERROR(IF(A31="","",SUMIF(DB_Withdrawals!$A:$A,A31,DB_Withdrawals!$G:$G)),"")</f>
        <v/>
      </c>
      <c r="M31" s="36" t="str">
        <f>IFERROR(IF(A31="","",IFERROR(VALUE(H31),0)+IFERROR(SUMIF(DB_Savings!$A:$A,A31,DB_Savings!$F:$F),0)-IFERROR(SUMIF(DB_Withdrawals!$A:$A,A31,DB_Withdrawals!$G:$G),0)),"")</f>
        <v/>
      </c>
      <c r="N31" s="36" t="str">
        <f>IFERROR(IF(A31="","",MAX(0,M31-System_Config!$B$9)),"")</f>
        <v/>
      </c>
    </row>
    <row r="32" spans="1:14" ht="20.100000000000001" customHeight="1" x14ac:dyDescent="0.25">
      <c r="A32" s="34" t="str">
        <f>'NEW ACCOUNT'!A33</f>
        <v/>
      </c>
      <c r="B32" s="35" t="str">
        <f>IF('NEW ACCOUNT'!A33="","",'NEW ACCOUNT'!B33)</f>
        <v/>
      </c>
      <c r="C32" s="35" t="str">
        <f>IF('NEW ACCOUNT'!A33="","",'NEW ACCOUNT'!C33)</f>
        <v/>
      </c>
      <c r="D32" s="35" t="str">
        <f>IF('NEW ACCOUNT'!A33="","",'NEW ACCOUNT'!D33)</f>
        <v/>
      </c>
      <c r="E32" s="35" t="str">
        <f>IF('NEW ACCOUNT'!A33="","",'NEW ACCOUNT'!E33)</f>
        <v/>
      </c>
      <c r="F32" s="35" t="str">
        <f>IF('NEW ACCOUNT'!A33="","",'NEW ACCOUNT'!F33)</f>
        <v/>
      </c>
      <c r="G32" s="35" t="str">
        <f>IF('NEW ACCOUNT'!A33="","",'NEW ACCOUNT'!G33)</f>
        <v/>
      </c>
      <c r="H32" s="35" t="str">
        <f>IF('NEW ACCOUNT'!A33="","",'NEW ACCOUNT'!H33)</f>
        <v/>
      </c>
      <c r="I32" s="35" t="str">
        <f>IF('NEW ACCOUNT'!A33="","",'NEW ACCOUNT'!I33)</f>
        <v/>
      </c>
      <c r="J32" s="35" t="str">
        <f>IF('NEW ACCOUNT'!A33="","",'NEW ACCOUNT'!J33)</f>
        <v/>
      </c>
      <c r="K32" s="36" t="str">
        <f>IFERROR(IF(A32="","",SUMIF(DB_Savings!$A:$A,A32,DB_Savings!$F:$F)),"")</f>
        <v/>
      </c>
      <c r="L32" s="36" t="str">
        <f>IFERROR(IF(A32="","",SUMIF(DB_Withdrawals!$A:$A,A32,DB_Withdrawals!$G:$G)),"")</f>
        <v/>
      </c>
      <c r="M32" s="36" t="str">
        <f>IFERROR(IF(A32="","",IFERROR(VALUE(H32),0)+IFERROR(SUMIF(DB_Savings!$A:$A,A32,DB_Savings!$F:$F),0)-IFERROR(SUMIF(DB_Withdrawals!$A:$A,A32,DB_Withdrawals!$G:$G),0)),"")</f>
        <v/>
      </c>
      <c r="N32" s="36" t="str">
        <f>IFERROR(IF(A32="","",MAX(0,M32-System_Config!$B$9)),"")</f>
        <v/>
      </c>
    </row>
    <row r="33" spans="1:14" ht="20.100000000000001" customHeight="1" x14ac:dyDescent="0.25">
      <c r="A33" s="34" t="str">
        <f>'NEW ACCOUNT'!A34</f>
        <v/>
      </c>
      <c r="B33" s="35" t="str">
        <f>IF('NEW ACCOUNT'!A34="","",'NEW ACCOUNT'!B34)</f>
        <v/>
      </c>
      <c r="C33" s="35" t="str">
        <f>IF('NEW ACCOUNT'!A34="","",'NEW ACCOUNT'!C34)</f>
        <v/>
      </c>
      <c r="D33" s="35" t="str">
        <f>IF('NEW ACCOUNT'!A34="","",'NEW ACCOUNT'!D34)</f>
        <v/>
      </c>
      <c r="E33" s="35" t="str">
        <f>IF('NEW ACCOUNT'!A34="","",'NEW ACCOUNT'!E34)</f>
        <v/>
      </c>
      <c r="F33" s="35" t="str">
        <f>IF('NEW ACCOUNT'!A34="","",'NEW ACCOUNT'!F34)</f>
        <v/>
      </c>
      <c r="G33" s="35" t="str">
        <f>IF('NEW ACCOUNT'!A34="","",'NEW ACCOUNT'!G34)</f>
        <v/>
      </c>
      <c r="H33" s="35" t="str">
        <f>IF('NEW ACCOUNT'!A34="","",'NEW ACCOUNT'!H34)</f>
        <v/>
      </c>
      <c r="I33" s="35" t="str">
        <f>IF('NEW ACCOUNT'!A34="","",'NEW ACCOUNT'!I34)</f>
        <v/>
      </c>
      <c r="J33" s="35" t="str">
        <f>IF('NEW ACCOUNT'!A34="","",'NEW ACCOUNT'!J34)</f>
        <v/>
      </c>
      <c r="K33" s="36" t="str">
        <f>IFERROR(IF(A33="","",SUMIF(DB_Savings!$A:$A,A33,DB_Savings!$F:$F)),"")</f>
        <v/>
      </c>
      <c r="L33" s="36" t="str">
        <f>IFERROR(IF(A33="","",SUMIF(DB_Withdrawals!$A:$A,A33,DB_Withdrawals!$G:$G)),"")</f>
        <v/>
      </c>
      <c r="M33" s="36" t="str">
        <f>IFERROR(IF(A33="","",IFERROR(VALUE(H33),0)+IFERROR(SUMIF(DB_Savings!$A:$A,A33,DB_Savings!$F:$F),0)-IFERROR(SUMIF(DB_Withdrawals!$A:$A,A33,DB_Withdrawals!$G:$G),0)),"")</f>
        <v/>
      </c>
      <c r="N33" s="36" t="str">
        <f>IFERROR(IF(A33="","",MAX(0,M33-System_Config!$B$9)),"")</f>
        <v/>
      </c>
    </row>
    <row r="34" spans="1:14" ht="20.100000000000001" customHeight="1" x14ac:dyDescent="0.25">
      <c r="A34" s="34" t="str">
        <f>'NEW ACCOUNT'!A35</f>
        <v/>
      </c>
      <c r="B34" s="35" t="str">
        <f>IF('NEW ACCOUNT'!A35="","",'NEW ACCOUNT'!B35)</f>
        <v/>
      </c>
      <c r="C34" s="35" t="str">
        <f>IF('NEW ACCOUNT'!A35="","",'NEW ACCOUNT'!C35)</f>
        <v/>
      </c>
      <c r="D34" s="35" t="str">
        <f>IF('NEW ACCOUNT'!A35="","",'NEW ACCOUNT'!D35)</f>
        <v/>
      </c>
      <c r="E34" s="35" t="str">
        <f>IF('NEW ACCOUNT'!A35="","",'NEW ACCOUNT'!E35)</f>
        <v/>
      </c>
      <c r="F34" s="35" t="str">
        <f>IF('NEW ACCOUNT'!A35="","",'NEW ACCOUNT'!F35)</f>
        <v/>
      </c>
      <c r="G34" s="35" t="str">
        <f>IF('NEW ACCOUNT'!A35="","",'NEW ACCOUNT'!G35)</f>
        <v/>
      </c>
      <c r="H34" s="35" t="str">
        <f>IF('NEW ACCOUNT'!A35="","",'NEW ACCOUNT'!H35)</f>
        <v/>
      </c>
      <c r="I34" s="35" t="str">
        <f>IF('NEW ACCOUNT'!A35="","",'NEW ACCOUNT'!I35)</f>
        <v/>
      </c>
      <c r="J34" s="35" t="str">
        <f>IF('NEW ACCOUNT'!A35="","",'NEW ACCOUNT'!J35)</f>
        <v/>
      </c>
      <c r="K34" s="36" t="str">
        <f>IFERROR(IF(A34="","",SUMIF(DB_Savings!$A:$A,A34,DB_Savings!$F:$F)),"")</f>
        <v/>
      </c>
      <c r="L34" s="36" t="str">
        <f>IFERROR(IF(A34="","",SUMIF(DB_Withdrawals!$A:$A,A34,DB_Withdrawals!$G:$G)),"")</f>
        <v/>
      </c>
      <c r="M34" s="36" t="str">
        <f>IFERROR(IF(A34="","",IFERROR(VALUE(H34),0)+IFERROR(SUMIF(DB_Savings!$A:$A,A34,DB_Savings!$F:$F),0)-IFERROR(SUMIF(DB_Withdrawals!$A:$A,A34,DB_Withdrawals!$G:$G),0)),"")</f>
        <v/>
      </c>
      <c r="N34" s="36" t="str">
        <f>IFERROR(IF(A34="","",MAX(0,M34-System_Config!$B$9)),"")</f>
        <v/>
      </c>
    </row>
    <row r="35" spans="1:14" ht="20.100000000000001" customHeight="1" x14ac:dyDescent="0.25">
      <c r="A35" s="34" t="str">
        <f>'NEW ACCOUNT'!A36</f>
        <v/>
      </c>
      <c r="B35" s="35" t="str">
        <f>IF('NEW ACCOUNT'!A36="","",'NEW ACCOUNT'!B36)</f>
        <v/>
      </c>
      <c r="C35" s="35" t="str">
        <f>IF('NEW ACCOUNT'!A36="","",'NEW ACCOUNT'!C36)</f>
        <v/>
      </c>
      <c r="D35" s="35" t="str">
        <f>IF('NEW ACCOUNT'!A36="","",'NEW ACCOUNT'!D36)</f>
        <v/>
      </c>
      <c r="E35" s="35" t="str">
        <f>IF('NEW ACCOUNT'!A36="","",'NEW ACCOUNT'!E36)</f>
        <v/>
      </c>
      <c r="F35" s="35" t="str">
        <f>IF('NEW ACCOUNT'!A36="","",'NEW ACCOUNT'!F36)</f>
        <v/>
      </c>
      <c r="G35" s="35" t="str">
        <f>IF('NEW ACCOUNT'!A36="","",'NEW ACCOUNT'!G36)</f>
        <v/>
      </c>
      <c r="H35" s="35" t="str">
        <f>IF('NEW ACCOUNT'!A36="","",'NEW ACCOUNT'!H36)</f>
        <v/>
      </c>
      <c r="I35" s="35" t="str">
        <f>IF('NEW ACCOUNT'!A36="","",'NEW ACCOUNT'!I36)</f>
        <v/>
      </c>
      <c r="J35" s="35" t="str">
        <f>IF('NEW ACCOUNT'!A36="","",'NEW ACCOUNT'!J36)</f>
        <v/>
      </c>
      <c r="K35" s="36" t="str">
        <f>IFERROR(IF(A35="","",SUMIF(DB_Savings!$A:$A,A35,DB_Savings!$F:$F)),"")</f>
        <v/>
      </c>
      <c r="L35" s="36" t="str">
        <f>IFERROR(IF(A35="","",SUMIF(DB_Withdrawals!$A:$A,A35,DB_Withdrawals!$G:$G)),"")</f>
        <v/>
      </c>
      <c r="M35" s="36" t="str">
        <f>IFERROR(IF(A35="","",IFERROR(VALUE(H35),0)+IFERROR(SUMIF(DB_Savings!$A:$A,A35,DB_Savings!$F:$F),0)-IFERROR(SUMIF(DB_Withdrawals!$A:$A,A35,DB_Withdrawals!$G:$G),0)),"")</f>
        <v/>
      </c>
      <c r="N35" s="36" t="str">
        <f>IFERROR(IF(A35="","",MAX(0,M35-System_Config!$B$9)),"")</f>
        <v/>
      </c>
    </row>
    <row r="36" spans="1:14" ht="20.100000000000001" customHeight="1" x14ac:dyDescent="0.25">
      <c r="A36" s="34" t="str">
        <f>'NEW ACCOUNT'!A37</f>
        <v/>
      </c>
      <c r="B36" s="35" t="str">
        <f>IF('NEW ACCOUNT'!A37="","",'NEW ACCOUNT'!B37)</f>
        <v/>
      </c>
      <c r="C36" s="35" t="str">
        <f>IF('NEW ACCOUNT'!A37="","",'NEW ACCOUNT'!C37)</f>
        <v/>
      </c>
      <c r="D36" s="35" t="str">
        <f>IF('NEW ACCOUNT'!A37="","",'NEW ACCOUNT'!D37)</f>
        <v/>
      </c>
      <c r="E36" s="35" t="str">
        <f>IF('NEW ACCOUNT'!A37="","",'NEW ACCOUNT'!E37)</f>
        <v/>
      </c>
      <c r="F36" s="35" t="str">
        <f>IF('NEW ACCOUNT'!A37="","",'NEW ACCOUNT'!F37)</f>
        <v/>
      </c>
      <c r="G36" s="35" t="str">
        <f>IF('NEW ACCOUNT'!A37="","",'NEW ACCOUNT'!G37)</f>
        <v/>
      </c>
      <c r="H36" s="35" t="str">
        <f>IF('NEW ACCOUNT'!A37="","",'NEW ACCOUNT'!H37)</f>
        <v/>
      </c>
      <c r="I36" s="35" t="str">
        <f>IF('NEW ACCOUNT'!A37="","",'NEW ACCOUNT'!I37)</f>
        <v/>
      </c>
      <c r="J36" s="35" t="str">
        <f>IF('NEW ACCOUNT'!A37="","",'NEW ACCOUNT'!J37)</f>
        <v/>
      </c>
      <c r="K36" s="36" t="str">
        <f>IFERROR(IF(A36="","",SUMIF(DB_Savings!$A:$A,A36,DB_Savings!$F:$F)),"")</f>
        <v/>
      </c>
      <c r="L36" s="36" t="str">
        <f>IFERROR(IF(A36="","",SUMIF(DB_Withdrawals!$A:$A,A36,DB_Withdrawals!$G:$G)),"")</f>
        <v/>
      </c>
      <c r="M36" s="36" t="str">
        <f>IFERROR(IF(A36="","",IFERROR(VALUE(H36),0)+IFERROR(SUMIF(DB_Savings!$A:$A,A36,DB_Savings!$F:$F),0)-IFERROR(SUMIF(DB_Withdrawals!$A:$A,A36,DB_Withdrawals!$G:$G),0)),"")</f>
        <v/>
      </c>
      <c r="N36" s="36" t="str">
        <f>IFERROR(IF(A36="","",MAX(0,M36-System_Config!$B$9)),"")</f>
        <v/>
      </c>
    </row>
    <row r="37" spans="1:14" ht="20.100000000000001" customHeight="1" x14ac:dyDescent="0.25">
      <c r="A37" s="34" t="str">
        <f>'NEW ACCOUNT'!A38</f>
        <v/>
      </c>
      <c r="B37" s="35" t="str">
        <f>IF('NEW ACCOUNT'!A38="","",'NEW ACCOUNT'!B38)</f>
        <v/>
      </c>
      <c r="C37" s="35" t="str">
        <f>IF('NEW ACCOUNT'!A38="","",'NEW ACCOUNT'!C38)</f>
        <v/>
      </c>
      <c r="D37" s="35" t="str">
        <f>IF('NEW ACCOUNT'!A38="","",'NEW ACCOUNT'!D38)</f>
        <v/>
      </c>
      <c r="E37" s="35" t="str">
        <f>IF('NEW ACCOUNT'!A38="","",'NEW ACCOUNT'!E38)</f>
        <v/>
      </c>
      <c r="F37" s="35" t="str">
        <f>IF('NEW ACCOUNT'!A38="","",'NEW ACCOUNT'!F38)</f>
        <v/>
      </c>
      <c r="G37" s="35" t="str">
        <f>IF('NEW ACCOUNT'!A38="","",'NEW ACCOUNT'!G38)</f>
        <v/>
      </c>
      <c r="H37" s="35" t="str">
        <f>IF('NEW ACCOUNT'!A38="","",'NEW ACCOUNT'!H38)</f>
        <v/>
      </c>
      <c r="I37" s="35" t="str">
        <f>IF('NEW ACCOUNT'!A38="","",'NEW ACCOUNT'!I38)</f>
        <v/>
      </c>
      <c r="J37" s="35" t="str">
        <f>IF('NEW ACCOUNT'!A38="","",'NEW ACCOUNT'!J38)</f>
        <v/>
      </c>
      <c r="K37" s="36" t="str">
        <f>IFERROR(IF(A37="","",SUMIF(DB_Savings!$A:$A,A37,DB_Savings!$F:$F)),"")</f>
        <v/>
      </c>
      <c r="L37" s="36" t="str">
        <f>IFERROR(IF(A37="","",SUMIF(DB_Withdrawals!$A:$A,A37,DB_Withdrawals!$G:$G)),"")</f>
        <v/>
      </c>
      <c r="M37" s="36" t="str">
        <f>IFERROR(IF(A37="","",IFERROR(VALUE(H37),0)+IFERROR(SUMIF(DB_Savings!$A:$A,A37,DB_Savings!$F:$F),0)-IFERROR(SUMIF(DB_Withdrawals!$A:$A,A37,DB_Withdrawals!$G:$G),0)),"")</f>
        <v/>
      </c>
      <c r="N37" s="36" t="str">
        <f>IFERROR(IF(A37="","",MAX(0,M37-System_Config!$B$9)),"")</f>
        <v/>
      </c>
    </row>
    <row r="38" spans="1:14" ht="20.100000000000001" customHeight="1" x14ac:dyDescent="0.25">
      <c r="A38" s="34" t="str">
        <f>'NEW ACCOUNT'!A39</f>
        <v/>
      </c>
      <c r="B38" s="35" t="str">
        <f>IF('NEW ACCOUNT'!A39="","",'NEW ACCOUNT'!B39)</f>
        <v/>
      </c>
      <c r="C38" s="35" t="str">
        <f>IF('NEW ACCOUNT'!A39="","",'NEW ACCOUNT'!C39)</f>
        <v/>
      </c>
      <c r="D38" s="35" t="str">
        <f>IF('NEW ACCOUNT'!A39="","",'NEW ACCOUNT'!D39)</f>
        <v/>
      </c>
      <c r="E38" s="35" t="str">
        <f>IF('NEW ACCOUNT'!A39="","",'NEW ACCOUNT'!E39)</f>
        <v/>
      </c>
      <c r="F38" s="35" t="str">
        <f>IF('NEW ACCOUNT'!A39="","",'NEW ACCOUNT'!F39)</f>
        <v/>
      </c>
      <c r="G38" s="35" t="str">
        <f>IF('NEW ACCOUNT'!A39="","",'NEW ACCOUNT'!G39)</f>
        <v/>
      </c>
      <c r="H38" s="35" t="str">
        <f>IF('NEW ACCOUNT'!A39="","",'NEW ACCOUNT'!H39)</f>
        <v/>
      </c>
      <c r="I38" s="35" t="str">
        <f>IF('NEW ACCOUNT'!A39="","",'NEW ACCOUNT'!I39)</f>
        <v/>
      </c>
      <c r="J38" s="35" t="str">
        <f>IF('NEW ACCOUNT'!A39="","",'NEW ACCOUNT'!J39)</f>
        <v/>
      </c>
      <c r="K38" s="36" t="str">
        <f>IFERROR(IF(A38="","",SUMIF(DB_Savings!$A:$A,A38,DB_Savings!$F:$F)),"")</f>
        <v/>
      </c>
      <c r="L38" s="36" t="str">
        <f>IFERROR(IF(A38="","",SUMIF(DB_Withdrawals!$A:$A,A38,DB_Withdrawals!$G:$G)),"")</f>
        <v/>
      </c>
      <c r="M38" s="36" t="str">
        <f>IFERROR(IF(A38="","",IFERROR(VALUE(H38),0)+IFERROR(SUMIF(DB_Savings!$A:$A,A38,DB_Savings!$F:$F),0)-IFERROR(SUMIF(DB_Withdrawals!$A:$A,A38,DB_Withdrawals!$G:$G),0)),"")</f>
        <v/>
      </c>
      <c r="N38" s="36" t="str">
        <f>IFERROR(IF(A38="","",MAX(0,M38-System_Config!$B$9)),"")</f>
        <v/>
      </c>
    </row>
    <row r="39" spans="1:14" ht="20.100000000000001" customHeight="1" x14ac:dyDescent="0.25">
      <c r="A39" s="34" t="str">
        <f>'NEW ACCOUNT'!A40</f>
        <v/>
      </c>
      <c r="B39" s="35" t="str">
        <f>IF('NEW ACCOUNT'!A40="","",'NEW ACCOUNT'!B40)</f>
        <v/>
      </c>
      <c r="C39" s="35" t="str">
        <f>IF('NEW ACCOUNT'!A40="","",'NEW ACCOUNT'!C40)</f>
        <v/>
      </c>
      <c r="D39" s="35" t="str">
        <f>IF('NEW ACCOUNT'!A40="","",'NEW ACCOUNT'!D40)</f>
        <v/>
      </c>
      <c r="E39" s="35" t="str">
        <f>IF('NEW ACCOUNT'!A40="","",'NEW ACCOUNT'!E40)</f>
        <v/>
      </c>
      <c r="F39" s="35" t="str">
        <f>IF('NEW ACCOUNT'!A40="","",'NEW ACCOUNT'!F40)</f>
        <v/>
      </c>
      <c r="G39" s="35" t="str">
        <f>IF('NEW ACCOUNT'!A40="","",'NEW ACCOUNT'!G40)</f>
        <v/>
      </c>
      <c r="H39" s="35" t="str">
        <f>IF('NEW ACCOUNT'!A40="","",'NEW ACCOUNT'!H40)</f>
        <v/>
      </c>
      <c r="I39" s="35" t="str">
        <f>IF('NEW ACCOUNT'!A40="","",'NEW ACCOUNT'!I40)</f>
        <v/>
      </c>
      <c r="J39" s="35" t="str">
        <f>IF('NEW ACCOUNT'!A40="","",'NEW ACCOUNT'!J40)</f>
        <v/>
      </c>
      <c r="K39" s="36" t="str">
        <f>IFERROR(IF(A39="","",SUMIF(DB_Savings!$A:$A,A39,DB_Savings!$F:$F)),"")</f>
        <v/>
      </c>
      <c r="L39" s="36" t="str">
        <f>IFERROR(IF(A39="","",SUMIF(DB_Withdrawals!$A:$A,A39,DB_Withdrawals!$G:$G)),"")</f>
        <v/>
      </c>
      <c r="M39" s="36" t="str">
        <f>IFERROR(IF(A39="","",IFERROR(VALUE(H39),0)+IFERROR(SUMIF(DB_Savings!$A:$A,A39,DB_Savings!$F:$F),0)-IFERROR(SUMIF(DB_Withdrawals!$A:$A,A39,DB_Withdrawals!$G:$G),0)),"")</f>
        <v/>
      </c>
      <c r="N39" s="36" t="str">
        <f>IFERROR(IF(A39="","",MAX(0,M39-System_Config!$B$9)),"")</f>
        <v/>
      </c>
    </row>
    <row r="40" spans="1:14" ht="20.100000000000001" customHeight="1" x14ac:dyDescent="0.25">
      <c r="A40" s="34" t="str">
        <f>'NEW ACCOUNT'!A41</f>
        <v/>
      </c>
      <c r="B40" s="35" t="str">
        <f>IF('NEW ACCOUNT'!A41="","",'NEW ACCOUNT'!B41)</f>
        <v/>
      </c>
      <c r="C40" s="35" t="str">
        <f>IF('NEW ACCOUNT'!A41="","",'NEW ACCOUNT'!C41)</f>
        <v/>
      </c>
      <c r="D40" s="35" t="str">
        <f>IF('NEW ACCOUNT'!A41="","",'NEW ACCOUNT'!D41)</f>
        <v/>
      </c>
      <c r="E40" s="35" t="str">
        <f>IF('NEW ACCOUNT'!A41="","",'NEW ACCOUNT'!E41)</f>
        <v/>
      </c>
      <c r="F40" s="35" t="str">
        <f>IF('NEW ACCOUNT'!A41="","",'NEW ACCOUNT'!F41)</f>
        <v/>
      </c>
      <c r="G40" s="35" t="str">
        <f>IF('NEW ACCOUNT'!A41="","",'NEW ACCOUNT'!G41)</f>
        <v/>
      </c>
      <c r="H40" s="35" t="str">
        <f>IF('NEW ACCOUNT'!A41="","",'NEW ACCOUNT'!H41)</f>
        <v/>
      </c>
      <c r="I40" s="35" t="str">
        <f>IF('NEW ACCOUNT'!A41="","",'NEW ACCOUNT'!I41)</f>
        <v/>
      </c>
      <c r="J40" s="35" t="str">
        <f>IF('NEW ACCOUNT'!A41="","",'NEW ACCOUNT'!J41)</f>
        <v/>
      </c>
      <c r="K40" s="36" t="str">
        <f>IFERROR(IF(A40="","",SUMIF(DB_Savings!$A:$A,A40,DB_Savings!$F:$F)),"")</f>
        <v/>
      </c>
      <c r="L40" s="36" t="str">
        <f>IFERROR(IF(A40="","",SUMIF(DB_Withdrawals!$A:$A,A40,DB_Withdrawals!$G:$G)),"")</f>
        <v/>
      </c>
      <c r="M40" s="36" t="str">
        <f>IFERROR(IF(A40="","",IFERROR(VALUE(H40),0)+IFERROR(SUMIF(DB_Savings!$A:$A,A40,DB_Savings!$F:$F),0)-IFERROR(SUMIF(DB_Withdrawals!$A:$A,A40,DB_Withdrawals!$G:$G),0)),"")</f>
        <v/>
      </c>
      <c r="N40" s="36" t="str">
        <f>IFERROR(IF(A40="","",MAX(0,M40-System_Config!$B$9)),"")</f>
        <v/>
      </c>
    </row>
    <row r="41" spans="1:14" ht="20.100000000000001" customHeight="1" x14ac:dyDescent="0.25">
      <c r="A41" s="34" t="str">
        <f>'NEW ACCOUNT'!A42</f>
        <v/>
      </c>
      <c r="B41" s="35" t="str">
        <f>IF('NEW ACCOUNT'!A42="","",'NEW ACCOUNT'!B42)</f>
        <v/>
      </c>
      <c r="C41" s="35" t="str">
        <f>IF('NEW ACCOUNT'!A42="","",'NEW ACCOUNT'!C42)</f>
        <v/>
      </c>
      <c r="D41" s="35" t="str">
        <f>IF('NEW ACCOUNT'!A42="","",'NEW ACCOUNT'!D42)</f>
        <v/>
      </c>
      <c r="E41" s="35" t="str">
        <f>IF('NEW ACCOUNT'!A42="","",'NEW ACCOUNT'!E42)</f>
        <v/>
      </c>
      <c r="F41" s="35" t="str">
        <f>IF('NEW ACCOUNT'!A42="","",'NEW ACCOUNT'!F42)</f>
        <v/>
      </c>
      <c r="G41" s="35" t="str">
        <f>IF('NEW ACCOUNT'!A42="","",'NEW ACCOUNT'!G42)</f>
        <v/>
      </c>
      <c r="H41" s="35" t="str">
        <f>IF('NEW ACCOUNT'!A42="","",'NEW ACCOUNT'!H42)</f>
        <v/>
      </c>
      <c r="I41" s="35" t="str">
        <f>IF('NEW ACCOUNT'!A42="","",'NEW ACCOUNT'!I42)</f>
        <v/>
      </c>
      <c r="J41" s="35" t="str">
        <f>IF('NEW ACCOUNT'!A42="","",'NEW ACCOUNT'!J42)</f>
        <v/>
      </c>
      <c r="K41" s="36" t="str">
        <f>IFERROR(IF(A41="","",SUMIF(DB_Savings!$A:$A,A41,DB_Savings!$F:$F)),"")</f>
        <v/>
      </c>
      <c r="L41" s="36" t="str">
        <f>IFERROR(IF(A41="","",SUMIF(DB_Withdrawals!$A:$A,A41,DB_Withdrawals!$G:$G)),"")</f>
        <v/>
      </c>
      <c r="M41" s="36" t="str">
        <f>IFERROR(IF(A41="","",IFERROR(VALUE(H41),0)+IFERROR(SUMIF(DB_Savings!$A:$A,A41,DB_Savings!$F:$F),0)-IFERROR(SUMIF(DB_Withdrawals!$A:$A,A41,DB_Withdrawals!$G:$G),0)),"")</f>
        <v/>
      </c>
      <c r="N41" s="36" t="str">
        <f>IFERROR(IF(A41="","",MAX(0,M41-System_Config!$B$9)),"")</f>
        <v/>
      </c>
    </row>
    <row r="42" spans="1:14" ht="20.100000000000001" customHeight="1" x14ac:dyDescent="0.25">
      <c r="A42" s="34" t="str">
        <f>'NEW ACCOUNT'!A43</f>
        <v/>
      </c>
      <c r="B42" s="35" t="str">
        <f>IF('NEW ACCOUNT'!A43="","",'NEW ACCOUNT'!B43)</f>
        <v/>
      </c>
      <c r="C42" s="35" t="str">
        <f>IF('NEW ACCOUNT'!A43="","",'NEW ACCOUNT'!C43)</f>
        <v/>
      </c>
      <c r="D42" s="35" t="str">
        <f>IF('NEW ACCOUNT'!A43="","",'NEW ACCOUNT'!D43)</f>
        <v/>
      </c>
      <c r="E42" s="35" t="str">
        <f>IF('NEW ACCOUNT'!A43="","",'NEW ACCOUNT'!E43)</f>
        <v/>
      </c>
      <c r="F42" s="35" t="str">
        <f>IF('NEW ACCOUNT'!A43="","",'NEW ACCOUNT'!F43)</f>
        <v/>
      </c>
      <c r="G42" s="35" t="str">
        <f>IF('NEW ACCOUNT'!A43="","",'NEW ACCOUNT'!G43)</f>
        <v/>
      </c>
      <c r="H42" s="35" t="str">
        <f>IF('NEW ACCOUNT'!A43="","",'NEW ACCOUNT'!H43)</f>
        <v/>
      </c>
      <c r="I42" s="35" t="str">
        <f>IF('NEW ACCOUNT'!A43="","",'NEW ACCOUNT'!I43)</f>
        <v/>
      </c>
      <c r="J42" s="35" t="str">
        <f>IF('NEW ACCOUNT'!A43="","",'NEW ACCOUNT'!J43)</f>
        <v/>
      </c>
      <c r="K42" s="36" t="str">
        <f>IFERROR(IF(A42="","",SUMIF(DB_Savings!$A:$A,A42,DB_Savings!$F:$F)),"")</f>
        <v/>
      </c>
      <c r="L42" s="36" t="str">
        <f>IFERROR(IF(A42="","",SUMIF(DB_Withdrawals!$A:$A,A42,DB_Withdrawals!$G:$G)),"")</f>
        <v/>
      </c>
      <c r="M42" s="36" t="str">
        <f>IFERROR(IF(A42="","",IFERROR(VALUE(H42),0)+IFERROR(SUMIF(DB_Savings!$A:$A,A42,DB_Savings!$F:$F),0)-IFERROR(SUMIF(DB_Withdrawals!$A:$A,A42,DB_Withdrawals!$G:$G),0)),"")</f>
        <v/>
      </c>
      <c r="N42" s="36" t="str">
        <f>IFERROR(IF(A42="","",MAX(0,M42-System_Config!$B$9)),"")</f>
        <v/>
      </c>
    </row>
    <row r="43" spans="1:14" ht="20.100000000000001" customHeight="1" x14ac:dyDescent="0.25">
      <c r="A43" s="34" t="str">
        <f>'NEW ACCOUNT'!A44</f>
        <v/>
      </c>
      <c r="B43" s="35" t="str">
        <f>IF('NEW ACCOUNT'!A44="","",'NEW ACCOUNT'!B44)</f>
        <v/>
      </c>
      <c r="C43" s="35" t="str">
        <f>IF('NEW ACCOUNT'!A44="","",'NEW ACCOUNT'!C44)</f>
        <v/>
      </c>
      <c r="D43" s="35" t="str">
        <f>IF('NEW ACCOUNT'!A44="","",'NEW ACCOUNT'!D44)</f>
        <v/>
      </c>
      <c r="E43" s="35" t="str">
        <f>IF('NEW ACCOUNT'!A44="","",'NEW ACCOUNT'!E44)</f>
        <v/>
      </c>
      <c r="F43" s="35" t="str">
        <f>IF('NEW ACCOUNT'!A44="","",'NEW ACCOUNT'!F44)</f>
        <v/>
      </c>
      <c r="G43" s="35" t="str">
        <f>IF('NEW ACCOUNT'!A44="","",'NEW ACCOUNT'!G44)</f>
        <v/>
      </c>
      <c r="H43" s="35" t="str">
        <f>IF('NEW ACCOUNT'!A44="","",'NEW ACCOUNT'!H44)</f>
        <v/>
      </c>
      <c r="I43" s="35" t="str">
        <f>IF('NEW ACCOUNT'!A44="","",'NEW ACCOUNT'!I44)</f>
        <v/>
      </c>
      <c r="J43" s="35" t="str">
        <f>IF('NEW ACCOUNT'!A44="","",'NEW ACCOUNT'!J44)</f>
        <v/>
      </c>
      <c r="K43" s="36" t="str">
        <f>IFERROR(IF(A43="","",SUMIF(DB_Savings!$A:$A,A43,DB_Savings!$F:$F)),"")</f>
        <v/>
      </c>
      <c r="L43" s="36" t="str">
        <f>IFERROR(IF(A43="","",SUMIF(DB_Withdrawals!$A:$A,A43,DB_Withdrawals!$G:$G)),"")</f>
        <v/>
      </c>
      <c r="M43" s="36" t="str">
        <f>IFERROR(IF(A43="","",IFERROR(VALUE(H43),0)+IFERROR(SUMIF(DB_Savings!$A:$A,A43,DB_Savings!$F:$F),0)-IFERROR(SUMIF(DB_Withdrawals!$A:$A,A43,DB_Withdrawals!$G:$G),0)),"")</f>
        <v/>
      </c>
      <c r="N43" s="36" t="str">
        <f>IFERROR(IF(A43="","",MAX(0,M43-System_Config!$B$9)),"")</f>
        <v/>
      </c>
    </row>
    <row r="44" spans="1:14" ht="20.100000000000001" customHeight="1" x14ac:dyDescent="0.25">
      <c r="A44" s="34" t="str">
        <f>'NEW ACCOUNT'!A45</f>
        <v/>
      </c>
      <c r="B44" s="35" t="str">
        <f>IF('NEW ACCOUNT'!A45="","",'NEW ACCOUNT'!B45)</f>
        <v/>
      </c>
      <c r="C44" s="35" t="str">
        <f>IF('NEW ACCOUNT'!A45="","",'NEW ACCOUNT'!C45)</f>
        <v/>
      </c>
      <c r="D44" s="35" t="str">
        <f>IF('NEW ACCOUNT'!A45="","",'NEW ACCOUNT'!D45)</f>
        <v/>
      </c>
      <c r="E44" s="35" t="str">
        <f>IF('NEW ACCOUNT'!A45="","",'NEW ACCOUNT'!E45)</f>
        <v/>
      </c>
      <c r="F44" s="35" t="str">
        <f>IF('NEW ACCOUNT'!A45="","",'NEW ACCOUNT'!F45)</f>
        <v/>
      </c>
      <c r="G44" s="35" t="str">
        <f>IF('NEW ACCOUNT'!A45="","",'NEW ACCOUNT'!G45)</f>
        <v/>
      </c>
      <c r="H44" s="35" t="str">
        <f>IF('NEW ACCOUNT'!A45="","",'NEW ACCOUNT'!H45)</f>
        <v/>
      </c>
      <c r="I44" s="35" t="str">
        <f>IF('NEW ACCOUNT'!A45="","",'NEW ACCOUNT'!I45)</f>
        <v/>
      </c>
      <c r="J44" s="35" t="str">
        <f>IF('NEW ACCOUNT'!A45="","",'NEW ACCOUNT'!J45)</f>
        <v/>
      </c>
      <c r="K44" s="36" t="str">
        <f>IFERROR(IF(A44="","",SUMIF(DB_Savings!$A:$A,A44,DB_Savings!$F:$F)),"")</f>
        <v/>
      </c>
      <c r="L44" s="36" t="str">
        <f>IFERROR(IF(A44="","",SUMIF(DB_Withdrawals!$A:$A,A44,DB_Withdrawals!$G:$G)),"")</f>
        <v/>
      </c>
      <c r="M44" s="36" t="str">
        <f>IFERROR(IF(A44="","",IFERROR(VALUE(H44),0)+IFERROR(SUMIF(DB_Savings!$A:$A,A44,DB_Savings!$F:$F),0)-IFERROR(SUMIF(DB_Withdrawals!$A:$A,A44,DB_Withdrawals!$G:$G),0)),"")</f>
        <v/>
      </c>
      <c r="N44" s="36" t="str">
        <f>IFERROR(IF(A44="","",MAX(0,M44-System_Config!$B$9)),"")</f>
        <v/>
      </c>
    </row>
    <row r="45" spans="1:14" ht="20.100000000000001" customHeight="1" x14ac:dyDescent="0.25">
      <c r="A45" s="34" t="str">
        <f>'NEW ACCOUNT'!A46</f>
        <v/>
      </c>
      <c r="B45" s="35" t="str">
        <f>IF('NEW ACCOUNT'!A46="","",'NEW ACCOUNT'!B46)</f>
        <v/>
      </c>
      <c r="C45" s="35" t="str">
        <f>IF('NEW ACCOUNT'!A46="","",'NEW ACCOUNT'!C46)</f>
        <v/>
      </c>
      <c r="D45" s="35" t="str">
        <f>IF('NEW ACCOUNT'!A46="","",'NEW ACCOUNT'!D46)</f>
        <v/>
      </c>
      <c r="E45" s="35" t="str">
        <f>IF('NEW ACCOUNT'!A46="","",'NEW ACCOUNT'!E46)</f>
        <v/>
      </c>
      <c r="F45" s="35" t="str">
        <f>IF('NEW ACCOUNT'!A46="","",'NEW ACCOUNT'!F46)</f>
        <v/>
      </c>
      <c r="G45" s="35" t="str">
        <f>IF('NEW ACCOUNT'!A46="","",'NEW ACCOUNT'!G46)</f>
        <v/>
      </c>
      <c r="H45" s="35" t="str">
        <f>IF('NEW ACCOUNT'!A46="","",'NEW ACCOUNT'!H46)</f>
        <v/>
      </c>
      <c r="I45" s="35" t="str">
        <f>IF('NEW ACCOUNT'!A46="","",'NEW ACCOUNT'!I46)</f>
        <v/>
      </c>
      <c r="J45" s="35" t="str">
        <f>IF('NEW ACCOUNT'!A46="","",'NEW ACCOUNT'!J46)</f>
        <v/>
      </c>
      <c r="K45" s="36" t="str">
        <f>IFERROR(IF(A45="","",SUMIF(DB_Savings!$A:$A,A45,DB_Savings!$F:$F)),"")</f>
        <v/>
      </c>
      <c r="L45" s="36" t="str">
        <f>IFERROR(IF(A45="","",SUMIF(DB_Withdrawals!$A:$A,A45,DB_Withdrawals!$G:$G)),"")</f>
        <v/>
      </c>
      <c r="M45" s="36" t="str">
        <f>IFERROR(IF(A45="","",IFERROR(VALUE(H45),0)+IFERROR(SUMIF(DB_Savings!$A:$A,A45,DB_Savings!$F:$F),0)-IFERROR(SUMIF(DB_Withdrawals!$A:$A,A45,DB_Withdrawals!$G:$G),0)),"")</f>
        <v/>
      </c>
      <c r="N45" s="36" t="str">
        <f>IFERROR(IF(A45="","",MAX(0,M45-System_Config!$B$9)),"")</f>
        <v/>
      </c>
    </row>
    <row r="46" spans="1:14" ht="20.100000000000001" customHeight="1" x14ac:dyDescent="0.25">
      <c r="A46" s="34" t="str">
        <f>'NEW ACCOUNT'!A47</f>
        <v/>
      </c>
      <c r="B46" s="35" t="str">
        <f>IF('NEW ACCOUNT'!A47="","",'NEW ACCOUNT'!B47)</f>
        <v/>
      </c>
      <c r="C46" s="35" t="str">
        <f>IF('NEW ACCOUNT'!A47="","",'NEW ACCOUNT'!C47)</f>
        <v/>
      </c>
      <c r="D46" s="35" t="str">
        <f>IF('NEW ACCOUNT'!A47="","",'NEW ACCOUNT'!D47)</f>
        <v/>
      </c>
      <c r="E46" s="35" t="str">
        <f>IF('NEW ACCOUNT'!A47="","",'NEW ACCOUNT'!E47)</f>
        <v/>
      </c>
      <c r="F46" s="35" t="str">
        <f>IF('NEW ACCOUNT'!A47="","",'NEW ACCOUNT'!F47)</f>
        <v/>
      </c>
      <c r="G46" s="35" t="str">
        <f>IF('NEW ACCOUNT'!A47="","",'NEW ACCOUNT'!G47)</f>
        <v/>
      </c>
      <c r="H46" s="35" t="str">
        <f>IF('NEW ACCOUNT'!A47="","",'NEW ACCOUNT'!H47)</f>
        <v/>
      </c>
      <c r="I46" s="35" t="str">
        <f>IF('NEW ACCOUNT'!A47="","",'NEW ACCOUNT'!I47)</f>
        <v/>
      </c>
      <c r="J46" s="35" t="str">
        <f>IF('NEW ACCOUNT'!A47="","",'NEW ACCOUNT'!J47)</f>
        <v/>
      </c>
      <c r="K46" s="36" t="str">
        <f>IFERROR(IF(A46="","",SUMIF(DB_Savings!$A:$A,A46,DB_Savings!$F:$F)),"")</f>
        <v/>
      </c>
      <c r="L46" s="36" t="str">
        <f>IFERROR(IF(A46="","",SUMIF(DB_Withdrawals!$A:$A,A46,DB_Withdrawals!$G:$G)),"")</f>
        <v/>
      </c>
      <c r="M46" s="36" t="str">
        <f>IFERROR(IF(A46="","",IFERROR(VALUE(H46),0)+IFERROR(SUMIF(DB_Savings!$A:$A,A46,DB_Savings!$F:$F),0)-IFERROR(SUMIF(DB_Withdrawals!$A:$A,A46,DB_Withdrawals!$G:$G),0)),"")</f>
        <v/>
      </c>
      <c r="N46" s="36" t="str">
        <f>IFERROR(IF(A46="","",MAX(0,M46-System_Config!$B$9)),"")</f>
        <v/>
      </c>
    </row>
    <row r="47" spans="1:14" ht="20.100000000000001" customHeight="1" x14ac:dyDescent="0.25">
      <c r="A47" s="34" t="str">
        <f>'NEW ACCOUNT'!A48</f>
        <v/>
      </c>
      <c r="B47" s="35" t="str">
        <f>IF('NEW ACCOUNT'!A48="","",'NEW ACCOUNT'!B48)</f>
        <v/>
      </c>
      <c r="C47" s="35" t="str">
        <f>IF('NEW ACCOUNT'!A48="","",'NEW ACCOUNT'!C48)</f>
        <v/>
      </c>
      <c r="D47" s="35" t="str">
        <f>IF('NEW ACCOUNT'!A48="","",'NEW ACCOUNT'!D48)</f>
        <v/>
      </c>
      <c r="E47" s="35" t="str">
        <f>IF('NEW ACCOUNT'!A48="","",'NEW ACCOUNT'!E48)</f>
        <v/>
      </c>
      <c r="F47" s="35" t="str">
        <f>IF('NEW ACCOUNT'!A48="","",'NEW ACCOUNT'!F48)</f>
        <v/>
      </c>
      <c r="G47" s="35" t="str">
        <f>IF('NEW ACCOUNT'!A48="","",'NEW ACCOUNT'!G48)</f>
        <v/>
      </c>
      <c r="H47" s="35" t="str">
        <f>IF('NEW ACCOUNT'!A48="","",'NEW ACCOUNT'!H48)</f>
        <v/>
      </c>
      <c r="I47" s="35" t="str">
        <f>IF('NEW ACCOUNT'!A48="","",'NEW ACCOUNT'!I48)</f>
        <v/>
      </c>
      <c r="J47" s="35" t="str">
        <f>IF('NEW ACCOUNT'!A48="","",'NEW ACCOUNT'!J48)</f>
        <v/>
      </c>
      <c r="K47" s="36" t="str">
        <f>IFERROR(IF(A47="","",SUMIF(DB_Savings!$A:$A,A47,DB_Savings!$F:$F)),"")</f>
        <v/>
      </c>
      <c r="L47" s="36" t="str">
        <f>IFERROR(IF(A47="","",SUMIF(DB_Withdrawals!$A:$A,A47,DB_Withdrawals!$G:$G)),"")</f>
        <v/>
      </c>
      <c r="M47" s="36" t="str">
        <f>IFERROR(IF(A47="","",IFERROR(VALUE(H47),0)+IFERROR(SUMIF(DB_Savings!$A:$A,A47,DB_Savings!$F:$F),0)-IFERROR(SUMIF(DB_Withdrawals!$A:$A,A47,DB_Withdrawals!$G:$G),0)),"")</f>
        <v/>
      </c>
      <c r="N47" s="36" t="str">
        <f>IFERROR(IF(A47="","",MAX(0,M47-System_Config!$B$9)),"")</f>
        <v/>
      </c>
    </row>
    <row r="48" spans="1:14" ht="20.100000000000001" customHeight="1" x14ac:dyDescent="0.25">
      <c r="A48" s="34" t="str">
        <f>'NEW ACCOUNT'!A49</f>
        <v/>
      </c>
      <c r="B48" s="35" t="str">
        <f>IF('NEW ACCOUNT'!A49="","",'NEW ACCOUNT'!B49)</f>
        <v/>
      </c>
      <c r="C48" s="35" t="str">
        <f>IF('NEW ACCOUNT'!A49="","",'NEW ACCOUNT'!C49)</f>
        <v/>
      </c>
      <c r="D48" s="35" t="str">
        <f>IF('NEW ACCOUNT'!A49="","",'NEW ACCOUNT'!D49)</f>
        <v/>
      </c>
      <c r="E48" s="35" t="str">
        <f>IF('NEW ACCOUNT'!A49="","",'NEW ACCOUNT'!E49)</f>
        <v/>
      </c>
      <c r="F48" s="35" t="str">
        <f>IF('NEW ACCOUNT'!A49="","",'NEW ACCOUNT'!F49)</f>
        <v/>
      </c>
      <c r="G48" s="35" t="str">
        <f>IF('NEW ACCOUNT'!A49="","",'NEW ACCOUNT'!G49)</f>
        <v/>
      </c>
      <c r="H48" s="35" t="str">
        <f>IF('NEW ACCOUNT'!A49="","",'NEW ACCOUNT'!H49)</f>
        <v/>
      </c>
      <c r="I48" s="35" t="str">
        <f>IF('NEW ACCOUNT'!A49="","",'NEW ACCOUNT'!I49)</f>
        <v/>
      </c>
      <c r="J48" s="35" t="str">
        <f>IF('NEW ACCOUNT'!A49="","",'NEW ACCOUNT'!J49)</f>
        <v/>
      </c>
      <c r="K48" s="36" t="str">
        <f>IFERROR(IF(A48="","",SUMIF(DB_Savings!$A:$A,A48,DB_Savings!$F:$F)),"")</f>
        <v/>
      </c>
      <c r="L48" s="36" t="str">
        <f>IFERROR(IF(A48="","",SUMIF(DB_Withdrawals!$A:$A,A48,DB_Withdrawals!$G:$G)),"")</f>
        <v/>
      </c>
      <c r="M48" s="36" t="str">
        <f>IFERROR(IF(A48="","",IFERROR(VALUE(H48),0)+IFERROR(SUMIF(DB_Savings!$A:$A,A48,DB_Savings!$F:$F),0)-IFERROR(SUMIF(DB_Withdrawals!$A:$A,A48,DB_Withdrawals!$G:$G),0)),"")</f>
        <v/>
      </c>
      <c r="N48" s="36" t="str">
        <f>IFERROR(IF(A48="","",MAX(0,M48-System_Config!$B$9)),"")</f>
        <v/>
      </c>
    </row>
    <row r="49" spans="1:14" ht="20.100000000000001" customHeight="1" x14ac:dyDescent="0.25">
      <c r="A49" s="34" t="str">
        <f>'NEW ACCOUNT'!A50</f>
        <v/>
      </c>
      <c r="B49" s="35" t="str">
        <f>IF('NEW ACCOUNT'!A50="","",'NEW ACCOUNT'!B50)</f>
        <v/>
      </c>
      <c r="C49" s="35" t="str">
        <f>IF('NEW ACCOUNT'!A50="","",'NEW ACCOUNT'!C50)</f>
        <v/>
      </c>
      <c r="D49" s="35" t="str">
        <f>IF('NEW ACCOUNT'!A50="","",'NEW ACCOUNT'!D50)</f>
        <v/>
      </c>
      <c r="E49" s="35" t="str">
        <f>IF('NEW ACCOUNT'!A50="","",'NEW ACCOUNT'!E50)</f>
        <v/>
      </c>
      <c r="F49" s="35" t="str">
        <f>IF('NEW ACCOUNT'!A50="","",'NEW ACCOUNT'!F50)</f>
        <v/>
      </c>
      <c r="G49" s="35" t="str">
        <f>IF('NEW ACCOUNT'!A50="","",'NEW ACCOUNT'!G50)</f>
        <v/>
      </c>
      <c r="H49" s="35" t="str">
        <f>IF('NEW ACCOUNT'!A50="","",'NEW ACCOUNT'!H50)</f>
        <v/>
      </c>
      <c r="I49" s="35" t="str">
        <f>IF('NEW ACCOUNT'!A50="","",'NEW ACCOUNT'!I50)</f>
        <v/>
      </c>
      <c r="J49" s="35" t="str">
        <f>IF('NEW ACCOUNT'!A50="","",'NEW ACCOUNT'!J50)</f>
        <v/>
      </c>
      <c r="K49" s="36" t="str">
        <f>IFERROR(IF(A49="","",SUMIF(DB_Savings!$A:$A,A49,DB_Savings!$F:$F)),"")</f>
        <v/>
      </c>
      <c r="L49" s="36" t="str">
        <f>IFERROR(IF(A49="","",SUMIF(DB_Withdrawals!$A:$A,A49,DB_Withdrawals!$G:$G)),"")</f>
        <v/>
      </c>
      <c r="M49" s="36" t="str">
        <f>IFERROR(IF(A49="","",IFERROR(VALUE(H49),0)+IFERROR(SUMIF(DB_Savings!$A:$A,A49,DB_Savings!$F:$F),0)-IFERROR(SUMIF(DB_Withdrawals!$A:$A,A49,DB_Withdrawals!$G:$G),0)),"")</f>
        <v/>
      </c>
      <c r="N49" s="36" t="str">
        <f>IFERROR(IF(A49="","",MAX(0,M49-System_Config!$B$9)),"")</f>
        <v/>
      </c>
    </row>
    <row r="50" spans="1:14" ht="20.100000000000001" customHeight="1" x14ac:dyDescent="0.25">
      <c r="A50" s="34" t="str">
        <f>'NEW ACCOUNT'!A51</f>
        <v/>
      </c>
      <c r="B50" s="35" t="str">
        <f>IF('NEW ACCOUNT'!A51="","",'NEW ACCOUNT'!B51)</f>
        <v/>
      </c>
      <c r="C50" s="35" t="str">
        <f>IF('NEW ACCOUNT'!A51="","",'NEW ACCOUNT'!C51)</f>
        <v/>
      </c>
      <c r="D50" s="35" t="str">
        <f>IF('NEW ACCOUNT'!A51="","",'NEW ACCOUNT'!D51)</f>
        <v/>
      </c>
      <c r="E50" s="35" t="str">
        <f>IF('NEW ACCOUNT'!A51="","",'NEW ACCOUNT'!E51)</f>
        <v/>
      </c>
      <c r="F50" s="35" t="str">
        <f>IF('NEW ACCOUNT'!A51="","",'NEW ACCOUNT'!F51)</f>
        <v/>
      </c>
      <c r="G50" s="35" t="str">
        <f>IF('NEW ACCOUNT'!A51="","",'NEW ACCOUNT'!G51)</f>
        <v/>
      </c>
      <c r="H50" s="35" t="str">
        <f>IF('NEW ACCOUNT'!A51="","",'NEW ACCOUNT'!H51)</f>
        <v/>
      </c>
      <c r="I50" s="35" t="str">
        <f>IF('NEW ACCOUNT'!A51="","",'NEW ACCOUNT'!I51)</f>
        <v/>
      </c>
      <c r="J50" s="35" t="str">
        <f>IF('NEW ACCOUNT'!A51="","",'NEW ACCOUNT'!J51)</f>
        <v/>
      </c>
      <c r="K50" s="36" t="str">
        <f>IFERROR(IF(A50="","",SUMIF(DB_Savings!$A:$A,A50,DB_Savings!$F:$F)),"")</f>
        <v/>
      </c>
      <c r="L50" s="36" t="str">
        <f>IFERROR(IF(A50="","",SUMIF(DB_Withdrawals!$A:$A,A50,DB_Withdrawals!$G:$G)),"")</f>
        <v/>
      </c>
      <c r="M50" s="36" t="str">
        <f>IFERROR(IF(A50="","",IFERROR(VALUE(H50),0)+IFERROR(SUMIF(DB_Savings!$A:$A,A50,DB_Savings!$F:$F),0)-IFERROR(SUMIF(DB_Withdrawals!$A:$A,A50,DB_Withdrawals!$G:$G),0)),"")</f>
        <v/>
      </c>
      <c r="N50" s="36" t="str">
        <f>IFERROR(IF(A50="","",MAX(0,M50-System_Config!$B$9)),"")</f>
        <v/>
      </c>
    </row>
    <row r="51" spans="1:14" ht="20.100000000000001" customHeight="1" x14ac:dyDescent="0.25">
      <c r="A51" s="34" t="str">
        <f>'NEW ACCOUNT'!A52</f>
        <v/>
      </c>
      <c r="B51" s="35" t="str">
        <f>IF('NEW ACCOUNT'!A52="","",'NEW ACCOUNT'!B52)</f>
        <v/>
      </c>
      <c r="C51" s="35" t="str">
        <f>IF('NEW ACCOUNT'!A52="","",'NEW ACCOUNT'!C52)</f>
        <v/>
      </c>
      <c r="D51" s="35" t="str">
        <f>IF('NEW ACCOUNT'!A52="","",'NEW ACCOUNT'!D52)</f>
        <v/>
      </c>
      <c r="E51" s="35" t="str">
        <f>IF('NEW ACCOUNT'!A52="","",'NEW ACCOUNT'!E52)</f>
        <v/>
      </c>
      <c r="F51" s="35" t="str">
        <f>IF('NEW ACCOUNT'!A52="","",'NEW ACCOUNT'!F52)</f>
        <v/>
      </c>
      <c r="G51" s="35" t="str">
        <f>IF('NEW ACCOUNT'!A52="","",'NEW ACCOUNT'!G52)</f>
        <v/>
      </c>
      <c r="H51" s="35" t="str">
        <f>IF('NEW ACCOUNT'!A52="","",'NEW ACCOUNT'!H52)</f>
        <v/>
      </c>
      <c r="I51" s="35" t="str">
        <f>IF('NEW ACCOUNT'!A52="","",'NEW ACCOUNT'!I52)</f>
        <v/>
      </c>
      <c r="J51" s="35" t="str">
        <f>IF('NEW ACCOUNT'!A52="","",'NEW ACCOUNT'!J52)</f>
        <v/>
      </c>
      <c r="K51" s="36" t="str">
        <f>IFERROR(IF(A51="","",SUMIF(DB_Savings!$A:$A,A51,DB_Savings!$F:$F)),"")</f>
        <v/>
      </c>
      <c r="L51" s="36" t="str">
        <f>IFERROR(IF(A51="","",SUMIF(DB_Withdrawals!$A:$A,A51,DB_Withdrawals!$G:$G)),"")</f>
        <v/>
      </c>
      <c r="M51" s="36" t="str">
        <f>IFERROR(IF(A51="","",IFERROR(VALUE(H51),0)+IFERROR(SUMIF(DB_Savings!$A:$A,A51,DB_Savings!$F:$F),0)-IFERROR(SUMIF(DB_Withdrawals!$A:$A,A51,DB_Withdrawals!$G:$G),0)),"")</f>
        <v/>
      </c>
      <c r="N51" s="36" t="str">
        <f>IFERROR(IF(A51="","",MAX(0,M51-System_Config!$B$9)),"")</f>
        <v/>
      </c>
    </row>
    <row r="52" spans="1:14" ht="20.100000000000001" customHeight="1" x14ac:dyDescent="0.25">
      <c r="A52" s="34" t="str">
        <f>'NEW ACCOUNT'!A53</f>
        <v/>
      </c>
      <c r="B52" s="35" t="str">
        <f>IF('NEW ACCOUNT'!A53="","",'NEW ACCOUNT'!B53)</f>
        <v/>
      </c>
      <c r="C52" s="35" t="str">
        <f>IF('NEW ACCOUNT'!A53="","",'NEW ACCOUNT'!C53)</f>
        <v/>
      </c>
      <c r="D52" s="35" t="str">
        <f>IF('NEW ACCOUNT'!A53="","",'NEW ACCOUNT'!D53)</f>
        <v/>
      </c>
      <c r="E52" s="35" t="str">
        <f>IF('NEW ACCOUNT'!A53="","",'NEW ACCOUNT'!E53)</f>
        <v/>
      </c>
      <c r="F52" s="35" t="str">
        <f>IF('NEW ACCOUNT'!A53="","",'NEW ACCOUNT'!F53)</f>
        <v/>
      </c>
      <c r="G52" s="35" t="str">
        <f>IF('NEW ACCOUNT'!A53="","",'NEW ACCOUNT'!G53)</f>
        <v/>
      </c>
      <c r="H52" s="35" t="str">
        <f>IF('NEW ACCOUNT'!A53="","",'NEW ACCOUNT'!H53)</f>
        <v/>
      </c>
      <c r="I52" s="35" t="str">
        <f>IF('NEW ACCOUNT'!A53="","",'NEW ACCOUNT'!I53)</f>
        <v/>
      </c>
      <c r="J52" s="35" t="str">
        <f>IF('NEW ACCOUNT'!A53="","",'NEW ACCOUNT'!J53)</f>
        <v/>
      </c>
      <c r="K52" s="36" t="str">
        <f>IFERROR(IF(A52="","",SUMIF(DB_Savings!$A:$A,A52,DB_Savings!$F:$F)),"")</f>
        <v/>
      </c>
      <c r="L52" s="36" t="str">
        <f>IFERROR(IF(A52="","",SUMIF(DB_Withdrawals!$A:$A,A52,DB_Withdrawals!$G:$G)),"")</f>
        <v/>
      </c>
      <c r="M52" s="36" t="str">
        <f>IFERROR(IF(A52="","",IFERROR(VALUE(H52),0)+IFERROR(SUMIF(DB_Savings!$A:$A,A52,DB_Savings!$F:$F),0)-IFERROR(SUMIF(DB_Withdrawals!$A:$A,A52,DB_Withdrawals!$G:$G),0)),"")</f>
        <v/>
      </c>
      <c r="N52" s="36" t="str">
        <f>IFERROR(IF(A52="","",MAX(0,M52-System_Config!$B$9)),"")</f>
        <v/>
      </c>
    </row>
    <row r="53" spans="1:14" ht="20.100000000000001" customHeight="1" x14ac:dyDescent="0.25">
      <c r="A53" s="34" t="str">
        <f>'NEW ACCOUNT'!A54</f>
        <v/>
      </c>
      <c r="B53" s="35" t="str">
        <f>IF('NEW ACCOUNT'!A54="","",'NEW ACCOUNT'!B54)</f>
        <v/>
      </c>
      <c r="C53" s="35" t="str">
        <f>IF('NEW ACCOUNT'!A54="","",'NEW ACCOUNT'!C54)</f>
        <v/>
      </c>
      <c r="D53" s="35" t="str">
        <f>IF('NEW ACCOUNT'!A54="","",'NEW ACCOUNT'!D54)</f>
        <v/>
      </c>
      <c r="E53" s="35" t="str">
        <f>IF('NEW ACCOUNT'!A54="","",'NEW ACCOUNT'!E54)</f>
        <v/>
      </c>
      <c r="F53" s="35" t="str">
        <f>IF('NEW ACCOUNT'!A54="","",'NEW ACCOUNT'!F54)</f>
        <v/>
      </c>
      <c r="G53" s="35" t="str">
        <f>IF('NEW ACCOUNT'!A54="","",'NEW ACCOUNT'!G54)</f>
        <v/>
      </c>
      <c r="H53" s="35" t="str">
        <f>IF('NEW ACCOUNT'!A54="","",'NEW ACCOUNT'!H54)</f>
        <v/>
      </c>
      <c r="I53" s="35" t="str">
        <f>IF('NEW ACCOUNT'!A54="","",'NEW ACCOUNT'!I54)</f>
        <v/>
      </c>
      <c r="J53" s="35" t="str">
        <f>IF('NEW ACCOUNT'!A54="","",'NEW ACCOUNT'!J54)</f>
        <v/>
      </c>
      <c r="K53" s="36" t="str">
        <f>IFERROR(IF(A53="","",SUMIF(DB_Savings!$A:$A,A53,DB_Savings!$F:$F)),"")</f>
        <v/>
      </c>
      <c r="L53" s="36" t="str">
        <f>IFERROR(IF(A53="","",SUMIF(DB_Withdrawals!$A:$A,A53,DB_Withdrawals!$G:$G)),"")</f>
        <v/>
      </c>
      <c r="M53" s="36" t="str">
        <f>IFERROR(IF(A53="","",IFERROR(VALUE(H53),0)+IFERROR(SUMIF(DB_Savings!$A:$A,A53,DB_Savings!$F:$F),0)-IFERROR(SUMIF(DB_Withdrawals!$A:$A,A53,DB_Withdrawals!$G:$G),0)),"")</f>
        <v/>
      </c>
      <c r="N53" s="36" t="str">
        <f>IFERROR(IF(A53="","",MAX(0,M53-System_Config!$B$9)),"")</f>
        <v/>
      </c>
    </row>
    <row r="54" spans="1:14" ht="20.100000000000001" customHeight="1" x14ac:dyDescent="0.25">
      <c r="A54" s="34" t="str">
        <f>'NEW ACCOUNT'!A55</f>
        <v/>
      </c>
      <c r="B54" s="35" t="str">
        <f>IF('NEW ACCOUNT'!A55="","",'NEW ACCOUNT'!B55)</f>
        <v/>
      </c>
      <c r="C54" s="35" t="str">
        <f>IF('NEW ACCOUNT'!A55="","",'NEW ACCOUNT'!C55)</f>
        <v/>
      </c>
      <c r="D54" s="35" t="str">
        <f>IF('NEW ACCOUNT'!A55="","",'NEW ACCOUNT'!D55)</f>
        <v/>
      </c>
      <c r="E54" s="35" t="str">
        <f>IF('NEW ACCOUNT'!A55="","",'NEW ACCOUNT'!E55)</f>
        <v/>
      </c>
      <c r="F54" s="35" t="str">
        <f>IF('NEW ACCOUNT'!A55="","",'NEW ACCOUNT'!F55)</f>
        <v/>
      </c>
      <c r="G54" s="35" t="str">
        <f>IF('NEW ACCOUNT'!A55="","",'NEW ACCOUNT'!G55)</f>
        <v/>
      </c>
      <c r="H54" s="35" t="str">
        <f>IF('NEW ACCOUNT'!A55="","",'NEW ACCOUNT'!H55)</f>
        <v/>
      </c>
      <c r="I54" s="35" t="str">
        <f>IF('NEW ACCOUNT'!A55="","",'NEW ACCOUNT'!I55)</f>
        <v/>
      </c>
      <c r="J54" s="35" t="str">
        <f>IF('NEW ACCOUNT'!A55="","",'NEW ACCOUNT'!J55)</f>
        <v/>
      </c>
      <c r="K54" s="36" t="str">
        <f>IFERROR(IF(A54="","",SUMIF(DB_Savings!$A:$A,A54,DB_Savings!$F:$F)),"")</f>
        <v/>
      </c>
      <c r="L54" s="36" t="str">
        <f>IFERROR(IF(A54="","",SUMIF(DB_Withdrawals!$A:$A,A54,DB_Withdrawals!$G:$G)),"")</f>
        <v/>
      </c>
      <c r="M54" s="36" t="str">
        <f>IFERROR(IF(A54="","",IFERROR(VALUE(H54),0)+IFERROR(SUMIF(DB_Savings!$A:$A,A54,DB_Savings!$F:$F),0)-IFERROR(SUMIF(DB_Withdrawals!$A:$A,A54,DB_Withdrawals!$G:$G),0)),"")</f>
        <v/>
      </c>
      <c r="N54" s="36" t="str">
        <f>IFERROR(IF(A54="","",MAX(0,M54-System_Config!$B$9)),"")</f>
        <v/>
      </c>
    </row>
    <row r="55" spans="1:14" ht="20.100000000000001" customHeight="1" x14ac:dyDescent="0.25">
      <c r="A55" s="34" t="str">
        <f>'NEW ACCOUNT'!A56</f>
        <v/>
      </c>
      <c r="B55" s="35" t="str">
        <f>IF('NEW ACCOUNT'!A56="","",'NEW ACCOUNT'!B56)</f>
        <v/>
      </c>
      <c r="C55" s="35" t="str">
        <f>IF('NEW ACCOUNT'!A56="","",'NEW ACCOUNT'!C56)</f>
        <v/>
      </c>
      <c r="D55" s="35" t="str">
        <f>IF('NEW ACCOUNT'!A56="","",'NEW ACCOUNT'!D56)</f>
        <v/>
      </c>
      <c r="E55" s="35" t="str">
        <f>IF('NEW ACCOUNT'!A56="","",'NEW ACCOUNT'!E56)</f>
        <v/>
      </c>
      <c r="F55" s="35" t="str">
        <f>IF('NEW ACCOUNT'!A56="","",'NEW ACCOUNT'!F56)</f>
        <v/>
      </c>
      <c r="G55" s="35" t="str">
        <f>IF('NEW ACCOUNT'!A56="","",'NEW ACCOUNT'!G56)</f>
        <v/>
      </c>
      <c r="H55" s="35" t="str">
        <f>IF('NEW ACCOUNT'!A56="","",'NEW ACCOUNT'!H56)</f>
        <v/>
      </c>
      <c r="I55" s="35" t="str">
        <f>IF('NEW ACCOUNT'!A56="","",'NEW ACCOUNT'!I56)</f>
        <v/>
      </c>
      <c r="J55" s="35" t="str">
        <f>IF('NEW ACCOUNT'!A56="","",'NEW ACCOUNT'!J56)</f>
        <v/>
      </c>
      <c r="K55" s="36" t="str">
        <f>IFERROR(IF(A55="","",SUMIF(DB_Savings!$A:$A,A55,DB_Savings!$F:$F)),"")</f>
        <v/>
      </c>
      <c r="L55" s="36" t="str">
        <f>IFERROR(IF(A55="","",SUMIF(DB_Withdrawals!$A:$A,A55,DB_Withdrawals!$G:$G)),"")</f>
        <v/>
      </c>
      <c r="M55" s="36" t="str">
        <f>IFERROR(IF(A55="","",IFERROR(VALUE(H55),0)+IFERROR(SUMIF(DB_Savings!$A:$A,A55,DB_Savings!$F:$F),0)-IFERROR(SUMIF(DB_Withdrawals!$A:$A,A55,DB_Withdrawals!$G:$G),0)),"")</f>
        <v/>
      </c>
      <c r="N55" s="36" t="str">
        <f>IFERROR(IF(A55="","",MAX(0,M55-System_Config!$B$9)),"")</f>
        <v/>
      </c>
    </row>
    <row r="56" spans="1:14" ht="20.100000000000001" customHeight="1" x14ac:dyDescent="0.25">
      <c r="A56" s="34" t="str">
        <f>'NEW ACCOUNT'!A57</f>
        <v/>
      </c>
      <c r="B56" s="35" t="str">
        <f>IF('NEW ACCOUNT'!A57="","",'NEW ACCOUNT'!B57)</f>
        <v/>
      </c>
      <c r="C56" s="35" t="str">
        <f>IF('NEW ACCOUNT'!A57="","",'NEW ACCOUNT'!C57)</f>
        <v/>
      </c>
      <c r="D56" s="35" t="str">
        <f>IF('NEW ACCOUNT'!A57="","",'NEW ACCOUNT'!D57)</f>
        <v/>
      </c>
      <c r="E56" s="35" t="str">
        <f>IF('NEW ACCOUNT'!A57="","",'NEW ACCOUNT'!E57)</f>
        <v/>
      </c>
      <c r="F56" s="35" t="str">
        <f>IF('NEW ACCOUNT'!A57="","",'NEW ACCOUNT'!F57)</f>
        <v/>
      </c>
      <c r="G56" s="35" t="str">
        <f>IF('NEW ACCOUNT'!A57="","",'NEW ACCOUNT'!G57)</f>
        <v/>
      </c>
      <c r="H56" s="35" t="str">
        <f>IF('NEW ACCOUNT'!A57="","",'NEW ACCOUNT'!H57)</f>
        <v/>
      </c>
      <c r="I56" s="35" t="str">
        <f>IF('NEW ACCOUNT'!A57="","",'NEW ACCOUNT'!I57)</f>
        <v/>
      </c>
      <c r="J56" s="35" t="str">
        <f>IF('NEW ACCOUNT'!A57="","",'NEW ACCOUNT'!J57)</f>
        <v/>
      </c>
      <c r="K56" s="36" t="str">
        <f>IFERROR(IF(A56="","",SUMIF(DB_Savings!$A:$A,A56,DB_Savings!$F:$F)),"")</f>
        <v/>
      </c>
      <c r="L56" s="36" t="str">
        <f>IFERROR(IF(A56="","",SUMIF(DB_Withdrawals!$A:$A,A56,DB_Withdrawals!$G:$G)),"")</f>
        <v/>
      </c>
      <c r="M56" s="36" t="str">
        <f>IFERROR(IF(A56="","",IFERROR(VALUE(H56),0)+IFERROR(SUMIF(DB_Savings!$A:$A,A56,DB_Savings!$F:$F),0)-IFERROR(SUMIF(DB_Withdrawals!$A:$A,A56,DB_Withdrawals!$G:$G),0)),"")</f>
        <v/>
      </c>
      <c r="N56" s="36" t="str">
        <f>IFERROR(IF(A56="","",MAX(0,M56-System_Config!$B$9)),"")</f>
        <v/>
      </c>
    </row>
    <row r="57" spans="1:14" ht="20.100000000000001" customHeight="1" x14ac:dyDescent="0.25">
      <c r="A57" s="34" t="str">
        <f>'NEW ACCOUNT'!A58</f>
        <v/>
      </c>
      <c r="B57" s="35" t="str">
        <f>IF('NEW ACCOUNT'!A58="","",'NEW ACCOUNT'!B58)</f>
        <v/>
      </c>
      <c r="C57" s="35" t="str">
        <f>IF('NEW ACCOUNT'!A58="","",'NEW ACCOUNT'!C58)</f>
        <v/>
      </c>
      <c r="D57" s="35" t="str">
        <f>IF('NEW ACCOUNT'!A58="","",'NEW ACCOUNT'!D58)</f>
        <v/>
      </c>
      <c r="E57" s="35" t="str">
        <f>IF('NEW ACCOUNT'!A58="","",'NEW ACCOUNT'!E58)</f>
        <v/>
      </c>
      <c r="F57" s="35" t="str">
        <f>IF('NEW ACCOUNT'!A58="","",'NEW ACCOUNT'!F58)</f>
        <v/>
      </c>
      <c r="G57" s="35" t="str">
        <f>IF('NEW ACCOUNT'!A58="","",'NEW ACCOUNT'!G58)</f>
        <v/>
      </c>
      <c r="H57" s="35" t="str">
        <f>IF('NEW ACCOUNT'!A58="","",'NEW ACCOUNT'!H58)</f>
        <v/>
      </c>
      <c r="I57" s="35" t="str">
        <f>IF('NEW ACCOUNT'!A58="","",'NEW ACCOUNT'!I58)</f>
        <v/>
      </c>
      <c r="J57" s="35" t="str">
        <f>IF('NEW ACCOUNT'!A58="","",'NEW ACCOUNT'!J58)</f>
        <v/>
      </c>
      <c r="K57" s="36" t="str">
        <f>IFERROR(IF(A57="","",SUMIF(DB_Savings!$A:$A,A57,DB_Savings!$F:$F)),"")</f>
        <v/>
      </c>
      <c r="L57" s="36" t="str">
        <f>IFERROR(IF(A57="","",SUMIF(DB_Withdrawals!$A:$A,A57,DB_Withdrawals!$G:$G)),"")</f>
        <v/>
      </c>
      <c r="M57" s="36" t="str">
        <f>IFERROR(IF(A57="","",IFERROR(VALUE(H57),0)+IFERROR(SUMIF(DB_Savings!$A:$A,A57,DB_Savings!$F:$F),0)-IFERROR(SUMIF(DB_Withdrawals!$A:$A,A57,DB_Withdrawals!$G:$G),0)),"")</f>
        <v/>
      </c>
      <c r="N57" s="36" t="str">
        <f>IFERROR(IF(A57="","",MAX(0,M57-System_Config!$B$9)),"")</f>
        <v/>
      </c>
    </row>
    <row r="58" spans="1:14" ht="20.100000000000001" customHeight="1" x14ac:dyDescent="0.25">
      <c r="A58" s="34" t="str">
        <f>'NEW ACCOUNT'!A59</f>
        <v/>
      </c>
      <c r="B58" s="35" t="str">
        <f>IF('NEW ACCOUNT'!A59="","",'NEW ACCOUNT'!B59)</f>
        <v/>
      </c>
      <c r="C58" s="35" t="str">
        <f>IF('NEW ACCOUNT'!A59="","",'NEW ACCOUNT'!C59)</f>
        <v/>
      </c>
      <c r="D58" s="35" t="str">
        <f>IF('NEW ACCOUNT'!A59="","",'NEW ACCOUNT'!D59)</f>
        <v/>
      </c>
      <c r="E58" s="35" t="str">
        <f>IF('NEW ACCOUNT'!A59="","",'NEW ACCOUNT'!E59)</f>
        <v/>
      </c>
      <c r="F58" s="35" t="str">
        <f>IF('NEW ACCOUNT'!A59="","",'NEW ACCOUNT'!F59)</f>
        <v/>
      </c>
      <c r="G58" s="35" t="str">
        <f>IF('NEW ACCOUNT'!A59="","",'NEW ACCOUNT'!G59)</f>
        <v/>
      </c>
      <c r="H58" s="35" t="str">
        <f>IF('NEW ACCOUNT'!A59="","",'NEW ACCOUNT'!H59)</f>
        <v/>
      </c>
      <c r="I58" s="35" t="str">
        <f>IF('NEW ACCOUNT'!A59="","",'NEW ACCOUNT'!I59)</f>
        <v/>
      </c>
      <c r="J58" s="35" t="str">
        <f>IF('NEW ACCOUNT'!A59="","",'NEW ACCOUNT'!J59)</f>
        <v/>
      </c>
      <c r="K58" s="36" t="str">
        <f>IFERROR(IF(A58="","",SUMIF(DB_Savings!$A:$A,A58,DB_Savings!$F:$F)),"")</f>
        <v/>
      </c>
      <c r="L58" s="36" t="str">
        <f>IFERROR(IF(A58="","",SUMIF(DB_Withdrawals!$A:$A,A58,DB_Withdrawals!$G:$G)),"")</f>
        <v/>
      </c>
      <c r="M58" s="36" t="str">
        <f>IFERROR(IF(A58="","",IFERROR(VALUE(H58),0)+IFERROR(SUMIF(DB_Savings!$A:$A,A58,DB_Savings!$F:$F),0)-IFERROR(SUMIF(DB_Withdrawals!$A:$A,A58,DB_Withdrawals!$G:$G),0)),"")</f>
        <v/>
      </c>
      <c r="N58" s="36" t="str">
        <f>IFERROR(IF(A58="","",MAX(0,M58-System_Config!$B$9)),"")</f>
        <v/>
      </c>
    </row>
    <row r="59" spans="1:14" ht="20.100000000000001" customHeight="1" x14ac:dyDescent="0.25">
      <c r="A59" s="34" t="str">
        <f>'NEW ACCOUNT'!A60</f>
        <v/>
      </c>
      <c r="B59" s="35" t="str">
        <f>IF('NEW ACCOUNT'!A60="","",'NEW ACCOUNT'!B60)</f>
        <v/>
      </c>
      <c r="C59" s="35" t="str">
        <f>IF('NEW ACCOUNT'!A60="","",'NEW ACCOUNT'!C60)</f>
        <v/>
      </c>
      <c r="D59" s="35" t="str">
        <f>IF('NEW ACCOUNT'!A60="","",'NEW ACCOUNT'!D60)</f>
        <v/>
      </c>
      <c r="E59" s="35" t="str">
        <f>IF('NEW ACCOUNT'!A60="","",'NEW ACCOUNT'!E60)</f>
        <v/>
      </c>
      <c r="F59" s="35" t="str">
        <f>IF('NEW ACCOUNT'!A60="","",'NEW ACCOUNT'!F60)</f>
        <v/>
      </c>
      <c r="G59" s="35" t="str">
        <f>IF('NEW ACCOUNT'!A60="","",'NEW ACCOUNT'!G60)</f>
        <v/>
      </c>
      <c r="H59" s="35" t="str">
        <f>IF('NEW ACCOUNT'!A60="","",'NEW ACCOUNT'!H60)</f>
        <v/>
      </c>
      <c r="I59" s="35" t="str">
        <f>IF('NEW ACCOUNT'!A60="","",'NEW ACCOUNT'!I60)</f>
        <v/>
      </c>
      <c r="J59" s="35" t="str">
        <f>IF('NEW ACCOUNT'!A60="","",'NEW ACCOUNT'!J60)</f>
        <v/>
      </c>
      <c r="K59" s="36" t="str">
        <f>IFERROR(IF(A59="","",SUMIF(DB_Savings!$A:$A,A59,DB_Savings!$F:$F)),"")</f>
        <v/>
      </c>
      <c r="L59" s="36" t="str">
        <f>IFERROR(IF(A59="","",SUMIF(DB_Withdrawals!$A:$A,A59,DB_Withdrawals!$G:$G)),"")</f>
        <v/>
      </c>
      <c r="M59" s="36" t="str">
        <f>IFERROR(IF(A59="","",IFERROR(VALUE(H59),0)+IFERROR(SUMIF(DB_Savings!$A:$A,A59,DB_Savings!$F:$F),0)-IFERROR(SUMIF(DB_Withdrawals!$A:$A,A59,DB_Withdrawals!$G:$G),0)),"")</f>
        <v/>
      </c>
      <c r="N59" s="36" t="str">
        <f>IFERROR(IF(A59="","",MAX(0,M59-System_Config!$B$9)),"")</f>
        <v/>
      </c>
    </row>
    <row r="60" spans="1:14" ht="20.100000000000001" customHeight="1" x14ac:dyDescent="0.25">
      <c r="A60" s="34" t="str">
        <f>'NEW ACCOUNT'!A61</f>
        <v/>
      </c>
      <c r="B60" s="35" t="str">
        <f>IF('NEW ACCOUNT'!A61="","",'NEW ACCOUNT'!B61)</f>
        <v/>
      </c>
      <c r="C60" s="35" t="str">
        <f>IF('NEW ACCOUNT'!A61="","",'NEW ACCOUNT'!C61)</f>
        <v/>
      </c>
      <c r="D60" s="35" t="str">
        <f>IF('NEW ACCOUNT'!A61="","",'NEW ACCOUNT'!D61)</f>
        <v/>
      </c>
      <c r="E60" s="35" t="str">
        <f>IF('NEW ACCOUNT'!A61="","",'NEW ACCOUNT'!E61)</f>
        <v/>
      </c>
      <c r="F60" s="35" t="str">
        <f>IF('NEW ACCOUNT'!A61="","",'NEW ACCOUNT'!F61)</f>
        <v/>
      </c>
      <c r="G60" s="35" t="str">
        <f>IF('NEW ACCOUNT'!A61="","",'NEW ACCOUNT'!G61)</f>
        <v/>
      </c>
      <c r="H60" s="35" t="str">
        <f>IF('NEW ACCOUNT'!A61="","",'NEW ACCOUNT'!H61)</f>
        <v/>
      </c>
      <c r="I60" s="35" t="str">
        <f>IF('NEW ACCOUNT'!A61="","",'NEW ACCOUNT'!I61)</f>
        <v/>
      </c>
      <c r="J60" s="35" t="str">
        <f>IF('NEW ACCOUNT'!A61="","",'NEW ACCOUNT'!J61)</f>
        <v/>
      </c>
      <c r="K60" s="36" t="str">
        <f>IFERROR(IF(A60="","",SUMIF(DB_Savings!$A:$A,A60,DB_Savings!$F:$F)),"")</f>
        <v/>
      </c>
      <c r="L60" s="36" t="str">
        <f>IFERROR(IF(A60="","",SUMIF(DB_Withdrawals!$A:$A,A60,DB_Withdrawals!$G:$G)),"")</f>
        <v/>
      </c>
      <c r="M60" s="36" t="str">
        <f>IFERROR(IF(A60="","",IFERROR(VALUE(H60),0)+IFERROR(SUMIF(DB_Savings!$A:$A,A60,DB_Savings!$F:$F),0)-IFERROR(SUMIF(DB_Withdrawals!$A:$A,A60,DB_Withdrawals!$G:$G),0)),"")</f>
        <v/>
      </c>
      <c r="N60" s="36" t="str">
        <f>IFERROR(IF(A60="","",MAX(0,M60-System_Config!$B$9)),"")</f>
        <v/>
      </c>
    </row>
    <row r="61" spans="1:14" ht="20.100000000000001" customHeight="1" x14ac:dyDescent="0.25">
      <c r="A61" s="34" t="str">
        <f>'NEW ACCOUNT'!A62</f>
        <v/>
      </c>
      <c r="B61" s="35" t="str">
        <f>IF('NEW ACCOUNT'!A62="","",'NEW ACCOUNT'!B62)</f>
        <v/>
      </c>
      <c r="C61" s="35" t="str">
        <f>IF('NEW ACCOUNT'!A62="","",'NEW ACCOUNT'!C62)</f>
        <v/>
      </c>
      <c r="D61" s="35" t="str">
        <f>IF('NEW ACCOUNT'!A62="","",'NEW ACCOUNT'!D62)</f>
        <v/>
      </c>
      <c r="E61" s="35" t="str">
        <f>IF('NEW ACCOUNT'!A62="","",'NEW ACCOUNT'!E62)</f>
        <v/>
      </c>
      <c r="F61" s="35" t="str">
        <f>IF('NEW ACCOUNT'!A62="","",'NEW ACCOUNT'!F62)</f>
        <v/>
      </c>
      <c r="G61" s="35" t="str">
        <f>IF('NEW ACCOUNT'!A62="","",'NEW ACCOUNT'!G62)</f>
        <v/>
      </c>
      <c r="H61" s="35" t="str">
        <f>IF('NEW ACCOUNT'!A62="","",'NEW ACCOUNT'!H62)</f>
        <v/>
      </c>
      <c r="I61" s="35" t="str">
        <f>IF('NEW ACCOUNT'!A62="","",'NEW ACCOUNT'!I62)</f>
        <v/>
      </c>
      <c r="J61" s="35" t="str">
        <f>IF('NEW ACCOUNT'!A62="","",'NEW ACCOUNT'!J62)</f>
        <v/>
      </c>
      <c r="K61" s="36" t="str">
        <f>IFERROR(IF(A61="","",SUMIF(DB_Savings!$A:$A,A61,DB_Savings!$F:$F)),"")</f>
        <v/>
      </c>
      <c r="L61" s="36" t="str">
        <f>IFERROR(IF(A61="","",SUMIF(DB_Withdrawals!$A:$A,A61,DB_Withdrawals!$G:$G)),"")</f>
        <v/>
      </c>
      <c r="M61" s="36" t="str">
        <f>IFERROR(IF(A61="","",IFERROR(VALUE(H61),0)+IFERROR(SUMIF(DB_Savings!$A:$A,A61,DB_Savings!$F:$F),0)-IFERROR(SUMIF(DB_Withdrawals!$A:$A,A61,DB_Withdrawals!$G:$G),0)),"")</f>
        <v/>
      </c>
      <c r="N61" s="36" t="str">
        <f>IFERROR(IF(A61="","",MAX(0,M61-System_Config!$B$9)),"")</f>
        <v/>
      </c>
    </row>
    <row r="62" spans="1:14" ht="20.100000000000001" customHeight="1" x14ac:dyDescent="0.25">
      <c r="A62" s="34" t="str">
        <f>'NEW ACCOUNT'!A63</f>
        <v/>
      </c>
      <c r="B62" s="35" t="str">
        <f>IF('NEW ACCOUNT'!A63="","",'NEW ACCOUNT'!B63)</f>
        <v/>
      </c>
      <c r="C62" s="35" t="str">
        <f>IF('NEW ACCOUNT'!A63="","",'NEW ACCOUNT'!C63)</f>
        <v/>
      </c>
      <c r="D62" s="35" t="str">
        <f>IF('NEW ACCOUNT'!A63="","",'NEW ACCOUNT'!D63)</f>
        <v/>
      </c>
      <c r="E62" s="35" t="str">
        <f>IF('NEW ACCOUNT'!A63="","",'NEW ACCOUNT'!E63)</f>
        <v/>
      </c>
      <c r="F62" s="35" t="str">
        <f>IF('NEW ACCOUNT'!A63="","",'NEW ACCOUNT'!F63)</f>
        <v/>
      </c>
      <c r="G62" s="35" t="str">
        <f>IF('NEW ACCOUNT'!A63="","",'NEW ACCOUNT'!G63)</f>
        <v/>
      </c>
      <c r="H62" s="35" t="str">
        <f>IF('NEW ACCOUNT'!A63="","",'NEW ACCOUNT'!H63)</f>
        <v/>
      </c>
      <c r="I62" s="35" t="str">
        <f>IF('NEW ACCOUNT'!A63="","",'NEW ACCOUNT'!I63)</f>
        <v/>
      </c>
      <c r="J62" s="35" t="str">
        <f>IF('NEW ACCOUNT'!A63="","",'NEW ACCOUNT'!J63)</f>
        <v/>
      </c>
      <c r="K62" s="36" t="str">
        <f>IFERROR(IF(A62="","",SUMIF(DB_Savings!$A:$A,A62,DB_Savings!$F:$F)),"")</f>
        <v/>
      </c>
      <c r="L62" s="36" t="str">
        <f>IFERROR(IF(A62="","",SUMIF(DB_Withdrawals!$A:$A,A62,DB_Withdrawals!$G:$G)),"")</f>
        <v/>
      </c>
      <c r="M62" s="36" t="str">
        <f>IFERROR(IF(A62="","",IFERROR(VALUE(H62),0)+IFERROR(SUMIF(DB_Savings!$A:$A,A62,DB_Savings!$F:$F),0)-IFERROR(SUMIF(DB_Withdrawals!$A:$A,A62,DB_Withdrawals!$G:$G),0)),"")</f>
        <v/>
      </c>
      <c r="N62" s="36" t="str">
        <f>IFERROR(IF(A62="","",MAX(0,M62-System_Config!$B$9)),"")</f>
        <v/>
      </c>
    </row>
    <row r="63" spans="1:14" ht="20.100000000000001" customHeight="1" x14ac:dyDescent="0.25">
      <c r="A63" s="34" t="str">
        <f>'NEW ACCOUNT'!A64</f>
        <v/>
      </c>
      <c r="B63" s="35" t="str">
        <f>IF('NEW ACCOUNT'!A64="","",'NEW ACCOUNT'!B64)</f>
        <v/>
      </c>
      <c r="C63" s="35" t="str">
        <f>IF('NEW ACCOUNT'!A64="","",'NEW ACCOUNT'!C64)</f>
        <v/>
      </c>
      <c r="D63" s="35" t="str">
        <f>IF('NEW ACCOUNT'!A64="","",'NEW ACCOUNT'!D64)</f>
        <v/>
      </c>
      <c r="E63" s="35" t="str">
        <f>IF('NEW ACCOUNT'!A64="","",'NEW ACCOUNT'!E64)</f>
        <v/>
      </c>
      <c r="F63" s="35" t="str">
        <f>IF('NEW ACCOUNT'!A64="","",'NEW ACCOUNT'!F64)</f>
        <v/>
      </c>
      <c r="G63" s="35" t="str">
        <f>IF('NEW ACCOUNT'!A64="","",'NEW ACCOUNT'!G64)</f>
        <v/>
      </c>
      <c r="H63" s="35" t="str">
        <f>IF('NEW ACCOUNT'!A64="","",'NEW ACCOUNT'!H64)</f>
        <v/>
      </c>
      <c r="I63" s="35" t="str">
        <f>IF('NEW ACCOUNT'!A64="","",'NEW ACCOUNT'!I64)</f>
        <v/>
      </c>
      <c r="J63" s="35" t="str">
        <f>IF('NEW ACCOUNT'!A64="","",'NEW ACCOUNT'!J64)</f>
        <v/>
      </c>
      <c r="K63" s="36" t="str">
        <f>IFERROR(IF(A63="","",SUMIF(DB_Savings!$A:$A,A63,DB_Savings!$F:$F)),"")</f>
        <v/>
      </c>
      <c r="L63" s="36" t="str">
        <f>IFERROR(IF(A63="","",SUMIF(DB_Withdrawals!$A:$A,A63,DB_Withdrawals!$G:$G)),"")</f>
        <v/>
      </c>
      <c r="M63" s="36" t="str">
        <f>IFERROR(IF(A63="","",IFERROR(VALUE(H63),0)+IFERROR(SUMIF(DB_Savings!$A:$A,A63,DB_Savings!$F:$F),0)-IFERROR(SUMIF(DB_Withdrawals!$A:$A,A63,DB_Withdrawals!$G:$G),0)),"")</f>
        <v/>
      </c>
      <c r="N63" s="36" t="str">
        <f>IFERROR(IF(A63="","",MAX(0,M63-System_Config!$B$9)),"")</f>
        <v/>
      </c>
    </row>
    <row r="64" spans="1:14" ht="20.100000000000001" customHeight="1" x14ac:dyDescent="0.25">
      <c r="A64" s="34" t="str">
        <f>'NEW ACCOUNT'!A65</f>
        <v/>
      </c>
      <c r="B64" s="35" t="str">
        <f>IF('NEW ACCOUNT'!A65="","",'NEW ACCOUNT'!B65)</f>
        <v/>
      </c>
      <c r="C64" s="35" t="str">
        <f>IF('NEW ACCOUNT'!A65="","",'NEW ACCOUNT'!C65)</f>
        <v/>
      </c>
      <c r="D64" s="35" t="str">
        <f>IF('NEW ACCOUNT'!A65="","",'NEW ACCOUNT'!D65)</f>
        <v/>
      </c>
      <c r="E64" s="35" t="str">
        <f>IF('NEW ACCOUNT'!A65="","",'NEW ACCOUNT'!E65)</f>
        <v/>
      </c>
      <c r="F64" s="35" t="str">
        <f>IF('NEW ACCOUNT'!A65="","",'NEW ACCOUNT'!F65)</f>
        <v/>
      </c>
      <c r="G64" s="35" t="str">
        <f>IF('NEW ACCOUNT'!A65="","",'NEW ACCOUNT'!G65)</f>
        <v/>
      </c>
      <c r="H64" s="35" t="str">
        <f>IF('NEW ACCOUNT'!A65="","",'NEW ACCOUNT'!H65)</f>
        <v/>
      </c>
      <c r="I64" s="35" t="str">
        <f>IF('NEW ACCOUNT'!A65="","",'NEW ACCOUNT'!I65)</f>
        <v/>
      </c>
      <c r="J64" s="35" t="str">
        <f>IF('NEW ACCOUNT'!A65="","",'NEW ACCOUNT'!J65)</f>
        <v/>
      </c>
      <c r="K64" s="36" t="str">
        <f>IFERROR(IF(A64="","",SUMIF(DB_Savings!$A:$A,A64,DB_Savings!$F:$F)),"")</f>
        <v/>
      </c>
      <c r="L64" s="36" t="str">
        <f>IFERROR(IF(A64="","",SUMIF(DB_Withdrawals!$A:$A,A64,DB_Withdrawals!$G:$G)),"")</f>
        <v/>
      </c>
      <c r="M64" s="36" t="str">
        <f>IFERROR(IF(A64="","",IFERROR(VALUE(H64),0)+IFERROR(SUMIF(DB_Savings!$A:$A,A64,DB_Savings!$F:$F),0)-IFERROR(SUMIF(DB_Withdrawals!$A:$A,A64,DB_Withdrawals!$G:$G),0)),"")</f>
        <v/>
      </c>
      <c r="N64" s="36" t="str">
        <f>IFERROR(IF(A64="","",MAX(0,M64-System_Config!$B$9)),"")</f>
        <v/>
      </c>
    </row>
    <row r="65" spans="1:14" ht="20.100000000000001" customHeight="1" x14ac:dyDescent="0.25">
      <c r="A65" s="34" t="str">
        <f>'NEW ACCOUNT'!A66</f>
        <v/>
      </c>
      <c r="B65" s="35" t="str">
        <f>IF('NEW ACCOUNT'!A66="","",'NEW ACCOUNT'!B66)</f>
        <v/>
      </c>
      <c r="C65" s="35" t="str">
        <f>IF('NEW ACCOUNT'!A66="","",'NEW ACCOUNT'!C66)</f>
        <v/>
      </c>
      <c r="D65" s="35" t="str">
        <f>IF('NEW ACCOUNT'!A66="","",'NEW ACCOUNT'!D66)</f>
        <v/>
      </c>
      <c r="E65" s="35" t="str">
        <f>IF('NEW ACCOUNT'!A66="","",'NEW ACCOUNT'!E66)</f>
        <v/>
      </c>
      <c r="F65" s="35" t="str">
        <f>IF('NEW ACCOUNT'!A66="","",'NEW ACCOUNT'!F66)</f>
        <v/>
      </c>
      <c r="G65" s="35" t="str">
        <f>IF('NEW ACCOUNT'!A66="","",'NEW ACCOUNT'!G66)</f>
        <v/>
      </c>
      <c r="H65" s="35" t="str">
        <f>IF('NEW ACCOUNT'!A66="","",'NEW ACCOUNT'!H66)</f>
        <v/>
      </c>
      <c r="I65" s="35" t="str">
        <f>IF('NEW ACCOUNT'!A66="","",'NEW ACCOUNT'!I66)</f>
        <v/>
      </c>
      <c r="J65" s="35" t="str">
        <f>IF('NEW ACCOUNT'!A66="","",'NEW ACCOUNT'!J66)</f>
        <v/>
      </c>
      <c r="K65" s="36" t="str">
        <f>IFERROR(IF(A65="","",SUMIF(DB_Savings!$A:$A,A65,DB_Savings!$F:$F)),"")</f>
        <v/>
      </c>
      <c r="L65" s="36" t="str">
        <f>IFERROR(IF(A65="","",SUMIF(DB_Withdrawals!$A:$A,A65,DB_Withdrawals!$G:$G)),"")</f>
        <v/>
      </c>
      <c r="M65" s="36" t="str">
        <f>IFERROR(IF(A65="","",IFERROR(VALUE(H65),0)+IFERROR(SUMIF(DB_Savings!$A:$A,A65,DB_Savings!$F:$F),0)-IFERROR(SUMIF(DB_Withdrawals!$A:$A,A65,DB_Withdrawals!$G:$G),0)),"")</f>
        <v/>
      </c>
      <c r="N65" s="36" t="str">
        <f>IFERROR(IF(A65="","",MAX(0,M65-System_Config!$B$9)),"")</f>
        <v/>
      </c>
    </row>
    <row r="66" spans="1:14" ht="20.100000000000001" customHeight="1" x14ac:dyDescent="0.25">
      <c r="A66" s="34" t="str">
        <f>'NEW ACCOUNT'!A67</f>
        <v/>
      </c>
      <c r="B66" s="35" t="str">
        <f>IF('NEW ACCOUNT'!A67="","",'NEW ACCOUNT'!B67)</f>
        <v/>
      </c>
      <c r="C66" s="35" t="str">
        <f>IF('NEW ACCOUNT'!A67="","",'NEW ACCOUNT'!C67)</f>
        <v/>
      </c>
      <c r="D66" s="35" t="str">
        <f>IF('NEW ACCOUNT'!A67="","",'NEW ACCOUNT'!D67)</f>
        <v/>
      </c>
      <c r="E66" s="35" t="str">
        <f>IF('NEW ACCOUNT'!A67="","",'NEW ACCOUNT'!E67)</f>
        <v/>
      </c>
      <c r="F66" s="35" t="str">
        <f>IF('NEW ACCOUNT'!A67="","",'NEW ACCOUNT'!F67)</f>
        <v/>
      </c>
      <c r="G66" s="35" t="str">
        <f>IF('NEW ACCOUNT'!A67="","",'NEW ACCOUNT'!G67)</f>
        <v/>
      </c>
      <c r="H66" s="35" t="str">
        <f>IF('NEW ACCOUNT'!A67="","",'NEW ACCOUNT'!H67)</f>
        <v/>
      </c>
      <c r="I66" s="35" t="str">
        <f>IF('NEW ACCOUNT'!A67="","",'NEW ACCOUNT'!I67)</f>
        <v/>
      </c>
      <c r="J66" s="35" t="str">
        <f>IF('NEW ACCOUNT'!A67="","",'NEW ACCOUNT'!J67)</f>
        <v/>
      </c>
      <c r="K66" s="36" t="str">
        <f>IFERROR(IF(A66="","",SUMIF(DB_Savings!$A:$A,A66,DB_Savings!$F:$F)),"")</f>
        <v/>
      </c>
      <c r="L66" s="36" t="str">
        <f>IFERROR(IF(A66="","",SUMIF(DB_Withdrawals!$A:$A,A66,DB_Withdrawals!$G:$G)),"")</f>
        <v/>
      </c>
      <c r="M66" s="36" t="str">
        <f>IFERROR(IF(A66="","",IFERROR(VALUE(H66),0)+IFERROR(SUMIF(DB_Savings!$A:$A,A66,DB_Savings!$F:$F),0)-IFERROR(SUMIF(DB_Withdrawals!$A:$A,A66,DB_Withdrawals!$G:$G),0)),"")</f>
        <v/>
      </c>
      <c r="N66" s="36" t="str">
        <f>IFERROR(IF(A66="","",MAX(0,M66-System_Config!$B$9)),"")</f>
        <v/>
      </c>
    </row>
    <row r="67" spans="1:14" ht="20.100000000000001" customHeight="1" x14ac:dyDescent="0.25">
      <c r="A67" s="34" t="str">
        <f>'NEW ACCOUNT'!A68</f>
        <v/>
      </c>
      <c r="B67" s="35" t="str">
        <f>IF('NEW ACCOUNT'!A68="","",'NEW ACCOUNT'!B68)</f>
        <v/>
      </c>
      <c r="C67" s="35" t="str">
        <f>IF('NEW ACCOUNT'!A68="","",'NEW ACCOUNT'!C68)</f>
        <v/>
      </c>
      <c r="D67" s="35" t="str">
        <f>IF('NEW ACCOUNT'!A68="","",'NEW ACCOUNT'!D68)</f>
        <v/>
      </c>
      <c r="E67" s="35" t="str">
        <f>IF('NEW ACCOUNT'!A68="","",'NEW ACCOUNT'!E68)</f>
        <v/>
      </c>
      <c r="F67" s="35" t="str">
        <f>IF('NEW ACCOUNT'!A68="","",'NEW ACCOUNT'!F68)</f>
        <v/>
      </c>
      <c r="G67" s="35" t="str">
        <f>IF('NEW ACCOUNT'!A68="","",'NEW ACCOUNT'!G68)</f>
        <v/>
      </c>
      <c r="H67" s="35" t="str">
        <f>IF('NEW ACCOUNT'!A68="","",'NEW ACCOUNT'!H68)</f>
        <v/>
      </c>
      <c r="I67" s="35" t="str">
        <f>IF('NEW ACCOUNT'!A68="","",'NEW ACCOUNT'!I68)</f>
        <v/>
      </c>
      <c r="J67" s="35" t="str">
        <f>IF('NEW ACCOUNT'!A68="","",'NEW ACCOUNT'!J68)</f>
        <v/>
      </c>
      <c r="K67" s="36" t="str">
        <f>IFERROR(IF(A67="","",SUMIF(DB_Savings!$A:$A,A67,DB_Savings!$F:$F)),"")</f>
        <v/>
      </c>
      <c r="L67" s="36" t="str">
        <f>IFERROR(IF(A67="","",SUMIF(DB_Withdrawals!$A:$A,A67,DB_Withdrawals!$G:$G)),"")</f>
        <v/>
      </c>
      <c r="M67" s="36" t="str">
        <f>IFERROR(IF(A67="","",IFERROR(VALUE(H67),0)+IFERROR(SUMIF(DB_Savings!$A:$A,A67,DB_Savings!$F:$F),0)-IFERROR(SUMIF(DB_Withdrawals!$A:$A,A67,DB_Withdrawals!$G:$G),0)),"")</f>
        <v/>
      </c>
      <c r="N67" s="36" t="str">
        <f>IFERROR(IF(A67="","",MAX(0,M67-System_Config!$B$9)),"")</f>
        <v/>
      </c>
    </row>
    <row r="68" spans="1:14" ht="20.100000000000001" customHeight="1" x14ac:dyDescent="0.25">
      <c r="A68" s="34" t="str">
        <f>'NEW ACCOUNT'!A69</f>
        <v/>
      </c>
      <c r="B68" s="35" t="str">
        <f>IF('NEW ACCOUNT'!A69="","",'NEW ACCOUNT'!B69)</f>
        <v/>
      </c>
      <c r="C68" s="35" t="str">
        <f>IF('NEW ACCOUNT'!A69="","",'NEW ACCOUNT'!C69)</f>
        <v/>
      </c>
      <c r="D68" s="35" t="str">
        <f>IF('NEW ACCOUNT'!A69="","",'NEW ACCOUNT'!D69)</f>
        <v/>
      </c>
      <c r="E68" s="35" t="str">
        <f>IF('NEW ACCOUNT'!A69="","",'NEW ACCOUNT'!E69)</f>
        <v/>
      </c>
      <c r="F68" s="35" t="str">
        <f>IF('NEW ACCOUNT'!A69="","",'NEW ACCOUNT'!F69)</f>
        <v/>
      </c>
      <c r="G68" s="35" t="str">
        <f>IF('NEW ACCOUNT'!A69="","",'NEW ACCOUNT'!G69)</f>
        <v/>
      </c>
      <c r="H68" s="35" t="str">
        <f>IF('NEW ACCOUNT'!A69="","",'NEW ACCOUNT'!H69)</f>
        <v/>
      </c>
      <c r="I68" s="35" t="str">
        <f>IF('NEW ACCOUNT'!A69="","",'NEW ACCOUNT'!I69)</f>
        <v/>
      </c>
      <c r="J68" s="35" t="str">
        <f>IF('NEW ACCOUNT'!A69="","",'NEW ACCOUNT'!J69)</f>
        <v/>
      </c>
      <c r="K68" s="36" t="str">
        <f>IFERROR(IF(A68="","",SUMIF(DB_Savings!$A:$A,A68,DB_Savings!$F:$F)),"")</f>
        <v/>
      </c>
      <c r="L68" s="36" t="str">
        <f>IFERROR(IF(A68="","",SUMIF(DB_Withdrawals!$A:$A,A68,DB_Withdrawals!$G:$G)),"")</f>
        <v/>
      </c>
      <c r="M68" s="36" t="str">
        <f>IFERROR(IF(A68="","",IFERROR(VALUE(H68),0)+IFERROR(SUMIF(DB_Savings!$A:$A,A68,DB_Savings!$F:$F),0)-IFERROR(SUMIF(DB_Withdrawals!$A:$A,A68,DB_Withdrawals!$G:$G),0)),"")</f>
        <v/>
      </c>
      <c r="N68" s="36" t="str">
        <f>IFERROR(IF(A68="","",MAX(0,M68-System_Config!$B$9)),"")</f>
        <v/>
      </c>
    </row>
    <row r="69" spans="1:14" ht="20.100000000000001" customHeight="1" x14ac:dyDescent="0.25">
      <c r="A69" s="34" t="str">
        <f>'NEW ACCOUNT'!A70</f>
        <v/>
      </c>
      <c r="B69" s="35" t="str">
        <f>IF('NEW ACCOUNT'!A70="","",'NEW ACCOUNT'!B70)</f>
        <v/>
      </c>
      <c r="C69" s="35" t="str">
        <f>IF('NEW ACCOUNT'!A70="","",'NEW ACCOUNT'!C70)</f>
        <v/>
      </c>
      <c r="D69" s="35" t="str">
        <f>IF('NEW ACCOUNT'!A70="","",'NEW ACCOUNT'!D70)</f>
        <v/>
      </c>
      <c r="E69" s="35" t="str">
        <f>IF('NEW ACCOUNT'!A70="","",'NEW ACCOUNT'!E70)</f>
        <v/>
      </c>
      <c r="F69" s="35" t="str">
        <f>IF('NEW ACCOUNT'!A70="","",'NEW ACCOUNT'!F70)</f>
        <v/>
      </c>
      <c r="G69" s="35" t="str">
        <f>IF('NEW ACCOUNT'!A70="","",'NEW ACCOUNT'!G70)</f>
        <v/>
      </c>
      <c r="H69" s="35" t="str">
        <f>IF('NEW ACCOUNT'!A70="","",'NEW ACCOUNT'!H70)</f>
        <v/>
      </c>
      <c r="I69" s="35" t="str">
        <f>IF('NEW ACCOUNT'!A70="","",'NEW ACCOUNT'!I70)</f>
        <v/>
      </c>
      <c r="J69" s="35" t="str">
        <f>IF('NEW ACCOUNT'!A70="","",'NEW ACCOUNT'!J70)</f>
        <v/>
      </c>
      <c r="K69" s="36" t="str">
        <f>IFERROR(IF(A69="","",SUMIF(DB_Savings!$A:$A,A69,DB_Savings!$F:$F)),"")</f>
        <v/>
      </c>
      <c r="L69" s="36" t="str">
        <f>IFERROR(IF(A69="","",SUMIF(DB_Withdrawals!$A:$A,A69,DB_Withdrawals!$G:$G)),"")</f>
        <v/>
      </c>
      <c r="M69" s="36" t="str">
        <f>IFERROR(IF(A69="","",IFERROR(VALUE(H69),0)+IFERROR(SUMIF(DB_Savings!$A:$A,A69,DB_Savings!$F:$F),0)-IFERROR(SUMIF(DB_Withdrawals!$A:$A,A69,DB_Withdrawals!$G:$G),0)),"")</f>
        <v/>
      </c>
      <c r="N69" s="36" t="str">
        <f>IFERROR(IF(A69="","",MAX(0,M69-System_Config!$B$9)),"")</f>
        <v/>
      </c>
    </row>
    <row r="70" spans="1:14" ht="20.100000000000001" customHeight="1" x14ac:dyDescent="0.25">
      <c r="A70" s="34" t="str">
        <f>'NEW ACCOUNT'!A71</f>
        <v/>
      </c>
      <c r="B70" s="35" t="str">
        <f>IF('NEW ACCOUNT'!A71="","",'NEW ACCOUNT'!B71)</f>
        <v/>
      </c>
      <c r="C70" s="35" t="str">
        <f>IF('NEW ACCOUNT'!A71="","",'NEW ACCOUNT'!C71)</f>
        <v/>
      </c>
      <c r="D70" s="35" t="str">
        <f>IF('NEW ACCOUNT'!A71="","",'NEW ACCOUNT'!D71)</f>
        <v/>
      </c>
      <c r="E70" s="35" t="str">
        <f>IF('NEW ACCOUNT'!A71="","",'NEW ACCOUNT'!E71)</f>
        <v/>
      </c>
      <c r="F70" s="35" t="str">
        <f>IF('NEW ACCOUNT'!A71="","",'NEW ACCOUNT'!F71)</f>
        <v/>
      </c>
      <c r="G70" s="35" t="str">
        <f>IF('NEW ACCOUNT'!A71="","",'NEW ACCOUNT'!G71)</f>
        <v/>
      </c>
      <c r="H70" s="35" t="str">
        <f>IF('NEW ACCOUNT'!A71="","",'NEW ACCOUNT'!H71)</f>
        <v/>
      </c>
      <c r="I70" s="35" t="str">
        <f>IF('NEW ACCOUNT'!A71="","",'NEW ACCOUNT'!I71)</f>
        <v/>
      </c>
      <c r="J70" s="35" t="str">
        <f>IF('NEW ACCOUNT'!A71="","",'NEW ACCOUNT'!J71)</f>
        <v/>
      </c>
      <c r="K70" s="36" t="str">
        <f>IFERROR(IF(A70="","",SUMIF(DB_Savings!$A:$A,A70,DB_Savings!$F:$F)),"")</f>
        <v/>
      </c>
      <c r="L70" s="36" t="str">
        <f>IFERROR(IF(A70="","",SUMIF(DB_Withdrawals!$A:$A,A70,DB_Withdrawals!$G:$G)),"")</f>
        <v/>
      </c>
      <c r="M70" s="36" t="str">
        <f>IFERROR(IF(A70="","",IFERROR(VALUE(H70),0)+IFERROR(SUMIF(DB_Savings!$A:$A,A70,DB_Savings!$F:$F),0)-IFERROR(SUMIF(DB_Withdrawals!$A:$A,A70,DB_Withdrawals!$G:$G),0)),"")</f>
        <v/>
      </c>
      <c r="N70" s="36" t="str">
        <f>IFERROR(IF(A70="","",MAX(0,M70-System_Config!$B$9)),"")</f>
        <v/>
      </c>
    </row>
    <row r="71" spans="1:14" ht="20.100000000000001" customHeight="1" x14ac:dyDescent="0.25">
      <c r="A71" s="34" t="str">
        <f>'NEW ACCOUNT'!A72</f>
        <v/>
      </c>
      <c r="B71" s="35" t="str">
        <f>IF('NEW ACCOUNT'!A72="","",'NEW ACCOUNT'!B72)</f>
        <v/>
      </c>
      <c r="C71" s="35" t="str">
        <f>IF('NEW ACCOUNT'!A72="","",'NEW ACCOUNT'!C72)</f>
        <v/>
      </c>
      <c r="D71" s="35" t="str">
        <f>IF('NEW ACCOUNT'!A72="","",'NEW ACCOUNT'!D72)</f>
        <v/>
      </c>
      <c r="E71" s="35" t="str">
        <f>IF('NEW ACCOUNT'!A72="","",'NEW ACCOUNT'!E72)</f>
        <v/>
      </c>
      <c r="F71" s="35" t="str">
        <f>IF('NEW ACCOUNT'!A72="","",'NEW ACCOUNT'!F72)</f>
        <v/>
      </c>
      <c r="G71" s="35" t="str">
        <f>IF('NEW ACCOUNT'!A72="","",'NEW ACCOUNT'!G72)</f>
        <v/>
      </c>
      <c r="H71" s="35" t="str">
        <f>IF('NEW ACCOUNT'!A72="","",'NEW ACCOUNT'!H72)</f>
        <v/>
      </c>
      <c r="I71" s="35" t="str">
        <f>IF('NEW ACCOUNT'!A72="","",'NEW ACCOUNT'!I72)</f>
        <v/>
      </c>
      <c r="J71" s="35" t="str">
        <f>IF('NEW ACCOUNT'!A72="","",'NEW ACCOUNT'!J72)</f>
        <v/>
      </c>
      <c r="K71" s="36" t="str">
        <f>IFERROR(IF(A71="","",SUMIF(DB_Savings!$A:$A,A71,DB_Savings!$F:$F)),"")</f>
        <v/>
      </c>
      <c r="L71" s="36" t="str">
        <f>IFERROR(IF(A71="","",SUMIF(DB_Withdrawals!$A:$A,A71,DB_Withdrawals!$G:$G)),"")</f>
        <v/>
      </c>
      <c r="M71" s="36" t="str">
        <f>IFERROR(IF(A71="","",IFERROR(VALUE(H71),0)+IFERROR(SUMIF(DB_Savings!$A:$A,A71,DB_Savings!$F:$F),0)-IFERROR(SUMIF(DB_Withdrawals!$A:$A,A71,DB_Withdrawals!$G:$G),0)),"")</f>
        <v/>
      </c>
      <c r="N71" s="36" t="str">
        <f>IFERROR(IF(A71="","",MAX(0,M71-System_Config!$B$9)),"")</f>
        <v/>
      </c>
    </row>
    <row r="72" spans="1:14" ht="20.100000000000001" customHeight="1" x14ac:dyDescent="0.25">
      <c r="A72" s="34" t="str">
        <f>'NEW ACCOUNT'!A73</f>
        <v/>
      </c>
      <c r="B72" s="35" t="str">
        <f>IF('NEW ACCOUNT'!A73="","",'NEW ACCOUNT'!B73)</f>
        <v/>
      </c>
      <c r="C72" s="35" t="str">
        <f>IF('NEW ACCOUNT'!A73="","",'NEW ACCOUNT'!C73)</f>
        <v/>
      </c>
      <c r="D72" s="35" t="str">
        <f>IF('NEW ACCOUNT'!A73="","",'NEW ACCOUNT'!D73)</f>
        <v/>
      </c>
      <c r="E72" s="35" t="str">
        <f>IF('NEW ACCOUNT'!A73="","",'NEW ACCOUNT'!E73)</f>
        <v/>
      </c>
      <c r="F72" s="35" t="str">
        <f>IF('NEW ACCOUNT'!A73="","",'NEW ACCOUNT'!F73)</f>
        <v/>
      </c>
      <c r="G72" s="35" t="str">
        <f>IF('NEW ACCOUNT'!A73="","",'NEW ACCOUNT'!G73)</f>
        <v/>
      </c>
      <c r="H72" s="35" t="str">
        <f>IF('NEW ACCOUNT'!A73="","",'NEW ACCOUNT'!H73)</f>
        <v/>
      </c>
      <c r="I72" s="35" t="str">
        <f>IF('NEW ACCOUNT'!A73="","",'NEW ACCOUNT'!I73)</f>
        <v/>
      </c>
      <c r="J72" s="35" t="str">
        <f>IF('NEW ACCOUNT'!A73="","",'NEW ACCOUNT'!J73)</f>
        <v/>
      </c>
      <c r="K72" s="36" t="str">
        <f>IFERROR(IF(A72="","",SUMIF(DB_Savings!$A:$A,A72,DB_Savings!$F:$F)),"")</f>
        <v/>
      </c>
      <c r="L72" s="36" t="str">
        <f>IFERROR(IF(A72="","",SUMIF(DB_Withdrawals!$A:$A,A72,DB_Withdrawals!$G:$G)),"")</f>
        <v/>
      </c>
      <c r="M72" s="36" t="str">
        <f>IFERROR(IF(A72="","",IFERROR(VALUE(H72),0)+IFERROR(SUMIF(DB_Savings!$A:$A,A72,DB_Savings!$F:$F),0)-IFERROR(SUMIF(DB_Withdrawals!$A:$A,A72,DB_Withdrawals!$G:$G),0)),"")</f>
        <v/>
      </c>
      <c r="N72" s="36" t="str">
        <f>IFERROR(IF(A72="","",MAX(0,M72-System_Config!$B$9)),"")</f>
        <v/>
      </c>
    </row>
    <row r="73" spans="1:14" ht="20.100000000000001" customHeight="1" x14ac:dyDescent="0.25">
      <c r="A73" s="34" t="str">
        <f>'NEW ACCOUNT'!A74</f>
        <v/>
      </c>
      <c r="B73" s="35" t="str">
        <f>IF('NEW ACCOUNT'!A74="","",'NEW ACCOUNT'!B74)</f>
        <v/>
      </c>
      <c r="C73" s="35" t="str">
        <f>IF('NEW ACCOUNT'!A74="","",'NEW ACCOUNT'!C74)</f>
        <v/>
      </c>
      <c r="D73" s="35" t="str">
        <f>IF('NEW ACCOUNT'!A74="","",'NEW ACCOUNT'!D74)</f>
        <v/>
      </c>
      <c r="E73" s="35" t="str">
        <f>IF('NEW ACCOUNT'!A74="","",'NEW ACCOUNT'!E74)</f>
        <v/>
      </c>
      <c r="F73" s="35" t="str">
        <f>IF('NEW ACCOUNT'!A74="","",'NEW ACCOUNT'!F74)</f>
        <v/>
      </c>
      <c r="G73" s="35" t="str">
        <f>IF('NEW ACCOUNT'!A74="","",'NEW ACCOUNT'!G74)</f>
        <v/>
      </c>
      <c r="H73" s="35" t="str">
        <f>IF('NEW ACCOUNT'!A74="","",'NEW ACCOUNT'!H74)</f>
        <v/>
      </c>
      <c r="I73" s="35" t="str">
        <f>IF('NEW ACCOUNT'!A74="","",'NEW ACCOUNT'!I74)</f>
        <v/>
      </c>
      <c r="J73" s="35" t="str">
        <f>IF('NEW ACCOUNT'!A74="","",'NEW ACCOUNT'!J74)</f>
        <v/>
      </c>
      <c r="K73" s="36" t="str">
        <f>IFERROR(IF(A73="","",SUMIF(DB_Savings!$A:$A,A73,DB_Savings!$F:$F)),"")</f>
        <v/>
      </c>
      <c r="L73" s="36" t="str">
        <f>IFERROR(IF(A73="","",SUMIF(DB_Withdrawals!$A:$A,A73,DB_Withdrawals!$G:$G)),"")</f>
        <v/>
      </c>
      <c r="M73" s="36" t="str">
        <f>IFERROR(IF(A73="","",IFERROR(VALUE(H73),0)+IFERROR(SUMIF(DB_Savings!$A:$A,A73,DB_Savings!$F:$F),0)-IFERROR(SUMIF(DB_Withdrawals!$A:$A,A73,DB_Withdrawals!$G:$G),0)),"")</f>
        <v/>
      </c>
      <c r="N73" s="36" t="str">
        <f>IFERROR(IF(A73="","",MAX(0,M73-System_Config!$B$9)),"")</f>
        <v/>
      </c>
    </row>
    <row r="74" spans="1:14" ht="20.100000000000001" customHeight="1" x14ac:dyDescent="0.25">
      <c r="A74" s="34" t="str">
        <f>'NEW ACCOUNT'!A75</f>
        <v/>
      </c>
      <c r="B74" s="35" t="str">
        <f>IF('NEW ACCOUNT'!A75="","",'NEW ACCOUNT'!B75)</f>
        <v/>
      </c>
      <c r="C74" s="35" t="str">
        <f>IF('NEW ACCOUNT'!A75="","",'NEW ACCOUNT'!C75)</f>
        <v/>
      </c>
      <c r="D74" s="35" t="str">
        <f>IF('NEW ACCOUNT'!A75="","",'NEW ACCOUNT'!D75)</f>
        <v/>
      </c>
      <c r="E74" s="35" t="str">
        <f>IF('NEW ACCOUNT'!A75="","",'NEW ACCOUNT'!E75)</f>
        <v/>
      </c>
      <c r="F74" s="35" t="str">
        <f>IF('NEW ACCOUNT'!A75="","",'NEW ACCOUNT'!F75)</f>
        <v/>
      </c>
      <c r="G74" s="35" t="str">
        <f>IF('NEW ACCOUNT'!A75="","",'NEW ACCOUNT'!G75)</f>
        <v/>
      </c>
      <c r="H74" s="35" t="str">
        <f>IF('NEW ACCOUNT'!A75="","",'NEW ACCOUNT'!H75)</f>
        <v/>
      </c>
      <c r="I74" s="35" t="str">
        <f>IF('NEW ACCOUNT'!A75="","",'NEW ACCOUNT'!I75)</f>
        <v/>
      </c>
      <c r="J74" s="35" t="str">
        <f>IF('NEW ACCOUNT'!A75="","",'NEW ACCOUNT'!J75)</f>
        <v/>
      </c>
      <c r="K74" s="36" t="str">
        <f>IFERROR(IF(A74="","",SUMIF(DB_Savings!$A:$A,A74,DB_Savings!$F:$F)),"")</f>
        <v/>
      </c>
      <c r="L74" s="36" t="str">
        <f>IFERROR(IF(A74="","",SUMIF(DB_Withdrawals!$A:$A,A74,DB_Withdrawals!$G:$G)),"")</f>
        <v/>
      </c>
      <c r="M74" s="36" t="str">
        <f>IFERROR(IF(A74="","",IFERROR(VALUE(H74),0)+IFERROR(SUMIF(DB_Savings!$A:$A,A74,DB_Savings!$F:$F),0)-IFERROR(SUMIF(DB_Withdrawals!$A:$A,A74,DB_Withdrawals!$G:$G),0)),"")</f>
        <v/>
      </c>
      <c r="N74" s="36" t="str">
        <f>IFERROR(IF(A74="","",MAX(0,M74-System_Config!$B$9)),"")</f>
        <v/>
      </c>
    </row>
    <row r="75" spans="1:14" ht="20.100000000000001" customHeight="1" x14ac:dyDescent="0.25">
      <c r="A75" s="34" t="str">
        <f>'NEW ACCOUNT'!A76</f>
        <v/>
      </c>
      <c r="B75" s="35" t="str">
        <f>IF('NEW ACCOUNT'!A76="","",'NEW ACCOUNT'!B76)</f>
        <v/>
      </c>
      <c r="C75" s="35" t="str">
        <f>IF('NEW ACCOUNT'!A76="","",'NEW ACCOUNT'!C76)</f>
        <v/>
      </c>
      <c r="D75" s="35" t="str">
        <f>IF('NEW ACCOUNT'!A76="","",'NEW ACCOUNT'!D76)</f>
        <v/>
      </c>
      <c r="E75" s="35" t="str">
        <f>IF('NEW ACCOUNT'!A76="","",'NEW ACCOUNT'!E76)</f>
        <v/>
      </c>
      <c r="F75" s="35" t="str">
        <f>IF('NEW ACCOUNT'!A76="","",'NEW ACCOUNT'!F76)</f>
        <v/>
      </c>
      <c r="G75" s="35" t="str">
        <f>IF('NEW ACCOUNT'!A76="","",'NEW ACCOUNT'!G76)</f>
        <v/>
      </c>
      <c r="H75" s="35" t="str">
        <f>IF('NEW ACCOUNT'!A76="","",'NEW ACCOUNT'!H76)</f>
        <v/>
      </c>
      <c r="I75" s="35" t="str">
        <f>IF('NEW ACCOUNT'!A76="","",'NEW ACCOUNT'!I76)</f>
        <v/>
      </c>
      <c r="J75" s="35" t="str">
        <f>IF('NEW ACCOUNT'!A76="","",'NEW ACCOUNT'!J76)</f>
        <v/>
      </c>
      <c r="K75" s="36" t="str">
        <f>IFERROR(IF(A75="","",SUMIF(DB_Savings!$A:$A,A75,DB_Savings!$F:$F)),"")</f>
        <v/>
      </c>
      <c r="L75" s="36" t="str">
        <f>IFERROR(IF(A75="","",SUMIF(DB_Withdrawals!$A:$A,A75,DB_Withdrawals!$G:$G)),"")</f>
        <v/>
      </c>
      <c r="M75" s="36" t="str">
        <f>IFERROR(IF(A75="","",IFERROR(VALUE(H75),0)+IFERROR(SUMIF(DB_Savings!$A:$A,A75,DB_Savings!$F:$F),0)-IFERROR(SUMIF(DB_Withdrawals!$A:$A,A75,DB_Withdrawals!$G:$G),0)),"")</f>
        <v/>
      </c>
      <c r="N75" s="36" t="str">
        <f>IFERROR(IF(A75="","",MAX(0,M75-System_Config!$B$9)),"")</f>
        <v/>
      </c>
    </row>
    <row r="76" spans="1:14" ht="20.100000000000001" customHeight="1" x14ac:dyDescent="0.25">
      <c r="A76" s="34" t="str">
        <f>'NEW ACCOUNT'!A77</f>
        <v/>
      </c>
      <c r="B76" s="35" t="str">
        <f>IF('NEW ACCOUNT'!A77="","",'NEW ACCOUNT'!B77)</f>
        <v/>
      </c>
      <c r="C76" s="35" t="str">
        <f>IF('NEW ACCOUNT'!A77="","",'NEW ACCOUNT'!C77)</f>
        <v/>
      </c>
      <c r="D76" s="35" t="str">
        <f>IF('NEW ACCOUNT'!A77="","",'NEW ACCOUNT'!D77)</f>
        <v/>
      </c>
      <c r="E76" s="35" t="str">
        <f>IF('NEW ACCOUNT'!A77="","",'NEW ACCOUNT'!E77)</f>
        <v/>
      </c>
      <c r="F76" s="35" t="str">
        <f>IF('NEW ACCOUNT'!A77="","",'NEW ACCOUNT'!F77)</f>
        <v/>
      </c>
      <c r="G76" s="35" t="str">
        <f>IF('NEW ACCOUNT'!A77="","",'NEW ACCOUNT'!G77)</f>
        <v/>
      </c>
      <c r="H76" s="35" t="str">
        <f>IF('NEW ACCOUNT'!A77="","",'NEW ACCOUNT'!H77)</f>
        <v/>
      </c>
      <c r="I76" s="35" t="str">
        <f>IF('NEW ACCOUNT'!A77="","",'NEW ACCOUNT'!I77)</f>
        <v/>
      </c>
      <c r="J76" s="35" t="str">
        <f>IF('NEW ACCOUNT'!A77="","",'NEW ACCOUNT'!J77)</f>
        <v/>
      </c>
      <c r="K76" s="36" t="str">
        <f>IFERROR(IF(A76="","",SUMIF(DB_Savings!$A:$A,A76,DB_Savings!$F:$F)),"")</f>
        <v/>
      </c>
      <c r="L76" s="36" t="str">
        <f>IFERROR(IF(A76="","",SUMIF(DB_Withdrawals!$A:$A,A76,DB_Withdrawals!$G:$G)),"")</f>
        <v/>
      </c>
      <c r="M76" s="36" t="str">
        <f>IFERROR(IF(A76="","",IFERROR(VALUE(H76),0)+IFERROR(SUMIF(DB_Savings!$A:$A,A76,DB_Savings!$F:$F),0)-IFERROR(SUMIF(DB_Withdrawals!$A:$A,A76,DB_Withdrawals!$G:$G),0)),"")</f>
        <v/>
      </c>
      <c r="N76" s="36" t="str">
        <f>IFERROR(IF(A76="","",MAX(0,M76-System_Config!$B$9)),"")</f>
        <v/>
      </c>
    </row>
    <row r="77" spans="1:14" ht="20.100000000000001" customHeight="1" x14ac:dyDescent="0.25">
      <c r="A77" s="34" t="str">
        <f>'NEW ACCOUNT'!A78</f>
        <v/>
      </c>
      <c r="B77" s="35" t="str">
        <f>IF('NEW ACCOUNT'!A78="","",'NEW ACCOUNT'!B78)</f>
        <v/>
      </c>
      <c r="C77" s="35" t="str">
        <f>IF('NEW ACCOUNT'!A78="","",'NEW ACCOUNT'!C78)</f>
        <v/>
      </c>
      <c r="D77" s="35" t="str">
        <f>IF('NEW ACCOUNT'!A78="","",'NEW ACCOUNT'!D78)</f>
        <v/>
      </c>
      <c r="E77" s="35" t="str">
        <f>IF('NEW ACCOUNT'!A78="","",'NEW ACCOUNT'!E78)</f>
        <v/>
      </c>
      <c r="F77" s="35" t="str">
        <f>IF('NEW ACCOUNT'!A78="","",'NEW ACCOUNT'!F78)</f>
        <v/>
      </c>
      <c r="G77" s="35" t="str">
        <f>IF('NEW ACCOUNT'!A78="","",'NEW ACCOUNT'!G78)</f>
        <v/>
      </c>
      <c r="H77" s="35" t="str">
        <f>IF('NEW ACCOUNT'!A78="","",'NEW ACCOUNT'!H78)</f>
        <v/>
      </c>
      <c r="I77" s="35" t="str">
        <f>IF('NEW ACCOUNT'!A78="","",'NEW ACCOUNT'!I78)</f>
        <v/>
      </c>
      <c r="J77" s="35" t="str">
        <f>IF('NEW ACCOUNT'!A78="","",'NEW ACCOUNT'!J78)</f>
        <v/>
      </c>
      <c r="K77" s="36" t="str">
        <f>IFERROR(IF(A77="","",SUMIF(DB_Savings!$A:$A,A77,DB_Savings!$F:$F)),"")</f>
        <v/>
      </c>
      <c r="L77" s="36" t="str">
        <f>IFERROR(IF(A77="","",SUMIF(DB_Withdrawals!$A:$A,A77,DB_Withdrawals!$G:$G)),"")</f>
        <v/>
      </c>
      <c r="M77" s="36" t="str">
        <f>IFERROR(IF(A77="","",IFERROR(VALUE(H77),0)+IFERROR(SUMIF(DB_Savings!$A:$A,A77,DB_Savings!$F:$F),0)-IFERROR(SUMIF(DB_Withdrawals!$A:$A,A77,DB_Withdrawals!$G:$G),0)),"")</f>
        <v/>
      </c>
      <c r="N77" s="36" t="str">
        <f>IFERROR(IF(A77="","",MAX(0,M77-System_Config!$B$9)),"")</f>
        <v/>
      </c>
    </row>
    <row r="78" spans="1:14" ht="20.100000000000001" customHeight="1" x14ac:dyDescent="0.25">
      <c r="A78" s="34" t="str">
        <f>'NEW ACCOUNT'!A79</f>
        <v/>
      </c>
      <c r="B78" s="35" t="str">
        <f>IF('NEW ACCOUNT'!A79="","",'NEW ACCOUNT'!B79)</f>
        <v/>
      </c>
      <c r="C78" s="35" t="str">
        <f>IF('NEW ACCOUNT'!A79="","",'NEW ACCOUNT'!C79)</f>
        <v/>
      </c>
      <c r="D78" s="35" t="str">
        <f>IF('NEW ACCOUNT'!A79="","",'NEW ACCOUNT'!D79)</f>
        <v/>
      </c>
      <c r="E78" s="35" t="str">
        <f>IF('NEW ACCOUNT'!A79="","",'NEW ACCOUNT'!E79)</f>
        <v/>
      </c>
      <c r="F78" s="35" t="str">
        <f>IF('NEW ACCOUNT'!A79="","",'NEW ACCOUNT'!F79)</f>
        <v/>
      </c>
      <c r="G78" s="35" t="str">
        <f>IF('NEW ACCOUNT'!A79="","",'NEW ACCOUNT'!G79)</f>
        <v/>
      </c>
      <c r="H78" s="35" t="str">
        <f>IF('NEW ACCOUNT'!A79="","",'NEW ACCOUNT'!H79)</f>
        <v/>
      </c>
      <c r="I78" s="35" t="str">
        <f>IF('NEW ACCOUNT'!A79="","",'NEW ACCOUNT'!I79)</f>
        <v/>
      </c>
      <c r="J78" s="35" t="str">
        <f>IF('NEW ACCOUNT'!A79="","",'NEW ACCOUNT'!J79)</f>
        <v/>
      </c>
      <c r="K78" s="36" t="str">
        <f>IFERROR(IF(A78="","",SUMIF(DB_Savings!$A:$A,A78,DB_Savings!$F:$F)),"")</f>
        <v/>
      </c>
      <c r="L78" s="36" t="str">
        <f>IFERROR(IF(A78="","",SUMIF(DB_Withdrawals!$A:$A,A78,DB_Withdrawals!$G:$G)),"")</f>
        <v/>
      </c>
      <c r="M78" s="36" t="str">
        <f>IFERROR(IF(A78="","",IFERROR(VALUE(H78),0)+IFERROR(SUMIF(DB_Savings!$A:$A,A78,DB_Savings!$F:$F),0)-IFERROR(SUMIF(DB_Withdrawals!$A:$A,A78,DB_Withdrawals!$G:$G),0)),"")</f>
        <v/>
      </c>
      <c r="N78" s="36" t="str">
        <f>IFERROR(IF(A78="","",MAX(0,M78-System_Config!$B$9)),"")</f>
        <v/>
      </c>
    </row>
    <row r="79" spans="1:14" ht="20.100000000000001" customHeight="1" x14ac:dyDescent="0.25">
      <c r="A79" s="34" t="str">
        <f>'NEW ACCOUNT'!A80</f>
        <v/>
      </c>
      <c r="B79" s="35" t="str">
        <f>IF('NEW ACCOUNT'!A80="","",'NEW ACCOUNT'!B80)</f>
        <v/>
      </c>
      <c r="C79" s="35" t="str">
        <f>IF('NEW ACCOUNT'!A80="","",'NEW ACCOUNT'!C80)</f>
        <v/>
      </c>
      <c r="D79" s="35" t="str">
        <f>IF('NEW ACCOUNT'!A80="","",'NEW ACCOUNT'!D80)</f>
        <v/>
      </c>
      <c r="E79" s="35" t="str">
        <f>IF('NEW ACCOUNT'!A80="","",'NEW ACCOUNT'!E80)</f>
        <v/>
      </c>
      <c r="F79" s="35" t="str">
        <f>IF('NEW ACCOUNT'!A80="","",'NEW ACCOUNT'!F80)</f>
        <v/>
      </c>
      <c r="G79" s="35" t="str">
        <f>IF('NEW ACCOUNT'!A80="","",'NEW ACCOUNT'!G80)</f>
        <v/>
      </c>
      <c r="H79" s="35" t="str">
        <f>IF('NEW ACCOUNT'!A80="","",'NEW ACCOUNT'!H80)</f>
        <v/>
      </c>
      <c r="I79" s="35" t="str">
        <f>IF('NEW ACCOUNT'!A80="","",'NEW ACCOUNT'!I80)</f>
        <v/>
      </c>
      <c r="J79" s="35" t="str">
        <f>IF('NEW ACCOUNT'!A80="","",'NEW ACCOUNT'!J80)</f>
        <v/>
      </c>
      <c r="K79" s="36" t="str">
        <f>IFERROR(IF(A79="","",SUMIF(DB_Savings!$A:$A,A79,DB_Savings!$F:$F)),"")</f>
        <v/>
      </c>
      <c r="L79" s="36" t="str">
        <f>IFERROR(IF(A79="","",SUMIF(DB_Withdrawals!$A:$A,A79,DB_Withdrawals!$G:$G)),"")</f>
        <v/>
      </c>
      <c r="M79" s="36" t="str">
        <f>IFERROR(IF(A79="","",IFERROR(VALUE(H79),0)+IFERROR(SUMIF(DB_Savings!$A:$A,A79,DB_Savings!$F:$F),0)-IFERROR(SUMIF(DB_Withdrawals!$A:$A,A79,DB_Withdrawals!$G:$G),0)),"")</f>
        <v/>
      </c>
      <c r="N79" s="36" t="str">
        <f>IFERROR(IF(A79="","",MAX(0,M79-System_Config!$B$9)),"")</f>
        <v/>
      </c>
    </row>
    <row r="80" spans="1:14" ht="20.100000000000001" customHeight="1" x14ac:dyDescent="0.25">
      <c r="A80" s="34" t="str">
        <f>'NEW ACCOUNT'!A81</f>
        <v/>
      </c>
      <c r="B80" s="35" t="str">
        <f>IF('NEW ACCOUNT'!A81="","",'NEW ACCOUNT'!B81)</f>
        <v/>
      </c>
      <c r="C80" s="35" t="str">
        <f>IF('NEW ACCOUNT'!A81="","",'NEW ACCOUNT'!C81)</f>
        <v/>
      </c>
      <c r="D80" s="35" t="str">
        <f>IF('NEW ACCOUNT'!A81="","",'NEW ACCOUNT'!D81)</f>
        <v/>
      </c>
      <c r="E80" s="35" t="str">
        <f>IF('NEW ACCOUNT'!A81="","",'NEW ACCOUNT'!E81)</f>
        <v/>
      </c>
      <c r="F80" s="35" t="str">
        <f>IF('NEW ACCOUNT'!A81="","",'NEW ACCOUNT'!F81)</f>
        <v/>
      </c>
      <c r="G80" s="35" t="str">
        <f>IF('NEW ACCOUNT'!A81="","",'NEW ACCOUNT'!G81)</f>
        <v/>
      </c>
      <c r="H80" s="35" t="str">
        <f>IF('NEW ACCOUNT'!A81="","",'NEW ACCOUNT'!H81)</f>
        <v/>
      </c>
      <c r="I80" s="35" t="str">
        <f>IF('NEW ACCOUNT'!A81="","",'NEW ACCOUNT'!I81)</f>
        <v/>
      </c>
      <c r="J80" s="35" t="str">
        <f>IF('NEW ACCOUNT'!A81="","",'NEW ACCOUNT'!J81)</f>
        <v/>
      </c>
      <c r="K80" s="36" t="str">
        <f>IFERROR(IF(A80="","",SUMIF(DB_Savings!$A:$A,A80,DB_Savings!$F:$F)),"")</f>
        <v/>
      </c>
      <c r="L80" s="36" t="str">
        <f>IFERROR(IF(A80="","",SUMIF(DB_Withdrawals!$A:$A,A80,DB_Withdrawals!$G:$G)),"")</f>
        <v/>
      </c>
      <c r="M80" s="36" t="str">
        <f>IFERROR(IF(A80="","",IFERROR(VALUE(H80),0)+IFERROR(SUMIF(DB_Savings!$A:$A,A80,DB_Savings!$F:$F),0)-IFERROR(SUMIF(DB_Withdrawals!$A:$A,A80,DB_Withdrawals!$G:$G),0)),"")</f>
        <v/>
      </c>
      <c r="N80" s="36" t="str">
        <f>IFERROR(IF(A80="","",MAX(0,M80-System_Config!$B$9)),"")</f>
        <v/>
      </c>
    </row>
    <row r="81" spans="1:14" ht="20.100000000000001" customHeight="1" x14ac:dyDescent="0.25">
      <c r="A81" s="34" t="str">
        <f>'NEW ACCOUNT'!A82</f>
        <v/>
      </c>
      <c r="B81" s="35" t="str">
        <f>IF('NEW ACCOUNT'!A82="","",'NEW ACCOUNT'!B82)</f>
        <v/>
      </c>
      <c r="C81" s="35" t="str">
        <f>IF('NEW ACCOUNT'!A82="","",'NEW ACCOUNT'!C82)</f>
        <v/>
      </c>
      <c r="D81" s="35" t="str">
        <f>IF('NEW ACCOUNT'!A82="","",'NEW ACCOUNT'!D82)</f>
        <v/>
      </c>
      <c r="E81" s="35" t="str">
        <f>IF('NEW ACCOUNT'!A82="","",'NEW ACCOUNT'!E82)</f>
        <v/>
      </c>
      <c r="F81" s="35" t="str">
        <f>IF('NEW ACCOUNT'!A82="","",'NEW ACCOUNT'!F82)</f>
        <v/>
      </c>
      <c r="G81" s="35" t="str">
        <f>IF('NEW ACCOUNT'!A82="","",'NEW ACCOUNT'!G82)</f>
        <v/>
      </c>
      <c r="H81" s="35" t="str">
        <f>IF('NEW ACCOUNT'!A82="","",'NEW ACCOUNT'!H82)</f>
        <v/>
      </c>
      <c r="I81" s="35" t="str">
        <f>IF('NEW ACCOUNT'!A82="","",'NEW ACCOUNT'!I82)</f>
        <v/>
      </c>
      <c r="J81" s="35" t="str">
        <f>IF('NEW ACCOUNT'!A82="","",'NEW ACCOUNT'!J82)</f>
        <v/>
      </c>
      <c r="K81" s="36" t="str">
        <f>IFERROR(IF(A81="","",SUMIF(DB_Savings!$A:$A,A81,DB_Savings!$F:$F)),"")</f>
        <v/>
      </c>
      <c r="L81" s="36" t="str">
        <f>IFERROR(IF(A81="","",SUMIF(DB_Withdrawals!$A:$A,A81,DB_Withdrawals!$G:$G)),"")</f>
        <v/>
      </c>
      <c r="M81" s="36" t="str">
        <f>IFERROR(IF(A81="","",IFERROR(VALUE(H81),0)+IFERROR(SUMIF(DB_Savings!$A:$A,A81,DB_Savings!$F:$F),0)-IFERROR(SUMIF(DB_Withdrawals!$A:$A,A81,DB_Withdrawals!$G:$G),0)),"")</f>
        <v/>
      </c>
      <c r="N81" s="36" t="str">
        <f>IFERROR(IF(A81="","",MAX(0,M81-System_Config!$B$9)),"")</f>
        <v/>
      </c>
    </row>
    <row r="82" spans="1:14" ht="20.100000000000001" customHeight="1" x14ac:dyDescent="0.25">
      <c r="A82" s="34" t="str">
        <f>'NEW ACCOUNT'!A83</f>
        <v/>
      </c>
      <c r="B82" s="35" t="str">
        <f>IF('NEW ACCOUNT'!A83="","",'NEW ACCOUNT'!B83)</f>
        <v/>
      </c>
      <c r="C82" s="35" t="str">
        <f>IF('NEW ACCOUNT'!A83="","",'NEW ACCOUNT'!C83)</f>
        <v/>
      </c>
      <c r="D82" s="35" t="str">
        <f>IF('NEW ACCOUNT'!A83="","",'NEW ACCOUNT'!D83)</f>
        <v/>
      </c>
      <c r="E82" s="35" t="str">
        <f>IF('NEW ACCOUNT'!A83="","",'NEW ACCOUNT'!E83)</f>
        <v/>
      </c>
      <c r="F82" s="35" t="str">
        <f>IF('NEW ACCOUNT'!A83="","",'NEW ACCOUNT'!F83)</f>
        <v/>
      </c>
      <c r="G82" s="35" t="str">
        <f>IF('NEW ACCOUNT'!A83="","",'NEW ACCOUNT'!G83)</f>
        <v/>
      </c>
      <c r="H82" s="35" t="str">
        <f>IF('NEW ACCOUNT'!A83="","",'NEW ACCOUNT'!H83)</f>
        <v/>
      </c>
      <c r="I82" s="35" t="str">
        <f>IF('NEW ACCOUNT'!A83="","",'NEW ACCOUNT'!I83)</f>
        <v/>
      </c>
      <c r="J82" s="35" t="str">
        <f>IF('NEW ACCOUNT'!A83="","",'NEW ACCOUNT'!J83)</f>
        <v/>
      </c>
      <c r="K82" s="36" t="str">
        <f>IFERROR(IF(A82="","",SUMIF(DB_Savings!$A:$A,A82,DB_Savings!$F:$F)),"")</f>
        <v/>
      </c>
      <c r="L82" s="36" t="str">
        <f>IFERROR(IF(A82="","",SUMIF(DB_Withdrawals!$A:$A,A82,DB_Withdrawals!$G:$G)),"")</f>
        <v/>
      </c>
      <c r="M82" s="36" t="str">
        <f>IFERROR(IF(A82="","",IFERROR(VALUE(H82),0)+IFERROR(SUMIF(DB_Savings!$A:$A,A82,DB_Savings!$F:$F),0)-IFERROR(SUMIF(DB_Withdrawals!$A:$A,A82,DB_Withdrawals!$G:$G),0)),"")</f>
        <v/>
      </c>
      <c r="N82" s="36" t="str">
        <f>IFERROR(IF(A82="","",MAX(0,M82-System_Config!$B$9)),"")</f>
        <v/>
      </c>
    </row>
    <row r="83" spans="1:14" ht="20.100000000000001" customHeight="1" x14ac:dyDescent="0.25">
      <c r="A83" s="34" t="str">
        <f>'NEW ACCOUNT'!A84</f>
        <v/>
      </c>
      <c r="B83" s="35" t="str">
        <f>IF('NEW ACCOUNT'!A84="","",'NEW ACCOUNT'!B84)</f>
        <v/>
      </c>
      <c r="C83" s="35" t="str">
        <f>IF('NEW ACCOUNT'!A84="","",'NEW ACCOUNT'!C84)</f>
        <v/>
      </c>
      <c r="D83" s="35" t="str">
        <f>IF('NEW ACCOUNT'!A84="","",'NEW ACCOUNT'!D84)</f>
        <v/>
      </c>
      <c r="E83" s="35" t="str">
        <f>IF('NEW ACCOUNT'!A84="","",'NEW ACCOUNT'!E84)</f>
        <v/>
      </c>
      <c r="F83" s="35" t="str">
        <f>IF('NEW ACCOUNT'!A84="","",'NEW ACCOUNT'!F84)</f>
        <v/>
      </c>
      <c r="G83" s="35" t="str">
        <f>IF('NEW ACCOUNT'!A84="","",'NEW ACCOUNT'!G84)</f>
        <v/>
      </c>
      <c r="H83" s="35" t="str">
        <f>IF('NEW ACCOUNT'!A84="","",'NEW ACCOUNT'!H84)</f>
        <v/>
      </c>
      <c r="I83" s="35" t="str">
        <f>IF('NEW ACCOUNT'!A84="","",'NEW ACCOUNT'!I84)</f>
        <v/>
      </c>
      <c r="J83" s="35" t="str">
        <f>IF('NEW ACCOUNT'!A84="","",'NEW ACCOUNT'!J84)</f>
        <v/>
      </c>
      <c r="K83" s="36" t="str">
        <f>IFERROR(IF(A83="","",SUMIF(DB_Savings!$A:$A,A83,DB_Savings!$F:$F)),"")</f>
        <v/>
      </c>
      <c r="L83" s="36" t="str">
        <f>IFERROR(IF(A83="","",SUMIF(DB_Withdrawals!$A:$A,A83,DB_Withdrawals!$G:$G)),"")</f>
        <v/>
      </c>
      <c r="M83" s="36" t="str">
        <f>IFERROR(IF(A83="","",IFERROR(VALUE(H83),0)+IFERROR(SUMIF(DB_Savings!$A:$A,A83,DB_Savings!$F:$F),0)-IFERROR(SUMIF(DB_Withdrawals!$A:$A,A83,DB_Withdrawals!$G:$G),0)),"")</f>
        <v/>
      </c>
      <c r="N83" s="36" t="str">
        <f>IFERROR(IF(A83="","",MAX(0,M83-System_Config!$B$9)),"")</f>
        <v/>
      </c>
    </row>
    <row r="84" spans="1:14" ht="20.100000000000001" customHeight="1" x14ac:dyDescent="0.25">
      <c r="A84" s="34" t="str">
        <f>'NEW ACCOUNT'!A85</f>
        <v/>
      </c>
      <c r="B84" s="35" t="str">
        <f>IF('NEW ACCOUNT'!A85="","",'NEW ACCOUNT'!B85)</f>
        <v/>
      </c>
      <c r="C84" s="35" t="str">
        <f>IF('NEW ACCOUNT'!A85="","",'NEW ACCOUNT'!C85)</f>
        <v/>
      </c>
      <c r="D84" s="35" t="str">
        <f>IF('NEW ACCOUNT'!A85="","",'NEW ACCOUNT'!D85)</f>
        <v/>
      </c>
      <c r="E84" s="35" t="str">
        <f>IF('NEW ACCOUNT'!A85="","",'NEW ACCOUNT'!E85)</f>
        <v/>
      </c>
      <c r="F84" s="35" t="str">
        <f>IF('NEW ACCOUNT'!A85="","",'NEW ACCOUNT'!F85)</f>
        <v/>
      </c>
      <c r="G84" s="35" t="str">
        <f>IF('NEW ACCOUNT'!A85="","",'NEW ACCOUNT'!G85)</f>
        <v/>
      </c>
      <c r="H84" s="35" t="str">
        <f>IF('NEW ACCOUNT'!A85="","",'NEW ACCOUNT'!H85)</f>
        <v/>
      </c>
      <c r="I84" s="35" t="str">
        <f>IF('NEW ACCOUNT'!A85="","",'NEW ACCOUNT'!I85)</f>
        <v/>
      </c>
      <c r="J84" s="35" t="str">
        <f>IF('NEW ACCOUNT'!A85="","",'NEW ACCOUNT'!J85)</f>
        <v/>
      </c>
      <c r="K84" s="36" t="str">
        <f>IFERROR(IF(A84="","",SUMIF(DB_Savings!$A:$A,A84,DB_Savings!$F:$F)),"")</f>
        <v/>
      </c>
      <c r="L84" s="36" t="str">
        <f>IFERROR(IF(A84="","",SUMIF(DB_Withdrawals!$A:$A,A84,DB_Withdrawals!$G:$G)),"")</f>
        <v/>
      </c>
      <c r="M84" s="36" t="str">
        <f>IFERROR(IF(A84="","",IFERROR(VALUE(H84),0)+IFERROR(SUMIF(DB_Savings!$A:$A,A84,DB_Savings!$F:$F),0)-IFERROR(SUMIF(DB_Withdrawals!$A:$A,A84,DB_Withdrawals!$G:$G),0)),"")</f>
        <v/>
      </c>
      <c r="N84" s="36" t="str">
        <f>IFERROR(IF(A84="","",MAX(0,M84-System_Config!$B$9)),"")</f>
        <v/>
      </c>
    </row>
    <row r="85" spans="1:14" ht="20.100000000000001" customHeight="1" x14ac:dyDescent="0.25">
      <c r="A85" s="34" t="str">
        <f>'NEW ACCOUNT'!A86</f>
        <v/>
      </c>
      <c r="B85" s="35" t="str">
        <f>IF('NEW ACCOUNT'!A86="","",'NEW ACCOUNT'!B86)</f>
        <v/>
      </c>
      <c r="C85" s="35" t="str">
        <f>IF('NEW ACCOUNT'!A86="","",'NEW ACCOUNT'!C86)</f>
        <v/>
      </c>
      <c r="D85" s="35" t="str">
        <f>IF('NEW ACCOUNT'!A86="","",'NEW ACCOUNT'!D86)</f>
        <v/>
      </c>
      <c r="E85" s="35" t="str">
        <f>IF('NEW ACCOUNT'!A86="","",'NEW ACCOUNT'!E86)</f>
        <v/>
      </c>
      <c r="F85" s="35" t="str">
        <f>IF('NEW ACCOUNT'!A86="","",'NEW ACCOUNT'!F86)</f>
        <v/>
      </c>
      <c r="G85" s="35" t="str">
        <f>IF('NEW ACCOUNT'!A86="","",'NEW ACCOUNT'!G86)</f>
        <v/>
      </c>
      <c r="H85" s="35" t="str">
        <f>IF('NEW ACCOUNT'!A86="","",'NEW ACCOUNT'!H86)</f>
        <v/>
      </c>
      <c r="I85" s="35" t="str">
        <f>IF('NEW ACCOUNT'!A86="","",'NEW ACCOUNT'!I86)</f>
        <v/>
      </c>
      <c r="J85" s="35" t="str">
        <f>IF('NEW ACCOUNT'!A86="","",'NEW ACCOUNT'!J86)</f>
        <v/>
      </c>
      <c r="K85" s="36" t="str">
        <f>IFERROR(IF(A85="","",SUMIF(DB_Savings!$A:$A,A85,DB_Savings!$F:$F)),"")</f>
        <v/>
      </c>
      <c r="L85" s="36" t="str">
        <f>IFERROR(IF(A85="","",SUMIF(DB_Withdrawals!$A:$A,A85,DB_Withdrawals!$G:$G)),"")</f>
        <v/>
      </c>
      <c r="M85" s="36" t="str">
        <f>IFERROR(IF(A85="","",IFERROR(VALUE(H85),0)+IFERROR(SUMIF(DB_Savings!$A:$A,A85,DB_Savings!$F:$F),0)-IFERROR(SUMIF(DB_Withdrawals!$A:$A,A85,DB_Withdrawals!$G:$G),0)),"")</f>
        <v/>
      </c>
      <c r="N85" s="36" t="str">
        <f>IFERROR(IF(A85="","",MAX(0,M85-System_Config!$B$9)),"")</f>
        <v/>
      </c>
    </row>
    <row r="86" spans="1:14" ht="20.100000000000001" customHeight="1" x14ac:dyDescent="0.25">
      <c r="A86" s="34" t="str">
        <f>'NEW ACCOUNT'!A87</f>
        <v/>
      </c>
      <c r="B86" s="35" t="str">
        <f>IF('NEW ACCOUNT'!A87="","",'NEW ACCOUNT'!B87)</f>
        <v/>
      </c>
      <c r="C86" s="35" t="str">
        <f>IF('NEW ACCOUNT'!A87="","",'NEW ACCOUNT'!C87)</f>
        <v/>
      </c>
      <c r="D86" s="35" t="str">
        <f>IF('NEW ACCOUNT'!A87="","",'NEW ACCOUNT'!D87)</f>
        <v/>
      </c>
      <c r="E86" s="35" t="str">
        <f>IF('NEW ACCOUNT'!A87="","",'NEW ACCOUNT'!E87)</f>
        <v/>
      </c>
      <c r="F86" s="35" t="str">
        <f>IF('NEW ACCOUNT'!A87="","",'NEW ACCOUNT'!F87)</f>
        <v/>
      </c>
      <c r="G86" s="35" t="str">
        <f>IF('NEW ACCOUNT'!A87="","",'NEW ACCOUNT'!G87)</f>
        <v/>
      </c>
      <c r="H86" s="35" t="str">
        <f>IF('NEW ACCOUNT'!A87="","",'NEW ACCOUNT'!H87)</f>
        <v/>
      </c>
      <c r="I86" s="35" t="str">
        <f>IF('NEW ACCOUNT'!A87="","",'NEW ACCOUNT'!I87)</f>
        <v/>
      </c>
      <c r="J86" s="35" t="str">
        <f>IF('NEW ACCOUNT'!A87="","",'NEW ACCOUNT'!J87)</f>
        <v/>
      </c>
      <c r="K86" s="36" t="str">
        <f>IFERROR(IF(A86="","",SUMIF(DB_Savings!$A:$A,A86,DB_Savings!$F:$F)),"")</f>
        <v/>
      </c>
      <c r="L86" s="36" t="str">
        <f>IFERROR(IF(A86="","",SUMIF(DB_Withdrawals!$A:$A,A86,DB_Withdrawals!$G:$G)),"")</f>
        <v/>
      </c>
      <c r="M86" s="36" t="str">
        <f>IFERROR(IF(A86="","",IFERROR(VALUE(H86),0)+IFERROR(SUMIF(DB_Savings!$A:$A,A86,DB_Savings!$F:$F),0)-IFERROR(SUMIF(DB_Withdrawals!$A:$A,A86,DB_Withdrawals!$G:$G),0)),"")</f>
        <v/>
      </c>
      <c r="N86" s="36" t="str">
        <f>IFERROR(IF(A86="","",MAX(0,M86-System_Config!$B$9)),"")</f>
        <v/>
      </c>
    </row>
    <row r="87" spans="1:14" ht="20.100000000000001" customHeight="1" x14ac:dyDescent="0.25">
      <c r="A87" s="34" t="str">
        <f>'NEW ACCOUNT'!A88</f>
        <v/>
      </c>
      <c r="B87" s="35" t="str">
        <f>IF('NEW ACCOUNT'!A88="","",'NEW ACCOUNT'!B88)</f>
        <v/>
      </c>
      <c r="C87" s="35" t="str">
        <f>IF('NEW ACCOUNT'!A88="","",'NEW ACCOUNT'!C88)</f>
        <v/>
      </c>
      <c r="D87" s="35" t="str">
        <f>IF('NEW ACCOUNT'!A88="","",'NEW ACCOUNT'!D88)</f>
        <v/>
      </c>
      <c r="E87" s="35" t="str">
        <f>IF('NEW ACCOUNT'!A88="","",'NEW ACCOUNT'!E88)</f>
        <v/>
      </c>
      <c r="F87" s="35" t="str">
        <f>IF('NEW ACCOUNT'!A88="","",'NEW ACCOUNT'!F88)</f>
        <v/>
      </c>
      <c r="G87" s="35" t="str">
        <f>IF('NEW ACCOUNT'!A88="","",'NEW ACCOUNT'!G88)</f>
        <v/>
      </c>
      <c r="H87" s="35" t="str">
        <f>IF('NEW ACCOUNT'!A88="","",'NEW ACCOUNT'!H88)</f>
        <v/>
      </c>
      <c r="I87" s="35" t="str">
        <f>IF('NEW ACCOUNT'!A88="","",'NEW ACCOUNT'!I88)</f>
        <v/>
      </c>
      <c r="J87" s="35" t="str">
        <f>IF('NEW ACCOUNT'!A88="","",'NEW ACCOUNT'!J88)</f>
        <v/>
      </c>
      <c r="K87" s="36" t="str">
        <f>IFERROR(IF(A87="","",SUMIF(DB_Savings!$A:$A,A87,DB_Savings!$F:$F)),"")</f>
        <v/>
      </c>
      <c r="L87" s="36" t="str">
        <f>IFERROR(IF(A87="","",SUMIF(DB_Withdrawals!$A:$A,A87,DB_Withdrawals!$G:$G)),"")</f>
        <v/>
      </c>
      <c r="M87" s="36" t="str">
        <f>IFERROR(IF(A87="","",IFERROR(VALUE(H87),0)+IFERROR(SUMIF(DB_Savings!$A:$A,A87,DB_Savings!$F:$F),0)-IFERROR(SUMIF(DB_Withdrawals!$A:$A,A87,DB_Withdrawals!$G:$G),0)),"")</f>
        <v/>
      </c>
      <c r="N87" s="36" t="str">
        <f>IFERROR(IF(A87="","",MAX(0,M87-System_Config!$B$9)),"")</f>
        <v/>
      </c>
    </row>
    <row r="88" spans="1:14" ht="20.100000000000001" customHeight="1" x14ac:dyDescent="0.25">
      <c r="A88" s="34" t="str">
        <f>'NEW ACCOUNT'!A89</f>
        <v/>
      </c>
      <c r="B88" s="35" t="str">
        <f>IF('NEW ACCOUNT'!A89="","",'NEW ACCOUNT'!B89)</f>
        <v/>
      </c>
      <c r="C88" s="35" t="str">
        <f>IF('NEW ACCOUNT'!A89="","",'NEW ACCOUNT'!C89)</f>
        <v/>
      </c>
      <c r="D88" s="35" t="str">
        <f>IF('NEW ACCOUNT'!A89="","",'NEW ACCOUNT'!D89)</f>
        <v/>
      </c>
      <c r="E88" s="35" t="str">
        <f>IF('NEW ACCOUNT'!A89="","",'NEW ACCOUNT'!E89)</f>
        <v/>
      </c>
      <c r="F88" s="35" t="str">
        <f>IF('NEW ACCOUNT'!A89="","",'NEW ACCOUNT'!F89)</f>
        <v/>
      </c>
      <c r="G88" s="35" t="str">
        <f>IF('NEW ACCOUNT'!A89="","",'NEW ACCOUNT'!G89)</f>
        <v/>
      </c>
      <c r="H88" s="35" t="str">
        <f>IF('NEW ACCOUNT'!A89="","",'NEW ACCOUNT'!H89)</f>
        <v/>
      </c>
      <c r="I88" s="35" t="str">
        <f>IF('NEW ACCOUNT'!A89="","",'NEW ACCOUNT'!I89)</f>
        <v/>
      </c>
      <c r="J88" s="35" t="str">
        <f>IF('NEW ACCOUNT'!A89="","",'NEW ACCOUNT'!J89)</f>
        <v/>
      </c>
      <c r="K88" s="36" t="str">
        <f>IFERROR(IF(A88="","",SUMIF(DB_Savings!$A:$A,A88,DB_Savings!$F:$F)),"")</f>
        <v/>
      </c>
      <c r="L88" s="36" t="str">
        <f>IFERROR(IF(A88="","",SUMIF(DB_Withdrawals!$A:$A,A88,DB_Withdrawals!$G:$G)),"")</f>
        <v/>
      </c>
      <c r="M88" s="36" t="str">
        <f>IFERROR(IF(A88="","",IFERROR(VALUE(H88),0)+IFERROR(SUMIF(DB_Savings!$A:$A,A88,DB_Savings!$F:$F),0)-IFERROR(SUMIF(DB_Withdrawals!$A:$A,A88,DB_Withdrawals!$G:$G),0)),"")</f>
        <v/>
      </c>
      <c r="N88" s="36" t="str">
        <f>IFERROR(IF(A88="","",MAX(0,M88-System_Config!$B$9)),"")</f>
        <v/>
      </c>
    </row>
    <row r="89" spans="1:14" ht="20.100000000000001" customHeight="1" x14ac:dyDescent="0.25">
      <c r="A89" s="34" t="str">
        <f>'NEW ACCOUNT'!A90</f>
        <v/>
      </c>
      <c r="B89" s="35" t="str">
        <f>IF('NEW ACCOUNT'!A90="","",'NEW ACCOUNT'!B90)</f>
        <v/>
      </c>
      <c r="C89" s="35" t="str">
        <f>IF('NEW ACCOUNT'!A90="","",'NEW ACCOUNT'!C90)</f>
        <v/>
      </c>
      <c r="D89" s="35" t="str">
        <f>IF('NEW ACCOUNT'!A90="","",'NEW ACCOUNT'!D90)</f>
        <v/>
      </c>
      <c r="E89" s="35" t="str">
        <f>IF('NEW ACCOUNT'!A90="","",'NEW ACCOUNT'!E90)</f>
        <v/>
      </c>
      <c r="F89" s="35" t="str">
        <f>IF('NEW ACCOUNT'!A90="","",'NEW ACCOUNT'!F90)</f>
        <v/>
      </c>
      <c r="G89" s="35" t="str">
        <f>IF('NEW ACCOUNT'!A90="","",'NEW ACCOUNT'!G90)</f>
        <v/>
      </c>
      <c r="H89" s="35" t="str">
        <f>IF('NEW ACCOUNT'!A90="","",'NEW ACCOUNT'!H90)</f>
        <v/>
      </c>
      <c r="I89" s="35" t="str">
        <f>IF('NEW ACCOUNT'!A90="","",'NEW ACCOUNT'!I90)</f>
        <v/>
      </c>
      <c r="J89" s="35" t="str">
        <f>IF('NEW ACCOUNT'!A90="","",'NEW ACCOUNT'!J90)</f>
        <v/>
      </c>
      <c r="K89" s="36" t="str">
        <f>IFERROR(IF(A89="","",SUMIF(DB_Savings!$A:$A,A89,DB_Savings!$F:$F)),"")</f>
        <v/>
      </c>
      <c r="L89" s="36" t="str">
        <f>IFERROR(IF(A89="","",SUMIF(DB_Withdrawals!$A:$A,A89,DB_Withdrawals!$G:$G)),"")</f>
        <v/>
      </c>
      <c r="M89" s="36" t="str">
        <f>IFERROR(IF(A89="","",IFERROR(VALUE(H89),0)+IFERROR(SUMIF(DB_Savings!$A:$A,A89,DB_Savings!$F:$F),0)-IFERROR(SUMIF(DB_Withdrawals!$A:$A,A89,DB_Withdrawals!$G:$G),0)),"")</f>
        <v/>
      </c>
      <c r="N89" s="36" t="str">
        <f>IFERROR(IF(A89="","",MAX(0,M89-System_Config!$B$9)),"")</f>
        <v/>
      </c>
    </row>
    <row r="90" spans="1:14" ht="20.100000000000001" customHeight="1" x14ac:dyDescent="0.25">
      <c r="A90" s="34" t="str">
        <f>'NEW ACCOUNT'!A91</f>
        <v/>
      </c>
      <c r="B90" s="35" t="str">
        <f>IF('NEW ACCOUNT'!A91="","",'NEW ACCOUNT'!B91)</f>
        <v/>
      </c>
      <c r="C90" s="35" t="str">
        <f>IF('NEW ACCOUNT'!A91="","",'NEW ACCOUNT'!C91)</f>
        <v/>
      </c>
      <c r="D90" s="35" t="str">
        <f>IF('NEW ACCOUNT'!A91="","",'NEW ACCOUNT'!D91)</f>
        <v/>
      </c>
      <c r="E90" s="35" t="str">
        <f>IF('NEW ACCOUNT'!A91="","",'NEW ACCOUNT'!E91)</f>
        <v/>
      </c>
      <c r="F90" s="35" t="str">
        <f>IF('NEW ACCOUNT'!A91="","",'NEW ACCOUNT'!F91)</f>
        <v/>
      </c>
      <c r="G90" s="35" t="str">
        <f>IF('NEW ACCOUNT'!A91="","",'NEW ACCOUNT'!G91)</f>
        <v/>
      </c>
      <c r="H90" s="35" t="str">
        <f>IF('NEW ACCOUNT'!A91="","",'NEW ACCOUNT'!H91)</f>
        <v/>
      </c>
      <c r="I90" s="35" t="str">
        <f>IF('NEW ACCOUNT'!A91="","",'NEW ACCOUNT'!I91)</f>
        <v/>
      </c>
      <c r="J90" s="35" t="str">
        <f>IF('NEW ACCOUNT'!A91="","",'NEW ACCOUNT'!J91)</f>
        <v/>
      </c>
      <c r="K90" s="36" t="str">
        <f>IFERROR(IF(A90="","",SUMIF(DB_Savings!$A:$A,A90,DB_Savings!$F:$F)),"")</f>
        <v/>
      </c>
      <c r="L90" s="36" t="str">
        <f>IFERROR(IF(A90="","",SUMIF(DB_Withdrawals!$A:$A,A90,DB_Withdrawals!$G:$G)),"")</f>
        <v/>
      </c>
      <c r="M90" s="36" t="str">
        <f>IFERROR(IF(A90="","",IFERROR(VALUE(H90),0)+IFERROR(SUMIF(DB_Savings!$A:$A,A90,DB_Savings!$F:$F),0)-IFERROR(SUMIF(DB_Withdrawals!$A:$A,A90,DB_Withdrawals!$G:$G),0)),"")</f>
        <v/>
      </c>
      <c r="N90" s="36" t="str">
        <f>IFERROR(IF(A90="","",MAX(0,M90-System_Config!$B$9)),"")</f>
        <v/>
      </c>
    </row>
    <row r="91" spans="1:14" ht="20.100000000000001" customHeight="1" x14ac:dyDescent="0.25">
      <c r="A91" s="34" t="str">
        <f>'NEW ACCOUNT'!A92</f>
        <v/>
      </c>
      <c r="B91" s="35" t="str">
        <f>IF('NEW ACCOUNT'!A92="","",'NEW ACCOUNT'!B92)</f>
        <v/>
      </c>
      <c r="C91" s="35" t="str">
        <f>IF('NEW ACCOUNT'!A92="","",'NEW ACCOUNT'!C92)</f>
        <v/>
      </c>
      <c r="D91" s="35" t="str">
        <f>IF('NEW ACCOUNT'!A92="","",'NEW ACCOUNT'!D92)</f>
        <v/>
      </c>
      <c r="E91" s="35" t="str">
        <f>IF('NEW ACCOUNT'!A92="","",'NEW ACCOUNT'!E92)</f>
        <v/>
      </c>
      <c r="F91" s="35" t="str">
        <f>IF('NEW ACCOUNT'!A92="","",'NEW ACCOUNT'!F92)</f>
        <v/>
      </c>
      <c r="G91" s="35" t="str">
        <f>IF('NEW ACCOUNT'!A92="","",'NEW ACCOUNT'!G92)</f>
        <v/>
      </c>
      <c r="H91" s="35" t="str">
        <f>IF('NEW ACCOUNT'!A92="","",'NEW ACCOUNT'!H92)</f>
        <v/>
      </c>
      <c r="I91" s="35" t="str">
        <f>IF('NEW ACCOUNT'!A92="","",'NEW ACCOUNT'!I92)</f>
        <v/>
      </c>
      <c r="J91" s="35" t="str">
        <f>IF('NEW ACCOUNT'!A92="","",'NEW ACCOUNT'!J92)</f>
        <v/>
      </c>
      <c r="K91" s="36" t="str">
        <f>IFERROR(IF(A91="","",SUMIF(DB_Savings!$A:$A,A91,DB_Savings!$F:$F)),"")</f>
        <v/>
      </c>
      <c r="L91" s="36" t="str">
        <f>IFERROR(IF(A91="","",SUMIF(DB_Withdrawals!$A:$A,A91,DB_Withdrawals!$G:$G)),"")</f>
        <v/>
      </c>
      <c r="M91" s="36" t="str">
        <f>IFERROR(IF(A91="","",IFERROR(VALUE(H91),0)+IFERROR(SUMIF(DB_Savings!$A:$A,A91,DB_Savings!$F:$F),0)-IFERROR(SUMIF(DB_Withdrawals!$A:$A,A91,DB_Withdrawals!$G:$G),0)),"")</f>
        <v/>
      </c>
      <c r="N91" s="36" t="str">
        <f>IFERROR(IF(A91="","",MAX(0,M91-System_Config!$B$9)),"")</f>
        <v/>
      </c>
    </row>
    <row r="92" spans="1:14" ht="20.100000000000001" customHeight="1" x14ac:dyDescent="0.25">
      <c r="A92" s="34" t="str">
        <f>'NEW ACCOUNT'!A93</f>
        <v/>
      </c>
      <c r="B92" s="35" t="str">
        <f>IF('NEW ACCOUNT'!A93="","",'NEW ACCOUNT'!B93)</f>
        <v/>
      </c>
      <c r="C92" s="35" t="str">
        <f>IF('NEW ACCOUNT'!A93="","",'NEW ACCOUNT'!C93)</f>
        <v/>
      </c>
      <c r="D92" s="35" t="str">
        <f>IF('NEW ACCOUNT'!A93="","",'NEW ACCOUNT'!D93)</f>
        <v/>
      </c>
      <c r="E92" s="35" t="str">
        <f>IF('NEW ACCOUNT'!A93="","",'NEW ACCOUNT'!E93)</f>
        <v/>
      </c>
      <c r="F92" s="35" t="str">
        <f>IF('NEW ACCOUNT'!A93="","",'NEW ACCOUNT'!F93)</f>
        <v/>
      </c>
      <c r="G92" s="35" t="str">
        <f>IF('NEW ACCOUNT'!A93="","",'NEW ACCOUNT'!G93)</f>
        <v/>
      </c>
      <c r="H92" s="35" t="str">
        <f>IF('NEW ACCOUNT'!A93="","",'NEW ACCOUNT'!H93)</f>
        <v/>
      </c>
      <c r="I92" s="35" t="str">
        <f>IF('NEW ACCOUNT'!A93="","",'NEW ACCOUNT'!I93)</f>
        <v/>
      </c>
      <c r="J92" s="35" t="str">
        <f>IF('NEW ACCOUNT'!A93="","",'NEW ACCOUNT'!J93)</f>
        <v/>
      </c>
      <c r="K92" s="36" t="str">
        <f>IFERROR(IF(A92="","",SUMIF(DB_Savings!$A:$A,A92,DB_Savings!$F:$F)),"")</f>
        <v/>
      </c>
      <c r="L92" s="36" t="str">
        <f>IFERROR(IF(A92="","",SUMIF(DB_Withdrawals!$A:$A,A92,DB_Withdrawals!$G:$G)),"")</f>
        <v/>
      </c>
      <c r="M92" s="36" t="str">
        <f>IFERROR(IF(A92="","",IFERROR(VALUE(H92),0)+IFERROR(SUMIF(DB_Savings!$A:$A,A92,DB_Savings!$F:$F),0)-IFERROR(SUMIF(DB_Withdrawals!$A:$A,A92,DB_Withdrawals!$G:$G),0)),"")</f>
        <v/>
      </c>
      <c r="N92" s="36" t="str">
        <f>IFERROR(IF(A92="","",MAX(0,M92-System_Config!$B$9)),"")</f>
        <v/>
      </c>
    </row>
    <row r="93" spans="1:14" ht="20.100000000000001" customHeight="1" x14ac:dyDescent="0.25">
      <c r="A93" s="34" t="str">
        <f>'NEW ACCOUNT'!A94</f>
        <v/>
      </c>
      <c r="B93" s="35" t="str">
        <f>IF('NEW ACCOUNT'!A94="","",'NEW ACCOUNT'!B94)</f>
        <v/>
      </c>
      <c r="C93" s="35" t="str">
        <f>IF('NEW ACCOUNT'!A94="","",'NEW ACCOUNT'!C94)</f>
        <v/>
      </c>
      <c r="D93" s="35" t="str">
        <f>IF('NEW ACCOUNT'!A94="","",'NEW ACCOUNT'!D94)</f>
        <v/>
      </c>
      <c r="E93" s="35" t="str">
        <f>IF('NEW ACCOUNT'!A94="","",'NEW ACCOUNT'!E94)</f>
        <v/>
      </c>
      <c r="F93" s="35" t="str">
        <f>IF('NEW ACCOUNT'!A94="","",'NEW ACCOUNT'!F94)</f>
        <v/>
      </c>
      <c r="G93" s="35" t="str">
        <f>IF('NEW ACCOUNT'!A94="","",'NEW ACCOUNT'!G94)</f>
        <v/>
      </c>
      <c r="H93" s="35" t="str">
        <f>IF('NEW ACCOUNT'!A94="","",'NEW ACCOUNT'!H94)</f>
        <v/>
      </c>
      <c r="I93" s="35" t="str">
        <f>IF('NEW ACCOUNT'!A94="","",'NEW ACCOUNT'!I94)</f>
        <v/>
      </c>
      <c r="J93" s="35" t="str">
        <f>IF('NEW ACCOUNT'!A94="","",'NEW ACCOUNT'!J94)</f>
        <v/>
      </c>
      <c r="K93" s="36" t="str">
        <f>IFERROR(IF(A93="","",SUMIF(DB_Savings!$A:$A,A93,DB_Savings!$F:$F)),"")</f>
        <v/>
      </c>
      <c r="L93" s="36" t="str">
        <f>IFERROR(IF(A93="","",SUMIF(DB_Withdrawals!$A:$A,A93,DB_Withdrawals!$G:$G)),"")</f>
        <v/>
      </c>
      <c r="M93" s="36" t="str">
        <f>IFERROR(IF(A93="","",IFERROR(VALUE(H93),0)+IFERROR(SUMIF(DB_Savings!$A:$A,A93,DB_Savings!$F:$F),0)-IFERROR(SUMIF(DB_Withdrawals!$A:$A,A93,DB_Withdrawals!$G:$G),0)),"")</f>
        <v/>
      </c>
      <c r="N93" s="36" t="str">
        <f>IFERROR(IF(A93="","",MAX(0,M93-System_Config!$B$9)),"")</f>
        <v/>
      </c>
    </row>
    <row r="94" spans="1:14" ht="20.100000000000001" customHeight="1" x14ac:dyDescent="0.25">
      <c r="A94" s="34" t="str">
        <f>'NEW ACCOUNT'!A95</f>
        <v/>
      </c>
      <c r="B94" s="35" t="str">
        <f>IF('NEW ACCOUNT'!A95="","",'NEW ACCOUNT'!B95)</f>
        <v/>
      </c>
      <c r="C94" s="35" t="str">
        <f>IF('NEW ACCOUNT'!A95="","",'NEW ACCOUNT'!C95)</f>
        <v/>
      </c>
      <c r="D94" s="35" t="str">
        <f>IF('NEW ACCOUNT'!A95="","",'NEW ACCOUNT'!D95)</f>
        <v/>
      </c>
      <c r="E94" s="35" t="str">
        <f>IF('NEW ACCOUNT'!A95="","",'NEW ACCOUNT'!E95)</f>
        <v/>
      </c>
      <c r="F94" s="35" t="str">
        <f>IF('NEW ACCOUNT'!A95="","",'NEW ACCOUNT'!F95)</f>
        <v/>
      </c>
      <c r="G94" s="35" t="str">
        <f>IF('NEW ACCOUNT'!A95="","",'NEW ACCOUNT'!G95)</f>
        <v/>
      </c>
      <c r="H94" s="35" t="str">
        <f>IF('NEW ACCOUNT'!A95="","",'NEW ACCOUNT'!H95)</f>
        <v/>
      </c>
      <c r="I94" s="35" t="str">
        <f>IF('NEW ACCOUNT'!A95="","",'NEW ACCOUNT'!I95)</f>
        <v/>
      </c>
      <c r="J94" s="35" t="str">
        <f>IF('NEW ACCOUNT'!A95="","",'NEW ACCOUNT'!J95)</f>
        <v/>
      </c>
      <c r="K94" s="36" t="str">
        <f>IFERROR(IF(A94="","",SUMIF(DB_Savings!$A:$A,A94,DB_Savings!$F:$F)),"")</f>
        <v/>
      </c>
      <c r="L94" s="36" t="str">
        <f>IFERROR(IF(A94="","",SUMIF(DB_Withdrawals!$A:$A,A94,DB_Withdrawals!$G:$G)),"")</f>
        <v/>
      </c>
      <c r="M94" s="36" t="str">
        <f>IFERROR(IF(A94="","",IFERROR(VALUE(H94),0)+IFERROR(SUMIF(DB_Savings!$A:$A,A94,DB_Savings!$F:$F),0)-IFERROR(SUMIF(DB_Withdrawals!$A:$A,A94,DB_Withdrawals!$G:$G),0)),"")</f>
        <v/>
      </c>
      <c r="N94" s="36" t="str">
        <f>IFERROR(IF(A94="","",MAX(0,M94-System_Config!$B$9)),"")</f>
        <v/>
      </c>
    </row>
    <row r="95" spans="1:14" ht="20.100000000000001" customHeight="1" x14ac:dyDescent="0.25">
      <c r="A95" s="34" t="str">
        <f>'NEW ACCOUNT'!A96</f>
        <v/>
      </c>
      <c r="B95" s="35" t="str">
        <f>IF('NEW ACCOUNT'!A96="","",'NEW ACCOUNT'!B96)</f>
        <v/>
      </c>
      <c r="C95" s="35" t="str">
        <f>IF('NEW ACCOUNT'!A96="","",'NEW ACCOUNT'!C96)</f>
        <v/>
      </c>
      <c r="D95" s="35" t="str">
        <f>IF('NEW ACCOUNT'!A96="","",'NEW ACCOUNT'!D96)</f>
        <v/>
      </c>
      <c r="E95" s="35" t="str">
        <f>IF('NEW ACCOUNT'!A96="","",'NEW ACCOUNT'!E96)</f>
        <v/>
      </c>
      <c r="F95" s="35" t="str">
        <f>IF('NEW ACCOUNT'!A96="","",'NEW ACCOUNT'!F96)</f>
        <v/>
      </c>
      <c r="G95" s="35" t="str">
        <f>IF('NEW ACCOUNT'!A96="","",'NEW ACCOUNT'!G96)</f>
        <v/>
      </c>
      <c r="H95" s="35" t="str">
        <f>IF('NEW ACCOUNT'!A96="","",'NEW ACCOUNT'!H96)</f>
        <v/>
      </c>
      <c r="I95" s="35" t="str">
        <f>IF('NEW ACCOUNT'!A96="","",'NEW ACCOUNT'!I96)</f>
        <v/>
      </c>
      <c r="J95" s="35" t="str">
        <f>IF('NEW ACCOUNT'!A96="","",'NEW ACCOUNT'!J96)</f>
        <v/>
      </c>
      <c r="K95" s="36" t="str">
        <f>IFERROR(IF(A95="","",SUMIF(DB_Savings!$A:$A,A95,DB_Savings!$F:$F)),"")</f>
        <v/>
      </c>
      <c r="L95" s="36" t="str">
        <f>IFERROR(IF(A95="","",SUMIF(DB_Withdrawals!$A:$A,A95,DB_Withdrawals!$G:$G)),"")</f>
        <v/>
      </c>
      <c r="M95" s="36" t="str">
        <f>IFERROR(IF(A95="","",IFERROR(VALUE(H95),0)+IFERROR(SUMIF(DB_Savings!$A:$A,A95,DB_Savings!$F:$F),0)-IFERROR(SUMIF(DB_Withdrawals!$A:$A,A95,DB_Withdrawals!$G:$G),0)),"")</f>
        <v/>
      </c>
      <c r="N95" s="36" t="str">
        <f>IFERROR(IF(A95="","",MAX(0,M95-System_Config!$B$9)),"")</f>
        <v/>
      </c>
    </row>
    <row r="96" spans="1:14" ht="20.100000000000001" customHeight="1" x14ac:dyDescent="0.25">
      <c r="A96" s="34" t="str">
        <f>'NEW ACCOUNT'!A97</f>
        <v/>
      </c>
      <c r="B96" s="35" t="str">
        <f>IF('NEW ACCOUNT'!A97="","",'NEW ACCOUNT'!B97)</f>
        <v/>
      </c>
      <c r="C96" s="35" t="str">
        <f>IF('NEW ACCOUNT'!A97="","",'NEW ACCOUNT'!C97)</f>
        <v/>
      </c>
      <c r="D96" s="35" t="str">
        <f>IF('NEW ACCOUNT'!A97="","",'NEW ACCOUNT'!D97)</f>
        <v/>
      </c>
      <c r="E96" s="35" t="str">
        <f>IF('NEW ACCOUNT'!A97="","",'NEW ACCOUNT'!E97)</f>
        <v/>
      </c>
      <c r="F96" s="35" t="str">
        <f>IF('NEW ACCOUNT'!A97="","",'NEW ACCOUNT'!F97)</f>
        <v/>
      </c>
      <c r="G96" s="35" t="str">
        <f>IF('NEW ACCOUNT'!A97="","",'NEW ACCOUNT'!G97)</f>
        <v/>
      </c>
      <c r="H96" s="35" t="str">
        <f>IF('NEW ACCOUNT'!A97="","",'NEW ACCOUNT'!H97)</f>
        <v/>
      </c>
      <c r="I96" s="35" t="str">
        <f>IF('NEW ACCOUNT'!A97="","",'NEW ACCOUNT'!I97)</f>
        <v/>
      </c>
      <c r="J96" s="35" t="str">
        <f>IF('NEW ACCOUNT'!A97="","",'NEW ACCOUNT'!J97)</f>
        <v/>
      </c>
      <c r="K96" s="36" t="str">
        <f>IFERROR(IF(A96="","",SUMIF(DB_Savings!$A:$A,A96,DB_Savings!$F:$F)),"")</f>
        <v/>
      </c>
      <c r="L96" s="36" t="str">
        <f>IFERROR(IF(A96="","",SUMIF(DB_Withdrawals!$A:$A,A96,DB_Withdrawals!$G:$G)),"")</f>
        <v/>
      </c>
      <c r="M96" s="36" t="str">
        <f>IFERROR(IF(A96="","",IFERROR(VALUE(H96),0)+IFERROR(SUMIF(DB_Savings!$A:$A,A96,DB_Savings!$F:$F),0)-IFERROR(SUMIF(DB_Withdrawals!$A:$A,A96,DB_Withdrawals!$G:$G),0)),"")</f>
        <v/>
      </c>
      <c r="N96" s="36" t="str">
        <f>IFERROR(IF(A96="","",MAX(0,M96-System_Config!$B$9)),"")</f>
        <v/>
      </c>
    </row>
    <row r="97" spans="1:14" ht="20.100000000000001" customHeight="1" x14ac:dyDescent="0.25">
      <c r="A97" s="34" t="str">
        <f>'NEW ACCOUNT'!A98</f>
        <v/>
      </c>
      <c r="B97" s="35" t="str">
        <f>IF('NEW ACCOUNT'!A98="","",'NEW ACCOUNT'!B98)</f>
        <v/>
      </c>
      <c r="C97" s="35" t="str">
        <f>IF('NEW ACCOUNT'!A98="","",'NEW ACCOUNT'!C98)</f>
        <v/>
      </c>
      <c r="D97" s="35" t="str">
        <f>IF('NEW ACCOUNT'!A98="","",'NEW ACCOUNT'!D98)</f>
        <v/>
      </c>
      <c r="E97" s="35" t="str">
        <f>IF('NEW ACCOUNT'!A98="","",'NEW ACCOUNT'!E98)</f>
        <v/>
      </c>
      <c r="F97" s="35" t="str">
        <f>IF('NEW ACCOUNT'!A98="","",'NEW ACCOUNT'!F98)</f>
        <v/>
      </c>
      <c r="G97" s="35" t="str">
        <f>IF('NEW ACCOUNT'!A98="","",'NEW ACCOUNT'!G98)</f>
        <v/>
      </c>
      <c r="H97" s="35" t="str">
        <f>IF('NEW ACCOUNT'!A98="","",'NEW ACCOUNT'!H98)</f>
        <v/>
      </c>
      <c r="I97" s="35" t="str">
        <f>IF('NEW ACCOUNT'!A98="","",'NEW ACCOUNT'!I98)</f>
        <v/>
      </c>
      <c r="J97" s="35" t="str">
        <f>IF('NEW ACCOUNT'!A98="","",'NEW ACCOUNT'!J98)</f>
        <v/>
      </c>
      <c r="K97" s="36" t="str">
        <f>IFERROR(IF(A97="","",SUMIF(DB_Savings!$A:$A,A97,DB_Savings!$F:$F)),"")</f>
        <v/>
      </c>
      <c r="L97" s="36" t="str">
        <f>IFERROR(IF(A97="","",SUMIF(DB_Withdrawals!$A:$A,A97,DB_Withdrawals!$G:$G)),"")</f>
        <v/>
      </c>
      <c r="M97" s="36" t="str">
        <f>IFERROR(IF(A97="","",IFERROR(VALUE(H97),0)+IFERROR(SUMIF(DB_Savings!$A:$A,A97,DB_Savings!$F:$F),0)-IFERROR(SUMIF(DB_Withdrawals!$A:$A,A97,DB_Withdrawals!$G:$G),0)),"")</f>
        <v/>
      </c>
      <c r="N97" s="36" t="str">
        <f>IFERROR(IF(A97="","",MAX(0,M97-System_Config!$B$9)),"")</f>
        <v/>
      </c>
    </row>
    <row r="98" spans="1:14" ht="20.100000000000001" customHeight="1" x14ac:dyDescent="0.25">
      <c r="A98" s="34" t="str">
        <f>'NEW ACCOUNT'!A99</f>
        <v/>
      </c>
      <c r="B98" s="35" t="str">
        <f>IF('NEW ACCOUNT'!A99="","",'NEW ACCOUNT'!B99)</f>
        <v/>
      </c>
      <c r="C98" s="35" t="str">
        <f>IF('NEW ACCOUNT'!A99="","",'NEW ACCOUNT'!C99)</f>
        <v/>
      </c>
      <c r="D98" s="35" t="str">
        <f>IF('NEW ACCOUNT'!A99="","",'NEW ACCOUNT'!D99)</f>
        <v/>
      </c>
      <c r="E98" s="35" t="str">
        <f>IF('NEW ACCOUNT'!A99="","",'NEW ACCOUNT'!E99)</f>
        <v/>
      </c>
      <c r="F98" s="35" t="str">
        <f>IF('NEW ACCOUNT'!A99="","",'NEW ACCOUNT'!F99)</f>
        <v/>
      </c>
      <c r="G98" s="35" t="str">
        <f>IF('NEW ACCOUNT'!A99="","",'NEW ACCOUNT'!G99)</f>
        <v/>
      </c>
      <c r="H98" s="35" t="str">
        <f>IF('NEW ACCOUNT'!A99="","",'NEW ACCOUNT'!H99)</f>
        <v/>
      </c>
      <c r="I98" s="35" t="str">
        <f>IF('NEW ACCOUNT'!A99="","",'NEW ACCOUNT'!I99)</f>
        <v/>
      </c>
      <c r="J98" s="35" t="str">
        <f>IF('NEW ACCOUNT'!A99="","",'NEW ACCOUNT'!J99)</f>
        <v/>
      </c>
      <c r="K98" s="36" t="str">
        <f>IFERROR(IF(A98="","",SUMIF(DB_Savings!$A:$A,A98,DB_Savings!$F:$F)),"")</f>
        <v/>
      </c>
      <c r="L98" s="36" t="str">
        <f>IFERROR(IF(A98="","",SUMIF(DB_Withdrawals!$A:$A,A98,DB_Withdrawals!$G:$G)),"")</f>
        <v/>
      </c>
      <c r="M98" s="36" t="str">
        <f>IFERROR(IF(A98="","",IFERROR(VALUE(H98),0)+IFERROR(SUMIF(DB_Savings!$A:$A,A98,DB_Savings!$F:$F),0)-IFERROR(SUMIF(DB_Withdrawals!$A:$A,A98,DB_Withdrawals!$G:$G),0)),"")</f>
        <v/>
      </c>
      <c r="N98" s="36" t="str">
        <f>IFERROR(IF(A98="","",MAX(0,M98-System_Config!$B$9)),"")</f>
        <v/>
      </c>
    </row>
    <row r="99" spans="1:14" ht="20.100000000000001" customHeight="1" x14ac:dyDescent="0.25">
      <c r="A99" s="34" t="str">
        <f>'NEW ACCOUNT'!A100</f>
        <v/>
      </c>
      <c r="B99" s="35" t="str">
        <f>IF('NEW ACCOUNT'!A100="","",'NEW ACCOUNT'!B100)</f>
        <v/>
      </c>
      <c r="C99" s="35" t="str">
        <f>IF('NEW ACCOUNT'!A100="","",'NEW ACCOUNT'!C100)</f>
        <v/>
      </c>
      <c r="D99" s="35" t="str">
        <f>IF('NEW ACCOUNT'!A100="","",'NEW ACCOUNT'!D100)</f>
        <v/>
      </c>
      <c r="E99" s="35" t="str">
        <f>IF('NEW ACCOUNT'!A100="","",'NEW ACCOUNT'!E100)</f>
        <v/>
      </c>
      <c r="F99" s="35" t="str">
        <f>IF('NEW ACCOUNT'!A100="","",'NEW ACCOUNT'!F100)</f>
        <v/>
      </c>
      <c r="G99" s="35" t="str">
        <f>IF('NEW ACCOUNT'!A100="","",'NEW ACCOUNT'!G100)</f>
        <v/>
      </c>
      <c r="H99" s="35" t="str">
        <f>IF('NEW ACCOUNT'!A100="","",'NEW ACCOUNT'!H100)</f>
        <v/>
      </c>
      <c r="I99" s="35" t="str">
        <f>IF('NEW ACCOUNT'!A100="","",'NEW ACCOUNT'!I100)</f>
        <v/>
      </c>
      <c r="J99" s="35" t="str">
        <f>IF('NEW ACCOUNT'!A100="","",'NEW ACCOUNT'!J100)</f>
        <v/>
      </c>
      <c r="K99" s="36" t="str">
        <f>IFERROR(IF(A99="","",SUMIF(DB_Savings!$A:$A,A99,DB_Savings!$F:$F)),"")</f>
        <v/>
      </c>
      <c r="L99" s="36" t="str">
        <f>IFERROR(IF(A99="","",SUMIF(DB_Withdrawals!$A:$A,A99,DB_Withdrawals!$G:$G)),"")</f>
        <v/>
      </c>
      <c r="M99" s="36" t="str">
        <f>IFERROR(IF(A99="","",IFERROR(VALUE(H99),0)+IFERROR(SUMIF(DB_Savings!$A:$A,A99,DB_Savings!$F:$F),0)-IFERROR(SUMIF(DB_Withdrawals!$A:$A,A99,DB_Withdrawals!$G:$G),0)),"")</f>
        <v/>
      </c>
      <c r="N99" s="36" t="str">
        <f>IFERROR(IF(A99="","",MAX(0,M99-System_Config!$B$9)),"")</f>
        <v/>
      </c>
    </row>
    <row r="100" spans="1:14" ht="20.100000000000001" customHeight="1" x14ac:dyDescent="0.25">
      <c r="A100" s="34" t="str">
        <f>'NEW ACCOUNT'!A101</f>
        <v/>
      </c>
      <c r="B100" s="35" t="str">
        <f>IF('NEW ACCOUNT'!A101="","",'NEW ACCOUNT'!B101)</f>
        <v/>
      </c>
      <c r="C100" s="35" t="str">
        <f>IF('NEW ACCOUNT'!A101="","",'NEW ACCOUNT'!C101)</f>
        <v/>
      </c>
      <c r="D100" s="35" t="str">
        <f>IF('NEW ACCOUNT'!A101="","",'NEW ACCOUNT'!D101)</f>
        <v/>
      </c>
      <c r="E100" s="35" t="str">
        <f>IF('NEW ACCOUNT'!A101="","",'NEW ACCOUNT'!E101)</f>
        <v/>
      </c>
      <c r="F100" s="35" t="str">
        <f>IF('NEW ACCOUNT'!A101="","",'NEW ACCOUNT'!F101)</f>
        <v/>
      </c>
      <c r="G100" s="35" t="str">
        <f>IF('NEW ACCOUNT'!A101="","",'NEW ACCOUNT'!G101)</f>
        <v/>
      </c>
      <c r="H100" s="35" t="str">
        <f>IF('NEW ACCOUNT'!A101="","",'NEW ACCOUNT'!H101)</f>
        <v/>
      </c>
      <c r="I100" s="35" t="str">
        <f>IF('NEW ACCOUNT'!A101="","",'NEW ACCOUNT'!I101)</f>
        <v/>
      </c>
      <c r="J100" s="35" t="str">
        <f>IF('NEW ACCOUNT'!A101="","",'NEW ACCOUNT'!J101)</f>
        <v/>
      </c>
      <c r="K100" s="36" t="str">
        <f>IFERROR(IF(A100="","",SUMIF(DB_Savings!$A:$A,A100,DB_Savings!$F:$F)),"")</f>
        <v/>
      </c>
      <c r="L100" s="36" t="str">
        <f>IFERROR(IF(A100="","",SUMIF(DB_Withdrawals!$A:$A,A100,DB_Withdrawals!$G:$G)),"")</f>
        <v/>
      </c>
      <c r="M100" s="36" t="str">
        <f>IFERROR(IF(A100="","",IFERROR(VALUE(H100),0)+IFERROR(SUMIF(DB_Savings!$A:$A,A100,DB_Savings!$F:$F),0)-IFERROR(SUMIF(DB_Withdrawals!$A:$A,A100,DB_Withdrawals!$G:$G),0)),"")</f>
        <v/>
      </c>
      <c r="N100" s="36" t="str">
        <f>IFERROR(IF(A100="","",MAX(0,M100-System_Config!$B$9)),"")</f>
        <v/>
      </c>
    </row>
    <row r="101" spans="1:14" ht="20.100000000000001" customHeight="1" x14ac:dyDescent="0.25">
      <c r="A101" s="34" t="str">
        <f>'NEW ACCOUNT'!A102</f>
        <v/>
      </c>
      <c r="B101" s="35" t="str">
        <f>IF('NEW ACCOUNT'!A102="","",'NEW ACCOUNT'!B102)</f>
        <v/>
      </c>
      <c r="C101" s="35" t="str">
        <f>IF('NEW ACCOUNT'!A102="","",'NEW ACCOUNT'!C102)</f>
        <v/>
      </c>
      <c r="D101" s="35" t="str">
        <f>IF('NEW ACCOUNT'!A102="","",'NEW ACCOUNT'!D102)</f>
        <v/>
      </c>
      <c r="E101" s="35" t="str">
        <f>IF('NEW ACCOUNT'!A102="","",'NEW ACCOUNT'!E102)</f>
        <v/>
      </c>
      <c r="F101" s="35" t="str">
        <f>IF('NEW ACCOUNT'!A102="","",'NEW ACCOUNT'!F102)</f>
        <v/>
      </c>
      <c r="G101" s="35" t="str">
        <f>IF('NEW ACCOUNT'!A102="","",'NEW ACCOUNT'!G102)</f>
        <v/>
      </c>
      <c r="H101" s="35" t="str">
        <f>IF('NEW ACCOUNT'!A102="","",'NEW ACCOUNT'!H102)</f>
        <v/>
      </c>
      <c r="I101" s="35" t="str">
        <f>IF('NEW ACCOUNT'!A102="","",'NEW ACCOUNT'!I102)</f>
        <v/>
      </c>
      <c r="J101" s="35" t="str">
        <f>IF('NEW ACCOUNT'!A102="","",'NEW ACCOUNT'!J102)</f>
        <v/>
      </c>
      <c r="K101" s="36" t="str">
        <f>IFERROR(IF(A101="","",SUMIF(DB_Savings!$A:$A,A101,DB_Savings!$F:$F)),"")</f>
        <v/>
      </c>
      <c r="L101" s="36" t="str">
        <f>IFERROR(IF(A101="","",SUMIF(DB_Withdrawals!$A:$A,A101,DB_Withdrawals!$G:$G)),"")</f>
        <v/>
      </c>
      <c r="M101" s="36" t="str">
        <f>IFERROR(IF(A101="","",IFERROR(VALUE(H101),0)+IFERROR(SUMIF(DB_Savings!$A:$A,A101,DB_Savings!$F:$F),0)-IFERROR(SUMIF(DB_Withdrawals!$A:$A,A101,DB_Withdrawals!$G:$G),0)),"")</f>
        <v/>
      </c>
      <c r="N101" s="36" t="str">
        <f>IFERROR(IF(A101="","",MAX(0,M101-System_Config!$B$9)),"")</f>
        <v/>
      </c>
    </row>
    <row r="102" spans="1:14" ht="20.100000000000001" customHeight="1" x14ac:dyDescent="0.25">
      <c r="A102" s="34" t="str">
        <f>'NEW ACCOUNT'!A103</f>
        <v/>
      </c>
      <c r="B102" s="35" t="str">
        <f>IF('NEW ACCOUNT'!A103="","",'NEW ACCOUNT'!B103)</f>
        <v/>
      </c>
      <c r="C102" s="35" t="str">
        <f>IF('NEW ACCOUNT'!A103="","",'NEW ACCOUNT'!C103)</f>
        <v/>
      </c>
      <c r="D102" s="35" t="str">
        <f>IF('NEW ACCOUNT'!A103="","",'NEW ACCOUNT'!D103)</f>
        <v/>
      </c>
      <c r="E102" s="35" t="str">
        <f>IF('NEW ACCOUNT'!A103="","",'NEW ACCOUNT'!E103)</f>
        <v/>
      </c>
      <c r="F102" s="35" t="str">
        <f>IF('NEW ACCOUNT'!A103="","",'NEW ACCOUNT'!F103)</f>
        <v/>
      </c>
      <c r="G102" s="35" t="str">
        <f>IF('NEW ACCOUNT'!A103="","",'NEW ACCOUNT'!G103)</f>
        <v/>
      </c>
      <c r="H102" s="35" t="str">
        <f>IF('NEW ACCOUNT'!A103="","",'NEW ACCOUNT'!H103)</f>
        <v/>
      </c>
      <c r="I102" s="35" t="str">
        <f>IF('NEW ACCOUNT'!A103="","",'NEW ACCOUNT'!I103)</f>
        <v/>
      </c>
      <c r="J102" s="35" t="str">
        <f>IF('NEW ACCOUNT'!A103="","",'NEW ACCOUNT'!J103)</f>
        <v/>
      </c>
      <c r="K102" s="36" t="str">
        <f>IFERROR(IF(A102="","",SUMIF(DB_Savings!$A:$A,A102,DB_Savings!$F:$F)),"")</f>
        <v/>
      </c>
      <c r="L102" s="36" t="str">
        <f>IFERROR(IF(A102="","",SUMIF(DB_Withdrawals!$A:$A,A102,DB_Withdrawals!$G:$G)),"")</f>
        <v/>
      </c>
      <c r="M102" s="36" t="str">
        <f>IFERROR(IF(A102="","",IFERROR(VALUE(H102),0)+IFERROR(SUMIF(DB_Savings!$A:$A,A102,DB_Savings!$F:$F),0)-IFERROR(SUMIF(DB_Withdrawals!$A:$A,A102,DB_Withdrawals!$G:$G),0)),"")</f>
        <v/>
      </c>
      <c r="N102" s="36" t="str">
        <f>IFERROR(IF(A102="","",MAX(0,M102-System_Config!$B$9)),"")</f>
        <v/>
      </c>
    </row>
    <row r="103" spans="1:14" ht="20.100000000000001" customHeight="1" x14ac:dyDescent="0.25">
      <c r="A103" s="34" t="str">
        <f>'NEW ACCOUNT'!A104</f>
        <v/>
      </c>
      <c r="B103" s="35" t="str">
        <f>IF('NEW ACCOUNT'!A104="","",'NEW ACCOUNT'!B104)</f>
        <v/>
      </c>
      <c r="C103" s="35" t="str">
        <f>IF('NEW ACCOUNT'!A104="","",'NEW ACCOUNT'!C104)</f>
        <v/>
      </c>
      <c r="D103" s="35" t="str">
        <f>IF('NEW ACCOUNT'!A104="","",'NEW ACCOUNT'!D104)</f>
        <v/>
      </c>
      <c r="E103" s="35" t="str">
        <f>IF('NEW ACCOUNT'!A104="","",'NEW ACCOUNT'!E104)</f>
        <v/>
      </c>
      <c r="F103" s="35" t="str">
        <f>IF('NEW ACCOUNT'!A104="","",'NEW ACCOUNT'!F104)</f>
        <v/>
      </c>
      <c r="G103" s="35" t="str">
        <f>IF('NEW ACCOUNT'!A104="","",'NEW ACCOUNT'!G104)</f>
        <v/>
      </c>
      <c r="H103" s="35" t="str">
        <f>IF('NEW ACCOUNT'!A104="","",'NEW ACCOUNT'!H104)</f>
        <v/>
      </c>
      <c r="I103" s="35" t="str">
        <f>IF('NEW ACCOUNT'!A104="","",'NEW ACCOUNT'!I104)</f>
        <v/>
      </c>
      <c r="J103" s="35" t="str">
        <f>IF('NEW ACCOUNT'!A104="","",'NEW ACCOUNT'!J104)</f>
        <v/>
      </c>
      <c r="K103" s="36" t="str">
        <f>IFERROR(IF(A103="","",SUMIF(DB_Savings!$A:$A,A103,DB_Savings!$F:$F)),"")</f>
        <v/>
      </c>
      <c r="L103" s="36" t="str">
        <f>IFERROR(IF(A103="","",SUMIF(DB_Withdrawals!$A:$A,A103,DB_Withdrawals!$G:$G)),"")</f>
        <v/>
      </c>
      <c r="M103" s="36" t="str">
        <f>IFERROR(IF(A103="","",IFERROR(VALUE(H103),0)+IFERROR(SUMIF(DB_Savings!$A:$A,A103,DB_Savings!$F:$F),0)-IFERROR(SUMIF(DB_Withdrawals!$A:$A,A103,DB_Withdrawals!$G:$G),0)),"")</f>
        <v/>
      </c>
      <c r="N103" s="36" t="str">
        <f>IFERROR(IF(A103="","",MAX(0,M103-System_Config!$B$9)),"")</f>
        <v/>
      </c>
    </row>
    <row r="104" spans="1:14" ht="20.100000000000001" customHeight="1" x14ac:dyDescent="0.25">
      <c r="A104" s="34" t="str">
        <f>'NEW ACCOUNT'!A105</f>
        <v/>
      </c>
      <c r="B104" s="35" t="str">
        <f>IF('NEW ACCOUNT'!A105="","",'NEW ACCOUNT'!B105)</f>
        <v/>
      </c>
      <c r="C104" s="35" t="str">
        <f>IF('NEW ACCOUNT'!A105="","",'NEW ACCOUNT'!C105)</f>
        <v/>
      </c>
      <c r="D104" s="35" t="str">
        <f>IF('NEW ACCOUNT'!A105="","",'NEW ACCOUNT'!D105)</f>
        <v/>
      </c>
      <c r="E104" s="35" t="str">
        <f>IF('NEW ACCOUNT'!A105="","",'NEW ACCOUNT'!E105)</f>
        <v/>
      </c>
      <c r="F104" s="35" t="str">
        <f>IF('NEW ACCOUNT'!A105="","",'NEW ACCOUNT'!F105)</f>
        <v/>
      </c>
      <c r="G104" s="35" t="str">
        <f>IF('NEW ACCOUNT'!A105="","",'NEW ACCOUNT'!G105)</f>
        <v/>
      </c>
      <c r="H104" s="35" t="str">
        <f>IF('NEW ACCOUNT'!A105="","",'NEW ACCOUNT'!H105)</f>
        <v/>
      </c>
      <c r="I104" s="35" t="str">
        <f>IF('NEW ACCOUNT'!A105="","",'NEW ACCOUNT'!I105)</f>
        <v/>
      </c>
      <c r="J104" s="35" t="str">
        <f>IF('NEW ACCOUNT'!A105="","",'NEW ACCOUNT'!J105)</f>
        <v/>
      </c>
      <c r="K104" s="36" t="str">
        <f>IFERROR(IF(A104="","",SUMIF(DB_Savings!$A:$A,A104,DB_Savings!$F:$F)),"")</f>
        <v/>
      </c>
      <c r="L104" s="36" t="str">
        <f>IFERROR(IF(A104="","",SUMIF(DB_Withdrawals!$A:$A,A104,DB_Withdrawals!$G:$G)),"")</f>
        <v/>
      </c>
      <c r="M104" s="36" t="str">
        <f>IFERROR(IF(A104="","",IFERROR(VALUE(H104),0)+IFERROR(SUMIF(DB_Savings!$A:$A,A104,DB_Savings!$F:$F),0)-IFERROR(SUMIF(DB_Withdrawals!$A:$A,A104,DB_Withdrawals!$G:$G),0)),"")</f>
        <v/>
      </c>
      <c r="N104" s="36" t="str">
        <f>IFERROR(IF(A104="","",MAX(0,M104-System_Config!$B$9)),"")</f>
        <v/>
      </c>
    </row>
    <row r="105" spans="1:14" ht="20.100000000000001" customHeight="1" x14ac:dyDescent="0.25">
      <c r="A105" s="34" t="str">
        <f>'NEW ACCOUNT'!A106</f>
        <v/>
      </c>
      <c r="B105" s="35" t="str">
        <f>IF('NEW ACCOUNT'!A106="","",'NEW ACCOUNT'!B106)</f>
        <v/>
      </c>
      <c r="C105" s="35" t="str">
        <f>IF('NEW ACCOUNT'!A106="","",'NEW ACCOUNT'!C106)</f>
        <v/>
      </c>
      <c r="D105" s="35" t="str">
        <f>IF('NEW ACCOUNT'!A106="","",'NEW ACCOUNT'!D106)</f>
        <v/>
      </c>
      <c r="E105" s="35" t="str">
        <f>IF('NEW ACCOUNT'!A106="","",'NEW ACCOUNT'!E106)</f>
        <v/>
      </c>
      <c r="F105" s="35" t="str">
        <f>IF('NEW ACCOUNT'!A106="","",'NEW ACCOUNT'!F106)</f>
        <v/>
      </c>
      <c r="G105" s="35" t="str">
        <f>IF('NEW ACCOUNT'!A106="","",'NEW ACCOUNT'!G106)</f>
        <v/>
      </c>
      <c r="H105" s="35" t="str">
        <f>IF('NEW ACCOUNT'!A106="","",'NEW ACCOUNT'!H106)</f>
        <v/>
      </c>
      <c r="I105" s="35" t="str">
        <f>IF('NEW ACCOUNT'!A106="","",'NEW ACCOUNT'!I106)</f>
        <v/>
      </c>
      <c r="J105" s="35" t="str">
        <f>IF('NEW ACCOUNT'!A106="","",'NEW ACCOUNT'!J106)</f>
        <v/>
      </c>
      <c r="K105" s="36" t="str">
        <f>IFERROR(IF(A105="","",SUMIF(DB_Savings!$A:$A,A105,DB_Savings!$F:$F)),"")</f>
        <v/>
      </c>
      <c r="L105" s="36" t="str">
        <f>IFERROR(IF(A105="","",SUMIF(DB_Withdrawals!$A:$A,A105,DB_Withdrawals!$G:$G)),"")</f>
        <v/>
      </c>
      <c r="M105" s="36" t="str">
        <f>IFERROR(IF(A105="","",IFERROR(VALUE(H105),0)+IFERROR(SUMIF(DB_Savings!$A:$A,A105,DB_Savings!$F:$F),0)-IFERROR(SUMIF(DB_Withdrawals!$A:$A,A105,DB_Withdrawals!$G:$G),0)),"")</f>
        <v/>
      </c>
      <c r="N105" s="36" t="str">
        <f>IFERROR(IF(A105="","",MAX(0,M105-System_Config!$B$9)),"")</f>
        <v/>
      </c>
    </row>
    <row r="106" spans="1:14" ht="20.100000000000001" customHeight="1" x14ac:dyDescent="0.25">
      <c r="A106" s="34" t="str">
        <f>'NEW ACCOUNT'!A107</f>
        <v/>
      </c>
      <c r="B106" s="35" t="str">
        <f>IF('NEW ACCOUNT'!A107="","",'NEW ACCOUNT'!B107)</f>
        <v/>
      </c>
      <c r="C106" s="35" t="str">
        <f>IF('NEW ACCOUNT'!A107="","",'NEW ACCOUNT'!C107)</f>
        <v/>
      </c>
      <c r="D106" s="35" t="str">
        <f>IF('NEW ACCOUNT'!A107="","",'NEW ACCOUNT'!D107)</f>
        <v/>
      </c>
      <c r="E106" s="35" t="str">
        <f>IF('NEW ACCOUNT'!A107="","",'NEW ACCOUNT'!E107)</f>
        <v/>
      </c>
      <c r="F106" s="35" t="str">
        <f>IF('NEW ACCOUNT'!A107="","",'NEW ACCOUNT'!F107)</f>
        <v/>
      </c>
      <c r="G106" s="35" t="str">
        <f>IF('NEW ACCOUNT'!A107="","",'NEW ACCOUNT'!G107)</f>
        <v/>
      </c>
      <c r="H106" s="35" t="str">
        <f>IF('NEW ACCOUNT'!A107="","",'NEW ACCOUNT'!H107)</f>
        <v/>
      </c>
      <c r="I106" s="35" t="str">
        <f>IF('NEW ACCOUNT'!A107="","",'NEW ACCOUNT'!I107)</f>
        <v/>
      </c>
      <c r="J106" s="35" t="str">
        <f>IF('NEW ACCOUNT'!A107="","",'NEW ACCOUNT'!J107)</f>
        <v/>
      </c>
      <c r="K106" s="36" t="str">
        <f>IFERROR(IF(A106="","",SUMIF(DB_Savings!$A:$A,A106,DB_Savings!$F:$F)),"")</f>
        <v/>
      </c>
      <c r="L106" s="36" t="str">
        <f>IFERROR(IF(A106="","",SUMIF(DB_Withdrawals!$A:$A,A106,DB_Withdrawals!$G:$G)),"")</f>
        <v/>
      </c>
      <c r="M106" s="36" t="str">
        <f>IFERROR(IF(A106="","",IFERROR(VALUE(H106),0)+IFERROR(SUMIF(DB_Savings!$A:$A,A106,DB_Savings!$F:$F),0)-IFERROR(SUMIF(DB_Withdrawals!$A:$A,A106,DB_Withdrawals!$G:$G),0)),"")</f>
        <v/>
      </c>
      <c r="N106" s="36" t="str">
        <f>IFERROR(IF(A106="","",MAX(0,M106-System_Config!$B$9)),"")</f>
        <v/>
      </c>
    </row>
    <row r="107" spans="1:14" ht="20.100000000000001" customHeight="1" x14ac:dyDescent="0.25">
      <c r="A107" s="34" t="str">
        <f>'NEW ACCOUNT'!A108</f>
        <v/>
      </c>
      <c r="B107" s="35" t="str">
        <f>IF('NEW ACCOUNT'!A108="","",'NEW ACCOUNT'!B108)</f>
        <v/>
      </c>
      <c r="C107" s="35" t="str">
        <f>IF('NEW ACCOUNT'!A108="","",'NEW ACCOUNT'!C108)</f>
        <v/>
      </c>
      <c r="D107" s="35" t="str">
        <f>IF('NEW ACCOUNT'!A108="","",'NEW ACCOUNT'!D108)</f>
        <v/>
      </c>
      <c r="E107" s="35" t="str">
        <f>IF('NEW ACCOUNT'!A108="","",'NEW ACCOUNT'!E108)</f>
        <v/>
      </c>
      <c r="F107" s="35" t="str">
        <f>IF('NEW ACCOUNT'!A108="","",'NEW ACCOUNT'!F108)</f>
        <v/>
      </c>
      <c r="G107" s="35" t="str">
        <f>IF('NEW ACCOUNT'!A108="","",'NEW ACCOUNT'!G108)</f>
        <v/>
      </c>
      <c r="H107" s="35" t="str">
        <f>IF('NEW ACCOUNT'!A108="","",'NEW ACCOUNT'!H108)</f>
        <v/>
      </c>
      <c r="I107" s="35" t="str">
        <f>IF('NEW ACCOUNT'!A108="","",'NEW ACCOUNT'!I108)</f>
        <v/>
      </c>
      <c r="J107" s="35" t="str">
        <f>IF('NEW ACCOUNT'!A108="","",'NEW ACCOUNT'!J108)</f>
        <v/>
      </c>
      <c r="K107" s="36" t="str">
        <f>IFERROR(IF(A107="","",SUMIF(DB_Savings!$A:$A,A107,DB_Savings!$F:$F)),"")</f>
        <v/>
      </c>
      <c r="L107" s="36" t="str">
        <f>IFERROR(IF(A107="","",SUMIF(DB_Withdrawals!$A:$A,A107,DB_Withdrawals!$G:$G)),"")</f>
        <v/>
      </c>
      <c r="M107" s="36" t="str">
        <f>IFERROR(IF(A107="","",IFERROR(VALUE(H107),0)+IFERROR(SUMIF(DB_Savings!$A:$A,A107,DB_Savings!$F:$F),0)-IFERROR(SUMIF(DB_Withdrawals!$A:$A,A107,DB_Withdrawals!$G:$G),0)),"")</f>
        <v/>
      </c>
      <c r="N107" s="36" t="str">
        <f>IFERROR(IF(A107="","",MAX(0,M107-System_Config!$B$9)),"")</f>
        <v/>
      </c>
    </row>
    <row r="108" spans="1:14" ht="20.100000000000001" customHeight="1" x14ac:dyDescent="0.25">
      <c r="A108" s="34" t="str">
        <f>'NEW ACCOUNT'!A109</f>
        <v/>
      </c>
      <c r="B108" s="35" t="str">
        <f>IF('NEW ACCOUNT'!A109="","",'NEW ACCOUNT'!B109)</f>
        <v/>
      </c>
      <c r="C108" s="35" t="str">
        <f>IF('NEW ACCOUNT'!A109="","",'NEW ACCOUNT'!C109)</f>
        <v/>
      </c>
      <c r="D108" s="35" t="str">
        <f>IF('NEW ACCOUNT'!A109="","",'NEW ACCOUNT'!D109)</f>
        <v/>
      </c>
      <c r="E108" s="35" t="str">
        <f>IF('NEW ACCOUNT'!A109="","",'NEW ACCOUNT'!E109)</f>
        <v/>
      </c>
      <c r="F108" s="35" t="str">
        <f>IF('NEW ACCOUNT'!A109="","",'NEW ACCOUNT'!F109)</f>
        <v/>
      </c>
      <c r="G108" s="35" t="str">
        <f>IF('NEW ACCOUNT'!A109="","",'NEW ACCOUNT'!G109)</f>
        <v/>
      </c>
      <c r="H108" s="35" t="str">
        <f>IF('NEW ACCOUNT'!A109="","",'NEW ACCOUNT'!H109)</f>
        <v/>
      </c>
      <c r="I108" s="35" t="str">
        <f>IF('NEW ACCOUNT'!A109="","",'NEW ACCOUNT'!I109)</f>
        <v/>
      </c>
      <c r="J108" s="35" t="str">
        <f>IF('NEW ACCOUNT'!A109="","",'NEW ACCOUNT'!J109)</f>
        <v/>
      </c>
      <c r="K108" s="36" t="str">
        <f>IFERROR(IF(A108="","",SUMIF(DB_Savings!$A:$A,A108,DB_Savings!$F:$F)),"")</f>
        <v/>
      </c>
      <c r="L108" s="36" t="str">
        <f>IFERROR(IF(A108="","",SUMIF(DB_Withdrawals!$A:$A,A108,DB_Withdrawals!$G:$G)),"")</f>
        <v/>
      </c>
      <c r="M108" s="36" t="str">
        <f>IFERROR(IF(A108="","",IFERROR(VALUE(H108),0)+IFERROR(SUMIF(DB_Savings!$A:$A,A108,DB_Savings!$F:$F),0)-IFERROR(SUMIF(DB_Withdrawals!$A:$A,A108,DB_Withdrawals!$G:$G),0)),"")</f>
        <v/>
      </c>
      <c r="N108" s="36" t="str">
        <f>IFERROR(IF(A108="","",MAX(0,M108-System_Config!$B$9)),"")</f>
        <v/>
      </c>
    </row>
    <row r="109" spans="1:14" ht="20.100000000000001" customHeight="1" x14ac:dyDescent="0.25">
      <c r="A109" s="34" t="str">
        <f>'NEW ACCOUNT'!A110</f>
        <v/>
      </c>
      <c r="B109" s="35" t="str">
        <f>IF('NEW ACCOUNT'!A110="","",'NEW ACCOUNT'!B110)</f>
        <v/>
      </c>
      <c r="C109" s="35" t="str">
        <f>IF('NEW ACCOUNT'!A110="","",'NEW ACCOUNT'!C110)</f>
        <v/>
      </c>
      <c r="D109" s="35" t="str">
        <f>IF('NEW ACCOUNT'!A110="","",'NEW ACCOUNT'!D110)</f>
        <v/>
      </c>
      <c r="E109" s="35" t="str">
        <f>IF('NEW ACCOUNT'!A110="","",'NEW ACCOUNT'!E110)</f>
        <v/>
      </c>
      <c r="F109" s="35" t="str">
        <f>IF('NEW ACCOUNT'!A110="","",'NEW ACCOUNT'!F110)</f>
        <v/>
      </c>
      <c r="G109" s="35" t="str">
        <f>IF('NEW ACCOUNT'!A110="","",'NEW ACCOUNT'!G110)</f>
        <v/>
      </c>
      <c r="H109" s="35" t="str">
        <f>IF('NEW ACCOUNT'!A110="","",'NEW ACCOUNT'!H110)</f>
        <v/>
      </c>
      <c r="I109" s="35" t="str">
        <f>IF('NEW ACCOUNT'!A110="","",'NEW ACCOUNT'!I110)</f>
        <v/>
      </c>
      <c r="J109" s="35" t="str">
        <f>IF('NEW ACCOUNT'!A110="","",'NEW ACCOUNT'!J110)</f>
        <v/>
      </c>
      <c r="K109" s="36" t="str">
        <f>IFERROR(IF(A109="","",SUMIF(DB_Savings!$A:$A,A109,DB_Savings!$F:$F)),"")</f>
        <v/>
      </c>
      <c r="L109" s="36" t="str">
        <f>IFERROR(IF(A109="","",SUMIF(DB_Withdrawals!$A:$A,A109,DB_Withdrawals!$G:$G)),"")</f>
        <v/>
      </c>
      <c r="M109" s="36" t="str">
        <f>IFERROR(IF(A109="","",IFERROR(VALUE(H109),0)+IFERROR(SUMIF(DB_Savings!$A:$A,A109,DB_Savings!$F:$F),0)-IFERROR(SUMIF(DB_Withdrawals!$A:$A,A109,DB_Withdrawals!$G:$G),0)),"")</f>
        <v/>
      </c>
      <c r="N109" s="36" t="str">
        <f>IFERROR(IF(A109="","",MAX(0,M109-System_Config!$B$9)),"")</f>
        <v/>
      </c>
    </row>
    <row r="110" spans="1:14" ht="20.100000000000001" customHeight="1" x14ac:dyDescent="0.25">
      <c r="A110" s="34" t="str">
        <f>'NEW ACCOUNT'!A111</f>
        <v/>
      </c>
      <c r="B110" s="35" t="str">
        <f>IF('NEW ACCOUNT'!A111="","",'NEW ACCOUNT'!B111)</f>
        <v/>
      </c>
      <c r="C110" s="35" t="str">
        <f>IF('NEW ACCOUNT'!A111="","",'NEW ACCOUNT'!C111)</f>
        <v/>
      </c>
      <c r="D110" s="35" t="str">
        <f>IF('NEW ACCOUNT'!A111="","",'NEW ACCOUNT'!D111)</f>
        <v/>
      </c>
      <c r="E110" s="35" t="str">
        <f>IF('NEW ACCOUNT'!A111="","",'NEW ACCOUNT'!E111)</f>
        <v/>
      </c>
      <c r="F110" s="35" t="str">
        <f>IF('NEW ACCOUNT'!A111="","",'NEW ACCOUNT'!F111)</f>
        <v/>
      </c>
      <c r="G110" s="35" t="str">
        <f>IF('NEW ACCOUNT'!A111="","",'NEW ACCOUNT'!G111)</f>
        <v/>
      </c>
      <c r="H110" s="35" t="str">
        <f>IF('NEW ACCOUNT'!A111="","",'NEW ACCOUNT'!H111)</f>
        <v/>
      </c>
      <c r="I110" s="35" t="str">
        <f>IF('NEW ACCOUNT'!A111="","",'NEW ACCOUNT'!I111)</f>
        <v/>
      </c>
      <c r="J110" s="35" t="str">
        <f>IF('NEW ACCOUNT'!A111="","",'NEW ACCOUNT'!J111)</f>
        <v/>
      </c>
      <c r="K110" s="36" t="str">
        <f>IFERROR(IF(A110="","",SUMIF(DB_Savings!$A:$A,A110,DB_Savings!$F:$F)),"")</f>
        <v/>
      </c>
      <c r="L110" s="36" t="str">
        <f>IFERROR(IF(A110="","",SUMIF(DB_Withdrawals!$A:$A,A110,DB_Withdrawals!$G:$G)),"")</f>
        <v/>
      </c>
      <c r="M110" s="36" t="str">
        <f>IFERROR(IF(A110="","",IFERROR(VALUE(H110),0)+IFERROR(SUMIF(DB_Savings!$A:$A,A110,DB_Savings!$F:$F),0)-IFERROR(SUMIF(DB_Withdrawals!$A:$A,A110,DB_Withdrawals!$G:$G),0)),"")</f>
        <v/>
      </c>
      <c r="N110" s="36" t="str">
        <f>IFERROR(IF(A110="","",MAX(0,M110-System_Config!$B$9)),"")</f>
        <v/>
      </c>
    </row>
    <row r="111" spans="1:14" ht="20.100000000000001" customHeight="1" x14ac:dyDescent="0.25">
      <c r="A111" s="34" t="str">
        <f>'NEW ACCOUNT'!A112</f>
        <v/>
      </c>
      <c r="B111" s="35" t="str">
        <f>IF('NEW ACCOUNT'!A112="","",'NEW ACCOUNT'!B112)</f>
        <v/>
      </c>
      <c r="C111" s="35" t="str">
        <f>IF('NEW ACCOUNT'!A112="","",'NEW ACCOUNT'!C112)</f>
        <v/>
      </c>
      <c r="D111" s="35" t="str">
        <f>IF('NEW ACCOUNT'!A112="","",'NEW ACCOUNT'!D112)</f>
        <v/>
      </c>
      <c r="E111" s="35" t="str">
        <f>IF('NEW ACCOUNT'!A112="","",'NEW ACCOUNT'!E112)</f>
        <v/>
      </c>
      <c r="F111" s="35" t="str">
        <f>IF('NEW ACCOUNT'!A112="","",'NEW ACCOUNT'!F112)</f>
        <v/>
      </c>
      <c r="G111" s="35" t="str">
        <f>IF('NEW ACCOUNT'!A112="","",'NEW ACCOUNT'!G112)</f>
        <v/>
      </c>
      <c r="H111" s="35" t="str">
        <f>IF('NEW ACCOUNT'!A112="","",'NEW ACCOUNT'!H112)</f>
        <v/>
      </c>
      <c r="I111" s="35" t="str">
        <f>IF('NEW ACCOUNT'!A112="","",'NEW ACCOUNT'!I112)</f>
        <v/>
      </c>
      <c r="J111" s="35" t="str">
        <f>IF('NEW ACCOUNT'!A112="","",'NEW ACCOUNT'!J112)</f>
        <v/>
      </c>
      <c r="K111" s="36" t="str">
        <f>IFERROR(IF(A111="","",SUMIF(DB_Savings!$A:$A,A111,DB_Savings!$F:$F)),"")</f>
        <v/>
      </c>
      <c r="L111" s="36" t="str">
        <f>IFERROR(IF(A111="","",SUMIF(DB_Withdrawals!$A:$A,A111,DB_Withdrawals!$G:$G)),"")</f>
        <v/>
      </c>
      <c r="M111" s="36" t="str">
        <f>IFERROR(IF(A111="","",IFERROR(VALUE(H111),0)+IFERROR(SUMIF(DB_Savings!$A:$A,A111,DB_Savings!$F:$F),0)-IFERROR(SUMIF(DB_Withdrawals!$A:$A,A111,DB_Withdrawals!$G:$G),0)),"")</f>
        <v/>
      </c>
      <c r="N111" s="36" t="str">
        <f>IFERROR(IF(A111="","",MAX(0,M111-System_Config!$B$9)),"")</f>
        <v/>
      </c>
    </row>
    <row r="112" spans="1:14" ht="20.100000000000001" customHeight="1" x14ac:dyDescent="0.25">
      <c r="A112" s="34" t="str">
        <f>'NEW ACCOUNT'!A113</f>
        <v/>
      </c>
      <c r="B112" s="35" t="str">
        <f>IF('NEW ACCOUNT'!A113="","",'NEW ACCOUNT'!B113)</f>
        <v/>
      </c>
      <c r="C112" s="35" t="str">
        <f>IF('NEW ACCOUNT'!A113="","",'NEW ACCOUNT'!C113)</f>
        <v/>
      </c>
      <c r="D112" s="35" t="str">
        <f>IF('NEW ACCOUNT'!A113="","",'NEW ACCOUNT'!D113)</f>
        <v/>
      </c>
      <c r="E112" s="35" t="str">
        <f>IF('NEW ACCOUNT'!A113="","",'NEW ACCOUNT'!E113)</f>
        <v/>
      </c>
      <c r="F112" s="35" t="str">
        <f>IF('NEW ACCOUNT'!A113="","",'NEW ACCOUNT'!F113)</f>
        <v/>
      </c>
      <c r="G112" s="35" t="str">
        <f>IF('NEW ACCOUNT'!A113="","",'NEW ACCOUNT'!G113)</f>
        <v/>
      </c>
      <c r="H112" s="35" t="str">
        <f>IF('NEW ACCOUNT'!A113="","",'NEW ACCOUNT'!H113)</f>
        <v/>
      </c>
      <c r="I112" s="35" t="str">
        <f>IF('NEW ACCOUNT'!A113="","",'NEW ACCOUNT'!I113)</f>
        <v/>
      </c>
      <c r="J112" s="35" t="str">
        <f>IF('NEW ACCOUNT'!A113="","",'NEW ACCOUNT'!J113)</f>
        <v/>
      </c>
      <c r="K112" s="36" t="str">
        <f>IFERROR(IF(A112="","",SUMIF(DB_Savings!$A:$A,A112,DB_Savings!$F:$F)),"")</f>
        <v/>
      </c>
      <c r="L112" s="36" t="str">
        <f>IFERROR(IF(A112="","",SUMIF(DB_Withdrawals!$A:$A,A112,DB_Withdrawals!$G:$G)),"")</f>
        <v/>
      </c>
      <c r="M112" s="36" t="str">
        <f>IFERROR(IF(A112="","",IFERROR(VALUE(H112),0)+IFERROR(SUMIF(DB_Savings!$A:$A,A112,DB_Savings!$F:$F),0)-IFERROR(SUMIF(DB_Withdrawals!$A:$A,A112,DB_Withdrawals!$G:$G),0)),"")</f>
        <v/>
      </c>
      <c r="N112" s="36" t="str">
        <f>IFERROR(IF(A112="","",MAX(0,M112-System_Config!$B$9)),"")</f>
        <v/>
      </c>
    </row>
    <row r="113" spans="1:14" ht="20.100000000000001" customHeight="1" x14ac:dyDescent="0.25">
      <c r="A113" s="34" t="str">
        <f>'NEW ACCOUNT'!A114</f>
        <v/>
      </c>
      <c r="B113" s="35" t="str">
        <f>IF('NEW ACCOUNT'!A114="","",'NEW ACCOUNT'!B114)</f>
        <v/>
      </c>
      <c r="C113" s="35" t="str">
        <f>IF('NEW ACCOUNT'!A114="","",'NEW ACCOUNT'!C114)</f>
        <v/>
      </c>
      <c r="D113" s="35" t="str">
        <f>IF('NEW ACCOUNT'!A114="","",'NEW ACCOUNT'!D114)</f>
        <v/>
      </c>
      <c r="E113" s="35" t="str">
        <f>IF('NEW ACCOUNT'!A114="","",'NEW ACCOUNT'!E114)</f>
        <v/>
      </c>
      <c r="F113" s="35" t="str">
        <f>IF('NEW ACCOUNT'!A114="","",'NEW ACCOUNT'!F114)</f>
        <v/>
      </c>
      <c r="G113" s="35" t="str">
        <f>IF('NEW ACCOUNT'!A114="","",'NEW ACCOUNT'!G114)</f>
        <v/>
      </c>
      <c r="H113" s="35" t="str">
        <f>IF('NEW ACCOUNT'!A114="","",'NEW ACCOUNT'!H114)</f>
        <v/>
      </c>
      <c r="I113" s="35" t="str">
        <f>IF('NEW ACCOUNT'!A114="","",'NEW ACCOUNT'!I114)</f>
        <v/>
      </c>
      <c r="J113" s="35" t="str">
        <f>IF('NEW ACCOUNT'!A114="","",'NEW ACCOUNT'!J114)</f>
        <v/>
      </c>
      <c r="K113" s="36" t="str">
        <f>IFERROR(IF(A113="","",SUMIF(DB_Savings!$A:$A,A113,DB_Savings!$F:$F)),"")</f>
        <v/>
      </c>
      <c r="L113" s="36" t="str">
        <f>IFERROR(IF(A113="","",SUMIF(DB_Withdrawals!$A:$A,A113,DB_Withdrawals!$G:$G)),"")</f>
        <v/>
      </c>
      <c r="M113" s="36" t="str">
        <f>IFERROR(IF(A113="","",IFERROR(VALUE(H113),0)+IFERROR(SUMIF(DB_Savings!$A:$A,A113,DB_Savings!$F:$F),0)-IFERROR(SUMIF(DB_Withdrawals!$A:$A,A113,DB_Withdrawals!$G:$G),0)),"")</f>
        <v/>
      </c>
      <c r="N113" s="36" t="str">
        <f>IFERROR(IF(A113="","",MAX(0,M113-System_Config!$B$9)),"")</f>
        <v/>
      </c>
    </row>
    <row r="114" spans="1:14" ht="20.100000000000001" customHeight="1" x14ac:dyDescent="0.25">
      <c r="A114" s="34" t="str">
        <f>'NEW ACCOUNT'!A115</f>
        <v/>
      </c>
      <c r="B114" s="35" t="str">
        <f>IF('NEW ACCOUNT'!A115="","",'NEW ACCOUNT'!B115)</f>
        <v/>
      </c>
      <c r="C114" s="35" t="str">
        <f>IF('NEW ACCOUNT'!A115="","",'NEW ACCOUNT'!C115)</f>
        <v/>
      </c>
      <c r="D114" s="35" t="str">
        <f>IF('NEW ACCOUNT'!A115="","",'NEW ACCOUNT'!D115)</f>
        <v/>
      </c>
      <c r="E114" s="35" t="str">
        <f>IF('NEW ACCOUNT'!A115="","",'NEW ACCOUNT'!E115)</f>
        <v/>
      </c>
      <c r="F114" s="35" t="str">
        <f>IF('NEW ACCOUNT'!A115="","",'NEW ACCOUNT'!F115)</f>
        <v/>
      </c>
      <c r="G114" s="35" t="str">
        <f>IF('NEW ACCOUNT'!A115="","",'NEW ACCOUNT'!G115)</f>
        <v/>
      </c>
      <c r="H114" s="35" t="str">
        <f>IF('NEW ACCOUNT'!A115="","",'NEW ACCOUNT'!H115)</f>
        <v/>
      </c>
      <c r="I114" s="35" t="str">
        <f>IF('NEW ACCOUNT'!A115="","",'NEW ACCOUNT'!I115)</f>
        <v/>
      </c>
      <c r="J114" s="35" t="str">
        <f>IF('NEW ACCOUNT'!A115="","",'NEW ACCOUNT'!J115)</f>
        <v/>
      </c>
      <c r="K114" s="36" t="str">
        <f>IFERROR(IF(A114="","",SUMIF(DB_Savings!$A:$A,A114,DB_Savings!$F:$F)),"")</f>
        <v/>
      </c>
      <c r="L114" s="36" t="str">
        <f>IFERROR(IF(A114="","",SUMIF(DB_Withdrawals!$A:$A,A114,DB_Withdrawals!$G:$G)),"")</f>
        <v/>
      </c>
      <c r="M114" s="36" t="str">
        <f>IFERROR(IF(A114="","",IFERROR(VALUE(H114),0)+IFERROR(SUMIF(DB_Savings!$A:$A,A114,DB_Savings!$F:$F),0)-IFERROR(SUMIF(DB_Withdrawals!$A:$A,A114,DB_Withdrawals!$G:$G),0)),"")</f>
        <v/>
      </c>
      <c r="N114" s="36" t="str">
        <f>IFERROR(IF(A114="","",MAX(0,M114-System_Config!$B$9)),"")</f>
        <v/>
      </c>
    </row>
    <row r="115" spans="1:14" ht="20.100000000000001" customHeight="1" x14ac:dyDescent="0.25">
      <c r="A115" s="34" t="str">
        <f>'NEW ACCOUNT'!A116</f>
        <v/>
      </c>
      <c r="B115" s="35" t="str">
        <f>IF('NEW ACCOUNT'!A116="","",'NEW ACCOUNT'!B116)</f>
        <v/>
      </c>
      <c r="C115" s="35" t="str">
        <f>IF('NEW ACCOUNT'!A116="","",'NEW ACCOUNT'!C116)</f>
        <v/>
      </c>
      <c r="D115" s="35" t="str">
        <f>IF('NEW ACCOUNT'!A116="","",'NEW ACCOUNT'!D116)</f>
        <v/>
      </c>
      <c r="E115" s="35" t="str">
        <f>IF('NEW ACCOUNT'!A116="","",'NEW ACCOUNT'!E116)</f>
        <v/>
      </c>
      <c r="F115" s="35" t="str">
        <f>IF('NEW ACCOUNT'!A116="","",'NEW ACCOUNT'!F116)</f>
        <v/>
      </c>
      <c r="G115" s="35" t="str">
        <f>IF('NEW ACCOUNT'!A116="","",'NEW ACCOUNT'!G116)</f>
        <v/>
      </c>
      <c r="H115" s="35" t="str">
        <f>IF('NEW ACCOUNT'!A116="","",'NEW ACCOUNT'!H116)</f>
        <v/>
      </c>
      <c r="I115" s="35" t="str">
        <f>IF('NEW ACCOUNT'!A116="","",'NEW ACCOUNT'!I116)</f>
        <v/>
      </c>
      <c r="J115" s="35" t="str">
        <f>IF('NEW ACCOUNT'!A116="","",'NEW ACCOUNT'!J116)</f>
        <v/>
      </c>
      <c r="K115" s="36" t="str">
        <f>IFERROR(IF(A115="","",SUMIF(DB_Savings!$A:$A,A115,DB_Savings!$F:$F)),"")</f>
        <v/>
      </c>
      <c r="L115" s="36" t="str">
        <f>IFERROR(IF(A115="","",SUMIF(DB_Withdrawals!$A:$A,A115,DB_Withdrawals!$G:$G)),"")</f>
        <v/>
      </c>
      <c r="M115" s="36" t="str">
        <f>IFERROR(IF(A115="","",IFERROR(VALUE(H115),0)+IFERROR(SUMIF(DB_Savings!$A:$A,A115,DB_Savings!$F:$F),0)-IFERROR(SUMIF(DB_Withdrawals!$A:$A,A115,DB_Withdrawals!$G:$G),0)),"")</f>
        <v/>
      </c>
      <c r="N115" s="36" t="str">
        <f>IFERROR(IF(A115="","",MAX(0,M115-System_Config!$B$9)),"")</f>
        <v/>
      </c>
    </row>
    <row r="116" spans="1:14" ht="20.100000000000001" customHeight="1" x14ac:dyDescent="0.25">
      <c r="A116" s="34" t="str">
        <f>'NEW ACCOUNT'!A117</f>
        <v/>
      </c>
      <c r="B116" s="35" t="str">
        <f>IF('NEW ACCOUNT'!A117="","",'NEW ACCOUNT'!B117)</f>
        <v/>
      </c>
      <c r="C116" s="35" t="str">
        <f>IF('NEW ACCOUNT'!A117="","",'NEW ACCOUNT'!C117)</f>
        <v/>
      </c>
      <c r="D116" s="35" t="str">
        <f>IF('NEW ACCOUNT'!A117="","",'NEW ACCOUNT'!D117)</f>
        <v/>
      </c>
      <c r="E116" s="35" t="str">
        <f>IF('NEW ACCOUNT'!A117="","",'NEW ACCOUNT'!E117)</f>
        <v/>
      </c>
      <c r="F116" s="35" t="str">
        <f>IF('NEW ACCOUNT'!A117="","",'NEW ACCOUNT'!F117)</f>
        <v/>
      </c>
      <c r="G116" s="35" t="str">
        <f>IF('NEW ACCOUNT'!A117="","",'NEW ACCOUNT'!G117)</f>
        <v/>
      </c>
      <c r="H116" s="35" t="str">
        <f>IF('NEW ACCOUNT'!A117="","",'NEW ACCOUNT'!H117)</f>
        <v/>
      </c>
      <c r="I116" s="35" t="str">
        <f>IF('NEW ACCOUNT'!A117="","",'NEW ACCOUNT'!I117)</f>
        <v/>
      </c>
      <c r="J116" s="35" t="str">
        <f>IF('NEW ACCOUNT'!A117="","",'NEW ACCOUNT'!J117)</f>
        <v/>
      </c>
      <c r="K116" s="36" t="str">
        <f>IFERROR(IF(A116="","",SUMIF(DB_Savings!$A:$A,A116,DB_Savings!$F:$F)),"")</f>
        <v/>
      </c>
      <c r="L116" s="36" t="str">
        <f>IFERROR(IF(A116="","",SUMIF(DB_Withdrawals!$A:$A,A116,DB_Withdrawals!$G:$G)),"")</f>
        <v/>
      </c>
      <c r="M116" s="36" t="str">
        <f>IFERROR(IF(A116="","",IFERROR(VALUE(H116),0)+IFERROR(SUMIF(DB_Savings!$A:$A,A116,DB_Savings!$F:$F),0)-IFERROR(SUMIF(DB_Withdrawals!$A:$A,A116,DB_Withdrawals!$G:$G),0)),"")</f>
        <v/>
      </c>
      <c r="N116" s="36" t="str">
        <f>IFERROR(IF(A116="","",MAX(0,M116-System_Config!$B$9)),"")</f>
        <v/>
      </c>
    </row>
    <row r="117" spans="1:14" ht="20.100000000000001" customHeight="1" x14ac:dyDescent="0.25">
      <c r="A117" s="34" t="str">
        <f>'NEW ACCOUNT'!A118</f>
        <v/>
      </c>
      <c r="B117" s="35" t="str">
        <f>IF('NEW ACCOUNT'!A118="","",'NEW ACCOUNT'!B118)</f>
        <v/>
      </c>
      <c r="C117" s="35" t="str">
        <f>IF('NEW ACCOUNT'!A118="","",'NEW ACCOUNT'!C118)</f>
        <v/>
      </c>
      <c r="D117" s="35" t="str">
        <f>IF('NEW ACCOUNT'!A118="","",'NEW ACCOUNT'!D118)</f>
        <v/>
      </c>
      <c r="E117" s="35" t="str">
        <f>IF('NEW ACCOUNT'!A118="","",'NEW ACCOUNT'!E118)</f>
        <v/>
      </c>
      <c r="F117" s="35" t="str">
        <f>IF('NEW ACCOUNT'!A118="","",'NEW ACCOUNT'!F118)</f>
        <v/>
      </c>
      <c r="G117" s="35" t="str">
        <f>IF('NEW ACCOUNT'!A118="","",'NEW ACCOUNT'!G118)</f>
        <v/>
      </c>
      <c r="H117" s="35" t="str">
        <f>IF('NEW ACCOUNT'!A118="","",'NEW ACCOUNT'!H118)</f>
        <v/>
      </c>
      <c r="I117" s="35" t="str">
        <f>IF('NEW ACCOUNT'!A118="","",'NEW ACCOUNT'!I118)</f>
        <v/>
      </c>
      <c r="J117" s="35" t="str">
        <f>IF('NEW ACCOUNT'!A118="","",'NEW ACCOUNT'!J118)</f>
        <v/>
      </c>
      <c r="K117" s="36" t="str">
        <f>IFERROR(IF(A117="","",SUMIF(DB_Savings!$A:$A,A117,DB_Savings!$F:$F)),"")</f>
        <v/>
      </c>
      <c r="L117" s="36" t="str">
        <f>IFERROR(IF(A117="","",SUMIF(DB_Withdrawals!$A:$A,A117,DB_Withdrawals!$G:$G)),"")</f>
        <v/>
      </c>
      <c r="M117" s="36" t="str">
        <f>IFERROR(IF(A117="","",IFERROR(VALUE(H117),0)+IFERROR(SUMIF(DB_Savings!$A:$A,A117,DB_Savings!$F:$F),0)-IFERROR(SUMIF(DB_Withdrawals!$A:$A,A117,DB_Withdrawals!$G:$G),0)),"")</f>
        <v/>
      </c>
      <c r="N117" s="36" t="str">
        <f>IFERROR(IF(A117="","",MAX(0,M117-System_Config!$B$9)),"")</f>
        <v/>
      </c>
    </row>
    <row r="118" spans="1:14" ht="20.100000000000001" customHeight="1" x14ac:dyDescent="0.25">
      <c r="A118" s="34" t="str">
        <f>'NEW ACCOUNT'!A119</f>
        <v/>
      </c>
      <c r="B118" s="35" t="str">
        <f>IF('NEW ACCOUNT'!A119="","",'NEW ACCOUNT'!B119)</f>
        <v/>
      </c>
      <c r="C118" s="35" t="str">
        <f>IF('NEW ACCOUNT'!A119="","",'NEW ACCOUNT'!C119)</f>
        <v/>
      </c>
      <c r="D118" s="35" t="str">
        <f>IF('NEW ACCOUNT'!A119="","",'NEW ACCOUNT'!D119)</f>
        <v/>
      </c>
      <c r="E118" s="35" t="str">
        <f>IF('NEW ACCOUNT'!A119="","",'NEW ACCOUNT'!E119)</f>
        <v/>
      </c>
      <c r="F118" s="35" t="str">
        <f>IF('NEW ACCOUNT'!A119="","",'NEW ACCOUNT'!F119)</f>
        <v/>
      </c>
      <c r="G118" s="35" t="str">
        <f>IF('NEW ACCOUNT'!A119="","",'NEW ACCOUNT'!G119)</f>
        <v/>
      </c>
      <c r="H118" s="35" t="str">
        <f>IF('NEW ACCOUNT'!A119="","",'NEW ACCOUNT'!H119)</f>
        <v/>
      </c>
      <c r="I118" s="35" t="str">
        <f>IF('NEW ACCOUNT'!A119="","",'NEW ACCOUNT'!I119)</f>
        <v/>
      </c>
      <c r="J118" s="35" t="str">
        <f>IF('NEW ACCOUNT'!A119="","",'NEW ACCOUNT'!J119)</f>
        <v/>
      </c>
      <c r="K118" s="36" t="str">
        <f>IFERROR(IF(A118="","",SUMIF(DB_Savings!$A:$A,A118,DB_Savings!$F:$F)),"")</f>
        <v/>
      </c>
      <c r="L118" s="36" t="str">
        <f>IFERROR(IF(A118="","",SUMIF(DB_Withdrawals!$A:$A,A118,DB_Withdrawals!$G:$G)),"")</f>
        <v/>
      </c>
      <c r="M118" s="36" t="str">
        <f>IFERROR(IF(A118="","",IFERROR(VALUE(H118),0)+IFERROR(SUMIF(DB_Savings!$A:$A,A118,DB_Savings!$F:$F),0)-IFERROR(SUMIF(DB_Withdrawals!$A:$A,A118,DB_Withdrawals!$G:$G),0)),"")</f>
        <v/>
      </c>
      <c r="N118" s="36" t="str">
        <f>IFERROR(IF(A118="","",MAX(0,M118-System_Config!$B$9)),"")</f>
        <v/>
      </c>
    </row>
    <row r="119" spans="1:14" ht="20.100000000000001" customHeight="1" x14ac:dyDescent="0.25">
      <c r="A119" s="34" t="str">
        <f>'NEW ACCOUNT'!A120</f>
        <v/>
      </c>
      <c r="B119" s="35" t="str">
        <f>IF('NEW ACCOUNT'!A120="","",'NEW ACCOUNT'!B120)</f>
        <v/>
      </c>
      <c r="C119" s="35" t="str">
        <f>IF('NEW ACCOUNT'!A120="","",'NEW ACCOUNT'!C120)</f>
        <v/>
      </c>
      <c r="D119" s="35" t="str">
        <f>IF('NEW ACCOUNT'!A120="","",'NEW ACCOUNT'!D120)</f>
        <v/>
      </c>
      <c r="E119" s="35" t="str">
        <f>IF('NEW ACCOUNT'!A120="","",'NEW ACCOUNT'!E120)</f>
        <v/>
      </c>
      <c r="F119" s="35" t="str">
        <f>IF('NEW ACCOUNT'!A120="","",'NEW ACCOUNT'!F120)</f>
        <v/>
      </c>
      <c r="G119" s="35" t="str">
        <f>IF('NEW ACCOUNT'!A120="","",'NEW ACCOUNT'!G120)</f>
        <v/>
      </c>
      <c r="H119" s="35" t="str">
        <f>IF('NEW ACCOUNT'!A120="","",'NEW ACCOUNT'!H120)</f>
        <v/>
      </c>
      <c r="I119" s="35" t="str">
        <f>IF('NEW ACCOUNT'!A120="","",'NEW ACCOUNT'!I120)</f>
        <v/>
      </c>
      <c r="J119" s="35" t="str">
        <f>IF('NEW ACCOUNT'!A120="","",'NEW ACCOUNT'!J120)</f>
        <v/>
      </c>
      <c r="K119" s="36" t="str">
        <f>IFERROR(IF(A119="","",SUMIF(DB_Savings!$A:$A,A119,DB_Savings!$F:$F)),"")</f>
        <v/>
      </c>
      <c r="L119" s="36" t="str">
        <f>IFERROR(IF(A119="","",SUMIF(DB_Withdrawals!$A:$A,A119,DB_Withdrawals!$G:$G)),"")</f>
        <v/>
      </c>
      <c r="M119" s="36" t="str">
        <f>IFERROR(IF(A119="","",IFERROR(VALUE(H119),0)+IFERROR(SUMIF(DB_Savings!$A:$A,A119,DB_Savings!$F:$F),0)-IFERROR(SUMIF(DB_Withdrawals!$A:$A,A119,DB_Withdrawals!$G:$G),0)),"")</f>
        <v/>
      </c>
      <c r="N119" s="36" t="str">
        <f>IFERROR(IF(A119="","",MAX(0,M119-System_Config!$B$9)),"")</f>
        <v/>
      </c>
    </row>
    <row r="120" spans="1:14" ht="20.100000000000001" customHeight="1" x14ac:dyDescent="0.25">
      <c r="A120" s="34" t="str">
        <f>'NEW ACCOUNT'!A121</f>
        <v/>
      </c>
      <c r="B120" s="35" t="str">
        <f>IF('NEW ACCOUNT'!A121="","",'NEW ACCOUNT'!B121)</f>
        <v/>
      </c>
      <c r="C120" s="35" t="str">
        <f>IF('NEW ACCOUNT'!A121="","",'NEW ACCOUNT'!C121)</f>
        <v/>
      </c>
      <c r="D120" s="35" t="str">
        <f>IF('NEW ACCOUNT'!A121="","",'NEW ACCOUNT'!D121)</f>
        <v/>
      </c>
      <c r="E120" s="35" t="str">
        <f>IF('NEW ACCOUNT'!A121="","",'NEW ACCOUNT'!E121)</f>
        <v/>
      </c>
      <c r="F120" s="35" t="str">
        <f>IF('NEW ACCOUNT'!A121="","",'NEW ACCOUNT'!F121)</f>
        <v/>
      </c>
      <c r="G120" s="35" t="str">
        <f>IF('NEW ACCOUNT'!A121="","",'NEW ACCOUNT'!G121)</f>
        <v/>
      </c>
      <c r="H120" s="35" t="str">
        <f>IF('NEW ACCOUNT'!A121="","",'NEW ACCOUNT'!H121)</f>
        <v/>
      </c>
      <c r="I120" s="35" t="str">
        <f>IF('NEW ACCOUNT'!A121="","",'NEW ACCOUNT'!I121)</f>
        <v/>
      </c>
      <c r="J120" s="35" t="str">
        <f>IF('NEW ACCOUNT'!A121="","",'NEW ACCOUNT'!J121)</f>
        <v/>
      </c>
      <c r="K120" s="36" t="str">
        <f>IFERROR(IF(A120="","",SUMIF(DB_Savings!$A:$A,A120,DB_Savings!$F:$F)),"")</f>
        <v/>
      </c>
      <c r="L120" s="36" t="str">
        <f>IFERROR(IF(A120="","",SUMIF(DB_Withdrawals!$A:$A,A120,DB_Withdrawals!$G:$G)),"")</f>
        <v/>
      </c>
      <c r="M120" s="36" t="str">
        <f>IFERROR(IF(A120="","",IFERROR(VALUE(H120),0)+IFERROR(SUMIF(DB_Savings!$A:$A,A120,DB_Savings!$F:$F),0)-IFERROR(SUMIF(DB_Withdrawals!$A:$A,A120,DB_Withdrawals!$G:$G),0)),"")</f>
        <v/>
      </c>
      <c r="N120" s="36" t="str">
        <f>IFERROR(IF(A120="","",MAX(0,M120-System_Config!$B$9)),"")</f>
        <v/>
      </c>
    </row>
    <row r="121" spans="1:14" ht="20.100000000000001" customHeight="1" x14ac:dyDescent="0.25">
      <c r="A121" s="34" t="str">
        <f>'NEW ACCOUNT'!A122</f>
        <v/>
      </c>
      <c r="B121" s="35" t="str">
        <f>IF('NEW ACCOUNT'!A122="","",'NEW ACCOUNT'!B122)</f>
        <v/>
      </c>
      <c r="C121" s="35" t="str">
        <f>IF('NEW ACCOUNT'!A122="","",'NEW ACCOUNT'!C122)</f>
        <v/>
      </c>
      <c r="D121" s="35" t="str">
        <f>IF('NEW ACCOUNT'!A122="","",'NEW ACCOUNT'!D122)</f>
        <v/>
      </c>
      <c r="E121" s="35" t="str">
        <f>IF('NEW ACCOUNT'!A122="","",'NEW ACCOUNT'!E122)</f>
        <v/>
      </c>
      <c r="F121" s="35" t="str">
        <f>IF('NEW ACCOUNT'!A122="","",'NEW ACCOUNT'!F122)</f>
        <v/>
      </c>
      <c r="G121" s="35" t="str">
        <f>IF('NEW ACCOUNT'!A122="","",'NEW ACCOUNT'!G122)</f>
        <v/>
      </c>
      <c r="H121" s="35" t="str">
        <f>IF('NEW ACCOUNT'!A122="","",'NEW ACCOUNT'!H122)</f>
        <v/>
      </c>
      <c r="I121" s="35" t="str">
        <f>IF('NEW ACCOUNT'!A122="","",'NEW ACCOUNT'!I122)</f>
        <v/>
      </c>
      <c r="J121" s="35" t="str">
        <f>IF('NEW ACCOUNT'!A122="","",'NEW ACCOUNT'!J122)</f>
        <v/>
      </c>
      <c r="K121" s="36" t="str">
        <f>IFERROR(IF(A121="","",SUMIF(DB_Savings!$A:$A,A121,DB_Savings!$F:$F)),"")</f>
        <v/>
      </c>
      <c r="L121" s="36" t="str">
        <f>IFERROR(IF(A121="","",SUMIF(DB_Withdrawals!$A:$A,A121,DB_Withdrawals!$G:$G)),"")</f>
        <v/>
      </c>
      <c r="M121" s="36" t="str">
        <f>IFERROR(IF(A121="","",IFERROR(VALUE(H121),0)+IFERROR(SUMIF(DB_Savings!$A:$A,A121,DB_Savings!$F:$F),0)-IFERROR(SUMIF(DB_Withdrawals!$A:$A,A121,DB_Withdrawals!$G:$G),0)),"")</f>
        <v/>
      </c>
      <c r="N121" s="36" t="str">
        <f>IFERROR(IF(A121="","",MAX(0,M121-System_Config!$B$9)),"")</f>
        <v/>
      </c>
    </row>
    <row r="122" spans="1:14" ht="20.100000000000001" customHeight="1" x14ac:dyDescent="0.25">
      <c r="A122" s="34" t="str">
        <f>'NEW ACCOUNT'!A123</f>
        <v/>
      </c>
      <c r="B122" s="35" t="str">
        <f>IF('NEW ACCOUNT'!A123="","",'NEW ACCOUNT'!B123)</f>
        <v/>
      </c>
      <c r="C122" s="35" t="str">
        <f>IF('NEW ACCOUNT'!A123="","",'NEW ACCOUNT'!C123)</f>
        <v/>
      </c>
      <c r="D122" s="35" t="str">
        <f>IF('NEW ACCOUNT'!A123="","",'NEW ACCOUNT'!D123)</f>
        <v/>
      </c>
      <c r="E122" s="35" t="str">
        <f>IF('NEW ACCOUNT'!A123="","",'NEW ACCOUNT'!E123)</f>
        <v/>
      </c>
      <c r="F122" s="35" t="str">
        <f>IF('NEW ACCOUNT'!A123="","",'NEW ACCOUNT'!F123)</f>
        <v/>
      </c>
      <c r="G122" s="35" t="str">
        <f>IF('NEW ACCOUNT'!A123="","",'NEW ACCOUNT'!G123)</f>
        <v/>
      </c>
      <c r="H122" s="35" t="str">
        <f>IF('NEW ACCOUNT'!A123="","",'NEW ACCOUNT'!H123)</f>
        <v/>
      </c>
      <c r="I122" s="35" t="str">
        <f>IF('NEW ACCOUNT'!A123="","",'NEW ACCOUNT'!I123)</f>
        <v/>
      </c>
      <c r="J122" s="35" t="str">
        <f>IF('NEW ACCOUNT'!A123="","",'NEW ACCOUNT'!J123)</f>
        <v/>
      </c>
      <c r="K122" s="36" t="str">
        <f>IFERROR(IF(A122="","",SUMIF(DB_Savings!$A:$A,A122,DB_Savings!$F:$F)),"")</f>
        <v/>
      </c>
      <c r="L122" s="36" t="str">
        <f>IFERROR(IF(A122="","",SUMIF(DB_Withdrawals!$A:$A,A122,DB_Withdrawals!$G:$G)),"")</f>
        <v/>
      </c>
      <c r="M122" s="36" t="str">
        <f>IFERROR(IF(A122="","",IFERROR(VALUE(H122),0)+IFERROR(SUMIF(DB_Savings!$A:$A,A122,DB_Savings!$F:$F),0)-IFERROR(SUMIF(DB_Withdrawals!$A:$A,A122,DB_Withdrawals!$G:$G),0)),"")</f>
        <v/>
      </c>
      <c r="N122" s="36" t="str">
        <f>IFERROR(IF(A122="","",MAX(0,M122-System_Config!$B$9)),"")</f>
        <v/>
      </c>
    </row>
    <row r="123" spans="1:14" ht="20.100000000000001" customHeight="1" x14ac:dyDescent="0.25">
      <c r="A123" s="34" t="str">
        <f>'NEW ACCOUNT'!A124</f>
        <v/>
      </c>
      <c r="B123" s="35" t="str">
        <f>IF('NEW ACCOUNT'!A124="","",'NEW ACCOUNT'!B124)</f>
        <v/>
      </c>
      <c r="C123" s="35" t="str">
        <f>IF('NEW ACCOUNT'!A124="","",'NEW ACCOUNT'!C124)</f>
        <v/>
      </c>
      <c r="D123" s="35" t="str">
        <f>IF('NEW ACCOUNT'!A124="","",'NEW ACCOUNT'!D124)</f>
        <v/>
      </c>
      <c r="E123" s="35" t="str">
        <f>IF('NEW ACCOUNT'!A124="","",'NEW ACCOUNT'!E124)</f>
        <v/>
      </c>
      <c r="F123" s="35" t="str">
        <f>IF('NEW ACCOUNT'!A124="","",'NEW ACCOUNT'!F124)</f>
        <v/>
      </c>
      <c r="G123" s="35" t="str">
        <f>IF('NEW ACCOUNT'!A124="","",'NEW ACCOUNT'!G124)</f>
        <v/>
      </c>
      <c r="H123" s="35" t="str">
        <f>IF('NEW ACCOUNT'!A124="","",'NEW ACCOUNT'!H124)</f>
        <v/>
      </c>
      <c r="I123" s="35" t="str">
        <f>IF('NEW ACCOUNT'!A124="","",'NEW ACCOUNT'!I124)</f>
        <v/>
      </c>
      <c r="J123" s="35" t="str">
        <f>IF('NEW ACCOUNT'!A124="","",'NEW ACCOUNT'!J124)</f>
        <v/>
      </c>
      <c r="K123" s="36" t="str">
        <f>IFERROR(IF(A123="","",SUMIF(DB_Savings!$A:$A,A123,DB_Savings!$F:$F)),"")</f>
        <v/>
      </c>
      <c r="L123" s="36" t="str">
        <f>IFERROR(IF(A123="","",SUMIF(DB_Withdrawals!$A:$A,A123,DB_Withdrawals!$G:$G)),"")</f>
        <v/>
      </c>
      <c r="M123" s="36" t="str">
        <f>IFERROR(IF(A123="","",IFERROR(VALUE(H123),0)+IFERROR(SUMIF(DB_Savings!$A:$A,A123,DB_Savings!$F:$F),0)-IFERROR(SUMIF(DB_Withdrawals!$A:$A,A123,DB_Withdrawals!$G:$G),0)),"")</f>
        <v/>
      </c>
      <c r="N123" s="36" t="str">
        <f>IFERROR(IF(A123="","",MAX(0,M123-System_Config!$B$9)),"")</f>
        <v/>
      </c>
    </row>
    <row r="124" spans="1:14" ht="20.100000000000001" customHeight="1" x14ac:dyDescent="0.25">
      <c r="A124" s="34" t="str">
        <f>'NEW ACCOUNT'!A125</f>
        <v/>
      </c>
      <c r="B124" s="35" t="str">
        <f>IF('NEW ACCOUNT'!A125="","",'NEW ACCOUNT'!B125)</f>
        <v/>
      </c>
      <c r="C124" s="35" t="str">
        <f>IF('NEW ACCOUNT'!A125="","",'NEW ACCOUNT'!C125)</f>
        <v/>
      </c>
      <c r="D124" s="35" t="str">
        <f>IF('NEW ACCOUNT'!A125="","",'NEW ACCOUNT'!D125)</f>
        <v/>
      </c>
      <c r="E124" s="35" t="str">
        <f>IF('NEW ACCOUNT'!A125="","",'NEW ACCOUNT'!E125)</f>
        <v/>
      </c>
      <c r="F124" s="35" t="str">
        <f>IF('NEW ACCOUNT'!A125="","",'NEW ACCOUNT'!F125)</f>
        <v/>
      </c>
      <c r="G124" s="35" t="str">
        <f>IF('NEW ACCOUNT'!A125="","",'NEW ACCOUNT'!G125)</f>
        <v/>
      </c>
      <c r="H124" s="35" t="str">
        <f>IF('NEW ACCOUNT'!A125="","",'NEW ACCOUNT'!H125)</f>
        <v/>
      </c>
      <c r="I124" s="35" t="str">
        <f>IF('NEW ACCOUNT'!A125="","",'NEW ACCOUNT'!I125)</f>
        <v/>
      </c>
      <c r="J124" s="35" t="str">
        <f>IF('NEW ACCOUNT'!A125="","",'NEW ACCOUNT'!J125)</f>
        <v/>
      </c>
      <c r="K124" s="36" t="str">
        <f>IFERROR(IF(A124="","",SUMIF(DB_Savings!$A:$A,A124,DB_Savings!$F:$F)),"")</f>
        <v/>
      </c>
      <c r="L124" s="36" t="str">
        <f>IFERROR(IF(A124="","",SUMIF(DB_Withdrawals!$A:$A,A124,DB_Withdrawals!$G:$G)),"")</f>
        <v/>
      </c>
      <c r="M124" s="36" t="str">
        <f>IFERROR(IF(A124="","",IFERROR(VALUE(H124),0)+IFERROR(SUMIF(DB_Savings!$A:$A,A124,DB_Savings!$F:$F),0)-IFERROR(SUMIF(DB_Withdrawals!$A:$A,A124,DB_Withdrawals!$G:$G),0)),"")</f>
        <v/>
      </c>
      <c r="N124" s="36" t="str">
        <f>IFERROR(IF(A124="","",MAX(0,M124-System_Config!$B$9)),"")</f>
        <v/>
      </c>
    </row>
    <row r="125" spans="1:14" ht="20.100000000000001" customHeight="1" x14ac:dyDescent="0.25">
      <c r="A125" s="34" t="str">
        <f>'NEW ACCOUNT'!A126</f>
        <v/>
      </c>
      <c r="B125" s="35" t="str">
        <f>IF('NEW ACCOUNT'!A126="","",'NEW ACCOUNT'!B126)</f>
        <v/>
      </c>
      <c r="C125" s="35" t="str">
        <f>IF('NEW ACCOUNT'!A126="","",'NEW ACCOUNT'!C126)</f>
        <v/>
      </c>
      <c r="D125" s="35" t="str">
        <f>IF('NEW ACCOUNT'!A126="","",'NEW ACCOUNT'!D126)</f>
        <v/>
      </c>
      <c r="E125" s="35" t="str">
        <f>IF('NEW ACCOUNT'!A126="","",'NEW ACCOUNT'!E126)</f>
        <v/>
      </c>
      <c r="F125" s="35" t="str">
        <f>IF('NEW ACCOUNT'!A126="","",'NEW ACCOUNT'!F126)</f>
        <v/>
      </c>
      <c r="G125" s="35" t="str">
        <f>IF('NEW ACCOUNT'!A126="","",'NEW ACCOUNT'!G126)</f>
        <v/>
      </c>
      <c r="H125" s="35" t="str">
        <f>IF('NEW ACCOUNT'!A126="","",'NEW ACCOUNT'!H126)</f>
        <v/>
      </c>
      <c r="I125" s="35" t="str">
        <f>IF('NEW ACCOUNT'!A126="","",'NEW ACCOUNT'!I126)</f>
        <v/>
      </c>
      <c r="J125" s="35" t="str">
        <f>IF('NEW ACCOUNT'!A126="","",'NEW ACCOUNT'!J126)</f>
        <v/>
      </c>
      <c r="K125" s="36" t="str">
        <f>IFERROR(IF(A125="","",SUMIF(DB_Savings!$A:$A,A125,DB_Savings!$F:$F)),"")</f>
        <v/>
      </c>
      <c r="L125" s="36" t="str">
        <f>IFERROR(IF(A125="","",SUMIF(DB_Withdrawals!$A:$A,A125,DB_Withdrawals!$G:$G)),"")</f>
        <v/>
      </c>
      <c r="M125" s="36" t="str">
        <f>IFERROR(IF(A125="","",IFERROR(VALUE(H125),0)+IFERROR(SUMIF(DB_Savings!$A:$A,A125,DB_Savings!$F:$F),0)-IFERROR(SUMIF(DB_Withdrawals!$A:$A,A125,DB_Withdrawals!$G:$G),0)),"")</f>
        <v/>
      </c>
      <c r="N125" s="36" t="str">
        <f>IFERROR(IF(A125="","",MAX(0,M125-System_Config!$B$9)),"")</f>
        <v/>
      </c>
    </row>
    <row r="126" spans="1:14" ht="20.100000000000001" customHeight="1" x14ac:dyDescent="0.25">
      <c r="A126" s="34" t="str">
        <f>'NEW ACCOUNT'!A127</f>
        <v/>
      </c>
      <c r="B126" s="35" t="str">
        <f>IF('NEW ACCOUNT'!A127="","",'NEW ACCOUNT'!B127)</f>
        <v/>
      </c>
      <c r="C126" s="35" t="str">
        <f>IF('NEW ACCOUNT'!A127="","",'NEW ACCOUNT'!C127)</f>
        <v/>
      </c>
      <c r="D126" s="35" t="str">
        <f>IF('NEW ACCOUNT'!A127="","",'NEW ACCOUNT'!D127)</f>
        <v/>
      </c>
      <c r="E126" s="35" t="str">
        <f>IF('NEW ACCOUNT'!A127="","",'NEW ACCOUNT'!E127)</f>
        <v/>
      </c>
      <c r="F126" s="35" t="str">
        <f>IF('NEW ACCOUNT'!A127="","",'NEW ACCOUNT'!F127)</f>
        <v/>
      </c>
      <c r="G126" s="35" t="str">
        <f>IF('NEW ACCOUNT'!A127="","",'NEW ACCOUNT'!G127)</f>
        <v/>
      </c>
      <c r="H126" s="35" t="str">
        <f>IF('NEW ACCOUNT'!A127="","",'NEW ACCOUNT'!H127)</f>
        <v/>
      </c>
      <c r="I126" s="35" t="str">
        <f>IF('NEW ACCOUNT'!A127="","",'NEW ACCOUNT'!I127)</f>
        <v/>
      </c>
      <c r="J126" s="35" t="str">
        <f>IF('NEW ACCOUNT'!A127="","",'NEW ACCOUNT'!J127)</f>
        <v/>
      </c>
      <c r="K126" s="36" t="str">
        <f>IFERROR(IF(A126="","",SUMIF(DB_Savings!$A:$A,A126,DB_Savings!$F:$F)),"")</f>
        <v/>
      </c>
      <c r="L126" s="36" t="str">
        <f>IFERROR(IF(A126="","",SUMIF(DB_Withdrawals!$A:$A,A126,DB_Withdrawals!$G:$G)),"")</f>
        <v/>
      </c>
      <c r="M126" s="36" t="str">
        <f>IFERROR(IF(A126="","",IFERROR(VALUE(H126),0)+IFERROR(SUMIF(DB_Savings!$A:$A,A126,DB_Savings!$F:$F),0)-IFERROR(SUMIF(DB_Withdrawals!$A:$A,A126,DB_Withdrawals!$G:$G),0)),"")</f>
        <v/>
      </c>
      <c r="N126" s="36" t="str">
        <f>IFERROR(IF(A126="","",MAX(0,M126-System_Config!$B$9)),"")</f>
        <v/>
      </c>
    </row>
    <row r="127" spans="1:14" ht="20.100000000000001" customHeight="1" x14ac:dyDescent="0.25">
      <c r="A127" s="34" t="str">
        <f>'NEW ACCOUNT'!A128</f>
        <v/>
      </c>
      <c r="B127" s="35" t="str">
        <f>IF('NEW ACCOUNT'!A128="","",'NEW ACCOUNT'!B128)</f>
        <v/>
      </c>
      <c r="C127" s="35" t="str">
        <f>IF('NEW ACCOUNT'!A128="","",'NEW ACCOUNT'!C128)</f>
        <v/>
      </c>
      <c r="D127" s="35" t="str">
        <f>IF('NEW ACCOUNT'!A128="","",'NEW ACCOUNT'!D128)</f>
        <v/>
      </c>
      <c r="E127" s="35" t="str">
        <f>IF('NEW ACCOUNT'!A128="","",'NEW ACCOUNT'!E128)</f>
        <v/>
      </c>
      <c r="F127" s="35" t="str">
        <f>IF('NEW ACCOUNT'!A128="","",'NEW ACCOUNT'!F128)</f>
        <v/>
      </c>
      <c r="G127" s="35" t="str">
        <f>IF('NEW ACCOUNT'!A128="","",'NEW ACCOUNT'!G128)</f>
        <v/>
      </c>
      <c r="H127" s="35" t="str">
        <f>IF('NEW ACCOUNT'!A128="","",'NEW ACCOUNT'!H128)</f>
        <v/>
      </c>
      <c r="I127" s="35" t="str">
        <f>IF('NEW ACCOUNT'!A128="","",'NEW ACCOUNT'!I128)</f>
        <v/>
      </c>
      <c r="J127" s="35" t="str">
        <f>IF('NEW ACCOUNT'!A128="","",'NEW ACCOUNT'!J128)</f>
        <v/>
      </c>
      <c r="K127" s="36" t="str">
        <f>IFERROR(IF(A127="","",SUMIF(DB_Savings!$A:$A,A127,DB_Savings!$F:$F)),"")</f>
        <v/>
      </c>
      <c r="L127" s="36" t="str">
        <f>IFERROR(IF(A127="","",SUMIF(DB_Withdrawals!$A:$A,A127,DB_Withdrawals!$G:$G)),"")</f>
        <v/>
      </c>
      <c r="M127" s="36" t="str">
        <f>IFERROR(IF(A127="","",IFERROR(VALUE(H127),0)+IFERROR(SUMIF(DB_Savings!$A:$A,A127,DB_Savings!$F:$F),0)-IFERROR(SUMIF(DB_Withdrawals!$A:$A,A127,DB_Withdrawals!$G:$G),0)),"")</f>
        <v/>
      </c>
      <c r="N127" s="36" t="str">
        <f>IFERROR(IF(A127="","",MAX(0,M127-System_Config!$B$9)),"")</f>
        <v/>
      </c>
    </row>
    <row r="128" spans="1:14" ht="20.100000000000001" customHeight="1" x14ac:dyDescent="0.25">
      <c r="A128" s="34" t="str">
        <f>'NEW ACCOUNT'!A129</f>
        <v/>
      </c>
      <c r="B128" s="35" t="str">
        <f>IF('NEW ACCOUNT'!A129="","",'NEW ACCOUNT'!B129)</f>
        <v/>
      </c>
      <c r="C128" s="35" t="str">
        <f>IF('NEW ACCOUNT'!A129="","",'NEW ACCOUNT'!C129)</f>
        <v/>
      </c>
      <c r="D128" s="35" t="str">
        <f>IF('NEW ACCOUNT'!A129="","",'NEW ACCOUNT'!D129)</f>
        <v/>
      </c>
      <c r="E128" s="35" t="str">
        <f>IF('NEW ACCOUNT'!A129="","",'NEW ACCOUNT'!E129)</f>
        <v/>
      </c>
      <c r="F128" s="35" t="str">
        <f>IF('NEW ACCOUNT'!A129="","",'NEW ACCOUNT'!F129)</f>
        <v/>
      </c>
      <c r="G128" s="35" t="str">
        <f>IF('NEW ACCOUNT'!A129="","",'NEW ACCOUNT'!G129)</f>
        <v/>
      </c>
      <c r="H128" s="35" t="str">
        <f>IF('NEW ACCOUNT'!A129="","",'NEW ACCOUNT'!H129)</f>
        <v/>
      </c>
      <c r="I128" s="35" t="str">
        <f>IF('NEW ACCOUNT'!A129="","",'NEW ACCOUNT'!I129)</f>
        <v/>
      </c>
      <c r="J128" s="35" t="str">
        <f>IF('NEW ACCOUNT'!A129="","",'NEW ACCOUNT'!J129)</f>
        <v/>
      </c>
      <c r="K128" s="36" t="str">
        <f>IFERROR(IF(A128="","",SUMIF(DB_Savings!$A:$A,A128,DB_Savings!$F:$F)),"")</f>
        <v/>
      </c>
      <c r="L128" s="36" t="str">
        <f>IFERROR(IF(A128="","",SUMIF(DB_Withdrawals!$A:$A,A128,DB_Withdrawals!$G:$G)),"")</f>
        <v/>
      </c>
      <c r="M128" s="36" t="str">
        <f>IFERROR(IF(A128="","",IFERROR(VALUE(H128),0)+IFERROR(SUMIF(DB_Savings!$A:$A,A128,DB_Savings!$F:$F),0)-IFERROR(SUMIF(DB_Withdrawals!$A:$A,A128,DB_Withdrawals!$G:$G),0)),"")</f>
        <v/>
      </c>
      <c r="N128" s="36" t="str">
        <f>IFERROR(IF(A128="","",MAX(0,M128-System_Config!$B$9)),"")</f>
        <v/>
      </c>
    </row>
    <row r="129" spans="1:14" ht="20.100000000000001" customHeight="1" x14ac:dyDescent="0.25">
      <c r="A129" s="34" t="str">
        <f>'NEW ACCOUNT'!A130</f>
        <v/>
      </c>
      <c r="B129" s="35" t="str">
        <f>IF('NEW ACCOUNT'!A130="","",'NEW ACCOUNT'!B130)</f>
        <v/>
      </c>
      <c r="C129" s="35" t="str">
        <f>IF('NEW ACCOUNT'!A130="","",'NEW ACCOUNT'!C130)</f>
        <v/>
      </c>
      <c r="D129" s="35" t="str">
        <f>IF('NEW ACCOUNT'!A130="","",'NEW ACCOUNT'!D130)</f>
        <v/>
      </c>
      <c r="E129" s="35" t="str">
        <f>IF('NEW ACCOUNT'!A130="","",'NEW ACCOUNT'!E130)</f>
        <v/>
      </c>
      <c r="F129" s="35" t="str">
        <f>IF('NEW ACCOUNT'!A130="","",'NEW ACCOUNT'!F130)</f>
        <v/>
      </c>
      <c r="G129" s="35" t="str">
        <f>IF('NEW ACCOUNT'!A130="","",'NEW ACCOUNT'!G130)</f>
        <v/>
      </c>
      <c r="H129" s="35" t="str">
        <f>IF('NEW ACCOUNT'!A130="","",'NEW ACCOUNT'!H130)</f>
        <v/>
      </c>
      <c r="I129" s="35" t="str">
        <f>IF('NEW ACCOUNT'!A130="","",'NEW ACCOUNT'!I130)</f>
        <v/>
      </c>
      <c r="J129" s="35" t="str">
        <f>IF('NEW ACCOUNT'!A130="","",'NEW ACCOUNT'!J130)</f>
        <v/>
      </c>
      <c r="K129" s="36" t="str">
        <f>IFERROR(IF(A129="","",SUMIF(DB_Savings!$A:$A,A129,DB_Savings!$F:$F)),"")</f>
        <v/>
      </c>
      <c r="L129" s="36" t="str">
        <f>IFERROR(IF(A129="","",SUMIF(DB_Withdrawals!$A:$A,A129,DB_Withdrawals!$G:$G)),"")</f>
        <v/>
      </c>
      <c r="M129" s="36" t="str">
        <f>IFERROR(IF(A129="","",IFERROR(VALUE(H129),0)+IFERROR(SUMIF(DB_Savings!$A:$A,A129,DB_Savings!$F:$F),0)-IFERROR(SUMIF(DB_Withdrawals!$A:$A,A129,DB_Withdrawals!$G:$G),0)),"")</f>
        <v/>
      </c>
      <c r="N129" s="36" t="str">
        <f>IFERROR(IF(A129="","",MAX(0,M129-System_Config!$B$9)),"")</f>
        <v/>
      </c>
    </row>
    <row r="130" spans="1:14" ht="20.100000000000001" customHeight="1" x14ac:dyDescent="0.25">
      <c r="A130" s="34" t="str">
        <f>'NEW ACCOUNT'!A131</f>
        <v/>
      </c>
      <c r="B130" s="35" t="str">
        <f>IF('NEW ACCOUNT'!A131="","",'NEW ACCOUNT'!B131)</f>
        <v/>
      </c>
      <c r="C130" s="35" t="str">
        <f>IF('NEW ACCOUNT'!A131="","",'NEW ACCOUNT'!C131)</f>
        <v/>
      </c>
      <c r="D130" s="35" t="str">
        <f>IF('NEW ACCOUNT'!A131="","",'NEW ACCOUNT'!D131)</f>
        <v/>
      </c>
      <c r="E130" s="35" t="str">
        <f>IF('NEW ACCOUNT'!A131="","",'NEW ACCOUNT'!E131)</f>
        <v/>
      </c>
      <c r="F130" s="35" t="str">
        <f>IF('NEW ACCOUNT'!A131="","",'NEW ACCOUNT'!F131)</f>
        <v/>
      </c>
      <c r="G130" s="35" t="str">
        <f>IF('NEW ACCOUNT'!A131="","",'NEW ACCOUNT'!G131)</f>
        <v/>
      </c>
      <c r="H130" s="35" t="str">
        <f>IF('NEW ACCOUNT'!A131="","",'NEW ACCOUNT'!H131)</f>
        <v/>
      </c>
      <c r="I130" s="35" t="str">
        <f>IF('NEW ACCOUNT'!A131="","",'NEW ACCOUNT'!I131)</f>
        <v/>
      </c>
      <c r="J130" s="35" t="str">
        <f>IF('NEW ACCOUNT'!A131="","",'NEW ACCOUNT'!J131)</f>
        <v/>
      </c>
      <c r="K130" s="36" t="str">
        <f>IFERROR(IF(A130="","",SUMIF(DB_Savings!$A:$A,A130,DB_Savings!$F:$F)),"")</f>
        <v/>
      </c>
      <c r="L130" s="36" t="str">
        <f>IFERROR(IF(A130="","",SUMIF(DB_Withdrawals!$A:$A,A130,DB_Withdrawals!$G:$G)),"")</f>
        <v/>
      </c>
      <c r="M130" s="36" t="str">
        <f>IFERROR(IF(A130="","",IFERROR(VALUE(H130),0)+IFERROR(SUMIF(DB_Savings!$A:$A,A130,DB_Savings!$F:$F),0)-IFERROR(SUMIF(DB_Withdrawals!$A:$A,A130,DB_Withdrawals!$G:$G),0)),"")</f>
        <v/>
      </c>
      <c r="N130" s="36" t="str">
        <f>IFERROR(IF(A130="","",MAX(0,M130-System_Config!$B$9)),"")</f>
        <v/>
      </c>
    </row>
    <row r="131" spans="1:14" ht="20.100000000000001" customHeight="1" x14ac:dyDescent="0.25">
      <c r="A131" s="34" t="str">
        <f>'NEW ACCOUNT'!A132</f>
        <v/>
      </c>
      <c r="B131" s="35" t="str">
        <f>IF('NEW ACCOUNT'!A132="","",'NEW ACCOUNT'!B132)</f>
        <v/>
      </c>
      <c r="C131" s="35" t="str">
        <f>IF('NEW ACCOUNT'!A132="","",'NEW ACCOUNT'!C132)</f>
        <v/>
      </c>
      <c r="D131" s="35" t="str">
        <f>IF('NEW ACCOUNT'!A132="","",'NEW ACCOUNT'!D132)</f>
        <v/>
      </c>
      <c r="E131" s="35" t="str">
        <f>IF('NEW ACCOUNT'!A132="","",'NEW ACCOUNT'!E132)</f>
        <v/>
      </c>
      <c r="F131" s="35" t="str">
        <f>IF('NEW ACCOUNT'!A132="","",'NEW ACCOUNT'!F132)</f>
        <v/>
      </c>
      <c r="G131" s="35" t="str">
        <f>IF('NEW ACCOUNT'!A132="","",'NEW ACCOUNT'!G132)</f>
        <v/>
      </c>
      <c r="H131" s="35" t="str">
        <f>IF('NEW ACCOUNT'!A132="","",'NEW ACCOUNT'!H132)</f>
        <v/>
      </c>
      <c r="I131" s="35" t="str">
        <f>IF('NEW ACCOUNT'!A132="","",'NEW ACCOUNT'!I132)</f>
        <v/>
      </c>
      <c r="J131" s="35" t="str">
        <f>IF('NEW ACCOUNT'!A132="","",'NEW ACCOUNT'!J132)</f>
        <v/>
      </c>
      <c r="K131" s="36" t="str">
        <f>IFERROR(IF(A131="","",SUMIF(DB_Savings!$A:$A,A131,DB_Savings!$F:$F)),"")</f>
        <v/>
      </c>
      <c r="L131" s="36" t="str">
        <f>IFERROR(IF(A131="","",SUMIF(DB_Withdrawals!$A:$A,A131,DB_Withdrawals!$G:$G)),"")</f>
        <v/>
      </c>
      <c r="M131" s="36" t="str">
        <f>IFERROR(IF(A131="","",IFERROR(VALUE(H131),0)+IFERROR(SUMIF(DB_Savings!$A:$A,A131,DB_Savings!$F:$F),0)-IFERROR(SUMIF(DB_Withdrawals!$A:$A,A131,DB_Withdrawals!$G:$G),0)),"")</f>
        <v/>
      </c>
      <c r="N131" s="36" t="str">
        <f>IFERROR(IF(A131="","",MAX(0,M131-System_Config!$B$9)),"")</f>
        <v/>
      </c>
    </row>
    <row r="132" spans="1:14" ht="20.100000000000001" customHeight="1" x14ac:dyDescent="0.25">
      <c r="A132" s="34" t="str">
        <f>'NEW ACCOUNT'!A133</f>
        <v/>
      </c>
      <c r="B132" s="35" t="str">
        <f>IF('NEW ACCOUNT'!A133="","",'NEW ACCOUNT'!B133)</f>
        <v/>
      </c>
      <c r="C132" s="35" t="str">
        <f>IF('NEW ACCOUNT'!A133="","",'NEW ACCOUNT'!C133)</f>
        <v/>
      </c>
      <c r="D132" s="35" t="str">
        <f>IF('NEW ACCOUNT'!A133="","",'NEW ACCOUNT'!D133)</f>
        <v/>
      </c>
      <c r="E132" s="35" t="str">
        <f>IF('NEW ACCOUNT'!A133="","",'NEW ACCOUNT'!E133)</f>
        <v/>
      </c>
      <c r="F132" s="35" t="str">
        <f>IF('NEW ACCOUNT'!A133="","",'NEW ACCOUNT'!F133)</f>
        <v/>
      </c>
      <c r="G132" s="35" t="str">
        <f>IF('NEW ACCOUNT'!A133="","",'NEW ACCOUNT'!G133)</f>
        <v/>
      </c>
      <c r="H132" s="35" t="str">
        <f>IF('NEW ACCOUNT'!A133="","",'NEW ACCOUNT'!H133)</f>
        <v/>
      </c>
      <c r="I132" s="35" t="str">
        <f>IF('NEW ACCOUNT'!A133="","",'NEW ACCOUNT'!I133)</f>
        <v/>
      </c>
      <c r="J132" s="35" t="str">
        <f>IF('NEW ACCOUNT'!A133="","",'NEW ACCOUNT'!J133)</f>
        <v/>
      </c>
      <c r="K132" s="36" t="str">
        <f>IFERROR(IF(A132="","",SUMIF(DB_Savings!$A:$A,A132,DB_Savings!$F:$F)),"")</f>
        <v/>
      </c>
      <c r="L132" s="36" t="str">
        <f>IFERROR(IF(A132="","",SUMIF(DB_Withdrawals!$A:$A,A132,DB_Withdrawals!$G:$G)),"")</f>
        <v/>
      </c>
      <c r="M132" s="36" t="str">
        <f>IFERROR(IF(A132="","",IFERROR(VALUE(H132),0)+IFERROR(SUMIF(DB_Savings!$A:$A,A132,DB_Savings!$F:$F),0)-IFERROR(SUMIF(DB_Withdrawals!$A:$A,A132,DB_Withdrawals!$G:$G),0)),"")</f>
        <v/>
      </c>
      <c r="N132" s="36" t="str">
        <f>IFERROR(IF(A132="","",MAX(0,M132-System_Config!$B$9)),"")</f>
        <v/>
      </c>
    </row>
    <row r="133" spans="1:14" ht="20.100000000000001" customHeight="1" x14ac:dyDescent="0.25">
      <c r="A133" s="34" t="str">
        <f>'NEW ACCOUNT'!A134</f>
        <v/>
      </c>
      <c r="B133" s="35" t="str">
        <f>IF('NEW ACCOUNT'!A134="","",'NEW ACCOUNT'!B134)</f>
        <v/>
      </c>
      <c r="C133" s="35" t="str">
        <f>IF('NEW ACCOUNT'!A134="","",'NEW ACCOUNT'!C134)</f>
        <v/>
      </c>
      <c r="D133" s="35" t="str">
        <f>IF('NEW ACCOUNT'!A134="","",'NEW ACCOUNT'!D134)</f>
        <v/>
      </c>
      <c r="E133" s="35" t="str">
        <f>IF('NEW ACCOUNT'!A134="","",'NEW ACCOUNT'!E134)</f>
        <v/>
      </c>
      <c r="F133" s="35" t="str">
        <f>IF('NEW ACCOUNT'!A134="","",'NEW ACCOUNT'!F134)</f>
        <v/>
      </c>
      <c r="G133" s="35" t="str">
        <f>IF('NEW ACCOUNT'!A134="","",'NEW ACCOUNT'!G134)</f>
        <v/>
      </c>
      <c r="H133" s="35" t="str">
        <f>IF('NEW ACCOUNT'!A134="","",'NEW ACCOUNT'!H134)</f>
        <v/>
      </c>
      <c r="I133" s="35" t="str">
        <f>IF('NEW ACCOUNT'!A134="","",'NEW ACCOUNT'!I134)</f>
        <v/>
      </c>
      <c r="J133" s="35" t="str">
        <f>IF('NEW ACCOUNT'!A134="","",'NEW ACCOUNT'!J134)</f>
        <v/>
      </c>
      <c r="K133" s="36" t="str">
        <f>IFERROR(IF(A133="","",SUMIF(DB_Savings!$A:$A,A133,DB_Savings!$F:$F)),"")</f>
        <v/>
      </c>
      <c r="L133" s="36" t="str">
        <f>IFERROR(IF(A133="","",SUMIF(DB_Withdrawals!$A:$A,A133,DB_Withdrawals!$G:$G)),"")</f>
        <v/>
      </c>
      <c r="M133" s="36" t="str">
        <f>IFERROR(IF(A133="","",IFERROR(VALUE(H133),0)+IFERROR(SUMIF(DB_Savings!$A:$A,A133,DB_Savings!$F:$F),0)-IFERROR(SUMIF(DB_Withdrawals!$A:$A,A133,DB_Withdrawals!$G:$G),0)),"")</f>
        <v/>
      </c>
      <c r="N133" s="36" t="str">
        <f>IFERROR(IF(A133="","",MAX(0,M133-System_Config!$B$9)),"")</f>
        <v/>
      </c>
    </row>
    <row r="134" spans="1:14" ht="20.100000000000001" customHeight="1" x14ac:dyDescent="0.25">
      <c r="A134" s="34" t="str">
        <f>'NEW ACCOUNT'!A135</f>
        <v/>
      </c>
      <c r="B134" s="35" t="str">
        <f>IF('NEW ACCOUNT'!A135="","",'NEW ACCOUNT'!B135)</f>
        <v/>
      </c>
      <c r="C134" s="35" t="str">
        <f>IF('NEW ACCOUNT'!A135="","",'NEW ACCOUNT'!C135)</f>
        <v/>
      </c>
      <c r="D134" s="35" t="str">
        <f>IF('NEW ACCOUNT'!A135="","",'NEW ACCOUNT'!D135)</f>
        <v/>
      </c>
      <c r="E134" s="35" t="str">
        <f>IF('NEW ACCOUNT'!A135="","",'NEW ACCOUNT'!E135)</f>
        <v/>
      </c>
      <c r="F134" s="35" t="str">
        <f>IF('NEW ACCOUNT'!A135="","",'NEW ACCOUNT'!F135)</f>
        <v/>
      </c>
      <c r="G134" s="35" t="str">
        <f>IF('NEW ACCOUNT'!A135="","",'NEW ACCOUNT'!G135)</f>
        <v/>
      </c>
      <c r="H134" s="35" t="str">
        <f>IF('NEW ACCOUNT'!A135="","",'NEW ACCOUNT'!H135)</f>
        <v/>
      </c>
      <c r="I134" s="35" t="str">
        <f>IF('NEW ACCOUNT'!A135="","",'NEW ACCOUNT'!I135)</f>
        <v/>
      </c>
      <c r="J134" s="35" t="str">
        <f>IF('NEW ACCOUNT'!A135="","",'NEW ACCOUNT'!J135)</f>
        <v/>
      </c>
      <c r="K134" s="36" t="str">
        <f>IFERROR(IF(A134="","",SUMIF(DB_Savings!$A:$A,A134,DB_Savings!$F:$F)),"")</f>
        <v/>
      </c>
      <c r="L134" s="36" t="str">
        <f>IFERROR(IF(A134="","",SUMIF(DB_Withdrawals!$A:$A,A134,DB_Withdrawals!$G:$G)),"")</f>
        <v/>
      </c>
      <c r="M134" s="36" t="str">
        <f>IFERROR(IF(A134="","",IFERROR(VALUE(H134),0)+IFERROR(SUMIF(DB_Savings!$A:$A,A134,DB_Savings!$F:$F),0)-IFERROR(SUMIF(DB_Withdrawals!$A:$A,A134,DB_Withdrawals!$G:$G),0)),"")</f>
        <v/>
      </c>
      <c r="N134" s="36" t="str">
        <f>IFERROR(IF(A134="","",MAX(0,M134-System_Config!$B$9)),"")</f>
        <v/>
      </c>
    </row>
    <row r="135" spans="1:14" ht="20.100000000000001" customHeight="1" x14ac:dyDescent="0.25">
      <c r="A135" s="34" t="str">
        <f>'NEW ACCOUNT'!A136</f>
        <v/>
      </c>
      <c r="B135" s="35" t="str">
        <f>IF('NEW ACCOUNT'!A136="","",'NEW ACCOUNT'!B136)</f>
        <v/>
      </c>
      <c r="C135" s="35" t="str">
        <f>IF('NEW ACCOUNT'!A136="","",'NEW ACCOUNT'!C136)</f>
        <v/>
      </c>
      <c r="D135" s="35" t="str">
        <f>IF('NEW ACCOUNT'!A136="","",'NEW ACCOUNT'!D136)</f>
        <v/>
      </c>
      <c r="E135" s="35" t="str">
        <f>IF('NEW ACCOUNT'!A136="","",'NEW ACCOUNT'!E136)</f>
        <v/>
      </c>
      <c r="F135" s="35" t="str">
        <f>IF('NEW ACCOUNT'!A136="","",'NEW ACCOUNT'!F136)</f>
        <v/>
      </c>
      <c r="G135" s="35" t="str">
        <f>IF('NEW ACCOUNT'!A136="","",'NEW ACCOUNT'!G136)</f>
        <v/>
      </c>
      <c r="H135" s="35" t="str">
        <f>IF('NEW ACCOUNT'!A136="","",'NEW ACCOUNT'!H136)</f>
        <v/>
      </c>
      <c r="I135" s="35" t="str">
        <f>IF('NEW ACCOUNT'!A136="","",'NEW ACCOUNT'!I136)</f>
        <v/>
      </c>
      <c r="J135" s="35" t="str">
        <f>IF('NEW ACCOUNT'!A136="","",'NEW ACCOUNT'!J136)</f>
        <v/>
      </c>
      <c r="K135" s="36" t="str">
        <f>IFERROR(IF(A135="","",SUMIF(DB_Savings!$A:$A,A135,DB_Savings!$F:$F)),"")</f>
        <v/>
      </c>
      <c r="L135" s="36" t="str">
        <f>IFERROR(IF(A135="","",SUMIF(DB_Withdrawals!$A:$A,A135,DB_Withdrawals!$G:$G)),"")</f>
        <v/>
      </c>
      <c r="M135" s="36" t="str">
        <f>IFERROR(IF(A135="","",IFERROR(VALUE(H135),0)+IFERROR(SUMIF(DB_Savings!$A:$A,A135,DB_Savings!$F:$F),0)-IFERROR(SUMIF(DB_Withdrawals!$A:$A,A135,DB_Withdrawals!$G:$G),0)),"")</f>
        <v/>
      </c>
      <c r="N135" s="36" t="str">
        <f>IFERROR(IF(A135="","",MAX(0,M135-System_Config!$B$9)),"")</f>
        <v/>
      </c>
    </row>
    <row r="136" spans="1:14" ht="20.100000000000001" customHeight="1" x14ac:dyDescent="0.25">
      <c r="A136" s="34" t="str">
        <f>'NEW ACCOUNT'!A137</f>
        <v/>
      </c>
      <c r="B136" s="35" t="str">
        <f>IF('NEW ACCOUNT'!A137="","",'NEW ACCOUNT'!B137)</f>
        <v/>
      </c>
      <c r="C136" s="35" t="str">
        <f>IF('NEW ACCOUNT'!A137="","",'NEW ACCOUNT'!C137)</f>
        <v/>
      </c>
      <c r="D136" s="35" t="str">
        <f>IF('NEW ACCOUNT'!A137="","",'NEW ACCOUNT'!D137)</f>
        <v/>
      </c>
      <c r="E136" s="35" t="str">
        <f>IF('NEW ACCOUNT'!A137="","",'NEW ACCOUNT'!E137)</f>
        <v/>
      </c>
      <c r="F136" s="35" t="str">
        <f>IF('NEW ACCOUNT'!A137="","",'NEW ACCOUNT'!F137)</f>
        <v/>
      </c>
      <c r="G136" s="35" t="str">
        <f>IF('NEW ACCOUNT'!A137="","",'NEW ACCOUNT'!G137)</f>
        <v/>
      </c>
      <c r="H136" s="35" t="str">
        <f>IF('NEW ACCOUNT'!A137="","",'NEW ACCOUNT'!H137)</f>
        <v/>
      </c>
      <c r="I136" s="35" t="str">
        <f>IF('NEW ACCOUNT'!A137="","",'NEW ACCOUNT'!I137)</f>
        <v/>
      </c>
      <c r="J136" s="35" t="str">
        <f>IF('NEW ACCOUNT'!A137="","",'NEW ACCOUNT'!J137)</f>
        <v/>
      </c>
      <c r="K136" s="36" t="str">
        <f>IFERROR(IF(A136="","",SUMIF(DB_Savings!$A:$A,A136,DB_Savings!$F:$F)),"")</f>
        <v/>
      </c>
      <c r="L136" s="36" t="str">
        <f>IFERROR(IF(A136="","",SUMIF(DB_Withdrawals!$A:$A,A136,DB_Withdrawals!$G:$G)),"")</f>
        <v/>
      </c>
      <c r="M136" s="36" t="str">
        <f>IFERROR(IF(A136="","",IFERROR(VALUE(H136),0)+IFERROR(SUMIF(DB_Savings!$A:$A,A136,DB_Savings!$F:$F),0)-IFERROR(SUMIF(DB_Withdrawals!$A:$A,A136,DB_Withdrawals!$G:$G),0)),"")</f>
        <v/>
      </c>
      <c r="N136" s="36" t="str">
        <f>IFERROR(IF(A136="","",MAX(0,M136-System_Config!$B$9)),"")</f>
        <v/>
      </c>
    </row>
    <row r="137" spans="1:14" ht="20.100000000000001" customHeight="1" x14ac:dyDescent="0.25">
      <c r="A137" s="34" t="str">
        <f>'NEW ACCOUNT'!A138</f>
        <v/>
      </c>
      <c r="B137" s="35" t="str">
        <f>IF('NEW ACCOUNT'!A138="","",'NEW ACCOUNT'!B138)</f>
        <v/>
      </c>
      <c r="C137" s="35" t="str">
        <f>IF('NEW ACCOUNT'!A138="","",'NEW ACCOUNT'!C138)</f>
        <v/>
      </c>
      <c r="D137" s="35" t="str">
        <f>IF('NEW ACCOUNT'!A138="","",'NEW ACCOUNT'!D138)</f>
        <v/>
      </c>
      <c r="E137" s="35" t="str">
        <f>IF('NEW ACCOUNT'!A138="","",'NEW ACCOUNT'!E138)</f>
        <v/>
      </c>
      <c r="F137" s="35" t="str">
        <f>IF('NEW ACCOUNT'!A138="","",'NEW ACCOUNT'!F138)</f>
        <v/>
      </c>
      <c r="G137" s="35" t="str">
        <f>IF('NEW ACCOUNT'!A138="","",'NEW ACCOUNT'!G138)</f>
        <v/>
      </c>
      <c r="H137" s="35" t="str">
        <f>IF('NEW ACCOUNT'!A138="","",'NEW ACCOUNT'!H138)</f>
        <v/>
      </c>
      <c r="I137" s="35" t="str">
        <f>IF('NEW ACCOUNT'!A138="","",'NEW ACCOUNT'!I138)</f>
        <v/>
      </c>
      <c r="J137" s="35" t="str">
        <f>IF('NEW ACCOUNT'!A138="","",'NEW ACCOUNT'!J138)</f>
        <v/>
      </c>
      <c r="K137" s="36" t="str">
        <f>IFERROR(IF(A137="","",SUMIF(DB_Savings!$A:$A,A137,DB_Savings!$F:$F)),"")</f>
        <v/>
      </c>
      <c r="L137" s="36" t="str">
        <f>IFERROR(IF(A137="","",SUMIF(DB_Withdrawals!$A:$A,A137,DB_Withdrawals!$G:$G)),"")</f>
        <v/>
      </c>
      <c r="M137" s="36" t="str">
        <f>IFERROR(IF(A137="","",IFERROR(VALUE(H137),0)+IFERROR(SUMIF(DB_Savings!$A:$A,A137,DB_Savings!$F:$F),0)-IFERROR(SUMIF(DB_Withdrawals!$A:$A,A137,DB_Withdrawals!$G:$G),0)),"")</f>
        <v/>
      </c>
      <c r="N137" s="36" t="str">
        <f>IFERROR(IF(A137="","",MAX(0,M137-System_Config!$B$9)),"")</f>
        <v/>
      </c>
    </row>
    <row r="138" spans="1:14" ht="20.100000000000001" customHeight="1" x14ac:dyDescent="0.25">
      <c r="A138" s="34" t="str">
        <f>'NEW ACCOUNT'!A139</f>
        <v/>
      </c>
      <c r="B138" s="35" t="str">
        <f>IF('NEW ACCOUNT'!A139="","",'NEW ACCOUNT'!B139)</f>
        <v/>
      </c>
      <c r="C138" s="35" t="str">
        <f>IF('NEW ACCOUNT'!A139="","",'NEW ACCOUNT'!C139)</f>
        <v/>
      </c>
      <c r="D138" s="35" t="str">
        <f>IF('NEW ACCOUNT'!A139="","",'NEW ACCOUNT'!D139)</f>
        <v/>
      </c>
      <c r="E138" s="35" t="str">
        <f>IF('NEW ACCOUNT'!A139="","",'NEW ACCOUNT'!E139)</f>
        <v/>
      </c>
      <c r="F138" s="35" t="str">
        <f>IF('NEW ACCOUNT'!A139="","",'NEW ACCOUNT'!F139)</f>
        <v/>
      </c>
      <c r="G138" s="35" t="str">
        <f>IF('NEW ACCOUNT'!A139="","",'NEW ACCOUNT'!G139)</f>
        <v/>
      </c>
      <c r="H138" s="35" t="str">
        <f>IF('NEW ACCOUNT'!A139="","",'NEW ACCOUNT'!H139)</f>
        <v/>
      </c>
      <c r="I138" s="35" t="str">
        <f>IF('NEW ACCOUNT'!A139="","",'NEW ACCOUNT'!I139)</f>
        <v/>
      </c>
      <c r="J138" s="35" t="str">
        <f>IF('NEW ACCOUNT'!A139="","",'NEW ACCOUNT'!J139)</f>
        <v/>
      </c>
      <c r="K138" s="36" t="str">
        <f>IFERROR(IF(A138="","",SUMIF(DB_Savings!$A:$A,A138,DB_Savings!$F:$F)),"")</f>
        <v/>
      </c>
      <c r="L138" s="36" t="str">
        <f>IFERROR(IF(A138="","",SUMIF(DB_Withdrawals!$A:$A,A138,DB_Withdrawals!$G:$G)),"")</f>
        <v/>
      </c>
      <c r="M138" s="36" t="str">
        <f>IFERROR(IF(A138="","",IFERROR(VALUE(H138),0)+IFERROR(SUMIF(DB_Savings!$A:$A,A138,DB_Savings!$F:$F),0)-IFERROR(SUMIF(DB_Withdrawals!$A:$A,A138,DB_Withdrawals!$G:$G),0)),"")</f>
        <v/>
      </c>
      <c r="N138" s="36" t="str">
        <f>IFERROR(IF(A138="","",MAX(0,M138-System_Config!$B$9)),"")</f>
        <v/>
      </c>
    </row>
    <row r="139" spans="1:14" ht="20.100000000000001" customHeight="1" x14ac:dyDescent="0.25">
      <c r="A139" s="34" t="str">
        <f>'NEW ACCOUNT'!A140</f>
        <v/>
      </c>
      <c r="B139" s="35" t="str">
        <f>IF('NEW ACCOUNT'!A140="","",'NEW ACCOUNT'!B140)</f>
        <v/>
      </c>
      <c r="C139" s="35" t="str">
        <f>IF('NEW ACCOUNT'!A140="","",'NEW ACCOUNT'!C140)</f>
        <v/>
      </c>
      <c r="D139" s="35" t="str">
        <f>IF('NEW ACCOUNT'!A140="","",'NEW ACCOUNT'!D140)</f>
        <v/>
      </c>
      <c r="E139" s="35" t="str">
        <f>IF('NEW ACCOUNT'!A140="","",'NEW ACCOUNT'!E140)</f>
        <v/>
      </c>
      <c r="F139" s="35" t="str">
        <f>IF('NEW ACCOUNT'!A140="","",'NEW ACCOUNT'!F140)</f>
        <v/>
      </c>
      <c r="G139" s="35" t="str">
        <f>IF('NEW ACCOUNT'!A140="","",'NEW ACCOUNT'!G140)</f>
        <v/>
      </c>
      <c r="H139" s="35" t="str">
        <f>IF('NEW ACCOUNT'!A140="","",'NEW ACCOUNT'!H140)</f>
        <v/>
      </c>
      <c r="I139" s="35" t="str">
        <f>IF('NEW ACCOUNT'!A140="","",'NEW ACCOUNT'!I140)</f>
        <v/>
      </c>
      <c r="J139" s="35" t="str">
        <f>IF('NEW ACCOUNT'!A140="","",'NEW ACCOUNT'!J140)</f>
        <v/>
      </c>
      <c r="K139" s="36" t="str">
        <f>IFERROR(IF(A139="","",SUMIF(DB_Savings!$A:$A,A139,DB_Savings!$F:$F)),"")</f>
        <v/>
      </c>
      <c r="L139" s="36" t="str">
        <f>IFERROR(IF(A139="","",SUMIF(DB_Withdrawals!$A:$A,A139,DB_Withdrawals!$G:$G)),"")</f>
        <v/>
      </c>
      <c r="M139" s="36" t="str">
        <f>IFERROR(IF(A139="","",IFERROR(VALUE(H139),0)+IFERROR(SUMIF(DB_Savings!$A:$A,A139,DB_Savings!$F:$F),0)-IFERROR(SUMIF(DB_Withdrawals!$A:$A,A139,DB_Withdrawals!$G:$G),0)),"")</f>
        <v/>
      </c>
      <c r="N139" s="36" t="str">
        <f>IFERROR(IF(A139="","",MAX(0,M139-System_Config!$B$9)),"")</f>
        <v/>
      </c>
    </row>
    <row r="140" spans="1:14" ht="20.100000000000001" customHeight="1" x14ac:dyDescent="0.25">
      <c r="A140" s="34" t="str">
        <f>'NEW ACCOUNT'!A141</f>
        <v/>
      </c>
      <c r="B140" s="35" t="str">
        <f>IF('NEW ACCOUNT'!A141="","",'NEW ACCOUNT'!B141)</f>
        <v/>
      </c>
      <c r="C140" s="35" t="str">
        <f>IF('NEW ACCOUNT'!A141="","",'NEW ACCOUNT'!C141)</f>
        <v/>
      </c>
      <c r="D140" s="35" t="str">
        <f>IF('NEW ACCOUNT'!A141="","",'NEW ACCOUNT'!D141)</f>
        <v/>
      </c>
      <c r="E140" s="35" t="str">
        <f>IF('NEW ACCOUNT'!A141="","",'NEW ACCOUNT'!E141)</f>
        <v/>
      </c>
      <c r="F140" s="35" t="str">
        <f>IF('NEW ACCOUNT'!A141="","",'NEW ACCOUNT'!F141)</f>
        <v/>
      </c>
      <c r="G140" s="35" t="str">
        <f>IF('NEW ACCOUNT'!A141="","",'NEW ACCOUNT'!G141)</f>
        <v/>
      </c>
      <c r="H140" s="35" t="str">
        <f>IF('NEW ACCOUNT'!A141="","",'NEW ACCOUNT'!H141)</f>
        <v/>
      </c>
      <c r="I140" s="35" t="str">
        <f>IF('NEW ACCOUNT'!A141="","",'NEW ACCOUNT'!I141)</f>
        <v/>
      </c>
      <c r="J140" s="35" t="str">
        <f>IF('NEW ACCOUNT'!A141="","",'NEW ACCOUNT'!J141)</f>
        <v/>
      </c>
      <c r="K140" s="36" t="str">
        <f>IFERROR(IF(A140="","",SUMIF(DB_Savings!$A:$A,A140,DB_Savings!$F:$F)),"")</f>
        <v/>
      </c>
      <c r="L140" s="36" t="str">
        <f>IFERROR(IF(A140="","",SUMIF(DB_Withdrawals!$A:$A,A140,DB_Withdrawals!$G:$G)),"")</f>
        <v/>
      </c>
      <c r="M140" s="36" t="str">
        <f>IFERROR(IF(A140="","",IFERROR(VALUE(H140),0)+IFERROR(SUMIF(DB_Savings!$A:$A,A140,DB_Savings!$F:$F),0)-IFERROR(SUMIF(DB_Withdrawals!$A:$A,A140,DB_Withdrawals!$G:$G),0)),"")</f>
        <v/>
      </c>
      <c r="N140" s="36" t="str">
        <f>IFERROR(IF(A140="","",MAX(0,M140-System_Config!$B$9)),"")</f>
        <v/>
      </c>
    </row>
    <row r="141" spans="1:14" ht="20.100000000000001" customHeight="1" x14ac:dyDescent="0.25">
      <c r="A141" s="34" t="str">
        <f>'NEW ACCOUNT'!A142</f>
        <v/>
      </c>
      <c r="B141" s="35" t="str">
        <f>IF('NEW ACCOUNT'!A142="","",'NEW ACCOUNT'!B142)</f>
        <v/>
      </c>
      <c r="C141" s="35" t="str">
        <f>IF('NEW ACCOUNT'!A142="","",'NEW ACCOUNT'!C142)</f>
        <v/>
      </c>
      <c r="D141" s="35" t="str">
        <f>IF('NEW ACCOUNT'!A142="","",'NEW ACCOUNT'!D142)</f>
        <v/>
      </c>
      <c r="E141" s="35" t="str">
        <f>IF('NEW ACCOUNT'!A142="","",'NEW ACCOUNT'!E142)</f>
        <v/>
      </c>
      <c r="F141" s="35" t="str">
        <f>IF('NEW ACCOUNT'!A142="","",'NEW ACCOUNT'!F142)</f>
        <v/>
      </c>
      <c r="G141" s="35" t="str">
        <f>IF('NEW ACCOUNT'!A142="","",'NEW ACCOUNT'!G142)</f>
        <v/>
      </c>
      <c r="H141" s="35" t="str">
        <f>IF('NEW ACCOUNT'!A142="","",'NEW ACCOUNT'!H142)</f>
        <v/>
      </c>
      <c r="I141" s="35" t="str">
        <f>IF('NEW ACCOUNT'!A142="","",'NEW ACCOUNT'!I142)</f>
        <v/>
      </c>
      <c r="J141" s="35" t="str">
        <f>IF('NEW ACCOUNT'!A142="","",'NEW ACCOUNT'!J142)</f>
        <v/>
      </c>
      <c r="K141" s="36" t="str">
        <f>IFERROR(IF(A141="","",SUMIF(DB_Savings!$A:$A,A141,DB_Savings!$F:$F)),"")</f>
        <v/>
      </c>
      <c r="L141" s="36" t="str">
        <f>IFERROR(IF(A141="","",SUMIF(DB_Withdrawals!$A:$A,A141,DB_Withdrawals!$G:$G)),"")</f>
        <v/>
      </c>
      <c r="M141" s="36" t="str">
        <f>IFERROR(IF(A141="","",IFERROR(VALUE(H141),0)+IFERROR(SUMIF(DB_Savings!$A:$A,A141,DB_Savings!$F:$F),0)-IFERROR(SUMIF(DB_Withdrawals!$A:$A,A141,DB_Withdrawals!$G:$G),0)),"")</f>
        <v/>
      </c>
      <c r="N141" s="36" t="str">
        <f>IFERROR(IF(A141="","",MAX(0,M141-System_Config!$B$9)),"")</f>
        <v/>
      </c>
    </row>
    <row r="142" spans="1:14" ht="20.100000000000001" customHeight="1" x14ac:dyDescent="0.25">
      <c r="A142" s="34" t="str">
        <f>'NEW ACCOUNT'!A143</f>
        <v/>
      </c>
      <c r="B142" s="35" t="str">
        <f>IF('NEW ACCOUNT'!A143="","",'NEW ACCOUNT'!B143)</f>
        <v/>
      </c>
      <c r="C142" s="35" t="str">
        <f>IF('NEW ACCOUNT'!A143="","",'NEW ACCOUNT'!C143)</f>
        <v/>
      </c>
      <c r="D142" s="35" t="str">
        <f>IF('NEW ACCOUNT'!A143="","",'NEW ACCOUNT'!D143)</f>
        <v/>
      </c>
      <c r="E142" s="35" t="str">
        <f>IF('NEW ACCOUNT'!A143="","",'NEW ACCOUNT'!E143)</f>
        <v/>
      </c>
      <c r="F142" s="35" t="str">
        <f>IF('NEW ACCOUNT'!A143="","",'NEW ACCOUNT'!F143)</f>
        <v/>
      </c>
      <c r="G142" s="35" t="str">
        <f>IF('NEW ACCOUNT'!A143="","",'NEW ACCOUNT'!G143)</f>
        <v/>
      </c>
      <c r="H142" s="35" t="str">
        <f>IF('NEW ACCOUNT'!A143="","",'NEW ACCOUNT'!H143)</f>
        <v/>
      </c>
      <c r="I142" s="35" t="str">
        <f>IF('NEW ACCOUNT'!A143="","",'NEW ACCOUNT'!I143)</f>
        <v/>
      </c>
      <c r="J142" s="35" t="str">
        <f>IF('NEW ACCOUNT'!A143="","",'NEW ACCOUNT'!J143)</f>
        <v/>
      </c>
      <c r="K142" s="36" t="str">
        <f>IFERROR(IF(A142="","",SUMIF(DB_Savings!$A:$A,A142,DB_Savings!$F:$F)),"")</f>
        <v/>
      </c>
      <c r="L142" s="36" t="str">
        <f>IFERROR(IF(A142="","",SUMIF(DB_Withdrawals!$A:$A,A142,DB_Withdrawals!$G:$G)),"")</f>
        <v/>
      </c>
      <c r="M142" s="36" t="str">
        <f>IFERROR(IF(A142="","",IFERROR(VALUE(H142),0)+IFERROR(SUMIF(DB_Savings!$A:$A,A142,DB_Savings!$F:$F),0)-IFERROR(SUMIF(DB_Withdrawals!$A:$A,A142,DB_Withdrawals!$G:$G),0)),"")</f>
        <v/>
      </c>
      <c r="N142" s="36" t="str">
        <f>IFERROR(IF(A142="","",MAX(0,M142-System_Config!$B$9)),"")</f>
        <v/>
      </c>
    </row>
    <row r="143" spans="1:14" ht="20.100000000000001" customHeight="1" x14ac:dyDescent="0.25">
      <c r="A143" s="34" t="str">
        <f>'NEW ACCOUNT'!A144</f>
        <v/>
      </c>
      <c r="B143" s="35" t="str">
        <f>IF('NEW ACCOUNT'!A144="","",'NEW ACCOUNT'!B144)</f>
        <v/>
      </c>
      <c r="C143" s="35" t="str">
        <f>IF('NEW ACCOUNT'!A144="","",'NEW ACCOUNT'!C144)</f>
        <v/>
      </c>
      <c r="D143" s="35" t="str">
        <f>IF('NEW ACCOUNT'!A144="","",'NEW ACCOUNT'!D144)</f>
        <v/>
      </c>
      <c r="E143" s="35" t="str">
        <f>IF('NEW ACCOUNT'!A144="","",'NEW ACCOUNT'!E144)</f>
        <v/>
      </c>
      <c r="F143" s="35" t="str">
        <f>IF('NEW ACCOUNT'!A144="","",'NEW ACCOUNT'!F144)</f>
        <v/>
      </c>
      <c r="G143" s="35" t="str">
        <f>IF('NEW ACCOUNT'!A144="","",'NEW ACCOUNT'!G144)</f>
        <v/>
      </c>
      <c r="H143" s="35" t="str">
        <f>IF('NEW ACCOUNT'!A144="","",'NEW ACCOUNT'!H144)</f>
        <v/>
      </c>
      <c r="I143" s="35" t="str">
        <f>IF('NEW ACCOUNT'!A144="","",'NEW ACCOUNT'!I144)</f>
        <v/>
      </c>
      <c r="J143" s="35" t="str">
        <f>IF('NEW ACCOUNT'!A144="","",'NEW ACCOUNT'!J144)</f>
        <v/>
      </c>
      <c r="K143" s="36" t="str">
        <f>IFERROR(IF(A143="","",SUMIF(DB_Savings!$A:$A,A143,DB_Savings!$F:$F)),"")</f>
        <v/>
      </c>
      <c r="L143" s="36" t="str">
        <f>IFERROR(IF(A143="","",SUMIF(DB_Withdrawals!$A:$A,A143,DB_Withdrawals!$G:$G)),"")</f>
        <v/>
      </c>
      <c r="M143" s="36" t="str">
        <f>IFERROR(IF(A143="","",IFERROR(VALUE(H143),0)+IFERROR(SUMIF(DB_Savings!$A:$A,A143,DB_Savings!$F:$F),0)-IFERROR(SUMIF(DB_Withdrawals!$A:$A,A143,DB_Withdrawals!$G:$G),0)),"")</f>
        <v/>
      </c>
      <c r="N143" s="36" t="str">
        <f>IFERROR(IF(A143="","",MAX(0,M143-System_Config!$B$9)),"")</f>
        <v/>
      </c>
    </row>
    <row r="144" spans="1:14" ht="20.100000000000001" customHeight="1" x14ac:dyDescent="0.25">
      <c r="A144" s="34" t="str">
        <f>'NEW ACCOUNT'!A145</f>
        <v/>
      </c>
      <c r="B144" s="35" t="str">
        <f>IF('NEW ACCOUNT'!A145="","",'NEW ACCOUNT'!B145)</f>
        <v/>
      </c>
      <c r="C144" s="35" t="str">
        <f>IF('NEW ACCOUNT'!A145="","",'NEW ACCOUNT'!C145)</f>
        <v/>
      </c>
      <c r="D144" s="35" t="str">
        <f>IF('NEW ACCOUNT'!A145="","",'NEW ACCOUNT'!D145)</f>
        <v/>
      </c>
      <c r="E144" s="35" t="str">
        <f>IF('NEW ACCOUNT'!A145="","",'NEW ACCOUNT'!E145)</f>
        <v/>
      </c>
      <c r="F144" s="35" t="str">
        <f>IF('NEW ACCOUNT'!A145="","",'NEW ACCOUNT'!F145)</f>
        <v/>
      </c>
      <c r="G144" s="35" t="str">
        <f>IF('NEW ACCOUNT'!A145="","",'NEW ACCOUNT'!G145)</f>
        <v/>
      </c>
      <c r="H144" s="35" t="str">
        <f>IF('NEW ACCOUNT'!A145="","",'NEW ACCOUNT'!H145)</f>
        <v/>
      </c>
      <c r="I144" s="35" t="str">
        <f>IF('NEW ACCOUNT'!A145="","",'NEW ACCOUNT'!I145)</f>
        <v/>
      </c>
      <c r="J144" s="35" t="str">
        <f>IF('NEW ACCOUNT'!A145="","",'NEW ACCOUNT'!J145)</f>
        <v/>
      </c>
      <c r="K144" s="36" t="str">
        <f>IFERROR(IF(A144="","",SUMIF(DB_Savings!$A:$A,A144,DB_Savings!$F:$F)),"")</f>
        <v/>
      </c>
      <c r="L144" s="36" t="str">
        <f>IFERROR(IF(A144="","",SUMIF(DB_Withdrawals!$A:$A,A144,DB_Withdrawals!$G:$G)),"")</f>
        <v/>
      </c>
      <c r="M144" s="36" t="str">
        <f>IFERROR(IF(A144="","",IFERROR(VALUE(H144),0)+IFERROR(SUMIF(DB_Savings!$A:$A,A144,DB_Savings!$F:$F),0)-IFERROR(SUMIF(DB_Withdrawals!$A:$A,A144,DB_Withdrawals!$G:$G),0)),"")</f>
        <v/>
      </c>
      <c r="N144" s="36" t="str">
        <f>IFERROR(IF(A144="","",MAX(0,M144-System_Config!$B$9)),"")</f>
        <v/>
      </c>
    </row>
    <row r="145" spans="1:14" ht="20.100000000000001" customHeight="1" x14ac:dyDescent="0.25">
      <c r="A145" s="34" t="str">
        <f>'NEW ACCOUNT'!A146</f>
        <v/>
      </c>
      <c r="B145" s="35" t="str">
        <f>IF('NEW ACCOUNT'!A146="","",'NEW ACCOUNT'!B146)</f>
        <v/>
      </c>
      <c r="C145" s="35" t="str">
        <f>IF('NEW ACCOUNT'!A146="","",'NEW ACCOUNT'!C146)</f>
        <v/>
      </c>
      <c r="D145" s="35" t="str">
        <f>IF('NEW ACCOUNT'!A146="","",'NEW ACCOUNT'!D146)</f>
        <v/>
      </c>
      <c r="E145" s="35" t="str">
        <f>IF('NEW ACCOUNT'!A146="","",'NEW ACCOUNT'!E146)</f>
        <v/>
      </c>
      <c r="F145" s="35" t="str">
        <f>IF('NEW ACCOUNT'!A146="","",'NEW ACCOUNT'!F146)</f>
        <v/>
      </c>
      <c r="G145" s="35" t="str">
        <f>IF('NEW ACCOUNT'!A146="","",'NEW ACCOUNT'!G146)</f>
        <v/>
      </c>
      <c r="H145" s="35" t="str">
        <f>IF('NEW ACCOUNT'!A146="","",'NEW ACCOUNT'!H146)</f>
        <v/>
      </c>
      <c r="I145" s="35" t="str">
        <f>IF('NEW ACCOUNT'!A146="","",'NEW ACCOUNT'!I146)</f>
        <v/>
      </c>
      <c r="J145" s="35" t="str">
        <f>IF('NEW ACCOUNT'!A146="","",'NEW ACCOUNT'!J146)</f>
        <v/>
      </c>
      <c r="K145" s="36" t="str">
        <f>IFERROR(IF(A145="","",SUMIF(DB_Savings!$A:$A,A145,DB_Savings!$F:$F)),"")</f>
        <v/>
      </c>
      <c r="L145" s="36" t="str">
        <f>IFERROR(IF(A145="","",SUMIF(DB_Withdrawals!$A:$A,A145,DB_Withdrawals!$G:$G)),"")</f>
        <v/>
      </c>
      <c r="M145" s="36" t="str">
        <f>IFERROR(IF(A145="","",IFERROR(VALUE(H145),0)+IFERROR(SUMIF(DB_Savings!$A:$A,A145,DB_Savings!$F:$F),0)-IFERROR(SUMIF(DB_Withdrawals!$A:$A,A145,DB_Withdrawals!$G:$G),0)),"")</f>
        <v/>
      </c>
      <c r="N145" s="36" t="str">
        <f>IFERROR(IF(A145="","",MAX(0,M145-System_Config!$B$9)),"")</f>
        <v/>
      </c>
    </row>
    <row r="146" spans="1:14" ht="20.100000000000001" customHeight="1" x14ac:dyDescent="0.25">
      <c r="A146" s="34" t="str">
        <f>'NEW ACCOUNT'!A147</f>
        <v/>
      </c>
      <c r="B146" s="35" t="str">
        <f>IF('NEW ACCOUNT'!A147="","",'NEW ACCOUNT'!B147)</f>
        <v/>
      </c>
      <c r="C146" s="35" t="str">
        <f>IF('NEW ACCOUNT'!A147="","",'NEW ACCOUNT'!C147)</f>
        <v/>
      </c>
      <c r="D146" s="35" t="str">
        <f>IF('NEW ACCOUNT'!A147="","",'NEW ACCOUNT'!D147)</f>
        <v/>
      </c>
      <c r="E146" s="35" t="str">
        <f>IF('NEW ACCOUNT'!A147="","",'NEW ACCOUNT'!E147)</f>
        <v/>
      </c>
      <c r="F146" s="35" t="str">
        <f>IF('NEW ACCOUNT'!A147="","",'NEW ACCOUNT'!F147)</f>
        <v/>
      </c>
      <c r="G146" s="35" t="str">
        <f>IF('NEW ACCOUNT'!A147="","",'NEW ACCOUNT'!G147)</f>
        <v/>
      </c>
      <c r="H146" s="35" t="str">
        <f>IF('NEW ACCOUNT'!A147="","",'NEW ACCOUNT'!H147)</f>
        <v/>
      </c>
      <c r="I146" s="35" t="str">
        <f>IF('NEW ACCOUNT'!A147="","",'NEW ACCOUNT'!I147)</f>
        <v/>
      </c>
      <c r="J146" s="35" t="str">
        <f>IF('NEW ACCOUNT'!A147="","",'NEW ACCOUNT'!J147)</f>
        <v/>
      </c>
      <c r="K146" s="36" t="str">
        <f>IFERROR(IF(A146="","",SUMIF(DB_Savings!$A:$A,A146,DB_Savings!$F:$F)),"")</f>
        <v/>
      </c>
      <c r="L146" s="36" t="str">
        <f>IFERROR(IF(A146="","",SUMIF(DB_Withdrawals!$A:$A,A146,DB_Withdrawals!$G:$G)),"")</f>
        <v/>
      </c>
      <c r="M146" s="36" t="str">
        <f>IFERROR(IF(A146="","",IFERROR(VALUE(H146),0)+IFERROR(SUMIF(DB_Savings!$A:$A,A146,DB_Savings!$F:$F),0)-IFERROR(SUMIF(DB_Withdrawals!$A:$A,A146,DB_Withdrawals!$G:$G),0)),"")</f>
        <v/>
      </c>
      <c r="N146" s="36" t="str">
        <f>IFERROR(IF(A146="","",MAX(0,M146-System_Config!$B$9)),"")</f>
        <v/>
      </c>
    </row>
    <row r="147" spans="1:14" ht="20.100000000000001" customHeight="1" x14ac:dyDescent="0.25">
      <c r="A147" s="34" t="str">
        <f>'NEW ACCOUNT'!A148</f>
        <v/>
      </c>
      <c r="B147" s="35" t="str">
        <f>IF('NEW ACCOUNT'!A148="","",'NEW ACCOUNT'!B148)</f>
        <v/>
      </c>
      <c r="C147" s="35" t="str">
        <f>IF('NEW ACCOUNT'!A148="","",'NEW ACCOUNT'!C148)</f>
        <v/>
      </c>
      <c r="D147" s="35" t="str">
        <f>IF('NEW ACCOUNT'!A148="","",'NEW ACCOUNT'!D148)</f>
        <v/>
      </c>
      <c r="E147" s="35" t="str">
        <f>IF('NEW ACCOUNT'!A148="","",'NEW ACCOUNT'!E148)</f>
        <v/>
      </c>
      <c r="F147" s="35" t="str">
        <f>IF('NEW ACCOUNT'!A148="","",'NEW ACCOUNT'!F148)</f>
        <v/>
      </c>
      <c r="G147" s="35" t="str">
        <f>IF('NEW ACCOUNT'!A148="","",'NEW ACCOUNT'!G148)</f>
        <v/>
      </c>
      <c r="H147" s="35" t="str">
        <f>IF('NEW ACCOUNT'!A148="","",'NEW ACCOUNT'!H148)</f>
        <v/>
      </c>
      <c r="I147" s="35" t="str">
        <f>IF('NEW ACCOUNT'!A148="","",'NEW ACCOUNT'!I148)</f>
        <v/>
      </c>
      <c r="J147" s="35" t="str">
        <f>IF('NEW ACCOUNT'!A148="","",'NEW ACCOUNT'!J148)</f>
        <v/>
      </c>
      <c r="K147" s="36" t="str">
        <f>IFERROR(IF(A147="","",SUMIF(DB_Savings!$A:$A,A147,DB_Savings!$F:$F)),"")</f>
        <v/>
      </c>
      <c r="L147" s="36" t="str">
        <f>IFERROR(IF(A147="","",SUMIF(DB_Withdrawals!$A:$A,A147,DB_Withdrawals!$G:$G)),"")</f>
        <v/>
      </c>
      <c r="M147" s="36" t="str">
        <f>IFERROR(IF(A147="","",IFERROR(VALUE(H147),0)+IFERROR(SUMIF(DB_Savings!$A:$A,A147,DB_Savings!$F:$F),0)-IFERROR(SUMIF(DB_Withdrawals!$A:$A,A147,DB_Withdrawals!$G:$G),0)),"")</f>
        <v/>
      </c>
      <c r="N147" s="36" t="str">
        <f>IFERROR(IF(A147="","",MAX(0,M147-System_Config!$B$9)),"")</f>
        <v/>
      </c>
    </row>
    <row r="148" spans="1:14" ht="20.100000000000001" customHeight="1" x14ac:dyDescent="0.25">
      <c r="A148" s="34" t="str">
        <f>'NEW ACCOUNT'!A149</f>
        <v/>
      </c>
      <c r="B148" s="35" t="str">
        <f>IF('NEW ACCOUNT'!A149="","",'NEW ACCOUNT'!B149)</f>
        <v/>
      </c>
      <c r="C148" s="35" t="str">
        <f>IF('NEW ACCOUNT'!A149="","",'NEW ACCOUNT'!C149)</f>
        <v/>
      </c>
      <c r="D148" s="35" t="str">
        <f>IF('NEW ACCOUNT'!A149="","",'NEW ACCOUNT'!D149)</f>
        <v/>
      </c>
      <c r="E148" s="35" t="str">
        <f>IF('NEW ACCOUNT'!A149="","",'NEW ACCOUNT'!E149)</f>
        <v/>
      </c>
      <c r="F148" s="35" t="str">
        <f>IF('NEW ACCOUNT'!A149="","",'NEW ACCOUNT'!F149)</f>
        <v/>
      </c>
      <c r="G148" s="35" t="str">
        <f>IF('NEW ACCOUNT'!A149="","",'NEW ACCOUNT'!G149)</f>
        <v/>
      </c>
      <c r="H148" s="35" t="str">
        <f>IF('NEW ACCOUNT'!A149="","",'NEW ACCOUNT'!H149)</f>
        <v/>
      </c>
      <c r="I148" s="35" t="str">
        <f>IF('NEW ACCOUNT'!A149="","",'NEW ACCOUNT'!I149)</f>
        <v/>
      </c>
      <c r="J148" s="35" t="str">
        <f>IF('NEW ACCOUNT'!A149="","",'NEW ACCOUNT'!J149)</f>
        <v/>
      </c>
      <c r="K148" s="36" t="str">
        <f>IFERROR(IF(A148="","",SUMIF(DB_Savings!$A:$A,A148,DB_Savings!$F:$F)),"")</f>
        <v/>
      </c>
      <c r="L148" s="36" t="str">
        <f>IFERROR(IF(A148="","",SUMIF(DB_Withdrawals!$A:$A,A148,DB_Withdrawals!$G:$G)),"")</f>
        <v/>
      </c>
      <c r="M148" s="36" t="str">
        <f>IFERROR(IF(A148="","",IFERROR(VALUE(H148),0)+IFERROR(SUMIF(DB_Savings!$A:$A,A148,DB_Savings!$F:$F),0)-IFERROR(SUMIF(DB_Withdrawals!$A:$A,A148,DB_Withdrawals!$G:$G),0)),"")</f>
        <v/>
      </c>
      <c r="N148" s="36" t="str">
        <f>IFERROR(IF(A148="","",MAX(0,M148-System_Config!$B$9)),"")</f>
        <v/>
      </c>
    </row>
    <row r="149" spans="1:14" ht="20.100000000000001" customHeight="1" x14ac:dyDescent="0.25">
      <c r="A149" s="34" t="str">
        <f>'NEW ACCOUNT'!A150</f>
        <v/>
      </c>
      <c r="B149" s="35" t="str">
        <f>IF('NEW ACCOUNT'!A150="","",'NEW ACCOUNT'!B150)</f>
        <v/>
      </c>
      <c r="C149" s="35" t="str">
        <f>IF('NEW ACCOUNT'!A150="","",'NEW ACCOUNT'!C150)</f>
        <v/>
      </c>
      <c r="D149" s="35" t="str">
        <f>IF('NEW ACCOUNT'!A150="","",'NEW ACCOUNT'!D150)</f>
        <v/>
      </c>
      <c r="E149" s="35" t="str">
        <f>IF('NEW ACCOUNT'!A150="","",'NEW ACCOUNT'!E150)</f>
        <v/>
      </c>
      <c r="F149" s="35" t="str">
        <f>IF('NEW ACCOUNT'!A150="","",'NEW ACCOUNT'!F150)</f>
        <v/>
      </c>
      <c r="G149" s="35" t="str">
        <f>IF('NEW ACCOUNT'!A150="","",'NEW ACCOUNT'!G150)</f>
        <v/>
      </c>
      <c r="H149" s="35" t="str">
        <f>IF('NEW ACCOUNT'!A150="","",'NEW ACCOUNT'!H150)</f>
        <v/>
      </c>
      <c r="I149" s="35" t="str">
        <f>IF('NEW ACCOUNT'!A150="","",'NEW ACCOUNT'!I150)</f>
        <v/>
      </c>
      <c r="J149" s="35" t="str">
        <f>IF('NEW ACCOUNT'!A150="","",'NEW ACCOUNT'!J150)</f>
        <v/>
      </c>
      <c r="K149" s="36" t="str">
        <f>IFERROR(IF(A149="","",SUMIF(DB_Savings!$A:$A,A149,DB_Savings!$F:$F)),"")</f>
        <v/>
      </c>
      <c r="L149" s="36" t="str">
        <f>IFERROR(IF(A149="","",SUMIF(DB_Withdrawals!$A:$A,A149,DB_Withdrawals!$G:$G)),"")</f>
        <v/>
      </c>
      <c r="M149" s="36" t="str">
        <f>IFERROR(IF(A149="","",IFERROR(VALUE(H149),0)+IFERROR(SUMIF(DB_Savings!$A:$A,A149,DB_Savings!$F:$F),0)-IFERROR(SUMIF(DB_Withdrawals!$A:$A,A149,DB_Withdrawals!$G:$G),0)),"")</f>
        <v/>
      </c>
      <c r="N149" s="36" t="str">
        <f>IFERROR(IF(A149="","",MAX(0,M149-System_Config!$B$9)),"")</f>
        <v/>
      </c>
    </row>
    <row r="150" spans="1:14" ht="20.100000000000001" customHeight="1" x14ac:dyDescent="0.25">
      <c r="A150" s="34" t="str">
        <f>'NEW ACCOUNT'!A151</f>
        <v/>
      </c>
      <c r="B150" s="35" t="str">
        <f>IF('NEW ACCOUNT'!A151="","",'NEW ACCOUNT'!B151)</f>
        <v/>
      </c>
      <c r="C150" s="35" t="str">
        <f>IF('NEW ACCOUNT'!A151="","",'NEW ACCOUNT'!C151)</f>
        <v/>
      </c>
      <c r="D150" s="35" t="str">
        <f>IF('NEW ACCOUNT'!A151="","",'NEW ACCOUNT'!D151)</f>
        <v/>
      </c>
      <c r="E150" s="35" t="str">
        <f>IF('NEW ACCOUNT'!A151="","",'NEW ACCOUNT'!E151)</f>
        <v/>
      </c>
      <c r="F150" s="35" t="str">
        <f>IF('NEW ACCOUNT'!A151="","",'NEW ACCOUNT'!F151)</f>
        <v/>
      </c>
      <c r="G150" s="35" t="str">
        <f>IF('NEW ACCOUNT'!A151="","",'NEW ACCOUNT'!G151)</f>
        <v/>
      </c>
      <c r="H150" s="35" t="str">
        <f>IF('NEW ACCOUNT'!A151="","",'NEW ACCOUNT'!H151)</f>
        <v/>
      </c>
      <c r="I150" s="35" t="str">
        <f>IF('NEW ACCOUNT'!A151="","",'NEW ACCOUNT'!I151)</f>
        <v/>
      </c>
      <c r="J150" s="35" t="str">
        <f>IF('NEW ACCOUNT'!A151="","",'NEW ACCOUNT'!J151)</f>
        <v/>
      </c>
      <c r="K150" s="36" t="str">
        <f>IFERROR(IF(A150="","",SUMIF(DB_Savings!$A:$A,A150,DB_Savings!$F:$F)),"")</f>
        <v/>
      </c>
      <c r="L150" s="36" t="str">
        <f>IFERROR(IF(A150="","",SUMIF(DB_Withdrawals!$A:$A,A150,DB_Withdrawals!$G:$G)),"")</f>
        <v/>
      </c>
      <c r="M150" s="36" t="str">
        <f>IFERROR(IF(A150="","",IFERROR(VALUE(H150),0)+IFERROR(SUMIF(DB_Savings!$A:$A,A150,DB_Savings!$F:$F),0)-IFERROR(SUMIF(DB_Withdrawals!$A:$A,A150,DB_Withdrawals!$G:$G),0)),"")</f>
        <v/>
      </c>
      <c r="N150" s="36" t="str">
        <f>IFERROR(IF(A150="","",MAX(0,M150-System_Config!$B$9)),"")</f>
        <v/>
      </c>
    </row>
    <row r="151" spans="1:14" ht="20.100000000000001" customHeight="1" x14ac:dyDescent="0.25">
      <c r="A151" s="34" t="str">
        <f>'NEW ACCOUNT'!A152</f>
        <v/>
      </c>
      <c r="B151" s="35" t="str">
        <f>IF('NEW ACCOUNT'!A152="","",'NEW ACCOUNT'!B152)</f>
        <v/>
      </c>
      <c r="C151" s="35" t="str">
        <f>IF('NEW ACCOUNT'!A152="","",'NEW ACCOUNT'!C152)</f>
        <v/>
      </c>
      <c r="D151" s="35" t="str">
        <f>IF('NEW ACCOUNT'!A152="","",'NEW ACCOUNT'!D152)</f>
        <v/>
      </c>
      <c r="E151" s="35" t="str">
        <f>IF('NEW ACCOUNT'!A152="","",'NEW ACCOUNT'!E152)</f>
        <v/>
      </c>
      <c r="F151" s="35" t="str">
        <f>IF('NEW ACCOUNT'!A152="","",'NEW ACCOUNT'!F152)</f>
        <v/>
      </c>
      <c r="G151" s="35" t="str">
        <f>IF('NEW ACCOUNT'!A152="","",'NEW ACCOUNT'!G152)</f>
        <v/>
      </c>
      <c r="H151" s="35" t="str">
        <f>IF('NEW ACCOUNT'!A152="","",'NEW ACCOUNT'!H152)</f>
        <v/>
      </c>
      <c r="I151" s="35" t="str">
        <f>IF('NEW ACCOUNT'!A152="","",'NEW ACCOUNT'!I152)</f>
        <v/>
      </c>
      <c r="J151" s="35" t="str">
        <f>IF('NEW ACCOUNT'!A152="","",'NEW ACCOUNT'!J152)</f>
        <v/>
      </c>
      <c r="K151" s="36" t="str">
        <f>IFERROR(IF(A151="","",SUMIF(DB_Savings!$A:$A,A151,DB_Savings!$F:$F)),"")</f>
        <v/>
      </c>
      <c r="L151" s="36" t="str">
        <f>IFERROR(IF(A151="","",SUMIF(DB_Withdrawals!$A:$A,A151,DB_Withdrawals!$G:$G)),"")</f>
        <v/>
      </c>
      <c r="M151" s="36" t="str">
        <f>IFERROR(IF(A151="","",IFERROR(VALUE(H151),0)+IFERROR(SUMIF(DB_Savings!$A:$A,A151,DB_Savings!$F:$F),0)-IFERROR(SUMIF(DB_Withdrawals!$A:$A,A151,DB_Withdrawals!$G:$G),0)),"")</f>
        <v/>
      </c>
      <c r="N151" s="36" t="str">
        <f>IFERROR(IF(A151="","",MAX(0,M151-System_Config!$B$9)),"")</f>
        <v/>
      </c>
    </row>
    <row r="152" spans="1:14" ht="20.100000000000001" customHeight="1" x14ac:dyDescent="0.25">
      <c r="A152" s="34" t="str">
        <f>'NEW ACCOUNT'!A153</f>
        <v/>
      </c>
      <c r="B152" s="35" t="str">
        <f>IF('NEW ACCOUNT'!A153="","",'NEW ACCOUNT'!B153)</f>
        <v/>
      </c>
      <c r="C152" s="35" t="str">
        <f>IF('NEW ACCOUNT'!A153="","",'NEW ACCOUNT'!C153)</f>
        <v/>
      </c>
      <c r="D152" s="35" t="str">
        <f>IF('NEW ACCOUNT'!A153="","",'NEW ACCOUNT'!D153)</f>
        <v/>
      </c>
      <c r="E152" s="35" t="str">
        <f>IF('NEW ACCOUNT'!A153="","",'NEW ACCOUNT'!E153)</f>
        <v/>
      </c>
      <c r="F152" s="35" t="str">
        <f>IF('NEW ACCOUNT'!A153="","",'NEW ACCOUNT'!F153)</f>
        <v/>
      </c>
      <c r="G152" s="35" t="str">
        <f>IF('NEW ACCOUNT'!A153="","",'NEW ACCOUNT'!G153)</f>
        <v/>
      </c>
      <c r="H152" s="35" t="str">
        <f>IF('NEW ACCOUNT'!A153="","",'NEW ACCOUNT'!H153)</f>
        <v/>
      </c>
      <c r="I152" s="35" t="str">
        <f>IF('NEW ACCOUNT'!A153="","",'NEW ACCOUNT'!I153)</f>
        <v/>
      </c>
      <c r="J152" s="35" t="str">
        <f>IF('NEW ACCOUNT'!A153="","",'NEW ACCOUNT'!J153)</f>
        <v/>
      </c>
      <c r="K152" s="36" t="str">
        <f>IFERROR(IF(A152="","",SUMIF(DB_Savings!$A:$A,A152,DB_Savings!$F:$F)),"")</f>
        <v/>
      </c>
      <c r="L152" s="36" t="str">
        <f>IFERROR(IF(A152="","",SUMIF(DB_Withdrawals!$A:$A,A152,DB_Withdrawals!$G:$G)),"")</f>
        <v/>
      </c>
      <c r="M152" s="36" t="str">
        <f>IFERROR(IF(A152="","",IFERROR(VALUE(H152),0)+IFERROR(SUMIF(DB_Savings!$A:$A,A152,DB_Savings!$F:$F),0)-IFERROR(SUMIF(DB_Withdrawals!$A:$A,A152,DB_Withdrawals!$G:$G),0)),"")</f>
        <v/>
      </c>
      <c r="N152" s="36" t="str">
        <f>IFERROR(IF(A152="","",MAX(0,M152-System_Config!$B$9)),"")</f>
        <v/>
      </c>
    </row>
    <row r="153" spans="1:14" ht="20.100000000000001" customHeight="1" x14ac:dyDescent="0.25">
      <c r="A153" s="34" t="str">
        <f>'NEW ACCOUNT'!A154</f>
        <v/>
      </c>
      <c r="B153" s="35" t="str">
        <f>IF('NEW ACCOUNT'!A154="","",'NEW ACCOUNT'!B154)</f>
        <v/>
      </c>
      <c r="C153" s="35" t="str">
        <f>IF('NEW ACCOUNT'!A154="","",'NEW ACCOUNT'!C154)</f>
        <v/>
      </c>
      <c r="D153" s="35" t="str">
        <f>IF('NEW ACCOUNT'!A154="","",'NEW ACCOUNT'!D154)</f>
        <v/>
      </c>
      <c r="E153" s="35" t="str">
        <f>IF('NEW ACCOUNT'!A154="","",'NEW ACCOUNT'!E154)</f>
        <v/>
      </c>
      <c r="F153" s="35" t="str">
        <f>IF('NEW ACCOUNT'!A154="","",'NEW ACCOUNT'!F154)</f>
        <v/>
      </c>
      <c r="G153" s="35" t="str">
        <f>IF('NEW ACCOUNT'!A154="","",'NEW ACCOUNT'!G154)</f>
        <v/>
      </c>
      <c r="H153" s="35" t="str">
        <f>IF('NEW ACCOUNT'!A154="","",'NEW ACCOUNT'!H154)</f>
        <v/>
      </c>
      <c r="I153" s="35" t="str">
        <f>IF('NEW ACCOUNT'!A154="","",'NEW ACCOUNT'!I154)</f>
        <v/>
      </c>
      <c r="J153" s="35" t="str">
        <f>IF('NEW ACCOUNT'!A154="","",'NEW ACCOUNT'!J154)</f>
        <v/>
      </c>
      <c r="K153" s="36" t="str">
        <f>IFERROR(IF(A153="","",SUMIF(DB_Savings!$A:$A,A153,DB_Savings!$F:$F)),"")</f>
        <v/>
      </c>
      <c r="L153" s="36" t="str">
        <f>IFERROR(IF(A153="","",SUMIF(DB_Withdrawals!$A:$A,A153,DB_Withdrawals!$G:$G)),"")</f>
        <v/>
      </c>
      <c r="M153" s="36" t="str">
        <f>IFERROR(IF(A153="","",IFERROR(VALUE(H153),0)+IFERROR(SUMIF(DB_Savings!$A:$A,A153,DB_Savings!$F:$F),0)-IFERROR(SUMIF(DB_Withdrawals!$A:$A,A153,DB_Withdrawals!$G:$G),0)),"")</f>
        <v/>
      </c>
      <c r="N153" s="36" t="str">
        <f>IFERROR(IF(A153="","",MAX(0,M153-System_Config!$B$9)),"")</f>
        <v/>
      </c>
    </row>
    <row r="154" spans="1:14" ht="20.100000000000001" customHeight="1" x14ac:dyDescent="0.25">
      <c r="A154" s="34" t="str">
        <f>'NEW ACCOUNT'!A155</f>
        <v/>
      </c>
      <c r="B154" s="35" t="str">
        <f>IF('NEW ACCOUNT'!A155="","",'NEW ACCOUNT'!B155)</f>
        <v/>
      </c>
      <c r="C154" s="35" t="str">
        <f>IF('NEW ACCOUNT'!A155="","",'NEW ACCOUNT'!C155)</f>
        <v/>
      </c>
      <c r="D154" s="35" t="str">
        <f>IF('NEW ACCOUNT'!A155="","",'NEW ACCOUNT'!D155)</f>
        <v/>
      </c>
      <c r="E154" s="35" t="str">
        <f>IF('NEW ACCOUNT'!A155="","",'NEW ACCOUNT'!E155)</f>
        <v/>
      </c>
      <c r="F154" s="35" t="str">
        <f>IF('NEW ACCOUNT'!A155="","",'NEW ACCOUNT'!F155)</f>
        <v/>
      </c>
      <c r="G154" s="35" t="str">
        <f>IF('NEW ACCOUNT'!A155="","",'NEW ACCOUNT'!G155)</f>
        <v/>
      </c>
      <c r="H154" s="35" t="str">
        <f>IF('NEW ACCOUNT'!A155="","",'NEW ACCOUNT'!H155)</f>
        <v/>
      </c>
      <c r="I154" s="35" t="str">
        <f>IF('NEW ACCOUNT'!A155="","",'NEW ACCOUNT'!I155)</f>
        <v/>
      </c>
      <c r="J154" s="35" t="str">
        <f>IF('NEW ACCOUNT'!A155="","",'NEW ACCOUNT'!J155)</f>
        <v/>
      </c>
      <c r="K154" s="36" t="str">
        <f>IFERROR(IF(A154="","",SUMIF(DB_Savings!$A:$A,A154,DB_Savings!$F:$F)),"")</f>
        <v/>
      </c>
      <c r="L154" s="36" t="str">
        <f>IFERROR(IF(A154="","",SUMIF(DB_Withdrawals!$A:$A,A154,DB_Withdrawals!$G:$G)),"")</f>
        <v/>
      </c>
      <c r="M154" s="36" t="str">
        <f>IFERROR(IF(A154="","",IFERROR(VALUE(H154),0)+IFERROR(SUMIF(DB_Savings!$A:$A,A154,DB_Savings!$F:$F),0)-IFERROR(SUMIF(DB_Withdrawals!$A:$A,A154,DB_Withdrawals!$G:$G),0)),"")</f>
        <v/>
      </c>
      <c r="N154" s="36" t="str">
        <f>IFERROR(IF(A154="","",MAX(0,M154-System_Config!$B$9)),"")</f>
        <v/>
      </c>
    </row>
    <row r="155" spans="1:14" ht="20.100000000000001" customHeight="1" x14ac:dyDescent="0.25">
      <c r="A155" s="34" t="str">
        <f>'NEW ACCOUNT'!A156</f>
        <v/>
      </c>
      <c r="B155" s="35" t="str">
        <f>IF('NEW ACCOUNT'!A156="","",'NEW ACCOUNT'!B156)</f>
        <v/>
      </c>
      <c r="C155" s="35" t="str">
        <f>IF('NEW ACCOUNT'!A156="","",'NEW ACCOUNT'!C156)</f>
        <v/>
      </c>
      <c r="D155" s="35" t="str">
        <f>IF('NEW ACCOUNT'!A156="","",'NEW ACCOUNT'!D156)</f>
        <v/>
      </c>
      <c r="E155" s="35" t="str">
        <f>IF('NEW ACCOUNT'!A156="","",'NEW ACCOUNT'!E156)</f>
        <v/>
      </c>
      <c r="F155" s="35" t="str">
        <f>IF('NEW ACCOUNT'!A156="","",'NEW ACCOUNT'!F156)</f>
        <v/>
      </c>
      <c r="G155" s="35" t="str">
        <f>IF('NEW ACCOUNT'!A156="","",'NEW ACCOUNT'!G156)</f>
        <v/>
      </c>
      <c r="H155" s="35" t="str">
        <f>IF('NEW ACCOUNT'!A156="","",'NEW ACCOUNT'!H156)</f>
        <v/>
      </c>
      <c r="I155" s="35" t="str">
        <f>IF('NEW ACCOUNT'!A156="","",'NEW ACCOUNT'!I156)</f>
        <v/>
      </c>
      <c r="J155" s="35" t="str">
        <f>IF('NEW ACCOUNT'!A156="","",'NEW ACCOUNT'!J156)</f>
        <v/>
      </c>
      <c r="K155" s="36" t="str">
        <f>IFERROR(IF(A155="","",SUMIF(DB_Savings!$A:$A,A155,DB_Savings!$F:$F)),"")</f>
        <v/>
      </c>
      <c r="L155" s="36" t="str">
        <f>IFERROR(IF(A155="","",SUMIF(DB_Withdrawals!$A:$A,A155,DB_Withdrawals!$G:$G)),"")</f>
        <v/>
      </c>
      <c r="M155" s="36" t="str">
        <f>IFERROR(IF(A155="","",IFERROR(VALUE(H155),0)+IFERROR(SUMIF(DB_Savings!$A:$A,A155,DB_Savings!$F:$F),0)-IFERROR(SUMIF(DB_Withdrawals!$A:$A,A155,DB_Withdrawals!$G:$G),0)),"")</f>
        <v/>
      </c>
      <c r="N155" s="36" t="str">
        <f>IFERROR(IF(A155="","",MAX(0,M155-System_Config!$B$9)),"")</f>
        <v/>
      </c>
    </row>
    <row r="156" spans="1:14" ht="20.100000000000001" customHeight="1" x14ac:dyDescent="0.25">
      <c r="A156" s="34" t="str">
        <f>'NEW ACCOUNT'!A157</f>
        <v/>
      </c>
      <c r="B156" s="35" t="str">
        <f>IF('NEW ACCOUNT'!A157="","",'NEW ACCOUNT'!B157)</f>
        <v/>
      </c>
      <c r="C156" s="35" t="str">
        <f>IF('NEW ACCOUNT'!A157="","",'NEW ACCOUNT'!C157)</f>
        <v/>
      </c>
      <c r="D156" s="35" t="str">
        <f>IF('NEW ACCOUNT'!A157="","",'NEW ACCOUNT'!D157)</f>
        <v/>
      </c>
      <c r="E156" s="35" t="str">
        <f>IF('NEW ACCOUNT'!A157="","",'NEW ACCOUNT'!E157)</f>
        <v/>
      </c>
      <c r="F156" s="35" t="str">
        <f>IF('NEW ACCOUNT'!A157="","",'NEW ACCOUNT'!F157)</f>
        <v/>
      </c>
      <c r="G156" s="35" t="str">
        <f>IF('NEW ACCOUNT'!A157="","",'NEW ACCOUNT'!G157)</f>
        <v/>
      </c>
      <c r="H156" s="35" t="str">
        <f>IF('NEW ACCOUNT'!A157="","",'NEW ACCOUNT'!H157)</f>
        <v/>
      </c>
      <c r="I156" s="35" t="str">
        <f>IF('NEW ACCOUNT'!A157="","",'NEW ACCOUNT'!I157)</f>
        <v/>
      </c>
      <c r="J156" s="35" t="str">
        <f>IF('NEW ACCOUNT'!A157="","",'NEW ACCOUNT'!J157)</f>
        <v/>
      </c>
      <c r="K156" s="36" t="str">
        <f>IFERROR(IF(A156="","",SUMIF(DB_Savings!$A:$A,A156,DB_Savings!$F:$F)),"")</f>
        <v/>
      </c>
      <c r="L156" s="36" t="str">
        <f>IFERROR(IF(A156="","",SUMIF(DB_Withdrawals!$A:$A,A156,DB_Withdrawals!$G:$G)),"")</f>
        <v/>
      </c>
      <c r="M156" s="36" t="str">
        <f>IFERROR(IF(A156="","",IFERROR(VALUE(H156),0)+IFERROR(SUMIF(DB_Savings!$A:$A,A156,DB_Savings!$F:$F),0)-IFERROR(SUMIF(DB_Withdrawals!$A:$A,A156,DB_Withdrawals!$G:$G),0)),"")</f>
        <v/>
      </c>
      <c r="N156" s="36" t="str">
        <f>IFERROR(IF(A156="","",MAX(0,M156-System_Config!$B$9)),"")</f>
        <v/>
      </c>
    </row>
    <row r="157" spans="1:14" ht="20.100000000000001" customHeight="1" x14ac:dyDescent="0.25">
      <c r="A157" s="34" t="str">
        <f>'NEW ACCOUNT'!A158</f>
        <v/>
      </c>
      <c r="B157" s="35" t="str">
        <f>IF('NEW ACCOUNT'!A158="","",'NEW ACCOUNT'!B158)</f>
        <v/>
      </c>
      <c r="C157" s="35" t="str">
        <f>IF('NEW ACCOUNT'!A158="","",'NEW ACCOUNT'!C158)</f>
        <v/>
      </c>
      <c r="D157" s="35" t="str">
        <f>IF('NEW ACCOUNT'!A158="","",'NEW ACCOUNT'!D158)</f>
        <v/>
      </c>
      <c r="E157" s="35" t="str">
        <f>IF('NEW ACCOUNT'!A158="","",'NEW ACCOUNT'!E158)</f>
        <v/>
      </c>
      <c r="F157" s="35" t="str">
        <f>IF('NEW ACCOUNT'!A158="","",'NEW ACCOUNT'!F158)</f>
        <v/>
      </c>
      <c r="G157" s="35" t="str">
        <f>IF('NEW ACCOUNT'!A158="","",'NEW ACCOUNT'!G158)</f>
        <v/>
      </c>
      <c r="H157" s="35" t="str">
        <f>IF('NEW ACCOUNT'!A158="","",'NEW ACCOUNT'!H158)</f>
        <v/>
      </c>
      <c r="I157" s="35" t="str">
        <f>IF('NEW ACCOUNT'!A158="","",'NEW ACCOUNT'!I158)</f>
        <v/>
      </c>
      <c r="J157" s="35" t="str">
        <f>IF('NEW ACCOUNT'!A158="","",'NEW ACCOUNT'!J158)</f>
        <v/>
      </c>
      <c r="K157" s="36" t="str">
        <f>IFERROR(IF(A157="","",SUMIF(DB_Savings!$A:$A,A157,DB_Savings!$F:$F)),"")</f>
        <v/>
      </c>
      <c r="L157" s="36" t="str">
        <f>IFERROR(IF(A157="","",SUMIF(DB_Withdrawals!$A:$A,A157,DB_Withdrawals!$G:$G)),"")</f>
        <v/>
      </c>
      <c r="M157" s="36" t="str">
        <f>IFERROR(IF(A157="","",IFERROR(VALUE(H157),0)+IFERROR(SUMIF(DB_Savings!$A:$A,A157,DB_Savings!$F:$F),0)-IFERROR(SUMIF(DB_Withdrawals!$A:$A,A157,DB_Withdrawals!$G:$G),0)),"")</f>
        <v/>
      </c>
      <c r="N157" s="36" t="str">
        <f>IFERROR(IF(A157="","",MAX(0,M157-System_Config!$B$9)),"")</f>
        <v/>
      </c>
    </row>
    <row r="158" spans="1:14" ht="20.100000000000001" customHeight="1" x14ac:dyDescent="0.25">
      <c r="A158" s="34" t="str">
        <f>'NEW ACCOUNT'!A159</f>
        <v/>
      </c>
      <c r="B158" s="35" t="str">
        <f>IF('NEW ACCOUNT'!A159="","",'NEW ACCOUNT'!B159)</f>
        <v/>
      </c>
      <c r="C158" s="35" t="str">
        <f>IF('NEW ACCOUNT'!A159="","",'NEW ACCOUNT'!C159)</f>
        <v/>
      </c>
      <c r="D158" s="35" t="str">
        <f>IF('NEW ACCOUNT'!A159="","",'NEW ACCOUNT'!D159)</f>
        <v/>
      </c>
      <c r="E158" s="35" t="str">
        <f>IF('NEW ACCOUNT'!A159="","",'NEW ACCOUNT'!E159)</f>
        <v/>
      </c>
      <c r="F158" s="35" t="str">
        <f>IF('NEW ACCOUNT'!A159="","",'NEW ACCOUNT'!F159)</f>
        <v/>
      </c>
      <c r="G158" s="35" t="str">
        <f>IF('NEW ACCOUNT'!A159="","",'NEW ACCOUNT'!G159)</f>
        <v/>
      </c>
      <c r="H158" s="35" t="str">
        <f>IF('NEW ACCOUNT'!A159="","",'NEW ACCOUNT'!H159)</f>
        <v/>
      </c>
      <c r="I158" s="35" t="str">
        <f>IF('NEW ACCOUNT'!A159="","",'NEW ACCOUNT'!I159)</f>
        <v/>
      </c>
      <c r="J158" s="35" t="str">
        <f>IF('NEW ACCOUNT'!A159="","",'NEW ACCOUNT'!J159)</f>
        <v/>
      </c>
      <c r="K158" s="36" t="str">
        <f>IFERROR(IF(A158="","",SUMIF(DB_Savings!$A:$A,A158,DB_Savings!$F:$F)),"")</f>
        <v/>
      </c>
      <c r="L158" s="36" t="str">
        <f>IFERROR(IF(A158="","",SUMIF(DB_Withdrawals!$A:$A,A158,DB_Withdrawals!$G:$G)),"")</f>
        <v/>
      </c>
      <c r="M158" s="36" t="str">
        <f>IFERROR(IF(A158="","",IFERROR(VALUE(H158),0)+IFERROR(SUMIF(DB_Savings!$A:$A,A158,DB_Savings!$F:$F),0)-IFERROR(SUMIF(DB_Withdrawals!$A:$A,A158,DB_Withdrawals!$G:$G),0)),"")</f>
        <v/>
      </c>
      <c r="N158" s="36" t="str">
        <f>IFERROR(IF(A158="","",MAX(0,M158-System_Config!$B$9)),"")</f>
        <v/>
      </c>
    </row>
    <row r="159" spans="1:14" ht="20.100000000000001" customHeight="1" x14ac:dyDescent="0.25">
      <c r="A159" s="34" t="str">
        <f>'NEW ACCOUNT'!A160</f>
        <v/>
      </c>
      <c r="B159" s="35" t="str">
        <f>IF('NEW ACCOUNT'!A160="","",'NEW ACCOUNT'!B160)</f>
        <v/>
      </c>
      <c r="C159" s="35" t="str">
        <f>IF('NEW ACCOUNT'!A160="","",'NEW ACCOUNT'!C160)</f>
        <v/>
      </c>
      <c r="D159" s="35" t="str">
        <f>IF('NEW ACCOUNT'!A160="","",'NEW ACCOUNT'!D160)</f>
        <v/>
      </c>
      <c r="E159" s="35" t="str">
        <f>IF('NEW ACCOUNT'!A160="","",'NEW ACCOUNT'!E160)</f>
        <v/>
      </c>
      <c r="F159" s="35" t="str">
        <f>IF('NEW ACCOUNT'!A160="","",'NEW ACCOUNT'!F160)</f>
        <v/>
      </c>
      <c r="G159" s="35" t="str">
        <f>IF('NEW ACCOUNT'!A160="","",'NEW ACCOUNT'!G160)</f>
        <v/>
      </c>
      <c r="H159" s="35" t="str">
        <f>IF('NEW ACCOUNT'!A160="","",'NEW ACCOUNT'!H160)</f>
        <v/>
      </c>
      <c r="I159" s="35" t="str">
        <f>IF('NEW ACCOUNT'!A160="","",'NEW ACCOUNT'!I160)</f>
        <v/>
      </c>
      <c r="J159" s="35" t="str">
        <f>IF('NEW ACCOUNT'!A160="","",'NEW ACCOUNT'!J160)</f>
        <v/>
      </c>
      <c r="K159" s="36" t="str">
        <f>IFERROR(IF(A159="","",SUMIF(DB_Savings!$A:$A,A159,DB_Savings!$F:$F)),"")</f>
        <v/>
      </c>
      <c r="L159" s="36" t="str">
        <f>IFERROR(IF(A159="","",SUMIF(DB_Withdrawals!$A:$A,A159,DB_Withdrawals!$G:$G)),"")</f>
        <v/>
      </c>
      <c r="M159" s="36" t="str">
        <f>IFERROR(IF(A159="","",IFERROR(VALUE(H159),0)+IFERROR(SUMIF(DB_Savings!$A:$A,A159,DB_Savings!$F:$F),0)-IFERROR(SUMIF(DB_Withdrawals!$A:$A,A159,DB_Withdrawals!$G:$G),0)),"")</f>
        <v/>
      </c>
      <c r="N159" s="36" t="str">
        <f>IFERROR(IF(A159="","",MAX(0,M159-System_Config!$B$9)),"")</f>
        <v/>
      </c>
    </row>
    <row r="160" spans="1:14" ht="20.100000000000001" customHeight="1" x14ac:dyDescent="0.25">
      <c r="A160" s="34" t="str">
        <f>'NEW ACCOUNT'!A161</f>
        <v/>
      </c>
      <c r="B160" s="35" t="str">
        <f>IF('NEW ACCOUNT'!A161="","",'NEW ACCOUNT'!B161)</f>
        <v/>
      </c>
      <c r="C160" s="35" t="str">
        <f>IF('NEW ACCOUNT'!A161="","",'NEW ACCOUNT'!C161)</f>
        <v/>
      </c>
      <c r="D160" s="35" t="str">
        <f>IF('NEW ACCOUNT'!A161="","",'NEW ACCOUNT'!D161)</f>
        <v/>
      </c>
      <c r="E160" s="35" t="str">
        <f>IF('NEW ACCOUNT'!A161="","",'NEW ACCOUNT'!E161)</f>
        <v/>
      </c>
      <c r="F160" s="35" t="str">
        <f>IF('NEW ACCOUNT'!A161="","",'NEW ACCOUNT'!F161)</f>
        <v/>
      </c>
      <c r="G160" s="35" t="str">
        <f>IF('NEW ACCOUNT'!A161="","",'NEW ACCOUNT'!G161)</f>
        <v/>
      </c>
      <c r="H160" s="35" t="str">
        <f>IF('NEW ACCOUNT'!A161="","",'NEW ACCOUNT'!H161)</f>
        <v/>
      </c>
      <c r="I160" s="35" t="str">
        <f>IF('NEW ACCOUNT'!A161="","",'NEW ACCOUNT'!I161)</f>
        <v/>
      </c>
      <c r="J160" s="35" t="str">
        <f>IF('NEW ACCOUNT'!A161="","",'NEW ACCOUNT'!J161)</f>
        <v/>
      </c>
      <c r="K160" s="36" t="str">
        <f>IFERROR(IF(A160="","",SUMIF(DB_Savings!$A:$A,A160,DB_Savings!$F:$F)),"")</f>
        <v/>
      </c>
      <c r="L160" s="36" t="str">
        <f>IFERROR(IF(A160="","",SUMIF(DB_Withdrawals!$A:$A,A160,DB_Withdrawals!$G:$G)),"")</f>
        <v/>
      </c>
      <c r="M160" s="36" t="str">
        <f>IFERROR(IF(A160="","",IFERROR(VALUE(H160),0)+IFERROR(SUMIF(DB_Savings!$A:$A,A160,DB_Savings!$F:$F),0)-IFERROR(SUMIF(DB_Withdrawals!$A:$A,A160,DB_Withdrawals!$G:$G),0)),"")</f>
        <v/>
      </c>
      <c r="N160" s="36" t="str">
        <f>IFERROR(IF(A160="","",MAX(0,M160-System_Config!$B$9)),"")</f>
        <v/>
      </c>
    </row>
    <row r="161" spans="1:14" ht="20.100000000000001" customHeight="1" x14ac:dyDescent="0.25">
      <c r="A161" s="34" t="str">
        <f>'NEW ACCOUNT'!A162</f>
        <v/>
      </c>
      <c r="B161" s="35" t="str">
        <f>IF('NEW ACCOUNT'!A162="","",'NEW ACCOUNT'!B162)</f>
        <v/>
      </c>
      <c r="C161" s="35" t="str">
        <f>IF('NEW ACCOUNT'!A162="","",'NEW ACCOUNT'!C162)</f>
        <v/>
      </c>
      <c r="D161" s="35" t="str">
        <f>IF('NEW ACCOUNT'!A162="","",'NEW ACCOUNT'!D162)</f>
        <v/>
      </c>
      <c r="E161" s="35" t="str">
        <f>IF('NEW ACCOUNT'!A162="","",'NEW ACCOUNT'!E162)</f>
        <v/>
      </c>
      <c r="F161" s="35" t="str">
        <f>IF('NEW ACCOUNT'!A162="","",'NEW ACCOUNT'!F162)</f>
        <v/>
      </c>
      <c r="G161" s="35" t="str">
        <f>IF('NEW ACCOUNT'!A162="","",'NEW ACCOUNT'!G162)</f>
        <v/>
      </c>
      <c r="H161" s="35" t="str">
        <f>IF('NEW ACCOUNT'!A162="","",'NEW ACCOUNT'!H162)</f>
        <v/>
      </c>
      <c r="I161" s="35" t="str">
        <f>IF('NEW ACCOUNT'!A162="","",'NEW ACCOUNT'!I162)</f>
        <v/>
      </c>
      <c r="J161" s="35" t="str">
        <f>IF('NEW ACCOUNT'!A162="","",'NEW ACCOUNT'!J162)</f>
        <v/>
      </c>
      <c r="K161" s="36" t="str">
        <f>IFERROR(IF(A161="","",SUMIF(DB_Savings!$A:$A,A161,DB_Savings!$F:$F)),"")</f>
        <v/>
      </c>
      <c r="L161" s="36" t="str">
        <f>IFERROR(IF(A161="","",SUMIF(DB_Withdrawals!$A:$A,A161,DB_Withdrawals!$G:$G)),"")</f>
        <v/>
      </c>
      <c r="M161" s="36" t="str">
        <f>IFERROR(IF(A161="","",IFERROR(VALUE(H161),0)+IFERROR(SUMIF(DB_Savings!$A:$A,A161,DB_Savings!$F:$F),0)-IFERROR(SUMIF(DB_Withdrawals!$A:$A,A161,DB_Withdrawals!$G:$G),0)),"")</f>
        <v/>
      </c>
      <c r="N161" s="36" t="str">
        <f>IFERROR(IF(A161="","",MAX(0,M161-System_Config!$B$9)),"")</f>
        <v/>
      </c>
    </row>
    <row r="162" spans="1:14" ht="20.100000000000001" customHeight="1" x14ac:dyDescent="0.25">
      <c r="A162" s="34" t="str">
        <f>'NEW ACCOUNT'!A163</f>
        <v/>
      </c>
      <c r="B162" s="35" t="str">
        <f>IF('NEW ACCOUNT'!A163="","",'NEW ACCOUNT'!B163)</f>
        <v/>
      </c>
      <c r="C162" s="35" t="str">
        <f>IF('NEW ACCOUNT'!A163="","",'NEW ACCOUNT'!C163)</f>
        <v/>
      </c>
      <c r="D162" s="35" t="str">
        <f>IF('NEW ACCOUNT'!A163="","",'NEW ACCOUNT'!D163)</f>
        <v/>
      </c>
      <c r="E162" s="35" t="str">
        <f>IF('NEW ACCOUNT'!A163="","",'NEW ACCOUNT'!E163)</f>
        <v/>
      </c>
      <c r="F162" s="35" t="str">
        <f>IF('NEW ACCOUNT'!A163="","",'NEW ACCOUNT'!F163)</f>
        <v/>
      </c>
      <c r="G162" s="35" t="str">
        <f>IF('NEW ACCOUNT'!A163="","",'NEW ACCOUNT'!G163)</f>
        <v/>
      </c>
      <c r="H162" s="35" t="str">
        <f>IF('NEW ACCOUNT'!A163="","",'NEW ACCOUNT'!H163)</f>
        <v/>
      </c>
      <c r="I162" s="35" t="str">
        <f>IF('NEW ACCOUNT'!A163="","",'NEW ACCOUNT'!I163)</f>
        <v/>
      </c>
      <c r="J162" s="35" t="str">
        <f>IF('NEW ACCOUNT'!A163="","",'NEW ACCOUNT'!J163)</f>
        <v/>
      </c>
      <c r="K162" s="36" t="str">
        <f>IFERROR(IF(A162="","",SUMIF(DB_Savings!$A:$A,A162,DB_Savings!$F:$F)),"")</f>
        <v/>
      </c>
      <c r="L162" s="36" t="str">
        <f>IFERROR(IF(A162="","",SUMIF(DB_Withdrawals!$A:$A,A162,DB_Withdrawals!$G:$G)),"")</f>
        <v/>
      </c>
      <c r="M162" s="36" t="str">
        <f>IFERROR(IF(A162="","",IFERROR(VALUE(H162),0)+IFERROR(SUMIF(DB_Savings!$A:$A,A162,DB_Savings!$F:$F),0)-IFERROR(SUMIF(DB_Withdrawals!$A:$A,A162,DB_Withdrawals!$G:$G),0)),"")</f>
        <v/>
      </c>
      <c r="N162" s="36" t="str">
        <f>IFERROR(IF(A162="","",MAX(0,M162-System_Config!$B$9)),"")</f>
        <v/>
      </c>
    </row>
    <row r="163" spans="1:14" ht="20.100000000000001" customHeight="1" x14ac:dyDescent="0.25">
      <c r="A163" s="34" t="str">
        <f>'NEW ACCOUNT'!A164</f>
        <v/>
      </c>
      <c r="B163" s="35" t="str">
        <f>IF('NEW ACCOUNT'!A164="","",'NEW ACCOUNT'!B164)</f>
        <v/>
      </c>
      <c r="C163" s="35" t="str">
        <f>IF('NEW ACCOUNT'!A164="","",'NEW ACCOUNT'!C164)</f>
        <v/>
      </c>
      <c r="D163" s="35" t="str">
        <f>IF('NEW ACCOUNT'!A164="","",'NEW ACCOUNT'!D164)</f>
        <v/>
      </c>
      <c r="E163" s="35" t="str">
        <f>IF('NEW ACCOUNT'!A164="","",'NEW ACCOUNT'!E164)</f>
        <v/>
      </c>
      <c r="F163" s="35" t="str">
        <f>IF('NEW ACCOUNT'!A164="","",'NEW ACCOUNT'!F164)</f>
        <v/>
      </c>
      <c r="G163" s="35" t="str">
        <f>IF('NEW ACCOUNT'!A164="","",'NEW ACCOUNT'!G164)</f>
        <v/>
      </c>
      <c r="H163" s="35" t="str">
        <f>IF('NEW ACCOUNT'!A164="","",'NEW ACCOUNT'!H164)</f>
        <v/>
      </c>
      <c r="I163" s="35" t="str">
        <f>IF('NEW ACCOUNT'!A164="","",'NEW ACCOUNT'!I164)</f>
        <v/>
      </c>
      <c r="J163" s="35" t="str">
        <f>IF('NEW ACCOUNT'!A164="","",'NEW ACCOUNT'!J164)</f>
        <v/>
      </c>
      <c r="K163" s="36" t="str">
        <f>IFERROR(IF(A163="","",SUMIF(DB_Savings!$A:$A,A163,DB_Savings!$F:$F)),"")</f>
        <v/>
      </c>
      <c r="L163" s="36" t="str">
        <f>IFERROR(IF(A163="","",SUMIF(DB_Withdrawals!$A:$A,A163,DB_Withdrawals!$G:$G)),"")</f>
        <v/>
      </c>
      <c r="M163" s="36" t="str">
        <f>IFERROR(IF(A163="","",IFERROR(VALUE(H163),0)+IFERROR(SUMIF(DB_Savings!$A:$A,A163,DB_Savings!$F:$F),0)-IFERROR(SUMIF(DB_Withdrawals!$A:$A,A163,DB_Withdrawals!$G:$G),0)),"")</f>
        <v/>
      </c>
      <c r="N163" s="36" t="str">
        <f>IFERROR(IF(A163="","",MAX(0,M163-System_Config!$B$9)),"")</f>
        <v/>
      </c>
    </row>
    <row r="164" spans="1:14" ht="20.100000000000001" customHeight="1" x14ac:dyDescent="0.25">
      <c r="A164" s="34" t="str">
        <f>'NEW ACCOUNT'!A165</f>
        <v/>
      </c>
      <c r="B164" s="35" t="str">
        <f>IF('NEW ACCOUNT'!A165="","",'NEW ACCOUNT'!B165)</f>
        <v/>
      </c>
      <c r="C164" s="35" t="str">
        <f>IF('NEW ACCOUNT'!A165="","",'NEW ACCOUNT'!C165)</f>
        <v/>
      </c>
      <c r="D164" s="35" t="str">
        <f>IF('NEW ACCOUNT'!A165="","",'NEW ACCOUNT'!D165)</f>
        <v/>
      </c>
      <c r="E164" s="35" t="str">
        <f>IF('NEW ACCOUNT'!A165="","",'NEW ACCOUNT'!E165)</f>
        <v/>
      </c>
      <c r="F164" s="35" t="str">
        <f>IF('NEW ACCOUNT'!A165="","",'NEW ACCOUNT'!F165)</f>
        <v/>
      </c>
      <c r="G164" s="35" t="str">
        <f>IF('NEW ACCOUNT'!A165="","",'NEW ACCOUNT'!G165)</f>
        <v/>
      </c>
      <c r="H164" s="35" t="str">
        <f>IF('NEW ACCOUNT'!A165="","",'NEW ACCOUNT'!H165)</f>
        <v/>
      </c>
      <c r="I164" s="35" t="str">
        <f>IF('NEW ACCOUNT'!A165="","",'NEW ACCOUNT'!I165)</f>
        <v/>
      </c>
      <c r="J164" s="35" t="str">
        <f>IF('NEW ACCOUNT'!A165="","",'NEW ACCOUNT'!J165)</f>
        <v/>
      </c>
      <c r="K164" s="36" t="str">
        <f>IFERROR(IF(A164="","",SUMIF(DB_Savings!$A:$A,A164,DB_Savings!$F:$F)),"")</f>
        <v/>
      </c>
      <c r="L164" s="36" t="str">
        <f>IFERROR(IF(A164="","",SUMIF(DB_Withdrawals!$A:$A,A164,DB_Withdrawals!$G:$G)),"")</f>
        <v/>
      </c>
      <c r="M164" s="36" t="str">
        <f>IFERROR(IF(A164="","",IFERROR(VALUE(H164),0)+IFERROR(SUMIF(DB_Savings!$A:$A,A164,DB_Savings!$F:$F),0)-IFERROR(SUMIF(DB_Withdrawals!$A:$A,A164,DB_Withdrawals!$G:$G),0)),"")</f>
        <v/>
      </c>
      <c r="N164" s="36" t="str">
        <f>IFERROR(IF(A164="","",MAX(0,M164-System_Config!$B$9)),"")</f>
        <v/>
      </c>
    </row>
    <row r="165" spans="1:14" ht="20.100000000000001" customHeight="1" x14ac:dyDescent="0.25">
      <c r="A165" s="34" t="str">
        <f>'NEW ACCOUNT'!A166</f>
        <v/>
      </c>
      <c r="B165" s="35" t="str">
        <f>IF('NEW ACCOUNT'!A166="","",'NEW ACCOUNT'!B166)</f>
        <v/>
      </c>
      <c r="C165" s="35" t="str">
        <f>IF('NEW ACCOUNT'!A166="","",'NEW ACCOUNT'!C166)</f>
        <v/>
      </c>
      <c r="D165" s="35" t="str">
        <f>IF('NEW ACCOUNT'!A166="","",'NEW ACCOUNT'!D166)</f>
        <v/>
      </c>
      <c r="E165" s="35" t="str">
        <f>IF('NEW ACCOUNT'!A166="","",'NEW ACCOUNT'!E166)</f>
        <v/>
      </c>
      <c r="F165" s="35" t="str">
        <f>IF('NEW ACCOUNT'!A166="","",'NEW ACCOUNT'!F166)</f>
        <v/>
      </c>
      <c r="G165" s="35" t="str">
        <f>IF('NEW ACCOUNT'!A166="","",'NEW ACCOUNT'!G166)</f>
        <v/>
      </c>
      <c r="H165" s="35" t="str">
        <f>IF('NEW ACCOUNT'!A166="","",'NEW ACCOUNT'!H166)</f>
        <v/>
      </c>
      <c r="I165" s="35" t="str">
        <f>IF('NEW ACCOUNT'!A166="","",'NEW ACCOUNT'!I166)</f>
        <v/>
      </c>
      <c r="J165" s="35" t="str">
        <f>IF('NEW ACCOUNT'!A166="","",'NEW ACCOUNT'!J166)</f>
        <v/>
      </c>
      <c r="K165" s="36" t="str">
        <f>IFERROR(IF(A165="","",SUMIF(DB_Savings!$A:$A,A165,DB_Savings!$F:$F)),"")</f>
        <v/>
      </c>
      <c r="L165" s="36" t="str">
        <f>IFERROR(IF(A165="","",SUMIF(DB_Withdrawals!$A:$A,A165,DB_Withdrawals!$G:$G)),"")</f>
        <v/>
      </c>
      <c r="M165" s="36" t="str">
        <f>IFERROR(IF(A165="","",IFERROR(VALUE(H165),0)+IFERROR(SUMIF(DB_Savings!$A:$A,A165,DB_Savings!$F:$F),0)-IFERROR(SUMIF(DB_Withdrawals!$A:$A,A165,DB_Withdrawals!$G:$G),0)),"")</f>
        <v/>
      </c>
      <c r="N165" s="36" t="str">
        <f>IFERROR(IF(A165="","",MAX(0,M165-System_Config!$B$9)),"")</f>
        <v/>
      </c>
    </row>
    <row r="166" spans="1:14" ht="20.100000000000001" customHeight="1" x14ac:dyDescent="0.25">
      <c r="A166" s="34" t="str">
        <f>'NEW ACCOUNT'!A167</f>
        <v/>
      </c>
      <c r="B166" s="35" t="str">
        <f>IF('NEW ACCOUNT'!A167="","",'NEW ACCOUNT'!B167)</f>
        <v/>
      </c>
      <c r="C166" s="35" t="str">
        <f>IF('NEW ACCOUNT'!A167="","",'NEW ACCOUNT'!C167)</f>
        <v/>
      </c>
      <c r="D166" s="35" t="str">
        <f>IF('NEW ACCOUNT'!A167="","",'NEW ACCOUNT'!D167)</f>
        <v/>
      </c>
      <c r="E166" s="35" t="str">
        <f>IF('NEW ACCOUNT'!A167="","",'NEW ACCOUNT'!E167)</f>
        <v/>
      </c>
      <c r="F166" s="35" t="str">
        <f>IF('NEW ACCOUNT'!A167="","",'NEW ACCOUNT'!F167)</f>
        <v/>
      </c>
      <c r="G166" s="35" t="str">
        <f>IF('NEW ACCOUNT'!A167="","",'NEW ACCOUNT'!G167)</f>
        <v/>
      </c>
      <c r="H166" s="35" t="str">
        <f>IF('NEW ACCOUNT'!A167="","",'NEW ACCOUNT'!H167)</f>
        <v/>
      </c>
      <c r="I166" s="35" t="str">
        <f>IF('NEW ACCOUNT'!A167="","",'NEW ACCOUNT'!I167)</f>
        <v/>
      </c>
      <c r="J166" s="35" t="str">
        <f>IF('NEW ACCOUNT'!A167="","",'NEW ACCOUNT'!J167)</f>
        <v/>
      </c>
      <c r="K166" s="36" t="str">
        <f>IFERROR(IF(A166="","",SUMIF(DB_Savings!$A:$A,A166,DB_Savings!$F:$F)),"")</f>
        <v/>
      </c>
      <c r="L166" s="36" t="str">
        <f>IFERROR(IF(A166="","",SUMIF(DB_Withdrawals!$A:$A,A166,DB_Withdrawals!$G:$G)),"")</f>
        <v/>
      </c>
      <c r="M166" s="36" t="str">
        <f>IFERROR(IF(A166="","",IFERROR(VALUE(H166),0)+IFERROR(SUMIF(DB_Savings!$A:$A,A166,DB_Savings!$F:$F),0)-IFERROR(SUMIF(DB_Withdrawals!$A:$A,A166,DB_Withdrawals!$G:$G),0)),"")</f>
        <v/>
      </c>
      <c r="N166" s="36" t="str">
        <f>IFERROR(IF(A166="","",MAX(0,M166-System_Config!$B$9)),"")</f>
        <v/>
      </c>
    </row>
    <row r="167" spans="1:14" ht="20.100000000000001" customHeight="1" x14ac:dyDescent="0.25">
      <c r="A167" s="34" t="str">
        <f>'NEW ACCOUNT'!A168</f>
        <v/>
      </c>
      <c r="B167" s="35" t="str">
        <f>IF('NEW ACCOUNT'!A168="","",'NEW ACCOUNT'!B168)</f>
        <v/>
      </c>
      <c r="C167" s="35" t="str">
        <f>IF('NEW ACCOUNT'!A168="","",'NEW ACCOUNT'!C168)</f>
        <v/>
      </c>
      <c r="D167" s="35" t="str">
        <f>IF('NEW ACCOUNT'!A168="","",'NEW ACCOUNT'!D168)</f>
        <v/>
      </c>
      <c r="E167" s="35" t="str">
        <f>IF('NEW ACCOUNT'!A168="","",'NEW ACCOUNT'!E168)</f>
        <v/>
      </c>
      <c r="F167" s="35" t="str">
        <f>IF('NEW ACCOUNT'!A168="","",'NEW ACCOUNT'!F168)</f>
        <v/>
      </c>
      <c r="G167" s="35" t="str">
        <f>IF('NEW ACCOUNT'!A168="","",'NEW ACCOUNT'!G168)</f>
        <v/>
      </c>
      <c r="H167" s="35" t="str">
        <f>IF('NEW ACCOUNT'!A168="","",'NEW ACCOUNT'!H168)</f>
        <v/>
      </c>
      <c r="I167" s="35" t="str">
        <f>IF('NEW ACCOUNT'!A168="","",'NEW ACCOUNT'!I168)</f>
        <v/>
      </c>
      <c r="J167" s="35" t="str">
        <f>IF('NEW ACCOUNT'!A168="","",'NEW ACCOUNT'!J168)</f>
        <v/>
      </c>
      <c r="K167" s="36" t="str">
        <f>IFERROR(IF(A167="","",SUMIF(DB_Savings!$A:$A,A167,DB_Savings!$F:$F)),"")</f>
        <v/>
      </c>
      <c r="L167" s="36" t="str">
        <f>IFERROR(IF(A167="","",SUMIF(DB_Withdrawals!$A:$A,A167,DB_Withdrawals!$G:$G)),"")</f>
        <v/>
      </c>
      <c r="M167" s="36" t="str">
        <f>IFERROR(IF(A167="","",IFERROR(VALUE(H167),0)+IFERROR(SUMIF(DB_Savings!$A:$A,A167,DB_Savings!$F:$F),0)-IFERROR(SUMIF(DB_Withdrawals!$A:$A,A167,DB_Withdrawals!$G:$G),0)),"")</f>
        <v/>
      </c>
      <c r="N167" s="36" t="str">
        <f>IFERROR(IF(A167="","",MAX(0,M167-System_Config!$B$9)),"")</f>
        <v/>
      </c>
    </row>
    <row r="168" spans="1:14" ht="20.100000000000001" customHeight="1" x14ac:dyDescent="0.25">
      <c r="A168" s="34" t="str">
        <f>'NEW ACCOUNT'!A169</f>
        <v/>
      </c>
      <c r="B168" s="35" t="str">
        <f>IF('NEW ACCOUNT'!A169="","",'NEW ACCOUNT'!B169)</f>
        <v/>
      </c>
      <c r="C168" s="35" t="str">
        <f>IF('NEW ACCOUNT'!A169="","",'NEW ACCOUNT'!C169)</f>
        <v/>
      </c>
      <c r="D168" s="35" t="str">
        <f>IF('NEW ACCOUNT'!A169="","",'NEW ACCOUNT'!D169)</f>
        <v/>
      </c>
      <c r="E168" s="35" t="str">
        <f>IF('NEW ACCOUNT'!A169="","",'NEW ACCOUNT'!E169)</f>
        <v/>
      </c>
      <c r="F168" s="35" t="str">
        <f>IF('NEW ACCOUNT'!A169="","",'NEW ACCOUNT'!F169)</f>
        <v/>
      </c>
      <c r="G168" s="35" t="str">
        <f>IF('NEW ACCOUNT'!A169="","",'NEW ACCOUNT'!G169)</f>
        <v/>
      </c>
      <c r="H168" s="35" t="str">
        <f>IF('NEW ACCOUNT'!A169="","",'NEW ACCOUNT'!H169)</f>
        <v/>
      </c>
      <c r="I168" s="35" t="str">
        <f>IF('NEW ACCOUNT'!A169="","",'NEW ACCOUNT'!I169)</f>
        <v/>
      </c>
      <c r="J168" s="35" t="str">
        <f>IF('NEW ACCOUNT'!A169="","",'NEW ACCOUNT'!J169)</f>
        <v/>
      </c>
      <c r="K168" s="36" t="str">
        <f>IFERROR(IF(A168="","",SUMIF(DB_Savings!$A:$A,A168,DB_Savings!$F:$F)),"")</f>
        <v/>
      </c>
      <c r="L168" s="36" t="str">
        <f>IFERROR(IF(A168="","",SUMIF(DB_Withdrawals!$A:$A,A168,DB_Withdrawals!$G:$G)),"")</f>
        <v/>
      </c>
      <c r="M168" s="36" t="str">
        <f>IFERROR(IF(A168="","",IFERROR(VALUE(H168),0)+IFERROR(SUMIF(DB_Savings!$A:$A,A168,DB_Savings!$F:$F),0)-IFERROR(SUMIF(DB_Withdrawals!$A:$A,A168,DB_Withdrawals!$G:$G),0)),"")</f>
        <v/>
      </c>
      <c r="N168" s="36" t="str">
        <f>IFERROR(IF(A168="","",MAX(0,M168-System_Config!$B$9)),"")</f>
        <v/>
      </c>
    </row>
    <row r="169" spans="1:14" ht="20.100000000000001" customHeight="1" x14ac:dyDescent="0.25">
      <c r="A169" s="34" t="str">
        <f>'NEW ACCOUNT'!A170</f>
        <v/>
      </c>
      <c r="B169" s="35" t="str">
        <f>IF('NEW ACCOUNT'!A170="","",'NEW ACCOUNT'!B170)</f>
        <v/>
      </c>
      <c r="C169" s="35" t="str">
        <f>IF('NEW ACCOUNT'!A170="","",'NEW ACCOUNT'!C170)</f>
        <v/>
      </c>
      <c r="D169" s="35" t="str">
        <f>IF('NEW ACCOUNT'!A170="","",'NEW ACCOUNT'!D170)</f>
        <v/>
      </c>
      <c r="E169" s="35" t="str">
        <f>IF('NEW ACCOUNT'!A170="","",'NEW ACCOUNT'!E170)</f>
        <v/>
      </c>
      <c r="F169" s="35" t="str">
        <f>IF('NEW ACCOUNT'!A170="","",'NEW ACCOUNT'!F170)</f>
        <v/>
      </c>
      <c r="G169" s="35" t="str">
        <f>IF('NEW ACCOUNT'!A170="","",'NEW ACCOUNT'!G170)</f>
        <v/>
      </c>
      <c r="H169" s="35" t="str">
        <f>IF('NEW ACCOUNT'!A170="","",'NEW ACCOUNT'!H170)</f>
        <v/>
      </c>
      <c r="I169" s="35" t="str">
        <f>IF('NEW ACCOUNT'!A170="","",'NEW ACCOUNT'!I170)</f>
        <v/>
      </c>
      <c r="J169" s="35" t="str">
        <f>IF('NEW ACCOUNT'!A170="","",'NEW ACCOUNT'!J170)</f>
        <v/>
      </c>
      <c r="K169" s="36" t="str">
        <f>IFERROR(IF(A169="","",SUMIF(DB_Savings!$A:$A,A169,DB_Savings!$F:$F)),"")</f>
        <v/>
      </c>
      <c r="L169" s="36" t="str">
        <f>IFERROR(IF(A169="","",SUMIF(DB_Withdrawals!$A:$A,A169,DB_Withdrawals!$G:$G)),"")</f>
        <v/>
      </c>
      <c r="M169" s="36" t="str">
        <f>IFERROR(IF(A169="","",IFERROR(VALUE(H169),0)+IFERROR(SUMIF(DB_Savings!$A:$A,A169,DB_Savings!$F:$F),0)-IFERROR(SUMIF(DB_Withdrawals!$A:$A,A169,DB_Withdrawals!$G:$G),0)),"")</f>
        <v/>
      </c>
      <c r="N169" s="36" t="str">
        <f>IFERROR(IF(A169="","",MAX(0,M169-System_Config!$B$9)),"")</f>
        <v/>
      </c>
    </row>
    <row r="170" spans="1:14" ht="20.100000000000001" customHeight="1" x14ac:dyDescent="0.25">
      <c r="A170" s="34" t="str">
        <f>'NEW ACCOUNT'!A171</f>
        <v/>
      </c>
      <c r="B170" s="35" t="str">
        <f>IF('NEW ACCOUNT'!A171="","",'NEW ACCOUNT'!B171)</f>
        <v/>
      </c>
      <c r="C170" s="35" t="str">
        <f>IF('NEW ACCOUNT'!A171="","",'NEW ACCOUNT'!C171)</f>
        <v/>
      </c>
      <c r="D170" s="35" t="str">
        <f>IF('NEW ACCOUNT'!A171="","",'NEW ACCOUNT'!D171)</f>
        <v/>
      </c>
      <c r="E170" s="35" t="str">
        <f>IF('NEW ACCOUNT'!A171="","",'NEW ACCOUNT'!E171)</f>
        <v/>
      </c>
      <c r="F170" s="35" t="str">
        <f>IF('NEW ACCOUNT'!A171="","",'NEW ACCOUNT'!F171)</f>
        <v/>
      </c>
      <c r="G170" s="35" t="str">
        <f>IF('NEW ACCOUNT'!A171="","",'NEW ACCOUNT'!G171)</f>
        <v/>
      </c>
      <c r="H170" s="35" t="str">
        <f>IF('NEW ACCOUNT'!A171="","",'NEW ACCOUNT'!H171)</f>
        <v/>
      </c>
      <c r="I170" s="35" t="str">
        <f>IF('NEW ACCOUNT'!A171="","",'NEW ACCOUNT'!I171)</f>
        <v/>
      </c>
      <c r="J170" s="35" t="str">
        <f>IF('NEW ACCOUNT'!A171="","",'NEW ACCOUNT'!J171)</f>
        <v/>
      </c>
      <c r="K170" s="36" t="str">
        <f>IFERROR(IF(A170="","",SUMIF(DB_Savings!$A:$A,A170,DB_Savings!$F:$F)),"")</f>
        <v/>
      </c>
      <c r="L170" s="36" t="str">
        <f>IFERROR(IF(A170="","",SUMIF(DB_Withdrawals!$A:$A,A170,DB_Withdrawals!$G:$G)),"")</f>
        <v/>
      </c>
      <c r="M170" s="36" t="str">
        <f>IFERROR(IF(A170="","",IFERROR(VALUE(H170),0)+IFERROR(SUMIF(DB_Savings!$A:$A,A170,DB_Savings!$F:$F),0)-IFERROR(SUMIF(DB_Withdrawals!$A:$A,A170,DB_Withdrawals!$G:$G),0)),"")</f>
        <v/>
      </c>
      <c r="N170" s="36" t="str">
        <f>IFERROR(IF(A170="","",MAX(0,M170-System_Config!$B$9)),"")</f>
        <v/>
      </c>
    </row>
    <row r="171" spans="1:14" ht="20.100000000000001" customHeight="1" x14ac:dyDescent="0.25">
      <c r="A171" s="34" t="str">
        <f>'NEW ACCOUNT'!A172</f>
        <v/>
      </c>
      <c r="B171" s="35" t="str">
        <f>IF('NEW ACCOUNT'!A172="","",'NEW ACCOUNT'!B172)</f>
        <v/>
      </c>
      <c r="C171" s="35" t="str">
        <f>IF('NEW ACCOUNT'!A172="","",'NEW ACCOUNT'!C172)</f>
        <v/>
      </c>
      <c r="D171" s="35" t="str">
        <f>IF('NEW ACCOUNT'!A172="","",'NEW ACCOUNT'!D172)</f>
        <v/>
      </c>
      <c r="E171" s="35" t="str">
        <f>IF('NEW ACCOUNT'!A172="","",'NEW ACCOUNT'!E172)</f>
        <v/>
      </c>
      <c r="F171" s="35" t="str">
        <f>IF('NEW ACCOUNT'!A172="","",'NEW ACCOUNT'!F172)</f>
        <v/>
      </c>
      <c r="G171" s="35" t="str">
        <f>IF('NEW ACCOUNT'!A172="","",'NEW ACCOUNT'!G172)</f>
        <v/>
      </c>
      <c r="H171" s="35" t="str">
        <f>IF('NEW ACCOUNT'!A172="","",'NEW ACCOUNT'!H172)</f>
        <v/>
      </c>
      <c r="I171" s="35" t="str">
        <f>IF('NEW ACCOUNT'!A172="","",'NEW ACCOUNT'!I172)</f>
        <v/>
      </c>
      <c r="J171" s="35" t="str">
        <f>IF('NEW ACCOUNT'!A172="","",'NEW ACCOUNT'!J172)</f>
        <v/>
      </c>
      <c r="K171" s="36" t="str">
        <f>IFERROR(IF(A171="","",SUMIF(DB_Savings!$A:$A,A171,DB_Savings!$F:$F)),"")</f>
        <v/>
      </c>
      <c r="L171" s="36" t="str">
        <f>IFERROR(IF(A171="","",SUMIF(DB_Withdrawals!$A:$A,A171,DB_Withdrawals!$G:$G)),"")</f>
        <v/>
      </c>
      <c r="M171" s="36" t="str">
        <f>IFERROR(IF(A171="","",IFERROR(VALUE(H171),0)+IFERROR(SUMIF(DB_Savings!$A:$A,A171,DB_Savings!$F:$F),0)-IFERROR(SUMIF(DB_Withdrawals!$A:$A,A171,DB_Withdrawals!$G:$G),0)),"")</f>
        <v/>
      </c>
      <c r="N171" s="36" t="str">
        <f>IFERROR(IF(A171="","",MAX(0,M171-System_Config!$B$9)),"")</f>
        <v/>
      </c>
    </row>
    <row r="172" spans="1:14" ht="20.100000000000001" customHeight="1" x14ac:dyDescent="0.25">
      <c r="A172" s="34" t="str">
        <f>'NEW ACCOUNT'!A173</f>
        <v/>
      </c>
      <c r="B172" s="35" t="str">
        <f>IF('NEW ACCOUNT'!A173="","",'NEW ACCOUNT'!B173)</f>
        <v/>
      </c>
      <c r="C172" s="35" t="str">
        <f>IF('NEW ACCOUNT'!A173="","",'NEW ACCOUNT'!C173)</f>
        <v/>
      </c>
      <c r="D172" s="35" t="str">
        <f>IF('NEW ACCOUNT'!A173="","",'NEW ACCOUNT'!D173)</f>
        <v/>
      </c>
      <c r="E172" s="35" t="str">
        <f>IF('NEW ACCOUNT'!A173="","",'NEW ACCOUNT'!E173)</f>
        <v/>
      </c>
      <c r="F172" s="35" t="str">
        <f>IF('NEW ACCOUNT'!A173="","",'NEW ACCOUNT'!F173)</f>
        <v/>
      </c>
      <c r="G172" s="35" t="str">
        <f>IF('NEW ACCOUNT'!A173="","",'NEW ACCOUNT'!G173)</f>
        <v/>
      </c>
      <c r="H172" s="35" t="str">
        <f>IF('NEW ACCOUNT'!A173="","",'NEW ACCOUNT'!H173)</f>
        <v/>
      </c>
      <c r="I172" s="35" t="str">
        <f>IF('NEW ACCOUNT'!A173="","",'NEW ACCOUNT'!I173)</f>
        <v/>
      </c>
      <c r="J172" s="35" t="str">
        <f>IF('NEW ACCOUNT'!A173="","",'NEW ACCOUNT'!J173)</f>
        <v/>
      </c>
      <c r="K172" s="36" t="str">
        <f>IFERROR(IF(A172="","",SUMIF(DB_Savings!$A:$A,A172,DB_Savings!$F:$F)),"")</f>
        <v/>
      </c>
      <c r="L172" s="36" t="str">
        <f>IFERROR(IF(A172="","",SUMIF(DB_Withdrawals!$A:$A,A172,DB_Withdrawals!$G:$G)),"")</f>
        <v/>
      </c>
      <c r="M172" s="36" t="str">
        <f>IFERROR(IF(A172="","",IFERROR(VALUE(H172),0)+IFERROR(SUMIF(DB_Savings!$A:$A,A172,DB_Savings!$F:$F),0)-IFERROR(SUMIF(DB_Withdrawals!$A:$A,A172,DB_Withdrawals!$G:$G),0)),"")</f>
        <v/>
      </c>
      <c r="N172" s="36" t="str">
        <f>IFERROR(IF(A172="","",MAX(0,M172-System_Config!$B$9)),"")</f>
        <v/>
      </c>
    </row>
    <row r="173" spans="1:14" ht="20.100000000000001" customHeight="1" x14ac:dyDescent="0.25">
      <c r="A173" s="34" t="str">
        <f>'NEW ACCOUNT'!A174</f>
        <v/>
      </c>
      <c r="B173" s="35" t="str">
        <f>IF('NEW ACCOUNT'!A174="","",'NEW ACCOUNT'!B174)</f>
        <v/>
      </c>
      <c r="C173" s="35" t="str">
        <f>IF('NEW ACCOUNT'!A174="","",'NEW ACCOUNT'!C174)</f>
        <v/>
      </c>
      <c r="D173" s="35" t="str">
        <f>IF('NEW ACCOUNT'!A174="","",'NEW ACCOUNT'!D174)</f>
        <v/>
      </c>
      <c r="E173" s="35" t="str">
        <f>IF('NEW ACCOUNT'!A174="","",'NEW ACCOUNT'!E174)</f>
        <v/>
      </c>
      <c r="F173" s="35" t="str">
        <f>IF('NEW ACCOUNT'!A174="","",'NEW ACCOUNT'!F174)</f>
        <v/>
      </c>
      <c r="G173" s="35" t="str">
        <f>IF('NEW ACCOUNT'!A174="","",'NEW ACCOUNT'!G174)</f>
        <v/>
      </c>
      <c r="H173" s="35" t="str">
        <f>IF('NEW ACCOUNT'!A174="","",'NEW ACCOUNT'!H174)</f>
        <v/>
      </c>
      <c r="I173" s="35" t="str">
        <f>IF('NEW ACCOUNT'!A174="","",'NEW ACCOUNT'!I174)</f>
        <v/>
      </c>
      <c r="J173" s="35" t="str">
        <f>IF('NEW ACCOUNT'!A174="","",'NEW ACCOUNT'!J174)</f>
        <v/>
      </c>
      <c r="K173" s="36" t="str">
        <f>IFERROR(IF(A173="","",SUMIF(DB_Savings!$A:$A,A173,DB_Savings!$F:$F)),"")</f>
        <v/>
      </c>
      <c r="L173" s="36" t="str">
        <f>IFERROR(IF(A173="","",SUMIF(DB_Withdrawals!$A:$A,A173,DB_Withdrawals!$G:$G)),"")</f>
        <v/>
      </c>
      <c r="M173" s="36" t="str">
        <f>IFERROR(IF(A173="","",IFERROR(VALUE(H173),0)+IFERROR(SUMIF(DB_Savings!$A:$A,A173,DB_Savings!$F:$F),0)-IFERROR(SUMIF(DB_Withdrawals!$A:$A,A173,DB_Withdrawals!$G:$G),0)),"")</f>
        <v/>
      </c>
      <c r="N173" s="36" t="str">
        <f>IFERROR(IF(A173="","",MAX(0,M173-System_Config!$B$9)),"")</f>
        <v/>
      </c>
    </row>
    <row r="174" spans="1:14" ht="20.100000000000001" customHeight="1" x14ac:dyDescent="0.25">
      <c r="A174" s="34" t="str">
        <f>'NEW ACCOUNT'!A175</f>
        <v/>
      </c>
      <c r="B174" s="35" t="str">
        <f>IF('NEW ACCOUNT'!A175="","",'NEW ACCOUNT'!B175)</f>
        <v/>
      </c>
      <c r="C174" s="35" t="str">
        <f>IF('NEW ACCOUNT'!A175="","",'NEW ACCOUNT'!C175)</f>
        <v/>
      </c>
      <c r="D174" s="35" t="str">
        <f>IF('NEW ACCOUNT'!A175="","",'NEW ACCOUNT'!D175)</f>
        <v/>
      </c>
      <c r="E174" s="35" t="str">
        <f>IF('NEW ACCOUNT'!A175="","",'NEW ACCOUNT'!E175)</f>
        <v/>
      </c>
      <c r="F174" s="35" t="str">
        <f>IF('NEW ACCOUNT'!A175="","",'NEW ACCOUNT'!F175)</f>
        <v/>
      </c>
      <c r="G174" s="35" t="str">
        <f>IF('NEW ACCOUNT'!A175="","",'NEW ACCOUNT'!G175)</f>
        <v/>
      </c>
      <c r="H174" s="35" t="str">
        <f>IF('NEW ACCOUNT'!A175="","",'NEW ACCOUNT'!H175)</f>
        <v/>
      </c>
      <c r="I174" s="35" t="str">
        <f>IF('NEW ACCOUNT'!A175="","",'NEW ACCOUNT'!I175)</f>
        <v/>
      </c>
      <c r="J174" s="35" t="str">
        <f>IF('NEW ACCOUNT'!A175="","",'NEW ACCOUNT'!J175)</f>
        <v/>
      </c>
      <c r="K174" s="36" t="str">
        <f>IFERROR(IF(A174="","",SUMIF(DB_Savings!$A:$A,A174,DB_Savings!$F:$F)),"")</f>
        <v/>
      </c>
      <c r="L174" s="36" t="str">
        <f>IFERROR(IF(A174="","",SUMIF(DB_Withdrawals!$A:$A,A174,DB_Withdrawals!$G:$G)),"")</f>
        <v/>
      </c>
      <c r="M174" s="36" t="str">
        <f>IFERROR(IF(A174="","",IFERROR(VALUE(H174),0)+IFERROR(SUMIF(DB_Savings!$A:$A,A174,DB_Savings!$F:$F),0)-IFERROR(SUMIF(DB_Withdrawals!$A:$A,A174,DB_Withdrawals!$G:$G),0)),"")</f>
        <v/>
      </c>
      <c r="N174" s="36" t="str">
        <f>IFERROR(IF(A174="","",MAX(0,M174-System_Config!$B$9)),"")</f>
        <v/>
      </c>
    </row>
    <row r="175" spans="1:14" ht="20.100000000000001" customHeight="1" x14ac:dyDescent="0.25">
      <c r="A175" s="34" t="str">
        <f>'NEW ACCOUNT'!A176</f>
        <v/>
      </c>
      <c r="B175" s="35" t="str">
        <f>IF('NEW ACCOUNT'!A176="","",'NEW ACCOUNT'!B176)</f>
        <v/>
      </c>
      <c r="C175" s="35" t="str">
        <f>IF('NEW ACCOUNT'!A176="","",'NEW ACCOUNT'!C176)</f>
        <v/>
      </c>
      <c r="D175" s="35" t="str">
        <f>IF('NEW ACCOUNT'!A176="","",'NEW ACCOUNT'!D176)</f>
        <v/>
      </c>
      <c r="E175" s="35" t="str">
        <f>IF('NEW ACCOUNT'!A176="","",'NEW ACCOUNT'!E176)</f>
        <v/>
      </c>
      <c r="F175" s="35" t="str">
        <f>IF('NEW ACCOUNT'!A176="","",'NEW ACCOUNT'!F176)</f>
        <v/>
      </c>
      <c r="G175" s="35" t="str">
        <f>IF('NEW ACCOUNT'!A176="","",'NEW ACCOUNT'!G176)</f>
        <v/>
      </c>
      <c r="H175" s="35" t="str">
        <f>IF('NEW ACCOUNT'!A176="","",'NEW ACCOUNT'!H176)</f>
        <v/>
      </c>
      <c r="I175" s="35" t="str">
        <f>IF('NEW ACCOUNT'!A176="","",'NEW ACCOUNT'!I176)</f>
        <v/>
      </c>
      <c r="J175" s="35" t="str">
        <f>IF('NEW ACCOUNT'!A176="","",'NEW ACCOUNT'!J176)</f>
        <v/>
      </c>
      <c r="K175" s="36" t="str">
        <f>IFERROR(IF(A175="","",SUMIF(DB_Savings!$A:$A,A175,DB_Savings!$F:$F)),"")</f>
        <v/>
      </c>
      <c r="L175" s="36" t="str">
        <f>IFERROR(IF(A175="","",SUMIF(DB_Withdrawals!$A:$A,A175,DB_Withdrawals!$G:$G)),"")</f>
        <v/>
      </c>
      <c r="M175" s="36" t="str">
        <f>IFERROR(IF(A175="","",IFERROR(VALUE(H175),0)+IFERROR(SUMIF(DB_Savings!$A:$A,A175,DB_Savings!$F:$F),0)-IFERROR(SUMIF(DB_Withdrawals!$A:$A,A175,DB_Withdrawals!$G:$G),0)),"")</f>
        <v/>
      </c>
      <c r="N175" s="36" t="str">
        <f>IFERROR(IF(A175="","",MAX(0,M175-System_Config!$B$9)),"")</f>
        <v/>
      </c>
    </row>
    <row r="176" spans="1:14" ht="20.100000000000001" customHeight="1" x14ac:dyDescent="0.25">
      <c r="A176" s="34" t="str">
        <f>'NEW ACCOUNT'!A177</f>
        <v/>
      </c>
      <c r="B176" s="35" t="str">
        <f>IF('NEW ACCOUNT'!A177="","",'NEW ACCOUNT'!B177)</f>
        <v/>
      </c>
      <c r="C176" s="35" t="str">
        <f>IF('NEW ACCOUNT'!A177="","",'NEW ACCOUNT'!C177)</f>
        <v/>
      </c>
      <c r="D176" s="35" t="str">
        <f>IF('NEW ACCOUNT'!A177="","",'NEW ACCOUNT'!D177)</f>
        <v/>
      </c>
      <c r="E176" s="35" t="str">
        <f>IF('NEW ACCOUNT'!A177="","",'NEW ACCOUNT'!E177)</f>
        <v/>
      </c>
      <c r="F176" s="35" t="str">
        <f>IF('NEW ACCOUNT'!A177="","",'NEW ACCOUNT'!F177)</f>
        <v/>
      </c>
      <c r="G176" s="35" t="str">
        <f>IF('NEW ACCOUNT'!A177="","",'NEW ACCOUNT'!G177)</f>
        <v/>
      </c>
      <c r="H176" s="35" t="str">
        <f>IF('NEW ACCOUNT'!A177="","",'NEW ACCOUNT'!H177)</f>
        <v/>
      </c>
      <c r="I176" s="35" t="str">
        <f>IF('NEW ACCOUNT'!A177="","",'NEW ACCOUNT'!I177)</f>
        <v/>
      </c>
      <c r="J176" s="35" t="str">
        <f>IF('NEW ACCOUNT'!A177="","",'NEW ACCOUNT'!J177)</f>
        <v/>
      </c>
      <c r="K176" s="36" t="str">
        <f>IFERROR(IF(A176="","",SUMIF(DB_Savings!$A:$A,A176,DB_Savings!$F:$F)),"")</f>
        <v/>
      </c>
      <c r="L176" s="36" t="str">
        <f>IFERROR(IF(A176="","",SUMIF(DB_Withdrawals!$A:$A,A176,DB_Withdrawals!$G:$G)),"")</f>
        <v/>
      </c>
      <c r="M176" s="36" t="str">
        <f>IFERROR(IF(A176="","",IFERROR(VALUE(H176),0)+IFERROR(SUMIF(DB_Savings!$A:$A,A176,DB_Savings!$F:$F),0)-IFERROR(SUMIF(DB_Withdrawals!$A:$A,A176,DB_Withdrawals!$G:$G),0)),"")</f>
        <v/>
      </c>
      <c r="N176" s="36" t="str">
        <f>IFERROR(IF(A176="","",MAX(0,M176-System_Config!$B$9)),"")</f>
        <v/>
      </c>
    </row>
    <row r="177" spans="1:14" ht="20.100000000000001" customHeight="1" x14ac:dyDescent="0.25">
      <c r="A177" s="34" t="str">
        <f>'NEW ACCOUNT'!A178</f>
        <v/>
      </c>
      <c r="B177" s="35" t="str">
        <f>IF('NEW ACCOUNT'!A178="","",'NEW ACCOUNT'!B178)</f>
        <v/>
      </c>
      <c r="C177" s="35" t="str">
        <f>IF('NEW ACCOUNT'!A178="","",'NEW ACCOUNT'!C178)</f>
        <v/>
      </c>
      <c r="D177" s="35" t="str">
        <f>IF('NEW ACCOUNT'!A178="","",'NEW ACCOUNT'!D178)</f>
        <v/>
      </c>
      <c r="E177" s="35" t="str">
        <f>IF('NEW ACCOUNT'!A178="","",'NEW ACCOUNT'!E178)</f>
        <v/>
      </c>
      <c r="F177" s="35" t="str">
        <f>IF('NEW ACCOUNT'!A178="","",'NEW ACCOUNT'!F178)</f>
        <v/>
      </c>
      <c r="G177" s="35" t="str">
        <f>IF('NEW ACCOUNT'!A178="","",'NEW ACCOUNT'!G178)</f>
        <v/>
      </c>
      <c r="H177" s="35" t="str">
        <f>IF('NEW ACCOUNT'!A178="","",'NEW ACCOUNT'!H178)</f>
        <v/>
      </c>
      <c r="I177" s="35" t="str">
        <f>IF('NEW ACCOUNT'!A178="","",'NEW ACCOUNT'!I178)</f>
        <v/>
      </c>
      <c r="J177" s="35" t="str">
        <f>IF('NEW ACCOUNT'!A178="","",'NEW ACCOUNT'!J178)</f>
        <v/>
      </c>
      <c r="K177" s="36" t="str">
        <f>IFERROR(IF(A177="","",SUMIF(DB_Savings!$A:$A,A177,DB_Savings!$F:$F)),"")</f>
        <v/>
      </c>
      <c r="L177" s="36" t="str">
        <f>IFERROR(IF(A177="","",SUMIF(DB_Withdrawals!$A:$A,A177,DB_Withdrawals!$G:$G)),"")</f>
        <v/>
      </c>
      <c r="M177" s="36" t="str">
        <f>IFERROR(IF(A177="","",IFERROR(VALUE(H177),0)+IFERROR(SUMIF(DB_Savings!$A:$A,A177,DB_Savings!$F:$F),0)-IFERROR(SUMIF(DB_Withdrawals!$A:$A,A177,DB_Withdrawals!$G:$G),0)),"")</f>
        <v/>
      </c>
      <c r="N177" s="36" t="str">
        <f>IFERROR(IF(A177="","",MAX(0,M177-System_Config!$B$9)),"")</f>
        <v/>
      </c>
    </row>
    <row r="178" spans="1:14" ht="20.100000000000001" customHeight="1" x14ac:dyDescent="0.25">
      <c r="A178" s="34" t="str">
        <f>'NEW ACCOUNT'!A179</f>
        <v/>
      </c>
      <c r="B178" s="35" t="str">
        <f>IF('NEW ACCOUNT'!A179="","",'NEW ACCOUNT'!B179)</f>
        <v/>
      </c>
      <c r="C178" s="35" t="str">
        <f>IF('NEW ACCOUNT'!A179="","",'NEW ACCOUNT'!C179)</f>
        <v/>
      </c>
      <c r="D178" s="35" t="str">
        <f>IF('NEW ACCOUNT'!A179="","",'NEW ACCOUNT'!D179)</f>
        <v/>
      </c>
      <c r="E178" s="35" t="str">
        <f>IF('NEW ACCOUNT'!A179="","",'NEW ACCOUNT'!E179)</f>
        <v/>
      </c>
      <c r="F178" s="35" t="str">
        <f>IF('NEW ACCOUNT'!A179="","",'NEW ACCOUNT'!F179)</f>
        <v/>
      </c>
      <c r="G178" s="35" t="str">
        <f>IF('NEW ACCOUNT'!A179="","",'NEW ACCOUNT'!G179)</f>
        <v/>
      </c>
      <c r="H178" s="35" t="str">
        <f>IF('NEW ACCOUNT'!A179="","",'NEW ACCOUNT'!H179)</f>
        <v/>
      </c>
      <c r="I178" s="35" t="str">
        <f>IF('NEW ACCOUNT'!A179="","",'NEW ACCOUNT'!I179)</f>
        <v/>
      </c>
      <c r="J178" s="35" t="str">
        <f>IF('NEW ACCOUNT'!A179="","",'NEW ACCOUNT'!J179)</f>
        <v/>
      </c>
      <c r="K178" s="36" t="str">
        <f>IFERROR(IF(A178="","",SUMIF(DB_Savings!$A:$A,A178,DB_Savings!$F:$F)),"")</f>
        <v/>
      </c>
      <c r="L178" s="36" t="str">
        <f>IFERROR(IF(A178="","",SUMIF(DB_Withdrawals!$A:$A,A178,DB_Withdrawals!$G:$G)),"")</f>
        <v/>
      </c>
      <c r="M178" s="36" t="str">
        <f>IFERROR(IF(A178="","",IFERROR(VALUE(H178),0)+IFERROR(SUMIF(DB_Savings!$A:$A,A178,DB_Savings!$F:$F),0)-IFERROR(SUMIF(DB_Withdrawals!$A:$A,A178,DB_Withdrawals!$G:$G),0)),"")</f>
        <v/>
      </c>
      <c r="N178" s="36" t="str">
        <f>IFERROR(IF(A178="","",MAX(0,M178-System_Config!$B$9)),"")</f>
        <v/>
      </c>
    </row>
    <row r="179" spans="1:14" ht="20.100000000000001" customHeight="1" x14ac:dyDescent="0.25">
      <c r="A179" s="34" t="str">
        <f>'NEW ACCOUNT'!A180</f>
        <v/>
      </c>
      <c r="B179" s="35" t="str">
        <f>IF('NEW ACCOUNT'!A180="","",'NEW ACCOUNT'!B180)</f>
        <v/>
      </c>
      <c r="C179" s="35" t="str">
        <f>IF('NEW ACCOUNT'!A180="","",'NEW ACCOUNT'!C180)</f>
        <v/>
      </c>
      <c r="D179" s="35" t="str">
        <f>IF('NEW ACCOUNT'!A180="","",'NEW ACCOUNT'!D180)</f>
        <v/>
      </c>
      <c r="E179" s="35" t="str">
        <f>IF('NEW ACCOUNT'!A180="","",'NEW ACCOUNT'!E180)</f>
        <v/>
      </c>
      <c r="F179" s="35" t="str">
        <f>IF('NEW ACCOUNT'!A180="","",'NEW ACCOUNT'!F180)</f>
        <v/>
      </c>
      <c r="G179" s="35" t="str">
        <f>IF('NEW ACCOUNT'!A180="","",'NEW ACCOUNT'!G180)</f>
        <v/>
      </c>
      <c r="H179" s="35" t="str">
        <f>IF('NEW ACCOUNT'!A180="","",'NEW ACCOUNT'!H180)</f>
        <v/>
      </c>
      <c r="I179" s="35" t="str">
        <f>IF('NEW ACCOUNT'!A180="","",'NEW ACCOUNT'!I180)</f>
        <v/>
      </c>
      <c r="J179" s="35" t="str">
        <f>IF('NEW ACCOUNT'!A180="","",'NEW ACCOUNT'!J180)</f>
        <v/>
      </c>
      <c r="K179" s="36" t="str">
        <f>IFERROR(IF(A179="","",SUMIF(DB_Savings!$A:$A,A179,DB_Savings!$F:$F)),"")</f>
        <v/>
      </c>
      <c r="L179" s="36" t="str">
        <f>IFERROR(IF(A179="","",SUMIF(DB_Withdrawals!$A:$A,A179,DB_Withdrawals!$G:$G)),"")</f>
        <v/>
      </c>
      <c r="M179" s="36" t="str">
        <f>IFERROR(IF(A179="","",IFERROR(VALUE(H179),0)+IFERROR(SUMIF(DB_Savings!$A:$A,A179,DB_Savings!$F:$F),0)-IFERROR(SUMIF(DB_Withdrawals!$A:$A,A179,DB_Withdrawals!$G:$G),0)),"")</f>
        <v/>
      </c>
      <c r="N179" s="36" t="str">
        <f>IFERROR(IF(A179="","",MAX(0,M179-System_Config!$B$9)),"")</f>
        <v/>
      </c>
    </row>
    <row r="180" spans="1:14" ht="20.100000000000001" customHeight="1" x14ac:dyDescent="0.25">
      <c r="A180" s="34" t="str">
        <f>'NEW ACCOUNT'!A181</f>
        <v/>
      </c>
      <c r="B180" s="35" t="str">
        <f>IF('NEW ACCOUNT'!A181="","",'NEW ACCOUNT'!B181)</f>
        <v/>
      </c>
      <c r="C180" s="35" t="str">
        <f>IF('NEW ACCOUNT'!A181="","",'NEW ACCOUNT'!C181)</f>
        <v/>
      </c>
      <c r="D180" s="35" t="str">
        <f>IF('NEW ACCOUNT'!A181="","",'NEW ACCOUNT'!D181)</f>
        <v/>
      </c>
      <c r="E180" s="35" t="str">
        <f>IF('NEW ACCOUNT'!A181="","",'NEW ACCOUNT'!E181)</f>
        <v/>
      </c>
      <c r="F180" s="35" t="str">
        <f>IF('NEW ACCOUNT'!A181="","",'NEW ACCOUNT'!F181)</f>
        <v/>
      </c>
      <c r="G180" s="35" t="str">
        <f>IF('NEW ACCOUNT'!A181="","",'NEW ACCOUNT'!G181)</f>
        <v/>
      </c>
      <c r="H180" s="35" t="str">
        <f>IF('NEW ACCOUNT'!A181="","",'NEW ACCOUNT'!H181)</f>
        <v/>
      </c>
      <c r="I180" s="35" t="str">
        <f>IF('NEW ACCOUNT'!A181="","",'NEW ACCOUNT'!I181)</f>
        <v/>
      </c>
      <c r="J180" s="35" t="str">
        <f>IF('NEW ACCOUNT'!A181="","",'NEW ACCOUNT'!J181)</f>
        <v/>
      </c>
      <c r="K180" s="36" t="str">
        <f>IFERROR(IF(A180="","",SUMIF(DB_Savings!$A:$A,A180,DB_Savings!$F:$F)),"")</f>
        <v/>
      </c>
      <c r="L180" s="36" t="str">
        <f>IFERROR(IF(A180="","",SUMIF(DB_Withdrawals!$A:$A,A180,DB_Withdrawals!$G:$G)),"")</f>
        <v/>
      </c>
      <c r="M180" s="36" t="str">
        <f>IFERROR(IF(A180="","",IFERROR(VALUE(H180),0)+IFERROR(SUMIF(DB_Savings!$A:$A,A180,DB_Savings!$F:$F),0)-IFERROR(SUMIF(DB_Withdrawals!$A:$A,A180,DB_Withdrawals!$G:$G),0)),"")</f>
        <v/>
      </c>
      <c r="N180" s="36" t="str">
        <f>IFERROR(IF(A180="","",MAX(0,M180-System_Config!$B$9)),"")</f>
        <v/>
      </c>
    </row>
    <row r="181" spans="1:14" ht="20.100000000000001" customHeight="1" x14ac:dyDescent="0.25">
      <c r="A181" s="34" t="str">
        <f>'NEW ACCOUNT'!A182</f>
        <v/>
      </c>
      <c r="B181" s="35" t="str">
        <f>IF('NEW ACCOUNT'!A182="","",'NEW ACCOUNT'!B182)</f>
        <v/>
      </c>
      <c r="C181" s="35" t="str">
        <f>IF('NEW ACCOUNT'!A182="","",'NEW ACCOUNT'!C182)</f>
        <v/>
      </c>
      <c r="D181" s="35" t="str">
        <f>IF('NEW ACCOUNT'!A182="","",'NEW ACCOUNT'!D182)</f>
        <v/>
      </c>
      <c r="E181" s="35" t="str">
        <f>IF('NEW ACCOUNT'!A182="","",'NEW ACCOUNT'!E182)</f>
        <v/>
      </c>
      <c r="F181" s="35" t="str">
        <f>IF('NEW ACCOUNT'!A182="","",'NEW ACCOUNT'!F182)</f>
        <v/>
      </c>
      <c r="G181" s="35" t="str">
        <f>IF('NEW ACCOUNT'!A182="","",'NEW ACCOUNT'!G182)</f>
        <v/>
      </c>
      <c r="H181" s="35" t="str">
        <f>IF('NEW ACCOUNT'!A182="","",'NEW ACCOUNT'!H182)</f>
        <v/>
      </c>
      <c r="I181" s="35" t="str">
        <f>IF('NEW ACCOUNT'!A182="","",'NEW ACCOUNT'!I182)</f>
        <v/>
      </c>
      <c r="J181" s="35" t="str">
        <f>IF('NEW ACCOUNT'!A182="","",'NEW ACCOUNT'!J182)</f>
        <v/>
      </c>
      <c r="K181" s="36" t="str">
        <f>IFERROR(IF(A181="","",SUMIF(DB_Savings!$A:$A,A181,DB_Savings!$F:$F)),"")</f>
        <v/>
      </c>
      <c r="L181" s="36" t="str">
        <f>IFERROR(IF(A181="","",SUMIF(DB_Withdrawals!$A:$A,A181,DB_Withdrawals!$G:$G)),"")</f>
        <v/>
      </c>
      <c r="M181" s="36" t="str">
        <f>IFERROR(IF(A181="","",IFERROR(VALUE(H181),0)+IFERROR(SUMIF(DB_Savings!$A:$A,A181,DB_Savings!$F:$F),0)-IFERROR(SUMIF(DB_Withdrawals!$A:$A,A181,DB_Withdrawals!$G:$G),0)),"")</f>
        <v/>
      </c>
      <c r="N181" s="36" t="str">
        <f>IFERROR(IF(A181="","",MAX(0,M181-System_Config!$B$9)),"")</f>
        <v/>
      </c>
    </row>
    <row r="182" spans="1:14" ht="20.100000000000001" customHeight="1" x14ac:dyDescent="0.25">
      <c r="A182" s="34" t="str">
        <f>'NEW ACCOUNT'!A183</f>
        <v/>
      </c>
      <c r="B182" s="35" t="str">
        <f>IF('NEW ACCOUNT'!A183="","",'NEW ACCOUNT'!B183)</f>
        <v/>
      </c>
      <c r="C182" s="35" t="str">
        <f>IF('NEW ACCOUNT'!A183="","",'NEW ACCOUNT'!C183)</f>
        <v/>
      </c>
      <c r="D182" s="35" t="str">
        <f>IF('NEW ACCOUNT'!A183="","",'NEW ACCOUNT'!D183)</f>
        <v/>
      </c>
      <c r="E182" s="35" t="str">
        <f>IF('NEW ACCOUNT'!A183="","",'NEW ACCOUNT'!E183)</f>
        <v/>
      </c>
      <c r="F182" s="35" t="str">
        <f>IF('NEW ACCOUNT'!A183="","",'NEW ACCOUNT'!F183)</f>
        <v/>
      </c>
      <c r="G182" s="35" t="str">
        <f>IF('NEW ACCOUNT'!A183="","",'NEW ACCOUNT'!G183)</f>
        <v/>
      </c>
      <c r="H182" s="35" t="str">
        <f>IF('NEW ACCOUNT'!A183="","",'NEW ACCOUNT'!H183)</f>
        <v/>
      </c>
      <c r="I182" s="35" t="str">
        <f>IF('NEW ACCOUNT'!A183="","",'NEW ACCOUNT'!I183)</f>
        <v/>
      </c>
      <c r="J182" s="35" t="str">
        <f>IF('NEW ACCOUNT'!A183="","",'NEW ACCOUNT'!J183)</f>
        <v/>
      </c>
      <c r="K182" s="36" t="str">
        <f>IFERROR(IF(A182="","",SUMIF(DB_Savings!$A:$A,A182,DB_Savings!$F:$F)),"")</f>
        <v/>
      </c>
      <c r="L182" s="36" t="str">
        <f>IFERROR(IF(A182="","",SUMIF(DB_Withdrawals!$A:$A,A182,DB_Withdrawals!$G:$G)),"")</f>
        <v/>
      </c>
      <c r="M182" s="36" t="str">
        <f>IFERROR(IF(A182="","",IFERROR(VALUE(H182),0)+IFERROR(SUMIF(DB_Savings!$A:$A,A182,DB_Savings!$F:$F),0)-IFERROR(SUMIF(DB_Withdrawals!$A:$A,A182,DB_Withdrawals!$G:$G),0)),"")</f>
        <v/>
      </c>
      <c r="N182" s="36" t="str">
        <f>IFERROR(IF(A182="","",MAX(0,M182-System_Config!$B$9)),"")</f>
        <v/>
      </c>
    </row>
    <row r="183" spans="1:14" ht="20.100000000000001" customHeight="1" x14ac:dyDescent="0.25">
      <c r="A183" s="34" t="str">
        <f>'NEW ACCOUNT'!A184</f>
        <v/>
      </c>
      <c r="B183" s="35" t="str">
        <f>IF('NEW ACCOUNT'!A184="","",'NEW ACCOUNT'!B184)</f>
        <v/>
      </c>
      <c r="C183" s="35" t="str">
        <f>IF('NEW ACCOUNT'!A184="","",'NEW ACCOUNT'!C184)</f>
        <v/>
      </c>
      <c r="D183" s="35" t="str">
        <f>IF('NEW ACCOUNT'!A184="","",'NEW ACCOUNT'!D184)</f>
        <v/>
      </c>
      <c r="E183" s="35" t="str">
        <f>IF('NEW ACCOUNT'!A184="","",'NEW ACCOUNT'!E184)</f>
        <v/>
      </c>
      <c r="F183" s="35" t="str">
        <f>IF('NEW ACCOUNT'!A184="","",'NEW ACCOUNT'!F184)</f>
        <v/>
      </c>
      <c r="G183" s="35" t="str">
        <f>IF('NEW ACCOUNT'!A184="","",'NEW ACCOUNT'!G184)</f>
        <v/>
      </c>
      <c r="H183" s="35" t="str">
        <f>IF('NEW ACCOUNT'!A184="","",'NEW ACCOUNT'!H184)</f>
        <v/>
      </c>
      <c r="I183" s="35" t="str">
        <f>IF('NEW ACCOUNT'!A184="","",'NEW ACCOUNT'!I184)</f>
        <v/>
      </c>
      <c r="J183" s="35" t="str">
        <f>IF('NEW ACCOUNT'!A184="","",'NEW ACCOUNT'!J184)</f>
        <v/>
      </c>
      <c r="K183" s="36" t="str">
        <f>IFERROR(IF(A183="","",SUMIF(DB_Savings!$A:$A,A183,DB_Savings!$F:$F)),"")</f>
        <v/>
      </c>
      <c r="L183" s="36" t="str">
        <f>IFERROR(IF(A183="","",SUMIF(DB_Withdrawals!$A:$A,A183,DB_Withdrawals!$G:$G)),"")</f>
        <v/>
      </c>
      <c r="M183" s="36" t="str">
        <f>IFERROR(IF(A183="","",IFERROR(VALUE(H183),0)+IFERROR(SUMIF(DB_Savings!$A:$A,A183,DB_Savings!$F:$F),0)-IFERROR(SUMIF(DB_Withdrawals!$A:$A,A183,DB_Withdrawals!$G:$G),0)),"")</f>
        <v/>
      </c>
      <c r="N183" s="36" t="str">
        <f>IFERROR(IF(A183="","",MAX(0,M183-System_Config!$B$9)),"")</f>
        <v/>
      </c>
    </row>
    <row r="184" spans="1:14" ht="20.100000000000001" customHeight="1" x14ac:dyDescent="0.25">
      <c r="A184" s="34" t="str">
        <f>'NEW ACCOUNT'!A185</f>
        <v/>
      </c>
      <c r="B184" s="35" t="str">
        <f>IF('NEW ACCOUNT'!A185="","",'NEW ACCOUNT'!B185)</f>
        <v/>
      </c>
      <c r="C184" s="35" t="str">
        <f>IF('NEW ACCOUNT'!A185="","",'NEW ACCOUNT'!C185)</f>
        <v/>
      </c>
      <c r="D184" s="35" t="str">
        <f>IF('NEW ACCOUNT'!A185="","",'NEW ACCOUNT'!D185)</f>
        <v/>
      </c>
      <c r="E184" s="35" t="str">
        <f>IF('NEW ACCOUNT'!A185="","",'NEW ACCOUNT'!E185)</f>
        <v/>
      </c>
      <c r="F184" s="35" t="str">
        <f>IF('NEW ACCOUNT'!A185="","",'NEW ACCOUNT'!F185)</f>
        <v/>
      </c>
      <c r="G184" s="35" t="str">
        <f>IF('NEW ACCOUNT'!A185="","",'NEW ACCOUNT'!G185)</f>
        <v/>
      </c>
      <c r="H184" s="35" t="str">
        <f>IF('NEW ACCOUNT'!A185="","",'NEW ACCOUNT'!H185)</f>
        <v/>
      </c>
      <c r="I184" s="35" t="str">
        <f>IF('NEW ACCOUNT'!A185="","",'NEW ACCOUNT'!I185)</f>
        <v/>
      </c>
      <c r="J184" s="35" t="str">
        <f>IF('NEW ACCOUNT'!A185="","",'NEW ACCOUNT'!J185)</f>
        <v/>
      </c>
      <c r="K184" s="36" t="str">
        <f>IFERROR(IF(A184="","",SUMIF(DB_Savings!$A:$A,A184,DB_Savings!$F:$F)),"")</f>
        <v/>
      </c>
      <c r="L184" s="36" t="str">
        <f>IFERROR(IF(A184="","",SUMIF(DB_Withdrawals!$A:$A,A184,DB_Withdrawals!$G:$G)),"")</f>
        <v/>
      </c>
      <c r="M184" s="36" t="str">
        <f>IFERROR(IF(A184="","",IFERROR(VALUE(H184),0)+IFERROR(SUMIF(DB_Savings!$A:$A,A184,DB_Savings!$F:$F),0)-IFERROR(SUMIF(DB_Withdrawals!$A:$A,A184,DB_Withdrawals!$G:$G),0)),"")</f>
        <v/>
      </c>
      <c r="N184" s="36" t="str">
        <f>IFERROR(IF(A184="","",MAX(0,M184-System_Config!$B$9)),"")</f>
        <v/>
      </c>
    </row>
    <row r="185" spans="1:14" ht="20.100000000000001" customHeight="1" x14ac:dyDescent="0.25">
      <c r="A185" s="34" t="str">
        <f>'NEW ACCOUNT'!A186</f>
        <v/>
      </c>
      <c r="B185" s="35" t="str">
        <f>IF('NEW ACCOUNT'!A186="","",'NEW ACCOUNT'!B186)</f>
        <v/>
      </c>
      <c r="C185" s="35" t="str">
        <f>IF('NEW ACCOUNT'!A186="","",'NEW ACCOUNT'!C186)</f>
        <v/>
      </c>
      <c r="D185" s="35" t="str">
        <f>IF('NEW ACCOUNT'!A186="","",'NEW ACCOUNT'!D186)</f>
        <v/>
      </c>
      <c r="E185" s="35" t="str">
        <f>IF('NEW ACCOUNT'!A186="","",'NEW ACCOUNT'!E186)</f>
        <v/>
      </c>
      <c r="F185" s="35" t="str">
        <f>IF('NEW ACCOUNT'!A186="","",'NEW ACCOUNT'!F186)</f>
        <v/>
      </c>
      <c r="G185" s="35" t="str">
        <f>IF('NEW ACCOUNT'!A186="","",'NEW ACCOUNT'!G186)</f>
        <v/>
      </c>
      <c r="H185" s="35" t="str">
        <f>IF('NEW ACCOUNT'!A186="","",'NEW ACCOUNT'!H186)</f>
        <v/>
      </c>
      <c r="I185" s="35" t="str">
        <f>IF('NEW ACCOUNT'!A186="","",'NEW ACCOUNT'!I186)</f>
        <v/>
      </c>
      <c r="J185" s="35" t="str">
        <f>IF('NEW ACCOUNT'!A186="","",'NEW ACCOUNT'!J186)</f>
        <v/>
      </c>
      <c r="K185" s="36" t="str">
        <f>IFERROR(IF(A185="","",SUMIF(DB_Savings!$A:$A,A185,DB_Savings!$F:$F)),"")</f>
        <v/>
      </c>
      <c r="L185" s="36" t="str">
        <f>IFERROR(IF(A185="","",SUMIF(DB_Withdrawals!$A:$A,A185,DB_Withdrawals!$G:$G)),"")</f>
        <v/>
      </c>
      <c r="M185" s="36" t="str">
        <f>IFERROR(IF(A185="","",IFERROR(VALUE(H185),0)+IFERROR(SUMIF(DB_Savings!$A:$A,A185,DB_Savings!$F:$F),0)-IFERROR(SUMIF(DB_Withdrawals!$A:$A,A185,DB_Withdrawals!$G:$G),0)),"")</f>
        <v/>
      </c>
      <c r="N185" s="36" t="str">
        <f>IFERROR(IF(A185="","",MAX(0,M185-System_Config!$B$9)),"")</f>
        <v/>
      </c>
    </row>
    <row r="186" spans="1:14" ht="20.100000000000001" customHeight="1" x14ac:dyDescent="0.25">
      <c r="A186" s="34" t="str">
        <f>'NEW ACCOUNT'!A187</f>
        <v/>
      </c>
      <c r="B186" s="35" t="str">
        <f>IF('NEW ACCOUNT'!A187="","",'NEW ACCOUNT'!B187)</f>
        <v/>
      </c>
      <c r="C186" s="35" t="str">
        <f>IF('NEW ACCOUNT'!A187="","",'NEW ACCOUNT'!C187)</f>
        <v/>
      </c>
      <c r="D186" s="35" t="str">
        <f>IF('NEW ACCOUNT'!A187="","",'NEW ACCOUNT'!D187)</f>
        <v/>
      </c>
      <c r="E186" s="35" t="str">
        <f>IF('NEW ACCOUNT'!A187="","",'NEW ACCOUNT'!E187)</f>
        <v/>
      </c>
      <c r="F186" s="35" t="str">
        <f>IF('NEW ACCOUNT'!A187="","",'NEW ACCOUNT'!F187)</f>
        <v/>
      </c>
      <c r="G186" s="35" t="str">
        <f>IF('NEW ACCOUNT'!A187="","",'NEW ACCOUNT'!G187)</f>
        <v/>
      </c>
      <c r="H186" s="35" t="str">
        <f>IF('NEW ACCOUNT'!A187="","",'NEW ACCOUNT'!H187)</f>
        <v/>
      </c>
      <c r="I186" s="35" t="str">
        <f>IF('NEW ACCOUNT'!A187="","",'NEW ACCOUNT'!I187)</f>
        <v/>
      </c>
      <c r="J186" s="35" t="str">
        <f>IF('NEW ACCOUNT'!A187="","",'NEW ACCOUNT'!J187)</f>
        <v/>
      </c>
      <c r="K186" s="36" t="str">
        <f>IFERROR(IF(A186="","",SUMIF(DB_Savings!$A:$A,A186,DB_Savings!$F:$F)),"")</f>
        <v/>
      </c>
      <c r="L186" s="36" t="str">
        <f>IFERROR(IF(A186="","",SUMIF(DB_Withdrawals!$A:$A,A186,DB_Withdrawals!$G:$G)),"")</f>
        <v/>
      </c>
      <c r="M186" s="36" t="str">
        <f>IFERROR(IF(A186="","",IFERROR(VALUE(H186),0)+IFERROR(SUMIF(DB_Savings!$A:$A,A186,DB_Savings!$F:$F),0)-IFERROR(SUMIF(DB_Withdrawals!$A:$A,A186,DB_Withdrawals!$G:$G),0)),"")</f>
        <v/>
      </c>
      <c r="N186" s="36" t="str">
        <f>IFERROR(IF(A186="","",MAX(0,M186-System_Config!$B$9)),"")</f>
        <v/>
      </c>
    </row>
    <row r="187" spans="1:14" ht="20.100000000000001" customHeight="1" x14ac:dyDescent="0.25">
      <c r="A187" s="34" t="str">
        <f>'NEW ACCOUNT'!A188</f>
        <v/>
      </c>
      <c r="B187" s="35" t="str">
        <f>IF('NEW ACCOUNT'!A188="","",'NEW ACCOUNT'!B188)</f>
        <v/>
      </c>
      <c r="C187" s="35" t="str">
        <f>IF('NEW ACCOUNT'!A188="","",'NEW ACCOUNT'!C188)</f>
        <v/>
      </c>
      <c r="D187" s="35" t="str">
        <f>IF('NEW ACCOUNT'!A188="","",'NEW ACCOUNT'!D188)</f>
        <v/>
      </c>
      <c r="E187" s="35" t="str">
        <f>IF('NEW ACCOUNT'!A188="","",'NEW ACCOUNT'!E188)</f>
        <v/>
      </c>
      <c r="F187" s="35" t="str">
        <f>IF('NEW ACCOUNT'!A188="","",'NEW ACCOUNT'!F188)</f>
        <v/>
      </c>
      <c r="G187" s="35" t="str">
        <f>IF('NEW ACCOUNT'!A188="","",'NEW ACCOUNT'!G188)</f>
        <v/>
      </c>
      <c r="H187" s="35" t="str">
        <f>IF('NEW ACCOUNT'!A188="","",'NEW ACCOUNT'!H188)</f>
        <v/>
      </c>
      <c r="I187" s="35" t="str">
        <f>IF('NEW ACCOUNT'!A188="","",'NEW ACCOUNT'!I188)</f>
        <v/>
      </c>
      <c r="J187" s="35" t="str">
        <f>IF('NEW ACCOUNT'!A188="","",'NEW ACCOUNT'!J188)</f>
        <v/>
      </c>
      <c r="K187" s="36" t="str">
        <f>IFERROR(IF(A187="","",SUMIF(DB_Savings!$A:$A,A187,DB_Savings!$F:$F)),"")</f>
        <v/>
      </c>
      <c r="L187" s="36" t="str">
        <f>IFERROR(IF(A187="","",SUMIF(DB_Withdrawals!$A:$A,A187,DB_Withdrawals!$G:$G)),"")</f>
        <v/>
      </c>
      <c r="M187" s="36" t="str">
        <f>IFERROR(IF(A187="","",IFERROR(VALUE(H187),0)+IFERROR(SUMIF(DB_Savings!$A:$A,A187,DB_Savings!$F:$F),0)-IFERROR(SUMIF(DB_Withdrawals!$A:$A,A187,DB_Withdrawals!$G:$G),0)),"")</f>
        <v/>
      </c>
      <c r="N187" s="36" t="str">
        <f>IFERROR(IF(A187="","",MAX(0,M187-System_Config!$B$9)),"")</f>
        <v/>
      </c>
    </row>
    <row r="188" spans="1:14" ht="20.100000000000001" customHeight="1" x14ac:dyDescent="0.25">
      <c r="A188" s="34" t="str">
        <f>'NEW ACCOUNT'!A189</f>
        <v/>
      </c>
      <c r="B188" s="35" t="str">
        <f>IF('NEW ACCOUNT'!A189="","",'NEW ACCOUNT'!B189)</f>
        <v/>
      </c>
      <c r="C188" s="35" t="str">
        <f>IF('NEW ACCOUNT'!A189="","",'NEW ACCOUNT'!C189)</f>
        <v/>
      </c>
      <c r="D188" s="35" t="str">
        <f>IF('NEW ACCOUNT'!A189="","",'NEW ACCOUNT'!D189)</f>
        <v/>
      </c>
      <c r="E188" s="35" t="str">
        <f>IF('NEW ACCOUNT'!A189="","",'NEW ACCOUNT'!E189)</f>
        <v/>
      </c>
      <c r="F188" s="35" t="str">
        <f>IF('NEW ACCOUNT'!A189="","",'NEW ACCOUNT'!F189)</f>
        <v/>
      </c>
      <c r="G188" s="35" t="str">
        <f>IF('NEW ACCOUNT'!A189="","",'NEW ACCOUNT'!G189)</f>
        <v/>
      </c>
      <c r="H188" s="35" t="str">
        <f>IF('NEW ACCOUNT'!A189="","",'NEW ACCOUNT'!H189)</f>
        <v/>
      </c>
      <c r="I188" s="35" t="str">
        <f>IF('NEW ACCOUNT'!A189="","",'NEW ACCOUNT'!I189)</f>
        <v/>
      </c>
      <c r="J188" s="35" t="str">
        <f>IF('NEW ACCOUNT'!A189="","",'NEW ACCOUNT'!J189)</f>
        <v/>
      </c>
      <c r="K188" s="36" t="str">
        <f>IFERROR(IF(A188="","",SUMIF(DB_Savings!$A:$A,A188,DB_Savings!$F:$F)),"")</f>
        <v/>
      </c>
      <c r="L188" s="36" t="str">
        <f>IFERROR(IF(A188="","",SUMIF(DB_Withdrawals!$A:$A,A188,DB_Withdrawals!$G:$G)),"")</f>
        <v/>
      </c>
      <c r="M188" s="36" t="str">
        <f>IFERROR(IF(A188="","",IFERROR(VALUE(H188),0)+IFERROR(SUMIF(DB_Savings!$A:$A,A188,DB_Savings!$F:$F),0)-IFERROR(SUMIF(DB_Withdrawals!$A:$A,A188,DB_Withdrawals!$G:$G),0)),"")</f>
        <v/>
      </c>
      <c r="N188" s="36" t="str">
        <f>IFERROR(IF(A188="","",MAX(0,M188-System_Config!$B$9)),"")</f>
        <v/>
      </c>
    </row>
    <row r="189" spans="1:14" ht="20.100000000000001" customHeight="1" x14ac:dyDescent="0.25">
      <c r="A189" s="34" t="str">
        <f>'NEW ACCOUNT'!A190</f>
        <v/>
      </c>
      <c r="B189" s="35" t="str">
        <f>IF('NEW ACCOUNT'!A190="","",'NEW ACCOUNT'!B190)</f>
        <v/>
      </c>
      <c r="C189" s="35" t="str">
        <f>IF('NEW ACCOUNT'!A190="","",'NEW ACCOUNT'!C190)</f>
        <v/>
      </c>
      <c r="D189" s="35" t="str">
        <f>IF('NEW ACCOUNT'!A190="","",'NEW ACCOUNT'!D190)</f>
        <v/>
      </c>
      <c r="E189" s="35" t="str">
        <f>IF('NEW ACCOUNT'!A190="","",'NEW ACCOUNT'!E190)</f>
        <v/>
      </c>
      <c r="F189" s="35" t="str">
        <f>IF('NEW ACCOUNT'!A190="","",'NEW ACCOUNT'!F190)</f>
        <v/>
      </c>
      <c r="G189" s="35" t="str">
        <f>IF('NEW ACCOUNT'!A190="","",'NEW ACCOUNT'!G190)</f>
        <v/>
      </c>
      <c r="H189" s="35" t="str">
        <f>IF('NEW ACCOUNT'!A190="","",'NEW ACCOUNT'!H190)</f>
        <v/>
      </c>
      <c r="I189" s="35" t="str">
        <f>IF('NEW ACCOUNT'!A190="","",'NEW ACCOUNT'!I190)</f>
        <v/>
      </c>
      <c r="J189" s="35" t="str">
        <f>IF('NEW ACCOUNT'!A190="","",'NEW ACCOUNT'!J190)</f>
        <v/>
      </c>
      <c r="K189" s="36" t="str">
        <f>IFERROR(IF(A189="","",SUMIF(DB_Savings!$A:$A,A189,DB_Savings!$F:$F)),"")</f>
        <v/>
      </c>
      <c r="L189" s="36" t="str">
        <f>IFERROR(IF(A189="","",SUMIF(DB_Withdrawals!$A:$A,A189,DB_Withdrawals!$G:$G)),"")</f>
        <v/>
      </c>
      <c r="M189" s="36" t="str">
        <f>IFERROR(IF(A189="","",IFERROR(VALUE(H189),0)+IFERROR(SUMIF(DB_Savings!$A:$A,A189,DB_Savings!$F:$F),0)-IFERROR(SUMIF(DB_Withdrawals!$A:$A,A189,DB_Withdrawals!$G:$G),0)),"")</f>
        <v/>
      </c>
      <c r="N189" s="36" t="str">
        <f>IFERROR(IF(A189="","",MAX(0,M189-System_Config!$B$9)),"")</f>
        <v/>
      </c>
    </row>
    <row r="190" spans="1:14" ht="20.100000000000001" customHeight="1" x14ac:dyDescent="0.25">
      <c r="A190" s="34" t="str">
        <f>'NEW ACCOUNT'!A191</f>
        <v/>
      </c>
      <c r="B190" s="35" t="str">
        <f>IF('NEW ACCOUNT'!A191="","",'NEW ACCOUNT'!B191)</f>
        <v/>
      </c>
      <c r="C190" s="35" t="str">
        <f>IF('NEW ACCOUNT'!A191="","",'NEW ACCOUNT'!C191)</f>
        <v/>
      </c>
      <c r="D190" s="35" t="str">
        <f>IF('NEW ACCOUNT'!A191="","",'NEW ACCOUNT'!D191)</f>
        <v/>
      </c>
      <c r="E190" s="35" t="str">
        <f>IF('NEW ACCOUNT'!A191="","",'NEW ACCOUNT'!E191)</f>
        <v/>
      </c>
      <c r="F190" s="35" t="str">
        <f>IF('NEW ACCOUNT'!A191="","",'NEW ACCOUNT'!F191)</f>
        <v/>
      </c>
      <c r="G190" s="35" t="str">
        <f>IF('NEW ACCOUNT'!A191="","",'NEW ACCOUNT'!G191)</f>
        <v/>
      </c>
      <c r="H190" s="35" t="str">
        <f>IF('NEW ACCOUNT'!A191="","",'NEW ACCOUNT'!H191)</f>
        <v/>
      </c>
      <c r="I190" s="35" t="str">
        <f>IF('NEW ACCOUNT'!A191="","",'NEW ACCOUNT'!I191)</f>
        <v/>
      </c>
      <c r="J190" s="35" t="str">
        <f>IF('NEW ACCOUNT'!A191="","",'NEW ACCOUNT'!J191)</f>
        <v/>
      </c>
      <c r="K190" s="36" t="str">
        <f>IFERROR(IF(A190="","",SUMIF(DB_Savings!$A:$A,A190,DB_Savings!$F:$F)),"")</f>
        <v/>
      </c>
      <c r="L190" s="36" t="str">
        <f>IFERROR(IF(A190="","",SUMIF(DB_Withdrawals!$A:$A,A190,DB_Withdrawals!$G:$G)),"")</f>
        <v/>
      </c>
      <c r="M190" s="36" t="str">
        <f>IFERROR(IF(A190="","",IFERROR(VALUE(H190),0)+IFERROR(SUMIF(DB_Savings!$A:$A,A190,DB_Savings!$F:$F),0)-IFERROR(SUMIF(DB_Withdrawals!$A:$A,A190,DB_Withdrawals!$G:$G),0)),"")</f>
        <v/>
      </c>
      <c r="N190" s="36" t="str">
        <f>IFERROR(IF(A190="","",MAX(0,M190-System_Config!$B$9)),"")</f>
        <v/>
      </c>
    </row>
    <row r="191" spans="1:14" ht="20.100000000000001" customHeight="1" x14ac:dyDescent="0.25">
      <c r="A191" s="34" t="str">
        <f>'NEW ACCOUNT'!A192</f>
        <v/>
      </c>
      <c r="B191" s="35" t="str">
        <f>IF('NEW ACCOUNT'!A192="","",'NEW ACCOUNT'!B192)</f>
        <v/>
      </c>
      <c r="C191" s="35" t="str">
        <f>IF('NEW ACCOUNT'!A192="","",'NEW ACCOUNT'!C192)</f>
        <v/>
      </c>
      <c r="D191" s="35" t="str">
        <f>IF('NEW ACCOUNT'!A192="","",'NEW ACCOUNT'!D192)</f>
        <v/>
      </c>
      <c r="E191" s="35" t="str">
        <f>IF('NEW ACCOUNT'!A192="","",'NEW ACCOUNT'!E192)</f>
        <v/>
      </c>
      <c r="F191" s="35" t="str">
        <f>IF('NEW ACCOUNT'!A192="","",'NEW ACCOUNT'!F192)</f>
        <v/>
      </c>
      <c r="G191" s="35" t="str">
        <f>IF('NEW ACCOUNT'!A192="","",'NEW ACCOUNT'!G192)</f>
        <v/>
      </c>
      <c r="H191" s="35" t="str">
        <f>IF('NEW ACCOUNT'!A192="","",'NEW ACCOUNT'!H192)</f>
        <v/>
      </c>
      <c r="I191" s="35" t="str">
        <f>IF('NEW ACCOUNT'!A192="","",'NEW ACCOUNT'!I192)</f>
        <v/>
      </c>
      <c r="J191" s="35" t="str">
        <f>IF('NEW ACCOUNT'!A192="","",'NEW ACCOUNT'!J192)</f>
        <v/>
      </c>
      <c r="K191" s="36" t="str">
        <f>IFERROR(IF(A191="","",SUMIF(DB_Savings!$A:$A,A191,DB_Savings!$F:$F)),"")</f>
        <v/>
      </c>
      <c r="L191" s="36" t="str">
        <f>IFERROR(IF(A191="","",SUMIF(DB_Withdrawals!$A:$A,A191,DB_Withdrawals!$G:$G)),"")</f>
        <v/>
      </c>
      <c r="M191" s="36" t="str">
        <f>IFERROR(IF(A191="","",IFERROR(VALUE(H191),0)+IFERROR(SUMIF(DB_Savings!$A:$A,A191,DB_Savings!$F:$F),0)-IFERROR(SUMIF(DB_Withdrawals!$A:$A,A191,DB_Withdrawals!$G:$G),0)),"")</f>
        <v/>
      </c>
      <c r="N191" s="36" t="str">
        <f>IFERROR(IF(A191="","",MAX(0,M191-System_Config!$B$9)),"")</f>
        <v/>
      </c>
    </row>
    <row r="192" spans="1:14" ht="20.100000000000001" customHeight="1" x14ac:dyDescent="0.25">
      <c r="A192" s="34" t="str">
        <f>'NEW ACCOUNT'!A193</f>
        <v/>
      </c>
      <c r="B192" s="35" t="str">
        <f>IF('NEW ACCOUNT'!A193="","",'NEW ACCOUNT'!B193)</f>
        <v/>
      </c>
      <c r="C192" s="35" t="str">
        <f>IF('NEW ACCOUNT'!A193="","",'NEW ACCOUNT'!C193)</f>
        <v/>
      </c>
      <c r="D192" s="35" t="str">
        <f>IF('NEW ACCOUNT'!A193="","",'NEW ACCOUNT'!D193)</f>
        <v/>
      </c>
      <c r="E192" s="35" t="str">
        <f>IF('NEW ACCOUNT'!A193="","",'NEW ACCOUNT'!E193)</f>
        <v/>
      </c>
      <c r="F192" s="35" t="str">
        <f>IF('NEW ACCOUNT'!A193="","",'NEW ACCOUNT'!F193)</f>
        <v/>
      </c>
      <c r="G192" s="35" t="str">
        <f>IF('NEW ACCOUNT'!A193="","",'NEW ACCOUNT'!G193)</f>
        <v/>
      </c>
      <c r="H192" s="35" t="str">
        <f>IF('NEW ACCOUNT'!A193="","",'NEW ACCOUNT'!H193)</f>
        <v/>
      </c>
      <c r="I192" s="35" t="str">
        <f>IF('NEW ACCOUNT'!A193="","",'NEW ACCOUNT'!I193)</f>
        <v/>
      </c>
      <c r="J192" s="35" t="str">
        <f>IF('NEW ACCOUNT'!A193="","",'NEW ACCOUNT'!J193)</f>
        <v/>
      </c>
      <c r="K192" s="36" t="str">
        <f>IFERROR(IF(A192="","",SUMIF(DB_Savings!$A:$A,A192,DB_Savings!$F:$F)),"")</f>
        <v/>
      </c>
      <c r="L192" s="36" t="str">
        <f>IFERROR(IF(A192="","",SUMIF(DB_Withdrawals!$A:$A,A192,DB_Withdrawals!$G:$G)),"")</f>
        <v/>
      </c>
      <c r="M192" s="36" t="str">
        <f>IFERROR(IF(A192="","",IFERROR(VALUE(H192),0)+IFERROR(SUMIF(DB_Savings!$A:$A,A192,DB_Savings!$F:$F),0)-IFERROR(SUMIF(DB_Withdrawals!$A:$A,A192,DB_Withdrawals!$G:$G),0)),"")</f>
        <v/>
      </c>
      <c r="N192" s="36" t="str">
        <f>IFERROR(IF(A192="","",MAX(0,M192-System_Config!$B$9)),"")</f>
        <v/>
      </c>
    </row>
    <row r="193" spans="1:14" ht="20.100000000000001" customHeight="1" x14ac:dyDescent="0.25">
      <c r="A193" s="34" t="str">
        <f>'NEW ACCOUNT'!A194</f>
        <v/>
      </c>
      <c r="B193" s="35" t="str">
        <f>IF('NEW ACCOUNT'!A194="","",'NEW ACCOUNT'!B194)</f>
        <v/>
      </c>
      <c r="C193" s="35" t="str">
        <f>IF('NEW ACCOUNT'!A194="","",'NEW ACCOUNT'!C194)</f>
        <v/>
      </c>
      <c r="D193" s="35" t="str">
        <f>IF('NEW ACCOUNT'!A194="","",'NEW ACCOUNT'!D194)</f>
        <v/>
      </c>
      <c r="E193" s="35" t="str">
        <f>IF('NEW ACCOUNT'!A194="","",'NEW ACCOUNT'!E194)</f>
        <v/>
      </c>
      <c r="F193" s="35" t="str">
        <f>IF('NEW ACCOUNT'!A194="","",'NEW ACCOUNT'!F194)</f>
        <v/>
      </c>
      <c r="G193" s="35" t="str">
        <f>IF('NEW ACCOUNT'!A194="","",'NEW ACCOUNT'!G194)</f>
        <v/>
      </c>
      <c r="H193" s="35" t="str">
        <f>IF('NEW ACCOUNT'!A194="","",'NEW ACCOUNT'!H194)</f>
        <v/>
      </c>
      <c r="I193" s="35" t="str">
        <f>IF('NEW ACCOUNT'!A194="","",'NEW ACCOUNT'!I194)</f>
        <v/>
      </c>
      <c r="J193" s="35" t="str">
        <f>IF('NEW ACCOUNT'!A194="","",'NEW ACCOUNT'!J194)</f>
        <v/>
      </c>
      <c r="K193" s="36" t="str">
        <f>IFERROR(IF(A193="","",SUMIF(DB_Savings!$A:$A,A193,DB_Savings!$F:$F)),"")</f>
        <v/>
      </c>
      <c r="L193" s="36" t="str">
        <f>IFERROR(IF(A193="","",SUMIF(DB_Withdrawals!$A:$A,A193,DB_Withdrawals!$G:$G)),"")</f>
        <v/>
      </c>
      <c r="M193" s="36" t="str">
        <f>IFERROR(IF(A193="","",IFERROR(VALUE(H193),0)+IFERROR(SUMIF(DB_Savings!$A:$A,A193,DB_Savings!$F:$F),0)-IFERROR(SUMIF(DB_Withdrawals!$A:$A,A193,DB_Withdrawals!$G:$G),0)),"")</f>
        <v/>
      </c>
      <c r="N193" s="36" t="str">
        <f>IFERROR(IF(A193="","",MAX(0,M193-System_Config!$B$9)),"")</f>
        <v/>
      </c>
    </row>
    <row r="194" spans="1:14" ht="20.100000000000001" customHeight="1" x14ac:dyDescent="0.25">
      <c r="A194" s="34" t="str">
        <f>'NEW ACCOUNT'!A195</f>
        <v/>
      </c>
      <c r="B194" s="35" t="str">
        <f>IF('NEW ACCOUNT'!A195="","",'NEW ACCOUNT'!B195)</f>
        <v/>
      </c>
      <c r="C194" s="35" t="str">
        <f>IF('NEW ACCOUNT'!A195="","",'NEW ACCOUNT'!C195)</f>
        <v/>
      </c>
      <c r="D194" s="35" t="str">
        <f>IF('NEW ACCOUNT'!A195="","",'NEW ACCOUNT'!D195)</f>
        <v/>
      </c>
      <c r="E194" s="35" t="str">
        <f>IF('NEW ACCOUNT'!A195="","",'NEW ACCOUNT'!E195)</f>
        <v/>
      </c>
      <c r="F194" s="35" t="str">
        <f>IF('NEW ACCOUNT'!A195="","",'NEW ACCOUNT'!F195)</f>
        <v/>
      </c>
      <c r="G194" s="35" t="str">
        <f>IF('NEW ACCOUNT'!A195="","",'NEW ACCOUNT'!G195)</f>
        <v/>
      </c>
      <c r="H194" s="35" t="str">
        <f>IF('NEW ACCOUNT'!A195="","",'NEW ACCOUNT'!H195)</f>
        <v/>
      </c>
      <c r="I194" s="35" t="str">
        <f>IF('NEW ACCOUNT'!A195="","",'NEW ACCOUNT'!I195)</f>
        <v/>
      </c>
      <c r="J194" s="35" t="str">
        <f>IF('NEW ACCOUNT'!A195="","",'NEW ACCOUNT'!J195)</f>
        <v/>
      </c>
      <c r="K194" s="36" t="str">
        <f>IFERROR(IF(A194="","",SUMIF(DB_Savings!$A:$A,A194,DB_Savings!$F:$F)),"")</f>
        <v/>
      </c>
      <c r="L194" s="36" t="str">
        <f>IFERROR(IF(A194="","",SUMIF(DB_Withdrawals!$A:$A,A194,DB_Withdrawals!$G:$G)),"")</f>
        <v/>
      </c>
      <c r="M194" s="36" t="str">
        <f>IFERROR(IF(A194="","",IFERROR(VALUE(H194),0)+IFERROR(SUMIF(DB_Savings!$A:$A,A194,DB_Savings!$F:$F),0)-IFERROR(SUMIF(DB_Withdrawals!$A:$A,A194,DB_Withdrawals!$G:$G),0)),"")</f>
        <v/>
      </c>
      <c r="N194" s="36" t="str">
        <f>IFERROR(IF(A194="","",MAX(0,M194-System_Config!$B$9)),"")</f>
        <v/>
      </c>
    </row>
    <row r="195" spans="1:14" ht="20.100000000000001" customHeight="1" x14ac:dyDescent="0.25">
      <c r="A195" s="34" t="str">
        <f>'NEW ACCOUNT'!A196</f>
        <v/>
      </c>
      <c r="B195" s="35" t="str">
        <f>IF('NEW ACCOUNT'!A196="","",'NEW ACCOUNT'!B196)</f>
        <v/>
      </c>
      <c r="C195" s="35" t="str">
        <f>IF('NEW ACCOUNT'!A196="","",'NEW ACCOUNT'!C196)</f>
        <v/>
      </c>
      <c r="D195" s="35" t="str">
        <f>IF('NEW ACCOUNT'!A196="","",'NEW ACCOUNT'!D196)</f>
        <v/>
      </c>
      <c r="E195" s="35" t="str">
        <f>IF('NEW ACCOUNT'!A196="","",'NEW ACCOUNT'!E196)</f>
        <v/>
      </c>
      <c r="F195" s="35" t="str">
        <f>IF('NEW ACCOUNT'!A196="","",'NEW ACCOUNT'!F196)</f>
        <v/>
      </c>
      <c r="G195" s="35" t="str">
        <f>IF('NEW ACCOUNT'!A196="","",'NEW ACCOUNT'!G196)</f>
        <v/>
      </c>
      <c r="H195" s="35" t="str">
        <f>IF('NEW ACCOUNT'!A196="","",'NEW ACCOUNT'!H196)</f>
        <v/>
      </c>
      <c r="I195" s="35" t="str">
        <f>IF('NEW ACCOUNT'!A196="","",'NEW ACCOUNT'!I196)</f>
        <v/>
      </c>
      <c r="J195" s="35" t="str">
        <f>IF('NEW ACCOUNT'!A196="","",'NEW ACCOUNT'!J196)</f>
        <v/>
      </c>
      <c r="K195" s="36" t="str">
        <f>IFERROR(IF(A195="","",SUMIF(DB_Savings!$A:$A,A195,DB_Savings!$F:$F)),"")</f>
        <v/>
      </c>
      <c r="L195" s="36" t="str">
        <f>IFERROR(IF(A195="","",SUMIF(DB_Withdrawals!$A:$A,A195,DB_Withdrawals!$G:$G)),"")</f>
        <v/>
      </c>
      <c r="M195" s="36" t="str">
        <f>IFERROR(IF(A195="","",IFERROR(VALUE(H195),0)+IFERROR(SUMIF(DB_Savings!$A:$A,A195,DB_Savings!$F:$F),0)-IFERROR(SUMIF(DB_Withdrawals!$A:$A,A195,DB_Withdrawals!$G:$G),0)),"")</f>
        <v/>
      </c>
      <c r="N195" s="36" t="str">
        <f>IFERROR(IF(A195="","",MAX(0,M195-System_Config!$B$9)),"")</f>
        <v/>
      </c>
    </row>
    <row r="196" spans="1:14" ht="20.100000000000001" customHeight="1" x14ac:dyDescent="0.25">
      <c r="A196" s="34" t="str">
        <f>'NEW ACCOUNT'!A197</f>
        <v/>
      </c>
      <c r="B196" s="35" t="str">
        <f>IF('NEW ACCOUNT'!A197="","",'NEW ACCOUNT'!B197)</f>
        <v/>
      </c>
      <c r="C196" s="35" t="str">
        <f>IF('NEW ACCOUNT'!A197="","",'NEW ACCOUNT'!C197)</f>
        <v/>
      </c>
      <c r="D196" s="35" t="str">
        <f>IF('NEW ACCOUNT'!A197="","",'NEW ACCOUNT'!D197)</f>
        <v/>
      </c>
      <c r="E196" s="35" t="str">
        <f>IF('NEW ACCOUNT'!A197="","",'NEW ACCOUNT'!E197)</f>
        <v/>
      </c>
      <c r="F196" s="35" t="str">
        <f>IF('NEW ACCOUNT'!A197="","",'NEW ACCOUNT'!F197)</f>
        <v/>
      </c>
      <c r="G196" s="35" t="str">
        <f>IF('NEW ACCOUNT'!A197="","",'NEW ACCOUNT'!G197)</f>
        <v/>
      </c>
      <c r="H196" s="35" t="str">
        <f>IF('NEW ACCOUNT'!A197="","",'NEW ACCOUNT'!H197)</f>
        <v/>
      </c>
      <c r="I196" s="35" t="str">
        <f>IF('NEW ACCOUNT'!A197="","",'NEW ACCOUNT'!I197)</f>
        <v/>
      </c>
      <c r="J196" s="35" t="str">
        <f>IF('NEW ACCOUNT'!A197="","",'NEW ACCOUNT'!J197)</f>
        <v/>
      </c>
      <c r="K196" s="36" t="str">
        <f>IFERROR(IF(A196="","",SUMIF(DB_Savings!$A:$A,A196,DB_Savings!$F:$F)),"")</f>
        <v/>
      </c>
      <c r="L196" s="36" t="str">
        <f>IFERROR(IF(A196="","",SUMIF(DB_Withdrawals!$A:$A,A196,DB_Withdrawals!$G:$G)),"")</f>
        <v/>
      </c>
      <c r="M196" s="36" t="str">
        <f>IFERROR(IF(A196="","",IFERROR(VALUE(H196),0)+IFERROR(SUMIF(DB_Savings!$A:$A,A196,DB_Savings!$F:$F),0)-IFERROR(SUMIF(DB_Withdrawals!$A:$A,A196,DB_Withdrawals!$G:$G),0)),"")</f>
        <v/>
      </c>
      <c r="N196" s="36" t="str">
        <f>IFERROR(IF(A196="","",MAX(0,M196-System_Config!$B$9)),"")</f>
        <v/>
      </c>
    </row>
    <row r="197" spans="1:14" ht="20.100000000000001" customHeight="1" x14ac:dyDescent="0.25">
      <c r="A197" s="34" t="str">
        <f>'NEW ACCOUNT'!A198</f>
        <v/>
      </c>
      <c r="B197" s="35" t="str">
        <f>IF('NEW ACCOUNT'!A198="","",'NEW ACCOUNT'!B198)</f>
        <v/>
      </c>
      <c r="C197" s="35" t="str">
        <f>IF('NEW ACCOUNT'!A198="","",'NEW ACCOUNT'!C198)</f>
        <v/>
      </c>
      <c r="D197" s="35" t="str">
        <f>IF('NEW ACCOUNT'!A198="","",'NEW ACCOUNT'!D198)</f>
        <v/>
      </c>
      <c r="E197" s="35" t="str">
        <f>IF('NEW ACCOUNT'!A198="","",'NEW ACCOUNT'!E198)</f>
        <v/>
      </c>
      <c r="F197" s="35" t="str">
        <f>IF('NEW ACCOUNT'!A198="","",'NEW ACCOUNT'!F198)</f>
        <v/>
      </c>
      <c r="G197" s="35" t="str">
        <f>IF('NEW ACCOUNT'!A198="","",'NEW ACCOUNT'!G198)</f>
        <v/>
      </c>
      <c r="H197" s="35" t="str">
        <f>IF('NEW ACCOUNT'!A198="","",'NEW ACCOUNT'!H198)</f>
        <v/>
      </c>
      <c r="I197" s="35" t="str">
        <f>IF('NEW ACCOUNT'!A198="","",'NEW ACCOUNT'!I198)</f>
        <v/>
      </c>
      <c r="J197" s="35" t="str">
        <f>IF('NEW ACCOUNT'!A198="","",'NEW ACCOUNT'!J198)</f>
        <v/>
      </c>
      <c r="K197" s="36" t="str">
        <f>IFERROR(IF(A197="","",SUMIF(DB_Savings!$A:$A,A197,DB_Savings!$F:$F)),"")</f>
        <v/>
      </c>
      <c r="L197" s="36" t="str">
        <f>IFERROR(IF(A197="","",SUMIF(DB_Withdrawals!$A:$A,A197,DB_Withdrawals!$G:$G)),"")</f>
        <v/>
      </c>
      <c r="M197" s="36" t="str">
        <f>IFERROR(IF(A197="","",IFERROR(VALUE(H197),0)+IFERROR(SUMIF(DB_Savings!$A:$A,A197,DB_Savings!$F:$F),0)-IFERROR(SUMIF(DB_Withdrawals!$A:$A,A197,DB_Withdrawals!$G:$G),0)),"")</f>
        <v/>
      </c>
      <c r="N197" s="36" t="str">
        <f>IFERROR(IF(A197="","",MAX(0,M197-System_Config!$B$9)),"")</f>
        <v/>
      </c>
    </row>
    <row r="198" spans="1:14" ht="20.100000000000001" customHeight="1" x14ac:dyDescent="0.25">
      <c r="A198" s="34" t="str">
        <f>'NEW ACCOUNT'!A199</f>
        <v/>
      </c>
      <c r="B198" s="35" t="str">
        <f>IF('NEW ACCOUNT'!A199="","",'NEW ACCOUNT'!B199)</f>
        <v/>
      </c>
      <c r="C198" s="35" t="str">
        <f>IF('NEW ACCOUNT'!A199="","",'NEW ACCOUNT'!C199)</f>
        <v/>
      </c>
      <c r="D198" s="35" t="str">
        <f>IF('NEW ACCOUNT'!A199="","",'NEW ACCOUNT'!D199)</f>
        <v/>
      </c>
      <c r="E198" s="35" t="str">
        <f>IF('NEW ACCOUNT'!A199="","",'NEW ACCOUNT'!E199)</f>
        <v/>
      </c>
      <c r="F198" s="35" t="str">
        <f>IF('NEW ACCOUNT'!A199="","",'NEW ACCOUNT'!F199)</f>
        <v/>
      </c>
      <c r="G198" s="35" t="str">
        <f>IF('NEW ACCOUNT'!A199="","",'NEW ACCOUNT'!G199)</f>
        <v/>
      </c>
      <c r="H198" s="35" t="str">
        <f>IF('NEW ACCOUNT'!A199="","",'NEW ACCOUNT'!H199)</f>
        <v/>
      </c>
      <c r="I198" s="35" t="str">
        <f>IF('NEW ACCOUNT'!A199="","",'NEW ACCOUNT'!I199)</f>
        <v/>
      </c>
      <c r="J198" s="35" t="str">
        <f>IF('NEW ACCOUNT'!A199="","",'NEW ACCOUNT'!J199)</f>
        <v/>
      </c>
      <c r="K198" s="36" t="str">
        <f>IFERROR(IF(A198="","",SUMIF(DB_Savings!$A:$A,A198,DB_Savings!$F:$F)),"")</f>
        <v/>
      </c>
      <c r="L198" s="36" t="str">
        <f>IFERROR(IF(A198="","",SUMIF(DB_Withdrawals!$A:$A,A198,DB_Withdrawals!$G:$G)),"")</f>
        <v/>
      </c>
      <c r="M198" s="36" t="str">
        <f>IFERROR(IF(A198="","",IFERROR(VALUE(H198),0)+IFERROR(SUMIF(DB_Savings!$A:$A,A198,DB_Savings!$F:$F),0)-IFERROR(SUMIF(DB_Withdrawals!$A:$A,A198,DB_Withdrawals!$G:$G),0)),"")</f>
        <v/>
      </c>
      <c r="N198" s="36" t="str">
        <f>IFERROR(IF(A198="","",MAX(0,M198-System_Config!$B$9)),"")</f>
        <v/>
      </c>
    </row>
    <row r="199" spans="1:14" ht="20.100000000000001" customHeight="1" x14ac:dyDescent="0.25">
      <c r="A199" s="34" t="str">
        <f>'NEW ACCOUNT'!A200</f>
        <v/>
      </c>
      <c r="B199" s="35" t="str">
        <f>IF('NEW ACCOUNT'!A200="","",'NEW ACCOUNT'!B200)</f>
        <v/>
      </c>
      <c r="C199" s="35" t="str">
        <f>IF('NEW ACCOUNT'!A200="","",'NEW ACCOUNT'!C200)</f>
        <v/>
      </c>
      <c r="D199" s="35" t="str">
        <f>IF('NEW ACCOUNT'!A200="","",'NEW ACCOUNT'!D200)</f>
        <v/>
      </c>
      <c r="E199" s="35" t="str">
        <f>IF('NEW ACCOUNT'!A200="","",'NEW ACCOUNT'!E200)</f>
        <v/>
      </c>
      <c r="F199" s="35" t="str">
        <f>IF('NEW ACCOUNT'!A200="","",'NEW ACCOUNT'!F200)</f>
        <v/>
      </c>
      <c r="G199" s="35" t="str">
        <f>IF('NEW ACCOUNT'!A200="","",'NEW ACCOUNT'!G200)</f>
        <v/>
      </c>
      <c r="H199" s="35" t="str">
        <f>IF('NEW ACCOUNT'!A200="","",'NEW ACCOUNT'!H200)</f>
        <v/>
      </c>
      <c r="I199" s="35" t="str">
        <f>IF('NEW ACCOUNT'!A200="","",'NEW ACCOUNT'!I200)</f>
        <v/>
      </c>
      <c r="J199" s="35" t="str">
        <f>IF('NEW ACCOUNT'!A200="","",'NEW ACCOUNT'!J200)</f>
        <v/>
      </c>
      <c r="K199" s="36" t="str">
        <f>IFERROR(IF(A199="","",SUMIF(DB_Savings!$A:$A,A199,DB_Savings!$F:$F)),"")</f>
        <v/>
      </c>
      <c r="L199" s="36" t="str">
        <f>IFERROR(IF(A199="","",SUMIF(DB_Withdrawals!$A:$A,A199,DB_Withdrawals!$G:$G)),"")</f>
        <v/>
      </c>
      <c r="M199" s="36" t="str">
        <f>IFERROR(IF(A199="","",IFERROR(VALUE(H199),0)+IFERROR(SUMIF(DB_Savings!$A:$A,A199,DB_Savings!$F:$F),0)-IFERROR(SUMIF(DB_Withdrawals!$A:$A,A199,DB_Withdrawals!$G:$G),0)),"")</f>
        <v/>
      </c>
      <c r="N199" s="36" t="str">
        <f>IFERROR(IF(A199="","",MAX(0,M199-System_Config!$B$9)),"")</f>
        <v/>
      </c>
    </row>
    <row r="200" spans="1:14" ht="20.100000000000001" customHeight="1" x14ac:dyDescent="0.25">
      <c r="A200" s="34" t="str">
        <f>'NEW ACCOUNT'!A201</f>
        <v/>
      </c>
      <c r="B200" s="35" t="str">
        <f>IF('NEW ACCOUNT'!A201="","",'NEW ACCOUNT'!B201)</f>
        <v/>
      </c>
      <c r="C200" s="35" t="str">
        <f>IF('NEW ACCOUNT'!A201="","",'NEW ACCOUNT'!C201)</f>
        <v/>
      </c>
      <c r="D200" s="35" t="str">
        <f>IF('NEW ACCOUNT'!A201="","",'NEW ACCOUNT'!D201)</f>
        <v/>
      </c>
      <c r="E200" s="35" t="str">
        <f>IF('NEW ACCOUNT'!A201="","",'NEW ACCOUNT'!E201)</f>
        <v/>
      </c>
      <c r="F200" s="35" t="str">
        <f>IF('NEW ACCOUNT'!A201="","",'NEW ACCOUNT'!F201)</f>
        <v/>
      </c>
      <c r="G200" s="35" t="str">
        <f>IF('NEW ACCOUNT'!A201="","",'NEW ACCOUNT'!G201)</f>
        <v/>
      </c>
      <c r="H200" s="35" t="str">
        <f>IF('NEW ACCOUNT'!A201="","",'NEW ACCOUNT'!H201)</f>
        <v/>
      </c>
      <c r="I200" s="35" t="str">
        <f>IF('NEW ACCOUNT'!A201="","",'NEW ACCOUNT'!I201)</f>
        <v/>
      </c>
      <c r="J200" s="35" t="str">
        <f>IF('NEW ACCOUNT'!A201="","",'NEW ACCOUNT'!J201)</f>
        <v/>
      </c>
      <c r="K200" s="36" t="str">
        <f>IFERROR(IF(A200="","",SUMIF(DB_Savings!$A:$A,A200,DB_Savings!$F:$F)),"")</f>
        <v/>
      </c>
      <c r="L200" s="36" t="str">
        <f>IFERROR(IF(A200="","",SUMIF(DB_Withdrawals!$A:$A,A200,DB_Withdrawals!$G:$G)),"")</f>
        <v/>
      </c>
      <c r="M200" s="36" t="str">
        <f>IFERROR(IF(A200="","",IFERROR(VALUE(H200),0)+IFERROR(SUMIF(DB_Savings!$A:$A,A200,DB_Savings!$F:$F),0)-IFERROR(SUMIF(DB_Withdrawals!$A:$A,A200,DB_Withdrawals!$G:$G),0)),"")</f>
        <v/>
      </c>
      <c r="N200" s="36" t="str">
        <f>IFERROR(IF(A200="","",MAX(0,M200-System_Config!$B$9)),"")</f>
        <v/>
      </c>
    </row>
    <row r="201" spans="1:14" ht="20.100000000000001" customHeight="1" x14ac:dyDescent="0.25">
      <c r="A201" s="34" t="str">
        <f>'NEW ACCOUNT'!A202</f>
        <v/>
      </c>
      <c r="B201" s="35" t="str">
        <f>IF('NEW ACCOUNT'!A202="","",'NEW ACCOUNT'!B202)</f>
        <v/>
      </c>
      <c r="C201" s="35" t="str">
        <f>IF('NEW ACCOUNT'!A202="","",'NEW ACCOUNT'!C202)</f>
        <v/>
      </c>
      <c r="D201" s="35" t="str">
        <f>IF('NEW ACCOUNT'!A202="","",'NEW ACCOUNT'!D202)</f>
        <v/>
      </c>
      <c r="E201" s="35" t="str">
        <f>IF('NEW ACCOUNT'!A202="","",'NEW ACCOUNT'!E202)</f>
        <v/>
      </c>
      <c r="F201" s="35" t="str">
        <f>IF('NEW ACCOUNT'!A202="","",'NEW ACCOUNT'!F202)</f>
        <v/>
      </c>
      <c r="G201" s="35" t="str">
        <f>IF('NEW ACCOUNT'!A202="","",'NEW ACCOUNT'!G202)</f>
        <v/>
      </c>
      <c r="H201" s="35" t="str">
        <f>IF('NEW ACCOUNT'!A202="","",'NEW ACCOUNT'!H202)</f>
        <v/>
      </c>
      <c r="I201" s="35" t="str">
        <f>IF('NEW ACCOUNT'!A202="","",'NEW ACCOUNT'!I202)</f>
        <v/>
      </c>
      <c r="J201" s="35" t="str">
        <f>IF('NEW ACCOUNT'!A202="","",'NEW ACCOUNT'!J202)</f>
        <v/>
      </c>
      <c r="K201" s="36" t="str">
        <f>IFERROR(IF(A201="","",SUMIF(DB_Savings!$A:$A,A201,DB_Savings!$F:$F)),"")</f>
        <v/>
      </c>
      <c r="L201" s="36" t="str">
        <f>IFERROR(IF(A201="","",SUMIF(DB_Withdrawals!$A:$A,A201,DB_Withdrawals!$G:$G)),"")</f>
        <v/>
      </c>
      <c r="M201" s="36" t="str">
        <f>IFERROR(IF(A201="","",IFERROR(VALUE(H201),0)+IFERROR(SUMIF(DB_Savings!$A:$A,A201,DB_Savings!$F:$F),0)-IFERROR(SUMIF(DB_Withdrawals!$A:$A,A201,DB_Withdrawals!$G:$G),0)),"")</f>
        <v/>
      </c>
      <c r="N201" s="36" t="str">
        <f>IFERROR(IF(A201="","",MAX(0,M201-System_Config!$B$9)),"")</f>
        <v/>
      </c>
    </row>
    <row r="202" spans="1:14" ht="20.100000000000001" customHeight="1" x14ac:dyDescent="0.25">
      <c r="A202" s="34" t="str">
        <f>'NEW ACCOUNT'!A203</f>
        <v/>
      </c>
      <c r="B202" s="35" t="str">
        <f>IF('NEW ACCOUNT'!A203="","",'NEW ACCOUNT'!B203)</f>
        <v/>
      </c>
      <c r="C202" s="35" t="str">
        <f>IF('NEW ACCOUNT'!A203="","",'NEW ACCOUNT'!C203)</f>
        <v/>
      </c>
      <c r="D202" s="35" t="str">
        <f>IF('NEW ACCOUNT'!A203="","",'NEW ACCOUNT'!D203)</f>
        <v/>
      </c>
      <c r="E202" s="35" t="str">
        <f>IF('NEW ACCOUNT'!A203="","",'NEW ACCOUNT'!E203)</f>
        <v/>
      </c>
      <c r="F202" s="35" t="str">
        <f>IF('NEW ACCOUNT'!A203="","",'NEW ACCOUNT'!F203)</f>
        <v/>
      </c>
      <c r="G202" s="35" t="str">
        <f>IF('NEW ACCOUNT'!A203="","",'NEW ACCOUNT'!G203)</f>
        <v/>
      </c>
      <c r="H202" s="35" t="str">
        <f>IF('NEW ACCOUNT'!A203="","",'NEW ACCOUNT'!H203)</f>
        <v/>
      </c>
      <c r="I202" s="35" t="str">
        <f>IF('NEW ACCOUNT'!A203="","",'NEW ACCOUNT'!I203)</f>
        <v/>
      </c>
      <c r="J202" s="35" t="str">
        <f>IF('NEW ACCOUNT'!A203="","",'NEW ACCOUNT'!J203)</f>
        <v/>
      </c>
      <c r="K202" s="36" t="str">
        <f>IFERROR(IF(A202="","",SUMIF(DB_Savings!$A:$A,A202,DB_Savings!$F:$F)),"")</f>
        <v/>
      </c>
      <c r="L202" s="36" t="str">
        <f>IFERROR(IF(A202="","",SUMIF(DB_Withdrawals!$A:$A,A202,DB_Withdrawals!$G:$G)),"")</f>
        <v/>
      </c>
      <c r="M202" s="36" t="str">
        <f>IFERROR(IF(A202="","",IFERROR(VALUE(H202),0)+IFERROR(SUMIF(DB_Savings!$A:$A,A202,DB_Savings!$F:$F),0)-IFERROR(SUMIF(DB_Withdrawals!$A:$A,A202,DB_Withdrawals!$G:$G),0)),"")</f>
        <v/>
      </c>
      <c r="N202" s="36" t="str">
        <f>IFERROR(IF(A202="","",MAX(0,M202-System_Config!$B$9)),"")</f>
        <v/>
      </c>
    </row>
    <row r="203" spans="1:14" ht="20.100000000000001" customHeight="1" x14ac:dyDescent="0.25">
      <c r="A203" s="34" t="str">
        <f>'NEW ACCOUNT'!A204</f>
        <v/>
      </c>
      <c r="B203" s="35" t="str">
        <f>IF('NEW ACCOUNT'!A204="","",'NEW ACCOUNT'!B204)</f>
        <v/>
      </c>
      <c r="C203" s="35" t="str">
        <f>IF('NEW ACCOUNT'!A204="","",'NEW ACCOUNT'!C204)</f>
        <v/>
      </c>
      <c r="D203" s="35" t="str">
        <f>IF('NEW ACCOUNT'!A204="","",'NEW ACCOUNT'!D204)</f>
        <v/>
      </c>
      <c r="E203" s="35" t="str">
        <f>IF('NEW ACCOUNT'!A204="","",'NEW ACCOUNT'!E204)</f>
        <v/>
      </c>
      <c r="F203" s="35" t="str">
        <f>IF('NEW ACCOUNT'!A204="","",'NEW ACCOUNT'!F204)</f>
        <v/>
      </c>
      <c r="G203" s="35" t="str">
        <f>IF('NEW ACCOUNT'!A204="","",'NEW ACCOUNT'!G204)</f>
        <v/>
      </c>
      <c r="H203" s="35" t="str">
        <f>IF('NEW ACCOUNT'!A204="","",'NEW ACCOUNT'!H204)</f>
        <v/>
      </c>
      <c r="I203" s="35" t="str">
        <f>IF('NEW ACCOUNT'!A204="","",'NEW ACCOUNT'!I204)</f>
        <v/>
      </c>
      <c r="J203" s="35" t="str">
        <f>IF('NEW ACCOUNT'!A204="","",'NEW ACCOUNT'!J204)</f>
        <v/>
      </c>
      <c r="K203" s="36" t="str">
        <f>IFERROR(IF(A203="","",SUMIF(DB_Savings!$A:$A,A203,DB_Savings!$F:$F)),"")</f>
        <v/>
      </c>
      <c r="L203" s="36" t="str">
        <f>IFERROR(IF(A203="","",SUMIF(DB_Withdrawals!$A:$A,A203,DB_Withdrawals!$G:$G)),"")</f>
        <v/>
      </c>
      <c r="M203" s="36" t="str">
        <f>IFERROR(IF(A203="","",IFERROR(VALUE(H203),0)+IFERROR(SUMIF(DB_Savings!$A:$A,A203,DB_Savings!$F:$F),0)-IFERROR(SUMIF(DB_Withdrawals!$A:$A,A203,DB_Withdrawals!$G:$G),0)),"")</f>
        <v/>
      </c>
      <c r="N203" s="36" t="str">
        <f>IFERROR(IF(A203="","",MAX(0,M203-System_Config!$B$9)),"")</f>
        <v/>
      </c>
    </row>
    <row r="204" spans="1:14" ht="20.100000000000001" customHeight="1" x14ac:dyDescent="0.25">
      <c r="A204" s="34" t="str">
        <f>'NEW ACCOUNT'!A205</f>
        <v/>
      </c>
      <c r="B204" s="35" t="str">
        <f>IF('NEW ACCOUNT'!A205="","",'NEW ACCOUNT'!B205)</f>
        <v/>
      </c>
      <c r="C204" s="35" t="str">
        <f>IF('NEW ACCOUNT'!A205="","",'NEW ACCOUNT'!C205)</f>
        <v/>
      </c>
      <c r="D204" s="35" t="str">
        <f>IF('NEW ACCOUNT'!A205="","",'NEW ACCOUNT'!D205)</f>
        <v/>
      </c>
      <c r="E204" s="35" t="str">
        <f>IF('NEW ACCOUNT'!A205="","",'NEW ACCOUNT'!E205)</f>
        <v/>
      </c>
      <c r="F204" s="35" t="str">
        <f>IF('NEW ACCOUNT'!A205="","",'NEW ACCOUNT'!F205)</f>
        <v/>
      </c>
      <c r="G204" s="35" t="str">
        <f>IF('NEW ACCOUNT'!A205="","",'NEW ACCOUNT'!G205)</f>
        <v/>
      </c>
      <c r="H204" s="35" t="str">
        <f>IF('NEW ACCOUNT'!A205="","",'NEW ACCOUNT'!H205)</f>
        <v/>
      </c>
      <c r="I204" s="35" t="str">
        <f>IF('NEW ACCOUNT'!A205="","",'NEW ACCOUNT'!I205)</f>
        <v/>
      </c>
      <c r="J204" s="35" t="str">
        <f>IF('NEW ACCOUNT'!A205="","",'NEW ACCOUNT'!J205)</f>
        <v/>
      </c>
      <c r="K204" s="36" t="str">
        <f>IFERROR(IF(A204="","",SUMIF(DB_Savings!$A:$A,A204,DB_Savings!$F:$F)),"")</f>
        <v/>
      </c>
      <c r="L204" s="36" t="str">
        <f>IFERROR(IF(A204="","",SUMIF(DB_Withdrawals!$A:$A,A204,DB_Withdrawals!$G:$G)),"")</f>
        <v/>
      </c>
      <c r="M204" s="36" t="str">
        <f>IFERROR(IF(A204="","",IFERROR(VALUE(H204),0)+IFERROR(SUMIF(DB_Savings!$A:$A,A204,DB_Savings!$F:$F),0)-IFERROR(SUMIF(DB_Withdrawals!$A:$A,A204,DB_Withdrawals!$G:$G),0)),"")</f>
        <v/>
      </c>
      <c r="N204" s="36" t="str">
        <f>IFERROR(IF(A204="","",MAX(0,M204-System_Config!$B$9)),"")</f>
        <v/>
      </c>
    </row>
    <row r="205" spans="1:14" ht="20.100000000000001" customHeight="1" x14ac:dyDescent="0.25">
      <c r="A205" s="34" t="str">
        <f>'NEW ACCOUNT'!A206</f>
        <v/>
      </c>
      <c r="B205" s="35" t="str">
        <f>IF('NEW ACCOUNT'!A206="","",'NEW ACCOUNT'!B206)</f>
        <v/>
      </c>
      <c r="C205" s="35" t="str">
        <f>IF('NEW ACCOUNT'!A206="","",'NEW ACCOUNT'!C206)</f>
        <v/>
      </c>
      <c r="D205" s="35" t="str">
        <f>IF('NEW ACCOUNT'!A206="","",'NEW ACCOUNT'!D206)</f>
        <v/>
      </c>
      <c r="E205" s="35" t="str">
        <f>IF('NEW ACCOUNT'!A206="","",'NEW ACCOUNT'!E206)</f>
        <v/>
      </c>
      <c r="F205" s="35" t="str">
        <f>IF('NEW ACCOUNT'!A206="","",'NEW ACCOUNT'!F206)</f>
        <v/>
      </c>
      <c r="G205" s="35" t="str">
        <f>IF('NEW ACCOUNT'!A206="","",'NEW ACCOUNT'!G206)</f>
        <v/>
      </c>
      <c r="H205" s="35" t="str">
        <f>IF('NEW ACCOUNT'!A206="","",'NEW ACCOUNT'!H206)</f>
        <v/>
      </c>
      <c r="I205" s="35" t="str">
        <f>IF('NEW ACCOUNT'!A206="","",'NEW ACCOUNT'!I206)</f>
        <v/>
      </c>
      <c r="J205" s="35" t="str">
        <f>IF('NEW ACCOUNT'!A206="","",'NEW ACCOUNT'!J206)</f>
        <v/>
      </c>
      <c r="K205" s="36" t="str">
        <f>IFERROR(IF(A205="","",SUMIF(DB_Savings!$A:$A,A205,DB_Savings!$F:$F)),"")</f>
        <v/>
      </c>
      <c r="L205" s="36" t="str">
        <f>IFERROR(IF(A205="","",SUMIF(DB_Withdrawals!$A:$A,A205,DB_Withdrawals!$G:$G)),"")</f>
        <v/>
      </c>
      <c r="M205" s="36" t="str">
        <f>IFERROR(IF(A205="","",IFERROR(VALUE(H205),0)+IFERROR(SUMIF(DB_Savings!$A:$A,A205,DB_Savings!$F:$F),0)-IFERROR(SUMIF(DB_Withdrawals!$A:$A,A205,DB_Withdrawals!$G:$G),0)),"")</f>
        <v/>
      </c>
      <c r="N205" s="36" t="str">
        <f>IFERROR(IF(A205="","",MAX(0,M205-System_Config!$B$9)),"")</f>
        <v/>
      </c>
    </row>
    <row r="206" spans="1:14" ht="20.100000000000001" customHeight="1" x14ac:dyDescent="0.25">
      <c r="A206" s="34" t="str">
        <f>'NEW ACCOUNT'!A207</f>
        <v/>
      </c>
      <c r="B206" s="35" t="str">
        <f>IF('NEW ACCOUNT'!A207="","",'NEW ACCOUNT'!B207)</f>
        <v/>
      </c>
      <c r="C206" s="35" t="str">
        <f>IF('NEW ACCOUNT'!A207="","",'NEW ACCOUNT'!C207)</f>
        <v/>
      </c>
      <c r="D206" s="35" t="str">
        <f>IF('NEW ACCOUNT'!A207="","",'NEW ACCOUNT'!D207)</f>
        <v/>
      </c>
      <c r="E206" s="35" t="str">
        <f>IF('NEW ACCOUNT'!A207="","",'NEW ACCOUNT'!E207)</f>
        <v/>
      </c>
      <c r="F206" s="35" t="str">
        <f>IF('NEW ACCOUNT'!A207="","",'NEW ACCOUNT'!F207)</f>
        <v/>
      </c>
      <c r="G206" s="35" t="str">
        <f>IF('NEW ACCOUNT'!A207="","",'NEW ACCOUNT'!G207)</f>
        <v/>
      </c>
      <c r="H206" s="35" t="str">
        <f>IF('NEW ACCOUNT'!A207="","",'NEW ACCOUNT'!H207)</f>
        <v/>
      </c>
      <c r="I206" s="35" t="str">
        <f>IF('NEW ACCOUNT'!A207="","",'NEW ACCOUNT'!I207)</f>
        <v/>
      </c>
      <c r="J206" s="35" t="str">
        <f>IF('NEW ACCOUNT'!A207="","",'NEW ACCOUNT'!J207)</f>
        <v/>
      </c>
      <c r="K206" s="36" t="str">
        <f>IFERROR(IF(A206="","",SUMIF(DB_Savings!$A:$A,A206,DB_Savings!$F:$F)),"")</f>
        <v/>
      </c>
      <c r="L206" s="36" t="str">
        <f>IFERROR(IF(A206="","",SUMIF(DB_Withdrawals!$A:$A,A206,DB_Withdrawals!$G:$G)),"")</f>
        <v/>
      </c>
      <c r="M206" s="36" t="str">
        <f>IFERROR(IF(A206="","",IFERROR(VALUE(H206),0)+IFERROR(SUMIF(DB_Savings!$A:$A,A206,DB_Savings!$F:$F),0)-IFERROR(SUMIF(DB_Withdrawals!$A:$A,A206,DB_Withdrawals!$G:$G),0)),"")</f>
        <v/>
      </c>
      <c r="N206" s="36" t="str">
        <f>IFERROR(IF(A206="","",MAX(0,M206-System_Config!$B$9)),"")</f>
        <v/>
      </c>
    </row>
    <row r="207" spans="1:14" ht="20.100000000000001" customHeight="1" x14ac:dyDescent="0.25">
      <c r="A207" s="34" t="str">
        <f>'NEW ACCOUNT'!A208</f>
        <v/>
      </c>
      <c r="B207" s="35" t="str">
        <f>IF('NEW ACCOUNT'!A208="","",'NEW ACCOUNT'!B208)</f>
        <v/>
      </c>
      <c r="C207" s="35" t="str">
        <f>IF('NEW ACCOUNT'!A208="","",'NEW ACCOUNT'!C208)</f>
        <v/>
      </c>
      <c r="D207" s="35" t="str">
        <f>IF('NEW ACCOUNT'!A208="","",'NEW ACCOUNT'!D208)</f>
        <v/>
      </c>
      <c r="E207" s="35" t="str">
        <f>IF('NEW ACCOUNT'!A208="","",'NEW ACCOUNT'!E208)</f>
        <v/>
      </c>
      <c r="F207" s="35" t="str">
        <f>IF('NEW ACCOUNT'!A208="","",'NEW ACCOUNT'!F208)</f>
        <v/>
      </c>
      <c r="G207" s="35" t="str">
        <f>IF('NEW ACCOUNT'!A208="","",'NEW ACCOUNT'!G208)</f>
        <v/>
      </c>
      <c r="H207" s="35" t="str">
        <f>IF('NEW ACCOUNT'!A208="","",'NEW ACCOUNT'!H208)</f>
        <v/>
      </c>
      <c r="I207" s="35" t="str">
        <f>IF('NEW ACCOUNT'!A208="","",'NEW ACCOUNT'!I208)</f>
        <v/>
      </c>
      <c r="J207" s="35" t="str">
        <f>IF('NEW ACCOUNT'!A208="","",'NEW ACCOUNT'!J208)</f>
        <v/>
      </c>
      <c r="K207" s="36" t="str">
        <f>IFERROR(IF(A207="","",SUMIF(DB_Savings!$A:$A,A207,DB_Savings!$F:$F)),"")</f>
        <v/>
      </c>
      <c r="L207" s="36" t="str">
        <f>IFERROR(IF(A207="","",SUMIF(DB_Withdrawals!$A:$A,A207,DB_Withdrawals!$G:$G)),"")</f>
        <v/>
      </c>
      <c r="M207" s="36" t="str">
        <f>IFERROR(IF(A207="","",IFERROR(VALUE(H207),0)+IFERROR(SUMIF(DB_Savings!$A:$A,A207,DB_Savings!$F:$F),0)-IFERROR(SUMIF(DB_Withdrawals!$A:$A,A207,DB_Withdrawals!$G:$G),0)),"")</f>
        <v/>
      </c>
      <c r="N207" s="36" t="str">
        <f>IFERROR(IF(A207="","",MAX(0,M207-System_Config!$B$9)),"")</f>
        <v/>
      </c>
    </row>
    <row r="208" spans="1:14" ht="20.100000000000001" customHeight="1" x14ac:dyDescent="0.25">
      <c r="A208" s="34" t="str">
        <f>'NEW ACCOUNT'!A209</f>
        <v/>
      </c>
      <c r="B208" s="35" t="str">
        <f>IF('NEW ACCOUNT'!A209="","",'NEW ACCOUNT'!B209)</f>
        <v/>
      </c>
      <c r="C208" s="35" t="str">
        <f>IF('NEW ACCOUNT'!A209="","",'NEW ACCOUNT'!C209)</f>
        <v/>
      </c>
      <c r="D208" s="35" t="str">
        <f>IF('NEW ACCOUNT'!A209="","",'NEW ACCOUNT'!D209)</f>
        <v/>
      </c>
      <c r="E208" s="35" t="str">
        <f>IF('NEW ACCOUNT'!A209="","",'NEW ACCOUNT'!E209)</f>
        <v/>
      </c>
      <c r="F208" s="35" t="str">
        <f>IF('NEW ACCOUNT'!A209="","",'NEW ACCOUNT'!F209)</f>
        <v/>
      </c>
      <c r="G208" s="35" t="str">
        <f>IF('NEW ACCOUNT'!A209="","",'NEW ACCOUNT'!G209)</f>
        <v/>
      </c>
      <c r="H208" s="35" t="str">
        <f>IF('NEW ACCOUNT'!A209="","",'NEW ACCOUNT'!H209)</f>
        <v/>
      </c>
      <c r="I208" s="35" t="str">
        <f>IF('NEW ACCOUNT'!A209="","",'NEW ACCOUNT'!I209)</f>
        <v/>
      </c>
      <c r="J208" s="35" t="str">
        <f>IF('NEW ACCOUNT'!A209="","",'NEW ACCOUNT'!J209)</f>
        <v/>
      </c>
      <c r="K208" s="36" t="str">
        <f>IFERROR(IF(A208="","",SUMIF(DB_Savings!$A:$A,A208,DB_Savings!$F:$F)),"")</f>
        <v/>
      </c>
      <c r="L208" s="36" t="str">
        <f>IFERROR(IF(A208="","",SUMIF(DB_Withdrawals!$A:$A,A208,DB_Withdrawals!$G:$G)),"")</f>
        <v/>
      </c>
      <c r="M208" s="36" t="str">
        <f>IFERROR(IF(A208="","",IFERROR(VALUE(H208),0)+IFERROR(SUMIF(DB_Savings!$A:$A,A208,DB_Savings!$F:$F),0)-IFERROR(SUMIF(DB_Withdrawals!$A:$A,A208,DB_Withdrawals!$G:$G),0)),"")</f>
        <v/>
      </c>
      <c r="N208" s="36" t="str">
        <f>IFERROR(IF(A208="","",MAX(0,M208-System_Config!$B$9)),"")</f>
        <v/>
      </c>
    </row>
    <row r="209" spans="1:14" ht="20.100000000000001" customHeight="1" x14ac:dyDescent="0.25">
      <c r="A209" s="34" t="str">
        <f>'NEW ACCOUNT'!A210</f>
        <v/>
      </c>
      <c r="B209" s="35" t="str">
        <f>IF('NEW ACCOUNT'!A210="","",'NEW ACCOUNT'!B210)</f>
        <v/>
      </c>
      <c r="C209" s="35" t="str">
        <f>IF('NEW ACCOUNT'!A210="","",'NEW ACCOUNT'!C210)</f>
        <v/>
      </c>
      <c r="D209" s="35" t="str">
        <f>IF('NEW ACCOUNT'!A210="","",'NEW ACCOUNT'!D210)</f>
        <v/>
      </c>
      <c r="E209" s="35" t="str">
        <f>IF('NEW ACCOUNT'!A210="","",'NEW ACCOUNT'!E210)</f>
        <v/>
      </c>
      <c r="F209" s="35" t="str">
        <f>IF('NEW ACCOUNT'!A210="","",'NEW ACCOUNT'!F210)</f>
        <v/>
      </c>
      <c r="G209" s="35" t="str">
        <f>IF('NEW ACCOUNT'!A210="","",'NEW ACCOUNT'!G210)</f>
        <v/>
      </c>
      <c r="H209" s="35" t="str">
        <f>IF('NEW ACCOUNT'!A210="","",'NEW ACCOUNT'!H210)</f>
        <v/>
      </c>
      <c r="I209" s="35" t="str">
        <f>IF('NEW ACCOUNT'!A210="","",'NEW ACCOUNT'!I210)</f>
        <v/>
      </c>
      <c r="J209" s="35" t="str">
        <f>IF('NEW ACCOUNT'!A210="","",'NEW ACCOUNT'!J210)</f>
        <v/>
      </c>
      <c r="K209" s="36" t="str">
        <f>IFERROR(IF(A209="","",SUMIF(DB_Savings!$A:$A,A209,DB_Savings!$F:$F)),"")</f>
        <v/>
      </c>
      <c r="L209" s="36" t="str">
        <f>IFERROR(IF(A209="","",SUMIF(DB_Withdrawals!$A:$A,A209,DB_Withdrawals!$G:$G)),"")</f>
        <v/>
      </c>
      <c r="M209" s="36" t="str">
        <f>IFERROR(IF(A209="","",IFERROR(VALUE(H209),0)+IFERROR(SUMIF(DB_Savings!$A:$A,A209,DB_Savings!$F:$F),0)-IFERROR(SUMIF(DB_Withdrawals!$A:$A,A209,DB_Withdrawals!$G:$G),0)),"")</f>
        <v/>
      </c>
      <c r="N209" s="36" t="str">
        <f>IFERROR(IF(A209="","",MAX(0,M209-System_Config!$B$9)),"")</f>
        <v/>
      </c>
    </row>
    <row r="210" spans="1:14" ht="20.100000000000001" customHeight="1" x14ac:dyDescent="0.25">
      <c r="A210" s="34" t="str">
        <f>'NEW ACCOUNT'!A211</f>
        <v/>
      </c>
      <c r="B210" s="35" t="str">
        <f>IF('NEW ACCOUNT'!A211="","",'NEW ACCOUNT'!B211)</f>
        <v/>
      </c>
      <c r="C210" s="35" t="str">
        <f>IF('NEW ACCOUNT'!A211="","",'NEW ACCOUNT'!C211)</f>
        <v/>
      </c>
      <c r="D210" s="35" t="str">
        <f>IF('NEW ACCOUNT'!A211="","",'NEW ACCOUNT'!D211)</f>
        <v/>
      </c>
      <c r="E210" s="35" t="str">
        <f>IF('NEW ACCOUNT'!A211="","",'NEW ACCOUNT'!E211)</f>
        <v/>
      </c>
      <c r="F210" s="35" t="str">
        <f>IF('NEW ACCOUNT'!A211="","",'NEW ACCOUNT'!F211)</f>
        <v/>
      </c>
      <c r="G210" s="35" t="str">
        <f>IF('NEW ACCOUNT'!A211="","",'NEW ACCOUNT'!G211)</f>
        <v/>
      </c>
      <c r="H210" s="35" t="str">
        <f>IF('NEW ACCOUNT'!A211="","",'NEW ACCOUNT'!H211)</f>
        <v/>
      </c>
      <c r="I210" s="35" t="str">
        <f>IF('NEW ACCOUNT'!A211="","",'NEW ACCOUNT'!I211)</f>
        <v/>
      </c>
      <c r="J210" s="35" t="str">
        <f>IF('NEW ACCOUNT'!A211="","",'NEW ACCOUNT'!J211)</f>
        <v/>
      </c>
      <c r="K210" s="36" t="str">
        <f>IFERROR(IF(A210="","",SUMIF(DB_Savings!$A:$A,A210,DB_Savings!$F:$F)),"")</f>
        <v/>
      </c>
      <c r="L210" s="36" t="str">
        <f>IFERROR(IF(A210="","",SUMIF(DB_Withdrawals!$A:$A,A210,DB_Withdrawals!$G:$G)),"")</f>
        <v/>
      </c>
      <c r="M210" s="36" t="str">
        <f>IFERROR(IF(A210="","",IFERROR(VALUE(H210),0)+IFERROR(SUMIF(DB_Savings!$A:$A,A210,DB_Savings!$F:$F),0)-IFERROR(SUMIF(DB_Withdrawals!$A:$A,A210,DB_Withdrawals!$G:$G),0)),"")</f>
        <v/>
      </c>
      <c r="N210" s="36" t="str">
        <f>IFERROR(IF(A210="","",MAX(0,M210-System_Config!$B$9)),"")</f>
        <v/>
      </c>
    </row>
    <row r="211" spans="1:14" ht="20.100000000000001" customHeight="1" x14ac:dyDescent="0.25">
      <c r="A211" s="34" t="str">
        <f>'NEW ACCOUNT'!A212</f>
        <v/>
      </c>
      <c r="B211" s="35" t="str">
        <f>IF('NEW ACCOUNT'!A212="","",'NEW ACCOUNT'!B212)</f>
        <v/>
      </c>
      <c r="C211" s="35" t="str">
        <f>IF('NEW ACCOUNT'!A212="","",'NEW ACCOUNT'!C212)</f>
        <v/>
      </c>
      <c r="D211" s="35" t="str">
        <f>IF('NEW ACCOUNT'!A212="","",'NEW ACCOUNT'!D212)</f>
        <v/>
      </c>
      <c r="E211" s="35" t="str">
        <f>IF('NEW ACCOUNT'!A212="","",'NEW ACCOUNT'!E212)</f>
        <v/>
      </c>
      <c r="F211" s="35" t="str">
        <f>IF('NEW ACCOUNT'!A212="","",'NEW ACCOUNT'!F212)</f>
        <v/>
      </c>
      <c r="G211" s="35" t="str">
        <f>IF('NEW ACCOUNT'!A212="","",'NEW ACCOUNT'!G212)</f>
        <v/>
      </c>
      <c r="H211" s="35" t="str">
        <f>IF('NEW ACCOUNT'!A212="","",'NEW ACCOUNT'!H212)</f>
        <v/>
      </c>
      <c r="I211" s="35" t="str">
        <f>IF('NEW ACCOUNT'!A212="","",'NEW ACCOUNT'!I212)</f>
        <v/>
      </c>
      <c r="J211" s="35" t="str">
        <f>IF('NEW ACCOUNT'!A212="","",'NEW ACCOUNT'!J212)</f>
        <v/>
      </c>
      <c r="K211" s="36" t="str">
        <f>IFERROR(IF(A211="","",SUMIF(DB_Savings!$A:$A,A211,DB_Savings!$F:$F)),"")</f>
        <v/>
      </c>
      <c r="L211" s="36" t="str">
        <f>IFERROR(IF(A211="","",SUMIF(DB_Withdrawals!$A:$A,A211,DB_Withdrawals!$G:$G)),"")</f>
        <v/>
      </c>
      <c r="M211" s="36" t="str">
        <f>IFERROR(IF(A211="","",IFERROR(VALUE(H211),0)+IFERROR(SUMIF(DB_Savings!$A:$A,A211,DB_Savings!$F:$F),0)-IFERROR(SUMIF(DB_Withdrawals!$A:$A,A211,DB_Withdrawals!$G:$G),0)),"")</f>
        <v/>
      </c>
      <c r="N211" s="36" t="str">
        <f>IFERROR(IF(A211="","",MAX(0,M211-System_Config!$B$9)),"")</f>
        <v/>
      </c>
    </row>
    <row r="212" spans="1:14" ht="20.100000000000001" customHeight="1" x14ac:dyDescent="0.25">
      <c r="A212" s="34" t="str">
        <f>'NEW ACCOUNT'!A213</f>
        <v/>
      </c>
      <c r="B212" s="35" t="str">
        <f>IF('NEW ACCOUNT'!A213="","",'NEW ACCOUNT'!B213)</f>
        <v/>
      </c>
      <c r="C212" s="35" t="str">
        <f>IF('NEW ACCOUNT'!A213="","",'NEW ACCOUNT'!C213)</f>
        <v/>
      </c>
      <c r="D212" s="35" t="str">
        <f>IF('NEW ACCOUNT'!A213="","",'NEW ACCOUNT'!D213)</f>
        <v/>
      </c>
      <c r="E212" s="35" t="str">
        <f>IF('NEW ACCOUNT'!A213="","",'NEW ACCOUNT'!E213)</f>
        <v/>
      </c>
      <c r="F212" s="35" t="str">
        <f>IF('NEW ACCOUNT'!A213="","",'NEW ACCOUNT'!F213)</f>
        <v/>
      </c>
      <c r="G212" s="35" t="str">
        <f>IF('NEW ACCOUNT'!A213="","",'NEW ACCOUNT'!G213)</f>
        <v/>
      </c>
      <c r="H212" s="35" t="str">
        <f>IF('NEW ACCOUNT'!A213="","",'NEW ACCOUNT'!H213)</f>
        <v/>
      </c>
      <c r="I212" s="35" t="str">
        <f>IF('NEW ACCOUNT'!A213="","",'NEW ACCOUNT'!I213)</f>
        <v/>
      </c>
      <c r="J212" s="35" t="str">
        <f>IF('NEW ACCOUNT'!A213="","",'NEW ACCOUNT'!J213)</f>
        <v/>
      </c>
      <c r="K212" s="36" t="str">
        <f>IFERROR(IF(A212="","",SUMIF(DB_Savings!$A:$A,A212,DB_Savings!$F:$F)),"")</f>
        <v/>
      </c>
      <c r="L212" s="36" t="str">
        <f>IFERROR(IF(A212="","",SUMIF(DB_Withdrawals!$A:$A,A212,DB_Withdrawals!$G:$G)),"")</f>
        <v/>
      </c>
      <c r="M212" s="36" t="str">
        <f>IFERROR(IF(A212="","",IFERROR(VALUE(H212),0)+IFERROR(SUMIF(DB_Savings!$A:$A,A212,DB_Savings!$F:$F),0)-IFERROR(SUMIF(DB_Withdrawals!$A:$A,A212,DB_Withdrawals!$G:$G),0)),"")</f>
        <v/>
      </c>
      <c r="N212" s="36" t="str">
        <f>IFERROR(IF(A212="","",MAX(0,M212-System_Config!$B$9)),"")</f>
        <v/>
      </c>
    </row>
    <row r="213" spans="1:14" ht="20.100000000000001" customHeight="1" x14ac:dyDescent="0.25">
      <c r="A213" s="34" t="str">
        <f>'NEW ACCOUNT'!A214</f>
        <v/>
      </c>
      <c r="B213" s="35" t="str">
        <f>IF('NEW ACCOUNT'!A214="","",'NEW ACCOUNT'!B214)</f>
        <v/>
      </c>
      <c r="C213" s="35" t="str">
        <f>IF('NEW ACCOUNT'!A214="","",'NEW ACCOUNT'!C214)</f>
        <v/>
      </c>
      <c r="D213" s="35" t="str">
        <f>IF('NEW ACCOUNT'!A214="","",'NEW ACCOUNT'!D214)</f>
        <v/>
      </c>
      <c r="E213" s="35" t="str">
        <f>IF('NEW ACCOUNT'!A214="","",'NEW ACCOUNT'!E214)</f>
        <v/>
      </c>
      <c r="F213" s="35" t="str">
        <f>IF('NEW ACCOUNT'!A214="","",'NEW ACCOUNT'!F214)</f>
        <v/>
      </c>
      <c r="G213" s="35" t="str">
        <f>IF('NEW ACCOUNT'!A214="","",'NEW ACCOUNT'!G214)</f>
        <v/>
      </c>
      <c r="H213" s="35" t="str">
        <f>IF('NEW ACCOUNT'!A214="","",'NEW ACCOUNT'!H214)</f>
        <v/>
      </c>
      <c r="I213" s="35" t="str">
        <f>IF('NEW ACCOUNT'!A214="","",'NEW ACCOUNT'!I214)</f>
        <v/>
      </c>
      <c r="J213" s="35" t="str">
        <f>IF('NEW ACCOUNT'!A214="","",'NEW ACCOUNT'!J214)</f>
        <v/>
      </c>
      <c r="K213" s="36" t="str">
        <f>IFERROR(IF(A213="","",SUMIF(DB_Savings!$A:$A,A213,DB_Savings!$F:$F)),"")</f>
        <v/>
      </c>
      <c r="L213" s="36" t="str">
        <f>IFERROR(IF(A213="","",SUMIF(DB_Withdrawals!$A:$A,A213,DB_Withdrawals!$G:$G)),"")</f>
        <v/>
      </c>
      <c r="M213" s="36" t="str">
        <f>IFERROR(IF(A213="","",IFERROR(VALUE(H213),0)+IFERROR(SUMIF(DB_Savings!$A:$A,A213,DB_Savings!$F:$F),0)-IFERROR(SUMIF(DB_Withdrawals!$A:$A,A213,DB_Withdrawals!$G:$G),0)),"")</f>
        <v/>
      </c>
      <c r="N213" s="36" t="str">
        <f>IFERROR(IF(A213="","",MAX(0,M213-System_Config!$B$9)),"")</f>
        <v/>
      </c>
    </row>
    <row r="214" spans="1:14" ht="20.100000000000001" customHeight="1" x14ac:dyDescent="0.25">
      <c r="A214" s="34" t="str">
        <f>'NEW ACCOUNT'!A215</f>
        <v/>
      </c>
      <c r="B214" s="35" t="str">
        <f>IF('NEW ACCOUNT'!A215="","",'NEW ACCOUNT'!B215)</f>
        <v/>
      </c>
      <c r="C214" s="35" t="str">
        <f>IF('NEW ACCOUNT'!A215="","",'NEW ACCOUNT'!C215)</f>
        <v/>
      </c>
      <c r="D214" s="35" t="str">
        <f>IF('NEW ACCOUNT'!A215="","",'NEW ACCOUNT'!D215)</f>
        <v/>
      </c>
      <c r="E214" s="35" t="str">
        <f>IF('NEW ACCOUNT'!A215="","",'NEW ACCOUNT'!E215)</f>
        <v/>
      </c>
      <c r="F214" s="35" t="str">
        <f>IF('NEW ACCOUNT'!A215="","",'NEW ACCOUNT'!F215)</f>
        <v/>
      </c>
      <c r="G214" s="35" t="str">
        <f>IF('NEW ACCOUNT'!A215="","",'NEW ACCOUNT'!G215)</f>
        <v/>
      </c>
      <c r="H214" s="35" t="str">
        <f>IF('NEW ACCOUNT'!A215="","",'NEW ACCOUNT'!H215)</f>
        <v/>
      </c>
      <c r="I214" s="35" t="str">
        <f>IF('NEW ACCOUNT'!A215="","",'NEW ACCOUNT'!I215)</f>
        <v/>
      </c>
      <c r="J214" s="35" t="str">
        <f>IF('NEW ACCOUNT'!A215="","",'NEW ACCOUNT'!J215)</f>
        <v/>
      </c>
      <c r="K214" s="36" t="str">
        <f>IFERROR(IF(A214="","",SUMIF(DB_Savings!$A:$A,A214,DB_Savings!$F:$F)),"")</f>
        <v/>
      </c>
      <c r="L214" s="36" t="str">
        <f>IFERROR(IF(A214="","",SUMIF(DB_Withdrawals!$A:$A,A214,DB_Withdrawals!$G:$G)),"")</f>
        <v/>
      </c>
      <c r="M214" s="36" t="str">
        <f>IFERROR(IF(A214="","",IFERROR(VALUE(H214),0)+IFERROR(SUMIF(DB_Savings!$A:$A,A214,DB_Savings!$F:$F),0)-IFERROR(SUMIF(DB_Withdrawals!$A:$A,A214,DB_Withdrawals!$G:$G),0)),"")</f>
        <v/>
      </c>
      <c r="N214" s="36" t="str">
        <f>IFERROR(IF(A214="","",MAX(0,M214-System_Config!$B$9)),"")</f>
        <v/>
      </c>
    </row>
    <row r="215" spans="1:14" ht="20.100000000000001" customHeight="1" x14ac:dyDescent="0.25">
      <c r="A215" s="34" t="str">
        <f>'NEW ACCOUNT'!A216</f>
        <v/>
      </c>
      <c r="B215" s="35" t="str">
        <f>IF('NEW ACCOUNT'!A216="","",'NEW ACCOUNT'!B216)</f>
        <v/>
      </c>
      <c r="C215" s="35" t="str">
        <f>IF('NEW ACCOUNT'!A216="","",'NEW ACCOUNT'!C216)</f>
        <v/>
      </c>
      <c r="D215" s="35" t="str">
        <f>IF('NEW ACCOUNT'!A216="","",'NEW ACCOUNT'!D216)</f>
        <v/>
      </c>
      <c r="E215" s="35" t="str">
        <f>IF('NEW ACCOUNT'!A216="","",'NEW ACCOUNT'!E216)</f>
        <v/>
      </c>
      <c r="F215" s="35" t="str">
        <f>IF('NEW ACCOUNT'!A216="","",'NEW ACCOUNT'!F216)</f>
        <v/>
      </c>
      <c r="G215" s="35" t="str">
        <f>IF('NEW ACCOUNT'!A216="","",'NEW ACCOUNT'!G216)</f>
        <v/>
      </c>
      <c r="H215" s="35" t="str">
        <f>IF('NEW ACCOUNT'!A216="","",'NEW ACCOUNT'!H216)</f>
        <v/>
      </c>
      <c r="I215" s="35" t="str">
        <f>IF('NEW ACCOUNT'!A216="","",'NEW ACCOUNT'!I216)</f>
        <v/>
      </c>
      <c r="J215" s="35" t="str">
        <f>IF('NEW ACCOUNT'!A216="","",'NEW ACCOUNT'!J216)</f>
        <v/>
      </c>
      <c r="K215" s="36" t="str">
        <f>IFERROR(IF(A215="","",SUMIF(DB_Savings!$A:$A,A215,DB_Savings!$F:$F)),"")</f>
        <v/>
      </c>
      <c r="L215" s="36" t="str">
        <f>IFERROR(IF(A215="","",SUMIF(DB_Withdrawals!$A:$A,A215,DB_Withdrawals!$G:$G)),"")</f>
        <v/>
      </c>
      <c r="M215" s="36" t="str">
        <f>IFERROR(IF(A215="","",IFERROR(VALUE(H215),0)+IFERROR(SUMIF(DB_Savings!$A:$A,A215,DB_Savings!$F:$F),0)-IFERROR(SUMIF(DB_Withdrawals!$A:$A,A215,DB_Withdrawals!$G:$G),0)),"")</f>
        <v/>
      </c>
      <c r="N215" s="36" t="str">
        <f>IFERROR(IF(A215="","",MAX(0,M215-System_Config!$B$9)),"")</f>
        <v/>
      </c>
    </row>
    <row r="216" spans="1:14" ht="20.100000000000001" customHeight="1" x14ac:dyDescent="0.25">
      <c r="A216" s="34" t="str">
        <f>'NEW ACCOUNT'!A217</f>
        <v/>
      </c>
      <c r="B216" s="35" t="str">
        <f>IF('NEW ACCOUNT'!A217="","",'NEW ACCOUNT'!B217)</f>
        <v/>
      </c>
      <c r="C216" s="35" t="str">
        <f>IF('NEW ACCOUNT'!A217="","",'NEW ACCOUNT'!C217)</f>
        <v/>
      </c>
      <c r="D216" s="35" t="str">
        <f>IF('NEW ACCOUNT'!A217="","",'NEW ACCOUNT'!D217)</f>
        <v/>
      </c>
      <c r="E216" s="35" t="str">
        <f>IF('NEW ACCOUNT'!A217="","",'NEW ACCOUNT'!E217)</f>
        <v/>
      </c>
      <c r="F216" s="35" t="str">
        <f>IF('NEW ACCOUNT'!A217="","",'NEW ACCOUNT'!F217)</f>
        <v/>
      </c>
      <c r="G216" s="35" t="str">
        <f>IF('NEW ACCOUNT'!A217="","",'NEW ACCOUNT'!G217)</f>
        <v/>
      </c>
      <c r="H216" s="35" t="str">
        <f>IF('NEW ACCOUNT'!A217="","",'NEW ACCOUNT'!H217)</f>
        <v/>
      </c>
      <c r="I216" s="35" t="str">
        <f>IF('NEW ACCOUNT'!A217="","",'NEW ACCOUNT'!I217)</f>
        <v/>
      </c>
      <c r="J216" s="35" t="str">
        <f>IF('NEW ACCOUNT'!A217="","",'NEW ACCOUNT'!J217)</f>
        <v/>
      </c>
      <c r="K216" s="36" t="str">
        <f>IFERROR(IF(A216="","",SUMIF(DB_Savings!$A:$A,A216,DB_Savings!$F:$F)),"")</f>
        <v/>
      </c>
      <c r="L216" s="36" t="str">
        <f>IFERROR(IF(A216="","",SUMIF(DB_Withdrawals!$A:$A,A216,DB_Withdrawals!$G:$G)),"")</f>
        <v/>
      </c>
      <c r="M216" s="36" t="str">
        <f>IFERROR(IF(A216="","",IFERROR(VALUE(H216),0)+IFERROR(SUMIF(DB_Savings!$A:$A,A216,DB_Savings!$F:$F),0)-IFERROR(SUMIF(DB_Withdrawals!$A:$A,A216,DB_Withdrawals!$G:$G),0)),"")</f>
        <v/>
      </c>
      <c r="N216" s="36" t="str">
        <f>IFERROR(IF(A216="","",MAX(0,M216-System_Config!$B$9)),"")</f>
        <v/>
      </c>
    </row>
    <row r="217" spans="1:14" ht="20.100000000000001" customHeight="1" x14ac:dyDescent="0.25">
      <c r="A217" s="34" t="str">
        <f>'NEW ACCOUNT'!A218</f>
        <v/>
      </c>
      <c r="B217" s="35" t="str">
        <f>IF('NEW ACCOUNT'!A218="","",'NEW ACCOUNT'!B218)</f>
        <v/>
      </c>
      <c r="C217" s="35" t="str">
        <f>IF('NEW ACCOUNT'!A218="","",'NEW ACCOUNT'!C218)</f>
        <v/>
      </c>
      <c r="D217" s="35" t="str">
        <f>IF('NEW ACCOUNT'!A218="","",'NEW ACCOUNT'!D218)</f>
        <v/>
      </c>
      <c r="E217" s="35" t="str">
        <f>IF('NEW ACCOUNT'!A218="","",'NEW ACCOUNT'!E218)</f>
        <v/>
      </c>
      <c r="F217" s="35" t="str">
        <f>IF('NEW ACCOUNT'!A218="","",'NEW ACCOUNT'!F218)</f>
        <v/>
      </c>
      <c r="G217" s="35" t="str">
        <f>IF('NEW ACCOUNT'!A218="","",'NEW ACCOUNT'!G218)</f>
        <v/>
      </c>
      <c r="H217" s="35" t="str">
        <f>IF('NEW ACCOUNT'!A218="","",'NEW ACCOUNT'!H218)</f>
        <v/>
      </c>
      <c r="I217" s="35" t="str">
        <f>IF('NEW ACCOUNT'!A218="","",'NEW ACCOUNT'!I218)</f>
        <v/>
      </c>
      <c r="J217" s="35" t="str">
        <f>IF('NEW ACCOUNT'!A218="","",'NEW ACCOUNT'!J218)</f>
        <v/>
      </c>
      <c r="K217" s="36" t="str">
        <f>IFERROR(IF(A217="","",SUMIF(DB_Savings!$A:$A,A217,DB_Savings!$F:$F)),"")</f>
        <v/>
      </c>
      <c r="L217" s="36" t="str">
        <f>IFERROR(IF(A217="","",SUMIF(DB_Withdrawals!$A:$A,A217,DB_Withdrawals!$G:$G)),"")</f>
        <v/>
      </c>
      <c r="M217" s="36" t="str">
        <f>IFERROR(IF(A217="","",IFERROR(VALUE(H217),0)+IFERROR(SUMIF(DB_Savings!$A:$A,A217,DB_Savings!$F:$F),0)-IFERROR(SUMIF(DB_Withdrawals!$A:$A,A217,DB_Withdrawals!$G:$G),0)),"")</f>
        <v/>
      </c>
      <c r="N217" s="36" t="str">
        <f>IFERROR(IF(A217="","",MAX(0,M217-System_Config!$B$9)),"")</f>
        <v/>
      </c>
    </row>
    <row r="218" spans="1:14" ht="20.100000000000001" customHeight="1" x14ac:dyDescent="0.25">
      <c r="A218" s="34" t="str">
        <f>'NEW ACCOUNT'!A219</f>
        <v/>
      </c>
      <c r="B218" s="35" t="str">
        <f>IF('NEW ACCOUNT'!A219="","",'NEW ACCOUNT'!B219)</f>
        <v/>
      </c>
      <c r="C218" s="35" t="str">
        <f>IF('NEW ACCOUNT'!A219="","",'NEW ACCOUNT'!C219)</f>
        <v/>
      </c>
      <c r="D218" s="35" t="str">
        <f>IF('NEW ACCOUNT'!A219="","",'NEW ACCOUNT'!D219)</f>
        <v/>
      </c>
      <c r="E218" s="35" t="str">
        <f>IF('NEW ACCOUNT'!A219="","",'NEW ACCOUNT'!E219)</f>
        <v/>
      </c>
      <c r="F218" s="35" t="str">
        <f>IF('NEW ACCOUNT'!A219="","",'NEW ACCOUNT'!F219)</f>
        <v/>
      </c>
      <c r="G218" s="35" t="str">
        <f>IF('NEW ACCOUNT'!A219="","",'NEW ACCOUNT'!G219)</f>
        <v/>
      </c>
      <c r="H218" s="35" t="str">
        <f>IF('NEW ACCOUNT'!A219="","",'NEW ACCOUNT'!H219)</f>
        <v/>
      </c>
      <c r="I218" s="35" t="str">
        <f>IF('NEW ACCOUNT'!A219="","",'NEW ACCOUNT'!I219)</f>
        <v/>
      </c>
      <c r="J218" s="35" t="str">
        <f>IF('NEW ACCOUNT'!A219="","",'NEW ACCOUNT'!J219)</f>
        <v/>
      </c>
      <c r="K218" s="36" t="str">
        <f>IFERROR(IF(A218="","",SUMIF(DB_Savings!$A:$A,A218,DB_Savings!$F:$F)),"")</f>
        <v/>
      </c>
      <c r="L218" s="36" t="str">
        <f>IFERROR(IF(A218="","",SUMIF(DB_Withdrawals!$A:$A,A218,DB_Withdrawals!$G:$G)),"")</f>
        <v/>
      </c>
      <c r="M218" s="36" t="str">
        <f>IFERROR(IF(A218="","",IFERROR(VALUE(H218),0)+IFERROR(SUMIF(DB_Savings!$A:$A,A218,DB_Savings!$F:$F),0)-IFERROR(SUMIF(DB_Withdrawals!$A:$A,A218,DB_Withdrawals!$G:$G),0)),"")</f>
        <v/>
      </c>
      <c r="N218" s="36" t="str">
        <f>IFERROR(IF(A218="","",MAX(0,M218-System_Config!$B$9)),"")</f>
        <v/>
      </c>
    </row>
    <row r="219" spans="1:14" ht="20.100000000000001" customHeight="1" x14ac:dyDescent="0.25">
      <c r="A219" s="34" t="str">
        <f>'NEW ACCOUNT'!A220</f>
        <v/>
      </c>
      <c r="B219" s="35" t="str">
        <f>IF('NEW ACCOUNT'!A220="","",'NEW ACCOUNT'!B220)</f>
        <v/>
      </c>
      <c r="C219" s="35" t="str">
        <f>IF('NEW ACCOUNT'!A220="","",'NEW ACCOUNT'!C220)</f>
        <v/>
      </c>
      <c r="D219" s="35" t="str">
        <f>IF('NEW ACCOUNT'!A220="","",'NEW ACCOUNT'!D220)</f>
        <v/>
      </c>
      <c r="E219" s="35" t="str">
        <f>IF('NEW ACCOUNT'!A220="","",'NEW ACCOUNT'!E220)</f>
        <v/>
      </c>
      <c r="F219" s="35" t="str">
        <f>IF('NEW ACCOUNT'!A220="","",'NEW ACCOUNT'!F220)</f>
        <v/>
      </c>
      <c r="G219" s="35" t="str">
        <f>IF('NEW ACCOUNT'!A220="","",'NEW ACCOUNT'!G220)</f>
        <v/>
      </c>
      <c r="H219" s="35" t="str">
        <f>IF('NEW ACCOUNT'!A220="","",'NEW ACCOUNT'!H220)</f>
        <v/>
      </c>
      <c r="I219" s="35" t="str">
        <f>IF('NEW ACCOUNT'!A220="","",'NEW ACCOUNT'!I220)</f>
        <v/>
      </c>
      <c r="J219" s="35" t="str">
        <f>IF('NEW ACCOUNT'!A220="","",'NEW ACCOUNT'!J220)</f>
        <v/>
      </c>
      <c r="K219" s="36" t="str">
        <f>IFERROR(IF(A219="","",SUMIF(DB_Savings!$A:$A,A219,DB_Savings!$F:$F)),"")</f>
        <v/>
      </c>
      <c r="L219" s="36" t="str">
        <f>IFERROR(IF(A219="","",SUMIF(DB_Withdrawals!$A:$A,A219,DB_Withdrawals!$G:$G)),"")</f>
        <v/>
      </c>
      <c r="M219" s="36" t="str">
        <f>IFERROR(IF(A219="","",IFERROR(VALUE(H219),0)+IFERROR(SUMIF(DB_Savings!$A:$A,A219,DB_Savings!$F:$F),0)-IFERROR(SUMIF(DB_Withdrawals!$A:$A,A219,DB_Withdrawals!$G:$G),0)),"")</f>
        <v/>
      </c>
      <c r="N219" s="36" t="str">
        <f>IFERROR(IF(A219="","",MAX(0,M219-System_Config!$B$9)),"")</f>
        <v/>
      </c>
    </row>
    <row r="220" spans="1:14" ht="20.100000000000001" customHeight="1" x14ac:dyDescent="0.25">
      <c r="A220" s="34" t="str">
        <f>'NEW ACCOUNT'!A221</f>
        <v/>
      </c>
      <c r="B220" s="35" t="str">
        <f>IF('NEW ACCOUNT'!A221="","",'NEW ACCOUNT'!B221)</f>
        <v/>
      </c>
      <c r="C220" s="35" t="str">
        <f>IF('NEW ACCOUNT'!A221="","",'NEW ACCOUNT'!C221)</f>
        <v/>
      </c>
      <c r="D220" s="35" t="str">
        <f>IF('NEW ACCOUNT'!A221="","",'NEW ACCOUNT'!D221)</f>
        <v/>
      </c>
      <c r="E220" s="35" t="str">
        <f>IF('NEW ACCOUNT'!A221="","",'NEW ACCOUNT'!E221)</f>
        <v/>
      </c>
      <c r="F220" s="35" t="str">
        <f>IF('NEW ACCOUNT'!A221="","",'NEW ACCOUNT'!F221)</f>
        <v/>
      </c>
      <c r="G220" s="35" t="str">
        <f>IF('NEW ACCOUNT'!A221="","",'NEW ACCOUNT'!G221)</f>
        <v/>
      </c>
      <c r="H220" s="35" t="str">
        <f>IF('NEW ACCOUNT'!A221="","",'NEW ACCOUNT'!H221)</f>
        <v/>
      </c>
      <c r="I220" s="35" t="str">
        <f>IF('NEW ACCOUNT'!A221="","",'NEW ACCOUNT'!I221)</f>
        <v/>
      </c>
      <c r="J220" s="35" t="str">
        <f>IF('NEW ACCOUNT'!A221="","",'NEW ACCOUNT'!J221)</f>
        <v/>
      </c>
      <c r="K220" s="36" t="str">
        <f>IFERROR(IF(A220="","",SUMIF(DB_Savings!$A:$A,A220,DB_Savings!$F:$F)),"")</f>
        <v/>
      </c>
      <c r="L220" s="36" t="str">
        <f>IFERROR(IF(A220="","",SUMIF(DB_Withdrawals!$A:$A,A220,DB_Withdrawals!$G:$G)),"")</f>
        <v/>
      </c>
      <c r="M220" s="36" t="str">
        <f>IFERROR(IF(A220="","",IFERROR(VALUE(H220),0)+IFERROR(SUMIF(DB_Savings!$A:$A,A220,DB_Savings!$F:$F),0)-IFERROR(SUMIF(DB_Withdrawals!$A:$A,A220,DB_Withdrawals!$G:$G),0)),"")</f>
        <v/>
      </c>
      <c r="N220" s="36" t="str">
        <f>IFERROR(IF(A220="","",MAX(0,M220-System_Config!$B$9)),"")</f>
        <v/>
      </c>
    </row>
    <row r="221" spans="1:14" ht="20.100000000000001" customHeight="1" x14ac:dyDescent="0.25">
      <c r="A221" s="34" t="str">
        <f>'NEW ACCOUNT'!A222</f>
        <v/>
      </c>
      <c r="B221" s="35" t="str">
        <f>IF('NEW ACCOUNT'!A222="","",'NEW ACCOUNT'!B222)</f>
        <v/>
      </c>
      <c r="C221" s="35" t="str">
        <f>IF('NEW ACCOUNT'!A222="","",'NEW ACCOUNT'!C222)</f>
        <v/>
      </c>
      <c r="D221" s="35" t="str">
        <f>IF('NEW ACCOUNT'!A222="","",'NEW ACCOUNT'!D222)</f>
        <v/>
      </c>
      <c r="E221" s="35" t="str">
        <f>IF('NEW ACCOUNT'!A222="","",'NEW ACCOUNT'!E222)</f>
        <v/>
      </c>
      <c r="F221" s="35" t="str">
        <f>IF('NEW ACCOUNT'!A222="","",'NEW ACCOUNT'!F222)</f>
        <v/>
      </c>
      <c r="G221" s="35" t="str">
        <f>IF('NEW ACCOUNT'!A222="","",'NEW ACCOUNT'!G222)</f>
        <v/>
      </c>
      <c r="H221" s="35" t="str">
        <f>IF('NEW ACCOUNT'!A222="","",'NEW ACCOUNT'!H222)</f>
        <v/>
      </c>
      <c r="I221" s="35" t="str">
        <f>IF('NEW ACCOUNT'!A222="","",'NEW ACCOUNT'!I222)</f>
        <v/>
      </c>
      <c r="J221" s="35" t="str">
        <f>IF('NEW ACCOUNT'!A222="","",'NEW ACCOUNT'!J222)</f>
        <v/>
      </c>
      <c r="K221" s="36" t="str">
        <f>IFERROR(IF(A221="","",SUMIF(DB_Savings!$A:$A,A221,DB_Savings!$F:$F)),"")</f>
        <v/>
      </c>
      <c r="L221" s="36" t="str">
        <f>IFERROR(IF(A221="","",SUMIF(DB_Withdrawals!$A:$A,A221,DB_Withdrawals!$G:$G)),"")</f>
        <v/>
      </c>
      <c r="M221" s="36" t="str">
        <f>IFERROR(IF(A221="","",IFERROR(VALUE(H221),0)+IFERROR(SUMIF(DB_Savings!$A:$A,A221,DB_Savings!$F:$F),0)-IFERROR(SUMIF(DB_Withdrawals!$A:$A,A221,DB_Withdrawals!$G:$G),0)),"")</f>
        <v/>
      </c>
      <c r="N221" s="36" t="str">
        <f>IFERROR(IF(A221="","",MAX(0,M221-System_Config!$B$9)),"")</f>
        <v/>
      </c>
    </row>
    <row r="222" spans="1:14" ht="20.100000000000001" customHeight="1" x14ac:dyDescent="0.25">
      <c r="A222" s="34" t="str">
        <f>'NEW ACCOUNT'!A223</f>
        <v/>
      </c>
      <c r="B222" s="35" t="str">
        <f>IF('NEW ACCOUNT'!A223="","",'NEW ACCOUNT'!B223)</f>
        <v/>
      </c>
      <c r="C222" s="35" t="str">
        <f>IF('NEW ACCOUNT'!A223="","",'NEW ACCOUNT'!C223)</f>
        <v/>
      </c>
      <c r="D222" s="35" t="str">
        <f>IF('NEW ACCOUNT'!A223="","",'NEW ACCOUNT'!D223)</f>
        <v/>
      </c>
      <c r="E222" s="35" t="str">
        <f>IF('NEW ACCOUNT'!A223="","",'NEW ACCOUNT'!E223)</f>
        <v/>
      </c>
      <c r="F222" s="35" t="str">
        <f>IF('NEW ACCOUNT'!A223="","",'NEW ACCOUNT'!F223)</f>
        <v/>
      </c>
      <c r="G222" s="35" t="str">
        <f>IF('NEW ACCOUNT'!A223="","",'NEW ACCOUNT'!G223)</f>
        <v/>
      </c>
      <c r="H222" s="35" t="str">
        <f>IF('NEW ACCOUNT'!A223="","",'NEW ACCOUNT'!H223)</f>
        <v/>
      </c>
      <c r="I222" s="35" t="str">
        <f>IF('NEW ACCOUNT'!A223="","",'NEW ACCOUNT'!I223)</f>
        <v/>
      </c>
      <c r="J222" s="35" t="str">
        <f>IF('NEW ACCOUNT'!A223="","",'NEW ACCOUNT'!J223)</f>
        <v/>
      </c>
      <c r="K222" s="36" t="str">
        <f>IFERROR(IF(A222="","",SUMIF(DB_Savings!$A:$A,A222,DB_Savings!$F:$F)),"")</f>
        <v/>
      </c>
      <c r="L222" s="36" t="str">
        <f>IFERROR(IF(A222="","",SUMIF(DB_Withdrawals!$A:$A,A222,DB_Withdrawals!$G:$G)),"")</f>
        <v/>
      </c>
      <c r="M222" s="36" t="str">
        <f>IFERROR(IF(A222="","",IFERROR(VALUE(H222),0)+IFERROR(SUMIF(DB_Savings!$A:$A,A222,DB_Savings!$F:$F),0)-IFERROR(SUMIF(DB_Withdrawals!$A:$A,A222,DB_Withdrawals!$G:$G),0)),"")</f>
        <v/>
      </c>
      <c r="N222" s="36" t="str">
        <f>IFERROR(IF(A222="","",MAX(0,M222-System_Config!$B$9)),"")</f>
        <v/>
      </c>
    </row>
    <row r="223" spans="1:14" ht="20.100000000000001" customHeight="1" x14ac:dyDescent="0.25">
      <c r="A223" s="34" t="str">
        <f>'NEW ACCOUNT'!A224</f>
        <v/>
      </c>
      <c r="B223" s="35" t="str">
        <f>IF('NEW ACCOUNT'!A224="","",'NEW ACCOUNT'!B224)</f>
        <v/>
      </c>
      <c r="C223" s="35" t="str">
        <f>IF('NEW ACCOUNT'!A224="","",'NEW ACCOUNT'!C224)</f>
        <v/>
      </c>
      <c r="D223" s="35" t="str">
        <f>IF('NEW ACCOUNT'!A224="","",'NEW ACCOUNT'!D224)</f>
        <v/>
      </c>
      <c r="E223" s="35" t="str">
        <f>IF('NEW ACCOUNT'!A224="","",'NEW ACCOUNT'!E224)</f>
        <v/>
      </c>
      <c r="F223" s="35" t="str">
        <f>IF('NEW ACCOUNT'!A224="","",'NEW ACCOUNT'!F224)</f>
        <v/>
      </c>
      <c r="G223" s="35" t="str">
        <f>IF('NEW ACCOUNT'!A224="","",'NEW ACCOUNT'!G224)</f>
        <v/>
      </c>
      <c r="H223" s="35" t="str">
        <f>IF('NEW ACCOUNT'!A224="","",'NEW ACCOUNT'!H224)</f>
        <v/>
      </c>
      <c r="I223" s="35" t="str">
        <f>IF('NEW ACCOUNT'!A224="","",'NEW ACCOUNT'!I224)</f>
        <v/>
      </c>
      <c r="J223" s="35" t="str">
        <f>IF('NEW ACCOUNT'!A224="","",'NEW ACCOUNT'!J224)</f>
        <v/>
      </c>
      <c r="K223" s="36" t="str">
        <f>IFERROR(IF(A223="","",SUMIF(DB_Savings!$A:$A,A223,DB_Savings!$F:$F)),"")</f>
        <v/>
      </c>
      <c r="L223" s="36" t="str">
        <f>IFERROR(IF(A223="","",SUMIF(DB_Withdrawals!$A:$A,A223,DB_Withdrawals!$G:$G)),"")</f>
        <v/>
      </c>
      <c r="M223" s="36" t="str">
        <f>IFERROR(IF(A223="","",IFERROR(VALUE(H223),0)+IFERROR(SUMIF(DB_Savings!$A:$A,A223,DB_Savings!$F:$F),0)-IFERROR(SUMIF(DB_Withdrawals!$A:$A,A223,DB_Withdrawals!$G:$G),0)),"")</f>
        <v/>
      </c>
      <c r="N223" s="36" t="str">
        <f>IFERROR(IF(A223="","",MAX(0,M223-System_Config!$B$9)),"")</f>
        <v/>
      </c>
    </row>
    <row r="224" spans="1:14" ht="20.100000000000001" customHeight="1" x14ac:dyDescent="0.25">
      <c r="A224" s="34" t="str">
        <f>'NEW ACCOUNT'!A225</f>
        <v/>
      </c>
      <c r="B224" s="35" t="str">
        <f>IF('NEW ACCOUNT'!A225="","",'NEW ACCOUNT'!B225)</f>
        <v/>
      </c>
      <c r="C224" s="35" t="str">
        <f>IF('NEW ACCOUNT'!A225="","",'NEW ACCOUNT'!C225)</f>
        <v/>
      </c>
      <c r="D224" s="35" t="str">
        <f>IF('NEW ACCOUNT'!A225="","",'NEW ACCOUNT'!D225)</f>
        <v/>
      </c>
      <c r="E224" s="35" t="str">
        <f>IF('NEW ACCOUNT'!A225="","",'NEW ACCOUNT'!E225)</f>
        <v/>
      </c>
      <c r="F224" s="35" t="str">
        <f>IF('NEW ACCOUNT'!A225="","",'NEW ACCOUNT'!F225)</f>
        <v/>
      </c>
      <c r="G224" s="35" t="str">
        <f>IF('NEW ACCOUNT'!A225="","",'NEW ACCOUNT'!G225)</f>
        <v/>
      </c>
      <c r="H224" s="35" t="str">
        <f>IF('NEW ACCOUNT'!A225="","",'NEW ACCOUNT'!H225)</f>
        <v/>
      </c>
      <c r="I224" s="35" t="str">
        <f>IF('NEW ACCOUNT'!A225="","",'NEW ACCOUNT'!I225)</f>
        <v/>
      </c>
      <c r="J224" s="35" t="str">
        <f>IF('NEW ACCOUNT'!A225="","",'NEW ACCOUNT'!J225)</f>
        <v/>
      </c>
      <c r="K224" s="36" t="str">
        <f>IFERROR(IF(A224="","",SUMIF(DB_Savings!$A:$A,A224,DB_Savings!$F:$F)),"")</f>
        <v/>
      </c>
      <c r="L224" s="36" t="str">
        <f>IFERROR(IF(A224="","",SUMIF(DB_Withdrawals!$A:$A,A224,DB_Withdrawals!$G:$G)),"")</f>
        <v/>
      </c>
      <c r="M224" s="36" t="str">
        <f>IFERROR(IF(A224="","",IFERROR(VALUE(H224),0)+IFERROR(SUMIF(DB_Savings!$A:$A,A224,DB_Savings!$F:$F),0)-IFERROR(SUMIF(DB_Withdrawals!$A:$A,A224,DB_Withdrawals!$G:$G),0)),"")</f>
        <v/>
      </c>
      <c r="N224" s="36" t="str">
        <f>IFERROR(IF(A224="","",MAX(0,M224-System_Config!$B$9)),"")</f>
        <v/>
      </c>
    </row>
    <row r="225" spans="1:14" ht="20.100000000000001" customHeight="1" x14ac:dyDescent="0.25">
      <c r="A225" s="34" t="str">
        <f>'NEW ACCOUNT'!A226</f>
        <v/>
      </c>
      <c r="B225" s="35" t="str">
        <f>IF('NEW ACCOUNT'!A226="","",'NEW ACCOUNT'!B226)</f>
        <v/>
      </c>
      <c r="C225" s="35" t="str">
        <f>IF('NEW ACCOUNT'!A226="","",'NEW ACCOUNT'!C226)</f>
        <v/>
      </c>
      <c r="D225" s="35" t="str">
        <f>IF('NEW ACCOUNT'!A226="","",'NEW ACCOUNT'!D226)</f>
        <v/>
      </c>
      <c r="E225" s="35" t="str">
        <f>IF('NEW ACCOUNT'!A226="","",'NEW ACCOUNT'!E226)</f>
        <v/>
      </c>
      <c r="F225" s="35" t="str">
        <f>IF('NEW ACCOUNT'!A226="","",'NEW ACCOUNT'!F226)</f>
        <v/>
      </c>
      <c r="G225" s="35" t="str">
        <f>IF('NEW ACCOUNT'!A226="","",'NEW ACCOUNT'!G226)</f>
        <v/>
      </c>
      <c r="H225" s="35" t="str">
        <f>IF('NEW ACCOUNT'!A226="","",'NEW ACCOUNT'!H226)</f>
        <v/>
      </c>
      <c r="I225" s="35" t="str">
        <f>IF('NEW ACCOUNT'!A226="","",'NEW ACCOUNT'!I226)</f>
        <v/>
      </c>
      <c r="J225" s="35" t="str">
        <f>IF('NEW ACCOUNT'!A226="","",'NEW ACCOUNT'!J226)</f>
        <v/>
      </c>
      <c r="K225" s="36" t="str">
        <f>IFERROR(IF(A225="","",SUMIF(DB_Savings!$A:$A,A225,DB_Savings!$F:$F)),"")</f>
        <v/>
      </c>
      <c r="L225" s="36" t="str">
        <f>IFERROR(IF(A225="","",SUMIF(DB_Withdrawals!$A:$A,A225,DB_Withdrawals!$G:$G)),"")</f>
        <v/>
      </c>
      <c r="M225" s="36" t="str">
        <f>IFERROR(IF(A225="","",IFERROR(VALUE(H225),0)+IFERROR(SUMIF(DB_Savings!$A:$A,A225,DB_Savings!$F:$F),0)-IFERROR(SUMIF(DB_Withdrawals!$A:$A,A225,DB_Withdrawals!$G:$G),0)),"")</f>
        <v/>
      </c>
      <c r="N225" s="36" t="str">
        <f>IFERROR(IF(A225="","",MAX(0,M225-System_Config!$B$9)),"")</f>
        <v/>
      </c>
    </row>
    <row r="226" spans="1:14" ht="20.100000000000001" customHeight="1" x14ac:dyDescent="0.25">
      <c r="A226" s="34" t="str">
        <f>'NEW ACCOUNT'!A227</f>
        <v/>
      </c>
      <c r="B226" s="35" t="str">
        <f>IF('NEW ACCOUNT'!A227="","",'NEW ACCOUNT'!B227)</f>
        <v/>
      </c>
      <c r="C226" s="35" t="str">
        <f>IF('NEW ACCOUNT'!A227="","",'NEW ACCOUNT'!C227)</f>
        <v/>
      </c>
      <c r="D226" s="35" t="str">
        <f>IF('NEW ACCOUNT'!A227="","",'NEW ACCOUNT'!D227)</f>
        <v/>
      </c>
      <c r="E226" s="35" t="str">
        <f>IF('NEW ACCOUNT'!A227="","",'NEW ACCOUNT'!E227)</f>
        <v/>
      </c>
      <c r="F226" s="35" t="str">
        <f>IF('NEW ACCOUNT'!A227="","",'NEW ACCOUNT'!F227)</f>
        <v/>
      </c>
      <c r="G226" s="35" t="str">
        <f>IF('NEW ACCOUNT'!A227="","",'NEW ACCOUNT'!G227)</f>
        <v/>
      </c>
      <c r="H226" s="35" t="str">
        <f>IF('NEW ACCOUNT'!A227="","",'NEW ACCOUNT'!H227)</f>
        <v/>
      </c>
      <c r="I226" s="35" t="str">
        <f>IF('NEW ACCOUNT'!A227="","",'NEW ACCOUNT'!I227)</f>
        <v/>
      </c>
      <c r="J226" s="35" t="str">
        <f>IF('NEW ACCOUNT'!A227="","",'NEW ACCOUNT'!J227)</f>
        <v/>
      </c>
      <c r="K226" s="36" t="str">
        <f>IFERROR(IF(A226="","",SUMIF(DB_Savings!$A:$A,A226,DB_Savings!$F:$F)),"")</f>
        <v/>
      </c>
      <c r="L226" s="36" t="str">
        <f>IFERROR(IF(A226="","",SUMIF(DB_Withdrawals!$A:$A,A226,DB_Withdrawals!$G:$G)),"")</f>
        <v/>
      </c>
      <c r="M226" s="36" t="str">
        <f>IFERROR(IF(A226="","",IFERROR(VALUE(H226),0)+IFERROR(SUMIF(DB_Savings!$A:$A,A226,DB_Savings!$F:$F),0)-IFERROR(SUMIF(DB_Withdrawals!$A:$A,A226,DB_Withdrawals!$G:$G),0)),"")</f>
        <v/>
      </c>
      <c r="N226" s="36" t="str">
        <f>IFERROR(IF(A226="","",MAX(0,M226-System_Config!$B$9)),"")</f>
        <v/>
      </c>
    </row>
    <row r="227" spans="1:14" ht="20.100000000000001" customHeight="1" x14ac:dyDescent="0.25">
      <c r="A227" s="34" t="str">
        <f>'NEW ACCOUNT'!A228</f>
        <v/>
      </c>
      <c r="B227" s="35" t="str">
        <f>IF('NEW ACCOUNT'!A228="","",'NEW ACCOUNT'!B228)</f>
        <v/>
      </c>
      <c r="C227" s="35" t="str">
        <f>IF('NEW ACCOUNT'!A228="","",'NEW ACCOUNT'!C228)</f>
        <v/>
      </c>
      <c r="D227" s="35" t="str">
        <f>IF('NEW ACCOUNT'!A228="","",'NEW ACCOUNT'!D228)</f>
        <v/>
      </c>
      <c r="E227" s="35" t="str">
        <f>IF('NEW ACCOUNT'!A228="","",'NEW ACCOUNT'!E228)</f>
        <v/>
      </c>
      <c r="F227" s="35" t="str">
        <f>IF('NEW ACCOUNT'!A228="","",'NEW ACCOUNT'!F228)</f>
        <v/>
      </c>
      <c r="G227" s="35" t="str">
        <f>IF('NEW ACCOUNT'!A228="","",'NEW ACCOUNT'!G228)</f>
        <v/>
      </c>
      <c r="H227" s="35" t="str">
        <f>IF('NEW ACCOUNT'!A228="","",'NEW ACCOUNT'!H228)</f>
        <v/>
      </c>
      <c r="I227" s="35" t="str">
        <f>IF('NEW ACCOUNT'!A228="","",'NEW ACCOUNT'!I228)</f>
        <v/>
      </c>
      <c r="J227" s="35" t="str">
        <f>IF('NEW ACCOUNT'!A228="","",'NEW ACCOUNT'!J228)</f>
        <v/>
      </c>
      <c r="K227" s="36" t="str">
        <f>IFERROR(IF(A227="","",SUMIF(DB_Savings!$A:$A,A227,DB_Savings!$F:$F)),"")</f>
        <v/>
      </c>
      <c r="L227" s="36" t="str">
        <f>IFERROR(IF(A227="","",SUMIF(DB_Withdrawals!$A:$A,A227,DB_Withdrawals!$G:$G)),"")</f>
        <v/>
      </c>
      <c r="M227" s="36" t="str">
        <f>IFERROR(IF(A227="","",IFERROR(VALUE(H227),0)+IFERROR(SUMIF(DB_Savings!$A:$A,A227,DB_Savings!$F:$F),0)-IFERROR(SUMIF(DB_Withdrawals!$A:$A,A227,DB_Withdrawals!$G:$G),0)),"")</f>
        <v/>
      </c>
      <c r="N227" s="36" t="str">
        <f>IFERROR(IF(A227="","",MAX(0,M227-System_Config!$B$9)),"")</f>
        <v/>
      </c>
    </row>
    <row r="228" spans="1:14" ht="20.100000000000001" customHeight="1" x14ac:dyDescent="0.25">
      <c r="A228" s="34" t="str">
        <f>'NEW ACCOUNT'!A229</f>
        <v/>
      </c>
      <c r="B228" s="35" t="str">
        <f>IF('NEW ACCOUNT'!A229="","",'NEW ACCOUNT'!B229)</f>
        <v/>
      </c>
      <c r="C228" s="35" t="str">
        <f>IF('NEW ACCOUNT'!A229="","",'NEW ACCOUNT'!C229)</f>
        <v/>
      </c>
      <c r="D228" s="35" t="str">
        <f>IF('NEW ACCOUNT'!A229="","",'NEW ACCOUNT'!D229)</f>
        <v/>
      </c>
      <c r="E228" s="35" t="str">
        <f>IF('NEW ACCOUNT'!A229="","",'NEW ACCOUNT'!E229)</f>
        <v/>
      </c>
      <c r="F228" s="35" t="str">
        <f>IF('NEW ACCOUNT'!A229="","",'NEW ACCOUNT'!F229)</f>
        <v/>
      </c>
      <c r="G228" s="35" t="str">
        <f>IF('NEW ACCOUNT'!A229="","",'NEW ACCOUNT'!G229)</f>
        <v/>
      </c>
      <c r="H228" s="35" t="str">
        <f>IF('NEW ACCOUNT'!A229="","",'NEW ACCOUNT'!H229)</f>
        <v/>
      </c>
      <c r="I228" s="35" t="str">
        <f>IF('NEW ACCOUNT'!A229="","",'NEW ACCOUNT'!I229)</f>
        <v/>
      </c>
      <c r="J228" s="35" t="str">
        <f>IF('NEW ACCOUNT'!A229="","",'NEW ACCOUNT'!J229)</f>
        <v/>
      </c>
      <c r="K228" s="36" t="str">
        <f>IFERROR(IF(A228="","",SUMIF(DB_Savings!$A:$A,A228,DB_Savings!$F:$F)),"")</f>
        <v/>
      </c>
      <c r="L228" s="36" t="str">
        <f>IFERROR(IF(A228="","",SUMIF(DB_Withdrawals!$A:$A,A228,DB_Withdrawals!$G:$G)),"")</f>
        <v/>
      </c>
      <c r="M228" s="36" t="str">
        <f>IFERROR(IF(A228="","",IFERROR(VALUE(H228),0)+IFERROR(SUMIF(DB_Savings!$A:$A,A228,DB_Savings!$F:$F),0)-IFERROR(SUMIF(DB_Withdrawals!$A:$A,A228,DB_Withdrawals!$G:$G),0)),"")</f>
        <v/>
      </c>
      <c r="N228" s="36" t="str">
        <f>IFERROR(IF(A228="","",MAX(0,M228-System_Config!$B$9)),"")</f>
        <v/>
      </c>
    </row>
    <row r="229" spans="1:14" ht="20.100000000000001" customHeight="1" x14ac:dyDescent="0.25">
      <c r="A229" s="34" t="str">
        <f>'NEW ACCOUNT'!A230</f>
        <v/>
      </c>
      <c r="B229" s="35" t="str">
        <f>IF('NEW ACCOUNT'!A230="","",'NEW ACCOUNT'!B230)</f>
        <v/>
      </c>
      <c r="C229" s="35" t="str">
        <f>IF('NEW ACCOUNT'!A230="","",'NEW ACCOUNT'!C230)</f>
        <v/>
      </c>
      <c r="D229" s="35" t="str">
        <f>IF('NEW ACCOUNT'!A230="","",'NEW ACCOUNT'!D230)</f>
        <v/>
      </c>
      <c r="E229" s="35" t="str">
        <f>IF('NEW ACCOUNT'!A230="","",'NEW ACCOUNT'!E230)</f>
        <v/>
      </c>
      <c r="F229" s="35" t="str">
        <f>IF('NEW ACCOUNT'!A230="","",'NEW ACCOUNT'!F230)</f>
        <v/>
      </c>
      <c r="G229" s="35" t="str">
        <f>IF('NEW ACCOUNT'!A230="","",'NEW ACCOUNT'!G230)</f>
        <v/>
      </c>
      <c r="H229" s="35" t="str">
        <f>IF('NEW ACCOUNT'!A230="","",'NEW ACCOUNT'!H230)</f>
        <v/>
      </c>
      <c r="I229" s="35" t="str">
        <f>IF('NEW ACCOUNT'!A230="","",'NEW ACCOUNT'!I230)</f>
        <v/>
      </c>
      <c r="J229" s="35" t="str">
        <f>IF('NEW ACCOUNT'!A230="","",'NEW ACCOUNT'!J230)</f>
        <v/>
      </c>
      <c r="K229" s="36" t="str">
        <f>IFERROR(IF(A229="","",SUMIF(DB_Savings!$A:$A,A229,DB_Savings!$F:$F)),"")</f>
        <v/>
      </c>
      <c r="L229" s="36" t="str">
        <f>IFERROR(IF(A229="","",SUMIF(DB_Withdrawals!$A:$A,A229,DB_Withdrawals!$G:$G)),"")</f>
        <v/>
      </c>
      <c r="M229" s="36" t="str">
        <f>IFERROR(IF(A229="","",IFERROR(VALUE(H229),0)+IFERROR(SUMIF(DB_Savings!$A:$A,A229,DB_Savings!$F:$F),0)-IFERROR(SUMIF(DB_Withdrawals!$A:$A,A229,DB_Withdrawals!$G:$G),0)),"")</f>
        <v/>
      </c>
      <c r="N229" s="36" t="str">
        <f>IFERROR(IF(A229="","",MAX(0,M229-System_Config!$B$9)),"")</f>
        <v/>
      </c>
    </row>
    <row r="230" spans="1:14" ht="20.100000000000001" customHeight="1" x14ac:dyDescent="0.25">
      <c r="A230" s="34" t="str">
        <f>'NEW ACCOUNT'!A231</f>
        <v/>
      </c>
      <c r="B230" s="35" t="str">
        <f>IF('NEW ACCOUNT'!A231="","",'NEW ACCOUNT'!B231)</f>
        <v/>
      </c>
      <c r="C230" s="35" t="str">
        <f>IF('NEW ACCOUNT'!A231="","",'NEW ACCOUNT'!C231)</f>
        <v/>
      </c>
      <c r="D230" s="35" t="str">
        <f>IF('NEW ACCOUNT'!A231="","",'NEW ACCOUNT'!D231)</f>
        <v/>
      </c>
      <c r="E230" s="35" t="str">
        <f>IF('NEW ACCOUNT'!A231="","",'NEW ACCOUNT'!E231)</f>
        <v/>
      </c>
      <c r="F230" s="35" t="str">
        <f>IF('NEW ACCOUNT'!A231="","",'NEW ACCOUNT'!F231)</f>
        <v/>
      </c>
      <c r="G230" s="35" t="str">
        <f>IF('NEW ACCOUNT'!A231="","",'NEW ACCOUNT'!G231)</f>
        <v/>
      </c>
      <c r="H230" s="35" t="str">
        <f>IF('NEW ACCOUNT'!A231="","",'NEW ACCOUNT'!H231)</f>
        <v/>
      </c>
      <c r="I230" s="35" t="str">
        <f>IF('NEW ACCOUNT'!A231="","",'NEW ACCOUNT'!I231)</f>
        <v/>
      </c>
      <c r="J230" s="35" t="str">
        <f>IF('NEW ACCOUNT'!A231="","",'NEW ACCOUNT'!J231)</f>
        <v/>
      </c>
      <c r="K230" s="36" t="str">
        <f>IFERROR(IF(A230="","",SUMIF(DB_Savings!$A:$A,A230,DB_Savings!$F:$F)),"")</f>
        <v/>
      </c>
      <c r="L230" s="36" t="str">
        <f>IFERROR(IF(A230="","",SUMIF(DB_Withdrawals!$A:$A,A230,DB_Withdrawals!$G:$G)),"")</f>
        <v/>
      </c>
      <c r="M230" s="36" t="str">
        <f>IFERROR(IF(A230="","",IFERROR(VALUE(H230),0)+IFERROR(SUMIF(DB_Savings!$A:$A,A230,DB_Savings!$F:$F),0)-IFERROR(SUMIF(DB_Withdrawals!$A:$A,A230,DB_Withdrawals!$G:$G),0)),"")</f>
        <v/>
      </c>
      <c r="N230" s="36" t="str">
        <f>IFERROR(IF(A230="","",MAX(0,M230-System_Config!$B$9)),"")</f>
        <v/>
      </c>
    </row>
    <row r="231" spans="1:14" ht="20.100000000000001" customHeight="1" x14ac:dyDescent="0.25">
      <c r="A231" s="34" t="str">
        <f>'NEW ACCOUNT'!A232</f>
        <v/>
      </c>
      <c r="B231" s="35" t="str">
        <f>IF('NEW ACCOUNT'!A232="","",'NEW ACCOUNT'!B232)</f>
        <v/>
      </c>
      <c r="C231" s="35" t="str">
        <f>IF('NEW ACCOUNT'!A232="","",'NEW ACCOUNT'!C232)</f>
        <v/>
      </c>
      <c r="D231" s="35" t="str">
        <f>IF('NEW ACCOUNT'!A232="","",'NEW ACCOUNT'!D232)</f>
        <v/>
      </c>
      <c r="E231" s="35" t="str">
        <f>IF('NEW ACCOUNT'!A232="","",'NEW ACCOUNT'!E232)</f>
        <v/>
      </c>
      <c r="F231" s="35" t="str">
        <f>IF('NEW ACCOUNT'!A232="","",'NEW ACCOUNT'!F232)</f>
        <v/>
      </c>
      <c r="G231" s="35" t="str">
        <f>IF('NEW ACCOUNT'!A232="","",'NEW ACCOUNT'!G232)</f>
        <v/>
      </c>
      <c r="H231" s="35" t="str">
        <f>IF('NEW ACCOUNT'!A232="","",'NEW ACCOUNT'!H232)</f>
        <v/>
      </c>
      <c r="I231" s="35" t="str">
        <f>IF('NEW ACCOUNT'!A232="","",'NEW ACCOUNT'!I232)</f>
        <v/>
      </c>
      <c r="J231" s="35" t="str">
        <f>IF('NEW ACCOUNT'!A232="","",'NEW ACCOUNT'!J232)</f>
        <v/>
      </c>
      <c r="K231" s="36" t="str">
        <f>IFERROR(IF(A231="","",SUMIF(DB_Savings!$A:$A,A231,DB_Savings!$F:$F)),"")</f>
        <v/>
      </c>
      <c r="L231" s="36" t="str">
        <f>IFERROR(IF(A231="","",SUMIF(DB_Withdrawals!$A:$A,A231,DB_Withdrawals!$G:$G)),"")</f>
        <v/>
      </c>
      <c r="M231" s="36" t="str">
        <f>IFERROR(IF(A231="","",IFERROR(VALUE(H231),0)+IFERROR(SUMIF(DB_Savings!$A:$A,A231,DB_Savings!$F:$F),0)-IFERROR(SUMIF(DB_Withdrawals!$A:$A,A231,DB_Withdrawals!$G:$G),0)),"")</f>
        <v/>
      </c>
      <c r="N231" s="36" t="str">
        <f>IFERROR(IF(A231="","",MAX(0,M231-System_Config!$B$9)),"")</f>
        <v/>
      </c>
    </row>
    <row r="232" spans="1:14" ht="20.100000000000001" customHeight="1" x14ac:dyDescent="0.25">
      <c r="A232" s="34" t="str">
        <f>'NEW ACCOUNT'!A233</f>
        <v/>
      </c>
      <c r="B232" s="35" t="str">
        <f>IF('NEW ACCOUNT'!A233="","",'NEW ACCOUNT'!B233)</f>
        <v/>
      </c>
      <c r="C232" s="35" t="str">
        <f>IF('NEW ACCOUNT'!A233="","",'NEW ACCOUNT'!C233)</f>
        <v/>
      </c>
      <c r="D232" s="35" t="str">
        <f>IF('NEW ACCOUNT'!A233="","",'NEW ACCOUNT'!D233)</f>
        <v/>
      </c>
      <c r="E232" s="35" t="str">
        <f>IF('NEW ACCOUNT'!A233="","",'NEW ACCOUNT'!E233)</f>
        <v/>
      </c>
      <c r="F232" s="35" t="str">
        <f>IF('NEW ACCOUNT'!A233="","",'NEW ACCOUNT'!F233)</f>
        <v/>
      </c>
      <c r="G232" s="35" t="str">
        <f>IF('NEW ACCOUNT'!A233="","",'NEW ACCOUNT'!G233)</f>
        <v/>
      </c>
      <c r="H232" s="35" t="str">
        <f>IF('NEW ACCOUNT'!A233="","",'NEW ACCOUNT'!H233)</f>
        <v/>
      </c>
      <c r="I232" s="35" t="str">
        <f>IF('NEW ACCOUNT'!A233="","",'NEW ACCOUNT'!I233)</f>
        <v/>
      </c>
      <c r="J232" s="35" t="str">
        <f>IF('NEW ACCOUNT'!A233="","",'NEW ACCOUNT'!J233)</f>
        <v/>
      </c>
      <c r="K232" s="36" t="str">
        <f>IFERROR(IF(A232="","",SUMIF(DB_Savings!$A:$A,A232,DB_Savings!$F:$F)),"")</f>
        <v/>
      </c>
      <c r="L232" s="36" t="str">
        <f>IFERROR(IF(A232="","",SUMIF(DB_Withdrawals!$A:$A,A232,DB_Withdrawals!$G:$G)),"")</f>
        <v/>
      </c>
      <c r="M232" s="36" t="str">
        <f>IFERROR(IF(A232="","",IFERROR(VALUE(H232),0)+IFERROR(SUMIF(DB_Savings!$A:$A,A232,DB_Savings!$F:$F),0)-IFERROR(SUMIF(DB_Withdrawals!$A:$A,A232,DB_Withdrawals!$G:$G),0)),"")</f>
        <v/>
      </c>
      <c r="N232" s="36" t="str">
        <f>IFERROR(IF(A232="","",MAX(0,M232-System_Config!$B$9)),"")</f>
        <v/>
      </c>
    </row>
    <row r="233" spans="1:14" ht="20.100000000000001" customHeight="1" x14ac:dyDescent="0.25">
      <c r="A233" s="34" t="str">
        <f>'NEW ACCOUNT'!A234</f>
        <v/>
      </c>
      <c r="B233" s="35" t="str">
        <f>IF('NEW ACCOUNT'!A234="","",'NEW ACCOUNT'!B234)</f>
        <v/>
      </c>
      <c r="C233" s="35" t="str">
        <f>IF('NEW ACCOUNT'!A234="","",'NEW ACCOUNT'!C234)</f>
        <v/>
      </c>
      <c r="D233" s="35" t="str">
        <f>IF('NEW ACCOUNT'!A234="","",'NEW ACCOUNT'!D234)</f>
        <v/>
      </c>
      <c r="E233" s="35" t="str">
        <f>IF('NEW ACCOUNT'!A234="","",'NEW ACCOUNT'!E234)</f>
        <v/>
      </c>
      <c r="F233" s="35" t="str">
        <f>IF('NEW ACCOUNT'!A234="","",'NEW ACCOUNT'!F234)</f>
        <v/>
      </c>
      <c r="G233" s="35" t="str">
        <f>IF('NEW ACCOUNT'!A234="","",'NEW ACCOUNT'!G234)</f>
        <v/>
      </c>
      <c r="H233" s="35" t="str">
        <f>IF('NEW ACCOUNT'!A234="","",'NEW ACCOUNT'!H234)</f>
        <v/>
      </c>
      <c r="I233" s="35" t="str">
        <f>IF('NEW ACCOUNT'!A234="","",'NEW ACCOUNT'!I234)</f>
        <v/>
      </c>
      <c r="J233" s="35" t="str">
        <f>IF('NEW ACCOUNT'!A234="","",'NEW ACCOUNT'!J234)</f>
        <v/>
      </c>
      <c r="K233" s="36" t="str">
        <f>IFERROR(IF(A233="","",SUMIF(DB_Savings!$A:$A,A233,DB_Savings!$F:$F)),"")</f>
        <v/>
      </c>
      <c r="L233" s="36" t="str">
        <f>IFERROR(IF(A233="","",SUMIF(DB_Withdrawals!$A:$A,A233,DB_Withdrawals!$G:$G)),"")</f>
        <v/>
      </c>
      <c r="M233" s="36" t="str">
        <f>IFERROR(IF(A233="","",IFERROR(VALUE(H233),0)+IFERROR(SUMIF(DB_Savings!$A:$A,A233,DB_Savings!$F:$F),0)-IFERROR(SUMIF(DB_Withdrawals!$A:$A,A233,DB_Withdrawals!$G:$G),0)),"")</f>
        <v/>
      </c>
      <c r="N233" s="36" t="str">
        <f>IFERROR(IF(A233="","",MAX(0,M233-System_Config!$B$9)),"")</f>
        <v/>
      </c>
    </row>
    <row r="234" spans="1:14" ht="20.100000000000001" customHeight="1" x14ac:dyDescent="0.25">
      <c r="A234" s="34" t="str">
        <f>'NEW ACCOUNT'!A235</f>
        <v/>
      </c>
      <c r="B234" s="35" t="str">
        <f>IF('NEW ACCOUNT'!A235="","",'NEW ACCOUNT'!B235)</f>
        <v/>
      </c>
      <c r="C234" s="35" t="str">
        <f>IF('NEW ACCOUNT'!A235="","",'NEW ACCOUNT'!C235)</f>
        <v/>
      </c>
      <c r="D234" s="35" t="str">
        <f>IF('NEW ACCOUNT'!A235="","",'NEW ACCOUNT'!D235)</f>
        <v/>
      </c>
      <c r="E234" s="35" t="str">
        <f>IF('NEW ACCOUNT'!A235="","",'NEW ACCOUNT'!E235)</f>
        <v/>
      </c>
      <c r="F234" s="35" t="str">
        <f>IF('NEW ACCOUNT'!A235="","",'NEW ACCOUNT'!F235)</f>
        <v/>
      </c>
      <c r="G234" s="35" t="str">
        <f>IF('NEW ACCOUNT'!A235="","",'NEW ACCOUNT'!G235)</f>
        <v/>
      </c>
      <c r="H234" s="35" t="str">
        <f>IF('NEW ACCOUNT'!A235="","",'NEW ACCOUNT'!H235)</f>
        <v/>
      </c>
      <c r="I234" s="35" t="str">
        <f>IF('NEW ACCOUNT'!A235="","",'NEW ACCOUNT'!I235)</f>
        <v/>
      </c>
      <c r="J234" s="35" t="str">
        <f>IF('NEW ACCOUNT'!A235="","",'NEW ACCOUNT'!J235)</f>
        <v/>
      </c>
      <c r="K234" s="36" t="str">
        <f>IFERROR(IF(A234="","",SUMIF(DB_Savings!$A:$A,A234,DB_Savings!$F:$F)),"")</f>
        <v/>
      </c>
      <c r="L234" s="36" t="str">
        <f>IFERROR(IF(A234="","",SUMIF(DB_Withdrawals!$A:$A,A234,DB_Withdrawals!$G:$G)),"")</f>
        <v/>
      </c>
      <c r="M234" s="36" t="str">
        <f>IFERROR(IF(A234="","",IFERROR(VALUE(H234),0)+IFERROR(SUMIF(DB_Savings!$A:$A,A234,DB_Savings!$F:$F),0)-IFERROR(SUMIF(DB_Withdrawals!$A:$A,A234,DB_Withdrawals!$G:$G),0)),"")</f>
        <v/>
      </c>
      <c r="N234" s="36" t="str">
        <f>IFERROR(IF(A234="","",MAX(0,M234-System_Config!$B$9)),"")</f>
        <v/>
      </c>
    </row>
    <row r="235" spans="1:14" ht="20.100000000000001" customHeight="1" x14ac:dyDescent="0.25">
      <c r="A235" s="34" t="str">
        <f>'NEW ACCOUNT'!A236</f>
        <v/>
      </c>
      <c r="B235" s="35" t="str">
        <f>IF('NEW ACCOUNT'!A236="","",'NEW ACCOUNT'!B236)</f>
        <v/>
      </c>
      <c r="C235" s="35" t="str">
        <f>IF('NEW ACCOUNT'!A236="","",'NEW ACCOUNT'!C236)</f>
        <v/>
      </c>
      <c r="D235" s="35" t="str">
        <f>IF('NEW ACCOUNT'!A236="","",'NEW ACCOUNT'!D236)</f>
        <v/>
      </c>
      <c r="E235" s="35" t="str">
        <f>IF('NEW ACCOUNT'!A236="","",'NEW ACCOUNT'!E236)</f>
        <v/>
      </c>
      <c r="F235" s="35" t="str">
        <f>IF('NEW ACCOUNT'!A236="","",'NEW ACCOUNT'!F236)</f>
        <v/>
      </c>
      <c r="G235" s="35" t="str">
        <f>IF('NEW ACCOUNT'!A236="","",'NEW ACCOUNT'!G236)</f>
        <v/>
      </c>
      <c r="H235" s="35" t="str">
        <f>IF('NEW ACCOUNT'!A236="","",'NEW ACCOUNT'!H236)</f>
        <v/>
      </c>
      <c r="I235" s="35" t="str">
        <f>IF('NEW ACCOUNT'!A236="","",'NEW ACCOUNT'!I236)</f>
        <v/>
      </c>
      <c r="J235" s="35" t="str">
        <f>IF('NEW ACCOUNT'!A236="","",'NEW ACCOUNT'!J236)</f>
        <v/>
      </c>
      <c r="K235" s="36" t="str">
        <f>IFERROR(IF(A235="","",SUMIF(DB_Savings!$A:$A,A235,DB_Savings!$F:$F)),"")</f>
        <v/>
      </c>
      <c r="L235" s="36" t="str">
        <f>IFERROR(IF(A235="","",SUMIF(DB_Withdrawals!$A:$A,A235,DB_Withdrawals!$G:$G)),"")</f>
        <v/>
      </c>
      <c r="M235" s="36" t="str">
        <f>IFERROR(IF(A235="","",IFERROR(VALUE(H235),0)+IFERROR(SUMIF(DB_Savings!$A:$A,A235,DB_Savings!$F:$F),0)-IFERROR(SUMIF(DB_Withdrawals!$A:$A,A235,DB_Withdrawals!$G:$G),0)),"")</f>
        <v/>
      </c>
      <c r="N235" s="36" t="str">
        <f>IFERROR(IF(A235="","",MAX(0,M235-System_Config!$B$9)),"")</f>
        <v/>
      </c>
    </row>
    <row r="236" spans="1:14" ht="20.100000000000001" customHeight="1" x14ac:dyDescent="0.25">
      <c r="A236" s="34" t="str">
        <f>'NEW ACCOUNT'!A237</f>
        <v/>
      </c>
      <c r="B236" s="35" t="str">
        <f>IF('NEW ACCOUNT'!A237="","",'NEW ACCOUNT'!B237)</f>
        <v/>
      </c>
      <c r="C236" s="35" t="str">
        <f>IF('NEW ACCOUNT'!A237="","",'NEW ACCOUNT'!C237)</f>
        <v/>
      </c>
      <c r="D236" s="35" t="str">
        <f>IF('NEW ACCOUNT'!A237="","",'NEW ACCOUNT'!D237)</f>
        <v/>
      </c>
      <c r="E236" s="35" t="str">
        <f>IF('NEW ACCOUNT'!A237="","",'NEW ACCOUNT'!E237)</f>
        <v/>
      </c>
      <c r="F236" s="35" t="str">
        <f>IF('NEW ACCOUNT'!A237="","",'NEW ACCOUNT'!F237)</f>
        <v/>
      </c>
      <c r="G236" s="35" t="str">
        <f>IF('NEW ACCOUNT'!A237="","",'NEW ACCOUNT'!G237)</f>
        <v/>
      </c>
      <c r="H236" s="35" t="str">
        <f>IF('NEW ACCOUNT'!A237="","",'NEW ACCOUNT'!H237)</f>
        <v/>
      </c>
      <c r="I236" s="35" t="str">
        <f>IF('NEW ACCOUNT'!A237="","",'NEW ACCOUNT'!I237)</f>
        <v/>
      </c>
      <c r="J236" s="35" t="str">
        <f>IF('NEW ACCOUNT'!A237="","",'NEW ACCOUNT'!J237)</f>
        <v/>
      </c>
      <c r="K236" s="36" t="str">
        <f>IFERROR(IF(A236="","",SUMIF(DB_Savings!$A:$A,A236,DB_Savings!$F:$F)),"")</f>
        <v/>
      </c>
      <c r="L236" s="36" t="str">
        <f>IFERROR(IF(A236="","",SUMIF(DB_Withdrawals!$A:$A,A236,DB_Withdrawals!$G:$G)),"")</f>
        <v/>
      </c>
      <c r="M236" s="36" t="str">
        <f>IFERROR(IF(A236="","",IFERROR(VALUE(H236),0)+IFERROR(SUMIF(DB_Savings!$A:$A,A236,DB_Savings!$F:$F),0)-IFERROR(SUMIF(DB_Withdrawals!$A:$A,A236,DB_Withdrawals!$G:$G),0)),"")</f>
        <v/>
      </c>
      <c r="N236" s="36" t="str">
        <f>IFERROR(IF(A236="","",MAX(0,M236-System_Config!$B$9)),"")</f>
        <v/>
      </c>
    </row>
    <row r="237" spans="1:14" ht="20.100000000000001" customHeight="1" x14ac:dyDescent="0.25">
      <c r="A237" s="34" t="str">
        <f>'NEW ACCOUNT'!A238</f>
        <v/>
      </c>
      <c r="B237" s="35" t="str">
        <f>IF('NEW ACCOUNT'!A238="","",'NEW ACCOUNT'!B238)</f>
        <v/>
      </c>
      <c r="C237" s="35" t="str">
        <f>IF('NEW ACCOUNT'!A238="","",'NEW ACCOUNT'!C238)</f>
        <v/>
      </c>
      <c r="D237" s="35" t="str">
        <f>IF('NEW ACCOUNT'!A238="","",'NEW ACCOUNT'!D238)</f>
        <v/>
      </c>
      <c r="E237" s="35" t="str">
        <f>IF('NEW ACCOUNT'!A238="","",'NEW ACCOUNT'!E238)</f>
        <v/>
      </c>
      <c r="F237" s="35" t="str">
        <f>IF('NEW ACCOUNT'!A238="","",'NEW ACCOUNT'!F238)</f>
        <v/>
      </c>
      <c r="G237" s="35" t="str">
        <f>IF('NEW ACCOUNT'!A238="","",'NEW ACCOUNT'!G238)</f>
        <v/>
      </c>
      <c r="H237" s="35" t="str">
        <f>IF('NEW ACCOUNT'!A238="","",'NEW ACCOUNT'!H238)</f>
        <v/>
      </c>
      <c r="I237" s="35" t="str">
        <f>IF('NEW ACCOUNT'!A238="","",'NEW ACCOUNT'!I238)</f>
        <v/>
      </c>
      <c r="J237" s="35" t="str">
        <f>IF('NEW ACCOUNT'!A238="","",'NEW ACCOUNT'!J238)</f>
        <v/>
      </c>
      <c r="K237" s="36" t="str">
        <f>IFERROR(IF(A237="","",SUMIF(DB_Savings!$A:$A,A237,DB_Savings!$F:$F)),"")</f>
        <v/>
      </c>
      <c r="L237" s="36" t="str">
        <f>IFERROR(IF(A237="","",SUMIF(DB_Withdrawals!$A:$A,A237,DB_Withdrawals!$G:$G)),"")</f>
        <v/>
      </c>
      <c r="M237" s="36" t="str">
        <f>IFERROR(IF(A237="","",IFERROR(VALUE(H237),0)+IFERROR(SUMIF(DB_Savings!$A:$A,A237,DB_Savings!$F:$F),0)-IFERROR(SUMIF(DB_Withdrawals!$A:$A,A237,DB_Withdrawals!$G:$G),0)),"")</f>
        <v/>
      </c>
      <c r="N237" s="36" t="str">
        <f>IFERROR(IF(A237="","",MAX(0,M237-System_Config!$B$9)),"")</f>
        <v/>
      </c>
    </row>
    <row r="238" spans="1:14" ht="20.100000000000001" customHeight="1" x14ac:dyDescent="0.25">
      <c r="A238" s="34" t="str">
        <f>'NEW ACCOUNT'!A239</f>
        <v/>
      </c>
      <c r="B238" s="35" t="str">
        <f>IF('NEW ACCOUNT'!A239="","",'NEW ACCOUNT'!B239)</f>
        <v/>
      </c>
      <c r="C238" s="35" t="str">
        <f>IF('NEW ACCOUNT'!A239="","",'NEW ACCOUNT'!C239)</f>
        <v/>
      </c>
      <c r="D238" s="35" t="str">
        <f>IF('NEW ACCOUNT'!A239="","",'NEW ACCOUNT'!D239)</f>
        <v/>
      </c>
      <c r="E238" s="35" t="str">
        <f>IF('NEW ACCOUNT'!A239="","",'NEW ACCOUNT'!E239)</f>
        <v/>
      </c>
      <c r="F238" s="35" t="str">
        <f>IF('NEW ACCOUNT'!A239="","",'NEW ACCOUNT'!F239)</f>
        <v/>
      </c>
      <c r="G238" s="35" t="str">
        <f>IF('NEW ACCOUNT'!A239="","",'NEW ACCOUNT'!G239)</f>
        <v/>
      </c>
      <c r="H238" s="35" t="str">
        <f>IF('NEW ACCOUNT'!A239="","",'NEW ACCOUNT'!H239)</f>
        <v/>
      </c>
      <c r="I238" s="35" t="str">
        <f>IF('NEW ACCOUNT'!A239="","",'NEW ACCOUNT'!I239)</f>
        <v/>
      </c>
      <c r="J238" s="35" t="str">
        <f>IF('NEW ACCOUNT'!A239="","",'NEW ACCOUNT'!J239)</f>
        <v/>
      </c>
      <c r="K238" s="36" t="str">
        <f>IFERROR(IF(A238="","",SUMIF(DB_Savings!$A:$A,A238,DB_Savings!$F:$F)),"")</f>
        <v/>
      </c>
      <c r="L238" s="36" t="str">
        <f>IFERROR(IF(A238="","",SUMIF(DB_Withdrawals!$A:$A,A238,DB_Withdrawals!$G:$G)),"")</f>
        <v/>
      </c>
      <c r="M238" s="36" t="str">
        <f>IFERROR(IF(A238="","",IFERROR(VALUE(H238),0)+IFERROR(SUMIF(DB_Savings!$A:$A,A238,DB_Savings!$F:$F),0)-IFERROR(SUMIF(DB_Withdrawals!$A:$A,A238,DB_Withdrawals!$G:$G),0)),"")</f>
        <v/>
      </c>
      <c r="N238" s="36" t="str">
        <f>IFERROR(IF(A238="","",MAX(0,M238-System_Config!$B$9)),"")</f>
        <v/>
      </c>
    </row>
    <row r="239" spans="1:14" ht="20.100000000000001" customHeight="1" x14ac:dyDescent="0.25">
      <c r="A239" s="34" t="str">
        <f>'NEW ACCOUNT'!A240</f>
        <v/>
      </c>
      <c r="B239" s="35" t="str">
        <f>IF('NEW ACCOUNT'!A240="","",'NEW ACCOUNT'!B240)</f>
        <v/>
      </c>
      <c r="C239" s="35" t="str">
        <f>IF('NEW ACCOUNT'!A240="","",'NEW ACCOUNT'!C240)</f>
        <v/>
      </c>
      <c r="D239" s="35" t="str">
        <f>IF('NEW ACCOUNT'!A240="","",'NEW ACCOUNT'!D240)</f>
        <v/>
      </c>
      <c r="E239" s="35" t="str">
        <f>IF('NEW ACCOUNT'!A240="","",'NEW ACCOUNT'!E240)</f>
        <v/>
      </c>
      <c r="F239" s="35" t="str">
        <f>IF('NEW ACCOUNT'!A240="","",'NEW ACCOUNT'!F240)</f>
        <v/>
      </c>
      <c r="G239" s="35" t="str">
        <f>IF('NEW ACCOUNT'!A240="","",'NEW ACCOUNT'!G240)</f>
        <v/>
      </c>
      <c r="H239" s="35" t="str">
        <f>IF('NEW ACCOUNT'!A240="","",'NEW ACCOUNT'!H240)</f>
        <v/>
      </c>
      <c r="I239" s="35" t="str">
        <f>IF('NEW ACCOUNT'!A240="","",'NEW ACCOUNT'!I240)</f>
        <v/>
      </c>
      <c r="J239" s="35" t="str">
        <f>IF('NEW ACCOUNT'!A240="","",'NEW ACCOUNT'!J240)</f>
        <v/>
      </c>
      <c r="K239" s="36" t="str">
        <f>IFERROR(IF(A239="","",SUMIF(DB_Savings!$A:$A,A239,DB_Savings!$F:$F)),"")</f>
        <v/>
      </c>
      <c r="L239" s="36" t="str">
        <f>IFERROR(IF(A239="","",SUMIF(DB_Withdrawals!$A:$A,A239,DB_Withdrawals!$G:$G)),"")</f>
        <v/>
      </c>
      <c r="M239" s="36" t="str">
        <f>IFERROR(IF(A239="","",IFERROR(VALUE(H239),0)+IFERROR(SUMIF(DB_Savings!$A:$A,A239,DB_Savings!$F:$F),0)-IFERROR(SUMIF(DB_Withdrawals!$A:$A,A239,DB_Withdrawals!$G:$G),0)),"")</f>
        <v/>
      </c>
      <c r="N239" s="36" t="str">
        <f>IFERROR(IF(A239="","",MAX(0,M239-System_Config!$B$9)),"")</f>
        <v/>
      </c>
    </row>
    <row r="240" spans="1:14" ht="20.100000000000001" customHeight="1" x14ac:dyDescent="0.25">
      <c r="A240" s="34" t="str">
        <f>'NEW ACCOUNT'!A241</f>
        <v/>
      </c>
      <c r="B240" s="35" t="str">
        <f>IF('NEW ACCOUNT'!A241="","",'NEW ACCOUNT'!B241)</f>
        <v/>
      </c>
      <c r="C240" s="35" t="str">
        <f>IF('NEW ACCOUNT'!A241="","",'NEW ACCOUNT'!C241)</f>
        <v/>
      </c>
      <c r="D240" s="35" t="str">
        <f>IF('NEW ACCOUNT'!A241="","",'NEW ACCOUNT'!D241)</f>
        <v/>
      </c>
      <c r="E240" s="35" t="str">
        <f>IF('NEW ACCOUNT'!A241="","",'NEW ACCOUNT'!E241)</f>
        <v/>
      </c>
      <c r="F240" s="35" t="str">
        <f>IF('NEW ACCOUNT'!A241="","",'NEW ACCOUNT'!F241)</f>
        <v/>
      </c>
      <c r="G240" s="35" t="str">
        <f>IF('NEW ACCOUNT'!A241="","",'NEW ACCOUNT'!G241)</f>
        <v/>
      </c>
      <c r="H240" s="35" t="str">
        <f>IF('NEW ACCOUNT'!A241="","",'NEW ACCOUNT'!H241)</f>
        <v/>
      </c>
      <c r="I240" s="35" t="str">
        <f>IF('NEW ACCOUNT'!A241="","",'NEW ACCOUNT'!I241)</f>
        <v/>
      </c>
      <c r="J240" s="35" t="str">
        <f>IF('NEW ACCOUNT'!A241="","",'NEW ACCOUNT'!J241)</f>
        <v/>
      </c>
      <c r="K240" s="36" t="str">
        <f>IFERROR(IF(A240="","",SUMIF(DB_Savings!$A:$A,A240,DB_Savings!$F:$F)),"")</f>
        <v/>
      </c>
      <c r="L240" s="36" t="str">
        <f>IFERROR(IF(A240="","",SUMIF(DB_Withdrawals!$A:$A,A240,DB_Withdrawals!$G:$G)),"")</f>
        <v/>
      </c>
      <c r="M240" s="36" t="str">
        <f>IFERROR(IF(A240="","",IFERROR(VALUE(H240),0)+IFERROR(SUMIF(DB_Savings!$A:$A,A240,DB_Savings!$F:$F),0)-IFERROR(SUMIF(DB_Withdrawals!$A:$A,A240,DB_Withdrawals!$G:$G),0)),"")</f>
        <v/>
      </c>
      <c r="N240" s="36" t="str">
        <f>IFERROR(IF(A240="","",MAX(0,M240-System_Config!$B$9)),"")</f>
        <v/>
      </c>
    </row>
    <row r="241" spans="1:14" ht="20.100000000000001" customHeight="1" x14ac:dyDescent="0.25">
      <c r="A241" s="34" t="str">
        <f>'NEW ACCOUNT'!A242</f>
        <v/>
      </c>
      <c r="B241" s="35" t="str">
        <f>IF('NEW ACCOUNT'!A242="","",'NEW ACCOUNT'!B242)</f>
        <v/>
      </c>
      <c r="C241" s="35" t="str">
        <f>IF('NEW ACCOUNT'!A242="","",'NEW ACCOUNT'!C242)</f>
        <v/>
      </c>
      <c r="D241" s="35" t="str">
        <f>IF('NEW ACCOUNT'!A242="","",'NEW ACCOUNT'!D242)</f>
        <v/>
      </c>
      <c r="E241" s="35" t="str">
        <f>IF('NEW ACCOUNT'!A242="","",'NEW ACCOUNT'!E242)</f>
        <v/>
      </c>
      <c r="F241" s="35" t="str">
        <f>IF('NEW ACCOUNT'!A242="","",'NEW ACCOUNT'!F242)</f>
        <v/>
      </c>
      <c r="G241" s="35" t="str">
        <f>IF('NEW ACCOUNT'!A242="","",'NEW ACCOUNT'!G242)</f>
        <v/>
      </c>
      <c r="H241" s="35" t="str">
        <f>IF('NEW ACCOUNT'!A242="","",'NEW ACCOUNT'!H242)</f>
        <v/>
      </c>
      <c r="I241" s="35" t="str">
        <f>IF('NEW ACCOUNT'!A242="","",'NEW ACCOUNT'!I242)</f>
        <v/>
      </c>
      <c r="J241" s="35" t="str">
        <f>IF('NEW ACCOUNT'!A242="","",'NEW ACCOUNT'!J242)</f>
        <v/>
      </c>
      <c r="K241" s="36" t="str">
        <f>IFERROR(IF(A241="","",SUMIF(DB_Savings!$A:$A,A241,DB_Savings!$F:$F)),"")</f>
        <v/>
      </c>
      <c r="L241" s="36" t="str">
        <f>IFERROR(IF(A241="","",SUMIF(DB_Withdrawals!$A:$A,A241,DB_Withdrawals!$G:$G)),"")</f>
        <v/>
      </c>
      <c r="M241" s="36" t="str">
        <f>IFERROR(IF(A241="","",IFERROR(VALUE(H241),0)+IFERROR(SUMIF(DB_Savings!$A:$A,A241,DB_Savings!$F:$F),0)-IFERROR(SUMIF(DB_Withdrawals!$A:$A,A241,DB_Withdrawals!$G:$G),0)),"")</f>
        <v/>
      </c>
      <c r="N241" s="36" t="str">
        <f>IFERROR(IF(A241="","",MAX(0,M241-System_Config!$B$9)),"")</f>
        <v/>
      </c>
    </row>
    <row r="242" spans="1:14" ht="20.100000000000001" customHeight="1" x14ac:dyDescent="0.25">
      <c r="A242" s="34" t="str">
        <f>'NEW ACCOUNT'!A243</f>
        <v/>
      </c>
      <c r="B242" s="35" t="str">
        <f>IF('NEW ACCOUNT'!A243="","",'NEW ACCOUNT'!B243)</f>
        <v/>
      </c>
      <c r="C242" s="35" t="str">
        <f>IF('NEW ACCOUNT'!A243="","",'NEW ACCOUNT'!C243)</f>
        <v/>
      </c>
      <c r="D242" s="35" t="str">
        <f>IF('NEW ACCOUNT'!A243="","",'NEW ACCOUNT'!D243)</f>
        <v/>
      </c>
      <c r="E242" s="35" t="str">
        <f>IF('NEW ACCOUNT'!A243="","",'NEW ACCOUNT'!E243)</f>
        <v/>
      </c>
      <c r="F242" s="35" t="str">
        <f>IF('NEW ACCOUNT'!A243="","",'NEW ACCOUNT'!F243)</f>
        <v/>
      </c>
      <c r="G242" s="35" t="str">
        <f>IF('NEW ACCOUNT'!A243="","",'NEW ACCOUNT'!G243)</f>
        <v/>
      </c>
      <c r="H242" s="35" t="str">
        <f>IF('NEW ACCOUNT'!A243="","",'NEW ACCOUNT'!H243)</f>
        <v/>
      </c>
      <c r="I242" s="35" t="str">
        <f>IF('NEW ACCOUNT'!A243="","",'NEW ACCOUNT'!I243)</f>
        <v/>
      </c>
      <c r="J242" s="35" t="str">
        <f>IF('NEW ACCOUNT'!A243="","",'NEW ACCOUNT'!J243)</f>
        <v/>
      </c>
      <c r="K242" s="36" t="str">
        <f>IFERROR(IF(A242="","",SUMIF(DB_Savings!$A:$A,A242,DB_Savings!$F:$F)),"")</f>
        <v/>
      </c>
      <c r="L242" s="36" t="str">
        <f>IFERROR(IF(A242="","",SUMIF(DB_Withdrawals!$A:$A,A242,DB_Withdrawals!$G:$G)),"")</f>
        <v/>
      </c>
      <c r="M242" s="36" t="str">
        <f>IFERROR(IF(A242="","",IFERROR(VALUE(H242),0)+IFERROR(SUMIF(DB_Savings!$A:$A,A242,DB_Savings!$F:$F),0)-IFERROR(SUMIF(DB_Withdrawals!$A:$A,A242,DB_Withdrawals!$G:$G),0)),"")</f>
        <v/>
      </c>
      <c r="N242" s="36" t="str">
        <f>IFERROR(IF(A242="","",MAX(0,M242-System_Config!$B$9)),"")</f>
        <v/>
      </c>
    </row>
    <row r="243" spans="1:14" ht="20.100000000000001" customHeight="1" x14ac:dyDescent="0.25">
      <c r="A243" s="34" t="str">
        <f>'NEW ACCOUNT'!A244</f>
        <v/>
      </c>
      <c r="B243" s="35" t="str">
        <f>IF('NEW ACCOUNT'!A244="","",'NEW ACCOUNT'!B244)</f>
        <v/>
      </c>
      <c r="C243" s="35" t="str">
        <f>IF('NEW ACCOUNT'!A244="","",'NEW ACCOUNT'!C244)</f>
        <v/>
      </c>
      <c r="D243" s="35" t="str">
        <f>IF('NEW ACCOUNT'!A244="","",'NEW ACCOUNT'!D244)</f>
        <v/>
      </c>
      <c r="E243" s="35" t="str">
        <f>IF('NEW ACCOUNT'!A244="","",'NEW ACCOUNT'!E244)</f>
        <v/>
      </c>
      <c r="F243" s="35" t="str">
        <f>IF('NEW ACCOUNT'!A244="","",'NEW ACCOUNT'!F244)</f>
        <v/>
      </c>
      <c r="G243" s="35" t="str">
        <f>IF('NEW ACCOUNT'!A244="","",'NEW ACCOUNT'!G244)</f>
        <v/>
      </c>
      <c r="H243" s="35" t="str">
        <f>IF('NEW ACCOUNT'!A244="","",'NEW ACCOUNT'!H244)</f>
        <v/>
      </c>
      <c r="I243" s="35" t="str">
        <f>IF('NEW ACCOUNT'!A244="","",'NEW ACCOUNT'!I244)</f>
        <v/>
      </c>
      <c r="J243" s="35" t="str">
        <f>IF('NEW ACCOUNT'!A244="","",'NEW ACCOUNT'!J244)</f>
        <v/>
      </c>
      <c r="K243" s="36" t="str">
        <f>IFERROR(IF(A243="","",SUMIF(DB_Savings!$A:$A,A243,DB_Savings!$F:$F)),"")</f>
        <v/>
      </c>
      <c r="L243" s="36" t="str">
        <f>IFERROR(IF(A243="","",SUMIF(DB_Withdrawals!$A:$A,A243,DB_Withdrawals!$G:$G)),"")</f>
        <v/>
      </c>
      <c r="M243" s="36" t="str">
        <f>IFERROR(IF(A243="","",IFERROR(VALUE(H243),0)+IFERROR(SUMIF(DB_Savings!$A:$A,A243,DB_Savings!$F:$F),0)-IFERROR(SUMIF(DB_Withdrawals!$A:$A,A243,DB_Withdrawals!$G:$G),0)),"")</f>
        <v/>
      </c>
      <c r="N243" s="36" t="str">
        <f>IFERROR(IF(A243="","",MAX(0,M243-System_Config!$B$9)),"")</f>
        <v/>
      </c>
    </row>
    <row r="244" spans="1:14" ht="20.100000000000001" customHeight="1" x14ac:dyDescent="0.25">
      <c r="A244" s="34" t="str">
        <f>'NEW ACCOUNT'!A245</f>
        <v/>
      </c>
      <c r="B244" s="35" t="str">
        <f>IF('NEW ACCOUNT'!A245="","",'NEW ACCOUNT'!B245)</f>
        <v/>
      </c>
      <c r="C244" s="35" t="str">
        <f>IF('NEW ACCOUNT'!A245="","",'NEW ACCOUNT'!C245)</f>
        <v/>
      </c>
      <c r="D244" s="35" t="str">
        <f>IF('NEW ACCOUNT'!A245="","",'NEW ACCOUNT'!D245)</f>
        <v/>
      </c>
      <c r="E244" s="35" t="str">
        <f>IF('NEW ACCOUNT'!A245="","",'NEW ACCOUNT'!E245)</f>
        <v/>
      </c>
      <c r="F244" s="35" t="str">
        <f>IF('NEW ACCOUNT'!A245="","",'NEW ACCOUNT'!F245)</f>
        <v/>
      </c>
      <c r="G244" s="35" t="str">
        <f>IF('NEW ACCOUNT'!A245="","",'NEW ACCOUNT'!G245)</f>
        <v/>
      </c>
      <c r="H244" s="35" t="str">
        <f>IF('NEW ACCOUNT'!A245="","",'NEW ACCOUNT'!H245)</f>
        <v/>
      </c>
      <c r="I244" s="35" t="str">
        <f>IF('NEW ACCOUNT'!A245="","",'NEW ACCOUNT'!I245)</f>
        <v/>
      </c>
      <c r="J244" s="35" t="str">
        <f>IF('NEW ACCOUNT'!A245="","",'NEW ACCOUNT'!J245)</f>
        <v/>
      </c>
      <c r="K244" s="36" t="str">
        <f>IFERROR(IF(A244="","",SUMIF(DB_Savings!$A:$A,A244,DB_Savings!$F:$F)),"")</f>
        <v/>
      </c>
      <c r="L244" s="36" t="str">
        <f>IFERROR(IF(A244="","",SUMIF(DB_Withdrawals!$A:$A,A244,DB_Withdrawals!$G:$G)),"")</f>
        <v/>
      </c>
      <c r="M244" s="36" t="str">
        <f>IFERROR(IF(A244="","",IFERROR(VALUE(H244),0)+IFERROR(SUMIF(DB_Savings!$A:$A,A244,DB_Savings!$F:$F),0)-IFERROR(SUMIF(DB_Withdrawals!$A:$A,A244,DB_Withdrawals!$G:$G),0)),"")</f>
        <v/>
      </c>
      <c r="N244" s="36" t="str">
        <f>IFERROR(IF(A244="","",MAX(0,M244-System_Config!$B$9)),"")</f>
        <v/>
      </c>
    </row>
    <row r="245" spans="1:14" ht="20.100000000000001" customHeight="1" x14ac:dyDescent="0.25">
      <c r="A245" s="34" t="str">
        <f>'NEW ACCOUNT'!A246</f>
        <v/>
      </c>
      <c r="B245" s="35" t="str">
        <f>IF('NEW ACCOUNT'!A246="","",'NEW ACCOUNT'!B246)</f>
        <v/>
      </c>
      <c r="C245" s="35" t="str">
        <f>IF('NEW ACCOUNT'!A246="","",'NEW ACCOUNT'!C246)</f>
        <v/>
      </c>
      <c r="D245" s="35" t="str">
        <f>IF('NEW ACCOUNT'!A246="","",'NEW ACCOUNT'!D246)</f>
        <v/>
      </c>
      <c r="E245" s="35" t="str">
        <f>IF('NEW ACCOUNT'!A246="","",'NEW ACCOUNT'!E246)</f>
        <v/>
      </c>
      <c r="F245" s="35" t="str">
        <f>IF('NEW ACCOUNT'!A246="","",'NEW ACCOUNT'!F246)</f>
        <v/>
      </c>
      <c r="G245" s="35" t="str">
        <f>IF('NEW ACCOUNT'!A246="","",'NEW ACCOUNT'!G246)</f>
        <v/>
      </c>
      <c r="H245" s="35" t="str">
        <f>IF('NEW ACCOUNT'!A246="","",'NEW ACCOUNT'!H246)</f>
        <v/>
      </c>
      <c r="I245" s="35" t="str">
        <f>IF('NEW ACCOUNT'!A246="","",'NEW ACCOUNT'!I246)</f>
        <v/>
      </c>
      <c r="J245" s="35" t="str">
        <f>IF('NEW ACCOUNT'!A246="","",'NEW ACCOUNT'!J246)</f>
        <v/>
      </c>
      <c r="K245" s="36" t="str">
        <f>IFERROR(IF(A245="","",SUMIF(DB_Savings!$A:$A,A245,DB_Savings!$F:$F)),"")</f>
        <v/>
      </c>
      <c r="L245" s="36" t="str">
        <f>IFERROR(IF(A245="","",SUMIF(DB_Withdrawals!$A:$A,A245,DB_Withdrawals!$G:$G)),"")</f>
        <v/>
      </c>
      <c r="M245" s="36" t="str">
        <f>IFERROR(IF(A245="","",IFERROR(VALUE(H245),0)+IFERROR(SUMIF(DB_Savings!$A:$A,A245,DB_Savings!$F:$F),0)-IFERROR(SUMIF(DB_Withdrawals!$A:$A,A245,DB_Withdrawals!$G:$G),0)),"")</f>
        <v/>
      </c>
      <c r="N245" s="36" t="str">
        <f>IFERROR(IF(A245="","",MAX(0,M245-System_Config!$B$9)),"")</f>
        <v/>
      </c>
    </row>
    <row r="246" spans="1:14" ht="20.100000000000001" customHeight="1" x14ac:dyDescent="0.25">
      <c r="A246" s="34" t="str">
        <f>'NEW ACCOUNT'!A247</f>
        <v/>
      </c>
      <c r="B246" s="35" t="str">
        <f>IF('NEW ACCOUNT'!A247="","",'NEW ACCOUNT'!B247)</f>
        <v/>
      </c>
      <c r="C246" s="35" t="str">
        <f>IF('NEW ACCOUNT'!A247="","",'NEW ACCOUNT'!C247)</f>
        <v/>
      </c>
      <c r="D246" s="35" t="str">
        <f>IF('NEW ACCOUNT'!A247="","",'NEW ACCOUNT'!D247)</f>
        <v/>
      </c>
      <c r="E246" s="35" t="str">
        <f>IF('NEW ACCOUNT'!A247="","",'NEW ACCOUNT'!E247)</f>
        <v/>
      </c>
      <c r="F246" s="35" t="str">
        <f>IF('NEW ACCOUNT'!A247="","",'NEW ACCOUNT'!F247)</f>
        <v/>
      </c>
      <c r="G246" s="35" t="str">
        <f>IF('NEW ACCOUNT'!A247="","",'NEW ACCOUNT'!G247)</f>
        <v/>
      </c>
      <c r="H246" s="35" t="str">
        <f>IF('NEW ACCOUNT'!A247="","",'NEW ACCOUNT'!H247)</f>
        <v/>
      </c>
      <c r="I246" s="35" t="str">
        <f>IF('NEW ACCOUNT'!A247="","",'NEW ACCOUNT'!I247)</f>
        <v/>
      </c>
      <c r="J246" s="35" t="str">
        <f>IF('NEW ACCOUNT'!A247="","",'NEW ACCOUNT'!J247)</f>
        <v/>
      </c>
      <c r="K246" s="36" t="str">
        <f>IFERROR(IF(A246="","",SUMIF(DB_Savings!$A:$A,A246,DB_Savings!$F:$F)),"")</f>
        <v/>
      </c>
      <c r="L246" s="36" t="str">
        <f>IFERROR(IF(A246="","",SUMIF(DB_Withdrawals!$A:$A,A246,DB_Withdrawals!$G:$G)),"")</f>
        <v/>
      </c>
      <c r="M246" s="36" t="str">
        <f>IFERROR(IF(A246="","",IFERROR(VALUE(H246),0)+IFERROR(SUMIF(DB_Savings!$A:$A,A246,DB_Savings!$F:$F),0)-IFERROR(SUMIF(DB_Withdrawals!$A:$A,A246,DB_Withdrawals!$G:$G),0)),"")</f>
        <v/>
      </c>
      <c r="N246" s="36" t="str">
        <f>IFERROR(IF(A246="","",MAX(0,M246-System_Config!$B$9)),"")</f>
        <v/>
      </c>
    </row>
    <row r="247" spans="1:14" ht="20.100000000000001" customHeight="1" x14ac:dyDescent="0.25">
      <c r="A247" s="34" t="str">
        <f>'NEW ACCOUNT'!A248</f>
        <v/>
      </c>
      <c r="B247" s="35" t="str">
        <f>IF('NEW ACCOUNT'!A248="","",'NEW ACCOUNT'!B248)</f>
        <v/>
      </c>
      <c r="C247" s="35" t="str">
        <f>IF('NEW ACCOUNT'!A248="","",'NEW ACCOUNT'!C248)</f>
        <v/>
      </c>
      <c r="D247" s="35" t="str">
        <f>IF('NEW ACCOUNT'!A248="","",'NEW ACCOUNT'!D248)</f>
        <v/>
      </c>
      <c r="E247" s="35" t="str">
        <f>IF('NEW ACCOUNT'!A248="","",'NEW ACCOUNT'!E248)</f>
        <v/>
      </c>
      <c r="F247" s="35" t="str">
        <f>IF('NEW ACCOUNT'!A248="","",'NEW ACCOUNT'!F248)</f>
        <v/>
      </c>
      <c r="G247" s="35" t="str">
        <f>IF('NEW ACCOUNT'!A248="","",'NEW ACCOUNT'!G248)</f>
        <v/>
      </c>
      <c r="H247" s="35" t="str">
        <f>IF('NEW ACCOUNT'!A248="","",'NEW ACCOUNT'!H248)</f>
        <v/>
      </c>
      <c r="I247" s="35" t="str">
        <f>IF('NEW ACCOUNT'!A248="","",'NEW ACCOUNT'!I248)</f>
        <v/>
      </c>
      <c r="J247" s="35" t="str">
        <f>IF('NEW ACCOUNT'!A248="","",'NEW ACCOUNT'!J248)</f>
        <v/>
      </c>
      <c r="K247" s="36" t="str">
        <f>IFERROR(IF(A247="","",SUMIF(DB_Savings!$A:$A,A247,DB_Savings!$F:$F)),"")</f>
        <v/>
      </c>
      <c r="L247" s="36" t="str">
        <f>IFERROR(IF(A247="","",SUMIF(DB_Withdrawals!$A:$A,A247,DB_Withdrawals!$G:$G)),"")</f>
        <v/>
      </c>
      <c r="M247" s="36" t="str">
        <f>IFERROR(IF(A247="","",IFERROR(VALUE(H247),0)+IFERROR(SUMIF(DB_Savings!$A:$A,A247,DB_Savings!$F:$F),0)-IFERROR(SUMIF(DB_Withdrawals!$A:$A,A247,DB_Withdrawals!$G:$G),0)),"")</f>
        <v/>
      </c>
      <c r="N247" s="36" t="str">
        <f>IFERROR(IF(A247="","",MAX(0,M247-System_Config!$B$9)),"")</f>
        <v/>
      </c>
    </row>
    <row r="248" spans="1:14" ht="20.100000000000001" customHeight="1" x14ac:dyDescent="0.25">
      <c r="A248" s="34" t="str">
        <f>'NEW ACCOUNT'!A249</f>
        <v/>
      </c>
      <c r="B248" s="35" t="str">
        <f>IF('NEW ACCOUNT'!A249="","",'NEW ACCOUNT'!B249)</f>
        <v/>
      </c>
      <c r="C248" s="35" t="str">
        <f>IF('NEW ACCOUNT'!A249="","",'NEW ACCOUNT'!C249)</f>
        <v/>
      </c>
      <c r="D248" s="35" t="str">
        <f>IF('NEW ACCOUNT'!A249="","",'NEW ACCOUNT'!D249)</f>
        <v/>
      </c>
      <c r="E248" s="35" t="str">
        <f>IF('NEW ACCOUNT'!A249="","",'NEW ACCOUNT'!E249)</f>
        <v/>
      </c>
      <c r="F248" s="35" t="str">
        <f>IF('NEW ACCOUNT'!A249="","",'NEW ACCOUNT'!F249)</f>
        <v/>
      </c>
      <c r="G248" s="35" t="str">
        <f>IF('NEW ACCOUNT'!A249="","",'NEW ACCOUNT'!G249)</f>
        <v/>
      </c>
      <c r="H248" s="35" t="str">
        <f>IF('NEW ACCOUNT'!A249="","",'NEW ACCOUNT'!H249)</f>
        <v/>
      </c>
      <c r="I248" s="35" t="str">
        <f>IF('NEW ACCOUNT'!A249="","",'NEW ACCOUNT'!I249)</f>
        <v/>
      </c>
      <c r="J248" s="35" t="str">
        <f>IF('NEW ACCOUNT'!A249="","",'NEW ACCOUNT'!J249)</f>
        <v/>
      </c>
      <c r="K248" s="36" t="str">
        <f>IFERROR(IF(A248="","",SUMIF(DB_Savings!$A:$A,A248,DB_Savings!$F:$F)),"")</f>
        <v/>
      </c>
      <c r="L248" s="36" t="str">
        <f>IFERROR(IF(A248="","",SUMIF(DB_Withdrawals!$A:$A,A248,DB_Withdrawals!$G:$G)),"")</f>
        <v/>
      </c>
      <c r="M248" s="36" t="str">
        <f>IFERROR(IF(A248="","",IFERROR(VALUE(H248),0)+IFERROR(SUMIF(DB_Savings!$A:$A,A248,DB_Savings!$F:$F),0)-IFERROR(SUMIF(DB_Withdrawals!$A:$A,A248,DB_Withdrawals!$G:$G),0)),"")</f>
        <v/>
      </c>
      <c r="N248" s="36" t="str">
        <f>IFERROR(IF(A248="","",MAX(0,M248-System_Config!$B$9)),"")</f>
        <v/>
      </c>
    </row>
    <row r="249" spans="1:14" ht="20.100000000000001" customHeight="1" x14ac:dyDescent="0.25">
      <c r="A249" s="34" t="str">
        <f>'NEW ACCOUNT'!A250</f>
        <v/>
      </c>
      <c r="B249" s="35" t="str">
        <f>IF('NEW ACCOUNT'!A250="","",'NEW ACCOUNT'!B250)</f>
        <v/>
      </c>
      <c r="C249" s="35" t="str">
        <f>IF('NEW ACCOUNT'!A250="","",'NEW ACCOUNT'!C250)</f>
        <v/>
      </c>
      <c r="D249" s="35" t="str">
        <f>IF('NEW ACCOUNT'!A250="","",'NEW ACCOUNT'!D250)</f>
        <v/>
      </c>
      <c r="E249" s="35" t="str">
        <f>IF('NEW ACCOUNT'!A250="","",'NEW ACCOUNT'!E250)</f>
        <v/>
      </c>
      <c r="F249" s="35" t="str">
        <f>IF('NEW ACCOUNT'!A250="","",'NEW ACCOUNT'!F250)</f>
        <v/>
      </c>
      <c r="G249" s="35" t="str">
        <f>IF('NEW ACCOUNT'!A250="","",'NEW ACCOUNT'!G250)</f>
        <v/>
      </c>
      <c r="H249" s="35" t="str">
        <f>IF('NEW ACCOUNT'!A250="","",'NEW ACCOUNT'!H250)</f>
        <v/>
      </c>
      <c r="I249" s="35" t="str">
        <f>IF('NEW ACCOUNT'!A250="","",'NEW ACCOUNT'!I250)</f>
        <v/>
      </c>
      <c r="J249" s="35" t="str">
        <f>IF('NEW ACCOUNT'!A250="","",'NEW ACCOUNT'!J250)</f>
        <v/>
      </c>
      <c r="K249" s="36" t="str">
        <f>IFERROR(IF(A249="","",SUMIF(DB_Savings!$A:$A,A249,DB_Savings!$F:$F)),"")</f>
        <v/>
      </c>
      <c r="L249" s="36" t="str">
        <f>IFERROR(IF(A249="","",SUMIF(DB_Withdrawals!$A:$A,A249,DB_Withdrawals!$G:$G)),"")</f>
        <v/>
      </c>
      <c r="M249" s="36" t="str">
        <f>IFERROR(IF(A249="","",IFERROR(VALUE(H249),0)+IFERROR(SUMIF(DB_Savings!$A:$A,A249,DB_Savings!$F:$F),0)-IFERROR(SUMIF(DB_Withdrawals!$A:$A,A249,DB_Withdrawals!$G:$G),0)),"")</f>
        <v/>
      </c>
      <c r="N249" s="36" t="str">
        <f>IFERROR(IF(A249="","",MAX(0,M249-System_Config!$B$9)),"")</f>
        <v/>
      </c>
    </row>
    <row r="250" spans="1:14" ht="20.100000000000001" customHeight="1" x14ac:dyDescent="0.25">
      <c r="A250" s="34" t="str">
        <f>'NEW ACCOUNT'!A251</f>
        <v/>
      </c>
      <c r="B250" s="35" t="str">
        <f>IF('NEW ACCOUNT'!A251="","",'NEW ACCOUNT'!B251)</f>
        <v/>
      </c>
      <c r="C250" s="35" t="str">
        <f>IF('NEW ACCOUNT'!A251="","",'NEW ACCOUNT'!C251)</f>
        <v/>
      </c>
      <c r="D250" s="35" t="str">
        <f>IF('NEW ACCOUNT'!A251="","",'NEW ACCOUNT'!D251)</f>
        <v/>
      </c>
      <c r="E250" s="35" t="str">
        <f>IF('NEW ACCOUNT'!A251="","",'NEW ACCOUNT'!E251)</f>
        <v/>
      </c>
      <c r="F250" s="35" t="str">
        <f>IF('NEW ACCOUNT'!A251="","",'NEW ACCOUNT'!F251)</f>
        <v/>
      </c>
      <c r="G250" s="35" t="str">
        <f>IF('NEW ACCOUNT'!A251="","",'NEW ACCOUNT'!G251)</f>
        <v/>
      </c>
      <c r="H250" s="35" t="str">
        <f>IF('NEW ACCOUNT'!A251="","",'NEW ACCOUNT'!H251)</f>
        <v/>
      </c>
      <c r="I250" s="35" t="str">
        <f>IF('NEW ACCOUNT'!A251="","",'NEW ACCOUNT'!I251)</f>
        <v/>
      </c>
      <c r="J250" s="35" t="str">
        <f>IF('NEW ACCOUNT'!A251="","",'NEW ACCOUNT'!J251)</f>
        <v/>
      </c>
      <c r="K250" s="36" t="str">
        <f>IFERROR(IF(A250="","",SUMIF(DB_Savings!$A:$A,A250,DB_Savings!$F:$F)),"")</f>
        <v/>
      </c>
      <c r="L250" s="36" t="str">
        <f>IFERROR(IF(A250="","",SUMIF(DB_Withdrawals!$A:$A,A250,DB_Withdrawals!$G:$G)),"")</f>
        <v/>
      </c>
      <c r="M250" s="36" t="str">
        <f>IFERROR(IF(A250="","",IFERROR(VALUE(H250),0)+IFERROR(SUMIF(DB_Savings!$A:$A,A250,DB_Savings!$F:$F),0)-IFERROR(SUMIF(DB_Withdrawals!$A:$A,A250,DB_Withdrawals!$G:$G),0)),"")</f>
        <v/>
      </c>
      <c r="N250" s="36" t="str">
        <f>IFERROR(IF(A250="","",MAX(0,M250-System_Config!$B$9)),"")</f>
        <v/>
      </c>
    </row>
    <row r="251" spans="1:14" ht="20.100000000000001" customHeight="1" x14ac:dyDescent="0.25">
      <c r="A251" s="34" t="str">
        <f>'NEW ACCOUNT'!A252</f>
        <v/>
      </c>
      <c r="B251" s="35" t="str">
        <f>IF('NEW ACCOUNT'!A252="","",'NEW ACCOUNT'!B252)</f>
        <v/>
      </c>
      <c r="C251" s="35" t="str">
        <f>IF('NEW ACCOUNT'!A252="","",'NEW ACCOUNT'!C252)</f>
        <v/>
      </c>
      <c r="D251" s="35" t="str">
        <f>IF('NEW ACCOUNT'!A252="","",'NEW ACCOUNT'!D252)</f>
        <v/>
      </c>
      <c r="E251" s="35" t="str">
        <f>IF('NEW ACCOUNT'!A252="","",'NEW ACCOUNT'!E252)</f>
        <v/>
      </c>
      <c r="F251" s="35" t="str">
        <f>IF('NEW ACCOUNT'!A252="","",'NEW ACCOUNT'!F252)</f>
        <v/>
      </c>
      <c r="G251" s="35" t="str">
        <f>IF('NEW ACCOUNT'!A252="","",'NEW ACCOUNT'!G252)</f>
        <v/>
      </c>
      <c r="H251" s="35" t="str">
        <f>IF('NEW ACCOUNT'!A252="","",'NEW ACCOUNT'!H252)</f>
        <v/>
      </c>
      <c r="I251" s="35" t="str">
        <f>IF('NEW ACCOUNT'!A252="","",'NEW ACCOUNT'!I252)</f>
        <v/>
      </c>
      <c r="J251" s="35" t="str">
        <f>IF('NEW ACCOUNT'!A252="","",'NEW ACCOUNT'!J252)</f>
        <v/>
      </c>
      <c r="K251" s="36" t="str">
        <f>IFERROR(IF(A251="","",SUMIF(DB_Savings!$A:$A,A251,DB_Savings!$F:$F)),"")</f>
        <v/>
      </c>
      <c r="L251" s="36" t="str">
        <f>IFERROR(IF(A251="","",SUMIF(DB_Withdrawals!$A:$A,A251,DB_Withdrawals!$G:$G)),"")</f>
        <v/>
      </c>
      <c r="M251" s="36" t="str">
        <f>IFERROR(IF(A251="","",IFERROR(VALUE(H251),0)+IFERROR(SUMIF(DB_Savings!$A:$A,A251,DB_Savings!$F:$F),0)-IFERROR(SUMIF(DB_Withdrawals!$A:$A,A251,DB_Withdrawals!$G:$G),0)),"")</f>
        <v/>
      </c>
      <c r="N251" s="36" t="str">
        <f>IFERROR(IF(A251="","",MAX(0,M251-System_Config!$B$9)),"")</f>
        <v/>
      </c>
    </row>
    <row r="252" spans="1:14" ht="20.100000000000001" customHeight="1" x14ac:dyDescent="0.25">
      <c r="A252" s="34" t="str">
        <f>'NEW ACCOUNT'!A253</f>
        <v/>
      </c>
      <c r="B252" s="35" t="str">
        <f>IF('NEW ACCOUNT'!A253="","",'NEW ACCOUNT'!B253)</f>
        <v/>
      </c>
      <c r="C252" s="35" t="str">
        <f>IF('NEW ACCOUNT'!A253="","",'NEW ACCOUNT'!C253)</f>
        <v/>
      </c>
      <c r="D252" s="35" t="str">
        <f>IF('NEW ACCOUNT'!A253="","",'NEW ACCOUNT'!D253)</f>
        <v/>
      </c>
      <c r="E252" s="35" t="str">
        <f>IF('NEW ACCOUNT'!A253="","",'NEW ACCOUNT'!E253)</f>
        <v/>
      </c>
      <c r="F252" s="35" t="str">
        <f>IF('NEW ACCOUNT'!A253="","",'NEW ACCOUNT'!F253)</f>
        <v/>
      </c>
      <c r="G252" s="35" t="str">
        <f>IF('NEW ACCOUNT'!A253="","",'NEW ACCOUNT'!G253)</f>
        <v/>
      </c>
      <c r="H252" s="35" t="str">
        <f>IF('NEW ACCOUNT'!A253="","",'NEW ACCOUNT'!H253)</f>
        <v/>
      </c>
      <c r="I252" s="35" t="str">
        <f>IF('NEW ACCOUNT'!A253="","",'NEW ACCOUNT'!I253)</f>
        <v/>
      </c>
      <c r="J252" s="35" t="str">
        <f>IF('NEW ACCOUNT'!A253="","",'NEW ACCOUNT'!J253)</f>
        <v/>
      </c>
      <c r="K252" s="36" t="str">
        <f>IFERROR(IF(A252="","",SUMIF(DB_Savings!$A:$A,A252,DB_Savings!$F:$F)),"")</f>
        <v/>
      </c>
      <c r="L252" s="36" t="str">
        <f>IFERROR(IF(A252="","",SUMIF(DB_Withdrawals!$A:$A,A252,DB_Withdrawals!$G:$G)),"")</f>
        <v/>
      </c>
      <c r="M252" s="36" t="str">
        <f>IFERROR(IF(A252="","",IFERROR(VALUE(H252),0)+IFERROR(SUMIF(DB_Savings!$A:$A,A252,DB_Savings!$F:$F),0)-IFERROR(SUMIF(DB_Withdrawals!$A:$A,A252,DB_Withdrawals!$G:$G),0)),"")</f>
        <v/>
      </c>
      <c r="N252" s="36" t="str">
        <f>IFERROR(IF(A252="","",MAX(0,M252-System_Config!$B$9)),"")</f>
        <v/>
      </c>
    </row>
    <row r="253" spans="1:14" ht="20.100000000000001" customHeight="1" x14ac:dyDescent="0.25">
      <c r="A253" s="34" t="str">
        <f>'NEW ACCOUNT'!A254</f>
        <v/>
      </c>
      <c r="B253" s="35" t="str">
        <f>IF('NEW ACCOUNT'!A254="","",'NEW ACCOUNT'!B254)</f>
        <v/>
      </c>
      <c r="C253" s="35" t="str">
        <f>IF('NEW ACCOUNT'!A254="","",'NEW ACCOUNT'!C254)</f>
        <v/>
      </c>
      <c r="D253" s="35" t="str">
        <f>IF('NEW ACCOUNT'!A254="","",'NEW ACCOUNT'!D254)</f>
        <v/>
      </c>
      <c r="E253" s="35" t="str">
        <f>IF('NEW ACCOUNT'!A254="","",'NEW ACCOUNT'!E254)</f>
        <v/>
      </c>
      <c r="F253" s="35" t="str">
        <f>IF('NEW ACCOUNT'!A254="","",'NEW ACCOUNT'!F254)</f>
        <v/>
      </c>
      <c r="G253" s="35" t="str">
        <f>IF('NEW ACCOUNT'!A254="","",'NEW ACCOUNT'!G254)</f>
        <v/>
      </c>
      <c r="H253" s="35" t="str">
        <f>IF('NEW ACCOUNT'!A254="","",'NEW ACCOUNT'!H254)</f>
        <v/>
      </c>
      <c r="I253" s="35" t="str">
        <f>IF('NEW ACCOUNT'!A254="","",'NEW ACCOUNT'!I254)</f>
        <v/>
      </c>
      <c r="J253" s="35" t="str">
        <f>IF('NEW ACCOUNT'!A254="","",'NEW ACCOUNT'!J254)</f>
        <v/>
      </c>
      <c r="K253" s="36" t="str">
        <f>IFERROR(IF(A253="","",SUMIF(DB_Savings!$A:$A,A253,DB_Savings!$F:$F)),"")</f>
        <v/>
      </c>
      <c r="L253" s="36" t="str">
        <f>IFERROR(IF(A253="","",SUMIF(DB_Withdrawals!$A:$A,A253,DB_Withdrawals!$G:$G)),"")</f>
        <v/>
      </c>
      <c r="M253" s="36" t="str">
        <f>IFERROR(IF(A253="","",IFERROR(VALUE(H253),0)+IFERROR(SUMIF(DB_Savings!$A:$A,A253,DB_Savings!$F:$F),0)-IFERROR(SUMIF(DB_Withdrawals!$A:$A,A253,DB_Withdrawals!$G:$G),0)),"")</f>
        <v/>
      </c>
      <c r="N253" s="36" t="str">
        <f>IFERROR(IF(A253="","",MAX(0,M253-System_Config!$B$9)),"")</f>
        <v/>
      </c>
    </row>
    <row r="254" spans="1:14" ht="20.100000000000001" customHeight="1" x14ac:dyDescent="0.25">
      <c r="A254" s="34" t="str">
        <f>'NEW ACCOUNT'!A255</f>
        <v/>
      </c>
      <c r="B254" s="35" t="str">
        <f>IF('NEW ACCOUNT'!A255="","",'NEW ACCOUNT'!B255)</f>
        <v/>
      </c>
      <c r="C254" s="35" t="str">
        <f>IF('NEW ACCOUNT'!A255="","",'NEW ACCOUNT'!C255)</f>
        <v/>
      </c>
      <c r="D254" s="35" t="str">
        <f>IF('NEW ACCOUNT'!A255="","",'NEW ACCOUNT'!D255)</f>
        <v/>
      </c>
      <c r="E254" s="35" t="str">
        <f>IF('NEW ACCOUNT'!A255="","",'NEW ACCOUNT'!E255)</f>
        <v/>
      </c>
      <c r="F254" s="35" t="str">
        <f>IF('NEW ACCOUNT'!A255="","",'NEW ACCOUNT'!F255)</f>
        <v/>
      </c>
      <c r="G254" s="35" t="str">
        <f>IF('NEW ACCOUNT'!A255="","",'NEW ACCOUNT'!G255)</f>
        <v/>
      </c>
      <c r="H254" s="35" t="str">
        <f>IF('NEW ACCOUNT'!A255="","",'NEW ACCOUNT'!H255)</f>
        <v/>
      </c>
      <c r="I254" s="35" t="str">
        <f>IF('NEW ACCOUNT'!A255="","",'NEW ACCOUNT'!I255)</f>
        <v/>
      </c>
      <c r="J254" s="35" t="str">
        <f>IF('NEW ACCOUNT'!A255="","",'NEW ACCOUNT'!J255)</f>
        <v/>
      </c>
      <c r="K254" s="36" t="str">
        <f>IFERROR(IF(A254="","",SUMIF(DB_Savings!$A:$A,A254,DB_Savings!$F:$F)),"")</f>
        <v/>
      </c>
      <c r="L254" s="36" t="str">
        <f>IFERROR(IF(A254="","",SUMIF(DB_Withdrawals!$A:$A,A254,DB_Withdrawals!$G:$G)),"")</f>
        <v/>
      </c>
      <c r="M254" s="36" t="str">
        <f>IFERROR(IF(A254="","",IFERROR(VALUE(H254),0)+IFERROR(SUMIF(DB_Savings!$A:$A,A254,DB_Savings!$F:$F),0)-IFERROR(SUMIF(DB_Withdrawals!$A:$A,A254,DB_Withdrawals!$G:$G),0)),"")</f>
        <v/>
      </c>
      <c r="N254" s="36" t="str">
        <f>IFERROR(IF(A254="","",MAX(0,M254-System_Config!$B$9)),"")</f>
        <v/>
      </c>
    </row>
    <row r="255" spans="1:14" ht="20.100000000000001" customHeight="1" x14ac:dyDescent="0.25">
      <c r="A255" s="34" t="str">
        <f>'NEW ACCOUNT'!A256</f>
        <v/>
      </c>
      <c r="B255" s="35" t="str">
        <f>IF('NEW ACCOUNT'!A256="","",'NEW ACCOUNT'!B256)</f>
        <v/>
      </c>
      <c r="C255" s="35" t="str">
        <f>IF('NEW ACCOUNT'!A256="","",'NEW ACCOUNT'!C256)</f>
        <v/>
      </c>
      <c r="D255" s="35" t="str">
        <f>IF('NEW ACCOUNT'!A256="","",'NEW ACCOUNT'!D256)</f>
        <v/>
      </c>
      <c r="E255" s="35" t="str">
        <f>IF('NEW ACCOUNT'!A256="","",'NEW ACCOUNT'!E256)</f>
        <v/>
      </c>
      <c r="F255" s="35" t="str">
        <f>IF('NEW ACCOUNT'!A256="","",'NEW ACCOUNT'!F256)</f>
        <v/>
      </c>
      <c r="G255" s="35" t="str">
        <f>IF('NEW ACCOUNT'!A256="","",'NEW ACCOUNT'!G256)</f>
        <v/>
      </c>
      <c r="H255" s="35" t="str">
        <f>IF('NEW ACCOUNT'!A256="","",'NEW ACCOUNT'!H256)</f>
        <v/>
      </c>
      <c r="I255" s="35" t="str">
        <f>IF('NEW ACCOUNT'!A256="","",'NEW ACCOUNT'!I256)</f>
        <v/>
      </c>
      <c r="J255" s="35" t="str">
        <f>IF('NEW ACCOUNT'!A256="","",'NEW ACCOUNT'!J256)</f>
        <v/>
      </c>
      <c r="K255" s="36" t="str">
        <f>IFERROR(IF(A255="","",SUMIF(DB_Savings!$A:$A,A255,DB_Savings!$F:$F)),"")</f>
        <v/>
      </c>
      <c r="L255" s="36" t="str">
        <f>IFERROR(IF(A255="","",SUMIF(DB_Withdrawals!$A:$A,A255,DB_Withdrawals!$G:$G)),"")</f>
        <v/>
      </c>
      <c r="M255" s="36" t="str">
        <f>IFERROR(IF(A255="","",IFERROR(VALUE(H255),0)+IFERROR(SUMIF(DB_Savings!$A:$A,A255,DB_Savings!$F:$F),0)-IFERROR(SUMIF(DB_Withdrawals!$A:$A,A255,DB_Withdrawals!$G:$G),0)),"")</f>
        <v/>
      </c>
      <c r="N255" s="36" t="str">
        <f>IFERROR(IF(A255="","",MAX(0,M255-System_Config!$B$9)),"")</f>
        <v/>
      </c>
    </row>
    <row r="256" spans="1:14" ht="20.100000000000001" customHeight="1" x14ac:dyDescent="0.25">
      <c r="A256" s="34" t="str">
        <f>'NEW ACCOUNT'!A257</f>
        <v/>
      </c>
      <c r="B256" s="35" t="str">
        <f>IF('NEW ACCOUNT'!A257="","",'NEW ACCOUNT'!B257)</f>
        <v/>
      </c>
      <c r="C256" s="35" t="str">
        <f>IF('NEW ACCOUNT'!A257="","",'NEW ACCOUNT'!C257)</f>
        <v/>
      </c>
      <c r="D256" s="35" t="str">
        <f>IF('NEW ACCOUNT'!A257="","",'NEW ACCOUNT'!D257)</f>
        <v/>
      </c>
      <c r="E256" s="35" t="str">
        <f>IF('NEW ACCOUNT'!A257="","",'NEW ACCOUNT'!E257)</f>
        <v/>
      </c>
      <c r="F256" s="35" t="str">
        <f>IF('NEW ACCOUNT'!A257="","",'NEW ACCOUNT'!F257)</f>
        <v/>
      </c>
      <c r="G256" s="35" t="str">
        <f>IF('NEW ACCOUNT'!A257="","",'NEW ACCOUNT'!G257)</f>
        <v/>
      </c>
      <c r="H256" s="35" t="str">
        <f>IF('NEW ACCOUNT'!A257="","",'NEW ACCOUNT'!H257)</f>
        <v/>
      </c>
      <c r="I256" s="35" t="str">
        <f>IF('NEW ACCOUNT'!A257="","",'NEW ACCOUNT'!I257)</f>
        <v/>
      </c>
      <c r="J256" s="35" t="str">
        <f>IF('NEW ACCOUNT'!A257="","",'NEW ACCOUNT'!J257)</f>
        <v/>
      </c>
      <c r="K256" s="36" t="str">
        <f>IFERROR(IF(A256="","",SUMIF(DB_Savings!$A:$A,A256,DB_Savings!$F:$F)),"")</f>
        <v/>
      </c>
      <c r="L256" s="36" t="str">
        <f>IFERROR(IF(A256="","",SUMIF(DB_Withdrawals!$A:$A,A256,DB_Withdrawals!$G:$G)),"")</f>
        <v/>
      </c>
      <c r="M256" s="36" t="str">
        <f>IFERROR(IF(A256="","",IFERROR(VALUE(H256),0)+IFERROR(SUMIF(DB_Savings!$A:$A,A256,DB_Savings!$F:$F),0)-IFERROR(SUMIF(DB_Withdrawals!$A:$A,A256,DB_Withdrawals!$G:$G),0)),"")</f>
        <v/>
      </c>
      <c r="N256" s="36" t="str">
        <f>IFERROR(IF(A256="","",MAX(0,M256-System_Config!$B$9)),"")</f>
        <v/>
      </c>
    </row>
    <row r="257" spans="1:14" ht="20.100000000000001" customHeight="1" x14ac:dyDescent="0.25">
      <c r="A257" s="34" t="str">
        <f>'NEW ACCOUNT'!A258</f>
        <v/>
      </c>
      <c r="B257" s="35" t="str">
        <f>IF('NEW ACCOUNT'!A258="","",'NEW ACCOUNT'!B258)</f>
        <v/>
      </c>
      <c r="C257" s="35" t="str">
        <f>IF('NEW ACCOUNT'!A258="","",'NEW ACCOUNT'!C258)</f>
        <v/>
      </c>
      <c r="D257" s="35" t="str">
        <f>IF('NEW ACCOUNT'!A258="","",'NEW ACCOUNT'!D258)</f>
        <v/>
      </c>
      <c r="E257" s="35" t="str">
        <f>IF('NEW ACCOUNT'!A258="","",'NEW ACCOUNT'!E258)</f>
        <v/>
      </c>
      <c r="F257" s="35" t="str">
        <f>IF('NEW ACCOUNT'!A258="","",'NEW ACCOUNT'!F258)</f>
        <v/>
      </c>
      <c r="G257" s="35" t="str">
        <f>IF('NEW ACCOUNT'!A258="","",'NEW ACCOUNT'!G258)</f>
        <v/>
      </c>
      <c r="H257" s="35" t="str">
        <f>IF('NEW ACCOUNT'!A258="","",'NEW ACCOUNT'!H258)</f>
        <v/>
      </c>
      <c r="I257" s="35" t="str">
        <f>IF('NEW ACCOUNT'!A258="","",'NEW ACCOUNT'!I258)</f>
        <v/>
      </c>
      <c r="J257" s="35" t="str">
        <f>IF('NEW ACCOUNT'!A258="","",'NEW ACCOUNT'!J258)</f>
        <v/>
      </c>
      <c r="K257" s="36" t="str">
        <f>IFERROR(IF(A257="","",SUMIF(DB_Savings!$A:$A,A257,DB_Savings!$F:$F)),"")</f>
        <v/>
      </c>
      <c r="L257" s="36" t="str">
        <f>IFERROR(IF(A257="","",SUMIF(DB_Withdrawals!$A:$A,A257,DB_Withdrawals!$G:$G)),"")</f>
        <v/>
      </c>
      <c r="M257" s="36" t="str">
        <f>IFERROR(IF(A257="","",IFERROR(VALUE(H257),0)+IFERROR(SUMIF(DB_Savings!$A:$A,A257,DB_Savings!$F:$F),0)-IFERROR(SUMIF(DB_Withdrawals!$A:$A,A257,DB_Withdrawals!$G:$G),0)),"")</f>
        <v/>
      </c>
      <c r="N257" s="36" t="str">
        <f>IFERROR(IF(A257="","",MAX(0,M257-System_Config!$B$9)),"")</f>
        <v/>
      </c>
    </row>
    <row r="258" spans="1:14" ht="20.100000000000001" customHeight="1" x14ac:dyDescent="0.25">
      <c r="A258" s="34" t="str">
        <f>'NEW ACCOUNT'!A259</f>
        <v/>
      </c>
      <c r="B258" s="35" t="str">
        <f>IF('NEW ACCOUNT'!A259="","",'NEW ACCOUNT'!B259)</f>
        <v/>
      </c>
      <c r="C258" s="35" t="str">
        <f>IF('NEW ACCOUNT'!A259="","",'NEW ACCOUNT'!C259)</f>
        <v/>
      </c>
      <c r="D258" s="35" t="str">
        <f>IF('NEW ACCOUNT'!A259="","",'NEW ACCOUNT'!D259)</f>
        <v/>
      </c>
      <c r="E258" s="35" t="str">
        <f>IF('NEW ACCOUNT'!A259="","",'NEW ACCOUNT'!E259)</f>
        <v/>
      </c>
      <c r="F258" s="35" t="str">
        <f>IF('NEW ACCOUNT'!A259="","",'NEW ACCOUNT'!F259)</f>
        <v/>
      </c>
      <c r="G258" s="35" t="str">
        <f>IF('NEW ACCOUNT'!A259="","",'NEW ACCOUNT'!G259)</f>
        <v/>
      </c>
      <c r="H258" s="35" t="str">
        <f>IF('NEW ACCOUNT'!A259="","",'NEW ACCOUNT'!H259)</f>
        <v/>
      </c>
      <c r="I258" s="35" t="str">
        <f>IF('NEW ACCOUNT'!A259="","",'NEW ACCOUNT'!I259)</f>
        <v/>
      </c>
      <c r="J258" s="35" t="str">
        <f>IF('NEW ACCOUNT'!A259="","",'NEW ACCOUNT'!J259)</f>
        <v/>
      </c>
      <c r="K258" s="36" t="str">
        <f>IFERROR(IF(A258="","",SUMIF(DB_Savings!$A:$A,A258,DB_Savings!$F:$F)),"")</f>
        <v/>
      </c>
      <c r="L258" s="36" t="str">
        <f>IFERROR(IF(A258="","",SUMIF(DB_Withdrawals!$A:$A,A258,DB_Withdrawals!$G:$G)),"")</f>
        <v/>
      </c>
      <c r="M258" s="36" t="str">
        <f>IFERROR(IF(A258="","",IFERROR(VALUE(H258),0)+IFERROR(SUMIF(DB_Savings!$A:$A,A258,DB_Savings!$F:$F),0)-IFERROR(SUMIF(DB_Withdrawals!$A:$A,A258,DB_Withdrawals!$G:$G),0)),"")</f>
        <v/>
      </c>
      <c r="N258" s="36" t="str">
        <f>IFERROR(IF(A258="","",MAX(0,M258-System_Config!$B$9)),"")</f>
        <v/>
      </c>
    </row>
    <row r="259" spans="1:14" ht="20.100000000000001" customHeight="1" x14ac:dyDescent="0.25">
      <c r="A259" s="34" t="str">
        <f>'NEW ACCOUNT'!A260</f>
        <v/>
      </c>
      <c r="B259" s="35" t="str">
        <f>IF('NEW ACCOUNT'!A260="","",'NEW ACCOUNT'!B260)</f>
        <v/>
      </c>
      <c r="C259" s="35" t="str">
        <f>IF('NEW ACCOUNT'!A260="","",'NEW ACCOUNT'!C260)</f>
        <v/>
      </c>
      <c r="D259" s="35" t="str">
        <f>IF('NEW ACCOUNT'!A260="","",'NEW ACCOUNT'!D260)</f>
        <v/>
      </c>
      <c r="E259" s="35" t="str">
        <f>IF('NEW ACCOUNT'!A260="","",'NEW ACCOUNT'!E260)</f>
        <v/>
      </c>
      <c r="F259" s="35" t="str">
        <f>IF('NEW ACCOUNT'!A260="","",'NEW ACCOUNT'!F260)</f>
        <v/>
      </c>
      <c r="G259" s="35" t="str">
        <f>IF('NEW ACCOUNT'!A260="","",'NEW ACCOUNT'!G260)</f>
        <v/>
      </c>
      <c r="H259" s="35" t="str">
        <f>IF('NEW ACCOUNT'!A260="","",'NEW ACCOUNT'!H260)</f>
        <v/>
      </c>
      <c r="I259" s="35" t="str">
        <f>IF('NEW ACCOUNT'!A260="","",'NEW ACCOUNT'!I260)</f>
        <v/>
      </c>
      <c r="J259" s="35" t="str">
        <f>IF('NEW ACCOUNT'!A260="","",'NEW ACCOUNT'!J260)</f>
        <v/>
      </c>
      <c r="K259" s="36" t="str">
        <f>IFERROR(IF(A259="","",SUMIF(DB_Savings!$A:$A,A259,DB_Savings!$F:$F)),"")</f>
        <v/>
      </c>
      <c r="L259" s="36" t="str">
        <f>IFERROR(IF(A259="","",SUMIF(DB_Withdrawals!$A:$A,A259,DB_Withdrawals!$G:$G)),"")</f>
        <v/>
      </c>
      <c r="M259" s="36" t="str">
        <f>IFERROR(IF(A259="","",IFERROR(VALUE(H259),0)+IFERROR(SUMIF(DB_Savings!$A:$A,A259,DB_Savings!$F:$F),0)-IFERROR(SUMIF(DB_Withdrawals!$A:$A,A259,DB_Withdrawals!$G:$G),0)),"")</f>
        <v/>
      </c>
      <c r="N259" s="36" t="str">
        <f>IFERROR(IF(A259="","",MAX(0,M259-System_Config!$B$9)),"")</f>
        <v/>
      </c>
    </row>
    <row r="260" spans="1:14" ht="20.100000000000001" customHeight="1" x14ac:dyDescent="0.25">
      <c r="A260" s="34" t="str">
        <f>'NEW ACCOUNT'!A261</f>
        <v/>
      </c>
      <c r="B260" s="35" t="str">
        <f>IF('NEW ACCOUNT'!A261="","",'NEW ACCOUNT'!B261)</f>
        <v/>
      </c>
      <c r="C260" s="35" t="str">
        <f>IF('NEW ACCOUNT'!A261="","",'NEW ACCOUNT'!C261)</f>
        <v/>
      </c>
      <c r="D260" s="35" t="str">
        <f>IF('NEW ACCOUNT'!A261="","",'NEW ACCOUNT'!D261)</f>
        <v/>
      </c>
      <c r="E260" s="35" t="str">
        <f>IF('NEW ACCOUNT'!A261="","",'NEW ACCOUNT'!E261)</f>
        <v/>
      </c>
      <c r="F260" s="35" t="str">
        <f>IF('NEW ACCOUNT'!A261="","",'NEW ACCOUNT'!F261)</f>
        <v/>
      </c>
      <c r="G260" s="35" t="str">
        <f>IF('NEW ACCOUNT'!A261="","",'NEW ACCOUNT'!G261)</f>
        <v/>
      </c>
      <c r="H260" s="35" t="str">
        <f>IF('NEW ACCOUNT'!A261="","",'NEW ACCOUNT'!H261)</f>
        <v/>
      </c>
      <c r="I260" s="35" t="str">
        <f>IF('NEW ACCOUNT'!A261="","",'NEW ACCOUNT'!I261)</f>
        <v/>
      </c>
      <c r="J260" s="35" t="str">
        <f>IF('NEW ACCOUNT'!A261="","",'NEW ACCOUNT'!J261)</f>
        <v/>
      </c>
      <c r="K260" s="36" t="str">
        <f>IFERROR(IF(A260="","",SUMIF(DB_Savings!$A:$A,A260,DB_Savings!$F:$F)),"")</f>
        <v/>
      </c>
      <c r="L260" s="36" t="str">
        <f>IFERROR(IF(A260="","",SUMIF(DB_Withdrawals!$A:$A,A260,DB_Withdrawals!$G:$G)),"")</f>
        <v/>
      </c>
      <c r="M260" s="36" t="str">
        <f>IFERROR(IF(A260="","",IFERROR(VALUE(H260),0)+IFERROR(SUMIF(DB_Savings!$A:$A,A260,DB_Savings!$F:$F),0)-IFERROR(SUMIF(DB_Withdrawals!$A:$A,A260,DB_Withdrawals!$G:$G),0)),"")</f>
        <v/>
      </c>
      <c r="N260" s="36" t="str">
        <f>IFERROR(IF(A260="","",MAX(0,M260-System_Config!$B$9)),"")</f>
        <v/>
      </c>
    </row>
    <row r="261" spans="1:14" ht="20.100000000000001" customHeight="1" x14ac:dyDescent="0.25">
      <c r="A261" s="34" t="str">
        <f>'NEW ACCOUNT'!A262</f>
        <v/>
      </c>
      <c r="B261" s="35" t="str">
        <f>IF('NEW ACCOUNT'!A262="","",'NEW ACCOUNT'!B262)</f>
        <v/>
      </c>
      <c r="C261" s="35" t="str">
        <f>IF('NEW ACCOUNT'!A262="","",'NEW ACCOUNT'!C262)</f>
        <v/>
      </c>
      <c r="D261" s="35" t="str">
        <f>IF('NEW ACCOUNT'!A262="","",'NEW ACCOUNT'!D262)</f>
        <v/>
      </c>
      <c r="E261" s="35" t="str">
        <f>IF('NEW ACCOUNT'!A262="","",'NEW ACCOUNT'!E262)</f>
        <v/>
      </c>
      <c r="F261" s="35" t="str">
        <f>IF('NEW ACCOUNT'!A262="","",'NEW ACCOUNT'!F262)</f>
        <v/>
      </c>
      <c r="G261" s="35" t="str">
        <f>IF('NEW ACCOUNT'!A262="","",'NEW ACCOUNT'!G262)</f>
        <v/>
      </c>
      <c r="H261" s="35" t="str">
        <f>IF('NEW ACCOUNT'!A262="","",'NEW ACCOUNT'!H262)</f>
        <v/>
      </c>
      <c r="I261" s="35" t="str">
        <f>IF('NEW ACCOUNT'!A262="","",'NEW ACCOUNT'!I262)</f>
        <v/>
      </c>
      <c r="J261" s="35" t="str">
        <f>IF('NEW ACCOUNT'!A262="","",'NEW ACCOUNT'!J262)</f>
        <v/>
      </c>
      <c r="K261" s="36" t="str">
        <f>IFERROR(IF(A261="","",SUMIF(DB_Savings!$A:$A,A261,DB_Savings!$F:$F)),"")</f>
        <v/>
      </c>
      <c r="L261" s="36" t="str">
        <f>IFERROR(IF(A261="","",SUMIF(DB_Withdrawals!$A:$A,A261,DB_Withdrawals!$G:$G)),"")</f>
        <v/>
      </c>
      <c r="M261" s="36" t="str">
        <f>IFERROR(IF(A261="","",IFERROR(VALUE(H261),0)+IFERROR(SUMIF(DB_Savings!$A:$A,A261,DB_Savings!$F:$F),0)-IFERROR(SUMIF(DB_Withdrawals!$A:$A,A261,DB_Withdrawals!$G:$G),0)),"")</f>
        <v/>
      </c>
      <c r="N261" s="36" t="str">
        <f>IFERROR(IF(A261="","",MAX(0,M261-System_Config!$B$9)),"")</f>
        <v/>
      </c>
    </row>
    <row r="262" spans="1:14" ht="20.100000000000001" customHeight="1" x14ac:dyDescent="0.25">
      <c r="A262" s="34" t="str">
        <f>'NEW ACCOUNT'!A263</f>
        <v/>
      </c>
      <c r="B262" s="35" t="str">
        <f>IF('NEW ACCOUNT'!A263="","",'NEW ACCOUNT'!B263)</f>
        <v/>
      </c>
      <c r="C262" s="35" t="str">
        <f>IF('NEW ACCOUNT'!A263="","",'NEW ACCOUNT'!C263)</f>
        <v/>
      </c>
      <c r="D262" s="35" t="str">
        <f>IF('NEW ACCOUNT'!A263="","",'NEW ACCOUNT'!D263)</f>
        <v/>
      </c>
      <c r="E262" s="35" t="str">
        <f>IF('NEW ACCOUNT'!A263="","",'NEW ACCOUNT'!E263)</f>
        <v/>
      </c>
      <c r="F262" s="35" t="str">
        <f>IF('NEW ACCOUNT'!A263="","",'NEW ACCOUNT'!F263)</f>
        <v/>
      </c>
      <c r="G262" s="35" t="str">
        <f>IF('NEW ACCOUNT'!A263="","",'NEW ACCOUNT'!G263)</f>
        <v/>
      </c>
      <c r="H262" s="35" t="str">
        <f>IF('NEW ACCOUNT'!A263="","",'NEW ACCOUNT'!H263)</f>
        <v/>
      </c>
      <c r="I262" s="35" t="str">
        <f>IF('NEW ACCOUNT'!A263="","",'NEW ACCOUNT'!I263)</f>
        <v/>
      </c>
      <c r="J262" s="35" t="str">
        <f>IF('NEW ACCOUNT'!A263="","",'NEW ACCOUNT'!J263)</f>
        <v/>
      </c>
      <c r="K262" s="36" t="str">
        <f>IFERROR(IF(A262="","",SUMIF(DB_Savings!$A:$A,A262,DB_Savings!$F:$F)),"")</f>
        <v/>
      </c>
      <c r="L262" s="36" t="str">
        <f>IFERROR(IF(A262="","",SUMIF(DB_Withdrawals!$A:$A,A262,DB_Withdrawals!$G:$G)),"")</f>
        <v/>
      </c>
      <c r="M262" s="36" t="str">
        <f>IFERROR(IF(A262="","",IFERROR(VALUE(H262),0)+IFERROR(SUMIF(DB_Savings!$A:$A,A262,DB_Savings!$F:$F),0)-IFERROR(SUMIF(DB_Withdrawals!$A:$A,A262,DB_Withdrawals!$G:$G),0)),"")</f>
        <v/>
      </c>
      <c r="N262" s="36" t="str">
        <f>IFERROR(IF(A262="","",MAX(0,M262-System_Config!$B$9)),"")</f>
        <v/>
      </c>
    </row>
    <row r="263" spans="1:14" ht="20.100000000000001" customHeight="1" x14ac:dyDescent="0.25">
      <c r="A263" s="34" t="str">
        <f>'NEW ACCOUNT'!A264</f>
        <v/>
      </c>
      <c r="B263" s="35" t="str">
        <f>IF('NEW ACCOUNT'!A264="","",'NEW ACCOUNT'!B264)</f>
        <v/>
      </c>
      <c r="C263" s="35" t="str">
        <f>IF('NEW ACCOUNT'!A264="","",'NEW ACCOUNT'!C264)</f>
        <v/>
      </c>
      <c r="D263" s="35" t="str">
        <f>IF('NEW ACCOUNT'!A264="","",'NEW ACCOUNT'!D264)</f>
        <v/>
      </c>
      <c r="E263" s="35" t="str">
        <f>IF('NEW ACCOUNT'!A264="","",'NEW ACCOUNT'!E264)</f>
        <v/>
      </c>
      <c r="F263" s="35" t="str">
        <f>IF('NEW ACCOUNT'!A264="","",'NEW ACCOUNT'!F264)</f>
        <v/>
      </c>
      <c r="G263" s="35" t="str">
        <f>IF('NEW ACCOUNT'!A264="","",'NEW ACCOUNT'!G264)</f>
        <v/>
      </c>
      <c r="H263" s="35" t="str">
        <f>IF('NEW ACCOUNT'!A264="","",'NEW ACCOUNT'!H264)</f>
        <v/>
      </c>
      <c r="I263" s="35" t="str">
        <f>IF('NEW ACCOUNT'!A264="","",'NEW ACCOUNT'!I264)</f>
        <v/>
      </c>
      <c r="J263" s="35" t="str">
        <f>IF('NEW ACCOUNT'!A264="","",'NEW ACCOUNT'!J264)</f>
        <v/>
      </c>
      <c r="K263" s="36" t="str">
        <f>IFERROR(IF(A263="","",SUMIF(DB_Savings!$A:$A,A263,DB_Savings!$F:$F)),"")</f>
        <v/>
      </c>
      <c r="L263" s="36" t="str">
        <f>IFERROR(IF(A263="","",SUMIF(DB_Withdrawals!$A:$A,A263,DB_Withdrawals!$G:$G)),"")</f>
        <v/>
      </c>
      <c r="M263" s="36" t="str">
        <f>IFERROR(IF(A263="","",IFERROR(VALUE(H263),0)+IFERROR(SUMIF(DB_Savings!$A:$A,A263,DB_Savings!$F:$F),0)-IFERROR(SUMIF(DB_Withdrawals!$A:$A,A263,DB_Withdrawals!$G:$G),0)),"")</f>
        <v/>
      </c>
      <c r="N263" s="36" t="str">
        <f>IFERROR(IF(A263="","",MAX(0,M263-System_Config!$B$9)),"")</f>
        <v/>
      </c>
    </row>
    <row r="264" spans="1:14" ht="20.100000000000001" customHeight="1" x14ac:dyDescent="0.25">
      <c r="A264" s="34" t="str">
        <f>'NEW ACCOUNT'!A265</f>
        <v/>
      </c>
      <c r="B264" s="35" t="str">
        <f>IF('NEW ACCOUNT'!A265="","",'NEW ACCOUNT'!B265)</f>
        <v/>
      </c>
      <c r="C264" s="35" t="str">
        <f>IF('NEW ACCOUNT'!A265="","",'NEW ACCOUNT'!C265)</f>
        <v/>
      </c>
      <c r="D264" s="35" t="str">
        <f>IF('NEW ACCOUNT'!A265="","",'NEW ACCOUNT'!D265)</f>
        <v/>
      </c>
      <c r="E264" s="35" t="str">
        <f>IF('NEW ACCOUNT'!A265="","",'NEW ACCOUNT'!E265)</f>
        <v/>
      </c>
      <c r="F264" s="35" t="str">
        <f>IF('NEW ACCOUNT'!A265="","",'NEW ACCOUNT'!F265)</f>
        <v/>
      </c>
      <c r="G264" s="35" t="str">
        <f>IF('NEW ACCOUNT'!A265="","",'NEW ACCOUNT'!G265)</f>
        <v/>
      </c>
      <c r="H264" s="35" t="str">
        <f>IF('NEW ACCOUNT'!A265="","",'NEW ACCOUNT'!H265)</f>
        <v/>
      </c>
      <c r="I264" s="35" t="str">
        <f>IF('NEW ACCOUNT'!A265="","",'NEW ACCOUNT'!I265)</f>
        <v/>
      </c>
      <c r="J264" s="35" t="str">
        <f>IF('NEW ACCOUNT'!A265="","",'NEW ACCOUNT'!J265)</f>
        <v/>
      </c>
      <c r="K264" s="36" t="str">
        <f>IFERROR(IF(A264="","",SUMIF(DB_Savings!$A:$A,A264,DB_Savings!$F:$F)),"")</f>
        <v/>
      </c>
      <c r="L264" s="36" t="str">
        <f>IFERROR(IF(A264="","",SUMIF(DB_Withdrawals!$A:$A,A264,DB_Withdrawals!$G:$G)),"")</f>
        <v/>
      </c>
      <c r="M264" s="36" t="str">
        <f>IFERROR(IF(A264="","",IFERROR(VALUE(H264),0)+IFERROR(SUMIF(DB_Savings!$A:$A,A264,DB_Savings!$F:$F),0)-IFERROR(SUMIF(DB_Withdrawals!$A:$A,A264,DB_Withdrawals!$G:$G),0)),"")</f>
        <v/>
      </c>
      <c r="N264" s="36" t="str">
        <f>IFERROR(IF(A264="","",MAX(0,M264-System_Config!$B$9)),"")</f>
        <v/>
      </c>
    </row>
    <row r="265" spans="1:14" ht="20.100000000000001" customHeight="1" x14ac:dyDescent="0.25">
      <c r="A265" s="34" t="str">
        <f>'NEW ACCOUNT'!A266</f>
        <v/>
      </c>
      <c r="B265" s="35" t="str">
        <f>IF('NEW ACCOUNT'!A266="","",'NEW ACCOUNT'!B266)</f>
        <v/>
      </c>
      <c r="C265" s="35" t="str">
        <f>IF('NEW ACCOUNT'!A266="","",'NEW ACCOUNT'!C266)</f>
        <v/>
      </c>
      <c r="D265" s="35" t="str">
        <f>IF('NEW ACCOUNT'!A266="","",'NEW ACCOUNT'!D266)</f>
        <v/>
      </c>
      <c r="E265" s="35" t="str">
        <f>IF('NEW ACCOUNT'!A266="","",'NEW ACCOUNT'!E266)</f>
        <v/>
      </c>
      <c r="F265" s="35" t="str">
        <f>IF('NEW ACCOUNT'!A266="","",'NEW ACCOUNT'!F266)</f>
        <v/>
      </c>
      <c r="G265" s="35" t="str">
        <f>IF('NEW ACCOUNT'!A266="","",'NEW ACCOUNT'!G266)</f>
        <v/>
      </c>
      <c r="H265" s="35" t="str">
        <f>IF('NEW ACCOUNT'!A266="","",'NEW ACCOUNT'!H266)</f>
        <v/>
      </c>
      <c r="I265" s="35" t="str">
        <f>IF('NEW ACCOUNT'!A266="","",'NEW ACCOUNT'!I266)</f>
        <v/>
      </c>
      <c r="J265" s="35" t="str">
        <f>IF('NEW ACCOUNT'!A266="","",'NEW ACCOUNT'!J266)</f>
        <v/>
      </c>
      <c r="K265" s="36" t="str">
        <f>IFERROR(IF(A265="","",SUMIF(DB_Savings!$A:$A,A265,DB_Savings!$F:$F)),"")</f>
        <v/>
      </c>
      <c r="L265" s="36" t="str">
        <f>IFERROR(IF(A265="","",SUMIF(DB_Withdrawals!$A:$A,A265,DB_Withdrawals!$G:$G)),"")</f>
        <v/>
      </c>
      <c r="M265" s="36" t="str">
        <f>IFERROR(IF(A265="","",IFERROR(VALUE(H265),0)+IFERROR(SUMIF(DB_Savings!$A:$A,A265,DB_Savings!$F:$F),0)-IFERROR(SUMIF(DB_Withdrawals!$A:$A,A265,DB_Withdrawals!$G:$G),0)),"")</f>
        <v/>
      </c>
      <c r="N265" s="36" t="str">
        <f>IFERROR(IF(A265="","",MAX(0,M265-System_Config!$B$9)),"")</f>
        <v/>
      </c>
    </row>
    <row r="266" spans="1:14" ht="20.100000000000001" customHeight="1" x14ac:dyDescent="0.25">
      <c r="A266" s="34" t="str">
        <f>'NEW ACCOUNT'!A267</f>
        <v/>
      </c>
      <c r="B266" s="35" t="str">
        <f>IF('NEW ACCOUNT'!A267="","",'NEW ACCOUNT'!B267)</f>
        <v/>
      </c>
      <c r="C266" s="35" t="str">
        <f>IF('NEW ACCOUNT'!A267="","",'NEW ACCOUNT'!C267)</f>
        <v/>
      </c>
      <c r="D266" s="35" t="str">
        <f>IF('NEW ACCOUNT'!A267="","",'NEW ACCOUNT'!D267)</f>
        <v/>
      </c>
      <c r="E266" s="35" t="str">
        <f>IF('NEW ACCOUNT'!A267="","",'NEW ACCOUNT'!E267)</f>
        <v/>
      </c>
      <c r="F266" s="35" t="str">
        <f>IF('NEW ACCOUNT'!A267="","",'NEW ACCOUNT'!F267)</f>
        <v/>
      </c>
      <c r="G266" s="35" t="str">
        <f>IF('NEW ACCOUNT'!A267="","",'NEW ACCOUNT'!G267)</f>
        <v/>
      </c>
      <c r="H266" s="35" t="str">
        <f>IF('NEW ACCOUNT'!A267="","",'NEW ACCOUNT'!H267)</f>
        <v/>
      </c>
      <c r="I266" s="35" t="str">
        <f>IF('NEW ACCOUNT'!A267="","",'NEW ACCOUNT'!I267)</f>
        <v/>
      </c>
      <c r="J266" s="35" t="str">
        <f>IF('NEW ACCOUNT'!A267="","",'NEW ACCOUNT'!J267)</f>
        <v/>
      </c>
      <c r="K266" s="36" t="str">
        <f>IFERROR(IF(A266="","",SUMIF(DB_Savings!$A:$A,A266,DB_Savings!$F:$F)),"")</f>
        <v/>
      </c>
      <c r="L266" s="36" t="str">
        <f>IFERROR(IF(A266="","",SUMIF(DB_Withdrawals!$A:$A,A266,DB_Withdrawals!$G:$G)),"")</f>
        <v/>
      </c>
      <c r="M266" s="36" t="str">
        <f>IFERROR(IF(A266="","",IFERROR(VALUE(H266),0)+IFERROR(SUMIF(DB_Savings!$A:$A,A266,DB_Savings!$F:$F),0)-IFERROR(SUMIF(DB_Withdrawals!$A:$A,A266,DB_Withdrawals!$G:$G),0)),"")</f>
        <v/>
      </c>
      <c r="N266" s="36" t="str">
        <f>IFERROR(IF(A266="","",MAX(0,M266-System_Config!$B$9)),"")</f>
        <v/>
      </c>
    </row>
    <row r="267" spans="1:14" ht="20.100000000000001" customHeight="1" x14ac:dyDescent="0.25">
      <c r="A267" s="34" t="str">
        <f>'NEW ACCOUNT'!A268</f>
        <v/>
      </c>
      <c r="B267" s="35" t="str">
        <f>IF('NEW ACCOUNT'!A268="","",'NEW ACCOUNT'!B268)</f>
        <v/>
      </c>
      <c r="C267" s="35" t="str">
        <f>IF('NEW ACCOUNT'!A268="","",'NEW ACCOUNT'!C268)</f>
        <v/>
      </c>
      <c r="D267" s="35" t="str">
        <f>IF('NEW ACCOUNT'!A268="","",'NEW ACCOUNT'!D268)</f>
        <v/>
      </c>
      <c r="E267" s="35" t="str">
        <f>IF('NEW ACCOUNT'!A268="","",'NEW ACCOUNT'!E268)</f>
        <v/>
      </c>
      <c r="F267" s="35" t="str">
        <f>IF('NEW ACCOUNT'!A268="","",'NEW ACCOUNT'!F268)</f>
        <v/>
      </c>
      <c r="G267" s="35" t="str">
        <f>IF('NEW ACCOUNT'!A268="","",'NEW ACCOUNT'!G268)</f>
        <v/>
      </c>
      <c r="H267" s="35" t="str">
        <f>IF('NEW ACCOUNT'!A268="","",'NEW ACCOUNT'!H268)</f>
        <v/>
      </c>
      <c r="I267" s="35" t="str">
        <f>IF('NEW ACCOUNT'!A268="","",'NEW ACCOUNT'!I268)</f>
        <v/>
      </c>
      <c r="J267" s="35" t="str">
        <f>IF('NEW ACCOUNT'!A268="","",'NEW ACCOUNT'!J268)</f>
        <v/>
      </c>
      <c r="K267" s="36" t="str">
        <f>IFERROR(IF(A267="","",SUMIF(DB_Savings!$A:$A,A267,DB_Savings!$F:$F)),"")</f>
        <v/>
      </c>
      <c r="L267" s="36" t="str">
        <f>IFERROR(IF(A267="","",SUMIF(DB_Withdrawals!$A:$A,A267,DB_Withdrawals!$G:$G)),"")</f>
        <v/>
      </c>
      <c r="M267" s="36" t="str">
        <f>IFERROR(IF(A267="","",IFERROR(VALUE(H267),0)+IFERROR(SUMIF(DB_Savings!$A:$A,A267,DB_Savings!$F:$F),0)-IFERROR(SUMIF(DB_Withdrawals!$A:$A,A267,DB_Withdrawals!$G:$G),0)),"")</f>
        <v/>
      </c>
      <c r="N267" s="36" t="str">
        <f>IFERROR(IF(A267="","",MAX(0,M267-System_Config!$B$9)),"")</f>
        <v/>
      </c>
    </row>
    <row r="268" spans="1:14" ht="20.100000000000001" customHeight="1" x14ac:dyDescent="0.25">
      <c r="A268" s="34" t="str">
        <f>'NEW ACCOUNT'!A269</f>
        <v/>
      </c>
      <c r="B268" s="35" t="str">
        <f>IF('NEW ACCOUNT'!A269="","",'NEW ACCOUNT'!B269)</f>
        <v/>
      </c>
      <c r="C268" s="35" t="str">
        <f>IF('NEW ACCOUNT'!A269="","",'NEW ACCOUNT'!C269)</f>
        <v/>
      </c>
      <c r="D268" s="35" t="str">
        <f>IF('NEW ACCOUNT'!A269="","",'NEW ACCOUNT'!D269)</f>
        <v/>
      </c>
      <c r="E268" s="35" t="str">
        <f>IF('NEW ACCOUNT'!A269="","",'NEW ACCOUNT'!E269)</f>
        <v/>
      </c>
      <c r="F268" s="35" t="str">
        <f>IF('NEW ACCOUNT'!A269="","",'NEW ACCOUNT'!F269)</f>
        <v/>
      </c>
      <c r="G268" s="35" t="str">
        <f>IF('NEW ACCOUNT'!A269="","",'NEW ACCOUNT'!G269)</f>
        <v/>
      </c>
      <c r="H268" s="35" t="str">
        <f>IF('NEW ACCOUNT'!A269="","",'NEW ACCOUNT'!H269)</f>
        <v/>
      </c>
      <c r="I268" s="35" t="str">
        <f>IF('NEW ACCOUNT'!A269="","",'NEW ACCOUNT'!I269)</f>
        <v/>
      </c>
      <c r="J268" s="35" t="str">
        <f>IF('NEW ACCOUNT'!A269="","",'NEW ACCOUNT'!J269)</f>
        <v/>
      </c>
      <c r="K268" s="36" t="str">
        <f>IFERROR(IF(A268="","",SUMIF(DB_Savings!$A:$A,A268,DB_Savings!$F:$F)),"")</f>
        <v/>
      </c>
      <c r="L268" s="36" t="str">
        <f>IFERROR(IF(A268="","",SUMIF(DB_Withdrawals!$A:$A,A268,DB_Withdrawals!$G:$G)),"")</f>
        <v/>
      </c>
      <c r="M268" s="36" t="str">
        <f>IFERROR(IF(A268="","",IFERROR(VALUE(H268),0)+IFERROR(SUMIF(DB_Savings!$A:$A,A268,DB_Savings!$F:$F),0)-IFERROR(SUMIF(DB_Withdrawals!$A:$A,A268,DB_Withdrawals!$G:$G),0)),"")</f>
        <v/>
      </c>
      <c r="N268" s="36" t="str">
        <f>IFERROR(IF(A268="","",MAX(0,M268-System_Config!$B$9)),"")</f>
        <v/>
      </c>
    </row>
    <row r="269" spans="1:14" ht="20.100000000000001" customHeight="1" x14ac:dyDescent="0.25">
      <c r="A269" s="34" t="str">
        <f>'NEW ACCOUNT'!A270</f>
        <v/>
      </c>
      <c r="B269" s="35" t="str">
        <f>IF('NEW ACCOUNT'!A270="","",'NEW ACCOUNT'!B270)</f>
        <v/>
      </c>
      <c r="C269" s="35" t="str">
        <f>IF('NEW ACCOUNT'!A270="","",'NEW ACCOUNT'!C270)</f>
        <v/>
      </c>
      <c r="D269" s="35" t="str">
        <f>IF('NEW ACCOUNT'!A270="","",'NEW ACCOUNT'!D270)</f>
        <v/>
      </c>
      <c r="E269" s="35" t="str">
        <f>IF('NEW ACCOUNT'!A270="","",'NEW ACCOUNT'!E270)</f>
        <v/>
      </c>
      <c r="F269" s="35" t="str">
        <f>IF('NEW ACCOUNT'!A270="","",'NEW ACCOUNT'!F270)</f>
        <v/>
      </c>
      <c r="G269" s="35" t="str">
        <f>IF('NEW ACCOUNT'!A270="","",'NEW ACCOUNT'!G270)</f>
        <v/>
      </c>
      <c r="H269" s="35" t="str">
        <f>IF('NEW ACCOUNT'!A270="","",'NEW ACCOUNT'!H270)</f>
        <v/>
      </c>
      <c r="I269" s="35" t="str">
        <f>IF('NEW ACCOUNT'!A270="","",'NEW ACCOUNT'!I270)</f>
        <v/>
      </c>
      <c r="J269" s="35" t="str">
        <f>IF('NEW ACCOUNT'!A270="","",'NEW ACCOUNT'!J270)</f>
        <v/>
      </c>
      <c r="K269" s="36" t="str">
        <f>IFERROR(IF(A269="","",SUMIF(DB_Savings!$A:$A,A269,DB_Savings!$F:$F)),"")</f>
        <v/>
      </c>
      <c r="L269" s="36" t="str">
        <f>IFERROR(IF(A269="","",SUMIF(DB_Withdrawals!$A:$A,A269,DB_Withdrawals!$G:$G)),"")</f>
        <v/>
      </c>
      <c r="M269" s="36" t="str">
        <f>IFERROR(IF(A269="","",IFERROR(VALUE(H269),0)+IFERROR(SUMIF(DB_Savings!$A:$A,A269,DB_Savings!$F:$F),0)-IFERROR(SUMIF(DB_Withdrawals!$A:$A,A269,DB_Withdrawals!$G:$G),0)),"")</f>
        <v/>
      </c>
      <c r="N269" s="36" t="str">
        <f>IFERROR(IF(A269="","",MAX(0,M269-System_Config!$B$9)),"")</f>
        <v/>
      </c>
    </row>
    <row r="270" spans="1:14" ht="20.100000000000001" customHeight="1" x14ac:dyDescent="0.25">
      <c r="A270" s="34" t="str">
        <f>'NEW ACCOUNT'!A271</f>
        <v/>
      </c>
      <c r="B270" s="35" t="str">
        <f>IF('NEW ACCOUNT'!A271="","",'NEW ACCOUNT'!B271)</f>
        <v/>
      </c>
      <c r="C270" s="35" t="str">
        <f>IF('NEW ACCOUNT'!A271="","",'NEW ACCOUNT'!C271)</f>
        <v/>
      </c>
      <c r="D270" s="35" t="str">
        <f>IF('NEW ACCOUNT'!A271="","",'NEW ACCOUNT'!D271)</f>
        <v/>
      </c>
      <c r="E270" s="35" t="str">
        <f>IF('NEW ACCOUNT'!A271="","",'NEW ACCOUNT'!E271)</f>
        <v/>
      </c>
      <c r="F270" s="35" t="str">
        <f>IF('NEW ACCOUNT'!A271="","",'NEW ACCOUNT'!F271)</f>
        <v/>
      </c>
      <c r="G270" s="35" t="str">
        <f>IF('NEW ACCOUNT'!A271="","",'NEW ACCOUNT'!G271)</f>
        <v/>
      </c>
      <c r="H270" s="35" t="str">
        <f>IF('NEW ACCOUNT'!A271="","",'NEW ACCOUNT'!H271)</f>
        <v/>
      </c>
      <c r="I270" s="35" t="str">
        <f>IF('NEW ACCOUNT'!A271="","",'NEW ACCOUNT'!I271)</f>
        <v/>
      </c>
      <c r="J270" s="35" t="str">
        <f>IF('NEW ACCOUNT'!A271="","",'NEW ACCOUNT'!J271)</f>
        <v/>
      </c>
      <c r="K270" s="36" t="str">
        <f>IFERROR(IF(A270="","",SUMIF(DB_Savings!$A:$A,A270,DB_Savings!$F:$F)),"")</f>
        <v/>
      </c>
      <c r="L270" s="36" t="str">
        <f>IFERROR(IF(A270="","",SUMIF(DB_Withdrawals!$A:$A,A270,DB_Withdrawals!$G:$G)),"")</f>
        <v/>
      </c>
      <c r="M270" s="36" t="str">
        <f>IFERROR(IF(A270="","",IFERROR(VALUE(H270),0)+IFERROR(SUMIF(DB_Savings!$A:$A,A270,DB_Savings!$F:$F),0)-IFERROR(SUMIF(DB_Withdrawals!$A:$A,A270,DB_Withdrawals!$G:$G),0)),"")</f>
        <v/>
      </c>
      <c r="N270" s="36" t="str">
        <f>IFERROR(IF(A270="","",MAX(0,M270-System_Config!$B$9)),"")</f>
        <v/>
      </c>
    </row>
    <row r="271" spans="1:14" ht="20.100000000000001" customHeight="1" x14ac:dyDescent="0.25">
      <c r="A271" s="34" t="str">
        <f>'NEW ACCOUNT'!A272</f>
        <v/>
      </c>
      <c r="B271" s="35" t="str">
        <f>IF('NEW ACCOUNT'!A272="","",'NEW ACCOUNT'!B272)</f>
        <v/>
      </c>
      <c r="C271" s="35" t="str">
        <f>IF('NEW ACCOUNT'!A272="","",'NEW ACCOUNT'!C272)</f>
        <v/>
      </c>
      <c r="D271" s="35" t="str">
        <f>IF('NEW ACCOUNT'!A272="","",'NEW ACCOUNT'!D272)</f>
        <v/>
      </c>
      <c r="E271" s="35" t="str">
        <f>IF('NEW ACCOUNT'!A272="","",'NEW ACCOUNT'!E272)</f>
        <v/>
      </c>
      <c r="F271" s="35" t="str">
        <f>IF('NEW ACCOUNT'!A272="","",'NEW ACCOUNT'!F272)</f>
        <v/>
      </c>
      <c r="G271" s="35" t="str">
        <f>IF('NEW ACCOUNT'!A272="","",'NEW ACCOUNT'!G272)</f>
        <v/>
      </c>
      <c r="H271" s="35" t="str">
        <f>IF('NEW ACCOUNT'!A272="","",'NEW ACCOUNT'!H272)</f>
        <v/>
      </c>
      <c r="I271" s="35" t="str">
        <f>IF('NEW ACCOUNT'!A272="","",'NEW ACCOUNT'!I272)</f>
        <v/>
      </c>
      <c r="J271" s="35" t="str">
        <f>IF('NEW ACCOUNT'!A272="","",'NEW ACCOUNT'!J272)</f>
        <v/>
      </c>
      <c r="K271" s="36" t="str">
        <f>IFERROR(IF(A271="","",SUMIF(DB_Savings!$A:$A,A271,DB_Savings!$F:$F)),"")</f>
        <v/>
      </c>
      <c r="L271" s="36" t="str">
        <f>IFERROR(IF(A271="","",SUMIF(DB_Withdrawals!$A:$A,A271,DB_Withdrawals!$G:$G)),"")</f>
        <v/>
      </c>
      <c r="M271" s="36" t="str">
        <f>IFERROR(IF(A271="","",IFERROR(VALUE(H271),0)+IFERROR(SUMIF(DB_Savings!$A:$A,A271,DB_Savings!$F:$F),0)-IFERROR(SUMIF(DB_Withdrawals!$A:$A,A271,DB_Withdrawals!$G:$G),0)),"")</f>
        <v/>
      </c>
      <c r="N271" s="36" t="str">
        <f>IFERROR(IF(A271="","",MAX(0,M271-System_Config!$B$9)),"")</f>
        <v/>
      </c>
    </row>
    <row r="272" spans="1:14" ht="20.100000000000001" customHeight="1" x14ac:dyDescent="0.25">
      <c r="A272" s="34" t="str">
        <f>'NEW ACCOUNT'!A273</f>
        <v/>
      </c>
      <c r="B272" s="35" t="str">
        <f>IF('NEW ACCOUNT'!A273="","",'NEW ACCOUNT'!B273)</f>
        <v/>
      </c>
      <c r="C272" s="35" t="str">
        <f>IF('NEW ACCOUNT'!A273="","",'NEW ACCOUNT'!C273)</f>
        <v/>
      </c>
      <c r="D272" s="35" t="str">
        <f>IF('NEW ACCOUNT'!A273="","",'NEW ACCOUNT'!D273)</f>
        <v/>
      </c>
      <c r="E272" s="35" t="str">
        <f>IF('NEW ACCOUNT'!A273="","",'NEW ACCOUNT'!E273)</f>
        <v/>
      </c>
      <c r="F272" s="35" t="str">
        <f>IF('NEW ACCOUNT'!A273="","",'NEW ACCOUNT'!F273)</f>
        <v/>
      </c>
      <c r="G272" s="35" t="str">
        <f>IF('NEW ACCOUNT'!A273="","",'NEW ACCOUNT'!G273)</f>
        <v/>
      </c>
      <c r="H272" s="35" t="str">
        <f>IF('NEW ACCOUNT'!A273="","",'NEW ACCOUNT'!H273)</f>
        <v/>
      </c>
      <c r="I272" s="35" t="str">
        <f>IF('NEW ACCOUNT'!A273="","",'NEW ACCOUNT'!I273)</f>
        <v/>
      </c>
      <c r="J272" s="35" t="str">
        <f>IF('NEW ACCOUNT'!A273="","",'NEW ACCOUNT'!J273)</f>
        <v/>
      </c>
      <c r="K272" s="36" t="str">
        <f>IFERROR(IF(A272="","",SUMIF(DB_Savings!$A:$A,A272,DB_Savings!$F:$F)),"")</f>
        <v/>
      </c>
      <c r="L272" s="36" t="str">
        <f>IFERROR(IF(A272="","",SUMIF(DB_Withdrawals!$A:$A,A272,DB_Withdrawals!$G:$G)),"")</f>
        <v/>
      </c>
      <c r="M272" s="36" t="str">
        <f>IFERROR(IF(A272="","",IFERROR(VALUE(H272),0)+IFERROR(SUMIF(DB_Savings!$A:$A,A272,DB_Savings!$F:$F),0)-IFERROR(SUMIF(DB_Withdrawals!$A:$A,A272,DB_Withdrawals!$G:$G),0)),"")</f>
        <v/>
      </c>
      <c r="N272" s="36" t="str">
        <f>IFERROR(IF(A272="","",MAX(0,M272-System_Config!$B$9)),"")</f>
        <v/>
      </c>
    </row>
    <row r="273" spans="1:14" ht="20.100000000000001" customHeight="1" x14ac:dyDescent="0.25">
      <c r="A273" s="34" t="str">
        <f>'NEW ACCOUNT'!A274</f>
        <v/>
      </c>
      <c r="B273" s="35" t="str">
        <f>IF('NEW ACCOUNT'!A274="","",'NEW ACCOUNT'!B274)</f>
        <v/>
      </c>
      <c r="C273" s="35" t="str">
        <f>IF('NEW ACCOUNT'!A274="","",'NEW ACCOUNT'!C274)</f>
        <v/>
      </c>
      <c r="D273" s="35" t="str">
        <f>IF('NEW ACCOUNT'!A274="","",'NEW ACCOUNT'!D274)</f>
        <v/>
      </c>
      <c r="E273" s="35" t="str">
        <f>IF('NEW ACCOUNT'!A274="","",'NEW ACCOUNT'!E274)</f>
        <v/>
      </c>
      <c r="F273" s="35" t="str">
        <f>IF('NEW ACCOUNT'!A274="","",'NEW ACCOUNT'!F274)</f>
        <v/>
      </c>
      <c r="G273" s="35" t="str">
        <f>IF('NEW ACCOUNT'!A274="","",'NEW ACCOUNT'!G274)</f>
        <v/>
      </c>
      <c r="H273" s="35" t="str">
        <f>IF('NEW ACCOUNT'!A274="","",'NEW ACCOUNT'!H274)</f>
        <v/>
      </c>
      <c r="I273" s="35" t="str">
        <f>IF('NEW ACCOUNT'!A274="","",'NEW ACCOUNT'!I274)</f>
        <v/>
      </c>
      <c r="J273" s="35" t="str">
        <f>IF('NEW ACCOUNT'!A274="","",'NEW ACCOUNT'!J274)</f>
        <v/>
      </c>
      <c r="K273" s="36" t="str">
        <f>IFERROR(IF(A273="","",SUMIF(DB_Savings!$A:$A,A273,DB_Savings!$F:$F)),"")</f>
        <v/>
      </c>
      <c r="L273" s="36" t="str">
        <f>IFERROR(IF(A273="","",SUMIF(DB_Withdrawals!$A:$A,A273,DB_Withdrawals!$G:$G)),"")</f>
        <v/>
      </c>
      <c r="M273" s="36" t="str">
        <f>IFERROR(IF(A273="","",IFERROR(VALUE(H273),0)+IFERROR(SUMIF(DB_Savings!$A:$A,A273,DB_Savings!$F:$F),0)-IFERROR(SUMIF(DB_Withdrawals!$A:$A,A273,DB_Withdrawals!$G:$G),0)),"")</f>
        <v/>
      </c>
      <c r="N273" s="36" t="str">
        <f>IFERROR(IF(A273="","",MAX(0,M273-System_Config!$B$9)),"")</f>
        <v/>
      </c>
    </row>
    <row r="274" spans="1:14" ht="20.100000000000001" customHeight="1" x14ac:dyDescent="0.25">
      <c r="A274" s="34" t="str">
        <f>'NEW ACCOUNT'!A275</f>
        <v/>
      </c>
      <c r="B274" s="35" t="str">
        <f>IF('NEW ACCOUNT'!A275="","",'NEW ACCOUNT'!B275)</f>
        <v/>
      </c>
      <c r="C274" s="35" t="str">
        <f>IF('NEW ACCOUNT'!A275="","",'NEW ACCOUNT'!C275)</f>
        <v/>
      </c>
      <c r="D274" s="35" t="str">
        <f>IF('NEW ACCOUNT'!A275="","",'NEW ACCOUNT'!D275)</f>
        <v/>
      </c>
      <c r="E274" s="35" t="str">
        <f>IF('NEW ACCOUNT'!A275="","",'NEW ACCOUNT'!E275)</f>
        <v/>
      </c>
      <c r="F274" s="35" t="str">
        <f>IF('NEW ACCOUNT'!A275="","",'NEW ACCOUNT'!F275)</f>
        <v/>
      </c>
      <c r="G274" s="35" t="str">
        <f>IF('NEW ACCOUNT'!A275="","",'NEW ACCOUNT'!G275)</f>
        <v/>
      </c>
      <c r="H274" s="35" t="str">
        <f>IF('NEW ACCOUNT'!A275="","",'NEW ACCOUNT'!H275)</f>
        <v/>
      </c>
      <c r="I274" s="35" t="str">
        <f>IF('NEW ACCOUNT'!A275="","",'NEW ACCOUNT'!I275)</f>
        <v/>
      </c>
      <c r="J274" s="35" t="str">
        <f>IF('NEW ACCOUNT'!A275="","",'NEW ACCOUNT'!J275)</f>
        <v/>
      </c>
      <c r="K274" s="36" t="str">
        <f>IFERROR(IF(A274="","",SUMIF(DB_Savings!$A:$A,A274,DB_Savings!$F:$F)),"")</f>
        <v/>
      </c>
      <c r="L274" s="36" t="str">
        <f>IFERROR(IF(A274="","",SUMIF(DB_Withdrawals!$A:$A,A274,DB_Withdrawals!$G:$G)),"")</f>
        <v/>
      </c>
      <c r="M274" s="36" t="str">
        <f>IFERROR(IF(A274="","",IFERROR(VALUE(H274),0)+IFERROR(SUMIF(DB_Savings!$A:$A,A274,DB_Savings!$F:$F),0)-IFERROR(SUMIF(DB_Withdrawals!$A:$A,A274,DB_Withdrawals!$G:$G),0)),"")</f>
        <v/>
      </c>
      <c r="N274" s="36" t="str">
        <f>IFERROR(IF(A274="","",MAX(0,M274-System_Config!$B$9)),"")</f>
        <v/>
      </c>
    </row>
    <row r="275" spans="1:14" ht="20.100000000000001" customHeight="1" x14ac:dyDescent="0.25">
      <c r="A275" s="34" t="str">
        <f>'NEW ACCOUNT'!A276</f>
        <v/>
      </c>
      <c r="B275" s="35" t="str">
        <f>IF('NEW ACCOUNT'!A276="","",'NEW ACCOUNT'!B276)</f>
        <v/>
      </c>
      <c r="C275" s="35" t="str">
        <f>IF('NEW ACCOUNT'!A276="","",'NEW ACCOUNT'!C276)</f>
        <v/>
      </c>
      <c r="D275" s="35" t="str">
        <f>IF('NEW ACCOUNT'!A276="","",'NEW ACCOUNT'!D276)</f>
        <v/>
      </c>
      <c r="E275" s="35" t="str">
        <f>IF('NEW ACCOUNT'!A276="","",'NEW ACCOUNT'!E276)</f>
        <v/>
      </c>
      <c r="F275" s="35" t="str">
        <f>IF('NEW ACCOUNT'!A276="","",'NEW ACCOUNT'!F276)</f>
        <v/>
      </c>
      <c r="G275" s="35" t="str">
        <f>IF('NEW ACCOUNT'!A276="","",'NEW ACCOUNT'!G276)</f>
        <v/>
      </c>
      <c r="H275" s="35" t="str">
        <f>IF('NEW ACCOUNT'!A276="","",'NEW ACCOUNT'!H276)</f>
        <v/>
      </c>
      <c r="I275" s="35" t="str">
        <f>IF('NEW ACCOUNT'!A276="","",'NEW ACCOUNT'!I276)</f>
        <v/>
      </c>
      <c r="J275" s="35" t="str">
        <f>IF('NEW ACCOUNT'!A276="","",'NEW ACCOUNT'!J276)</f>
        <v/>
      </c>
      <c r="K275" s="36" t="str">
        <f>IFERROR(IF(A275="","",SUMIF(DB_Savings!$A:$A,A275,DB_Savings!$F:$F)),"")</f>
        <v/>
      </c>
      <c r="L275" s="36" t="str">
        <f>IFERROR(IF(A275="","",SUMIF(DB_Withdrawals!$A:$A,A275,DB_Withdrawals!$G:$G)),"")</f>
        <v/>
      </c>
      <c r="M275" s="36" t="str">
        <f>IFERROR(IF(A275="","",IFERROR(VALUE(H275),0)+IFERROR(SUMIF(DB_Savings!$A:$A,A275,DB_Savings!$F:$F),0)-IFERROR(SUMIF(DB_Withdrawals!$A:$A,A275,DB_Withdrawals!$G:$G),0)),"")</f>
        <v/>
      </c>
      <c r="N275" s="36" t="str">
        <f>IFERROR(IF(A275="","",MAX(0,M275-System_Config!$B$9)),"")</f>
        <v/>
      </c>
    </row>
    <row r="276" spans="1:14" ht="20.100000000000001" customHeight="1" x14ac:dyDescent="0.25">
      <c r="A276" s="34" t="str">
        <f>'NEW ACCOUNT'!A277</f>
        <v/>
      </c>
      <c r="B276" s="35" t="str">
        <f>IF('NEW ACCOUNT'!A277="","",'NEW ACCOUNT'!B277)</f>
        <v/>
      </c>
      <c r="C276" s="35" t="str">
        <f>IF('NEW ACCOUNT'!A277="","",'NEW ACCOUNT'!C277)</f>
        <v/>
      </c>
      <c r="D276" s="35" t="str">
        <f>IF('NEW ACCOUNT'!A277="","",'NEW ACCOUNT'!D277)</f>
        <v/>
      </c>
      <c r="E276" s="35" t="str">
        <f>IF('NEW ACCOUNT'!A277="","",'NEW ACCOUNT'!E277)</f>
        <v/>
      </c>
      <c r="F276" s="35" t="str">
        <f>IF('NEW ACCOUNT'!A277="","",'NEW ACCOUNT'!F277)</f>
        <v/>
      </c>
      <c r="G276" s="35" t="str">
        <f>IF('NEW ACCOUNT'!A277="","",'NEW ACCOUNT'!G277)</f>
        <v/>
      </c>
      <c r="H276" s="35" t="str">
        <f>IF('NEW ACCOUNT'!A277="","",'NEW ACCOUNT'!H277)</f>
        <v/>
      </c>
      <c r="I276" s="35" t="str">
        <f>IF('NEW ACCOUNT'!A277="","",'NEW ACCOUNT'!I277)</f>
        <v/>
      </c>
      <c r="J276" s="35" t="str">
        <f>IF('NEW ACCOUNT'!A277="","",'NEW ACCOUNT'!J277)</f>
        <v/>
      </c>
      <c r="K276" s="36" t="str">
        <f>IFERROR(IF(A276="","",SUMIF(DB_Savings!$A:$A,A276,DB_Savings!$F:$F)),"")</f>
        <v/>
      </c>
      <c r="L276" s="36" t="str">
        <f>IFERROR(IF(A276="","",SUMIF(DB_Withdrawals!$A:$A,A276,DB_Withdrawals!$G:$G)),"")</f>
        <v/>
      </c>
      <c r="M276" s="36" t="str">
        <f>IFERROR(IF(A276="","",IFERROR(VALUE(H276),0)+IFERROR(SUMIF(DB_Savings!$A:$A,A276,DB_Savings!$F:$F),0)-IFERROR(SUMIF(DB_Withdrawals!$A:$A,A276,DB_Withdrawals!$G:$G),0)),"")</f>
        <v/>
      </c>
      <c r="N276" s="36" t="str">
        <f>IFERROR(IF(A276="","",MAX(0,M276-System_Config!$B$9)),"")</f>
        <v/>
      </c>
    </row>
    <row r="277" spans="1:14" ht="20.100000000000001" customHeight="1" x14ac:dyDescent="0.25">
      <c r="A277" s="34" t="str">
        <f>'NEW ACCOUNT'!A278</f>
        <v/>
      </c>
      <c r="B277" s="35" t="str">
        <f>IF('NEW ACCOUNT'!A278="","",'NEW ACCOUNT'!B278)</f>
        <v/>
      </c>
      <c r="C277" s="35" t="str">
        <f>IF('NEW ACCOUNT'!A278="","",'NEW ACCOUNT'!C278)</f>
        <v/>
      </c>
      <c r="D277" s="35" t="str">
        <f>IF('NEW ACCOUNT'!A278="","",'NEW ACCOUNT'!D278)</f>
        <v/>
      </c>
      <c r="E277" s="35" t="str">
        <f>IF('NEW ACCOUNT'!A278="","",'NEW ACCOUNT'!E278)</f>
        <v/>
      </c>
      <c r="F277" s="35" t="str">
        <f>IF('NEW ACCOUNT'!A278="","",'NEW ACCOUNT'!F278)</f>
        <v/>
      </c>
      <c r="G277" s="35" t="str">
        <f>IF('NEW ACCOUNT'!A278="","",'NEW ACCOUNT'!G278)</f>
        <v/>
      </c>
      <c r="H277" s="35" t="str">
        <f>IF('NEW ACCOUNT'!A278="","",'NEW ACCOUNT'!H278)</f>
        <v/>
      </c>
      <c r="I277" s="35" t="str">
        <f>IF('NEW ACCOUNT'!A278="","",'NEW ACCOUNT'!I278)</f>
        <v/>
      </c>
      <c r="J277" s="35" t="str">
        <f>IF('NEW ACCOUNT'!A278="","",'NEW ACCOUNT'!J278)</f>
        <v/>
      </c>
      <c r="K277" s="36" t="str">
        <f>IFERROR(IF(A277="","",SUMIF(DB_Savings!$A:$A,A277,DB_Savings!$F:$F)),"")</f>
        <v/>
      </c>
      <c r="L277" s="36" t="str">
        <f>IFERROR(IF(A277="","",SUMIF(DB_Withdrawals!$A:$A,A277,DB_Withdrawals!$G:$G)),"")</f>
        <v/>
      </c>
      <c r="M277" s="36" t="str">
        <f>IFERROR(IF(A277="","",IFERROR(VALUE(H277),0)+IFERROR(SUMIF(DB_Savings!$A:$A,A277,DB_Savings!$F:$F),0)-IFERROR(SUMIF(DB_Withdrawals!$A:$A,A277,DB_Withdrawals!$G:$G),0)),"")</f>
        <v/>
      </c>
      <c r="N277" s="36" t="str">
        <f>IFERROR(IF(A277="","",MAX(0,M277-System_Config!$B$9)),"")</f>
        <v/>
      </c>
    </row>
    <row r="278" spans="1:14" ht="20.100000000000001" customHeight="1" x14ac:dyDescent="0.25">
      <c r="A278" s="34" t="str">
        <f>'NEW ACCOUNT'!A279</f>
        <v/>
      </c>
      <c r="B278" s="35" t="str">
        <f>IF('NEW ACCOUNT'!A279="","",'NEW ACCOUNT'!B279)</f>
        <v/>
      </c>
      <c r="C278" s="35" t="str">
        <f>IF('NEW ACCOUNT'!A279="","",'NEW ACCOUNT'!C279)</f>
        <v/>
      </c>
      <c r="D278" s="35" t="str">
        <f>IF('NEW ACCOUNT'!A279="","",'NEW ACCOUNT'!D279)</f>
        <v/>
      </c>
      <c r="E278" s="35" t="str">
        <f>IF('NEW ACCOUNT'!A279="","",'NEW ACCOUNT'!E279)</f>
        <v/>
      </c>
      <c r="F278" s="35" t="str">
        <f>IF('NEW ACCOUNT'!A279="","",'NEW ACCOUNT'!F279)</f>
        <v/>
      </c>
      <c r="G278" s="35" t="str">
        <f>IF('NEW ACCOUNT'!A279="","",'NEW ACCOUNT'!G279)</f>
        <v/>
      </c>
      <c r="H278" s="35" t="str">
        <f>IF('NEW ACCOUNT'!A279="","",'NEW ACCOUNT'!H279)</f>
        <v/>
      </c>
      <c r="I278" s="35" t="str">
        <f>IF('NEW ACCOUNT'!A279="","",'NEW ACCOUNT'!I279)</f>
        <v/>
      </c>
      <c r="J278" s="35" t="str">
        <f>IF('NEW ACCOUNT'!A279="","",'NEW ACCOUNT'!J279)</f>
        <v/>
      </c>
      <c r="K278" s="36" t="str">
        <f>IFERROR(IF(A278="","",SUMIF(DB_Savings!$A:$A,A278,DB_Savings!$F:$F)),"")</f>
        <v/>
      </c>
      <c r="L278" s="36" t="str">
        <f>IFERROR(IF(A278="","",SUMIF(DB_Withdrawals!$A:$A,A278,DB_Withdrawals!$G:$G)),"")</f>
        <v/>
      </c>
      <c r="M278" s="36" t="str">
        <f>IFERROR(IF(A278="","",IFERROR(VALUE(H278),0)+IFERROR(SUMIF(DB_Savings!$A:$A,A278,DB_Savings!$F:$F),0)-IFERROR(SUMIF(DB_Withdrawals!$A:$A,A278,DB_Withdrawals!$G:$G),0)),"")</f>
        <v/>
      </c>
      <c r="N278" s="36" t="str">
        <f>IFERROR(IF(A278="","",MAX(0,M278-System_Config!$B$9)),"")</f>
        <v/>
      </c>
    </row>
    <row r="279" spans="1:14" ht="20.100000000000001" customHeight="1" x14ac:dyDescent="0.25">
      <c r="A279" s="34" t="str">
        <f>'NEW ACCOUNT'!A280</f>
        <v/>
      </c>
      <c r="B279" s="35" t="str">
        <f>IF('NEW ACCOUNT'!A280="","",'NEW ACCOUNT'!B280)</f>
        <v/>
      </c>
      <c r="C279" s="35" t="str">
        <f>IF('NEW ACCOUNT'!A280="","",'NEW ACCOUNT'!C280)</f>
        <v/>
      </c>
      <c r="D279" s="35" t="str">
        <f>IF('NEW ACCOUNT'!A280="","",'NEW ACCOUNT'!D280)</f>
        <v/>
      </c>
      <c r="E279" s="35" t="str">
        <f>IF('NEW ACCOUNT'!A280="","",'NEW ACCOUNT'!E280)</f>
        <v/>
      </c>
      <c r="F279" s="35" t="str">
        <f>IF('NEW ACCOUNT'!A280="","",'NEW ACCOUNT'!F280)</f>
        <v/>
      </c>
      <c r="G279" s="35" t="str">
        <f>IF('NEW ACCOUNT'!A280="","",'NEW ACCOUNT'!G280)</f>
        <v/>
      </c>
      <c r="H279" s="35" t="str">
        <f>IF('NEW ACCOUNT'!A280="","",'NEW ACCOUNT'!H280)</f>
        <v/>
      </c>
      <c r="I279" s="35" t="str">
        <f>IF('NEW ACCOUNT'!A280="","",'NEW ACCOUNT'!I280)</f>
        <v/>
      </c>
      <c r="J279" s="35" t="str">
        <f>IF('NEW ACCOUNT'!A280="","",'NEW ACCOUNT'!J280)</f>
        <v/>
      </c>
      <c r="K279" s="36" t="str">
        <f>IFERROR(IF(A279="","",SUMIF(DB_Savings!$A:$A,A279,DB_Savings!$F:$F)),"")</f>
        <v/>
      </c>
      <c r="L279" s="36" t="str">
        <f>IFERROR(IF(A279="","",SUMIF(DB_Withdrawals!$A:$A,A279,DB_Withdrawals!$G:$G)),"")</f>
        <v/>
      </c>
      <c r="M279" s="36" t="str">
        <f>IFERROR(IF(A279="","",IFERROR(VALUE(H279),0)+IFERROR(SUMIF(DB_Savings!$A:$A,A279,DB_Savings!$F:$F),0)-IFERROR(SUMIF(DB_Withdrawals!$A:$A,A279,DB_Withdrawals!$G:$G),0)),"")</f>
        <v/>
      </c>
      <c r="N279" s="36" t="str">
        <f>IFERROR(IF(A279="","",MAX(0,M279-System_Config!$B$9)),"")</f>
        <v/>
      </c>
    </row>
    <row r="280" spans="1:14" ht="20.100000000000001" customHeight="1" x14ac:dyDescent="0.25">
      <c r="A280" s="34" t="str">
        <f>'NEW ACCOUNT'!A281</f>
        <v/>
      </c>
      <c r="B280" s="35" t="str">
        <f>IF('NEW ACCOUNT'!A281="","",'NEW ACCOUNT'!B281)</f>
        <v/>
      </c>
      <c r="C280" s="35" t="str">
        <f>IF('NEW ACCOUNT'!A281="","",'NEW ACCOUNT'!C281)</f>
        <v/>
      </c>
      <c r="D280" s="35" t="str">
        <f>IF('NEW ACCOUNT'!A281="","",'NEW ACCOUNT'!D281)</f>
        <v/>
      </c>
      <c r="E280" s="35" t="str">
        <f>IF('NEW ACCOUNT'!A281="","",'NEW ACCOUNT'!E281)</f>
        <v/>
      </c>
      <c r="F280" s="35" t="str">
        <f>IF('NEW ACCOUNT'!A281="","",'NEW ACCOUNT'!F281)</f>
        <v/>
      </c>
      <c r="G280" s="35" t="str">
        <f>IF('NEW ACCOUNT'!A281="","",'NEW ACCOUNT'!G281)</f>
        <v/>
      </c>
      <c r="H280" s="35" t="str">
        <f>IF('NEW ACCOUNT'!A281="","",'NEW ACCOUNT'!H281)</f>
        <v/>
      </c>
      <c r="I280" s="35" t="str">
        <f>IF('NEW ACCOUNT'!A281="","",'NEW ACCOUNT'!I281)</f>
        <v/>
      </c>
      <c r="J280" s="35" t="str">
        <f>IF('NEW ACCOUNT'!A281="","",'NEW ACCOUNT'!J281)</f>
        <v/>
      </c>
      <c r="K280" s="36" t="str">
        <f>IFERROR(IF(A280="","",SUMIF(DB_Savings!$A:$A,A280,DB_Savings!$F:$F)),"")</f>
        <v/>
      </c>
      <c r="L280" s="36" t="str">
        <f>IFERROR(IF(A280="","",SUMIF(DB_Withdrawals!$A:$A,A280,DB_Withdrawals!$G:$G)),"")</f>
        <v/>
      </c>
      <c r="M280" s="36" t="str">
        <f>IFERROR(IF(A280="","",IFERROR(VALUE(H280),0)+IFERROR(SUMIF(DB_Savings!$A:$A,A280,DB_Savings!$F:$F),0)-IFERROR(SUMIF(DB_Withdrawals!$A:$A,A280,DB_Withdrawals!$G:$G),0)),"")</f>
        <v/>
      </c>
      <c r="N280" s="36" t="str">
        <f>IFERROR(IF(A280="","",MAX(0,M280-System_Config!$B$9)),"")</f>
        <v/>
      </c>
    </row>
    <row r="281" spans="1:14" ht="20.100000000000001" customHeight="1" x14ac:dyDescent="0.25">
      <c r="A281" s="34" t="str">
        <f>'NEW ACCOUNT'!A282</f>
        <v/>
      </c>
      <c r="B281" s="35" t="str">
        <f>IF('NEW ACCOUNT'!A282="","",'NEW ACCOUNT'!B282)</f>
        <v/>
      </c>
      <c r="C281" s="35" t="str">
        <f>IF('NEW ACCOUNT'!A282="","",'NEW ACCOUNT'!C282)</f>
        <v/>
      </c>
      <c r="D281" s="35" t="str">
        <f>IF('NEW ACCOUNT'!A282="","",'NEW ACCOUNT'!D282)</f>
        <v/>
      </c>
      <c r="E281" s="35" t="str">
        <f>IF('NEW ACCOUNT'!A282="","",'NEW ACCOUNT'!E282)</f>
        <v/>
      </c>
      <c r="F281" s="35" t="str">
        <f>IF('NEW ACCOUNT'!A282="","",'NEW ACCOUNT'!F282)</f>
        <v/>
      </c>
      <c r="G281" s="35" t="str">
        <f>IF('NEW ACCOUNT'!A282="","",'NEW ACCOUNT'!G282)</f>
        <v/>
      </c>
      <c r="H281" s="35" t="str">
        <f>IF('NEW ACCOUNT'!A282="","",'NEW ACCOUNT'!H282)</f>
        <v/>
      </c>
      <c r="I281" s="35" t="str">
        <f>IF('NEW ACCOUNT'!A282="","",'NEW ACCOUNT'!I282)</f>
        <v/>
      </c>
      <c r="J281" s="35" t="str">
        <f>IF('NEW ACCOUNT'!A282="","",'NEW ACCOUNT'!J282)</f>
        <v/>
      </c>
      <c r="K281" s="36" t="str">
        <f>IFERROR(IF(A281="","",SUMIF(DB_Savings!$A:$A,A281,DB_Savings!$F:$F)),"")</f>
        <v/>
      </c>
      <c r="L281" s="36" t="str">
        <f>IFERROR(IF(A281="","",SUMIF(DB_Withdrawals!$A:$A,A281,DB_Withdrawals!$G:$G)),"")</f>
        <v/>
      </c>
      <c r="M281" s="36" t="str">
        <f>IFERROR(IF(A281="","",IFERROR(VALUE(H281),0)+IFERROR(SUMIF(DB_Savings!$A:$A,A281,DB_Savings!$F:$F),0)-IFERROR(SUMIF(DB_Withdrawals!$A:$A,A281,DB_Withdrawals!$G:$G),0)),"")</f>
        <v/>
      </c>
      <c r="N281" s="36" t="str">
        <f>IFERROR(IF(A281="","",MAX(0,M281-System_Config!$B$9)),"")</f>
        <v/>
      </c>
    </row>
    <row r="282" spans="1:14" ht="20.100000000000001" customHeight="1" x14ac:dyDescent="0.25">
      <c r="A282" s="34" t="str">
        <f>'NEW ACCOUNT'!A283</f>
        <v/>
      </c>
      <c r="B282" s="35" t="str">
        <f>IF('NEW ACCOUNT'!A283="","",'NEW ACCOUNT'!B283)</f>
        <v/>
      </c>
      <c r="C282" s="35" t="str">
        <f>IF('NEW ACCOUNT'!A283="","",'NEW ACCOUNT'!C283)</f>
        <v/>
      </c>
      <c r="D282" s="35" t="str">
        <f>IF('NEW ACCOUNT'!A283="","",'NEW ACCOUNT'!D283)</f>
        <v/>
      </c>
      <c r="E282" s="35" t="str">
        <f>IF('NEW ACCOUNT'!A283="","",'NEW ACCOUNT'!E283)</f>
        <v/>
      </c>
      <c r="F282" s="35" t="str">
        <f>IF('NEW ACCOUNT'!A283="","",'NEW ACCOUNT'!F283)</f>
        <v/>
      </c>
      <c r="G282" s="35" t="str">
        <f>IF('NEW ACCOUNT'!A283="","",'NEW ACCOUNT'!G283)</f>
        <v/>
      </c>
      <c r="H282" s="35" t="str">
        <f>IF('NEW ACCOUNT'!A283="","",'NEW ACCOUNT'!H283)</f>
        <v/>
      </c>
      <c r="I282" s="35" t="str">
        <f>IF('NEW ACCOUNT'!A283="","",'NEW ACCOUNT'!I283)</f>
        <v/>
      </c>
      <c r="J282" s="35" t="str">
        <f>IF('NEW ACCOUNT'!A283="","",'NEW ACCOUNT'!J283)</f>
        <v/>
      </c>
      <c r="K282" s="36" t="str">
        <f>IFERROR(IF(A282="","",SUMIF(DB_Savings!$A:$A,A282,DB_Savings!$F:$F)),"")</f>
        <v/>
      </c>
      <c r="L282" s="36" t="str">
        <f>IFERROR(IF(A282="","",SUMIF(DB_Withdrawals!$A:$A,A282,DB_Withdrawals!$G:$G)),"")</f>
        <v/>
      </c>
      <c r="M282" s="36" t="str">
        <f>IFERROR(IF(A282="","",IFERROR(VALUE(H282),0)+IFERROR(SUMIF(DB_Savings!$A:$A,A282,DB_Savings!$F:$F),0)-IFERROR(SUMIF(DB_Withdrawals!$A:$A,A282,DB_Withdrawals!$G:$G),0)),"")</f>
        <v/>
      </c>
      <c r="N282" s="36" t="str">
        <f>IFERROR(IF(A282="","",MAX(0,M282-System_Config!$B$9)),"")</f>
        <v/>
      </c>
    </row>
    <row r="283" spans="1:14" ht="20.100000000000001" customHeight="1" x14ac:dyDescent="0.25">
      <c r="A283" s="34" t="str">
        <f>'NEW ACCOUNT'!A284</f>
        <v/>
      </c>
      <c r="B283" s="35" t="str">
        <f>IF('NEW ACCOUNT'!A284="","",'NEW ACCOUNT'!B284)</f>
        <v/>
      </c>
      <c r="C283" s="35" t="str">
        <f>IF('NEW ACCOUNT'!A284="","",'NEW ACCOUNT'!C284)</f>
        <v/>
      </c>
      <c r="D283" s="35" t="str">
        <f>IF('NEW ACCOUNT'!A284="","",'NEW ACCOUNT'!D284)</f>
        <v/>
      </c>
      <c r="E283" s="35" t="str">
        <f>IF('NEW ACCOUNT'!A284="","",'NEW ACCOUNT'!E284)</f>
        <v/>
      </c>
      <c r="F283" s="35" t="str">
        <f>IF('NEW ACCOUNT'!A284="","",'NEW ACCOUNT'!F284)</f>
        <v/>
      </c>
      <c r="G283" s="35" t="str">
        <f>IF('NEW ACCOUNT'!A284="","",'NEW ACCOUNT'!G284)</f>
        <v/>
      </c>
      <c r="H283" s="35" t="str">
        <f>IF('NEW ACCOUNT'!A284="","",'NEW ACCOUNT'!H284)</f>
        <v/>
      </c>
      <c r="I283" s="35" t="str">
        <f>IF('NEW ACCOUNT'!A284="","",'NEW ACCOUNT'!I284)</f>
        <v/>
      </c>
      <c r="J283" s="35" t="str">
        <f>IF('NEW ACCOUNT'!A284="","",'NEW ACCOUNT'!J284)</f>
        <v/>
      </c>
      <c r="K283" s="36" t="str">
        <f>IFERROR(IF(A283="","",SUMIF(DB_Savings!$A:$A,A283,DB_Savings!$F:$F)),"")</f>
        <v/>
      </c>
      <c r="L283" s="36" t="str">
        <f>IFERROR(IF(A283="","",SUMIF(DB_Withdrawals!$A:$A,A283,DB_Withdrawals!$G:$G)),"")</f>
        <v/>
      </c>
      <c r="M283" s="36" t="str">
        <f>IFERROR(IF(A283="","",IFERROR(VALUE(H283),0)+IFERROR(SUMIF(DB_Savings!$A:$A,A283,DB_Savings!$F:$F),0)-IFERROR(SUMIF(DB_Withdrawals!$A:$A,A283,DB_Withdrawals!$G:$G),0)),"")</f>
        <v/>
      </c>
      <c r="N283" s="36" t="str">
        <f>IFERROR(IF(A283="","",MAX(0,M283-System_Config!$B$9)),"")</f>
        <v/>
      </c>
    </row>
    <row r="284" spans="1:14" ht="20.100000000000001" customHeight="1" x14ac:dyDescent="0.25">
      <c r="A284" s="34" t="str">
        <f>'NEW ACCOUNT'!A285</f>
        <v/>
      </c>
      <c r="B284" s="35" t="str">
        <f>IF('NEW ACCOUNT'!A285="","",'NEW ACCOUNT'!B285)</f>
        <v/>
      </c>
      <c r="C284" s="35" t="str">
        <f>IF('NEW ACCOUNT'!A285="","",'NEW ACCOUNT'!C285)</f>
        <v/>
      </c>
      <c r="D284" s="35" t="str">
        <f>IF('NEW ACCOUNT'!A285="","",'NEW ACCOUNT'!D285)</f>
        <v/>
      </c>
      <c r="E284" s="35" t="str">
        <f>IF('NEW ACCOUNT'!A285="","",'NEW ACCOUNT'!E285)</f>
        <v/>
      </c>
      <c r="F284" s="35" t="str">
        <f>IF('NEW ACCOUNT'!A285="","",'NEW ACCOUNT'!F285)</f>
        <v/>
      </c>
      <c r="G284" s="35" t="str">
        <f>IF('NEW ACCOUNT'!A285="","",'NEW ACCOUNT'!G285)</f>
        <v/>
      </c>
      <c r="H284" s="35" t="str">
        <f>IF('NEW ACCOUNT'!A285="","",'NEW ACCOUNT'!H285)</f>
        <v/>
      </c>
      <c r="I284" s="35" t="str">
        <f>IF('NEW ACCOUNT'!A285="","",'NEW ACCOUNT'!I285)</f>
        <v/>
      </c>
      <c r="J284" s="35" t="str">
        <f>IF('NEW ACCOUNT'!A285="","",'NEW ACCOUNT'!J285)</f>
        <v/>
      </c>
      <c r="K284" s="36" t="str">
        <f>IFERROR(IF(A284="","",SUMIF(DB_Savings!$A:$A,A284,DB_Savings!$F:$F)),"")</f>
        <v/>
      </c>
      <c r="L284" s="36" t="str">
        <f>IFERROR(IF(A284="","",SUMIF(DB_Withdrawals!$A:$A,A284,DB_Withdrawals!$G:$G)),"")</f>
        <v/>
      </c>
      <c r="M284" s="36" t="str">
        <f>IFERROR(IF(A284="","",IFERROR(VALUE(H284),0)+IFERROR(SUMIF(DB_Savings!$A:$A,A284,DB_Savings!$F:$F),0)-IFERROR(SUMIF(DB_Withdrawals!$A:$A,A284,DB_Withdrawals!$G:$G),0)),"")</f>
        <v/>
      </c>
      <c r="N284" s="36" t="str">
        <f>IFERROR(IF(A284="","",MAX(0,M284-System_Config!$B$9)),"")</f>
        <v/>
      </c>
    </row>
    <row r="285" spans="1:14" ht="20.100000000000001" customHeight="1" x14ac:dyDescent="0.25">
      <c r="A285" s="34" t="str">
        <f>'NEW ACCOUNT'!A286</f>
        <v/>
      </c>
      <c r="B285" s="35" t="str">
        <f>IF('NEW ACCOUNT'!A286="","",'NEW ACCOUNT'!B286)</f>
        <v/>
      </c>
      <c r="C285" s="35" t="str">
        <f>IF('NEW ACCOUNT'!A286="","",'NEW ACCOUNT'!C286)</f>
        <v/>
      </c>
      <c r="D285" s="35" t="str">
        <f>IF('NEW ACCOUNT'!A286="","",'NEW ACCOUNT'!D286)</f>
        <v/>
      </c>
      <c r="E285" s="35" t="str">
        <f>IF('NEW ACCOUNT'!A286="","",'NEW ACCOUNT'!E286)</f>
        <v/>
      </c>
      <c r="F285" s="35" t="str">
        <f>IF('NEW ACCOUNT'!A286="","",'NEW ACCOUNT'!F286)</f>
        <v/>
      </c>
      <c r="G285" s="35" t="str">
        <f>IF('NEW ACCOUNT'!A286="","",'NEW ACCOUNT'!G286)</f>
        <v/>
      </c>
      <c r="H285" s="35" t="str">
        <f>IF('NEW ACCOUNT'!A286="","",'NEW ACCOUNT'!H286)</f>
        <v/>
      </c>
      <c r="I285" s="35" t="str">
        <f>IF('NEW ACCOUNT'!A286="","",'NEW ACCOUNT'!I286)</f>
        <v/>
      </c>
      <c r="J285" s="35" t="str">
        <f>IF('NEW ACCOUNT'!A286="","",'NEW ACCOUNT'!J286)</f>
        <v/>
      </c>
      <c r="K285" s="36" t="str">
        <f>IFERROR(IF(A285="","",SUMIF(DB_Savings!$A:$A,A285,DB_Savings!$F:$F)),"")</f>
        <v/>
      </c>
      <c r="L285" s="36" t="str">
        <f>IFERROR(IF(A285="","",SUMIF(DB_Withdrawals!$A:$A,A285,DB_Withdrawals!$G:$G)),"")</f>
        <v/>
      </c>
      <c r="M285" s="36" t="str">
        <f>IFERROR(IF(A285="","",IFERROR(VALUE(H285),0)+IFERROR(SUMIF(DB_Savings!$A:$A,A285,DB_Savings!$F:$F),0)-IFERROR(SUMIF(DB_Withdrawals!$A:$A,A285,DB_Withdrawals!$G:$G),0)),"")</f>
        <v/>
      </c>
      <c r="N285" s="36" t="str">
        <f>IFERROR(IF(A285="","",MAX(0,M285-System_Config!$B$9)),"")</f>
        <v/>
      </c>
    </row>
    <row r="286" spans="1:14" ht="20.100000000000001" customHeight="1" x14ac:dyDescent="0.25">
      <c r="A286" s="34" t="str">
        <f>'NEW ACCOUNT'!A287</f>
        <v/>
      </c>
      <c r="B286" s="35" t="str">
        <f>IF('NEW ACCOUNT'!A287="","",'NEW ACCOUNT'!B287)</f>
        <v/>
      </c>
      <c r="C286" s="35" t="str">
        <f>IF('NEW ACCOUNT'!A287="","",'NEW ACCOUNT'!C287)</f>
        <v/>
      </c>
      <c r="D286" s="35" t="str">
        <f>IF('NEW ACCOUNT'!A287="","",'NEW ACCOUNT'!D287)</f>
        <v/>
      </c>
      <c r="E286" s="35" t="str">
        <f>IF('NEW ACCOUNT'!A287="","",'NEW ACCOUNT'!E287)</f>
        <v/>
      </c>
      <c r="F286" s="35" t="str">
        <f>IF('NEW ACCOUNT'!A287="","",'NEW ACCOUNT'!F287)</f>
        <v/>
      </c>
      <c r="G286" s="35" t="str">
        <f>IF('NEW ACCOUNT'!A287="","",'NEW ACCOUNT'!G287)</f>
        <v/>
      </c>
      <c r="H286" s="35" t="str">
        <f>IF('NEW ACCOUNT'!A287="","",'NEW ACCOUNT'!H287)</f>
        <v/>
      </c>
      <c r="I286" s="35" t="str">
        <f>IF('NEW ACCOUNT'!A287="","",'NEW ACCOUNT'!I287)</f>
        <v/>
      </c>
      <c r="J286" s="35" t="str">
        <f>IF('NEW ACCOUNT'!A287="","",'NEW ACCOUNT'!J287)</f>
        <v/>
      </c>
      <c r="K286" s="36" t="str">
        <f>IFERROR(IF(A286="","",SUMIF(DB_Savings!$A:$A,A286,DB_Savings!$F:$F)),"")</f>
        <v/>
      </c>
      <c r="L286" s="36" t="str">
        <f>IFERROR(IF(A286="","",SUMIF(DB_Withdrawals!$A:$A,A286,DB_Withdrawals!$G:$G)),"")</f>
        <v/>
      </c>
      <c r="M286" s="36" t="str">
        <f>IFERROR(IF(A286="","",IFERROR(VALUE(H286),0)+IFERROR(SUMIF(DB_Savings!$A:$A,A286,DB_Savings!$F:$F),0)-IFERROR(SUMIF(DB_Withdrawals!$A:$A,A286,DB_Withdrawals!$G:$G),0)),"")</f>
        <v/>
      </c>
      <c r="N286" s="36" t="str">
        <f>IFERROR(IF(A286="","",MAX(0,M286-System_Config!$B$9)),"")</f>
        <v/>
      </c>
    </row>
    <row r="287" spans="1:14" ht="20.100000000000001" customHeight="1" x14ac:dyDescent="0.25">
      <c r="A287" s="34" t="str">
        <f>'NEW ACCOUNT'!A288</f>
        <v/>
      </c>
      <c r="B287" s="35" t="str">
        <f>IF('NEW ACCOUNT'!A288="","",'NEW ACCOUNT'!B288)</f>
        <v/>
      </c>
      <c r="C287" s="35" t="str">
        <f>IF('NEW ACCOUNT'!A288="","",'NEW ACCOUNT'!C288)</f>
        <v/>
      </c>
      <c r="D287" s="35" t="str">
        <f>IF('NEW ACCOUNT'!A288="","",'NEW ACCOUNT'!D288)</f>
        <v/>
      </c>
      <c r="E287" s="35" t="str">
        <f>IF('NEW ACCOUNT'!A288="","",'NEW ACCOUNT'!E288)</f>
        <v/>
      </c>
      <c r="F287" s="35" t="str">
        <f>IF('NEW ACCOUNT'!A288="","",'NEW ACCOUNT'!F288)</f>
        <v/>
      </c>
      <c r="G287" s="35" t="str">
        <f>IF('NEW ACCOUNT'!A288="","",'NEW ACCOUNT'!G288)</f>
        <v/>
      </c>
      <c r="H287" s="35" t="str">
        <f>IF('NEW ACCOUNT'!A288="","",'NEW ACCOUNT'!H288)</f>
        <v/>
      </c>
      <c r="I287" s="35" t="str">
        <f>IF('NEW ACCOUNT'!A288="","",'NEW ACCOUNT'!I288)</f>
        <v/>
      </c>
      <c r="J287" s="35" t="str">
        <f>IF('NEW ACCOUNT'!A288="","",'NEW ACCOUNT'!J288)</f>
        <v/>
      </c>
      <c r="K287" s="36" t="str">
        <f>IFERROR(IF(A287="","",SUMIF(DB_Savings!$A:$A,A287,DB_Savings!$F:$F)),"")</f>
        <v/>
      </c>
      <c r="L287" s="36" t="str">
        <f>IFERROR(IF(A287="","",SUMIF(DB_Withdrawals!$A:$A,A287,DB_Withdrawals!$G:$G)),"")</f>
        <v/>
      </c>
      <c r="M287" s="36" t="str">
        <f>IFERROR(IF(A287="","",IFERROR(VALUE(H287),0)+IFERROR(SUMIF(DB_Savings!$A:$A,A287,DB_Savings!$F:$F),0)-IFERROR(SUMIF(DB_Withdrawals!$A:$A,A287,DB_Withdrawals!$G:$G),0)),"")</f>
        <v/>
      </c>
      <c r="N287" s="36" t="str">
        <f>IFERROR(IF(A287="","",MAX(0,M287-System_Config!$B$9)),"")</f>
        <v/>
      </c>
    </row>
    <row r="288" spans="1:14" ht="20.100000000000001" customHeight="1" x14ac:dyDescent="0.25">
      <c r="A288" s="34" t="str">
        <f>'NEW ACCOUNT'!A289</f>
        <v/>
      </c>
      <c r="B288" s="35" t="str">
        <f>IF('NEW ACCOUNT'!A289="","",'NEW ACCOUNT'!B289)</f>
        <v/>
      </c>
      <c r="C288" s="35" t="str">
        <f>IF('NEW ACCOUNT'!A289="","",'NEW ACCOUNT'!C289)</f>
        <v/>
      </c>
      <c r="D288" s="35" t="str">
        <f>IF('NEW ACCOUNT'!A289="","",'NEW ACCOUNT'!D289)</f>
        <v/>
      </c>
      <c r="E288" s="35" t="str">
        <f>IF('NEW ACCOUNT'!A289="","",'NEW ACCOUNT'!E289)</f>
        <v/>
      </c>
      <c r="F288" s="35" t="str">
        <f>IF('NEW ACCOUNT'!A289="","",'NEW ACCOUNT'!F289)</f>
        <v/>
      </c>
      <c r="G288" s="35" t="str">
        <f>IF('NEW ACCOUNT'!A289="","",'NEW ACCOUNT'!G289)</f>
        <v/>
      </c>
      <c r="H288" s="35" t="str">
        <f>IF('NEW ACCOUNT'!A289="","",'NEW ACCOUNT'!H289)</f>
        <v/>
      </c>
      <c r="I288" s="35" t="str">
        <f>IF('NEW ACCOUNT'!A289="","",'NEW ACCOUNT'!I289)</f>
        <v/>
      </c>
      <c r="J288" s="35" t="str">
        <f>IF('NEW ACCOUNT'!A289="","",'NEW ACCOUNT'!J289)</f>
        <v/>
      </c>
      <c r="K288" s="36" t="str">
        <f>IFERROR(IF(A288="","",SUMIF(DB_Savings!$A:$A,A288,DB_Savings!$F:$F)),"")</f>
        <v/>
      </c>
      <c r="L288" s="36" t="str">
        <f>IFERROR(IF(A288="","",SUMIF(DB_Withdrawals!$A:$A,A288,DB_Withdrawals!$G:$G)),"")</f>
        <v/>
      </c>
      <c r="M288" s="36" t="str">
        <f>IFERROR(IF(A288="","",IFERROR(VALUE(H288),0)+IFERROR(SUMIF(DB_Savings!$A:$A,A288,DB_Savings!$F:$F),0)-IFERROR(SUMIF(DB_Withdrawals!$A:$A,A288,DB_Withdrawals!$G:$G),0)),"")</f>
        <v/>
      </c>
      <c r="N288" s="36" t="str">
        <f>IFERROR(IF(A288="","",MAX(0,M288-System_Config!$B$9)),"")</f>
        <v/>
      </c>
    </row>
    <row r="289" spans="1:14" ht="20.100000000000001" customHeight="1" x14ac:dyDescent="0.25">
      <c r="A289" s="34" t="str">
        <f>'NEW ACCOUNT'!A290</f>
        <v/>
      </c>
      <c r="B289" s="35" t="str">
        <f>IF('NEW ACCOUNT'!A290="","",'NEW ACCOUNT'!B290)</f>
        <v/>
      </c>
      <c r="C289" s="35" t="str">
        <f>IF('NEW ACCOUNT'!A290="","",'NEW ACCOUNT'!C290)</f>
        <v/>
      </c>
      <c r="D289" s="35" t="str">
        <f>IF('NEW ACCOUNT'!A290="","",'NEW ACCOUNT'!D290)</f>
        <v/>
      </c>
      <c r="E289" s="35" t="str">
        <f>IF('NEW ACCOUNT'!A290="","",'NEW ACCOUNT'!E290)</f>
        <v/>
      </c>
      <c r="F289" s="35" t="str">
        <f>IF('NEW ACCOUNT'!A290="","",'NEW ACCOUNT'!F290)</f>
        <v/>
      </c>
      <c r="G289" s="35" t="str">
        <f>IF('NEW ACCOUNT'!A290="","",'NEW ACCOUNT'!G290)</f>
        <v/>
      </c>
      <c r="H289" s="35" t="str">
        <f>IF('NEW ACCOUNT'!A290="","",'NEW ACCOUNT'!H290)</f>
        <v/>
      </c>
      <c r="I289" s="35" t="str">
        <f>IF('NEW ACCOUNT'!A290="","",'NEW ACCOUNT'!I290)</f>
        <v/>
      </c>
      <c r="J289" s="35" t="str">
        <f>IF('NEW ACCOUNT'!A290="","",'NEW ACCOUNT'!J290)</f>
        <v/>
      </c>
      <c r="K289" s="36" t="str">
        <f>IFERROR(IF(A289="","",SUMIF(DB_Savings!$A:$A,A289,DB_Savings!$F:$F)),"")</f>
        <v/>
      </c>
      <c r="L289" s="36" t="str">
        <f>IFERROR(IF(A289="","",SUMIF(DB_Withdrawals!$A:$A,A289,DB_Withdrawals!$G:$G)),"")</f>
        <v/>
      </c>
      <c r="M289" s="36" t="str">
        <f>IFERROR(IF(A289="","",IFERROR(VALUE(H289),0)+IFERROR(SUMIF(DB_Savings!$A:$A,A289,DB_Savings!$F:$F),0)-IFERROR(SUMIF(DB_Withdrawals!$A:$A,A289,DB_Withdrawals!$G:$G),0)),"")</f>
        <v/>
      </c>
      <c r="N289" s="36" t="str">
        <f>IFERROR(IF(A289="","",MAX(0,M289-System_Config!$B$9)),"")</f>
        <v/>
      </c>
    </row>
    <row r="290" spans="1:14" ht="20.100000000000001" customHeight="1" x14ac:dyDescent="0.25">
      <c r="A290" s="34" t="str">
        <f>'NEW ACCOUNT'!A291</f>
        <v/>
      </c>
      <c r="B290" s="35" t="str">
        <f>IF('NEW ACCOUNT'!A291="","",'NEW ACCOUNT'!B291)</f>
        <v/>
      </c>
      <c r="C290" s="35" t="str">
        <f>IF('NEW ACCOUNT'!A291="","",'NEW ACCOUNT'!C291)</f>
        <v/>
      </c>
      <c r="D290" s="35" t="str">
        <f>IF('NEW ACCOUNT'!A291="","",'NEW ACCOUNT'!D291)</f>
        <v/>
      </c>
      <c r="E290" s="35" t="str">
        <f>IF('NEW ACCOUNT'!A291="","",'NEW ACCOUNT'!E291)</f>
        <v/>
      </c>
      <c r="F290" s="35" t="str">
        <f>IF('NEW ACCOUNT'!A291="","",'NEW ACCOUNT'!F291)</f>
        <v/>
      </c>
      <c r="G290" s="35" t="str">
        <f>IF('NEW ACCOUNT'!A291="","",'NEW ACCOUNT'!G291)</f>
        <v/>
      </c>
      <c r="H290" s="35" t="str">
        <f>IF('NEW ACCOUNT'!A291="","",'NEW ACCOUNT'!H291)</f>
        <v/>
      </c>
      <c r="I290" s="35" t="str">
        <f>IF('NEW ACCOUNT'!A291="","",'NEW ACCOUNT'!I291)</f>
        <v/>
      </c>
      <c r="J290" s="35" t="str">
        <f>IF('NEW ACCOUNT'!A291="","",'NEW ACCOUNT'!J291)</f>
        <v/>
      </c>
      <c r="K290" s="36" t="str">
        <f>IFERROR(IF(A290="","",SUMIF(DB_Savings!$A:$A,A290,DB_Savings!$F:$F)),"")</f>
        <v/>
      </c>
      <c r="L290" s="36" t="str">
        <f>IFERROR(IF(A290="","",SUMIF(DB_Withdrawals!$A:$A,A290,DB_Withdrawals!$G:$G)),"")</f>
        <v/>
      </c>
      <c r="M290" s="36" t="str">
        <f>IFERROR(IF(A290="","",IFERROR(VALUE(H290),0)+IFERROR(SUMIF(DB_Savings!$A:$A,A290,DB_Savings!$F:$F),0)-IFERROR(SUMIF(DB_Withdrawals!$A:$A,A290,DB_Withdrawals!$G:$G),0)),"")</f>
        <v/>
      </c>
      <c r="N290" s="36" t="str">
        <f>IFERROR(IF(A290="","",MAX(0,M290-System_Config!$B$9)),"")</f>
        <v/>
      </c>
    </row>
    <row r="291" spans="1:14" ht="20.100000000000001" customHeight="1" x14ac:dyDescent="0.25">
      <c r="A291" s="34" t="str">
        <f>'NEW ACCOUNT'!A292</f>
        <v/>
      </c>
      <c r="B291" s="35" t="str">
        <f>IF('NEW ACCOUNT'!A292="","",'NEW ACCOUNT'!B292)</f>
        <v/>
      </c>
      <c r="C291" s="35" t="str">
        <f>IF('NEW ACCOUNT'!A292="","",'NEW ACCOUNT'!C292)</f>
        <v/>
      </c>
      <c r="D291" s="35" t="str">
        <f>IF('NEW ACCOUNT'!A292="","",'NEW ACCOUNT'!D292)</f>
        <v/>
      </c>
      <c r="E291" s="35" t="str">
        <f>IF('NEW ACCOUNT'!A292="","",'NEW ACCOUNT'!E292)</f>
        <v/>
      </c>
      <c r="F291" s="35" t="str">
        <f>IF('NEW ACCOUNT'!A292="","",'NEW ACCOUNT'!F292)</f>
        <v/>
      </c>
      <c r="G291" s="35" t="str">
        <f>IF('NEW ACCOUNT'!A292="","",'NEW ACCOUNT'!G292)</f>
        <v/>
      </c>
      <c r="H291" s="35" t="str">
        <f>IF('NEW ACCOUNT'!A292="","",'NEW ACCOUNT'!H292)</f>
        <v/>
      </c>
      <c r="I291" s="35" t="str">
        <f>IF('NEW ACCOUNT'!A292="","",'NEW ACCOUNT'!I292)</f>
        <v/>
      </c>
      <c r="J291" s="35" t="str">
        <f>IF('NEW ACCOUNT'!A292="","",'NEW ACCOUNT'!J292)</f>
        <v/>
      </c>
      <c r="K291" s="36" t="str">
        <f>IFERROR(IF(A291="","",SUMIF(DB_Savings!$A:$A,A291,DB_Savings!$F:$F)),"")</f>
        <v/>
      </c>
      <c r="L291" s="36" t="str">
        <f>IFERROR(IF(A291="","",SUMIF(DB_Withdrawals!$A:$A,A291,DB_Withdrawals!$G:$G)),"")</f>
        <v/>
      </c>
      <c r="M291" s="36" t="str">
        <f>IFERROR(IF(A291="","",IFERROR(VALUE(H291),0)+IFERROR(SUMIF(DB_Savings!$A:$A,A291,DB_Savings!$F:$F),0)-IFERROR(SUMIF(DB_Withdrawals!$A:$A,A291,DB_Withdrawals!$G:$G),0)),"")</f>
        <v/>
      </c>
      <c r="N291" s="36" t="str">
        <f>IFERROR(IF(A291="","",MAX(0,M291-System_Config!$B$9)),"")</f>
        <v/>
      </c>
    </row>
    <row r="292" spans="1:14" ht="20.100000000000001" customHeight="1" x14ac:dyDescent="0.25">
      <c r="A292" s="34" t="str">
        <f>'NEW ACCOUNT'!A293</f>
        <v/>
      </c>
      <c r="B292" s="35" t="str">
        <f>IF('NEW ACCOUNT'!A293="","",'NEW ACCOUNT'!B293)</f>
        <v/>
      </c>
      <c r="C292" s="35" t="str">
        <f>IF('NEW ACCOUNT'!A293="","",'NEW ACCOUNT'!C293)</f>
        <v/>
      </c>
      <c r="D292" s="35" t="str">
        <f>IF('NEW ACCOUNT'!A293="","",'NEW ACCOUNT'!D293)</f>
        <v/>
      </c>
      <c r="E292" s="35" t="str">
        <f>IF('NEW ACCOUNT'!A293="","",'NEW ACCOUNT'!E293)</f>
        <v/>
      </c>
      <c r="F292" s="35" t="str">
        <f>IF('NEW ACCOUNT'!A293="","",'NEW ACCOUNT'!F293)</f>
        <v/>
      </c>
      <c r="G292" s="35" t="str">
        <f>IF('NEW ACCOUNT'!A293="","",'NEW ACCOUNT'!G293)</f>
        <v/>
      </c>
      <c r="H292" s="35" t="str">
        <f>IF('NEW ACCOUNT'!A293="","",'NEW ACCOUNT'!H293)</f>
        <v/>
      </c>
      <c r="I292" s="35" t="str">
        <f>IF('NEW ACCOUNT'!A293="","",'NEW ACCOUNT'!I293)</f>
        <v/>
      </c>
      <c r="J292" s="35" t="str">
        <f>IF('NEW ACCOUNT'!A293="","",'NEW ACCOUNT'!J293)</f>
        <v/>
      </c>
      <c r="K292" s="36" t="str">
        <f>IFERROR(IF(A292="","",SUMIF(DB_Savings!$A:$A,A292,DB_Savings!$F:$F)),"")</f>
        <v/>
      </c>
      <c r="L292" s="36" t="str">
        <f>IFERROR(IF(A292="","",SUMIF(DB_Withdrawals!$A:$A,A292,DB_Withdrawals!$G:$G)),"")</f>
        <v/>
      </c>
      <c r="M292" s="36" t="str">
        <f>IFERROR(IF(A292="","",IFERROR(VALUE(H292),0)+IFERROR(SUMIF(DB_Savings!$A:$A,A292,DB_Savings!$F:$F),0)-IFERROR(SUMIF(DB_Withdrawals!$A:$A,A292,DB_Withdrawals!$G:$G),0)),"")</f>
        <v/>
      </c>
      <c r="N292" s="36" t="str">
        <f>IFERROR(IF(A292="","",MAX(0,M292-System_Config!$B$9)),"")</f>
        <v/>
      </c>
    </row>
    <row r="293" spans="1:14" ht="20.100000000000001" customHeight="1" x14ac:dyDescent="0.25">
      <c r="A293" s="34" t="str">
        <f>'NEW ACCOUNT'!A294</f>
        <v/>
      </c>
      <c r="B293" s="35" t="str">
        <f>IF('NEW ACCOUNT'!A294="","",'NEW ACCOUNT'!B294)</f>
        <v/>
      </c>
      <c r="C293" s="35" t="str">
        <f>IF('NEW ACCOUNT'!A294="","",'NEW ACCOUNT'!C294)</f>
        <v/>
      </c>
      <c r="D293" s="35" t="str">
        <f>IF('NEW ACCOUNT'!A294="","",'NEW ACCOUNT'!D294)</f>
        <v/>
      </c>
      <c r="E293" s="35" t="str">
        <f>IF('NEW ACCOUNT'!A294="","",'NEW ACCOUNT'!E294)</f>
        <v/>
      </c>
      <c r="F293" s="35" t="str">
        <f>IF('NEW ACCOUNT'!A294="","",'NEW ACCOUNT'!F294)</f>
        <v/>
      </c>
      <c r="G293" s="35" t="str">
        <f>IF('NEW ACCOUNT'!A294="","",'NEW ACCOUNT'!G294)</f>
        <v/>
      </c>
      <c r="H293" s="35" t="str">
        <f>IF('NEW ACCOUNT'!A294="","",'NEW ACCOUNT'!H294)</f>
        <v/>
      </c>
      <c r="I293" s="35" t="str">
        <f>IF('NEW ACCOUNT'!A294="","",'NEW ACCOUNT'!I294)</f>
        <v/>
      </c>
      <c r="J293" s="35" t="str">
        <f>IF('NEW ACCOUNT'!A294="","",'NEW ACCOUNT'!J294)</f>
        <v/>
      </c>
      <c r="K293" s="36" t="str">
        <f>IFERROR(IF(A293="","",SUMIF(DB_Savings!$A:$A,A293,DB_Savings!$F:$F)),"")</f>
        <v/>
      </c>
      <c r="L293" s="36" t="str">
        <f>IFERROR(IF(A293="","",SUMIF(DB_Withdrawals!$A:$A,A293,DB_Withdrawals!$G:$G)),"")</f>
        <v/>
      </c>
      <c r="M293" s="36" t="str">
        <f>IFERROR(IF(A293="","",IFERROR(VALUE(H293),0)+IFERROR(SUMIF(DB_Savings!$A:$A,A293,DB_Savings!$F:$F),0)-IFERROR(SUMIF(DB_Withdrawals!$A:$A,A293,DB_Withdrawals!$G:$G),0)),"")</f>
        <v/>
      </c>
      <c r="N293" s="36" t="str">
        <f>IFERROR(IF(A293="","",MAX(0,M293-System_Config!$B$9)),"")</f>
        <v/>
      </c>
    </row>
    <row r="294" spans="1:14" ht="20.100000000000001" customHeight="1" x14ac:dyDescent="0.25">
      <c r="A294" s="34" t="str">
        <f>'NEW ACCOUNT'!A295</f>
        <v/>
      </c>
      <c r="B294" s="35" t="str">
        <f>IF('NEW ACCOUNT'!A295="","",'NEW ACCOUNT'!B295)</f>
        <v/>
      </c>
      <c r="C294" s="35" t="str">
        <f>IF('NEW ACCOUNT'!A295="","",'NEW ACCOUNT'!C295)</f>
        <v/>
      </c>
      <c r="D294" s="35" t="str">
        <f>IF('NEW ACCOUNT'!A295="","",'NEW ACCOUNT'!D295)</f>
        <v/>
      </c>
      <c r="E294" s="35" t="str">
        <f>IF('NEW ACCOUNT'!A295="","",'NEW ACCOUNT'!E295)</f>
        <v/>
      </c>
      <c r="F294" s="35" t="str">
        <f>IF('NEW ACCOUNT'!A295="","",'NEW ACCOUNT'!F295)</f>
        <v/>
      </c>
      <c r="G294" s="35" t="str">
        <f>IF('NEW ACCOUNT'!A295="","",'NEW ACCOUNT'!G295)</f>
        <v/>
      </c>
      <c r="H294" s="35" t="str">
        <f>IF('NEW ACCOUNT'!A295="","",'NEW ACCOUNT'!H295)</f>
        <v/>
      </c>
      <c r="I294" s="35" t="str">
        <f>IF('NEW ACCOUNT'!A295="","",'NEW ACCOUNT'!I295)</f>
        <v/>
      </c>
      <c r="J294" s="35" t="str">
        <f>IF('NEW ACCOUNT'!A295="","",'NEW ACCOUNT'!J295)</f>
        <v/>
      </c>
      <c r="K294" s="36" t="str">
        <f>IFERROR(IF(A294="","",SUMIF(DB_Savings!$A:$A,A294,DB_Savings!$F:$F)),"")</f>
        <v/>
      </c>
      <c r="L294" s="36" t="str">
        <f>IFERROR(IF(A294="","",SUMIF(DB_Withdrawals!$A:$A,A294,DB_Withdrawals!$G:$G)),"")</f>
        <v/>
      </c>
      <c r="M294" s="36" t="str">
        <f>IFERROR(IF(A294="","",IFERROR(VALUE(H294),0)+IFERROR(SUMIF(DB_Savings!$A:$A,A294,DB_Savings!$F:$F),0)-IFERROR(SUMIF(DB_Withdrawals!$A:$A,A294,DB_Withdrawals!$G:$G),0)),"")</f>
        <v/>
      </c>
      <c r="N294" s="36" t="str">
        <f>IFERROR(IF(A294="","",MAX(0,M294-System_Config!$B$9)),"")</f>
        <v/>
      </c>
    </row>
    <row r="295" spans="1:14" ht="20.100000000000001" customHeight="1" x14ac:dyDescent="0.25">
      <c r="A295" s="34" t="str">
        <f>'NEW ACCOUNT'!A296</f>
        <v/>
      </c>
      <c r="B295" s="35" t="str">
        <f>IF('NEW ACCOUNT'!A296="","",'NEW ACCOUNT'!B296)</f>
        <v/>
      </c>
      <c r="C295" s="35" t="str">
        <f>IF('NEW ACCOUNT'!A296="","",'NEW ACCOUNT'!C296)</f>
        <v/>
      </c>
      <c r="D295" s="35" t="str">
        <f>IF('NEW ACCOUNT'!A296="","",'NEW ACCOUNT'!D296)</f>
        <v/>
      </c>
      <c r="E295" s="35" t="str">
        <f>IF('NEW ACCOUNT'!A296="","",'NEW ACCOUNT'!E296)</f>
        <v/>
      </c>
      <c r="F295" s="35" t="str">
        <f>IF('NEW ACCOUNT'!A296="","",'NEW ACCOUNT'!F296)</f>
        <v/>
      </c>
      <c r="G295" s="35" t="str">
        <f>IF('NEW ACCOUNT'!A296="","",'NEW ACCOUNT'!G296)</f>
        <v/>
      </c>
      <c r="H295" s="35" t="str">
        <f>IF('NEW ACCOUNT'!A296="","",'NEW ACCOUNT'!H296)</f>
        <v/>
      </c>
      <c r="I295" s="35" t="str">
        <f>IF('NEW ACCOUNT'!A296="","",'NEW ACCOUNT'!I296)</f>
        <v/>
      </c>
      <c r="J295" s="35" t="str">
        <f>IF('NEW ACCOUNT'!A296="","",'NEW ACCOUNT'!J296)</f>
        <v/>
      </c>
      <c r="K295" s="36" t="str">
        <f>IFERROR(IF(A295="","",SUMIF(DB_Savings!$A:$A,A295,DB_Savings!$F:$F)),"")</f>
        <v/>
      </c>
      <c r="L295" s="36" t="str">
        <f>IFERROR(IF(A295="","",SUMIF(DB_Withdrawals!$A:$A,A295,DB_Withdrawals!$G:$G)),"")</f>
        <v/>
      </c>
      <c r="M295" s="36" t="str">
        <f>IFERROR(IF(A295="","",IFERROR(VALUE(H295),0)+IFERROR(SUMIF(DB_Savings!$A:$A,A295,DB_Savings!$F:$F),0)-IFERROR(SUMIF(DB_Withdrawals!$A:$A,A295,DB_Withdrawals!$G:$G),0)),"")</f>
        <v/>
      </c>
      <c r="N295" s="36" t="str">
        <f>IFERROR(IF(A295="","",MAX(0,M295-System_Config!$B$9)),"")</f>
        <v/>
      </c>
    </row>
    <row r="296" spans="1:14" ht="20.100000000000001" customHeight="1" x14ac:dyDescent="0.25">
      <c r="A296" s="34" t="str">
        <f>'NEW ACCOUNT'!A297</f>
        <v/>
      </c>
      <c r="B296" s="35" t="str">
        <f>IF('NEW ACCOUNT'!A297="","",'NEW ACCOUNT'!B297)</f>
        <v/>
      </c>
      <c r="C296" s="35" t="str">
        <f>IF('NEW ACCOUNT'!A297="","",'NEW ACCOUNT'!C297)</f>
        <v/>
      </c>
      <c r="D296" s="35" t="str">
        <f>IF('NEW ACCOUNT'!A297="","",'NEW ACCOUNT'!D297)</f>
        <v/>
      </c>
      <c r="E296" s="35" t="str">
        <f>IF('NEW ACCOUNT'!A297="","",'NEW ACCOUNT'!E297)</f>
        <v/>
      </c>
      <c r="F296" s="35" t="str">
        <f>IF('NEW ACCOUNT'!A297="","",'NEW ACCOUNT'!F297)</f>
        <v/>
      </c>
      <c r="G296" s="35" t="str">
        <f>IF('NEW ACCOUNT'!A297="","",'NEW ACCOUNT'!G297)</f>
        <v/>
      </c>
      <c r="H296" s="35" t="str">
        <f>IF('NEW ACCOUNT'!A297="","",'NEW ACCOUNT'!H297)</f>
        <v/>
      </c>
      <c r="I296" s="35" t="str">
        <f>IF('NEW ACCOUNT'!A297="","",'NEW ACCOUNT'!I297)</f>
        <v/>
      </c>
      <c r="J296" s="35" t="str">
        <f>IF('NEW ACCOUNT'!A297="","",'NEW ACCOUNT'!J297)</f>
        <v/>
      </c>
      <c r="K296" s="36" t="str">
        <f>IFERROR(IF(A296="","",SUMIF(DB_Savings!$A:$A,A296,DB_Savings!$F:$F)),"")</f>
        <v/>
      </c>
      <c r="L296" s="36" t="str">
        <f>IFERROR(IF(A296="","",SUMIF(DB_Withdrawals!$A:$A,A296,DB_Withdrawals!$G:$G)),"")</f>
        <v/>
      </c>
      <c r="M296" s="36" t="str">
        <f>IFERROR(IF(A296="","",IFERROR(VALUE(H296),0)+IFERROR(SUMIF(DB_Savings!$A:$A,A296,DB_Savings!$F:$F),0)-IFERROR(SUMIF(DB_Withdrawals!$A:$A,A296,DB_Withdrawals!$G:$G),0)),"")</f>
        <v/>
      </c>
      <c r="N296" s="36" t="str">
        <f>IFERROR(IF(A296="","",MAX(0,M296-System_Config!$B$9)),"")</f>
        <v/>
      </c>
    </row>
    <row r="297" spans="1:14" ht="20.100000000000001" customHeight="1" x14ac:dyDescent="0.25">
      <c r="A297" s="34" t="str">
        <f>'NEW ACCOUNT'!A298</f>
        <v/>
      </c>
      <c r="B297" s="35" t="str">
        <f>IF('NEW ACCOUNT'!A298="","",'NEW ACCOUNT'!B298)</f>
        <v/>
      </c>
      <c r="C297" s="35" t="str">
        <f>IF('NEW ACCOUNT'!A298="","",'NEW ACCOUNT'!C298)</f>
        <v/>
      </c>
      <c r="D297" s="35" t="str">
        <f>IF('NEW ACCOUNT'!A298="","",'NEW ACCOUNT'!D298)</f>
        <v/>
      </c>
      <c r="E297" s="35" t="str">
        <f>IF('NEW ACCOUNT'!A298="","",'NEW ACCOUNT'!E298)</f>
        <v/>
      </c>
      <c r="F297" s="35" t="str">
        <f>IF('NEW ACCOUNT'!A298="","",'NEW ACCOUNT'!F298)</f>
        <v/>
      </c>
      <c r="G297" s="35" t="str">
        <f>IF('NEW ACCOUNT'!A298="","",'NEW ACCOUNT'!G298)</f>
        <v/>
      </c>
      <c r="H297" s="35" t="str">
        <f>IF('NEW ACCOUNT'!A298="","",'NEW ACCOUNT'!H298)</f>
        <v/>
      </c>
      <c r="I297" s="35" t="str">
        <f>IF('NEW ACCOUNT'!A298="","",'NEW ACCOUNT'!I298)</f>
        <v/>
      </c>
      <c r="J297" s="35" t="str">
        <f>IF('NEW ACCOUNT'!A298="","",'NEW ACCOUNT'!J298)</f>
        <v/>
      </c>
      <c r="K297" s="36" t="str">
        <f>IFERROR(IF(A297="","",SUMIF(DB_Savings!$A:$A,A297,DB_Savings!$F:$F)),"")</f>
        <v/>
      </c>
      <c r="L297" s="36" t="str">
        <f>IFERROR(IF(A297="","",SUMIF(DB_Withdrawals!$A:$A,A297,DB_Withdrawals!$G:$G)),"")</f>
        <v/>
      </c>
      <c r="M297" s="36" t="str">
        <f>IFERROR(IF(A297="","",IFERROR(VALUE(H297),0)+IFERROR(SUMIF(DB_Savings!$A:$A,A297,DB_Savings!$F:$F),0)-IFERROR(SUMIF(DB_Withdrawals!$A:$A,A297,DB_Withdrawals!$G:$G),0)),"")</f>
        <v/>
      </c>
      <c r="N297" s="36" t="str">
        <f>IFERROR(IF(A297="","",MAX(0,M297-System_Config!$B$9)),"")</f>
        <v/>
      </c>
    </row>
    <row r="298" spans="1:14" ht="20.100000000000001" customHeight="1" x14ac:dyDescent="0.25">
      <c r="A298" s="34" t="str">
        <f>'NEW ACCOUNT'!A299</f>
        <v/>
      </c>
      <c r="B298" s="35" t="str">
        <f>IF('NEW ACCOUNT'!A299="","",'NEW ACCOUNT'!B299)</f>
        <v/>
      </c>
      <c r="C298" s="35" t="str">
        <f>IF('NEW ACCOUNT'!A299="","",'NEW ACCOUNT'!C299)</f>
        <v/>
      </c>
      <c r="D298" s="35" t="str">
        <f>IF('NEW ACCOUNT'!A299="","",'NEW ACCOUNT'!D299)</f>
        <v/>
      </c>
      <c r="E298" s="35" t="str">
        <f>IF('NEW ACCOUNT'!A299="","",'NEW ACCOUNT'!E299)</f>
        <v/>
      </c>
      <c r="F298" s="35" t="str">
        <f>IF('NEW ACCOUNT'!A299="","",'NEW ACCOUNT'!F299)</f>
        <v/>
      </c>
      <c r="G298" s="35" t="str">
        <f>IF('NEW ACCOUNT'!A299="","",'NEW ACCOUNT'!G299)</f>
        <v/>
      </c>
      <c r="H298" s="35" t="str">
        <f>IF('NEW ACCOUNT'!A299="","",'NEW ACCOUNT'!H299)</f>
        <v/>
      </c>
      <c r="I298" s="35" t="str">
        <f>IF('NEW ACCOUNT'!A299="","",'NEW ACCOUNT'!I299)</f>
        <v/>
      </c>
      <c r="J298" s="35" t="str">
        <f>IF('NEW ACCOUNT'!A299="","",'NEW ACCOUNT'!J299)</f>
        <v/>
      </c>
      <c r="K298" s="36" t="str">
        <f>IFERROR(IF(A298="","",SUMIF(DB_Savings!$A:$A,A298,DB_Savings!$F:$F)),"")</f>
        <v/>
      </c>
      <c r="L298" s="36" t="str">
        <f>IFERROR(IF(A298="","",SUMIF(DB_Withdrawals!$A:$A,A298,DB_Withdrawals!$G:$G)),"")</f>
        <v/>
      </c>
      <c r="M298" s="36" t="str">
        <f>IFERROR(IF(A298="","",IFERROR(VALUE(H298),0)+IFERROR(SUMIF(DB_Savings!$A:$A,A298,DB_Savings!$F:$F),0)-IFERROR(SUMIF(DB_Withdrawals!$A:$A,A298,DB_Withdrawals!$G:$G),0)),"")</f>
        <v/>
      </c>
      <c r="N298" s="36" t="str">
        <f>IFERROR(IF(A298="","",MAX(0,M298-System_Config!$B$9)),"")</f>
        <v/>
      </c>
    </row>
    <row r="299" spans="1:14" ht="20.100000000000001" customHeight="1" x14ac:dyDescent="0.25">
      <c r="A299" s="34" t="str">
        <f>'NEW ACCOUNT'!A300</f>
        <v/>
      </c>
      <c r="B299" s="35" t="str">
        <f>IF('NEW ACCOUNT'!A300="","",'NEW ACCOUNT'!B300)</f>
        <v/>
      </c>
      <c r="C299" s="35" t="str">
        <f>IF('NEW ACCOUNT'!A300="","",'NEW ACCOUNT'!C300)</f>
        <v/>
      </c>
      <c r="D299" s="35" t="str">
        <f>IF('NEW ACCOUNT'!A300="","",'NEW ACCOUNT'!D300)</f>
        <v/>
      </c>
      <c r="E299" s="35" t="str">
        <f>IF('NEW ACCOUNT'!A300="","",'NEW ACCOUNT'!E300)</f>
        <v/>
      </c>
      <c r="F299" s="35" t="str">
        <f>IF('NEW ACCOUNT'!A300="","",'NEW ACCOUNT'!F300)</f>
        <v/>
      </c>
      <c r="G299" s="35" t="str">
        <f>IF('NEW ACCOUNT'!A300="","",'NEW ACCOUNT'!G300)</f>
        <v/>
      </c>
      <c r="H299" s="35" t="str">
        <f>IF('NEW ACCOUNT'!A300="","",'NEW ACCOUNT'!H300)</f>
        <v/>
      </c>
      <c r="I299" s="35" t="str">
        <f>IF('NEW ACCOUNT'!A300="","",'NEW ACCOUNT'!I300)</f>
        <v/>
      </c>
      <c r="J299" s="35" t="str">
        <f>IF('NEW ACCOUNT'!A300="","",'NEW ACCOUNT'!J300)</f>
        <v/>
      </c>
      <c r="K299" s="36" t="str">
        <f>IFERROR(IF(A299="","",SUMIF(DB_Savings!$A:$A,A299,DB_Savings!$F:$F)),"")</f>
        <v/>
      </c>
      <c r="L299" s="36" t="str">
        <f>IFERROR(IF(A299="","",SUMIF(DB_Withdrawals!$A:$A,A299,DB_Withdrawals!$G:$G)),"")</f>
        <v/>
      </c>
      <c r="M299" s="36" t="str">
        <f>IFERROR(IF(A299="","",IFERROR(VALUE(H299),0)+IFERROR(SUMIF(DB_Savings!$A:$A,A299,DB_Savings!$F:$F),0)-IFERROR(SUMIF(DB_Withdrawals!$A:$A,A299,DB_Withdrawals!$G:$G),0)),"")</f>
        <v/>
      </c>
      <c r="N299" s="36" t="str">
        <f>IFERROR(IF(A299="","",MAX(0,M299-System_Config!$B$9)),"")</f>
        <v/>
      </c>
    </row>
    <row r="300" spans="1:14" ht="20.100000000000001" customHeight="1" x14ac:dyDescent="0.25">
      <c r="A300" s="34" t="str">
        <f>'NEW ACCOUNT'!A301</f>
        <v/>
      </c>
      <c r="B300" s="35" t="str">
        <f>IF('NEW ACCOUNT'!A301="","",'NEW ACCOUNT'!B301)</f>
        <v/>
      </c>
      <c r="C300" s="35" t="str">
        <f>IF('NEW ACCOUNT'!A301="","",'NEW ACCOUNT'!C301)</f>
        <v/>
      </c>
      <c r="D300" s="35" t="str">
        <f>IF('NEW ACCOUNT'!A301="","",'NEW ACCOUNT'!D301)</f>
        <v/>
      </c>
      <c r="E300" s="35" t="str">
        <f>IF('NEW ACCOUNT'!A301="","",'NEW ACCOUNT'!E301)</f>
        <v/>
      </c>
      <c r="F300" s="35" t="str">
        <f>IF('NEW ACCOUNT'!A301="","",'NEW ACCOUNT'!F301)</f>
        <v/>
      </c>
      <c r="G300" s="35" t="str">
        <f>IF('NEW ACCOUNT'!A301="","",'NEW ACCOUNT'!G301)</f>
        <v/>
      </c>
      <c r="H300" s="35" t="str">
        <f>IF('NEW ACCOUNT'!A301="","",'NEW ACCOUNT'!H301)</f>
        <v/>
      </c>
      <c r="I300" s="35" t="str">
        <f>IF('NEW ACCOUNT'!A301="","",'NEW ACCOUNT'!I301)</f>
        <v/>
      </c>
      <c r="J300" s="35" t="str">
        <f>IF('NEW ACCOUNT'!A301="","",'NEW ACCOUNT'!J301)</f>
        <v/>
      </c>
      <c r="K300" s="36" t="str">
        <f>IFERROR(IF(A300="","",SUMIF(DB_Savings!$A:$A,A300,DB_Savings!$F:$F)),"")</f>
        <v/>
      </c>
      <c r="L300" s="36" t="str">
        <f>IFERROR(IF(A300="","",SUMIF(DB_Withdrawals!$A:$A,A300,DB_Withdrawals!$G:$G)),"")</f>
        <v/>
      </c>
      <c r="M300" s="36" t="str">
        <f>IFERROR(IF(A300="","",IFERROR(VALUE(H300),0)+IFERROR(SUMIF(DB_Savings!$A:$A,A300,DB_Savings!$F:$F),0)-IFERROR(SUMIF(DB_Withdrawals!$A:$A,A300,DB_Withdrawals!$G:$G),0)),"")</f>
        <v/>
      </c>
      <c r="N300" s="36" t="str">
        <f>IFERROR(IF(A300="","",MAX(0,M300-System_Config!$B$9)),"")</f>
        <v/>
      </c>
    </row>
    <row r="301" spans="1:14" ht="20.100000000000001" customHeight="1" x14ac:dyDescent="0.25">
      <c r="A301" s="34" t="str">
        <f>'NEW ACCOUNT'!A302</f>
        <v/>
      </c>
      <c r="B301" s="35" t="str">
        <f>IF('NEW ACCOUNT'!A302="","",'NEW ACCOUNT'!B302)</f>
        <v/>
      </c>
      <c r="C301" s="35" t="str">
        <f>IF('NEW ACCOUNT'!A302="","",'NEW ACCOUNT'!C302)</f>
        <v/>
      </c>
      <c r="D301" s="35" t="str">
        <f>IF('NEW ACCOUNT'!A302="","",'NEW ACCOUNT'!D302)</f>
        <v/>
      </c>
      <c r="E301" s="35" t="str">
        <f>IF('NEW ACCOUNT'!A302="","",'NEW ACCOUNT'!E302)</f>
        <v/>
      </c>
      <c r="F301" s="35" t="str">
        <f>IF('NEW ACCOUNT'!A302="","",'NEW ACCOUNT'!F302)</f>
        <v/>
      </c>
      <c r="G301" s="35" t="str">
        <f>IF('NEW ACCOUNT'!A302="","",'NEW ACCOUNT'!G302)</f>
        <v/>
      </c>
      <c r="H301" s="35" t="str">
        <f>IF('NEW ACCOUNT'!A302="","",'NEW ACCOUNT'!H302)</f>
        <v/>
      </c>
      <c r="I301" s="35" t="str">
        <f>IF('NEW ACCOUNT'!A302="","",'NEW ACCOUNT'!I302)</f>
        <v/>
      </c>
      <c r="J301" s="35" t="str">
        <f>IF('NEW ACCOUNT'!A302="","",'NEW ACCOUNT'!J302)</f>
        <v/>
      </c>
      <c r="K301" s="36" t="str">
        <f>IFERROR(IF(A301="","",SUMIF(DB_Savings!$A:$A,A301,DB_Savings!$F:$F)),"")</f>
        <v/>
      </c>
      <c r="L301" s="36" t="str">
        <f>IFERROR(IF(A301="","",SUMIF(DB_Withdrawals!$A:$A,A301,DB_Withdrawals!$G:$G)),"")</f>
        <v/>
      </c>
      <c r="M301" s="36" t="str">
        <f>IFERROR(IF(A301="","",IFERROR(VALUE(H301),0)+IFERROR(SUMIF(DB_Savings!$A:$A,A301,DB_Savings!$F:$F),0)-IFERROR(SUMIF(DB_Withdrawals!$A:$A,A301,DB_Withdrawals!$G:$G),0)),"")</f>
        <v/>
      </c>
      <c r="N301" s="36" t="str">
        <f>IFERROR(IF(A301="","",MAX(0,M301-System_Config!$B$9)),"")</f>
        <v/>
      </c>
    </row>
    <row r="302" spans="1:14" ht="20.100000000000001" customHeight="1" x14ac:dyDescent="0.25">
      <c r="A302" s="34" t="str">
        <f>'NEW ACCOUNT'!A303</f>
        <v/>
      </c>
      <c r="B302" s="35" t="str">
        <f>IF('NEW ACCOUNT'!A303="","",'NEW ACCOUNT'!B303)</f>
        <v/>
      </c>
      <c r="C302" s="35" t="str">
        <f>IF('NEW ACCOUNT'!A303="","",'NEW ACCOUNT'!C303)</f>
        <v/>
      </c>
      <c r="D302" s="35" t="str">
        <f>IF('NEW ACCOUNT'!A303="","",'NEW ACCOUNT'!D303)</f>
        <v/>
      </c>
      <c r="E302" s="35" t="str">
        <f>IF('NEW ACCOUNT'!A303="","",'NEW ACCOUNT'!E303)</f>
        <v/>
      </c>
      <c r="F302" s="35" t="str">
        <f>IF('NEW ACCOUNT'!A303="","",'NEW ACCOUNT'!F303)</f>
        <v/>
      </c>
      <c r="G302" s="35" t="str">
        <f>IF('NEW ACCOUNT'!A303="","",'NEW ACCOUNT'!G303)</f>
        <v/>
      </c>
      <c r="H302" s="35" t="str">
        <f>IF('NEW ACCOUNT'!A303="","",'NEW ACCOUNT'!H303)</f>
        <v/>
      </c>
      <c r="I302" s="35" t="str">
        <f>IF('NEW ACCOUNT'!A303="","",'NEW ACCOUNT'!I303)</f>
        <v/>
      </c>
      <c r="J302" s="35" t="str">
        <f>IF('NEW ACCOUNT'!A303="","",'NEW ACCOUNT'!J303)</f>
        <v/>
      </c>
      <c r="K302" s="36" t="str">
        <f>IFERROR(IF(A302="","",SUMIF(DB_Savings!$A:$A,A302,DB_Savings!$F:$F)),"")</f>
        <v/>
      </c>
      <c r="L302" s="36" t="str">
        <f>IFERROR(IF(A302="","",SUMIF(DB_Withdrawals!$A:$A,A302,DB_Withdrawals!$G:$G)),"")</f>
        <v/>
      </c>
      <c r="M302" s="36" t="str">
        <f>IFERROR(IF(A302="","",IFERROR(VALUE(H302),0)+IFERROR(SUMIF(DB_Savings!$A:$A,A302,DB_Savings!$F:$F),0)-IFERROR(SUMIF(DB_Withdrawals!$A:$A,A302,DB_Withdrawals!$G:$G),0)),"")</f>
        <v/>
      </c>
      <c r="N302" s="36" t="str">
        <f>IFERROR(IF(A302="","",MAX(0,M302-System_Config!$B$9)),"")</f>
        <v/>
      </c>
    </row>
    <row r="303" spans="1:14" ht="20.100000000000001" customHeight="1" x14ac:dyDescent="0.25">
      <c r="A303" s="34" t="str">
        <f>'NEW ACCOUNT'!A304</f>
        <v/>
      </c>
      <c r="B303" s="35" t="str">
        <f>IF('NEW ACCOUNT'!A304="","",'NEW ACCOUNT'!B304)</f>
        <v/>
      </c>
      <c r="C303" s="35" t="str">
        <f>IF('NEW ACCOUNT'!A304="","",'NEW ACCOUNT'!C304)</f>
        <v/>
      </c>
      <c r="D303" s="35" t="str">
        <f>IF('NEW ACCOUNT'!A304="","",'NEW ACCOUNT'!D304)</f>
        <v/>
      </c>
      <c r="E303" s="35" t="str">
        <f>IF('NEW ACCOUNT'!A304="","",'NEW ACCOUNT'!E304)</f>
        <v/>
      </c>
      <c r="F303" s="35" t="str">
        <f>IF('NEW ACCOUNT'!A304="","",'NEW ACCOUNT'!F304)</f>
        <v/>
      </c>
      <c r="G303" s="35" t="str">
        <f>IF('NEW ACCOUNT'!A304="","",'NEW ACCOUNT'!G304)</f>
        <v/>
      </c>
      <c r="H303" s="35" t="str">
        <f>IF('NEW ACCOUNT'!A304="","",'NEW ACCOUNT'!H304)</f>
        <v/>
      </c>
      <c r="I303" s="35" t="str">
        <f>IF('NEW ACCOUNT'!A304="","",'NEW ACCOUNT'!I304)</f>
        <v/>
      </c>
      <c r="J303" s="35" t="str">
        <f>IF('NEW ACCOUNT'!A304="","",'NEW ACCOUNT'!J304)</f>
        <v/>
      </c>
      <c r="K303" s="36" t="str">
        <f>IFERROR(IF(A303="","",SUMIF(DB_Savings!$A:$A,A303,DB_Savings!$F:$F)),"")</f>
        <v/>
      </c>
      <c r="L303" s="36" t="str">
        <f>IFERROR(IF(A303="","",SUMIF(DB_Withdrawals!$A:$A,A303,DB_Withdrawals!$G:$G)),"")</f>
        <v/>
      </c>
      <c r="M303" s="36" t="str">
        <f>IFERROR(IF(A303="","",IFERROR(VALUE(H303),0)+IFERROR(SUMIF(DB_Savings!$A:$A,A303,DB_Savings!$F:$F),0)-IFERROR(SUMIF(DB_Withdrawals!$A:$A,A303,DB_Withdrawals!$G:$G),0)),"")</f>
        <v/>
      </c>
      <c r="N303" s="36" t="str">
        <f>IFERROR(IF(A303="","",MAX(0,M303-System_Config!$B$9)),"")</f>
        <v/>
      </c>
    </row>
    <row r="304" spans="1:14" ht="20.100000000000001" customHeight="1" x14ac:dyDescent="0.25">
      <c r="A304" s="34" t="str">
        <f>'NEW ACCOUNT'!A305</f>
        <v/>
      </c>
      <c r="B304" s="35" t="str">
        <f>IF('NEW ACCOUNT'!A305="","",'NEW ACCOUNT'!B305)</f>
        <v/>
      </c>
      <c r="C304" s="35" t="str">
        <f>IF('NEW ACCOUNT'!A305="","",'NEW ACCOUNT'!C305)</f>
        <v/>
      </c>
      <c r="D304" s="35" t="str">
        <f>IF('NEW ACCOUNT'!A305="","",'NEW ACCOUNT'!D305)</f>
        <v/>
      </c>
      <c r="E304" s="35" t="str">
        <f>IF('NEW ACCOUNT'!A305="","",'NEW ACCOUNT'!E305)</f>
        <v/>
      </c>
      <c r="F304" s="35" t="str">
        <f>IF('NEW ACCOUNT'!A305="","",'NEW ACCOUNT'!F305)</f>
        <v/>
      </c>
      <c r="G304" s="35" t="str">
        <f>IF('NEW ACCOUNT'!A305="","",'NEW ACCOUNT'!G305)</f>
        <v/>
      </c>
      <c r="H304" s="35" t="str">
        <f>IF('NEW ACCOUNT'!A305="","",'NEW ACCOUNT'!H305)</f>
        <v/>
      </c>
      <c r="I304" s="35" t="str">
        <f>IF('NEW ACCOUNT'!A305="","",'NEW ACCOUNT'!I305)</f>
        <v/>
      </c>
      <c r="J304" s="35" t="str">
        <f>IF('NEW ACCOUNT'!A305="","",'NEW ACCOUNT'!J305)</f>
        <v/>
      </c>
      <c r="K304" s="36" t="str">
        <f>IFERROR(IF(A304="","",SUMIF(DB_Savings!$A:$A,A304,DB_Savings!$F:$F)),"")</f>
        <v/>
      </c>
      <c r="L304" s="36" t="str">
        <f>IFERROR(IF(A304="","",SUMIF(DB_Withdrawals!$A:$A,A304,DB_Withdrawals!$G:$G)),"")</f>
        <v/>
      </c>
      <c r="M304" s="36" t="str">
        <f>IFERROR(IF(A304="","",IFERROR(VALUE(H304),0)+IFERROR(SUMIF(DB_Savings!$A:$A,A304,DB_Savings!$F:$F),0)-IFERROR(SUMIF(DB_Withdrawals!$A:$A,A304,DB_Withdrawals!$G:$G),0)),"")</f>
        <v/>
      </c>
      <c r="N304" s="36" t="str">
        <f>IFERROR(IF(A304="","",MAX(0,M304-System_Config!$B$9)),"")</f>
        <v/>
      </c>
    </row>
    <row r="305" spans="1:14" ht="20.100000000000001" customHeight="1" x14ac:dyDescent="0.25">
      <c r="A305" s="34" t="str">
        <f>'NEW ACCOUNT'!A306</f>
        <v/>
      </c>
      <c r="B305" s="35" t="str">
        <f>IF('NEW ACCOUNT'!A306="","",'NEW ACCOUNT'!B306)</f>
        <v/>
      </c>
      <c r="C305" s="35" t="str">
        <f>IF('NEW ACCOUNT'!A306="","",'NEW ACCOUNT'!C306)</f>
        <v/>
      </c>
      <c r="D305" s="35" t="str">
        <f>IF('NEW ACCOUNT'!A306="","",'NEW ACCOUNT'!D306)</f>
        <v/>
      </c>
      <c r="E305" s="35" t="str">
        <f>IF('NEW ACCOUNT'!A306="","",'NEW ACCOUNT'!E306)</f>
        <v/>
      </c>
      <c r="F305" s="35" t="str">
        <f>IF('NEW ACCOUNT'!A306="","",'NEW ACCOUNT'!F306)</f>
        <v/>
      </c>
      <c r="G305" s="35" t="str">
        <f>IF('NEW ACCOUNT'!A306="","",'NEW ACCOUNT'!G306)</f>
        <v/>
      </c>
      <c r="H305" s="35" t="str">
        <f>IF('NEW ACCOUNT'!A306="","",'NEW ACCOUNT'!H306)</f>
        <v/>
      </c>
      <c r="I305" s="35" t="str">
        <f>IF('NEW ACCOUNT'!A306="","",'NEW ACCOUNT'!I306)</f>
        <v/>
      </c>
      <c r="J305" s="35" t="str">
        <f>IF('NEW ACCOUNT'!A306="","",'NEW ACCOUNT'!J306)</f>
        <v/>
      </c>
      <c r="K305" s="36" t="str">
        <f>IFERROR(IF(A305="","",SUMIF(DB_Savings!$A:$A,A305,DB_Savings!$F:$F)),"")</f>
        <v/>
      </c>
      <c r="L305" s="36" t="str">
        <f>IFERROR(IF(A305="","",SUMIF(DB_Withdrawals!$A:$A,A305,DB_Withdrawals!$G:$G)),"")</f>
        <v/>
      </c>
      <c r="M305" s="36" t="str">
        <f>IFERROR(IF(A305="","",IFERROR(VALUE(H305),0)+IFERROR(SUMIF(DB_Savings!$A:$A,A305,DB_Savings!$F:$F),0)-IFERROR(SUMIF(DB_Withdrawals!$A:$A,A305,DB_Withdrawals!$G:$G),0)),"")</f>
        <v/>
      </c>
      <c r="N305" s="36" t="str">
        <f>IFERROR(IF(A305="","",MAX(0,M305-System_Config!$B$9)),"")</f>
        <v/>
      </c>
    </row>
    <row r="306" spans="1:14" ht="20.100000000000001" customHeight="1" x14ac:dyDescent="0.25">
      <c r="A306" s="34" t="str">
        <f>'NEW ACCOUNT'!A307</f>
        <v/>
      </c>
      <c r="B306" s="35" t="str">
        <f>IF('NEW ACCOUNT'!A307="","",'NEW ACCOUNT'!B307)</f>
        <v/>
      </c>
      <c r="C306" s="35" t="str">
        <f>IF('NEW ACCOUNT'!A307="","",'NEW ACCOUNT'!C307)</f>
        <v/>
      </c>
      <c r="D306" s="35" t="str">
        <f>IF('NEW ACCOUNT'!A307="","",'NEW ACCOUNT'!D307)</f>
        <v/>
      </c>
      <c r="E306" s="35" t="str">
        <f>IF('NEW ACCOUNT'!A307="","",'NEW ACCOUNT'!E307)</f>
        <v/>
      </c>
      <c r="F306" s="35" t="str">
        <f>IF('NEW ACCOUNT'!A307="","",'NEW ACCOUNT'!F307)</f>
        <v/>
      </c>
      <c r="G306" s="35" t="str">
        <f>IF('NEW ACCOUNT'!A307="","",'NEW ACCOUNT'!G307)</f>
        <v/>
      </c>
      <c r="H306" s="35" t="str">
        <f>IF('NEW ACCOUNT'!A307="","",'NEW ACCOUNT'!H307)</f>
        <v/>
      </c>
      <c r="I306" s="35" t="str">
        <f>IF('NEW ACCOUNT'!A307="","",'NEW ACCOUNT'!I307)</f>
        <v/>
      </c>
      <c r="J306" s="35" t="str">
        <f>IF('NEW ACCOUNT'!A307="","",'NEW ACCOUNT'!J307)</f>
        <v/>
      </c>
      <c r="K306" s="36" t="str">
        <f>IFERROR(IF(A306="","",SUMIF(DB_Savings!$A:$A,A306,DB_Savings!$F:$F)),"")</f>
        <v/>
      </c>
      <c r="L306" s="36" t="str">
        <f>IFERROR(IF(A306="","",SUMIF(DB_Withdrawals!$A:$A,A306,DB_Withdrawals!$G:$G)),"")</f>
        <v/>
      </c>
      <c r="M306" s="36" t="str">
        <f>IFERROR(IF(A306="","",IFERROR(VALUE(H306),0)+IFERROR(SUMIF(DB_Savings!$A:$A,A306,DB_Savings!$F:$F),0)-IFERROR(SUMIF(DB_Withdrawals!$A:$A,A306,DB_Withdrawals!$G:$G),0)),"")</f>
        <v/>
      </c>
      <c r="N306" s="36" t="str">
        <f>IFERROR(IF(A306="","",MAX(0,M306-System_Config!$B$9)),"")</f>
        <v/>
      </c>
    </row>
    <row r="307" spans="1:14" ht="20.100000000000001" customHeight="1" x14ac:dyDescent="0.25">
      <c r="A307" s="34" t="str">
        <f>'NEW ACCOUNT'!A308</f>
        <v/>
      </c>
      <c r="B307" s="35" t="str">
        <f>IF('NEW ACCOUNT'!A308="","",'NEW ACCOUNT'!B308)</f>
        <v/>
      </c>
      <c r="C307" s="35" t="str">
        <f>IF('NEW ACCOUNT'!A308="","",'NEW ACCOUNT'!C308)</f>
        <v/>
      </c>
      <c r="D307" s="35" t="str">
        <f>IF('NEW ACCOUNT'!A308="","",'NEW ACCOUNT'!D308)</f>
        <v/>
      </c>
      <c r="E307" s="35" t="str">
        <f>IF('NEW ACCOUNT'!A308="","",'NEW ACCOUNT'!E308)</f>
        <v/>
      </c>
      <c r="F307" s="35" t="str">
        <f>IF('NEW ACCOUNT'!A308="","",'NEW ACCOUNT'!F308)</f>
        <v/>
      </c>
      <c r="G307" s="35" t="str">
        <f>IF('NEW ACCOUNT'!A308="","",'NEW ACCOUNT'!G308)</f>
        <v/>
      </c>
      <c r="H307" s="35" t="str">
        <f>IF('NEW ACCOUNT'!A308="","",'NEW ACCOUNT'!H308)</f>
        <v/>
      </c>
      <c r="I307" s="35" t="str">
        <f>IF('NEW ACCOUNT'!A308="","",'NEW ACCOUNT'!I308)</f>
        <v/>
      </c>
      <c r="J307" s="35" t="str">
        <f>IF('NEW ACCOUNT'!A308="","",'NEW ACCOUNT'!J308)</f>
        <v/>
      </c>
      <c r="K307" s="36" t="str">
        <f>IFERROR(IF(A307="","",SUMIF(DB_Savings!$A:$A,A307,DB_Savings!$F:$F)),"")</f>
        <v/>
      </c>
      <c r="L307" s="36" t="str">
        <f>IFERROR(IF(A307="","",SUMIF(DB_Withdrawals!$A:$A,A307,DB_Withdrawals!$G:$G)),"")</f>
        <v/>
      </c>
      <c r="M307" s="36" t="str">
        <f>IFERROR(IF(A307="","",IFERROR(VALUE(H307),0)+IFERROR(SUMIF(DB_Savings!$A:$A,A307,DB_Savings!$F:$F),0)-IFERROR(SUMIF(DB_Withdrawals!$A:$A,A307,DB_Withdrawals!$G:$G),0)),"")</f>
        <v/>
      </c>
      <c r="N307" s="36" t="str">
        <f>IFERROR(IF(A307="","",MAX(0,M307-System_Config!$B$9)),"")</f>
        <v/>
      </c>
    </row>
    <row r="308" spans="1:14" ht="20.100000000000001" customHeight="1" x14ac:dyDescent="0.25">
      <c r="A308" s="34" t="str">
        <f>'NEW ACCOUNT'!A309</f>
        <v/>
      </c>
      <c r="B308" s="35" t="str">
        <f>IF('NEW ACCOUNT'!A309="","",'NEW ACCOUNT'!B309)</f>
        <v/>
      </c>
      <c r="C308" s="35" t="str">
        <f>IF('NEW ACCOUNT'!A309="","",'NEW ACCOUNT'!C309)</f>
        <v/>
      </c>
      <c r="D308" s="35" t="str">
        <f>IF('NEW ACCOUNT'!A309="","",'NEW ACCOUNT'!D309)</f>
        <v/>
      </c>
      <c r="E308" s="35" t="str">
        <f>IF('NEW ACCOUNT'!A309="","",'NEW ACCOUNT'!E309)</f>
        <v/>
      </c>
      <c r="F308" s="35" t="str">
        <f>IF('NEW ACCOUNT'!A309="","",'NEW ACCOUNT'!F309)</f>
        <v/>
      </c>
      <c r="G308" s="35" t="str">
        <f>IF('NEW ACCOUNT'!A309="","",'NEW ACCOUNT'!G309)</f>
        <v/>
      </c>
      <c r="H308" s="35" t="str">
        <f>IF('NEW ACCOUNT'!A309="","",'NEW ACCOUNT'!H309)</f>
        <v/>
      </c>
      <c r="I308" s="35" t="str">
        <f>IF('NEW ACCOUNT'!A309="","",'NEW ACCOUNT'!I309)</f>
        <v/>
      </c>
      <c r="J308" s="35" t="str">
        <f>IF('NEW ACCOUNT'!A309="","",'NEW ACCOUNT'!J309)</f>
        <v/>
      </c>
      <c r="K308" s="36" t="str">
        <f>IFERROR(IF(A308="","",SUMIF(DB_Savings!$A:$A,A308,DB_Savings!$F:$F)),"")</f>
        <v/>
      </c>
      <c r="L308" s="36" t="str">
        <f>IFERROR(IF(A308="","",SUMIF(DB_Withdrawals!$A:$A,A308,DB_Withdrawals!$G:$G)),"")</f>
        <v/>
      </c>
      <c r="M308" s="36" t="str">
        <f>IFERROR(IF(A308="","",IFERROR(VALUE(H308),0)+IFERROR(SUMIF(DB_Savings!$A:$A,A308,DB_Savings!$F:$F),0)-IFERROR(SUMIF(DB_Withdrawals!$A:$A,A308,DB_Withdrawals!$G:$G),0)),"")</f>
        <v/>
      </c>
      <c r="N308" s="36" t="str">
        <f>IFERROR(IF(A308="","",MAX(0,M308-System_Config!$B$9)),"")</f>
        <v/>
      </c>
    </row>
    <row r="309" spans="1:14" ht="20.100000000000001" customHeight="1" x14ac:dyDescent="0.25">
      <c r="A309" s="34" t="str">
        <f>'NEW ACCOUNT'!A310</f>
        <v/>
      </c>
      <c r="B309" s="35" t="str">
        <f>IF('NEW ACCOUNT'!A310="","",'NEW ACCOUNT'!B310)</f>
        <v/>
      </c>
      <c r="C309" s="35" t="str">
        <f>IF('NEW ACCOUNT'!A310="","",'NEW ACCOUNT'!C310)</f>
        <v/>
      </c>
      <c r="D309" s="35" t="str">
        <f>IF('NEW ACCOUNT'!A310="","",'NEW ACCOUNT'!D310)</f>
        <v/>
      </c>
      <c r="E309" s="35" t="str">
        <f>IF('NEW ACCOUNT'!A310="","",'NEW ACCOUNT'!E310)</f>
        <v/>
      </c>
      <c r="F309" s="35" t="str">
        <f>IF('NEW ACCOUNT'!A310="","",'NEW ACCOUNT'!F310)</f>
        <v/>
      </c>
      <c r="G309" s="35" t="str">
        <f>IF('NEW ACCOUNT'!A310="","",'NEW ACCOUNT'!G310)</f>
        <v/>
      </c>
      <c r="H309" s="35" t="str">
        <f>IF('NEW ACCOUNT'!A310="","",'NEW ACCOUNT'!H310)</f>
        <v/>
      </c>
      <c r="I309" s="35" t="str">
        <f>IF('NEW ACCOUNT'!A310="","",'NEW ACCOUNT'!I310)</f>
        <v/>
      </c>
      <c r="J309" s="35" t="str">
        <f>IF('NEW ACCOUNT'!A310="","",'NEW ACCOUNT'!J310)</f>
        <v/>
      </c>
      <c r="K309" s="36" t="str">
        <f>IFERROR(IF(A309="","",SUMIF(DB_Savings!$A:$A,A309,DB_Savings!$F:$F)),"")</f>
        <v/>
      </c>
      <c r="L309" s="36" t="str">
        <f>IFERROR(IF(A309="","",SUMIF(DB_Withdrawals!$A:$A,A309,DB_Withdrawals!$G:$G)),"")</f>
        <v/>
      </c>
      <c r="M309" s="36" t="str">
        <f>IFERROR(IF(A309="","",IFERROR(VALUE(H309),0)+IFERROR(SUMIF(DB_Savings!$A:$A,A309,DB_Savings!$F:$F),0)-IFERROR(SUMIF(DB_Withdrawals!$A:$A,A309,DB_Withdrawals!$G:$G),0)),"")</f>
        <v/>
      </c>
      <c r="N309" s="36" t="str">
        <f>IFERROR(IF(A309="","",MAX(0,M309-System_Config!$B$9)),"")</f>
        <v/>
      </c>
    </row>
    <row r="310" spans="1:14" ht="20.100000000000001" customHeight="1" x14ac:dyDescent="0.25">
      <c r="A310" s="34" t="str">
        <f>'NEW ACCOUNT'!A311</f>
        <v/>
      </c>
      <c r="B310" s="35" t="str">
        <f>IF('NEW ACCOUNT'!A311="","",'NEW ACCOUNT'!B311)</f>
        <v/>
      </c>
      <c r="C310" s="35" t="str">
        <f>IF('NEW ACCOUNT'!A311="","",'NEW ACCOUNT'!C311)</f>
        <v/>
      </c>
      <c r="D310" s="35" t="str">
        <f>IF('NEW ACCOUNT'!A311="","",'NEW ACCOUNT'!D311)</f>
        <v/>
      </c>
      <c r="E310" s="35" t="str">
        <f>IF('NEW ACCOUNT'!A311="","",'NEW ACCOUNT'!E311)</f>
        <v/>
      </c>
      <c r="F310" s="35" t="str">
        <f>IF('NEW ACCOUNT'!A311="","",'NEW ACCOUNT'!F311)</f>
        <v/>
      </c>
      <c r="G310" s="35" t="str">
        <f>IF('NEW ACCOUNT'!A311="","",'NEW ACCOUNT'!G311)</f>
        <v/>
      </c>
      <c r="H310" s="35" t="str">
        <f>IF('NEW ACCOUNT'!A311="","",'NEW ACCOUNT'!H311)</f>
        <v/>
      </c>
      <c r="I310" s="35" t="str">
        <f>IF('NEW ACCOUNT'!A311="","",'NEW ACCOUNT'!I311)</f>
        <v/>
      </c>
      <c r="J310" s="35" t="str">
        <f>IF('NEW ACCOUNT'!A311="","",'NEW ACCOUNT'!J311)</f>
        <v/>
      </c>
      <c r="K310" s="36" t="str">
        <f>IFERROR(IF(A310="","",SUMIF(DB_Savings!$A:$A,A310,DB_Savings!$F:$F)),"")</f>
        <v/>
      </c>
      <c r="L310" s="36" t="str">
        <f>IFERROR(IF(A310="","",SUMIF(DB_Withdrawals!$A:$A,A310,DB_Withdrawals!$G:$G)),"")</f>
        <v/>
      </c>
      <c r="M310" s="36" t="str">
        <f>IFERROR(IF(A310="","",IFERROR(VALUE(H310),0)+IFERROR(SUMIF(DB_Savings!$A:$A,A310,DB_Savings!$F:$F),0)-IFERROR(SUMIF(DB_Withdrawals!$A:$A,A310,DB_Withdrawals!$G:$G),0)),"")</f>
        <v/>
      </c>
      <c r="N310" s="36" t="str">
        <f>IFERROR(IF(A310="","",MAX(0,M310-System_Config!$B$9)),"")</f>
        <v/>
      </c>
    </row>
    <row r="311" spans="1:14" ht="20.100000000000001" customHeight="1" x14ac:dyDescent="0.25">
      <c r="A311" s="34" t="str">
        <f>'NEW ACCOUNT'!A312</f>
        <v/>
      </c>
      <c r="B311" s="35" t="str">
        <f>IF('NEW ACCOUNT'!A312="","",'NEW ACCOUNT'!B312)</f>
        <v/>
      </c>
      <c r="C311" s="35" t="str">
        <f>IF('NEW ACCOUNT'!A312="","",'NEW ACCOUNT'!C312)</f>
        <v/>
      </c>
      <c r="D311" s="35" t="str">
        <f>IF('NEW ACCOUNT'!A312="","",'NEW ACCOUNT'!D312)</f>
        <v/>
      </c>
      <c r="E311" s="35" t="str">
        <f>IF('NEW ACCOUNT'!A312="","",'NEW ACCOUNT'!E312)</f>
        <v/>
      </c>
      <c r="F311" s="35" t="str">
        <f>IF('NEW ACCOUNT'!A312="","",'NEW ACCOUNT'!F312)</f>
        <v/>
      </c>
      <c r="G311" s="35" t="str">
        <f>IF('NEW ACCOUNT'!A312="","",'NEW ACCOUNT'!G312)</f>
        <v/>
      </c>
      <c r="H311" s="35" t="str">
        <f>IF('NEW ACCOUNT'!A312="","",'NEW ACCOUNT'!H312)</f>
        <v/>
      </c>
      <c r="I311" s="35" t="str">
        <f>IF('NEW ACCOUNT'!A312="","",'NEW ACCOUNT'!I312)</f>
        <v/>
      </c>
      <c r="J311" s="35" t="str">
        <f>IF('NEW ACCOUNT'!A312="","",'NEW ACCOUNT'!J312)</f>
        <v/>
      </c>
      <c r="K311" s="36" t="str">
        <f>IFERROR(IF(A311="","",SUMIF(DB_Savings!$A:$A,A311,DB_Savings!$F:$F)),"")</f>
        <v/>
      </c>
      <c r="L311" s="36" t="str">
        <f>IFERROR(IF(A311="","",SUMIF(DB_Withdrawals!$A:$A,A311,DB_Withdrawals!$G:$G)),"")</f>
        <v/>
      </c>
      <c r="M311" s="36" t="str">
        <f>IFERROR(IF(A311="","",IFERROR(VALUE(H311),0)+IFERROR(SUMIF(DB_Savings!$A:$A,A311,DB_Savings!$F:$F),0)-IFERROR(SUMIF(DB_Withdrawals!$A:$A,A311,DB_Withdrawals!$G:$G),0)),"")</f>
        <v/>
      </c>
      <c r="N311" s="36" t="str">
        <f>IFERROR(IF(A311="","",MAX(0,M311-System_Config!$B$9)),"")</f>
        <v/>
      </c>
    </row>
    <row r="312" spans="1:14" ht="20.100000000000001" customHeight="1" x14ac:dyDescent="0.25">
      <c r="A312" s="34" t="str">
        <f>'NEW ACCOUNT'!A313</f>
        <v/>
      </c>
      <c r="B312" s="35" t="str">
        <f>IF('NEW ACCOUNT'!A313="","",'NEW ACCOUNT'!B313)</f>
        <v/>
      </c>
      <c r="C312" s="35" t="str">
        <f>IF('NEW ACCOUNT'!A313="","",'NEW ACCOUNT'!C313)</f>
        <v/>
      </c>
      <c r="D312" s="35" t="str">
        <f>IF('NEW ACCOUNT'!A313="","",'NEW ACCOUNT'!D313)</f>
        <v/>
      </c>
      <c r="E312" s="35" t="str">
        <f>IF('NEW ACCOUNT'!A313="","",'NEW ACCOUNT'!E313)</f>
        <v/>
      </c>
      <c r="F312" s="35" t="str">
        <f>IF('NEW ACCOUNT'!A313="","",'NEW ACCOUNT'!F313)</f>
        <v/>
      </c>
      <c r="G312" s="35" t="str">
        <f>IF('NEW ACCOUNT'!A313="","",'NEW ACCOUNT'!G313)</f>
        <v/>
      </c>
      <c r="H312" s="35" t="str">
        <f>IF('NEW ACCOUNT'!A313="","",'NEW ACCOUNT'!H313)</f>
        <v/>
      </c>
      <c r="I312" s="35" t="str">
        <f>IF('NEW ACCOUNT'!A313="","",'NEW ACCOUNT'!I313)</f>
        <v/>
      </c>
      <c r="J312" s="35" t="str">
        <f>IF('NEW ACCOUNT'!A313="","",'NEW ACCOUNT'!J313)</f>
        <v/>
      </c>
      <c r="K312" s="36" t="str">
        <f>IFERROR(IF(A312="","",SUMIF(DB_Savings!$A:$A,A312,DB_Savings!$F:$F)),"")</f>
        <v/>
      </c>
      <c r="L312" s="36" t="str">
        <f>IFERROR(IF(A312="","",SUMIF(DB_Withdrawals!$A:$A,A312,DB_Withdrawals!$G:$G)),"")</f>
        <v/>
      </c>
      <c r="M312" s="36" t="str">
        <f>IFERROR(IF(A312="","",IFERROR(VALUE(H312),0)+IFERROR(SUMIF(DB_Savings!$A:$A,A312,DB_Savings!$F:$F),0)-IFERROR(SUMIF(DB_Withdrawals!$A:$A,A312,DB_Withdrawals!$G:$G),0)),"")</f>
        <v/>
      </c>
      <c r="N312" s="36" t="str">
        <f>IFERROR(IF(A312="","",MAX(0,M312-System_Config!$B$9)),"")</f>
        <v/>
      </c>
    </row>
    <row r="313" spans="1:14" ht="20.100000000000001" customHeight="1" x14ac:dyDescent="0.25">
      <c r="A313" s="34" t="str">
        <f>'NEW ACCOUNT'!A314</f>
        <v/>
      </c>
      <c r="B313" s="35" t="str">
        <f>IF('NEW ACCOUNT'!A314="","",'NEW ACCOUNT'!B314)</f>
        <v/>
      </c>
      <c r="C313" s="35" t="str">
        <f>IF('NEW ACCOUNT'!A314="","",'NEW ACCOUNT'!C314)</f>
        <v/>
      </c>
      <c r="D313" s="35" t="str">
        <f>IF('NEW ACCOUNT'!A314="","",'NEW ACCOUNT'!D314)</f>
        <v/>
      </c>
      <c r="E313" s="35" t="str">
        <f>IF('NEW ACCOUNT'!A314="","",'NEW ACCOUNT'!E314)</f>
        <v/>
      </c>
      <c r="F313" s="35" t="str">
        <f>IF('NEW ACCOUNT'!A314="","",'NEW ACCOUNT'!F314)</f>
        <v/>
      </c>
      <c r="G313" s="35" t="str">
        <f>IF('NEW ACCOUNT'!A314="","",'NEW ACCOUNT'!G314)</f>
        <v/>
      </c>
      <c r="H313" s="35" t="str">
        <f>IF('NEW ACCOUNT'!A314="","",'NEW ACCOUNT'!H314)</f>
        <v/>
      </c>
      <c r="I313" s="35" t="str">
        <f>IF('NEW ACCOUNT'!A314="","",'NEW ACCOUNT'!I314)</f>
        <v/>
      </c>
      <c r="J313" s="35" t="str">
        <f>IF('NEW ACCOUNT'!A314="","",'NEW ACCOUNT'!J314)</f>
        <v/>
      </c>
      <c r="K313" s="36" t="str">
        <f>IFERROR(IF(A313="","",SUMIF(DB_Savings!$A:$A,A313,DB_Savings!$F:$F)),"")</f>
        <v/>
      </c>
      <c r="L313" s="36" t="str">
        <f>IFERROR(IF(A313="","",SUMIF(DB_Withdrawals!$A:$A,A313,DB_Withdrawals!$G:$G)),"")</f>
        <v/>
      </c>
      <c r="M313" s="36" t="str">
        <f>IFERROR(IF(A313="","",IFERROR(VALUE(H313),0)+IFERROR(SUMIF(DB_Savings!$A:$A,A313,DB_Savings!$F:$F),0)-IFERROR(SUMIF(DB_Withdrawals!$A:$A,A313,DB_Withdrawals!$G:$G),0)),"")</f>
        <v/>
      </c>
      <c r="N313" s="36" t="str">
        <f>IFERROR(IF(A313="","",MAX(0,M313-System_Config!$B$9)),"")</f>
        <v/>
      </c>
    </row>
    <row r="314" spans="1:14" ht="20.100000000000001" customHeight="1" x14ac:dyDescent="0.25">
      <c r="A314" s="34" t="str">
        <f>'NEW ACCOUNT'!A315</f>
        <v/>
      </c>
      <c r="B314" s="35" t="str">
        <f>IF('NEW ACCOUNT'!A315="","",'NEW ACCOUNT'!B315)</f>
        <v/>
      </c>
      <c r="C314" s="35" t="str">
        <f>IF('NEW ACCOUNT'!A315="","",'NEW ACCOUNT'!C315)</f>
        <v/>
      </c>
      <c r="D314" s="35" t="str">
        <f>IF('NEW ACCOUNT'!A315="","",'NEW ACCOUNT'!D315)</f>
        <v/>
      </c>
      <c r="E314" s="35" t="str">
        <f>IF('NEW ACCOUNT'!A315="","",'NEW ACCOUNT'!E315)</f>
        <v/>
      </c>
      <c r="F314" s="35" t="str">
        <f>IF('NEW ACCOUNT'!A315="","",'NEW ACCOUNT'!F315)</f>
        <v/>
      </c>
      <c r="G314" s="35" t="str">
        <f>IF('NEW ACCOUNT'!A315="","",'NEW ACCOUNT'!G315)</f>
        <v/>
      </c>
      <c r="H314" s="35" t="str">
        <f>IF('NEW ACCOUNT'!A315="","",'NEW ACCOUNT'!H315)</f>
        <v/>
      </c>
      <c r="I314" s="35" t="str">
        <f>IF('NEW ACCOUNT'!A315="","",'NEW ACCOUNT'!I315)</f>
        <v/>
      </c>
      <c r="J314" s="35" t="str">
        <f>IF('NEW ACCOUNT'!A315="","",'NEW ACCOUNT'!J315)</f>
        <v/>
      </c>
      <c r="K314" s="36" t="str">
        <f>IFERROR(IF(A314="","",SUMIF(DB_Savings!$A:$A,A314,DB_Savings!$F:$F)),"")</f>
        <v/>
      </c>
      <c r="L314" s="36" t="str">
        <f>IFERROR(IF(A314="","",SUMIF(DB_Withdrawals!$A:$A,A314,DB_Withdrawals!$G:$G)),"")</f>
        <v/>
      </c>
      <c r="M314" s="36" t="str">
        <f>IFERROR(IF(A314="","",IFERROR(VALUE(H314),0)+IFERROR(SUMIF(DB_Savings!$A:$A,A314,DB_Savings!$F:$F),0)-IFERROR(SUMIF(DB_Withdrawals!$A:$A,A314,DB_Withdrawals!$G:$G),0)),"")</f>
        <v/>
      </c>
      <c r="N314" s="36" t="str">
        <f>IFERROR(IF(A314="","",MAX(0,M314-System_Config!$B$9)),"")</f>
        <v/>
      </c>
    </row>
    <row r="315" spans="1:14" ht="20.100000000000001" customHeight="1" x14ac:dyDescent="0.25">
      <c r="A315" s="34" t="str">
        <f>'NEW ACCOUNT'!A316</f>
        <v/>
      </c>
      <c r="B315" s="35" t="str">
        <f>IF('NEW ACCOUNT'!A316="","",'NEW ACCOUNT'!B316)</f>
        <v/>
      </c>
      <c r="C315" s="35" t="str">
        <f>IF('NEW ACCOUNT'!A316="","",'NEW ACCOUNT'!C316)</f>
        <v/>
      </c>
      <c r="D315" s="35" t="str">
        <f>IF('NEW ACCOUNT'!A316="","",'NEW ACCOUNT'!D316)</f>
        <v/>
      </c>
      <c r="E315" s="35" t="str">
        <f>IF('NEW ACCOUNT'!A316="","",'NEW ACCOUNT'!E316)</f>
        <v/>
      </c>
      <c r="F315" s="35" t="str">
        <f>IF('NEW ACCOUNT'!A316="","",'NEW ACCOUNT'!F316)</f>
        <v/>
      </c>
      <c r="G315" s="35" t="str">
        <f>IF('NEW ACCOUNT'!A316="","",'NEW ACCOUNT'!G316)</f>
        <v/>
      </c>
      <c r="H315" s="35" t="str">
        <f>IF('NEW ACCOUNT'!A316="","",'NEW ACCOUNT'!H316)</f>
        <v/>
      </c>
      <c r="I315" s="35" t="str">
        <f>IF('NEW ACCOUNT'!A316="","",'NEW ACCOUNT'!I316)</f>
        <v/>
      </c>
      <c r="J315" s="35" t="str">
        <f>IF('NEW ACCOUNT'!A316="","",'NEW ACCOUNT'!J316)</f>
        <v/>
      </c>
      <c r="K315" s="36" t="str">
        <f>IFERROR(IF(A315="","",SUMIF(DB_Savings!$A:$A,A315,DB_Savings!$F:$F)),"")</f>
        <v/>
      </c>
      <c r="L315" s="36" t="str">
        <f>IFERROR(IF(A315="","",SUMIF(DB_Withdrawals!$A:$A,A315,DB_Withdrawals!$G:$G)),"")</f>
        <v/>
      </c>
      <c r="M315" s="36" t="str">
        <f>IFERROR(IF(A315="","",IFERROR(VALUE(H315),0)+IFERROR(SUMIF(DB_Savings!$A:$A,A315,DB_Savings!$F:$F),0)-IFERROR(SUMIF(DB_Withdrawals!$A:$A,A315,DB_Withdrawals!$G:$G),0)),"")</f>
        <v/>
      </c>
      <c r="N315" s="36" t="str">
        <f>IFERROR(IF(A315="","",MAX(0,M315-System_Config!$B$9)),"")</f>
        <v/>
      </c>
    </row>
    <row r="316" spans="1:14" ht="20.100000000000001" customHeight="1" x14ac:dyDescent="0.25">
      <c r="A316" s="34" t="str">
        <f>'NEW ACCOUNT'!A317</f>
        <v/>
      </c>
      <c r="B316" s="35" t="str">
        <f>IF('NEW ACCOUNT'!A317="","",'NEW ACCOUNT'!B317)</f>
        <v/>
      </c>
      <c r="C316" s="35" t="str">
        <f>IF('NEW ACCOUNT'!A317="","",'NEW ACCOUNT'!C317)</f>
        <v/>
      </c>
      <c r="D316" s="35" t="str">
        <f>IF('NEW ACCOUNT'!A317="","",'NEW ACCOUNT'!D317)</f>
        <v/>
      </c>
      <c r="E316" s="35" t="str">
        <f>IF('NEW ACCOUNT'!A317="","",'NEW ACCOUNT'!E317)</f>
        <v/>
      </c>
      <c r="F316" s="35" t="str">
        <f>IF('NEW ACCOUNT'!A317="","",'NEW ACCOUNT'!F317)</f>
        <v/>
      </c>
      <c r="G316" s="35" t="str">
        <f>IF('NEW ACCOUNT'!A317="","",'NEW ACCOUNT'!G317)</f>
        <v/>
      </c>
      <c r="H316" s="35" t="str">
        <f>IF('NEW ACCOUNT'!A317="","",'NEW ACCOUNT'!H317)</f>
        <v/>
      </c>
      <c r="I316" s="35" t="str">
        <f>IF('NEW ACCOUNT'!A317="","",'NEW ACCOUNT'!I317)</f>
        <v/>
      </c>
      <c r="J316" s="35" t="str">
        <f>IF('NEW ACCOUNT'!A317="","",'NEW ACCOUNT'!J317)</f>
        <v/>
      </c>
      <c r="K316" s="36" t="str">
        <f>IFERROR(IF(A316="","",SUMIF(DB_Savings!$A:$A,A316,DB_Savings!$F:$F)),"")</f>
        <v/>
      </c>
      <c r="L316" s="36" t="str">
        <f>IFERROR(IF(A316="","",SUMIF(DB_Withdrawals!$A:$A,A316,DB_Withdrawals!$G:$G)),"")</f>
        <v/>
      </c>
      <c r="M316" s="36" t="str">
        <f>IFERROR(IF(A316="","",IFERROR(VALUE(H316),0)+IFERROR(SUMIF(DB_Savings!$A:$A,A316,DB_Savings!$F:$F),0)-IFERROR(SUMIF(DB_Withdrawals!$A:$A,A316,DB_Withdrawals!$G:$G),0)),"")</f>
        <v/>
      </c>
      <c r="N316" s="36" t="str">
        <f>IFERROR(IF(A316="","",MAX(0,M316-System_Config!$B$9)),"")</f>
        <v/>
      </c>
    </row>
    <row r="317" spans="1:14" ht="20.100000000000001" customHeight="1" x14ac:dyDescent="0.25">
      <c r="A317" s="34" t="str">
        <f>'NEW ACCOUNT'!A318</f>
        <v/>
      </c>
      <c r="B317" s="35" t="str">
        <f>IF('NEW ACCOUNT'!A318="","",'NEW ACCOUNT'!B318)</f>
        <v/>
      </c>
      <c r="C317" s="35" t="str">
        <f>IF('NEW ACCOUNT'!A318="","",'NEW ACCOUNT'!C318)</f>
        <v/>
      </c>
      <c r="D317" s="35" t="str">
        <f>IF('NEW ACCOUNT'!A318="","",'NEW ACCOUNT'!D318)</f>
        <v/>
      </c>
      <c r="E317" s="35" t="str">
        <f>IF('NEW ACCOUNT'!A318="","",'NEW ACCOUNT'!E318)</f>
        <v/>
      </c>
      <c r="F317" s="35" t="str">
        <f>IF('NEW ACCOUNT'!A318="","",'NEW ACCOUNT'!F318)</f>
        <v/>
      </c>
      <c r="G317" s="35" t="str">
        <f>IF('NEW ACCOUNT'!A318="","",'NEW ACCOUNT'!G318)</f>
        <v/>
      </c>
      <c r="H317" s="35" t="str">
        <f>IF('NEW ACCOUNT'!A318="","",'NEW ACCOUNT'!H318)</f>
        <v/>
      </c>
      <c r="I317" s="35" t="str">
        <f>IF('NEW ACCOUNT'!A318="","",'NEW ACCOUNT'!I318)</f>
        <v/>
      </c>
      <c r="J317" s="35" t="str">
        <f>IF('NEW ACCOUNT'!A318="","",'NEW ACCOUNT'!J318)</f>
        <v/>
      </c>
      <c r="K317" s="36" t="str">
        <f>IFERROR(IF(A317="","",SUMIF(DB_Savings!$A:$A,A317,DB_Savings!$F:$F)),"")</f>
        <v/>
      </c>
      <c r="L317" s="36" t="str">
        <f>IFERROR(IF(A317="","",SUMIF(DB_Withdrawals!$A:$A,A317,DB_Withdrawals!$G:$G)),"")</f>
        <v/>
      </c>
      <c r="M317" s="36" t="str">
        <f>IFERROR(IF(A317="","",IFERROR(VALUE(H317),0)+IFERROR(SUMIF(DB_Savings!$A:$A,A317,DB_Savings!$F:$F),0)-IFERROR(SUMIF(DB_Withdrawals!$A:$A,A317,DB_Withdrawals!$G:$G),0)),"")</f>
        <v/>
      </c>
      <c r="N317" s="36" t="str">
        <f>IFERROR(IF(A317="","",MAX(0,M317-System_Config!$B$9)),"")</f>
        <v/>
      </c>
    </row>
    <row r="318" spans="1:14" ht="20.100000000000001" customHeight="1" x14ac:dyDescent="0.25">
      <c r="A318" s="34" t="str">
        <f>'NEW ACCOUNT'!A319</f>
        <v/>
      </c>
      <c r="B318" s="35" t="str">
        <f>IF('NEW ACCOUNT'!A319="","",'NEW ACCOUNT'!B319)</f>
        <v/>
      </c>
      <c r="C318" s="35" t="str">
        <f>IF('NEW ACCOUNT'!A319="","",'NEW ACCOUNT'!C319)</f>
        <v/>
      </c>
      <c r="D318" s="35" t="str">
        <f>IF('NEW ACCOUNT'!A319="","",'NEW ACCOUNT'!D319)</f>
        <v/>
      </c>
      <c r="E318" s="35" t="str">
        <f>IF('NEW ACCOUNT'!A319="","",'NEW ACCOUNT'!E319)</f>
        <v/>
      </c>
      <c r="F318" s="35" t="str">
        <f>IF('NEW ACCOUNT'!A319="","",'NEW ACCOUNT'!F319)</f>
        <v/>
      </c>
      <c r="G318" s="35" t="str">
        <f>IF('NEW ACCOUNT'!A319="","",'NEW ACCOUNT'!G319)</f>
        <v/>
      </c>
      <c r="H318" s="35" t="str">
        <f>IF('NEW ACCOUNT'!A319="","",'NEW ACCOUNT'!H319)</f>
        <v/>
      </c>
      <c r="I318" s="35" t="str">
        <f>IF('NEW ACCOUNT'!A319="","",'NEW ACCOUNT'!I319)</f>
        <v/>
      </c>
      <c r="J318" s="35" t="str">
        <f>IF('NEW ACCOUNT'!A319="","",'NEW ACCOUNT'!J319)</f>
        <v/>
      </c>
      <c r="K318" s="36" t="str">
        <f>IFERROR(IF(A318="","",SUMIF(DB_Savings!$A:$A,A318,DB_Savings!$F:$F)),"")</f>
        <v/>
      </c>
      <c r="L318" s="36" t="str">
        <f>IFERROR(IF(A318="","",SUMIF(DB_Withdrawals!$A:$A,A318,DB_Withdrawals!$G:$G)),"")</f>
        <v/>
      </c>
      <c r="M318" s="36" t="str">
        <f>IFERROR(IF(A318="","",IFERROR(VALUE(H318),0)+IFERROR(SUMIF(DB_Savings!$A:$A,A318,DB_Savings!$F:$F),0)-IFERROR(SUMIF(DB_Withdrawals!$A:$A,A318,DB_Withdrawals!$G:$G),0)),"")</f>
        <v/>
      </c>
      <c r="N318" s="36" t="str">
        <f>IFERROR(IF(A318="","",MAX(0,M318-System_Config!$B$9)),"")</f>
        <v/>
      </c>
    </row>
    <row r="319" spans="1:14" ht="20.100000000000001" customHeight="1" x14ac:dyDescent="0.25">
      <c r="A319" s="34" t="str">
        <f>'NEW ACCOUNT'!A320</f>
        <v/>
      </c>
      <c r="B319" s="35" t="str">
        <f>IF('NEW ACCOUNT'!A320="","",'NEW ACCOUNT'!B320)</f>
        <v/>
      </c>
      <c r="C319" s="35" t="str">
        <f>IF('NEW ACCOUNT'!A320="","",'NEW ACCOUNT'!C320)</f>
        <v/>
      </c>
      <c r="D319" s="35" t="str">
        <f>IF('NEW ACCOUNT'!A320="","",'NEW ACCOUNT'!D320)</f>
        <v/>
      </c>
      <c r="E319" s="35" t="str">
        <f>IF('NEW ACCOUNT'!A320="","",'NEW ACCOUNT'!E320)</f>
        <v/>
      </c>
      <c r="F319" s="35" t="str">
        <f>IF('NEW ACCOUNT'!A320="","",'NEW ACCOUNT'!F320)</f>
        <v/>
      </c>
      <c r="G319" s="35" t="str">
        <f>IF('NEW ACCOUNT'!A320="","",'NEW ACCOUNT'!G320)</f>
        <v/>
      </c>
      <c r="H319" s="35" t="str">
        <f>IF('NEW ACCOUNT'!A320="","",'NEW ACCOUNT'!H320)</f>
        <v/>
      </c>
      <c r="I319" s="35" t="str">
        <f>IF('NEW ACCOUNT'!A320="","",'NEW ACCOUNT'!I320)</f>
        <v/>
      </c>
      <c r="J319" s="35" t="str">
        <f>IF('NEW ACCOUNT'!A320="","",'NEW ACCOUNT'!J320)</f>
        <v/>
      </c>
      <c r="K319" s="36" t="str">
        <f>IFERROR(IF(A319="","",SUMIF(DB_Savings!$A:$A,A319,DB_Savings!$F:$F)),"")</f>
        <v/>
      </c>
      <c r="L319" s="36" t="str">
        <f>IFERROR(IF(A319="","",SUMIF(DB_Withdrawals!$A:$A,A319,DB_Withdrawals!$G:$G)),"")</f>
        <v/>
      </c>
      <c r="M319" s="36" t="str">
        <f>IFERROR(IF(A319="","",IFERROR(VALUE(H319),0)+IFERROR(SUMIF(DB_Savings!$A:$A,A319,DB_Savings!$F:$F),0)-IFERROR(SUMIF(DB_Withdrawals!$A:$A,A319,DB_Withdrawals!$G:$G),0)),"")</f>
        <v/>
      </c>
      <c r="N319" s="36" t="str">
        <f>IFERROR(IF(A319="","",MAX(0,M319-System_Config!$B$9)),"")</f>
        <v/>
      </c>
    </row>
    <row r="320" spans="1:14" ht="20.100000000000001" customHeight="1" x14ac:dyDescent="0.25">
      <c r="A320" s="34" t="str">
        <f>'NEW ACCOUNT'!A321</f>
        <v/>
      </c>
      <c r="B320" s="35" t="str">
        <f>IF('NEW ACCOUNT'!A321="","",'NEW ACCOUNT'!B321)</f>
        <v/>
      </c>
      <c r="C320" s="35" t="str">
        <f>IF('NEW ACCOUNT'!A321="","",'NEW ACCOUNT'!C321)</f>
        <v/>
      </c>
      <c r="D320" s="35" t="str">
        <f>IF('NEW ACCOUNT'!A321="","",'NEW ACCOUNT'!D321)</f>
        <v/>
      </c>
      <c r="E320" s="35" t="str">
        <f>IF('NEW ACCOUNT'!A321="","",'NEW ACCOUNT'!E321)</f>
        <v/>
      </c>
      <c r="F320" s="35" t="str">
        <f>IF('NEW ACCOUNT'!A321="","",'NEW ACCOUNT'!F321)</f>
        <v/>
      </c>
      <c r="G320" s="35" t="str">
        <f>IF('NEW ACCOUNT'!A321="","",'NEW ACCOUNT'!G321)</f>
        <v/>
      </c>
      <c r="H320" s="35" t="str">
        <f>IF('NEW ACCOUNT'!A321="","",'NEW ACCOUNT'!H321)</f>
        <v/>
      </c>
      <c r="I320" s="35" t="str">
        <f>IF('NEW ACCOUNT'!A321="","",'NEW ACCOUNT'!I321)</f>
        <v/>
      </c>
      <c r="J320" s="35" t="str">
        <f>IF('NEW ACCOUNT'!A321="","",'NEW ACCOUNT'!J321)</f>
        <v/>
      </c>
      <c r="K320" s="36" t="str">
        <f>IFERROR(IF(A320="","",SUMIF(DB_Savings!$A:$A,A320,DB_Savings!$F:$F)),"")</f>
        <v/>
      </c>
      <c r="L320" s="36" t="str">
        <f>IFERROR(IF(A320="","",SUMIF(DB_Withdrawals!$A:$A,A320,DB_Withdrawals!$G:$G)),"")</f>
        <v/>
      </c>
      <c r="M320" s="36" t="str">
        <f>IFERROR(IF(A320="","",IFERROR(VALUE(H320),0)+IFERROR(SUMIF(DB_Savings!$A:$A,A320,DB_Savings!$F:$F),0)-IFERROR(SUMIF(DB_Withdrawals!$A:$A,A320,DB_Withdrawals!$G:$G),0)),"")</f>
        <v/>
      </c>
      <c r="N320" s="36" t="str">
        <f>IFERROR(IF(A320="","",MAX(0,M320-System_Config!$B$9)),"")</f>
        <v/>
      </c>
    </row>
    <row r="321" spans="1:14" ht="20.100000000000001" customHeight="1" x14ac:dyDescent="0.25">
      <c r="A321" s="34" t="str">
        <f>'NEW ACCOUNT'!A322</f>
        <v/>
      </c>
      <c r="B321" s="35" t="str">
        <f>IF('NEW ACCOUNT'!A322="","",'NEW ACCOUNT'!B322)</f>
        <v/>
      </c>
      <c r="C321" s="35" t="str">
        <f>IF('NEW ACCOUNT'!A322="","",'NEW ACCOUNT'!C322)</f>
        <v/>
      </c>
      <c r="D321" s="35" t="str">
        <f>IF('NEW ACCOUNT'!A322="","",'NEW ACCOUNT'!D322)</f>
        <v/>
      </c>
      <c r="E321" s="35" t="str">
        <f>IF('NEW ACCOUNT'!A322="","",'NEW ACCOUNT'!E322)</f>
        <v/>
      </c>
      <c r="F321" s="35" t="str">
        <f>IF('NEW ACCOUNT'!A322="","",'NEW ACCOUNT'!F322)</f>
        <v/>
      </c>
      <c r="G321" s="35" t="str">
        <f>IF('NEW ACCOUNT'!A322="","",'NEW ACCOUNT'!G322)</f>
        <v/>
      </c>
      <c r="H321" s="35" t="str">
        <f>IF('NEW ACCOUNT'!A322="","",'NEW ACCOUNT'!H322)</f>
        <v/>
      </c>
      <c r="I321" s="35" t="str">
        <f>IF('NEW ACCOUNT'!A322="","",'NEW ACCOUNT'!I322)</f>
        <v/>
      </c>
      <c r="J321" s="35" t="str">
        <f>IF('NEW ACCOUNT'!A322="","",'NEW ACCOUNT'!J322)</f>
        <v/>
      </c>
      <c r="K321" s="36" t="str">
        <f>IFERROR(IF(A321="","",SUMIF(DB_Savings!$A:$A,A321,DB_Savings!$F:$F)),"")</f>
        <v/>
      </c>
      <c r="L321" s="36" t="str">
        <f>IFERROR(IF(A321="","",SUMIF(DB_Withdrawals!$A:$A,A321,DB_Withdrawals!$G:$G)),"")</f>
        <v/>
      </c>
      <c r="M321" s="36" t="str">
        <f>IFERROR(IF(A321="","",IFERROR(VALUE(H321),0)+IFERROR(SUMIF(DB_Savings!$A:$A,A321,DB_Savings!$F:$F),0)-IFERROR(SUMIF(DB_Withdrawals!$A:$A,A321,DB_Withdrawals!$G:$G),0)),"")</f>
        <v/>
      </c>
      <c r="N321" s="36" t="str">
        <f>IFERROR(IF(A321="","",MAX(0,M321-System_Config!$B$9)),"")</f>
        <v/>
      </c>
    </row>
    <row r="322" spans="1:14" ht="20.100000000000001" customHeight="1" x14ac:dyDescent="0.25">
      <c r="A322" s="34" t="str">
        <f>'NEW ACCOUNT'!A323</f>
        <v/>
      </c>
      <c r="B322" s="35" t="str">
        <f>IF('NEW ACCOUNT'!A323="","",'NEW ACCOUNT'!B323)</f>
        <v/>
      </c>
      <c r="C322" s="35" t="str">
        <f>IF('NEW ACCOUNT'!A323="","",'NEW ACCOUNT'!C323)</f>
        <v/>
      </c>
      <c r="D322" s="35" t="str">
        <f>IF('NEW ACCOUNT'!A323="","",'NEW ACCOUNT'!D323)</f>
        <v/>
      </c>
      <c r="E322" s="35" t="str">
        <f>IF('NEW ACCOUNT'!A323="","",'NEW ACCOUNT'!E323)</f>
        <v/>
      </c>
      <c r="F322" s="35" t="str">
        <f>IF('NEW ACCOUNT'!A323="","",'NEW ACCOUNT'!F323)</f>
        <v/>
      </c>
      <c r="G322" s="35" t="str">
        <f>IF('NEW ACCOUNT'!A323="","",'NEW ACCOUNT'!G323)</f>
        <v/>
      </c>
      <c r="H322" s="35" t="str">
        <f>IF('NEW ACCOUNT'!A323="","",'NEW ACCOUNT'!H323)</f>
        <v/>
      </c>
      <c r="I322" s="35" t="str">
        <f>IF('NEW ACCOUNT'!A323="","",'NEW ACCOUNT'!I323)</f>
        <v/>
      </c>
      <c r="J322" s="35" t="str">
        <f>IF('NEW ACCOUNT'!A323="","",'NEW ACCOUNT'!J323)</f>
        <v/>
      </c>
      <c r="K322" s="36" t="str">
        <f>IFERROR(IF(A322="","",SUMIF(DB_Savings!$A:$A,A322,DB_Savings!$F:$F)),"")</f>
        <v/>
      </c>
      <c r="L322" s="36" t="str">
        <f>IFERROR(IF(A322="","",SUMIF(DB_Withdrawals!$A:$A,A322,DB_Withdrawals!$G:$G)),"")</f>
        <v/>
      </c>
      <c r="M322" s="36" t="str">
        <f>IFERROR(IF(A322="","",IFERROR(VALUE(H322),0)+IFERROR(SUMIF(DB_Savings!$A:$A,A322,DB_Savings!$F:$F),0)-IFERROR(SUMIF(DB_Withdrawals!$A:$A,A322,DB_Withdrawals!$G:$G),0)),"")</f>
        <v/>
      </c>
      <c r="N322" s="36" t="str">
        <f>IFERROR(IF(A322="","",MAX(0,M322-System_Config!$B$9)),"")</f>
        <v/>
      </c>
    </row>
    <row r="323" spans="1:14" ht="20.100000000000001" customHeight="1" x14ac:dyDescent="0.25">
      <c r="A323" s="34" t="str">
        <f>'NEW ACCOUNT'!A324</f>
        <v/>
      </c>
      <c r="B323" s="35" t="str">
        <f>IF('NEW ACCOUNT'!A324="","",'NEW ACCOUNT'!B324)</f>
        <v/>
      </c>
      <c r="C323" s="35" t="str">
        <f>IF('NEW ACCOUNT'!A324="","",'NEW ACCOUNT'!C324)</f>
        <v/>
      </c>
      <c r="D323" s="35" t="str">
        <f>IF('NEW ACCOUNT'!A324="","",'NEW ACCOUNT'!D324)</f>
        <v/>
      </c>
      <c r="E323" s="35" t="str">
        <f>IF('NEW ACCOUNT'!A324="","",'NEW ACCOUNT'!E324)</f>
        <v/>
      </c>
      <c r="F323" s="35" t="str">
        <f>IF('NEW ACCOUNT'!A324="","",'NEW ACCOUNT'!F324)</f>
        <v/>
      </c>
      <c r="G323" s="35" t="str">
        <f>IF('NEW ACCOUNT'!A324="","",'NEW ACCOUNT'!G324)</f>
        <v/>
      </c>
      <c r="H323" s="35" t="str">
        <f>IF('NEW ACCOUNT'!A324="","",'NEW ACCOUNT'!H324)</f>
        <v/>
      </c>
      <c r="I323" s="35" t="str">
        <f>IF('NEW ACCOUNT'!A324="","",'NEW ACCOUNT'!I324)</f>
        <v/>
      </c>
      <c r="J323" s="35" t="str">
        <f>IF('NEW ACCOUNT'!A324="","",'NEW ACCOUNT'!J324)</f>
        <v/>
      </c>
      <c r="K323" s="36" t="str">
        <f>IFERROR(IF(A323="","",SUMIF(DB_Savings!$A:$A,A323,DB_Savings!$F:$F)),"")</f>
        <v/>
      </c>
      <c r="L323" s="36" t="str">
        <f>IFERROR(IF(A323="","",SUMIF(DB_Withdrawals!$A:$A,A323,DB_Withdrawals!$G:$G)),"")</f>
        <v/>
      </c>
      <c r="M323" s="36" t="str">
        <f>IFERROR(IF(A323="","",IFERROR(VALUE(H323),0)+IFERROR(SUMIF(DB_Savings!$A:$A,A323,DB_Savings!$F:$F),0)-IFERROR(SUMIF(DB_Withdrawals!$A:$A,A323,DB_Withdrawals!$G:$G),0)),"")</f>
        <v/>
      </c>
      <c r="N323" s="36" t="str">
        <f>IFERROR(IF(A323="","",MAX(0,M323-System_Config!$B$9)),"")</f>
        <v/>
      </c>
    </row>
    <row r="324" spans="1:14" ht="20.100000000000001" customHeight="1" x14ac:dyDescent="0.25">
      <c r="A324" s="34" t="str">
        <f>'NEW ACCOUNT'!A325</f>
        <v/>
      </c>
      <c r="B324" s="35" t="str">
        <f>IF('NEW ACCOUNT'!A325="","",'NEW ACCOUNT'!B325)</f>
        <v/>
      </c>
      <c r="C324" s="35" t="str">
        <f>IF('NEW ACCOUNT'!A325="","",'NEW ACCOUNT'!C325)</f>
        <v/>
      </c>
      <c r="D324" s="35" t="str">
        <f>IF('NEW ACCOUNT'!A325="","",'NEW ACCOUNT'!D325)</f>
        <v/>
      </c>
      <c r="E324" s="35" t="str">
        <f>IF('NEW ACCOUNT'!A325="","",'NEW ACCOUNT'!E325)</f>
        <v/>
      </c>
      <c r="F324" s="35" t="str">
        <f>IF('NEW ACCOUNT'!A325="","",'NEW ACCOUNT'!F325)</f>
        <v/>
      </c>
      <c r="G324" s="35" t="str">
        <f>IF('NEW ACCOUNT'!A325="","",'NEW ACCOUNT'!G325)</f>
        <v/>
      </c>
      <c r="H324" s="35" t="str">
        <f>IF('NEW ACCOUNT'!A325="","",'NEW ACCOUNT'!H325)</f>
        <v/>
      </c>
      <c r="I324" s="35" t="str">
        <f>IF('NEW ACCOUNT'!A325="","",'NEW ACCOUNT'!I325)</f>
        <v/>
      </c>
      <c r="J324" s="35" t="str">
        <f>IF('NEW ACCOUNT'!A325="","",'NEW ACCOUNT'!J325)</f>
        <v/>
      </c>
      <c r="K324" s="36" t="str">
        <f>IFERROR(IF(A324="","",SUMIF(DB_Savings!$A:$A,A324,DB_Savings!$F:$F)),"")</f>
        <v/>
      </c>
      <c r="L324" s="36" t="str">
        <f>IFERROR(IF(A324="","",SUMIF(DB_Withdrawals!$A:$A,A324,DB_Withdrawals!$G:$G)),"")</f>
        <v/>
      </c>
      <c r="M324" s="36" t="str">
        <f>IFERROR(IF(A324="","",IFERROR(VALUE(H324),0)+IFERROR(SUMIF(DB_Savings!$A:$A,A324,DB_Savings!$F:$F),0)-IFERROR(SUMIF(DB_Withdrawals!$A:$A,A324,DB_Withdrawals!$G:$G),0)),"")</f>
        <v/>
      </c>
      <c r="N324" s="36" t="str">
        <f>IFERROR(IF(A324="","",MAX(0,M324-System_Config!$B$9)),"")</f>
        <v/>
      </c>
    </row>
    <row r="325" spans="1:14" ht="20.100000000000001" customHeight="1" x14ac:dyDescent="0.25">
      <c r="A325" s="34" t="str">
        <f>'NEW ACCOUNT'!A326</f>
        <v/>
      </c>
      <c r="B325" s="35" t="str">
        <f>IF('NEW ACCOUNT'!A326="","",'NEW ACCOUNT'!B326)</f>
        <v/>
      </c>
      <c r="C325" s="35" t="str">
        <f>IF('NEW ACCOUNT'!A326="","",'NEW ACCOUNT'!C326)</f>
        <v/>
      </c>
      <c r="D325" s="35" t="str">
        <f>IF('NEW ACCOUNT'!A326="","",'NEW ACCOUNT'!D326)</f>
        <v/>
      </c>
      <c r="E325" s="35" t="str">
        <f>IF('NEW ACCOUNT'!A326="","",'NEW ACCOUNT'!E326)</f>
        <v/>
      </c>
      <c r="F325" s="35" t="str">
        <f>IF('NEW ACCOUNT'!A326="","",'NEW ACCOUNT'!F326)</f>
        <v/>
      </c>
      <c r="G325" s="35" t="str">
        <f>IF('NEW ACCOUNT'!A326="","",'NEW ACCOUNT'!G326)</f>
        <v/>
      </c>
      <c r="H325" s="35" t="str">
        <f>IF('NEW ACCOUNT'!A326="","",'NEW ACCOUNT'!H326)</f>
        <v/>
      </c>
      <c r="I325" s="35" t="str">
        <f>IF('NEW ACCOUNT'!A326="","",'NEW ACCOUNT'!I326)</f>
        <v/>
      </c>
      <c r="J325" s="35" t="str">
        <f>IF('NEW ACCOUNT'!A326="","",'NEW ACCOUNT'!J326)</f>
        <v/>
      </c>
      <c r="K325" s="36" t="str">
        <f>IFERROR(IF(A325="","",SUMIF(DB_Savings!$A:$A,A325,DB_Savings!$F:$F)),"")</f>
        <v/>
      </c>
      <c r="L325" s="36" t="str">
        <f>IFERROR(IF(A325="","",SUMIF(DB_Withdrawals!$A:$A,A325,DB_Withdrawals!$G:$G)),"")</f>
        <v/>
      </c>
      <c r="M325" s="36" t="str">
        <f>IFERROR(IF(A325="","",IFERROR(VALUE(H325),0)+IFERROR(SUMIF(DB_Savings!$A:$A,A325,DB_Savings!$F:$F),0)-IFERROR(SUMIF(DB_Withdrawals!$A:$A,A325,DB_Withdrawals!$G:$G),0)),"")</f>
        <v/>
      </c>
      <c r="N325" s="36" t="str">
        <f>IFERROR(IF(A325="","",MAX(0,M325-System_Config!$B$9)),"")</f>
        <v/>
      </c>
    </row>
    <row r="326" spans="1:14" ht="20.100000000000001" customHeight="1" x14ac:dyDescent="0.25">
      <c r="A326" s="34" t="str">
        <f>'NEW ACCOUNT'!A327</f>
        <v/>
      </c>
      <c r="B326" s="35" t="str">
        <f>IF('NEW ACCOUNT'!A327="","",'NEW ACCOUNT'!B327)</f>
        <v/>
      </c>
      <c r="C326" s="35" t="str">
        <f>IF('NEW ACCOUNT'!A327="","",'NEW ACCOUNT'!C327)</f>
        <v/>
      </c>
      <c r="D326" s="35" t="str">
        <f>IF('NEW ACCOUNT'!A327="","",'NEW ACCOUNT'!D327)</f>
        <v/>
      </c>
      <c r="E326" s="35" t="str">
        <f>IF('NEW ACCOUNT'!A327="","",'NEW ACCOUNT'!E327)</f>
        <v/>
      </c>
      <c r="F326" s="35" t="str">
        <f>IF('NEW ACCOUNT'!A327="","",'NEW ACCOUNT'!F327)</f>
        <v/>
      </c>
      <c r="G326" s="35" t="str">
        <f>IF('NEW ACCOUNT'!A327="","",'NEW ACCOUNT'!G327)</f>
        <v/>
      </c>
      <c r="H326" s="35" t="str">
        <f>IF('NEW ACCOUNT'!A327="","",'NEW ACCOUNT'!H327)</f>
        <v/>
      </c>
      <c r="I326" s="35" t="str">
        <f>IF('NEW ACCOUNT'!A327="","",'NEW ACCOUNT'!I327)</f>
        <v/>
      </c>
      <c r="J326" s="35" t="str">
        <f>IF('NEW ACCOUNT'!A327="","",'NEW ACCOUNT'!J327)</f>
        <v/>
      </c>
      <c r="K326" s="36" t="str">
        <f>IFERROR(IF(A326="","",SUMIF(DB_Savings!$A:$A,A326,DB_Savings!$F:$F)),"")</f>
        <v/>
      </c>
      <c r="L326" s="36" t="str">
        <f>IFERROR(IF(A326="","",SUMIF(DB_Withdrawals!$A:$A,A326,DB_Withdrawals!$G:$G)),"")</f>
        <v/>
      </c>
      <c r="M326" s="36" t="str">
        <f>IFERROR(IF(A326="","",IFERROR(VALUE(H326),0)+IFERROR(SUMIF(DB_Savings!$A:$A,A326,DB_Savings!$F:$F),0)-IFERROR(SUMIF(DB_Withdrawals!$A:$A,A326,DB_Withdrawals!$G:$G),0)),"")</f>
        <v/>
      </c>
      <c r="N326" s="36" t="str">
        <f>IFERROR(IF(A326="","",MAX(0,M326-System_Config!$B$9)),"")</f>
        <v/>
      </c>
    </row>
    <row r="327" spans="1:14" ht="20.100000000000001" customHeight="1" x14ac:dyDescent="0.25">
      <c r="A327" s="34" t="str">
        <f>'NEW ACCOUNT'!A328</f>
        <v/>
      </c>
      <c r="B327" s="35" t="str">
        <f>IF('NEW ACCOUNT'!A328="","",'NEW ACCOUNT'!B328)</f>
        <v/>
      </c>
      <c r="C327" s="35" t="str">
        <f>IF('NEW ACCOUNT'!A328="","",'NEW ACCOUNT'!C328)</f>
        <v/>
      </c>
      <c r="D327" s="35" t="str">
        <f>IF('NEW ACCOUNT'!A328="","",'NEW ACCOUNT'!D328)</f>
        <v/>
      </c>
      <c r="E327" s="35" t="str">
        <f>IF('NEW ACCOUNT'!A328="","",'NEW ACCOUNT'!E328)</f>
        <v/>
      </c>
      <c r="F327" s="35" t="str">
        <f>IF('NEW ACCOUNT'!A328="","",'NEW ACCOUNT'!F328)</f>
        <v/>
      </c>
      <c r="G327" s="35" t="str">
        <f>IF('NEW ACCOUNT'!A328="","",'NEW ACCOUNT'!G328)</f>
        <v/>
      </c>
      <c r="H327" s="35" t="str">
        <f>IF('NEW ACCOUNT'!A328="","",'NEW ACCOUNT'!H328)</f>
        <v/>
      </c>
      <c r="I327" s="35" t="str">
        <f>IF('NEW ACCOUNT'!A328="","",'NEW ACCOUNT'!I328)</f>
        <v/>
      </c>
      <c r="J327" s="35" t="str">
        <f>IF('NEW ACCOUNT'!A328="","",'NEW ACCOUNT'!J328)</f>
        <v/>
      </c>
      <c r="K327" s="36" t="str">
        <f>IFERROR(IF(A327="","",SUMIF(DB_Savings!$A:$A,A327,DB_Savings!$F:$F)),"")</f>
        <v/>
      </c>
      <c r="L327" s="36" t="str">
        <f>IFERROR(IF(A327="","",SUMIF(DB_Withdrawals!$A:$A,A327,DB_Withdrawals!$G:$G)),"")</f>
        <v/>
      </c>
      <c r="M327" s="36" t="str">
        <f>IFERROR(IF(A327="","",IFERROR(VALUE(H327),0)+IFERROR(SUMIF(DB_Savings!$A:$A,A327,DB_Savings!$F:$F),0)-IFERROR(SUMIF(DB_Withdrawals!$A:$A,A327,DB_Withdrawals!$G:$G),0)),"")</f>
        <v/>
      </c>
      <c r="N327" s="36" t="str">
        <f>IFERROR(IF(A327="","",MAX(0,M327-System_Config!$B$9)),"")</f>
        <v/>
      </c>
    </row>
    <row r="328" spans="1:14" ht="20.100000000000001" customHeight="1" x14ac:dyDescent="0.25">
      <c r="A328" s="34" t="str">
        <f>'NEW ACCOUNT'!A329</f>
        <v/>
      </c>
      <c r="B328" s="35" t="str">
        <f>IF('NEW ACCOUNT'!A329="","",'NEW ACCOUNT'!B329)</f>
        <v/>
      </c>
      <c r="C328" s="35" t="str">
        <f>IF('NEW ACCOUNT'!A329="","",'NEW ACCOUNT'!C329)</f>
        <v/>
      </c>
      <c r="D328" s="35" t="str">
        <f>IF('NEW ACCOUNT'!A329="","",'NEW ACCOUNT'!D329)</f>
        <v/>
      </c>
      <c r="E328" s="35" t="str">
        <f>IF('NEW ACCOUNT'!A329="","",'NEW ACCOUNT'!E329)</f>
        <v/>
      </c>
      <c r="F328" s="35" t="str">
        <f>IF('NEW ACCOUNT'!A329="","",'NEW ACCOUNT'!F329)</f>
        <v/>
      </c>
      <c r="G328" s="35" t="str">
        <f>IF('NEW ACCOUNT'!A329="","",'NEW ACCOUNT'!G329)</f>
        <v/>
      </c>
      <c r="H328" s="35" t="str">
        <f>IF('NEW ACCOUNT'!A329="","",'NEW ACCOUNT'!H329)</f>
        <v/>
      </c>
      <c r="I328" s="35" t="str">
        <f>IF('NEW ACCOUNT'!A329="","",'NEW ACCOUNT'!I329)</f>
        <v/>
      </c>
      <c r="J328" s="35" t="str">
        <f>IF('NEW ACCOUNT'!A329="","",'NEW ACCOUNT'!J329)</f>
        <v/>
      </c>
      <c r="K328" s="36" t="str">
        <f>IFERROR(IF(A328="","",SUMIF(DB_Savings!$A:$A,A328,DB_Savings!$F:$F)),"")</f>
        <v/>
      </c>
      <c r="L328" s="36" t="str">
        <f>IFERROR(IF(A328="","",SUMIF(DB_Withdrawals!$A:$A,A328,DB_Withdrawals!$G:$G)),"")</f>
        <v/>
      </c>
      <c r="M328" s="36" t="str">
        <f>IFERROR(IF(A328="","",IFERROR(VALUE(H328),0)+IFERROR(SUMIF(DB_Savings!$A:$A,A328,DB_Savings!$F:$F),0)-IFERROR(SUMIF(DB_Withdrawals!$A:$A,A328,DB_Withdrawals!$G:$G),0)),"")</f>
        <v/>
      </c>
      <c r="N328" s="36" t="str">
        <f>IFERROR(IF(A328="","",MAX(0,M328-System_Config!$B$9)),"")</f>
        <v/>
      </c>
    </row>
    <row r="329" spans="1:14" ht="20.100000000000001" customHeight="1" x14ac:dyDescent="0.25">
      <c r="A329" s="34" t="str">
        <f>'NEW ACCOUNT'!A330</f>
        <v/>
      </c>
      <c r="B329" s="35" t="str">
        <f>IF('NEW ACCOUNT'!A330="","",'NEW ACCOUNT'!B330)</f>
        <v/>
      </c>
      <c r="C329" s="35" t="str">
        <f>IF('NEW ACCOUNT'!A330="","",'NEW ACCOUNT'!C330)</f>
        <v/>
      </c>
      <c r="D329" s="35" t="str">
        <f>IF('NEW ACCOUNT'!A330="","",'NEW ACCOUNT'!D330)</f>
        <v/>
      </c>
      <c r="E329" s="35" t="str">
        <f>IF('NEW ACCOUNT'!A330="","",'NEW ACCOUNT'!E330)</f>
        <v/>
      </c>
      <c r="F329" s="35" t="str">
        <f>IF('NEW ACCOUNT'!A330="","",'NEW ACCOUNT'!F330)</f>
        <v/>
      </c>
      <c r="G329" s="35" t="str">
        <f>IF('NEW ACCOUNT'!A330="","",'NEW ACCOUNT'!G330)</f>
        <v/>
      </c>
      <c r="H329" s="35" t="str">
        <f>IF('NEW ACCOUNT'!A330="","",'NEW ACCOUNT'!H330)</f>
        <v/>
      </c>
      <c r="I329" s="35" t="str">
        <f>IF('NEW ACCOUNT'!A330="","",'NEW ACCOUNT'!I330)</f>
        <v/>
      </c>
      <c r="J329" s="35" t="str">
        <f>IF('NEW ACCOUNT'!A330="","",'NEW ACCOUNT'!J330)</f>
        <v/>
      </c>
      <c r="K329" s="36" t="str">
        <f>IFERROR(IF(A329="","",SUMIF(DB_Savings!$A:$A,A329,DB_Savings!$F:$F)),"")</f>
        <v/>
      </c>
      <c r="L329" s="36" t="str">
        <f>IFERROR(IF(A329="","",SUMIF(DB_Withdrawals!$A:$A,A329,DB_Withdrawals!$G:$G)),"")</f>
        <v/>
      </c>
      <c r="M329" s="36" t="str">
        <f>IFERROR(IF(A329="","",IFERROR(VALUE(H329),0)+IFERROR(SUMIF(DB_Savings!$A:$A,A329,DB_Savings!$F:$F),0)-IFERROR(SUMIF(DB_Withdrawals!$A:$A,A329,DB_Withdrawals!$G:$G),0)),"")</f>
        <v/>
      </c>
      <c r="N329" s="36" t="str">
        <f>IFERROR(IF(A329="","",MAX(0,M329-System_Config!$B$9)),"")</f>
        <v/>
      </c>
    </row>
    <row r="330" spans="1:14" ht="20.100000000000001" customHeight="1" x14ac:dyDescent="0.25">
      <c r="A330" s="34" t="str">
        <f>'NEW ACCOUNT'!A331</f>
        <v/>
      </c>
      <c r="B330" s="35" t="str">
        <f>IF('NEW ACCOUNT'!A331="","",'NEW ACCOUNT'!B331)</f>
        <v/>
      </c>
      <c r="C330" s="35" t="str">
        <f>IF('NEW ACCOUNT'!A331="","",'NEW ACCOUNT'!C331)</f>
        <v/>
      </c>
      <c r="D330" s="35" t="str">
        <f>IF('NEW ACCOUNT'!A331="","",'NEW ACCOUNT'!D331)</f>
        <v/>
      </c>
      <c r="E330" s="35" t="str">
        <f>IF('NEW ACCOUNT'!A331="","",'NEW ACCOUNT'!E331)</f>
        <v/>
      </c>
      <c r="F330" s="35" t="str">
        <f>IF('NEW ACCOUNT'!A331="","",'NEW ACCOUNT'!F331)</f>
        <v/>
      </c>
      <c r="G330" s="35" t="str">
        <f>IF('NEW ACCOUNT'!A331="","",'NEW ACCOUNT'!G331)</f>
        <v/>
      </c>
      <c r="H330" s="35" t="str">
        <f>IF('NEW ACCOUNT'!A331="","",'NEW ACCOUNT'!H331)</f>
        <v/>
      </c>
      <c r="I330" s="35" t="str">
        <f>IF('NEW ACCOUNT'!A331="","",'NEW ACCOUNT'!I331)</f>
        <v/>
      </c>
      <c r="J330" s="35" t="str">
        <f>IF('NEW ACCOUNT'!A331="","",'NEW ACCOUNT'!J331)</f>
        <v/>
      </c>
      <c r="K330" s="36" t="str">
        <f>IFERROR(IF(A330="","",SUMIF(DB_Savings!$A:$A,A330,DB_Savings!$F:$F)),"")</f>
        <v/>
      </c>
      <c r="L330" s="36" t="str">
        <f>IFERROR(IF(A330="","",SUMIF(DB_Withdrawals!$A:$A,A330,DB_Withdrawals!$G:$G)),"")</f>
        <v/>
      </c>
      <c r="M330" s="36" t="str">
        <f>IFERROR(IF(A330="","",IFERROR(VALUE(H330),0)+IFERROR(SUMIF(DB_Savings!$A:$A,A330,DB_Savings!$F:$F),0)-IFERROR(SUMIF(DB_Withdrawals!$A:$A,A330,DB_Withdrawals!$G:$G),0)),"")</f>
        <v/>
      </c>
      <c r="N330" s="36" t="str">
        <f>IFERROR(IF(A330="","",MAX(0,M330-System_Config!$B$9)),"")</f>
        <v/>
      </c>
    </row>
    <row r="331" spans="1:14" ht="20.100000000000001" customHeight="1" x14ac:dyDescent="0.25">
      <c r="A331" s="34" t="str">
        <f>'NEW ACCOUNT'!A332</f>
        <v/>
      </c>
      <c r="B331" s="35" t="str">
        <f>IF('NEW ACCOUNT'!A332="","",'NEW ACCOUNT'!B332)</f>
        <v/>
      </c>
      <c r="C331" s="35" t="str">
        <f>IF('NEW ACCOUNT'!A332="","",'NEW ACCOUNT'!C332)</f>
        <v/>
      </c>
      <c r="D331" s="35" t="str">
        <f>IF('NEW ACCOUNT'!A332="","",'NEW ACCOUNT'!D332)</f>
        <v/>
      </c>
      <c r="E331" s="35" t="str">
        <f>IF('NEW ACCOUNT'!A332="","",'NEW ACCOUNT'!E332)</f>
        <v/>
      </c>
      <c r="F331" s="35" t="str">
        <f>IF('NEW ACCOUNT'!A332="","",'NEW ACCOUNT'!F332)</f>
        <v/>
      </c>
      <c r="G331" s="35" t="str">
        <f>IF('NEW ACCOUNT'!A332="","",'NEW ACCOUNT'!G332)</f>
        <v/>
      </c>
      <c r="H331" s="35" t="str">
        <f>IF('NEW ACCOUNT'!A332="","",'NEW ACCOUNT'!H332)</f>
        <v/>
      </c>
      <c r="I331" s="35" t="str">
        <f>IF('NEW ACCOUNT'!A332="","",'NEW ACCOUNT'!I332)</f>
        <v/>
      </c>
      <c r="J331" s="35" t="str">
        <f>IF('NEW ACCOUNT'!A332="","",'NEW ACCOUNT'!J332)</f>
        <v/>
      </c>
      <c r="K331" s="36" t="str">
        <f>IFERROR(IF(A331="","",SUMIF(DB_Savings!$A:$A,A331,DB_Savings!$F:$F)),"")</f>
        <v/>
      </c>
      <c r="L331" s="36" t="str">
        <f>IFERROR(IF(A331="","",SUMIF(DB_Withdrawals!$A:$A,A331,DB_Withdrawals!$G:$G)),"")</f>
        <v/>
      </c>
      <c r="M331" s="36" t="str">
        <f>IFERROR(IF(A331="","",IFERROR(VALUE(H331),0)+IFERROR(SUMIF(DB_Savings!$A:$A,A331,DB_Savings!$F:$F),0)-IFERROR(SUMIF(DB_Withdrawals!$A:$A,A331,DB_Withdrawals!$G:$G),0)),"")</f>
        <v/>
      </c>
      <c r="N331" s="36" t="str">
        <f>IFERROR(IF(A331="","",MAX(0,M331-System_Config!$B$9)),"")</f>
        <v/>
      </c>
    </row>
    <row r="332" spans="1:14" ht="20.100000000000001" customHeight="1" x14ac:dyDescent="0.25">
      <c r="A332" s="34" t="str">
        <f>'NEW ACCOUNT'!A333</f>
        <v/>
      </c>
      <c r="B332" s="35" t="str">
        <f>IF('NEW ACCOUNT'!A333="","",'NEW ACCOUNT'!B333)</f>
        <v/>
      </c>
      <c r="C332" s="35" t="str">
        <f>IF('NEW ACCOUNT'!A333="","",'NEW ACCOUNT'!C333)</f>
        <v/>
      </c>
      <c r="D332" s="35" t="str">
        <f>IF('NEW ACCOUNT'!A333="","",'NEW ACCOUNT'!D333)</f>
        <v/>
      </c>
      <c r="E332" s="35" t="str">
        <f>IF('NEW ACCOUNT'!A333="","",'NEW ACCOUNT'!E333)</f>
        <v/>
      </c>
      <c r="F332" s="35" t="str">
        <f>IF('NEW ACCOUNT'!A333="","",'NEW ACCOUNT'!F333)</f>
        <v/>
      </c>
      <c r="G332" s="35" t="str">
        <f>IF('NEW ACCOUNT'!A333="","",'NEW ACCOUNT'!G333)</f>
        <v/>
      </c>
      <c r="H332" s="35" t="str">
        <f>IF('NEW ACCOUNT'!A333="","",'NEW ACCOUNT'!H333)</f>
        <v/>
      </c>
      <c r="I332" s="35" t="str">
        <f>IF('NEW ACCOUNT'!A333="","",'NEW ACCOUNT'!I333)</f>
        <v/>
      </c>
      <c r="J332" s="35" t="str">
        <f>IF('NEW ACCOUNT'!A333="","",'NEW ACCOUNT'!J333)</f>
        <v/>
      </c>
      <c r="K332" s="36" t="str">
        <f>IFERROR(IF(A332="","",SUMIF(DB_Savings!$A:$A,A332,DB_Savings!$F:$F)),"")</f>
        <v/>
      </c>
      <c r="L332" s="36" t="str">
        <f>IFERROR(IF(A332="","",SUMIF(DB_Withdrawals!$A:$A,A332,DB_Withdrawals!$G:$G)),"")</f>
        <v/>
      </c>
      <c r="M332" s="36" t="str">
        <f>IFERROR(IF(A332="","",IFERROR(VALUE(H332),0)+IFERROR(SUMIF(DB_Savings!$A:$A,A332,DB_Savings!$F:$F),0)-IFERROR(SUMIF(DB_Withdrawals!$A:$A,A332,DB_Withdrawals!$G:$G),0)),"")</f>
        <v/>
      </c>
      <c r="N332" s="36" t="str">
        <f>IFERROR(IF(A332="","",MAX(0,M332-System_Config!$B$9)),"")</f>
        <v/>
      </c>
    </row>
    <row r="333" spans="1:14" ht="20.100000000000001" customHeight="1" x14ac:dyDescent="0.25">
      <c r="A333" s="34" t="str">
        <f>'NEW ACCOUNT'!A334</f>
        <v/>
      </c>
      <c r="B333" s="35" t="str">
        <f>IF('NEW ACCOUNT'!A334="","",'NEW ACCOUNT'!B334)</f>
        <v/>
      </c>
      <c r="C333" s="35" t="str">
        <f>IF('NEW ACCOUNT'!A334="","",'NEW ACCOUNT'!C334)</f>
        <v/>
      </c>
      <c r="D333" s="35" t="str">
        <f>IF('NEW ACCOUNT'!A334="","",'NEW ACCOUNT'!D334)</f>
        <v/>
      </c>
      <c r="E333" s="35" t="str">
        <f>IF('NEW ACCOUNT'!A334="","",'NEW ACCOUNT'!E334)</f>
        <v/>
      </c>
      <c r="F333" s="35" t="str">
        <f>IF('NEW ACCOUNT'!A334="","",'NEW ACCOUNT'!F334)</f>
        <v/>
      </c>
      <c r="G333" s="35" t="str">
        <f>IF('NEW ACCOUNT'!A334="","",'NEW ACCOUNT'!G334)</f>
        <v/>
      </c>
      <c r="H333" s="35" t="str">
        <f>IF('NEW ACCOUNT'!A334="","",'NEW ACCOUNT'!H334)</f>
        <v/>
      </c>
      <c r="I333" s="35" t="str">
        <f>IF('NEW ACCOUNT'!A334="","",'NEW ACCOUNT'!I334)</f>
        <v/>
      </c>
      <c r="J333" s="35" t="str">
        <f>IF('NEW ACCOUNT'!A334="","",'NEW ACCOUNT'!J334)</f>
        <v/>
      </c>
      <c r="K333" s="36" t="str">
        <f>IFERROR(IF(A333="","",SUMIF(DB_Savings!$A:$A,A333,DB_Savings!$F:$F)),"")</f>
        <v/>
      </c>
      <c r="L333" s="36" t="str">
        <f>IFERROR(IF(A333="","",SUMIF(DB_Withdrawals!$A:$A,A333,DB_Withdrawals!$G:$G)),"")</f>
        <v/>
      </c>
      <c r="M333" s="36" t="str">
        <f>IFERROR(IF(A333="","",IFERROR(VALUE(H333),0)+IFERROR(SUMIF(DB_Savings!$A:$A,A333,DB_Savings!$F:$F),0)-IFERROR(SUMIF(DB_Withdrawals!$A:$A,A333,DB_Withdrawals!$G:$G),0)),"")</f>
        <v/>
      </c>
      <c r="N333" s="36" t="str">
        <f>IFERROR(IF(A333="","",MAX(0,M333-System_Config!$B$9)),"")</f>
        <v/>
      </c>
    </row>
    <row r="334" spans="1:14" ht="20.100000000000001" customHeight="1" x14ac:dyDescent="0.25">
      <c r="A334" s="34" t="str">
        <f>'NEW ACCOUNT'!A335</f>
        <v/>
      </c>
      <c r="B334" s="35" t="str">
        <f>IF('NEW ACCOUNT'!A335="","",'NEW ACCOUNT'!B335)</f>
        <v/>
      </c>
      <c r="C334" s="35" t="str">
        <f>IF('NEW ACCOUNT'!A335="","",'NEW ACCOUNT'!C335)</f>
        <v/>
      </c>
      <c r="D334" s="35" t="str">
        <f>IF('NEW ACCOUNT'!A335="","",'NEW ACCOUNT'!D335)</f>
        <v/>
      </c>
      <c r="E334" s="35" t="str">
        <f>IF('NEW ACCOUNT'!A335="","",'NEW ACCOUNT'!E335)</f>
        <v/>
      </c>
      <c r="F334" s="35" t="str">
        <f>IF('NEW ACCOUNT'!A335="","",'NEW ACCOUNT'!F335)</f>
        <v/>
      </c>
      <c r="G334" s="35" t="str">
        <f>IF('NEW ACCOUNT'!A335="","",'NEW ACCOUNT'!G335)</f>
        <v/>
      </c>
      <c r="H334" s="35" t="str">
        <f>IF('NEW ACCOUNT'!A335="","",'NEW ACCOUNT'!H335)</f>
        <v/>
      </c>
      <c r="I334" s="35" t="str">
        <f>IF('NEW ACCOUNT'!A335="","",'NEW ACCOUNT'!I335)</f>
        <v/>
      </c>
      <c r="J334" s="35" t="str">
        <f>IF('NEW ACCOUNT'!A335="","",'NEW ACCOUNT'!J335)</f>
        <v/>
      </c>
      <c r="K334" s="36" t="str">
        <f>IFERROR(IF(A334="","",SUMIF(DB_Savings!$A:$A,A334,DB_Savings!$F:$F)),"")</f>
        <v/>
      </c>
      <c r="L334" s="36" t="str">
        <f>IFERROR(IF(A334="","",SUMIF(DB_Withdrawals!$A:$A,A334,DB_Withdrawals!$G:$G)),"")</f>
        <v/>
      </c>
      <c r="M334" s="36" t="str">
        <f>IFERROR(IF(A334="","",IFERROR(VALUE(H334),0)+IFERROR(SUMIF(DB_Savings!$A:$A,A334,DB_Savings!$F:$F),0)-IFERROR(SUMIF(DB_Withdrawals!$A:$A,A334,DB_Withdrawals!$G:$G),0)),"")</f>
        <v/>
      </c>
      <c r="N334" s="36" t="str">
        <f>IFERROR(IF(A334="","",MAX(0,M334-System_Config!$B$9)),"")</f>
        <v/>
      </c>
    </row>
    <row r="335" spans="1:14" ht="20.100000000000001" customHeight="1" x14ac:dyDescent="0.25">
      <c r="A335" s="34" t="str">
        <f>'NEW ACCOUNT'!A336</f>
        <v/>
      </c>
      <c r="B335" s="35" t="str">
        <f>IF('NEW ACCOUNT'!A336="","",'NEW ACCOUNT'!B336)</f>
        <v/>
      </c>
      <c r="C335" s="35" t="str">
        <f>IF('NEW ACCOUNT'!A336="","",'NEW ACCOUNT'!C336)</f>
        <v/>
      </c>
      <c r="D335" s="35" t="str">
        <f>IF('NEW ACCOUNT'!A336="","",'NEW ACCOUNT'!D336)</f>
        <v/>
      </c>
      <c r="E335" s="35" t="str">
        <f>IF('NEW ACCOUNT'!A336="","",'NEW ACCOUNT'!E336)</f>
        <v/>
      </c>
      <c r="F335" s="35" t="str">
        <f>IF('NEW ACCOUNT'!A336="","",'NEW ACCOUNT'!F336)</f>
        <v/>
      </c>
      <c r="G335" s="35" t="str">
        <f>IF('NEW ACCOUNT'!A336="","",'NEW ACCOUNT'!G336)</f>
        <v/>
      </c>
      <c r="H335" s="35" t="str">
        <f>IF('NEW ACCOUNT'!A336="","",'NEW ACCOUNT'!H336)</f>
        <v/>
      </c>
      <c r="I335" s="35" t="str">
        <f>IF('NEW ACCOUNT'!A336="","",'NEW ACCOUNT'!I336)</f>
        <v/>
      </c>
      <c r="J335" s="35" t="str">
        <f>IF('NEW ACCOUNT'!A336="","",'NEW ACCOUNT'!J336)</f>
        <v/>
      </c>
      <c r="K335" s="36" t="str">
        <f>IFERROR(IF(A335="","",SUMIF(DB_Savings!$A:$A,A335,DB_Savings!$F:$F)),"")</f>
        <v/>
      </c>
      <c r="L335" s="36" t="str">
        <f>IFERROR(IF(A335="","",SUMIF(DB_Withdrawals!$A:$A,A335,DB_Withdrawals!$G:$G)),"")</f>
        <v/>
      </c>
      <c r="M335" s="36" t="str">
        <f>IFERROR(IF(A335="","",IFERROR(VALUE(H335),0)+IFERROR(SUMIF(DB_Savings!$A:$A,A335,DB_Savings!$F:$F),0)-IFERROR(SUMIF(DB_Withdrawals!$A:$A,A335,DB_Withdrawals!$G:$G),0)),"")</f>
        <v/>
      </c>
      <c r="N335" s="36" t="str">
        <f>IFERROR(IF(A335="","",MAX(0,M335-System_Config!$B$9)),"")</f>
        <v/>
      </c>
    </row>
    <row r="336" spans="1:14" ht="20.100000000000001" customHeight="1" x14ac:dyDescent="0.25">
      <c r="A336" s="34" t="str">
        <f>'NEW ACCOUNT'!A337</f>
        <v/>
      </c>
      <c r="B336" s="35" t="str">
        <f>IF('NEW ACCOUNT'!A337="","",'NEW ACCOUNT'!B337)</f>
        <v/>
      </c>
      <c r="C336" s="35" t="str">
        <f>IF('NEW ACCOUNT'!A337="","",'NEW ACCOUNT'!C337)</f>
        <v/>
      </c>
      <c r="D336" s="35" t="str">
        <f>IF('NEW ACCOUNT'!A337="","",'NEW ACCOUNT'!D337)</f>
        <v/>
      </c>
      <c r="E336" s="35" t="str">
        <f>IF('NEW ACCOUNT'!A337="","",'NEW ACCOUNT'!E337)</f>
        <v/>
      </c>
      <c r="F336" s="35" t="str">
        <f>IF('NEW ACCOUNT'!A337="","",'NEW ACCOUNT'!F337)</f>
        <v/>
      </c>
      <c r="G336" s="35" t="str">
        <f>IF('NEW ACCOUNT'!A337="","",'NEW ACCOUNT'!G337)</f>
        <v/>
      </c>
      <c r="H336" s="35" t="str">
        <f>IF('NEW ACCOUNT'!A337="","",'NEW ACCOUNT'!H337)</f>
        <v/>
      </c>
      <c r="I336" s="35" t="str">
        <f>IF('NEW ACCOUNT'!A337="","",'NEW ACCOUNT'!I337)</f>
        <v/>
      </c>
      <c r="J336" s="35" t="str">
        <f>IF('NEW ACCOUNT'!A337="","",'NEW ACCOUNT'!J337)</f>
        <v/>
      </c>
      <c r="K336" s="36" t="str">
        <f>IFERROR(IF(A336="","",SUMIF(DB_Savings!$A:$A,A336,DB_Savings!$F:$F)),"")</f>
        <v/>
      </c>
      <c r="L336" s="36" t="str">
        <f>IFERROR(IF(A336="","",SUMIF(DB_Withdrawals!$A:$A,A336,DB_Withdrawals!$G:$G)),"")</f>
        <v/>
      </c>
      <c r="M336" s="36" t="str">
        <f>IFERROR(IF(A336="","",IFERROR(VALUE(H336),0)+IFERROR(SUMIF(DB_Savings!$A:$A,A336,DB_Savings!$F:$F),0)-IFERROR(SUMIF(DB_Withdrawals!$A:$A,A336,DB_Withdrawals!$G:$G),0)),"")</f>
        <v/>
      </c>
      <c r="N336" s="36" t="str">
        <f>IFERROR(IF(A336="","",MAX(0,M336-System_Config!$B$9)),"")</f>
        <v/>
      </c>
    </row>
    <row r="337" spans="1:14" ht="20.100000000000001" customHeight="1" x14ac:dyDescent="0.25">
      <c r="A337" s="34" t="str">
        <f>'NEW ACCOUNT'!A338</f>
        <v/>
      </c>
      <c r="B337" s="35" t="str">
        <f>IF('NEW ACCOUNT'!A338="","",'NEW ACCOUNT'!B338)</f>
        <v/>
      </c>
      <c r="C337" s="35" t="str">
        <f>IF('NEW ACCOUNT'!A338="","",'NEW ACCOUNT'!C338)</f>
        <v/>
      </c>
      <c r="D337" s="35" t="str">
        <f>IF('NEW ACCOUNT'!A338="","",'NEW ACCOUNT'!D338)</f>
        <v/>
      </c>
      <c r="E337" s="35" t="str">
        <f>IF('NEW ACCOUNT'!A338="","",'NEW ACCOUNT'!E338)</f>
        <v/>
      </c>
      <c r="F337" s="35" t="str">
        <f>IF('NEW ACCOUNT'!A338="","",'NEW ACCOUNT'!F338)</f>
        <v/>
      </c>
      <c r="G337" s="35" t="str">
        <f>IF('NEW ACCOUNT'!A338="","",'NEW ACCOUNT'!G338)</f>
        <v/>
      </c>
      <c r="H337" s="35" t="str">
        <f>IF('NEW ACCOUNT'!A338="","",'NEW ACCOUNT'!H338)</f>
        <v/>
      </c>
      <c r="I337" s="35" t="str">
        <f>IF('NEW ACCOUNT'!A338="","",'NEW ACCOUNT'!I338)</f>
        <v/>
      </c>
      <c r="J337" s="35" t="str">
        <f>IF('NEW ACCOUNT'!A338="","",'NEW ACCOUNT'!J338)</f>
        <v/>
      </c>
      <c r="K337" s="36" t="str">
        <f>IFERROR(IF(A337="","",SUMIF(DB_Savings!$A:$A,A337,DB_Savings!$F:$F)),"")</f>
        <v/>
      </c>
      <c r="L337" s="36" t="str">
        <f>IFERROR(IF(A337="","",SUMIF(DB_Withdrawals!$A:$A,A337,DB_Withdrawals!$G:$G)),"")</f>
        <v/>
      </c>
      <c r="M337" s="36" t="str">
        <f>IFERROR(IF(A337="","",IFERROR(VALUE(H337),0)+IFERROR(SUMIF(DB_Savings!$A:$A,A337,DB_Savings!$F:$F),0)-IFERROR(SUMIF(DB_Withdrawals!$A:$A,A337,DB_Withdrawals!$G:$G),0)),"")</f>
        <v/>
      </c>
      <c r="N337" s="36" t="str">
        <f>IFERROR(IF(A337="","",MAX(0,M337-System_Config!$B$9)),"")</f>
        <v/>
      </c>
    </row>
    <row r="338" spans="1:14" ht="20.100000000000001" customHeight="1" x14ac:dyDescent="0.25">
      <c r="A338" s="34" t="str">
        <f>'NEW ACCOUNT'!A339</f>
        <v/>
      </c>
      <c r="B338" s="35" t="str">
        <f>IF('NEW ACCOUNT'!A339="","",'NEW ACCOUNT'!B339)</f>
        <v/>
      </c>
      <c r="C338" s="35" t="str">
        <f>IF('NEW ACCOUNT'!A339="","",'NEW ACCOUNT'!C339)</f>
        <v/>
      </c>
      <c r="D338" s="35" t="str">
        <f>IF('NEW ACCOUNT'!A339="","",'NEW ACCOUNT'!D339)</f>
        <v/>
      </c>
      <c r="E338" s="35" t="str">
        <f>IF('NEW ACCOUNT'!A339="","",'NEW ACCOUNT'!E339)</f>
        <v/>
      </c>
      <c r="F338" s="35" t="str">
        <f>IF('NEW ACCOUNT'!A339="","",'NEW ACCOUNT'!F339)</f>
        <v/>
      </c>
      <c r="G338" s="35" t="str">
        <f>IF('NEW ACCOUNT'!A339="","",'NEW ACCOUNT'!G339)</f>
        <v/>
      </c>
      <c r="H338" s="35" t="str">
        <f>IF('NEW ACCOUNT'!A339="","",'NEW ACCOUNT'!H339)</f>
        <v/>
      </c>
      <c r="I338" s="35" t="str">
        <f>IF('NEW ACCOUNT'!A339="","",'NEW ACCOUNT'!I339)</f>
        <v/>
      </c>
      <c r="J338" s="35" t="str">
        <f>IF('NEW ACCOUNT'!A339="","",'NEW ACCOUNT'!J339)</f>
        <v/>
      </c>
      <c r="K338" s="36" t="str">
        <f>IFERROR(IF(A338="","",SUMIF(DB_Savings!$A:$A,A338,DB_Savings!$F:$F)),"")</f>
        <v/>
      </c>
      <c r="L338" s="36" t="str">
        <f>IFERROR(IF(A338="","",SUMIF(DB_Withdrawals!$A:$A,A338,DB_Withdrawals!$G:$G)),"")</f>
        <v/>
      </c>
      <c r="M338" s="36" t="str">
        <f>IFERROR(IF(A338="","",IFERROR(VALUE(H338),0)+IFERROR(SUMIF(DB_Savings!$A:$A,A338,DB_Savings!$F:$F),0)-IFERROR(SUMIF(DB_Withdrawals!$A:$A,A338,DB_Withdrawals!$G:$G),0)),"")</f>
        <v/>
      </c>
      <c r="N338" s="36" t="str">
        <f>IFERROR(IF(A338="","",MAX(0,M338-System_Config!$B$9)),"")</f>
        <v/>
      </c>
    </row>
    <row r="339" spans="1:14" ht="20.100000000000001" customHeight="1" x14ac:dyDescent="0.25">
      <c r="A339" s="34" t="str">
        <f>'NEW ACCOUNT'!A340</f>
        <v/>
      </c>
      <c r="B339" s="35" t="str">
        <f>IF('NEW ACCOUNT'!A340="","",'NEW ACCOUNT'!B340)</f>
        <v/>
      </c>
      <c r="C339" s="35" t="str">
        <f>IF('NEW ACCOUNT'!A340="","",'NEW ACCOUNT'!C340)</f>
        <v/>
      </c>
      <c r="D339" s="35" t="str">
        <f>IF('NEW ACCOUNT'!A340="","",'NEW ACCOUNT'!D340)</f>
        <v/>
      </c>
      <c r="E339" s="35" t="str">
        <f>IF('NEW ACCOUNT'!A340="","",'NEW ACCOUNT'!E340)</f>
        <v/>
      </c>
      <c r="F339" s="35" t="str">
        <f>IF('NEW ACCOUNT'!A340="","",'NEW ACCOUNT'!F340)</f>
        <v/>
      </c>
      <c r="G339" s="35" t="str">
        <f>IF('NEW ACCOUNT'!A340="","",'NEW ACCOUNT'!G340)</f>
        <v/>
      </c>
      <c r="H339" s="35" t="str">
        <f>IF('NEW ACCOUNT'!A340="","",'NEW ACCOUNT'!H340)</f>
        <v/>
      </c>
      <c r="I339" s="35" t="str">
        <f>IF('NEW ACCOUNT'!A340="","",'NEW ACCOUNT'!I340)</f>
        <v/>
      </c>
      <c r="J339" s="35" t="str">
        <f>IF('NEW ACCOUNT'!A340="","",'NEW ACCOUNT'!J340)</f>
        <v/>
      </c>
      <c r="K339" s="36" t="str">
        <f>IFERROR(IF(A339="","",SUMIF(DB_Savings!$A:$A,A339,DB_Savings!$F:$F)),"")</f>
        <v/>
      </c>
      <c r="L339" s="36" t="str">
        <f>IFERROR(IF(A339="","",SUMIF(DB_Withdrawals!$A:$A,A339,DB_Withdrawals!$G:$G)),"")</f>
        <v/>
      </c>
      <c r="M339" s="36" t="str">
        <f>IFERROR(IF(A339="","",IFERROR(VALUE(H339),0)+IFERROR(SUMIF(DB_Savings!$A:$A,A339,DB_Savings!$F:$F),0)-IFERROR(SUMIF(DB_Withdrawals!$A:$A,A339,DB_Withdrawals!$G:$G),0)),"")</f>
        <v/>
      </c>
      <c r="N339" s="36" t="str">
        <f>IFERROR(IF(A339="","",MAX(0,M339-System_Config!$B$9)),"")</f>
        <v/>
      </c>
    </row>
    <row r="340" spans="1:14" ht="20.100000000000001" customHeight="1" x14ac:dyDescent="0.25">
      <c r="A340" s="34" t="str">
        <f>'NEW ACCOUNT'!A341</f>
        <v/>
      </c>
      <c r="B340" s="35" t="str">
        <f>IF('NEW ACCOUNT'!A341="","",'NEW ACCOUNT'!B341)</f>
        <v/>
      </c>
      <c r="C340" s="35" t="str">
        <f>IF('NEW ACCOUNT'!A341="","",'NEW ACCOUNT'!C341)</f>
        <v/>
      </c>
      <c r="D340" s="35" t="str">
        <f>IF('NEW ACCOUNT'!A341="","",'NEW ACCOUNT'!D341)</f>
        <v/>
      </c>
      <c r="E340" s="35" t="str">
        <f>IF('NEW ACCOUNT'!A341="","",'NEW ACCOUNT'!E341)</f>
        <v/>
      </c>
      <c r="F340" s="35" t="str">
        <f>IF('NEW ACCOUNT'!A341="","",'NEW ACCOUNT'!F341)</f>
        <v/>
      </c>
      <c r="G340" s="35" t="str">
        <f>IF('NEW ACCOUNT'!A341="","",'NEW ACCOUNT'!G341)</f>
        <v/>
      </c>
      <c r="H340" s="35" t="str">
        <f>IF('NEW ACCOUNT'!A341="","",'NEW ACCOUNT'!H341)</f>
        <v/>
      </c>
      <c r="I340" s="35" t="str">
        <f>IF('NEW ACCOUNT'!A341="","",'NEW ACCOUNT'!I341)</f>
        <v/>
      </c>
      <c r="J340" s="35" t="str">
        <f>IF('NEW ACCOUNT'!A341="","",'NEW ACCOUNT'!J341)</f>
        <v/>
      </c>
      <c r="K340" s="36" t="str">
        <f>IFERROR(IF(A340="","",SUMIF(DB_Savings!$A:$A,A340,DB_Savings!$F:$F)),"")</f>
        <v/>
      </c>
      <c r="L340" s="36" t="str">
        <f>IFERROR(IF(A340="","",SUMIF(DB_Withdrawals!$A:$A,A340,DB_Withdrawals!$G:$G)),"")</f>
        <v/>
      </c>
      <c r="M340" s="36" t="str">
        <f>IFERROR(IF(A340="","",IFERROR(VALUE(H340),0)+IFERROR(SUMIF(DB_Savings!$A:$A,A340,DB_Savings!$F:$F),0)-IFERROR(SUMIF(DB_Withdrawals!$A:$A,A340,DB_Withdrawals!$G:$G),0)),"")</f>
        <v/>
      </c>
      <c r="N340" s="36" t="str">
        <f>IFERROR(IF(A340="","",MAX(0,M340-System_Config!$B$9)),"")</f>
        <v/>
      </c>
    </row>
    <row r="341" spans="1:14" ht="20.100000000000001" customHeight="1" x14ac:dyDescent="0.25">
      <c r="A341" s="34" t="str">
        <f>'NEW ACCOUNT'!A342</f>
        <v/>
      </c>
      <c r="B341" s="35" t="str">
        <f>IF('NEW ACCOUNT'!A342="","",'NEW ACCOUNT'!B342)</f>
        <v/>
      </c>
      <c r="C341" s="35" t="str">
        <f>IF('NEW ACCOUNT'!A342="","",'NEW ACCOUNT'!C342)</f>
        <v/>
      </c>
      <c r="D341" s="35" t="str">
        <f>IF('NEW ACCOUNT'!A342="","",'NEW ACCOUNT'!D342)</f>
        <v/>
      </c>
      <c r="E341" s="35" t="str">
        <f>IF('NEW ACCOUNT'!A342="","",'NEW ACCOUNT'!E342)</f>
        <v/>
      </c>
      <c r="F341" s="35" t="str">
        <f>IF('NEW ACCOUNT'!A342="","",'NEW ACCOUNT'!F342)</f>
        <v/>
      </c>
      <c r="G341" s="35" t="str">
        <f>IF('NEW ACCOUNT'!A342="","",'NEW ACCOUNT'!G342)</f>
        <v/>
      </c>
      <c r="H341" s="35" t="str">
        <f>IF('NEW ACCOUNT'!A342="","",'NEW ACCOUNT'!H342)</f>
        <v/>
      </c>
      <c r="I341" s="35" t="str">
        <f>IF('NEW ACCOUNT'!A342="","",'NEW ACCOUNT'!I342)</f>
        <v/>
      </c>
      <c r="J341" s="35" t="str">
        <f>IF('NEW ACCOUNT'!A342="","",'NEW ACCOUNT'!J342)</f>
        <v/>
      </c>
      <c r="K341" s="36" t="str">
        <f>IFERROR(IF(A341="","",SUMIF(DB_Savings!$A:$A,A341,DB_Savings!$F:$F)),"")</f>
        <v/>
      </c>
      <c r="L341" s="36" t="str">
        <f>IFERROR(IF(A341="","",SUMIF(DB_Withdrawals!$A:$A,A341,DB_Withdrawals!$G:$G)),"")</f>
        <v/>
      </c>
      <c r="M341" s="36" t="str">
        <f>IFERROR(IF(A341="","",IFERROR(VALUE(H341),0)+IFERROR(SUMIF(DB_Savings!$A:$A,A341,DB_Savings!$F:$F),0)-IFERROR(SUMIF(DB_Withdrawals!$A:$A,A341,DB_Withdrawals!$G:$G),0)),"")</f>
        <v/>
      </c>
      <c r="N341" s="36" t="str">
        <f>IFERROR(IF(A341="","",MAX(0,M341-System_Config!$B$9)),"")</f>
        <v/>
      </c>
    </row>
    <row r="342" spans="1:14" ht="20.100000000000001" customHeight="1" x14ac:dyDescent="0.25">
      <c r="A342" s="34" t="str">
        <f>'NEW ACCOUNT'!A343</f>
        <v/>
      </c>
      <c r="B342" s="35" t="str">
        <f>IF('NEW ACCOUNT'!A343="","",'NEW ACCOUNT'!B343)</f>
        <v/>
      </c>
      <c r="C342" s="35" t="str">
        <f>IF('NEW ACCOUNT'!A343="","",'NEW ACCOUNT'!C343)</f>
        <v/>
      </c>
      <c r="D342" s="35" t="str">
        <f>IF('NEW ACCOUNT'!A343="","",'NEW ACCOUNT'!D343)</f>
        <v/>
      </c>
      <c r="E342" s="35" t="str">
        <f>IF('NEW ACCOUNT'!A343="","",'NEW ACCOUNT'!E343)</f>
        <v/>
      </c>
      <c r="F342" s="35" t="str">
        <f>IF('NEW ACCOUNT'!A343="","",'NEW ACCOUNT'!F343)</f>
        <v/>
      </c>
      <c r="G342" s="35" t="str">
        <f>IF('NEW ACCOUNT'!A343="","",'NEW ACCOUNT'!G343)</f>
        <v/>
      </c>
      <c r="H342" s="35" t="str">
        <f>IF('NEW ACCOUNT'!A343="","",'NEW ACCOUNT'!H343)</f>
        <v/>
      </c>
      <c r="I342" s="35" t="str">
        <f>IF('NEW ACCOUNT'!A343="","",'NEW ACCOUNT'!I343)</f>
        <v/>
      </c>
      <c r="J342" s="35" t="str">
        <f>IF('NEW ACCOUNT'!A343="","",'NEW ACCOUNT'!J343)</f>
        <v/>
      </c>
      <c r="K342" s="36" t="str">
        <f>IFERROR(IF(A342="","",SUMIF(DB_Savings!$A:$A,A342,DB_Savings!$F:$F)),"")</f>
        <v/>
      </c>
      <c r="L342" s="36" t="str">
        <f>IFERROR(IF(A342="","",SUMIF(DB_Withdrawals!$A:$A,A342,DB_Withdrawals!$G:$G)),"")</f>
        <v/>
      </c>
      <c r="M342" s="36" t="str">
        <f>IFERROR(IF(A342="","",IFERROR(VALUE(H342),0)+IFERROR(SUMIF(DB_Savings!$A:$A,A342,DB_Savings!$F:$F),0)-IFERROR(SUMIF(DB_Withdrawals!$A:$A,A342,DB_Withdrawals!$G:$G),0)),"")</f>
        <v/>
      </c>
      <c r="N342" s="36" t="str">
        <f>IFERROR(IF(A342="","",MAX(0,M342-System_Config!$B$9)),"")</f>
        <v/>
      </c>
    </row>
    <row r="343" spans="1:14" ht="20.100000000000001" customHeight="1" x14ac:dyDescent="0.25">
      <c r="A343" s="34" t="str">
        <f>'NEW ACCOUNT'!A344</f>
        <v/>
      </c>
      <c r="B343" s="35" t="str">
        <f>IF('NEW ACCOUNT'!A344="","",'NEW ACCOUNT'!B344)</f>
        <v/>
      </c>
      <c r="C343" s="35" t="str">
        <f>IF('NEW ACCOUNT'!A344="","",'NEW ACCOUNT'!C344)</f>
        <v/>
      </c>
      <c r="D343" s="35" t="str">
        <f>IF('NEW ACCOUNT'!A344="","",'NEW ACCOUNT'!D344)</f>
        <v/>
      </c>
      <c r="E343" s="35" t="str">
        <f>IF('NEW ACCOUNT'!A344="","",'NEW ACCOUNT'!E344)</f>
        <v/>
      </c>
      <c r="F343" s="35" t="str">
        <f>IF('NEW ACCOUNT'!A344="","",'NEW ACCOUNT'!F344)</f>
        <v/>
      </c>
      <c r="G343" s="35" t="str">
        <f>IF('NEW ACCOUNT'!A344="","",'NEW ACCOUNT'!G344)</f>
        <v/>
      </c>
      <c r="H343" s="35" t="str">
        <f>IF('NEW ACCOUNT'!A344="","",'NEW ACCOUNT'!H344)</f>
        <v/>
      </c>
      <c r="I343" s="35" t="str">
        <f>IF('NEW ACCOUNT'!A344="","",'NEW ACCOUNT'!I344)</f>
        <v/>
      </c>
      <c r="J343" s="35" t="str">
        <f>IF('NEW ACCOUNT'!A344="","",'NEW ACCOUNT'!J344)</f>
        <v/>
      </c>
      <c r="K343" s="36" t="str">
        <f>IFERROR(IF(A343="","",SUMIF(DB_Savings!$A:$A,A343,DB_Savings!$F:$F)),"")</f>
        <v/>
      </c>
      <c r="L343" s="36" t="str">
        <f>IFERROR(IF(A343="","",SUMIF(DB_Withdrawals!$A:$A,A343,DB_Withdrawals!$G:$G)),"")</f>
        <v/>
      </c>
      <c r="M343" s="36" t="str">
        <f>IFERROR(IF(A343="","",IFERROR(VALUE(H343),0)+IFERROR(SUMIF(DB_Savings!$A:$A,A343,DB_Savings!$F:$F),0)-IFERROR(SUMIF(DB_Withdrawals!$A:$A,A343,DB_Withdrawals!$G:$G),0)),"")</f>
        <v/>
      </c>
      <c r="N343" s="36" t="str">
        <f>IFERROR(IF(A343="","",MAX(0,M343-System_Config!$B$9)),"")</f>
        <v/>
      </c>
    </row>
    <row r="344" spans="1:14" ht="20.100000000000001" customHeight="1" x14ac:dyDescent="0.25">
      <c r="A344" s="34" t="str">
        <f>'NEW ACCOUNT'!A345</f>
        <v/>
      </c>
      <c r="B344" s="35" t="str">
        <f>IF('NEW ACCOUNT'!A345="","",'NEW ACCOUNT'!B345)</f>
        <v/>
      </c>
      <c r="C344" s="35" t="str">
        <f>IF('NEW ACCOUNT'!A345="","",'NEW ACCOUNT'!C345)</f>
        <v/>
      </c>
      <c r="D344" s="35" t="str">
        <f>IF('NEW ACCOUNT'!A345="","",'NEW ACCOUNT'!D345)</f>
        <v/>
      </c>
      <c r="E344" s="35" t="str">
        <f>IF('NEW ACCOUNT'!A345="","",'NEW ACCOUNT'!E345)</f>
        <v/>
      </c>
      <c r="F344" s="35" t="str">
        <f>IF('NEW ACCOUNT'!A345="","",'NEW ACCOUNT'!F345)</f>
        <v/>
      </c>
      <c r="G344" s="35" t="str">
        <f>IF('NEW ACCOUNT'!A345="","",'NEW ACCOUNT'!G345)</f>
        <v/>
      </c>
      <c r="H344" s="35" t="str">
        <f>IF('NEW ACCOUNT'!A345="","",'NEW ACCOUNT'!H345)</f>
        <v/>
      </c>
      <c r="I344" s="35" t="str">
        <f>IF('NEW ACCOUNT'!A345="","",'NEW ACCOUNT'!I345)</f>
        <v/>
      </c>
      <c r="J344" s="35" t="str">
        <f>IF('NEW ACCOUNT'!A345="","",'NEW ACCOUNT'!J345)</f>
        <v/>
      </c>
      <c r="K344" s="36" t="str">
        <f>IFERROR(IF(A344="","",SUMIF(DB_Savings!$A:$A,A344,DB_Savings!$F:$F)),"")</f>
        <v/>
      </c>
      <c r="L344" s="36" t="str">
        <f>IFERROR(IF(A344="","",SUMIF(DB_Withdrawals!$A:$A,A344,DB_Withdrawals!$G:$G)),"")</f>
        <v/>
      </c>
      <c r="M344" s="36" t="str">
        <f>IFERROR(IF(A344="","",IFERROR(VALUE(H344),0)+IFERROR(SUMIF(DB_Savings!$A:$A,A344,DB_Savings!$F:$F),0)-IFERROR(SUMIF(DB_Withdrawals!$A:$A,A344,DB_Withdrawals!$G:$G),0)),"")</f>
        <v/>
      </c>
      <c r="N344" s="36" t="str">
        <f>IFERROR(IF(A344="","",MAX(0,M344-System_Config!$B$9)),"")</f>
        <v/>
      </c>
    </row>
    <row r="345" spans="1:14" ht="20.100000000000001" customHeight="1" x14ac:dyDescent="0.25">
      <c r="A345" s="34" t="str">
        <f>'NEW ACCOUNT'!A346</f>
        <v/>
      </c>
      <c r="B345" s="35" t="str">
        <f>IF('NEW ACCOUNT'!A346="","",'NEW ACCOUNT'!B346)</f>
        <v/>
      </c>
      <c r="C345" s="35" t="str">
        <f>IF('NEW ACCOUNT'!A346="","",'NEW ACCOUNT'!C346)</f>
        <v/>
      </c>
      <c r="D345" s="35" t="str">
        <f>IF('NEW ACCOUNT'!A346="","",'NEW ACCOUNT'!D346)</f>
        <v/>
      </c>
      <c r="E345" s="35" t="str">
        <f>IF('NEW ACCOUNT'!A346="","",'NEW ACCOUNT'!E346)</f>
        <v/>
      </c>
      <c r="F345" s="35" t="str">
        <f>IF('NEW ACCOUNT'!A346="","",'NEW ACCOUNT'!F346)</f>
        <v/>
      </c>
      <c r="G345" s="35" t="str">
        <f>IF('NEW ACCOUNT'!A346="","",'NEW ACCOUNT'!G346)</f>
        <v/>
      </c>
      <c r="H345" s="35" t="str">
        <f>IF('NEW ACCOUNT'!A346="","",'NEW ACCOUNT'!H346)</f>
        <v/>
      </c>
      <c r="I345" s="35" t="str">
        <f>IF('NEW ACCOUNT'!A346="","",'NEW ACCOUNT'!I346)</f>
        <v/>
      </c>
      <c r="J345" s="35" t="str">
        <f>IF('NEW ACCOUNT'!A346="","",'NEW ACCOUNT'!J346)</f>
        <v/>
      </c>
      <c r="K345" s="36" t="str">
        <f>IFERROR(IF(A345="","",SUMIF(DB_Savings!$A:$A,A345,DB_Savings!$F:$F)),"")</f>
        <v/>
      </c>
      <c r="L345" s="36" t="str">
        <f>IFERROR(IF(A345="","",SUMIF(DB_Withdrawals!$A:$A,A345,DB_Withdrawals!$G:$G)),"")</f>
        <v/>
      </c>
      <c r="M345" s="36" t="str">
        <f>IFERROR(IF(A345="","",IFERROR(VALUE(H345),0)+IFERROR(SUMIF(DB_Savings!$A:$A,A345,DB_Savings!$F:$F),0)-IFERROR(SUMIF(DB_Withdrawals!$A:$A,A345,DB_Withdrawals!$G:$G),0)),"")</f>
        <v/>
      </c>
      <c r="N345" s="36" t="str">
        <f>IFERROR(IF(A345="","",MAX(0,M345-System_Config!$B$9)),"")</f>
        <v/>
      </c>
    </row>
    <row r="346" spans="1:14" ht="20.100000000000001" customHeight="1" x14ac:dyDescent="0.25">
      <c r="A346" s="34" t="str">
        <f>'NEW ACCOUNT'!A347</f>
        <v/>
      </c>
      <c r="B346" s="35" t="str">
        <f>IF('NEW ACCOUNT'!A347="","",'NEW ACCOUNT'!B347)</f>
        <v/>
      </c>
      <c r="C346" s="35" t="str">
        <f>IF('NEW ACCOUNT'!A347="","",'NEW ACCOUNT'!C347)</f>
        <v/>
      </c>
      <c r="D346" s="35" t="str">
        <f>IF('NEW ACCOUNT'!A347="","",'NEW ACCOUNT'!D347)</f>
        <v/>
      </c>
      <c r="E346" s="35" t="str">
        <f>IF('NEW ACCOUNT'!A347="","",'NEW ACCOUNT'!E347)</f>
        <v/>
      </c>
      <c r="F346" s="35" t="str">
        <f>IF('NEW ACCOUNT'!A347="","",'NEW ACCOUNT'!F347)</f>
        <v/>
      </c>
      <c r="G346" s="35" t="str">
        <f>IF('NEW ACCOUNT'!A347="","",'NEW ACCOUNT'!G347)</f>
        <v/>
      </c>
      <c r="H346" s="35" t="str">
        <f>IF('NEW ACCOUNT'!A347="","",'NEW ACCOUNT'!H347)</f>
        <v/>
      </c>
      <c r="I346" s="35" t="str">
        <f>IF('NEW ACCOUNT'!A347="","",'NEW ACCOUNT'!I347)</f>
        <v/>
      </c>
      <c r="J346" s="35" t="str">
        <f>IF('NEW ACCOUNT'!A347="","",'NEW ACCOUNT'!J347)</f>
        <v/>
      </c>
      <c r="K346" s="36" t="str">
        <f>IFERROR(IF(A346="","",SUMIF(DB_Savings!$A:$A,A346,DB_Savings!$F:$F)),"")</f>
        <v/>
      </c>
      <c r="L346" s="36" t="str">
        <f>IFERROR(IF(A346="","",SUMIF(DB_Withdrawals!$A:$A,A346,DB_Withdrawals!$G:$G)),"")</f>
        <v/>
      </c>
      <c r="M346" s="36" t="str">
        <f>IFERROR(IF(A346="","",IFERROR(VALUE(H346),0)+IFERROR(SUMIF(DB_Savings!$A:$A,A346,DB_Savings!$F:$F),0)-IFERROR(SUMIF(DB_Withdrawals!$A:$A,A346,DB_Withdrawals!$G:$G),0)),"")</f>
        <v/>
      </c>
      <c r="N346" s="36" t="str">
        <f>IFERROR(IF(A346="","",MAX(0,M346-System_Config!$B$9)),"")</f>
        <v/>
      </c>
    </row>
    <row r="347" spans="1:14" ht="20.100000000000001" customHeight="1" x14ac:dyDescent="0.25">
      <c r="A347" s="34" t="str">
        <f>'NEW ACCOUNT'!A348</f>
        <v/>
      </c>
      <c r="B347" s="35" t="str">
        <f>IF('NEW ACCOUNT'!A348="","",'NEW ACCOUNT'!B348)</f>
        <v/>
      </c>
      <c r="C347" s="35" t="str">
        <f>IF('NEW ACCOUNT'!A348="","",'NEW ACCOUNT'!C348)</f>
        <v/>
      </c>
      <c r="D347" s="35" t="str">
        <f>IF('NEW ACCOUNT'!A348="","",'NEW ACCOUNT'!D348)</f>
        <v/>
      </c>
      <c r="E347" s="35" t="str">
        <f>IF('NEW ACCOUNT'!A348="","",'NEW ACCOUNT'!E348)</f>
        <v/>
      </c>
      <c r="F347" s="35" t="str">
        <f>IF('NEW ACCOUNT'!A348="","",'NEW ACCOUNT'!F348)</f>
        <v/>
      </c>
      <c r="G347" s="35" t="str">
        <f>IF('NEW ACCOUNT'!A348="","",'NEW ACCOUNT'!G348)</f>
        <v/>
      </c>
      <c r="H347" s="35" t="str">
        <f>IF('NEW ACCOUNT'!A348="","",'NEW ACCOUNT'!H348)</f>
        <v/>
      </c>
      <c r="I347" s="35" t="str">
        <f>IF('NEW ACCOUNT'!A348="","",'NEW ACCOUNT'!I348)</f>
        <v/>
      </c>
      <c r="J347" s="35" t="str">
        <f>IF('NEW ACCOUNT'!A348="","",'NEW ACCOUNT'!J348)</f>
        <v/>
      </c>
      <c r="K347" s="36" t="str">
        <f>IFERROR(IF(A347="","",SUMIF(DB_Savings!$A:$A,A347,DB_Savings!$F:$F)),"")</f>
        <v/>
      </c>
      <c r="L347" s="36" t="str">
        <f>IFERROR(IF(A347="","",SUMIF(DB_Withdrawals!$A:$A,A347,DB_Withdrawals!$G:$G)),"")</f>
        <v/>
      </c>
      <c r="M347" s="36" t="str">
        <f>IFERROR(IF(A347="","",IFERROR(VALUE(H347),0)+IFERROR(SUMIF(DB_Savings!$A:$A,A347,DB_Savings!$F:$F),0)-IFERROR(SUMIF(DB_Withdrawals!$A:$A,A347,DB_Withdrawals!$G:$G),0)),"")</f>
        <v/>
      </c>
      <c r="N347" s="36" t="str">
        <f>IFERROR(IF(A347="","",MAX(0,M347-System_Config!$B$9)),"")</f>
        <v/>
      </c>
    </row>
    <row r="348" spans="1:14" ht="20.100000000000001" customHeight="1" x14ac:dyDescent="0.25">
      <c r="A348" s="34" t="str">
        <f>'NEW ACCOUNT'!A349</f>
        <v/>
      </c>
      <c r="B348" s="35" t="str">
        <f>IF('NEW ACCOUNT'!A349="","",'NEW ACCOUNT'!B349)</f>
        <v/>
      </c>
      <c r="C348" s="35" t="str">
        <f>IF('NEW ACCOUNT'!A349="","",'NEW ACCOUNT'!C349)</f>
        <v/>
      </c>
      <c r="D348" s="35" t="str">
        <f>IF('NEW ACCOUNT'!A349="","",'NEW ACCOUNT'!D349)</f>
        <v/>
      </c>
      <c r="E348" s="35" t="str">
        <f>IF('NEW ACCOUNT'!A349="","",'NEW ACCOUNT'!E349)</f>
        <v/>
      </c>
      <c r="F348" s="35" t="str">
        <f>IF('NEW ACCOUNT'!A349="","",'NEW ACCOUNT'!F349)</f>
        <v/>
      </c>
      <c r="G348" s="35" t="str">
        <f>IF('NEW ACCOUNT'!A349="","",'NEW ACCOUNT'!G349)</f>
        <v/>
      </c>
      <c r="H348" s="35" t="str">
        <f>IF('NEW ACCOUNT'!A349="","",'NEW ACCOUNT'!H349)</f>
        <v/>
      </c>
      <c r="I348" s="35" t="str">
        <f>IF('NEW ACCOUNT'!A349="","",'NEW ACCOUNT'!I349)</f>
        <v/>
      </c>
      <c r="J348" s="35" t="str">
        <f>IF('NEW ACCOUNT'!A349="","",'NEW ACCOUNT'!J349)</f>
        <v/>
      </c>
      <c r="K348" s="36" t="str">
        <f>IFERROR(IF(A348="","",SUMIF(DB_Savings!$A:$A,A348,DB_Savings!$F:$F)),"")</f>
        <v/>
      </c>
      <c r="L348" s="36" t="str">
        <f>IFERROR(IF(A348="","",SUMIF(DB_Withdrawals!$A:$A,A348,DB_Withdrawals!$G:$G)),"")</f>
        <v/>
      </c>
      <c r="M348" s="36" t="str">
        <f>IFERROR(IF(A348="","",IFERROR(VALUE(H348),0)+IFERROR(SUMIF(DB_Savings!$A:$A,A348,DB_Savings!$F:$F),0)-IFERROR(SUMIF(DB_Withdrawals!$A:$A,A348,DB_Withdrawals!$G:$G),0)),"")</f>
        <v/>
      </c>
      <c r="N348" s="36" t="str">
        <f>IFERROR(IF(A348="","",MAX(0,M348-System_Config!$B$9)),"")</f>
        <v/>
      </c>
    </row>
    <row r="349" spans="1:14" ht="20.100000000000001" customHeight="1" x14ac:dyDescent="0.25">
      <c r="A349" s="34" t="str">
        <f>'NEW ACCOUNT'!A350</f>
        <v/>
      </c>
      <c r="B349" s="35" t="str">
        <f>IF('NEW ACCOUNT'!A350="","",'NEW ACCOUNT'!B350)</f>
        <v/>
      </c>
      <c r="C349" s="35" t="str">
        <f>IF('NEW ACCOUNT'!A350="","",'NEW ACCOUNT'!C350)</f>
        <v/>
      </c>
      <c r="D349" s="35" t="str">
        <f>IF('NEW ACCOUNT'!A350="","",'NEW ACCOUNT'!D350)</f>
        <v/>
      </c>
      <c r="E349" s="35" t="str">
        <f>IF('NEW ACCOUNT'!A350="","",'NEW ACCOUNT'!E350)</f>
        <v/>
      </c>
      <c r="F349" s="35" t="str">
        <f>IF('NEW ACCOUNT'!A350="","",'NEW ACCOUNT'!F350)</f>
        <v/>
      </c>
      <c r="G349" s="35" t="str">
        <f>IF('NEW ACCOUNT'!A350="","",'NEW ACCOUNT'!G350)</f>
        <v/>
      </c>
      <c r="H349" s="35" t="str">
        <f>IF('NEW ACCOUNT'!A350="","",'NEW ACCOUNT'!H350)</f>
        <v/>
      </c>
      <c r="I349" s="35" t="str">
        <f>IF('NEW ACCOUNT'!A350="","",'NEW ACCOUNT'!I350)</f>
        <v/>
      </c>
      <c r="J349" s="35" t="str">
        <f>IF('NEW ACCOUNT'!A350="","",'NEW ACCOUNT'!J350)</f>
        <v/>
      </c>
      <c r="K349" s="36" t="str">
        <f>IFERROR(IF(A349="","",SUMIF(DB_Savings!$A:$A,A349,DB_Savings!$F:$F)),"")</f>
        <v/>
      </c>
      <c r="L349" s="36" t="str">
        <f>IFERROR(IF(A349="","",SUMIF(DB_Withdrawals!$A:$A,A349,DB_Withdrawals!$G:$G)),"")</f>
        <v/>
      </c>
      <c r="M349" s="36" t="str">
        <f>IFERROR(IF(A349="","",IFERROR(VALUE(H349),0)+IFERROR(SUMIF(DB_Savings!$A:$A,A349,DB_Savings!$F:$F),0)-IFERROR(SUMIF(DB_Withdrawals!$A:$A,A349,DB_Withdrawals!$G:$G),0)),"")</f>
        <v/>
      </c>
      <c r="N349" s="36" t="str">
        <f>IFERROR(IF(A349="","",MAX(0,M349-System_Config!$B$9)),"")</f>
        <v/>
      </c>
    </row>
    <row r="350" spans="1:14" ht="20.100000000000001" customHeight="1" x14ac:dyDescent="0.25">
      <c r="A350" s="34" t="str">
        <f>'NEW ACCOUNT'!A351</f>
        <v/>
      </c>
      <c r="B350" s="35" t="str">
        <f>IF('NEW ACCOUNT'!A351="","",'NEW ACCOUNT'!B351)</f>
        <v/>
      </c>
      <c r="C350" s="35" t="str">
        <f>IF('NEW ACCOUNT'!A351="","",'NEW ACCOUNT'!C351)</f>
        <v/>
      </c>
      <c r="D350" s="35" t="str">
        <f>IF('NEW ACCOUNT'!A351="","",'NEW ACCOUNT'!D351)</f>
        <v/>
      </c>
      <c r="E350" s="35" t="str">
        <f>IF('NEW ACCOUNT'!A351="","",'NEW ACCOUNT'!E351)</f>
        <v/>
      </c>
      <c r="F350" s="35" t="str">
        <f>IF('NEW ACCOUNT'!A351="","",'NEW ACCOUNT'!F351)</f>
        <v/>
      </c>
      <c r="G350" s="35" t="str">
        <f>IF('NEW ACCOUNT'!A351="","",'NEW ACCOUNT'!G351)</f>
        <v/>
      </c>
      <c r="H350" s="35" t="str">
        <f>IF('NEW ACCOUNT'!A351="","",'NEW ACCOUNT'!H351)</f>
        <v/>
      </c>
      <c r="I350" s="35" t="str">
        <f>IF('NEW ACCOUNT'!A351="","",'NEW ACCOUNT'!I351)</f>
        <v/>
      </c>
      <c r="J350" s="35" t="str">
        <f>IF('NEW ACCOUNT'!A351="","",'NEW ACCOUNT'!J351)</f>
        <v/>
      </c>
      <c r="K350" s="36" t="str">
        <f>IFERROR(IF(A350="","",SUMIF(DB_Savings!$A:$A,A350,DB_Savings!$F:$F)),"")</f>
        <v/>
      </c>
      <c r="L350" s="36" t="str">
        <f>IFERROR(IF(A350="","",SUMIF(DB_Withdrawals!$A:$A,A350,DB_Withdrawals!$G:$G)),"")</f>
        <v/>
      </c>
      <c r="M350" s="36" t="str">
        <f>IFERROR(IF(A350="","",IFERROR(VALUE(H350),0)+IFERROR(SUMIF(DB_Savings!$A:$A,A350,DB_Savings!$F:$F),0)-IFERROR(SUMIF(DB_Withdrawals!$A:$A,A350,DB_Withdrawals!$G:$G),0)),"")</f>
        <v/>
      </c>
      <c r="N350" s="36" t="str">
        <f>IFERROR(IF(A350="","",MAX(0,M350-System_Config!$B$9)),"")</f>
        <v/>
      </c>
    </row>
    <row r="351" spans="1:14" ht="20.100000000000001" customHeight="1" x14ac:dyDescent="0.25">
      <c r="A351" s="34" t="str">
        <f>'NEW ACCOUNT'!A352</f>
        <v/>
      </c>
      <c r="B351" s="35" t="str">
        <f>IF('NEW ACCOUNT'!A352="","",'NEW ACCOUNT'!B352)</f>
        <v/>
      </c>
      <c r="C351" s="35" t="str">
        <f>IF('NEW ACCOUNT'!A352="","",'NEW ACCOUNT'!C352)</f>
        <v/>
      </c>
      <c r="D351" s="35" t="str">
        <f>IF('NEW ACCOUNT'!A352="","",'NEW ACCOUNT'!D352)</f>
        <v/>
      </c>
      <c r="E351" s="35" t="str">
        <f>IF('NEW ACCOUNT'!A352="","",'NEW ACCOUNT'!E352)</f>
        <v/>
      </c>
      <c r="F351" s="35" t="str">
        <f>IF('NEW ACCOUNT'!A352="","",'NEW ACCOUNT'!F352)</f>
        <v/>
      </c>
      <c r="G351" s="35" t="str">
        <f>IF('NEW ACCOUNT'!A352="","",'NEW ACCOUNT'!G352)</f>
        <v/>
      </c>
      <c r="H351" s="35" t="str">
        <f>IF('NEW ACCOUNT'!A352="","",'NEW ACCOUNT'!H352)</f>
        <v/>
      </c>
      <c r="I351" s="35" t="str">
        <f>IF('NEW ACCOUNT'!A352="","",'NEW ACCOUNT'!I352)</f>
        <v/>
      </c>
      <c r="J351" s="35" t="str">
        <f>IF('NEW ACCOUNT'!A352="","",'NEW ACCOUNT'!J352)</f>
        <v/>
      </c>
      <c r="K351" s="36" t="str">
        <f>IFERROR(IF(A351="","",SUMIF(DB_Savings!$A:$A,A351,DB_Savings!$F:$F)),"")</f>
        <v/>
      </c>
      <c r="L351" s="36" t="str">
        <f>IFERROR(IF(A351="","",SUMIF(DB_Withdrawals!$A:$A,A351,DB_Withdrawals!$G:$G)),"")</f>
        <v/>
      </c>
      <c r="M351" s="36" t="str">
        <f>IFERROR(IF(A351="","",IFERROR(VALUE(H351),0)+IFERROR(SUMIF(DB_Savings!$A:$A,A351,DB_Savings!$F:$F),0)-IFERROR(SUMIF(DB_Withdrawals!$A:$A,A351,DB_Withdrawals!$G:$G),0)),"")</f>
        <v/>
      </c>
      <c r="N351" s="36" t="str">
        <f>IFERROR(IF(A351="","",MAX(0,M351-System_Config!$B$9)),"")</f>
        <v/>
      </c>
    </row>
    <row r="352" spans="1:14" ht="20.100000000000001" customHeight="1" x14ac:dyDescent="0.25">
      <c r="A352" s="34" t="str">
        <f>'NEW ACCOUNT'!A353</f>
        <v/>
      </c>
      <c r="B352" s="35" t="str">
        <f>IF('NEW ACCOUNT'!A353="","",'NEW ACCOUNT'!B353)</f>
        <v/>
      </c>
      <c r="C352" s="35" t="str">
        <f>IF('NEW ACCOUNT'!A353="","",'NEW ACCOUNT'!C353)</f>
        <v/>
      </c>
      <c r="D352" s="35" t="str">
        <f>IF('NEW ACCOUNT'!A353="","",'NEW ACCOUNT'!D353)</f>
        <v/>
      </c>
      <c r="E352" s="35" t="str">
        <f>IF('NEW ACCOUNT'!A353="","",'NEW ACCOUNT'!E353)</f>
        <v/>
      </c>
      <c r="F352" s="35" t="str">
        <f>IF('NEW ACCOUNT'!A353="","",'NEW ACCOUNT'!F353)</f>
        <v/>
      </c>
      <c r="G352" s="35" t="str">
        <f>IF('NEW ACCOUNT'!A353="","",'NEW ACCOUNT'!G353)</f>
        <v/>
      </c>
      <c r="H352" s="35" t="str">
        <f>IF('NEW ACCOUNT'!A353="","",'NEW ACCOUNT'!H353)</f>
        <v/>
      </c>
      <c r="I352" s="35" t="str">
        <f>IF('NEW ACCOUNT'!A353="","",'NEW ACCOUNT'!I353)</f>
        <v/>
      </c>
      <c r="J352" s="35" t="str">
        <f>IF('NEW ACCOUNT'!A353="","",'NEW ACCOUNT'!J353)</f>
        <v/>
      </c>
      <c r="K352" s="36" t="str">
        <f>IFERROR(IF(A352="","",SUMIF(DB_Savings!$A:$A,A352,DB_Savings!$F:$F)),"")</f>
        <v/>
      </c>
      <c r="L352" s="36" t="str">
        <f>IFERROR(IF(A352="","",SUMIF(DB_Withdrawals!$A:$A,A352,DB_Withdrawals!$G:$G)),"")</f>
        <v/>
      </c>
      <c r="M352" s="36" t="str">
        <f>IFERROR(IF(A352="","",IFERROR(VALUE(H352),0)+IFERROR(SUMIF(DB_Savings!$A:$A,A352,DB_Savings!$F:$F),0)-IFERROR(SUMIF(DB_Withdrawals!$A:$A,A352,DB_Withdrawals!$G:$G),0)),"")</f>
        <v/>
      </c>
      <c r="N352" s="36" t="str">
        <f>IFERROR(IF(A352="","",MAX(0,M352-System_Config!$B$9)),"")</f>
        <v/>
      </c>
    </row>
    <row r="353" spans="1:14" ht="20.100000000000001" customHeight="1" x14ac:dyDescent="0.25">
      <c r="A353" s="34" t="str">
        <f>'NEW ACCOUNT'!A354</f>
        <v/>
      </c>
      <c r="B353" s="35" t="str">
        <f>IF('NEW ACCOUNT'!A354="","",'NEW ACCOUNT'!B354)</f>
        <v/>
      </c>
      <c r="C353" s="35" t="str">
        <f>IF('NEW ACCOUNT'!A354="","",'NEW ACCOUNT'!C354)</f>
        <v/>
      </c>
      <c r="D353" s="35" t="str">
        <f>IF('NEW ACCOUNT'!A354="","",'NEW ACCOUNT'!D354)</f>
        <v/>
      </c>
      <c r="E353" s="35" t="str">
        <f>IF('NEW ACCOUNT'!A354="","",'NEW ACCOUNT'!E354)</f>
        <v/>
      </c>
      <c r="F353" s="35" t="str">
        <f>IF('NEW ACCOUNT'!A354="","",'NEW ACCOUNT'!F354)</f>
        <v/>
      </c>
      <c r="G353" s="35" t="str">
        <f>IF('NEW ACCOUNT'!A354="","",'NEW ACCOUNT'!G354)</f>
        <v/>
      </c>
      <c r="H353" s="35" t="str">
        <f>IF('NEW ACCOUNT'!A354="","",'NEW ACCOUNT'!H354)</f>
        <v/>
      </c>
      <c r="I353" s="35" t="str">
        <f>IF('NEW ACCOUNT'!A354="","",'NEW ACCOUNT'!I354)</f>
        <v/>
      </c>
      <c r="J353" s="35" t="str">
        <f>IF('NEW ACCOUNT'!A354="","",'NEW ACCOUNT'!J354)</f>
        <v/>
      </c>
      <c r="K353" s="36" t="str">
        <f>IFERROR(IF(A353="","",SUMIF(DB_Savings!$A:$A,A353,DB_Savings!$F:$F)),"")</f>
        <v/>
      </c>
      <c r="L353" s="36" t="str">
        <f>IFERROR(IF(A353="","",SUMIF(DB_Withdrawals!$A:$A,A353,DB_Withdrawals!$G:$G)),"")</f>
        <v/>
      </c>
      <c r="M353" s="36" t="str">
        <f>IFERROR(IF(A353="","",IFERROR(VALUE(H353),0)+IFERROR(SUMIF(DB_Savings!$A:$A,A353,DB_Savings!$F:$F),0)-IFERROR(SUMIF(DB_Withdrawals!$A:$A,A353,DB_Withdrawals!$G:$G),0)),"")</f>
        <v/>
      </c>
      <c r="N353" s="36" t="str">
        <f>IFERROR(IF(A353="","",MAX(0,M353-System_Config!$B$9)),"")</f>
        <v/>
      </c>
    </row>
    <row r="354" spans="1:14" ht="20.100000000000001" customHeight="1" x14ac:dyDescent="0.25">
      <c r="A354" s="34" t="str">
        <f>'NEW ACCOUNT'!A355</f>
        <v/>
      </c>
      <c r="B354" s="35" t="str">
        <f>IF('NEW ACCOUNT'!A355="","",'NEW ACCOUNT'!B355)</f>
        <v/>
      </c>
      <c r="C354" s="35" t="str">
        <f>IF('NEW ACCOUNT'!A355="","",'NEW ACCOUNT'!C355)</f>
        <v/>
      </c>
      <c r="D354" s="35" t="str">
        <f>IF('NEW ACCOUNT'!A355="","",'NEW ACCOUNT'!D355)</f>
        <v/>
      </c>
      <c r="E354" s="35" t="str">
        <f>IF('NEW ACCOUNT'!A355="","",'NEW ACCOUNT'!E355)</f>
        <v/>
      </c>
      <c r="F354" s="35" t="str">
        <f>IF('NEW ACCOUNT'!A355="","",'NEW ACCOUNT'!F355)</f>
        <v/>
      </c>
      <c r="G354" s="35" t="str">
        <f>IF('NEW ACCOUNT'!A355="","",'NEW ACCOUNT'!G355)</f>
        <v/>
      </c>
      <c r="H354" s="35" t="str">
        <f>IF('NEW ACCOUNT'!A355="","",'NEW ACCOUNT'!H355)</f>
        <v/>
      </c>
      <c r="I354" s="35" t="str">
        <f>IF('NEW ACCOUNT'!A355="","",'NEW ACCOUNT'!I355)</f>
        <v/>
      </c>
      <c r="J354" s="35" t="str">
        <f>IF('NEW ACCOUNT'!A355="","",'NEW ACCOUNT'!J355)</f>
        <v/>
      </c>
      <c r="K354" s="36" t="str">
        <f>IFERROR(IF(A354="","",SUMIF(DB_Savings!$A:$A,A354,DB_Savings!$F:$F)),"")</f>
        <v/>
      </c>
      <c r="L354" s="36" t="str">
        <f>IFERROR(IF(A354="","",SUMIF(DB_Withdrawals!$A:$A,A354,DB_Withdrawals!$G:$G)),"")</f>
        <v/>
      </c>
      <c r="M354" s="36" t="str">
        <f>IFERROR(IF(A354="","",IFERROR(VALUE(H354),0)+IFERROR(SUMIF(DB_Savings!$A:$A,A354,DB_Savings!$F:$F),0)-IFERROR(SUMIF(DB_Withdrawals!$A:$A,A354,DB_Withdrawals!$G:$G),0)),"")</f>
        <v/>
      </c>
      <c r="N354" s="36" t="str">
        <f>IFERROR(IF(A354="","",MAX(0,M354-System_Config!$B$9)),"")</f>
        <v/>
      </c>
    </row>
    <row r="355" spans="1:14" ht="20.100000000000001" customHeight="1" x14ac:dyDescent="0.25">
      <c r="A355" s="34" t="str">
        <f>'NEW ACCOUNT'!A356</f>
        <v/>
      </c>
      <c r="B355" s="35" t="str">
        <f>IF('NEW ACCOUNT'!A356="","",'NEW ACCOUNT'!B356)</f>
        <v/>
      </c>
      <c r="C355" s="35" t="str">
        <f>IF('NEW ACCOUNT'!A356="","",'NEW ACCOUNT'!C356)</f>
        <v/>
      </c>
      <c r="D355" s="35" t="str">
        <f>IF('NEW ACCOUNT'!A356="","",'NEW ACCOUNT'!D356)</f>
        <v/>
      </c>
      <c r="E355" s="35" t="str">
        <f>IF('NEW ACCOUNT'!A356="","",'NEW ACCOUNT'!E356)</f>
        <v/>
      </c>
      <c r="F355" s="35" t="str">
        <f>IF('NEW ACCOUNT'!A356="","",'NEW ACCOUNT'!F356)</f>
        <v/>
      </c>
      <c r="G355" s="35" t="str">
        <f>IF('NEW ACCOUNT'!A356="","",'NEW ACCOUNT'!G356)</f>
        <v/>
      </c>
      <c r="H355" s="35" t="str">
        <f>IF('NEW ACCOUNT'!A356="","",'NEW ACCOUNT'!H356)</f>
        <v/>
      </c>
      <c r="I355" s="35" t="str">
        <f>IF('NEW ACCOUNT'!A356="","",'NEW ACCOUNT'!I356)</f>
        <v/>
      </c>
      <c r="J355" s="35" t="str">
        <f>IF('NEW ACCOUNT'!A356="","",'NEW ACCOUNT'!J356)</f>
        <v/>
      </c>
      <c r="K355" s="36" t="str">
        <f>IFERROR(IF(A355="","",SUMIF(DB_Savings!$A:$A,A355,DB_Savings!$F:$F)),"")</f>
        <v/>
      </c>
      <c r="L355" s="36" t="str">
        <f>IFERROR(IF(A355="","",SUMIF(DB_Withdrawals!$A:$A,A355,DB_Withdrawals!$G:$G)),"")</f>
        <v/>
      </c>
      <c r="M355" s="36" t="str">
        <f>IFERROR(IF(A355="","",IFERROR(VALUE(H355),0)+IFERROR(SUMIF(DB_Savings!$A:$A,A355,DB_Savings!$F:$F),0)-IFERROR(SUMIF(DB_Withdrawals!$A:$A,A355,DB_Withdrawals!$G:$G),0)),"")</f>
        <v/>
      </c>
      <c r="N355" s="36" t="str">
        <f>IFERROR(IF(A355="","",MAX(0,M355-System_Config!$B$9)),"")</f>
        <v/>
      </c>
    </row>
    <row r="356" spans="1:14" ht="20.100000000000001" customHeight="1" x14ac:dyDescent="0.25">
      <c r="A356" s="34" t="str">
        <f>'NEW ACCOUNT'!A357</f>
        <v/>
      </c>
      <c r="B356" s="35" t="str">
        <f>IF('NEW ACCOUNT'!A357="","",'NEW ACCOUNT'!B357)</f>
        <v/>
      </c>
      <c r="C356" s="35" t="str">
        <f>IF('NEW ACCOUNT'!A357="","",'NEW ACCOUNT'!C357)</f>
        <v/>
      </c>
      <c r="D356" s="35" t="str">
        <f>IF('NEW ACCOUNT'!A357="","",'NEW ACCOUNT'!D357)</f>
        <v/>
      </c>
      <c r="E356" s="35" t="str">
        <f>IF('NEW ACCOUNT'!A357="","",'NEW ACCOUNT'!E357)</f>
        <v/>
      </c>
      <c r="F356" s="35" t="str">
        <f>IF('NEW ACCOUNT'!A357="","",'NEW ACCOUNT'!F357)</f>
        <v/>
      </c>
      <c r="G356" s="35" t="str">
        <f>IF('NEW ACCOUNT'!A357="","",'NEW ACCOUNT'!G357)</f>
        <v/>
      </c>
      <c r="H356" s="35" t="str">
        <f>IF('NEW ACCOUNT'!A357="","",'NEW ACCOUNT'!H357)</f>
        <v/>
      </c>
      <c r="I356" s="35" t="str">
        <f>IF('NEW ACCOUNT'!A357="","",'NEW ACCOUNT'!I357)</f>
        <v/>
      </c>
      <c r="J356" s="35" t="str">
        <f>IF('NEW ACCOUNT'!A357="","",'NEW ACCOUNT'!J357)</f>
        <v/>
      </c>
      <c r="K356" s="36" t="str">
        <f>IFERROR(IF(A356="","",SUMIF(DB_Savings!$A:$A,A356,DB_Savings!$F:$F)),"")</f>
        <v/>
      </c>
      <c r="L356" s="36" t="str">
        <f>IFERROR(IF(A356="","",SUMIF(DB_Withdrawals!$A:$A,A356,DB_Withdrawals!$G:$G)),"")</f>
        <v/>
      </c>
      <c r="M356" s="36" t="str">
        <f>IFERROR(IF(A356="","",IFERROR(VALUE(H356),0)+IFERROR(SUMIF(DB_Savings!$A:$A,A356,DB_Savings!$F:$F),0)-IFERROR(SUMIF(DB_Withdrawals!$A:$A,A356,DB_Withdrawals!$G:$G),0)),"")</f>
        <v/>
      </c>
      <c r="N356" s="36" t="str">
        <f>IFERROR(IF(A356="","",MAX(0,M356-System_Config!$B$9)),"")</f>
        <v/>
      </c>
    </row>
    <row r="357" spans="1:14" ht="20.100000000000001" customHeight="1" x14ac:dyDescent="0.25">
      <c r="A357" s="34" t="str">
        <f>'NEW ACCOUNT'!A358</f>
        <v/>
      </c>
      <c r="B357" s="35" t="str">
        <f>IF('NEW ACCOUNT'!A358="","",'NEW ACCOUNT'!B358)</f>
        <v/>
      </c>
      <c r="C357" s="35" t="str">
        <f>IF('NEW ACCOUNT'!A358="","",'NEW ACCOUNT'!C358)</f>
        <v/>
      </c>
      <c r="D357" s="35" t="str">
        <f>IF('NEW ACCOUNT'!A358="","",'NEW ACCOUNT'!D358)</f>
        <v/>
      </c>
      <c r="E357" s="35" t="str">
        <f>IF('NEW ACCOUNT'!A358="","",'NEW ACCOUNT'!E358)</f>
        <v/>
      </c>
      <c r="F357" s="35" t="str">
        <f>IF('NEW ACCOUNT'!A358="","",'NEW ACCOUNT'!F358)</f>
        <v/>
      </c>
      <c r="G357" s="35" t="str">
        <f>IF('NEW ACCOUNT'!A358="","",'NEW ACCOUNT'!G358)</f>
        <v/>
      </c>
      <c r="H357" s="35" t="str">
        <f>IF('NEW ACCOUNT'!A358="","",'NEW ACCOUNT'!H358)</f>
        <v/>
      </c>
      <c r="I357" s="35" t="str">
        <f>IF('NEW ACCOUNT'!A358="","",'NEW ACCOUNT'!I358)</f>
        <v/>
      </c>
      <c r="J357" s="35" t="str">
        <f>IF('NEW ACCOUNT'!A358="","",'NEW ACCOUNT'!J358)</f>
        <v/>
      </c>
      <c r="K357" s="36" t="str">
        <f>IFERROR(IF(A357="","",SUMIF(DB_Savings!$A:$A,A357,DB_Savings!$F:$F)),"")</f>
        <v/>
      </c>
      <c r="L357" s="36" t="str">
        <f>IFERROR(IF(A357="","",SUMIF(DB_Withdrawals!$A:$A,A357,DB_Withdrawals!$G:$G)),"")</f>
        <v/>
      </c>
      <c r="M357" s="36" t="str">
        <f>IFERROR(IF(A357="","",IFERROR(VALUE(H357),0)+IFERROR(SUMIF(DB_Savings!$A:$A,A357,DB_Savings!$F:$F),0)-IFERROR(SUMIF(DB_Withdrawals!$A:$A,A357,DB_Withdrawals!$G:$G),0)),"")</f>
        <v/>
      </c>
      <c r="N357" s="36" t="str">
        <f>IFERROR(IF(A357="","",MAX(0,M357-System_Config!$B$9)),"")</f>
        <v/>
      </c>
    </row>
    <row r="358" spans="1:14" ht="20.100000000000001" customHeight="1" x14ac:dyDescent="0.25">
      <c r="A358" s="34" t="str">
        <f>'NEW ACCOUNT'!A359</f>
        <v/>
      </c>
      <c r="B358" s="35" t="str">
        <f>IF('NEW ACCOUNT'!A359="","",'NEW ACCOUNT'!B359)</f>
        <v/>
      </c>
      <c r="C358" s="35" t="str">
        <f>IF('NEW ACCOUNT'!A359="","",'NEW ACCOUNT'!C359)</f>
        <v/>
      </c>
      <c r="D358" s="35" t="str">
        <f>IF('NEW ACCOUNT'!A359="","",'NEW ACCOUNT'!D359)</f>
        <v/>
      </c>
      <c r="E358" s="35" t="str">
        <f>IF('NEW ACCOUNT'!A359="","",'NEW ACCOUNT'!E359)</f>
        <v/>
      </c>
      <c r="F358" s="35" t="str">
        <f>IF('NEW ACCOUNT'!A359="","",'NEW ACCOUNT'!F359)</f>
        <v/>
      </c>
      <c r="G358" s="35" t="str">
        <f>IF('NEW ACCOUNT'!A359="","",'NEW ACCOUNT'!G359)</f>
        <v/>
      </c>
      <c r="H358" s="35" t="str">
        <f>IF('NEW ACCOUNT'!A359="","",'NEW ACCOUNT'!H359)</f>
        <v/>
      </c>
      <c r="I358" s="35" t="str">
        <f>IF('NEW ACCOUNT'!A359="","",'NEW ACCOUNT'!I359)</f>
        <v/>
      </c>
      <c r="J358" s="35" t="str">
        <f>IF('NEW ACCOUNT'!A359="","",'NEW ACCOUNT'!J359)</f>
        <v/>
      </c>
      <c r="K358" s="36" t="str">
        <f>IFERROR(IF(A358="","",SUMIF(DB_Savings!$A:$A,A358,DB_Savings!$F:$F)),"")</f>
        <v/>
      </c>
      <c r="L358" s="36" t="str">
        <f>IFERROR(IF(A358="","",SUMIF(DB_Withdrawals!$A:$A,A358,DB_Withdrawals!$G:$G)),"")</f>
        <v/>
      </c>
      <c r="M358" s="36" t="str">
        <f>IFERROR(IF(A358="","",IFERROR(VALUE(H358),0)+IFERROR(SUMIF(DB_Savings!$A:$A,A358,DB_Savings!$F:$F),0)-IFERROR(SUMIF(DB_Withdrawals!$A:$A,A358,DB_Withdrawals!$G:$G),0)),"")</f>
        <v/>
      </c>
      <c r="N358" s="36" t="str">
        <f>IFERROR(IF(A358="","",MAX(0,M358-System_Config!$B$9)),"")</f>
        <v/>
      </c>
    </row>
    <row r="359" spans="1:14" ht="20.100000000000001" customHeight="1" x14ac:dyDescent="0.25">
      <c r="A359" s="34" t="str">
        <f>'NEW ACCOUNT'!A360</f>
        <v/>
      </c>
      <c r="B359" s="35" t="str">
        <f>IF('NEW ACCOUNT'!A360="","",'NEW ACCOUNT'!B360)</f>
        <v/>
      </c>
      <c r="C359" s="35" t="str">
        <f>IF('NEW ACCOUNT'!A360="","",'NEW ACCOUNT'!C360)</f>
        <v/>
      </c>
      <c r="D359" s="35" t="str">
        <f>IF('NEW ACCOUNT'!A360="","",'NEW ACCOUNT'!D360)</f>
        <v/>
      </c>
      <c r="E359" s="35" t="str">
        <f>IF('NEW ACCOUNT'!A360="","",'NEW ACCOUNT'!E360)</f>
        <v/>
      </c>
      <c r="F359" s="35" t="str">
        <f>IF('NEW ACCOUNT'!A360="","",'NEW ACCOUNT'!F360)</f>
        <v/>
      </c>
      <c r="G359" s="35" t="str">
        <f>IF('NEW ACCOUNT'!A360="","",'NEW ACCOUNT'!G360)</f>
        <v/>
      </c>
      <c r="H359" s="35" t="str">
        <f>IF('NEW ACCOUNT'!A360="","",'NEW ACCOUNT'!H360)</f>
        <v/>
      </c>
      <c r="I359" s="35" t="str">
        <f>IF('NEW ACCOUNT'!A360="","",'NEW ACCOUNT'!I360)</f>
        <v/>
      </c>
      <c r="J359" s="35" t="str">
        <f>IF('NEW ACCOUNT'!A360="","",'NEW ACCOUNT'!J360)</f>
        <v/>
      </c>
      <c r="K359" s="36" t="str">
        <f>IFERROR(IF(A359="","",SUMIF(DB_Savings!$A:$A,A359,DB_Savings!$F:$F)),"")</f>
        <v/>
      </c>
      <c r="L359" s="36" t="str">
        <f>IFERROR(IF(A359="","",SUMIF(DB_Withdrawals!$A:$A,A359,DB_Withdrawals!$G:$G)),"")</f>
        <v/>
      </c>
      <c r="M359" s="36" t="str">
        <f>IFERROR(IF(A359="","",IFERROR(VALUE(H359),0)+IFERROR(SUMIF(DB_Savings!$A:$A,A359,DB_Savings!$F:$F),0)-IFERROR(SUMIF(DB_Withdrawals!$A:$A,A359,DB_Withdrawals!$G:$G),0)),"")</f>
        <v/>
      </c>
      <c r="N359" s="36" t="str">
        <f>IFERROR(IF(A359="","",MAX(0,M359-System_Config!$B$9)),"")</f>
        <v/>
      </c>
    </row>
    <row r="360" spans="1:14" ht="20.100000000000001" customHeight="1" x14ac:dyDescent="0.25">
      <c r="A360" s="34" t="str">
        <f>'NEW ACCOUNT'!A361</f>
        <v/>
      </c>
      <c r="B360" s="35" t="str">
        <f>IF('NEW ACCOUNT'!A361="","",'NEW ACCOUNT'!B361)</f>
        <v/>
      </c>
      <c r="C360" s="35" t="str">
        <f>IF('NEW ACCOUNT'!A361="","",'NEW ACCOUNT'!C361)</f>
        <v/>
      </c>
      <c r="D360" s="35" t="str">
        <f>IF('NEW ACCOUNT'!A361="","",'NEW ACCOUNT'!D361)</f>
        <v/>
      </c>
      <c r="E360" s="35" t="str">
        <f>IF('NEW ACCOUNT'!A361="","",'NEW ACCOUNT'!E361)</f>
        <v/>
      </c>
      <c r="F360" s="35" t="str">
        <f>IF('NEW ACCOUNT'!A361="","",'NEW ACCOUNT'!F361)</f>
        <v/>
      </c>
      <c r="G360" s="35" t="str">
        <f>IF('NEW ACCOUNT'!A361="","",'NEW ACCOUNT'!G361)</f>
        <v/>
      </c>
      <c r="H360" s="35" t="str">
        <f>IF('NEW ACCOUNT'!A361="","",'NEW ACCOUNT'!H361)</f>
        <v/>
      </c>
      <c r="I360" s="35" t="str">
        <f>IF('NEW ACCOUNT'!A361="","",'NEW ACCOUNT'!I361)</f>
        <v/>
      </c>
      <c r="J360" s="35" t="str">
        <f>IF('NEW ACCOUNT'!A361="","",'NEW ACCOUNT'!J361)</f>
        <v/>
      </c>
      <c r="K360" s="36" t="str">
        <f>IFERROR(IF(A360="","",SUMIF(DB_Savings!$A:$A,A360,DB_Savings!$F:$F)),"")</f>
        <v/>
      </c>
      <c r="L360" s="36" t="str">
        <f>IFERROR(IF(A360="","",SUMIF(DB_Withdrawals!$A:$A,A360,DB_Withdrawals!$G:$G)),"")</f>
        <v/>
      </c>
      <c r="M360" s="36" t="str">
        <f>IFERROR(IF(A360="","",IFERROR(VALUE(H360),0)+IFERROR(SUMIF(DB_Savings!$A:$A,A360,DB_Savings!$F:$F),0)-IFERROR(SUMIF(DB_Withdrawals!$A:$A,A360,DB_Withdrawals!$G:$G),0)),"")</f>
        <v/>
      </c>
      <c r="N360" s="36" t="str">
        <f>IFERROR(IF(A360="","",MAX(0,M360-System_Config!$B$9)),"")</f>
        <v/>
      </c>
    </row>
    <row r="361" spans="1:14" ht="20.100000000000001" customHeight="1" x14ac:dyDescent="0.25">
      <c r="A361" s="34" t="str">
        <f>'NEW ACCOUNT'!A362</f>
        <v/>
      </c>
      <c r="B361" s="35" t="str">
        <f>IF('NEW ACCOUNT'!A362="","",'NEW ACCOUNT'!B362)</f>
        <v/>
      </c>
      <c r="C361" s="35" t="str">
        <f>IF('NEW ACCOUNT'!A362="","",'NEW ACCOUNT'!C362)</f>
        <v/>
      </c>
      <c r="D361" s="35" t="str">
        <f>IF('NEW ACCOUNT'!A362="","",'NEW ACCOUNT'!D362)</f>
        <v/>
      </c>
      <c r="E361" s="35" t="str">
        <f>IF('NEW ACCOUNT'!A362="","",'NEW ACCOUNT'!E362)</f>
        <v/>
      </c>
      <c r="F361" s="35" t="str">
        <f>IF('NEW ACCOUNT'!A362="","",'NEW ACCOUNT'!F362)</f>
        <v/>
      </c>
      <c r="G361" s="35" t="str">
        <f>IF('NEW ACCOUNT'!A362="","",'NEW ACCOUNT'!G362)</f>
        <v/>
      </c>
      <c r="H361" s="35" t="str">
        <f>IF('NEW ACCOUNT'!A362="","",'NEW ACCOUNT'!H362)</f>
        <v/>
      </c>
      <c r="I361" s="35" t="str">
        <f>IF('NEW ACCOUNT'!A362="","",'NEW ACCOUNT'!I362)</f>
        <v/>
      </c>
      <c r="J361" s="35" t="str">
        <f>IF('NEW ACCOUNT'!A362="","",'NEW ACCOUNT'!J362)</f>
        <v/>
      </c>
      <c r="K361" s="36" t="str">
        <f>IFERROR(IF(A361="","",SUMIF(DB_Savings!$A:$A,A361,DB_Savings!$F:$F)),"")</f>
        <v/>
      </c>
      <c r="L361" s="36" t="str">
        <f>IFERROR(IF(A361="","",SUMIF(DB_Withdrawals!$A:$A,A361,DB_Withdrawals!$G:$G)),"")</f>
        <v/>
      </c>
      <c r="M361" s="36" t="str">
        <f>IFERROR(IF(A361="","",IFERROR(VALUE(H361),0)+IFERROR(SUMIF(DB_Savings!$A:$A,A361,DB_Savings!$F:$F),0)-IFERROR(SUMIF(DB_Withdrawals!$A:$A,A361,DB_Withdrawals!$G:$G),0)),"")</f>
        <v/>
      </c>
      <c r="N361" s="36" t="str">
        <f>IFERROR(IF(A361="","",MAX(0,M361-System_Config!$B$9)),"")</f>
        <v/>
      </c>
    </row>
    <row r="362" spans="1:14" ht="20.100000000000001" customHeight="1" x14ac:dyDescent="0.25">
      <c r="A362" s="34" t="str">
        <f>'NEW ACCOUNT'!A363</f>
        <v/>
      </c>
      <c r="B362" s="35" t="str">
        <f>IF('NEW ACCOUNT'!A363="","",'NEW ACCOUNT'!B363)</f>
        <v/>
      </c>
      <c r="C362" s="35" t="str">
        <f>IF('NEW ACCOUNT'!A363="","",'NEW ACCOUNT'!C363)</f>
        <v/>
      </c>
      <c r="D362" s="35" t="str">
        <f>IF('NEW ACCOUNT'!A363="","",'NEW ACCOUNT'!D363)</f>
        <v/>
      </c>
      <c r="E362" s="35" t="str">
        <f>IF('NEW ACCOUNT'!A363="","",'NEW ACCOUNT'!E363)</f>
        <v/>
      </c>
      <c r="F362" s="35" t="str">
        <f>IF('NEW ACCOUNT'!A363="","",'NEW ACCOUNT'!F363)</f>
        <v/>
      </c>
      <c r="G362" s="35" t="str">
        <f>IF('NEW ACCOUNT'!A363="","",'NEW ACCOUNT'!G363)</f>
        <v/>
      </c>
      <c r="H362" s="35" t="str">
        <f>IF('NEW ACCOUNT'!A363="","",'NEW ACCOUNT'!H363)</f>
        <v/>
      </c>
      <c r="I362" s="35" t="str">
        <f>IF('NEW ACCOUNT'!A363="","",'NEW ACCOUNT'!I363)</f>
        <v/>
      </c>
      <c r="J362" s="35" t="str">
        <f>IF('NEW ACCOUNT'!A363="","",'NEW ACCOUNT'!J363)</f>
        <v/>
      </c>
      <c r="K362" s="36" t="str">
        <f>IFERROR(IF(A362="","",SUMIF(DB_Savings!$A:$A,A362,DB_Savings!$F:$F)),"")</f>
        <v/>
      </c>
      <c r="L362" s="36" t="str">
        <f>IFERROR(IF(A362="","",SUMIF(DB_Withdrawals!$A:$A,A362,DB_Withdrawals!$G:$G)),"")</f>
        <v/>
      </c>
      <c r="M362" s="36" t="str">
        <f>IFERROR(IF(A362="","",IFERROR(VALUE(H362),0)+IFERROR(SUMIF(DB_Savings!$A:$A,A362,DB_Savings!$F:$F),0)-IFERROR(SUMIF(DB_Withdrawals!$A:$A,A362,DB_Withdrawals!$G:$G),0)),"")</f>
        <v/>
      </c>
      <c r="N362" s="36" t="str">
        <f>IFERROR(IF(A362="","",MAX(0,M362-System_Config!$B$9)),"")</f>
        <v/>
      </c>
    </row>
    <row r="363" spans="1:14" ht="20.100000000000001" customHeight="1" x14ac:dyDescent="0.25">
      <c r="A363" s="34" t="str">
        <f>'NEW ACCOUNT'!A364</f>
        <v/>
      </c>
      <c r="B363" s="35" t="str">
        <f>IF('NEW ACCOUNT'!A364="","",'NEW ACCOUNT'!B364)</f>
        <v/>
      </c>
      <c r="C363" s="35" t="str">
        <f>IF('NEW ACCOUNT'!A364="","",'NEW ACCOUNT'!C364)</f>
        <v/>
      </c>
      <c r="D363" s="35" t="str">
        <f>IF('NEW ACCOUNT'!A364="","",'NEW ACCOUNT'!D364)</f>
        <v/>
      </c>
      <c r="E363" s="35" t="str">
        <f>IF('NEW ACCOUNT'!A364="","",'NEW ACCOUNT'!E364)</f>
        <v/>
      </c>
      <c r="F363" s="35" t="str">
        <f>IF('NEW ACCOUNT'!A364="","",'NEW ACCOUNT'!F364)</f>
        <v/>
      </c>
      <c r="G363" s="35" t="str">
        <f>IF('NEW ACCOUNT'!A364="","",'NEW ACCOUNT'!G364)</f>
        <v/>
      </c>
      <c r="H363" s="35" t="str">
        <f>IF('NEW ACCOUNT'!A364="","",'NEW ACCOUNT'!H364)</f>
        <v/>
      </c>
      <c r="I363" s="35" t="str">
        <f>IF('NEW ACCOUNT'!A364="","",'NEW ACCOUNT'!I364)</f>
        <v/>
      </c>
      <c r="J363" s="35" t="str">
        <f>IF('NEW ACCOUNT'!A364="","",'NEW ACCOUNT'!J364)</f>
        <v/>
      </c>
      <c r="K363" s="36" t="str">
        <f>IFERROR(IF(A363="","",SUMIF(DB_Savings!$A:$A,A363,DB_Savings!$F:$F)),"")</f>
        <v/>
      </c>
      <c r="L363" s="36" t="str">
        <f>IFERROR(IF(A363="","",SUMIF(DB_Withdrawals!$A:$A,A363,DB_Withdrawals!$G:$G)),"")</f>
        <v/>
      </c>
      <c r="M363" s="36" t="str">
        <f>IFERROR(IF(A363="","",IFERROR(VALUE(H363),0)+IFERROR(SUMIF(DB_Savings!$A:$A,A363,DB_Savings!$F:$F),0)-IFERROR(SUMIF(DB_Withdrawals!$A:$A,A363,DB_Withdrawals!$G:$G),0)),"")</f>
        <v/>
      </c>
      <c r="N363" s="36" t="str">
        <f>IFERROR(IF(A363="","",MAX(0,M363-System_Config!$B$9)),"")</f>
        <v/>
      </c>
    </row>
    <row r="364" spans="1:14" ht="20.100000000000001" customHeight="1" x14ac:dyDescent="0.25">
      <c r="A364" s="34" t="str">
        <f>'NEW ACCOUNT'!A365</f>
        <v/>
      </c>
      <c r="B364" s="35" t="str">
        <f>IF('NEW ACCOUNT'!A365="","",'NEW ACCOUNT'!B365)</f>
        <v/>
      </c>
      <c r="C364" s="35" t="str">
        <f>IF('NEW ACCOUNT'!A365="","",'NEW ACCOUNT'!C365)</f>
        <v/>
      </c>
      <c r="D364" s="35" t="str">
        <f>IF('NEW ACCOUNT'!A365="","",'NEW ACCOUNT'!D365)</f>
        <v/>
      </c>
      <c r="E364" s="35" t="str">
        <f>IF('NEW ACCOUNT'!A365="","",'NEW ACCOUNT'!E365)</f>
        <v/>
      </c>
      <c r="F364" s="35" t="str">
        <f>IF('NEW ACCOUNT'!A365="","",'NEW ACCOUNT'!F365)</f>
        <v/>
      </c>
      <c r="G364" s="35" t="str">
        <f>IF('NEW ACCOUNT'!A365="","",'NEW ACCOUNT'!G365)</f>
        <v/>
      </c>
      <c r="H364" s="35" t="str">
        <f>IF('NEW ACCOUNT'!A365="","",'NEW ACCOUNT'!H365)</f>
        <v/>
      </c>
      <c r="I364" s="35" t="str">
        <f>IF('NEW ACCOUNT'!A365="","",'NEW ACCOUNT'!I365)</f>
        <v/>
      </c>
      <c r="J364" s="35" t="str">
        <f>IF('NEW ACCOUNT'!A365="","",'NEW ACCOUNT'!J365)</f>
        <v/>
      </c>
      <c r="K364" s="36" t="str">
        <f>IFERROR(IF(A364="","",SUMIF(DB_Savings!$A:$A,A364,DB_Savings!$F:$F)),"")</f>
        <v/>
      </c>
      <c r="L364" s="36" t="str">
        <f>IFERROR(IF(A364="","",SUMIF(DB_Withdrawals!$A:$A,A364,DB_Withdrawals!$G:$G)),"")</f>
        <v/>
      </c>
      <c r="M364" s="36" t="str">
        <f>IFERROR(IF(A364="","",IFERROR(VALUE(H364),0)+IFERROR(SUMIF(DB_Savings!$A:$A,A364,DB_Savings!$F:$F),0)-IFERROR(SUMIF(DB_Withdrawals!$A:$A,A364,DB_Withdrawals!$G:$G),0)),"")</f>
        <v/>
      </c>
      <c r="N364" s="36" t="str">
        <f>IFERROR(IF(A364="","",MAX(0,M364-System_Config!$B$9)),"")</f>
        <v/>
      </c>
    </row>
    <row r="365" spans="1:14" ht="20.100000000000001" customHeight="1" x14ac:dyDescent="0.25">
      <c r="A365" s="34" t="str">
        <f>'NEW ACCOUNT'!A366</f>
        <v/>
      </c>
      <c r="B365" s="35" t="str">
        <f>IF('NEW ACCOUNT'!A366="","",'NEW ACCOUNT'!B366)</f>
        <v/>
      </c>
      <c r="C365" s="35" t="str">
        <f>IF('NEW ACCOUNT'!A366="","",'NEW ACCOUNT'!C366)</f>
        <v/>
      </c>
      <c r="D365" s="35" t="str">
        <f>IF('NEW ACCOUNT'!A366="","",'NEW ACCOUNT'!D366)</f>
        <v/>
      </c>
      <c r="E365" s="35" t="str">
        <f>IF('NEW ACCOUNT'!A366="","",'NEW ACCOUNT'!E366)</f>
        <v/>
      </c>
      <c r="F365" s="35" t="str">
        <f>IF('NEW ACCOUNT'!A366="","",'NEW ACCOUNT'!F366)</f>
        <v/>
      </c>
      <c r="G365" s="35" t="str">
        <f>IF('NEW ACCOUNT'!A366="","",'NEW ACCOUNT'!G366)</f>
        <v/>
      </c>
      <c r="H365" s="35" t="str">
        <f>IF('NEW ACCOUNT'!A366="","",'NEW ACCOUNT'!H366)</f>
        <v/>
      </c>
      <c r="I365" s="35" t="str">
        <f>IF('NEW ACCOUNT'!A366="","",'NEW ACCOUNT'!I366)</f>
        <v/>
      </c>
      <c r="J365" s="35" t="str">
        <f>IF('NEW ACCOUNT'!A366="","",'NEW ACCOUNT'!J366)</f>
        <v/>
      </c>
      <c r="K365" s="36" t="str">
        <f>IFERROR(IF(A365="","",SUMIF(DB_Savings!$A:$A,A365,DB_Savings!$F:$F)),"")</f>
        <v/>
      </c>
      <c r="L365" s="36" t="str">
        <f>IFERROR(IF(A365="","",SUMIF(DB_Withdrawals!$A:$A,A365,DB_Withdrawals!$G:$G)),"")</f>
        <v/>
      </c>
      <c r="M365" s="36" t="str">
        <f>IFERROR(IF(A365="","",IFERROR(VALUE(H365),0)+IFERROR(SUMIF(DB_Savings!$A:$A,A365,DB_Savings!$F:$F),0)-IFERROR(SUMIF(DB_Withdrawals!$A:$A,A365,DB_Withdrawals!$G:$G),0)),"")</f>
        <v/>
      </c>
      <c r="N365" s="36" t="str">
        <f>IFERROR(IF(A365="","",MAX(0,M365-System_Config!$B$9)),"")</f>
        <v/>
      </c>
    </row>
    <row r="366" spans="1:14" ht="20.100000000000001" customHeight="1" x14ac:dyDescent="0.25">
      <c r="A366" s="34" t="str">
        <f>'NEW ACCOUNT'!A367</f>
        <v/>
      </c>
      <c r="B366" s="35" t="str">
        <f>IF('NEW ACCOUNT'!A367="","",'NEW ACCOUNT'!B367)</f>
        <v/>
      </c>
      <c r="C366" s="35" t="str">
        <f>IF('NEW ACCOUNT'!A367="","",'NEW ACCOUNT'!C367)</f>
        <v/>
      </c>
      <c r="D366" s="35" t="str">
        <f>IF('NEW ACCOUNT'!A367="","",'NEW ACCOUNT'!D367)</f>
        <v/>
      </c>
      <c r="E366" s="35" t="str">
        <f>IF('NEW ACCOUNT'!A367="","",'NEW ACCOUNT'!E367)</f>
        <v/>
      </c>
      <c r="F366" s="35" t="str">
        <f>IF('NEW ACCOUNT'!A367="","",'NEW ACCOUNT'!F367)</f>
        <v/>
      </c>
      <c r="G366" s="35" t="str">
        <f>IF('NEW ACCOUNT'!A367="","",'NEW ACCOUNT'!G367)</f>
        <v/>
      </c>
      <c r="H366" s="35" t="str">
        <f>IF('NEW ACCOUNT'!A367="","",'NEW ACCOUNT'!H367)</f>
        <v/>
      </c>
      <c r="I366" s="35" t="str">
        <f>IF('NEW ACCOUNT'!A367="","",'NEW ACCOUNT'!I367)</f>
        <v/>
      </c>
      <c r="J366" s="35" t="str">
        <f>IF('NEW ACCOUNT'!A367="","",'NEW ACCOUNT'!J367)</f>
        <v/>
      </c>
      <c r="K366" s="36" t="str">
        <f>IFERROR(IF(A366="","",SUMIF(DB_Savings!$A:$A,A366,DB_Savings!$F:$F)),"")</f>
        <v/>
      </c>
      <c r="L366" s="36" t="str">
        <f>IFERROR(IF(A366="","",SUMIF(DB_Withdrawals!$A:$A,A366,DB_Withdrawals!$G:$G)),"")</f>
        <v/>
      </c>
      <c r="M366" s="36" t="str">
        <f>IFERROR(IF(A366="","",IFERROR(VALUE(H366),0)+IFERROR(SUMIF(DB_Savings!$A:$A,A366,DB_Savings!$F:$F),0)-IFERROR(SUMIF(DB_Withdrawals!$A:$A,A366,DB_Withdrawals!$G:$G),0)),"")</f>
        <v/>
      </c>
      <c r="N366" s="36" t="str">
        <f>IFERROR(IF(A366="","",MAX(0,M366-System_Config!$B$9)),"")</f>
        <v/>
      </c>
    </row>
    <row r="367" spans="1:14" ht="20.100000000000001" customHeight="1" x14ac:dyDescent="0.25">
      <c r="A367" s="34" t="str">
        <f>'NEW ACCOUNT'!A368</f>
        <v/>
      </c>
      <c r="B367" s="35" t="str">
        <f>IF('NEW ACCOUNT'!A368="","",'NEW ACCOUNT'!B368)</f>
        <v/>
      </c>
      <c r="C367" s="35" t="str">
        <f>IF('NEW ACCOUNT'!A368="","",'NEW ACCOUNT'!C368)</f>
        <v/>
      </c>
      <c r="D367" s="35" t="str">
        <f>IF('NEW ACCOUNT'!A368="","",'NEW ACCOUNT'!D368)</f>
        <v/>
      </c>
      <c r="E367" s="35" t="str">
        <f>IF('NEW ACCOUNT'!A368="","",'NEW ACCOUNT'!E368)</f>
        <v/>
      </c>
      <c r="F367" s="35" t="str">
        <f>IF('NEW ACCOUNT'!A368="","",'NEW ACCOUNT'!F368)</f>
        <v/>
      </c>
      <c r="G367" s="35" t="str">
        <f>IF('NEW ACCOUNT'!A368="","",'NEW ACCOUNT'!G368)</f>
        <v/>
      </c>
      <c r="H367" s="35" t="str">
        <f>IF('NEW ACCOUNT'!A368="","",'NEW ACCOUNT'!H368)</f>
        <v/>
      </c>
      <c r="I367" s="35" t="str">
        <f>IF('NEW ACCOUNT'!A368="","",'NEW ACCOUNT'!I368)</f>
        <v/>
      </c>
      <c r="J367" s="35" t="str">
        <f>IF('NEW ACCOUNT'!A368="","",'NEW ACCOUNT'!J368)</f>
        <v/>
      </c>
      <c r="K367" s="36" t="str">
        <f>IFERROR(IF(A367="","",SUMIF(DB_Savings!$A:$A,A367,DB_Savings!$F:$F)),"")</f>
        <v/>
      </c>
      <c r="L367" s="36" t="str">
        <f>IFERROR(IF(A367="","",SUMIF(DB_Withdrawals!$A:$A,A367,DB_Withdrawals!$G:$G)),"")</f>
        <v/>
      </c>
      <c r="M367" s="36" t="str">
        <f>IFERROR(IF(A367="","",IFERROR(VALUE(H367),0)+IFERROR(SUMIF(DB_Savings!$A:$A,A367,DB_Savings!$F:$F),0)-IFERROR(SUMIF(DB_Withdrawals!$A:$A,A367,DB_Withdrawals!$G:$G),0)),"")</f>
        <v/>
      </c>
      <c r="N367" s="36" t="str">
        <f>IFERROR(IF(A367="","",MAX(0,M367-System_Config!$B$9)),"")</f>
        <v/>
      </c>
    </row>
    <row r="368" spans="1:14" ht="20.100000000000001" customHeight="1" x14ac:dyDescent="0.25">
      <c r="A368" s="34" t="str">
        <f>'NEW ACCOUNT'!A369</f>
        <v/>
      </c>
      <c r="B368" s="35" t="str">
        <f>IF('NEW ACCOUNT'!A369="","",'NEW ACCOUNT'!B369)</f>
        <v/>
      </c>
      <c r="C368" s="35" t="str">
        <f>IF('NEW ACCOUNT'!A369="","",'NEW ACCOUNT'!C369)</f>
        <v/>
      </c>
      <c r="D368" s="35" t="str">
        <f>IF('NEW ACCOUNT'!A369="","",'NEW ACCOUNT'!D369)</f>
        <v/>
      </c>
      <c r="E368" s="35" t="str">
        <f>IF('NEW ACCOUNT'!A369="","",'NEW ACCOUNT'!E369)</f>
        <v/>
      </c>
      <c r="F368" s="35" t="str">
        <f>IF('NEW ACCOUNT'!A369="","",'NEW ACCOUNT'!F369)</f>
        <v/>
      </c>
      <c r="G368" s="35" t="str">
        <f>IF('NEW ACCOUNT'!A369="","",'NEW ACCOUNT'!G369)</f>
        <v/>
      </c>
      <c r="H368" s="35" t="str">
        <f>IF('NEW ACCOUNT'!A369="","",'NEW ACCOUNT'!H369)</f>
        <v/>
      </c>
      <c r="I368" s="35" t="str">
        <f>IF('NEW ACCOUNT'!A369="","",'NEW ACCOUNT'!I369)</f>
        <v/>
      </c>
      <c r="J368" s="35" t="str">
        <f>IF('NEW ACCOUNT'!A369="","",'NEW ACCOUNT'!J369)</f>
        <v/>
      </c>
      <c r="K368" s="36" t="str">
        <f>IFERROR(IF(A368="","",SUMIF(DB_Savings!$A:$A,A368,DB_Savings!$F:$F)),"")</f>
        <v/>
      </c>
      <c r="L368" s="36" t="str">
        <f>IFERROR(IF(A368="","",SUMIF(DB_Withdrawals!$A:$A,A368,DB_Withdrawals!$G:$G)),"")</f>
        <v/>
      </c>
      <c r="M368" s="36" t="str">
        <f>IFERROR(IF(A368="","",IFERROR(VALUE(H368),0)+IFERROR(SUMIF(DB_Savings!$A:$A,A368,DB_Savings!$F:$F),0)-IFERROR(SUMIF(DB_Withdrawals!$A:$A,A368,DB_Withdrawals!$G:$G),0)),"")</f>
        <v/>
      </c>
      <c r="N368" s="36" t="str">
        <f>IFERROR(IF(A368="","",MAX(0,M368-System_Config!$B$9)),"")</f>
        <v/>
      </c>
    </row>
    <row r="369" spans="1:14" ht="20.100000000000001" customHeight="1" x14ac:dyDescent="0.25">
      <c r="A369" s="34" t="str">
        <f>'NEW ACCOUNT'!A370</f>
        <v/>
      </c>
      <c r="B369" s="35" t="str">
        <f>IF('NEW ACCOUNT'!A370="","",'NEW ACCOUNT'!B370)</f>
        <v/>
      </c>
      <c r="C369" s="35" t="str">
        <f>IF('NEW ACCOUNT'!A370="","",'NEW ACCOUNT'!C370)</f>
        <v/>
      </c>
      <c r="D369" s="35" t="str">
        <f>IF('NEW ACCOUNT'!A370="","",'NEW ACCOUNT'!D370)</f>
        <v/>
      </c>
      <c r="E369" s="35" t="str">
        <f>IF('NEW ACCOUNT'!A370="","",'NEW ACCOUNT'!E370)</f>
        <v/>
      </c>
      <c r="F369" s="35" t="str">
        <f>IF('NEW ACCOUNT'!A370="","",'NEW ACCOUNT'!F370)</f>
        <v/>
      </c>
      <c r="G369" s="35" t="str">
        <f>IF('NEW ACCOUNT'!A370="","",'NEW ACCOUNT'!G370)</f>
        <v/>
      </c>
      <c r="H369" s="35" t="str">
        <f>IF('NEW ACCOUNT'!A370="","",'NEW ACCOUNT'!H370)</f>
        <v/>
      </c>
      <c r="I369" s="35" t="str">
        <f>IF('NEW ACCOUNT'!A370="","",'NEW ACCOUNT'!I370)</f>
        <v/>
      </c>
      <c r="J369" s="35" t="str">
        <f>IF('NEW ACCOUNT'!A370="","",'NEW ACCOUNT'!J370)</f>
        <v/>
      </c>
      <c r="K369" s="36" t="str">
        <f>IFERROR(IF(A369="","",SUMIF(DB_Savings!$A:$A,A369,DB_Savings!$F:$F)),"")</f>
        <v/>
      </c>
      <c r="L369" s="36" t="str">
        <f>IFERROR(IF(A369="","",SUMIF(DB_Withdrawals!$A:$A,A369,DB_Withdrawals!$G:$G)),"")</f>
        <v/>
      </c>
      <c r="M369" s="36" t="str">
        <f>IFERROR(IF(A369="","",IFERROR(VALUE(H369),0)+IFERROR(SUMIF(DB_Savings!$A:$A,A369,DB_Savings!$F:$F),0)-IFERROR(SUMIF(DB_Withdrawals!$A:$A,A369,DB_Withdrawals!$G:$G),0)),"")</f>
        <v/>
      </c>
      <c r="N369" s="36" t="str">
        <f>IFERROR(IF(A369="","",MAX(0,M369-System_Config!$B$9)),"")</f>
        <v/>
      </c>
    </row>
    <row r="370" spans="1:14" ht="20.100000000000001" customHeight="1" x14ac:dyDescent="0.25">
      <c r="A370" s="34" t="str">
        <f>'NEW ACCOUNT'!A371</f>
        <v/>
      </c>
      <c r="B370" s="35" t="str">
        <f>IF('NEW ACCOUNT'!A371="","",'NEW ACCOUNT'!B371)</f>
        <v/>
      </c>
      <c r="C370" s="35" t="str">
        <f>IF('NEW ACCOUNT'!A371="","",'NEW ACCOUNT'!C371)</f>
        <v/>
      </c>
      <c r="D370" s="35" t="str">
        <f>IF('NEW ACCOUNT'!A371="","",'NEW ACCOUNT'!D371)</f>
        <v/>
      </c>
      <c r="E370" s="35" t="str">
        <f>IF('NEW ACCOUNT'!A371="","",'NEW ACCOUNT'!E371)</f>
        <v/>
      </c>
      <c r="F370" s="35" t="str">
        <f>IF('NEW ACCOUNT'!A371="","",'NEW ACCOUNT'!F371)</f>
        <v/>
      </c>
      <c r="G370" s="35" t="str">
        <f>IF('NEW ACCOUNT'!A371="","",'NEW ACCOUNT'!G371)</f>
        <v/>
      </c>
      <c r="H370" s="35" t="str">
        <f>IF('NEW ACCOUNT'!A371="","",'NEW ACCOUNT'!H371)</f>
        <v/>
      </c>
      <c r="I370" s="35" t="str">
        <f>IF('NEW ACCOUNT'!A371="","",'NEW ACCOUNT'!I371)</f>
        <v/>
      </c>
      <c r="J370" s="35" t="str">
        <f>IF('NEW ACCOUNT'!A371="","",'NEW ACCOUNT'!J371)</f>
        <v/>
      </c>
      <c r="K370" s="36" t="str">
        <f>IFERROR(IF(A370="","",SUMIF(DB_Savings!$A:$A,A370,DB_Savings!$F:$F)),"")</f>
        <v/>
      </c>
      <c r="L370" s="36" t="str">
        <f>IFERROR(IF(A370="","",SUMIF(DB_Withdrawals!$A:$A,A370,DB_Withdrawals!$G:$G)),"")</f>
        <v/>
      </c>
      <c r="M370" s="36" t="str">
        <f>IFERROR(IF(A370="","",IFERROR(VALUE(H370),0)+IFERROR(SUMIF(DB_Savings!$A:$A,A370,DB_Savings!$F:$F),0)-IFERROR(SUMIF(DB_Withdrawals!$A:$A,A370,DB_Withdrawals!$G:$G),0)),"")</f>
        <v/>
      </c>
      <c r="N370" s="36" t="str">
        <f>IFERROR(IF(A370="","",MAX(0,M370-System_Config!$B$9)),"")</f>
        <v/>
      </c>
    </row>
    <row r="371" spans="1:14" ht="20.100000000000001" customHeight="1" x14ac:dyDescent="0.25">
      <c r="A371" s="34" t="str">
        <f>'NEW ACCOUNT'!A372</f>
        <v/>
      </c>
      <c r="B371" s="35" t="str">
        <f>IF('NEW ACCOUNT'!A372="","",'NEW ACCOUNT'!B372)</f>
        <v/>
      </c>
      <c r="C371" s="35" t="str">
        <f>IF('NEW ACCOUNT'!A372="","",'NEW ACCOUNT'!C372)</f>
        <v/>
      </c>
      <c r="D371" s="35" t="str">
        <f>IF('NEW ACCOUNT'!A372="","",'NEW ACCOUNT'!D372)</f>
        <v/>
      </c>
      <c r="E371" s="35" t="str">
        <f>IF('NEW ACCOUNT'!A372="","",'NEW ACCOUNT'!E372)</f>
        <v/>
      </c>
      <c r="F371" s="35" t="str">
        <f>IF('NEW ACCOUNT'!A372="","",'NEW ACCOUNT'!F372)</f>
        <v/>
      </c>
      <c r="G371" s="35" t="str">
        <f>IF('NEW ACCOUNT'!A372="","",'NEW ACCOUNT'!G372)</f>
        <v/>
      </c>
      <c r="H371" s="35" t="str">
        <f>IF('NEW ACCOUNT'!A372="","",'NEW ACCOUNT'!H372)</f>
        <v/>
      </c>
      <c r="I371" s="35" t="str">
        <f>IF('NEW ACCOUNT'!A372="","",'NEW ACCOUNT'!I372)</f>
        <v/>
      </c>
      <c r="J371" s="35" t="str">
        <f>IF('NEW ACCOUNT'!A372="","",'NEW ACCOUNT'!J372)</f>
        <v/>
      </c>
      <c r="K371" s="36" t="str">
        <f>IFERROR(IF(A371="","",SUMIF(DB_Savings!$A:$A,A371,DB_Savings!$F:$F)),"")</f>
        <v/>
      </c>
      <c r="L371" s="36" t="str">
        <f>IFERROR(IF(A371="","",SUMIF(DB_Withdrawals!$A:$A,A371,DB_Withdrawals!$G:$G)),"")</f>
        <v/>
      </c>
      <c r="M371" s="36" t="str">
        <f>IFERROR(IF(A371="","",IFERROR(VALUE(H371),0)+IFERROR(SUMIF(DB_Savings!$A:$A,A371,DB_Savings!$F:$F),0)-IFERROR(SUMIF(DB_Withdrawals!$A:$A,A371,DB_Withdrawals!$G:$G),0)),"")</f>
        <v/>
      </c>
      <c r="N371" s="36" t="str">
        <f>IFERROR(IF(A371="","",MAX(0,M371-System_Config!$B$9)),"")</f>
        <v/>
      </c>
    </row>
    <row r="372" spans="1:14" ht="20.100000000000001" customHeight="1" x14ac:dyDescent="0.25">
      <c r="A372" s="34" t="str">
        <f>'NEW ACCOUNT'!A373</f>
        <v/>
      </c>
      <c r="B372" s="35" t="str">
        <f>IF('NEW ACCOUNT'!A373="","",'NEW ACCOUNT'!B373)</f>
        <v/>
      </c>
      <c r="C372" s="35" t="str">
        <f>IF('NEW ACCOUNT'!A373="","",'NEW ACCOUNT'!C373)</f>
        <v/>
      </c>
      <c r="D372" s="35" t="str">
        <f>IF('NEW ACCOUNT'!A373="","",'NEW ACCOUNT'!D373)</f>
        <v/>
      </c>
      <c r="E372" s="35" t="str">
        <f>IF('NEW ACCOUNT'!A373="","",'NEW ACCOUNT'!E373)</f>
        <v/>
      </c>
      <c r="F372" s="35" t="str">
        <f>IF('NEW ACCOUNT'!A373="","",'NEW ACCOUNT'!F373)</f>
        <v/>
      </c>
      <c r="G372" s="35" t="str">
        <f>IF('NEW ACCOUNT'!A373="","",'NEW ACCOUNT'!G373)</f>
        <v/>
      </c>
      <c r="H372" s="35" t="str">
        <f>IF('NEW ACCOUNT'!A373="","",'NEW ACCOUNT'!H373)</f>
        <v/>
      </c>
      <c r="I372" s="35" t="str">
        <f>IF('NEW ACCOUNT'!A373="","",'NEW ACCOUNT'!I373)</f>
        <v/>
      </c>
      <c r="J372" s="35" t="str">
        <f>IF('NEW ACCOUNT'!A373="","",'NEW ACCOUNT'!J373)</f>
        <v/>
      </c>
      <c r="K372" s="36" t="str">
        <f>IFERROR(IF(A372="","",SUMIF(DB_Savings!$A:$A,A372,DB_Savings!$F:$F)),"")</f>
        <v/>
      </c>
      <c r="L372" s="36" t="str">
        <f>IFERROR(IF(A372="","",SUMIF(DB_Withdrawals!$A:$A,A372,DB_Withdrawals!$G:$G)),"")</f>
        <v/>
      </c>
      <c r="M372" s="36" t="str">
        <f>IFERROR(IF(A372="","",IFERROR(VALUE(H372),0)+IFERROR(SUMIF(DB_Savings!$A:$A,A372,DB_Savings!$F:$F),0)-IFERROR(SUMIF(DB_Withdrawals!$A:$A,A372,DB_Withdrawals!$G:$G),0)),"")</f>
        <v/>
      </c>
      <c r="N372" s="36" t="str">
        <f>IFERROR(IF(A372="","",MAX(0,M372-System_Config!$B$9)),"")</f>
        <v/>
      </c>
    </row>
    <row r="373" spans="1:14" ht="20.100000000000001" customHeight="1" x14ac:dyDescent="0.25">
      <c r="A373" s="34" t="str">
        <f>'NEW ACCOUNT'!A374</f>
        <v/>
      </c>
      <c r="B373" s="35" t="str">
        <f>IF('NEW ACCOUNT'!A374="","",'NEW ACCOUNT'!B374)</f>
        <v/>
      </c>
      <c r="C373" s="35" t="str">
        <f>IF('NEW ACCOUNT'!A374="","",'NEW ACCOUNT'!C374)</f>
        <v/>
      </c>
      <c r="D373" s="35" t="str">
        <f>IF('NEW ACCOUNT'!A374="","",'NEW ACCOUNT'!D374)</f>
        <v/>
      </c>
      <c r="E373" s="35" t="str">
        <f>IF('NEW ACCOUNT'!A374="","",'NEW ACCOUNT'!E374)</f>
        <v/>
      </c>
      <c r="F373" s="35" t="str">
        <f>IF('NEW ACCOUNT'!A374="","",'NEW ACCOUNT'!F374)</f>
        <v/>
      </c>
      <c r="G373" s="35" t="str">
        <f>IF('NEW ACCOUNT'!A374="","",'NEW ACCOUNT'!G374)</f>
        <v/>
      </c>
      <c r="H373" s="35" t="str">
        <f>IF('NEW ACCOUNT'!A374="","",'NEW ACCOUNT'!H374)</f>
        <v/>
      </c>
      <c r="I373" s="35" t="str">
        <f>IF('NEW ACCOUNT'!A374="","",'NEW ACCOUNT'!I374)</f>
        <v/>
      </c>
      <c r="J373" s="35" t="str">
        <f>IF('NEW ACCOUNT'!A374="","",'NEW ACCOUNT'!J374)</f>
        <v/>
      </c>
      <c r="K373" s="36" t="str">
        <f>IFERROR(IF(A373="","",SUMIF(DB_Savings!$A:$A,A373,DB_Savings!$F:$F)),"")</f>
        <v/>
      </c>
      <c r="L373" s="36" t="str">
        <f>IFERROR(IF(A373="","",SUMIF(DB_Withdrawals!$A:$A,A373,DB_Withdrawals!$G:$G)),"")</f>
        <v/>
      </c>
      <c r="M373" s="36" t="str">
        <f>IFERROR(IF(A373="","",IFERROR(VALUE(H373),0)+IFERROR(SUMIF(DB_Savings!$A:$A,A373,DB_Savings!$F:$F),0)-IFERROR(SUMIF(DB_Withdrawals!$A:$A,A373,DB_Withdrawals!$G:$G),0)),"")</f>
        <v/>
      </c>
      <c r="N373" s="36" t="str">
        <f>IFERROR(IF(A373="","",MAX(0,M373-System_Config!$B$9)),"")</f>
        <v/>
      </c>
    </row>
    <row r="374" spans="1:14" ht="20.100000000000001" customHeight="1" x14ac:dyDescent="0.25">
      <c r="A374" s="34" t="str">
        <f>'NEW ACCOUNT'!A375</f>
        <v/>
      </c>
      <c r="B374" s="35" t="str">
        <f>IF('NEW ACCOUNT'!A375="","",'NEW ACCOUNT'!B375)</f>
        <v/>
      </c>
      <c r="C374" s="35" t="str">
        <f>IF('NEW ACCOUNT'!A375="","",'NEW ACCOUNT'!C375)</f>
        <v/>
      </c>
      <c r="D374" s="35" t="str">
        <f>IF('NEW ACCOUNT'!A375="","",'NEW ACCOUNT'!D375)</f>
        <v/>
      </c>
      <c r="E374" s="35" t="str">
        <f>IF('NEW ACCOUNT'!A375="","",'NEW ACCOUNT'!E375)</f>
        <v/>
      </c>
      <c r="F374" s="35" t="str">
        <f>IF('NEW ACCOUNT'!A375="","",'NEW ACCOUNT'!F375)</f>
        <v/>
      </c>
      <c r="G374" s="35" t="str">
        <f>IF('NEW ACCOUNT'!A375="","",'NEW ACCOUNT'!G375)</f>
        <v/>
      </c>
      <c r="H374" s="35" t="str">
        <f>IF('NEW ACCOUNT'!A375="","",'NEW ACCOUNT'!H375)</f>
        <v/>
      </c>
      <c r="I374" s="35" t="str">
        <f>IF('NEW ACCOUNT'!A375="","",'NEW ACCOUNT'!I375)</f>
        <v/>
      </c>
      <c r="J374" s="35" t="str">
        <f>IF('NEW ACCOUNT'!A375="","",'NEW ACCOUNT'!J375)</f>
        <v/>
      </c>
      <c r="K374" s="36" t="str">
        <f>IFERROR(IF(A374="","",SUMIF(DB_Savings!$A:$A,A374,DB_Savings!$F:$F)),"")</f>
        <v/>
      </c>
      <c r="L374" s="36" t="str">
        <f>IFERROR(IF(A374="","",SUMIF(DB_Withdrawals!$A:$A,A374,DB_Withdrawals!$G:$G)),"")</f>
        <v/>
      </c>
      <c r="M374" s="36" t="str">
        <f>IFERROR(IF(A374="","",IFERROR(VALUE(H374),0)+IFERROR(SUMIF(DB_Savings!$A:$A,A374,DB_Savings!$F:$F),0)-IFERROR(SUMIF(DB_Withdrawals!$A:$A,A374,DB_Withdrawals!$G:$G),0)),"")</f>
        <v/>
      </c>
      <c r="N374" s="36" t="str">
        <f>IFERROR(IF(A374="","",MAX(0,M374-System_Config!$B$9)),"")</f>
        <v/>
      </c>
    </row>
    <row r="375" spans="1:14" ht="20.100000000000001" customHeight="1" x14ac:dyDescent="0.25">
      <c r="A375" s="34" t="str">
        <f>'NEW ACCOUNT'!A376</f>
        <v/>
      </c>
      <c r="B375" s="35" t="str">
        <f>IF('NEW ACCOUNT'!A376="","",'NEW ACCOUNT'!B376)</f>
        <v/>
      </c>
      <c r="C375" s="35" t="str">
        <f>IF('NEW ACCOUNT'!A376="","",'NEW ACCOUNT'!C376)</f>
        <v/>
      </c>
      <c r="D375" s="35" t="str">
        <f>IF('NEW ACCOUNT'!A376="","",'NEW ACCOUNT'!D376)</f>
        <v/>
      </c>
      <c r="E375" s="35" t="str">
        <f>IF('NEW ACCOUNT'!A376="","",'NEW ACCOUNT'!E376)</f>
        <v/>
      </c>
      <c r="F375" s="35" t="str">
        <f>IF('NEW ACCOUNT'!A376="","",'NEW ACCOUNT'!F376)</f>
        <v/>
      </c>
      <c r="G375" s="35" t="str">
        <f>IF('NEW ACCOUNT'!A376="","",'NEW ACCOUNT'!G376)</f>
        <v/>
      </c>
      <c r="H375" s="35" t="str">
        <f>IF('NEW ACCOUNT'!A376="","",'NEW ACCOUNT'!H376)</f>
        <v/>
      </c>
      <c r="I375" s="35" t="str">
        <f>IF('NEW ACCOUNT'!A376="","",'NEW ACCOUNT'!I376)</f>
        <v/>
      </c>
      <c r="J375" s="35" t="str">
        <f>IF('NEW ACCOUNT'!A376="","",'NEW ACCOUNT'!J376)</f>
        <v/>
      </c>
      <c r="K375" s="36" t="str">
        <f>IFERROR(IF(A375="","",SUMIF(DB_Savings!$A:$A,A375,DB_Savings!$F:$F)),"")</f>
        <v/>
      </c>
      <c r="L375" s="36" t="str">
        <f>IFERROR(IF(A375="","",SUMIF(DB_Withdrawals!$A:$A,A375,DB_Withdrawals!$G:$G)),"")</f>
        <v/>
      </c>
      <c r="M375" s="36" t="str">
        <f>IFERROR(IF(A375="","",IFERROR(VALUE(H375),0)+IFERROR(SUMIF(DB_Savings!$A:$A,A375,DB_Savings!$F:$F),0)-IFERROR(SUMIF(DB_Withdrawals!$A:$A,A375,DB_Withdrawals!$G:$G),0)),"")</f>
        <v/>
      </c>
      <c r="N375" s="36" t="str">
        <f>IFERROR(IF(A375="","",MAX(0,M375-System_Config!$B$9)),"")</f>
        <v/>
      </c>
    </row>
    <row r="376" spans="1:14" ht="20.100000000000001" customHeight="1" x14ac:dyDescent="0.25">
      <c r="A376" s="34" t="str">
        <f>'NEW ACCOUNT'!A377</f>
        <v/>
      </c>
      <c r="B376" s="35" t="str">
        <f>IF('NEW ACCOUNT'!A377="","",'NEW ACCOUNT'!B377)</f>
        <v/>
      </c>
      <c r="C376" s="35" t="str">
        <f>IF('NEW ACCOUNT'!A377="","",'NEW ACCOUNT'!C377)</f>
        <v/>
      </c>
      <c r="D376" s="35" t="str">
        <f>IF('NEW ACCOUNT'!A377="","",'NEW ACCOUNT'!D377)</f>
        <v/>
      </c>
      <c r="E376" s="35" t="str">
        <f>IF('NEW ACCOUNT'!A377="","",'NEW ACCOUNT'!E377)</f>
        <v/>
      </c>
      <c r="F376" s="35" t="str">
        <f>IF('NEW ACCOUNT'!A377="","",'NEW ACCOUNT'!F377)</f>
        <v/>
      </c>
      <c r="G376" s="35" t="str">
        <f>IF('NEW ACCOUNT'!A377="","",'NEW ACCOUNT'!G377)</f>
        <v/>
      </c>
      <c r="H376" s="35" t="str">
        <f>IF('NEW ACCOUNT'!A377="","",'NEW ACCOUNT'!H377)</f>
        <v/>
      </c>
      <c r="I376" s="35" t="str">
        <f>IF('NEW ACCOUNT'!A377="","",'NEW ACCOUNT'!I377)</f>
        <v/>
      </c>
      <c r="J376" s="35" t="str">
        <f>IF('NEW ACCOUNT'!A377="","",'NEW ACCOUNT'!J377)</f>
        <v/>
      </c>
      <c r="K376" s="36" t="str">
        <f>IFERROR(IF(A376="","",SUMIF(DB_Savings!$A:$A,A376,DB_Savings!$F:$F)),"")</f>
        <v/>
      </c>
      <c r="L376" s="36" t="str">
        <f>IFERROR(IF(A376="","",SUMIF(DB_Withdrawals!$A:$A,A376,DB_Withdrawals!$G:$G)),"")</f>
        <v/>
      </c>
      <c r="M376" s="36" t="str">
        <f>IFERROR(IF(A376="","",IFERROR(VALUE(H376),0)+IFERROR(SUMIF(DB_Savings!$A:$A,A376,DB_Savings!$F:$F),0)-IFERROR(SUMIF(DB_Withdrawals!$A:$A,A376,DB_Withdrawals!$G:$G),0)),"")</f>
        <v/>
      </c>
      <c r="N376" s="36" t="str">
        <f>IFERROR(IF(A376="","",MAX(0,M376-System_Config!$B$9)),"")</f>
        <v/>
      </c>
    </row>
    <row r="377" spans="1:14" ht="20.100000000000001" customHeight="1" x14ac:dyDescent="0.25">
      <c r="A377" s="34" t="str">
        <f>'NEW ACCOUNT'!A378</f>
        <v/>
      </c>
      <c r="B377" s="35" t="str">
        <f>IF('NEW ACCOUNT'!A378="","",'NEW ACCOUNT'!B378)</f>
        <v/>
      </c>
      <c r="C377" s="35" t="str">
        <f>IF('NEW ACCOUNT'!A378="","",'NEW ACCOUNT'!C378)</f>
        <v/>
      </c>
      <c r="D377" s="35" t="str">
        <f>IF('NEW ACCOUNT'!A378="","",'NEW ACCOUNT'!D378)</f>
        <v/>
      </c>
      <c r="E377" s="35" t="str">
        <f>IF('NEW ACCOUNT'!A378="","",'NEW ACCOUNT'!E378)</f>
        <v/>
      </c>
      <c r="F377" s="35" t="str">
        <f>IF('NEW ACCOUNT'!A378="","",'NEW ACCOUNT'!F378)</f>
        <v/>
      </c>
      <c r="G377" s="35" t="str">
        <f>IF('NEW ACCOUNT'!A378="","",'NEW ACCOUNT'!G378)</f>
        <v/>
      </c>
      <c r="H377" s="35" t="str">
        <f>IF('NEW ACCOUNT'!A378="","",'NEW ACCOUNT'!H378)</f>
        <v/>
      </c>
      <c r="I377" s="35" t="str">
        <f>IF('NEW ACCOUNT'!A378="","",'NEW ACCOUNT'!I378)</f>
        <v/>
      </c>
      <c r="J377" s="35" t="str">
        <f>IF('NEW ACCOUNT'!A378="","",'NEW ACCOUNT'!J378)</f>
        <v/>
      </c>
      <c r="K377" s="36" t="str">
        <f>IFERROR(IF(A377="","",SUMIF(DB_Savings!$A:$A,A377,DB_Savings!$F:$F)),"")</f>
        <v/>
      </c>
      <c r="L377" s="36" t="str">
        <f>IFERROR(IF(A377="","",SUMIF(DB_Withdrawals!$A:$A,A377,DB_Withdrawals!$G:$G)),"")</f>
        <v/>
      </c>
      <c r="M377" s="36" t="str">
        <f>IFERROR(IF(A377="","",IFERROR(VALUE(H377),0)+IFERROR(SUMIF(DB_Savings!$A:$A,A377,DB_Savings!$F:$F),0)-IFERROR(SUMIF(DB_Withdrawals!$A:$A,A377,DB_Withdrawals!$G:$G),0)),"")</f>
        <v/>
      </c>
      <c r="N377" s="36" t="str">
        <f>IFERROR(IF(A377="","",MAX(0,M377-System_Config!$B$9)),"")</f>
        <v/>
      </c>
    </row>
    <row r="378" spans="1:14" ht="20.100000000000001" customHeight="1" x14ac:dyDescent="0.25">
      <c r="A378" s="34" t="str">
        <f>'NEW ACCOUNT'!A379</f>
        <v/>
      </c>
      <c r="B378" s="35" t="str">
        <f>IF('NEW ACCOUNT'!A379="","",'NEW ACCOUNT'!B379)</f>
        <v/>
      </c>
      <c r="C378" s="35" t="str">
        <f>IF('NEW ACCOUNT'!A379="","",'NEW ACCOUNT'!C379)</f>
        <v/>
      </c>
      <c r="D378" s="35" t="str">
        <f>IF('NEW ACCOUNT'!A379="","",'NEW ACCOUNT'!D379)</f>
        <v/>
      </c>
      <c r="E378" s="35" t="str">
        <f>IF('NEW ACCOUNT'!A379="","",'NEW ACCOUNT'!E379)</f>
        <v/>
      </c>
      <c r="F378" s="35" t="str">
        <f>IF('NEW ACCOUNT'!A379="","",'NEW ACCOUNT'!F379)</f>
        <v/>
      </c>
      <c r="G378" s="35" t="str">
        <f>IF('NEW ACCOUNT'!A379="","",'NEW ACCOUNT'!G379)</f>
        <v/>
      </c>
      <c r="H378" s="35" t="str">
        <f>IF('NEW ACCOUNT'!A379="","",'NEW ACCOUNT'!H379)</f>
        <v/>
      </c>
      <c r="I378" s="35" t="str">
        <f>IF('NEW ACCOUNT'!A379="","",'NEW ACCOUNT'!I379)</f>
        <v/>
      </c>
      <c r="J378" s="35" t="str">
        <f>IF('NEW ACCOUNT'!A379="","",'NEW ACCOUNT'!J379)</f>
        <v/>
      </c>
      <c r="K378" s="36" t="str">
        <f>IFERROR(IF(A378="","",SUMIF(DB_Savings!$A:$A,A378,DB_Savings!$F:$F)),"")</f>
        <v/>
      </c>
      <c r="L378" s="36" t="str">
        <f>IFERROR(IF(A378="","",SUMIF(DB_Withdrawals!$A:$A,A378,DB_Withdrawals!$G:$G)),"")</f>
        <v/>
      </c>
      <c r="M378" s="36" t="str">
        <f>IFERROR(IF(A378="","",IFERROR(VALUE(H378),0)+IFERROR(SUMIF(DB_Savings!$A:$A,A378,DB_Savings!$F:$F),0)-IFERROR(SUMIF(DB_Withdrawals!$A:$A,A378,DB_Withdrawals!$G:$G),0)),"")</f>
        <v/>
      </c>
      <c r="N378" s="36" t="str">
        <f>IFERROR(IF(A378="","",MAX(0,M378-System_Config!$B$9)),"")</f>
        <v/>
      </c>
    </row>
    <row r="379" spans="1:14" ht="20.100000000000001" customHeight="1" x14ac:dyDescent="0.25">
      <c r="A379" s="34" t="str">
        <f>'NEW ACCOUNT'!A380</f>
        <v/>
      </c>
      <c r="B379" s="35" t="str">
        <f>IF('NEW ACCOUNT'!A380="","",'NEW ACCOUNT'!B380)</f>
        <v/>
      </c>
      <c r="C379" s="35" t="str">
        <f>IF('NEW ACCOUNT'!A380="","",'NEW ACCOUNT'!C380)</f>
        <v/>
      </c>
      <c r="D379" s="35" t="str">
        <f>IF('NEW ACCOUNT'!A380="","",'NEW ACCOUNT'!D380)</f>
        <v/>
      </c>
      <c r="E379" s="35" t="str">
        <f>IF('NEW ACCOUNT'!A380="","",'NEW ACCOUNT'!E380)</f>
        <v/>
      </c>
      <c r="F379" s="35" t="str">
        <f>IF('NEW ACCOUNT'!A380="","",'NEW ACCOUNT'!F380)</f>
        <v/>
      </c>
      <c r="G379" s="35" t="str">
        <f>IF('NEW ACCOUNT'!A380="","",'NEW ACCOUNT'!G380)</f>
        <v/>
      </c>
      <c r="H379" s="35" t="str">
        <f>IF('NEW ACCOUNT'!A380="","",'NEW ACCOUNT'!H380)</f>
        <v/>
      </c>
      <c r="I379" s="35" t="str">
        <f>IF('NEW ACCOUNT'!A380="","",'NEW ACCOUNT'!I380)</f>
        <v/>
      </c>
      <c r="J379" s="35" t="str">
        <f>IF('NEW ACCOUNT'!A380="","",'NEW ACCOUNT'!J380)</f>
        <v/>
      </c>
      <c r="K379" s="36" t="str">
        <f>IFERROR(IF(A379="","",SUMIF(DB_Savings!$A:$A,A379,DB_Savings!$F:$F)),"")</f>
        <v/>
      </c>
      <c r="L379" s="36" t="str">
        <f>IFERROR(IF(A379="","",SUMIF(DB_Withdrawals!$A:$A,A379,DB_Withdrawals!$G:$G)),"")</f>
        <v/>
      </c>
      <c r="M379" s="36" t="str">
        <f>IFERROR(IF(A379="","",IFERROR(VALUE(H379),0)+IFERROR(SUMIF(DB_Savings!$A:$A,A379,DB_Savings!$F:$F),0)-IFERROR(SUMIF(DB_Withdrawals!$A:$A,A379,DB_Withdrawals!$G:$G),0)),"")</f>
        <v/>
      </c>
      <c r="N379" s="36" t="str">
        <f>IFERROR(IF(A379="","",MAX(0,M379-System_Config!$B$9)),"")</f>
        <v/>
      </c>
    </row>
    <row r="380" spans="1:14" ht="20.100000000000001" customHeight="1" x14ac:dyDescent="0.25">
      <c r="A380" s="34" t="str">
        <f>'NEW ACCOUNT'!A381</f>
        <v/>
      </c>
      <c r="B380" s="35" t="str">
        <f>IF('NEW ACCOUNT'!A381="","",'NEW ACCOUNT'!B381)</f>
        <v/>
      </c>
      <c r="C380" s="35" t="str">
        <f>IF('NEW ACCOUNT'!A381="","",'NEW ACCOUNT'!C381)</f>
        <v/>
      </c>
      <c r="D380" s="35" t="str">
        <f>IF('NEW ACCOUNT'!A381="","",'NEW ACCOUNT'!D381)</f>
        <v/>
      </c>
      <c r="E380" s="35" t="str">
        <f>IF('NEW ACCOUNT'!A381="","",'NEW ACCOUNT'!E381)</f>
        <v/>
      </c>
      <c r="F380" s="35" t="str">
        <f>IF('NEW ACCOUNT'!A381="","",'NEW ACCOUNT'!F381)</f>
        <v/>
      </c>
      <c r="G380" s="35" t="str">
        <f>IF('NEW ACCOUNT'!A381="","",'NEW ACCOUNT'!G381)</f>
        <v/>
      </c>
      <c r="H380" s="35" t="str">
        <f>IF('NEW ACCOUNT'!A381="","",'NEW ACCOUNT'!H381)</f>
        <v/>
      </c>
      <c r="I380" s="35" t="str">
        <f>IF('NEW ACCOUNT'!A381="","",'NEW ACCOUNT'!I381)</f>
        <v/>
      </c>
      <c r="J380" s="35" t="str">
        <f>IF('NEW ACCOUNT'!A381="","",'NEW ACCOUNT'!J381)</f>
        <v/>
      </c>
      <c r="K380" s="36" t="str">
        <f>IFERROR(IF(A380="","",SUMIF(DB_Savings!$A:$A,A380,DB_Savings!$F:$F)),"")</f>
        <v/>
      </c>
      <c r="L380" s="36" t="str">
        <f>IFERROR(IF(A380="","",SUMIF(DB_Withdrawals!$A:$A,A380,DB_Withdrawals!$G:$G)),"")</f>
        <v/>
      </c>
      <c r="M380" s="36" t="str">
        <f>IFERROR(IF(A380="","",IFERROR(VALUE(H380),0)+IFERROR(SUMIF(DB_Savings!$A:$A,A380,DB_Savings!$F:$F),0)-IFERROR(SUMIF(DB_Withdrawals!$A:$A,A380,DB_Withdrawals!$G:$G),0)),"")</f>
        <v/>
      </c>
      <c r="N380" s="36" t="str">
        <f>IFERROR(IF(A380="","",MAX(0,M380-System_Config!$B$9)),"")</f>
        <v/>
      </c>
    </row>
    <row r="381" spans="1:14" ht="20.100000000000001" customHeight="1" x14ac:dyDescent="0.25">
      <c r="A381" s="34" t="str">
        <f>'NEW ACCOUNT'!A382</f>
        <v/>
      </c>
      <c r="B381" s="35" t="str">
        <f>IF('NEW ACCOUNT'!A382="","",'NEW ACCOUNT'!B382)</f>
        <v/>
      </c>
      <c r="C381" s="35" t="str">
        <f>IF('NEW ACCOUNT'!A382="","",'NEW ACCOUNT'!C382)</f>
        <v/>
      </c>
      <c r="D381" s="35" t="str">
        <f>IF('NEW ACCOUNT'!A382="","",'NEW ACCOUNT'!D382)</f>
        <v/>
      </c>
      <c r="E381" s="35" t="str">
        <f>IF('NEW ACCOUNT'!A382="","",'NEW ACCOUNT'!E382)</f>
        <v/>
      </c>
      <c r="F381" s="35" t="str">
        <f>IF('NEW ACCOUNT'!A382="","",'NEW ACCOUNT'!F382)</f>
        <v/>
      </c>
      <c r="G381" s="35" t="str">
        <f>IF('NEW ACCOUNT'!A382="","",'NEW ACCOUNT'!G382)</f>
        <v/>
      </c>
      <c r="H381" s="35" t="str">
        <f>IF('NEW ACCOUNT'!A382="","",'NEW ACCOUNT'!H382)</f>
        <v/>
      </c>
      <c r="I381" s="35" t="str">
        <f>IF('NEW ACCOUNT'!A382="","",'NEW ACCOUNT'!I382)</f>
        <v/>
      </c>
      <c r="J381" s="35" t="str">
        <f>IF('NEW ACCOUNT'!A382="","",'NEW ACCOUNT'!J382)</f>
        <v/>
      </c>
      <c r="K381" s="36" t="str">
        <f>IFERROR(IF(A381="","",SUMIF(DB_Savings!$A:$A,A381,DB_Savings!$F:$F)),"")</f>
        <v/>
      </c>
      <c r="L381" s="36" t="str">
        <f>IFERROR(IF(A381="","",SUMIF(DB_Withdrawals!$A:$A,A381,DB_Withdrawals!$G:$G)),"")</f>
        <v/>
      </c>
      <c r="M381" s="36" t="str">
        <f>IFERROR(IF(A381="","",IFERROR(VALUE(H381),0)+IFERROR(SUMIF(DB_Savings!$A:$A,A381,DB_Savings!$F:$F),0)-IFERROR(SUMIF(DB_Withdrawals!$A:$A,A381,DB_Withdrawals!$G:$G),0)),"")</f>
        <v/>
      </c>
      <c r="N381" s="36" t="str">
        <f>IFERROR(IF(A381="","",MAX(0,M381-System_Config!$B$9)),"")</f>
        <v/>
      </c>
    </row>
    <row r="382" spans="1:14" ht="20.100000000000001" customHeight="1" x14ac:dyDescent="0.25">
      <c r="A382" s="34" t="str">
        <f>'NEW ACCOUNT'!A383</f>
        <v/>
      </c>
      <c r="B382" s="35" t="str">
        <f>IF('NEW ACCOUNT'!A383="","",'NEW ACCOUNT'!B383)</f>
        <v/>
      </c>
      <c r="C382" s="35" t="str">
        <f>IF('NEW ACCOUNT'!A383="","",'NEW ACCOUNT'!C383)</f>
        <v/>
      </c>
      <c r="D382" s="35" t="str">
        <f>IF('NEW ACCOUNT'!A383="","",'NEW ACCOUNT'!D383)</f>
        <v/>
      </c>
      <c r="E382" s="35" t="str">
        <f>IF('NEW ACCOUNT'!A383="","",'NEW ACCOUNT'!E383)</f>
        <v/>
      </c>
      <c r="F382" s="35" t="str">
        <f>IF('NEW ACCOUNT'!A383="","",'NEW ACCOUNT'!F383)</f>
        <v/>
      </c>
      <c r="G382" s="35" t="str">
        <f>IF('NEW ACCOUNT'!A383="","",'NEW ACCOUNT'!G383)</f>
        <v/>
      </c>
      <c r="H382" s="35" t="str">
        <f>IF('NEW ACCOUNT'!A383="","",'NEW ACCOUNT'!H383)</f>
        <v/>
      </c>
      <c r="I382" s="35" t="str">
        <f>IF('NEW ACCOUNT'!A383="","",'NEW ACCOUNT'!I383)</f>
        <v/>
      </c>
      <c r="J382" s="35" t="str">
        <f>IF('NEW ACCOUNT'!A383="","",'NEW ACCOUNT'!J383)</f>
        <v/>
      </c>
      <c r="K382" s="36" t="str">
        <f>IFERROR(IF(A382="","",SUMIF(DB_Savings!$A:$A,A382,DB_Savings!$F:$F)),"")</f>
        <v/>
      </c>
      <c r="L382" s="36" t="str">
        <f>IFERROR(IF(A382="","",SUMIF(DB_Withdrawals!$A:$A,A382,DB_Withdrawals!$G:$G)),"")</f>
        <v/>
      </c>
      <c r="M382" s="36" t="str">
        <f>IFERROR(IF(A382="","",IFERROR(VALUE(H382),0)+IFERROR(SUMIF(DB_Savings!$A:$A,A382,DB_Savings!$F:$F),0)-IFERROR(SUMIF(DB_Withdrawals!$A:$A,A382,DB_Withdrawals!$G:$G),0)),"")</f>
        <v/>
      </c>
      <c r="N382" s="36" t="str">
        <f>IFERROR(IF(A382="","",MAX(0,M382-System_Config!$B$9)),"")</f>
        <v/>
      </c>
    </row>
    <row r="383" spans="1:14" ht="20.100000000000001" customHeight="1" x14ac:dyDescent="0.25">
      <c r="A383" s="34" t="str">
        <f>'NEW ACCOUNT'!A384</f>
        <v/>
      </c>
      <c r="B383" s="35" t="str">
        <f>IF('NEW ACCOUNT'!A384="","",'NEW ACCOUNT'!B384)</f>
        <v/>
      </c>
      <c r="C383" s="35" t="str">
        <f>IF('NEW ACCOUNT'!A384="","",'NEW ACCOUNT'!C384)</f>
        <v/>
      </c>
      <c r="D383" s="35" t="str">
        <f>IF('NEW ACCOUNT'!A384="","",'NEW ACCOUNT'!D384)</f>
        <v/>
      </c>
      <c r="E383" s="35" t="str">
        <f>IF('NEW ACCOUNT'!A384="","",'NEW ACCOUNT'!E384)</f>
        <v/>
      </c>
      <c r="F383" s="35" t="str">
        <f>IF('NEW ACCOUNT'!A384="","",'NEW ACCOUNT'!F384)</f>
        <v/>
      </c>
      <c r="G383" s="35" t="str">
        <f>IF('NEW ACCOUNT'!A384="","",'NEW ACCOUNT'!G384)</f>
        <v/>
      </c>
      <c r="H383" s="35" t="str">
        <f>IF('NEW ACCOUNT'!A384="","",'NEW ACCOUNT'!H384)</f>
        <v/>
      </c>
      <c r="I383" s="35" t="str">
        <f>IF('NEW ACCOUNT'!A384="","",'NEW ACCOUNT'!I384)</f>
        <v/>
      </c>
      <c r="J383" s="35" t="str">
        <f>IF('NEW ACCOUNT'!A384="","",'NEW ACCOUNT'!J384)</f>
        <v/>
      </c>
      <c r="K383" s="36" t="str">
        <f>IFERROR(IF(A383="","",SUMIF(DB_Savings!$A:$A,A383,DB_Savings!$F:$F)),"")</f>
        <v/>
      </c>
      <c r="L383" s="36" t="str">
        <f>IFERROR(IF(A383="","",SUMIF(DB_Withdrawals!$A:$A,A383,DB_Withdrawals!$G:$G)),"")</f>
        <v/>
      </c>
      <c r="M383" s="36" t="str">
        <f>IFERROR(IF(A383="","",IFERROR(VALUE(H383),0)+IFERROR(SUMIF(DB_Savings!$A:$A,A383,DB_Savings!$F:$F),0)-IFERROR(SUMIF(DB_Withdrawals!$A:$A,A383,DB_Withdrawals!$G:$G),0)),"")</f>
        <v/>
      </c>
      <c r="N383" s="36" t="str">
        <f>IFERROR(IF(A383="","",MAX(0,M383-System_Config!$B$9)),"")</f>
        <v/>
      </c>
    </row>
    <row r="384" spans="1:14" ht="20.100000000000001" customHeight="1" x14ac:dyDescent="0.25">
      <c r="A384" s="34" t="str">
        <f>'NEW ACCOUNT'!A385</f>
        <v/>
      </c>
      <c r="B384" s="35" t="str">
        <f>IF('NEW ACCOUNT'!A385="","",'NEW ACCOUNT'!B385)</f>
        <v/>
      </c>
      <c r="C384" s="35" t="str">
        <f>IF('NEW ACCOUNT'!A385="","",'NEW ACCOUNT'!C385)</f>
        <v/>
      </c>
      <c r="D384" s="35" t="str">
        <f>IF('NEW ACCOUNT'!A385="","",'NEW ACCOUNT'!D385)</f>
        <v/>
      </c>
      <c r="E384" s="35" t="str">
        <f>IF('NEW ACCOUNT'!A385="","",'NEW ACCOUNT'!E385)</f>
        <v/>
      </c>
      <c r="F384" s="35" t="str">
        <f>IF('NEW ACCOUNT'!A385="","",'NEW ACCOUNT'!F385)</f>
        <v/>
      </c>
      <c r="G384" s="35" t="str">
        <f>IF('NEW ACCOUNT'!A385="","",'NEW ACCOUNT'!G385)</f>
        <v/>
      </c>
      <c r="H384" s="35" t="str">
        <f>IF('NEW ACCOUNT'!A385="","",'NEW ACCOUNT'!H385)</f>
        <v/>
      </c>
      <c r="I384" s="35" t="str">
        <f>IF('NEW ACCOUNT'!A385="","",'NEW ACCOUNT'!I385)</f>
        <v/>
      </c>
      <c r="J384" s="35" t="str">
        <f>IF('NEW ACCOUNT'!A385="","",'NEW ACCOUNT'!J385)</f>
        <v/>
      </c>
      <c r="K384" s="36" t="str">
        <f>IFERROR(IF(A384="","",SUMIF(DB_Savings!$A:$A,A384,DB_Savings!$F:$F)),"")</f>
        <v/>
      </c>
      <c r="L384" s="36" t="str">
        <f>IFERROR(IF(A384="","",SUMIF(DB_Withdrawals!$A:$A,A384,DB_Withdrawals!$G:$G)),"")</f>
        <v/>
      </c>
      <c r="M384" s="36" t="str">
        <f>IFERROR(IF(A384="","",IFERROR(VALUE(H384),0)+IFERROR(SUMIF(DB_Savings!$A:$A,A384,DB_Savings!$F:$F),0)-IFERROR(SUMIF(DB_Withdrawals!$A:$A,A384,DB_Withdrawals!$G:$G),0)),"")</f>
        <v/>
      </c>
      <c r="N384" s="36" t="str">
        <f>IFERROR(IF(A384="","",MAX(0,M384-System_Config!$B$9)),"")</f>
        <v/>
      </c>
    </row>
    <row r="385" spans="1:14" ht="20.100000000000001" customHeight="1" x14ac:dyDescent="0.25">
      <c r="A385" s="34" t="str">
        <f>'NEW ACCOUNT'!A386</f>
        <v/>
      </c>
      <c r="B385" s="35" t="str">
        <f>IF('NEW ACCOUNT'!A386="","",'NEW ACCOUNT'!B386)</f>
        <v/>
      </c>
      <c r="C385" s="35" t="str">
        <f>IF('NEW ACCOUNT'!A386="","",'NEW ACCOUNT'!C386)</f>
        <v/>
      </c>
      <c r="D385" s="35" t="str">
        <f>IF('NEW ACCOUNT'!A386="","",'NEW ACCOUNT'!D386)</f>
        <v/>
      </c>
      <c r="E385" s="35" t="str">
        <f>IF('NEW ACCOUNT'!A386="","",'NEW ACCOUNT'!E386)</f>
        <v/>
      </c>
      <c r="F385" s="35" t="str">
        <f>IF('NEW ACCOUNT'!A386="","",'NEW ACCOUNT'!F386)</f>
        <v/>
      </c>
      <c r="G385" s="35" t="str">
        <f>IF('NEW ACCOUNT'!A386="","",'NEW ACCOUNT'!G386)</f>
        <v/>
      </c>
      <c r="H385" s="35" t="str">
        <f>IF('NEW ACCOUNT'!A386="","",'NEW ACCOUNT'!H386)</f>
        <v/>
      </c>
      <c r="I385" s="35" t="str">
        <f>IF('NEW ACCOUNT'!A386="","",'NEW ACCOUNT'!I386)</f>
        <v/>
      </c>
      <c r="J385" s="35" t="str">
        <f>IF('NEW ACCOUNT'!A386="","",'NEW ACCOUNT'!J386)</f>
        <v/>
      </c>
      <c r="K385" s="36" t="str">
        <f>IFERROR(IF(A385="","",SUMIF(DB_Savings!$A:$A,A385,DB_Savings!$F:$F)),"")</f>
        <v/>
      </c>
      <c r="L385" s="36" t="str">
        <f>IFERROR(IF(A385="","",SUMIF(DB_Withdrawals!$A:$A,A385,DB_Withdrawals!$G:$G)),"")</f>
        <v/>
      </c>
      <c r="M385" s="36" t="str">
        <f>IFERROR(IF(A385="","",IFERROR(VALUE(H385),0)+IFERROR(SUMIF(DB_Savings!$A:$A,A385,DB_Savings!$F:$F),0)-IFERROR(SUMIF(DB_Withdrawals!$A:$A,A385,DB_Withdrawals!$G:$G),0)),"")</f>
        <v/>
      </c>
      <c r="N385" s="36" t="str">
        <f>IFERROR(IF(A385="","",MAX(0,M385-System_Config!$B$9)),"")</f>
        <v/>
      </c>
    </row>
    <row r="386" spans="1:14" ht="20.100000000000001" customHeight="1" x14ac:dyDescent="0.25">
      <c r="A386" s="34" t="str">
        <f>'NEW ACCOUNT'!A387</f>
        <v/>
      </c>
      <c r="B386" s="35" t="str">
        <f>IF('NEW ACCOUNT'!A387="","",'NEW ACCOUNT'!B387)</f>
        <v/>
      </c>
      <c r="C386" s="35" t="str">
        <f>IF('NEW ACCOUNT'!A387="","",'NEW ACCOUNT'!C387)</f>
        <v/>
      </c>
      <c r="D386" s="35" t="str">
        <f>IF('NEW ACCOUNT'!A387="","",'NEW ACCOUNT'!D387)</f>
        <v/>
      </c>
      <c r="E386" s="35" t="str">
        <f>IF('NEW ACCOUNT'!A387="","",'NEW ACCOUNT'!E387)</f>
        <v/>
      </c>
      <c r="F386" s="35" t="str">
        <f>IF('NEW ACCOUNT'!A387="","",'NEW ACCOUNT'!F387)</f>
        <v/>
      </c>
      <c r="G386" s="35" t="str">
        <f>IF('NEW ACCOUNT'!A387="","",'NEW ACCOUNT'!G387)</f>
        <v/>
      </c>
      <c r="H386" s="35" t="str">
        <f>IF('NEW ACCOUNT'!A387="","",'NEW ACCOUNT'!H387)</f>
        <v/>
      </c>
      <c r="I386" s="35" t="str">
        <f>IF('NEW ACCOUNT'!A387="","",'NEW ACCOUNT'!I387)</f>
        <v/>
      </c>
      <c r="J386" s="35" t="str">
        <f>IF('NEW ACCOUNT'!A387="","",'NEW ACCOUNT'!J387)</f>
        <v/>
      </c>
      <c r="K386" s="36" t="str">
        <f>IFERROR(IF(A386="","",SUMIF(DB_Savings!$A:$A,A386,DB_Savings!$F:$F)),"")</f>
        <v/>
      </c>
      <c r="L386" s="36" t="str">
        <f>IFERROR(IF(A386="","",SUMIF(DB_Withdrawals!$A:$A,A386,DB_Withdrawals!$G:$G)),"")</f>
        <v/>
      </c>
      <c r="M386" s="36" t="str">
        <f>IFERROR(IF(A386="","",IFERROR(VALUE(H386),0)+IFERROR(SUMIF(DB_Savings!$A:$A,A386,DB_Savings!$F:$F),0)-IFERROR(SUMIF(DB_Withdrawals!$A:$A,A386,DB_Withdrawals!$G:$G),0)),"")</f>
        <v/>
      </c>
      <c r="N386" s="36" t="str">
        <f>IFERROR(IF(A386="","",MAX(0,M386-System_Config!$B$9)),"")</f>
        <v/>
      </c>
    </row>
    <row r="387" spans="1:14" ht="20.100000000000001" customHeight="1" x14ac:dyDescent="0.25">
      <c r="A387" s="34" t="str">
        <f>'NEW ACCOUNT'!A388</f>
        <v/>
      </c>
      <c r="B387" s="35" t="str">
        <f>IF('NEW ACCOUNT'!A388="","",'NEW ACCOUNT'!B388)</f>
        <v/>
      </c>
      <c r="C387" s="35" t="str">
        <f>IF('NEW ACCOUNT'!A388="","",'NEW ACCOUNT'!C388)</f>
        <v/>
      </c>
      <c r="D387" s="35" t="str">
        <f>IF('NEW ACCOUNT'!A388="","",'NEW ACCOUNT'!D388)</f>
        <v/>
      </c>
      <c r="E387" s="35" t="str">
        <f>IF('NEW ACCOUNT'!A388="","",'NEW ACCOUNT'!E388)</f>
        <v/>
      </c>
      <c r="F387" s="35" t="str">
        <f>IF('NEW ACCOUNT'!A388="","",'NEW ACCOUNT'!F388)</f>
        <v/>
      </c>
      <c r="G387" s="35" t="str">
        <f>IF('NEW ACCOUNT'!A388="","",'NEW ACCOUNT'!G388)</f>
        <v/>
      </c>
      <c r="H387" s="35" t="str">
        <f>IF('NEW ACCOUNT'!A388="","",'NEW ACCOUNT'!H388)</f>
        <v/>
      </c>
      <c r="I387" s="35" t="str">
        <f>IF('NEW ACCOUNT'!A388="","",'NEW ACCOUNT'!I388)</f>
        <v/>
      </c>
      <c r="J387" s="35" t="str">
        <f>IF('NEW ACCOUNT'!A388="","",'NEW ACCOUNT'!J388)</f>
        <v/>
      </c>
      <c r="K387" s="36" t="str">
        <f>IFERROR(IF(A387="","",SUMIF(DB_Savings!$A:$A,A387,DB_Savings!$F:$F)),"")</f>
        <v/>
      </c>
      <c r="L387" s="36" t="str">
        <f>IFERROR(IF(A387="","",SUMIF(DB_Withdrawals!$A:$A,A387,DB_Withdrawals!$G:$G)),"")</f>
        <v/>
      </c>
      <c r="M387" s="36" t="str">
        <f>IFERROR(IF(A387="","",IFERROR(VALUE(H387),0)+IFERROR(SUMIF(DB_Savings!$A:$A,A387,DB_Savings!$F:$F),0)-IFERROR(SUMIF(DB_Withdrawals!$A:$A,A387,DB_Withdrawals!$G:$G),0)),"")</f>
        <v/>
      </c>
      <c r="N387" s="36" t="str">
        <f>IFERROR(IF(A387="","",MAX(0,M387-System_Config!$B$9)),"")</f>
        <v/>
      </c>
    </row>
    <row r="388" spans="1:14" ht="20.100000000000001" customHeight="1" x14ac:dyDescent="0.25">
      <c r="A388" s="34" t="str">
        <f>'NEW ACCOUNT'!A389</f>
        <v/>
      </c>
      <c r="B388" s="35" t="str">
        <f>IF('NEW ACCOUNT'!A389="","",'NEW ACCOUNT'!B389)</f>
        <v/>
      </c>
      <c r="C388" s="35" t="str">
        <f>IF('NEW ACCOUNT'!A389="","",'NEW ACCOUNT'!C389)</f>
        <v/>
      </c>
      <c r="D388" s="35" t="str">
        <f>IF('NEW ACCOUNT'!A389="","",'NEW ACCOUNT'!D389)</f>
        <v/>
      </c>
      <c r="E388" s="35" t="str">
        <f>IF('NEW ACCOUNT'!A389="","",'NEW ACCOUNT'!E389)</f>
        <v/>
      </c>
      <c r="F388" s="35" t="str">
        <f>IF('NEW ACCOUNT'!A389="","",'NEW ACCOUNT'!F389)</f>
        <v/>
      </c>
      <c r="G388" s="35" t="str">
        <f>IF('NEW ACCOUNT'!A389="","",'NEW ACCOUNT'!G389)</f>
        <v/>
      </c>
      <c r="H388" s="35" t="str">
        <f>IF('NEW ACCOUNT'!A389="","",'NEW ACCOUNT'!H389)</f>
        <v/>
      </c>
      <c r="I388" s="35" t="str">
        <f>IF('NEW ACCOUNT'!A389="","",'NEW ACCOUNT'!I389)</f>
        <v/>
      </c>
      <c r="J388" s="35" t="str">
        <f>IF('NEW ACCOUNT'!A389="","",'NEW ACCOUNT'!J389)</f>
        <v/>
      </c>
      <c r="K388" s="36" t="str">
        <f>IFERROR(IF(A388="","",SUMIF(DB_Savings!$A:$A,A388,DB_Savings!$F:$F)),"")</f>
        <v/>
      </c>
      <c r="L388" s="36" t="str">
        <f>IFERROR(IF(A388="","",SUMIF(DB_Withdrawals!$A:$A,A388,DB_Withdrawals!$G:$G)),"")</f>
        <v/>
      </c>
      <c r="M388" s="36" t="str">
        <f>IFERROR(IF(A388="","",IFERROR(VALUE(H388),0)+IFERROR(SUMIF(DB_Savings!$A:$A,A388,DB_Savings!$F:$F),0)-IFERROR(SUMIF(DB_Withdrawals!$A:$A,A388,DB_Withdrawals!$G:$G),0)),"")</f>
        <v/>
      </c>
      <c r="N388" s="36" t="str">
        <f>IFERROR(IF(A388="","",MAX(0,M388-System_Config!$B$9)),"")</f>
        <v/>
      </c>
    </row>
    <row r="389" spans="1:14" ht="20.100000000000001" customHeight="1" x14ac:dyDescent="0.25">
      <c r="A389" s="34" t="str">
        <f>'NEW ACCOUNT'!A390</f>
        <v/>
      </c>
      <c r="B389" s="35" t="str">
        <f>IF('NEW ACCOUNT'!A390="","",'NEW ACCOUNT'!B390)</f>
        <v/>
      </c>
      <c r="C389" s="35" t="str">
        <f>IF('NEW ACCOUNT'!A390="","",'NEW ACCOUNT'!C390)</f>
        <v/>
      </c>
      <c r="D389" s="35" t="str">
        <f>IF('NEW ACCOUNT'!A390="","",'NEW ACCOUNT'!D390)</f>
        <v/>
      </c>
      <c r="E389" s="35" t="str">
        <f>IF('NEW ACCOUNT'!A390="","",'NEW ACCOUNT'!E390)</f>
        <v/>
      </c>
      <c r="F389" s="35" t="str">
        <f>IF('NEW ACCOUNT'!A390="","",'NEW ACCOUNT'!F390)</f>
        <v/>
      </c>
      <c r="G389" s="35" t="str">
        <f>IF('NEW ACCOUNT'!A390="","",'NEW ACCOUNT'!G390)</f>
        <v/>
      </c>
      <c r="H389" s="35" t="str">
        <f>IF('NEW ACCOUNT'!A390="","",'NEW ACCOUNT'!H390)</f>
        <v/>
      </c>
      <c r="I389" s="35" t="str">
        <f>IF('NEW ACCOUNT'!A390="","",'NEW ACCOUNT'!I390)</f>
        <v/>
      </c>
      <c r="J389" s="35" t="str">
        <f>IF('NEW ACCOUNT'!A390="","",'NEW ACCOUNT'!J390)</f>
        <v/>
      </c>
      <c r="K389" s="36" t="str">
        <f>IFERROR(IF(A389="","",SUMIF(DB_Savings!$A:$A,A389,DB_Savings!$F:$F)),"")</f>
        <v/>
      </c>
      <c r="L389" s="36" t="str">
        <f>IFERROR(IF(A389="","",SUMIF(DB_Withdrawals!$A:$A,A389,DB_Withdrawals!$G:$G)),"")</f>
        <v/>
      </c>
      <c r="M389" s="36" t="str">
        <f>IFERROR(IF(A389="","",IFERROR(VALUE(H389),0)+IFERROR(SUMIF(DB_Savings!$A:$A,A389,DB_Savings!$F:$F),0)-IFERROR(SUMIF(DB_Withdrawals!$A:$A,A389,DB_Withdrawals!$G:$G),0)),"")</f>
        <v/>
      </c>
      <c r="N389" s="36" t="str">
        <f>IFERROR(IF(A389="","",MAX(0,M389-System_Config!$B$9)),"")</f>
        <v/>
      </c>
    </row>
    <row r="390" spans="1:14" ht="20.100000000000001" customHeight="1" x14ac:dyDescent="0.25">
      <c r="A390" s="34" t="str">
        <f>'NEW ACCOUNT'!A391</f>
        <v/>
      </c>
      <c r="B390" s="35" t="str">
        <f>IF('NEW ACCOUNT'!A391="","",'NEW ACCOUNT'!B391)</f>
        <v/>
      </c>
      <c r="C390" s="35" t="str">
        <f>IF('NEW ACCOUNT'!A391="","",'NEW ACCOUNT'!C391)</f>
        <v/>
      </c>
      <c r="D390" s="35" t="str">
        <f>IF('NEW ACCOUNT'!A391="","",'NEW ACCOUNT'!D391)</f>
        <v/>
      </c>
      <c r="E390" s="35" t="str">
        <f>IF('NEW ACCOUNT'!A391="","",'NEW ACCOUNT'!E391)</f>
        <v/>
      </c>
      <c r="F390" s="35" t="str">
        <f>IF('NEW ACCOUNT'!A391="","",'NEW ACCOUNT'!F391)</f>
        <v/>
      </c>
      <c r="G390" s="35" t="str">
        <f>IF('NEW ACCOUNT'!A391="","",'NEW ACCOUNT'!G391)</f>
        <v/>
      </c>
      <c r="H390" s="35" t="str">
        <f>IF('NEW ACCOUNT'!A391="","",'NEW ACCOUNT'!H391)</f>
        <v/>
      </c>
      <c r="I390" s="35" t="str">
        <f>IF('NEW ACCOUNT'!A391="","",'NEW ACCOUNT'!I391)</f>
        <v/>
      </c>
      <c r="J390" s="35" t="str">
        <f>IF('NEW ACCOUNT'!A391="","",'NEW ACCOUNT'!J391)</f>
        <v/>
      </c>
      <c r="K390" s="36" t="str">
        <f>IFERROR(IF(A390="","",SUMIF(DB_Savings!$A:$A,A390,DB_Savings!$F:$F)),"")</f>
        <v/>
      </c>
      <c r="L390" s="36" t="str">
        <f>IFERROR(IF(A390="","",SUMIF(DB_Withdrawals!$A:$A,A390,DB_Withdrawals!$G:$G)),"")</f>
        <v/>
      </c>
      <c r="M390" s="36" t="str">
        <f>IFERROR(IF(A390="","",IFERROR(VALUE(H390),0)+IFERROR(SUMIF(DB_Savings!$A:$A,A390,DB_Savings!$F:$F),0)-IFERROR(SUMIF(DB_Withdrawals!$A:$A,A390,DB_Withdrawals!$G:$G),0)),"")</f>
        <v/>
      </c>
      <c r="N390" s="36" t="str">
        <f>IFERROR(IF(A390="","",MAX(0,M390-System_Config!$B$9)),"")</f>
        <v/>
      </c>
    </row>
    <row r="391" spans="1:14" ht="20.100000000000001" customHeight="1" x14ac:dyDescent="0.25">
      <c r="A391" s="34" t="str">
        <f>'NEW ACCOUNT'!A392</f>
        <v/>
      </c>
      <c r="B391" s="35" t="str">
        <f>IF('NEW ACCOUNT'!A392="","",'NEW ACCOUNT'!B392)</f>
        <v/>
      </c>
      <c r="C391" s="35" t="str">
        <f>IF('NEW ACCOUNT'!A392="","",'NEW ACCOUNT'!C392)</f>
        <v/>
      </c>
      <c r="D391" s="35" t="str">
        <f>IF('NEW ACCOUNT'!A392="","",'NEW ACCOUNT'!D392)</f>
        <v/>
      </c>
      <c r="E391" s="35" t="str">
        <f>IF('NEW ACCOUNT'!A392="","",'NEW ACCOUNT'!E392)</f>
        <v/>
      </c>
      <c r="F391" s="35" t="str">
        <f>IF('NEW ACCOUNT'!A392="","",'NEW ACCOUNT'!F392)</f>
        <v/>
      </c>
      <c r="G391" s="35" t="str">
        <f>IF('NEW ACCOUNT'!A392="","",'NEW ACCOUNT'!G392)</f>
        <v/>
      </c>
      <c r="H391" s="35" t="str">
        <f>IF('NEW ACCOUNT'!A392="","",'NEW ACCOUNT'!H392)</f>
        <v/>
      </c>
      <c r="I391" s="35" t="str">
        <f>IF('NEW ACCOUNT'!A392="","",'NEW ACCOUNT'!I392)</f>
        <v/>
      </c>
      <c r="J391" s="35" t="str">
        <f>IF('NEW ACCOUNT'!A392="","",'NEW ACCOUNT'!J392)</f>
        <v/>
      </c>
      <c r="K391" s="36" t="str">
        <f>IFERROR(IF(A391="","",SUMIF(DB_Savings!$A:$A,A391,DB_Savings!$F:$F)),"")</f>
        <v/>
      </c>
      <c r="L391" s="36" t="str">
        <f>IFERROR(IF(A391="","",SUMIF(DB_Withdrawals!$A:$A,A391,DB_Withdrawals!$G:$G)),"")</f>
        <v/>
      </c>
      <c r="M391" s="36" t="str">
        <f>IFERROR(IF(A391="","",IFERROR(VALUE(H391),0)+IFERROR(SUMIF(DB_Savings!$A:$A,A391,DB_Savings!$F:$F),0)-IFERROR(SUMIF(DB_Withdrawals!$A:$A,A391,DB_Withdrawals!$G:$G),0)),"")</f>
        <v/>
      </c>
      <c r="N391" s="36" t="str">
        <f>IFERROR(IF(A391="","",MAX(0,M391-System_Config!$B$9)),"")</f>
        <v/>
      </c>
    </row>
    <row r="392" spans="1:14" ht="20.100000000000001" customHeight="1" x14ac:dyDescent="0.25">
      <c r="A392" s="34" t="str">
        <f>'NEW ACCOUNT'!A393</f>
        <v/>
      </c>
      <c r="B392" s="35" t="str">
        <f>IF('NEW ACCOUNT'!A393="","",'NEW ACCOUNT'!B393)</f>
        <v/>
      </c>
      <c r="C392" s="35" t="str">
        <f>IF('NEW ACCOUNT'!A393="","",'NEW ACCOUNT'!C393)</f>
        <v/>
      </c>
      <c r="D392" s="35" t="str">
        <f>IF('NEW ACCOUNT'!A393="","",'NEW ACCOUNT'!D393)</f>
        <v/>
      </c>
      <c r="E392" s="35" t="str">
        <f>IF('NEW ACCOUNT'!A393="","",'NEW ACCOUNT'!E393)</f>
        <v/>
      </c>
      <c r="F392" s="35" t="str">
        <f>IF('NEW ACCOUNT'!A393="","",'NEW ACCOUNT'!F393)</f>
        <v/>
      </c>
      <c r="G392" s="35" t="str">
        <f>IF('NEW ACCOUNT'!A393="","",'NEW ACCOUNT'!G393)</f>
        <v/>
      </c>
      <c r="H392" s="35" t="str">
        <f>IF('NEW ACCOUNT'!A393="","",'NEW ACCOUNT'!H393)</f>
        <v/>
      </c>
      <c r="I392" s="35" t="str">
        <f>IF('NEW ACCOUNT'!A393="","",'NEW ACCOUNT'!I393)</f>
        <v/>
      </c>
      <c r="J392" s="35" t="str">
        <f>IF('NEW ACCOUNT'!A393="","",'NEW ACCOUNT'!J393)</f>
        <v/>
      </c>
      <c r="K392" s="36" t="str">
        <f>IFERROR(IF(A392="","",SUMIF(DB_Savings!$A:$A,A392,DB_Savings!$F:$F)),"")</f>
        <v/>
      </c>
      <c r="L392" s="36" t="str">
        <f>IFERROR(IF(A392="","",SUMIF(DB_Withdrawals!$A:$A,A392,DB_Withdrawals!$G:$G)),"")</f>
        <v/>
      </c>
      <c r="M392" s="36" t="str">
        <f>IFERROR(IF(A392="","",IFERROR(VALUE(H392),0)+IFERROR(SUMIF(DB_Savings!$A:$A,A392,DB_Savings!$F:$F),0)-IFERROR(SUMIF(DB_Withdrawals!$A:$A,A392,DB_Withdrawals!$G:$G),0)),"")</f>
        <v/>
      </c>
      <c r="N392" s="36" t="str">
        <f>IFERROR(IF(A392="","",MAX(0,M392-System_Config!$B$9)),"")</f>
        <v/>
      </c>
    </row>
    <row r="393" spans="1:14" ht="20.100000000000001" customHeight="1" x14ac:dyDescent="0.25">
      <c r="A393" s="34" t="str">
        <f>'NEW ACCOUNT'!A394</f>
        <v/>
      </c>
      <c r="B393" s="35" t="str">
        <f>IF('NEW ACCOUNT'!A394="","",'NEW ACCOUNT'!B394)</f>
        <v/>
      </c>
      <c r="C393" s="35" t="str">
        <f>IF('NEW ACCOUNT'!A394="","",'NEW ACCOUNT'!C394)</f>
        <v/>
      </c>
      <c r="D393" s="35" t="str">
        <f>IF('NEW ACCOUNT'!A394="","",'NEW ACCOUNT'!D394)</f>
        <v/>
      </c>
      <c r="E393" s="35" t="str">
        <f>IF('NEW ACCOUNT'!A394="","",'NEW ACCOUNT'!E394)</f>
        <v/>
      </c>
      <c r="F393" s="35" t="str">
        <f>IF('NEW ACCOUNT'!A394="","",'NEW ACCOUNT'!F394)</f>
        <v/>
      </c>
      <c r="G393" s="35" t="str">
        <f>IF('NEW ACCOUNT'!A394="","",'NEW ACCOUNT'!G394)</f>
        <v/>
      </c>
      <c r="H393" s="35" t="str">
        <f>IF('NEW ACCOUNT'!A394="","",'NEW ACCOUNT'!H394)</f>
        <v/>
      </c>
      <c r="I393" s="35" t="str">
        <f>IF('NEW ACCOUNT'!A394="","",'NEW ACCOUNT'!I394)</f>
        <v/>
      </c>
      <c r="J393" s="35" t="str">
        <f>IF('NEW ACCOUNT'!A394="","",'NEW ACCOUNT'!J394)</f>
        <v/>
      </c>
      <c r="K393" s="36" t="str">
        <f>IFERROR(IF(A393="","",SUMIF(DB_Savings!$A:$A,A393,DB_Savings!$F:$F)),"")</f>
        <v/>
      </c>
      <c r="L393" s="36" t="str">
        <f>IFERROR(IF(A393="","",SUMIF(DB_Withdrawals!$A:$A,A393,DB_Withdrawals!$G:$G)),"")</f>
        <v/>
      </c>
      <c r="M393" s="36" t="str">
        <f>IFERROR(IF(A393="","",IFERROR(VALUE(H393),0)+IFERROR(SUMIF(DB_Savings!$A:$A,A393,DB_Savings!$F:$F),0)-IFERROR(SUMIF(DB_Withdrawals!$A:$A,A393,DB_Withdrawals!$G:$G),0)),"")</f>
        <v/>
      </c>
      <c r="N393" s="36" t="str">
        <f>IFERROR(IF(A393="","",MAX(0,M393-System_Config!$B$9)),"")</f>
        <v/>
      </c>
    </row>
    <row r="394" spans="1:14" ht="20.100000000000001" customHeight="1" x14ac:dyDescent="0.25">
      <c r="A394" s="34" t="str">
        <f>'NEW ACCOUNT'!A395</f>
        <v/>
      </c>
      <c r="B394" s="35" t="str">
        <f>IF('NEW ACCOUNT'!A395="","",'NEW ACCOUNT'!B395)</f>
        <v/>
      </c>
      <c r="C394" s="35" t="str">
        <f>IF('NEW ACCOUNT'!A395="","",'NEW ACCOUNT'!C395)</f>
        <v/>
      </c>
      <c r="D394" s="35" t="str">
        <f>IF('NEW ACCOUNT'!A395="","",'NEW ACCOUNT'!D395)</f>
        <v/>
      </c>
      <c r="E394" s="35" t="str">
        <f>IF('NEW ACCOUNT'!A395="","",'NEW ACCOUNT'!E395)</f>
        <v/>
      </c>
      <c r="F394" s="35" t="str">
        <f>IF('NEW ACCOUNT'!A395="","",'NEW ACCOUNT'!F395)</f>
        <v/>
      </c>
      <c r="G394" s="35" t="str">
        <f>IF('NEW ACCOUNT'!A395="","",'NEW ACCOUNT'!G395)</f>
        <v/>
      </c>
      <c r="H394" s="35" t="str">
        <f>IF('NEW ACCOUNT'!A395="","",'NEW ACCOUNT'!H395)</f>
        <v/>
      </c>
      <c r="I394" s="35" t="str">
        <f>IF('NEW ACCOUNT'!A395="","",'NEW ACCOUNT'!I395)</f>
        <v/>
      </c>
      <c r="J394" s="35" t="str">
        <f>IF('NEW ACCOUNT'!A395="","",'NEW ACCOUNT'!J395)</f>
        <v/>
      </c>
      <c r="K394" s="36" t="str">
        <f>IFERROR(IF(A394="","",SUMIF(DB_Savings!$A:$A,A394,DB_Savings!$F:$F)),"")</f>
        <v/>
      </c>
      <c r="L394" s="36" t="str">
        <f>IFERROR(IF(A394="","",SUMIF(DB_Withdrawals!$A:$A,A394,DB_Withdrawals!$G:$G)),"")</f>
        <v/>
      </c>
      <c r="M394" s="36" t="str">
        <f>IFERROR(IF(A394="","",IFERROR(VALUE(H394),0)+IFERROR(SUMIF(DB_Savings!$A:$A,A394,DB_Savings!$F:$F),0)-IFERROR(SUMIF(DB_Withdrawals!$A:$A,A394,DB_Withdrawals!$G:$G),0)),"")</f>
        <v/>
      </c>
      <c r="N394" s="36" t="str">
        <f>IFERROR(IF(A394="","",MAX(0,M394-System_Config!$B$9)),"")</f>
        <v/>
      </c>
    </row>
    <row r="395" spans="1:14" ht="20.100000000000001" customHeight="1" x14ac:dyDescent="0.25">
      <c r="A395" s="34" t="str">
        <f>'NEW ACCOUNT'!A396</f>
        <v/>
      </c>
      <c r="B395" s="35" t="str">
        <f>IF('NEW ACCOUNT'!A396="","",'NEW ACCOUNT'!B396)</f>
        <v/>
      </c>
      <c r="C395" s="35" t="str">
        <f>IF('NEW ACCOUNT'!A396="","",'NEW ACCOUNT'!C396)</f>
        <v/>
      </c>
      <c r="D395" s="35" t="str">
        <f>IF('NEW ACCOUNT'!A396="","",'NEW ACCOUNT'!D396)</f>
        <v/>
      </c>
      <c r="E395" s="35" t="str">
        <f>IF('NEW ACCOUNT'!A396="","",'NEW ACCOUNT'!E396)</f>
        <v/>
      </c>
      <c r="F395" s="35" t="str">
        <f>IF('NEW ACCOUNT'!A396="","",'NEW ACCOUNT'!F396)</f>
        <v/>
      </c>
      <c r="G395" s="35" t="str">
        <f>IF('NEW ACCOUNT'!A396="","",'NEW ACCOUNT'!G396)</f>
        <v/>
      </c>
      <c r="H395" s="35" t="str">
        <f>IF('NEW ACCOUNT'!A396="","",'NEW ACCOUNT'!H396)</f>
        <v/>
      </c>
      <c r="I395" s="35" t="str">
        <f>IF('NEW ACCOUNT'!A396="","",'NEW ACCOUNT'!I396)</f>
        <v/>
      </c>
      <c r="J395" s="35" t="str">
        <f>IF('NEW ACCOUNT'!A396="","",'NEW ACCOUNT'!J396)</f>
        <v/>
      </c>
      <c r="K395" s="36" t="str">
        <f>IFERROR(IF(A395="","",SUMIF(DB_Savings!$A:$A,A395,DB_Savings!$F:$F)),"")</f>
        <v/>
      </c>
      <c r="L395" s="36" t="str">
        <f>IFERROR(IF(A395="","",SUMIF(DB_Withdrawals!$A:$A,A395,DB_Withdrawals!$G:$G)),"")</f>
        <v/>
      </c>
      <c r="M395" s="36" t="str">
        <f>IFERROR(IF(A395="","",IFERROR(VALUE(H395),0)+IFERROR(SUMIF(DB_Savings!$A:$A,A395,DB_Savings!$F:$F),0)-IFERROR(SUMIF(DB_Withdrawals!$A:$A,A395,DB_Withdrawals!$G:$G),0)),"")</f>
        <v/>
      </c>
      <c r="N395" s="36" t="str">
        <f>IFERROR(IF(A395="","",MAX(0,M395-System_Config!$B$9)),"")</f>
        <v/>
      </c>
    </row>
    <row r="396" spans="1:14" ht="20.100000000000001" customHeight="1" x14ac:dyDescent="0.25">
      <c r="A396" s="34" t="str">
        <f>'NEW ACCOUNT'!A397</f>
        <v/>
      </c>
      <c r="B396" s="35" t="str">
        <f>IF('NEW ACCOUNT'!A397="","",'NEW ACCOUNT'!B397)</f>
        <v/>
      </c>
      <c r="C396" s="35" t="str">
        <f>IF('NEW ACCOUNT'!A397="","",'NEW ACCOUNT'!C397)</f>
        <v/>
      </c>
      <c r="D396" s="35" t="str">
        <f>IF('NEW ACCOUNT'!A397="","",'NEW ACCOUNT'!D397)</f>
        <v/>
      </c>
      <c r="E396" s="35" t="str">
        <f>IF('NEW ACCOUNT'!A397="","",'NEW ACCOUNT'!E397)</f>
        <v/>
      </c>
      <c r="F396" s="35" t="str">
        <f>IF('NEW ACCOUNT'!A397="","",'NEW ACCOUNT'!F397)</f>
        <v/>
      </c>
      <c r="G396" s="35" t="str">
        <f>IF('NEW ACCOUNT'!A397="","",'NEW ACCOUNT'!G397)</f>
        <v/>
      </c>
      <c r="H396" s="35" t="str">
        <f>IF('NEW ACCOUNT'!A397="","",'NEW ACCOUNT'!H397)</f>
        <v/>
      </c>
      <c r="I396" s="35" t="str">
        <f>IF('NEW ACCOUNT'!A397="","",'NEW ACCOUNT'!I397)</f>
        <v/>
      </c>
      <c r="J396" s="35" t="str">
        <f>IF('NEW ACCOUNT'!A397="","",'NEW ACCOUNT'!J397)</f>
        <v/>
      </c>
      <c r="K396" s="36" t="str">
        <f>IFERROR(IF(A396="","",SUMIF(DB_Savings!$A:$A,A396,DB_Savings!$F:$F)),"")</f>
        <v/>
      </c>
      <c r="L396" s="36" t="str">
        <f>IFERROR(IF(A396="","",SUMIF(DB_Withdrawals!$A:$A,A396,DB_Withdrawals!$G:$G)),"")</f>
        <v/>
      </c>
      <c r="M396" s="36" t="str">
        <f>IFERROR(IF(A396="","",IFERROR(VALUE(H396),0)+IFERROR(SUMIF(DB_Savings!$A:$A,A396,DB_Savings!$F:$F),0)-IFERROR(SUMIF(DB_Withdrawals!$A:$A,A396,DB_Withdrawals!$G:$G),0)),"")</f>
        <v/>
      </c>
      <c r="N396" s="36" t="str">
        <f>IFERROR(IF(A396="","",MAX(0,M396-System_Config!$B$9)),"")</f>
        <v/>
      </c>
    </row>
    <row r="397" spans="1:14" ht="20.100000000000001" customHeight="1" x14ac:dyDescent="0.25">
      <c r="A397" s="34" t="str">
        <f>'NEW ACCOUNT'!A398</f>
        <v/>
      </c>
      <c r="B397" s="35" t="str">
        <f>IF('NEW ACCOUNT'!A398="","",'NEW ACCOUNT'!B398)</f>
        <v/>
      </c>
      <c r="C397" s="35" t="str">
        <f>IF('NEW ACCOUNT'!A398="","",'NEW ACCOUNT'!C398)</f>
        <v/>
      </c>
      <c r="D397" s="35" t="str">
        <f>IF('NEW ACCOUNT'!A398="","",'NEW ACCOUNT'!D398)</f>
        <v/>
      </c>
      <c r="E397" s="35" t="str">
        <f>IF('NEW ACCOUNT'!A398="","",'NEW ACCOUNT'!E398)</f>
        <v/>
      </c>
      <c r="F397" s="35" t="str">
        <f>IF('NEW ACCOUNT'!A398="","",'NEW ACCOUNT'!F398)</f>
        <v/>
      </c>
      <c r="G397" s="35" t="str">
        <f>IF('NEW ACCOUNT'!A398="","",'NEW ACCOUNT'!G398)</f>
        <v/>
      </c>
      <c r="H397" s="35" t="str">
        <f>IF('NEW ACCOUNT'!A398="","",'NEW ACCOUNT'!H398)</f>
        <v/>
      </c>
      <c r="I397" s="35" t="str">
        <f>IF('NEW ACCOUNT'!A398="","",'NEW ACCOUNT'!I398)</f>
        <v/>
      </c>
      <c r="J397" s="35" t="str">
        <f>IF('NEW ACCOUNT'!A398="","",'NEW ACCOUNT'!J398)</f>
        <v/>
      </c>
      <c r="K397" s="36" t="str">
        <f>IFERROR(IF(A397="","",SUMIF(DB_Savings!$A:$A,A397,DB_Savings!$F:$F)),"")</f>
        <v/>
      </c>
      <c r="L397" s="36" t="str">
        <f>IFERROR(IF(A397="","",SUMIF(DB_Withdrawals!$A:$A,A397,DB_Withdrawals!$G:$G)),"")</f>
        <v/>
      </c>
      <c r="M397" s="36" t="str">
        <f>IFERROR(IF(A397="","",IFERROR(VALUE(H397),0)+IFERROR(SUMIF(DB_Savings!$A:$A,A397,DB_Savings!$F:$F),0)-IFERROR(SUMIF(DB_Withdrawals!$A:$A,A397,DB_Withdrawals!$G:$G),0)),"")</f>
        <v/>
      </c>
      <c r="N397" s="36" t="str">
        <f>IFERROR(IF(A397="","",MAX(0,M397-System_Config!$B$9)),"")</f>
        <v/>
      </c>
    </row>
    <row r="398" spans="1:14" ht="20.100000000000001" customHeight="1" x14ac:dyDescent="0.25">
      <c r="A398" s="34" t="str">
        <f>'NEW ACCOUNT'!A399</f>
        <v/>
      </c>
      <c r="B398" s="35" t="str">
        <f>IF('NEW ACCOUNT'!A399="","",'NEW ACCOUNT'!B399)</f>
        <v/>
      </c>
      <c r="C398" s="35" t="str">
        <f>IF('NEW ACCOUNT'!A399="","",'NEW ACCOUNT'!C399)</f>
        <v/>
      </c>
      <c r="D398" s="35" t="str">
        <f>IF('NEW ACCOUNT'!A399="","",'NEW ACCOUNT'!D399)</f>
        <v/>
      </c>
      <c r="E398" s="35" t="str">
        <f>IF('NEW ACCOUNT'!A399="","",'NEW ACCOUNT'!E399)</f>
        <v/>
      </c>
      <c r="F398" s="35" t="str">
        <f>IF('NEW ACCOUNT'!A399="","",'NEW ACCOUNT'!F399)</f>
        <v/>
      </c>
      <c r="G398" s="35" t="str">
        <f>IF('NEW ACCOUNT'!A399="","",'NEW ACCOUNT'!G399)</f>
        <v/>
      </c>
      <c r="H398" s="35" t="str">
        <f>IF('NEW ACCOUNT'!A399="","",'NEW ACCOUNT'!H399)</f>
        <v/>
      </c>
      <c r="I398" s="35" t="str">
        <f>IF('NEW ACCOUNT'!A399="","",'NEW ACCOUNT'!I399)</f>
        <v/>
      </c>
      <c r="J398" s="35" t="str">
        <f>IF('NEW ACCOUNT'!A399="","",'NEW ACCOUNT'!J399)</f>
        <v/>
      </c>
      <c r="K398" s="36" t="str">
        <f>IFERROR(IF(A398="","",SUMIF(DB_Savings!$A:$A,A398,DB_Savings!$F:$F)),"")</f>
        <v/>
      </c>
      <c r="L398" s="36" t="str">
        <f>IFERROR(IF(A398="","",SUMIF(DB_Withdrawals!$A:$A,A398,DB_Withdrawals!$G:$G)),"")</f>
        <v/>
      </c>
      <c r="M398" s="36" t="str">
        <f>IFERROR(IF(A398="","",IFERROR(VALUE(H398),0)+IFERROR(SUMIF(DB_Savings!$A:$A,A398,DB_Savings!$F:$F),0)-IFERROR(SUMIF(DB_Withdrawals!$A:$A,A398,DB_Withdrawals!$G:$G),0)),"")</f>
        <v/>
      </c>
      <c r="N398" s="36" t="str">
        <f>IFERROR(IF(A398="","",MAX(0,M398-System_Config!$B$9)),"")</f>
        <v/>
      </c>
    </row>
    <row r="399" spans="1:14" ht="20.100000000000001" customHeight="1" x14ac:dyDescent="0.25">
      <c r="A399" s="34" t="str">
        <f>'NEW ACCOUNT'!A400</f>
        <v/>
      </c>
      <c r="B399" s="35" t="str">
        <f>IF('NEW ACCOUNT'!A400="","",'NEW ACCOUNT'!B400)</f>
        <v/>
      </c>
      <c r="C399" s="35" t="str">
        <f>IF('NEW ACCOUNT'!A400="","",'NEW ACCOUNT'!C400)</f>
        <v/>
      </c>
      <c r="D399" s="35" t="str">
        <f>IF('NEW ACCOUNT'!A400="","",'NEW ACCOUNT'!D400)</f>
        <v/>
      </c>
      <c r="E399" s="35" t="str">
        <f>IF('NEW ACCOUNT'!A400="","",'NEW ACCOUNT'!E400)</f>
        <v/>
      </c>
      <c r="F399" s="35" t="str">
        <f>IF('NEW ACCOUNT'!A400="","",'NEW ACCOUNT'!F400)</f>
        <v/>
      </c>
      <c r="G399" s="35" t="str">
        <f>IF('NEW ACCOUNT'!A400="","",'NEW ACCOUNT'!G400)</f>
        <v/>
      </c>
      <c r="H399" s="35" t="str">
        <f>IF('NEW ACCOUNT'!A400="","",'NEW ACCOUNT'!H400)</f>
        <v/>
      </c>
      <c r="I399" s="35" t="str">
        <f>IF('NEW ACCOUNT'!A400="","",'NEW ACCOUNT'!I400)</f>
        <v/>
      </c>
      <c r="J399" s="35" t="str">
        <f>IF('NEW ACCOUNT'!A400="","",'NEW ACCOUNT'!J400)</f>
        <v/>
      </c>
      <c r="K399" s="36" t="str">
        <f>IFERROR(IF(A399="","",SUMIF(DB_Savings!$A:$A,A399,DB_Savings!$F:$F)),"")</f>
        <v/>
      </c>
      <c r="L399" s="36" t="str">
        <f>IFERROR(IF(A399="","",SUMIF(DB_Withdrawals!$A:$A,A399,DB_Withdrawals!$G:$G)),"")</f>
        <v/>
      </c>
      <c r="M399" s="36" t="str">
        <f>IFERROR(IF(A399="","",IFERROR(VALUE(H399),0)+IFERROR(SUMIF(DB_Savings!$A:$A,A399,DB_Savings!$F:$F),0)-IFERROR(SUMIF(DB_Withdrawals!$A:$A,A399,DB_Withdrawals!$G:$G),0)),"")</f>
        <v/>
      </c>
      <c r="N399" s="36" t="str">
        <f>IFERROR(IF(A399="","",MAX(0,M399-System_Config!$B$9)),"")</f>
        <v/>
      </c>
    </row>
    <row r="400" spans="1:14" ht="20.100000000000001" customHeight="1" x14ac:dyDescent="0.25">
      <c r="A400" s="34" t="str">
        <f>'NEW ACCOUNT'!A401</f>
        <v/>
      </c>
      <c r="B400" s="35" t="str">
        <f>IF('NEW ACCOUNT'!A401="","",'NEW ACCOUNT'!B401)</f>
        <v/>
      </c>
      <c r="C400" s="35" t="str">
        <f>IF('NEW ACCOUNT'!A401="","",'NEW ACCOUNT'!C401)</f>
        <v/>
      </c>
      <c r="D400" s="35" t="str">
        <f>IF('NEW ACCOUNT'!A401="","",'NEW ACCOUNT'!D401)</f>
        <v/>
      </c>
      <c r="E400" s="35" t="str">
        <f>IF('NEW ACCOUNT'!A401="","",'NEW ACCOUNT'!E401)</f>
        <v/>
      </c>
      <c r="F400" s="35" t="str">
        <f>IF('NEW ACCOUNT'!A401="","",'NEW ACCOUNT'!F401)</f>
        <v/>
      </c>
      <c r="G400" s="35" t="str">
        <f>IF('NEW ACCOUNT'!A401="","",'NEW ACCOUNT'!G401)</f>
        <v/>
      </c>
      <c r="H400" s="35" t="str">
        <f>IF('NEW ACCOUNT'!A401="","",'NEW ACCOUNT'!H401)</f>
        <v/>
      </c>
      <c r="I400" s="35" t="str">
        <f>IF('NEW ACCOUNT'!A401="","",'NEW ACCOUNT'!I401)</f>
        <v/>
      </c>
      <c r="J400" s="35" t="str">
        <f>IF('NEW ACCOUNT'!A401="","",'NEW ACCOUNT'!J401)</f>
        <v/>
      </c>
      <c r="K400" s="36" t="str">
        <f>IFERROR(IF(A400="","",SUMIF(DB_Savings!$A:$A,A400,DB_Savings!$F:$F)),"")</f>
        <v/>
      </c>
      <c r="L400" s="36" t="str">
        <f>IFERROR(IF(A400="","",SUMIF(DB_Withdrawals!$A:$A,A400,DB_Withdrawals!$G:$G)),"")</f>
        <v/>
      </c>
      <c r="M400" s="36" t="str">
        <f>IFERROR(IF(A400="","",IFERROR(VALUE(H400),0)+IFERROR(SUMIF(DB_Savings!$A:$A,A400,DB_Savings!$F:$F),0)-IFERROR(SUMIF(DB_Withdrawals!$A:$A,A400,DB_Withdrawals!$G:$G),0)),"")</f>
        <v/>
      </c>
      <c r="N400" s="36" t="str">
        <f>IFERROR(IF(A400="","",MAX(0,M400-System_Config!$B$9)),"")</f>
        <v/>
      </c>
    </row>
    <row r="401" spans="1:14" ht="20.100000000000001" customHeight="1" x14ac:dyDescent="0.25">
      <c r="A401" s="34" t="str">
        <f>'NEW ACCOUNT'!A402</f>
        <v/>
      </c>
      <c r="B401" s="35" t="str">
        <f>IF('NEW ACCOUNT'!A402="","",'NEW ACCOUNT'!B402)</f>
        <v/>
      </c>
      <c r="C401" s="35" t="str">
        <f>IF('NEW ACCOUNT'!A402="","",'NEW ACCOUNT'!C402)</f>
        <v/>
      </c>
      <c r="D401" s="35" t="str">
        <f>IF('NEW ACCOUNT'!A402="","",'NEW ACCOUNT'!D402)</f>
        <v/>
      </c>
      <c r="E401" s="35" t="str">
        <f>IF('NEW ACCOUNT'!A402="","",'NEW ACCOUNT'!E402)</f>
        <v/>
      </c>
      <c r="F401" s="35" t="str">
        <f>IF('NEW ACCOUNT'!A402="","",'NEW ACCOUNT'!F402)</f>
        <v/>
      </c>
      <c r="G401" s="35" t="str">
        <f>IF('NEW ACCOUNT'!A402="","",'NEW ACCOUNT'!G402)</f>
        <v/>
      </c>
      <c r="H401" s="35" t="str">
        <f>IF('NEW ACCOUNT'!A402="","",'NEW ACCOUNT'!H402)</f>
        <v/>
      </c>
      <c r="I401" s="35" t="str">
        <f>IF('NEW ACCOUNT'!A402="","",'NEW ACCOUNT'!I402)</f>
        <v/>
      </c>
      <c r="J401" s="35" t="str">
        <f>IF('NEW ACCOUNT'!A402="","",'NEW ACCOUNT'!J402)</f>
        <v/>
      </c>
      <c r="K401" s="36" t="str">
        <f>IFERROR(IF(A401="","",SUMIF(DB_Savings!$A:$A,A401,DB_Savings!$F:$F)),"")</f>
        <v/>
      </c>
      <c r="L401" s="36" t="str">
        <f>IFERROR(IF(A401="","",SUMIF(DB_Withdrawals!$A:$A,A401,DB_Withdrawals!$G:$G)),"")</f>
        <v/>
      </c>
      <c r="M401" s="36" t="str">
        <f>IFERROR(IF(A401="","",IFERROR(VALUE(H401),0)+IFERROR(SUMIF(DB_Savings!$A:$A,A401,DB_Savings!$F:$F),0)-IFERROR(SUMIF(DB_Withdrawals!$A:$A,A401,DB_Withdrawals!$G:$G),0)),"")</f>
        <v/>
      </c>
      <c r="N401" s="36" t="str">
        <f>IFERROR(IF(A401="","",MAX(0,M401-System_Config!$B$9)),"")</f>
        <v/>
      </c>
    </row>
    <row r="402" spans="1:14" ht="20.100000000000001" customHeight="1" x14ac:dyDescent="0.25">
      <c r="A402" s="34" t="str">
        <f>'NEW ACCOUNT'!A403</f>
        <v/>
      </c>
      <c r="B402" s="35" t="str">
        <f>IF('NEW ACCOUNT'!A403="","",'NEW ACCOUNT'!B403)</f>
        <v/>
      </c>
      <c r="C402" s="35" t="str">
        <f>IF('NEW ACCOUNT'!A403="","",'NEW ACCOUNT'!C403)</f>
        <v/>
      </c>
      <c r="D402" s="35" t="str">
        <f>IF('NEW ACCOUNT'!A403="","",'NEW ACCOUNT'!D403)</f>
        <v/>
      </c>
      <c r="E402" s="35" t="str">
        <f>IF('NEW ACCOUNT'!A403="","",'NEW ACCOUNT'!E403)</f>
        <v/>
      </c>
      <c r="F402" s="35" t="str">
        <f>IF('NEW ACCOUNT'!A403="","",'NEW ACCOUNT'!F403)</f>
        <v/>
      </c>
      <c r="G402" s="35" t="str">
        <f>IF('NEW ACCOUNT'!A403="","",'NEW ACCOUNT'!G403)</f>
        <v/>
      </c>
      <c r="H402" s="35" t="str">
        <f>IF('NEW ACCOUNT'!A403="","",'NEW ACCOUNT'!H403)</f>
        <v/>
      </c>
      <c r="I402" s="35" t="str">
        <f>IF('NEW ACCOUNT'!A403="","",'NEW ACCOUNT'!I403)</f>
        <v/>
      </c>
      <c r="J402" s="35" t="str">
        <f>IF('NEW ACCOUNT'!A403="","",'NEW ACCOUNT'!J403)</f>
        <v/>
      </c>
      <c r="K402" s="36" t="str">
        <f>IFERROR(IF(A402="","",SUMIF(DB_Savings!$A:$A,A402,DB_Savings!$F:$F)),"")</f>
        <v/>
      </c>
      <c r="L402" s="36" t="str">
        <f>IFERROR(IF(A402="","",SUMIF(DB_Withdrawals!$A:$A,A402,DB_Withdrawals!$G:$G)),"")</f>
        <v/>
      </c>
      <c r="M402" s="36" t="str">
        <f>IFERROR(IF(A402="","",IFERROR(VALUE(H402),0)+IFERROR(SUMIF(DB_Savings!$A:$A,A402,DB_Savings!$F:$F),0)-IFERROR(SUMIF(DB_Withdrawals!$A:$A,A402,DB_Withdrawals!$G:$G),0)),"")</f>
        <v/>
      </c>
      <c r="N402" s="36" t="str">
        <f>IFERROR(IF(A402="","",MAX(0,M402-System_Config!$B$9)),"")</f>
        <v/>
      </c>
    </row>
    <row r="403" spans="1:14" ht="20.100000000000001" customHeight="1" x14ac:dyDescent="0.25">
      <c r="A403" s="34" t="str">
        <f>'NEW ACCOUNT'!A404</f>
        <v/>
      </c>
      <c r="B403" s="35" t="str">
        <f>IF('NEW ACCOUNT'!A404="","",'NEW ACCOUNT'!B404)</f>
        <v/>
      </c>
      <c r="C403" s="35" t="str">
        <f>IF('NEW ACCOUNT'!A404="","",'NEW ACCOUNT'!C404)</f>
        <v/>
      </c>
      <c r="D403" s="35" t="str">
        <f>IF('NEW ACCOUNT'!A404="","",'NEW ACCOUNT'!D404)</f>
        <v/>
      </c>
      <c r="E403" s="35" t="str">
        <f>IF('NEW ACCOUNT'!A404="","",'NEW ACCOUNT'!E404)</f>
        <v/>
      </c>
      <c r="F403" s="35" t="str">
        <f>IF('NEW ACCOUNT'!A404="","",'NEW ACCOUNT'!F404)</f>
        <v/>
      </c>
      <c r="G403" s="35" t="str">
        <f>IF('NEW ACCOUNT'!A404="","",'NEW ACCOUNT'!G404)</f>
        <v/>
      </c>
      <c r="H403" s="35" t="str">
        <f>IF('NEW ACCOUNT'!A404="","",'NEW ACCOUNT'!H404)</f>
        <v/>
      </c>
      <c r="I403" s="35" t="str">
        <f>IF('NEW ACCOUNT'!A404="","",'NEW ACCOUNT'!I404)</f>
        <v/>
      </c>
      <c r="J403" s="35" t="str">
        <f>IF('NEW ACCOUNT'!A404="","",'NEW ACCOUNT'!J404)</f>
        <v/>
      </c>
      <c r="K403" s="36" t="str">
        <f>IFERROR(IF(A403="","",SUMIF(DB_Savings!$A:$A,A403,DB_Savings!$F:$F)),"")</f>
        <v/>
      </c>
      <c r="L403" s="36" t="str">
        <f>IFERROR(IF(A403="","",SUMIF(DB_Withdrawals!$A:$A,A403,DB_Withdrawals!$G:$G)),"")</f>
        <v/>
      </c>
      <c r="M403" s="36" t="str">
        <f>IFERROR(IF(A403="","",IFERROR(VALUE(H403),0)+IFERROR(SUMIF(DB_Savings!$A:$A,A403,DB_Savings!$F:$F),0)-IFERROR(SUMIF(DB_Withdrawals!$A:$A,A403,DB_Withdrawals!$G:$G),0)),"")</f>
        <v/>
      </c>
      <c r="N403" s="36" t="str">
        <f>IFERROR(IF(A403="","",MAX(0,M403-System_Config!$B$9)),"")</f>
        <v/>
      </c>
    </row>
    <row r="404" spans="1:14" ht="20.100000000000001" customHeight="1" x14ac:dyDescent="0.25">
      <c r="A404" s="34" t="str">
        <f>'NEW ACCOUNT'!A405</f>
        <v/>
      </c>
      <c r="B404" s="35" t="str">
        <f>IF('NEW ACCOUNT'!A405="","",'NEW ACCOUNT'!B405)</f>
        <v/>
      </c>
      <c r="C404" s="35" t="str">
        <f>IF('NEW ACCOUNT'!A405="","",'NEW ACCOUNT'!C405)</f>
        <v/>
      </c>
      <c r="D404" s="35" t="str">
        <f>IF('NEW ACCOUNT'!A405="","",'NEW ACCOUNT'!D405)</f>
        <v/>
      </c>
      <c r="E404" s="35" t="str">
        <f>IF('NEW ACCOUNT'!A405="","",'NEW ACCOUNT'!E405)</f>
        <v/>
      </c>
      <c r="F404" s="35" t="str">
        <f>IF('NEW ACCOUNT'!A405="","",'NEW ACCOUNT'!F405)</f>
        <v/>
      </c>
      <c r="G404" s="35" t="str">
        <f>IF('NEW ACCOUNT'!A405="","",'NEW ACCOUNT'!G405)</f>
        <v/>
      </c>
      <c r="H404" s="35" t="str">
        <f>IF('NEW ACCOUNT'!A405="","",'NEW ACCOUNT'!H405)</f>
        <v/>
      </c>
      <c r="I404" s="35" t="str">
        <f>IF('NEW ACCOUNT'!A405="","",'NEW ACCOUNT'!I405)</f>
        <v/>
      </c>
      <c r="J404" s="35" t="str">
        <f>IF('NEW ACCOUNT'!A405="","",'NEW ACCOUNT'!J405)</f>
        <v/>
      </c>
      <c r="K404" s="36" t="str">
        <f>IFERROR(IF(A404="","",SUMIF(DB_Savings!$A:$A,A404,DB_Savings!$F:$F)),"")</f>
        <v/>
      </c>
      <c r="L404" s="36" t="str">
        <f>IFERROR(IF(A404="","",SUMIF(DB_Withdrawals!$A:$A,A404,DB_Withdrawals!$G:$G)),"")</f>
        <v/>
      </c>
      <c r="M404" s="36" t="str">
        <f>IFERROR(IF(A404="","",IFERROR(VALUE(H404),0)+IFERROR(SUMIF(DB_Savings!$A:$A,A404,DB_Savings!$F:$F),0)-IFERROR(SUMIF(DB_Withdrawals!$A:$A,A404,DB_Withdrawals!$G:$G),0)),"")</f>
        <v/>
      </c>
      <c r="N404" s="36" t="str">
        <f>IFERROR(IF(A404="","",MAX(0,M404-System_Config!$B$9)),"")</f>
        <v/>
      </c>
    </row>
    <row r="405" spans="1:14" ht="20.100000000000001" customHeight="1" x14ac:dyDescent="0.25">
      <c r="A405" s="34" t="str">
        <f>'NEW ACCOUNT'!A406</f>
        <v/>
      </c>
      <c r="B405" s="35" t="str">
        <f>IF('NEW ACCOUNT'!A406="","",'NEW ACCOUNT'!B406)</f>
        <v/>
      </c>
      <c r="C405" s="35" t="str">
        <f>IF('NEW ACCOUNT'!A406="","",'NEW ACCOUNT'!C406)</f>
        <v/>
      </c>
      <c r="D405" s="35" t="str">
        <f>IF('NEW ACCOUNT'!A406="","",'NEW ACCOUNT'!D406)</f>
        <v/>
      </c>
      <c r="E405" s="35" t="str">
        <f>IF('NEW ACCOUNT'!A406="","",'NEW ACCOUNT'!E406)</f>
        <v/>
      </c>
      <c r="F405" s="35" t="str">
        <f>IF('NEW ACCOUNT'!A406="","",'NEW ACCOUNT'!F406)</f>
        <v/>
      </c>
      <c r="G405" s="35" t="str">
        <f>IF('NEW ACCOUNT'!A406="","",'NEW ACCOUNT'!G406)</f>
        <v/>
      </c>
      <c r="H405" s="35" t="str">
        <f>IF('NEW ACCOUNT'!A406="","",'NEW ACCOUNT'!H406)</f>
        <v/>
      </c>
      <c r="I405" s="35" t="str">
        <f>IF('NEW ACCOUNT'!A406="","",'NEW ACCOUNT'!I406)</f>
        <v/>
      </c>
      <c r="J405" s="35" t="str">
        <f>IF('NEW ACCOUNT'!A406="","",'NEW ACCOUNT'!J406)</f>
        <v/>
      </c>
      <c r="K405" s="36" t="str">
        <f>IFERROR(IF(A405="","",SUMIF(DB_Savings!$A:$A,A405,DB_Savings!$F:$F)),"")</f>
        <v/>
      </c>
      <c r="L405" s="36" t="str">
        <f>IFERROR(IF(A405="","",SUMIF(DB_Withdrawals!$A:$A,A405,DB_Withdrawals!$G:$G)),"")</f>
        <v/>
      </c>
      <c r="M405" s="36" t="str">
        <f>IFERROR(IF(A405="","",IFERROR(VALUE(H405),0)+IFERROR(SUMIF(DB_Savings!$A:$A,A405,DB_Savings!$F:$F),0)-IFERROR(SUMIF(DB_Withdrawals!$A:$A,A405,DB_Withdrawals!$G:$G),0)),"")</f>
        <v/>
      </c>
      <c r="N405" s="36" t="str">
        <f>IFERROR(IF(A405="","",MAX(0,M405-System_Config!$B$9)),"")</f>
        <v/>
      </c>
    </row>
    <row r="406" spans="1:14" ht="20.100000000000001" customHeight="1" x14ac:dyDescent="0.25">
      <c r="A406" s="34" t="str">
        <f>'NEW ACCOUNT'!A407</f>
        <v/>
      </c>
      <c r="B406" s="35" t="str">
        <f>IF('NEW ACCOUNT'!A407="","",'NEW ACCOUNT'!B407)</f>
        <v/>
      </c>
      <c r="C406" s="35" t="str">
        <f>IF('NEW ACCOUNT'!A407="","",'NEW ACCOUNT'!C407)</f>
        <v/>
      </c>
      <c r="D406" s="35" t="str">
        <f>IF('NEW ACCOUNT'!A407="","",'NEW ACCOUNT'!D407)</f>
        <v/>
      </c>
      <c r="E406" s="35" t="str">
        <f>IF('NEW ACCOUNT'!A407="","",'NEW ACCOUNT'!E407)</f>
        <v/>
      </c>
      <c r="F406" s="35" t="str">
        <f>IF('NEW ACCOUNT'!A407="","",'NEW ACCOUNT'!F407)</f>
        <v/>
      </c>
      <c r="G406" s="35" t="str">
        <f>IF('NEW ACCOUNT'!A407="","",'NEW ACCOUNT'!G407)</f>
        <v/>
      </c>
      <c r="H406" s="35" t="str">
        <f>IF('NEW ACCOUNT'!A407="","",'NEW ACCOUNT'!H407)</f>
        <v/>
      </c>
      <c r="I406" s="35" t="str">
        <f>IF('NEW ACCOUNT'!A407="","",'NEW ACCOUNT'!I407)</f>
        <v/>
      </c>
      <c r="J406" s="35" t="str">
        <f>IF('NEW ACCOUNT'!A407="","",'NEW ACCOUNT'!J407)</f>
        <v/>
      </c>
      <c r="K406" s="36" t="str">
        <f>IFERROR(IF(A406="","",SUMIF(DB_Savings!$A:$A,A406,DB_Savings!$F:$F)),"")</f>
        <v/>
      </c>
      <c r="L406" s="36" t="str">
        <f>IFERROR(IF(A406="","",SUMIF(DB_Withdrawals!$A:$A,A406,DB_Withdrawals!$G:$G)),"")</f>
        <v/>
      </c>
      <c r="M406" s="36" t="str">
        <f>IFERROR(IF(A406="","",IFERROR(VALUE(H406),0)+IFERROR(SUMIF(DB_Savings!$A:$A,A406,DB_Savings!$F:$F),0)-IFERROR(SUMIF(DB_Withdrawals!$A:$A,A406,DB_Withdrawals!$G:$G),0)),"")</f>
        <v/>
      </c>
      <c r="N406" s="36" t="str">
        <f>IFERROR(IF(A406="","",MAX(0,M406-System_Config!$B$9)),"")</f>
        <v/>
      </c>
    </row>
    <row r="407" spans="1:14" ht="20.100000000000001" customHeight="1" x14ac:dyDescent="0.25">
      <c r="A407" s="34" t="str">
        <f>'NEW ACCOUNT'!A408</f>
        <v/>
      </c>
      <c r="B407" s="35" t="str">
        <f>IF('NEW ACCOUNT'!A408="","",'NEW ACCOUNT'!B408)</f>
        <v/>
      </c>
      <c r="C407" s="35" t="str">
        <f>IF('NEW ACCOUNT'!A408="","",'NEW ACCOUNT'!C408)</f>
        <v/>
      </c>
      <c r="D407" s="35" t="str">
        <f>IF('NEW ACCOUNT'!A408="","",'NEW ACCOUNT'!D408)</f>
        <v/>
      </c>
      <c r="E407" s="35" t="str">
        <f>IF('NEW ACCOUNT'!A408="","",'NEW ACCOUNT'!E408)</f>
        <v/>
      </c>
      <c r="F407" s="35" t="str">
        <f>IF('NEW ACCOUNT'!A408="","",'NEW ACCOUNT'!F408)</f>
        <v/>
      </c>
      <c r="G407" s="35" t="str">
        <f>IF('NEW ACCOUNT'!A408="","",'NEW ACCOUNT'!G408)</f>
        <v/>
      </c>
      <c r="H407" s="35" t="str">
        <f>IF('NEW ACCOUNT'!A408="","",'NEW ACCOUNT'!H408)</f>
        <v/>
      </c>
      <c r="I407" s="35" t="str">
        <f>IF('NEW ACCOUNT'!A408="","",'NEW ACCOUNT'!I408)</f>
        <v/>
      </c>
      <c r="J407" s="35" t="str">
        <f>IF('NEW ACCOUNT'!A408="","",'NEW ACCOUNT'!J408)</f>
        <v/>
      </c>
      <c r="K407" s="36" t="str">
        <f>IFERROR(IF(A407="","",SUMIF(DB_Savings!$A:$A,A407,DB_Savings!$F:$F)),"")</f>
        <v/>
      </c>
      <c r="L407" s="36" t="str">
        <f>IFERROR(IF(A407="","",SUMIF(DB_Withdrawals!$A:$A,A407,DB_Withdrawals!$G:$G)),"")</f>
        <v/>
      </c>
      <c r="M407" s="36" t="str">
        <f>IFERROR(IF(A407="","",IFERROR(VALUE(H407),0)+IFERROR(SUMIF(DB_Savings!$A:$A,A407,DB_Savings!$F:$F),0)-IFERROR(SUMIF(DB_Withdrawals!$A:$A,A407,DB_Withdrawals!$G:$G),0)),"")</f>
        <v/>
      </c>
      <c r="N407" s="36" t="str">
        <f>IFERROR(IF(A407="","",MAX(0,M407-System_Config!$B$9)),"")</f>
        <v/>
      </c>
    </row>
    <row r="408" spans="1:14" ht="20.100000000000001" customHeight="1" x14ac:dyDescent="0.25">
      <c r="A408" s="34" t="str">
        <f>'NEW ACCOUNT'!A409</f>
        <v/>
      </c>
      <c r="B408" s="35" t="str">
        <f>IF('NEW ACCOUNT'!A409="","",'NEW ACCOUNT'!B409)</f>
        <v/>
      </c>
      <c r="C408" s="35" t="str">
        <f>IF('NEW ACCOUNT'!A409="","",'NEW ACCOUNT'!C409)</f>
        <v/>
      </c>
      <c r="D408" s="35" t="str">
        <f>IF('NEW ACCOUNT'!A409="","",'NEW ACCOUNT'!D409)</f>
        <v/>
      </c>
      <c r="E408" s="35" t="str">
        <f>IF('NEW ACCOUNT'!A409="","",'NEW ACCOUNT'!E409)</f>
        <v/>
      </c>
      <c r="F408" s="35" t="str">
        <f>IF('NEW ACCOUNT'!A409="","",'NEW ACCOUNT'!F409)</f>
        <v/>
      </c>
      <c r="G408" s="35" t="str">
        <f>IF('NEW ACCOUNT'!A409="","",'NEW ACCOUNT'!G409)</f>
        <v/>
      </c>
      <c r="H408" s="35" t="str">
        <f>IF('NEW ACCOUNT'!A409="","",'NEW ACCOUNT'!H409)</f>
        <v/>
      </c>
      <c r="I408" s="35" t="str">
        <f>IF('NEW ACCOUNT'!A409="","",'NEW ACCOUNT'!I409)</f>
        <v/>
      </c>
      <c r="J408" s="35" t="str">
        <f>IF('NEW ACCOUNT'!A409="","",'NEW ACCOUNT'!J409)</f>
        <v/>
      </c>
      <c r="K408" s="36" t="str">
        <f>IFERROR(IF(A408="","",SUMIF(DB_Savings!$A:$A,A408,DB_Savings!$F:$F)),"")</f>
        <v/>
      </c>
      <c r="L408" s="36" t="str">
        <f>IFERROR(IF(A408="","",SUMIF(DB_Withdrawals!$A:$A,A408,DB_Withdrawals!$G:$G)),"")</f>
        <v/>
      </c>
      <c r="M408" s="36" t="str">
        <f>IFERROR(IF(A408="","",IFERROR(VALUE(H408),0)+IFERROR(SUMIF(DB_Savings!$A:$A,A408,DB_Savings!$F:$F),0)-IFERROR(SUMIF(DB_Withdrawals!$A:$A,A408,DB_Withdrawals!$G:$G),0)),"")</f>
        <v/>
      </c>
      <c r="N408" s="36" t="str">
        <f>IFERROR(IF(A408="","",MAX(0,M408-System_Config!$B$9)),"")</f>
        <v/>
      </c>
    </row>
    <row r="409" spans="1:14" ht="20.100000000000001" customHeight="1" x14ac:dyDescent="0.25">
      <c r="A409" s="34" t="str">
        <f>'NEW ACCOUNT'!A410</f>
        <v/>
      </c>
      <c r="B409" s="35" t="str">
        <f>IF('NEW ACCOUNT'!A410="","",'NEW ACCOUNT'!B410)</f>
        <v/>
      </c>
      <c r="C409" s="35" t="str">
        <f>IF('NEW ACCOUNT'!A410="","",'NEW ACCOUNT'!C410)</f>
        <v/>
      </c>
      <c r="D409" s="35" t="str">
        <f>IF('NEW ACCOUNT'!A410="","",'NEW ACCOUNT'!D410)</f>
        <v/>
      </c>
      <c r="E409" s="35" t="str">
        <f>IF('NEW ACCOUNT'!A410="","",'NEW ACCOUNT'!E410)</f>
        <v/>
      </c>
      <c r="F409" s="35" t="str">
        <f>IF('NEW ACCOUNT'!A410="","",'NEW ACCOUNT'!F410)</f>
        <v/>
      </c>
      <c r="G409" s="35" t="str">
        <f>IF('NEW ACCOUNT'!A410="","",'NEW ACCOUNT'!G410)</f>
        <v/>
      </c>
      <c r="H409" s="35" t="str">
        <f>IF('NEW ACCOUNT'!A410="","",'NEW ACCOUNT'!H410)</f>
        <v/>
      </c>
      <c r="I409" s="35" t="str">
        <f>IF('NEW ACCOUNT'!A410="","",'NEW ACCOUNT'!I410)</f>
        <v/>
      </c>
      <c r="J409" s="35" t="str">
        <f>IF('NEW ACCOUNT'!A410="","",'NEW ACCOUNT'!J410)</f>
        <v/>
      </c>
      <c r="K409" s="36" t="str">
        <f>IFERROR(IF(A409="","",SUMIF(DB_Savings!$A:$A,A409,DB_Savings!$F:$F)),"")</f>
        <v/>
      </c>
      <c r="L409" s="36" t="str">
        <f>IFERROR(IF(A409="","",SUMIF(DB_Withdrawals!$A:$A,A409,DB_Withdrawals!$G:$G)),"")</f>
        <v/>
      </c>
      <c r="M409" s="36" t="str">
        <f>IFERROR(IF(A409="","",IFERROR(VALUE(H409),0)+IFERROR(SUMIF(DB_Savings!$A:$A,A409,DB_Savings!$F:$F),0)-IFERROR(SUMIF(DB_Withdrawals!$A:$A,A409,DB_Withdrawals!$G:$G),0)),"")</f>
        <v/>
      </c>
      <c r="N409" s="36" t="str">
        <f>IFERROR(IF(A409="","",MAX(0,M409-System_Config!$B$9)),"")</f>
        <v/>
      </c>
    </row>
    <row r="410" spans="1:14" ht="20.100000000000001" customHeight="1" x14ac:dyDescent="0.25">
      <c r="A410" s="34" t="str">
        <f>'NEW ACCOUNT'!A411</f>
        <v/>
      </c>
      <c r="B410" s="35" t="str">
        <f>IF('NEW ACCOUNT'!A411="","",'NEW ACCOUNT'!B411)</f>
        <v/>
      </c>
      <c r="C410" s="35" t="str">
        <f>IF('NEW ACCOUNT'!A411="","",'NEW ACCOUNT'!C411)</f>
        <v/>
      </c>
      <c r="D410" s="35" t="str">
        <f>IF('NEW ACCOUNT'!A411="","",'NEW ACCOUNT'!D411)</f>
        <v/>
      </c>
      <c r="E410" s="35" t="str">
        <f>IF('NEW ACCOUNT'!A411="","",'NEW ACCOUNT'!E411)</f>
        <v/>
      </c>
      <c r="F410" s="35" t="str">
        <f>IF('NEW ACCOUNT'!A411="","",'NEW ACCOUNT'!F411)</f>
        <v/>
      </c>
      <c r="G410" s="35" t="str">
        <f>IF('NEW ACCOUNT'!A411="","",'NEW ACCOUNT'!G411)</f>
        <v/>
      </c>
      <c r="H410" s="35" t="str">
        <f>IF('NEW ACCOUNT'!A411="","",'NEW ACCOUNT'!H411)</f>
        <v/>
      </c>
      <c r="I410" s="35" t="str">
        <f>IF('NEW ACCOUNT'!A411="","",'NEW ACCOUNT'!I411)</f>
        <v/>
      </c>
      <c r="J410" s="35" t="str">
        <f>IF('NEW ACCOUNT'!A411="","",'NEW ACCOUNT'!J411)</f>
        <v/>
      </c>
      <c r="K410" s="36" t="str">
        <f>IFERROR(IF(A410="","",SUMIF(DB_Savings!$A:$A,A410,DB_Savings!$F:$F)),"")</f>
        <v/>
      </c>
      <c r="L410" s="36" t="str">
        <f>IFERROR(IF(A410="","",SUMIF(DB_Withdrawals!$A:$A,A410,DB_Withdrawals!$G:$G)),"")</f>
        <v/>
      </c>
      <c r="M410" s="36" t="str">
        <f>IFERROR(IF(A410="","",IFERROR(VALUE(H410),0)+IFERROR(SUMIF(DB_Savings!$A:$A,A410,DB_Savings!$F:$F),0)-IFERROR(SUMIF(DB_Withdrawals!$A:$A,A410,DB_Withdrawals!$G:$G),0)),"")</f>
        <v/>
      </c>
      <c r="N410" s="36" t="str">
        <f>IFERROR(IF(A410="","",MAX(0,M410-System_Config!$B$9)),"")</f>
        <v/>
      </c>
    </row>
    <row r="411" spans="1:14" ht="20.100000000000001" customHeight="1" x14ac:dyDescent="0.25">
      <c r="A411" s="34" t="str">
        <f>'NEW ACCOUNT'!A412</f>
        <v/>
      </c>
      <c r="B411" s="35" t="str">
        <f>IF('NEW ACCOUNT'!A412="","",'NEW ACCOUNT'!B412)</f>
        <v/>
      </c>
      <c r="C411" s="35" t="str">
        <f>IF('NEW ACCOUNT'!A412="","",'NEW ACCOUNT'!C412)</f>
        <v/>
      </c>
      <c r="D411" s="35" t="str">
        <f>IF('NEW ACCOUNT'!A412="","",'NEW ACCOUNT'!D412)</f>
        <v/>
      </c>
      <c r="E411" s="35" t="str">
        <f>IF('NEW ACCOUNT'!A412="","",'NEW ACCOUNT'!E412)</f>
        <v/>
      </c>
      <c r="F411" s="35" t="str">
        <f>IF('NEW ACCOUNT'!A412="","",'NEW ACCOUNT'!F412)</f>
        <v/>
      </c>
      <c r="G411" s="35" t="str">
        <f>IF('NEW ACCOUNT'!A412="","",'NEW ACCOUNT'!G412)</f>
        <v/>
      </c>
      <c r="H411" s="35" t="str">
        <f>IF('NEW ACCOUNT'!A412="","",'NEW ACCOUNT'!H412)</f>
        <v/>
      </c>
      <c r="I411" s="35" t="str">
        <f>IF('NEW ACCOUNT'!A412="","",'NEW ACCOUNT'!I412)</f>
        <v/>
      </c>
      <c r="J411" s="35" t="str">
        <f>IF('NEW ACCOUNT'!A412="","",'NEW ACCOUNT'!J412)</f>
        <v/>
      </c>
      <c r="K411" s="36" t="str">
        <f>IFERROR(IF(A411="","",SUMIF(DB_Savings!$A:$A,A411,DB_Savings!$F:$F)),"")</f>
        <v/>
      </c>
      <c r="L411" s="36" t="str">
        <f>IFERROR(IF(A411="","",SUMIF(DB_Withdrawals!$A:$A,A411,DB_Withdrawals!$G:$G)),"")</f>
        <v/>
      </c>
      <c r="M411" s="36" t="str">
        <f>IFERROR(IF(A411="","",IFERROR(VALUE(H411),0)+IFERROR(SUMIF(DB_Savings!$A:$A,A411,DB_Savings!$F:$F),0)-IFERROR(SUMIF(DB_Withdrawals!$A:$A,A411,DB_Withdrawals!$G:$G),0)),"")</f>
        <v/>
      </c>
      <c r="N411" s="36" t="str">
        <f>IFERROR(IF(A411="","",MAX(0,M411-System_Config!$B$9)),"")</f>
        <v/>
      </c>
    </row>
    <row r="412" spans="1:14" ht="20.100000000000001" customHeight="1" x14ac:dyDescent="0.25">
      <c r="A412" s="34" t="str">
        <f>'NEW ACCOUNT'!A413</f>
        <v/>
      </c>
      <c r="B412" s="35" t="str">
        <f>IF('NEW ACCOUNT'!A413="","",'NEW ACCOUNT'!B413)</f>
        <v/>
      </c>
      <c r="C412" s="35" t="str">
        <f>IF('NEW ACCOUNT'!A413="","",'NEW ACCOUNT'!C413)</f>
        <v/>
      </c>
      <c r="D412" s="35" t="str">
        <f>IF('NEW ACCOUNT'!A413="","",'NEW ACCOUNT'!D413)</f>
        <v/>
      </c>
      <c r="E412" s="35" t="str">
        <f>IF('NEW ACCOUNT'!A413="","",'NEW ACCOUNT'!E413)</f>
        <v/>
      </c>
      <c r="F412" s="35" t="str">
        <f>IF('NEW ACCOUNT'!A413="","",'NEW ACCOUNT'!F413)</f>
        <v/>
      </c>
      <c r="G412" s="35" t="str">
        <f>IF('NEW ACCOUNT'!A413="","",'NEW ACCOUNT'!G413)</f>
        <v/>
      </c>
      <c r="H412" s="35" t="str">
        <f>IF('NEW ACCOUNT'!A413="","",'NEW ACCOUNT'!H413)</f>
        <v/>
      </c>
      <c r="I412" s="35" t="str">
        <f>IF('NEW ACCOUNT'!A413="","",'NEW ACCOUNT'!I413)</f>
        <v/>
      </c>
      <c r="J412" s="35" t="str">
        <f>IF('NEW ACCOUNT'!A413="","",'NEW ACCOUNT'!J413)</f>
        <v/>
      </c>
      <c r="K412" s="36" t="str">
        <f>IFERROR(IF(A412="","",SUMIF(DB_Savings!$A:$A,A412,DB_Savings!$F:$F)),"")</f>
        <v/>
      </c>
      <c r="L412" s="36" t="str">
        <f>IFERROR(IF(A412="","",SUMIF(DB_Withdrawals!$A:$A,A412,DB_Withdrawals!$G:$G)),"")</f>
        <v/>
      </c>
      <c r="M412" s="36" t="str">
        <f>IFERROR(IF(A412="","",IFERROR(VALUE(H412),0)+IFERROR(SUMIF(DB_Savings!$A:$A,A412,DB_Savings!$F:$F),0)-IFERROR(SUMIF(DB_Withdrawals!$A:$A,A412,DB_Withdrawals!$G:$G),0)),"")</f>
        <v/>
      </c>
      <c r="N412" s="36" t="str">
        <f>IFERROR(IF(A412="","",MAX(0,M412-System_Config!$B$9)),"")</f>
        <v/>
      </c>
    </row>
    <row r="413" spans="1:14" ht="20.100000000000001" customHeight="1" x14ac:dyDescent="0.25">
      <c r="A413" s="34" t="str">
        <f>'NEW ACCOUNT'!A414</f>
        <v/>
      </c>
      <c r="B413" s="35" t="str">
        <f>IF('NEW ACCOUNT'!A414="","",'NEW ACCOUNT'!B414)</f>
        <v/>
      </c>
      <c r="C413" s="35" t="str">
        <f>IF('NEW ACCOUNT'!A414="","",'NEW ACCOUNT'!C414)</f>
        <v/>
      </c>
      <c r="D413" s="35" t="str">
        <f>IF('NEW ACCOUNT'!A414="","",'NEW ACCOUNT'!D414)</f>
        <v/>
      </c>
      <c r="E413" s="35" t="str">
        <f>IF('NEW ACCOUNT'!A414="","",'NEW ACCOUNT'!E414)</f>
        <v/>
      </c>
      <c r="F413" s="35" t="str">
        <f>IF('NEW ACCOUNT'!A414="","",'NEW ACCOUNT'!F414)</f>
        <v/>
      </c>
      <c r="G413" s="35" t="str">
        <f>IF('NEW ACCOUNT'!A414="","",'NEW ACCOUNT'!G414)</f>
        <v/>
      </c>
      <c r="H413" s="35" t="str">
        <f>IF('NEW ACCOUNT'!A414="","",'NEW ACCOUNT'!H414)</f>
        <v/>
      </c>
      <c r="I413" s="35" t="str">
        <f>IF('NEW ACCOUNT'!A414="","",'NEW ACCOUNT'!I414)</f>
        <v/>
      </c>
      <c r="J413" s="35" t="str">
        <f>IF('NEW ACCOUNT'!A414="","",'NEW ACCOUNT'!J414)</f>
        <v/>
      </c>
      <c r="K413" s="36" t="str">
        <f>IFERROR(IF(A413="","",SUMIF(DB_Savings!$A:$A,A413,DB_Savings!$F:$F)),"")</f>
        <v/>
      </c>
      <c r="L413" s="36" t="str">
        <f>IFERROR(IF(A413="","",SUMIF(DB_Withdrawals!$A:$A,A413,DB_Withdrawals!$G:$G)),"")</f>
        <v/>
      </c>
      <c r="M413" s="36" t="str">
        <f>IFERROR(IF(A413="","",IFERROR(VALUE(H413),0)+IFERROR(SUMIF(DB_Savings!$A:$A,A413,DB_Savings!$F:$F),0)-IFERROR(SUMIF(DB_Withdrawals!$A:$A,A413,DB_Withdrawals!$G:$G),0)),"")</f>
        <v/>
      </c>
      <c r="N413" s="36" t="str">
        <f>IFERROR(IF(A413="","",MAX(0,M413-System_Config!$B$9)),"")</f>
        <v/>
      </c>
    </row>
    <row r="414" spans="1:14" ht="20.100000000000001" customHeight="1" x14ac:dyDescent="0.25">
      <c r="A414" s="34" t="str">
        <f>'NEW ACCOUNT'!A415</f>
        <v/>
      </c>
      <c r="B414" s="35" t="str">
        <f>IF('NEW ACCOUNT'!A415="","",'NEW ACCOUNT'!B415)</f>
        <v/>
      </c>
      <c r="C414" s="35" t="str">
        <f>IF('NEW ACCOUNT'!A415="","",'NEW ACCOUNT'!C415)</f>
        <v/>
      </c>
      <c r="D414" s="35" t="str">
        <f>IF('NEW ACCOUNT'!A415="","",'NEW ACCOUNT'!D415)</f>
        <v/>
      </c>
      <c r="E414" s="35" t="str">
        <f>IF('NEW ACCOUNT'!A415="","",'NEW ACCOUNT'!E415)</f>
        <v/>
      </c>
      <c r="F414" s="35" t="str">
        <f>IF('NEW ACCOUNT'!A415="","",'NEW ACCOUNT'!F415)</f>
        <v/>
      </c>
      <c r="G414" s="35" t="str">
        <f>IF('NEW ACCOUNT'!A415="","",'NEW ACCOUNT'!G415)</f>
        <v/>
      </c>
      <c r="H414" s="35" t="str">
        <f>IF('NEW ACCOUNT'!A415="","",'NEW ACCOUNT'!H415)</f>
        <v/>
      </c>
      <c r="I414" s="35" t="str">
        <f>IF('NEW ACCOUNT'!A415="","",'NEW ACCOUNT'!I415)</f>
        <v/>
      </c>
      <c r="J414" s="35" t="str">
        <f>IF('NEW ACCOUNT'!A415="","",'NEW ACCOUNT'!J415)</f>
        <v/>
      </c>
      <c r="K414" s="36" t="str">
        <f>IFERROR(IF(A414="","",SUMIF(DB_Savings!$A:$A,A414,DB_Savings!$F:$F)),"")</f>
        <v/>
      </c>
      <c r="L414" s="36" t="str">
        <f>IFERROR(IF(A414="","",SUMIF(DB_Withdrawals!$A:$A,A414,DB_Withdrawals!$G:$G)),"")</f>
        <v/>
      </c>
      <c r="M414" s="36" t="str">
        <f>IFERROR(IF(A414="","",IFERROR(VALUE(H414),0)+IFERROR(SUMIF(DB_Savings!$A:$A,A414,DB_Savings!$F:$F),0)-IFERROR(SUMIF(DB_Withdrawals!$A:$A,A414,DB_Withdrawals!$G:$G),0)),"")</f>
        <v/>
      </c>
      <c r="N414" s="36" t="str">
        <f>IFERROR(IF(A414="","",MAX(0,M414-System_Config!$B$9)),"")</f>
        <v/>
      </c>
    </row>
    <row r="415" spans="1:14" ht="20.100000000000001" customHeight="1" x14ac:dyDescent="0.25">
      <c r="A415" s="34" t="str">
        <f>'NEW ACCOUNT'!A416</f>
        <v/>
      </c>
      <c r="B415" s="35" t="str">
        <f>IF('NEW ACCOUNT'!A416="","",'NEW ACCOUNT'!B416)</f>
        <v/>
      </c>
      <c r="C415" s="35" t="str">
        <f>IF('NEW ACCOUNT'!A416="","",'NEW ACCOUNT'!C416)</f>
        <v/>
      </c>
      <c r="D415" s="35" t="str">
        <f>IF('NEW ACCOUNT'!A416="","",'NEW ACCOUNT'!D416)</f>
        <v/>
      </c>
      <c r="E415" s="35" t="str">
        <f>IF('NEW ACCOUNT'!A416="","",'NEW ACCOUNT'!E416)</f>
        <v/>
      </c>
      <c r="F415" s="35" t="str">
        <f>IF('NEW ACCOUNT'!A416="","",'NEW ACCOUNT'!F416)</f>
        <v/>
      </c>
      <c r="G415" s="35" t="str">
        <f>IF('NEW ACCOUNT'!A416="","",'NEW ACCOUNT'!G416)</f>
        <v/>
      </c>
      <c r="H415" s="35" t="str">
        <f>IF('NEW ACCOUNT'!A416="","",'NEW ACCOUNT'!H416)</f>
        <v/>
      </c>
      <c r="I415" s="35" t="str">
        <f>IF('NEW ACCOUNT'!A416="","",'NEW ACCOUNT'!I416)</f>
        <v/>
      </c>
      <c r="J415" s="35" t="str">
        <f>IF('NEW ACCOUNT'!A416="","",'NEW ACCOUNT'!J416)</f>
        <v/>
      </c>
      <c r="K415" s="36" t="str">
        <f>IFERROR(IF(A415="","",SUMIF(DB_Savings!$A:$A,A415,DB_Savings!$F:$F)),"")</f>
        <v/>
      </c>
      <c r="L415" s="36" t="str">
        <f>IFERROR(IF(A415="","",SUMIF(DB_Withdrawals!$A:$A,A415,DB_Withdrawals!$G:$G)),"")</f>
        <v/>
      </c>
      <c r="M415" s="36" t="str">
        <f>IFERROR(IF(A415="","",IFERROR(VALUE(H415),0)+IFERROR(SUMIF(DB_Savings!$A:$A,A415,DB_Savings!$F:$F),0)-IFERROR(SUMIF(DB_Withdrawals!$A:$A,A415,DB_Withdrawals!$G:$G),0)),"")</f>
        <v/>
      </c>
      <c r="N415" s="36" t="str">
        <f>IFERROR(IF(A415="","",MAX(0,M415-System_Config!$B$9)),"")</f>
        <v/>
      </c>
    </row>
    <row r="416" spans="1:14" ht="20.100000000000001" customHeight="1" x14ac:dyDescent="0.25">
      <c r="A416" s="34" t="str">
        <f>'NEW ACCOUNT'!A417</f>
        <v/>
      </c>
      <c r="B416" s="35" t="str">
        <f>IF('NEW ACCOUNT'!A417="","",'NEW ACCOUNT'!B417)</f>
        <v/>
      </c>
      <c r="C416" s="35" t="str">
        <f>IF('NEW ACCOUNT'!A417="","",'NEW ACCOUNT'!C417)</f>
        <v/>
      </c>
      <c r="D416" s="35" t="str">
        <f>IF('NEW ACCOUNT'!A417="","",'NEW ACCOUNT'!D417)</f>
        <v/>
      </c>
      <c r="E416" s="35" t="str">
        <f>IF('NEW ACCOUNT'!A417="","",'NEW ACCOUNT'!E417)</f>
        <v/>
      </c>
      <c r="F416" s="35" t="str">
        <f>IF('NEW ACCOUNT'!A417="","",'NEW ACCOUNT'!F417)</f>
        <v/>
      </c>
      <c r="G416" s="35" t="str">
        <f>IF('NEW ACCOUNT'!A417="","",'NEW ACCOUNT'!G417)</f>
        <v/>
      </c>
      <c r="H416" s="35" t="str">
        <f>IF('NEW ACCOUNT'!A417="","",'NEW ACCOUNT'!H417)</f>
        <v/>
      </c>
      <c r="I416" s="35" t="str">
        <f>IF('NEW ACCOUNT'!A417="","",'NEW ACCOUNT'!I417)</f>
        <v/>
      </c>
      <c r="J416" s="35" t="str">
        <f>IF('NEW ACCOUNT'!A417="","",'NEW ACCOUNT'!J417)</f>
        <v/>
      </c>
      <c r="K416" s="36" t="str">
        <f>IFERROR(IF(A416="","",SUMIF(DB_Savings!$A:$A,A416,DB_Savings!$F:$F)),"")</f>
        <v/>
      </c>
      <c r="L416" s="36" t="str">
        <f>IFERROR(IF(A416="","",SUMIF(DB_Withdrawals!$A:$A,A416,DB_Withdrawals!$G:$G)),"")</f>
        <v/>
      </c>
      <c r="M416" s="36" t="str">
        <f>IFERROR(IF(A416="","",IFERROR(VALUE(H416),0)+IFERROR(SUMIF(DB_Savings!$A:$A,A416,DB_Savings!$F:$F),0)-IFERROR(SUMIF(DB_Withdrawals!$A:$A,A416,DB_Withdrawals!$G:$G),0)),"")</f>
        <v/>
      </c>
      <c r="N416" s="36" t="str">
        <f>IFERROR(IF(A416="","",MAX(0,M416-System_Config!$B$9)),"")</f>
        <v/>
      </c>
    </row>
    <row r="417" spans="1:14" ht="20.100000000000001" customHeight="1" x14ac:dyDescent="0.25">
      <c r="A417" s="34" t="str">
        <f>'NEW ACCOUNT'!A418</f>
        <v/>
      </c>
      <c r="B417" s="35" t="str">
        <f>IF('NEW ACCOUNT'!A418="","",'NEW ACCOUNT'!B418)</f>
        <v/>
      </c>
      <c r="C417" s="35" t="str">
        <f>IF('NEW ACCOUNT'!A418="","",'NEW ACCOUNT'!C418)</f>
        <v/>
      </c>
      <c r="D417" s="35" t="str">
        <f>IF('NEW ACCOUNT'!A418="","",'NEW ACCOUNT'!D418)</f>
        <v/>
      </c>
      <c r="E417" s="35" t="str">
        <f>IF('NEW ACCOUNT'!A418="","",'NEW ACCOUNT'!E418)</f>
        <v/>
      </c>
      <c r="F417" s="35" t="str">
        <f>IF('NEW ACCOUNT'!A418="","",'NEW ACCOUNT'!F418)</f>
        <v/>
      </c>
      <c r="G417" s="35" t="str">
        <f>IF('NEW ACCOUNT'!A418="","",'NEW ACCOUNT'!G418)</f>
        <v/>
      </c>
      <c r="H417" s="35" t="str">
        <f>IF('NEW ACCOUNT'!A418="","",'NEW ACCOUNT'!H418)</f>
        <v/>
      </c>
      <c r="I417" s="35" t="str">
        <f>IF('NEW ACCOUNT'!A418="","",'NEW ACCOUNT'!I418)</f>
        <v/>
      </c>
      <c r="J417" s="35" t="str">
        <f>IF('NEW ACCOUNT'!A418="","",'NEW ACCOUNT'!J418)</f>
        <v/>
      </c>
      <c r="K417" s="36" t="str">
        <f>IFERROR(IF(A417="","",SUMIF(DB_Savings!$A:$A,A417,DB_Savings!$F:$F)),"")</f>
        <v/>
      </c>
      <c r="L417" s="36" t="str">
        <f>IFERROR(IF(A417="","",SUMIF(DB_Withdrawals!$A:$A,A417,DB_Withdrawals!$G:$G)),"")</f>
        <v/>
      </c>
      <c r="M417" s="36" t="str">
        <f>IFERROR(IF(A417="","",IFERROR(VALUE(H417),0)+IFERROR(SUMIF(DB_Savings!$A:$A,A417,DB_Savings!$F:$F),0)-IFERROR(SUMIF(DB_Withdrawals!$A:$A,A417,DB_Withdrawals!$G:$G),0)),"")</f>
        <v/>
      </c>
      <c r="N417" s="36" t="str">
        <f>IFERROR(IF(A417="","",MAX(0,M417-System_Config!$B$9)),"")</f>
        <v/>
      </c>
    </row>
    <row r="418" spans="1:14" ht="20.100000000000001" customHeight="1" x14ac:dyDescent="0.25">
      <c r="A418" s="34" t="str">
        <f>'NEW ACCOUNT'!A419</f>
        <v/>
      </c>
      <c r="B418" s="35" t="str">
        <f>IF('NEW ACCOUNT'!A419="","",'NEW ACCOUNT'!B419)</f>
        <v/>
      </c>
      <c r="C418" s="35" t="str">
        <f>IF('NEW ACCOUNT'!A419="","",'NEW ACCOUNT'!C419)</f>
        <v/>
      </c>
      <c r="D418" s="35" t="str">
        <f>IF('NEW ACCOUNT'!A419="","",'NEW ACCOUNT'!D419)</f>
        <v/>
      </c>
      <c r="E418" s="35" t="str">
        <f>IF('NEW ACCOUNT'!A419="","",'NEW ACCOUNT'!E419)</f>
        <v/>
      </c>
      <c r="F418" s="35" t="str">
        <f>IF('NEW ACCOUNT'!A419="","",'NEW ACCOUNT'!F419)</f>
        <v/>
      </c>
      <c r="G418" s="35" t="str">
        <f>IF('NEW ACCOUNT'!A419="","",'NEW ACCOUNT'!G419)</f>
        <v/>
      </c>
      <c r="H418" s="35" t="str">
        <f>IF('NEW ACCOUNT'!A419="","",'NEW ACCOUNT'!H419)</f>
        <v/>
      </c>
      <c r="I418" s="35" t="str">
        <f>IF('NEW ACCOUNT'!A419="","",'NEW ACCOUNT'!I419)</f>
        <v/>
      </c>
      <c r="J418" s="35" t="str">
        <f>IF('NEW ACCOUNT'!A419="","",'NEW ACCOUNT'!J419)</f>
        <v/>
      </c>
      <c r="K418" s="36" t="str">
        <f>IFERROR(IF(A418="","",SUMIF(DB_Savings!$A:$A,A418,DB_Savings!$F:$F)),"")</f>
        <v/>
      </c>
      <c r="L418" s="36" t="str">
        <f>IFERROR(IF(A418="","",SUMIF(DB_Withdrawals!$A:$A,A418,DB_Withdrawals!$G:$G)),"")</f>
        <v/>
      </c>
      <c r="M418" s="36" t="str">
        <f>IFERROR(IF(A418="","",IFERROR(VALUE(H418),0)+IFERROR(SUMIF(DB_Savings!$A:$A,A418,DB_Savings!$F:$F),0)-IFERROR(SUMIF(DB_Withdrawals!$A:$A,A418,DB_Withdrawals!$G:$G),0)),"")</f>
        <v/>
      </c>
      <c r="N418" s="36" t="str">
        <f>IFERROR(IF(A418="","",MAX(0,M418-System_Config!$B$9)),"")</f>
        <v/>
      </c>
    </row>
    <row r="419" spans="1:14" ht="20.100000000000001" customHeight="1" x14ac:dyDescent="0.25">
      <c r="A419" s="34" t="str">
        <f>'NEW ACCOUNT'!A420</f>
        <v/>
      </c>
      <c r="B419" s="35" t="str">
        <f>IF('NEW ACCOUNT'!A420="","",'NEW ACCOUNT'!B420)</f>
        <v/>
      </c>
      <c r="C419" s="35" t="str">
        <f>IF('NEW ACCOUNT'!A420="","",'NEW ACCOUNT'!C420)</f>
        <v/>
      </c>
      <c r="D419" s="35" t="str">
        <f>IF('NEW ACCOUNT'!A420="","",'NEW ACCOUNT'!D420)</f>
        <v/>
      </c>
      <c r="E419" s="35" t="str">
        <f>IF('NEW ACCOUNT'!A420="","",'NEW ACCOUNT'!E420)</f>
        <v/>
      </c>
      <c r="F419" s="35" t="str">
        <f>IF('NEW ACCOUNT'!A420="","",'NEW ACCOUNT'!F420)</f>
        <v/>
      </c>
      <c r="G419" s="35" t="str">
        <f>IF('NEW ACCOUNT'!A420="","",'NEW ACCOUNT'!G420)</f>
        <v/>
      </c>
      <c r="H419" s="35" t="str">
        <f>IF('NEW ACCOUNT'!A420="","",'NEW ACCOUNT'!H420)</f>
        <v/>
      </c>
      <c r="I419" s="35" t="str">
        <f>IF('NEW ACCOUNT'!A420="","",'NEW ACCOUNT'!I420)</f>
        <v/>
      </c>
      <c r="J419" s="35" t="str">
        <f>IF('NEW ACCOUNT'!A420="","",'NEW ACCOUNT'!J420)</f>
        <v/>
      </c>
      <c r="K419" s="36" t="str">
        <f>IFERROR(IF(A419="","",SUMIF(DB_Savings!$A:$A,A419,DB_Savings!$F:$F)),"")</f>
        <v/>
      </c>
      <c r="L419" s="36" t="str">
        <f>IFERROR(IF(A419="","",SUMIF(DB_Withdrawals!$A:$A,A419,DB_Withdrawals!$G:$G)),"")</f>
        <v/>
      </c>
      <c r="M419" s="36" t="str">
        <f>IFERROR(IF(A419="","",IFERROR(VALUE(H419),0)+IFERROR(SUMIF(DB_Savings!$A:$A,A419,DB_Savings!$F:$F),0)-IFERROR(SUMIF(DB_Withdrawals!$A:$A,A419,DB_Withdrawals!$G:$G),0)),"")</f>
        <v/>
      </c>
      <c r="N419" s="36" t="str">
        <f>IFERROR(IF(A419="","",MAX(0,M419-System_Config!$B$9)),"")</f>
        <v/>
      </c>
    </row>
    <row r="420" spans="1:14" ht="20.100000000000001" customHeight="1" x14ac:dyDescent="0.25">
      <c r="A420" s="34" t="str">
        <f>'NEW ACCOUNT'!A421</f>
        <v/>
      </c>
      <c r="B420" s="35" t="str">
        <f>IF('NEW ACCOUNT'!A421="","",'NEW ACCOUNT'!B421)</f>
        <v/>
      </c>
      <c r="C420" s="35" t="str">
        <f>IF('NEW ACCOUNT'!A421="","",'NEW ACCOUNT'!C421)</f>
        <v/>
      </c>
      <c r="D420" s="35" t="str">
        <f>IF('NEW ACCOUNT'!A421="","",'NEW ACCOUNT'!D421)</f>
        <v/>
      </c>
      <c r="E420" s="35" t="str">
        <f>IF('NEW ACCOUNT'!A421="","",'NEW ACCOUNT'!E421)</f>
        <v/>
      </c>
      <c r="F420" s="35" t="str">
        <f>IF('NEW ACCOUNT'!A421="","",'NEW ACCOUNT'!F421)</f>
        <v/>
      </c>
      <c r="G420" s="35" t="str">
        <f>IF('NEW ACCOUNT'!A421="","",'NEW ACCOUNT'!G421)</f>
        <v/>
      </c>
      <c r="H420" s="35" t="str">
        <f>IF('NEW ACCOUNT'!A421="","",'NEW ACCOUNT'!H421)</f>
        <v/>
      </c>
      <c r="I420" s="35" t="str">
        <f>IF('NEW ACCOUNT'!A421="","",'NEW ACCOUNT'!I421)</f>
        <v/>
      </c>
      <c r="J420" s="35" t="str">
        <f>IF('NEW ACCOUNT'!A421="","",'NEW ACCOUNT'!J421)</f>
        <v/>
      </c>
      <c r="K420" s="36" t="str">
        <f>IFERROR(IF(A420="","",SUMIF(DB_Savings!$A:$A,A420,DB_Savings!$F:$F)),"")</f>
        <v/>
      </c>
      <c r="L420" s="36" t="str">
        <f>IFERROR(IF(A420="","",SUMIF(DB_Withdrawals!$A:$A,A420,DB_Withdrawals!$G:$G)),"")</f>
        <v/>
      </c>
      <c r="M420" s="36" t="str">
        <f>IFERROR(IF(A420="","",IFERROR(VALUE(H420),0)+IFERROR(SUMIF(DB_Savings!$A:$A,A420,DB_Savings!$F:$F),0)-IFERROR(SUMIF(DB_Withdrawals!$A:$A,A420,DB_Withdrawals!$G:$G),0)),"")</f>
        <v/>
      </c>
      <c r="N420" s="36" t="str">
        <f>IFERROR(IF(A420="","",MAX(0,M420-System_Config!$B$9)),"")</f>
        <v/>
      </c>
    </row>
    <row r="421" spans="1:14" ht="20.100000000000001" customHeight="1" x14ac:dyDescent="0.25">
      <c r="A421" s="34" t="str">
        <f>'NEW ACCOUNT'!A422</f>
        <v/>
      </c>
      <c r="B421" s="35" t="str">
        <f>IF('NEW ACCOUNT'!A422="","",'NEW ACCOUNT'!B422)</f>
        <v/>
      </c>
      <c r="C421" s="35" t="str">
        <f>IF('NEW ACCOUNT'!A422="","",'NEW ACCOUNT'!C422)</f>
        <v/>
      </c>
      <c r="D421" s="35" t="str">
        <f>IF('NEW ACCOUNT'!A422="","",'NEW ACCOUNT'!D422)</f>
        <v/>
      </c>
      <c r="E421" s="35" t="str">
        <f>IF('NEW ACCOUNT'!A422="","",'NEW ACCOUNT'!E422)</f>
        <v/>
      </c>
      <c r="F421" s="35" t="str">
        <f>IF('NEW ACCOUNT'!A422="","",'NEW ACCOUNT'!F422)</f>
        <v/>
      </c>
      <c r="G421" s="35" t="str">
        <f>IF('NEW ACCOUNT'!A422="","",'NEW ACCOUNT'!G422)</f>
        <v/>
      </c>
      <c r="H421" s="35" t="str">
        <f>IF('NEW ACCOUNT'!A422="","",'NEW ACCOUNT'!H422)</f>
        <v/>
      </c>
      <c r="I421" s="35" t="str">
        <f>IF('NEW ACCOUNT'!A422="","",'NEW ACCOUNT'!I422)</f>
        <v/>
      </c>
      <c r="J421" s="35" t="str">
        <f>IF('NEW ACCOUNT'!A422="","",'NEW ACCOUNT'!J422)</f>
        <v/>
      </c>
      <c r="K421" s="36" t="str">
        <f>IFERROR(IF(A421="","",SUMIF(DB_Savings!$A:$A,A421,DB_Savings!$F:$F)),"")</f>
        <v/>
      </c>
      <c r="L421" s="36" t="str">
        <f>IFERROR(IF(A421="","",SUMIF(DB_Withdrawals!$A:$A,A421,DB_Withdrawals!$G:$G)),"")</f>
        <v/>
      </c>
      <c r="M421" s="36" t="str">
        <f>IFERROR(IF(A421="","",IFERROR(VALUE(H421),0)+IFERROR(SUMIF(DB_Savings!$A:$A,A421,DB_Savings!$F:$F),0)-IFERROR(SUMIF(DB_Withdrawals!$A:$A,A421,DB_Withdrawals!$G:$G),0)),"")</f>
        <v/>
      </c>
      <c r="N421" s="36" t="str">
        <f>IFERROR(IF(A421="","",MAX(0,M421-System_Config!$B$9)),"")</f>
        <v/>
      </c>
    </row>
    <row r="422" spans="1:14" ht="20.100000000000001" customHeight="1" x14ac:dyDescent="0.25">
      <c r="A422" s="34" t="str">
        <f>'NEW ACCOUNT'!A423</f>
        <v/>
      </c>
      <c r="B422" s="35" t="str">
        <f>IF('NEW ACCOUNT'!A423="","",'NEW ACCOUNT'!B423)</f>
        <v/>
      </c>
      <c r="C422" s="35" t="str">
        <f>IF('NEW ACCOUNT'!A423="","",'NEW ACCOUNT'!C423)</f>
        <v/>
      </c>
      <c r="D422" s="35" t="str">
        <f>IF('NEW ACCOUNT'!A423="","",'NEW ACCOUNT'!D423)</f>
        <v/>
      </c>
      <c r="E422" s="35" t="str">
        <f>IF('NEW ACCOUNT'!A423="","",'NEW ACCOUNT'!E423)</f>
        <v/>
      </c>
      <c r="F422" s="35" t="str">
        <f>IF('NEW ACCOUNT'!A423="","",'NEW ACCOUNT'!F423)</f>
        <v/>
      </c>
      <c r="G422" s="35" t="str">
        <f>IF('NEW ACCOUNT'!A423="","",'NEW ACCOUNT'!G423)</f>
        <v/>
      </c>
      <c r="H422" s="35" t="str">
        <f>IF('NEW ACCOUNT'!A423="","",'NEW ACCOUNT'!H423)</f>
        <v/>
      </c>
      <c r="I422" s="35" t="str">
        <f>IF('NEW ACCOUNT'!A423="","",'NEW ACCOUNT'!I423)</f>
        <v/>
      </c>
      <c r="J422" s="35" t="str">
        <f>IF('NEW ACCOUNT'!A423="","",'NEW ACCOUNT'!J423)</f>
        <v/>
      </c>
      <c r="K422" s="36" t="str">
        <f>IFERROR(IF(A422="","",SUMIF(DB_Savings!$A:$A,A422,DB_Savings!$F:$F)),"")</f>
        <v/>
      </c>
      <c r="L422" s="36" t="str">
        <f>IFERROR(IF(A422="","",SUMIF(DB_Withdrawals!$A:$A,A422,DB_Withdrawals!$G:$G)),"")</f>
        <v/>
      </c>
      <c r="M422" s="36" t="str">
        <f>IFERROR(IF(A422="","",IFERROR(VALUE(H422),0)+IFERROR(SUMIF(DB_Savings!$A:$A,A422,DB_Savings!$F:$F),0)-IFERROR(SUMIF(DB_Withdrawals!$A:$A,A422,DB_Withdrawals!$G:$G),0)),"")</f>
        <v/>
      </c>
      <c r="N422" s="36" t="str">
        <f>IFERROR(IF(A422="","",MAX(0,M422-System_Config!$B$9)),"")</f>
        <v/>
      </c>
    </row>
    <row r="423" spans="1:14" ht="20.100000000000001" customHeight="1" x14ac:dyDescent="0.25">
      <c r="A423" s="34" t="str">
        <f>'NEW ACCOUNT'!A424</f>
        <v/>
      </c>
      <c r="B423" s="35" t="str">
        <f>IF('NEW ACCOUNT'!A424="","",'NEW ACCOUNT'!B424)</f>
        <v/>
      </c>
      <c r="C423" s="35" t="str">
        <f>IF('NEW ACCOUNT'!A424="","",'NEW ACCOUNT'!C424)</f>
        <v/>
      </c>
      <c r="D423" s="35" t="str">
        <f>IF('NEW ACCOUNT'!A424="","",'NEW ACCOUNT'!D424)</f>
        <v/>
      </c>
      <c r="E423" s="35" t="str">
        <f>IF('NEW ACCOUNT'!A424="","",'NEW ACCOUNT'!E424)</f>
        <v/>
      </c>
      <c r="F423" s="35" t="str">
        <f>IF('NEW ACCOUNT'!A424="","",'NEW ACCOUNT'!F424)</f>
        <v/>
      </c>
      <c r="G423" s="35" t="str">
        <f>IF('NEW ACCOUNT'!A424="","",'NEW ACCOUNT'!G424)</f>
        <v/>
      </c>
      <c r="H423" s="35" t="str">
        <f>IF('NEW ACCOUNT'!A424="","",'NEW ACCOUNT'!H424)</f>
        <v/>
      </c>
      <c r="I423" s="35" t="str">
        <f>IF('NEW ACCOUNT'!A424="","",'NEW ACCOUNT'!I424)</f>
        <v/>
      </c>
      <c r="J423" s="35" t="str">
        <f>IF('NEW ACCOUNT'!A424="","",'NEW ACCOUNT'!J424)</f>
        <v/>
      </c>
      <c r="K423" s="36" t="str">
        <f>IFERROR(IF(A423="","",SUMIF(DB_Savings!$A:$A,A423,DB_Savings!$F:$F)),"")</f>
        <v/>
      </c>
      <c r="L423" s="36" t="str">
        <f>IFERROR(IF(A423="","",SUMIF(DB_Withdrawals!$A:$A,A423,DB_Withdrawals!$G:$G)),"")</f>
        <v/>
      </c>
      <c r="M423" s="36" t="str">
        <f>IFERROR(IF(A423="","",IFERROR(VALUE(H423),0)+IFERROR(SUMIF(DB_Savings!$A:$A,A423,DB_Savings!$F:$F),0)-IFERROR(SUMIF(DB_Withdrawals!$A:$A,A423,DB_Withdrawals!$G:$G),0)),"")</f>
        <v/>
      </c>
      <c r="N423" s="36" t="str">
        <f>IFERROR(IF(A423="","",MAX(0,M423-System_Config!$B$9)),"")</f>
        <v/>
      </c>
    </row>
    <row r="424" spans="1:14" ht="20.100000000000001" customHeight="1" x14ac:dyDescent="0.25">
      <c r="A424" s="34" t="str">
        <f>'NEW ACCOUNT'!A425</f>
        <v/>
      </c>
      <c r="B424" s="35" t="str">
        <f>IF('NEW ACCOUNT'!A425="","",'NEW ACCOUNT'!B425)</f>
        <v/>
      </c>
      <c r="C424" s="35" t="str">
        <f>IF('NEW ACCOUNT'!A425="","",'NEW ACCOUNT'!C425)</f>
        <v/>
      </c>
      <c r="D424" s="35" t="str">
        <f>IF('NEW ACCOUNT'!A425="","",'NEW ACCOUNT'!D425)</f>
        <v/>
      </c>
      <c r="E424" s="35" t="str">
        <f>IF('NEW ACCOUNT'!A425="","",'NEW ACCOUNT'!E425)</f>
        <v/>
      </c>
      <c r="F424" s="35" t="str">
        <f>IF('NEW ACCOUNT'!A425="","",'NEW ACCOUNT'!F425)</f>
        <v/>
      </c>
      <c r="G424" s="35" t="str">
        <f>IF('NEW ACCOUNT'!A425="","",'NEW ACCOUNT'!G425)</f>
        <v/>
      </c>
      <c r="H424" s="35" t="str">
        <f>IF('NEW ACCOUNT'!A425="","",'NEW ACCOUNT'!H425)</f>
        <v/>
      </c>
      <c r="I424" s="35" t="str">
        <f>IF('NEW ACCOUNT'!A425="","",'NEW ACCOUNT'!I425)</f>
        <v/>
      </c>
      <c r="J424" s="35" t="str">
        <f>IF('NEW ACCOUNT'!A425="","",'NEW ACCOUNT'!J425)</f>
        <v/>
      </c>
      <c r="K424" s="36" t="str">
        <f>IFERROR(IF(A424="","",SUMIF(DB_Savings!$A:$A,A424,DB_Savings!$F:$F)),"")</f>
        <v/>
      </c>
      <c r="L424" s="36" t="str">
        <f>IFERROR(IF(A424="","",SUMIF(DB_Withdrawals!$A:$A,A424,DB_Withdrawals!$G:$G)),"")</f>
        <v/>
      </c>
      <c r="M424" s="36" t="str">
        <f>IFERROR(IF(A424="","",IFERROR(VALUE(H424),0)+IFERROR(SUMIF(DB_Savings!$A:$A,A424,DB_Savings!$F:$F),0)-IFERROR(SUMIF(DB_Withdrawals!$A:$A,A424,DB_Withdrawals!$G:$G),0)),"")</f>
        <v/>
      </c>
      <c r="N424" s="36" t="str">
        <f>IFERROR(IF(A424="","",MAX(0,M424-System_Config!$B$9)),"")</f>
        <v/>
      </c>
    </row>
    <row r="425" spans="1:14" ht="20.100000000000001" customHeight="1" x14ac:dyDescent="0.25">
      <c r="A425" s="34" t="str">
        <f>'NEW ACCOUNT'!A426</f>
        <v/>
      </c>
      <c r="B425" s="35" t="str">
        <f>IF('NEW ACCOUNT'!A426="","",'NEW ACCOUNT'!B426)</f>
        <v/>
      </c>
      <c r="C425" s="35" t="str">
        <f>IF('NEW ACCOUNT'!A426="","",'NEW ACCOUNT'!C426)</f>
        <v/>
      </c>
      <c r="D425" s="35" t="str">
        <f>IF('NEW ACCOUNT'!A426="","",'NEW ACCOUNT'!D426)</f>
        <v/>
      </c>
      <c r="E425" s="35" t="str">
        <f>IF('NEW ACCOUNT'!A426="","",'NEW ACCOUNT'!E426)</f>
        <v/>
      </c>
      <c r="F425" s="35" t="str">
        <f>IF('NEW ACCOUNT'!A426="","",'NEW ACCOUNT'!F426)</f>
        <v/>
      </c>
      <c r="G425" s="35" t="str">
        <f>IF('NEW ACCOUNT'!A426="","",'NEW ACCOUNT'!G426)</f>
        <v/>
      </c>
      <c r="H425" s="35" t="str">
        <f>IF('NEW ACCOUNT'!A426="","",'NEW ACCOUNT'!H426)</f>
        <v/>
      </c>
      <c r="I425" s="35" t="str">
        <f>IF('NEW ACCOUNT'!A426="","",'NEW ACCOUNT'!I426)</f>
        <v/>
      </c>
      <c r="J425" s="35" t="str">
        <f>IF('NEW ACCOUNT'!A426="","",'NEW ACCOUNT'!J426)</f>
        <v/>
      </c>
      <c r="K425" s="36" t="str">
        <f>IFERROR(IF(A425="","",SUMIF(DB_Savings!$A:$A,A425,DB_Savings!$F:$F)),"")</f>
        <v/>
      </c>
      <c r="L425" s="36" t="str">
        <f>IFERROR(IF(A425="","",SUMIF(DB_Withdrawals!$A:$A,A425,DB_Withdrawals!$G:$G)),"")</f>
        <v/>
      </c>
      <c r="M425" s="36" t="str">
        <f>IFERROR(IF(A425="","",IFERROR(VALUE(H425),0)+IFERROR(SUMIF(DB_Savings!$A:$A,A425,DB_Savings!$F:$F),0)-IFERROR(SUMIF(DB_Withdrawals!$A:$A,A425,DB_Withdrawals!$G:$G),0)),"")</f>
        <v/>
      </c>
      <c r="N425" s="36" t="str">
        <f>IFERROR(IF(A425="","",MAX(0,M425-System_Config!$B$9)),"")</f>
        <v/>
      </c>
    </row>
    <row r="426" spans="1:14" ht="20.100000000000001" customHeight="1" x14ac:dyDescent="0.25">
      <c r="A426" s="34" t="str">
        <f>'NEW ACCOUNT'!A427</f>
        <v/>
      </c>
      <c r="B426" s="35" t="str">
        <f>IF('NEW ACCOUNT'!A427="","",'NEW ACCOUNT'!B427)</f>
        <v/>
      </c>
      <c r="C426" s="35" t="str">
        <f>IF('NEW ACCOUNT'!A427="","",'NEW ACCOUNT'!C427)</f>
        <v/>
      </c>
      <c r="D426" s="35" t="str">
        <f>IF('NEW ACCOUNT'!A427="","",'NEW ACCOUNT'!D427)</f>
        <v/>
      </c>
      <c r="E426" s="35" t="str">
        <f>IF('NEW ACCOUNT'!A427="","",'NEW ACCOUNT'!E427)</f>
        <v/>
      </c>
      <c r="F426" s="35" t="str">
        <f>IF('NEW ACCOUNT'!A427="","",'NEW ACCOUNT'!F427)</f>
        <v/>
      </c>
      <c r="G426" s="35" t="str">
        <f>IF('NEW ACCOUNT'!A427="","",'NEW ACCOUNT'!G427)</f>
        <v/>
      </c>
      <c r="H426" s="35" t="str">
        <f>IF('NEW ACCOUNT'!A427="","",'NEW ACCOUNT'!H427)</f>
        <v/>
      </c>
      <c r="I426" s="35" t="str">
        <f>IF('NEW ACCOUNT'!A427="","",'NEW ACCOUNT'!I427)</f>
        <v/>
      </c>
      <c r="J426" s="35" t="str">
        <f>IF('NEW ACCOUNT'!A427="","",'NEW ACCOUNT'!J427)</f>
        <v/>
      </c>
      <c r="K426" s="36" t="str">
        <f>IFERROR(IF(A426="","",SUMIF(DB_Savings!$A:$A,A426,DB_Savings!$F:$F)),"")</f>
        <v/>
      </c>
      <c r="L426" s="36" t="str">
        <f>IFERROR(IF(A426="","",SUMIF(DB_Withdrawals!$A:$A,A426,DB_Withdrawals!$G:$G)),"")</f>
        <v/>
      </c>
      <c r="M426" s="36" t="str">
        <f>IFERROR(IF(A426="","",IFERROR(VALUE(H426),0)+IFERROR(SUMIF(DB_Savings!$A:$A,A426,DB_Savings!$F:$F),0)-IFERROR(SUMIF(DB_Withdrawals!$A:$A,A426,DB_Withdrawals!$G:$G),0)),"")</f>
        <v/>
      </c>
      <c r="N426" s="36" t="str">
        <f>IFERROR(IF(A426="","",MAX(0,M426-System_Config!$B$9)),"")</f>
        <v/>
      </c>
    </row>
    <row r="427" spans="1:14" ht="20.100000000000001" customHeight="1" x14ac:dyDescent="0.25">
      <c r="A427" s="34" t="str">
        <f>'NEW ACCOUNT'!A428</f>
        <v/>
      </c>
      <c r="B427" s="35" t="str">
        <f>IF('NEW ACCOUNT'!A428="","",'NEW ACCOUNT'!B428)</f>
        <v/>
      </c>
      <c r="C427" s="35" t="str">
        <f>IF('NEW ACCOUNT'!A428="","",'NEW ACCOUNT'!C428)</f>
        <v/>
      </c>
      <c r="D427" s="35" t="str">
        <f>IF('NEW ACCOUNT'!A428="","",'NEW ACCOUNT'!D428)</f>
        <v/>
      </c>
      <c r="E427" s="35" t="str">
        <f>IF('NEW ACCOUNT'!A428="","",'NEW ACCOUNT'!E428)</f>
        <v/>
      </c>
      <c r="F427" s="35" t="str">
        <f>IF('NEW ACCOUNT'!A428="","",'NEW ACCOUNT'!F428)</f>
        <v/>
      </c>
      <c r="G427" s="35" t="str">
        <f>IF('NEW ACCOUNT'!A428="","",'NEW ACCOUNT'!G428)</f>
        <v/>
      </c>
      <c r="H427" s="35" t="str">
        <f>IF('NEW ACCOUNT'!A428="","",'NEW ACCOUNT'!H428)</f>
        <v/>
      </c>
      <c r="I427" s="35" t="str">
        <f>IF('NEW ACCOUNT'!A428="","",'NEW ACCOUNT'!I428)</f>
        <v/>
      </c>
      <c r="J427" s="35" t="str">
        <f>IF('NEW ACCOUNT'!A428="","",'NEW ACCOUNT'!J428)</f>
        <v/>
      </c>
      <c r="K427" s="36" t="str">
        <f>IFERROR(IF(A427="","",SUMIF(DB_Savings!$A:$A,A427,DB_Savings!$F:$F)),"")</f>
        <v/>
      </c>
      <c r="L427" s="36" t="str">
        <f>IFERROR(IF(A427="","",SUMIF(DB_Withdrawals!$A:$A,A427,DB_Withdrawals!$G:$G)),"")</f>
        <v/>
      </c>
      <c r="M427" s="36" t="str">
        <f>IFERROR(IF(A427="","",IFERROR(VALUE(H427),0)+IFERROR(SUMIF(DB_Savings!$A:$A,A427,DB_Savings!$F:$F),0)-IFERROR(SUMIF(DB_Withdrawals!$A:$A,A427,DB_Withdrawals!$G:$G),0)),"")</f>
        <v/>
      </c>
      <c r="N427" s="36" t="str">
        <f>IFERROR(IF(A427="","",MAX(0,M427-System_Config!$B$9)),"")</f>
        <v/>
      </c>
    </row>
    <row r="428" spans="1:14" ht="20.100000000000001" customHeight="1" x14ac:dyDescent="0.25">
      <c r="A428" s="34" t="str">
        <f>'NEW ACCOUNT'!A429</f>
        <v/>
      </c>
      <c r="B428" s="35" t="str">
        <f>IF('NEW ACCOUNT'!A429="","",'NEW ACCOUNT'!B429)</f>
        <v/>
      </c>
      <c r="C428" s="35" t="str">
        <f>IF('NEW ACCOUNT'!A429="","",'NEW ACCOUNT'!C429)</f>
        <v/>
      </c>
      <c r="D428" s="35" t="str">
        <f>IF('NEW ACCOUNT'!A429="","",'NEW ACCOUNT'!D429)</f>
        <v/>
      </c>
      <c r="E428" s="35" t="str">
        <f>IF('NEW ACCOUNT'!A429="","",'NEW ACCOUNT'!E429)</f>
        <v/>
      </c>
      <c r="F428" s="35" t="str">
        <f>IF('NEW ACCOUNT'!A429="","",'NEW ACCOUNT'!F429)</f>
        <v/>
      </c>
      <c r="G428" s="35" t="str">
        <f>IF('NEW ACCOUNT'!A429="","",'NEW ACCOUNT'!G429)</f>
        <v/>
      </c>
      <c r="H428" s="35" t="str">
        <f>IF('NEW ACCOUNT'!A429="","",'NEW ACCOUNT'!H429)</f>
        <v/>
      </c>
      <c r="I428" s="35" t="str">
        <f>IF('NEW ACCOUNT'!A429="","",'NEW ACCOUNT'!I429)</f>
        <v/>
      </c>
      <c r="J428" s="35" t="str">
        <f>IF('NEW ACCOUNT'!A429="","",'NEW ACCOUNT'!J429)</f>
        <v/>
      </c>
      <c r="K428" s="36" t="str">
        <f>IFERROR(IF(A428="","",SUMIF(DB_Savings!$A:$A,A428,DB_Savings!$F:$F)),"")</f>
        <v/>
      </c>
      <c r="L428" s="36" t="str">
        <f>IFERROR(IF(A428="","",SUMIF(DB_Withdrawals!$A:$A,A428,DB_Withdrawals!$G:$G)),"")</f>
        <v/>
      </c>
      <c r="M428" s="36" t="str">
        <f>IFERROR(IF(A428="","",IFERROR(VALUE(H428),0)+IFERROR(SUMIF(DB_Savings!$A:$A,A428,DB_Savings!$F:$F),0)-IFERROR(SUMIF(DB_Withdrawals!$A:$A,A428,DB_Withdrawals!$G:$G),0)),"")</f>
        <v/>
      </c>
      <c r="N428" s="36" t="str">
        <f>IFERROR(IF(A428="","",MAX(0,M428-System_Config!$B$9)),"")</f>
        <v/>
      </c>
    </row>
    <row r="429" spans="1:14" ht="20.100000000000001" customHeight="1" x14ac:dyDescent="0.25">
      <c r="A429" s="34" t="str">
        <f>'NEW ACCOUNT'!A430</f>
        <v/>
      </c>
      <c r="B429" s="35" t="str">
        <f>IF('NEW ACCOUNT'!A430="","",'NEW ACCOUNT'!B430)</f>
        <v/>
      </c>
      <c r="C429" s="35" t="str">
        <f>IF('NEW ACCOUNT'!A430="","",'NEW ACCOUNT'!C430)</f>
        <v/>
      </c>
      <c r="D429" s="35" t="str">
        <f>IF('NEW ACCOUNT'!A430="","",'NEW ACCOUNT'!D430)</f>
        <v/>
      </c>
      <c r="E429" s="35" t="str">
        <f>IF('NEW ACCOUNT'!A430="","",'NEW ACCOUNT'!E430)</f>
        <v/>
      </c>
      <c r="F429" s="35" t="str">
        <f>IF('NEW ACCOUNT'!A430="","",'NEW ACCOUNT'!F430)</f>
        <v/>
      </c>
      <c r="G429" s="35" t="str">
        <f>IF('NEW ACCOUNT'!A430="","",'NEW ACCOUNT'!G430)</f>
        <v/>
      </c>
      <c r="H429" s="35" t="str">
        <f>IF('NEW ACCOUNT'!A430="","",'NEW ACCOUNT'!H430)</f>
        <v/>
      </c>
      <c r="I429" s="35" t="str">
        <f>IF('NEW ACCOUNT'!A430="","",'NEW ACCOUNT'!I430)</f>
        <v/>
      </c>
      <c r="J429" s="35" t="str">
        <f>IF('NEW ACCOUNT'!A430="","",'NEW ACCOUNT'!J430)</f>
        <v/>
      </c>
      <c r="K429" s="36" t="str">
        <f>IFERROR(IF(A429="","",SUMIF(DB_Savings!$A:$A,A429,DB_Savings!$F:$F)),"")</f>
        <v/>
      </c>
      <c r="L429" s="36" t="str">
        <f>IFERROR(IF(A429="","",SUMIF(DB_Withdrawals!$A:$A,A429,DB_Withdrawals!$G:$G)),"")</f>
        <v/>
      </c>
      <c r="M429" s="36" t="str">
        <f>IFERROR(IF(A429="","",IFERROR(VALUE(H429),0)+IFERROR(SUMIF(DB_Savings!$A:$A,A429,DB_Savings!$F:$F),0)-IFERROR(SUMIF(DB_Withdrawals!$A:$A,A429,DB_Withdrawals!$G:$G),0)),"")</f>
        <v/>
      </c>
      <c r="N429" s="36" t="str">
        <f>IFERROR(IF(A429="","",MAX(0,M429-System_Config!$B$9)),"")</f>
        <v/>
      </c>
    </row>
    <row r="430" spans="1:14" ht="20.100000000000001" customHeight="1" x14ac:dyDescent="0.25">
      <c r="A430" s="34" t="str">
        <f>'NEW ACCOUNT'!A431</f>
        <v/>
      </c>
      <c r="B430" s="35" t="str">
        <f>IF('NEW ACCOUNT'!A431="","",'NEW ACCOUNT'!B431)</f>
        <v/>
      </c>
      <c r="C430" s="35" t="str">
        <f>IF('NEW ACCOUNT'!A431="","",'NEW ACCOUNT'!C431)</f>
        <v/>
      </c>
      <c r="D430" s="35" t="str">
        <f>IF('NEW ACCOUNT'!A431="","",'NEW ACCOUNT'!D431)</f>
        <v/>
      </c>
      <c r="E430" s="35" t="str">
        <f>IF('NEW ACCOUNT'!A431="","",'NEW ACCOUNT'!E431)</f>
        <v/>
      </c>
      <c r="F430" s="35" t="str">
        <f>IF('NEW ACCOUNT'!A431="","",'NEW ACCOUNT'!F431)</f>
        <v/>
      </c>
      <c r="G430" s="35" t="str">
        <f>IF('NEW ACCOUNT'!A431="","",'NEW ACCOUNT'!G431)</f>
        <v/>
      </c>
      <c r="H430" s="35" t="str">
        <f>IF('NEW ACCOUNT'!A431="","",'NEW ACCOUNT'!H431)</f>
        <v/>
      </c>
      <c r="I430" s="35" t="str">
        <f>IF('NEW ACCOUNT'!A431="","",'NEW ACCOUNT'!I431)</f>
        <v/>
      </c>
      <c r="J430" s="35" t="str">
        <f>IF('NEW ACCOUNT'!A431="","",'NEW ACCOUNT'!J431)</f>
        <v/>
      </c>
      <c r="K430" s="36" t="str">
        <f>IFERROR(IF(A430="","",SUMIF(DB_Savings!$A:$A,A430,DB_Savings!$F:$F)),"")</f>
        <v/>
      </c>
      <c r="L430" s="36" t="str">
        <f>IFERROR(IF(A430="","",SUMIF(DB_Withdrawals!$A:$A,A430,DB_Withdrawals!$G:$G)),"")</f>
        <v/>
      </c>
      <c r="M430" s="36" t="str">
        <f>IFERROR(IF(A430="","",IFERROR(VALUE(H430),0)+IFERROR(SUMIF(DB_Savings!$A:$A,A430,DB_Savings!$F:$F),0)-IFERROR(SUMIF(DB_Withdrawals!$A:$A,A430,DB_Withdrawals!$G:$G),0)),"")</f>
        <v/>
      </c>
      <c r="N430" s="36" t="str">
        <f>IFERROR(IF(A430="","",MAX(0,M430-System_Config!$B$9)),"")</f>
        <v/>
      </c>
    </row>
    <row r="431" spans="1:14" ht="20.100000000000001" customHeight="1" x14ac:dyDescent="0.25">
      <c r="A431" s="34" t="str">
        <f>'NEW ACCOUNT'!A432</f>
        <v/>
      </c>
      <c r="B431" s="35" t="str">
        <f>IF('NEW ACCOUNT'!A432="","",'NEW ACCOUNT'!B432)</f>
        <v/>
      </c>
      <c r="C431" s="35" t="str">
        <f>IF('NEW ACCOUNT'!A432="","",'NEW ACCOUNT'!C432)</f>
        <v/>
      </c>
      <c r="D431" s="35" t="str">
        <f>IF('NEW ACCOUNT'!A432="","",'NEW ACCOUNT'!D432)</f>
        <v/>
      </c>
      <c r="E431" s="35" t="str">
        <f>IF('NEW ACCOUNT'!A432="","",'NEW ACCOUNT'!E432)</f>
        <v/>
      </c>
      <c r="F431" s="35" t="str">
        <f>IF('NEW ACCOUNT'!A432="","",'NEW ACCOUNT'!F432)</f>
        <v/>
      </c>
      <c r="G431" s="35" t="str">
        <f>IF('NEW ACCOUNT'!A432="","",'NEW ACCOUNT'!G432)</f>
        <v/>
      </c>
      <c r="H431" s="35" t="str">
        <f>IF('NEW ACCOUNT'!A432="","",'NEW ACCOUNT'!H432)</f>
        <v/>
      </c>
      <c r="I431" s="35" t="str">
        <f>IF('NEW ACCOUNT'!A432="","",'NEW ACCOUNT'!I432)</f>
        <v/>
      </c>
      <c r="J431" s="35" t="str">
        <f>IF('NEW ACCOUNT'!A432="","",'NEW ACCOUNT'!J432)</f>
        <v/>
      </c>
      <c r="K431" s="36" t="str">
        <f>IFERROR(IF(A431="","",SUMIF(DB_Savings!$A:$A,A431,DB_Savings!$F:$F)),"")</f>
        <v/>
      </c>
      <c r="L431" s="36" t="str">
        <f>IFERROR(IF(A431="","",SUMIF(DB_Withdrawals!$A:$A,A431,DB_Withdrawals!$G:$G)),"")</f>
        <v/>
      </c>
      <c r="M431" s="36" t="str">
        <f>IFERROR(IF(A431="","",IFERROR(VALUE(H431),0)+IFERROR(SUMIF(DB_Savings!$A:$A,A431,DB_Savings!$F:$F),0)-IFERROR(SUMIF(DB_Withdrawals!$A:$A,A431,DB_Withdrawals!$G:$G),0)),"")</f>
        <v/>
      </c>
      <c r="N431" s="36" t="str">
        <f>IFERROR(IF(A431="","",MAX(0,M431-System_Config!$B$9)),"")</f>
        <v/>
      </c>
    </row>
    <row r="432" spans="1:14" ht="20.100000000000001" customHeight="1" x14ac:dyDescent="0.25">
      <c r="A432" s="34" t="str">
        <f>'NEW ACCOUNT'!A433</f>
        <v/>
      </c>
      <c r="B432" s="35" t="str">
        <f>IF('NEW ACCOUNT'!A433="","",'NEW ACCOUNT'!B433)</f>
        <v/>
      </c>
      <c r="C432" s="35" t="str">
        <f>IF('NEW ACCOUNT'!A433="","",'NEW ACCOUNT'!C433)</f>
        <v/>
      </c>
      <c r="D432" s="35" t="str">
        <f>IF('NEW ACCOUNT'!A433="","",'NEW ACCOUNT'!D433)</f>
        <v/>
      </c>
      <c r="E432" s="35" t="str">
        <f>IF('NEW ACCOUNT'!A433="","",'NEW ACCOUNT'!E433)</f>
        <v/>
      </c>
      <c r="F432" s="35" t="str">
        <f>IF('NEW ACCOUNT'!A433="","",'NEW ACCOUNT'!F433)</f>
        <v/>
      </c>
      <c r="G432" s="35" t="str">
        <f>IF('NEW ACCOUNT'!A433="","",'NEW ACCOUNT'!G433)</f>
        <v/>
      </c>
      <c r="H432" s="35" t="str">
        <f>IF('NEW ACCOUNT'!A433="","",'NEW ACCOUNT'!H433)</f>
        <v/>
      </c>
      <c r="I432" s="35" t="str">
        <f>IF('NEW ACCOUNT'!A433="","",'NEW ACCOUNT'!I433)</f>
        <v/>
      </c>
      <c r="J432" s="35" t="str">
        <f>IF('NEW ACCOUNT'!A433="","",'NEW ACCOUNT'!J433)</f>
        <v/>
      </c>
      <c r="K432" s="36" t="str">
        <f>IFERROR(IF(A432="","",SUMIF(DB_Savings!$A:$A,A432,DB_Savings!$F:$F)),"")</f>
        <v/>
      </c>
      <c r="L432" s="36" t="str">
        <f>IFERROR(IF(A432="","",SUMIF(DB_Withdrawals!$A:$A,A432,DB_Withdrawals!$G:$G)),"")</f>
        <v/>
      </c>
      <c r="M432" s="36" t="str">
        <f>IFERROR(IF(A432="","",IFERROR(VALUE(H432),0)+IFERROR(SUMIF(DB_Savings!$A:$A,A432,DB_Savings!$F:$F),0)-IFERROR(SUMIF(DB_Withdrawals!$A:$A,A432,DB_Withdrawals!$G:$G),0)),"")</f>
        <v/>
      </c>
      <c r="N432" s="36" t="str">
        <f>IFERROR(IF(A432="","",MAX(0,M432-System_Config!$B$9)),"")</f>
        <v/>
      </c>
    </row>
    <row r="433" spans="1:14" ht="20.100000000000001" customHeight="1" x14ac:dyDescent="0.25">
      <c r="A433" s="34" t="str">
        <f>'NEW ACCOUNT'!A434</f>
        <v/>
      </c>
      <c r="B433" s="35" t="str">
        <f>IF('NEW ACCOUNT'!A434="","",'NEW ACCOUNT'!B434)</f>
        <v/>
      </c>
      <c r="C433" s="35" t="str">
        <f>IF('NEW ACCOUNT'!A434="","",'NEW ACCOUNT'!C434)</f>
        <v/>
      </c>
      <c r="D433" s="35" t="str">
        <f>IF('NEW ACCOUNT'!A434="","",'NEW ACCOUNT'!D434)</f>
        <v/>
      </c>
      <c r="E433" s="35" t="str">
        <f>IF('NEW ACCOUNT'!A434="","",'NEW ACCOUNT'!E434)</f>
        <v/>
      </c>
      <c r="F433" s="35" t="str">
        <f>IF('NEW ACCOUNT'!A434="","",'NEW ACCOUNT'!F434)</f>
        <v/>
      </c>
      <c r="G433" s="35" t="str">
        <f>IF('NEW ACCOUNT'!A434="","",'NEW ACCOUNT'!G434)</f>
        <v/>
      </c>
      <c r="H433" s="35" t="str">
        <f>IF('NEW ACCOUNT'!A434="","",'NEW ACCOUNT'!H434)</f>
        <v/>
      </c>
      <c r="I433" s="35" t="str">
        <f>IF('NEW ACCOUNT'!A434="","",'NEW ACCOUNT'!I434)</f>
        <v/>
      </c>
      <c r="J433" s="35" t="str">
        <f>IF('NEW ACCOUNT'!A434="","",'NEW ACCOUNT'!J434)</f>
        <v/>
      </c>
      <c r="K433" s="36" t="str">
        <f>IFERROR(IF(A433="","",SUMIF(DB_Savings!$A:$A,A433,DB_Savings!$F:$F)),"")</f>
        <v/>
      </c>
      <c r="L433" s="36" t="str">
        <f>IFERROR(IF(A433="","",SUMIF(DB_Withdrawals!$A:$A,A433,DB_Withdrawals!$G:$G)),"")</f>
        <v/>
      </c>
      <c r="M433" s="36" t="str">
        <f>IFERROR(IF(A433="","",IFERROR(VALUE(H433),0)+IFERROR(SUMIF(DB_Savings!$A:$A,A433,DB_Savings!$F:$F),0)-IFERROR(SUMIF(DB_Withdrawals!$A:$A,A433,DB_Withdrawals!$G:$G),0)),"")</f>
        <v/>
      </c>
      <c r="N433" s="36" t="str">
        <f>IFERROR(IF(A433="","",MAX(0,M433-System_Config!$B$9)),"")</f>
        <v/>
      </c>
    </row>
    <row r="434" spans="1:14" ht="20.100000000000001" customHeight="1" x14ac:dyDescent="0.25">
      <c r="A434" s="34" t="str">
        <f>'NEW ACCOUNT'!A435</f>
        <v/>
      </c>
      <c r="B434" s="35" t="str">
        <f>IF('NEW ACCOUNT'!A435="","",'NEW ACCOUNT'!B435)</f>
        <v/>
      </c>
      <c r="C434" s="35" t="str">
        <f>IF('NEW ACCOUNT'!A435="","",'NEW ACCOUNT'!C435)</f>
        <v/>
      </c>
      <c r="D434" s="35" t="str">
        <f>IF('NEW ACCOUNT'!A435="","",'NEW ACCOUNT'!D435)</f>
        <v/>
      </c>
      <c r="E434" s="35" t="str">
        <f>IF('NEW ACCOUNT'!A435="","",'NEW ACCOUNT'!E435)</f>
        <v/>
      </c>
      <c r="F434" s="35" t="str">
        <f>IF('NEW ACCOUNT'!A435="","",'NEW ACCOUNT'!F435)</f>
        <v/>
      </c>
      <c r="G434" s="35" t="str">
        <f>IF('NEW ACCOUNT'!A435="","",'NEW ACCOUNT'!G435)</f>
        <v/>
      </c>
      <c r="H434" s="35" t="str">
        <f>IF('NEW ACCOUNT'!A435="","",'NEW ACCOUNT'!H435)</f>
        <v/>
      </c>
      <c r="I434" s="35" t="str">
        <f>IF('NEW ACCOUNT'!A435="","",'NEW ACCOUNT'!I435)</f>
        <v/>
      </c>
      <c r="J434" s="35" t="str">
        <f>IF('NEW ACCOUNT'!A435="","",'NEW ACCOUNT'!J435)</f>
        <v/>
      </c>
      <c r="K434" s="36" t="str">
        <f>IFERROR(IF(A434="","",SUMIF(DB_Savings!$A:$A,A434,DB_Savings!$F:$F)),"")</f>
        <v/>
      </c>
      <c r="L434" s="36" t="str">
        <f>IFERROR(IF(A434="","",SUMIF(DB_Withdrawals!$A:$A,A434,DB_Withdrawals!$G:$G)),"")</f>
        <v/>
      </c>
      <c r="M434" s="36" t="str">
        <f>IFERROR(IF(A434="","",IFERROR(VALUE(H434),0)+IFERROR(SUMIF(DB_Savings!$A:$A,A434,DB_Savings!$F:$F),0)-IFERROR(SUMIF(DB_Withdrawals!$A:$A,A434,DB_Withdrawals!$G:$G),0)),"")</f>
        <v/>
      </c>
      <c r="N434" s="36" t="str">
        <f>IFERROR(IF(A434="","",MAX(0,M434-System_Config!$B$9)),"")</f>
        <v/>
      </c>
    </row>
    <row r="435" spans="1:14" ht="20.100000000000001" customHeight="1" x14ac:dyDescent="0.25">
      <c r="A435" s="34" t="str">
        <f>'NEW ACCOUNT'!A436</f>
        <v/>
      </c>
      <c r="B435" s="35" t="str">
        <f>IF('NEW ACCOUNT'!A436="","",'NEW ACCOUNT'!B436)</f>
        <v/>
      </c>
      <c r="C435" s="35" t="str">
        <f>IF('NEW ACCOUNT'!A436="","",'NEW ACCOUNT'!C436)</f>
        <v/>
      </c>
      <c r="D435" s="35" t="str">
        <f>IF('NEW ACCOUNT'!A436="","",'NEW ACCOUNT'!D436)</f>
        <v/>
      </c>
      <c r="E435" s="35" t="str">
        <f>IF('NEW ACCOUNT'!A436="","",'NEW ACCOUNT'!E436)</f>
        <v/>
      </c>
      <c r="F435" s="35" t="str">
        <f>IF('NEW ACCOUNT'!A436="","",'NEW ACCOUNT'!F436)</f>
        <v/>
      </c>
      <c r="G435" s="35" t="str">
        <f>IF('NEW ACCOUNT'!A436="","",'NEW ACCOUNT'!G436)</f>
        <v/>
      </c>
      <c r="H435" s="35" t="str">
        <f>IF('NEW ACCOUNT'!A436="","",'NEW ACCOUNT'!H436)</f>
        <v/>
      </c>
      <c r="I435" s="35" t="str">
        <f>IF('NEW ACCOUNT'!A436="","",'NEW ACCOUNT'!I436)</f>
        <v/>
      </c>
      <c r="J435" s="35" t="str">
        <f>IF('NEW ACCOUNT'!A436="","",'NEW ACCOUNT'!J436)</f>
        <v/>
      </c>
      <c r="K435" s="36" t="str">
        <f>IFERROR(IF(A435="","",SUMIF(DB_Savings!$A:$A,A435,DB_Savings!$F:$F)),"")</f>
        <v/>
      </c>
      <c r="L435" s="36" t="str">
        <f>IFERROR(IF(A435="","",SUMIF(DB_Withdrawals!$A:$A,A435,DB_Withdrawals!$G:$G)),"")</f>
        <v/>
      </c>
      <c r="M435" s="36" t="str">
        <f>IFERROR(IF(A435="","",IFERROR(VALUE(H435),0)+IFERROR(SUMIF(DB_Savings!$A:$A,A435,DB_Savings!$F:$F),0)-IFERROR(SUMIF(DB_Withdrawals!$A:$A,A435,DB_Withdrawals!$G:$G),0)),"")</f>
        <v/>
      </c>
      <c r="N435" s="36" t="str">
        <f>IFERROR(IF(A435="","",MAX(0,M435-System_Config!$B$9)),"")</f>
        <v/>
      </c>
    </row>
    <row r="436" spans="1:14" ht="20.100000000000001" customHeight="1" x14ac:dyDescent="0.25">
      <c r="A436" s="34" t="str">
        <f>'NEW ACCOUNT'!A437</f>
        <v/>
      </c>
      <c r="B436" s="35" t="str">
        <f>IF('NEW ACCOUNT'!A437="","",'NEW ACCOUNT'!B437)</f>
        <v/>
      </c>
      <c r="C436" s="35" t="str">
        <f>IF('NEW ACCOUNT'!A437="","",'NEW ACCOUNT'!C437)</f>
        <v/>
      </c>
      <c r="D436" s="35" t="str">
        <f>IF('NEW ACCOUNT'!A437="","",'NEW ACCOUNT'!D437)</f>
        <v/>
      </c>
      <c r="E436" s="35" t="str">
        <f>IF('NEW ACCOUNT'!A437="","",'NEW ACCOUNT'!E437)</f>
        <v/>
      </c>
      <c r="F436" s="35" t="str">
        <f>IF('NEW ACCOUNT'!A437="","",'NEW ACCOUNT'!F437)</f>
        <v/>
      </c>
      <c r="G436" s="35" t="str">
        <f>IF('NEW ACCOUNT'!A437="","",'NEW ACCOUNT'!G437)</f>
        <v/>
      </c>
      <c r="H436" s="35" t="str">
        <f>IF('NEW ACCOUNT'!A437="","",'NEW ACCOUNT'!H437)</f>
        <v/>
      </c>
      <c r="I436" s="35" t="str">
        <f>IF('NEW ACCOUNT'!A437="","",'NEW ACCOUNT'!I437)</f>
        <v/>
      </c>
      <c r="J436" s="35" t="str">
        <f>IF('NEW ACCOUNT'!A437="","",'NEW ACCOUNT'!J437)</f>
        <v/>
      </c>
      <c r="K436" s="36" t="str">
        <f>IFERROR(IF(A436="","",SUMIF(DB_Savings!$A:$A,A436,DB_Savings!$F:$F)),"")</f>
        <v/>
      </c>
      <c r="L436" s="36" t="str">
        <f>IFERROR(IF(A436="","",SUMIF(DB_Withdrawals!$A:$A,A436,DB_Withdrawals!$G:$G)),"")</f>
        <v/>
      </c>
      <c r="M436" s="36" t="str">
        <f>IFERROR(IF(A436="","",IFERROR(VALUE(H436),0)+IFERROR(SUMIF(DB_Savings!$A:$A,A436,DB_Savings!$F:$F),0)-IFERROR(SUMIF(DB_Withdrawals!$A:$A,A436,DB_Withdrawals!$G:$G),0)),"")</f>
        <v/>
      </c>
      <c r="N436" s="36" t="str">
        <f>IFERROR(IF(A436="","",MAX(0,M436-System_Config!$B$9)),"")</f>
        <v/>
      </c>
    </row>
    <row r="437" spans="1:14" ht="20.100000000000001" customHeight="1" x14ac:dyDescent="0.25">
      <c r="A437" s="34" t="str">
        <f>'NEW ACCOUNT'!A438</f>
        <v/>
      </c>
      <c r="B437" s="35" t="str">
        <f>IF('NEW ACCOUNT'!A438="","",'NEW ACCOUNT'!B438)</f>
        <v/>
      </c>
      <c r="C437" s="35" t="str">
        <f>IF('NEW ACCOUNT'!A438="","",'NEW ACCOUNT'!C438)</f>
        <v/>
      </c>
      <c r="D437" s="35" t="str">
        <f>IF('NEW ACCOUNT'!A438="","",'NEW ACCOUNT'!D438)</f>
        <v/>
      </c>
      <c r="E437" s="35" t="str">
        <f>IF('NEW ACCOUNT'!A438="","",'NEW ACCOUNT'!E438)</f>
        <v/>
      </c>
      <c r="F437" s="35" t="str">
        <f>IF('NEW ACCOUNT'!A438="","",'NEW ACCOUNT'!F438)</f>
        <v/>
      </c>
      <c r="G437" s="35" t="str">
        <f>IF('NEW ACCOUNT'!A438="","",'NEW ACCOUNT'!G438)</f>
        <v/>
      </c>
      <c r="H437" s="35" t="str">
        <f>IF('NEW ACCOUNT'!A438="","",'NEW ACCOUNT'!H438)</f>
        <v/>
      </c>
      <c r="I437" s="35" t="str">
        <f>IF('NEW ACCOUNT'!A438="","",'NEW ACCOUNT'!I438)</f>
        <v/>
      </c>
      <c r="J437" s="35" t="str">
        <f>IF('NEW ACCOUNT'!A438="","",'NEW ACCOUNT'!J438)</f>
        <v/>
      </c>
      <c r="K437" s="36" t="str">
        <f>IFERROR(IF(A437="","",SUMIF(DB_Savings!$A:$A,A437,DB_Savings!$F:$F)),"")</f>
        <v/>
      </c>
      <c r="L437" s="36" t="str">
        <f>IFERROR(IF(A437="","",SUMIF(DB_Withdrawals!$A:$A,A437,DB_Withdrawals!$G:$G)),"")</f>
        <v/>
      </c>
      <c r="M437" s="36" t="str">
        <f>IFERROR(IF(A437="","",IFERROR(VALUE(H437),0)+IFERROR(SUMIF(DB_Savings!$A:$A,A437,DB_Savings!$F:$F),0)-IFERROR(SUMIF(DB_Withdrawals!$A:$A,A437,DB_Withdrawals!$G:$G),0)),"")</f>
        <v/>
      </c>
      <c r="N437" s="36" t="str">
        <f>IFERROR(IF(A437="","",MAX(0,M437-System_Config!$B$9)),"")</f>
        <v/>
      </c>
    </row>
    <row r="438" spans="1:14" ht="20.100000000000001" customHeight="1" x14ac:dyDescent="0.25">
      <c r="A438" s="34" t="str">
        <f>'NEW ACCOUNT'!A439</f>
        <v/>
      </c>
      <c r="B438" s="35" t="str">
        <f>IF('NEW ACCOUNT'!A439="","",'NEW ACCOUNT'!B439)</f>
        <v/>
      </c>
      <c r="C438" s="35" t="str">
        <f>IF('NEW ACCOUNT'!A439="","",'NEW ACCOUNT'!C439)</f>
        <v/>
      </c>
      <c r="D438" s="35" t="str">
        <f>IF('NEW ACCOUNT'!A439="","",'NEW ACCOUNT'!D439)</f>
        <v/>
      </c>
      <c r="E438" s="35" t="str">
        <f>IF('NEW ACCOUNT'!A439="","",'NEW ACCOUNT'!E439)</f>
        <v/>
      </c>
      <c r="F438" s="35" t="str">
        <f>IF('NEW ACCOUNT'!A439="","",'NEW ACCOUNT'!F439)</f>
        <v/>
      </c>
      <c r="G438" s="35" t="str">
        <f>IF('NEW ACCOUNT'!A439="","",'NEW ACCOUNT'!G439)</f>
        <v/>
      </c>
      <c r="H438" s="35" t="str">
        <f>IF('NEW ACCOUNT'!A439="","",'NEW ACCOUNT'!H439)</f>
        <v/>
      </c>
      <c r="I438" s="35" t="str">
        <f>IF('NEW ACCOUNT'!A439="","",'NEW ACCOUNT'!I439)</f>
        <v/>
      </c>
      <c r="J438" s="35" t="str">
        <f>IF('NEW ACCOUNT'!A439="","",'NEW ACCOUNT'!J439)</f>
        <v/>
      </c>
      <c r="K438" s="36" t="str">
        <f>IFERROR(IF(A438="","",SUMIF(DB_Savings!$A:$A,A438,DB_Savings!$F:$F)),"")</f>
        <v/>
      </c>
      <c r="L438" s="36" t="str">
        <f>IFERROR(IF(A438="","",SUMIF(DB_Withdrawals!$A:$A,A438,DB_Withdrawals!$G:$G)),"")</f>
        <v/>
      </c>
      <c r="M438" s="36" t="str">
        <f>IFERROR(IF(A438="","",IFERROR(VALUE(H438),0)+IFERROR(SUMIF(DB_Savings!$A:$A,A438,DB_Savings!$F:$F),0)-IFERROR(SUMIF(DB_Withdrawals!$A:$A,A438,DB_Withdrawals!$G:$G),0)),"")</f>
        <v/>
      </c>
      <c r="N438" s="36" t="str">
        <f>IFERROR(IF(A438="","",MAX(0,M438-System_Config!$B$9)),"")</f>
        <v/>
      </c>
    </row>
    <row r="439" spans="1:14" ht="20.100000000000001" customHeight="1" x14ac:dyDescent="0.25">
      <c r="A439" s="34" t="str">
        <f>'NEW ACCOUNT'!A440</f>
        <v/>
      </c>
      <c r="B439" s="35" t="str">
        <f>IF('NEW ACCOUNT'!A440="","",'NEW ACCOUNT'!B440)</f>
        <v/>
      </c>
      <c r="C439" s="35" t="str">
        <f>IF('NEW ACCOUNT'!A440="","",'NEW ACCOUNT'!C440)</f>
        <v/>
      </c>
      <c r="D439" s="35" t="str">
        <f>IF('NEW ACCOUNT'!A440="","",'NEW ACCOUNT'!D440)</f>
        <v/>
      </c>
      <c r="E439" s="35" t="str">
        <f>IF('NEW ACCOUNT'!A440="","",'NEW ACCOUNT'!E440)</f>
        <v/>
      </c>
      <c r="F439" s="35" t="str">
        <f>IF('NEW ACCOUNT'!A440="","",'NEW ACCOUNT'!F440)</f>
        <v/>
      </c>
      <c r="G439" s="35" t="str">
        <f>IF('NEW ACCOUNT'!A440="","",'NEW ACCOUNT'!G440)</f>
        <v/>
      </c>
      <c r="H439" s="35" t="str">
        <f>IF('NEW ACCOUNT'!A440="","",'NEW ACCOUNT'!H440)</f>
        <v/>
      </c>
      <c r="I439" s="35" t="str">
        <f>IF('NEW ACCOUNT'!A440="","",'NEW ACCOUNT'!I440)</f>
        <v/>
      </c>
      <c r="J439" s="35" t="str">
        <f>IF('NEW ACCOUNT'!A440="","",'NEW ACCOUNT'!J440)</f>
        <v/>
      </c>
      <c r="K439" s="36" t="str">
        <f>IFERROR(IF(A439="","",SUMIF(DB_Savings!$A:$A,A439,DB_Savings!$F:$F)),"")</f>
        <v/>
      </c>
      <c r="L439" s="36" t="str">
        <f>IFERROR(IF(A439="","",SUMIF(DB_Withdrawals!$A:$A,A439,DB_Withdrawals!$G:$G)),"")</f>
        <v/>
      </c>
      <c r="M439" s="36" t="str">
        <f>IFERROR(IF(A439="","",IFERROR(VALUE(H439),0)+IFERROR(SUMIF(DB_Savings!$A:$A,A439,DB_Savings!$F:$F),0)-IFERROR(SUMIF(DB_Withdrawals!$A:$A,A439,DB_Withdrawals!$G:$G),0)),"")</f>
        <v/>
      </c>
      <c r="N439" s="36" t="str">
        <f>IFERROR(IF(A439="","",MAX(0,M439-System_Config!$B$9)),"")</f>
        <v/>
      </c>
    </row>
    <row r="440" spans="1:14" ht="20.100000000000001" customHeight="1" x14ac:dyDescent="0.25">
      <c r="A440" s="34" t="str">
        <f>'NEW ACCOUNT'!A441</f>
        <v/>
      </c>
      <c r="B440" s="35" t="str">
        <f>IF('NEW ACCOUNT'!A441="","",'NEW ACCOUNT'!B441)</f>
        <v/>
      </c>
      <c r="C440" s="35" t="str">
        <f>IF('NEW ACCOUNT'!A441="","",'NEW ACCOUNT'!C441)</f>
        <v/>
      </c>
      <c r="D440" s="35" t="str">
        <f>IF('NEW ACCOUNT'!A441="","",'NEW ACCOUNT'!D441)</f>
        <v/>
      </c>
      <c r="E440" s="35" t="str">
        <f>IF('NEW ACCOUNT'!A441="","",'NEW ACCOUNT'!E441)</f>
        <v/>
      </c>
      <c r="F440" s="35" t="str">
        <f>IF('NEW ACCOUNT'!A441="","",'NEW ACCOUNT'!F441)</f>
        <v/>
      </c>
      <c r="G440" s="35" t="str">
        <f>IF('NEW ACCOUNT'!A441="","",'NEW ACCOUNT'!G441)</f>
        <v/>
      </c>
      <c r="H440" s="35" t="str">
        <f>IF('NEW ACCOUNT'!A441="","",'NEW ACCOUNT'!H441)</f>
        <v/>
      </c>
      <c r="I440" s="35" t="str">
        <f>IF('NEW ACCOUNT'!A441="","",'NEW ACCOUNT'!I441)</f>
        <v/>
      </c>
      <c r="J440" s="35" t="str">
        <f>IF('NEW ACCOUNT'!A441="","",'NEW ACCOUNT'!J441)</f>
        <v/>
      </c>
      <c r="K440" s="36" t="str">
        <f>IFERROR(IF(A440="","",SUMIF(DB_Savings!$A:$A,A440,DB_Savings!$F:$F)),"")</f>
        <v/>
      </c>
      <c r="L440" s="36" t="str">
        <f>IFERROR(IF(A440="","",SUMIF(DB_Withdrawals!$A:$A,A440,DB_Withdrawals!$G:$G)),"")</f>
        <v/>
      </c>
      <c r="M440" s="36" t="str">
        <f>IFERROR(IF(A440="","",IFERROR(VALUE(H440),0)+IFERROR(SUMIF(DB_Savings!$A:$A,A440,DB_Savings!$F:$F),0)-IFERROR(SUMIF(DB_Withdrawals!$A:$A,A440,DB_Withdrawals!$G:$G),0)),"")</f>
        <v/>
      </c>
      <c r="N440" s="36" t="str">
        <f>IFERROR(IF(A440="","",MAX(0,M440-System_Config!$B$9)),"")</f>
        <v/>
      </c>
    </row>
    <row r="441" spans="1:14" ht="20.100000000000001" customHeight="1" x14ac:dyDescent="0.25">
      <c r="A441" s="34" t="str">
        <f>'NEW ACCOUNT'!A442</f>
        <v/>
      </c>
      <c r="B441" s="35" t="str">
        <f>IF('NEW ACCOUNT'!A442="","",'NEW ACCOUNT'!B442)</f>
        <v/>
      </c>
      <c r="C441" s="35" t="str">
        <f>IF('NEW ACCOUNT'!A442="","",'NEW ACCOUNT'!C442)</f>
        <v/>
      </c>
      <c r="D441" s="35" t="str">
        <f>IF('NEW ACCOUNT'!A442="","",'NEW ACCOUNT'!D442)</f>
        <v/>
      </c>
      <c r="E441" s="35" t="str">
        <f>IF('NEW ACCOUNT'!A442="","",'NEW ACCOUNT'!E442)</f>
        <v/>
      </c>
      <c r="F441" s="35" t="str">
        <f>IF('NEW ACCOUNT'!A442="","",'NEW ACCOUNT'!F442)</f>
        <v/>
      </c>
      <c r="G441" s="35" t="str">
        <f>IF('NEW ACCOUNT'!A442="","",'NEW ACCOUNT'!G442)</f>
        <v/>
      </c>
      <c r="H441" s="35" t="str">
        <f>IF('NEW ACCOUNT'!A442="","",'NEW ACCOUNT'!H442)</f>
        <v/>
      </c>
      <c r="I441" s="35" t="str">
        <f>IF('NEW ACCOUNT'!A442="","",'NEW ACCOUNT'!I442)</f>
        <v/>
      </c>
      <c r="J441" s="35" t="str">
        <f>IF('NEW ACCOUNT'!A442="","",'NEW ACCOUNT'!J442)</f>
        <v/>
      </c>
      <c r="K441" s="36" t="str">
        <f>IFERROR(IF(A441="","",SUMIF(DB_Savings!$A:$A,A441,DB_Savings!$F:$F)),"")</f>
        <v/>
      </c>
      <c r="L441" s="36" t="str">
        <f>IFERROR(IF(A441="","",SUMIF(DB_Withdrawals!$A:$A,A441,DB_Withdrawals!$G:$G)),"")</f>
        <v/>
      </c>
      <c r="M441" s="36" t="str">
        <f>IFERROR(IF(A441="","",IFERROR(VALUE(H441),0)+IFERROR(SUMIF(DB_Savings!$A:$A,A441,DB_Savings!$F:$F),0)-IFERROR(SUMIF(DB_Withdrawals!$A:$A,A441,DB_Withdrawals!$G:$G),0)),"")</f>
        <v/>
      </c>
      <c r="N441" s="36" t="str">
        <f>IFERROR(IF(A441="","",MAX(0,M441-System_Config!$B$9)),"")</f>
        <v/>
      </c>
    </row>
    <row r="442" spans="1:14" ht="20.100000000000001" customHeight="1" x14ac:dyDescent="0.25">
      <c r="A442" s="34" t="str">
        <f>'NEW ACCOUNT'!A443</f>
        <v/>
      </c>
      <c r="B442" s="35" t="str">
        <f>IF('NEW ACCOUNT'!A443="","",'NEW ACCOUNT'!B443)</f>
        <v/>
      </c>
      <c r="C442" s="35" t="str">
        <f>IF('NEW ACCOUNT'!A443="","",'NEW ACCOUNT'!C443)</f>
        <v/>
      </c>
      <c r="D442" s="35" t="str">
        <f>IF('NEW ACCOUNT'!A443="","",'NEW ACCOUNT'!D443)</f>
        <v/>
      </c>
      <c r="E442" s="35" t="str">
        <f>IF('NEW ACCOUNT'!A443="","",'NEW ACCOUNT'!E443)</f>
        <v/>
      </c>
      <c r="F442" s="35" t="str">
        <f>IF('NEW ACCOUNT'!A443="","",'NEW ACCOUNT'!F443)</f>
        <v/>
      </c>
      <c r="G442" s="35" t="str">
        <f>IF('NEW ACCOUNT'!A443="","",'NEW ACCOUNT'!G443)</f>
        <v/>
      </c>
      <c r="H442" s="35" t="str">
        <f>IF('NEW ACCOUNT'!A443="","",'NEW ACCOUNT'!H443)</f>
        <v/>
      </c>
      <c r="I442" s="35" t="str">
        <f>IF('NEW ACCOUNT'!A443="","",'NEW ACCOUNT'!I443)</f>
        <v/>
      </c>
      <c r="J442" s="35" t="str">
        <f>IF('NEW ACCOUNT'!A443="","",'NEW ACCOUNT'!J443)</f>
        <v/>
      </c>
      <c r="K442" s="36" t="str">
        <f>IFERROR(IF(A442="","",SUMIF(DB_Savings!$A:$A,A442,DB_Savings!$F:$F)),"")</f>
        <v/>
      </c>
      <c r="L442" s="36" t="str">
        <f>IFERROR(IF(A442="","",SUMIF(DB_Withdrawals!$A:$A,A442,DB_Withdrawals!$G:$G)),"")</f>
        <v/>
      </c>
      <c r="M442" s="36" t="str">
        <f>IFERROR(IF(A442="","",IFERROR(VALUE(H442),0)+IFERROR(SUMIF(DB_Savings!$A:$A,A442,DB_Savings!$F:$F),0)-IFERROR(SUMIF(DB_Withdrawals!$A:$A,A442,DB_Withdrawals!$G:$G),0)),"")</f>
        <v/>
      </c>
      <c r="N442" s="36" t="str">
        <f>IFERROR(IF(A442="","",MAX(0,M442-System_Config!$B$9)),"")</f>
        <v/>
      </c>
    </row>
    <row r="443" spans="1:14" ht="20.100000000000001" customHeight="1" x14ac:dyDescent="0.25">
      <c r="A443" s="34" t="str">
        <f>'NEW ACCOUNT'!A444</f>
        <v/>
      </c>
      <c r="B443" s="35" t="str">
        <f>IF('NEW ACCOUNT'!A444="","",'NEW ACCOUNT'!B444)</f>
        <v/>
      </c>
      <c r="C443" s="35" t="str">
        <f>IF('NEW ACCOUNT'!A444="","",'NEW ACCOUNT'!C444)</f>
        <v/>
      </c>
      <c r="D443" s="35" t="str">
        <f>IF('NEW ACCOUNT'!A444="","",'NEW ACCOUNT'!D444)</f>
        <v/>
      </c>
      <c r="E443" s="35" t="str">
        <f>IF('NEW ACCOUNT'!A444="","",'NEW ACCOUNT'!E444)</f>
        <v/>
      </c>
      <c r="F443" s="35" t="str">
        <f>IF('NEW ACCOUNT'!A444="","",'NEW ACCOUNT'!F444)</f>
        <v/>
      </c>
      <c r="G443" s="35" t="str">
        <f>IF('NEW ACCOUNT'!A444="","",'NEW ACCOUNT'!G444)</f>
        <v/>
      </c>
      <c r="H443" s="35" t="str">
        <f>IF('NEW ACCOUNT'!A444="","",'NEW ACCOUNT'!H444)</f>
        <v/>
      </c>
      <c r="I443" s="35" t="str">
        <f>IF('NEW ACCOUNT'!A444="","",'NEW ACCOUNT'!I444)</f>
        <v/>
      </c>
      <c r="J443" s="35" t="str">
        <f>IF('NEW ACCOUNT'!A444="","",'NEW ACCOUNT'!J444)</f>
        <v/>
      </c>
      <c r="K443" s="36" t="str">
        <f>IFERROR(IF(A443="","",SUMIF(DB_Savings!$A:$A,A443,DB_Savings!$F:$F)),"")</f>
        <v/>
      </c>
      <c r="L443" s="36" t="str">
        <f>IFERROR(IF(A443="","",SUMIF(DB_Withdrawals!$A:$A,A443,DB_Withdrawals!$G:$G)),"")</f>
        <v/>
      </c>
      <c r="M443" s="36" t="str">
        <f>IFERROR(IF(A443="","",IFERROR(VALUE(H443),0)+IFERROR(SUMIF(DB_Savings!$A:$A,A443,DB_Savings!$F:$F),0)-IFERROR(SUMIF(DB_Withdrawals!$A:$A,A443,DB_Withdrawals!$G:$G),0)),"")</f>
        <v/>
      </c>
      <c r="N443" s="36" t="str">
        <f>IFERROR(IF(A443="","",MAX(0,M443-System_Config!$B$9)),"")</f>
        <v/>
      </c>
    </row>
    <row r="444" spans="1:14" ht="20.100000000000001" customHeight="1" x14ac:dyDescent="0.25">
      <c r="A444" s="34" t="str">
        <f>'NEW ACCOUNT'!A445</f>
        <v/>
      </c>
      <c r="B444" s="35" t="str">
        <f>IF('NEW ACCOUNT'!A445="","",'NEW ACCOUNT'!B445)</f>
        <v/>
      </c>
      <c r="C444" s="35" t="str">
        <f>IF('NEW ACCOUNT'!A445="","",'NEW ACCOUNT'!C445)</f>
        <v/>
      </c>
      <c r="D444" s="35" t="str">
        <f>IF('NEW ACCOUNT'!A445="","",'NEW ACCOUNT'!D445)</f>
        <v/>
      </c>
      <c r="E444" s="35" t="str">
        <f>IF('NEW ACCOUNT'!A445="","",'NEW ACCOUNT'!E445)</f>
        <v/>
      </c>
      <c r="F444" s="35" t="str">
        <f>IF('NEW ACCOUNT'!A445="","",'NEW ACCOUNT'!F445)</f>
        <v/>
      </c>
      <c r="G444" s="35" t="str">
        <f>IF('NEW ACCOUNT'!A445="","",'NEW ACCOUNT'!G445)</f>
        <v/>
      </c>
      <c r="H444" s="35" t="str">
        <f>IF('NEW ACCOUNT'!A445="","",'NEW ACCOUNT'!H445)</f>
        <v/>
      </c>
      <c r="I444" s="35" t="str">
        <f>IF('NEW ACCOUNT'!A445="","",'NEW ACCOUNT'!I445)</f>
        <v/>
      </c>
      <c r="J444" s="35" t="str">
        <f>IF('NEW ACCOUNT'!A445="","",'NEW ACCOUNT'!J445)</f>
        <v/>
      </c>
      <c r="K444" s="36" t="str">
        <f>IFERROR(IF(A444="","",SUMIF(DB_Savings!$A:$A,A444,DB_Savings!$F:$F)),"")</f>
        <v/>
      </c>
      <c r="L444" s="36" t="str">
        <f>IFERROR(IF(A444="","",SUMIF(DB_Withdrawals!$A:$A,A444,DB_Withdrawals!$G:$G)),"")</f>
        <v/>
      </c>
      <c r="M444" s="36" t="str">
        <f>IFERROR(IF(A444="","",IFERROR(VALUE(H444),0)+IFERROR(SUMIF(DB_Savings!$A:$A,A444,DB_Savings!$F:$F),0)-IFERROR(SUMIF(DB_Withdrawals!$A:$A,A444,DB_Withdrawals!$G:$G),0)),"")</f>
        <v/>
      </c>
      <c r="N444" s="36" t="str">
        <f>IFERROR(IF(A444="","",MAX(0,M444-System_Config!$B$9)),"")</f>
        <v/>
      </c>
    </row>
    <row r="445" spans="1:14" ht="20.100000000000001" customHeight="1" x14ac:dyDescent="0.25">
      <c r="A445" s="34" t="str">
        <f>'NEW ACCOUNT'!A446</f>
        <v/>
      </c>
      <c r="B445" s="35" t="str">
        <f>IF('NEW ACCOUNT'!A446="","",'NEW ACCOUNT'!B446)</f>
        <v/>
      </c>
      <c r="C445" s="35" t="str">
        <f>IF('NEW ACCOUNT'!A446="","",'NEW ACCOUNT'!C446)</f>
        <v/>
      </c>
      <c r="D445" s="35" t="str">
        <f>IF('NEW ACCOUNT'!A446="","",'NEW ACCOUNT'!D446)</f>
        <v/>
      </c>
      <c r="E445" s="35" t="str">
        <f>IF('NEW ACCOUNT'!A446="","",'NEW ACCOUNT'!E446)</f>
        <v/>
      </c>
      <c r="F445" s="35" t="str">
        <f>IF('NEW ACCOUNT'!A446="","",'NEW ACCOUNT'!F446)</f>
        <v/>
      </c>
      <c r="G445" s="35" t="str">
        <f>IF('NEW ACCOUNT'!A446="","",'NEW ACCOUNT'!G446)</f>
        <v/>
      </c>
      <c r="H445" s="35" t="str">
        <f>IF('NEW ACCOUNT'!A446="","",'NEW ACCOUNT'!H446)</f>
        <v/>
      </c>
      <c r="I445" s="35" t="str">
        <f>IF('NEW ACCOUNT'!A446="","",'NEW ACCOUNT'!I446)</f>
        <v/>
      </c>
      <c r="J445" s="35" t="str">
        <f>IF('NEW ACCOUNT'!A446="","",'NEW ACCOUNT'!J446)</f>
        <v/>
      </c>
      <c r="K445" s="36" t="str">
        <f>IFERROR(IF(A445="","",SUMIF(DB_Savings!$A:$A,A445,DB_Savings!$F:$F)),"")</f>
        <v/>
      </c>
      <c r="L445" s="36" t="str">
        <f>IFERROR(IF(A445="","",SUMIF(DB_Withdrawals!$A:$A,A445,DB_Withdrawals!$G:$G)),"")</f>
        <v/>
      </c>
      <c r="M445" s="36" t="str">
        <f>IFERROR(IF(A445="","",IFERROR(VALUE(H445),0)+IFERROR(SUMIF(DB_Savings!$A:$A,A445,DB_Savings!$F:$F),0)-IFERROR(SUMIF(DB_Withdrawals!$A:$A,A445,DB_Withdrawals!$G:$G),0)),"")</f>
        <v/>
      </c>
      <c r="N445" s="36" t="str">
        <f>IFERROR(IF(A445="","",MAX(0,M445-System_Config!$B$9)),"")</f>
        <v/>
      </c>
    </row>
    <row r="446" spans="1:14" ht="20.100000000000001" customHeight="1" x14ac:dyDescent="0.25">
      <c r="A446" s="34" t="str">
        <f>'NEW ACCOUNT'!A447</f>
        <v/>
      </c>
      <c r="B446" s="35" t="str">
        <f>IF('NEW ACCOUNT'!A447="","",'NEW ACCOUNT'!B447)</f>
        <v/>
      </c>
      <c r="C446" s="35" t="str">
        <f>IF('NEW ACCOUNT'!A447="","",'NEW ACCOUNT'!C447)</f>
        <v/>
      </c>
      <c r="D446" s="35" t="str">
        <f>IF('NEW ACCOUNT'!A447="","",'NEW ACCOUNT'!D447)</f>
        <v/>
      </c>
      <c r="E446" s="35" t="str">
        <f>IF('NEW ACCOUNT'!A447="","",'NEW ACCOUNT'!E447)</f>
        <v/>
      </c>
      <c r="F446" s="35" t="str">
        <f>IF('NEW ACCOUNT'!A447="","",'NEW ACCOUNT'!F447)</f>
        <v/>
      </c>
      <c r="G446" s="35" t="str">
        <f>IF('NEW ACCOUNT'!A447="","",'NEW ACCOUNT'!G447)</f>
        <v/>
      </c>
      <c r="H446" s="35" t="str">
        <f>IF('NEW ACCOUNT'!A447="","",'NEW ACCOUNT'!H447)</f>
        <v/>
      </c>
      <c r="I446" s="35" t="str">
        <f>IF('NEW ACCOUNT'!A447="","",'NEW ACCOUNT'!I447)</f>
        <v/>
      </c>
      <c r="J446" s="35" t="str">
        <f>IF('NEW ACCOUNT'!A447="","",'NEW ACCOUNT'!J447)</f>
        <v/>
      </c>
      <c r="K446" s="36" t="str">
        <f>IFERROR(IF(A446="","",SUMIF(DB_Savings!$A:$A,A446,DB_Savings!$F:$F)),"")</f>
        <v/>
      </c>
      <c r="L446" s="36" t="str">
        <f>IFERROR(IF(A446="","",SUMIF(DB_Withdrawals!$A:$A,A446,DB_Withdrawals!$G:$G)),"")</f>
        <v/>
      </c>
      <c r="M446" s="36" t="str">
        <f>IFERROR(IF(A446="","",IFERROR(VALUE(H446),0)+IFERROR(SUMIF(DB_Savings!$A:$A,A446,DB_Savings!$F:$F),0)-IFERROR(SUMIF(DB_Withdrawals!$A:$A,A446,DB_Withdrawals!$G:$G),0)),"")</f>
        <v/>
      </c>
      <c r="N446" s="36" t="str">
        <f>IFERROR(IF(A446="","",MAX(0,M446-System_Config!$B$9)),"")</f>
        <v/>
      </c>
    </row>
    <row r="447" spans="1:14" ht="20.100000000000001" customHeight="1" x14ac:dyDescent="0.25">
      <c r="A447" s="34" t="str">
        <f>'NEW ACCOUNT'!A448</f>
        <v/>
      </c>
      <c r="B447" s="35" t="str">
        <f>IF('NEW ACCOUNT'!A448="","",'NEW ACCOUNT'!B448)</f>
        <v/>
      </c>
      <c r="C447" s="35" t="str">
        <f>IF('NEW ACCOUNT'!A448="","",'NEW ACCOUNT'!C448)</f>
        <v/>
      </c>
      <c r="D447" s="35" t="str">
        <f>IF('NEW ACCOUNT'!A448="","",'NEW ACCOUNT'!D448)</f>
        <v/>
      </c>
      <c r="E447" s="35" t="str">
        <f>IF('NEW ACCOUNT'!A448="","",'NEW ACCOUNT'!E448)</f>
        <v/>
      </c>
      <c r="F447" s="35" t="str">
        <f>IF('NEW ACCOUNT'!A448="","",'NEW ACCOUNT'!F448)</f>
        <v/>
      </c>
      <c r="G447" s="35" t="str">
        <f>IF('NEW ACCOUNT'!A448="","",'NEW ACCOUNT'!G448)</f>
        <v/>
      </c>
      <c r="H447" s="35" t="str">
        <f>IF('NEW ACCOUNT'!A448="","",'NEW ACCOUNT'!H448)</f>
        <v/>
      </c>
      <c r="I447" s="35" t="str">
        <f>IF('NEW ACCOUNT'!A448="","",'NEW ACCOUNT'!I448)</f>
        <v/>
      </c>
      <c r="J447" s="35" t="str">
        <f>IF('NEW ACCOUNT'!A448="","",'NEW ACCOUNT'!J448)</f>
        <v/>
      </c>
      <c r="K447" s="36" t="str">
        <f>IFERROR(IF(A447="","",SUMIF(DB_Savings!$A:$A,A447,DB_Savings!$F:$F)),"")</f>
        <v/>
      </c>
      <c r="L447" s="36" t="str">
        <f>IFERROR(IF(A447="","",SUMIF(DB_Withdrawals!$A:$A,A447,DB_Withdrawals!$G:$G)),"")</f>
        <v/>
      </c>
      <c r="M447" s="36" t="str">
        <f>IFERROR(IF(A447="","",IFERROR(VALUE(H447),0)+IFERROR(SUMIF(DB_Savings!$A:$A,A447,DB_Savings!$F:$F),0)-IFERROR(SUMIF(DB_Withdrawals!$A:$A,A447,DB_Withdrawals!$G:$G),0)),"")</f>
        <v/>
      </c>
      <c r="N447" s="36" t="str">
        <f>IFERROR(IF(A447="","",MAX(0,M447-System_Config!$B$9)),"")</f>
        <v/>
      </c>
    </row>
    <row r="448" spans="1:14" ht="20.100000000000001" customHeight="1" x14ac:dyDescent="0.25">
      <c r="A448" s="34" t="str">
        <f>'NEW ACCOUNT'!A449</f>
        <v/>
      </c>
      <c r="B448" s="35" t="str">
        <f>IF('NEW ACCOUNT'!A449="","",'NEW ACCOUNT'!B449)</f>
        <v/>
      </c>
      <c r="C448" s="35" t="str">
        <f>IF('NEW ACCOUNT'!A449="","",'NEW ACCOUNT'!C449)</f>
        <v/>
      </c>
      <c r="D448" s="35" t="str">
        <f>IF('NEW ACCOUNT'!A449="","",'NEW ACCOUNT'!D449)</f>
        <v/>
      </c>
      <c r="E448" s="35" t="str">
        <f>IF('NEW ACCOUNT'!A449="","",'NEW ACCOUNT'!E449)</f>
        <v/>
      </c>
      <c r="F448" s="35" t="str">
        <f>IF('NEW ACCOUNT'!A449="","",'NEW ACCOUNT'!F449)</f>
        <v/>
      </c>
      <c r="G448" s="35" t="str">
        <f>IF('NEW ACCOUNT'!A449="","",'NEW ACCOUNT'!G449)</f>
        <v/>
      </c>
      <c r="H448" s="35" t="str">
        <f>IF('NEW ACCOUNT'!A449="","",'NEW ACCOUNT'!H449)</f>
        <v/>
      </c>
      <c r="I448" s="35" t="str">
        <f>IF('NEW ACCOUNT'!A449="","",'NEW ACCOUNT'!I449)</f>
        <v/>
      </c>
      <c r="J448" s="35" t="str">
        <f>IF('NEW ACCOUNT'!A449="","",'NEW ACCOUNT'!J449)</f>
        <v/>
      </c>
      <c r="K448" s="36" t="str">
        <f>IFERROR(IF(A448="","",SUMIF(DB_Savings!$A:$A,A448,DB_Savings!$F:$F)),"")</f>
        <v/>
      </c>
      <c r="L448" s="36" t="str">
        <f>IFERROR(IF(A448="","",SUMIF(DB_Withdrawals!$A:$A,A448,DB_Withdrawals!$G:$G)),"")</f>
        <v/>
      </c>
      <c r="M448" s="36" t="str">
        <f>IFERROR(IF(A448="","",IFERROR(VALUE(H448),0)+IFERROR(SUMIF(DB_Savings!$A:$A,A448,DB_Savings!$F:$F),0)-IFERROR(SUMIF(DB_Withdrawals!$A:$A,A448,DB_Withdrawals!$G:$G),0)),"")</f>
        <v/>
      </c>
      <c r="N448" s="36" t="str">
        <f>IFERROR(IF(A448="","",MAX(0,M448-System_Config!$B$9)),"")</f>
        <v/>
      </c>
    </row>
    <row r="449" spans="1:14" ht="20.100000000000001" customHeight="1" x14ac:dyDescent="0.25">
      <c r="A449" s="34" t="str">
        <f>'NEW ACCOUNT'!A450</f>
        <v/>
      </c>
      <c r="B449" s="35" t="str">
        <f>IF('NEW ACCOUNT'!A450="","",'NEW ACCOUNT'!B450)</f>
        <v/>
      </c>
      <c r="C449" s="35" t="str">
        <f>IF('NEW ACCOUNT'!A450="","",'NEW ACCOUNT'!C450)</f>
        <v/>
      </c>
      <c r="D449" s="35" t="str">
        <f>IF('NEW ACCOUNT'!A450="","",'NEW ACCOUNT'!D450)</f>
        <v/>
      </c>
      <c r="E449" s="35" t="str">
        <f>IF('NEW ACCOUNT'!A450="","",'NEW ACCOUNT'!E450)</f>
        <v/>
      </c>
      <c r="F449" s="35" t="str">
        <f>IF('NEW ACCOUNT'!A450="","",'NEW ACCOUNT'!F450)</f>
        <v/>
      </c>
      <c r="G449" s="35" t="str">
        <f>IF('NEW ACCOUNT'!A450="","",'NEW ACCOUNT'!G450)</f>
        <v/>
      </c>
      <c r="H449" s="35" t="str">
        <f>IF('NEW ACCOUNT'!A450="","",'NEW ACCOUNT'!H450)</f>
        <v/>
      </c>
      <c r="I449" s="35" t="str">
        <f>IF('NEW ACCOUNT'!A450="","",'NEW ACCOUNT'!I450)</f>
        <v/>
      </c>
      <c r="J449" s="35" t="str">
        <f>IF('NEW ACCOUNT'!A450="","",'NEW ACCOUNT'!J450)</f>
        <v/>
      </c>
      <c r="K449" s="36" t="str">
        <f>IFERROR(IF(A449="","",SUMIF(DB_Savings!$A:$A,A449,DB_Savings!$F:$F)),"")</f>
        <v/>
      </c>
      <c r="L449" s="36" t="str">
        <f>IFERROR(IF(A449="","",SUMIF(DB_Withdrawals!$A:$A,A449,DB_Withdrawals!$G:$G)),"")</f>
        <v/>
      </c>
      <c r="M449" s="36" t="str">
        <f>IFERROR(IF(A449="","",IFERROR(VALUE(H449),0)+IFERROR(SUMIF(DB_Savings!$A:$A,A449,DB_Savings!$F:$F),0)-IFERROR(SUMIF(DB_Withdrawals!$A:$A,A449,DB_Withdrawals!$G:$G),0)),"")</f>
        <v/>
      </c>
      <c r="N449" s="36" t="str">
        <f>IFERROR(IF(A449="","",MAX(0,M449-System_Config!$B$9)),"")</f>
        <v/>
      </c>
    </row>
    <row r="450" spans="1:14" ht="20.100000000000001" customHeight="1" x14ac:dyDescent="0.25">
      <c r="A450" s="34" t="str">
        <f>'NEW ACCOUNT'!A451</f>
        <v/>
      </c>
      <c r="B450" s="35" t="str">
        <f>IF('NEW ACCOUNT'!A451="","",'NEW ACCOUNT'!B451)</f>
        <v/>
      </c>
      <c r="C450" s="35" t="str">
        <f>IF('NEW ACCOUNT'!A451="","",'NEW ACCOUNT'!C451)</f>
        <v/>
      </c>
      <c r="D450" s="35" t="str">
        <f>IF('NEW ACCOUNT'!A451="","",'NEW ACCOUNT'!D451)</f>
        <v/>
      </c>
      <c r="E450" s="35" t="str">
        <f>IF('NEW ACCOUNT'!A451="","",'NEW ACCOUNT'!E451)</f>
        <v/>
      </c>
      <c r="F450" s="35" t="str">
        <f>IF('NEW ACCOUNT'!A451="","",'NEW ACCOUNT'!F451)</f>
        <v/>
      </c>
      <c r="G450" s="35" t="str">
        <f>IF('NEW ACCOUNT'!A451="","",'NEW ACCOUNT'!G451)</f>
        <v/>
      </c>
      <c r="H450" s="35" t="str">
        <f>IF('NEW ACCOUNT'!A451="","",'NEW ACCOUNT'!H451)</f>
        <v/>
      </c>
      <c r="I450" s="35" t="str">
        <f>IF('NEW ACCOUNT'!A451="","",'NEW ACCOUNT'!I451)</f>
        <v/>
      </c>
      <c r="J450" s="35" t="str">
        <f>IF('NEW ACCOUNT'!A451="","",'NEW ACCOUNT'!J451)</f>
        <v/>
      </c>
      <c r="K450" s="36" t="str">
        <f>IFERROR(IF(A450="","",SUMIF(DB_Savings!$A:$A,A450,DB_Savings!$F:$F)),"")</f>
        <v/>
      </c>
      <c r="L450" s="36" t="str">
        <f>IFERROR(IF(A450="","",SUMIF(DB_Withdrawals!$A:$A,A450,DB_Withdrawals!$G:$G)),"")</f>
        <v/>
      </c>
      <c r="M450" s="36" t="str">
        <f>IFERROR(IF(A450="","",IFERROR(VALUE(H450),0)+IFERROR(SUMIF(DB_Savings!$A:$A,A450,DB_Savings!$F:$F),0)-IFERROR(SUMIF(DB_Withdrawals!$A:$A,A450,DB_Withdrawals!$G:$G),0)),"")</f>
        <v/>
      </c>
      <c r="N450" s="36" t="str">
        <f>IFERROR(IF(A450="","",MAX(0,M450-System_Config!$B$9)),"")</f>
        <v/>
      </c>
    </row>
    <row r="451" spans="1:14" ht="20.100000000000001" customHeight="1" x14ac:dyDescent="0.25">
      <c r="A451" s="34" t="str">
        <f>'NEW ACCOUNT'!A452</f>
        <v/>
      </c>
      <c r="B451" s="35" t="str">
        <f>IF('NEW ACCOUNT'!A452="","",'NEW ACCOUNT'!B452)</f>
        <v/>
      </c>
      <c r="C451" s="35" t="str">
        <f>IF('NEW ACCOUNT'!A452="","",'NEW ACCOUNT'!C452)</f>
        <v/>
      </c>
      <c r="D451" s="35" t="str">
        <f>IF('NEW ACCOUNT'!A452="","",'NEW ACCOUNT'!D452)</f>
        <v/>
      </c>
      <c r="E451" s="35" t="str">
        <f>IF('NEW ACCOUNT'!A452="","",'NEW ACCOUNT'!E452)</f>
        <v/>
      </c>
      <c r="F451" s="35" t="str">
        <f>IF('NEW ACCOUNT'!A452="","",'NEW ACCOUNT'!F452)</f>
        <v/>
      </c>
      <c r="G451" s="35" t="str">
        <f>IF('NEW ACCOUNT'!A452="","",'NEW ACCOUNT'!G452)</f>
        <v/>
      </c>
      <c r="H451" s="35" t="str">
        <f>IF('NEW ACCOUNT'!A452="","",'NEW ACCOUNT'!H452)</f>
        <v/>
      </c>
      <c r="I451" s="35" t="str">
        <f>IF('NEW ACCOUNT'!A452="","",'NEW ACCOUNT'!I452)</f>
        <v/>
      </c>
      <c r="J451" s="35" t="str">
        <f>IF('NEW ACCOUNT'!A452="","",'NEW ACCOUNT'!J452)</f>
        <v/>
      </c>
      <c r="K451" s="36" t="str">
        <f>IFERROR(IF(A451="","",SUMIF(DB_Savings!$A:$A,A451,DB_Savings!$F:$F)),"")</f>
        <v/>
      </c>
      <c r="L451" s="36" t="str">
        <f>IFERROR(IF(A451="","",SUMIF(DB_Withdrawals!$A:$A,A451,DB_Withdrawals!$G:$G)),"")</f>
        <v/>
      </c>
      <c r="M451" s="36" t="str">
        <f>IFERROR(IF(A451="","",IFERROR(VALUE(H451),0)+IFERROR(SUMIF(DB_Savings!$A:$A,A451,DB_Savings!$F:$F),0)-IFERROR(SUMIF(DB_Withdrawals!$A:$A,A451,DB_Withdrawals!$G:$G),0)),"")</f>
        <v/>
      </c>
      <c r="N451" s="36" t="str">
        <f>IFERROR(IF(A451="","",MAX(0,M451-System_Config!$B$9)),"")</f>
        <v/>
      </c>
    </row>
    <row r="452" spans="1:14" ht="20.100000000000001" customHeight="1" x14ac:dyDescent="0.25">
      <c r="A452" s="34" t="str">
        <f>'NEW ACCOUNT'!A453</f>
        <v/>
      </c>
      <c r="B452" s="35" t="str">
        <f>IF('NEW ACCOUNT'!A453="","",'NEW ACCOUNT'!B453)</f>
        <v/>
      </c>
      <c r="C452" s="35" t="str">
        <f>IF('NEW ACCOUNT'!A453="","",'NEW ACCOUNT'!C453)</f>
        <v/>
      </c>
      <c r="D452" s="35" t="str">
        <f>IF('NEW ACCOUNT'!A453="","",'NEW ACCOUNT'!D453)</f>
        <v/>
      </c>
      <c r="E452" s="35" t="str">
        <f>IF('NEW ACCOUNT'!A453="","",'NEW ACCOUNT'!E453)</f>
        <v/>
      </c>
      <c r="F452" s="35" t="str">
        <f>IF('NEW ACCOUNT'!A453="","",'NEW ACCOUNT'!F453)</f>
        <v/>
      </c>
      <c r="G452" s="35" t="str">
        <f>IF('NEW ACCOUNT'!A453="","",'NEW ACCOUNT'!G453)</f>
        <v/>
      </c>
      <c r="H452" s="35" t="str">
        <f>IF('NEW ACCOUNT'!A453="","",'NEW ACCOUNT'!H453)</f>
        <v/>
      </c>
      <c r="I452" s="35" t="str">
        <f>IF('NEW ACCOUNT'!A453="","",'NEW ACCOUNT'!I453)</f>
        <v/>
      </c>
      <c r="J452" s="35" t="str">
        <f>IF('NEW ACCOUNT'!A453="","",'NEW ACCOUNT'!J453)</f>
        <v/>
      </c>
      <c r="K452" s="36" t="str">
        <f>IFERROR(IF(A452="","",SUMIF(DB_Savings!$A:$A,A452,DB_Savings!$F:$F)),"")</f>
        <v/>
      </c>
      <c r="L452" s="36" t="str">
        <f>IFERROR(IF(A452="","",SUMIF(DB_Withdrawals!$A:$A,A452,DB_Withdrawals!$G:$G)),"")</f>
        <v/>
      </c>
      <c r="M452" s="36" t="str">
        <f>IFERROR(IF(A452="","",IFERROR(VALUE(H452),0)+IFERROR(SUMIF(DB_Savings!$A:$A,A452,DB_Savings!$F:$F),0)-IFERROR(SUMIF(DB_Withdrawals!$A:$A,A452,DB_Withdrawals!$G:$G),0)),"")</f>
        <v/>
      </c>
      <c r="N452" s="36" t="str">
        <f>IFERROR(IF(A452="","",MAX(0,M452-System_Config!$B$9)),"")</f>
        <v/>
      </c>
    </row>
    <row r="453" spans="1:14" ht="20.100000000000001" customHeight="1" x14ac:dyDescent="0.25">
      <c r="A453" s="34" t="str">
        <f>'NEW ACCOUNT'!A454</f>
        <v/>
      </c>
      <c r="B453" s="35" t="str">
        <f>IF('NEW ACCOUNT'!A454="","",'NEW ACCOUNT'!B454)</f>
        <v/>
      </c>
      <c r="C453" s="35" t="str">
        <f>IF('NEW ACCOUNT'!A454="","",'NEW ACCOUNT'!C454)</f>
        <v/>
      </c>
      <c r="D453" s="35" t="str">
        <f>IF('NEW ACCOUNT'!A454="","",'NEW ACCOUNT'!D454)</f>
        <v/>
      </c>
      <c r="E453" s="35" t="str">
        <f>IF('NEW ACCOUNT'!A454="","",'NEW ACCOUNT'!E454)</f>
        <v/>
      </c>
      <c r="F453" s="35" t="str">
        <f>IF('NEW ACCOUNT'!A454="","",'NEW ACCOUNT'!F454)</f>
        <v/>
      </c>
      <c r="G453" s="35" t="str">
        <f>IF('NEW ACCOUNT'!A454="","",'NEW ACCOUNT'!G454)</f>
        <v/>
      </c>
      <c r="H453" s="35" t="str">
        <f>IF('NEW ACCOUNT'!A454="","",'NEW ACCOUNT'!H454)</f>
        <v/>
      </c>
      <c r="I453" s="35" t="str">
        <f>IF('NEW ACCOUNT'!A454="","",'NEW ACCOUNT'!I454)</f>
        <v/>
      </c>
      <c r="J453" s="35" t="str">
        <f>IF('NEW ACCOUNT'!A454="","",'NEW ACCOUNT'!J454)</f>
        <v/>
      </c>
      <c r="K453" s="36" t="str">
        <f>IFERROR(IF(A453="","",SUMIF(DB_Savings!$A:$A,A453,DB_Savings!$F:$F)),"")</f>
        <v/>
      </c>
      <c r="L453" s="36" t="str">
        <f>IFERROR(IF(A453="","",SUMIF(DB_Withdrawals!$A:$A,A453,DB_Withdrawals!$G:$G)),"")</f>
        <v/>
      </c>
      <c r="M453" s="36" t="str">
        <f>IFERROR(IF(A453="","",IFERROR(VALUE(H453),0)+IFERROR(SUMIF(DB_Savings!$A:$A,A453,DB_Savings!$F:$F),0)-IFERROR(SUMIF(DB_Withdrawals!$A:$A,A453,DB_Withdrawals!$G:$G),0)),"")</f>
        <v/>
      </c>
      <c r="N453" s="36" t="str">
        <f>IFERROR(IF(A453="","",MAX(0,M453-System_Config!$B$9)),"")</f>
        <v/>
      </c>
    </row>
    <row r="454" spans="1:14" ht="20.100000000000001" customHeight="1" x14ac:dyDescent="0.25">
      <c r="A454" s="34" t="str">
        <f>'NEW ACCOUNT'!A455</f>
        <v/>
      </c>
      <c r="B454" s="35" t="str">
        <f>IF('NEW ACCOUNT'!A455="","",'NEW ACCOUNT'!B455)</f>
        <v/>
      </c>
      <c r="C454" s="35" t="str">
        <f>IF('NEW ACCOUNT'!A455="","",'NEW ACCOUNT'!C455)</f>
        <v/>
      </c>
      <c r="D454" s="35" t="str">
        <f>IF('NEW ACCOUNT'!A455="","",'NEW ACCOUNT'!D455)</f>
        <v/>
      </c>
      <c r="E454" s="35" t="str">
        <f>IF('NEW ACCOUNT'!A455="","",'NEW ACCOUNT'!E455)</f>
        <v/>
      </c>
      <c r="F454" s="35" t="str">
        <f>IF('NEW ACCOUNT'!A455="","",'NEW ACCOUNT'!F455)</f>
        <v/>
      </c>
      <c r="G454" s="35" t="str">
        <f>IF('NEW ACCOUNT'!A455="","",'NEW ACCOUNT'!G455)</f>
        <v/>
      </c>
      <c r="H454" s="35" t="str">
        <f>IF('NEW ACCOUNT'!A455="","",'NEW ACCOUNT'!H455)</f>
        <v/>
      </c>
      <c r="I454" s="35" t="str">
        <f>IF('NEW ACCOUNT'!A455="","",'NEW ACCOUNT'!I455)</f>
        <v/>
      </c>
      <c r="J454" s="35" t="str">
        <f>IF('NEW ACCOUNT'!A455="","",'NEW ACCOUNT'!J455)</f>
        <v/>
      </c>
      <c r="K454" s="36" t="str">
        <f>IFERROR(IF(A454="","",SUMIF(DB_Savings!$A:$A,A454,DB_Savings!$F:$F)),"")</f>
        <v/>
      </c>
      <c r="L454" s="36" t="str">
        <f>IFERROR(IF(A454="","",SUMIF(DB_Withdrawals!$A:$A,A454,DB_Withdrawals!$G:$G)),"")</f>
        <v/>
      </c>
      <c r="M454" s="36" t="str">
        <f>IFERROR(IF(A454="","",IFERROR(VALUE(H454),0)+IFERROR(SUMIF(DB_Savings!$A:$A,A454,DB_Savings!$F:$F),0)-IFERROR(SUMIF(DB_Withdrawals!$A:$A,A454,DB_Withdrawals!$G:$G),0)),"")</f>
        <v/>
      </c>
      <c r="N454" s="36" t="str">
        <f>IFERROR(IF(A454="","",MAX(0,M454-System_Config!$B$9)),"")</f>
        <v/>
      </c>
    </row>
    <row r="455" spans="1:14" ht="20.100000000000001" customHeight="1" x14ac:dyDescent="0.25">
      <c r="A455" s="34" t="str">
        <f>'NEW ACCOUNT'!A456</f>
        <v/>
      </c>
      <c r="B455" s="35" t="str">
        <f>IF('NEW ACCOUNT'!A456="","",'NEW ACCOUNT'!B456)</f>
        <v/>
      </c>
      <c r="C455" s="35" t="str">
        <f>IF('NEW ACCOUNT'!A456="","",'NEW ACCOUNT'!C456)</f>
        <v/>
      </c>
      <c r="D455" s="35" t="str">
        <f>IF('NEW ACCOUNT'!A456="","",'NEW ACCOUNT'!D456)</f>
        <v/>
      </c>
      <c r="E455" s="35" t="str">
        <f>IF('NEW ACCOUNT'!A456="","",'NEW ACCOUNT'!E456)</f>
        <v/>
      </c>
      <c r="F455" s="35" t="str">
        <f>IF('NEW ACCOUNT'!A456="","",'NEW ACCOUNT'!F456)</f>
        <v/>
      </c>
      <c r="G455" s="35" t="str">
        <f>IF('NEW ACCOUNT'!A456="","",'NEW ACCOUNT'!G456)</f>
        <v/>
      </c>
      <c r="H455" s="35" t="str">
        <f>IF('NEW ACCOUNT'!A456="","",'NEW ACCOUNT'!H456)</f>
        <v/>
      </c>
      <c r="I455" s="35" t="str">
        <f>IF('NEW ACCOUNT'!A456="","",'NEW ACCOUNT'!I456)</f>
        <v/>
      </c>
      <c r="J455" s="35" t="str">
        <f>IF('NEW ACCOUNT'!A456="","",'NEW ACCOUNT'!J456)</f>
        <v/>
      </c>
      <c r="K455" s="36" t="str">
        <f>IFERROR(IF(A455="","",SUMIF(DB_Savings!$A:$A,A455,DB_Savings!$F:$F)),"")</f>
        <v/>
      </c>
      <c r="L455" s="36" t="str">
        <f>IFERROR(IF(A455="","",SUMIF(DB_Withdrawals!$A:$A,A455,DB_Withdrawals!$G:$G)),"")</f>
        <v/>
      </c>
      <c r="M455" s="36" t="str">
        <f>IFERROR(IF(A455="","",IFERROR(VALUE(H455),0)+IFERROR(SUMIF(DB_Savings!$A:$A,A455,DB_Savings!$F:$F),0)-IFERROR(SUMIF(DB_Withdrawals!$A:$A,A455,DB_Withdrawals!$G:$G),0)),"")</f>
        <v/>
      </c>
      <c r="N455" s="36" t="str">
        <f>IFERROR(IF(A455="","",MAX(0,M455-System_Config!$B$9)),"")</f>
        <v/>
      </c>
    </row>
    <row r="456" spans="1:14" ht="20.100000000000001" customHeight="1" x14ac:dyDescent="0.25">
      <c r="A456" s="34" t="str">
        <f>'NEW ACCOUNT'!A457</f>
        <v/>
      </c>
      <c r="B456" s="35" t="str">
        <f>IF('NEW ACCOUNT'!A457="","",'NEW ACCOUNT'!B457)</f>
        <v/>
      </c>
      <c r="C456" s="35" t="str">
        <f>IF('NEW ACCOUNT'!A457="","",'NEW ACCOUNT'!C457)</f>
        <v/>
      </c>
      <c r="D456" s="35" t="str">
        <f>IF('NEW ACCOUNT'!A457="","",'NEW ACCOUNT'!D457)</f>
        <v/>
      </c>
      <c r="E456" s="35" t="str">
        <f>IF('NEW ACCOUNT'!A457="","",'NEW ACCOUNT'!E457)</f>
        <v/>
      </c>
      <c r="F456" s="35" t="str">
        <f>IF('NEW ACCOUNT'!A457="","",'NEW ACCOUNT'!F457)</f>
        <v/>
      </c>
      <c r="G456" s="35" t="str">
        <f>IF('NEW ACCOUNT'!A457="","",'NEW ACCOUNT'!G457)</f>
        <v/>
      </c>
      <c r="H456" s="35" t="str">
        <f>IF('NEW ACCOUNT'!A457="","",'NEW ACCOUNT'!H457)</f>
        <v/>
      </c>
      <c r="I456" s="35" t="str">
        <f>IF('NEW ACCOUNT'!A457="","",'NEW ACCOUNT'!I457)</f>
        <v/>
      </c>
      <c r="J456" s="35" t="str">
        <f>IF('NEW ACCOUNT'!A457="","",'NEW ACCOUNT'!J457)</f>
        <v/>
      </c>
      <c r="K456" s="36" t="str">
        <f>IFERROR(IF(A456="","",SUMIF(DB_Savings!$A:$A,A456,DB_Savings!$F:$F)),"")</f>
        <v/>
      </c>
      <c r="L456" s="36" t="str">
        <f>IFERROR(IF(A456="","",SUMIF(DB_Withdrawals!$A:$A,A456,DB_Withdrawals!$G:$G)),"")</f>
        <v/>
      </c>
      <c r="M456" s="36" t="str">
        <f>IFERROR(IF(A456="","",IFERROR(VALUE(H456),0)+IFERROR(SUMIF(DB_Savings!$A:$A,A456,DB_Savings!$F:$F),0)-IFERROR(SUMIF(DB_Withdrawals!$A:$A,A456,DB_Withdrawals!$G:$G),0)),"")</f>
        <v/>
      </c>
      <c r="N456" s="36" t="str">
        <f>IFERROR(IF(A456="","",MAX(0,M456-System_Config!$B$9)),"")</f>
        <v/>
      </c>
    </row>
    <row r="457" spans="1:14" ht="20.100000000000001" customHeight="1" x14ac:dyDescent="0.25">
      <c r="A457" s="34" t="str">
        <f>'NEW ACCOUNT'!A458</f>
        <v/>
      </c>
      <c r="B457" s="35" t="str">
        <f>IF('NEW ACCOUNT'!A458="","",'NEW ACCOUNT'!B458)</f>
        <v/>
      </c>
      <c r="C457" s="35" t="str">
        <f>IF('NEW ACCOUNT'!A458="","",'NEW ACCOUNT'!C458)</f>
        <v/>
      </c>
      <c r="D457" s="35" t="str">
        <f>IF('NEW ACCOUNT'!A458="","",'NEW ACCOUNT'!D458)</f>
        <v/>
      </c>
      <c r="E457" s="35" t="str">
        <f>IF('NEW ACCOUNT'!A458="","",'NEW ACCOUNT'!E458)</f>
        <v/>
      </c>
      <c r="F457" s="35" t="str">
        <f>IF('NEW ACCOUNT'!A458="","",'NEW ACCOUNT'!F458)</f>
        <v/>
      </c>
      <c r="G457" s="35" t="str">
        <f>IF('NEW ACCOUNT'!A458="","",'NEW ACCOUNT'!G458)</f>
        <v/>
      </c>
      <c r="H457" s="35" t="str">
        <f>IF('NEW ACCOUNT'!A458="","",'NEW ACCOUNT'!H458)</f>
        <v/>
      </c>
      <c r="I457" s="35" t="str">
        <f>IF('NEW ACCOUNT'!A458="","",'NEW ACCOUNT'!I458)</f>
        <v/>
      </c>
      <c r="J457" s="35" t="str">
        <f>IF('NEW ACCOUNT'!A458="","",'NEW ACCOUNT'!J458)</f>
        <v/>
      </c>
      <c r="K457" s="36" t="str">
        <f>IFERROR(IF(A457="","",SUMIF(DB_Savings!$A:$A,A457,DB_Savings!$F:$F)),"")</f>
        <v/>
      </c>
      <c r="L457" s="36" t="str">
        <f>IFERROR(IF(A457="","",SUMIF(DB_Withdrawals!$A:$A,A457,DB_Withdrawals!$G:$G)),"")</f>
        <v/>
      </c>
      <c r="M457" s="36" t="str">
        <f>IFERROR(IF(A457="","",IFERROR(VALUE(H457),0)+IFERROR(SUMIF(DB_Savings!$A:$A,A457,DB_Savings!$F:$F),0)-IFERROR(SUMIF(DB_Withdrawals!$A:$A,A457,DB_Withdrawals!$G:$G),0)),"")</f>
        <v/>
      </c>
      <c r="N457" s="36" t="str">
        <f>IFERROR(IF(A457="","",MAX(0,M457-System_Config!$B$9)),"")</f>
        <v/>
      </c>
    </row>
    <row r="458" spans="1:14" ht="20.100000000000001" customHeight="1" x14ac:dyDescent="0.25">
      <c r="A458" s="34" t="str">
        <f>'NEW ACCOUNT'!A459</f>
        <v/>
      </c>
      <c r="B458" s="35" t="str">
        <f>IF('NEW ACCOUNT'!A459="","",'NEW ACCOUNT'!B459)</f>
        <v/>
      </c>
      <c r="C458" s="35" t="str">
        <f>IF('NEW ACCOUNT'!A459="","",'NEW ACCOUNT'!C459)</f>
        <v/>
      </c>
      <c r="D458" s="35" t="str">
        <f>IF('NEW ACCOUNT'!A459="","",'NEW ACCOUNT'!D459)</f>
        <v/>
      </c>
      <c r="E458" s="35" t="str">
        <f>IF('NEW ACCOUNT'!A459="","",'NEW ACCOUNT'!E459)</f>
        <v/>
      </c>
      <c r="F458" s="35" t="str">
        <f>IF('NEW ACCOUNT'!A459="","",'NEW ACCOUNT'!F459)</f>
        <v/>
      </c>
      <c r="G458" s="35" t="str">
        <f>IF('NEW ACCOUNT'!A459="","",'NEW ACCOUNT'!G459)</f>
        <v/>
      </c>
      <c r="H458" s="35" t="str">
        <f>IF('NEW ACCOUNT'!A459="","",'NEW ACCOUNT'!H459)</f>
        <v/>
      </c>
      <c r="I458" s="35" t="str">
        <f>IF('NEW ACCOUNT'!A459="","",'NEW ACCOUNT'!I459)</f>
        <v/>
      </c>
      <c r="J458" s="35" t="str">
        <f>IF('NEW ACCOUNT'!A459="","",'NEW ACCOUNT'!J459)</f>
        <v/>
      </c>
      <c r="K458" s="36" t="str">
        <f>IFERROR(IF(A458="","",SUMIF(DB_Savings!$A:$A,A458,DB_Savings!$F:$F)),"")</f>
        <v/>
      </c>
      <c r="L458" s="36" t="str">
        <f>IFERROR(IF(A458="","",SUMIF(DB_Withdrawals!$A:$A,A458,DB_Withdrawals!$G:$G)),"")</f>
        <v/>
      </c>
      <c r="M458" s="36" t="str">
        <f>IFERROR(IF(A458="","",IFERROR(VALUE(H458),0)+IFERROR(SUMIF(DB_Savings!$A:$A,A458,DB_Savings!$F:$F),0)-IFERROR(SUMIF(DB_Withdrawals!$A:$A,A458,DB_Withdrawals!$G:$G),0)),"")</f>
        <v/>
      </c>
      <c r="N458" s="36" t="str">
        <f>IFERROR(IF(A458="","",MAX(0,M458-System_Config!$B$9)),"")</f>
        <v/>
      </c>
    </row>
    <row r="459" spans="1:14" ht="20.100000000000001" customHeight="1" x14ac:dyDescent="0.25">
      <c r="A459" s="34" t="str">
        <f>'NEW ACCOUNT'!A460</f>
        <v/>
      </c>
      <c r="B459" s="35" t="str">
        <f>IF('NEW ACCOUNT'!A460="","",'NEW ACCOUNT'!B460)</f>
        <v/>
      </c>
      <c r="C459" s="35" t="str">
        <f>IF('NEW ACCOUNT'!A460="","",'NEW ACCOUNT'!C460)</f>
        <v/>
      </c>
      <c r="D459" s="35" t="str">
        <f>IF('NEW ACCOUNT'!A460="","",'NEW ACCOUNT'!D460)</f>
        <v/>
      </c>
      <c r="E459" s="35" t="str">
        <f>IF('NEW ACCOUNT'!A460="","",'NEW ACCOUNT'!E460)</f>
        <v/>
      </c>
      <c r="F459" s="35" t="str">
        <f>IF('NEW ACCOUNT'!A460="","",'NEW ACCOUNT'!F460)</f>
        <v/>
      </c>
      <c r="G459" s="35" t="str">
        <f>IF('NEW ACCOUNT'!A460="","",'NEW ACCOUNT'!G460)</f>
        <v/>
      </c>
      <c r="H459" s="35" t="str">
        <f>IF('NEW ACCOUNT'!A460="","",'NEW ACCOUNT'!H460)</f>
        <v/>
      </c>
      <c r="I459" s="35" t="str">
        <f>IF('NEW ACCOUNT'!A460="","",'NEW ACCOUNT'!I460)</f>
        <v/>
      </c>
      <c r="J459" s="35" t="str">
        <f>IF('NEW ACCOUNT'!A460="","",'NEW ACCOUNT'!J460)</f>
        <v/>
      </c>
      <c r="K459" s="36" t="str">
        <f>IFERROR(IF(A459="","",SUMIF(DB_Savings!$A:$A,A459,DB_Savings!$F:$F)),"")</f>
        <v/>
      </c>
      <c r="L459" s="36" t="str">
        <f>IFERROR(IF(A459="","",SUMIF(DB_Withdrawals!$A:$A,A459,DB_Withdrawals!$G:$G)),"")</f>
        <v/>
      </c>
      <c r="M459" s="36" t="str">
        <f>IFERROR(IF(A459="","",IFERROR(VALUE(H459),0)+IFERROR(SUMIF(DB_Savings!$A:$A,A459,DB_Savings!$F:$F),0)-IFERROR(SUMIF(DB_Withdrawals!$A:$A,A459,DB_Withdrawals!$G:$G),0)),"")</f>
        <v/>
      </c>
      <c r="N459" s="36" t="str">
        <f>IFERROR(IF(A459="","",MAX(0,M459-System_Config!$B$9)),"")</f>
        <v/>
      </c>
    </row>
    <row r="460" spans="1:14" ht="20.100000000000001" customHeight="1" x14ac:dyDescent="0.25">
      <c r="A460" s="34" t="str">
        <f>'NEW ACCOUNT'!A461</f>
        <v/>
      </c>
      <c r="B460" s="35" t="str">
        <f>IF('NEW ACCOUNT'!A461="","",'NEW ACCOUNT'!B461)</f>
        <v/>
      </c>
      <c r="C460" s="35" t="str">
        <f>IF('NEW ACCOUNT'!A461="","",'NEW ACCOUNT'!C461)</f>
        <v/>
      </c>
      <c r="D460" s="35" t="str">
        <f>IF('NEW ACCOUNT'!A461="","",'NEW ACCOUNT'!D461)</f>
        <v/>
      </c>
      <c r="E460" s="35" t="str">
        <f>IF('NEW ACCOUNT'!A461="","",'NEW ACCOUNT'!E461)</f>
        <v/>
      </c>
      <c r="F460" s="35" t="str">
        <f>IF('NEW ACCOUNT'!A461="","",'NEW ACCOUNT'!F461)</f>
        <v/>
      </c>
      <c r="G460" s="35" t="str">
        <f>IF('NEW ACCOUNT'!A461="","",'NEW ACCOUNT'!G461)</f>
        <v/>
      </c>
      <c r="H460" s="35" t="str">
        <f>IF('NEW ACCOUNT'!A461="","",'NEW ACCOUNT'!H461)</f>
        <v/>
      </c>
      <c r="I460" s="35" t="str">
        <f>IF('NEW ACCOUNT'!A461="","",'NEW ACCOUNT'!I461)</f>
        <v/>
      </c>
      <c r="J460" s="35" t="str">
        <f>IF('NEW ACCOUNT'!A461="","",'NEW ACCOUNT'!J461)</f>
        <v/>
      </c>
      <c r="K460" s="36" t="str">
        <f>IFERROR(IF(A460="","",SUMIF(DB_Savings!$A:$A,A460,DB_Savings!$F:$F)),"")</f>
        <v/>
      </c>
      <c r="L460" s="36" t="str">
        <f>IFERROR(IF(A460="","",SUMIF(DB_Withdrawals!$A:$A,A460,DB_Withdrawals!$G:$G)),"")</f>
        <v/>
      </c>
      <c r="M460" s="36" t="str">
        <f>IFERROR(IF(A460="","",IFERROR(VALUE(H460),0)+IFERROR(SUMIF(DB_Savings!$A:$A,A460,DB_Savings!$F:$F),0)-IFERROR(SUMIF(DB_Withdrawals!$A:$A,A460,DB_Withdrawals!$G:$G),0)),"")</f>
        <v/>
      </c>
      <c r="N460" s="36" t="str">
        <f>IFERROR(IF(A460="","",MAX(0,M460-System_Config!$B$9)),"")</f>
        <v/>
      </c>
    </row>
    <row r="461" spans="1:14" ht="20.100000000000001" customHeight="1" x14ac:dyDescent="0.25">
      <c r="A461" s="34" t="str">
        <f>'NEW ACCOUNT'!A462</f>
        <v/>
      </c>
      <c r="B461" s="35" t="str">
        <f>IF('NEW ACCOUNT'!A462="","",'NEW ACCOUNT'!B462)</f>
        <v/>
      </c>
      <c r="C461" s="35" t="str">
        <f>IF('NEW ACCOUNT'!A462="","",'NEW ACCOUNT'!C462)</f>
        <v/>
      </c>
      <c r="D461" s="35" t="str">
        <f>IF('NEW ACCOUNT'!A462="","",'NEW ACCOUNT'!D462)</f>
        <v/>
      </c>
      <c r="E461" s="35" t="str">
        <f>IF('NEW ACCOUNT'!A462="","",'NEW ACCOUNT'!E462)</f>
        <v/>
      </c>
      <c r="F461" s="35" t="str">
        <f>IF('NEW ACCOUNT'!A462="","",'NEW ACCOUNT'!F462)</f>
        <v/>
      </c>
      <c r="G461" s="35" t="str">
        <f>IF('NEW ACCOUNT'!A462="","",'NEW ACCOUNT'!G462)</f>
        <v/>
      </c>
      <c r="H461" s="35" t="str">
        <f>IF('NEW ACCOUNT'!A462="","",'NEW ACCOUNT'!H462)</f>
        <v/>
      </c>
      <c r="I461" s="35" t="str">
        <f>IF('NEW ACCOUNT'!A462="","",'NEW ACCOUNT'!I462)</f>
        <v/>
      </c>
      <c r="J461" s="35" t="str">
        <f>IF('NEW ACCOUNT'!A462="","",'NEW ACCOUNT'!J462)</f>
        <v/>
      </c>
      <c r="K461" s="36" t="str">
        <f>IFERROR(IF(A461="","",SUMIF(DB_Savings!$A:$A,A461,DB_Savings!$F:$F)),"")</f>
        <v/>
      </c>
      <c r="L461" s="36" t="str">
        <f>IFERROR(IF(A461="","",SUMIF(DB_Withdrawals!$A:$A,A461,DB_Withdrawals!$G:$G)),"")</f>
        <v/>
      </c>
      <c r="M461" s="36" t="str">
        <f>IFERROR(IF(A461="","",IFERROR(VALUE(H461),0)+IFERROR(SUMIF(DB_Savings!$A:$A,A461,DB_Savings!$F:$F),0)-IFERROR(SUMIF(DB_Withdrawals!$A:$A,A461,DB_Withdrawals!$G:$G),0)),"")</f>
        <v/>
      </c>
      <c r="N461" s="36" t="str">
        <f>IFERROR(IF(A461="","",MAX(0,M461-System_Config!$B$9)),"")</f>
        <v/>
      </c>
    </row>
    <row r="462" spans="1:14" ht="20.100000000000001" customHeight="1" x14ac:dyDescent="0.25">
      <c r="A462" s="34" t="str">
        <f>'NEW ACCOUNT'!A463</f>
        <v/>
      </c>
      <c r="B462" s="35" t="str">
        <f>IF('NEW ACCOUNT'!A463="","",'NEW ACCOUNT'!B463)</f>
        <v/>
      </c>
      <c r="C462" s="35" t="str">
        <f>IF('NEW ACCOUNT'!A463="","",'NEW ACCOUNT'!C463)</f>
        <v/>
      </c>
      <c r="D462" s="35" t="str">
        <f>IF('NEW ACCOUNT'!A463="","",'NEW ACCOUNT'!D463)</f>
        <v/>
      </c>
      <c r="E462" s="35" t="str">
        <f>IF('NEW ACCOUNT'!A463="","",'NEW ACCOUNT'!E463)</f>
        <v/>
      </c>
      <c r="F462" s="35" t="str">
        <f>IF('NEW ACCOUNT'!A463="","",'NEW ACCOUNT'!F463)</f>
        <v/>
      </c>
      <c r="G462" s="35" t="str">
        <f>IF('NEW ACCOUNT'!A463="","",'NEW ACCOUNT'!G463)</f>
        <v/>
      </c>
      <c r="H462" s="35" t="str">
        <f>IF('NEW ACCOUNT'!A463="","",'NEW ACCOUNT'!H463)</f>
        <v/>
      </c>
      <c r="I462" s="35" t="str">
        <f>IF('NEW ACCOUNT'!A463="","",'NEW ACCOUNT'!I463)</f>
        <v/>
      </c>
      <c r="J462" s="35" t="str">
        <f>IF('NEW ACCOUNT'!A463="","",'NEW ACCOUNT'!J463)</f>
        <v/>
      </c>
      <c r="K462" s="36" t="str">
        <f>IFERROR(IF(A462="","",SUMIF(DB_Savings!$A:$A,A462,DB_Savings!$F:$F)),"")</f>
        <v/>
      </c>
      <c r="L462" s="36" t="str">
        <f>IFERROR(IF(A462="","",SUMIF(DB_Withdrawals!$A:$A,A462,DB_Withdrawals!$G:$G)),"")</f>
        <v/>
      </c>
      <c r="M462" s="36" t="str">
        <f>IFERROR(IF(A462="","",IFERROR(VALUE(H462),0)+IFERROR(SUMIF(DB_Savings!$A:$A,A462,DB_Savings!$F:$F),0)-IFERROR(SUMIF(DB_Withdrawals!$A:$A,A462,DB_Withdrawals!$G:$G),0)),"")</f>
        <v/>
      </c>
      <c r="N462" s="36" t="str">
        <f>IFERROR(IF(A462="","",MAX(0,M462-System_Config!$B$9)),"")</f>
        <v/>
      </c>
    </row>
    <row r="463" spans="1:14" ht="20.100000000000001" customHeight="1" x14ac:dyDescent="0.25">
      <c r="A463" s="34" t="str">
        <f>'NEW ACCOUNT'!A464</f>
        <v/>
      </c>
      <c r="B463" s="35" t="str">
        <f>IF('NEW ACCOUNT'!A464="","",'NEW ACCOUNT'!B464)</f>
        <v/>
      </c>
      <c r="C463" s="35" t="str">
        <f>IF('NEW ACCOUNT'!A464="","",'NEW ACCOUNT'!C464)</f>
        <v/>
      </c>
      <c r="D463" s="35" t="str">
        <f>IF('NEW ACCOUNT'!A464="","",'NEW ACCOUNT'!D464)</f>
        <v/>
      </c>
      <c r="E463" s="35" t="str">
        <f>IF('NEW ACCOUNT'!A464="","",'NEW ACCOUNT'!E464)</f>
        <v/>
      </c>
      <c r="F463" s="35" t="str">
        <f>IF('NEW ACCOUNT'!A464="","",'NEW ACCOUNT'!F464)</f>
        <v/>
      </c>
      <c r="G463" s="35" t="str">
        <f>IF('NEW ACCOUNT'!A464="","",'NEW ACCOUNT'!G464)</f>
        <v/>
      </c>
      <c r="H463" s="35" t="str">
        <f>IF('NEW ACCOUNT'!A464="","",'NEW ACCOUNT'!H464)</f>
        <v/>
      </c>
      <c r="I463" s="35" t="str">
        <f>IF('NEW ACCOUNT'!A464="","",'NEW ACCOUNT'!I464)</f>
        <v/>
      </c>
      <c r="J463" s="35" t="str">
        <f>IF('NEW ACCOUNT'!A464="","",'NEW ACCOUNT'!J464)</f>
        <v/>
      </c>
      <c r="K463" s="36" t="str">
        <f>IFERROR(IF(A463="","",SUMIF(DB_Savings!$A:$A,A463,DB_Savings!$F:$F)),"")</f>
        <v/>
      </c>
      <c r="L463" s="36" t="str">
        <f>IFERROR(IF(A463="","",SUMIF(DB_Withdrawals!$A:$A,A463,DB_Withdrawals!$G:$G)),"")</f>
        <v/>
      </c>
      <c r="M463" s="36" t="str">
        <f>IFERROR(IF(A463="","",IFERROR(VALUE(H463),0)+IFERROR(SUMIF(DB_Savings!$A:$A,A463,DB_Savings!$F:$F),0)-IFERROR(SUMIF(DB_Withdrawals!$A:$A,A463,DB_Withdrawals!$G:$G),0)),"")</f>
        <v/>
      </c>
      <c r="N463" s="36" t="str">
        <f>IFERROR(IF(A463="","",MAX(0,M463-System_Config!$B$9)),"")</f>
        <v/>
      </c>
    </row>
    <row r="464" spans="1:14" ht="20.100000000000001" customHeight="1" x14ac:dyDescent="0.25">
      <c r="A464" s="34" t="str">
        <f>'NEW ACCOUNT'!A465</f>
        <v/>
      </c>
      <c r="B464" s="35" t="str">
        <f>IF('NEW ACCOUNT'!A465="","",'NEW ACCOUNT'!B465)</f>
        <v/>
      </c>
      <c r="C464" s="35" t="str">
        <f>IF('NEW ACCOUNT'!A465="","",'NEW ACCOUNT'!C465)</f>
        <v/>
      </c>
      <c r="D464" s="35" t="str">
        <f>IF('NEW ACCOUNT'!A465="","",'NEW ACCOUNT'!D465)</f>
        <v/>
      </c>
      <c r="E464" s="35" t="str">
        <f>IF('NEW ACCOUNT'!A465="","",'NEW ACCOUNT'!E465)</f>
        <v/>
      </c>
      <c r="F464" s="35" t="str">
        <f>IF('NEW ACCOUNT'!A465="","",'NEW ACCOUNT'!F465)</f>
        <v/>
      </c>
      <c r="G464" s="35" t="str">
        <f>IF('NEW ACCOUNT'!A465="","",'NEW ACCOUNT'!G465)</f>
        <v/>
      </c>
      <c r="H464" s="35" t="str">
        <f>IF('NEW ACCOUNT'!A465="","",'NEW ACCOUNT'!H465)</f>
        <v/>
      </c>
      <c r="I464" s="35" t="str">
        <f>IF('NEW ACCOUNT'!A465="","",'NEW ACCOUNT'!I465)</f>
        <v/>
      </c>
      <c r="J464" s="35" t="str">
        <f>IF('NEW ACCOUNT'!A465="","",'NEW ACCOUNT'!J465)</f>
        <v/>
      </c>
      <c r="K464" s="36" t="str">
        <f>IFERROR(IF(A464="","",SUMIF(DB_Savings!$A:$A,A464,DB_Savings!$F:$F)),"")</f>
        <v/>
      </c>
      <c r="L464" s="36" t="str">
        <f>IFERROR(IF(A464="","",SUMIF(DB_Withdrawals!$A:$A,A464,DB_Withdrawals!$G:$G)),"")</f>
        <v/>
      </c>
      <c r="M464" s="36" t="str">
        <f>IFERROR(IF(A464="","",IFERROR(VALUE(H464),0)+IFERROR(SUMIF(DB_Savings!$A:$A,A464,DB_Savings!$F:$F),0)-IFERROR(SUMIF(DB_Withdrawals!$A:$A,A464,DB_Withdrawals!$G:$G),0)),"")</f>
        <v/>
      </c>
      <c r="N464" s="36" t="str">
        <f>IFERROR(IF(A464="","",MAX(0,M464-System_Config!$B$9)),"")</f>
        <v/>
      </c>
    </row>
    <row r="465" spans="1:14" ht="20.100000000000001" customHeight="1" x14ac:dyDescent="0.25">
      <c r="A465" s="34" t="str">
        <f>'NEW ACCOUNT'!A466</f>
        <v/>
      </c>
      <c r="B465" s="35" t="str">
        <f>IF('NEW ACCOUNT'!A466="","",'NEW ACCOUNT'!B466)</f>
        <v/>
      </c>
      <c r="C465" s="35" t="str">
        <f>IF('NEW ACCOUNT'!A466="","",'NEW ACCOUNT'!C466)</f>
        <v/>
      </c>
      <c r="D465" s="35" t="str">
        <f>IF('NEW ACCOUNT'!A466="","",'NEW ACCOUNT'!D466)</f>
        <v/>
      </c>
      <c r="E465" s="35" t="str">
        <f>IF('NEW ACCOUNT'!A466="","",'NEW ACCOUNT'!E466)</f>
        <v/>
      </c>
      <c r="F465" s="35" t="str">
        <f>IF('NEW ACCOUNT'!A466="","",'NEW ACCOUNT'!F466)</f>
        <v/>
      </c>
      <c r="G465" s="35" t="str">
        <f>IF('NEW ACCOUNT'!A466="","",'NEW ACCOUNT'!G466)</f>
        <v/>
      </c>
      <c r="H465" s="35" t="str">
        <f>IF('NEW ACCOUNT'!A466="","",'NEW ACCOUNT'!H466)</f>
        <v/>
      </c>
      <c r="I465" s="35" t="str">
        <f>IF('NEW ACCOUNT'!A466="","",'NEW ACCOUNT'!I466)</f>
        <v/>
      </c>
      <c r="J465" s="35" t="str">
        <f>IF('NEW ACCOUNT'!A466="","",'NEW ACCOUNT'!J466)</f>
        <v/>
      </c>
      <c r="K465" s="36" t="str">
        <f>IFERROR(IF(A465="","",SUMIF(DB_Savings!$A:$A,A465,DB_Savings!$F:$F)),"")</f>
        <v/>
      </c>
      <c r="L465" s="36" t="str">
        <f>IFERROR(IF(A465="","",SUMIF(DB_Withdrawals!$A:$A,A465,DB_Withdrawals!$G:$G)),"")</f>
        <v/>
      </c>
      <c r="M465" s="36" t="str">
        <f>IFERROR(IF(A465="","",IFERROR(VALUE(H465),0)+IFERROR(SUMIF(DB_Savings!$A:$A,A465,DB_Savings!$F:$F),0)-IFERROR(SUMIF(DB_Withdrawals!$A:$A,A465,DB_Withdrawals!$G:$G),0)),"")</f>
        <v/>
      </c>
      <c r="N465" s="36" t="str">
        <f>IFERROR(IF(A465="","",MAX(0,M465-System_Config!$B$9)),"")</f>
        <v/>
      </c>
    </row>
    <row r="466" spans="1:14" ht="20.100000000000001" customHeight="1" x14ac:dyDescent="0.25">
      <c r="A466" s="34" t="str">
        <f>'NEW ACCOUNT'!A467</f>
        <v/>
      </c>
      <c r="B466" s="35" t="str">
        <f>IF('NEW ACCOUNT'!A467="","",'NEW ACCOUNT'!B467)</f>
        <v/>
      </c>
      <c r="C466" s="35" t="str">
        <f>IF('NEW ACCOUNT'!A467="","",'NEW ACCOUNT'!C467)</f>
        <v/>
      </c>
      <c r="D466" s="35" t="str">
        <f>IF('NEW ACCOUNT'!A467="","",'NEW ACCOUNT'!D467)</f>
        <v/>
      </c>
      <c r="E466" s="35" t="str">
        <f>IF('NEW ACCOUNT'!A467="","",'NEW ACCOUNT'!E467)</f>
        <v/>
      </c>
      <c r="F466" s="35" t="str">
        <f>IF('NEW ACCOUNT'!A467="","",'NEW ACCOUNT'!F467)</f>
        <v/>
      </c>
      <c r="G466" s="35" t="str">
        <f>IF('NEW ACCOUNT'!A467="","",'NEW ACCOUNT'!G467)</f>
        <v/>
      </c>
      <c r="H466" s="35" t="str">
        <f>IF('NEW ACCOUNT'!A467="","",'NEW ACCOUNT'!H467)</f>
        <v/>
      </c>
      <c r="I466" s="35" t="str">
        <f>IF('NEW ACCOUNT'!A467="","",'NEW ACCOUNT'!I467)</f>
        <v/>
      </c>
      <c r="J466" s="35" t="str">
        <f>IF('NEW ACCOUNT'!A467="","",'NEW ACCOUNT'!J467)</f>
        <v/>
      </c>
      <c r="K466" s="36" t="str">
        <f>IFERROR(IF(A466="","",SUMIF(DB_Savings!$A:$A,A466,DB_Savings!$F:$F)),"")</f>
        <v/>
      </c>
      <c r="L466" s="36" t="str">
        <f>IFERROR(IF(A466="","",SUMIF(DB_Withdrawals!$A:$A,A466,DB_Withdrawals!$G:$G)),"")</f>
        <v/>
      </c>
      <c r="M466" s="36" t="str">
        <f>IFERROR(IF(A466="","",IFERROR(VALUE(H466),0)+IFERROR(SUMIF(DB_Savings!$A:$A,A466,DB_Savings!$F:$F),0)-IFERROR(SUMIF(DB_Withdrawals!$A:$A,A466,DB_Withdrawals!$G:$G),0)),"")</f>
        <v/>
      </c>
      <c r="N466" s="36" t="str">
        <f>IFERROR(IF(A466="","",MAX(0,M466-System_Config!$B$9)),"")</f>
        <v/>
      </c>
    </row>
    <row r="467" spans="1:14" ht="20.100000000000001" customHeight="1" x14ac:dyDescent="0.25">
      <c r="A467" s="34" t="str">
        <f>'NEW ACCOUNT'!A468</f>
        <v/>
      </c>
      <c r="B467" s="35" t="str">
        <f>IF('NEW ACCOUNT'!A468="","",'NEW ACCOUNT'!B468)</f>
        <v/>
      </c>
      <c r="C467" s="35" t="str">
        <f>IF('NEW ACCOUNT'!A468="","",'NEW ACCOUNT'!C468)</f>
        <v/>
      </c>
      <c r="D467" s="35" t="str">
        <f>IF('NEW ACCOUNT'!A468="","",'NEW ACCOUNT'!D468)</f>
        <v/>
      </c>
      <c r="E467" s="35" t="str">
        <f>IF('NEW ACCOUNT'!A468="","",'NEW ACCOUNT'!E468)</f>
        <v/>
      </c>
      <c r="F467" s="35" t="str">
        <f>IF('NEW ACCOUNT'!A468="","",'NEW ACCOUNT'!F468)</f>
        <v/>
      </c>
      <c r="G467" s="35" t="str">
        <f>IF('NEW ACCOUNT'!A468="","",'NEW ACCOUNT'!G468)</f>
        <v/>
      </c>
      <c r="H467" s="35" t="str">
        <f>IF('NEW ACCOUNT'!A468="","",'NEW ACCOUNT'!H468)</f>
        <v/>
      </c>
      <c r="I467" s="35" t="str">
        <f>IF('NEW ACCOUNT'!A468="","",'NEW ACCOUNT'!I468)</f>
        <v/>
      </c>
      <c r="J467" s="35" t="str">
        <f>IF('NEW ACCOUNT'!A468="","",'NEW ACCOUNT'!J468)</f>
        <v/>
      </c>
      <c r="K467" s="36" t="str">
        <f>IFERROR(IF(A467="","",SUMIF(DB_Savings!$A:$A,A467,DB_Savings!$F:$F)),"")</f>
        <v/>
      </c>
      <c r="L467" s="36" t="str">
        <f>IFERROR(IF(A467="","",SUMIF(DB_Withdrawals!$A:$A,A467,DB_Withdrawals!$G:$G)),"")</f>
        <v/>
      </c>
      <c r="M467" s="36" t="str">
        <f>IFERROR(IF(A467="","",IFERROR(VALUE(H467),0)+IFERROR(SUMIF(DB_Savings!$A:$A,A467,DB_Savings!$F:$F),0)-IFERROR(SUMIF(DB_Withdrawals!$A:$A,A467,DB_Withdrawals!$G:$G),0)),"")</f>
        <v/>
      </c>
      <c r="N467" s="36" t="str">
        <f>IFERROR(IF(A467="","",MAX(0,M467-System_Config!$B$9)),"")</f>
        <v/>
      </c>
    </row>
    <row r="468" spans="1:14" ht="20.100000000000001" customHeight="1" x14ac:dyDescent="0.25">
      <c r="A468" s="34" t="str">
        <f>'NEW ACCOUNT'!A469</f>
        <v/>
      </c>
      <c r="B468" s="35" t="str">
        <f>IF('NEW ACCOUNT'!A469="","",'NEW ACCOUNT'!B469)</f>
        <v/>
      </c>
      <c r="C468" s="35" t="str">
        <f>IF('NEW ACCOUNT'!A469="","",'NEW ACCOUNT'!C469)</f>
        <v/>
      </c>
      <c r="D468" s="35" t="str">
        <f>IF('NEW ACCOUNT'!A469="","",'NEW ACCOUNT'!D469)</f>
        <v/>
      </c>
      <c r="E468" s="35" t="str">
        <f>IF('NEW ACCOUNT'!A469="","",'NEW ACCOUNT'!E469)</f>
        <v/>
      </c>
      <c r="F468" s="35" t="str">
        <f>IF('NEW ACCOUNT'!A469="","",'NEW ACCOUNT'!F469)</f>
        <v/>
      </c>
      <c r="G468" s="35" t="str">
        <f>IF('NEW ACCOUNT'!A469="","",'NEW ACCOUNT'!G469)</f>
        <v/>
      </c>
      <c r="H468" s="35" t="str">
        <f>IF('NEW ACCOUNT'!A469="","",'NEW ACCOUNT'!H469)</f>
        <v/>
      </c>
      <c r="I468" s="35" t="str">
        <f>IF('NEW ACCOUNT'!A469="","",'NEW ACCOUNT'!I469)</f>
        <v/>
      </c>
      <c r="J468" s="35" t="str">
        <f>IF('NEW ACCOUNT'!A469="","",'NEW ACCOUNT'!J469)</f>
        <v/>
      </c>
      <c r="K468" s="36" t="str">
        <f>IFERROR(IF(A468="","",SUMIF(DB_Savings!$A:$A,A468,DB_Savings!$F:$F)),"")</f>
        <v/>
      </c>
      <c r="L468" s="36" t="str">
        <f>IFERROR(IF(A468="","",SUMIF(DB_Withdrawals!$A:$A,A468,DB_Withdrawals!$G:$G)),"")</f>
        <v/>
      </c>
      <c r="M468" s="36" t="str">
        <f>IFERROR(IF(A468="","",IFERROR(VALUE(H468),0)+IFERROR(SUMIF(DB_Savings!$A:$A,A468,DB_Savings!$F:$F),0)-IFERROR(SUMIF(DB_Withdrawals!$A:$A,A468,DB_Withdrawals!$G:$G),0)),"")</f>
        <v/>
      </c>
      <c r="N468" s="36" t="str">
        <f>IFERROR(IF(A468="","",MAX(0,M468-System_Config!$B$9)),"")</f>
        <v/>
      </c>
    </row>
    <row r="469" spans="1:14" ht="20.100000000000001" customHeight="1" x14ac:dyDescent="0.25">
      <c r="A469" s="34" t="str">
        <f>'NEW ACCOUNT'!A470</f>
        <v/>
      </c>
      <c r="B469" s="35" t="str">
        <f>IF('NEW ACCOUNT'!A470="","",'NEW ACCOUNT'!B470)</f>
        <v/>
      </c>
      <c r="C469" s="35" t="str">
        <f>IF('NEW ACCOUNT'!A470="","",'NEW ACCOUNT'!C470)</f>
        <v/>
      </c>
      <c r="D469" s="35" t="str">
        <f>IF('NEW ACCOUNT'!A470="","",'NEW ACCOUNT'!D470)</f>
        <v/>
      </c>
      <c r="E469" s="35" t="str">
        <f>IF('NEW ACCOUNT'!A470="","",'NEW ACCOUNT'!E470)</f>
        <v/>
      </c>
      <c r="F469" s="35" t="str">
        <f>IF('NEW ACCOUNT'!A470="","",'NEW ACCOUNT'!F470)</f>
        <v/>
      </c>
      <c r="G469" s="35" t="str">
        <f>IF('NEW ACCOUNT'!A470="","",'NEW ACCOUNT'!G470)</f>
        <v/>
      </c>
      <c r="H469" s="35" t="str">
        <f>IF('NEW ACCOUNT'!A470="","",'NEW ACCOUNT'!H470)</f>
        <v/>
      </c>
      <c r="I469" s="35" t="str">
        <f>IF('NEW ACCOUNT'!A470="","",'NEW ACCOUNT'!I470)</f>
        <v/>
      </c>
      <c r="J469" s="35" t="str">
        <f>IF('NEW ACCOUNT'!A470="","",'NEW ACCOUNT'!J470)</f>
        <v/>
      </c>
      <c r="K469" s="36" t="str">
        <f>IFERROR(IF(A469="","",SUMIF(DB_Savings!$A:$A,A469,DB_Savings!$F:$F)),"")</f>
        <v/>
      </c>
      <c r="L469" s="36" t="str">
        <f>IFERROR(IF(A469="","",SUMIF(DB_Withdrawals!$A:$A,A469,DB_Withdrawals!$G:$G)),"")</f>
        <v/>
      </c>
      <c r="M469" s="36" t="str">
        <f>IFERROR(IF(A469="","",IFERROR(VALUE(H469),0)+IFERROR(SUMIF(DB_Savings!$A:$A,A469,DB_Savings!$F:$F),0)-IFERROR(SUMIF(DB_Withdrawals!$A:$A,A469,DB_Withdrawals!$G:$G),0)),"")</f>
        <v/>
      </c>
      <c r="N469" s="36" t="str">
        <f>IFERROR(IF(A469="","",MAX(0,M469-System_Config!$B$9)),"")</f>
        <v/>
      </c>
    </row>
    <row r="470" spans="1:14" ht="20.100000000000001" customHeight="1" x14ac:dyDescent="0.25">
      <c r="A470" s="34" t="str">
        <f>'NEW ACCOUNT'!A471</f>
        <v/>
      </c>
      <c r="B470" s="35" t="str">
        <f>IF('NEW ACCOUNT'!A471="","",'NEW ACCOUNT'!B471)</f>
        <v/>
      </c>
      <c r="C470" s="35" t="str">
        <f>IF('NEW ACCOUNT'!A471="","",'NEW ACCOUNT'!C471)</f>
        <v/>
      </c>
      <c r="D470" s="35" t="str">
        <f>IF('NEW ACCOUNT'!A471="","",'NEW ACCOUNT'!D471)</f>
        <v/>
      </c>
      <c r="E470" s="35" t="str">
        <f>IF('NEW ACCOUNT'!A471="","",'NEW ACCOUNT'!E471)</f>
        <v/>
      </c>
      <c r="F470" s="35" t="str">
        <f>IF('NEW ACCOUNT'!A471="","",'NEW ACCOUNT'!F471)</f>
        <v/>
      </c>
      <c r="G470" s="35" t="str">
        <f>IF('NEW ACCOUNT'!A471="","",'NEW ACCOUNT'!G471)</f>
        <v/>
      </c>
      <c r="H470" s="35" t="str">
        <f>IF('NEW ACCOUNT'!A471="","",'NEW ACCOUNT'!H471)</f>
        <v/>
      </c>
      <c r="I470" s="35" t="str">
        <f>IF('NEW ACCOUNT'!A471="","",'NEW ACCOUNT'!I471)</f>
        <v/>
      </c>
      <c r="J470" s="35" t="str">
        <f>IF('NEW ACCOUNT'!A471="","",'NEW ACCOUNT'!J471)</f>
        <v/>
      </c>
      <c r="K470" s="36" t="str">
        <f>IFERROR(IF(A470="","",SUMIF(DB_Savings!$A:$A,A470,DB_Savings!$F:$F)),"")</f>
        <v/>
      </c>
      <c r="L470" s="36" t="str">
        <f>IFERROR(IF(A470="","",SUMIF(DB_Withdrawals!$A:$A,A470,DB_Withdrawals!$G:$G)),"")</f>
        <v/>
      </c>
      <c r="M470" s="36" t="str">
        <f>IFERROR(IF(A470="","",IFERROR(VALUE(H470),0)+IFERROR(SUMIF(DB_Savings!$A:$A,A470,DB_Savings!$F:$F),0)-IFERROR(SUMIF(DB_Withdrawals!$A:$A,A470,DB_Withdrawals!$G:$G),0)),"")</f>
        <v/>
      </c>
      <c r="N470" s="36" t="str">
        <f>IFERROR(IF(A470="","",MAX(0,M470-System_Config!$B$9)),"")</f>
        <v/>
      </c>
    </row>
    <row r="471" spans="1:14" ht="20.100000000000001" customHeight="1" x14ac:dyDescent="0.25">
      <c r="A471" s="34" t="str">
        <f>'NEW ACCOUNT'!A472</f>
        <v/>
      </c>
      <c r="B471" s="35" t="str">
        <f>IF('NEW ACCOUNT'!A472="","",'NEW ACCOUNT'!B472)</f>
        <v/>
      </c>
      <c r="C471" s="35" t="str">
        <f>IF('NEW ACCOUNT'!A472="","",'NEW ACCOUNT'!C472)</f>
        <v/>
      </c>
      <c r="D471" s="35" t="str">
        <f>IF('NEW ACCOUNT'!A472="","",'NEW ACCOUNT'!D472)</f>
        <v/>
      </c>
      <c r="E471" s="35" t="str">
        <f>IF('NEW ACCOUNT'!A472="","",'NEW ACCOUNT'!E472)</f>
        <v/>
      </c>
      <c r="F471" s="35" t="str">
        <f>IF('NEW ACCOUNT'!A472="","",'NEW ACCOUNT'!F472)</f>
        <v/>
      </c>
      <c r="G471" s="35" t="str">
        <f>IF('NEW ACCOUNT'!A472="","",'NEW ACCOUNT'!G472)</f>
        <v/>
      </c>
      <c r="H471" s="35" t="str">
        <f>IF('NEW ACCOUNT'!A472="","",'NEW ACCOUNT'!H472)</f>
        <v/>
      </c>
      <c r="I471" s="35" t="str">
        <f>IF('NEW ACCOUNT'!A472="","",'NEW ACCOUNT'!I472)</f>
        <v/>
      </c>
      <c r="J471" s="35" t="str">
        <f>IF('NEW ACCOUNT'!A472="","",'NEW ACCOUNT'!J472)</f>
        <v/>
      </c>
      <c r="K471" s="36" t="str">
        <f>IFERROR(IF(A471="","",SUMIF(DB_Savings!$A:$A,A471,DB_Savings!$F:$F)),"")</f>
        <v/>
      </c>
      <c r="L471" s="36" t="str">
        <f>IFERROR(IF(A471="","",SUMIF(DB_Withdrawals!$A:$A,A471,DB_Withdrawals!$G:$G)),"")</f>
        <v/>
      </c>
      <c r="M471" s="36" t="str">
        <f>IFERROR(IF(A471="","",IFERROR(VALUE(H471),0)+IFERROR(SUMIF(DB_Savings!$A:$A,A471,DB_Savings!$F:$F),0)-IFERROR(SUMIF(DB_Withdrawals!$A:$A,A471,DB_Withdrawals!$G:$G),0)),"")</f>
        <v/>
      </c>
      <c r="N471" s="36" t="str">
        <f>IFERROR(IF(A471="","",MAX(0,M471-System_Config!$B$9)),"")</f>
        <v/>
      </c>
    </row>
    <row r="472" spans="1:14" ht="20.100000000000001" customHeight="1" x14ac:dyDescent="0.25">
      <c r="A472" s="34" t="str">
        <f>'NEW ACCOUNT'!A473</f>
        <v/>
      </c>
      <c r="B472" s="35" t="str">
        <f>IF('NEW ACCOUNT'!A473="","",'NEW ACCOUNT'!B473)</f>
        <v/>
      </c>
      <c r="C472" s="35" t="str">
        <f>IF('NEW ACCOUNT'!A473="","",'NEW ACCOUNT'!C473)</f>
        <v/>
      </c>
      <c r="D472" s="35" t="str">
        <f>IF('NEW ACCOUNT'!A473="","",'NEW ACCOUNT'!D473)</f>
        <v/>
      </c>
      <c r="E472" s="35" t="str">
        <f>IF('NEW ACCOUNT'!A473="","",'NEW ACCOUNT'!E473)</f>
        <v/>
      </c>
      <c r="F472" s="35" t="str">
        <f>IF('NEW ACCOUNT'!A473="","",'NEW ACCOUNT'!F473)</f>
        <v/>
      </c>
      <c r="G472" s="35" t="str">
        <f>IF('NEW ACCOUNT'!A473="","",'NEW ACCOUNT'!G473)</f>
        <v/>
      </c>
      <c r="H472" s="35" t="str">
        <f>IF('NEW ACCOUNT'!A473="","",'NEW ACCOUNT'!H473)</f>
        <v/>
      </c>
      <c r="I472" s="35" t="str">
        <f>IF('NEW ACCOUNT'!A473="","",'NEW ACCOUNT'!I473)</f>
        <v/>
      </c>
      <c r="J472" s="35" t="str">
        <f>IF('NEW ACCOUNT'!A473="","",'NEW ACCOUNT'!J473)</f>
        <v/>
      </c>
      <c r="K472" s="36" t="str">
        <f>IFERROR(IF(A472="","",SUMIF(DB_Savings!$A:$A,A472,DB_Savings!$F:$F)),"")</f>
        <v/>
      </c>
      <c r="L472" s="36" t="str">
        <f>IFERROR(IF(A472="","",SUMIF(DB_Withdrawals!$A:$A,A472,DB_Withdrawals!$G:$G)),"")</f>
        <v/>
      </c>
      <c r="M472" s="36" t="str">
        <f>IFERROR(IF(A472="","",IFERROR(VALUE(H472),0)+IFERROR(SUMIF(DB_Savings!$A:$A,A472,DB_Savings!$F:$F),0)-IFERROR(SUMIF(DB_Withdrawals!$A:$A,A472,DB_Withdrawals!$G:$G),0)),"")</f>
        <v/>
      </c>
      <c r="N472" s="36" t="str">
        <f>IFERROR(IF(A472="","",MAX(0,M472-System_Config!$B$9)),"")</f>
        <v/>
      </c>
    </row>
    <row r="473" spans="1:14" ht="20.100000000000001" customHeight="1" x14ac:dyDescent="0.25">
      <c r="A473" s="34" t="str">
        <f>'NEW ACCOUNT'!A474</f>
        <v/>
      </c>
      <c r="B473" s="35" t="str">
        <f>IF('NEW ACCOUNT'!A474="","",'NEW ACCOUNT'!B474)</f>
        <v/>
      </c>
      <c r="C473" s="35" t="str">
        <f>IF('NEW ACCOUNT'!A474="","",'NEW ACCOUNT'!C474)</f>
        <v/>
      </c>
      <c r="D473" s="35" t="str">
        <f>IF('NEW ACCOUNT'!A474="","",'NEW ACCOUNT'!D474)</f>
        <v/>
      </c>
      <c r="E473" s="35" t="str">
        <f>IF('NEW ACCOUNT'!A474="","",'NEW ACCOUNT'!E474)</f>
        <v/>
      </c>
      <c r="F473" s="35" t="str">
        <f>IF('NEW ACCOUNT'!A474="","",'NEW ACCOUNT'!F474)</f>
        <v/>
      </c>
      <c r="G473" s="35" t="str">
        <f>IF('NEW ACCOUNT'!A474="","",'NEW ACCOUNT'!G474)</f>
        <v/>
      </c>
      <c r="H473" s="35" t="str">
        <f>IF('NEW ACCOUNT'!A474="","",'NEW ACCOUNT'!H474)</f>
        <v/>
      </c>
      <c r="I473" s="35" t="str">
        <f>IF('NEW ACCOUNT'!A474="","",'NEW ACCOUNT'!I474)</f>
        <v/>
      </c>
      <c r="J473" s="35" t="str">
        <f>IF('NEW ACCOUNT'!A474="","",'NEW ACCOUNT'!J474)</f>
        <v/>
      </c>
      <c r="K473" s="36" t="str">
        <f>IFERROR(IF(A473="","",SUMIF(DB_Savings!$A:$A,A473,DB_Savings!$F:$F)),"")</f>
        <v/>
      </c>
      <c r="L473" s="36" t="str">
        <f>IFERROR(IF(A473="","",SUMIF(DB_Withdrawals!$A:$A,A473,DB_Withdrawals!$G:$G)),"")</f>
        <v/>
      </c>
      <c r="M473" s="36" t="str">
        <f>IFERROR(IF(A473="","",IFERROR(VALUE(H473),0)+IFERROR(SUMIF(DB_Savings!$A:$A,A473,DB_Savings!$F:$F),0)-IFERROR(SUMIF(DB_Withdrawals!$A:$A,A473,DB_Withdrawals!$G:$G),0)),"")</f>
        <v/>
      </c>
      <c r="N473" s="36" t="str">
        <f>IFERROR(IF(A473="","",MAX(0,M473-System_Config!$B$9)),"")</f>
        <v/>
      </c>
    </row>
    <row r="474" spans="1:14" ht="20.100000000000001" customHeight="1" x14ac:dyDescent="0.25">
      <c r="A474" s="34" t="str">
        <f>'NEW ACCOUNT'!A475</f>
        <v/>
      </c>
      <c r="B474" s="35" t="str">
        <f>IF('NEW ACCOUNT'!A475="","",'NEW ACCOUNT'!B475)</f>
        <v/>
      </c>
      <c r="C474" s="35" t="str">
        <f>IF('NEW ACCOUNT'!A475="","",'NEW ACCOUNT'!C475)</f>
        <v/>
      </c>
      <c r="D474" s="35" t="str">
        <f>IF('NEW ACCOUNT'!A475="","",'NEW ACCOUNT'!D475)</f>
        <v/>
      </c>
      <c r="E474" s="35" t="str">
        <f>IF('NEW ACCOUNT'!A475="","",'NEW ACCOUNT'!E475)</f>
        <v/>
      </c>
      <c r="F474" s="35" t="str">
        <f>IF('NEW ACCOUNT'!A475="","",'NEW ACCOUNT'!F475)</f>
        <v/>
      </c>
      <c r="G474" s="35" t="str">
        <f>IF('NEW ACCOUNT'!A475="","",'NEW ACCOUNT'!G475)</f>
        <v/>
      </c>
      <c r="H474" s="35" t="str">
        <f>IF('NEW ACCOUNT'!A475="","",'NEW ACCOUNT'!H475)</f>
        <v/>
      </c>
      <c r="I474" s="35" t="str">
        <f>IF('NEW ACCOUNT'!A475="","",'NEW ACCOUNT'!I475)</f>
        <v/>
      </c>
      <c r="J474" s="35" t="str">
        <f>IF('NEW ACCOUNT'!A475="","",'NEW ACCOUNT'!J475)</f>
        <v/>
      </c>
      <c r="K474" s="36" t="str">
        <f>IFERROR(IF(A474="","",SUMIF(DB_Savings!$A:$A,A474,DB_Savings!$F:$F)),"")</f>
        <v/>
      </c>
      <c r="L474" s="36" t="str">
        <f>IFERROR(IF(A474="","",SUMIF(DB_Withdrawals!$A:$A,A474,DB_Withdrawals!$G:$G)),"")</f>
        <v/>
      </c>
      <c r="M474" s="36" t="str">
        <f>IFERROR(IF(A474="","",IFERROR(VALUE(H474),0)+IFERROR(SUMIF(DB_Savings!$A:$A,A474,DB_Savings!$F:$F),0)-IFERROR(SUMIF(DB_Withdrawals!$A:$A,A474,DB_Withdrawals!$G:$G),0)),"")</f>
        <v/>
      </c>
      <c r="N474" s="36" t="str">
        <f>IFERROR(IF(A474="","",MAX(0,M474-System_Config!$B$9)),"")</f>
        <v/>
      </c>
    </row>
    <row r="475" spans="1:14" ht="20.100000000000001" customHeight="1" x14ac:dyDescent="0.25">
      <c r="A475" s="34" t="str">
        <f>'NEW ACCOUNT'!A476</f>
        <v/>
      </c>
      <c r="B475" s="35" t="str">
        <f>IF('NEW ACCOUNT'!A476="","",'NEW ACCOUNT'!B476)</f>
        <v/>
      </c>
      <c r="C475" s="35" t="str">
        <f>IF('NEW ACCOUNT'!A476="","",'NEW ACCOUNT'!C476)</f>
        <v/>
      </c>
      <c r="D475" s="35" t="str">
        <f>IF('NEW ACCOUNT'!A476="","",'NEW ACCOUNT'!D476)</f>
        <v/>
      </c>
      <c r="E475" s="35" t="str">
        <f>IF('NEW ACCOUNT'!A476="","",'NEW ACCOUNT'!E476)</f>
        <v/>
      </c>
      <c r="F475" s="35" t="str">
        <f>IF('NEW ACCOUNT'!A476="","",'NEW ACCOUNT'!F476)</f>
        <v/>
      </c>
      <c r="G475" s="35" t="str">
        <f>IF('NEW ACCOUNT'!A476="","",'NEW ACCOUNT'!G476)</f>
        <v/>
      </c>
      <c r="H475" s="35" t="str">
        <f>IF('NEW ACCOUNT'!A476="","",'NEW ACCOUNT'!H476)</f>
        <v/>
      </c>
      <c r="I475" s="35" t="str">
        <f>IF('NEW ACCOUNT'!A476="","",'NEW ACCOUNT'!I476)</f>
        <v/>
      </c>
      <c r="J475" s="35" t="str">
        <f>IF('NEW ACCOUNT'!A476="","",'NEW ACCOUNT'!J476)</f>
        <v/>
      </c>
      <c r="K475" s="36" t="str">
        <f>IFERROR(IF(A475="","",SUMIF(DB_Savings!$A:$A,A475,DB_Savings!$F:$F)),"")</f>
        <v/>
      </c>
      <c r="L475" s="36" t="str">
        <f>IFERROR(IF(A475="","",SUMIF(DB_Withdrawals!$A:$A,A475,DB_Withdrawals!$G:$G)),"")</f>
        <v/>
      </c>
      <c r="M475" s="36" t="str">
        <f>IFERROR(IF(A475="","",IFERROR(VALUE(H475),0)+IFERROR(SUMIF(DB_Savings!$A:$A,A475,DB_Savings!$F:$F),0)-IFERROR(SUMIF(DB_Withdrawals!$A:$A,A475,DB_Withdrawals!$G:$G),0)),"")</f>
        <v/>
      </c>
      <c r="N475" s="36" t="str">
        <f>IFERROR(IF(A475="","",MAX(0,M475-System_Config!$B$9)),"")</f>
        <v/>
      </c>
    </row>
    <row r="476" spans="1:14" ht="20.100000000000001" customHeight="1" x14ac:dyDescent="0.25">
      <c r="A476" s="34" t="str">
        <f>'NEW ACCOUNT'!A477</f>
        <v/>
      </c>
      <c r="B476" s="35" t="str">
        <f>IF('NEW ACCOUNT'!A477="","",'NEW ACCOUNT'!B477)</f>
        <v/>
      </c>
      <c r="C476" s="35" t="str">
        <f>IF('NEW ACCOUNT'!A477="","",'NEW ACCOUNT'!C477)</f>
        <v/>
      </c>
      <c r="D476" s="35" t="str">
        <f>IF('NEW ACCOUNT'!A477="","",'NEW ACCOUNT'!D477)</f>
        <v/>
      </c>
      <c r="E476" s="35" t="str">
        <f>IF('NEW ACCOUNT'!A477="","",'NEW ACCOUNT'!E477)</f>
        <v/>
      </c>
      <c r="F476" s="35" t="str">
        <f>IF('NEW ACCOUNT'!A477="","",'NEW ACCOUNT'!F477)</f>
        <v/>
      </c>
      <c r="G476" s="35" t="str">
        <f>IF('NEW ACCOUNT'!A477="","",'NEW ACCOUNT'!G477)</f>
        <v/>
      </c>
      <c r="H476" s="35" t="str">
        <f>IF('NEW ACCOUNT'!A477="","",'NEW ACCOUNT'!H477)</f>
        <v/>
      </c>
      <c r="I476" s="35" t="str">
        <f>IF('NEW ACCOUNT'!A477="","",'NEW ACCOUNT'!I477)</f>
        <v/>
      </c>
      <c r="J476" s="35" t="str">
        <f>IF('NEW ACCOUNT'!A477="","",'NEW ACCOUNT'!J477)</f>
        <v/>
      </c>
      <c r="K476" s="36" t="str">
        <f>IFERROR(IF(A476="","",SUMIF(DB_Savings!$A:$A,A476,DB_Savings!$F:$F)),"")</f>
        <v/>
      </c>
      <c r="L476" s="36" t="str">
        <f>IFERROR(IF(A476="","",SUMIF(DB_Withdrawals!$A:$A,A476,DB_Withdrawals!$G:$G)),"")</f>
        <v/>
      </c>
      <c r="M476" s="36" t="str">
        <f>IFERROR(IF(A476="","",IFERROR(VALUE(H476),0)+IFERROR(SUMIF(DB_Savings!$A:$A,A476,DB_Savings!$F:$F),0)-IFERROR(SUMIF(DB_Withdrawals!$A:$A,A476,DB_Withdrawals!$G:$G),0)),"")</f>
        <v/>
      </c>
      <c r="N476" s="36" t="str">
        <f>IFERROR(IF(A476="","",MAX(0,M476-System_Config!$B$9)),"")</f>
        <v/>
      </c>
    </row>
    <row r="477" spans="1:14" ht="20.100000000000001" customHeight="1" x14ac:dyDescent="0.25">
      <c r="A477" s="34" t="str">
        <f>'NEW ACCOUNT'!A478</f>
        <v/>
      </c>
      <c r="B477" s="35" t="str">
        <f>IF('NEW ACCOUNT'!A478="","",'NEW ACCOUNT'!B478)</f>
        <v/>
      </c>
      <c r="C477" s="35" t="str">
        <f>IF('NEW ACCOUNT'!A478="","",'NEW ACCOUNT'!C478)</f>
        <v/>
      </c>
      <c r="D477" s="35" t="str">
        <f>IF('NEW ACCOUNT'!A478="","",'NEW ACCOUNT'!D478)</f>
        <v/>
      </c>
      <c r="E477" s="35" t="str">
        <f>IF('NEW ACCOUNT'!A478="","",'NEW ACCOUNT'!E478)</f>
        <v/>
      </c>
      <c r="F477" s="35" t="str">
        <f>IF('NEW ACCOUNT'!A478="","",'NEW ACCOUNT'!F478)</f>
        <v/>
      </c>
      <c r="G477" s="35" t="str">
        <f>IF('NEW ACCOUNT'!A478="","",'NEW ACCOUNT'!G478)</f>
        <v/>
      </c>
      <c r="H477" s="35" t="str">
        <f>IF('NEW ACCOUNT'!A478="","",'NEW ACCOUNT'!H478)</f>
        <v/>
      </c>
      <c r="I477" s="35" t="str">
        <f>IF('NEW ACCOUNT'!A478="","",'NEW ACCOUNT'!I478)</f>
        <v/>
      </c>
      <c r="J477" s="35" t="str">
        <f>IF('NEW ACCOUNT'!A478="","",'NEW ACCOUNT'!J478)</f>
        <v/>
      </c>
      <c r="K477" s="36" t="str">
        <f>IFERROR(IF(A477="","",SUMIF(DB_Savings!$A:$A,A477,DB_Savings!$F:$F)),"")</f>
        <v/>
      </c>
      <c r="L477" s="36" t="str">
        <f>IFERROR(IF(A477="","",SUMIF(DB_Withdrawals!$A:$A,A477,DB_Withdrawals!$G:$G)),"")</f>
        <v/>
      </c>
      <c r="M477" s="36" t="str">
        <f>IFERROR(IF(A477="","",IFERROR(VALUE(H477),0)+IFERROR(SUMIF(DB_Savings!$A:$A,A477,DB_Savings!$F:$F),0)-IFERROR(SUMIF(DB_Withdrawals!$A:$A,A477,DB_Withdrawals!$G:$G),0)),"")</f>
        <v/>
      </c>
      <c r="N477" s="36" t="str">
        <f>IFERROR(IF(A477="","",MAX(0,M477-System_Config!$B$9)),"")</f>
        <v/>
      </c>
    </row>
    <row r="478" spans="1:14" ht="20.100000000000001" customHeight="1" x14ac:dyDescent="0.25">
      <c r="A478" s="34" t="str">
        <f>'NEW ACCOUNT'!A479</f>
        <v/>
      </c>
      <c r="B478" s="35" t="str">
        <f>IF('NEW ACCOUNT'!A479="","",'NEW ACCOUNT'!B479)</f>
        <v/>
      </c>
      <c r="C478" s="35" t="str">
        <f>IF('NEW ACCOUNT'!A479="","",'NEW ACCOUNT'!C479)</f>
        <v/>
      </c>
      <c r="D478" s="35" t="str">
        <f>IF('NEW ACCOUNT'!A479="","",'NEW ACCOUNT'!D479)</f>
        <v/>
      </c>
      <c r="E478" s="35" t="str">
        <f>IF('NEW ACCOUNT'!A479="","",'NEW ACCOUNT'!E479)</f>
        <v/>
      </c>
      <c r="F478" s="35" t="str">
        <f>IF('NEW ACCOUNT'!A479="","",'NEW ACCOUNT'!F479)</f>
        <v/>
      </c>
      <c r="G478" s="35" t="str">
        <f>IF('NEW ACCOUNT'!A479="","",'NEW ACCOUNT'!G479)</f>
        <v/>
      </c>
      <c r="H478" s="35" t="str">
        <f>IF('NEW ACCOUNT'!A479="","",'NEW ACCOUNT'!H479)</f>
        <v/>
      </c>
      <c r="I478" s="35" t="str">
        <f>IF('NEW ACCOUNT'!A479="","",'NEW ACCOUNT'!I479)</f>
        <v/>
      </c>
      <c r="J478" s="35" t="str">
        <f>IF('NEW ACCOUNT'!A479="","",'NEW ACCOUNT'!J479)</f>
        <v/>
      </c>
      <c r="K478" s="36" t="str">
        <f>IFERROR(IF(A478="","",SUMIF(DB_Savings!$A:$A,A478,DB_Savings!$F:$F)),"")</f>
        <v/>
      </c>
      <c r="L478" s="36" t="str">
        <f>IFERROR(IF(A478="","",SUMIF(DB_Withdrawals!$A:$A,A478,DB_Withdrawals!$G:$G)),"")</f>
        <v/>
      </c>
      <c r="M478" s="36" t="str">
        <f>IFERROR(IF(A478="","",IFERROR(VALUE(H478),0)+IFERROR(SUMIF(DB_Savings!$A:$A,A478,DB_Savings!$F:$F),0)-IFERROR(SUMIF(DB_Withdrawals!$A:$A,A478,DB_Withdrawals!$G:$G),0)),"")</f>
        <v/>
      </c>
      <c r="N478" s="36" t="str">
        <f>IFERROR(IF(A478="","",MAX(0,M478-System_Config!$B$9)),"")</f>
        <v/>
      </c>
    </row>
    <row r="479" spans="1:14" ht="20.100000000000001" customHeight="1" x14ac:dyDescent="0.25">
      <c r="A479" s="34" t="str">
        <f>'NEW ACCOUNT'!A480</f>
        <v/>
      </c>
      <c r="B479" s="35" t="str">
        <f>IF('NEW ACCOUNT'!A480="","",'NEW ACCOUNT'!B480)</f>
        <v/>
      </c>
      <c r="C479" s="35" t="str">
        <f>IF('NEW ACCOUNT'!A480="","",'NEW ACCOUNT'!C480)</f>
        <v/>
      </c>
      <c r="D479" s="35" t="str">
        <f>IF('NEW ACCOUNT'!A480="","",'NEW ACCOUNT'!D480)</f>
        <v/>
      </c>
      <c r="E479" s="35" t="str">
        <f>IF('NEW ACCOUNT'!A480="","",'NEW ACCOUNT'!E480)</f>
        <v/>
      </c>
      <c r="F479" s="35" t="str">
        <f>IF('NEW ACCOUNT'!A480="","",'NEW ACCOUNT'!F480)</f>
        <v/>
      </c>
      <c r="G479" s="35" t="str">
        <f>IF('NEW ACCOUNT'!A480="","",'NEW ACCOUNT'!G480)</f>
        <v/>
      </c>
      <c r="H479" s="35" t="str">
        <f>IF('NEW ACCOUNT'!A480="","",'NEW ACCOUNT'!H480)</f>
        <v/>
      </c>
      <c r="I479" s="35" t="str">
        <f>IF('NEW ACCOUNT'!A480="","",'NEW ACCOUNT'!I480)</f>
        <v/>
      </c>
      <c r="J479" s="35" t="str">
        <f>IF('NEW ACCOUNT'!A480="","",'NEW ACCOUNT'!J480)</f>
        <v/>
      </c>
      <c r="K479" s="36" t="str">
        <f>IFERROR(IF(A479="","",SUMIF(DB_Savings!$A:$A,A479,DB_Savings!$F:$F)),"")</f>
        <v/>
      </c>
      <c r="L479" s="36" t="str">
        <f>IFERROR(IF(A479="","",SUMIF(DB_Withdrawals!$A:$A,A479,DB_Withdrawals!$G:$G)),"")</f>
        <v/>
      </c>
      <c r="M479" s="36" t="str">
        <f>IFERROR(IF(A479="","",IFERROR(VALUE(H479),0)+IFERROR(SUMIF(DB_Savings!$A:$A,A479,DB_Savings!$F:$F),0)-IFERROR(SUMIF(DB_Withdrawals!$A:$A,A479,DB_Withdrawals!$G:$G),0)),"")</f>
        <v/>
      </c>
      <c r="N479" s="36" t="str">
        <f>IFERROR(IF(A479="","",MAX(0,M479-System_Config!$B$9)),"")</f>
        <v/>
      </c>
    </row>
    <row r="480" spans="1:14" ht="20.100000000000001" customHeight="1" x14ac:dyDescent="0.25">
      <c r="A480" s="34" t="str">
        <f>'NEW ACCOUNT'!A481</f>
        <v/>
      </c>
      <c r="B480" s="35" t="str">
        <f>IF('NEW ACCOUNT'!A481="","",'NEW ACCOUNT'!B481)</f>
        <v/>
      </c>
      <c r="C480" s="35" t="str">
        <f>IF('NEW ACCOUNT'!A481="","",'NEW ACCOUNT'!C481)</f>
        <v/>
      </c>
      <c r="D480" s="35" t="str">
        <f>IF('NEW ACCOUNT'!A481="","",'NEW ACCOUNT'!D481)</f>
        <v/>
      </c>
      <c r="E480" s="35" t="str">
        <f>IF('NEW ACCOUNT'!A481="","",'NEW ACCOUNT'!E481)</f>
        <v/>
      </c>
      <c r="F480" s="35" t="str">
        <f>IF('NEW ACCOUNT'!A481="","",'NEW ACCOUNT'!F481)</f>
        <v/>
      </c>
      <c r="G480" s="35" t="str">
        <f>IF('NEW ACCOUNT'!A481="","",'NEW ACCOUNT'!G481)</f>
        <v/>
      </c>
      <c r="H480" s="35" t="str">
        <f>IF('NEW ACCOUNT'!A481="","",'NEW ACCOUNT'!H481)</f>
        <v/>
      </c>
      <c r="I480" s="35" t="str">
        <f>IF('NEW ACCOUNT'!A481="","",'NEW ACCOUNT'!I481)</f>
        <v/>
      </c>
      <c r="J480" s="35" t="str">
        <f>IF('NEW ACCOUNT'!A481="","",'NEW ACCOUNT'!J481)</f>
        <v/>
      </c>
      <c r="K480" s="36" t="str">
        <f>IFERROR(IF(A480="","",SUMIF(DB_Savings!$A:$A,A480,DB_Savings!$F:$F)),"")</f>
        <v/>
      </c>
      <c r="L480" s="36" t="str">
        <f>IFERROR(IF(A480="","",SUMIF(DB_Withdrawals!$A:$A,A480,DB_Withdrawals!$G:$G)),"")</f>
        <v/>
      </c>
      <c r="M480" s="36" t="str">
        <f>IFERROR(IF(A480="","",IFERROR(VALUE(H480),0)+IFERROR(SUMIF(DB_Savings!$A:$A,A480,DB_Savings!$F:$F),0)-IFERROR(SUMIF(DB_Withdrawals!$A:$A,A480,DB_Withdrawals!$G:$G),0)),"")</f>
        <v/>
      </c>
      <c r="N480" s="36" t="str">
        <f>IFERROR(IF(A480="","",MAX(0,M480-System_Config!$B$9)),"")</f>
        <v/>
      </c>
    </row>
    <row r="481" spans="1:14" ht="20.100000000000001" customHeight="1" x14ac:dyDescent="0.25">
      <c r="A481" s="34" t="str">
        <f>'NEW ACCOUNT'!A482</f>
        <v/>
      </c>
      <c r="B481" s="35" t="str">
        <f>IF('NEW ACCOUNT'!A482="","",'NEW ACCOUNT'!B482)</f>
        <v/>
      </c>
      <c r="C481" s="35" t="str">
        <f>IF('NEW ACCOUNT'!A482="","",'NEW ACCOUNT'!C482)</f>
        <v/>
      </c>
      <c r="D481" s="35" t="str">
        <f>IF('NEW ACCOUNT'!A482="","",'NEW ACCOUNT'!D482)</f>
        <v/>
      </c>
      <c r="E481" s="35" t="str">
        <f>IF('NEW ACCOUNT'!A482="","",'NEW ACCOUNT'!E482)</f>
        <v/>
      </c>
      <c r="F481" s="35" t="str">
        <f>IF('NEW ACCOUNT'!A482="","",'NEW ACCOUNT'!F482)</f>
        <v/>
      </c>
      <c r="G481" s="35" t="str">
        <f>IF('NEW ACCOUNT'!A482="","",'NEW ACCOUNT'!G482)</f>
        <v/>
      </c>
      <c r="H481" s="35" t="str">
        <f>IF('NEW ACCOUNT'!A482="","",'NEW ACCOUNT'!H482)</f>
        <v/>
      </c>
      <c r="I481" s="35" t="str">
        <f>IF('NEW ACCOUNT'!A482="","",'NEW ACCOUNT'!I482)</f>
        <v/>
      </c>
      <c r="J481" s="35" t="str">
        <f>IF('NEW ACCOUNT'!A482="","",'NEW ACCOUNT'!J482)</f>
        <v/>
      </c>
      <c r="K481" s="36" t="str">
        <f>IFERROR(IF(A481="","",SUMIF(DB_Savings!$A:$A,A481,DB_Savings!$F:$F)),"")</f>
        <v/>
      </c>
      <c r="L481" s="36" t="str">
        <f>IFERROR(IF(A481="","",SUMIF(DB_Withdrawals!$A:$A,A481,DB_Withdrawals!$G:$G)),"")</f>
        <v/>
      </c>
      <c r="M481" s="36" t="str">
        <f>IFERROR(IF(A481="","",IFERROR(VALUE(H481),0)+IFERROR(SUMIF(DB_Savings!$A:$A,A481,DB_Savings!$F:$F),0)-IFERROR(SUMIF(DB_Withdrawals!$A:$A,A481,DB_Withdrawals!$G:$G),0)),"")</f>
        <v/>
      </c>
      <c r="N481" s="36" t="str">
        <f>IFERROR(IF(A481="","",MAX(0,M481-System_Config!$B$9)),"")</f>
        <v/>
      </c>
    </row>
    <row r="482" spans="1:14" ht="20.100000000000001" customHeight="1" x14ac:dyDescent="0.25">
      <c r="A482" s="34" t="str">
        <f>'NEW ACCOUNT'!A483</f>
        <v/>
      </c>
      <c r="B482" s="35" t="str">
        <f>IF('NEW ACCOUNT'!A483="","",'NEW ACCOUNT'!B483)</f>
        <v/>
      </c>
      <c r="C482" s="35" t="str">
        <f>IF('NEW ACCOUNT'!A483="","",'NEW ACCOUNT'!C483)</f>
        <v/>
      </c>
      <c r="D482" s="35" t="str">
        <f>IF('NEW ACCOUNT'!A483="","",'NEW ACCOUNT'!D483)</f>
        <v/>
      </c>
      <c r="E482" s="35" t="str">
        <f>IF('NEW ACCOUNT'!A483="","",'NEW ACCOUNT'!E483)</f>
        <v/>
      </c>
      <c r="F482" s="35" t="str">
        <f>IF('NEW ACCOUNT'!A483="","",'NEW ACCOUNT'!F483)</f>
        <v/>
      </c>
      <c r="G482" s="35" t="str">
        <f>IF('NEW ACCOUNT'!A483="","",'NEW ACCOUNT'!G483)</f>
        <v/>
      </c>
      <c r="H482" s="35" t="str">
        <f>IF('NEW ACCOUNT'!A483="","",'NEW ACCOUNT'!H483)</f>
        <v/>
      </c>
      <c r="I482" s="35" t="str">
        <f>IF('NEW ACCOUNT'!A483="","",'NEW ACCOUNT'!I483)</f>
        <v/>
      </c>
      <c r="J482" s="35" t="str">
        <f>IF('NEW ACCOUNT'!A483="","",'NEW ACCOUNT'!J483)</f>
        <v/>
      </c>
      <c r="K482" s="36" t="str">
        <f>IFERROR(IF(A482="","",SUMIF(DB_Savings!$A:$A,A482,DB_Savings!$F:$F)),"")</f>
        <v/>
      </c>
      <c r="L482" s="36" t="str">
        <f>IFERROR(IF(A482="","",SUMIF(DB_Withdrawals!$A:$A,A482,DB_Withdrawals!$G:$G)),"")</f>
        <v/>
      </c>
      <c r="M482" s="36" t="str">
        <f>IFERROR(IF(A482="","",IFERROR(VALUE(H482),0)+IFERROR(SUMIF(DB_Savings!$A:$A,A482,DB_Savings!$F:$F),0)-IFERROR(SUMIF(DB_Withdrawals!$A:$A,A482,DB_Withdrawals!$G:$G),0)),"")</f>
        <v/>
      </c>
      <c r="N482" s="36" t="str">
        <f>IFERROR(IF(A482="","",MAX(0,M482-System_Config!$B$9)),"")</f>
        <v/>
      </c>
    </row>
    <row r="483" spans="1:14" ht="20.100000000000001" customHeight="1" x14ac:dyDescent="0.25">
      <c r="A483" s="34" t="str">
        <f>'NEW ACCOUNT'!A484</f>
        <v/>
      </c>
      <c r="B483" s="35" t="str">
        <f>IF('NEW ACCOUNT'!A484="","",'NEW ACCOUNT'!B484)</f>
        <v/>
      </c>
      <c r="C483" s="35" t="str">
        <f>IF('NEW ACCOUNT'!A484="","",'NEW ACCOUNT'!C484)</f>
        <v/>
      </c>
      <c r="D483" s="35" t="str">
        <f>IF('NEW ACCOUNT'!A484="","",'NEW ACCOUNT'!D484)</f>
        <v/>
      </c>
      <c r="E483" s="35" t="str">
        <f>IF('NEW ACCOUNT'!A484="","",'NEW ACCOUNT'!E484)</f>
        <v/>
      </c>
      <c r="F483" s="35" t="str">
        <f>IF('NEW ACCOUNT'!A484="","",'NEW ACCOUNT'!F484)</f>
        <v/>
      </c>
      <c r="G483" s="35" t="str">
        <f>IF('NEW ACCOUNT'!A484="","",'NEW ACCOUNT'!G484)</f>
        <v/>
      </c>
      <c r="H483" s="35" t="str">
        <f>IF('NEW ACCOUNT'!A484="","",'NEW ACCOUNT'!H484)</f>
        <v/>
      </c>
      <c r="I483" s="35" t="str">
        <f>IF('NEW ACCOUNT'!A484="","",'NEW ACCOUNT'!I484)</f>
        <v/>
      </c>
      <c r="J483" s="35" t="str">
        <f>IF('NEW ACCOUNT'!A484="","",'NEW ACCOUNT'!J484)</f>
        <v/>
      </c>
      <c r="K483" s="36" t="str">
        <f>IFERROR(IF(A483="","",SUMIF(DB_Savings!$A:$A,A483,DB_Savings!$F:$F)),"")</f>
        <v/>
      </c>
      <c r="L483" s="36" t="str">
        <f>IFERROR(IF(A483="","",SUMIF(DB_Withdrawals!$A:$A,A483,DB_Withdrawals!$G:$G)),"")</f>
        <v/>
      </c>
      <c r="M483" s="36" t="str">
        <f>IFERROR(IF(A483="","",IFERROR(VALUE(H483),0)+IFERROR(SUMIF(DB_Savings!$A:$A,A483,DB_Savings!$F:$F),0)-IFERROR(SUMIF(DB_Withdrawals!$A:$A,A483,DB_Withdrawals!$G:$G),0)),"")</f>
        <v/>
      </c>
      <c r="N483" s="36" t="str">
        <f>IFERROR(IF(A483="","",MAX(0,M483-System_Config!$B$9)),"")</f>
        <v/>
      </c>
    </row>
    <row r="484" spans="1:14" ht="20.100000000000001" customHeight="1" x14ac:dyDescent="0.25">
      <c r="A484" s="34" t="str">
        <f>'NEW ACCOUNT'!A485</f>
        <v/>
      </c>
      <c r="B484" s="35" t="str">
        <f>IF('NEW ACCOUNT'!A485="","",'NEW ACCOUNT'!B485)</f>
        <v/>
      </c>
      <c r="C484" s="35" t="str">
        <f>IF('NEW ACCOUNT'!A485="","",'NEW ACCOUNT'!C485)</f>
        <v/>
      </c>
      <c r="D484" s="35" t="str">
        <f>IF('NEW ACCOUNT'!A485="","",'NEW ACCOUNT'!D485)</f>
        <v/>
      </c>
      <c r="E484" s="35" t="str">
        <f>IF('NEW ACCOUNT'!A485="","",'NEW ACCOUNT'!E485)</f>
        <v/>
      </c>
      <c r="F484" s="35" t="str">
        <f>IF('NEW ACCOUNT'!A485="","",'NEW ACCOUNT'!F485)</f>
        <v/>
      </c>
      <c r="G484" s="35" t="str">
        <f>IF('NEW ACCOUNT'!A485="","",'NEW ACCOUNT'!G485)</f>
        <v/>
      </c>
      <c r="H484" s="35" t="str">
        <f>IF('NEW ACCOUNT'!A485="","",'NEW ACCOUNT'!H485)</f>
        <v/>
      </c>
      <c r="I484" s="35" t="str">
        <f>IF('NEW ACCOUNT'!A485="","",'NEW ACCOUNT'!I485)</f>
        <v/>
      </c>
      <c r="J484" s="35" t="str">
        <f>IF('NEW ACCOUNT'!A485="","",'NEW ACCOUNT'!J485)</f>
        <v/>
      </c>
      <c r="K484" s="36" t="str">
        <f>IFERROR(IF(A484="","",SUMIF(DB_Savings!$A:$A,A484,DB_Savings!$F:$F)),"")</f>
        <v/>
      </c>
      <c r="L484" s="36" t="str">
        <f>IFERROR(IF(A484="","",SUMIF(DB_Withdrawals!$A:$A,A484,DB_Withdrawals!$G:$G)),"")</f>
        <v/>
      </c>
      <c r="M484" s="36" t="str">
        <f>IFERROR(IF(A484="","",IFERROR(VALUE(H484),0)+IFERROR(SUMIF(DB_Savings!$A:$A,A484,DB_Savings!$F:$F),0)-IFERROR(SUMIF(DB_Withdrawals!$A:$A,A484,DB_Withdrawals!$G:$G),0)),"")</f>
        <v/>
      </c>
      <c r="N484" s="36" t="str">
        <f>IFERROR(IF(A484="","",MAX(0,M484-System_Config!$B$9)),"")</f>
        <v/>
      </c>
    </row>
    <row r="485" spans="1:14" ht="20.100000000000001" customHeight="1" x14ac:dyDescent="0.25">
      <c r="A485" s="34" t="str">
        <f>'NEW ACCOUNT'!A486</f>
        <v/>
      </c>
      <c r="B485" s="35" t="str">
        <f>IF('NEW ACCOUNT'!A486="","",'NEW ACCOUNT'!B486)</f>
        <v/>
      </c>
      <c r="C485" s="35" t="str">
        <f>IF('NEW ACCOUNT'!A486="","",'NEW ACCOUNT'!C486)</f>
        <v/>
      </c>
      <c r="D485" s="35" t="str">
        <f>IF('NEW ACCOUNT'!A486="","",'NEW ACCOUNT'!D486)</f>
        <v/>
      </c>
      <c r="E485" s="35" t="str">
        <f>IF('NEW ACCOUNT'!A486="","",'NEW ACCOUNT'!E486)</f>
        <v/>
      </c>
      <c r="F485" s="35" t="str">
        <f>IF('NEW ACCOUNT'!A486="","",'NEW ACCOUNT'!F486)</f>
        <v/>
      </c>
      <c r="G485" s="35" t="str">
        <f>IF('NEW ACCOUNT'!A486="","",'NEW ACCOUNT'!G486)</f>
        <v/>
      </c>
      <c r="H485" s="35" t="str">
        <f>IF('NEW ACCOUNT'!A486="","",'NEW ACCOUNT'!H486)</f>
        <v/>
      </c>
      <c r="I485" s="35" t="str">
        <f>IF('NEW ACCOUNT'!A486="","",'NEW ACCOUNT'!I486)</f>
        <v/>
      </c>
      <c r="J485" s="35" t="str">
        <f>IF('NEW ACCOUNT'!A486="","",'NEW ACCOUNT'!J486)</f>
        <v/>
      </c>
      <c r="K485" s="36" t="str">
        <f>IFERROR(IF(A485="","",SUMIF(DB_Savings!$A:$A,A485,DB_Savings!$F:$F)),"")</f>
        <v/>
      </c>
      <c r="L485" s="36" t="str">
        <f>IFERROR(IF(A485="","",SUMIF(DB_Withdrawals!$A:$A,A485,DB_Withdrawals!$G:$G)),"")</f>
        <v/>
      </c>
      <c r="M485" s="36" t="str">
        <f>IFERROR(IF(A485="","",IFERROR(VALUE(H485),0)+IFERROR(SUMIF(DB_Savings!$A:$A,A485,DB_Savings!$F:$F),0)-IFERROR(SUMIF(DB_Withdrawals!$A:$A,A485,DB_Withdrawals!$G:$G),0)),"")</f>
        <v/>
      </c>
      <c r="N485" s="36" t="str">
        <f>IFERROR(IF(A485="","",MAX(0,M485-System_Config!$B$9)),"")</f>
        <v/>
      </c>
    </row>
    <row r="486" spans="1:14" ht="20.100000000000001" customHeight="1" x14ac:dyDescent="0.25">
      <c r="A486" s="34" t="str">
        <f>'NEW ACCOUNT'!A487</f>
        <v/>
      </c>
      <c r="B486" s="35" t="str">
        <f>IF('NEW ACCOUNT'!A487="","",'NEW ACCOUNT'!B487)</f>
        <v/>
      </c>
      <c r="C486" s="35" t="str">
        <f>IF('NEW ACCOUNT'!A487="","",'NEW ACCOUNT'!C487)</f>
        <v/>
      </c>
      <c r="D486" s="35" t="str">
        <f>IF('NEW ACCOUNT'!A487="","",'NEW ACCOUNT'!D487)</f>
        <v/>
      </c>
      <c r="E486" s="35" t="str">
        <f>IF('NEW ACCOUNT'!A487="","",'NEW ACCOUNT'!E487)</f>
        <v/>
      </c>
      <c r="F486" s="35" t="str">
        <f>IF('NEW ACCOUNT'!A487="","",'NEW ACCOUNT'!F487)</f>
        <v/>
      </c>
      <c r="G486" s="35" t="str">
        <f>IF('NEW ACCOUNT'!A487="","",'NEW ACCOUNT'!G487)</f>
        <v/>
      </c>
      <c r="H486" s="35" t="str">
        <f>IF('NEW ACCOUNT'!A487="","",'NEW ACCOUNT'!H487)</f>
        <v/>
      </c>
      <c r="I486" s="35" t="str">
        <f>IF('NEW ACCOUNT'!A487="","",'NEW ACCOUNT'!I487)</f>
        <v/>
      </c>
      <c r="J486" s="35" t="str">
        <f>IF('NEW ACCOUNT'!A487="","",'NEW ACCOUNT'!J487)</f>
        <v/>
      </c>
      <c r="K486" s="36" t="str">
        <f>IFERROR(IF(A486="","",SUMIF(DB_Savings!$A:$A,A486,DB_Savings!$F:$F)),"")</f>
        <v/>
      </c>
      <c r="L486" s="36" t="str">
        <f>IFERROR(IF(A486="","",SUMIF(DB_Withdrawals!$A:$A,A486,DB_Withdrawals!$G:$G)),"")</f>
        <v/>
      </c>
      <c r="M486" s="36" t="str">
        <f>IFERROR(IF(A486="","",IFERROR(VALUE(H486),0)+IFERROR(SUMIF(DB_Savings!$A:$A,A486,DB_Savings!$F:$F),0)-IFERROR(SUMIF(DB_Withdrawals!$A:$A,A486,DB_Withdrawals!$G:$G),0)),"")</f>
        <v/>
      </c>
      <c r="N486" s="36" t="str">
        <f>IFERROR(IF(A486="","",MAX(0,M486-System_Config!$B$9)),"")</f>
        <v/>
      </c>
    </row>
    <row r="487" spans="1:14" ht="20.100000000000001" customHeight="1" x14ac:dyDescent="0.25">
      <c r="A487" s="34" t="str">
        <f>'NEW ACCOUNT'!A488</f>
        <v/>
      </c>
      <c r="B487" s="35" t="str">
        <f>IF('NEW ACCOUNT'!A488="","",'NEW ACCOUNT'!B488)</f>
        <v/>
      </c>
      <c r="C487" s="35" t="str">
        <f>IF('NEW ACCOUNT'!A488="","",'NEW ACCOUNT'!C488)</f>
        <v/>
      </c>
      <c r="D487" s="35" t="str">
        <f>IF('NEW ACCOUNT'!A488="","",'NEW ACCOUNT'!D488)</f>
        <v/>
      </c>
      <c r="E487" s="35" t="str">
        <f>IF('NEW ACCOUNT'!A488="","",'NEW ACCOUNT'!E488)</f>
        <v/>
      </c>
      <c r="F487" s="35" t="str">
        <f>IF('NEW ACCOUNT'!A488="","",'NEW ACCOUNT'!F488)</f>
        <v/>
      </c>
      <c r="G487" s="35" t="str">
        <f>IF('NEW ACCOUNT'!A488="","",'NEW ACCOUNT'!G488)</f>
        <v/>
      </c>
      <c r="H487" s="35" t="str">
        <f>IF('NEW ACCOUNT'!A488="","",'NEW ACCOUNT'!H488)</f>
        <v/>
      </c>
      <c r="I487" s="35" t="str">
        <f>IF('NEW ACCOUNT'!A488="","",'NEW ACCOUNT'!I488)</f>
        <v/>
      </c>
      <c r="J487" s="35" t="str">
        <f>IF('NEW ACCOUNT'!A488="","",'NEW ACCOUNT'!J488)</f>
        <v/>
      </c>
      <c r="K487" s="36" t="str">
        <f>IFERROR(IF(A487="","",SUMIF(DB_Savings!$A:$A,A487,DB_Savings!$F:$F)),"")</f>
        <v/>
      </c>
      <c r="L487" s="36" t="str">
        <f>IFERROR(IF(A487="","",SUMIF(DB_Withdrawals!$A:$A,A487,DB_Withdrawals!$G:$G)),"")</f>
        <v/>
      </c>
      <c r="M487" s="36" t="str">
        <f>IFERROR(IF(A487="","",IFERROR(VALUE(H487),0)+IFERROR(SUMIF(DB_Savings!$A:$A,A487,DB_Savings!$F:$F),0)-IFERROR(SUMIF(DB_Withdrawals!$A:$A,A487,DB_Withdrawals!$G:$G),0)),"")</f>
        <v/>
      </c>
      <c r="N487" s="36" t="str">
        <f>IFERROR(IF(A487="","",MAX(0,M487-System_Config!$B$9)),"")</f>
        <v/>
      </c>
    </row>
    <row r="488" spans="1:14" ht="20.100000000000001" customHeight="1" x14ac:dyDescent="0.25">
      <c r="A488" s="34" t="str">
        <f>'NEW ACCOUNT'!A489</f>
        <v/>
      </c>
      <c r="B488" s="35" t="str">
        <f>IF('NEW ACCOUNT'!A489="","",'NEW ACCOUNT'!B489)</f>
        <v/>
      </c>
      <c r="C488" s="35" t="str">
        <f>IF('NEW ACCOUNT'!A489="","",'NEW ACCOUNT'!C489)</f>
        <v/>
      </c>
      <c r="D488" s="35" t="str">
        <f>IF('NEW ACCOUNT'!A489="","",'NEW ACCOUNT'!D489)</f>
        <v/>
      </c>
      <c r="E488" s="35" t="str">
        <f>IF('NEW ACCOUNT'!A489="","",'NEW ACCOUNT'!E489)</f>
        <v/>
      </c>
      <c r="F488" s="35" t="str">
        <f>IF('NEW ACCOUNT'!A489="","",'NEW ACCOUNT'!F489)</f>
        <v/>
      </c>
      <c r="G488" s="35" t="str">
        <f>IF('NEW ACCOUNT'!A489="","",'NEW ACCOUNT'!G489)</f>
        <v/>
      </c>
      <c r="H488" s="35" t="str">
        <f>IF('NEW ACCOUNT'!A489="","",'NEW ACCOUNT'!H489)</f>
        <v/>
      </c>
      <c r="I488" s="35" t="str">
        <f>IF('NEW ACCOUNT'!A489="","",'NEW ACCOUNT'!I489)</f>
        <v/>
      </c>
      <c r="J488" s="35" t="str">
        <f>IF('NEW ACCOUNT'!A489="","",'NEW ACCOUNT'!J489)</f>
        <v/>
      </c>
      <c r="K488" s="36" t="str">
        <f>IFERROR(IF(A488="","",SUMIF(DB_Savings!$A:$A,A488,DB_Savings!$F:$F)),"")</f>
        <v/>
      </c>
      <c r="L488" s="36" t="str">
        <f>IFERROR(IF(A488="","",SUMIF(DB_Withdrawals!$A:$A,A488,DB_Withdrawals!$G:$G)),"")</f>
        <v/>
      </c>
      <c r="M488" s="36" t="str">
        <f>IFERROR(IF(A488="","",IFERROR(VALUE(H488),0)+IFERROR(SUMIF(DB_Savings!$A:$A,A488,DB_Savings!$F:$F),0)-IFERROR(SUMIF(DB_Withdrawals!$A:$A,A488,DB_Withdrawals!$G:$G),0)),"")</f>
        <v/>
      </c>
      <c r="N488" s="36" t="str">
        <f>IFERROR(IF(A488="","",MAX(0,M488-System_Config!$B$9)),"")</f>
        <v/>
      </c>
    </row>
    <row r="489" spans="1:14" ht="20.100000000000001" customHeight="1" x14ac:dyDescent="0.25">
      <c r="A489" s="34" t="str">
        <f>'NEW ACCOUNT'!A490</f>
        <v/>
      </c>
      <c r="B489" s="35" t="str">
        <f>IF('NEW ACCOUNT'!A490="","",'NEW ACCOUNT'!B490)</f>
        <v/>
      </c>
      <c r="C489" s="35" t="str">
        <f>IF('NEW ACCOUNT'!A490="","",'NEW ACCOUNT'!C490)</f>
        <v/>
      </c>
      <c r="D489" s="35" t="str">
        <f>IF('NEW ACCOUNT'!A490="","",'NEW ACCOUNT'!D490)</f>
        <v/>
      </c>
      <c r="E489" s="35" t="str">
        <f>IF('NEW ACCOUNT'!A490="","",'NEW ACCOUNT'!E490)</f>
        <v/>
      </c>
      <c r="F489" s="35" t="str">
        <f>IF('NEW ACCOUNT'!A490="","",'NEW ACCOUNT'!F490)</f>
        <v/>
      </c>
      <c r="G489" s="35" t="str">
        <f>IF('NEW ACCOUNT'!A490="","",'NEW ACCOUNT'!G490)</f>
        <v/>
      </c>
      <c r="H489" s="35" t="str">
        <f>IF('NEW ACCOUNT'!A490="","",'NEW ACCOUNT'!H490)</f>
        <v/>
      </c>
      <c r="I489" s="35" t="str">
        <f>IF('NEW ACCOUNT'!A490="","",'NEW ACCOUNT'!I490)</f>
        <v/>
      </c>
      <c r="J489" s="35" t="str">
        <f>IF('NEW ACCOUNT'!A490="","",'NEW ACCOUNT'!J490)</f>
        <v/>
      </c>
      <c r="K489" s="36" t="str">
        <f>IFERROR(IF(A489="","",SUMIF(DB_Savings!$A:$A,A489,DB_Savings!$F:$F)),"")</f>
        <v/>
      </c>
      <c r="L489" s="36" t="str">
        <f>IFERROR(IF(A489="","",SUMIF(DB_Withdrawals!$A:$A,A489,DB_Withdrawals!$G:$G)),"")</f>
        <v/>
      </c>
      <c r="M489" s="36" t="str">
        <f>IFERROR(IF(A489="","",IFERROR(VALUE(H489),0)+IFERROR(SUMIF(DB_Savings!$A:$A,A489,DB_Savings!$F:$F),0)-IFERROR(SUMIF(DB_Withdrawals!$A:$A,A489,DB_Withdrawals!$G:$G),0)),"")</f>
        <v/>
      </c>
      <c r="N489" s="36" t="str">
        <f>IFERROR(IF(A489="","",MAX(0,M489-System_Config!$B$9)),"")</f>
        <v/>
      </c>
    </row>
    <row r="490" spans="1:14" ht="20.100000000000001" customHeight="1" x14ac:dyDescent="0.25">
      <c r="A490" s="34" t="str">
        <f>'NEW ACCOUNT'!A491</f>
        <v/>
      </c>
      <c r="B490" s="35" t="str">
        <f>IF('NEW ACCOUNT'!A491="","",'NEW ACCOUNT'!B491)</f>
        <v/>
      </c>
      <c r="C490" s="35" t="str">
        <f>IF('NEW ACCOUNT'!A491="","",'NEW ACCOUNT'!C491)</f>
        <v/>
      </c>
      <c r="D490" s="35" t="str">
        <f>IF('NEW ACCOUNT'!A491="","",'NEW ACCOUNT'!D491)</f>
        <v/>
      </c>
      <c r="E490" s="35" t="str">
        <f>IF('NEW ACCOUNT'!A491="","",'NEW ACCOUNT'!E491)</f>
        <v/>
      </c>
      <c r="F490" s="35" t="str">
        <f>IF('NEW ACCOUNT'!A491="","",'NEW ACCOUNT'!F491)</f>
        <v/>
      </c>
      <c r="G490" s="35" t="str">
        <f>IF('NEW ACCOUNT'!A491="","",'NEW ACCOUNT'!G491)</f>
        <v/>
      </c>
      <c r="H490" s="35" t="str">
        <f>IF('NEW ACCOUNT'!A491="","",'NEW ACCOUNT'!H491)</f>
        <v/>
      </c>
      <c r="I490" s="35" t="str">
        <f>IF('NEW ACCOUNT'!A491="","",'NEW ACCOUNT'!I491)</f>
        <v/>
      </c>
      <c r="J490" s="35" t="str">
        <f>IF('NEW ACCOUNT'!A491="","",'NEW ACCOUNT'!J491)</f>
        <v/>
      </c>
      <c r="K490" s="36" t="str">
        <f>IFERROR(IF(A490="","",SUMIF(DB_Savings!$A:$A,A490,DB_Savings!$F:$F)),"")</f>
        <v/>
      </c>
      <c r="L490" s="36" t="str">
        <f>IFERROR(IF(A490="","",SUMIF(DB_Withdrawals!$A:$A,A490,DB_Withdrawals!$G:$G)),"")</f>
        <v/>
      </c>
      <c r="M490" s="36" t="str">
        <f>IFERROR(IF(A490="","",IFERROR(VALUE(H490),0)+IFERROR(SUMIF(DB_Savings!$A:$A,A490,DB_Savings!$F:$F),0)-IFERROR(SUMIF(DB_Withdrawals!$A:$A,A490,DB_Withdrawals!$G:$G),0)),"")</f>
        <v/>
      </c>
      <c r="N490" s="36" t="str">
        <f>IFERROR(IF(A490="","",MAX(0,M490-System_Config!$B$9)),"")</f>
        <v/>
      </c>
    </row>
    <row r="491" spans="1:14" ht="20.100000000000001" customHeight="1" x14ac:dyDescent="0.25">
      <c r="A491" s="34" t="str">
        <f>'NEW ACCOUNT'!A492</f>
        <v/>
      </c>
      <c r="B491" s="35" t="str">
        <f>IF('NEW ACCOUNT'!A492="","",'NEW ACCOUNT'!B492)</f>
        <v/>
      </c>
      <c r="C491" s="35" t="str">
        <f>IF('NEW ACCOUNT'!A492="","",'NEW ACCOUNT'!C492)</f>
        <v/>
      </c>
      <c r="D491" s="35" t="str">
        <f>IF('NEW ACCOUNT'!A492="","",'NEW ACCOUNT'!D492)</f>
        <v/>
      </c>
      <c r="E491" s="35" t="str">
        <f>IF('NEW ACCOUNT'!A492="","",'NEW ACCOUNT'!E492)</f>
        <v/>
      </c>
      <c r="F491" s="35" t="str">
        <f>IF('NEW ACCOUNT'!A492="","",'NEW ACCOUNT'!F492)</f>
        <v/>
      </c>
      <c r="G491" s="35" t="str">
        <f>IF('NEW ACCOUNT'!A492="","",'NEW ACCOUNT'!G492)</f>
        <v/>
      </c>
      <c r="H491" s="35" t="str">
        <f>IF('NEW ACCOUNT'!A492="","",'NEW ACCOUNT'!H492)</f>
        <v/>
      </c>
      <c r="I491" s="35" t="str">
        <f>IF('NEW ACCOUNT'!A492="","",'NEW ACCOUNT'!I492)</f>
        <v/>
      </c>
      <c r="J491" s="35" t="str">
        <f>IF('NEW ACCOUNT'!A492="","",'NEW ACCOUNT'!J492)</f>
        <v/>
      </c>
      <c r="K491" s="36" t="str">
        <f>IFERROR(IF(A491="","",SUMIF(DB_Savings!$A:$A,A491,DB_Savings!$F:$F)),"")</f>
        <v/>
      </c>
      <c r="L491" s="36" t="str">
        <f>IFERROR(IF(A491="","",SUMIF(DB_Withdrawals!$A:$A,A491,DB_Withdrawals!$G:$G)),"")</f>
        <v/>
      </c>
      <c r="M491" s="36" t="str">
        <f>IFERROR(IF(A491="","",IFERROR(VALUE(H491),0)+IFERROR(SUMIF(DB_Savings!$A:$A,A491,DB_Savings!$F:$F),0)-IFERROR(SUMIF(DB_Withdrawals!$A:$A,A491,DB_Withdrawals!$G:$G),0)),"")</f>
        <v/>
      </c>
      <c r="N491" s="36" t="str">
        <f>IFERROR(IF(A491="","",MAX(0,M491-System_Config!$B$9)),"")</f>
        <v/>
      </c>
    </row>
    <row r="492" spans="1:14" ht="20.100000000000001" customHeight="1" x14ac:dyDescent="0.25">
      <c r="A492" s="34" t="str">
        <f>'NEW ACCOUNT'!A493</f>
        <v/>
      </c>
      <c r="B492" s="35" t="str">
        <f>IF('NEW ACCOUNT'!A493="","",'NEW ACCOUNT'!B493)</f>
        <v/>
      </c>
      <c r="C492" s="35" t="str">
        <f>IF('NEW ACCOUNT'!A493="","",'NEW ACCOUNT'!C493)</f>
        <v/>
      </c>
      <c r="D492" s="35" t="str">
        <f>IF('NEW ACCOUNT'!A493="","",'NEW ACCOUNT'!D493)</f>
        <v/>
      </c>
      <c r="E492" s="35" t="str">
        <f>IF('NEW ACCOUNT'!A493="","",'NEW ACCOUNT'!E493)</f>
        <v/>
      </c>
      <c r="F492" s="35" t="str">
        <f>IF('NEW ACCOUNT'!A493="","",'NEW ACCOUNT'!F493)</f>
        <v/>
      </c>
      <c r="G492" s="35" t="str">
        <f>IF('NEW ACCOUNT'!A493="","",'NEW ACCOUNT'!G493)</f>
        <v/>
      </c>
      <c r="H492" s="35" t="str">
        <f>IF('NEW ACCOUNT'!A493="","",'NEW ACCOUNT'!H493)</f>
        <v/>
      </c>
      <c r="I492" s="35" t="str">
        <f>IF('NEW ACCOUNT'!A493="","",'NEW ACCOUNT'!I493)</f>
        <v/>
      </c>
      <c r="J492" s="35" t="str">
        <f>IF('NEW ACCOUNT'!A493="","",'NEW ACCOUNT'!J493)</f>
        <v/>
      </c>
      <c r="K492" s="36" t="str">
        <f>IFERROR(IF(A492="","",SUMIF(DB_Savings!$A:$A,A492,DB_Savings!$F:$F)),"")</f>
        <v/>
      </c>
      <c r="L492" s="36" t="str">
        <f>IFERROR(IF(A492="","",SUMIF(DB_Withdrawals!$A:$A,A492,DB_Withdrawals!$G:$G)),"")</f>
        <v/>
      </c>
      <c r="M492" s="36" t="str">
        <f>IFERROR(IF(A492="","",IFERROR(VALUE(H492),0)+IFERROR(SUMIF(DB_Savings!$A:$A,A492,DB_Savings!$F:$F),0)-IFERROR(SUMIF(DB_Withdrawals!$A:$A,A492,DB_Withdrawals!$G:$G),0)),"")</f>
        <v/>
      </c>
      <c r="N492" s="36" t="str">
        <f>IFERROR(IF(A492="","",MAX(0,M492-System_Config!$B$9)),"")</f>
        <v/>
      </c>
    </row>
    <row r="493" spans="1:14" ht="20.100000000000001" customHeight="1" x14ac:dyDescent="0.25">
      <c r="A493" s="34" t="str">
        <f>'NEW ACCOUNT'!A494</f>
        <v/>
      </c>
      <c r="B493" s="35" t="str">
        <f>IF('NEW ACCOUNT'!A494="","",'NEW ACCOUNT'!B494)</f>
        <v/>
      </c>
      <c r="C493" s="35" t="str">
        <f>IF('NEW ACCOUNT'!A494="","",'NEW ACCOUNT'!C494)</f>
        <v/>
      </c>
      <c r="D493" s="35" t="str">
        <f>IF('NEW ACCOUNT'!A494="","",'NEW ACCOUNT'!D494)</f>
        <v/>
      </c>
      <c r="E493" s="35" t="str">
        <f>IF('NEW ACCOUNT'!A494="","",'NEW ACCOUNT'!E494)</f>
        <v/>
      </c>
      <c r="F493" s="35" t="str">
        <f>IF('NEW ACCOUNT'!A494="","",'NEW ACCOUNT'!F494)</f>
        <v/>
      </c>
      <c r="G493" s="35" t="str">
        <f>IF('NEW ACCOUNT'!A494="","",'NEW ACCOUNT'!G494)</f>
        <v/>
      </c>
      <c r="H493" s="35" t="str">
        <f>IF('NEW ACCOUNT'!A494="","",'NEW ACCOUNT'!H494)</f>
        <v/>
      </c>
      <c r="I493" s="35" t="str">
        <f>IF('NEW ACCOUNT'!A494="","",'NEW ACCOUNT'!I494)</f>
        <v/>
      </c>
      <c r="J493" s="35" t="str">
        <f>IF('NEW ACCOUNT'!A494="","",'NEW ACCOUNT'!J494)</f>
        <v/>
      </c>
      <c r="K493" s="36" t="str">
        <f>IFERROR(IF(A493="","",SUMIF(DB_Savings!$A:$A,A493,DB_Savings!$F:$F)),"")</f>
        <v/>
      </c>
      <c r="L493" s="36" t="str">
        <f>IFERROR(IF(A493="","",SUMIF(DB_Withdrawals!$A:$A,A493,DB_Withdrawals!$G:$G)),"")</f>
        <v/>
      </c>
      <c r="M493" s="36" t="str">
        <f>IFERROR(IF(A493="","",IFERROR(VALUE(H493),0)+IFERROR(SUMIF(DB_Savings!$A:$A,A493,DB_Savings!$F:$F),0)-IFERROR(SUMIF(DB_Withdrawals!$A:$A,A493,DB_Withdrawals!$G:$G),0)),"")</f>
        <v/>
      </c>
      <c r="N493" s="36" t="str">
        <f>IFERROR(IF(A493="","",MAX(0,M493-System_Config!$B$9)),"")</f>
        <v/>
      </c>
    </row>
    <row r="494" spans="1:14" ht="20.100000000000001" customHeight="1" x14ac:dyDescent="0.25">
      <c r="A494" s="34" t="str">
        <f>'NEW ACCOUNT'!A495</f>
        <v/>
      </c>
      <c r="B494" s="35" t="str">
        <f>IF('NEW ACCOUNT'!A495="","",'NEW ACCOUNT'!B495)</f>
        <v/>
      </c>
      <c r="C494" s="35" t="str">
        <f>IF('NEW ACCOUNT'!A495="","",'NEW ACCOUNT'!C495)</f>
        <v/>
      </c>
      <c r="D494" s="35" t="str">
        <f>IF('NEW ACCOUNT'!A495="","",'NEW ACCOUNT'!D495)</f>
        <v/>
      </c>
      <c r="E494" s="35" t="str">
        <f>IF('NEW ACCOUNT'!A495="","",'NEW ACCOUNT'!E495)</f>
        <v/>
      </c>
      <c r="F494" s="35" t="str">
        <f>IF('NEW ACCOUNT'!A495="","",'NEW ACCOUNT'!F495)</f>
        <v/>
      </c>
      <c r="G494" s="35" t="str">
        <f>IF('NEW ACCOUNT'!A495="","",'NEW ACCOUNT'!G495)</f>
        <v/>
      </c>
      <c r="H494" s="35" t="str">
        <f>IF('NEW ACCOUNT'!A495="","",'NEW ACCOUNT'!H495)</f>
        <v/>
      </c>
      <c r="I494" s="35" t="str">
        <f>IF('NEW ACCOUNT'!A495="","",'NEW ACCOUNT'!I495)</f>
        <v/>
      </c>
      <c r="J494" s="35" t="str">
        <f>IF('NEW ACCOUNT'!A495="","",'NEW ACCOUNT'!J495)</f>
        <v/>
      </c>
      <c r="K494" s="36" t="str">
        <f>IFERROR(IF(A494="","",SUMIF(DB_Savings!$A:$A,A494,DB_Savings!$F:$F)),"")</f>
        <v/>
      </c>
      <c r="L494" s="36" t="str">
        <f>IFERROR(IF(A494="","",SUMIF(DB_Withdrawals!$A:$A,A494,DB_Withdrawals!$G:$G)),"")</f>
        <v/>
      </c>
      <c r="M494" s="36" t="str">
        <f>IFERROR(IF(A494="","",IFERROR(VALUE(H494),0)+IFERROR(SUMIF(DB_Savings!$A:$A,A494,DB_Savings!$F:$F),0)-IFERROR(SUMIF(DB_Withdrawals!$A:$A,A494,DB_Withdrawals!$G:$G),0)),"")</f>
        <v/>
      </c>
      <c r="N494" s="36" t="str">
        <f>IFERROR(IF(A494="","",MAX(0,M494-System_Config!$B$9)),"")</f>
        <v/>
      </c>
    </row>
    <row r="495" spans="1:14" ht="20.100000000000001" customHeight="1" x14ac:dyDescent="0.25">
      <c r="A495" s="34" t="str">
        <f>'NEW ACCOUNT'!A496</f>
        <v/>
      </c>
      <c r="B495" s="35" t="str">
        <f>IF('NEW ACCOUNT'!A496="","",'NEW ACCOUNT'!B496)</f>
        <v/>
      </c>
      <c r="C495" s="35" t="str">
        <f>IF('NEW ACCOUNT'!A496="","",'NEW ACCOUNT'!C496)</f>
        <v/>
      </c>
      <c r="D495" s="35" t="str">
        <f>IF('NEW ACCOUNT'!A496="","",'NEW ACCOUNT'!D496)</f>
        <v/>
      </c>
      <c r="E495" s="35" t="str">
        <f>IF('NEW ACCOUNT'!A496="","",'NEW ACCOUNT'!E496)</f>
        <v/>
      </c>
      <c r="F495" s="35" t="str">
        <f>IF('NEW ACCOUNT'!A496="","",'NEW ACCOUNT'!F496)</f>
        <v/>
      </c>
      <c r="G495" s="35" t="str">
        <f>IF('NEW ACCOUNT'!A496="","",'NEW ACCOUNT'!G496)</f>
        <v/>
      </c>
      <c r="H495" s="35" t="str">
        <f>IF('NEW ACCOUNT'!A496="","",'NEW ACCOUNT'!H496)</f>
        <v/>
      </c>
      <c r="I495" s="35" t="str">
        <f>IF('NEW ACCOUNT'!A496="","",'NEW ACCOUNT'!I496)</f>
        <v/>
      </c>
      <c r="J495" s="35" t="str">
        <f>IF('NEW ACCOUNT'!A496="","",'NEW ACCOUNT'!J496)</f>
        <v/>
      </c>
      <c r="K495" s="36" t="str">
        <f>IFERROR(IF(A495="","",SUMIF(DB_Savings!$A:$A,A495,DB_Savings!$F:$F)),"")</f>
        <v/>
      </c>
      <c r="L495" s="36" t="str">
        <f>IFERROR(IF(A495="","",SUMIF(DB_Withdrawals!$A:$A,A495,DB_Withdrawals!$G:$G)),"")</f>
        <v/>
      </c>
      <c r="M495" s="36" t="str">
        <f>IFERROR(IF(A495="","",IFERROR(VALUE(H495),0)+IFERROR(SUMIF(DB_Savings!$A:$A,A495,DB_Savings!$F:$F),0)-IFERROR(SUMIF(DB_Withdrawals!$A:$A,A495,DB_Withdrawals!$G:$G),0)),"")</f>
        <v/>
      </c>
      <c r="N495" s="36" t="str">
        <f>IFERROR(IF(A495="","",MAX(0,M495-System_Config!$B$9)),"")</f>
        <v/>
      </c>
    </row>
    <row r="496" spans="1:14" ht="20.100000000000001" customHeight="1" x14ac:dyDescent="0.25">
      <c r="A496" s="34" t="str">
        <f>'NEW ACCOUNT'!A497</f>
        <v/>
      </c>
      <c r="B496" s="35" t="str">
        <f>IF('NEW ACCOUNT'!A497="","",'NEW ACCOUNT'!B497)</f>
        <v/>
      </c>
      <c r="C496" s="35" t="str">
        <f>IF('NEW ACCOUNT'!A497="","",'NEW ACCOUNT'!C497)</f>
        <v/>
      </c>
      <c r="D496" s="35" t="str">
        <f>IF('NEW ACCOUNT'!A497="","",'NEW ACCOUNT'!D497)</f>
        <v/>
      </c>
      <c r="E496" s="35" t="str">
        <f>IF('NEW ACCOUNT'!A497="","",'NEW ACCOUNT'!E497)</f>
        <v/>
      </c>
      <c r="F496" s="35" t="str">
        <f>IF('NEW ACCOUNT'!A497="","",'NEW ACCOUNT'!F497)</f>
        <v/>
      </c>
      <c r="G496" s="35" t="str">
        <f>IF('NEW ACCOUNT'!A497="","",'NEW ACCOUNT'!G497)</f>
        <v/>
      </c>
      <c r="H496" s="35" t="str">
        <f>IF('NEW ACCOUNT'!A497="","",'NEW ACCOUNT'!H497)</f>
        <v/>
      </c>
      <c r="I496" s="35" t="str">
        <f>IF('NEW ACCOUNT'!A497="","",'NEW ACCOUNT'!I497)</f>
        <v/>
      </c>
      <c r="J496" s="35" t="str">
        <f>IF('NEW ACCOUNT'!A497="","",'NEW ACCOUNT'!J497)</f>
        <v/>
      </c>
      <c r="K496" s="36" t="str">
        <f>IFERROR(IF(A496="","",SUMIF(DB_Savings!$A:$A,A496,DB_Savings!$F:$F)),"")</f>
        <v/>
      </c>
      <c r="L496" s="36" t="str">
        <f>IFERROR(IF(A496="","",SUMIF(DB_Withdrawals!$A:$A,A496,DB_Withdrawals!$G:$G)),"")</f>
        <v/>
      </c>
      <c r="M496" s="36" t="str">
        <f>IFERROR(IF(A496="","",IFERROR(VALUE(H496),0)+IFERROR(SUMIF(DB_Savings!$A:$A,A496,DB_Savings!$F:$F),0)-IFERROR(SUMIF(DB_Withdrawals!$A:$A,A496,DB_Withdrawals!$G:$G),0)),"")</f>
        <v/>
      </c>
      <c r="N496" s="36" t="str">
        <f>IFERROR(IF(A496="","",MAX(0,M496-System_Config!$B$9)),"")</f>
        <v/>
      </c>
    </row>
    <row r="497" spans="1:14" ht="20.100000000000001" customHeight="1" x14ac:dyDescent="0.25">
      <c r="A497" s="34" t="str">
        <f>'NEW ACCOUNT'!A498</f>
        <v/>
      </c>
      <c r="B497" s="35" t="str">
        <f>IF('NEW ACCOUNT'!A498="","",'NEW ACCOUNT'!B498)</f>
        <v/>
      </c>
      <c r="C497" s="35" t="str">
        <f>IF('NEW ACCOUNT'!A498="","",'NEW ACCOUNT'!C498)</f>
        <v/>
      </c>
      <c r="D497" s="35" t="str">
        <f>IF('NEW ACCOUNT'!A498="","",'NEW ACCOUNT'!D498)</f>
        <v/>
      </c>
      <c r="E497" s="35" t="str">
        <f>IF('NEW ACCOUNT'!A498="","",'NEW ACCOUNT'!E498)</f>
        <v/>
      </c>
      <c r="F497" s="35" t="str">
        <f>IF('NEW ACCOUNT'!A498="","",'NEW ACCOUNT'!F498)</f>
        <v/>
      </c>
      <c r="G497" s="35" t="str">
        <f>IF('NEW ACCOUNT'!A498="","",'NEW ACCOUNT'!G498)</f>
        <v/>
      </c>
      <c r="H497" s="35" t="str">
        <f>IF('NEW ACCOUNT'!A498="","",'NEW ACCOUNT'!H498)</f>
        <v/>
      </c>
      <c r="I497" s="35" t="str">
        <f>IF('NEW ACCOUNT'!A498="","",'NEW ACCOUNT'!I498)</f>
        <v/>
      </c>
      <c r="J497" s="35" t="str">
        <f>IF('NEW ACCOUNT'!A498="","",'NEW ACCOUNT'!J498)</f>
        <v/>
      </c>
      <c r="K497" s="36" t="str">
        <f>IFERROR(IF(A497="","",SUMIF(DB_Savings!$A:$A,A497,DB_Savings!$F:$F)),"")</f>
        <v/>
      </c>
      <c r="L497" s="36" t="str">
        <f>IFERROR(IF(A497="","",SUMIF(DB_Withdrawals!$A:$A,A497,DB_Withdrawals!$G:$G)),"")</f>
        <v/>
      </c>
      <c r="M497" s="36" t="str">
        <f>IFERROR(IF(A497="","",IFERROR(VALUE(H497),0)+IFERROR(SUMIF(DB_Savings!$A:$A,A497,DB_Savings!$F:$F),0)-IFERROR(SUMIF(DB_Withdrawals!$A:$A,A497,DB_Withdrawals!$G:$G),0)),"")</f>
        <v/>
      </c>
      <c r="N497" s="36" t="str">
        <f>IFERROR(IF(A497="","",MAX(0,M497-System_Config!$B$9)),"")</f>
        <v/>
      </c>
    </row>
    <row r="498" spans="1:14" ht="20.100000000000001" customHeight="1" x14ac:dyDescent="0.25">
      <c r="A498" s="34" t="str">
        <f>'NEW ACCOUNT'!A499</f>
        <v/>
      </c>
      <c r="B498" s="35" t="str">
        <f>IF('NEW ACCOUNT'!A499="","",'NEW ACCOUNT'!B499)</f>
        <v/>
      </c>
      <c r="C498" s="35" t="str">
        <f>IF('NEW ACCOUNT'!A499="","",'NEW ACCOUNT'!C499)</f>
        <v/>
      </c>
      <c r="D498" s="35" t="str">
        <f>IF('NEW ACCOUNT'!A499="","",'NEW ACCOUNT'!D499)</f>
        <v/>
      </c>
      <c r="E498" s="35" t="str">
        <f>IF('NEW ACCOUNT'!A499="","",'NEW ACCOUNT'!E499)</f>
        <v/>
      </c>
      <c r="F498" s="35" t="str">
        <f>IF('NEW ACCOUNT'!A499="","",'NEW ACCOUNT'!F499)</f>
        <v/>
      </c>
      <c r="G498" s="35" t="str">
        <f>IF('NEW ACCOUNT'!A499="","",'NEW ACCOUNT'!G499)</f>
        <v/>
      </c>
      <c r="H498" s="35" t="str">
        <f>IF('NEW ACCOUNT'!A499="","",'NEW ACCOUNT'!H499)</f>
        <v/>
      </c>
      <c r="I498" s="35" t="str">
        <f>IF('NEW ACCOUNT'!A499="","",'NEW ACCOUNT'!I499)</f>
        <v/>
      </c>
      <c r="J498" s="35" t="str">
        <f>IF('NEW ACCOUNT'!A499="","",'NEW ACCOUNT'!J499)</f>
        <v/>
      </c>
      <c r="K498" s="36" t="str">
        <f>IFERROR(IF(A498="","",SUMIF(DB_Savings!$A:$A,A498,DB_Savings!$F:$F)),"")</f>
        <v/>
      </c>
      <c r="L498" s="36" t="str">
        <f>IFERROR(IF(A498="","",SUMIF(DB_Withdrawals!$A:$A,A498,DB_Withdrawals!$G:$G)),"")</f>
        <v/>
      </c>
      <c r="M498" s="36" t="str">
        <f>IFERROR(IF(A498="","",IFERROR(VALUE(H498),0)+IFERROR(SUMIF(DB_Savings!$A:$A,A498,DB_Savings!$F:$F),0)-IFERROR(SUMIF(DB_Withdrawals!$A:$A,A498,DB_Withdrawals!$G:$G),0)),"")</f>
        <v/>
      </c>
      <c r="N498" s="36" t="str">
        <f>IFERROR(IF(A498="","",MAX(0,M498-System_Config!$B$9)),"")</f>
        <v/>
      </c>
    </row>
    <row r="499" spans="1:14" ht="20.100000000000001" customHeight="1" x14ac:dyDescent="0.25">
      <c r="A499" s="34" t="str">
        <f>'NEW ACCOUNT'!A500</f>
        <v/>
      </c>
      <c r="B499" s="35" t="str">
        <f>IF('NEW ACCOUNT'!A500="","",'NEW ACCOUNT'!B500)</f>
        <v/>
      </c>
      <c r="C499" s="35" t="str">
        <f>IF('NEW ACCOUNT'!A500="","",'NEW ACCOUNT'!C500)</f>
        <v/>
      </c>
      <c r="D499" s="35" t="str">
        <f>IF('NEW ACCOUNT'!A500="","",'NEW ACCOUNT'!D500)</f>
        <v/>
      </c>
      <c r="E499" s="35" t="str">
        <f>IF('NEW ACCOUNT'!A500="","",'NEW ACCOUNT'!E500)</f>
        <v/>
      </c>
      <c r="F499" s="35" t="str">
        <f>IF('NEW ACCOUNT'!A500="","",'NEW ACCOUNT'!F500)</f>
        <v/>
      </c>
      <c r="G499" s="35" t="str">
        <f>IF('NEW ACCOUNT'!A500="","",'NEW ACCOUNT'!G500)</f>
        <v/>
      </c>
      <c r="H499" s="35" t="str">
        <f>IF('NEW ACCOUNT'!A500="","",'NEW ACCOUNT'!H500)</f>
        <v/>
      </c>
      <c r="I499" s="35" t="str">
        <f>IF('NEW ACCOUNT'!A500="","",'NEW ACCOUNT'!I500)</f>
        <v/>
      </c>
      <c r="J499" s="35" t="str">
        <f>IF('NEW ACCOUNT'!A500="","",'NEW ACCOUNT'!J500)</f>
        <v/>
      </c>
      <c r="K499" s="36" t="str">
        <f>IFERROR(IF(A499="","",SUMIF(DB_Savings!$A:$A,A499,DB_Savings!$F:$F)),"")</f>
        <v/>
      </c>
      <c r="L499" s="36" t="str">
        <f>IFERROR(IF(A499="","",SUMIF(DB_Withdrawals!$A:$A,A499,DB_Withdrawals!$G:$G)),"")</f>
        <v/>
      </c>
      <c r="M499" s="36" t="str">
        <f>IFERROR(IF(A499="","",IFERROR(VALUE(H499),0)+IFERROR(SUMIF(DB_Savings!$A:$A,A499,DB_Savings!$F:$F),0)-IFERROR(SUMIF(DB_Withdrawals!$A:$A,A499,DB_Withdrawals!$G:$G),0)),"")</f>
        <v/>
      </c>
      <c r="N499" s="36" t="str">
        <f>IFERROR(IF(A499="","",MAX(0,M499-System_Config!$B$9)),"")</f>
        <v/>
      </c>
    </row>
    <row r="500" spans="1:14" ht="20.100000000000001" customHeight="1" x14ac:dyDescent="0.25">
      <c r="A500" s="34" t="str">
        <f>'NEW ACCOUNT'!A501</f>
        <v/>
      </c>
      <c r="B500" s="35" t="str">
        <f>IF('NEW ACCOUNT'!A501="","",'NEW ACCOUNT'!B501)</f>
        <v/>
      </c>
      <c r="C500" s="35" t="str">
        <f>IF('NEW ACCOUNT'!A501="","",'NEW ACCOUNT'!C501)</f>
        <v/>
      </c>
      <c r="D500" s="35" t="str">
        <f>IF('NEW ACCOUNT'!A501="","",'NEW ACCOUNT'!D501)</f>
        <v/>
      </c>
      <c r="E500" s="35" t="str">
        <f>IF('NEW ACCOUNT'!A501="","",'NEW ACCOUNT'!E501)</f>
        <v/>
      </c>
      <c r="F500" s="35" t="str">
        <f>IF('NEW ACCOUNT'!A501="","",'NEW ACCOUNT'!F501)</f>
        <v/>
      </c>
      <c r="G500" s="35" t="str">
        <f>IF('NEW ACCOUNT'!A501="","",'NEW ACCOUNT'!G501)</f>
        <v/>
      </c>
      <c r="H500" s="35" t="str">
        <f>IF('NEW ACCOUNT'!A501="","",'NEW ACCOUNT'!H501)</f>
        <v/>
      </c>
      <c r="I500" s="35" t="str">
        <f>IF('NEW ACCOUNT'!A501="","",'NEW ACCOUNT'!I501)</f>
        <v/>
      </c>
      <c r="J500" s="35" t="str">
        <f>IF('NEW ACCOUNT'!A501="","",'NEW ACCOUNT'!J501)</f>
        <v/>
      </c>
      <c r="K500" s="36" t="str">
        <f>IFERROR(IF(A500="","",SUMIF(DB_Savings!$A:$A,A500,DB_Savings!$F:$F)),"")</f>
        <v/>
      </c>
      <c r="L500" s="36" t="str">
        <f>IFERROR(IF(A500="","",SUMIF(DB_Withdrawals!$A:$A,A500,DB_Withdrawals!$G:$G)),"")</f>
        <v/>
      </c>
      <c r="M500" s="36" t="str">
        <f>IFERROR(IF(A500="","",IFERROR(VALUE(H500),0)+IFERROR(SUMIF(DB_Savings!$A:$A,A500,DB_Savings!$F:$F),0)-IFERROR(SUMIF(DB_Withdrawals!$A:$A,A500,DB_Withdrawals!$G:$G),0)),"")</f>
        <v/>
      </c>
      <c r="N500" s="36" t="str">
        <f>IFERROR(IF(A500="","",MAX(0,M500-System_Config!$B$9)),"")</f>
        <v/>
      </c>
    </row>
    <row r="501" spans="1:14" ht="20.100000000000001" customHeight="1" x14ac:dyDescent="0.25">
      <c r="A501" s="34" t="str">
        <f>'NEW ACCOUNT'!A502</f>
        <v/>
      </c>
      <c r="B501" s="35" t="str">
        <f>IF('NEW ACCOUNT'!A502="","",'NEW ACCOUNT'!B502)</f>
        <v/>
      </c>
      <c r="C501" s="35" t="str">
        <f>IF('NEW ACCOUNT'!A502="","",'NEW ACCOUNT'!C502)</f>
        <v/>
      </c>
      <c r="D501" s="35" t="str">
        <f>IF('NEW ACCOUNT'!A502="","",'NEW ACCOUNT'!D502)</f>
        <v/>
      </c>
      <c r="E501" s="35" t="str">
        <f>IF('NEW ACCOUNT'!A502="","",'NEW ACCOUNT'!E502)</f>
        <v/>
      </c>
      <c r="F501" s="35" t="str">
        <f>IF('NEW ACCOUNT'!A502="","",'NEW ACCOUNT'!F502)</f>
        <v/>
      </c>
      <c r="G501" s="35" t="str">
        <f>IF('NEW ACCOUNT'!A502="","",'NEW ACCOUNT'!G502)</f>
        <v/>
      </c>
      <c r="H501" s="35" t="str">
        <f>IF('NEW ACCOUNT'!A502="","",'NEW ACCOUNT'!H502)</f>
        <v/>
      </c>
      <c r="I501" s="35" t="str">
        <f>IF('NEW ACCOUNT'!A502="","",'NEW ACCOUNT'!I502)</f>
        <v/>
      </c>
      <c r="J501" s="35" t="str">
        <f>IF('NEW ACCOUNT'!A502="","",'NEW ACCOUNT'!J502)</f>
        <v/>
      </c>
      <c r="K501" s="36" t="str">
        <f>IFERROR(IF(A501="","",SUMIF(DB_Savings!$A:$A,A501,DB_Savings!$F:$F)),"")</f>
        <v/>
      </c>
      <c r="L501" s="36" t="str">
        <f>IFERROR(IF(A501="","",SUMIF(DB_Withdrawals!$A:$A,A501,DB_Withdrawals!$G:$G)),"")</f>
        <v/>
      </c>
      <c r="M501" s="36" t="str">
        <f>IFERROR(IF(A501="","",IFERROR(VALUE(H501),0)+IFERROR(SUMIF(DB_Savings!$A:$A,A501,DB_Savings!$F:$F),0)-IFERROR(SUMIF(DB_Withdrawals!$A:$A,A501,DB_Withdrawals!$G:$G),0)),"")</f>
        <v/>
      </c>
      <c r="N501" s="36" t="str">
        <f>IFERROR(IF(A501="","",MAX(0,M501-System_Config!$B$9)),"")</f>
        <v/>
      </c>
    </row>
    <row r="502" spans="1:14" ht="20.100000000000001" customHeight="1" x14ac:dyDescent="0.25">
      <c r="A502" s="34" t="str">
        <f>'NEW ACCOUNT'!A503</f>
        <v/>
      </c>
      <c r="B502" s="35" t="str">
        <f>IF('NEW ACCOUNT'!A503="","",'NEW ACCOUNT'!B503)</f>
        <v/>
      </c>
      <c r="C502" s="35" t="str">
        <f>IF('NEW ACCOUNT'!A503="","",'NEW ACCOUNT'!C503)</f>
        <v/>
      </c>
      <c r="D502" s="35" t="str">
        <f>IF('NEW ACCOUNT'!A503="","",'NEW ACCOUNT'!D503)</f>
        <v/>
      </c>
      <c r="E502" s="35" t="str">
        <f>IF('NEW ACCOUNT'!A503="","",'NEW ACCOUNT'!E503)</f>
        <v/>
      </c>
      <c r="F502" s="35" t="str">
        <f>IF('NEW ACCOUNT'!A503="","",'NEW ACCOUNT'!F503)</f>
        <v/>
      </c>
      <c r="G502" s="35" t="str">
        <f>IF('NEW ACCOUNT'!A503="","",'NEW ACCOUNT'!G503)</f>
        <v/>
      </c>
      <c r="H502" s="35" t="str">
        <f>IF('NEW ACCOUNT'!A503="","",'NEW ACCOUNT'!H503)</f>
        <v/>
      </c>
      <c r="I502" s="35" t="str">
        <f>IF('NEW ACCOUNT'!A503="","",'NEW ACCOUNT'!I503)</f>
        <v/>
      </c>
      <c r="J502" s="35" t="str">
        <f>IF('NEW ACCOUNT'!A503="","",'NEW ACCOUNT'!J503)</f>
        <v/>
      </c>
      <c r="K502" s="36" t="str">
        <f>IFERROR(IF(A502="","",SUMIF(DB_Savings!$A:$A,A502,DB_Savings!$F:$F)),"")</f>
        <v/>
      </c>
      <c r="L502" s="36" t="str">
        <f>IFERROR(IF(A502="","",SUMIF(DB_Withdrawals!$A:$A,A502,DB_Withdrawals!$G:$G)),"")</f>
        <v/>
      </c>
      <c r="M502" s="36" t="str">
        <f>IFERROR(IF(A502="","",IFERROR(VALUE(H502),0)+IFERROR(SUMIF(DB_Savings!$A:$A,A502,DB_Savings!$F:$F),0)-IFERROR(SUMIF(DB_Withdrawals!$A:$A,A502,DB_Withdrawals!$G:$G),0)),"")</f>
        <v/>
      </c>
      <c r="N502" s="36" t="str">
        <f>IFERROR(IF(A502="","",MAX(0,M502-System_Config!$B$9)),"")</f>
        <v/>
      </c>
    </row>
    <row r="503" spans="1:14" ht="20.100000000000001" customHeight="1" x14ac:dyDescent="0.25">
      <c r="A503" s="34" t="str">
        <f>'NEW ACCOUNT'!A504</f>
        <v/>
      </c>
      <c r="B503" s="35" t="str">
        <f>IF('NEW ACCOUNT'!A504="","",'NEW ACCOUNT'!B504)</f>
        <v/>
      </c>
      <c r="C503" s="35" t="str">
        <f>IF('NEW ACCOUNT'!A504="","",'NEW ACCOUNT'!C504)</f>
        <v/>
      </c>
      <c r="D503" s="35" t="str">
        <f>IF('NEW ACCOUNT'!A504="","",'NEW ACCOUNT'!D504)</f>
        <v/>
      </c>
      <c r="E503" s="35" t="str">
        <f>IF('NEW ACCOUNT'!A504="","",'NEW ACCOUNT'!E504)</f>
        <v/>
      </c>
      <c r="F503" s="35" t="str">
        <f>IF('NEW ACCOUNT'!A504="","",'NEW ACCOUNT'!F504)</f>
        <v/>
      </c>
      <c r="G503" s="35" t="str">
        <f>IF('NEW ACCOUNT'!A504="","",'NEW ACCOUNT'!G504)</f>
        <v/>
      </c>
      <c r="H503" s="35" t="str">
        <f>IF('NEW ACCOUNT'!A504="","",'NEW ACCOUNT'!H504)</f>
        <v/>
      </c>
      <c r="I503" s="35" t="str">
        <f>IF('NEW ACCOUNT'!A504="","",'NEW ACCOUNT'!I504)</f>
        <v/>
      </c>
      <c r="J503" s="35" t="str">
        <f>IF('NEW ACCOUNT'!A504="","",'NEW ACCOUNT'!J504)</f>
        <v/>
      </c>
      <c r="K503" s="36" t="str">
        <f>IFERROR(IF(A503="","",SUMIF(DB_Savings!$A:$A,A503,DB_Savings!$F:$F)),"")</f>
        <v/>
      </c>
      <c r="L503" s="36" t="str">
        <f>IFERROR(IF(A503="","",SUMIF(DB_Withdrawals!$A:$A,A503,DB_Withdrawals!$G:$G)),"")</f>
        <v/>
      </c>
      <c r="M503" s="36" t="str">
        <f>IFERROR(IF(A503="","",IFERROR(VALUE(H503),0)+IFERROR(SUMIF(DB_Savings!$A:$A,A503,DB_Savings!$F:$F),0)-IFERROR(SUMIF(DB_Withdrawals!$A:$A,A503,DB_Withdrawals!$G:$G),0)),"")</f>
        <v/>
      </c>
      <c r="N503" s="36" t="str">
        <f>IFERROR(IF(A503="","",MAX(0,M503-System_Config!$B$9)),"")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75623"/>
  </sheetPr>
  <dimension ref="A1:K200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26" customWidth="1"/>
    <col min="3" max="3" width="28" customWidth="1"/>
    <col min="4" max="5" width="14" customWidth="1"/>
    <col min="6" max="7" width="16" customWidth="1"/>
    <col min="8" max="10" width="22" customWidth="1"/>
    <col min="11" max="11" width="10" customWidth="1"/>
  </cols>
  <sheetData>
    <row r="1" spans="1:11" ht="32.1" customHeight="1" x14ac:dyDescent="0.25">
      <c r="A1" s="93" t="s">
        <v>86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7.95" customHeight="1" x14ac:dyDescent="0.25">
      <c r="A2" s="92" t="s">
        <v>87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30" customHeight="1" x14ac:dyDescent="0.25">
      <c r="A3" s="19" t="s">
        <v>88</v>
      </c>
      <c r="B3" s="19" t="s">
        <v>89</v>
      </c>
      <c r="C3" s="19" t="s">
        <v>90</v>
      </c>
      <c r="D3" s="19" t="s">
        <v>45</v>
      </c>
      <c r="E3" s="19" t="s">
        <v>91</v>
      </c>
      <c r="F3" s="19" t="s">
        <v>92</v>
      </c>
      <c r="G3" s="19" t="s">
        <v>93</v>
      </c>
      <c r="H3" s="19" t="s">
        <v>77</v>
      </c>
      <c r="I3" s="19" t="s">
        <v>94</v>
      </c>
      <c r="J3" s="19" t="s">
        <v>95</v>
      </c>
      <c r="K3" s="19" t="s">
        <v>96</v>
      </c>
    </row>
    <row r="4" spans="1:11" ht="18" customHeight="1" x14ac:dyDescent="0.25">
      <c r="A4" s="37" t="str">
        <f>IF(Agent01_Savings!A9="","",Agent01_Savings!A9)</f>
        <v/>
      </c>
      <c r="B4" s="37" t="str">
        <f ca="1">IF(Agent01_Savings!A9="","","SV"&amp;TEXT(4-3,"0000")&amp;"-"&amp;TEXT(TODAY(),"YYYYMMDD"))</f>
        <v/>
      </c>
      <c r="C4" s="37" t="str">
        <f>IF(Agent01_Savings!A9="","",Agent01_Savings!B9)</f>
        <v/>
      </c>
      <c r="D4" s="37" t="str">
        <f>IF(Agent01_Savings!A9="","",Agent01_Savings!G9)</f>
        <v/>
      </c>
      <c r="E4" s="38" t="str">
        <f>IF(Agent01_Savings!A9="","",Agent01_Savings!D9)</f>
        <v/>
      </c>
      <c r="F4" s="39" t="str">
        <f>IF(Agent01_Savings!A9="","",Agent01_Savings!E9)</f>
        <v/>
      </c>
      <c r="G4" s="39" t="str">
        <f>IF(Agent01_Savings!A9="","",Agent01_Savings!F9)</f>
        <v/>
      </c>
      <c r="H4" s="37" t="str">
        <f>IF(Agent01_Savings!A9="","",Agent01_Savings!I9)</f>
        <v/>
      </c>
      <c r="I4" s="37" t="str">
        <f>IF(Agent01_Savings!A9="","",Agent01_Savings!J9)</f>
        <v/>
      </c>
      <c r="J4" s="37" t="str">
        <f>IF(Agent01_Savings!A9="","",Agent01_Savings!K9)</f>
        <v/>
      </c>
      <c r="K4" s="37" t="str">
        <f>IFERROR(IF(Agent01_Savings!A9="","",YEAR(Agent01_Savings!D9)),"")</f>
        <v/>
      </c>
    </row>
    <row r="5" spans="1:11" ht="18" customHeight="1" x14ac:dyDescent="0.25">
      <c r="A5" s="37" t="str">
        <f>IF(Agent01_Savings!A10="","",Agent01_Savings!A10)</f>
        <v/>
      </c>
      <c r="B5" s="37" t="str">
        <f ca="1">IF(Agent01_Savings!A10="","","SV"&amp;TEXT(5-3,"0000")&amp;"-"&amp;TEXT(TODAY(),"YYYYMMDD"))</f>
        <v/>
      </c>
      <c r="C5" s="37" t="str">
        <f>IF(Agent01_Savings!A10="","",Agent01_Savings!B10)</f>
        <v/>
      </c>
      <c r="D5" s="37" t="str">
        <f>IF(Agent01_Savings!A10="","",Agent01_Savings!G10)</f>
        <v/>
      </c>
      <c r="E5" s="38" t="str">
        <f>IF(Agent01_Savings!A10="","",Agent01_Savings!D10)</f>
        <v/>
      </c>
      <c r="F5" s="39" t="str">
        <f>IF(Agent01_Savings!A10="","",Agent01_Savings!E10)</f>
        <v/>
      </c>
      <c r="G5" s="39" t="str">
        <f>IF(Agent01_Savings!A10="","",Agent01_Savings!F10)</f>
        <v/>
      </c>
      <c r="H5" s="37" t="str">
        <f>IF(Agent01_Savings!A10="","",Agent01_Savings!I10)</f>
        <v/>
      </c>
      <c r="I5" s="37" t="str">
        <f>IF(Agent01_Savings!A10="","",Agent01_Savings!J10)</f>
        <v/>
      </c>
      <c r="J5" s="37" t="str">
        <f>IF(Agent01_Savings!A10="","",Agent01_Savings!K10)</f>
        <v/>
      </c>
      <c r="K5" s="37" t="str">
        <f>IFERROR(IF(Agent01_Savings!A10="","",YEAR(Agent01_Savings!D10)),"")</f>
        <v/>
      </c>
    </row>
    <row r="6" spans="1:11" ht="18" customHeight="1" x14ac:dyDescent="0.25">
      <c r="A6" s="37" t="str">
        <f>IF(Agent01_Savings!A11="","",Agent01_Savings!A11)</f>
        <v/>
      </c>
      <c r="B6" s="37" t="str">
        <f ca="1">IF(Agent01_Savings!A11="","","SV"&amp;TEXT(6-3,"0000")&amp;"-"&amp;TEXT(TODAY(),"YYYYMMDD"))</f>
        <v/>
      </c>
      <c r="C6" s="37" t="str">
        <f>IF(Agent01_Savings!A11="","",Agent01_Savings!B11)</f>
        <v/>
      </c>
      <c r="D6" s="37" t="str">
        <f>IF(Agent01_Savings!A11="","",Agent01_Savings!G11)</f>
        <v/>
      </c>
      <c r="E6" s="38" t="str">
        <f>IF(Agent01_Savings!A11="","",Agent01_Savings!D11)</f>
        <v/>
      </c>
      <c r="F6" s="39" t="str">
        <f>IF(Agent01_Savings!A11="","",Agent01_Savings!E11)</f>
        <v/>
      </c>
      <c r="G6" s="39" t="str">
        <f>IF(Agent01_Savings!A11="","",Agent01_Savings!F11)</f>
        <v/>
      </c>
      <c r="H6" s="37" t="str">
        <f>IF(Agent01_Savings!A11="","",Agent01_Savings!I11)</f>
        <v/>
      </c>
      <c r="I6" s="37" t="str">
        <f>IF(Agent01_Savings!A11="","",Agent01_Savings!J11)</f>
        <v/>
      </c>
      <c r="J6" s="37" t="str">
        <f>IF(Agent01_Savings!A11="","",Agent01_Savings!K11)</f>
        <v/>
      </c>
      <c r="K6" s="37" t="str">
        <f>IFERROR(IF(Agent01_Savings!A11="","",YEAR(Agent01_Savings!D11)),"")</f>
        <v/>
      </c>
    </row>
    <row r="7" spans="1:11" ht="18" customHeight="1" x14ac:dyDescent="0.25">
      <c r="A7" s="37" t="str">
        <f>IF(Agent01_Savings!A12="","",Agent01_Savings!A12)</f>
        <v/>
      </c>
      <c r="B7" s="37" t="str">
        <f ca="1">IF(Agent01_Savings!A12="","","SV"&amp;TEXT(7-3,"0000")&amp;"-"&amp;TEXT(TODAY(),"YYYYMMDD"))</f>
        <v/>
      </c>
      <c r="C7" s="37" t="str">
        <f>IF(Agent01_Savings!A12="","",Agent01_Savings!B12)</f>
        <v/>
      </c>
      <c r="D7" s="37" t="str">
        <f>IF(Agent01_Savings!A12="","",Agent01_Savings!G12)</f>
        <v/>
      </c>
      <c r="E7" s="38" t="str">
        <f>IF(Agent01_Savings!A12="","",Agent01_Savings!D12)</f>
        <v/>
      </c>
      <c r="F7" s="39" t="str">
        <f>IF(Agent01_Savings!A12="","",Agent01_Savings!E12)</f>
        <v/>
      </c>
      <c r="G7" s="39" t="str">
        <f>IF(Agent01_Savings!A12="","",Agent01_Savings!F12)</f>
        <v/>
      </c>
      <c r="H7" s="37" t="str">
        <f>IF(Agent01_Savings!A12="","",Agent01_Savings!I12)</f>
        <v/>
      </c>
      <c r="I7" s="37" t="str">
        <f>IF(Agent01_Savings!A12="","",Agent01_Savings!J12)</f>
        <v/>
      </c>
      <c r="J7" s="37" t="str">
        <f>IF(Agent01_Savings!A12="","",Agent01_Savings!K12)</f>
        <v/>
      </c>
      <c r="K7" s="37" t="str">
        <f>IFERROR(IF(Agent01_Savings!A12="","",YEAR(Agent01_Savings!D12)),"")</f>
        <v/>
      </c>
    </row>
    <row r="8" spans="1:11" ht="18" customHeight="1" x14ac:dyDescent="0.25">
      <c r="A8" s="37" t="str">
        <f>IF(Agent01_Savings!A13="","",Agent01_Savings!A13)</f>
        <v/>
      </c>
      <c r="B8" s="37" t="str">
        <f ca="1">IF(Agent01_Savings!A13="","","SV"&amp;TEXT(8-3,"0000")&amp;"-"&amp;TEXT(TODAY(),"YYYYMMDD"))</f>
        <v/>
      </c>
      <c r="C8" s="37" t="str">
        <f>IF(Agent01_Savings!A13="","",Agent01_Savings!B13)</f>
        <v/>
      </c>
      <c r="D8" s="37" t="str">
        <f>IF(Agent01_Savings!A13="","",Agent01_Savings!G13)</f>
        <v/>
      </c>
      <c r="E8" s="38" t="str">
        <f>IF(Agent01_Savings!A13="","",Agent01_Savings!D13)</f>
        <v/>
      </c>
      <c r="F8" s="39" t="str">
        <f>IF(Agent01_Savings!A13="","",Agent01_Savings!E13)</f>
        <v/>
      </c>
      <c r="G8" s="39" t="str">
        <f>IF(Agent01_Savings!A13="","",Agent01_Savings!F13)</f>
        <v/>
      </c>
      <c r="H8" s="37" t="str">
        <f>IF(Agent01_Savings!A13="","",Agent01_Savings!I13)</f>
        <v/>
      </c>
      <c r="I8" s="37" t="str">
        <f>IF(Agent01_Savings!A13="","",Agent01_Savings!J13)</f>
        <v/>
      </c>
      <c r="J8" s="37" t="str">
        <f>IF(Agent01_Savings!A13="","",Agent01_Savings!K13)</f>
        <v/>
      </c>
      <c r="K8" s="37" t="str">
        <f>IFERROR(IF(Agent01_Savings!A13="","",YEAR(Agent01_Savings!D13)),"")</f>
        <v/>
      </c>
    </row>
    <row r="9" spans="1:11" ht="18" customHeight="1" x14ac:dyDescent="0.25">
      <c r="A9" s="37" t="str">
        <f>IF(Agent01_Savings!A14="","",Agent01_Savings!A14)</f>
        <v/>
      </c>
      <c r="B9" s="37" t="str">
        <f ca="1">IF(Agent01_Savings!A14="","","SV"&amp;TEXT(9-3,"0000")&amp;"-"&amp;TEXT(TODAY(),"YYYYMMDD"))</f>
        <v/>
      </c>
      <c r="C9" s="37" t="str">
        <f>IF(Agent01_Savings!A14="","",Agent01_Savings!B14)</f>
        <v/>
      </c>
      <c r="D9" s="37" t="str">
        <f>IF(Agent01_Savings!A14="","",Agent01_Savings!G14)</f>
        <v/>
      </c>
      <c r="E9" s="38" t="str">
        <f>IF(Agent01_Savings!A14="","",Agent01_Savings!D14)</f>
        <v/>
      </c>
      <c r="F9" s="39" t="str">
        <f>IF(Agent01_Savings!A14="","",Agent01_Savings!E14)</f>
        <v/>
      </c>
      <c r="G9" s="39" t="str">
        <f>IF(Agent01_Savings!A14="","",Agent01_Savings!F14)</f>
        <v/>
      </c>
      <c r="H9" s="37" t="str">
        <f>IF(Agent01_Savings!A14="","",Agent01_Savings!I14)</f>
        <v/>
      </c>
      <c r="I9" s="37" t="str">
        <f>IF(Agent01_Savings!A14="","",Agent01_Savings!J14)</f>
        <v/>
      </c>
      <c r="J9" s="37" t="str">
        <f>IF(Agent01_Savings!A14="","",Agent01_Savings!K14)</f>
        <v/>
      </c>
      <c r="K9" s="37" t="str">
        <f>IFERROR(IF(Agent01_Savings!A14="","",YEAR(Agent01_Savings!D14)),"")</f>
        <v/>
      </c>
    </row>
    <row r="10" spans="1:11" ht="18" customHeight="1" x14ac:dyDescent="0.25">
      <c r="A10" s="37" t="str">
        <f>IF(Agent01_Savings!A15="","",Agent01_Savings!A15)</f>
        <v/>
      </c>
      <c r="B10" s="37" t="str">
        <f ca="1">IF(Agent01_Savings!A15="","","SV"&amp;TEXT(10-3,"0000")&amp;"-"&amp;TEXT(TODAY(),"YYYYMMDD"))</f>
        <v/>
      </c>
      <c r="C10" s="37" t="str">
        <f>IF(Agent01_Savings!A15="","",Agent01_Savings!B15)</f>
        <v/>
      </c>
      <c r="D10" s="37" t="str">
        <f>IF(Agent01_Savings!A15="","",Agent01_Savings!G15)</f>
        <v/>
      </c>
      <c r="E10" s="38" t="str">
        <f>IF(Agent01_Savings!A15="","",Agent01_Savings!D15)</f>
        <v/>
      </c>
      <c r="F10" s="39" t="str">
        <f>IF(Agent01_Savings!A15="","",Agent01_Savings!E15)</f>
        <v/>
      </c>
      <c r="G10" s="39" t="str">
        <f>IF(Agent01_Savings!A15="","",Agent01_Savings!F15)</f>
        <v/>
      </c>
      <c r="H10" s="37" t="str">
        <f>IF(Agent01_Savings!A15="","",Agent01_Savings!I15)</f>
        <v/>
      </c>
      <c r="I10" s="37" t="str">
        <f>IF(Agent01_Savings!A15="","",Agent01_Savings!J15)</f>
        <v/>
      </c>
      <c r="J10" s="37" t="str">
        <f>IF(Agent01_Savings!A15="","",Agent01_Savings!K15)</f>
        <v/>
      </c>
      <c r="K10" s="37" t="str">
        <f>IFERROR(IF(Agent01_Savings!A15="","",YEAR(Agent01_Savings!D15)),"")</f>
        <v/>
      </c>
    </row>
    <row r="11" spans="1:11" ht="18" customHeight="1" x14ac:dyDescent="0.25">
      <c r="A11" s="37" t="str">
        <f>IF(Agent01_Savings!A16="","",Agent01_Savings!A16)</f>
        <v/>
      </c>
      <c r="B11" s="37" t="str">
        <f ca="1">IF(Agent01_Savings!A16="","","SV"&amp;TEXT(11-3,"0000")&amp;"-"&amp;TEXT(TODAY(),"YYYYMMDD"))</f>
        <v/>
      </c>
      <c r="C11" s="37" t="str">
        <f>IF(Agent01_Savings!A16="","",Agent01_Savings!B16)</f>
        <v/>
      </c>
      <c r="D11" s="37" t="str">
        <f>IF(Agent01_Savings!A16="","",Agent01_Savings!G16)</f>
        <v/>
      </c>
      <c r="E11" s="38" t="str">
        <f>IF(Agent01_Savings!A16="","",Agent01_Savings!D16)</f>
        <v/>
      </c>
      <c r="F11" s="39" t="str">
        <f>IF(Agent01_Savings!A16="","",Agent01_Savings!E16)</f>
        <v/>
      </c>
      <c r="G11" s="39" t="str">
        <f>IF(Agent01_Savings!A16="","",Agent01_Savings!F16)</f>
        <v/>
      </c>
      <c r="H11" s="37" t="str">
        <f>IF(Agent01_Savings!A16="","",Agent01_Savings!I16)</f>
        <v/>
      </c>
      <c r="I11" s="37" t="str">
        <f>IF(Agent01_Savings!A16="","",Agent01_Savings!J16)</f>
        <v/>
      </c>
      <c r="J11" s="37" t="str">
        <f>IF(Agent01_Savings!A16="","",Agent01_Savings!K16)</f>
        <v/>
      </c>
      <c r="K11" s="37" t="str">
        <f>IFERROR(IF(Agent01_Savings!A16="","",YEAR(Agent01_Savings!D16)),"")</f>
        <v/>
      </c>
    </row>
    <row r="12" spans="1:11" ht="18" customHeight="1" x14ac:dyDescent="0.25">
      <c r="A12" s="37" t="str">
        <f>IF(Agent01_Savings!A17="","",Agent01_Savings!A17)</f>
        <v/>
      </c>
      <c r="B12" s="37" t="str">
        <f ca="1">IF(Agent01_Savings!A17="","","SV"&amp;TEXT(12-3,"0000")&amp;"-"&amp;TEXT(TODAY(),"YYYYMMDD"))</f>
        <v/>
      </c>
      <c r="C12" s="37" t="str">
        <f>IF(Agent01_Savings!A17="","",Agent01_Savings!B17)</f>
        <v/>
      </c>
      <c r="D12" s="37" t="str">
        <f>IF(Agent01_Savings!A17="","",Agent01_Savings!G17)</f>
        <v/>
      </c>
      <c r="E12" s="38" t="str">
        <f>IF(Agent01_Savings!A17="","",Agent01_Savings!D17)</f>
        <v/>
      </c>
      <c r="F12" s="39" t="str">
        <f>IF(Agent01_Savings!A17="","",Agent01_Savings!E17)</f>
        <v/>
      </c>
      <c r="G12" s="39" t="str">
        <f>IF(Agent01_Savings!A17="","",Agent01_Savings!F17)</f>
        <v/>
      </c>
      <c r="H12" s="37" t="str">
        <f>IF(Agent01_Savings!A17="","",Agent01_Savings!I17)</f>
        <v/>
      </c>
      <c r="I12" s="37" t="str">
        <f>IF(Agent01_Savings!A17="","",Agent01_Savings!J17)</f>
        <v/>
      </c>
      <c r="J12" s="37" t="str">
        <f>IF(Agent01_Savings!A17="","",Agent01_Savings!K17)</f>
        <v/>
      </c>
      <c r="K12" s="37" t="str">
        <f>IFERROR(IF(Agent01_Savings!A17="","",YEAR(Agent01_Savings!D17)),"")</f>
        <v/>
      </c>
    </row>
    <row r="13" spans="1:11" ht="18" customHeight="1" x14ac:dyDescent="0.25">
      <c r="A13" s="37" t="str">
        <f>IF(Agent01_Savings!A18="","",Agent01_Savings!A18)</f>
        <v/>
      </c>
      <c r="B13" s="37" t="str">
        <f ca="1">IF(Agent01_Savings!A18="","","SV"&amp;TEXT(13-3,"0000")&amp;"-"&amp;TEXT(TODAY(),"YYYYMMDD"))</f>
        <v/>
      </c>
      <c r="C13" s="37" t="str">
        <f>IF(Agent01_Savings!A18="","",Agent01_Savings!B18)</f>
        <v/>
      </c>
      <c r="D13" s="37" t="str">
        <f>IF(Agent01_Savings!A18="","",Agent01_Savings!G18)</f>
        <v/>
      </c>
      <c r="E13" s="38" t="str">
        <f>IF(Agent01_Savings!A18="","",Agent01_Savings!D18)</f>
        <v/>
      </c>
      <c r="F13" s="39" t="str">
        <f>IF(Agent01_Savings!A18="","",Agent01_Savings!E18)</f>
        <v/>
      </c>
      <c r="G13" s="39" t="str">
        <f>IF(Agent01_Savings!A18="","",Agent01_Savings!F18)</f>
        <v/>
      </c>
      <c r="H13" s="37" t="str">
        <f>IF(Agent01_Savings!A18="","",Agent01_Savings!I18)</f>
        <v/>
      </c>
      <c r="I13" s="37" t="str">
        <f>IF(Agent01_Savings!A18="","",Agent01_Savings!J18)</f>
        <v/>
      </c>
      <c r="J13" s="37" t="str">
        <f>IF(Agent01_Savings!A18="","",Agent01_Savings!K18)</f>
        <v/>
      </c>
      <c r="K13" s="37" t="str">
        <f>IFERROR(IF(Agent01_Savings!A18="","",YEAR(Agent01_Savings!D18)),"")</f>
        <v/>
      </c>
    </row>
    <row r="14" spans="1:11" ht="18" customHeight="1" x14ac:dyDescent="0.25">
      <c r="A14" s="37" t="str">
        <f>IF(Agent01_Savings!A19="","",Agent01_Savings!A19)</f>
        <v/>
      </c>
      <c r="B14" s="37" t="str">
        <f ca="1">IF(Agent01_Savings!A19="","","SV"&amp;TEXT(14-3,"0000")&amp;"-"&amp;TEXT(TODAY(),"YYYYMMDD"))</f>
        <v/>
      </c>
      <c r="C14" s="37" t="str">
        <f>IF(Agent01_Savings!A19="","",Agent01_Savings!B19)</f>
        <v/>
      </c>
      <c r="D14" s="37" t="str">
        <f>IF(Agent01_Savings!A19="","",Agent01_Savings!G19)</f>
        <v/>
      </c>
      <c r="E14" s="38" t="str">
        <f>IF(Agent01_Savings!A19="","",Agent01_Savings!D19)</f>
        <v/>
      </c>
      <c r="F14" s="39" t="str">
        <f>IF(Agent01_Savings!A19="","",Agent01_Savings!E19)</f>
        <v/>
      </c>
      <c r="G14" s="39" t="str">
        <f>IF(Agent01_Savings!A19="","",Agent01_Savings!F19)</f>
        <v/>
      </c>
      <c r="H14" s="37" t="str">
        <f>IF(Agent01_Savings!A19="","",Agent01_Savings!I19)</f>
        <v/>
      </c>
      <c r="I14" s="37" t="str">
        <f>IF(Agent01_Savings!A19="","",Agent01_Savings!J19)</f>
        <v/>
      </c>
      <c r="J14" s="37" t="str">
        <f>IF(Agent01_Savings!A19="","",Agent01_Savings!K19)</f>
        <v/>
      </c>
      <c r="K14" s="37" t="str">
        <f>IFERROR(IF(Agent01_Savings!A19="","",YEAR(Agent01_Savings!D19)),"")</f>
        <v/>
      </c>
    </row>
    <row r="15" spans="1:11" ht="18" customHeight="1" x14ac:dyDescent="0.25">
      <c r="A15" s="37" t="str">
        <f>IF(Agent01_Savings!A20="","",Agent01_Savings!A20)</f>
        <v/>
      </c>
      <c r="B15" s="37" t="str">
        <f ca="1">IF(Agent01_Savings!A20="","","SV"&amp;TEXT(15-3,"0000")&amp;"-"&amp;TEXT(TODAY(),"YYYYMMDD"))</f>
        <v/>
      </c>
      <c r="C15" s="37" t="str">
        <f>IF(Agent01_Savings!A20="","",Agent01_Savings!B20)</f>
        <v/>
      </c>
      <c r="D15" s="37" t="str">
        <f>IF(Agent01_Savings!A20="","",Agent01_Savings!G20)</f>
        <v/>
      </c>
      <c r="E15" s="38" t="str">
        <f>IF(Agent01_Savings!A20="","",Agent01_Savings!D20)</f>
        <v/>
      </c>
      <c r="F15" s="39" t="str">
        <f>IF(Agent01_Savings!A20="","",Agent01_Savings!E20)</f>
        <v/>
      </c>
      <c r="G15" s="39" t="str">
        <f>IF(Agent01_Savings!A20="","",Agent01_Savings!F20)</f>
        <v/>
      </c>
      <c r="H15" s="37" t="str">
        <f>IF(Agent01_Savings!A20="","",Agent01_Savings!I20)</f>
        <v/>
      </c>
      <c r="I15" s="37" t="str">
        <f>IF(Agent01_Savings!A20="","",Agent01_Savings!J20)</f>
        <v/>
      </c>
      <c r="J15" s="37" t="str">
        <f>IF(Agent01_Savings!A20="","",Agent01_Savings!K20)</f>
        <v/>
      </c>
      <c r="K15" s="37" t="str">
        <f>IFERROR(IF(Agent01_Savings!A20="","",YEAR(Agent01_Savings!D20)),"")</f>
        <v/>
      </c>
    </row>
    <row r="16" spans="1:11" ht="18" customHeight="1" x14ac:dyDescent="0.25">
      <c r="A16" s="37" t="str">
        <f>IF(Agent01_Savings!A21="","",Agent01_Savings!A21)</f>
        <v/>
      </c>
      <c r="B16" s="37" t="str">
        <f ca="1">IF(Agent01_Savings!A21="","","SV"&amp;TEXT(16-3,"0000")&amp;"-"&amp;TEXT(TODAY(),"YYYYMMDD"))</f>
        <v/>
      </c>
      <c r="C16" s="37" t="str">
        <f>IF(Agent01_Savings!A21="","",Agent01_Savings!B21)</f>
        <v/>
      </c>
      <c r="D16" s="37" t="str">
        <f>IF(Agent01_Savings!A21="","",Agent01_Savings!G21)</f>
        <v/>
      </c>
      <c r="E16" s="38" t="str">
        <f>IF(Agent01_Savings!A21="","",Agent01_Savings!D21)</f>
        <v/>
      </c>
      <c r="F16" s="39" t="str">
        <f>IF(Agent01_Savings!A21="","",Agent01_Savings!E21)</f>
        <v/>
      </c>
      <c r="G16" s="39" t="str">
        <f>IF(Agent01_Savings!A21="","",Agent01_Savings!F21)</f>
        <v/>
      </c>
      <c r="H16" s="37" t="str">
        <f>IF(Agent01_Savings!A21="","",Agent01_Savings!I21)</f>
        <v/>
      </c>
      <c r="I16" s="37" t="str">
        <f>IF(Agent01_Savings!A21="","",Agent01_Savings!J21)</f>
        <v/>
      </c>
      <c r="J16" s="37" t="str">
        <f>IF(Agent01_Savings!A21="","",Agent01_Savings!K21)</f>
        <v/>
      </c>
      <c r="K16" s="37" t="str">
        <f>IFERROR(IF(Agent01_Savings!A21="","",YEAR(Agent01_Savings!D21)),"")</f>
        <v/>
      </c>
    </row>
    <row r="17" spans="1:11" ht="18" customHeight="1" x14ac:dyDescent="0.25">
      <c r="A17" s="37" t="str">
        <f>IF(Agent01_Savings!A22="","",Agent01_Savings!A22)</f>
        <v/>
      </c>
      <c r="B17" s="37" t="str">
        <f ca="1">IF(Agent01_Savings!A22="","","SV"&amp;TEXT(17-3,"0000")&amp;"-"&amp;TEXT(TODAY(),"YYYYMMDD"))</f>
        <v/>
      </c>
      <c r="C17" s="37" t="str">
        <f>IF(Agent01_Savings!A22="","",Agent01_Savings!B22)</f>
        <v/>
      </c>
      <c r="D17" s="37" t="str">
        <f>IF(Agent01_Savings!A22="","",Agent01_Savings!G22)</f>
        <v/>
      </c>
      <c r="E17" s="38" t="str">
        <f>IF(Agent01_Savings!A22="","",Agent01_Savings!D22)</f>
        <v/>
      </c>
      <c r="F17" s="39" t="str">
        <f>IF(Agent01_Savings!A22="","",Agent01_Savings!E22)</f>
        <v/>
      </c>
      <c r="G17" s="39" t="str">
        <f>IF(Agent01_Savings!A22="","",Agent01_Savings!F22)</f>
        <v/>
      </c>
      <c r="H17" s="37" t="str">
        <f>IF(Agent01_Savings!A22="","",Agent01_Savings!I22)</f>
        <v/>
      </c>
      <c r="I17" s="37" t="str">
        <f>IF(Agent01_Savings!A22="","",Agent01_Savings!J22)</f>
        <v/>
      </c>
      <c r="J17" s="37" t="str">
        <f>IF(Agent01_Savings!A22="","",Agent01_Savings!K22)</f>
        <v/>
      </c>
      <c r="K17" s="37" t="str">
        <f>IFERROR(IF(Agent01_Savings!A22="","",YEAR(Agent01_Savings!D22)),"")</f>
        <v/>
      </c>
    </row>
    <row r="18" spans="1:11" ht="18" customHeight="1" x14ac:dyDescent="0.25">
      <c r="A18" s="37" t="str">
        <f>IF(Agent01_Savings!A23="","",Agent01_Savings!A23)</f>
        <v/>
      </c>
      <c r="B18" s="37" t="str">
        <f ca="1">IF(Agent01_Savings!A23="","","SV"&amp;TEXT(18-3,"0000")&amp;"-"&amp;TEXT(TODAY(),"YYYYMMDD"))</f>
        <v/>
      </c>
      <c r="C18" s="37" t="str">
        <f>IF(Agent01_Savings!A23="","",Agent01_Savings!B23)</f>
        <v/>
      </c>
      <c r="D18" s="37" t="str">
        <f>IF(Agent01_Savings!A23="","",Agent01_Savings!G23)</f>
        <v/>
      </c>
      <c r="E18" s="38" t="str">
        <f>IF(Agent01_Savings!A23="","",Agent01_Savings!D23)</f>
        <v/>
      </c>
      <c r="F18" s="39" t="str">
        <f>IF(Agent01_Savings!A23="","",Agent01_Savings!E23)</f>
        <v/>
      </c>
      <c r="G18" s="39" t="str">
        <f>IF(Agent01_Savings!A23="","",Agent01_Savings!F23)</f>
        <v/>
      </c>
      <c r="H18" s="37" t="str">
        <f>IF(Agent01_Savings!A23="","",Agent01_Savings!I23)</f>
        <v/>
      </c>
      <c r="I18" s="37" t="str">
        <f>IF(Agent01_Savings!A23="","",Agent01_Savings!J23)</f>
        <v/>
      </c>
      <c r="J18" s="37" t="str">
        <f>IF(Agent01_Savings!A23="","",Agent01_Savings!K23)</f>
        <v/>
      </c>
      <c r="K18" s="37" t="str">
        <f>IFERROR(IF(Agent01_Savings!A23="","",YEAR(Agent01_Savings!D23)),"")</f>
        <v/>
      </c>
    </row>
    <row r="19" spans="1:11" ht="18" customHeight="1" x14ac:dyDescent="0.25">
      <c r="A19" s="37" t="str">
        <f>IF(Agent01_Savings!A24="","",Agent01_Savings!A24)</f>
        <v/>
      </c>
      <c r="B19" s="37" t="str">
        <f ca="1">IF(Agent01_Savings!A24="","","SV"&amp;TEXT(19-3,"0000")&amp;"-"&amp;TEXT(TODAY(),"YYYYMMDD"))</f>
        <v/>
      </c>
      <c r="C19" s="37" t="str">
        <f>IF(Agent01_Savings!A24="","",Agent01_Savings!B24)</f>
        <v/>
      </c>
      <c r="D19" s="37" t="str">
        <f>IF(Agent01_Savings!A24="","",Agent01_Savings!G24)</f>
        <v/>
      </c>
      <c r="E19" s="38" t="str">
        <f>IF(Agent01_Savings!A24="","",Agent01_Savings!D24)</f>
        <v/>
      </c>
      <c r="F19" s="39" t="str">
        <f>IF(Agent01_Savings!A24="","",Agent01_Savings!E24)</f>
        <v/>
      </c>
      <c r="G19" s="39" t="str">
        <f>IF(Agent01_Savings!A24="","",Agent01_Savings!F24)</f>
        <v/>
      </c>
      <c r="H19" s="37" t="str">
        <f>IF(Agent01_Savings!A24="","",Agent01_Savings!I24)</f>
        <v/>
      </c>
      <c r="I19" s="37" t="str">
        <f>IF(Agent01_Savings!A24="","",Agent01_Savings!J24)</f>
        <v/>
      </c>
      <c r="J19" s="37" t="str">
        <f>IF(Agent01_Savings!A24="","",Agent01_Savings!K24)</f>
        <v/>
      </c>
      <c r="K19" s="37" t="str">
        <f>IFERROR(IF(Agent01_Savings!A24="","",YEAR(Agent01_Savings!D24)),"")</f>
        <v/>
      </c>
    </row>
    <row r="20" spans="1:11" ht="18" customHeight="1" x14ac:dyDescent="0.25">
      <c r="A20" s="37" t="str">
        <f>IF(Agent01_Savings!A25="","",Agent01_Savings!A25)</f>
        <v/>
      </c>
      <c r="B20" s="37" t="str">
        <f ca="1">IF(Agent01_Savings!A25="","","SV"&amp;TEXT(20-3,"0000")&amp;"-"&amp;TEXT(TODAY(),"YYYYMMDD"))</f>
        <v/>
      </c>
      <c r="C20" s="37" t="str">
        <f>IF(Agent01_Savings!A25="","",Agent01_Savings!B25)</f>
        <v/>
      </c>
      <c r="D20" s="37" t="str">
        <f>IF(Agent01_Savings!A25="","",Agent01_Savings!G25)</f>
        <v/>
      </c>
      <c r="E20" s="38" t="str">
        <f>IF(Agent01_Savings!A25="","",Agent01_Savings!D25)</f>
        <v/>
      </c>
      <c r="F20" s="39" t="str">
        <f>IF(Agent01_Savings!A25="","",Agent01_Savings!E25)</f>
        <v/>
      </c>
      <c r="G20" s="39" t="str">
        <f>IF(Agent01_Savings!A25="","",Agent01_Savings!F25)</f>
        <v/>
      </c>
      <c r="H20" s="37" t="str">
        <f>IF(Agent01_Savings!A25="","",Agent01_Savings!I25)</f>
        <v/>
      </c>
      <c r="I20" s="37" t="str">
        <f>IF(Agent01_Savings!A25="","",Agent01_Savings!J25)</f>
        <v/>
      </c>
      <c r="J20" s="37" t="str">
        <f>IF(Agent01_Savings!A25="","",Agent01_Savings!K25)</f>
        <v/>
      </c>
      <c r="K20" s="37" t="str">
        <f>IFERROR(IF(Agent01_Savings!A25="","",YEAR(Agent01_Savings!D25)),"")</f>
        <v/>
      </c>
    </row>
    <row r="21" spans="1:11" ht="18" customHeight="1" x14ac:dyDescent="0.25">
      <c r="A21" s="37" t="str">
        <f>IF(Agent01_Savings!A26="","",Agent01_Savings!A26)</f>
        <v/>
      </c>
      <c r="B21" s="37" t="str">
        <f ca="1">IF(Agent01_Savings!A26="","","SV"&amp;TEXT(21-3,"0000")&amp;"-"&amp;TEXT(TODAY(),"YYYYMMDD"))</f>
        <v/>
      </c>
      <c r="C21" s="37" t="str">
        <f>IF(Agent01_Savings!A26="","",Agent01_Savings!B26)</f>
        <v/>
      </c>
      <c r="D21" s="37" t="str">
        <f>IF(Agent01_Savings!A26="","",Agent01_Savings!G26)</f>
        <v/>
      </c>
      <c r="E21" s="38" t="str">
        <f>IF(Agent01_Savings!A26="","",Agent01_Savings!D26)</f>
        <v/>
      </c>
      <c r="F21" s="39" t="str">
        <f>IF(Agent01_Savings!A26="","",Agent01_Savings!E26)</f>
        <v/>
      </c>
      <c r="G21" s="39" t="str">
        <f>IF(Agent01_Savings!A26="","",Agent01_Savings!F26)</f>
        <v/>
      </c>
      <c r="H21" s="37" t="str">
        <f>IF(Agent01_Savings!A26="","",Agent01_Savings!I26)</f>
        <v/>
      </c>
      <c r="I21" s="37" t="str">
        <f>IF(Agent01_Savings!A26="","",Agent01_Savings!J26)</f>
        <v/>
      </c>
      <c r="J21" s="37" t="str">
        <f>IF(Agent01_Savings!A26="","",Agent01_Savings!K26)</f>
        <v/>
      </c>
      <c r="K21" s="37" t="str">
        <f>IFERROR(IF(Agent01_Savings!A26="","",YEAR(Agent01_Savings!D26)),"")</f>
        <v/>
      </c>
    </row>
    <row r="22" spans="1:11" ht="18" customHeight="1" x14ac:dyDescent="0.25">
      <c r="A22" s="37" t="str">
        <f>IF(Agent01_Savings!A27="","",Agent01_Savings!A27)</f>
        <v/>
      </c>
      <c r="B22" s="37" t="str">
        <f ca="1">IF(Agent01_Savings!A27="","","SV"&amp;TEXT(22-3,"0000")&amp;"-"&amp;TEXT(TODAY(),"YYYYMMDD"))</f>
        <v/>
      </c>
      <c r="C22" s="37" t="str">
        <f>IF(Agent01_Savings!A27="","",Agent01_Savings!B27)</f>
        <v/>
      </c>
      <c r="D22" s="37" t="str">
        <f>IF(Agent01_Savings!A27="","",Agent01_Savings!G27)</f>
        <v/>
      </c>
      <c r="E22" s="38" t="str">
        <f>IF(Agent01_Savings!A27="","",Agent01_Savings!D27)</f>
        <v/>
      </c>
      <c r="F22" s="39" t="str">
        <f>IF(Agent01_Savings!A27="","",Agent01_Savings!E27)</f>
        <v/>
      </c>
      <c r="G22" s="39" t="str">
        <f>IF(Agent01_Savings!A27="","",Agent01_Savings!F27)</f>
        <v/>
      </c>
      <c r="H22" s="37" t="str">
        <f>IF(Agent01_Savings!A27="","",Agent01_Savings!I27)</f>
        <v/>
      </c>
      <c r="I22" s="37" t="str">
        <f>IF(Agent01_Savings!A27="","",Agent01_Savings!J27)</f>
        <v/>
      </c>
      <c r="J22" s="37" t="str">
        <f>IF(Agent01_Savings!A27="","",Agent01_Savings!K27)</f>
        <v/>
      </c>
      <c r="K22" s="37" t="str">
        <f>IFERROR(IF(Agent01_Savings!A27="","",YEAR(Agent01_Savings!D27)),"")</f>
        <v/>
      </c>
    </row>
    <row r="23" spans="1:11" ht="18" customHeight="1" x14ac:dyDescent="0.25">
      <c r="A23" s="37" t="str">
        <f>IF(Agent01_Savings!A28="","",Agent01_Savings!A28)</f>
        <v/>
      </c>
      <c r="B23" s="37" t="str">
        <f ca="1">IF(Agent01_Savings!A28="","","SV"&amp;TEXT(23-3,"0000")&amp;"-"&amp;TEXT(TODAY(),"YYYYMMDD"))</f>
        <v/>
      </c>
      <c r="C23" s="37" t="str">
        <f>IF(Agent01_Savings!A28="","",Agent01_Savings!B28)</f>
        <v/>
      </c>
      <c r="D23" s="37" t="str">
        <f>IF(Agent01_Savings!A28="","",Agent01_Savings!G28)</f>
        <v/>
      </c>
      <c r="E23" s="38" t="str">
        <f>IF(Agent01_Savings!A28="","",Agent01_Savings!D28)</f>
        <v/>
      </c>
      <c r="F23" s="39" t="str">
        <f>IF(Agent01_Savings!A28="","",Agent01_Savings!E28)</f>
        <v/>
      </c>
      <c r="G23" s="39" t="str">
        <f>IF(Agent01_Savings!A28="","",Agent01_Savings!F28)</f>
        <v/>
      </c>
      <c r="H23" s="37" t="str">
        <f>IF(Agent01_Savings!A28="","",Agent01_Savings!I28)</f>
        <v/>
      </c>
      <c r="I23" s="37" t="str">
        <f>IF(Agent01_Savings!A28="","",Agent01_Savings!J28)</f>
        <v/>
      </c>
      <c r="J23" s="37" t="str">
        <f>IF(Agent01_Savings!A28="","",Agent01_Savings!K28)</f>
        <v/>
      </c>
      <c r="K23" s="37" t="str">
        <f>IFERROR(IF(Agent01_Savings!A28="","",YEAR(Agent01_Savings!D28)),"")</f>
        <v/>
      </c>
    </row>
    <row r="24" spans="1:11" ht="18" customHeight="1" x14ac:dyDescent="0.25">
      <c r="A24" s="37" t="str">
        <f>IF(Agent01_Savings!A29="","",Agent01_Savings!A29)</f>
        <v/>
      </c>
      <c r="B24" s="37" t="str">
        <f ca="1">IF(Agent01_Savings!A29="","","SV"&amp;TEXT(24-3,"0000")&amp;"-"&amp;TEXT(TODAY(),"YYYYMMDD"))</f>
        <v/>
      </c>
      <c r="C24" s="37" t="str">
        <f>IF(Agent01_Savings!A29="","",Agent01_Savings!B29)</f>
        <v/>
      </c>
      <c r="D24" s="37" t="str">
        <f>IF(Agent01_Savings!A29="","",Agent01_Savings!G29)</f>
        <v/>
      </c>
      <c r="E24" s="38" t="str">
        <f>IF(Agent01_Savings!A29="","",Agent01_Savings!D29)</f>
        <v/>
      </c>
      <c r="F24" s="39" t="str">
        <f>IF(Agent01_Savings!A29="","",Agent01_Savings!E29)</f>
        <v/>
      </c>
      <c r="G24" s="39" t="str">
        <f>IF(Agent01_Savings!A29="","",Agent01_Savings!F29)</f>
        <v/>
      </c>
      <c r="H24" s="37" t="str">
        <f>IF(Agent01_Savings!A29="","",Agent01_Savings!I29)</f>
        <v/>
      </c>
      <c r="I24" s="37" t="str">
        <f>IF(Agent01_Savings!A29="","",Agent01_Savings!J29)</f>
        <v/>
      </c>
      <c r="J24" s="37" t="str">
        <f>IF(Agent01_Savings!A29="","",Agent01_Savings!K29)</f>
        <v/>
      </c>
      <c r="K24" s="37" t="str">
        <f>IFERROR(IF(Agent01_Savings!A29="","",YEAR(Agent01_Savings!D29)),"")</f>
        <v/>
      </c>
    </row>
    <row r="25" spans="1:11" ht="18" customHeight="1" x14ac:dyDescent="0.25">
      <c r="A25" s="37" t="str">
        <f>IF(Agent01_Savings!A30="","",Agent01_Savings!A30)</f>
        <v/>
      </c>
      <c r="B25" s="37" t="str">
        <f ca="1">IF(Agent01_Savings!A30="","","SV"&amp;TEXT(25-3,"0000")&amp;"-"&amp;TEXT(TODAY(),"YYYYMMDD"))</f>
        <v/>
      </c>
      <c r="C25" s="37" t="str">
        <f>IF(Agent01_Savings!A30="","",Agent01_Savings!B30)</f>
        <v/>
      </c>
      <c r="D25" s="37" t="str">
        <f>IF(Agent01_Savings!A30="","",Agent01_Savings!G30)</f>
        <v/>
      </c>
      <c r="E25" s="38" t="str">
        <f>IF(Agent01_Savings!A30="","",Agent01_Savings!D30)</f>
        <v/>
      </c>
      <c r="F25" s="39" t="str">
        <f>IF(Agent01_Savings!A30="","",Agent01_Savings!E30)</f>
        <v/>
      </c>
      <c r="G25" s="39" t="str">
        <f>IF(Agent01_Savings!A30="","",Agent01_Savings!F30)</f>
        <v/>
      </c>
      <c r="H25" s="37" t="str">
        <f>IF(Agent01_Savings!A30="","",Agent01_Savings!I30)</f>
        <v/>
      </c>
      <c r="I25" s="37" t="str">
        <f>IF(Agent01_Savings!A30="","",Agent01_Savings!J30)</f>
        <v/>
      </c>
      <c r="J25" s="37" t="str">
        <f>IF(Agent01_Savings!A30="","",Agent01_Savings!K30)</f>
        <v/>
      </c>
      <c r="K25" s="37" t="str">
        <f>IFERROR(IF(Agent01_Savings!A30="","",YEAR(Agent01_Savings!D30)),"")</f>
        <v/>
      </c>
    </row>
    <row r="26" spans="1:11" ht="18" customHeight="1" x14ac:dyDescent="0.25">
      <c r="A26" s="37" t="str">
        <f>IF(Agent01_Savings!A31="","",Agent01_Savings!A31)</f>
        <v/>
      </c>
      <c r="B26" s="37" t="str">
        <f ca="1">IF(Agent01_Savings!A31="","","SV"&amp;TEXT(26-3,"0000")&amp;"-"&amp;TEXT(TODAY(),"YYYYMMDD"))</f>
        <v/>
      </c>
      <c r="C26" s="37" t="str">
        <f>IF(Agent01_Savings!A31="","",Agent01_Savings!B31)</f>
        <v/>
      </c>
      <c r="D26" s="37" t="str">
        <f>IF(Agent01_Savings!A31="","",Agent01_Savings!G31)</f>
        <v/>
      </c>
      <c r="E26" s="38" t="str">
        <f>IF(Agent01_Savings!A31="","",Agent01_Savings!D31)</f>
        <v/>
      </c>
      <c r="F26" s="39" t="str">
        <f>IF(Agent01_Savings!A31="","",Agent01_Savings!E31)</f>
        <v/>
      </c>
      <c r="G26" s="39" t="str">
        <f>IF(Agent01_Savings!A31="","",Agent01_Savings!F31)</f>
        <v/>
      </c>
      <c r="H26" s="37" t="str">
        <f>IF(Agent01_Savings!A31="","",Agent01_Savings!I31)</f>
        <v/>
      </c>
      <c r="I26" s="37" t="str">
        <f>IF(Agent01_Savings!A31="","",Agent01_Savings!J31)</f>
        <v/>
      </c>
      <c r="J26" s="37" t="str">
        <f>IF(Agent01_Savings!A31="","",Agent01_Savings!K31)</f>
        <v/>
      </c>
      <c r="K26" s="37" t="str">
        <f>IFERROR(IF(Agent01_Savings!A31="","",YEAR(Agent01_Savings!D31)),"")</f>
        <v/>
      </c>
    </row>
    <row r="27" spans="1:11" ht="18" customHeight="1" x14ac:dyDescent="0.25">
      <c r="A27" s="37" t="str">
        <f>IF(Agent01_Savings!A32="","",Agent01_Savings!A32)</f>
        <v/>
      </c>
      <c r="B27" s="37" t="str">
        <f ca="1">IF(Agent01_Savings!A32="","","SV"&amp;TEXT(27-3,"0000")&amp;"-"&amp;TEXT(TODAY(),"YYYYMMDD"))</f>
        <v/>
      </c>
      <c r="C27" s="37" t="str">
        <f>IF(Agent01_Savings!A32="","",Agent01_Savings!B32)</f>
        <v/>
      </c>
      <c r="D27" s="37" t="str">
        <f>IF(Agent01_Savings!A32="","",Agent01_Savings!G32)</f>
        <v/>
      </c>
      <c r="E27" s="38" t="str">
        <f>IF(Agent01_Savings!A32="","",Agent01_Savings!D32)</f>
        <v/>
      </c>
      <c r="F27" s="39" t="str">
        <f>IF(Agent01_Savings!A32="","",Agent01_Savings!E32)</f>
        <v/>
      </c>
      <c r="G27" s="39" t="str">
        <f>IF(Agent01_Savings!A32="","",Agent01_Savings!F32)</f>
        <v/>
      </c>
      <c r="H27" s="37" t="str">
        <f>IF(Agent01_Savings!A32="","",Agent01_Savings!I32)</f>
        <v/>
      </c>
      <c r="I27" s="37" t="str">
        <f>IF(Agent01_Savings!A32="","",Agent01_Savings!J32)</f>
        <v/>
      </c>
      <c r="J27" s="37" t="str">
        <f>IF(Agent01_Savings!A32="","",Agent01_Savings!K32)</f>
        <v/>
      </c>
      <c r="K27" s="37" t="str">
        <f>IFERROR(IF(Agent01_Savings!A32="","",YEAR(Agent01_Savings!D32)),"")</f>
        <v/>
      </c>
    </row>
    <row r="28" spans="1:11" ht="18" customHeight="1" x14ac:dyDescent="0.25">
      <c r="A28" s="37" t="str">
        <f>IF(Agent01_Savings!A33="","",Agent01_Savings!A33)</f>
        <v/>
      </c>
      <c r="B28" s="37" t="str">
        <f ca="1">IF(Agent01_Savings!A33="","","SV"&amp;TEXT(28-3,"0000")&amp;"-"&amp;TEXT(TODAY(),"YYYYMMDD"))</f>
        <v/>
      </c>
      <c r="C28" s="37" t="str">
        <f>IF(Agent01_Savings!A33="","",Agent01_Savings!B33)</f>
        <v/>
      </c>
      <c r="D28" s="37" t="str">
        <f>IF(Agent01_Savings!A33="","",Agent01_Savings!G33)</f>
        <v/>
      </c>
      <c r="E28" s="38" t="str">
        <f>IF(Agent01_Savings!A33="","",Agent01_Savings!D33)</f>
        <v/>
      </c>
      <c r="F28" s="39" t="str">
        <f>IF(Agent01_Savings!A33="","",Agent01_Savings!E33)</f>
        <v/>
      </c>
      <c r="G28" s="39" t="str">
        <f>IF(Agent01_Savings!A33="","",Agent01_Savings!F33)</f>
        <v/>
      </c>
      <c r="H28" s="37" t="str">
        <f>IF(Agent01_Savings!A33="","",Agent01_Savings!I33)</f>
        <v/>
      </c>
      <c r="I28" s="37" t="str">
        <f>IF(Agent01_Savings!A33="","",Agent01_Savings!J33)</f>
        <v/>
      </c>
      <c r="J28" s="37" t="str">
        <f>IF(Agent01_Savings!A33="","",Agent01_Savings!K33)</f>
        <v/>
      </c>
      <c r="K28" s="37" t="str">
        <f>IFERROR(IF(Agent01_Savings!A33="","",YEAR(Agent01_Savings!D33)),"")</f>
        <v/>
      </c>
    </row>
    <row r="29" spans="1:11" ht="18" customHeight="1" x14ac:dyDescent="0.25">
      <c r="A29" s="37" t="str">
        <f>IF(Agent01_Savings!A34="","",Agent01_Savings!A34)</f>
        <v/>
      </c>
      <c r="B29" s="37" t="str">
        <f ca="1">IF(Agent01_Savings!A34="","","SV"&amp;TEXT(29-3,"0000")&amp;"-"&amp;TEXT(TODAY(),"YYYYMMDD"))</f>
        <v/>
      </c>
      <c r="C29" s="37" t="str">
        <f>IF(Agent01_Savings!A34="","",Agent01_Savings!B34)</f>
        <v/>
      </c>
      <c r="D29" s="37" t="str">
        <f>IF(Agent01_Savings!A34="","",Agent01_Savings!G34)</f>
        <v/>
      </c>
      <c r="E29" s="38" t="str">
        <f>IF(Agent01_Savings!A34="","",Agent01_Savings!D34)</f>
        <v/>
      </c>
      <c r="F29" s="39" t="str">
        <f>IF(Agent01_Savings!A34="","",Agent01_Savings!E34)</f>
        <v/>
      </c>
      <c r="G29" s="39" t="str">
        <f>IF(Agent01_Savings!A34="","",Agent01_Savings!F34)</f>
        <v/>
      </c>
      <c r="H29" s="37" t="str">
        <f>IF(Agent01_Savings!A34="","",Agent01_Savings!I34)</f>
        <v/>
      </c>
      <c r="I29" s="37" t="str">
        <f>IF(Agent01_Savings!A34="","",Agent01_Savings!J34)</f>
        <v/>
      </c>
      <c r="J29" s="37" t="str">
        <f>IF(Agent01_Savings!A34="","",Agent01_Savings!K34)</f>
        <v/>
      </c>
      <c r="K29" s="37" t="str">
        <f>IFERROR(IF(Agent01_Savings!A34="","",YEAR(Agent01_Savings!D34)),"")</f>
        <v/>
      </c>
    </row>
    <row r="30" spans="1:11" ht="18" customHeight="1" x14ac:dyDescent="0.25">
      <c r="A30" s="37" t="str">
        <f>IF(Agent01_Savings!A35="","",Agent01_Savings!A35)</f>
        <v/>
      </c>
      <c r="B30" s="37" t="str">
        <f ca="1">IF(Agent01_Savings!A35="","","SV"&amp;TEXT(30-3,"0000")&amp;"-"&amp;TEXT(TODAY(),"YYYYMMDD"))</f>
        <v/>
      </c>
      <c r="C30" s="37" t="str">
        <f>IF(Agent01_Savings!A35="","",Agent01_Savings!B35)</f>
        <v/>
      </c>
      <c r="D30" s="37" t="str">
        <f>IF(Agent01_Savings!A35="","",Agent01_Savings!G35)</f>
        <v/>
      </c>
      <c r="E30" s="38" t="str">
        <f>IF(Agent01_Savings!A35="","",Agent01_Savings!D35)</f>
        <v/>
      </c>
      <c r="F30" s="39" t="str">
        <f>IF(Agent01_Savings!A35="","",Agent01_Savings!E35)</f>
        <v/>
      </c>
      <c r="G30" s="39" t="str">
        <f>IF(Agent01_Savings!A35="","",Agent01_Savings!F35)</f>
        <v/>
      </c>
      <c r="H30" s="37" t="str">
        <f>IF(Agent01_Savings!A35="","",Agent01_Savings!I35)</f>
        <v/>
      </c>
      <c r="I30" s="37" t="str">
        <f>IF(Agent01_Savings!A35="","",Agent01_Savings!J35)</f>
        <v/>
      </c>
      <c r="J30" s="37" t="str">
        <f>IF(Agent01_Savings!A35="","",Agent01_Savings!K35)</f>
        <v/>
      </c>
      <c r="K30" s="37" t="str">
        <f>IFERROR(IF(Agent01_Savings!A35="","",YEAR(Agent01_Savings!D35)),"")</f>
        <v/>
      </c>
    </row>
    <row r="31" spans="1:11" ht="18" customHeight="1" x14ac:dyDescent="0.25">
      <c r="A31" s="37" t="str">
        <f>IF(Agent01_Savings!A36="","",Agent01_Savings!A36)</f>
        <v/>
      </c>
      <c r="B31" s="37" t="str">
        <f ca="1">IF(Agent01_Savings!A36="","","SV"&amp;TEXT(31-3,"0000")&amp;"-"&amp;TEXT(TODAY(),"YYYYMMDD"))</f>
        <v/>
      </c>
      <c r="C31" s="37" t="str">
        <f>IF(Agent01_Savings!A36="","",Agent01_Savings!B36)</f>
        <v/>
      </c>
      <c r="D31" s="37" t="str">
        <f>IF(Agent01_Savings!A36="","",Agent01_Savings!G36)</f>
        <v/>
      </c>
      <c r="E31" s="38" t="str">
        <f>IF(Agent01_Savings!A36="","",Agent01_Savings!D36)</f>
        <v/>
      </c>
      <c r="F31" s="39" t="str">
        <f>IF(Agent01_Savings!A36="","",Agent01_Savings!E36)</f>
        <v/>
      </c>
      <c r="G31" s="39" t="str">
        <f>IF(Agent01_Savings!A36="","",Agent01_Savings!F36)</f>
        <v/>
      </c>
      <c r="H31" s="37" t="str">
        <f>IF(Agent01_Savings!A36="","",Agent01_Savings!I36)</f>
        <v/>
      </c>
      <c r="I31" s="37" t="str">
        <f>IF(Agent01_Savings!A36="","",Agent01_Savings!J36)</f>
        <v/>
      </c>
      <c r="J31" s="37" t="str">
        <f>IF(Agent01_Savings!A36="","",Agent01_Savings!K36)</f>
        <v/>
      </c>
      <c r="K31" s="37" t="str">
        <f>IFERROR(IF(Agent01_Savings!A36="","",YEAR(Agent01_Savings!D36)),"")</f>
        <v/>
      </c>
    </row>
    <row r="32" spans="1:11" ht="18" customHeight="1" x14ac:dyDescent="0.25">
      <c r="A32" s="37" t="str">
        <f>IF(Agent01_Savings!A37="","",Agent01_Savings!A37)</f>
        <v/>
      </c>
      <c r="B32" s="37" t="str">
        <f ca="1">IF(Agent01_Savings!A37="","","SV"&amp;TEXT(32-3,"0000")&amp;"-"&amp;TEXT(TODAY(),"YYYYMMDD"))</f>
        <v/>
      </c>
      <c r="C32" s="37" t="str">
        <f>IF(Agent01_Savings!A37="","",Agent01_Savings!B37)</f>
        <v/>
      </c>
      <c r="D32" s="37" t="str">
        <f>IF(Agent01_Savings!A37="","",Agent01_Savings!G37)</f>
        <v/>
      </c>
      <c r="E32" s="38" t="str">
        <f>IF(Agent01_Savings!A37="","",Agent01_Savings!D37)</f>
        <v/>
      </c>
      <c r="F32" s="39" t="str">
        <f>IF(Agent01_Savings!A37="","",Agent01_Savings!E37)</f>
        <v/>
      </c>
      <c r="G32" s="39" t="str">
        <f>IF(Agent01_Savings!A37="","",Agent01_Savings!F37)</f>
        <v/>
      </c>
      <c r="H32" s="37" t="str">
        <f>IF(Agent01_Savings!A37="","",Agent01_Savings!I37)</f>
        <v/>
      </c>
      <c r="I32" s="37" t="str">
        <f>IF(Agent01_Savings!A37="","",Agent01_Savings!J37)</f>
        <v/>
      </c>
      <c r="J32" s="37" t="str">
        <f>IF(Agent01_Savings!A37="","",Agent01_Savings!K37)</f>
        <v/>
      </c>
      <c r="K32" s="37" t="str">
        <f>IFERROR(IF(Agent01_Savings!A37="","",YEAR(Agent01_Savings!D37)),"")</f>
        <v/>
      </c>
    </row>
    <row r="33" spans="1:11" ht="18" customHeight="1" x14ac:dyDescent="0.25">
      <c r="A33" s="37" t="str">
        <f>IF(Agent01_Savings!A38="","",Agent01_Savings!A38)</f>
        <v/>
      </c>
      <c r="B33" s="37" t="str">
        <f ca="1">IF(Agent01_Savings!A38="","","SV"&amp;TEXT(33-3,"0000")&amp;"-"&amp;TEXT(TODAY(),"YYYYMMDD"))</f>
        <v/>
      </c>
      <c r="C33" s="37" t="str">
        <f>IF(Agent01_Savings!A38="","",Agent01_Savings!B38)</f>
        <v/>
      </c>
      <c r="D33" s="37" t="str">
        <f>IF(Agent01_Savings!A38="","",Agent01_Savings!G38)</f>
        <v/>
      </c>
      <c r="E33" s="38" t="str">
        <f>IF(Agent01_Savings!A38="","",Agent01_Savings!D38)</f>
        <v/>
      </c>
      <c r="F33" s="39" t="str">
        <f>IF(Agent01_Savings!A38="","",Agent01_Savings!E38)</f>
        <v/>
      </c>
      <c r="G33" s="39" t="str">
        <f>IF(Agent01_Savings!A38="","",Agent01_Savings!F38)</f>
        <v/>
      </c>
      <c r="H33" s="37" t="str">
        <f>IF(Agent01_Savings!A38="","",Agent01_Savings!I38)</f>
        <v/>
      </c>
      <c r="I33" s="37" t="str">
        <f>IF(Agent01_Savings!A38="","",Agent01_Savings!J38)</f>
        <v/>
      </c>
      <c r="J33" s="37" t="str">
        <f>IF(Agent01_Savings!A38="","",Agent01_Savings!K38)</f>
        <v/>
      </c>
      <c r="K33" s="37" t="str">
        <f>IFERROR(IF(Agent01_Savings!A38="","",YEAR(Agent01_Savings!D38)),"")</f>
        <v/>
      </c>
    </row>
    <row r="34" spans="1:11" ht="18" customHeight="1" x14ac:dyDescent="0.25">
      <c r="A34" s="37" t="str">
        <f>IF(Agent01_Savings!A39="","",Agent01_Savings!A39)</f>
        <v/>
      </c>
      <c r="B34" s="37" t="str">
        <f ca="1">IF(Agent01_Savings!A39="","","SV"&amp;TEXT(34-3,"0000")&amp;"-"&amp;TEXT(TODAY(),"YYYYMMDD"))</f>
        <v/>
      </c>
      <c r="C34" s="37" t="str">
        <f>IF(Agent01_Savings!A39="","",Agent01_Savings!B39)</f>
        <v/>
      </c>
      <c r="D34" s="37" t="str">
        <f>IF(Agent01_Savings!A39="","",Agent01_Savings!G39)</f>
        <v/>
      </c>
      <c r="E34" s="38" t="str">
        <f>IF(Agent01_Savings!A39="","",Agent01_Savings!D39)</f>
        <v/>
      </c>
      <c r="F34" s="39" t="str">
        <f>IF(Agent01_Savings!A39="","",Agent01_Savings!E39)</f>
        <v/>
      </c>
      <c r="G34" s="39" t="str">
        <f>IF(Agent01_Savings!A39="","",Agent01_Savings!F39)</f>
        <v/>
      </c>
      <c r="H34" s="37" t="str">
        <f>IF(Agent01_Savings!A39="","",Agent01_Savings!I39)</f>
        <v/>
      </c>
      <c r="I34" s="37" t="str">
        <f>IF(Agent01_Savings!A39="","",Agent01_Savings!J39)</f>
        <v/>
      </c>
      <c r="J34" s="37" t="str">
        <f>IF(Agent01_Savings!A39="","",Agent01_Savings!K39)</f>
        <v/>
      </c>
      <c r="K34" s="37" t="str">
        <f>IFERROR(IF(Agent01_Savings!A39="","",YEAR(Agent01_Savings!D39)),"")</f>
        <v/>
      </c>
    </row>
    <row r="35" spans="1:11" ht="18" customHeight="1" x14ac:dyDescent="0.25">
      <c r="A35" s="37" t="str">
        <f>IF(Agent01_Savings!A40="","",Agent01_Savings!A40)</f>
        <v/>
      </c>
      <c r="B35" s="37" t="str">
        <f ca="1">IF(Agent01_Savings!A40="","","SV"&amp;TEXT(35-3,"0000")&amp;"-"&amp;TEXT(TODAY(),"YYYYMMDD"))</f>
        <v/>
      </c>
      <c r="C35" s="37" t="str">
        <f>IF(Agent01_Savings!A40="","",Agent01_Savings!B40)</f>
        <v/>
      </c>
      <c r="D35" s="37" t="str">
        <f>IF(Agent01_Savings!A40="","",Agent01_Savings!G40)</f>
        <v/>
      </c>
      <c r="E35" s="38" t="str">
        <f>IF(Agent01_Savings!A40="","",Agent01_Savings!D40)</f>
        <v/>
      </c>
      <c r="F35" s="39" t="str">
        <f>IF(Agent01_Savings!A40="","",Agent01_Savings!E40)</f>
        <v/>
      </c>
      <c r="G35" s="39" t="str">
        <f>IF(Agent01_Savings!A40="","",Agent01_Savings!F40)</f>
        <v/>
      </c>
      <c r="H35" s="37" t="str">
        <f>IF(Agent01_Savings!A40="","",Agent01_Savings!I40)</f>
        <v/>
      </c>
      <c r="I35" s="37" t="str">
        <f>IF(Agent01_Savings!A40="","",Agent01_Savings!J40)</f>
        <v/>
      </c>
      <c r="J35" s="37" t="str">
        <f>IF(Agent01_Savings!A40="","",Agent01_Savings!K40)</f>
        <v/>
      </c>
      <c r="K35" s="37" t="str">
        <f>IFERROR(IF(Agent01_Savings!A40="","",YEAR(Agent01_Savings!D40)),"")</f>
        <v/>
      </c>
    </row>
    <row r="36" spans="1:11" ht="18" customHeight="1" x14ac:dyDescent="0.25">
      <c r="A36" s="37" t="str">
        <f>IF(Agent01_Savings!A41="","",Agent01_Savings!A41)</f>
        <v/>
      </c>
      <c r="B36" s="37" t="str">
        <f ca="1">IF(Agent01_Savings!A41="","","SV"&amp;TEXT(36-3,"0000")&amp;"-"&amp;TEXT(TODAY(),"YYYYMMDD"))</f>
        <v/>
      </c>
      <c r="C36" s="37" t="str">
        <f>IF(Agent01_Savings!A41="","",Agent01_Savings!B41)</f>
        <v/>
      </c>
      <c r="D36" s="37" t="str">
        <f>IF(Agent01_Savings!A41="","",Agent01_Savings!G41)</f>
        <v/>
      </c>
      <c r="E36" s="38" t="str">
        <f>IF(Agent01_Savings!A41="","",Agent01_Savings!D41)</f>
        <v/>
      </c>
      <c r="F36" s="39" t="str">
        <f>IF(Agent01_Savings!A41="","",Agent01_Savings!E41)</f>
        <v/>
      </c>
      <c r="G36" s="39" t="str">
        <f>IF(Agent01_Savings!A41="","",Agent01_Savings!F41)</f>
        <v/>
      </c>
      <c r="H36" s="37" t="str">
        <f>IF(Agent01_Savings!A41="","",Agent01_Savings!I41)</f>
        <v/>
      </c>
      <c r="I36" s="37" t="str">
        <f>IF(Agent01_Savings!A41="","",Agent01_Savings!J41)</f>
        <v/>
      </c>
      <c r="J36" s="37" t="str">
        <f>IF(Agent01_Savings!A41="","",Agent01_Savings!K41)</f>
        <v/>
      </c>
      <c r="K36" s="37" t="str">
        <f>IFERROR(IF(Agent01_Savings!A41="","",YEAR(Agent01_Savings!D41)),"")</f>
        <v/>
      </c>
    </row>
    <row r="37" spans="1:11" ht="18" customHeight="1" x14ac:dyDescent="0.25">
      <c r="A37" s="37" t="str">
        <f>IF(Agent01_Savings!A42="","",Agent01_Savings!A42)</f>
        <v/>
      </c>
      <c r="B37" s="37" t="str">
        <f ca="1">IF(Agent01_Savings!A42="","","SV"&amp;TEXT(37-3,"0000")&amp;"-"&amp;TEXT(TODAY(),"YYYYMMDD"))</f>
        <v/>
      </c>
      <c r="C37" s="37" t="str">
        <f>IF(Agent01_Savings!A42="","",Agent01_Savings!B42)</f>
        <v/>
      </c>
      <c r="D37" s="37" t="str">
        <f>IF(Agent01_Savings!A42="","",Agent01_Savings!G42)</f>
        <v/>
      </c>
      <c r="E37" s="38" t="str">
        <f>IF(Agent01_Savings!A42="","",Agent01_Savings!D42)</f>
        <v/>
      </c>
      <c r="F37" s="39" t="str">
        <f>IF(Agent01_Savings!A42="","",Agent01_Savings!E42)</f>
        <v/>
      </c>
      <c r="G37" s="39" t="str">
        <f>IF(Agent01_Savings!A42="","",Agent01_Savings!F42)</f>
        <v/>
      </c>
      <c r="H37" s="37" t="str">
        <f>IF(Agent01_Savings!A42="","",Agent01_Savings!I42)</f>
        <v/>
      </c>
      <c r="I37" s="37" t="str">
        <f>IF(Agent01_Savings!A42="","",Agent01_Savings!J42)</f>
        <v/>
      </c>
      <c r="J37" s="37" t="str">
        <f>IF(Agent01_Savings!A42="","",Agent01_Savings!K42)</f>
        <v/>
      </c>
      <c r="K37" s="37" t="str">
        <f>IFERROR(IF(Agent01_Savings!A42="","",YEAR(Agent01_Savings!D42)),"")</f>
        <v/>
      </c>
    </row>
    <row r="38" spans="1:11" ht="18" customHeight="1" x14ac:dyDescent="0.25">
      <c r="A38" s="37" t="str">
        <f>IF(Agent01_Savings!A43="","",Agent01_Savings!A43)</f>
        <v/>
      </c>
      <c r="B38" s="37" t="str">
        <f ca="1">IF(Agent01_Savings!A43="","","SV"&amp;TEXT(38-3,"0000")&amp;"-"&amp;TEXT(TODAY(),"YYYYMMDD"))</f>
        <v/>
      </c>
      <c r="C38" s="37" t="str">
        <f>IF(Agent01_Savings!A43="","",Agent01_Savings!B43)</f>
        <v/>
      </c>
      <c r="D38" s="37" t="str">
        <f>IF(Agent01_Savings!A43="","",Agent01_Savings!G43)</f>
        <v/>
      </c>
      <c r="E38" s="38" t="str">
        <f>IF(Agent01_Savings!A43="","",Agent01_Savings!D43)</f>
        <v/>
      </c>
      <c r="F38" s="39" t="str">
        <f>IF(Agent01_Savings!A43="","",Agent01_Savings!E43)</f>
        <v/>
      </c>
      <c r="G38" s="39" t="str">
        <f>IF(Agent01_Savings!A43="","",Agent01_Savings!F43)</f>
        <v/>
      </c>
      <c r="H38" s="37" t="str">
        <f>IF(Agent01_Savings!A43="","",Agent01_Savings!I43)</f>
        <v/>
      </c>
      <c r="I38" s="37" t="str">
        <f>IF(Agent01_Savings!A43="","",Agent01_Savings!J43)</f>
        <v/>
      </c>
      <c r="J38" s="37" t="str">
        <f>IF(Agent01_Savings!A43="","",Agent01_Savings!K43)</f>
        <v/>
      </c>
      <c r="K38" s="37" t="str">
        <f>IFERROR(IF(Agent01_Savings!A43="","",YEAR(Agent01_Savings!D43)),"")</f>
        <v/>
      </c>
    </row>
    <row r="39" spans="1:11" ht="18" customHeight="1" x14ac:dyDescent="0.25">
      <c r="A39" s="37" t="str">
        <f>IF(Agent01_Savings!A44="","",Agent01_Savings!A44)</f>
        <v/>
      </c>
      <c r="B39" s="37" t="str">
        <f ca="1">IF(Agent01_Savings!A44="","","SV"&amp;TEXT(39-3,"0000")&amp;"-"&amp;TEXT(TODAY(),"YYYYMMDD"))</f>
        <v/>
      </c>
      <c r="C39" s="37" t="str">
        <f>IF(Agent01_Savings!A44="","",Agent01_Savings!B44)</f>
        <v/>
      </c>
      <c r="D39" s="37" t="str">
        <f>IF(Agent01_Savings!A44="","",Agent01_Savings!G44)</f>
        <v/>
      </c>
      <c r="E39" s="38" t="str">
        <f>IF(Agent01_Savings!A44="","",Agent01_Savings!D44)</f>
        <v/>
      </c>
      <c r="F39" s="39" t="str">
        <f>IF(Agent01_Savings!A44="","",Agent01_Savings!E44)</f>
        <v/>
      </c>
      <c r="G39" s="39" t="str">
        <f>IF(Agent01_Savings!A44="","",Agent01_Savings!F44)</f>
        <v/>
      </c>
      <c r="H39" s="37" t="str">
        <f>IF(Agent01_Savings!A44="","",Agent01_Savings!I44)</f>
        <v/>
      </c>
      <c r="I39" s="37" t="str">
        <f>IF(Agent01_Savings!A44="","",Agent01_Savings!J44)</f>
        <v/>
      </c>
      <c r="J39" s="37" t="str">
        <f>IF(Agent01_Savings!A44="","",Agent01_Savings!K44)</f>
        <v/>
      </c>
      <c r="K39" s="37" t="str">
        <f>IFERROR(IF(Agent01_Savings!A44="","",YEAR(Agent01_Savings!D44)),"")</f>
        <v/>
      </c>
    </row>
    <row r="40" spans="1:11" ht="18" customHeight="1" x14ac:dyDescent="0.25">
      <c r="A40" s="37" t="str">
        <f>IF(Agent01_Savings!A45="","",Agent01_Savings!A45)</f>
        <v/>
      </c>
      <c r="B40" s="37" t="str">
        <f ca="1">IF(Agent01_Savings!A45="","","SV"&amp;TEXT(40-3,"0000")&amp;"-"&amp;TEXT(TODAY(),"YYYYMMDD"))</f>
        <v/>
      </c>
      <c r="C40" s="37" t="str">
        <f>IF(Agent01_Savings!A45="","",Agent01_Savings!B45)</f>
        <v/>
      </c>
      <c r="D40" s="37" t="str">
        <f>IF(Agent01_Savings!A45="","",Agent01_Savings!G45)</f>
        <v/>
      </c>
      <c r="E40" s="38" t="str">
        <f>IF(Agent01_Savings!A45="","",Agent01_Savings!D45)</f>
        <v/>
      </c>
      <c r="F40" s="39" t="str">
        <f>IF(Agent01_Savings!A45="","",Agent01_Savings!E45)</f>
        <v/>
      </c>
      <c r="G40" s="39" t="str">
        <f>IF(Agent01_Savings!A45="","",Agent01_Savings!F45)</f>
        <v/>
      </c>
      <c r="H40" s="37" t="str">
        <f>IF(Agent01_Savings!A45="","",Agent01_Savings!I45)</f>
        <v/>
      </c>
      <c r="I40" s="37" t="str">
        <f>IF(Agent01_Savings!A45="","",Agent01_Savings!J45)</f>
        <v/>
      </c>
      <c r="J40" s="37" t="str">
        <f>IF(Agent01_Savings!A45="","",Agent01_Savings!K45)</f>
        <v/>
      </c>
      <c r="K40" s="37" t="str">
        <f>IFERROR(IF(Agent01_Savings!A45="","",YEAR(Agent01_Savings!D45)),"")</f>
        <v/>
      </c>
    </row>
    <row r="41" spans="1:11" ht="18" customHeight="1" x14ac:dyDescent="0.25">
      <c r="A41" s="37" t="str">
        <f>IF(Agent01_Savings!A46="","",Agent01_Savings!A46)</f>
        <v/>
      </c>
      <c r="B41" s="37" t="str">
        <f ca="1">IF(Agent01_Savings!A46="","","SV"&amp;TEXT(41-3,"0000")&amp;"-"&amp;TEXT(TODAY(),"YYYYMMDD"))</f>
        <v/>
      </c>
      <c r="C41" s="37" t="str">
        <f>IF(Agent01_Savings!A46="","",Agent01_Savings!B46)</f>
        <v/>
      </c>
      <c r="D41" s="37" t="str">
        <f>IF(Agent01_Savings!A46="","",Agent01_Savings!G46)</f>
        <v/>
      </c>
      <c r="E41" s="38" t="str">
        <f>IF(Agent01_Savings!A46="","",Agent01_Savings!D46)</f>
        <v/>
      </c>
      <c r="F41" s="39" t="str">
        <f>IF(Agent01_Savings!A46="","",Agent01_Savings!E46)</f>
        <v/>
      </c>
      <c r="G41" s="39" t="str">
        <f>IF(Agent01_Savings!A46="","",Agent01_Savings!F46)</f>
        <v/>
      </c>
      <c r="H41" s="37" t="str">
        <f>IF(Agent01_Savings!A46="","",Agent01_Savings!I46)</f>
        <v/>
      </c>
      <c r="I41" s="37" t="str">
        <f>IF(Agent01_Savings!A46="","",Agent01_Savings!J46)</f>
        <v/>
      </c>
      <c r="J41" s="37" t="str">
        <f>IF(Agent01_Savings!A46="","",Agent01_Savings!K46)</f>
        <v/>
      </c>
      <c r="K41" s="37" t="str">
        <f>IFERROR(IF(Agent01_Savings!A46="","",YEAR(Agent01_Savings!D46)),"")</f>
        <v/>
      </c>
    </row>
    <row r="42" spans="1:11" ht="18" customHeight="1" x14ac:dyDescent="0.25">
      <c r="A42" s="37" t="str">
        <f>IF(Agent01_Savings!A47="","",Agent01_Savings!A47)</f>
        <v/>
      </c>
      <c r="B42" s="37" t="str">
        <f ca="1">IF(Agent01_Savings!A47="","","SV"&amp;TEXT(42-3,"0000")&amp;"-"&amp;TEXT(TODAY(),"YYYYMMDD"))</f>
        <v/>
      </c>
      <c r="C42" s="37" t="str">
        <f>IF(Agent01_Savings!A47="","",Agent01_Savings!B47)</f>
        <v/>
      </c>
      <c r="D42" s="37" t="str">
        <f>IF(Agent01_Savings!A47="","",Agent01_Savings!G47)</f>
        <v/>
      </c>
      <c r="E42" s="38" t="str">
        <f>IF(Agent01_Savings!A47="","",Agent01_Savings!D47)</f>
        <v/>
      </c>
      <c r="F42" s="39" t="str">
        <f>IF(Agent01_Savings!A47="","",Agent01_Savings!E47)</f>
        <v/>
      </c>
      <c r="G42" s="39" t="str">
        <f>IF(Agent01_Savings!A47="","",Agent01_Savings!F47)</f>
        <v/>
      </c>
      <c r="H42" s="37" t="str">
        <f>IF(Agent01_Savings!A47="","",Agent01_Savings!I47)</f>
        <v/>
      </c>
      <c r="I42" s="37" t="str">
        <f>IF(Agent01_Savings!A47="","",Agent01_Savings!J47)</f>
        <v/>
      </c>
      <c r="J42" s="37" t="str">
        <f>IF(Agent01_Savings!A47="","",Agent01_Savings!K47)</f>
        <v/>
      </c>
      <c r="K42" s="37" t="str">
        <f>IFERROR(IF(Agent01_Savings!A47="","",YEAR(Agent01_Savings!D47)),"")</f>
        <v/>
      </c>
    </row>
    <row r="43" spans="1:11" ht="18" customHeight="1" x14ac:dyDescent="0.25">
      <c r="A43" s="37" t="str">
        <f>IF(Agent01_Savings!A48="","",Agent01_Savings!A48)</f>
        <v/>
      </c>
      <c r="B43" s="37" t="str">
        <f ca="1">IF(Agent01_Savings!A48="","","SV"&amp;TEXT(43-3,"0000")&amp;"-"&amp;TEXT(TODAY(),"YYYYMMDD"))</f>
        <v/>
      </c>
      <c r="C43" s="37" t="str">
        <f>IF(Agent01_Savings!A48="","",Agent01_Savings!B48)</f>
        <v/>
      </c>
      <c r="D43" s="37" t="str">
        <f>IF(Agent01_Savings!A48="","",Agent01_Savings!G48)</f>
        <v/>
      </c>
      <c r="E43" s="38" t="str">
        <f>IF(Agent01_Savings!A48="","",Agent01_Savings!D48)</f>
        <v/>
      </c>
      <c r="F43" s="39" t="str">
        <f>IF(Agent01_Savings!A48="","",Agent01_Savings!E48)</f>
        <v/>
      </c>
      <c r="G43" s="39" t="str">
        <f>IF(Agent01_Savings!A48="","",Agent01_Savings!F48)</f>
        <v/>
      </c>
      <c r="H43" s="37" t="str">
        <f>IF(Agent01_Savings!A48="","",Agent01_Savings!I48)</f>
        <v/>
      </c>
      <c r="I43" s="37" t="str">
        <f>IF(Agent01_Savings!A48="","",Agent01_Savings!J48)</f>
        <v/>
      </c>
      <c r="J43" s="37" t="str">
        <f>IF(Agent01_Savings!A48="","",Agent01_Savings!K48)</f>
        <v/>
      </c>
      <c r="K43" s="37" t="str">
        <f>IFERROR(IF(Agent01_Savings!A48="","",YEAR(Agent01_Savings!D48)),"")</f>
        <v/>
      </c>
    </row>
    <row r="44" spans="1:11" ht="18" customHeight="1" x14ac:dyDescent="0.25">
      <c r="A44" s="37" t="str">
        <f>IF(Agent01_Savings!A49="","",Agent01_Savings!A49)</f>
        <v/>
      </c>
      <c r="B44" s="37" t="str">
        <f ca="1">IF(Agent01_Savings!A49="","","SV"&amp;TEXT(44-3,"0000")&amp;"-"&amp;TEXT(TODAY(),"YYYYMMDD"))</f>
        <v/>
      </c>
      <c r="C44" s="37" t="str">
        <f>IF(Agent01_Savings!A49="","",Agent01_Savings!B49)</f>
        <v/>
      </c>
      <c r="D44" s="37" t="str">
        <f>IF(Agent01_Savings!A49="","",Agent01_Savings!G49)</f>
        <v/>
      </c>
      <c r="E44" s="38" t="str">
        <f>IF(Agent01_Savings!A49="","",Agent01_Savings!D49)</f>
        <v/>
      </c>
      <c r="F44" s="39" t="str">
        <f>IF(Agent01_Savings!A49="","",Agent01_Savings!E49)</f>
        <v/>
      </c>
      <c r="G44" s="39" t="str">
        <f>IF(Agent01_Savings!A49="","",Agent01_Savings!F49)</f>
        <v/>
      </c>
      <c r="H44" s="37" t="str">
        <f>IF(Agent01_Savings!A49="","",Agent01_Savings!I49)</f>
        <v/>
      </c>
      <c r="I44" s="37" t="str">
        <f>IF(Agent01_Savings!A49="","",Agent01_Savings!J49)</f>
        <v/>
      </c>
      <c r="J44" s="37" t="str">
        <f>IF(Agent01_Savings!A49="","",Agent01_Savings!K49)</f>
        <v/>
      </c>
      <c r="K44" s="37" t="str">
        <f>IFERROR(IF(Agent01_Savings!A49="","",YEAR(Agent01_Savings!D49)),"")</f>
        <v/>
      </c>
    </row>
    <row r="45" spans="1:11" ht="18" customHeight="1" x14ac:dyDescent="0.25">
      <c r="A45" s="37" t="str">
        <f>IF(Agent01_Savings!A50="","",Agent01_Savings!A50)</f>
        <v/>
      </c>
      <c r="B45" s="37" t="str">
        <f ca="1">IF(Agent01_Savings!A50="","","SV"&amp;TEXT(45-3,"0000")&amp;"-"&amp;TEXT(TODAY(),"YYYYMMDD"))</f>
        <v/>
      </c>
      <c r="C45" s="37" t="str">
        <f>IF(Agent01_Savings!A50="","",Agent01_Savings!B50)</f>
        <v/>
      </c>
      <c r="D45" s="37" t="str">
        <f>IF(Agent01_Savings!A50="","",Agent01_Savings!G50)</f>
        <v/>
      </c>
      <c r="E45" s="38" t="str">
        <f>IF(Agent01_Savings!A50="","",Agent01_Savings!D50)</f>
        <v/>
      </c>
      <c r="F45" s="39" t="str">
        <f>IF(Agent01_Savings!A50="","",Agent01_Savings!E50)</f>
        <v/>
      </c>
      <c r="G45" s="39" t="str">
        <f>IF(Agent01_Savings!A50="","",Agent01_Savings!F50)</f>
        <v/>
      </c>
      <c r="H45" s="37" t="str">
        <f>IF(Agent01_Savings!A50="","",Agent01_Savings!I50)</f>
        <v/>
      </c>
      <c r="I45" s="37" t="str">
        <f>IF(Agent01_Savings!A50="","",Agent01_Savings!J50)</f>
        <v/>
      </c>
      <c r="J45" s="37" t="str">
        <f>IF(Agent01_Savings!A50="","",Agent01_Savings!K50)</f>
        <v/>
      </c>
      <c r="K45" s="37" t="str">
        <f>IFERROR(IF(Agent01_Savings!A50="","",YEAR(Agent01_Savings!D50)),"")</f>
        <v/>
      </c>
    </row>
    <row r="46" spans="1:11" ht="18" customHeight="1" x14ac:dyDescent="0.25">
      <c r="A46" s="37" t="str">
        <f>IF(Agent01_Savings!A51="","",Agent01_Savings!A51)</f>
        <v/>
      </c>
      <c r="B46" s="37" t="str">
        <f ca="1">IF(Agent01_Savings!A51="","","SV"&amp;TEXT(46-3,"0000")&amp;"-"&amp;TEXT(TODAY(),"YYYYMMDD"))</f>
        <v/>
      </c>
      <c r="C46" s="37" t="str">
        <f>IF(Agent01_Savings!A51="","",Agent01_Savings!B51)</f>
        <v/>
      </c>
      <c r="D46" s="37" t="str">
        <f>IF(Agent01_Savings!A51="","",Agent01_Savings!G51)</f>
        <v/>
      </c>
      <c r="E46" s="38" t="str">
        <f>IF(Agent01_Savings!A51="","",Agent01_Savings!D51)</f>
        <v/>
      </c>
      <c r="F46" s="39" t="str">
        <f>IF(Agent01_Savings!A51="","",Agent01_Savings!E51)</f>
        <v/>
      </c>
      <c r="G46" s="39" t="str">
        <f>IF(Agent01_Savings!A51="","",Agent01_Savings!F51)</f>
        <v/>
      </c>
      <c r="H46" s="37" t="str">
        <f>IF(Agent01_Savings!A51="","",Agent01_Savings!I51)</f>
        <v/>
      </c>
      <c r="I46" s="37" t="str">
        <f>IF(Agent01_Savings!A51="","",Agent01_Savings!J51)</f>
        <v/>
      </c>
      <c r="J46" s="37" t="str">
        <f>IF(Agent01_Savings!A51="","",Agent01_Savings!K51)</f>
        <v/>
      </c>
      <c r="K46" s="37" t="str">
        <f>IFERROR(IF(Agent01_Savings!A51="","",YEAR(Agent01_Savings!D51)),"")</f>
        <v/>
      </c>
    </row>
    <row r="47" spans="1:11" ht="18" customHeight="1" x14ac:dyDescent="0.25">
      <c r="A47" s="37" t="str">
        <f>IF(Agent01_Savings!A52="","",Agent01_Savings!A52)</f>
        <v/>
      </c>
      <c r="B47" s="37" t="str">
        <f ca="1">IF(Agent01_Savings!A52="","","SV"&amp;TEXT(47-3,"0000")&amp;"-"&amp;TEXT(TODAY(),"YYYYMMDD"))</f>
        <v/>
      </c>
      <c r="C47" s="37" t="str">
        <f>IF(Agent01_Savings!A52="","",Agent01_Savings!B52)</f>
        <v/>
      </c>
      <c r="D47" s="37" t="str">
        <f>IF(Agent01_Savings!A52="","",Agent01_Savings!G52)</f>
        <v/>
      </c>
      <c r="E47" s="38" t="str">
        <f>IF(Agent01_Savings!A52="","",Agent01_Savings!D52)</f>
        <v/>
      </c>
      <c r="F47" s="39" t="str">
        <f>IF(Agent01_Savings!A52="","",Agent01_Savings!E52)</f>
        <v/>
      </c>
      <c r="G47" s="39" t="str">
        <f>IF(Agent01_Savings!A52="","",Agent01_Savings!F52)</f>
        <v/>
      </c>
      <c r="H47" s="37" t="str">
        <f>IF(Agent01_Savings!A52="","",Agent01_Savings!I52)</f>
        <v/>
      </c>
      <c r="I47" s="37" t="str">
        <f>IF(Agent01_Savings!A52="","",Agent01_Savings!J52)</f>
        <v/>
      </c>
      <c r="J47" s="37" t="str">
        <f>IF(Agent01_Savings!A52="","",Agent01_Savings!K52)</f>
        <v/>
      </c>
      <c r="K47" s="37" t="str">
        <f>IFERROR(IF(Agent01_Savings!A52="","",YEAR(Agent01_Savings!D52)),"")</f>
        <v/>
      </c>
    </row>
    <row r="48" spans="1:11" ht="18" customHeight="1" x14ac:dyDescent="0.25">
      <c r="A48" s="37" t="str">
        <f>IF(Agent01_Savings!A53="","",Agent01_Savings!A53)</f>
        <v/>
      </c>
      <c r="B48" s="37" t="str">
        <f ca="1">IF(Agent01_Savings!A53="","","SV"&amp;TEXT(48-3,"0000")&amp;"-"&amp;TEXT(TODAY(),"YYYYMMDD"))</f>
        <v/>
      </c>
      <c r="C48" s="37" t="str">
        <f>IF(Agent01_Savings!A53="","",Agent01_Savings!B53)</f>
        <v/>
      </c>
      <c r="D48" s="37" t="str">
        <f>IF(Agent01_Savings!A53="","",Agent01_Savings!G53)</f>
        <v/>
      </c>
      <c r="E48" s="38" t="str">
        <f>IF(Agent01_Savings!A53="","",Agent01_Savings!D53)</f>
        <v/>
      </c>
      <c r="F48" s="39" t="str">
        <f>IF(Agent01_Savings!A53="","",Agent01_Savings!E53)</f>
        <v/>
      </c>
      <c r="G48" s="39" t="str">
        <f>IF(Agent01_Savings!A53="","",Agent01_Savings!F53)</f>
        <v/>
      </c>
      <c r="H48" s="37" t="str">
        <f>IF(Agent01_Savings!A53="","",Agent01_Savings!I53)</f>
        <v/>
      </c>
      <c r="I48" s="37" t="str">
        <f>IF(Agent01_Savings!A53="","",Agent01_Savings!J53)</f>
        <v/>
      </c>
      <c r="J48" s="37" t="str">
        <f>IF(Agent01_Savings!A53="","",Agent01_Savings!K53)</f>
        <v/>
      </c>
      <c r="K48" s="37" t="str">
        <f>IFERROR(IF(Agent01_Savings!A53="","",YEAR(Agent01_Savings!D53)),"")</f>
        <v/>
      </c>
    </row>
    <row r="49" spans="1:11" ht="18" customHeight="1" x14ac:dyDescent="0.25">
      <c r="A49" s="37" t="str">
        <f>IF(Agent01_Savings!A54="","",Agent01_Savings!A54)</f>
        <v/>
      </c>
      <c r="B49" s="37" t="str">
        <f ca="1">IF(Agent01_Savings!A54="","","SV"&amp;TEXT(49-3,"0000")&amp;"-"&amp;TEXT(TODAY(),"YYYYMMDD"))</f>
        <v/>
      </c>
      <c r="C49" s="37" t="str">
        <f>IF(Agent01_Savings!A54="","",Agent01_Savings!B54)</f>
        <v/>
      </c>
      <c r="D49" s="37" t="str">
        <f>IF(Agent01_Savings!A54="","",Agent01_Savings!G54)</f>
        <v/>
      </c>
      <c r="E49" s="38" t="str">
        <f>IF(Agent01_Savings!A54="","",Agent01_Savings!D54)</f>
        <v/>
      </c>
      <c r="F49" s="39" t="str">
        <f>IF(Agent01_Savings!A54="","",Agent01_Savings!E54)</f>
        <v/>
      </c>
      <c r="G49" s="39" t="str">
        <f>IF(Agent01_Savings!A54="","",Agent01_Savings!F54)</f>
        <v/>
      </c>
      <c r="H49" s="37" t="str">
        <f>IF(Agent01_Savings!A54="","",Agent01_Savings!I54)</f>
        <v/>
      </c>
      <c r="I49" s="37" t="str">
        <f>IF(Agent01_Savings!A54="","",Agent01_Savings!J54)</f>
        <v/>
      </c>
      <c r="J49" s="37" t="str">
        <f>IF(Agent01_Savings!A54="","",Agent01_Savings!K54)</f>
        <v/>
      </c>
      <c r="K49" s="37" t="str">
        <f>IFERROR(IF(Agent01_Savings!A54="","",YEAR(Agent01_Savings!D54)),"")</f>
        <v/>
      </c>
    </row>
    <row r="50" spans="1:11" ht="18" customHeight="1" x14ac:dyDescent="0.25">
      <c r="A50" s="37" t="str">
        <f>IF(Agent01_Savings!A55="","",Agent01_Savings!A55)</f>
        <v/>
      </c>
      <c r="B50" s="37" t="str">
        <f ca="1">IF(Agent01_Savings!A55="","","SV"&amp;TEXT(50-3,"0000")&amp;"-"&amp;TEXT(TODAY(),"YYYYMMDD"))</f>
        <v/>
      </c>
      <c r="C50" s="37" t="str">
        <f>IF(Agent01_Savings!A55="","",Agent01_Savings!B55)</f>
        <v/>
      </c>
      <c r="D50" s="37" t="str">
        <f>IF(Agent01_Savings!A55="","",Agent01_Savings!G55)</f>
        <v/>
      </c>
      <c r="E50" s="38" t="str">
        <f>IF(Agent01_Savings!A55="","",Agent01_Savings!D55)</f>
        <v/>
      </c>
      <c r="F50" s="39" t="str">
        <f>IF(Agent01_Savings!A55="","",Agent01_Savings!E55)</f>
        <v/>
      </c>
      <c r="G50" s="39" t="str">
        <f>IF(Agent01_Savings!A55="","",Agent01_Savings!F55)</f>
        <v/>
      </c>
      <c r="H50" s="37" t="str">
        <f>IF(Agent01_Savings!A55="","",Agent01_Savings!I55)</f>
        <v/>
      </c>
      <c r="I50" s="37" t="str">
        <f>IF(Agent01_Savings!A55="","",Agent01_Savings!J55)</f>
        <v/>
      </c>
      <c r="J50" s="37" t="str">
        <f>IF(Agent01_Savings!A55="","",Agent01_Savings!K55)</f>
        <v/>
      </c>
      <c r="K50" s="37" t="str">
        <f>IFERROR(IF(Agent01_Savings!A55="","",YEAR(Agent01_Savings!D55)),"")</f>
        <v/>
      </c>
    </row>
    <row r="51" spans="1:11" ht="18" customHeight="1" x14ac:dyDescent="0.25">
      <c r="A51" s="37" t="str">
        <f>IF(Agent01_Savings!A56="","",Agent01_Savings!A56)</f>
        <v/>
      </c>
      <c r="B51" s="37" t="str">
        <f ca="1">IF(Agent01_Savings!A56="","","SV"&amp;TEXT(51-3,"0000")&amp;"-"&amp;TEXT(TODAY(),"YYYYMMDD"))</f>
        <v/>
      </c>
      <c r="C51" s="37" t="str">
        <f>IF(Agent01_Savings!A56="","",Agent01_Savings!B56)</f>
        <v/>
      </c>
      <c r="D51" s="37" t="str">
        <f>IF(Agent01_Savings!A56="","",Agent01_Savings!G56)</f>
        <v/>
      </c>
      <c r="E51" s="38" t="str">
        <f>IF(Agent01_Savings!A56="","",Agent01_Savings!D56)</f>
        <v/>
      </c>
      <c r="F51" s="39" t="str">
        <f>IF(Agent01_Savings!A56="","",Agent01_Savings!E56)</f>
        <v/>
      </c>
      <c r="G51" s="39" t="str">
        <f>IF(Agent01_Savings!A56="","",Agent01_Savings!F56)</f>
        <v/>
      </c>
      <c r="H51" s="37" t="str">
        <f>IF(Agent01_Savings!A56="","",Agent01_Savings!I56)</f>
        <v/>
      </c>
      <c r="I51" s="37" t="str">
        <f>IF(Agent01_Savings!A56="","",Agent01_Savings!J56)</f>
        <v/>
      </c>
      <c r="J51" s="37" t="str">
        <f>IF(Agent01_Savings!A56="","",Agent01_Savings!K56)</f>
        <v/>
      </c>
      <c r="K51" s="37" t="str">
        <f>IFERROR(IF(Agent01_Savings!A56="","",YEAR(Agent01_Savings!D56)),"")</f>
        <v/>
      </c>
    </row>
    <row r="52" spans="1:11" ht="18" customHeight="1" x14ac:dyDescent="0.25">
      <c r="A52" s="37" t="str">
        <f>IF(Agent01_Savings!A57="","",Agent01_Savings!A57)</f>
        <v/>
      </c>
      <c r="B52" s="37" t="str">
        <f ca="1">IF(Agent01_Savings!A57="","","SV"&amp;TEXT(52-3,"0000")&amp;"-"&amp;TEXT(TODAY(),"YYYYMMDD"))</f>
        <v/>
      </c>
      <c r="C52" s="37" t="str">
        <f>IF(Agent01_Savings!A57="","",Agent01_Savings!B57)</f>
        <v/>
      </c>
      <c r="D52" s="37" t="str">
        <f>IF(Agent01_Savings!A57="","",Agent01_Savings!G57)</f>
        <v/>
      </c>
      <c r="E52" s="38" t="str">
        <f>IF(Agent01_Savings!A57="","",Agent01_Savings!D57)</f>
        <v/>
      </c>
      <c r="F52" s="39" t="str">
        <f>IF(Agent01_Savings!A57="","",Agent01_Savings!E57)</f>
        <v/>
      </c>
      <c r="G52" s="39" t="str">
        <f>IF(Agent01_Savings!A57="","",Agent01_Savings!F57)</f>
        <v/>
      </c>
      <c r="H52" s="37" t="str">
        <f>IF(Agent01_Savings!A57="","",Agent01_Savings!I57)</f>
        <v/>
      </c>
      <c r="I52" s="37" t="str">
        <f>IF(Agent01_Savings!A57="","",Agent01_Savings!J57)</f>
        <v/>
      </c>
      <c r="J52" s="37" t="str">
        <f>IF(Agent01_Savings!A57="","",Agent01_Savings!K57)</f>
        <v/>
      </c>
      <c r="K52" s="37" t="str">
        <f>IFERROR(IF(Agent01_Savings!A57="","",YEAR(Agent01_Savings!D57)),"")</f>
        <v/>
      </c>
    </row>
    <row r="53" spans="1:11" ht="18" customHeight="1" x14ac:dyDescent="0.25">
      <c r="A53" s="37" t="str">
        <f>IF(Agent01_Savings!A58="","",Agent01_Savings!A58)</f>
        <v/>
      </c>
      <c r="B53" s="37" t="str">
        <f ca="1">IF(Agent01_Savings!A58="","","SV"&amp;TEXT(53-3,"0000")&amp;"-"&amp;TEXT(TODAY(),"YYYYMMDD"))</f>
        <v/>
      </c>
      <c r="C53" s="37" t="str">
        <f>IF(Agent01_Savings!A58="","",Agent01_Savings!B58)</f>
        <v/>
      </c>
      <c r="D53" s="37" t="str">
        <f>IF(Agent01_Savings!A58="","",Agent01_Savings!G58)</f>
        <v/>
      </c>
      <c r="E53" s="38" t="str">
        <f>IF(Agent01_Savings!A58="","",Agent01_Savings!D58)</f>
        <v/>
      </c>
      <c r="F53" s="39" t="str">
        <f>IF(Agent01_Savings!A58="","",Agent01_Savings!E58)</f>
        <v/>
      </c>
      <c r="G53" s="39" t="str">
        <f>IF(Agent01_Savings!A58="","",Agent01_Savings!F58)</f>
        <v/>
      </c>
      <c r="H53" s="37" t="str">
        <f>IF(Agent01_Savings!A58="","",Agent01_Savings!I58)</f>
        <v/>
      </c>
      <c r="I53" s="37" t="str">
        <f>IF(Agent01_Savings!A58="","",Agent01_Savings!J58)</f>
        <v/>
      </c>
      <c r="J53" s="37" t="str">
        <f>IF(Agent01_Savings!A58="","",Agent01_Savings!K58)</f>
        <v/>
      </c>
      <c r="K53" s="37" t="str">
        <f>IFERROR(IF(Agent01_Savings!A58="","",YEAR(Agent01_Savings!D58)),"")</f>
        <v/>
      </c>
    </row>
    <row r="54" spans="1:11" ht="18" customHeight="1" x14ac:dyDescent="0.25">
      <c r="A54" s="37" t="str">
        <f>IF(Agent01_Savings!A59="","",Agent01_Savings!A59)</f>
        <v/>
      </c>
      <c r="B54" s="37" t="str">
        <f ca="1">IF(Agent01_Savings!A59="","","SV"&amp;TEXT(54-3,"0000")&amp;"-"&amp;TEXT(TODAY(),"YYYYMMDD"))</f>
        <v/>
      </c>
      <c r="C54" s="37" t="str">
        <f>IF(Agent01_Savings!A59="","",Agent01_Savings!B59)</f>
        <v/>
      </c>
      <c r="D54" s="37" t="str">
        <f>IF(Agent01_Savings!A59="","",Agent01_Savings!G59)</f>
        <v/>
      </c>
      <c r="E54" s="38" t="str">
        <f>IF(Agent01_Savings!A59="","",Agent01_Savings!D59)</f>
        <v/>
      </c>
      <c r="F54" s="39" t="str">
        <f>IF(Agent01_Savings!A59="","",Agent01_Savings!E59)</f>
        <v/>
      </c>
      <c r="G54" s="39" t="str">
        <f>IF(Agent01_Savings!A59="","",Agent01_Savings!F59)</f>
        <v/>
      </c>
      <c r="H54" s="37" t="str">
        <f>IF(Agent01_Savings!A59="","",Agent01_Savings!I59)</f>
        <v/>
      </c>
      <c r="I54" s="37" t="str">
        <f>IF(Agent01_Savings!A59="","",Agent01_Savings!J59)</f>
        <v/>
      </c>
      <c r="J54" s="37" t="str">
        <f>IF(Agent01_Savings!A59="","",Agent01_Savings!K59)</f>
        <v/>
      </c>
      <c r="K54" s="37" t="str">
        <f>IFERROR(IF(Agent01_Savings!A59="","",YEAR(Agent01_Savings!D59)),"")</f>
        <v/>
      </c>
    </row>
    <row r="55" spans="1:11" ht="18" customHeight="1" x14ac:dyDescent="0.25">
      <c r="A55" s="37" t="str">
        <f>IF(Agent01_Savings!A60="","",Agent01_Savings!A60)</f>
        <v/>
      </c>
      <c r="B55" s="37" t="str">
        <f ca="1">IF(Agent01_Savings!A60="","","SV"&amp;TEXT(55-3,"0000")&amp;"-"&amp;TEXT(TODAY(),"YYYYMMDD"))</f>
        <v/>
      </c>
      <c r="C55" s="37" t="str">
        <f>IF(Agent01_Savings!A60="","",Agent01_Savings!B60)</f>
        <v/>
      </c>
      <c r="D55" s="37" t="str">
        <f>IF(Agent01_Savings!A60="","",Agent01_Savings!G60)</f>
        <v/>
      </c>
      <c r="E55" s="38" t="str">
        <f>IF(Agent01_Savings!A60="","",Agent01_Savings!D60)</f>
        <v/>
      </c>
      <c r="F55" s="39" t="str">
        <f>IF(Agent01_Savings!A60="","",Agent01_Savings!E60)</f>
        <v/>
      </c>
      <c r="G55" s="39" t="str">
        <f>IF(Agent01_Savings!A60="","",Agent01_Savings!F60)</f>
        <v/>
      </c>
      <c r="H55" s="37" t="str">
        <f>IF(Agent01_Savings!A60="","",Agent01_Savings!I60)</f>
        <v/>
      </c>
      <c r="I55" s="37" t="str">
        <f>IF(Agent01_Savings!A60="","",Agent01_Savings!J60)</f>
        <v/>
      </c>
      <c r="J55" s="37" t="str">
        <f>IF(Agent01_Savings!A60="","",Agent01_Savings!K60)</f>
        <v/>
      </c>
      <c r="K55" s="37" t="str">
        <f>IFERROR(IF(Agent01_Savings!A60="","",YEAR(Agent01_Savings!D60)),"")</f>
        <v/>
      </c>
    </row>
    <row r="56" spans="1:11" ht="18" customHeight="1" x14ac:dyDescent="0.25">
      <c r="A56" s="37" t="str">
        <f>IF(Agent01_Savings!A61="","",Agent01_Savings!A61)</f>
        <v/>
      </c>
      <c r="B56" s="37" t="str">
        <f ca="1">IF(Agent01_Savings!A61="","","SV"&amp;TEXT(56-3,"0000")&amp;"-"&amp;TEXT(TODAY(),"YYYYMMDD"))</f>
        <v/>
      </c>
      <c r="C56" s="37" t="str">
        <f>IF(Agent01_Savings!A61="","",Agent01_Savings!B61)</f>
        <v/>
      </c>
      <c r="D56" s="37" t="str">
        <f>IF(Agent01_Savings!A61="","",Agent01_Savings!G61)</f>
        <v/>
      </c>
      <c r="E56" s="38" t="str">
        <f>IF(Agent01_Savings!A61="","",Agent01_Savings!D61)</f>
        <v/>
      </c>
      <c r="F56" s="39" t="str">
        <f>IF(Agent01_Savings!A61="","",Agent01_Savings!E61)</f>
        <v/>
      </c>
      <c r="G56" s="39" t="str">
        <f>IF(Agent01_Savings!A61="","",Agent01_Savings!F61)</f>
        <v/>
      </c>
      <c r="H56" s="37" t="str">
        <f>IF(Agent01_Savings!A61="","",Agent01_Savings!I61)</f>
        <v/>
      </c>
      <c r="I56" s="37" t="str">
        <f>IF(Agent01_Savings!A61="","",Agent01_Savings!J61)</f>
        <v/>
      </c>
      <c r="J56" s="37" t="str">
        <f>IF(Agent01_Savings!A61="","",Agent01_Savings!K61)</f>
        <v/>
      </c>
      <c r="K56" s="37" t="str">
        <f>IFERROR(IF(Agent01_Savings!A61="","",YEAR(Agent01_Savings!D61)),"")</f>
        <v/>
      </c>
    </row>
    <row r="57" spans="1:11" ht="18" customHeight="1" x14ac:dyDescent="0.25">
      <c r="A57" s="37" t="str">
        <f>IF(Agent01_Savings!A62="","",Agent01_Savings!A62)</f>
        <v/>
      </c>
      <c r="B57" s="37" t="str">
        <f ca="1">IF(Agent01_Savings!A62="","","SV"&amp;TEXT(57-3,"0000")&amp;"-"&amp;TEXT(TODAY(),"YYYYMMDD"))</f>
        <v/>
      </c>
      <c r="C57" s="37" t="str">
        <f>IF(Agent01_Savings!A62="","",Agent01_Savings!B62)</f>
        <v/>
      </c>
      <c r="D57" s="37" t="str">
        <f>IF(Agent01_Savings!A62="","",Agent01_Savings!G62)</f>
        <v/>
      </c>
      <c r="E57" s="38" t="str">
        <f>IF(Agent01_Savings!A62="","",Agent01_Savings!D62)</f>
        <v/>
      </c>
      <c r="F57" s="39" t="str">
        <f>IF(Agent01_Savings!A62="","",Agent01_Savings!E62)</f>
        <v/>
      </c>
      <c r="G57" s="39" t="str">
        <f>IF(Agent01_Savings!A62="","",Agent01_Savings!F62)</f>
        <v/>
      </c>
      <c r="H57" s="37" t="str">
        <f>IF(Agent01_Savings!A62="","",Agent01_Savings!I62)</f>
        <v/>
      </c>
      <c r="I57" s="37" t="str">
        <f>IF(Agent01_Savings!A62="","",Agent01_Savings!J62)</f>
        <v/>
      </c>
      <c r="J57" s="37" t="str">
        <f>IF(Agent01_Savings!A62="","",Agent01_Savings!K62)</f>
        <v/>
      </c>
      <c r="K57" s="37" t="str">
        <f>IFERROR(IF(Agent01_Savings!A62="","",YEAR(Agent01_Savings!D62)),"")</f>
        <v/>
      </c>
    </row>
    <row r="58" spans="1:11" ht="18" customHeight="1" x14ac:dyDescent="0.25">
      <c r="A58" s="37" t="str">
        <f>IF(Agent01_Savings!A63="","",Agent01_Savings!A63)</f>
        <v/>
      </c>
      <c r="B58" s="37" t="str">
        <f ca="1">IF(Agent01_Savings!A63="","","SV"&amp;TEXT(58-3,"0000")&amp;"-"&amp;TEXT(TODAY(),"YYYYMMDD"))</f>
        <v/>
      </c>
      <c r="C58" s="37" t="str">
        <f>IF(Agent01_Savings!A63="","",Agent01_Savings!B63)</f>
        <v/>
      </c>
      <c r="D58" s="37" t="str">
        <f>IF(Agent01_Savings!A63="","",Agent01_Savings!G63)</f>
        <v/>
      </c>
      <c r="E58" s="38" t="str">
        <f>IF(Agent01_Savings!A63="","",Agent01_Savings!D63)</f>
        <v/>
      </c>
      <c r="F58" s="39" t="str">
        <f>IF(Agent01_Savings!A63="","",Agent01_Savings!E63)</f>
        <v/>
      </c>
      <c r="G58" s="39" t="str">
        <f>IF(Agent01_Savings!A63="","",Agent01_Savings!F63)</f>
        <v/>
      </c>
      <c r="H58" s="37" t="str">
        <f>IF(Agent01_Savings!A63="","",Agent01_Savings!I63)</f>
        <v/>
      </c>
      <c r="I58" s="37" t="str">
        <f>IF(Agent01_Savings!A63="","",Agent01_Savings!J63)</f>
        <v/>
      </c>
      <c r="J58" s="37" t="str">
        <f>IF(Agent01_Savings!A63="","",Agent01_Savings!K63)</f>
        <v/>
      </c>
      <c r="K58" s="37" t="str">
        <f>IFERROR(IF(Agent01_Savings!A63="","",YEAR(Agent01_Savings!D63)),"")</f>
        <v/>
      </c>
    </row>
    <row r="59" spans="1:11" ht="18" customHeight="1" x14ac:dyDescent="0.25">
      <c r="A59" s="37" t="str">
        <f>IF(Agent01_Savings!A64="","",Agent01_Savings!A64)</f>
        <v/>
      </c>
      <c r="B59" s="37" t="str">
        <f ca="1">IF(Agent01_Savings!A64="","","SV"&amp;TEXT(59-3,"0000")&amp;"-"&amp;TEXT(TODAY(),"YYYYMMDD"))</f>
        <v/>
      </c>
      <c r="C59" s="37" t="str">
        <f>IF(Agent01_Savings!A64="","",Agent01_Savings!B64)</f>
        <v/>
      </c>
      <c r="D59" s="37" t="str">
        <f>IF(Agent01_Savings!A64="","",Agent01_Savings!G64)</f>
        <v/>
      </c>
      <c r="E59" s="38" t="str">
        <f>IF(Agent01_Savings!A64="","",Agent01_Savings!D64)</f>
        <v/>
      </c>
      <c r="F59" s="39" t="str">
        <f>IF(Agent01_Savings!A64="","",Agent01_Savings!E64)</f>
        <v/>
      </c>
      <c r="G59" s="39" t="str">
        <f>IF(Agent01_Savings!A64="","",Agent01_Savings!F64)</f>
        <v/>
      </c>
      <c r="H59" s="37" t="str">
        <f>IF(Agent01_Savings!A64="","",Agent01_Savings!I64)</f>
        <v/>
      </c>
      <c r="I59" s="37" t="str">
        <f>IF(Agent01_Savings!A64="","",Agent01_Savings!J64)</f>
        <v/>
      </c>
      <c r="J59" s="37" t="str">
        <f>IF(Agent01_Savings!A64="","",Agent01_Savings!K64)</f>
        <v/>
      </c>
      <c r="K59" s="37" t="str">
        <f>IFERROR(IF(Agent01_Savings!A64="","",YEAR(Agent01_Savings!D64)),"")</f>
        <v/>
      </c>
    </row>
    <row r="60" spans="1:11" ht="18" customHeight="1" x14ac:dyDescent="0.25">
      <c r="A60" s="37" t="str">
        <f>IF(Agent01_Savings!A65="","",Agent01_Savings!A65)</f>
        <v/>
      </c>
      <c r="B60" s="37" t="str">
        <f ca="1">IF(Agent01_Savings!A65="","","SV"&amp;TEXT(60-3,"0000")&amp;"-"&amp;TEXT(TODAY(),"YYYYMMDD"))</f>
        <v/>
      </c>
      <c r="C60" s="37" t="str">
        <f>IF(Agent01_Savings!A65="","",Agent01_Savings!B65)</f>
        <v/>
      </c>
      <c r="D60" s="37" t="str">
        <f>IF(Agent01_Savings!A65="","",Agent01_Savings!G65)</f>
        <v/>
      </c>
      <c r="E60" s="38" t="str">
        <f>IF(Agent01_Savings!A65="","",Agent01_Savings!D65)</f>
        <v/>
      </c>
      <c r="F60" s="39" t="str">
        <f>IF(Agent01_Savings!A65="","",Agent01_Savings!E65)</f>
        <v/>
      </c>
      <c r="G60" s="39" t="str">
        <f>IF(Agent01_Savings!A65="","",Agent01_Savings!F65)</f>
        <v/>
      </c>
      <c r="H60" s="37" t="str">
        <f>IF(Agent01_Savings!A65="","",Agent01_Savings!I65)</f>
        <v/>
      </c>
      <c r="I60" s="37" t="str">
        <f>IF(Agent01_Savings!A65="","",Agent01_Savings!J65)</f>
        <v/>
      </c>
      <c r="J60" s="37" t="str">
        <f>IF(Agent01_Savings!A65="","",Agent01_Savings!K65)</f>
        <v/>
      </c>
      <c r="K60" s="37" t="str">
        <f>IFERROR(IF(Agent01_Savings!A65="","",YEAR(Agent01_Savings!D65)),"")</f>
        <v/>
      </c>
    </row>
    <row r="61" spans="1:11" ht="18" customHeight="1" x14ac:dyDescent="0.25">
      <c r="A61" s="37" t="str">
        <f>IF(Agent01_Savings!A66="","",Agent01_Savings!A66)</f>
        <v/>
      </c>
      <c r="B61" s="37" t="str">
        <f ca="1">IF(Agent01_Savings!A66="","","SV"&amp;TEXT(61-3,"0000")&amp;"-"&amp;TEXT(TODAY(),"YYYYMMDD"))</f>
        <v/>
      </c>
      <c r="C61" s="37" t="str">
        <f>IF(Agent01_Savings!A66="","",Agent01_Savings!B66)</f>
        <v/>
      </c>
      <c r="D61" s="37" t="str">
        <f>IF(Agent01_Savings!A66="","",Agent01_Savings!G66)</f>
        <v/>
      </c>
      <c r="E61" s="38" t="str">
        <f>IF(Agent01_Savings!A66="","",Agent01_Savings!D66)</f>
        <v/>
      </c>
      <c r="F61" s="39" t="str">
        <f>IF(Agent01_Savings!A66="","",Agent01_Savings!E66)</f>
        <v/>
      </c>
      <c r="G61" s="39" t="str">
        <f>IF(Agent01_Savings!A66="","",Agent01_Savings!F66)</f>
        <v/>
      </c>
      <c r="H61" s="37" t="str">
        <f>IF(Agent01_Savings!A66="","",Agent01_Savings!I66)</f>
        <v/>
      </c>
      <c r="I61" s="37" t="str">
        <f>IF(Agent01_Savings!A66="","",Agent01_Savings!J66)</f>
        <v/>
      </c>
      <c r="J61" s="37" t="str">
        <f>IF(Agent01_Savings!A66="","",Agent01_Savings!K66)</f>
        <v/>
      </c>
      <c r="K61" s="37" t="str">
        <f>IFERROR(IF(Agent01_Savings!A66="","",YEAR(Agent01_Savings!D66)),"")</f>
        <v/>
      </c>
    </row>
    <row r="62" spans="1:11" ht="18" customHeight="1" x14ac:dyDescent="0.25">
      <c r="A62" s="37" t="str">
        <f>IF(Agent01_Savings!A67="","",Agent01_Savings!A67)</f>
        <v/>
      </c>
      <c r="B62" s="37" t="str">
        <f ca="1">IF(Agent01_Savings!A67="","","SV"&amp;TEXT(62-3,"0000")&amp;"-"&amp;TEXT(TODAY(),"YYYYMMDD"))</f>
        <v/>
      </c>
      <c r="C62" s="37" t="str">
        <f>IF(Agent01_Savings!A67="","",Agent01_Savings!B67)</f>
        <v/>
      </c>
      <c r="D62" s="37" t="str">
        <f>IF(Agent01_Savings!A67="","",Agent01_Savings!G67)</f>
        <v/>
      </c>
      <c r="E62" s="38" t="str">
        <f>IF(Agent01_Savings!A67="","",Agent01_Savings!D67)</f>
        <v/>
      </c>
      <c r="F62" s="39" t="str">
        <f>IF(Agent01_Savings!A67="","",Agent01_Savings!E67)</f>
        <v/>
      </c>
      <c r="G62" s="39" t="str">
        <f>IF(Agent01_Savings!A67="","",Agent01_Savings!F67)</f>
        <v/>
      </c>
      <c r="H62" s="37" t="str">
        <f>IF(Agent01_Savings!A67="","",Agent01_Savings!I67)</f>
        <v/>
      </c>
      <c r="I62" s="37" t="str">
        <f>IF(Agent01_Savings!A67="","",Agent01_Savings!J67)</f>
        <v/>
      </c>
      <c r="J62" s="37" t="str">
        <f>IF(Agent01_Savings!A67="","",Agent01_Savings!K67)</f>
        <v/>
      </c>
      <c r="K62" s="37" t="str">
        <f>IFERROR(IF(Agent01_Savings!A67="","",YEAR(Agent01_Savings!D67)),"")</f>
        <v/>
      </c>
    </row>
    <row r="63" spans="1:11" ht="18" customHeight="1" x14ac:dyDescent="0.25">
      <c r="A63" s="37" t="str">
        <f>IF(Agent01_Savings!A68="","",Agent01_Savings!A68)</f>
        <v/>
      </c>
      <c r="B63" s="37" t="str">
        <f ca="1">IF(Agent01_Savings!A68="","","SV"&amp;TEXT(63-3,"0000")&amp;"-"&amp;TEXT(TODAY(),"YYYYMMDD"))</f>
        <v/>
      </c>
      <c r="C63" s="37" t="str">
        <f>IF(Agent01_Savings!A68="","",Agent01_Savings!B68)</f>
        <v/>
      </c>
      <c r="D63" s="37" t="str">
        <f>IF(Agent01_Savings!A68="","",Agent01_Savings!G68)</f>
        <v/>
      </c>
      <c r="E63" s="38" t="str">
        <f>IF(Agent01_Savings!A68="","",Agent01_Savings!D68)</f>
        <v/>
      </c>
      <c r="F63" s="39" t="str">
        <f>IF(Agent01_Savings!A68="","",Agent01_Savings!E68)</f>
        <v/>
      </c>
      <c r="G63" s="39" t="str">
        <f>IF(Agent01_Savings!A68="","",Agent01_Savings!F68)</f>
        <v/>
      </c>
      <c r="H63" s="37" t="str">
        <f>IF(Agent01_Savings!A68="","",Agent01_Savings!I68)</f>
        <v/>
      </c>
      <c r="I63" s="37" t="str">
        <f>IF(Agent01_Savings!A68="","",Agent01_Savings!J68)</f>
        <v/>
      </c>
      <c r="J63" s="37" t="str">
        <f>IF(Agent01_Savings!A68="","",Agent01_Savings!K68)</f>
        <v/>
      </c>
      <c r="K63" s="37" t="str">
        <f>IFERROR(IF(Agent01_Savings!A68="","",YEAR(Agent01_Savings!D68)),"")</f>
        <v/>
      </c>
    </row>
    <row r="64" spans="1:11" ht="18" customHeight="1" x14ac:dyDescent="0.25">
      <c r="A64" s="37" t="str">
        <f>IF(Agent01_Savings!A69="","",Agent01_Savings!A69)</f>
        <v/>
      </c>
      <c r="B64" s="37" t="str">
        <f ca="1">IF(Agent01_Savings!A69="","","SV"&amp;TEXT(64-3,"0000")&amp;"-"&amp;TEXT(TODAY(),"YYYYMMDD"))</f>
        <v/>
      </c>
      <c r="C64" s="37" t="str">
        <f>IF(Agent01_Savings!A69="","",Agent01_Savings!B69)</f>
        <v/>
      </c>
      <c r="D64" s="37" t="str">
        <f>IF(Agent01_Savings!A69="","",Agent01_Savings!G69)</f>
        <v/>
      </c>
      <c r="E64" s="38" t="str">
        <f>IF(Agent01_Savings!A69="","",Agent01_Savings!D69)</f>
        <v/>
      </c>
      <c r="F64" s="39" t="str">
        <f>IF(Agent01_Savings!A69="","",Agent01_Savings!E69)</f>
        <v/>
      </c>
      <c r="G64" s="39" t="str">
        <f>IF(Agent01_Savings!A69="","",Agent01_Savings!F69)</f>
        <v/>
      </c>
      <c r="H64" s="37" t="str">
        <f>IF(Agent01_Savings!A69="","",Agent01_Savings!I69)</f>
        <v/>
      </c>
      <c r="I64" s="37" t="str">
        <f>IF(Agent01_Savings!A69="","",Agent01_Savings!J69)</f>
        <v/>
      </c>
      <c r="J64" s="37" t="str">
        <f>IF(Agent01_Savings!A69="","",Agent01_Savings!K69)</f>
        <v/>
      </c>
      <c r="K64" s="37" t="str">
        <f>IFERROR(IF(Agent01_Savings!A69="","",YEAR(Agent01_Savings!D69)),"")</f>
        <v/>
      </c>
    </row>
    <row r="65" spans="1:11" ht="18" customHeight="1" x14ac:dyDescent="0.25">
      <c r="A65" s="37" t="str">
        <f>IF(Agent01_Savings!A70="","",Agent01_Savings!A70)</f>
        <v/>
      </c>
      <c r="B65" s="37" t="str">
        <f ca="1">IF(Agent01_Savings!A70="","","SV"&amp;TEXT(65-3,"0000")&amp;"-"&amp;TEXT(TODAY(),"YYYYMMDD"))</f>
        <v/>
      </c>
      <c r="C65" s="37" t="str">
        <f>IF(Agent01_Savings!A70="","",Agent01_Savings!B70)</f>
        <v/>
      </c>
      <c r="D65" s="37" t="str">
        <f>IF(Agent01_Savings!A70="","",Agent01_Savings!G70)</f>
        <v/>
      </c>
      <c r="E65" s="38" t="str">
        <f>IF(Agent01_Savings!A70="","",Agent01_Savings!D70)</f>
        <v/>
      </c>
      <c r="F65" s="39" t="str">
        <f>IF(Agent01_Savings!A70="","",Agent01_Savings!E70)</f>
        <v/>
      </c>
      <c r="G65" s="39" t="str">
        <f>IF(Agent01_Savings!A70="","",Agent01_Savings!F70)</f>
        <v/>
      </c>
      <c r="H65" s="37" t="str">
        <f>IF(Agent01_Savings!A70="","",Agent01_Savings!I70)</f>
        <v/>
      </c>
      <c r="I65" s="37" t="str">
        <f>IF(Agent01_Savings!A70="","",Agent01_Savings!J70)</f>
        <v/>
      </c>
      <c r="J65" s="37" t="str">
        <f>IF(Agent01_Savings!A70="","",Agent01_Savings!K70)</f>
        <v/>
      </c>
      <c r="K65" s="37" t="str">
        <f>IFERROR(IF(Agent01_Savings!A70="","",YEAR(Agent01_Savings!D70)),"")</f>
        <v/>
      </c>
    </row>
    <row r="66" spans="1:11" ht="18" customHeight="1" x14ac:dyDescent="0.25">
      <c r="A66" s="37" t="str">
        <f>IF(Agent01_Savings!A71="","",Agent01_Savings!A71)</f>
        <v/>
      </c>
      <c r="B66" s="37" t="str">
        <f ca="1">IF(Agent01_Savings!A71="","","SV"&amp;TEXT(66-3,"0000")&amp;"-"&amp;TEXT(TODAY(),"YYYYMMDD"))</f>
        <v/>
      </c>
      <c r="C66" s="37" t="str">
        <f>IF(Agent01_Savings!A71="","",Agent01_Savings!B71)</f>
        <v/>
      </c>
      <c r="D66" s="37" t="str">
        <f>IF(Agent01_Savings!A71="","",Agent01_Savings!G71)</f>
        <v/>
      </c>
      <c r="E66" s="38" t="str">
        <f>IF(Agent01_Savings!A71="","",Agent01_Savings!D71)</f>
        <v/>
      </c>
      <c r="F66" s="39" t="str">
        <f>IF(Agent01_Savings!A71="","",Agent01_Savings!E71)</f>
        <v/>
      </c>
      <c r="G66" s="39" t="str">
        <f>IF(Agent01_Savings!A71="","",Agent01_Savings!F71)</f>
        <v/>
      </c>
      <c r="H66" s="37" t="str">
        <f>IF(Agent01_Savings!A71="","",Agent01_Savings!I71)</f>
        <v/>
      </c>
      <c r="I66" s="37" t="str">
        <f>IF(Agent01_Savings!A71="","",Agent01_Savings!J71)</f>
        <v/>
      </c>
      <c r="J66" s="37" t="str">
        <f>IF(Agent01_Savings!A71="","",Agent01_Savings!K71)</f>
        <v/>
      </c>
      <c r="K66" s="37" t="str">
        <f>IFERROR(IF(Agent01_Savings!A71="","",YEAR(Agent01_Savings!D71)),"")</f>
        <v/>
      </c>
    </row>
    <row r="67" spans="1:11" ht="18" customHeight="1" x14ac:dyDescent="0.25">
      <c r="A67" s="37" t="str">
        <f>IF(Agent01_Savings!A72="","",Agent01_Savings!A72)</f>
        <v/>
      </c>
      <c r="B67" s="37" t="str">
        <f ca="1">IF(Agent01_Savings!A72="","","SV"&amp;TEXT(67-3,"0000")&amp;"-"&amp;TEXT(TODAY(),"YYYYMMDD"))</f>
        <v/>
      </c>
      <c r="C67" s="37" t="str">
        <f>IF(Agent01_Savings!A72="","",Agent01_Savings!B72)</f>
        <v/>
      </c>
      <c r="D67" s="37" t="str">
        <f>IF(Agent01_Savings!A72="","",Agent01_Savings!G72)</f>
        <v/>
      </c>
      <c r="E67" s="38" t="str">
        <f>IF(Agent01_Savings!A72="","",Agent01_Savings!D72)</f>
        <v/>
      </c>
      <c r="F67" s="39" t="str">
        <f>IF(Agent01_Savings!A72="","",Agent01_Savings!E72)</f>
        <v/>
      </c>
      <c r="G67" s="39" t="str">
        <f>IF(Agent01_Savings!A72="","",Agent01_Savings!F72)</f>
        <v/>
      </c>
      <c r="H67" s="37" t="str">
        <f>IF(Agent01_Savings!A72="","",Agent01_Savings!I72)</f>
        <v/>
      </c>
      <c r="I67" s="37" t="str">
        <f>IF(Agent01_Savings!A72="","",Agent01_Savings!J72)</f>
        <v/>
      </c>
      <c r="J67" s="37" t="str">
        <f>IF(Agent01_Savings!A72="","",Agent01_Savings!K72)</f>
        <v/>
      </c>
      <c r="K67" s="37" t="str">
        <f>IFERROR(IF(Agent01_Savings!A72="","",YEAR(Agent01_Savings!D72)),"")</f>
        <v/>
      </c>
    </row>
    <row r="68" spans="1:11" ht="18" customHeight="1" x14ac:dyDescent="0.25">
      <c r="A68" s="37" t="str">
        <f>IF(Agent01_Savings!A73="","",Agent01_Savings!A73)</f>
        <v/>
      </c>
      <c r="B68" s="37" t="str">
        <f ca="1">IF(Agent01_Savings!A73="","","SV"&amp;TEXT(68-3,"0000")&amp;"-"&amp;TEXT(TODAY(),"YYYYMMDD"))</f>
        <v/>
      </c>
      <c r="C68" s="37" t="str">
        <f>IF(Agent01_Savings!A73="","",Agent01_Savings!B73)</f>
        <v/>
      </c>
      <c r="D68" s="37" t="str">
        <f>IF(Agent01_Savings!A73="","",Agent01_Savings!G73)</f>
        <v/>
      </c>
      <c r="E68" s="38" t="str">
        <f>IF(Agent01_Savings!A73="","",Agent01_Savings!D73)</f>
        <v/>
      </c>
      <c r="F68" s="39" t="str">
        <f>IF(Agent01_Savings!A73="","",Agent01_Savings!E73)</f>
        <v/>
      </c>
      <c r="G68" s="39" t="str">
        <f>IF(Agent01_Savings!A73="","",Agent01_Savings!F73)</f>
        <v/>
      </c>
      <c r="H68" s="37" t="str">
        <f>IF(Agent01_Savings!A73="","",Agent01_Savings!I73)</f>
        <v/>
      </c>
      <c r="I68" s="37" t="str">
        <f>IF(Agent01_Savings!A73="","",Agent01_Savings!J73)</f>
        <v/>
      </c>
      <c r="J68" s="37" t="str">
        <f>IF(Agent01_Savings!A73="","",Agent01_Savings!K73)</f>
        <v/>
      </c>
      <c r="K68" s="37" t="str">
        <f>IFERROR(IF(Agent01_Savings!A73="","",YEAR(Agent01_Savings!D73)),"")</f>
        <v/>
      </c>
    </row>
    <row r="69" spans="1:11" ht="18" customHeight="1" x14ac:dyDescent="0.25">
      <c r="A69" s="37" t="str">
        <f>IF(Agent01_Savings!A74="","",Agent01_Savings!A74)</f>
        <v/>
      </c>
      <c r="B69" s="37" t="str">
        <f ca="1">IF(Agent01_Savings!A74="","","SV"&amp;TEXT(69-3,"0000")&amp;"-"&amp;TEXT(TODAY(),"YYYYMMDD"))</f>
        <v/>
      </c>
      <c r="C69" s="37" t="str">
        <f>IF(Agent01_Savings!A74="","",Agent01_Savings!B74)</f>
        <v/>
      </c>
      <c r="D69" s="37" t="str">
        <f>IF(Agent01_Savings!A74="","",Agent01_Savings!G74)</f>
        <v/>
      </c>
      <c r="E69" s="38" t="str">
        <f>IF(Agent01_Savings!A74="","",Agent01_Savings!D74)</f>
        <v/>
      </c>
      <c r="F69" s="39" t="str">
        <f>IF(Agent01_Savings!A74="","",Agent01_Savings!E74)</f>
        <v/>
      </c>
      <c r="G69" s="39" t="str">
        <f>IF(Agent01_Savings!A74="","",Agent01_Savings!F74)</f>
        <v/>
      </c>
      <c r="H69" s="37" t="str">
        <f>IF(Agent01_Savings!A74="","",Agent01_Savings!I74)</f>
        <v/>
      </c>
      <c r="I69" s="37" t="str">
        <f>IF(Agent01_Savings!A74="","",Agent01_Savings!J74)</f>
        <v/>
      </c>
      <c r="J69" s="37" t="str">
        <f>IF(Agent01_Savings!A74="","",Agent01_Savings!K74)</f>
        <v/>
      </c>
      <c r="K69" s="37" t="str">
        <f>IFERROR(IF(Agent01_Savings!A74="","",YEAR(Agent01_Savings!D74)),"")</f>
        <v/>
      </c>
    </row>
    <row r="70" spans="1:11" ht="18" customHeight="1" x14ac:dyDescent="0.25">
      <c r="A70" s="37" t="str">
        <f>IF(Agent01_Savings!A75="","",Agent01_Savings!A75)</f>
        <v/>
      </c>
      <c r="B70" s="37" t="str">
        <f ca="1">IF(Agent01_Savings!A75="","","SV"&amp;TEXT(70-3,"0000")&amp;"-"&amp;TEXT(TODAY(),"YYYYMMDD"))</f>
        <v/>
      </c>
      <c r="C70" s="37" t="str">
        <f>IF(Agent01_Savings!A75="","",Agent01_Savings!B75)</f>
        <v/>
      </c>
      <c r="D70" s="37" t="str">
        <f>IF(Agent01_Savings!A75="","",Agent01_Savings!G75)</f>
        <v/>
      </c>
      <c r="E70" s="38" t="str">
        <f>IF(Agent01_Savings!A75="","",Agent01_Savings!D75)</f>
        <v/>
      </c>
      <c r="F70" s="39" t="str">
        <f>IF(Agent01_Savings!A75="","",Agent01_Savings!E75)</f>
        <v/>
      </c>
      <c r="G70" s="39" t="str">
        <f>IF(Agent01_Savings!A75="","",Agent01_Savings!F75)</f>
        <v/>
      </c>
      <c r="H70" s="37" t="str">
        <f>IF(Agent01_Savings!A75="","",Agent01_Savings!I75)</f>
        <v/>
      </c>
      <c r="I70" s="37" t="str">
        <f>IF(Agent01_Savings!A75="","",Agent01_Savings!J75)</f>
        <v/>
      </c>
      <c r="J70" s="37" t="str">
        <f>IF(Agent01_Savings!A75="","",Agent01_Savings!K75)</f>
        <v/>
      </c>
      <c r="K70" s="37" t="str">
        <f>IFERROR(IF(Agent01_Savings!A75="","",YEAR(Agent01_Savings!D75)),"")</f>
        <v/>
      </c>
    </row>
    <row r="71" spans="1:11" ht="18" customHeight="1" x14ac:dyDescent="0.25">
      <c r="A71" s="37" t="str">
        <f>IF(Agent01_Savings!A76="","",Agent01_Savings!A76)</f>
        <v/>
      </c>
      <c r="B71" s="37" t="str">
        <f ca="1">IF(Agent01_Savings!A76="","","SV"&amp;TEXT(71-3,"0000")&amp;"-"&amp;TEXT(TODAY(),"YYYYMMDD"))</f>
        <v/>
      </c>
      <c r="C71" s="37" t="str">
        <f>IF(Agent01_Savings!A76="","",Agent01_Savings!B76)</f>
        <v/>
      </c>
      <c r="D71" s="37" t="str">
        <f>IF(Agent01_Savings!A76="","",Agent01_Savings!G76)</f>
        <v/>
      </c>
      <c r="E71" s="38" t="str">
        <f>IF(Agent01_Savings!A76="","",Agent01_Savings!D76)</f>
        <v/>
      </c>
      <c r="F71" s="39" t="str">
        <f>IF(Agent01_Savings!A76="","",Agent01_Savings!E76)</f>
        <v/>
      </c>
      <c r="G71" s="39" t="str">
        <f>IF(Agent01_Savings!A76="","",Agent01_Savings!F76)</f>
        <v/>
      </c>
      <c r="H71" s="37" t="str">
        <f>IF(Agent01_Savings!A76="","",Agent01_Savings!I76)</f>
        <v/>
      </c>
      <c r="I71" s="37" t="str">
        <f>IF(Agent01_Savings!A76="","",Agent01_Savings!J76)</f>
        <v/>
      </c>
      <c r="J71" s="37" t="str">
        <f>IF(Agent01_Savings!A76="","",Agent01_Savings!K76)</f>
        <v/>
      </c>
      <c r="K71" s="37" t="str">
        <f>IFERROR(IF(Agent01_Savings!A76="","",YEAR(Agent01_Savings!D76)),"")</f>
        <v/>
      </c>
    </row>
    <row r="72" spans="1:11" ht="18" customHeight="1" x14ac:dyDescent="0.25">
      <c r="A72" s="37" t="str">
        <f>IF(Agent01_Savings!A77="","",Agent01_Savings!A77)</f>
        <v/>
      </c>
      <c r="B72" s="37" t="str">
        <f ca="1">IF(Agent01_Savings!A77="","","SV"&amp;TEXT(72-3,"0000")&amp;"-"&amp;TEXT(TODAY(),"YYYYMMDD"))</f>
        <v/>
      </c>
      <c r="C72" s="37" t="str">
        <f>IF(Agent01_Savings!A77="","",Agent01_Savings!B77)</f>
        <v/>
      </c>
      <c r="D72" s="37" t="str">
        <f>IF(Agent01_Savings!A77="","",Agent01_Savings!G77)</f>
        <v/>
      </c>
      <c r="E72" s="38" t="str">
        <f>IF(Agent01_Savings!A77="","",Agent01_Savings!D77)</f>
        <v/>
      </c>
      <c r="F72" s="39" t="str">
        <f>IF(Agent01_Savings!A77="","",Agent01_Savings!E77)</f>
        <v/>
      </c>
      <c r="G72" s="39" t="str">
        <f>IF(Agent01_Savings!A77="","",Agent01_Savings!F77)</f>
        <v/>
      </c>
      <c r="H72" s="37" t="str">
        <f>IF(Agent01_Savings!A77="","",Agent01_Savings!I77)</f>
        <v/>
      </c>
      <c r="I72" s="37" t="str">
        <f>IF(Agent01_Savings!A77="","",Agent01_Savings!J77)</f>
        <v/>
      </c>
      <c r="J72" s="37" t="str">
        <f>IF(Agent01_Savings!A77="","",Agent01_Savings!K77)</f>
        <v/>
      </c>
      <c r="K72" s="37" t="str">
        <f>IFERROR(IF(Agent01_Savings!A77="","",YEAR(Agent01_Savings!D77)),"")</f>
        <v/>
      </c>
    </row>
    <row r="73" spans="1:11" ht="18" customHeight="1" x14ac:dyDescent="0.25">
      <c r="A73" s="37" t="str">
        <f>IF(Agent01_Savings!A78="","",Agent01_Savings!A78)</f>
        <v/>
      </c>
      <c r="B73" s="37" t="str">
        <f ca="1">IF(Agent01_Savings!A78="","","SV"&amp;TEXT(73-3,"0000")&amp;"-"&amp;TEXT(TODAY(),"YYYYMMDD"))</f>
        <v/>
      </c>
      <c r="C73" s="37" t="str">
        <f>IF(Agent01_Savings!A78="","",Agent01_Savings!B78)</f>
        <v/>
      </c>
      <c r="D73" s="37" t="str">
        <f>IF(Agent01_Savings!A78="","",Agent01_Savings!G78)</f>
        <v/>
      </c>
      <c r="E73" s="38" t="str">
        <f>IF(Agent01_Savings!A78="","",Agent01_Savings!D78)</f>
        <v/>
      </c>
      <c r="F73" s="39" t="str">
        <f>IF(Agent01_Savings!A78="","",Agent01_Savings!E78)</f>
        <v/>
      </c>
      <c r="G73" s="39" t="str">
        <f>IF(Agent01_Savings!A78="","",Agent01_Savings!F78)</f>
        <v/>
      </c>
      <c r="H73" s="37" t="str">
        <f>IF(Agent01_Savings!A78="","",Agent01_Savings!I78)</f>
        <v/>
      </c>
      <c r="I73" s="37" t="str">
        <f>IF(Agent01_Savings!A78="","",Agent01_Savings!J78)</f>
        <v/>
      </c>
      <c r="J73" s="37" t="str">
        <f>IF(Agent01_Savings!A78="","",Agent01_Savings!K78)</f>
        <v/>
      </c>
      <c r="K73" s="37" t="str">
        <f>IFERROR(IF(Agent01_Savings!A78="","",YEAR(Agent01_Savings!D78)),"")</f>
        <v/>
      </c>
    </row>
    <row r="74" spans="1:11" ht="18" customHeight="1" x14ac:dyDescent="0.25">
      <c r="A74" s="37" t="str">
        <f>IF(Agent01_Savings!A79="","",Agent01_Savings!A79)</f>
        <v/>
      </c>
      <c r="B74" s="37" t="str">
        <f ca="1">IF(Agent01_Savings!A79="","","SV"&amp;TEXT(74-3,"0000")&amp;"-"&amp;TEXT(TODAY(),"YYYYMMDD"))</f>
        <v/>
      </c>
      <c r="C74" s="37" t="str">
        <f>IF(Agent01_Savings!A79="","",Agent01_Savings!B79)</f>
        <v/>
      </c>
      <c r="D74" s="37" t="str">
        <f>IF(Agent01_Savings!A79="","",Agent01_Savings!G79)</f>
        <v/>
      </c>
      <c r="E74" s="38" t="str">
        <f>IF(Agent01_Savings!A79="","",Agent01_Savings!D79)</f>
        <v/>
      </c>
      <c r="F74" s="39" t="str">
        <f>IF(Agent01_Savings!A79="","",Agent01_Savings!E79)</f>
        <v/>
      </c>
      <c r="G74" s="39" t="str">
        <f>IF(Agent01_Savings!A79="","",Agent01_Savings!F79)</f>
        <v/>
      </c>
      <c r="H74" s="37" t="str">
        <f>IF(Agent01_Savings!A79="","",Agent01_Savings!I79)</f>
        <v/>
      </c>
      <c r="I74" s="37" t="str">
        <f>IF(Agent01_Savings!A79="","",Agent01_Savings!J79)</f>
        <v/>
      </c>
      <c r="J74" s="37" t="str">
        <f>IF(Agent01_Savings!A79="","",Agent01_Savings!K79)</f>
        <v/>
      </c>
      <c r="K74" s="37" t="str">
        <f>IFERROR(IF(Agent01_Savings!A79="","",YEAR(Agent01_Savings!D79)),"")</f>
        <v/>
      </c>
    </row>
    <row r="75" spans="1:11" ht="18" customHeight="1" x14ac:dyDescent="0.25">
      <c r="A75" s="37" t="str">
        <f>IF(Agent01_Savings!A80="","",Agent01_Savings!A80)</f>
        <v/>
      </c>
      <c r="B75" s="37" t="str">
        <f ca="1">IF(Agent01_Savings!A80="","","SV"&amp;TEXT(75-3,"0000")&amp;"-"&amp;TEXT(TODAY(),"YYYYMMDD"))</f>
        <v/>
      </c>
      <c r="C75" s="37" t="str">
        <f>IF(Agent01_Savings!A80="","",Agent01_Savings!B80)</f>
        <v/>
      </c>
      <c r="D75" s="37" t="str">
        <f>IF(Agent01_Savings!A80="","",Agent01_Savings!G80)</f>
        <v/>
      </c>
      <c r="E75" s="38" t="str">
        <f>IF(Agent01_Savings!A80="","",Agent01_Savings!D80)</f>
        <v/>
      </c>
      <c r="F75" s="39" t="str">
        <f>IF(Agent01_Savings!A80="","",Agent01_Savings!E80)</f>
        <v/>
      </c>
      <c r="G75" s="39" t="str">
        <f>IF(Agent01_Savings!A80="","",Agent01_Savings!F80)</f>
        <v/>
      </c>
      <c r="H75" s="37" t="str">
        <f>IF(Agent01_Savings!A80="","",Agent01_Savings!I80)</f>
        <v/>
      </c>
      <c r="I75" s="37" t="str">
        <f>IF(Agent01_Savings!A80="","",Agent01_Savings!J80)</f>
        <v/>
      </c>
      <c r="J75" s="37" t="str">
        <f>IF(Agent01_Savings!A80="","",Agent01_Savings!K80)</f>
        <v/>
      </c>
      <c r="K75" s="37" t="str">
        <f>IFERROR(IF(Agent01_Savings!A80="","",YEAR(Agent01_Savings!D80)),"")</f>
        <v/>
      </c>
    </row>
    <row r="76" spans="1:11" ht="18" customHeight="1" x14ac:dyDescent="0.25">
      <c r="A76" s="37" t="str">
        <f>IF(Agent01_Savings!A81="","",Agent01_Savings!A81)</f>
        <v/>
      </c>
      <c r="B76" s="37" t="str">
        <f ca="1">IF(Agent01_Savings!A81="","","SV"&amp;TEXT(76-3,"0000")&amp;"-"&amp;TEXT(TODAY(),"YYYYMMDD"))</f>
        <v/>
      </c>
      <c r="C76" s="37" t="str">
        <f>IF(Agent01_Savings!A81="","",Agent01_Savings!B81)</f>
        <v/>
      </c>
      <c r="D76" s="37" t="str">
        <f>IF(Agent01_Savings!A81="","",Agent01_Savings!G81)</f>
        <v/>
      </c>
      <c r="E76" s="38" t="str">
        <f>IF(Agent01_Savings!A81="","",Agent01_Savings!D81)</f>
        <v/>
      </c>
      <c r="F76" s="39" t="str">
        <f>IF(Agent01_Savings!A81="","",Agent01_Savings!E81)</f>
        <v/>
      </c>
      <c r="G76" s="39" t="str">
        <f>IF(Agent01_Savings!A81="","",Agent01_Savings!F81)</f>
        <v/>
      </c>
      <c r="H76" s="37" t="str">
        <f>IF(Agent01_Savings!A81="","",Agent01_Savings!I81)</f>
        <v/>
      </c>
      <c r="I76" s="37" t="str">
        <f>IF(Agent01_Savings!A81="","",Agent01_Savings!J81)</f>
        <v/>
      </c>
      <c r="J76" s="37" t="str">
        <f>IF(Agent01_Savings!A81="","",Agent01_Savings!K81)</f>
        <v/>
      </c>
      <c r="K76" s="37" t="str">
        <f>IFERROR(IF(Agent01_Savings!A81="","",YEAR(Agent01_Savings!D81)),"")</f>
        <v/>
      </c>
    </row>
    <row r="77" spans="1:11" ht="18" customHeight="1" x14ac:dyDescent="0.25">
      <c r="A77" s="37" t="str">
        <f>IF(Agent01_Savings!A82="","",Agent01_Savings!A82)</f>
        <v/>
      </c>
      <c r="B77" s="37" t="str">
        <f ca="1">IF(Agent01_Savings!A82="","","SV"&amp;TEXT(77-3,"0000")&amp;"-"&amp;TEXT(TODAY(),"YYYYMMDD"))</f>
        <v/>
      </c>
      <c r="C77" s="37" t="str">
        <f>IF(Agent01_Savings!A82="","",Agent01_Savings!B82)</f>
        <v/>
      </c>
      <c r="D77" s="37" t="str">
        <f>IF(Agent01_Savings!A82="","",Agent01_Savings!G82)</f>
        <v/>
      </c>
      <c r="E77" s="38" t="str">
        <f>IF(Agent01_Savings!A82="","",Agent01_Savings!D82)</f>
        <v/>
      </c>
      <c r="F77" s="39" t="str">
        <f>IF(Agent01_Savings!A82="","",Agent01_Savings!E82)</f>
        <v/>
      </c>
      <c r="G77" s="39" t="str">
        <f>IF(Agent01_Savings!A82="","",Agent01_Savings!F82)</f>
        <v/>
      </c>
      <c r="H77" s="37" t="str">
        <f>IF(Agent01_Savings!A82="","",Agent01_Savings!I82)</f>
        <v/>
      </c>
      <c r="I77" s="37" t="str">
        <f>IF(Agent01_Savings!A82="","",Agent01_Savings!J82)</f>
        <v/>
      </c>
      <c r="J77" s="37" t="str">
        <f>IF(Agent01_Savings!A82="","",Agent01_Savings!K82)</f>
        <v/>
      </c>
      <c r="K77" s="37" t="str">
        <f>IFERROR(IF(Agent01_Savings!A82="","",YEAR(Agent01_Savings!D82)),"")</f>
        <v/>
      </c>
    </row>
    <row r="78" spans="1:11" ht="18" customHeight="1" x14ac:dyDescent="0.25">
      <c r="A78" s="37" t="str">
        <f>IF(Agent01_Savings!A83="","",Agent01_Savings!A83)</f>
        <v/>
      </c>
      <c r="B78" s="37" t="str">
        <f ca="1">IF(Agent01_Savings!A83="","","SV"&amp;TEXT(78-3,"0000")&amp;"-"&amp;TEXT(TODAY(),"YYYYMMDD"))</f>
        <v/>
      </c>
      <c r="C78" s="37" t="str">
        <f>IF(Agent01_Savings!A83="","",Agent01_Savings!B83)</f>
        <v/>
      </c>
      <c r="D78" s="37" t="str">
        <f>IF(Agent01_Savings!A83="","",Agent01_Savings!G83)</f>
        <v/>
      </c>
      <c r="E78" s="38" t="str">
        <f>IF(Agent01_Savings!A83="","",Agent01_Savings!D83)</f>
        <v/>
      </c>
      <c r="F78" s="39" t="str">
        <f>IF(Agent01_Savings!A83="","",Agent01_Savings!E83)</f>
        <v/>
      </c>
      <c r="G78" s="39" t="str">
        <f>IF(Agent01_Savings!A83="","",Agent01_Savings!F83)</f>
        <v/>
      </c>
      <c r="H78" s="37" t="str">
        <f>IF(Agent01_Savings!A83="","",Agent01_Savings!I83)</f>
        <v/>
      </c>
      <c r="I78" s="37" t="str">
        <f>IF(Agent01_Savings!A83="","",Agent01_Savings!J83)</f>
        <v/>
      </c>
      <c r="J78" s="37" t="str">
        <f>IF(Agent01_Savings!A83="","",Agent01_Savings!K83)</f>
        <v/>
      </c>
      <c r="K78" s="37" t="str">
        <f>IFERROR(IF(Agent01_Savings!A83="","",YEAR(Agent01_Savings!D83)),"")</f>
        <v/>
      </c>
    </row>
    <row r="79" spans="1:11" ht="18" customHeight="1" x14ac:dyDescent="0.25">
      <c r="A79" s="37" t="str">
        <f>IF(Agent01_Savings!A84="","",Agent01_Savings!A84)</f>
        <v/>
      </c>
      <c r="B79" s="37" t="str">
        <f ca="1">IF(Agent01_Savings!A84="","","SV"&amp;TEXT(79-3,"0000")&amp;"-"&amp;TEXT(TODAY(),"YYYYMMDD"))</f>
        <v/>
      </c>
      <c r="C79" s="37" t="str">
        <f>IF(Agent01_Savings!A84="","",Agent01_Savings!B84)</f>
        <v/>
      </c>
      <c r="D79" s="37" t="str">
        <f>IF(Agent01_Savings!A84="","",Agent01_Savings!G84)</f>
        <v/>
      </c>
      <c r="E79" s="38" t="str">
        <f>IF(Agent01_Savings!A84="","",Agent01_Savings!D84)</f>
        <v/>
      </c>
      <c r="F79" s="39" t="str">
        <f>IF(Agent01_Savings!A84="","",Agent01_Savings!E84)</f>
        <v/>
      </c>
      <c r="G79" s="39" t="str">
        <f>IF(Agent01_Savings!A84="","",Agent01_Savings!F84)</f>
        <v/>
      </c>
      <c r="H79" s="37" t="str">
        <f>IF(Agent01_Savings!A84="","",Agent01_Savings!I84)</f>
        <v/>
      </c>
      <c r="I79" s="37" t="str">
        <f>IF(Agent01_Savings!A84="","",Agent01_Savings!J84)</f>
        <v/>
      </c>
      <c r="J79" s="37" t="str">
        <f>IF(Agent01_Savings!A84="","",Agent01_Savings!K84)</f>
        <v/>
      </c>
      <c r="K79" s="37" t="str">
        <f>IFERROR(IF(Agent01_Savings!A84="","",YEAR(Agent01_Savings!D84)),"")</f>
        <v/>
      </c>
    </row>
    <row r="80" spans="1:11" ht="18" customHeight="1" x14ac:dyDescent="0.25">
      <c r="A80" s="37" t="str">
        <f>IF(Agent01_Savings!A85="","",Agent01_Savings!A85)</f>
        <v/>
      </c>
      <c r="B80" s="37" t="str">
        <f ca="1">IF(Agent01_Savings!A85="","","SV"&amp;TEXT(80-3,"0000")&amp;"-"&amp;TEXT(TODAY(),"YYYYMMDD"))</f>
        <v/>
      </c>
      <c r="C80" s="37" t="str">
        <f>IF(Agent01_Savings!A85="","",Agent01_Savings!B85)</f>
        <v/>
      </c>
      <c r="D80" s="37" t="str">
        <f>IF(Agent01_Savings!A85="","",Agent01_Savings!G85)</f>
        <v/>
      </c>
      <c r="E80" s="38" t="str">
        <f>IF(Agent01_Savings!A85="","",Agent01_Savings!D85)</f>
        <v/>
      </c>
      <c r="F80" s="39" t="str">
        <f>IF(Agent01_Savings!A85="","",Agent01_Savings!E85)</f>
        <v/>
      </c>
      <c r="G80" s="39" t="str">
        <f>IF(Agent01_Savings!A85="","",Agent01_Savings!F85)</f>
        <v/>
      </c>
      <c r="H80" s="37" t="str">
        <f>IF(Agent01_Savings!A85="","",Agent01_Savings!I85)</f>
        <v/>
      </c>
      <c r="I80" s="37" t="str">
        <f>IF(Agent01_Savings!A85="","",Agent01_Savings!J85)</f>
        <v/>
      </c>
      <c r="J80" s="37" t="str">
        <f>IF(Agent01_Savings!A85="","",Agent01_Savings!K85)</f>
        <v/>
      </c>
      <c r="K80" s="37" t="str">
        <f>IFERROR(IF(Agent01_Savings!A85="","",YEAR(Agent01_Savings!D85)),"")</f>
        <v/>
      </c>
    </row>
    <row r="81" spans="1:11" ht="18" customHeight="1" x14ac:dyDescent="0.25">
      <c r="A81" s="37" t="str">
        <f>IF(Agent01_Savings!A86="","",Agent01_Savings!A86)</f>
        <v/>
      </c>
      <c r="B81" s="37" t="str">
        <f ca="1">IF(Agent01_Savings!A86="","","SV"&amp;TEXT(81-3,"0000")&amp;"-"&amp;TEXT(TODAY(),"YYYYMMDD"))</f>
        <v/>
      </c>
      <c r="C81" s="37" t="str">
        <f>IF(Agent01_Savings!A86="","",Agent01_Savings!B86)</f>
        <v/>
      </c>
      <c r="D81" s="37" t="str">
        <f>IF(Agent01_Savings!A86="","",Agent01_Savings!G86)</f>
        <v/>
      </c>
      <c r="E81" s="38" t="str">
        <f>IF(Agent01_Savings!A86="","",Agent01_Savings!D86)</f>
        <v/>
      </c>
      <c r="F81" s="39" t="str">
        <f>IF(Agent01_Savings!A86="","",Agent01_Savings!E86)</f>
        <v/>
      </c>
      <c r="G81" s="39" t="str">
        <f>IF(Agent01_Savings!A86="","",Agent01_Savings!F86)</f>
        <v/>
      </c>
      <c r="H81" s="37" t="str">
        <f>IF(Agent01_Savings!A86="","",Agent01_Savings!I86)</f>
        <v/>
      </c>
      <c r="I81" s="37" t="str">
        <f>IF(Agent01_Savings!A86="","",Agent01_Savings!J86)</f>
        <v/>
      </c>
      <c r="J81" s="37" t="str">
        <f>IF(Agent01_Savings!A86="","",Agent01_Savings!K86)</f>
        <v/>
      </c>
      <c r="K81" s="37" t="str">
        <f>IFERROR(IF(Agent01_Savings!A86="","",YEAR(Agent01_Savings!D86)),"")</f>
        <v/>
      </c>
    </row>
    <row r="82" spans="1:11" ht="18" customHeight="1" x14ac:dyDescent="0.25">
      <c r="A82" s="37" t="str">
        <f>IF(Agent01_Savings!A87="","",Agent01_Savings!A87)</f>
        <v/>
      </c>
      <c r="B82" s="37" t="str">
        <f ca="1">IF(Agent01_Savings!A87="","","SV"&amp;TEXT(82-3,"0000")&amp;"-"&amp;TEXT(TODAY(),"YYYYMMDD"))</f>
        <v/>
      </c>
      <c r="C82" s="37" t="str">
        <f>IF(Agent01_Savings!A87="","",Agent01_Savings!B87)</f>
        <v/>
      </c>
      <c r="D82" s="37" t="str">
        <f>IF(Agent01_Savings!A87="","",Agent01_Savings!G87)</f>
        <v/>
      </c>
      <c r="E82" s="38" t="str">
        <f>IF(Agent01_Savings!A87="","",Agent01_Savings!D87)</f>
        <v/>
      </c>
      <c r="F82" s="39" t="str">
        <f>IF(Agent01_Savings!A87="","",Agent01_Savings!E87)</f>
        <v/>
      </c>
      <c r="G82" s="39" t="str">
        <f>IF(Agent01_Savings!A87="","",Agent01_Savings!F87)</f>
        <v/>
      </c>
      <c r="H82" s="37" t="str">
        <f>IF(Agent01_Savings!A87="","",Agent01_Savings!I87)</f>
        <v/>
      </c>
      <c r="I82" s="37" t="str">
        <f>IF(Agent01_Savings!A87="","",Agent01_Savings!J87)</f>
        <v/>
      </c>
      <c r="J82" s="37" t="str">
        <f>IF(Agent01_Savings!A87="","",Agent01_Savings!K87)</f>
        <v/>
      </c>
      <c r="K82" s="37" t="str">
        <f>IFERROR(IF(Agent01_Savings!A87="","",YEAR(Agent01_Savings!D87)),"")</f>
        <v/>
      </c>
    </row>
    <row r="83" spans="1:11" ht="18" customHeight="1" x14ac:dyDescent="0.25">
      <c r="A83" s="37" t="str">
        <f>IF(Agent01_Savings!A88="","",Agent01_Savings!A88)</f>
        <v/>
      </c>
      <c r="B83" s="37" t="str">
        <f ca="1">IF(Agent01_Savings!A88="","","SV"&amp;TEXT(83-3,"0000")&amp;"-"&amp;TEXT(TODAY(),"YYYYMMDD"))</f>
        <v/>
      </c>
      <c r="C83" s="37" t="str">
        <f>IF(Agent01_Savings!A88="","",Agent01_Savings!B88)</f>
        <v/>
      </c>
      <c r="D83" s="37" t="str">
        <f>IF(Agent01_Savings!A88="","",Agent01_Savings!G88)</f>
        <v/>
      </c>
      <c r="E83" s="38" t="str">
        <f>IF(Agent01_Savings!A88="","",Agent01_Savings!D88)</f>
        <v/>
      </c>
      <c r="F83" s="39" t="str">
        <f>IF(Agent01_Savings!A88="","",Agent01_Savings!E88)</f>
        <v/>
      </c>
      <c r="G83" s="39" t="str">
        <f>IF(Agent01_Savings!A88="","",Agent01_Savings!F88)</f>
        <v/>
      </c>
      <c r="H83" s="37" t="str">
        <f>IF(Agent01_Savings!A88="","",Agent01_Savings!I88)</f>
        <v/>
      </c>
      <c r="I83" s="37" t="str">
        <f>IF(Agent01_Savings!A88="","",Agent01_Savings!J88)</f>
        <v/>
      </c>
      <c r="J83" s="37" t="str">
        <f>IF(Agent01_Savings!A88="","",Agent01_Savings!K88)</f>
        <v/>
      </c>
      <c r="K83" s="37" t="str">
        <f>IFERROR(IF(Agent01_Savings!A88="","",YEAR(Agent01_Savings!D88)),"")</f>
        <v/>
      </c>
    </row>
    <row r="84" spans="1:11" ht="18" customHeight="1" x14ac:dyDescent="0.25">
      <c r="A84" s="37" t="str">
        <f>IF(Agent01_Savings!A89="","",Agent01_Savings!A89)</f>
        <v/>
      </c>
      <c r="B84" s="37" t="str">
        <f ca="1">IF(Agent01_Savings!A89="","","SV"&amp;TEXT(84-3,"0000")&amp;"-"&amp;TEXT(TODAY(),"YYYYMMDD"))</f>
        <v/>
      </c>
      <c r="C84" s="37" t="str">
        <f>IF(Agent01_Savings!A89="","",Agent01_Savings!B89)</f>
        <v/>
      </c>
      <c r="D84" s="37" t="str">
        <f>IF(Agent01_Savings!A89="","",Agent01_Savings!G89)</f>
        <v/>
      </c>
      <c r="E84" s="38" t="str">
        <f>IF(Agent01_Savings!A89="","",Agent01_Savings!D89)</f>
        <v/>
      </c>
      <c r="F84" s="39" t="str">
        <f>IF(Agent01_Savings!A89="","",Agent01_Savings!E89)</f>
        <v/>
      </c>
      <c r="G84" s="39" t="str">
        <f>IF(Agent01_Savings!A89="","",Agent01_Savings!F89)</f>
        <v/>
      </c>
      <c r="H84" s="37" t="str">
        <f>IF(Agent01_Savings!A89="","",Agent01_Savings!I89)</f>
        <v/>
      </c>
      <c r="I84" s="37" t="str">
        <f>IF(Agent01_Savings!A89="","",Agent01_Savings!J89)</f>
        <v/>
      </c>
      <c r="J84" s="37" t="str">
        <f>IF(Agent01_Savings!A89="","",Agent01_Savings!K89)</f>
        <v/>
      </c>
      <c r="K84" s="37" t="str">
        <f>IFERROR(IF(Agent01_Savings!A89="","",YEAR(Agent01_Savings!D89)),"")</f>
        <v/>
      </c>
    </row>
    <row r="85" spans="1:11" ht="18" customHeight="1" x14ac:dyDescent="0.25">
      <c r="A85" s="37" t="str">
        <f>IF(Agent01_Savings!A90="","",Agent01_Savings!A90)</f>
        <v/>
      </c>
      <c r="B85" s="37" t="str">
        <f ca="1">IF(Agent01_Savings!A90="","","SV"&amp;TEXT(85-3,"0000")&amp;"-"&amp;TEXT(TODAY(),"YYYYMMDD"))</f>
        <v/>
      </c>
      <c r="C85" s="37" t="str">
        <f>IF(Agent01_Savings!A90="","",Agent01_Savings!B90)</f>
        <v/>
      </c>
      <c r="D85" s="37" t="str">
        <f>IF(Agent01_Savings!A90="","",Agent01_Savings!G90)</f>
        <v/>
      </c>
      <c r="E85" s="38" t="str">
        <f>IF(Agent01_Savings!A90="","",Agent01_Savings!D90)</f>
        <v/>
      </c>
      <c r="F85" s="39" t="str">
        <f>IF(Agent01_Savings!A90="","",Agent01_Savings!E90)</f>
        <v/>
      </c>
      <c r="G85" s="39" t="str">
        <f>IF(Agent01_Savings!A90="","",Agent01_Savings!F90)</f>
        <v/>
      </c>
      <c r="H85" s="37" t="str">
        <f>IF(Agent01_Savings!A90="","",Agent01_Savings!I90)</f>
        <v/>
      </c>
      <c r="I85" s="37" t="str">
        <f>IF(Agent01_Savings!A90="","",Agent01_Savings!J90)</f>
        <v/>
      </c>
      <c r="J85" s="37" t="str">
        <f>IF(Agent01_Savings!A90="","",Agent01_Savings!K90)</f>
        <v/>
      </c>
      <c r="K85" s="37" t="str">
        <f>IFERROR(IF(Agent01_Savings!A90="","",YEAR(Agent01_Savings!D90)),"")</f>
        <v/>
      </c>
    </row>
    <row r="86" spans="1:11" ht="18" customHeight="1" x14ac:dyDescent="0.25">
      <c r="A86" s="37" t="str">
        <f>IF(Agent01_Savings!A91="","",Agent01_Savings!A91)</f>
        <v/>
      </c>
      <c r="B86" s="37" t="str">
        <f ca="1">IF(Agent01_Savings!A91="","","SV"&amp;TEXT(86-3,"0000")&amp;"-"&amp;TEXT(TODAY(),"YYYYMMDD"))</f>
        <v/>
      </c>
      <c r="C86" s="37" t="str">
        <f>IF(Agent01_Savings!A91="","",Agent01_Savings!B91)</f>
        <v/>
      </c>
      <c r="D86" s="37" t="str">
        <f>IF(Agent01_Savings!A91="","",Agent01_Savings!G91)</f>
        <v/>
      </c>
      <c r="E86" s="38" t="str">
        <f>IF(Agent01_Savings!A91="","",Agent01_Savings!D91)</f>
        <v/>
      </c>
      <c r="F86" s="39" t="str">
        <f>IF(Agent01_Savings!A91="","",Agent01_Savings!E91)</f>
        <v/>
      </c>
      <c r="G86" s="39" t="str">
        <f>IF(Agent01_Savings!A91="","",Agent01_Savings!F91)</f>
        <v/>
      </c>
      <c r="H86" s="37" t="str">
        <f>IF(Agent01_Savings!A91="","",Agent01_Savings!I91)</f>
        <v/>
      </c>
      <c r="I86" s="37" t="str">
        <f>IF(Agent01_Savings!A91="","",Agent01_Savings!J91)</f>
        <v/>
      </c>
      <c r="J86" s="37" t="str">
        <f>IF(Agent01_Savings!A91="","",Agent01_Savings!K91)</f>
        <v/>
      </c>
      <c r="K86" s="37" t="str">
        <f>IFERROR(IF(Agent01_Savings!A91="","",YEAR(Agent01_Savings!D91)),"")</f>
        <v/>
      </c>
    </row>
    <row r="87" spans="1:11" ht="18" customHeight="1" x14ac:dyDescent="0.25">
      <c r="A87" s="37" t="str">
        <f>IF(Agent01_Savings!A92="","",Agent01_Savings!A92)</f>
        <v/>
      </c>
      <c r="B87" s="37" t="str">
        <f ca="1">IF(Agent01_Savings!A92="","","SV"&amp;TEXT(87-3,"0000")&amp;"-"&amp;TEXT(TODAY(),"YYYYMMDD"))</f>
        <v/>
      </c>
      <c r="C87" s="37" t="str">
        <f>IF(Agent01_Savings!A92="","",Agent01_Savings!B92)</f>
        <v/>
      </c>
      <c r="D87" s="37" t="str">
        <f>IF(Agent01_Savings!A92="","",Agent01_Savings!G92)</f>
        <v/>
      </c>
      <c r="E87" s="38" t="str">
        <f>IF(Agent01_Savings!A92="","",Agent01_Savings!D92)</f>
        <v/>
      </c>
      <c r="F87" s="39" t="str">
        <f>IF(Agent01_Savings!A92="","",Agent01_Savings!E92)</f>
        <v/>
      </c>
      <c r="G87" s="39" t="str">
        <f>IF(Agent01_Savings!A92="","",Agent01_Savings!F92)</f>
        <v/>
      </c>
      <c r="H87" s="37" t="str">
        <f>IF(Agent01_Savings!A92="","",Agent01_Savings!I92)</f>
        <v/>
      </c>
      <c r="I87" s="37" t="str">
        <f>IF(Agent01_Savings!A92="","",Agent01_Savings!J92)</f>
        <v/>
      </c>
      <c r="J87" s="37" t="str">
        <f>IF(Agent01_Savings!A92="","",Agent01_Savings!K92)</f>
        <v/>
      </c>
      <c r="K87" s="37" t="str">
        <f>IFERROR(IF(Agent01_Savings!A92="","",YEAR(Agent01_Savings!D92)),"")</f>
        <v/>
      </c>
    </row>
    <row r="88" spans="1:11" ht="18" customHeight="1" x14ac:dyDescent="0.25">
      <c r="A88" s="37" t="str">
        <f>IF(Agent01_Savings!A93="","",Agent01_Savings!A93)</f>
        <v/>
      </c>
      <c r="B88" s="37" t="str">
        <f ca="1">IF(Agent01_Savings!A93="","","SV"&amp;TEXT(88-3,"0000")&amp;"-"&amp;TEXT(TODAY(),"YYYYMMDD"))</f>
        <v/>
      </c>
      <c r="C88" s="37" t="str">
        <f>IF(Agent01_Savings!A93="","",Agent01_Savings!B93)</f>
        <v/>
      </c>
      <c r="D88" s="37" t="str">
        <f>IF(Agent01_Savings!A93="","",Agent01_Savings!G93)</f>
        <v/>
      </c>
      <c r="E88" s="38" t="str">
        <f>IF(Agent01_Savings!A93="","",Agent01_Savings!D93)</f>
        <v/>
      </c>
      <c r="F88" s="39" t="str">
        <f>IF(Agent01_Savings!A93="","",Agent01_Savings!E93)</f>
        <v/>
      </c>
      <c r="G88" s="39" t="str">
        <f>IF(Agent01_Savings!A93="","",Agent01_Savings!F93)</f>
        <v/>
      </c>
      <c r="H88" s="37" t="str">
        <f>IF(Agent01_Savings!A93="","",Agent01_Savings!I93)</f>
        <v/>
      </c>
      <c r="I88" s="37" t="str">
        <f>IF(Agent01_Savings!A93="","",Agent01_Savings!J93)</f>
        <v/>
      </c>
      <c r="J88" s="37" t="str">
        <f>IF(Agent01_Savings!A93="","",Agent01_Savings!K93)</f>
        <v/>
      </c>
      <c r="K88" s="37" t="str">
        <f>IFERROR(IF(Agent01_Savings!A93="","",YEAR(Agent01_Savings!D93)),"")</f>
        <v/>
      </c>
    </row>
    <row r="89" spans="1:11" ht="18" customHeight="1" x14ac:dyDescent="0.25">
      <c r="A89" s="37" t="str">
        <f>IF(Agent01_Savings!A94="","",Agent01_Savings!A94)</f>
        <v/>
      </c>
      <c r="B89" s="37" t="str">
        <f ca="1">IF(Agent01_Savings!A94="","","SV"&amp;TEXT(89-3,"0000")&amp;"-"&amp;TEXT(TODAY(),"YYYYMMDD"))</f>
        <v/>
      </c>
      <c r="C89" s="37" t="str">
        <f>IF(Agent01_Savings!A94="","",Agent01_Savings!B94)</f>
        <v/>
      </c>
      <c r="D89" s="37" t="str">
        <f>IF(Agent01_Savings!A94="","",Agent01_Savings!G94)</f>
        <v/>
      </c>
      <c r="E89" s="38" t="str">
        <f>IF(Agent01_Savings!A94="","",Agent01_Savings!D94)</f>
        <v/>
      </c>
      <c r="F89" s="39" t="str">
        <f>IF(Agent01_Savings!A94="","",Agent01_Savings!E94)</f>
        <v/>
      </c>
      <c r="G89" s="39" t="str">
        <f>IF(Agent01_Savings!A94="","",Agent01_Savings!F94)</f>
        <v/>
      </c>
      <c r="H89" s="37" t="str">
        <f>IF(Agent01_Savings!A94="","",Agent01_Savings!I94)</f>
        <v/>
      </c>
      <c r="I89" s="37" t="str">
        <f>IF(Agent01_Savings!A94="","",Agent01_Savings!J94)</f>
        <v/>
      </c>
      <c r="J89" s="37" t="str">
        <f>IF(Agent01_Savings!A94="","",Agent01_Savings!K94)</f>
        <v/>
      </c>
      <c r="K89" s="37" t="str">
        <f>IFERROR(IF(Agent01_Savings!A94="","",YEAR(Agent01_Savings!D94)),"")</f>
        <v/>
      </c>
    </row>
    <row r="90" spans="1:11" ht="18" customHeight="1" x14ac:dyDescent="0.25">
      <c r="A90" s="37" t="str">
        <f>IF(Agent01_Savings!A95="","",Agent01_Savings!A95)</f>
        <v/>
      </c>
      <c r="B90" s="37" t="str">
        <f ca="1">IF(Agent01_Savings!A95="","","SV"&amp;TEXT(90-3,"0000")&amp;"-"&amp;TEXT(TODAY(),"YYYYMMDD"))</f>
        <v/>
      </c>
      <c r="C90" s="37" t="str">
        <f>IF(Agent01_Savings!A95="","",Agent01_Savings!B95)</f>
        <v/>
      </c>
      <c r="D90" s="37" t="str">
        <f>IF(Agent01_Savings!A95="","",Agent01_Savings!G95)</f>
        <v/>
      </c>
      <c r="E90" s="38" t="str">
        <f>IF(Agent01_Savings!A95="","",Agent01_Savings!D95)</f>
        <v/>
      </c>
      <c r="F90" s="39" t="str">
        <f>IF(Agent01_Savings!A95="","",Agent01_Savings!E95)</f>
        <v/>
      </c>
      <c r="G90" s="39" t="str">
        <f>IF(Agent01_Savings!A95="","",Agent01_Savings!F95)</f>
        <v/>
      </c>
      <c r="H90" s="37" t="str">
        <f>IF(Agent01_Savings!A95="","",Agent01_Savings!I95)</f>
        <v/>
      </c>
      <c r="I90" s="37" t="str">
        <f>IF(Agent01_Savings!A95="","",Agent01_Savings!J95)</f>
        <v/>
      </c>
      <c r="J90" s="37" t="str">
        <f>IF(Agent01_Savings!A95="","",Agent01_Savings!K95)</f>
        <v/>
      </c>
      <c r="K90" s="37" t="str">
        <f>IFERROR(IF(Agent01_Savings!A95="","",YEAR(Agent01_Savings!D95)),"")</f>
        <v/>
      </c>
    </row>
    <row r="91" spans="1:11" ht="18" customHeight="1" x14ac:dyDescent="0.25">
      <c r="A91" s="37" t="str">
        <f>IF(Agent01_Savings!A96="","",Agent01_Savings!A96)</f>
        <v/>
      </c>
      <c r="B91" s="37" t="str">
        <f ca="1">IF(Agent01_Savings!A96="","","SV"&amp;TEXT(91-3,"0000")&amp;"-"&amp;TEXT(TODAY(),"YYYYMMDD"))</f>
        <v/>
      </c>
      <c r="C91" s="37" t="str">
        <f>IF(Agent01_Savings!A96="","",Agent01_Savings!B96)</f>
        <v/>
      </c>
      <c r="D91" s="37" t="str">
        <f>IF(Agent01_Savings!A96="","",Agent01_Savings!G96)</f>
        <v/>
      </c>
      <c r="E91" s="38" t="str">
        <f>IF(Agent01_Savings!A96="","",Agent01_Savings!D96)</f>
        <v/>
      </c>
      <c r="F91" s="39" t="str">
        <f>IF(Agent01_Savings!A96="","",Agent01_Savings!E96)</f>
        <v/>
      </c>
      <c r="G91" s="39" t="str">
        <f>IF(Agent01_Savings!A96="","",Agent01_Savings!F96)</f>
        <v/>
      </c>
      <c r="H91" s="37" t="str">
        <f>IF(Agent01_Savings!A96="","",Agent01_Savings!I96)</f>
        <v/>
      </c>
      <c r="I91" s="37" t="str">
        <f>IF(Agent01_Savings!A96="","",Agent01_Savings!J96)</f>
        <v/>
      </c>
      <c r="J91" s="37" t="str">
        <f>IF(Agent01_Savings!A96="","",Agent01_Savings!K96)</f>
        <v/>
      </c>
      <c r="K91" s="37" t="str">
        <f>IFERROR(IF(Agent01_Savings!A96="","",YEAR(Agent01_Savings!D96)),"")</f>
        <v/>
      </c>
    </row>
    <row r="92" spans="1:11" ht="18" customHeight="1" x14ac:dyDescent="0.25">
      <c r="A92" s="37" t="str">
        <f>IF(Agent01_Savings!A97="","",Agent01_Savings!A97)</f>
        <v/>
      </c>
      <c r="B92" s="37" t="str">
        <f ca="1">IF(Agent01_Savings!A97="","","SV"&amp;TEXT(92-3,"0000")&amp;"-"&amp;TEXT(TODAY(),"YYYYMMDD"))</f>
        <v/>
      </c>
      <c r="C92" s="37" t="str">
        <f>IF(Agent01_Savings!A97="","",Agent01_Savings!B97)</f>
        <v/>
      </c>
      <c r="D92" s="37" t="str">
        <f>IF(Agent01_Savings!A97="","",Agent01_Savings!G97)</f>
        <v/>
      </c>
      <c r="E92" s="38" t="str">
        <f>IF(Agent01_Savings!A97="","",Agent01_Savings!D97)</f>
        <v/>
      </c>
      <c r="F92" s="39" t="str">
        <f>IF(Agent01_Savings!A97="","",Agent01_Savings!E97)</f>
        <v/>
      </c>
      <c r="G92" s="39" t="str">
        <f>IF(Agent01_Savings!A97="","",Agent01_Savings!F97)</f>
        <v/>
      </c>
      <c r="H92" s="37" t="str">
        <f>IF(Agent01_Savings!A97="","",Agent01_Savings!I97)</f>
        <v/>
      </c>
      <c r="I92" s="37" t="str">
        <f>IF(Agent01_Savings!A97="","",Agent01_Savings!J97)</f>
        <v/>
      </c>
      <c r="J92" s="37" t="str">
        <f>IF(Agent01_Savings!A97="","",Agent01_Savings!K97)</f>
        <v/>
      </c>
      <c r="K92" s="37" t="str">
        <f>IFERROR(IF(Agent01_Savings!A97="","",YEAR(Agent01_Savings!D97)),"")</f>
        <v/>
      </c>
    </row>
    <row r="93" spans="1:11" ht="18" customHeight="1" x14ac:dyDescent="0.25">
      <c r="A93" s="37" t="str">
        <f>IF(Agent01_Savings!A98="","",Agent01_Savings!A98)</f>
        <v/>
      </c>
      <c r="B93" s="37" t="str">
        <f ca="1">IF(Agent01_Savings!A98="","","SV"&amp;TEXT(93-3,"0000")&amp;"-"&amp;TEXT(TODAY(),"YYYYMMDD"))</f>
        <v/>
      </c>
      <c r="C93" s="37" t="str">
        <f>IF(Agent01_Savings!A98="","",Agent01_Savings!B98)</f>
        <v/>
      </c>
      <c r="D93" s="37" t="str">
        <f>IF(Agent01_Savings!A98="","",Agent01_Savings!G98)</f>
        <v/>
      </c>
      <c r="E93" s="38" t="str">
        <f>IF(Agent01_Savings!A98="","",Agent01_Savings!D98)</f>
        <v/>
      </c>
      <c r="F93" s="39" t="str">
        <f>IF(Agent01_Savings!A98="","",Agent01_Savings!E98)</f>
        <v/>
      </c>
      <c r="G93" s="39" t="str">
        <f>IF(Agent01_Savings!A98="","",Agent01_Savings!F98)</f>
        <v/>
      </c>
      <c r="H93" s="37" t="str">
        <f>IF(Agent01_Savings!A98="","",Agent01_Savings!I98)</f>
        <v/>
      </c>
      <c r="I93" s="37" t="str">
        <f>IF(Agent01_Savings!A98="","",Agent01_Savings!J98)</f>
        <v/>
      </c>
      <c r="J93" s="37" t="str">
        <f>IF(Agent01_Savings!A98="","",Agent01_Savings!K98)</f>
        <v/>
      </c>
      <c r="K93" s="37" t="str">
        <f>IFERROR(IF(Agent01_Savings!A98="","",YEAR(Agent01_Savings!D98)),"")</f>
        <v/>
      </c>
    </row>
    <row r="94" spans="1:11" ht="18" customHeight="1" x14ac:dyDescent="0.25">
      <c r="A94" s="37" t="str">
        <f>IF(Agent01_Savings!A99="","",Agent01_Savings!A99)</f>
        <v/>
      </c>
      <c r="B94" s="37" t="str">
        <f ca="1">IF(Agent01_Savings!A99="","","SV"&amp;TEXT(94-3,"0000")&amp;"-"&amp;TEXT(TODAY(),"YYYYMMDD"))</f>
        <v/>
      </c>
      <c r="C94" s="37" t="str">
        <f>IF(Agent01_Savings!A99="","",Agent01_Savings!B99)</f>
        <v/>
      </c>
      <c r="D94" s="37" t="str">
        <f>IF(Agent01_Savings!A99="","",Agent01_Savings!G99)</f>
        <v/>
      </c>
      <c r="E94" s="38" t="str">
        <f>IF(Agent01_Savings!A99="","",Agent01_Savings!D99)</f>
        <v/>
      </c>
      <c r="F94" s="39" t="str">
        <f>IF(Agent01_Savings!A99="","",Agent01_Savings!E99)</f>
        <v/>
      </c>
      <c r="G94" s="39" t="str">
        <f>IF(Agent01_Savings!A99="","",Agent01_Savings!F99)</f>
        <v/>
      </c>
      <c r="H94" s="37" t="str">
        <f>IF(Agent01_Savings!A99="","",Agent01_Savings!I99)</f>
        <v/>
      </c>
      <c r="I94" s="37" t="str">
        <f>IF(Agent01_Savings!A99="","",Agent01_Savings!J99)</f>
        <v/>
      </c>
      <c r="J94" s="37" t="str">
        <f>IF(Agent01_Savings!A99="","",Agent01_Savings!K99)</f>
        <v/>
      </c>
      <c r="K94" s="37" t="str">
        <f>IFERROR(IF(Agent01_Savings!A99="","",YEAR(Agent01_Savings!D99)),"")</f>
        <v/>
      </c>
    </row>
    <row r="95" spans="1:11" ht="18" customHeight="1" x14ac:dyDescent="0.25">
      <c r="A95" s="37" t="str">
        <f>IF(Agent01_Savings!A100="","",Agent01_Savings!A100)</f>
        <v/>
      </c>
      <c r="B95" s="37" t="str">
        <f ca="1">IF(Agent01_Savings!A100="","","SV"&amp;TEXT(95-3,"0000")&amp;"-"&amp;TEXT(TODAY(),"YYYYMMDD"))</f>
        <v/>
      </c>
      <c r="C95" s="37" t="str">
        <f>IF(Agent01_Savings!A100="","",Agent01_Savings!B100)</f>
        <v/>
      </c>
      <c r="D95" s="37" t="str">
        <f>IF(Agent01_Savings!A100="","",Agent01_Savings!G100)</f>
        <v/>
      </c>
      <c r="E95" s="38" t="str">
        <f>IF(Agent01_Savings!A100="","",Agent01_Savings!D100)</f>
        <v/>
      </c>
      <c r="F95" s="39" t="str">
        <f>IF(Agent01_Savings!A100="","",Agent01_Savings!E100)</f>
        <v/>
      </c>
      <c r="G95" s="39" t="str">
        <f>IF(Agent01_Savings!A100="","",Agent01_Savings!F100)</f>
        <v/>
      </c>
      <c r="H95" s="37" t="str">
        <f>IF(Agent01_Savings!A100="","",Agent01_Savings!I100)</f>
        <v/>
      </c>
      <c r="I95" s="37" t="str">
        <f>IF(Agent01_Savings!A100="","",Agent01_Savings!J100)</f>
        <v/>
      </c>
      <c r="J95" s="37" t="str">
        <f>IF(Agent01_Savings!A100="","",Agent01_Savings!K100)</f>
        <v/>
      </c>
      <c r="K95" s="37" t="str">
        <f>IFERROR(IF(Agent01_Savings!A100="","",YEAR(Agent01_Savings!D100)),"")</f>
        <v/>
      </c>
    </row>
    <row r="96" spans="1:11" ht="18" customHeight="1" x14ac:dyDescent="0.25">
      <c r="A96" s="37" t="str">
        <f>IF(Agent01_Savings!A101="","",Agent01_Savings!A101)</f>
        <v/>
      </c>
      <c r="B96" s="37" t="str">
        <f ca="1">IF(Agent01_Savings!A101="","","SV"&amp;TEXT(96-3,"0000")&amp;"-"&amp;TEXT(TODAY(),"YYYYMMDD"))</f>
        <v/>
      </c>
      <c r="C96" s="37" t="str">
        <f>IF(Agent01_Savings!A101="","",Agent01_Savings!B101)</f>
        <v/>
      </c>
      <c r="D96" s="37" t="str">
        <f>IF(Agent01_Savings!A101="","",Agent01_Savings!G101)</f>
        <v/>
      </c>
      <c r="E96" s="38" t="str">
        <f>IF(Agent01_Savings!A101="","",Agent01_Savings!D101)</f>
        <v/>
      </c>
      <c r="F96" s="39" t="str">
        <f>IF(Agent01_Savings!A101="","",Agent01_Savings!E101)</f>
        <v/>
      </c>
      <c r="G96" s="39" t="str">
        <f>IF(Agent01_Savings!A101="","",Agent01_Savings!F101)</f>
        <v/>
      </c>
      <c r="H96" s="37" t="str">
        <f>IF(Agent01_Savings!A101="","",Agent01_Savings!I101)</f>
        <v/>
      </c>
      <c r="I96" s="37" t="str">
        <f>IF(Agent01_Savings!A101="","",Agent01_Savings!J101)</f>
        <v/>
      </c>
      <c r="J96" s="37" t="str">
        <f>IF(Agent01_Savings!A101="","",Agent01_Savings!K101)</f>
        <v/>
      </c>
      <c r="K96" s="37" t="str">
        <f>IFERROR(IF(Agent01_Savings!A101="","",YEAR(Agent01_Savings!D101)),"")</f>
        <v/>
      </c>
    </row>
    <row r="97" spans="1:11" ht="18" customHeight="1" x14ac:dyDescent="0.25">
      <c r="A97" s="37" t="str">
        <f>IF(Agent01_Savings!A102="","",Agent01_Savings!A102)</f>
        <v/>
      </c>
      <c r="B97" s="37" t="str">
        <f ca="1">IF(Agent01_Savings!A102="","","SV"&amp;TEXT(97-3,"0000")&amp;"-"&amp;TEXT(TODAY(),"YYYYMMDD"))</f>
        <v/>
      </c>
      <c r="C97" s="37" t="str">
        <f>IF(Agent01_Savings!A102="","",Agent01_Savings!B102)</f>
        <v/>
      </c>
      <c r="D97" s="37" t="str">
        <f>IF(Agent01_Savings!A102="","",Agent01_Savings!G102)</f>
        <v/>
      </c>
      <c r="E97" s="38" t="str">
        <f>IF(Agent01_Savings!A102="","",Agent01_Savings!D102)</f>
        <v/>
      </c>
      <c r="F97" s="39" t="str">
        <f>IF(Agent01_Savings!A102="","",Agent01_Savings!E102)</f>
        <v/>
      </c>
      <c r="G97" s="39" t="str">
        <f>IF(Agent01_Savings!A102="","",Agent01_Savings!F102)</f>
        <v/>
      </c>
      <c r="H97" s="37" t="str">
        <f>IF(Agent01_Savings!A102="","",Agent01_Savings!I102)</f>
        <v/>
      </c>
      <c r="I97" s="37" t="str">
        <f>IF(Agent01_Savings!A102="","",Agent01_Savings!J102)</f>
        <v/>
      </c>
      <c r="J97" s="37" t="str">
        <f>IF(Agent01_Savings!A102="","",Agent01_Savings!K102)</f>
        <v/>
      </c>
      <c r="K97" s="37" t="str">
        <f>IFERROR(IF(Agent01_Savings!A102="","",YEAR(Agent01_Savings!D102)),"")</f>
        <v/>
      </c>
    </row>
    <row r="98" spans="1:11" ht="18" customHeight="1" x14ac:dyDescent="0.25">
      <c r="A98" s="37" t="str">
        <f>IF(Agent01_Savings!A103="","",Agent01_Savings!A103)</f>
        <v/>
      </c>
      <c r="B98" s="37" t="str">
        <f ca="1">IF(Agent01_Savings!A103="","","SV"&amp;TEXT(98-3,"0000")&amp;"-"&amp;TEXT(TODAY(),"YYYYMMDD"))</f>
        <v/>
      </c>
      <c r="C98" s="37" t="str">
        <f>IF(Agent01_Savings!A103="","",Agent01_Savings!B103)</f>
        <v/>
      </c>
      <c r="D98" s="37" t="str">
        <f>IF(Agent01_Savings!A103="","",Agent01_Savings!G103)</f>
        <v/>
      </c>
      <c r="E98" s="38" t="str">
        <f>IF(Agent01_Savings!A103="","",Agent01_Savings!D103)</f>
        <v/>
      </c>
      <c r="F98" s="39" t="str">
        <f>IF(Agent01_Savings!A103="","",Agent01_Savings!E103)</f>
        <v/>
      </c>
      <c r="G98" s="39" t="str">
        <f>IF(Agent01_Savings!A103="","",Agent01_Savings!F103)</f>
        <v/>
      </c>
      <c r="H98" s="37" t="str">
        <f>IF(Agent01_Savings!A103="","",Agent01_Savings!I103)</f>
        <v/>
      </c>
      <c r="I98" s="37" t="str">
        <f>IF(Agent01_Savings!A103="","",Agent01_Savings!J103)</f>
        <v/>
      </c>
      <c r="J98" s="37" t="str">
        <f>IF(Agent01_Savings!A103="","",Agent01_Savings!K103)</f>
        <v/>
      </c>
      <c r="K98" s="37" t="str">
        <f>IFERROR(IF(Agent01_Savings!A103="","",YEAR(Agent01_Savings!D103)),"")</f>
        <v/>
      </c>
    </row>
    <row r="99" spans="1:11" ht="18" customHeight="1" x14ac:dyDescent="0.25">
      <c r="A99" s="37" t="str">
        <f>IF(Agent01_Savings!A104="","",Agent01_Savings!A104)</f>
        <v/>
      </c>
      <c r="B99" s="37" t="str">
        <f ca="1">IF(Agent01_Savings!A104="","","SV"&amp;TEXT(99-3,"0000")&amp;"-"&amp;TEXT(TODAY(),"YYYYMMDD"))</f>
        <v/>
      </c>
      <c r="C99" s="37" t="str">
        <f>IF(Agent01_Savings!A104="","",Agent01_Savings!B104)</f>
        <v/>
      </c>
      <c r="D99" s="37" t="str">
        <f>IF(Agent01_Savings!A104="","",Agent01_Savings!G104)</f>
        <v/>
      </c>
      <c r="E99" s="38" t="str">
        <f>IF(Agent01_Savings!A104="","",Agent01_Savings!D104)</f>
        <v/>
      </c>
      <c r="F99" s="39" t="str">
        <f>IF(Agent01_Savings!A104="","",Agent01_Savings!E104)</f>
        <v/>
      </c>
      <c r="G99" s="39" t="str">
        <f>IF(Agent01_Savings!A104="","",Agent01_Savings!F104)</f>
        <v/>
      </c>
      <c r="H99" s="37" t="str">
        <f>IF(Agent01_Savings!A104="","",Agent01_Savings!I104)</f>
        <v/>
      </c>
      <c r="I99" s="37" t="str">
        <f>IF(Agent01_Savings!A104="","",Agent01_Savings!J104)</f>
        <v/>
      </c>
      <c r="J99" s="37" t="str">
        <f>IF(Agent01_Savings!A104="","",Agent01_Savings!K104)</f>
        <v/>
      </c>
      <c r="K99" s="37" t="str">
        <f>IFERROR(IF(Agent01_Savings!A104="","",YEAR(Agent01_Savings!D104)),"")</f>
        <v/>
      </c>
    </row>
    <row r="100" spans="1:11" ht="18" customHeight="1" x14ac:dyDescent="0.25">
      <c r="A100" s="37" t="str">
        <f>IF(Agent01_Savings!A105="","",Agent01_Savings!A105)</f>
        <v/>
      </c>
      <c r="B100" s="37" t="str">
        <f ca="1">IF(Agent01_Savings!A105="","","SV"&amp;TEXT(100-3,"0000")&amp;"-"&amp;TEXT(TODAY(),"YYYYMMDD"))</f>
        <v/>
      </c>
      <c r="C100" s="37" t="str">
        <f>IF(Agent01_Savings!A105="","",Agent01_Savings!B105)</f>
        <v/>
      </c>
      <c r="D100" s="37" t="str">
        <f>IF(Agent01_Savings!A105="","",Agent01_Savings!G105)</f>
        <v/>
      </c>
      <c r="E100" s="38" t="str">
        <f>IF(Agent01_Savings!A105="","",Agent01_Savings!D105)</f>
        <v/>
      </c>
      <c r="F100" s="39" t="str">
        <f>IF(Agent01_Savings!A105="","",Agent01_Savings!E105)</f>
        <v/>
      </c>
      <c r="G100" s="39" t="str">
        <f>IF(Agent01_Savings!A105="","",Agent01_Savings!F105)</f>
        <v/>
      </c>
      <c r="H100" s="37" t="str">
        <f>IF(Agent01_Savings!A105="","",Agent01_Savings!I105)</f>
        <v/>
      </c>
      <c r="I100" s="37" t="str">
        <f>IF(Agent01_Savings!A105="","",Agent01_Savings!J105)</f>
        <v/>
      </c>
      <c r="J100" s="37" t="str">
        <f>IF(Agent01_Savings!A105="","",Agent01_Savings!K105)</f>
        <v/>
      </c>
      <c r="K100" s="37" t="str">
        <f>IFERROR(IF(Agent01_Savings!A105="","",YEAR(Agent01_Savings!D105)),"")</f>
        <v/>
      </c>
    </row>
    <row r="101" spans="1:11" ht="18" customHeight="1" x14ac:dyDescent="0.25">
      <c r="A101" s="37" t="str">
        <f>IF(Agent01_Savings!A106="","",Agent01_Savings!A106)</f>
        <v/>
      </c>
      <c r="B101" s="37" t="str">
        <f ca="1">IF(Agent01_Savings!A106="","","SV"&amp;TEXT(101-3,"0000")&amp;"-"&amp;TEXT(TODAY(),"YYYYMMDD"))</f>
        <v/>
      </c>
      <c r="C101" s="37" t="str">
        <f>IF(Agent01_Savings!A106="","",Agent01_Savings!B106)</f>
        <v/>
      </c>
      <c r="D101" s="37" t="str">
        <f>IF(Agent01_Savings!A106="","",Agent01_Savings!G106)</f>
        <v/>
      </c>
      <c r="E101" s="38" t="str">
        <f>IF(Agent01_Savings!A106="","",Agent01_Savings!D106)</f>
        <v/>
      </c>
      <c r="F101" s="39" t="str">
        <f>IF(Agent01_Savings!A106="","",Agent01_Savings!E106)</f>
        <v/>
      </c>
      <c r="G101" s="39" t="str">
        <f>IF(Agent01_Savings!A106="","",Agent01_Savings!F106)</f>
        <v/>
      </c>
      <c r="H101" s="37" t="str">
        <f>IF(Agent01_Savings!A106="","",Agent01_Savings!I106)</f>
        <v/>
      </c>
      <c r="I101" s="37" t="str">
        <f>IF(Agent01_Savings!A106="","",Agent01_Savings!J106)</f>
        <v/>
      </c>
      <c r="J101" s="37" t="str">
        <f>IF(Agent01_Savings!A106="","",Agent01_Savings!K106)</f>
        <v/>
      </c>
      <c r="K101" s="37" t="str">
        <f>IFERROR(IF(Agent01_Savings!A106="","",YEAR(Agent01_Savings!D106)),"")</f>
        <v/>
      </c>
    </row>
    <row r="102" spans="1:11" ht="18" customHeight="1" x14ac:dyDescent="0.25">
      <c r="A102" s="37" t="str">
        <f>IF(Agent01_Savings!A107="","",Agent01_Savings!A107)</f>
        <v/>
      </c>
      <c r="B102" s="37" t="str">
        <f ca="1">IF(Agent01_Savings!A107="","","SV"&amp;TEXT(102-3,"0000")&amp;"-"&amp;TEXT(TODAY(),"YYYYMMDD"))</f>
        <v/>
      </c>
      <c r="C102" s="37" t="str">
        <f>IF(Agent01_Savings!A107="","",Agent01_Savings!B107)</f>
        <v/>
      </c>
      <c r="D102" s="37" t="str">
        <f>IF(Agent01_Savings!A107="","",Agent01_Savings!G107)</f>
        <v/>
      </c>
      <c r="E102" s="38" t="str">
        <f>IF(Agent01_Savings!A107="","",Agent01_Savings!D107)</f>
        <v/>
      </c>
      <c r="F102" s="39" t="str">
        <f>IF(Agent01_Savings!A107="","",Agent01_Savings!E107)</f>
        <v/>
      </c>
      <c r="G102" s="39" t="str">
        <f>IF(Agent01_Savings!A107="","",Agent01_Savings!F107)</f>
        <v/>
      </c>
      <c r="H102" s="37" t="str">
        <f>IF(Agent01_Savings!A107="","",Agent01_Savings!I107)</f>
        <v/>
      </c>
      <c r="I102" s="37" t="str">
        <f>IF(Agent01_Savings!A107="","",Agent01_Savings!J107)</f>
        <v/>
      </c>
      <c r="J102" s="37" t="str">
        <f>IF(Agent01_Savings!A107="","",Agent01_Savings!K107)</f>
        <v/>
      </c>
      <c r="K102" s="37" t="str">
        <f>IFERROR(IF(Agent01_Savings!A107="","",YEAR(Agent01_Savings!D107)),"")</f>
        <v/>
      </c>
    </row>
    <row r="103" spans="1:11" ht="18" customHeight="1" x14ac:dyDescent="0.25">
      <c r="A103" s="37" t="str">
        <f>IF(Agent01_Savings!A108="","",Agent01_Savings!A108)</f>
        <v/>
      </c>
      <c r="B103" s="37" t="str">
        <f ca="1">IF(Agent01_Savings!A108="","","SV"&amp;TEXT(103-3,"0000")&amp;"-"&amp;TEXT(TODAY(),"YYYYMMDD"))</f>
        <v/>
      </c>
      <c r="C103" s="37" t="str">
        <f>IF(Agent01_Savings!A108="","",Agent01_Savings!B108)</f>
        <v/>
      </c>
      <c r="D103" s="37" t="str">
        <f>IF(Agent01_Savings!A108="","",Agent01_Savings!G108)</f>
        <v/>
      </c>
      <c r="E103" s="38" t="str">
        <f>IF(Agent01_Savings!A108="","",Agent01_Savings!D108)</f>
        <v/>
      </c>
      <c r="F103" s="39" t="str">
        <f>IF(Agent01_Savings!A108="","",Agent01_Savings!E108)</f>
        <v/>
      </c>
      <c r="G103" s="39" t="str">
        <f>IF(Agent01_Savings!A108="","",Agent01_Savings!F108)</f>
        <v/>
      </c>
      <c r="H103" s="37" t="str">
        <f>IF(Agent01_Savings!A108="","",Agent01_Savings!I108)</f>
        <v/>
      </c>
      <c r="I103" s="37" t="str">
        <f>IF(Agent01_Savings!A108="","",Agent01_Savings!J108)</f>
        <v/>
      </c>
      <c r="J103" s="37" t="str">
        <f>IF(Agent01_Savings!A108="","",Agent01_Savings!K108)</f>
        <v/>
      </c>
      <c r="K103" s="37" t="str">
        <f>IFERROR(IF(Agent01_Savings!A108="","",YEAR(Agent01_Savings!D108)),"")</f>
        <v/>
      </c>
    </row>
    <row r="104" spans="1:11" ht="18" customHeight="1" x14ac:dyDescent="0.25">
      <c r="A104" s="37" t="str">
        <f>IF(Agent01_Savings!A109="","",Agent01_Savings!A109)</f>
        <v/>
      </c>
      <c r="B104" s="37" t="str">
        <f ca="1">IF(Agent01_Savings!A109="","","SV"&amp;TEXT(104-3,"0000")&amp;"-"&amp;TEXT(TODAY(),"YYYYMMDD"))</f>
        <v/>
      </c>
      <c r="C104" s="37" t="str">
        <f>IF(Agent01_Savings!A109="","",Agent01_Savings!B109)</f>
        <v/>
      </c>
      <c r="D104" s="37" t="str">
        <f>IF(Agent01_Savings!A109="","",Agent01_Savings!G109)</f>
        <v/>
      </c>
      <c r="E104" s="38" t="str">
        <f>IF(Agent01_Savings!A109="","",Agent01_Savings!D109)</f>
        <v/>
      </c>
      <c r="F104" s="39" t="str">
        <f>IF(Agent01_Savings!A109="","",Agent01_Savings!E109)</f>
        <v/>
      </c>
      <c r="G104" s="39" t="str">
        <f>IF(Agent01_Savings!A109="","",Agent01_Savings!F109)</f>
        <v/>
      </c>
      <c r="H104" s="37" t="str">
        <f>IF(Agent01_Savings!A109="","",Agent01_Savings!I109)</f>
        <v/>
      </c>
      <c r="I104" s="37" t="str">
        <f>IF(Agent01_Savings!A109="","",Agent01_Savings!J109)</f>
        <v/>
      </c>
      <c r="J104" s="37" t="str">
        <f>IF(Agent01_Savings!A109="","",Agent01_Savings!K109)</f>
        <v/>
      </c>
      <c r="K104" s="37" t="str">
        <f>IFERROR(IF(Agent01_Savings!A109="","",YEAR(Agent01_Savings!D109)),"")</f>
        <v/>
      </c>
    </row>
    <row r="105" spans="1:11" ht="18" customHeight="1" x14ac:dyDescent="0.25">
      <c r="A105" s="37" t="str">
        <f>IF(Agent01_Savings!A110="","",Agent01_Savings!A110)</f>
        <v/>
      </c>
      <c r="B105" s="37" t="str">
        <f ca="1">IF(Agent01_Savings!A110="","","SV"&amp;TEXT(105-3,"0000")&amp;"-"&amp;TEXT(TODAY(),"YYYYMMDD"))</f>
        <v/>
      </c>
      <c r="C105" s="37" t="str">
        <f>IF(Agent01_Savings!A110="","",Agent01_Savings!B110)</f>
        <v/>
      </c>
      <c r="D105" s="37" t="str">
        <f>IF(Agent01_Savings!A110="","",Agent01_Savings!G110)</f>
        <v/>
      </c>
      <c r="E105" s="38" t="str">
        <f>IF(Agent01_Savings!A110="","",Agent01_Savings!D110)</f>
        <v/>
      </c>
      <c r="F105" s="39" t="str">
        <f>IF(Agent01_Savings!A110="","",Agent01_Savings!E110)</f>
        <v/>
      </c>
      <c r="G105" s="39" t="str">
        <f>IF(Agent01_Savings!A110="","",Agent01_Savings!F110)</f>
        <v/>
      </c>
      <c r="H105" s="37" t="str">
        <f>IF(Agent01_Savings!A110="","",Agent01_Savings!I110)</f>
        <v/>
      </c>
      <c r="I105" s="37" t="str">
        <f>IF(Agent01_Savings!A110="","",Agent01_Savings!J110)</f>
        <v/>
      </c>
      <c r="J105" s="37" t="str">
        <f>IF(Agent01_Savings!A110="","",Agent01_Savings!K110)</f>
        <v/>
      </c>
      <c r="K105" s="37" t="str">
        <f>IFERROR(IF(Agent01_Savings!A110="","",YEAR(Agent01_Savings!D110)),"")</f>
        <v/>
      </c>
    </row>
    <row r="106" spans="1:11" ht="18" customHeight="1" x14ac:dyDescent="0.25">
      <c r="A106" s="37" t="str">
        <f>IF(Agent01_Savings!A111="","",Agent01_Savings!A111)</f>
        <v/>
      </c>
      <c r="B106" s="37" t="str">
        <f ca="1">IF(Agent01_Savings!A111="","","SV"&amp;TEXT(106-3,"0000")&amp;"-"&amp;TEXT(TODAY(),"YYYYMMDD"))</f>
        <v/>
      </c>
      <c r="C106" s="37" t="str">
        <f>IF(Agent01_Savings!A111="","",Agent01_Savings!B111)</f>
        <v/>
      </c>
      <c r="D106" s="37" t="str">
        <f>IF(Agent01_Savings!A111="","",Agent01_Savings!G111)</f>
        <v/>
      </c>
      <c r="E106" s="38" t="str">
        <f>IF(Agent01_Savings!A111="","",Agent01_Savings!D111)</f>
        <v/>
      </c>
      <c r="F106" s="39" t="str">
        <f>IF(Agent01_Savings!A111="","",Agent01_Savings!E111)</f>
        <v/>
      </c>
      <c r="G106" s="39" t="str">
        <f>IF(Agent01_Savings!A111="","",Agent01_Savings!F111)</f>
        <v/>
      </c>
      <c r="H106" s="37" t="str">
        <f>IF(Agent01_Savings!A111="","",Agent01_Savings!I111)</f>
        <v/>
      </c>
      <c r="I106" s="37" t="str">
        <f>IF(Agent01_Savings!A111="","",Agent01_Savings!J111)</f>
        <v/>
      </c>
      <c r="J106" s="37" t="str">
        <f>IF(Agent01_Savings!A111="","",Agent01_Savings!K111)</f>
        <v/>
      </c>
      <c r="K106" s="37" t="str">
        <f>IFERROR(IF(Agent01_Savings!A111="","",YEAR(Agent01_Savings!D111)),"")</f>
        <v/>
      </c>
    </row>
    <row r="107" spans="1:11" ht="18" customHeight="1" x14ac:dyDescent="0.25">
      <c r="A107" s="37" t="str">
        <f>IF(Agent01_Savings!A112="","",Agent01_Savings!A112)</f>
        <v/>
      </c>
      <c r="B107" s="37" t="str">
        <f ca="1">IF(Agent01_Savings!A112="","","SV"&amp;TEXT(107-3,"0000")&amp;"-"&amp;TEXT(TODAY(),"YYYYMMDD"))</f>
        <v/>
      </c>
      <c r="C107" s="37" t="str">
        <f>IF(Agent01_Savings!A112="","",Agent01_Savings!B112)</f>
        <v/>
      </c>
      <c r="D107" s="37" t="str">
        <f>IF(Agent01_Savings!A112="","",Agent01_Savings!G112)</f>
        <v/>
      </c>
      <c r="E107" s="38" t="str">
        <f>IF(Agent01_Savings!A112="","",Agent01_Savings!D112)</f>
        <v/>
      </c>
      <c r="F107" s="39" t="str">
        <f>IF(Agent01_Savings!A112="","",Agent01_Savings!E112)</f>
        <v/>
      </c>
      <c r="G107" s="39" t="str">
        <f>IF(Agent01_Savings!A112="","",Agent01_Savings!F112)</f>
        <v/>
      </c>
      <c r="H107" s="37" t="str">
        <f>IF(Agent01_Savings!A112="","",Agent01_Savings!I112)</f>
        <v/>
      </c>
      <c r="I107" s="37" t="str">
        <f>IF(Agent01_Savings!A112="","",Agent01_Savings!J112)</f>
        <v/>
      </c>
      <c r="J107" s="37" t="str">
        <f>IF(Agent01_Savings!A112="","",Agent01_Savings!K112)</f>
        <v/>
      </c>
      <c r="K107" s="37" t="str">
        <f>IFERROR(IF(Agent01_Savings!A112="","",YEAR(Agent01_Savings!D112)),"")</f>
        <v/>
      </c>
    </row>
    <row r="108" spans="1:11" ht="18" customHeight="1" x14ac:dyDescent="0.25">
      <c r="A108" s="37" t="str">
        <f>IF(Agent01_Savings!A113="","",Agent01_Savings!A113)</f>
        <v/>
      </c>
      <c r="B108" s="37" t="str">
        <f ca="1">IF(Agent01_Savings!A113="","","SV"&amp;TEXT(108-3,"0000")&amp;"-"&amp;TEXT(TODAY(),"YYYYMMDD"))</f>
        <v/>
      </c>
      <c r="C108" s="37" t="str">
        <f>IF(Agent01_Savings!A113="","",Agent01_Savings!B113)</f>
        <v/>
      </c>
      <c r="D108" s="37" t="str">
        <f>IF(Agent01_Savings!A113="","",Agent01_Savings!G113)</f>
        <v/>
      </c>
      <c r="E108" s="38" t="str">
        <f>IF(Agent01_Savings!A113="","",Agent01_Savings!D113)</f>
        <v/>
      </c>
      <c r="F108" s="39" t="str">
        <f>IF(Agent01_Savings!A113="","",Agent01_Savings!E113)</f>
        <v/>
      </c>
      <c r="G108" s="39" t="str">
        <f>IF(Agent01_Savings!A113="","",Agent01_Savings!F113)</f>
        <v/>
      </c>
      <c r="H108" s="37" t="str">
        <f>IF(Agent01_Savings!A113="","",Agent01_Savings!I113)</f>
        <v/>
      </c>
      <c r="I108" s="37" t="str">
        <f>IF(Agent01_Savings!A113="","",Agent01_Savings!J113)</f>
        <v/>
      </c>
      <c r="J108" s="37" t="str">
        <f>IF(Agent01_Savings!A113="","",Agent01_Savings!K113)</f>
        <v/>
      </c>
      <c r="K108" s="37" t="str">
        <f>IFERROR(IF(Agent01_Savings!A113="","",YEAR(Agent01_Savings!D113)),"")</f>
        <v/>
      </c>
    </row>
    <row r="109" spans="1:11" ht="18" customHeight="1" x14ac:dyDescent="0.25">
      <c r="A109" s="37" t="str">
        <f>IF(Agent01_Savings!A114="","",Agent01_Savings!A114)</f>
        <v/>
      </c>
      <c r="B109" s="37" t="str">
        <f ca="1">IF(Agent01_Savings!A114="","","SV"&amp;TEXT(109-3,"0000")&amp;"-"&amp;TEXT(TODAY(),"YYYYMMDD"))</f>
        <v/>
      </c>
      <c r="C109" s="37" t="str">
        <f>IF(Agent01_Savings!A114="","",Agent01_Savings!B114)</f>
        <v/>
      </c>
      <c r="D109" s="37" t="str">
        <f>IF(Agent01_Savings!A114="","",Agent01_Savings!G114)</f>
        <v/>
      </c>
      <c r="E109" s="38" t="str">
        <f>IF(Agent01_Savings!A114="","",Agent01_Savings!D114)</f>
        <v/>
      </c>
      <c r="F109" s="39" t="str">
        <f>IF(Agent01_Savings!A114="","",Agent01_Savings!E114)</f>
        <v/>
      </c>
      <c r="G109" s="39" t="str">
        <f>IF(Agent01_Savings!A114="","",Agent01_Savings!F114)</f>
        <v/>
      </c>
      <c r="H109" s="37" t="str">
        <f>IF(Agent01_Savings!A114="","",Agent01_Savings!I114)</f>
        <v/>
      </c>
      <c r="I109" s="37" t="str">
        <f>IF(Agent01_Savings!A114="","",Agent01_Savings!J114)</f>
        <v/>
      </c>
      <c r="J109" s="37" t="str">
        <f>IF(Agent01_Savings!A114="","",Agent01_Savings!K114)</f>
        <v/>
      </c>
      <c r="K109" s="37" t="str">
        <f>IFERROR(IF(Agent01_Savings!A114="","",YEAR(Agent01_Savings!D114)),"")</f>
        <v/>
      </c>
    </row>
    <row r="110" spans="1:11" ht="18" customHeight="1" x14ac:dyDescent="0.25">
      <c r="A110" s="37" t="str">
        <f>IF(Agent01_Savings!A115="","",Agent01_Savings!A115)</f>
        <v/>
      </c>
      <c r="B110" s="37" t="str">
        <f ca="1">IF(Agent01_Savings!A115="","","SV"&amp;TEXT(110-3,"0000")&amp;"-"&amp;TEXT(TODAY(),"YYYYMMDD"))</f>
        <v/>
      </c>
      <c r="C110" s="37" t="str">
        <f>IF(Agent01_Savings!A115="","",Agent01_Savings!B115)</f>
        <v/>
      </c>
      <c r="D110" s="37" t="str">
        <f>IF(Agent01_Savings!A115="","",Agent01_Savings!G115)</f>
        <v/>
      </c>
      <c r="E110" s="38" t="str">
        <f>IF(Agent01_Savings!A115="","",Agent01_Savings!D115)</f>
        <v/>
      </c>
      <c r="F110" s="39" t="str">
        <f>IF(Agent01_Savings!A115="","",Agent01_Savings!E115)</f>
        <v/>
      </c>
      <c r="G110" s="39" t="str">
        <f>IF(Agent01_Savings!A115="","",Agent01_Savings!F115)</f>
        <v/>
      </c>
      <c r="H110" s="37" t="str">
        <f>IF(Agent01_Savings!A115="","",Agent01_Savings!I115)</f>
        <v/>
      </c>
      <c r="I110" s="37" t="str">
        <f>IF(Agent01_Savings!A115="","",Agent01_Savings!J115)</f>
        <v/>
      </c>
      <c r="J110" s="37" t="str">
        <f>IF(Agent01_Savings!A115="","",Agent01_Savings!K115)</f>
        <v/>
      </c>
      <c r="K110" s="37" t="str">
        <f>IFERROR(IF(Agent01_Savings!A115="","",YEAR(Agent01_Savings!D115)),"")</f>
        <v/>
      </c>
    </row>
    <row r="111" spans="1:11" ht="18" customHeight="1" x14ac:dyDescent="0.25">
      <c r="A111" s="37" t="str">
        <f>IF(Agent01_Savings!A116="","",Agent01_Savings!A116)</f>
        <v/>
      </c>
      <c r="B111" s="37" t="str">
        <f ca="1">IF(Agent01_Savings!A116="","","SV"&amp;TEXT(111-3,"0000")&amp;"-"&amp;TEXT(TODAY(),"YYYYMMDD"))</f>
        <v/>
      </c>
      <c r="C111" s="37" t="str">
        <f>IF(Agent01_Savings!A116="","",Agent01_Savings!B116)</f>
        <v/>
      </c>
      <c r="D111" s="37" t="str">
        <f>IF(Agent01_Savings!A116="","",Agent01_Savings!G116)</f>
        <v/>
      </c>
      <c r="E111" s="38" t="str">
        <f>IF(Agent01_Savings!A116="","",Agent01_Savings!D116)</f>
        <v/>
      </c>
      <c r="F111" s="39" t="str">
        <f>IF(Agent01_Savings!A116="","",Agent01_Savings!E116)</f>
        <v/>
      </c>
      <c r="G111" s="39" t="str">
        <f>IF(Agent01_Savings!A116="","",Agent01_Savings!F116)</f>
        <v/>
      </c>
      <c r="H111" s="37" t="str">
        <f>IF(Agent01_Savings!A116="","",Agent01_Savings!I116)</f>
        <v/>
      </c>
      <c r="I111" s="37" t="str">
        <f>IF(Agent01_Savings!A116="","",Agent01_Savings!J116)</f>
        <v/>
      </c>
      <c r="J111" s="37" t="str">
        <f>IF(Agent01_Savings!A116="","",Agent01_Savings!K116)</f>
        <v/>
      </c>
      <c r="K111" s="37" t="str">
        <f>IFERROR(IF(Agent01_Savings!A116="","",YEAR(Agent01_Savings!D116)),"")</f>
        <v/>
      </c>
    </row>
    <row r="112" spans="1:11" ht="18" customHeight="1" x14ac:dyDescent="0.25">
      <c r="A112" s="37" t="str">
        <f>IF(Agent01_Savings!A117="","",Agent01_Savings!A117)</f>
        <v/>
      </c>
      <c r="B112" s="37" t="str">
        <f ca="1">IF(Agent01_Savings!A117="","","SV"&amp;TEXT(112-3,"0000")&amp;"-"&amp;TEXT(TODAY(),"YYYYMMDD"))</f>
        <v/>
      </c>
      <c r="C112" s="37" t="str">
        <f>IF(Agent01_Savings!A117="","",Agent01_Savings!B117)</f>
        <v/>
      </c>
      <c r="D112" s="37" t="str">
        <f>IF(Agent01_Savings!A117="","",Agent01_Savings!G117)</f>
        <v/>
      </c>
      <c r="E112" s="38" t="str">
        <f>IF(Agent01_Savings!A117="","",Agent01_Savings!D117)</f>
        <v/>
      </c>
      <c r="F112" s="39" t="str">
        <f>IF(Agent01_Savings!A117="","",Agent01_Savings!E117)</f>
        <v/>
      </c>
      <c r="G112" s="39" t="str">
        <f>IF(Agent01_Savings!A117="","",Agent01_Savings!F117)</f>
        <v/>
      </c>
      <c r="H112" s="37" t="str">
        <f>IF(Agent01_Savings!A117="","",Agent01_Savings!I117)</f>
        <v/>
      </c>
      <c r="I112" s="37" t="str">
        <f>IF(Agent01_Savings!A117="","",Agent01_Savings!J117)</f>
        <v/>
      </c>
      <c r="J112" s="37" t="str">
        <f>IF(Agent01_Savings!A117="","",Agent01_Savings!K117)</f>
        <v/>
      </c>
      <c r="K112" s="37" t="str">
        <f>IFERROR(IF(Agent01_Savings!A117="","",YEAR(Agent01_Savings!D117)),"")</f>
        <v/>
      </c>
    </row>
    <row r="113" spans="1:11" ht="18" customHeight="1" x14ac:dyDescent="0.25">
      <c r="A113" s="37" t="str">
        <f>IF(Agent01_Savings!A118="","",Agent01_Savings!A118)</f>
        <v/>
      </c>
      <c r="B113" s="37" t="str">
        <f ca="1">IF(Agent01_Savings!A118="","","SV"&amp;TEXT(113-3,"0000")&amp;"-"&amp;TEXT(TODAY(),"YYYYMMDD"))</f>
        <v/>
      </c>
      <c r="C113" s="37" t="str">
        <f>IF(Agent01_Savings!A118="","",Agent01_Savings!B118)</f>
        <v/>
      </c>
      <c r="D113" s="37" t="str">
        <f>IF(Agent01_Savings!A118="","",Agent01_Savings!G118)</f>
        <v/>
      </c>
      <c r="E113" s="38" t="str">
        <f>IF(Agent01_Savings!A118="","",Agent01_Savings!D118)</f>
        <v/>
      </c>
      <c r="F113" s="39" t="str">
        <f>IF(Agent01_Savings!A118="","",Agent01_Savings!E118)</f>
        <v/>
      </c>
      <c r="G113" s="39" t="str">
        <f>IF(Agent01_Savings!A118="","",Agent01_Savings!F118)</f>
        <v/>
      </c>
      <c r="H113" s="37" t="str">
        <f>IF(Agent01_Savings!A118="","",Agent01_Savings!I118)</f>
        <v/>
      </c>
      <c r="I113" s="37" t="str">
        <f>IF(Agent01_Savings!A118="","",Agent01_Savings!J118)</f>
        <v/>
      </c>
      <c r="J113" s="37" t="str">
        <f>IF(Agent01_Savings!A118="","",Agent01_Savings!K118)</f>
        <v/>
      </c>
      <c r="K113" s="37" t="str">
        <f>IFERROR(IF(Agent01_Savings!A118="","",YEAR(Agent01_Savings!D118)),"")</f>
        <v/>
      </c>
    </row>
    <row r="114" spans="1:11" ht="18" customHeight="1" x14ac:dyDescent="0.25">
      <c r="A114" s="37" t="str">
        <f>IF(Agent01_Savings!A119="","",Agent01_Savings!A119)</f>
        <v/>
      </c>
      <c r="B114" s="37" t="str">
        <f ca="1">IF(Agent01_Savings!A119="","","SV"&amp;TEXT(114-3,"0000")&amp;"-"&amp;TEXT(TODAY(),"YYYYMMDD"))</f>
        <v/>
      </c>
      <c r="C114" s="37" t="str">
        <f>IF(Agent01_Savings!A119="","",Agent01_Savings!B119)</f>
        <v/>
      </c>
      <c r="D114" s="37" t="str">
        <f>IF(Agent01_Savings!A119="","",Agent01_Savings!G119)</f>
        <v/>
      </c>
      <c r="E114" s="38" t="str">
        <f>IF(Agent01_Savings!A119="","",Agent01_Savings!D119)</f>
        <v/>
      </c>
      <c r="F114" s="39" t="str">
        <f>IF(Agent01_Savings!A119="","",Agent01_Savings!E119)</f>
        <v/>
      </c>
      <c r="G114" s="39" t="str">
        <f>IF(Agent01_Savings!A119="","",Agent01_Savings!F119)</f>
        <v/>
      </c>
      <c r="H114" s="37" t="str">
        <f>IF(Agent01_Savings!A119="","",Agent01_Savings!I119)</f>
        <v/>
      </c>
      <c r="I114" s="37" t="str">
        <f>IF(Agent01_Savings!A119="","",Agent01_Savings!J119)</f>
        <v/>
      </c>
      <c r="J114" s="37" t="str">
        <f>IF(Agent01_Savings!A119="","",Agent01_Savings!K119)</f>
        <v/>
      </c>
      <c r="K114" s="37" t="str">
        <f>IFERROR(IF(Agent01_Savings!A119="","",YEAR(Agent01_Savings!D119)),"")</f>
        <v/>
      </c>
    </row>
    <row r="115" spans="1:11" ht="18" customHeight="1" x14ac:dyDescent="0.25">
      <c r="A115" s="37" t="str">
        <f>IF(Agent01_Savings!A120="","",Agent01_Savings!A120)</f>
        <v/>
      </c>
      <c r="B115" s="37" t="str">
        <f ca="1">IF(Agent01_Savings!A120="","","SV"&amp;TEXT(115-3,"0000")&amp;"-"&amp;TEXT(TODAY(),"YYYYMMDD"))</f>
        <v/>
      </c>
      <c r="C115" s="37" t="str">
        <f>IF(Agent01_Savings!A120="","",Agent01_Savings!B120)</f>
        <v/>
      </c>
      <c r="D115" s="37" t="str">
        <f>IF(Agent01_Savings!A120="","",Agent01_Savings!G120)</f>
        <v/>
      </c>
      <c r="E115" s="38" t="str">
        <f>IF(Agent01_Savings!A120="","",Agent01_Savings!D120)</f>
        <v/>
      </c>
      <c r="F115" s="39" t="str">
        <f>IF(Agent01_Savings!A120="","",Agent01_Savings!E120)</f>
        <v/>
      </c>
      <c r="G115" s="39" t="str">
        <f>IF(Agent01_Savings!A120="","",Agent01_Savings!F120)</f>
        <v/>
      </c>
      <c r="H115" s="37" t="str">
        <f>IF(Agent01_Savings!A120="","",Agent01_Savings!I120)</f>
        <v/>
      </c>
      <c r="I115" s="37" t="str">
        <f>IF(Agent01_Savings!A120="","",Agent01_Savings!J120)</f>
        <v/>
      </c>
      <c r="J115" s="37" t="str">
        <f>IF(Agent01_Savings!A120="","",Agent01_Savings!K120)</f>
        <v/>
      </c>
      <c r="K115" s="37" t="str">
        <f>IFERROR(IF(Agent01_Savings!A120="","",YEAR(Agent01_Savings!D120)),"")</f>
        <v/>
      </c>
    </row>
    <row r="116" spans="1:11" ht="18" customHeight="1" x14ac:dyDescent="0.25">
      <c r="A116" s="37" t="str">
        <f>IF(Agent01_Savings!A121="","",Agent01_Savings!A121)</f>
        <v/>
      </c>
      <c r="B116" s="37" t="str">
        <f ca="1">IF(Agent01_Savings!A121="","","SV"&amp;TEXT(116-3,"0000")&amp;"-"&amp;TEXT(TODAY(),"YYYYMMDD"))</f>
        <v/>
      </c>
      <c r="C116" s="37" t="str">
        <f>IF(Agent01_Savings!A121="","",Agent01_Savings!B121)</f>
        <v/>
      </c>
      <c r="D116" s="37" t="str">
        <f>IF(Agent01_Savings!A121="","",Agent01_Savings!G121)</f>
        <v/>
      </c>
      <c r="E116" s="38" t="str">
        <f>IF(Agent01_Savings!A121="","",Agent01_Savings!D121)</f>
        <v/>
      </c>
      <c r="F116" s="39" t="str">
        <f>IF(Agent01_Savings!A121="","",Agent01_Savings!E121)</f>
        <v/>
      </c>
      <c r="G116" s="39" t="str">
        <f>IF(Agent01_Savings!A121="","",Agent01_Savings!F121)</f>
        <v/>
      </c>
      <c r="H116" s="37" t="str">
        <f>IF(Agent01_Savings!A121="","",Agent01_Savings!I121)</f>
        <v/>
      </c>
      <c r="I116" s="37" t="str">
        <f>IF(Agent01_Savings!A121="","",Agent01_Savings!J121)</f>
        <v/>
      </c>
      <c r="J116" s="37" t="str">
        <f>IF(Agent01_Savings!A121="","",Agent01_Savings!K121)</f>
        <v/>
      </c>
      <c r="K116" s="37" t="str">
        <f>IFERROR(IF(Agent01_Savings!A121="","",YEAR(Agent01_Savings!D121)),"")</f>
        <v/>
      </c>
    </row>
    <row r="117" spans="1:11" ht="18" customHeight="1" x14ac:dyDescent="0.25">
      <c r="A117" s="37" t="str">
        <f>IF(Agent01_Savings!A122="","",Agent01_Savings!A122)</f>
        <v/>
      </c>
      <c r="B117" s="37" t="str">
        <f ca="1">IF(Agent01_Savings!A122="","","SV"&amp;TEXT(117-3,"0000")&amp;"-"&amp;TEXT(TODAY(),"YYYYMMDD"))</f>
        <v/>
      </c>
      <c r="C117" s="37" t="str">
        <f>IF(Agent01_Savings!A122="","",Agent01_Savings!B122)</f>
        <v/>
      </c>
      <c r="D117" s="37" t="str">
        <f>IF(Agent01_Savings!A122="","",Agent01_Savings!G122)</f>
        <v/>
      </c>
      <c r="E117" s="38" t="str">
        <f>IF(Agent01_Savings!A122="","",Agent01_Savings!D122)</f>
        <v/>
      </c>
      <c r="F117" s="39" t="str">
        <f>IF(Agent01_Savings!A122="","",Agent01_Savings!E122)</f>
        <v/>
      </c>
      <c r="G117" s="39" t="str">
        <f>IF(Agent01_Savings!A122="","",Agent01_Savings!F122)</f>
        <v/>
      </c>
      <c r="H117" s="37" t="str">
        <f>IF(Agent01_Savings!A122="","",Agent01_Savings!I122)</f>
        <v/>
      </c>
      <c r="I117" s="37" t="str">
        <f>IF(Agent01_Savings!A122="","",Agent01_Savings!J122)</f>
        <v/>
      </c>
      <c r="J117" s="37" t="str">
        <f>IF(Agent01_Savings!A122="","",Agent01_Savings!K122)</f>
        <v/>
      </c>
      <c r="K117" s="37" t="str">
        <f>IFERROR(IF(Agent01_Savings!A122="","",YEAR(Agent01_Savings!D122)),"")</f>
        <v/>
      </c>
    </row>
    <row r="118" spans="1:11" ht="18" customHeight="1" x14ac:dyDescent="0.25">
      <c r="A118" s="37" t="str">
        <f>IF(Agent01_Savings!A123="","",Agent01_Savings!A123)</f>
        <v/>
      </c>
      <c r="B118" s="37" t="str">
        <f ca="1">IF(Agent01_Savings!A123="","","SV"&amp;TEXT(118-3,"0000")&amp;"-"&amp;TEXT(TODAY(),"YYYYMMDD"))</f>
        <v/>
      </c>
      <c r="C118" s="37" t="str">
        <f>IF(Agent01_Savings!A123="","",Agent01_Savings!B123)</f>
        <v/>
      </c>
      <c r="D118" s="37" t="str">
        <f>IF(Agent01_Savings!A123="","",Agent01_Savings!G123)</f>
        <v/>
      </c>
      <c r="E118" s="38" t="str">
        <f>IF(Agent01_Savings!A123="","",Agent01_Savings!D123)</f>
        <v/>
      </c>
      <c r="F118" s="39" t="str">
        <f>IF(Agent01_Savings!A123="","",Agent01_Savings!E123)</f>
        <v/>
      </c>
      <c r="G118" s="39" t="str">
        <f>IF(Agent01_Savings!A123="","",Agent01_Savings!F123)</f>
        <v/>
      </c>
      <c r="H118" s="37" t="str">
        <f>IF(Agent01_Savings!A123="","",Agent01_Savings!I123)</f>
        <v/>
      </c>
      <c r="I118" s="37" t="str">
        <f>IF(Agent01_Savings!A123="","",Agent01_Savings!J123)</f>
        <v/>
      </c>
      <c r="J118" s="37" t="str">
        <f>IF(Agent01_Savings!A123="","",Agent01_Savings!K123)</f>
        <v/>
      </c>
      <c r="K118" s="37" t="str">
        <f>IFERROR(IF(Agent01_Savings!A123="","",YEAR(Agent01_Savings!D123)),"")</f>
        <v/>
      </c>
    </row>
    <row r="119" spans="1:11" ht="18" customHeight="1" x14ac:dyDescent="0.25">
      <c r="A119" s="37" t="str">
        <f>IF(Agent01_Savings!A124="","",Agent01_Savings!A124)</f>
        <v/>
      </c>
      <c r="B119" s="37" t="str">
        <f ca="1">IF(Agent01_Savings!A124="","","SV"&amp;TEXT(119-3,"0000")&amp;"-"&amp;TEXT(TODAY(),"YYYYMMDD"))</f>
        <v/>
      </c>
      <c r="C119" s="37" t="str">
        <f>IF(Agent01_Savings!A124="","",Agent01_Savings!B124)</f>
        <v/>
      </c>
      <c r="D119" s="37" t="str">
        <f>IF(Agent01_Savings!A124="","",Agent01_Savings!G124)</f>
        <v/>
      </c>
      <c r="E119" s="38" t="str">
        <f>IF(Agent01_Savings!A124="","",Agent01_Savings!D124)</f>
        <v/>
      </c>
      <c r="F119" s="39" t="str">
        <f>IF(Agent01_Savings!A124="","",Agent01_Savings!E124)</f>
        <v/>
      </c>
      <c r="G119" s="39" t="str">
        <f>IF(Agent01_Savings!A124="","",Agent01_Savings!F124)</f>
        <v/>
      </c>
      <c r="H119" s="37" t="str">
        <f>IF(Agent01_Savings!A124="","",Agent01_Savings!I124)</f>
        <v/>
      </c>
      <c r="I119" s="37" t="str">
        <f>IF(Agent01_Savings!A124="","",Agent01_Savings!J124)</f>
        <v/>
      </c>
      <c r="J119" s="37" t="str">
        <f>IF(Agent01_Savings!A124="","",Agent01_Savings!K124)</f>
        <v/>
      </c>
      <c r="K119" s="37" t="str">
        <f>IFERROR(IF(Agent01_Savings!A124="","",YEAR(Agent01_Savings!D124)),"")</f>
        <v/>
      </c>
    </row>
    <row r="120" spans="1:11" ht="18" customHeight="1" x14ac:dyDescent="0.25">
      <c r="A120" s="37" t="str">
        <f>IF(Agent01_Savings!A125="","",Agent01_Savings!A125)</f>
        <v/>
      </c>
      <c r="B120" s="37" t="str">
        <f ca="1">IF(Agent01_Savings!A125="","","SV"&amp;TEXT(120-3,"0000")&amp;"-"&amp;TEXT(TODAY(),"YYYYMMDD"))</f>
        <v/>
      </c>
      <c r="C120" s="37" t="str">
        <f>IF(Agent01_Savings!A125="","",Agent01_Savings!B125)</f>
        <v/>
      </c>
      <c r="D120" s="37" t="str">
        <f>IF(Agent01_Savings!A125="","",Agent01_Savings!G125)</f>
        <v/>
      </c>
      <c r="E120" s="38" t="str">
        <f>IF(Agent01_Savings!A125="","",Agent01_Savings!D125)</f>
        <v/>
      </c>
      <c r="F120" s="39" t="str">
        <f>IF(Agent01_Savings!A125="","",Agent01_Savings!E125)</f>
        <v/>
      </c>
      <c r="G120" s="39" t="str">
        <f>IF(Agent01_Savings!A125="","",Agent01_Savings!F125)</f>
        <v/>
      </c>
      <c r="H120" s="37" t="str">
        <f>IF(Agent01_Savings!A125="","",Agent01_Savings!I125)</f>
        <v/>
      </c>
      <c r="I120" s="37" t="str">
        <f>IF(Agent01_Savings!A125="","",Agent01_Savings!J125)</f>
        <v/>
      </c>
      <c r="J120" s="37" t="str">
        <f>IF(Agent01_Savings!A125="","",Agent01_Savings!K125)</f>
        <v/>
      </c>
      <c r="K120" s="37" t="str">
        <f>IFERROR(IF(Agent01_Savings!A125="","",YEAR(Agent01_Savings!D125)),"")</f>
        <v/>
      </c>
    </row>
    <row r="121" spans="1:11" ht="18" customHeight="1" x14ac:dyDescent="0.25">
      <c r="A121" s="37" t="str">
        <f>IF(Agent01_Savings!A126="","",Agent01_Savings!A126)</f>
        <v/>
      </c>
      <c r="B121" s="37" t="str">
        <f ca="1">IF(Agent01_Savings!A126="","","SV"&amp;TEXT(121-3,"0000")&amp;"-"&amp;TEXT(TODAY(),"YYYYMMDD"))</f>
        <v/>
      </c>
      <c r="C121" s="37" t="str">
        <f>IF(Agent01_Savings!A126="","",Agent01_Savings!B126)</f>
        <v/>
      </c>
      <c r="D121" s="37" t="str">
        <f>IF(Agent01_Savings!A126="","",Agent01_Savings!G126)</f>
        <v/>
      </c>
      <c r="E121" s="38" t="str">
        <f>IF(Agent01_Savings!A126="","",Agent01_Savings!D126)</f>
        <v/>
      </c>
      <c r="F121" s="39" t="str">
        <f>IF(Agent01_Savings!A126="","",Agent01_Savings!E126)</f>
        <v/>
      </c>
      <c r="G121" s="39" t="str">
        <f>IF(Agent01_Savings!A126="","",Agent01_Savings!F126)</f>
        <v/>
      </c>
      <c r="H121" s="37" t="str">
        <f>IF(Agent01_Savings!A126="","",Agent01_Savings!I126)</f>
        <v/>
      </c>
      <c r="I121" s="37" t="str">
        <f>IF(Agent01_Savings!A126="","",Agent01_Savings!J126)</f>
        <v/>
      </c>
      <c r="J121" s="37" t="str">
        <f>IF(Agent01_Savings!A126="","",Agent01_Savings!K126)</f>
        <v/>
      </c>
      <c r="K121" s="37" t="str">
        <f>IFERROR(IF(Agent01_Savings!A126="","",YEAR(Agent01_Savings!D126)),"")</f>
        <v/>
      </c>
    </row>
    <row r="122" spans="1:11" ht="18" customHeight="1" x14ac:dyDescent="0.25">
      <c r="A122" s="37" t="str">
        <f>IF(Agent01_Savings!A127="","",Agent01_Savings!A127)</f>
        <v/>
      </c>
      <c r="B122" s="37" t="str">
        <f ca="1">IF(Agent01_Savings!A127="","","SV"&amp;TEXT(122-3,"0000")&amp;"-"&amp;TEXT(TODAY(),"YYYYMMDD"))</f>
        <v/>
      </c>
      <c r="C122" s="37" t="str">
        <f>IF(Agent01_Savings!A127="","",Agent01_Savings!B127)</f>
        <v/>
      </c>
      <c r="D122" s="37" t="str">
        <f>IF(Agent01_Savings!A127="","",Agent01_Savings!G127)</f>
        <v/>
      </c>
      <c r="E122" s="38" t="str">
        <f>IF(Agent01_Savings!A127="","",Agent01_Savings!D127)</f>
        <v/>
      </c>
      <c r="F122" s="39" t="str">
        <f>IF(Agent01_Savings!A127="","",Agent01_Savings!E127)</f>
        <v/>
      </c>
      <c r="G122" s="39" t="str">
        <f>IF(Agent01_Savings!A127="","",Agent01_Savings!F127)</f>
        <v/>
      </c>
      <c r="H122" s="37" t="str">
        <f>IF(Agent01_Savings!A127="","",Agent01_Savings!I127)</f>
        <v/>
      </c>
      <c r="I122" s="37" t="str">
        <f>IF(Agent01_Savings!A127="","",Agent01_Savings!J127)</f>
        <v/>
      </c>
      <c r="J122" s="37" t="str">
        <f>IF(Agent01_Savings!A127="","",Agent01_Savings!K127)</f>
        <v/>
      </c>
      <c r="K122" s="37" t="str">
        <f>IFERROR(IF(Agent01_Savings!A127="","",YEAR(Agent01_Savings!D127)),"")</f>
        <v/>
      </c>
    </row>
    <row r="123" spans="1:11" ht="18" customHeight="1" x14ac:dyDescent="0.25">
      <c r="A123" s="37" t="str">
        <f>IF(Agent01_Savings!A128="","",Agent01_Savings!A128)</f>
        <v/>
      </c>
      <c r="B123" s="37" t="str">
        <f ca="1">IF(Agent01_Savings!A128="","","SV"&amp;TEXT(123-3,"0000")&amp;"-"&amp;TEXT(TODAY(),"YYYYMMDD"))</f>
        <v/>
      </c>
      <c r="C123" s="37" t="str">
        <f>IF(Agent01_Savings!A128="","",Agent01_Savings!B128)</f>
        <v/>
      </c>
      <c r="D123" s="37" t="str">
        <f>IF(Agent01_Savings!A128="","",Agent01_Savings!G128)</f>
        <v/>
      </c>
      <c r="E123" s="38" t="str">
        <f>IF(Agent01_Savings!A128="","",Agent01_Savings!D128)</f>
        <v/>
      </c>
      <c r="F123" s="39" t="str">
        <f>IF(Agent01_Savings!A128="","",Agent01_Savings!E128)</f>
        <v/>
      </c>
      <c r="G123" s="39" t="str">
        <f>IF(Agent01_Savings!A128="","",Agent01_Savings!F128)</f>
        <v/>
      </c>
      <c r="H123" s="37" t="str">
        <f>IF(Agent01_Savings!A128="","",Agent01_Savings!I128)</f>
        <v/>
      </c>
      <c r="I123" s="37" t="str">
        <f>IF(Agent01_Savings!A128="","",Agent01_Savings!J128)</f>
        <v/>
      </c>
      <c r="J123" s="37" t="str">
        <f>IF(Agent01_Savings!A128="","",Agent01_Savings!K128)</f>
        <v/>
      </c>
      <c r="K123" s="37" t="str">
        <f>IFERROR(IF(Agent01_Savings!A128="","",YEAR(Agent01_Savings!D128)),"")</f>
        <v/>
      </c>
    </row>
    <row r="124" spans="1:11" ht="18" customHeight="1" x14ac:dyDescent="0.25">
      <c r="A124" s="37" t="str">
        <f>IF(Agent01_Savings!A129="","",Agent01_Savings!A129)</f>
        <v/>
      </c>
      <c r="B124" s="37" t="str">
        <f ca="1">IF(Agent01_Savings!A129="","","SV"&amp;TEXT(124-3,"0000")&amp;"-"&amp;TEXT(TODAY(),"YYYYMMDD"))</f>
        <v/>
      </c>
      <c r="C124" s="37" t="str">
        <f>IF(Agent01_Savings!A129="","",Agent01_Savings!B129)</f>
        <v/>
      </c>
      <c r="D124" s="37" t="str">
        <f>IF(Agent01_Savings!A129="","",Agent01_Savings!G129)</f>
        <v/>
      </c>
      <c r="E124" s="38" t="str">
        <f>IF(Agent01_Savings!A129="","",Agent01_Savings!D129)</f>
        <v/>
      </c>
      <c r="F124" s="39" t="str">
        <f>IF(Agent01_Savings!A129="","",Agent01_Savings!E129)</f>
        <v/>
      </c>
      <c r="G124" s="39" t="str">
        <f>IF(Agent01_Savings!A129="","",Agent01_Savings!F129)</f>
        <v/>
      </c>
      <c r="H124" s="37" t="str">
        <f>IF(Agent01_Savings!A129="","",Agent01_Savings!I129)</f>
        <v/>
      </c>
      <c r="I124" s="37" t="str">
        <f>IF(Agent01_Savings!A129="","",Agent01_Savings!J129)</f>
        <v/>
      </c>
      <c r="J124" s="37" t="str">
        <f>IF(Agent01_Savings!A129="","",Agent01_Savings!K129)</f>
        <v/>
      </c>
      <c r="K124" s="37" t="str">
        <f>IFERROR(IF(Agent01_Savings!A129="","",YEAR(Agent01_Savings!D129)),"")</f>
        <v/>
      </c>
    </row>
    <row r="125" spans="1:11" ht="18" customHeight="1" x14ac:dyDescent="0.25">
      <c r="A125" s="37" t="str">
        <f>IF(Agent01_Savings!A130="","",Agent01_Savings!A130)</f>
        <v/>
      </c>
      <c r="B125" s="37" t="str">
        <f ca="1">IF(Agent01_Savings!A130="","","SV"&amp;TEXT(125-3,"0000")&amp;"-"&amp;TEXT(TODAY(),"YYYYMMDD"))</f>
        <v/>
      </c>
      <c r="C125" s="37" t="str">
        <f>IF(Agent01_Savings!A130="","",Agent01_Savings!B130)</f>
        <v/>
      </c>
      <c r="D125" s="37" t="str">
        <f>IF(Agent01_Savings!A130="","",Agent01_Savings!G130)</f>
        <v/>
      </c>
      <c r="E125" s="38" t="str">
        <f>IF(Agent01_Savings!A130="","",Agent01_Savings!D130)</f>
        <v/>
      </c>
      <c r="F125" s="39" t="str">
        <f>IF(Agent01_Savings!A130="","",Agent01_Savings!E130)</f>
        <v/>
      </c>
      <c r="G125" s="39" t="str">
        <f>IF(Agent01_Savings!A130="","",Agent01_Savings!F130)</f>
        <v/>
      </c>
      <c r="H125" s="37" t="str">
        <f>IF(Agent01_Savings!A130="","",Agent01_Savings!I130)</f>
        <v/>
      </c>
      <c r="I125" s="37" t="str">
        <f>IF(Agent01_Savings!A130="","",Agent01_Savings!J130)</f>
        <v/>
      </c>
      <c r="J125" s="37" t="str">
        <f>IF(Agent01_Savings!A130="","",Agent01_Savings!K130)</f>
        <v/>
      </c>
      <c r="K125" s="37" t="str">
        <f>IFERROR(IF(Agent01_Savings!A130="","",YEAR(Agent01_Savings!D130)),"")</f>
        <v/>
      </c>
    </row>
    <row r="126" spans="1:11" ht="18" customHeight="1" x14ac:dyDescent="0.25">
      <c r="A126" s="37" t="str">
        <f>IF(Agent01_Savings!A131="","",Agent01_Savings!A131)</f>
        <v/>
      </c>
      <c r="B126" s="37" t="str">
        <f ca="1">IF(Agent01_Savings!A131="","","SV"&amp;TEXT(126-3,"0000")&amp;"-"&amp;TEXT(TODAY(),"YYYYMMDD"))</f>
        <v/>
      </c>
      <c r="C126" s="37" t="str">
        <f>IF(Agent01_Savings!A131="","",Agent01_Savings!B131)</f>
        <v/>
      </c>
      <c r="D126" s="37" t="str">
        <f>IF(Agent01_Savings!A131="","",Agent01_Savings!G131)</f>
        <v/>
      </c>
      <c r="E126" s="38" t="str">
        <f>IF(Agent01_Savings!A131="","",Agent01_Savings!D131)</f>
        <v/>
      </c>
      <c r="F126" s="39" t="str">
        <f>IF(Agent01_Savings!A131="","",Agent01_Savings!E131)</f>
        <v/>
      </c>
      <c r="G126" s="39" t="str">
        <f>IF(Agent01_Savings!A131="","",Agent01_Savings!F131)</f>
        <v/>
      </c>
      <c r="H126" s="37" t="str">
        <f>IF(Agent01_Savings!A131="","",Agent01_Savings!I131)</f>
        <v/>
      </c>
      <c r="I126" s="37" t="str">
        <f>IF(Agent01_Savings!A131="","",Agent01_Savings!J131)</f>
        <v/>
      </c>
      <c r="J126" s="37" t="str">
        <f>IF(Agent01_Savings!A131="","",Agent01_Savings!K131)</f>
        <v/>
      </c>
      <c r="K126" s="37" t="str">
        <f>IFERROR(IF(Agent01_Savings!A131="","",YEAR(Agent01_Savings!D131)),"")</f>
        <v/>
      </c>
    </row>
    <row r="127" spans="1:11" ht="18" customHeight="1" x14ac:dyDescent="0.25">
      <c r="A127" s="37" t="str">
        <f>IF(Agent01_Savings!A132="","",Agent01_Savings!A132)</f>
        <v/>
      </c>
      <c r="B127" s="37" t="str">
        <f ca="1">IF(Agent01_Savings!A132="","","SV"&amp;TEXT(127-3,"0000")&amp;"-"&amp;TEXT(TODAY(),"YYYYMMDD"))</f>
        <v/>
      </c>
      <c r="C127" s="37" t="str">
        <f>IF(Agent01_Savings!A132="","",Agent01_Savings!B132)</f>
        <v/>
      </c>
      <c r="D127" s="37" t="str">
        <f>IF(Agent01_Savings!A132="","",Agent01_Savings!G132)</f>
        <v/>
      </c>
      <c r="E127" s="38" t="str">
        <f>IF(Agent01_Savings!A132="","",Agent01_Savings!D132)</f>
        <v/>
      </c>
      <c r="F127" s="39" t="str">
        <f>IF(Agent01_Savings!A132="","",Agent01_Savings!E132)</f>
        <v/>
      </c>
      <c r="G127" s="39" t="str">
        <f>IF(Agent01_Savings!A132="","",Agent01_Savings!F132)</f>
        <v/>
      </c>
      <c r="H127" s="37" t="str">
        <f>IF(Agent01_Savings!A132="","",Agent01_Savings!I132)</f>
        <v/>
      </c>
      <c r="I127" s="37" t="str">
        <f>IF(Agent01_Savings!A132="","",Agent01_Savings!J132)</f>
        <v/>
      </c>
      <c r="J127" s="37" t="str">
        <f>IF(Agent01_Savings!A132="","",Agent01_Savings!K132)</f>
        <v/>
      </c>
      <c r="K127" s="37" t="str">
        <f>IFERROR(IF(Agent01_Savings!A132="","",YEAR(Agent01_Savings!D132)),"")</f>
        <v/>
      </c>
    </row>
    <row r="128" spans="1:11" ht="18" customHeight="1" x14ac:dyDescent="0.25">
      <c r="A128" s="37" t="str">
        <f>IF(Agent01_Savings!A133="","",Agent01_Savings!A133)</f>
        <v/>
      </c>
      <c r="B128" s="37" t="str">
        <f ca="1">IF(Agent01_Savings!A133="","","SV"&amp;TEXT(128-3,"0000")&amp;"-"&amp;TEXT(TODAY(),"YYYYMMDD"))</f>
        <v/>
      </c>
      <c r="C128" s="37" t="str">
        <f>IF(Agent01_Savings!A133="","",Agent01_Savings!B133)</f>
        <v/>
      </c>
      <c r="D128" s="37" t="str">
        <f>IF(Agent01_Savings!A133="","",Agent01_Savings!G133)</f>
        <v/>
      </c>
      <c r="E128" s="38" t="str">
        <f>IF(Agent01_Savings!A133="","",Agent01_Savings!D133)</f>
        <v/>
      </c>
      <c r="F128" s="39" t="str">
        <f>IF(Agent01_Savings!A133="","",Agent01_Savings!E133)</f>
        <v/>
      </c>
      <c r="G128" s="39" t="str">
        <f>IF(Agent01_Savings!A133="","",Agent01_Savings!F133)</f>
        <v/>
      </c>
      <c r="H128" s="37" t="str">
        <f>IF(Agent01_Savings!A133="","",Agent01_Savings!I133)</f>
        <v/>
      </c>
      <c r="I128" s="37" t="str">
        <f>IF(Agent01_Savings!A133="","",Agent01_Savings!J133)</f>
        <v/>
      </c>
      <c r="J128" s="37" t="str">
        <f>IF(Agent01_Savings!A133="","",Agent01_Savings!K133)</f>
        <v/>
      </c>
      <c r="K128" s="37" t="str">
        <f>IFERROR(IF(Agent01_Savings!A133="","",YEAR(Agent01_Savings!D133)),"")</f>
        <v/>
      </c>
    </row>
    <row r="129" spans="1:11" ht="18" customHeight="1" x14ac:dyDescent="0.25">
      <c r="A129" s="37" t="str">
        <f>IF(Agent01_Savings!A134="","",Agent01_Savings!A134)</f>
        <v/>
      </c>
      <c r="B129" s="37" t="str">
        <f ca="1">IF(Agent01_Savings!A134="","","SV"&amp;TEXT(129-3,"0000")&amp;"-"&amp;TEXT(TODAY(),"YYYYMMDD"))</f>
        <v/>
      </c>
      <c r="C129" s="37" t="str">
        <f>IF(Agent01_Savings!A134="","",Agent01_Savings!B134)</f>
        <v/>
      </c>
      <c r="D129" s="37" t="str">
        <f>IF(Agent01_Savings!A134="","",Agent01_Savings!G134)</f>
        <v/>
      </c>
      <c r="E129" s="38" t="str">
        <f>IF(Agent01_Savings!A134="","",Agent01_Savings!D134)</f>
        <v/>
      </c>
      <c r="F129" s="39" t="str">
        <f>IF(Agent01_Savings!A134="","",Agent01_Savings!E134)</f>
        <v/>
      </c>
      <c r="G129" s="39" t="str">
        <f>IF(Agent01_Savings!A134="","",Agent01_Savings!F134)</f>
        <v/>
      </c>
      <c r="H129" s="37" t="str">
        <f>IF(Agent01_Savings!A134="","",Agent01_Savings!I134)</f>
        <v/>
      </c>
      <c r="I129" s="37" t="str">
        <f>IF(Agent01_Savings!A134="","",Agent01_Savings!J134)</f>
        <v/>
      </c>
      <c r="J129" s="37" t="str">
        <f>IF(Agent01_Savings!A134="","",Agent01_Savings!K134)</f>
        <v/>
      </c>
      <c r="K129" s="37" t="str">
        <f>IFERROR(IF(Agent01_Savings!A134="","",YEAR(Agent01_Savings!D134)),"")</f>
        <v/>
      </c>
    </row>
    <row r="130" spans="1:11" ht="18" customHeight="1" x14ac:dyDescent="0.25">
      <c r="A130" s="37" t="str">
        <f>IF(Agent01_Savings!A135="","",Agent01_Savings!A135)</f>
        <v/>
      </c>
      <c r="B130" s="37" t="str">
        <f ca="1">IF(Agent01_Savings!A135="","","SV"&amp;TEXT(130-3,"0000")&amp;"-"&amp;TEXT(TODAY(),"YYYYMMDD"))</f>
        <v/>
      </c>
      <c r="C130" s="37" t="str">
        <f>IF(Agent01_Savings!A135="","",Agent01_Savings!B135)</f>
        <v/>
      </c>
      <c r="D130" s="37" t="str">
        <f>IF(Agent01_Savings!A135="","",Agent01_Savings!G135)</f>
        <v/>
      </c>
      <c r="E130" s="38" t="str">
        <f>IF(Agent01_Savings!A135="","",Agent01_Savings!D135)</f>
        <v/>
      </c>
      <c r="F130" s="39" t="str">
        <f>IF(Agent01_Savings!A135="","",Agent01_Savings!E135)</f>
        <v/>
      </c>
      <c r="G130" s="39" t="str">
        <f>IF(Agent01_Savings!A135="","",Agent01_Savings!F135)</f>
        <v/>
      </c>
      <c r="H130" s="37" t="str">
        <f>IF(Agent01_Savings!A135="","",Agent01_Savings!I135)</f>
        <v/>
      </c>
      <c r="I130" s="37" t="str">
        <f>IF(Agent01_Savings!A135="","",Agent01_Savings!J135)</f>
        <v/>
      </c>
      <c r="J130" s="37" t="str">
        <f>IF(Agent01_Savings!A135="","",Agent01_Savings!K135)</f>
        <v/>
      </c>
      <c r="K130" s="37" t="str">
        <f>IFERROR(IF(Agent01_Savings!A135="","",YEAR(Agent01_Savings!D135)),"")</f>
        <v/>
      </c>
    </row>
    <row r="131" spans="1:11" ht="18" customHeight="1" x14ac:dyDescent="0.25">
      <c r="A131" s="37" t="str">
        <f>IF(Agent01_Savings!A136="","",Agent01_Savings!A136)</f>
        <v/>
      </c>
      <c r="B131" s="37" t="str">
        <f ca="1">IF(Agent01_Savings!A136="","","SV"&amp;TEXT(131-3,"0000")&amp;"-"&amp;TEXT(TODAY(),"YYYYMMDD"))</f>
        <v/>
      </c>
      <c r="C131" s="37" t="str">
        <f>IF(Agent01_Savings!A136="","",Agent01_Savings!B136)</f>
        <v/>
      </c>
      <c r="D131" s="37" t="str">
        <f>IF(Agent01_Savings!A136="","",Agent01_Savings!G136)</f>
        <v/>
      </c>
      <c r="E131" s="38" t="str">
        <f>IF(Agent01_Savings!A136="","",Agent01_Savings!D136)</f>
        <v/>
      </c>
      <c r="F131" s="39" t="str">
        <f>IF(Agent01_Savings!A136="","",Agent01_Savings!E136)</f>
        <v/>
      </c>
      <c r="G131" s="39" t="str">
        <f>IF(Agent01_Savings!A136="","",Agent01_Savings!F136)</f>
        <v/>
      </c>
      <c r="H131" s="37" t="str">
        <f>IF(Agent01_Savings!A136="","",Agent01_Savings!I136)</f>
        <v/>
      </c>
      <c r="I131" s="37" t="str">
        <f>IF(Agent01_Savings!A136="","",Agent01_Savings!J136)</f>
        <v/>
      </c>
      <c r="J131" s="37" t="str">
        <f>IF(Agent01_Savings!A136="","",Agent01_Savings!K136)</f>
        <v/>
      </c>
      <c r="K131" s="37" t="str">
        <f>IFERROR(IF(Agent01_Savings!A136="","",YEAR(Agent01_Savings!D136)),"")</f>
        <v/>
      </c>
    </row>
    <row r="132" spans="1:11" ht="18" customHeight="1" x14ac:dyDescent="0.25">
      <c r="A132" s="37" t="str">
        <f>IF(Agent01_Savings!A137="","",Agent01_Savings!A137)</f>
        <v/>
      </c>
      <c r="B132" s="37" t="str">
        <f ca="1">IF(Agent01_Savings!A137="","","SV"&amp;TEXT(132-3,"0000")&amp;"-"&amp;TEXT(TODAY(),"YYYYMMDD"))</f>
        <v/>
      </c>
      <c r="C132" s="37" t="str">
        <f>IF(Agent01_Savings!A137="","",Agent01_Savings!B137)</f>
        <v/>
      </c>
      <c r="D132" s="37" t="str">
        <f>IF(Agent01_Savings!A137="","",Agent01_Savings!G137)</f>
        <v/>
      </c>
      <c r="E132" s="38" t="str">
        <f>IF(Agent01_Savings!A137="","",Agent01_Savings!D137)</f>
        <v/>
      </c>
      <c r="F132" s="39" t="str">
        <f>IF(Agent01_Savings!A137="","",Agent01_Savings!E137)</f>
        <v/>
      </c>
      <c r="G132" s="39" t="str">
        <f>IF(Agent01_Savings!A137="","",Agent01_Savings!F137)</f>
        <v/>
      </c>
      <c r="H132" s="37" t="str">
        <f>IF(Agent01_Savings!A137="","",Agent01_Savings!I137)</f>
        <v/>
      </c>
      <c r="I132" s="37" t="str">
        <f>IF(Agent01_Savings!A137="","",Agent01_Savings!J137)</f>
        <v/>
      </c>
      <c r="J132" s="37" t="str">
        <f>IF(Agent01_Savings!A137="","",Agent01_Savings!K137)</f>
        <v/>
      </c>
      <c r="K132" s="37" t="str">
        <f>IFERROR(IF(Agent01_Savings!A137="","",YEAR(Agent01_Savings!D137)),"")</f>
        <v/>
      </c>
    </row>
    <row r="133" spans="1:11" ht="18" customHeight="1" x14ac:dyDescent="0.25">
      <c r="A133" s="37" t="str">
        <f>IF(Agent01_Savings!A138="","",Agent01_Savings!A138)</f>
        <v/>
      </c>
      <c r="B133" s="37" t="str">
        <f ca="1">IF(Agent01_Savings!A138="","","SV"&amp;TEXT(133-3,"0000")&amp;"-"&amp;TEXT(TODAY(),"YYYYMMDD"))</f>
        <v/>
      </c>
      <c r="C133" s="37" t="str">
        <f>IF(Agent01_Savings!A138="","",Agent01_Savings!B138)</f>
        <v/>
      </c>
      <c r="D133" s="37" t="str">
        <f>IF(Agent01_Savings!A138="","",Agent01_Savings!G138)</f>
        <v/>
      </c>
      <c r="E133" s="38" t="str">
        <f>IF(Agent01_Savings!A138="","",Agent01_Savings!D138)</f>
        <v/>
      </c>
      <c r="F133" s="39" t="str">
        <f>IF(Agent01_Savings!A138="","",Agent01_Savings!E138)</f>
        <v/>
      </c>
      <c r="G133" s="39" t="str">
        <f>IF(Agent01_Savings!A138="","",Agent01_Savings!F138)</f>
        <v/>
      </c>
      <c r="H133" s="37" t="str">
        <f>IF(Agent01_Savings!A138="","",Agent01_Savings!I138)</f>
        <v/>
      </c>
      <c r="I133" s="37" t="str">
        <f>IF(Agent01_Savings!A138="","",Agent01_Savings!J138)</f>
        <v/>
      </c>
      <c r="J133" s="37" t="str">
        <f>IF(Agent01_Savings!A138="","",Agent01_Savings!K138)</f>
        <v/>
      </c>
      <c r="K133" s="37" t="str">
        <f>IFERROR(IF(Agent01_Savings!A138="","",YEAR(Agent01_Savings!D138)),"")</f>
        <v/>
      </c>
    </row>
    <row r="134" spans="1:11" ht="18" customHeight="1" x14ac:dyDescent="0.25">
      <c r="A134" s="37" t="str">
        <f>IF(Agent01_Savings!A139="","",Agent01_Savings!A139)</f>
        <v/>
      </c>
      <c r="B134" s="37" t="str">
        <f ca="1">IF(Agent01_Savings!A139="","","SV"&amp;TEXT(134-3,"0000")&amp;"-"&amp;TEXT(TODAY(),"YYYYMMDD"))</f>
        <v/>
      </c>
      <c r="C134" s="37" t="str">
        <f>IF(Agent01_Savings!A139="","",Agent01_Savings!B139)</f>
        <v/>
      </c>
      <c r="D134" s="37" t="str">
        <f>IF(Agent01_Savings!A139="","",Agent01_Savings!G139)</f>
        <v/>
      </c>
      <c r="E134" s="38" t="str">
        <f>IF(Agent01_Savings!A139="","",Agent01_Savings!D139)</f>
        <v/>
      </c>
      <c r="F134" s="39" t="str">
        <f>IF(Agent01_Savings!A139="","",Agent01_Savings!E139)</f>
        <v/>
      </c>
      <c r="G134" s="39" t="str">
        <f>IF(Agent01_Savings!A139="","",Agent01_Savings!F139)</f>
        <v/>
      </c>
      <c r="H134" s="37" t="str">
        <f>IF(Agent01_Savings!A139="","",Agent01_Savings!I139)</f>
        <v/>
      </c>
      <c r="I134" s="37" t="str">
        <f>IF(Agent01_Savings!A139="","",Agent01_Savings!J139)</f>
        <v/>
      </c>
      <c r="J134" s="37" t="str">
        <f>IF(Agent01_Savings!A139="","",Agent01_Savings!K139)</f>
        <v/>
      </c>
      <c r="K134" s="37" t="str">
        <f>IFERROR(IF(Agent01_Savings!A139="","",YEAR(Agent01_Savings!D139)),"")</f>
        <v/>
      </c>
    </row>
    <row r="135" spans="1:11" ht="18" customHeight="1" x14ac:dyDescent="0.25">
      <c r="A135" s="37" t="str">
        <f>IF(Agent01_Savings!A140="","",Agent01_Savings!A140)</f>
        <v/>
      </c>
      <c r="B135" s="37" t="str">
        <f ca="1">IF(Agent01_Savings!A140="","","SV"&amp;TEXT(135-3,"0000")&amp;"-"&amp;TEXT(TODAY(),"YYYYMMDD"))</f>
        <v/>
      </c>
      <c r="C135" s="37" t="str">
        <f>IF(Agent01_Savings!A140="","",Agent01_Savings!B140)</f>
        <v/>
      </c>
      <c r="D135" s="37" t="str">
        <f>IF(Agent01_Savings!A140="","",Agent01_Savings!G140)</f>
        <v/>
      </c>
      <c r="E135" s="38" t="str">
        <f>IF(Agent01_Savings!A140="","",Agent01_Savings!D140)</f>
        <v/>
      </c>
      <c r="F135" s="39" t="str">
        <f>IF(Agent01_Savings!A140="","",Agent01_Savings!E140)</f>
        <v/>
      </c>
      <c r="G135" s="39" t="str">
        <f>IF(Agent01_Savings!A140="","",Agent01_Savings!F140)</f>
        <v/>
      </c>
      <c r="H135" s="37" t="str">
        <f>IF(Agent01_Savings!A140="","",Agent01_Savings!I140)</f>
        <v/>
      </c>
      <c r="I135" s="37" t="str">
        <f>IF(Agent01_Savings!A140="","",Agent01_Savings!J140)</f>
        <v/>
      </c>
      <c r="J135" s="37" t="str">
        <f>IF(Agent01_Savings!A140="","",Agent01_Savings!K140)</f>
        <v/>
      </c>
      <c r="K135" s="37" t="str">
        <f>IFERROR(IF(Agent01_Savings!A140="","",YEAR(Agent01_Savings!D140)),"")</f>
        <v/>
      </c>
    </row>
    <row r="136" spans="1:11" ht="18" customHeight="1" x14ac:dyDescent="0.25">
      <c r="A136" s="37" t="str">
        <f>IF(Agent01_Savings!A141="","",Agent01_Savings!A141)</f>
        <v/>
      </c>
      <c r="B136" s="37" t="str">
        <f ca="1">IF(Agent01_Savings!A141="","","SV"&amp;TEXT(136-3,"0000")&amp;"-"&amp;TEXT(TODAY(),"YYYYMMDD"))</f>
        <v/>
      </c>
      <c r="C136" s="37" t="str">
        <f>IF(Agent01_Savings!A141="","",Agent01_Savings!B141)</f>
        <v/>
      </c>
      <c r="D136" s="37" t="str">
        <f>IF(Agent01_Savings!A141="","",Agent01_Savings!G141)</f>
        <v/>
      </c>
      <c r="E136" s="38" t="str">
        <f>IF(Agent01_Savings!A141="","",Agent01_Savings!D141)</f>
        <v/>
      </c>
      <c r="F136" s="39" t="str">
        <f>IF(Agent01_Savings!A141="","",Agent01_Savings!E141)</f>
        <v/>
      </c>
      <c r="G136" s="39" t="str">
        <f>IF(Agent01_Savings!A141="","",Agent01_Savings!F141)</f>
        <v/>
      </c>
      <c r="H136" s="37" t="str">
        <f>IF(Agent01_Savings!A141="","",Agent01_Savings!I141)</f>
        <v/>
      </c>
      <c r="I136" s="37" t="str">
        <f>IF(Agent01_Savings!A141="","",Agent01_Savings!J141)</f>
        <v/>
      </c>
      <c r="J136" s="37" t="str">
        <f>IF(Agent01_Savings!A141="","",Agent01_Savings!K141)</f>
        <v/>
      </c>
      <c r="K136" s="37" t="str">
        <f>IFERROR(IF(Agent01_Savings!A141="","",YEAR(Agent01_Savings!D141)),"")</f>
        <v/>
      </c>
    </row>
    <row r="137" spans="1:11" ht="18" customHeight="1" x14ac:dyDescent="0.25">
      <c r="A137" s="37" t="str">
        <f>IF(Agent01_Savings!A142="","",Agent01_Savings!A142)</f>
        <v/>
      </c>
      <c r="B137" s="37" t="str">
        <f ca="1">IF(Agent01_Savings!A142="","","SV"&amp;TEXT(137-3,"0000")&amp;"-"&amp;TEXT(TODAY(),"YYYYMMDD"))</f>
        <v/>
      </c>
      <c r="C137" s="37" t="str">
        <f>IF(Agent01_Savings!A142="","",Agent01_Savings!B142)</f>
        <v/>
      </c>
      <c r="D137" s="37" t="str">
        <f>IF(Agent01_Savings!A142="","",Agent01_Savings!G142)</f>
        <v/>
      </c>
      <c r="E137" s="38" t="str">
        <f>IF(Agent01_Savings!A142="","",Agent01_Savings!D142)</f>
        <v/>
      </c>
      <c r="F137" s="39" t="str">
        <f>IF(Agent01_Savings!A142="","",Agent01_Savings!E142)</f>
        <v/>
      </c>
      <c r="G137" s="39" t="str">
        <f>IF(Agent01_Savings!A142="","",Agent01_Savings!F142)</f>
        <v/>
      </c>
      <c r="H137" s="37" t="str">
        <f>IF(Agent01_Savings!A142="","",Agent01_Savings!I142)</f>
        <v/>
      </c>
      <c r="I137" s="37" t="str">
        <f>IF(Agent01_Savings!A142="","",Agent01_Savings!J142)</f>
        <v/>
      </c>
      <c r="J137" s="37" t="str">
        <f>IF(Agent01_Savings!A142="","",Agent01_Savings!K142)</f>
        <v/>
      </c>
      <c r="K137" s="37" t="str">
        <f>IFERROR(IF(Agent01_Savings!A142="","",YEAR(Agent01_Savings!D142)),"")</f>
        <v/>
      </c>
    </row>
    <row r="138" spans="1:11" ht="18" customHeight="1" x14ac:dyDescent="0.25">
      <c r="A138" s="37" t="str">
        <f>IF(Agent01_Savings!A143="","",Agent01_Savings!A143)</f>
        <v/>
      </c>
      <c r="B138" s="37" t="str">
        <f ca="1">IF(Agent01_Savings!A143="","","SV"&amp;TEXT(138-3,"0000")&amp;"-"&amp;TEXT(TODAY(),"YYYYMMDD"))</f>
        <v/>
      </c>
      <c r="C138" s="37" t="str">
        <f>IF(Agent01_Savings!A143="","",Agent01_Savings!B143)</f>
        <v/>
      </c>
      <c r="D138" s="37" t="str">
        <f>IF(Agent01_Savings!A143="","",Agent01_Savings!G143)</f>
        <v/>
      </c>
      <c r="E138" s="38" t="str">
        <f>IF(Agent01_Savings!A143="","",Agent01_Savings!D143)</f>
        <v/>
      </c>
      <c r="F138" s="39" t="str">
        <f>IF(Agent01_Savings!A143="","",Agent01_Savings!E143)</f>
        <v/>
      </c>
      <c r="G138" s="39" t="str">
        <f>IF(Agent01_Savings!A143="","",Agent01_Savings!F143)</f>
        <v/>
      </c>
      <c r="H138" s="37" t="str">
        <f>IF(Agent01_Savings!A143="","",Agent01_Savings!I143)</f>
        <v/>
      </c>
      <c r="I138" s="37" t="str">
        <f>IF(Agent01_Savings!A143="","",Agent01_Savings!J143)</f>
        <v/>
      </c>
      <c r="J138" s="37" t="str">
        <f>IF(Agent01_Savings!A143="","",Agent01_Savings!K143)</f>
        <v/>
      </c>
      <c r="K138" s="37" t="str">
        <f>IFERROR(IF(Agent01_Savings!A143="","",YEAR(Agent01_Savings!D143)),"")</f>
        <v/>
      </c>
    </row>
    <row r="139" spans="1:11" ht="18" customHeight="1" x14ac:dyDescent="0.25">
      <c r="A139" s="37" t="str">
        <f>IF(Agent01_Savings!A144="","",Agent01_Savings!A144)</f>
        <v/>
      </c>
      <c r="B139" s="37" t="str">
        <f ca="1">IF(Agent01_Savings!A144="","","SV"&amp;TEXT(139-3,"0000")&amp;"-"&amp;TEXT(TODAY(),"YYYYMMDD"))</f>
        <v/>
      </c>
      <c r="C139" s="37" t="str">
        <f>IF(Agent01_Savings!A144="","",Agent01_Savings!B144)</f>
        <v/>
      </c>
      <c r="D139" s="37" t="str">
        <f>IF(Agent01_Savings!A144="","",Agent01_Savings!G144)</f>
        <v/>
      </c>
      <c r="E139" s="38" t="str">
        <f>IF(Agent01_Savings!A144="","",Agent01_Savings!D144)</f>
        <v/>
      </c>
      <c r="F139" s="39" t="str">
        <f>IF(Agent01_Savings!A144="","",Agent01_Savings!E144)</f>
        <v/>
      </c>
      <c r="G139" s="39" t="str">
        <f>IF(Agent01_Savings!A144="","",Agent01_Savings!F144)</f>
        <v/>
      </c>
      <c r="H139" s="37" t="str">
        <f>IF(Agent01_Savings!A144="","",Agent01_Savings!I144)</f>
        <v/>
      </c>
      <c r="I139" s="37" t="str">
        <f>IF(Agent01_Savings!A144="","",Agent01_Savings!J144)</f>
        <v/>
      </c>
      <c r="J139" s="37" t="str">
        <f>IF(Agent01_Savings!A144="","",Agent01_Savings!K144)</f>
        <v/>
      </c>
      <c r="K139" s="37" t="str">
        <f>IFERROR(IF(Agent01_Savings!A144="","",YEAR(Agent01_Savings!D144)),"")</f>
        <v/>
      </c>
    </row>
    <row r="140" spans="1:11" ht="18" customHeight="1" x14ac:dyDescent="0.25">
      <c r="A140" s="37" t="str">
        <f>IF(Agent01_Savings!A145="","",Agent01_Savings!A145)</f>
        <v/>
      </c>
      <c r="B140" s="37" t="str">
        <f ca="1">IF(Agent01_Savings!A145="","","SV"&amp;TEXT(140-3,"0000")&amp;"-"&amp;TEXT(TODAY(),"YYYYMMDD"))</f>
        <v/>
      </c>
      <c r="C140" s="37" t="str">
        <f>IF(Agent01_Savings!A145="","",Agent01_Savings!B145)</f>
        <v/>
      </c>
      <c r="D140" s="37" t="str">
        <f>IF(Agent01_Savings!A145="","",Agent01_Savings!G145)</f>
        <v/>
      </c>
      <c r="E140" s="38" t="str">
        <f>IF(Agent01_Savings!A145="","",Agent01_Savings!D145)</f>
        <v/>
      </c>
      <c r="F140" s="39" t="str">
        <f>IF(Agent01_Savings!A145="","",Agent01_Savings!E145)</f>
        <v/>
      </c>
      <c r="G140" s="39" t="str">
        <f>IF(Agent01_Savings!A145="","",Agent01_Savings!F145)</f>
        <v/>
      </c>
      <c r="H140" s="37" t="str">
        <f>IF(Agent01_Savings!A145="","",Agent01_Savings!I145)</f>
        <v/>
      </c>
      <c r="I140" s="37" t="str">
        <f>IF(Agent01_Savings!A145="","",Agent01_Savings!J145)</f>
        <v/>
      </c>
      <c r="J140" s="37" t="str">
        <f>IF(Agent01_Savings!A145="","",Agent01_Savings!K145)</f>
        <v/>
      </c>
      <c r="K140" s="37" t="str">
        <f>IFERROR(IF(Agent01_Savings!A145="","",YEAR(Agent01_Savings!D145)),"")</f>
        <v/>
      </c>
    </row>
    <row r="141" spans="1:11" ht="18" customHeight="1" x14ac:dyDescent="0.25">
      <c r="A141" s="37" t="str">
        <f>IF(Agent01_Savings!A146="","",Agent01_Savings!A146)</f>
        <v/>
      </c>
      <c r="B141" s="37" t="str">
        <f ca="1">IF(Agent01_Savings!A146="","","SV"&amp;TEXT(141-3,"0000")&amp;"-"&amp;TEXT(TODAY(),"YYYYMMDD"))</f>
        <v/>
      </c>
      <c r="C141" s="37" t="str">
        <f>IF(Agent01_Savings!A146="","",Agent01_Savings!B146)</f>
        <v/>
      </c>
      <c r="D141" s="37" t="str">
        <f>IF(Agent01_Savings!A146="","",Agent01_Savings!G146)</f>
        <v/>
      </c>
      <c r="E141" s="38" t="str">
        <f>IF(Agent01_Savings!A146="","",Agent01_Savings!D146)</f>
        <v/>
      </c>
      <c r="F141" s="39" t="str">
        <f>IF(Agent01_Savings!A146="","",Agent01_Savings!E146)</f>
        <v/>
      </c>
      <c r="G141" s="39" t="str">
        <f>IF(Agent01_Savings!A146="","",Agent01_Savings!F146)</f>
        <v/>
      </c>
      <c r="H141" s="37" t="str">
        <f>IF(Agent01_Savings!A146="","",Agent01_Savings!I146)</f>
        <v/>
      </c>
      <c r="I141" s="37" t="str">
        <f>IF(Agent01_Savings!A146="","",Agent01_Savings!J146)</f>
        <v/>
      </c>
      <c r="J141" s="37" t="str">
        <f>IF(Agent01_Savings!A146="","",Agent01_Savings!K146)</f>
        <v/>
      </c>
      <c r="K141" s="37" t="str">
        <f>IFERROR(IF(Agent01_Savings!A146="","",YEAR(Agent01_Savings!D146)),"")</f>
        <v/>
      </c>
    </row>
    <row r="142" spans="1:11" ht="18" customHeight="1" x14ac:dyDescent="0.25">
      <c r="A142" s="37" t="str">
        <f>IF(Agent01_Savings!A147="","",Agent01_Savings!A147)</f>
        <v/>
      </c>
      <c r="B142" s="37" t="str">
        <f ca="1">IF(Agent01_Savings!A147="","","SV"&amp;TEXT(142-3,"0000")&amp;"-"&amp;TEXT(TODAY(),"YYYYMMDD"))</f>
        <v/>
      </c>
      <c r="C142" s="37" t="str">
        <f>IF(Agent01_Savings!A147="","",Agent01_Savings!B147)</f>
        <v/>
      </c>
      <c r="D142" s="37" t="str">
        <f>IF(Agent01_Savings!A147="","",Agent01_Savings!G147)</f>
        <v/>
      </c>
      <c r="E142" s="38" t="str">
        <f>IF(Agent01_Savings!A147="","",Agent01_Savings!D147)</f>
        <v/>
      </c>
      <c r="F142" s="39" t="str">
        <f>IF(Agent01_Savings!A147="","",Agent01_Savings!E147)</f>
        <v/>
      </c>
      <c r="G142" s="39" t="str">
        <f>IF(Agent01_Savings!A147="","",Agent01_Savings!F147)</f>
        <v/>
      </c>
      <c r="H142" s="37" t="str">
        <f>IF(Agent01_Savings!A147="","",Agent01_Savings!I147)</f>
        <v/>
      </c>
      <c r="I142" s="37" t="str">
        <f>IF(Agent01_Savings!A147="","",Agent01_Savings!J147)</f>
        <v/>
      </c>
      <c r="J142" s="37" t="str">
        <f>IF(Agent01_Savings!A147="","",Agent01_Savings!K147)</f>
        <v/>
      </c>
      <c r="K142" s="37" t="str">
        <f>IFERROR(IF(Agent01_Savings!A147="","",YEAR(Agent01_Savings!D147)),"")</f>
        <v/>
      </c>
    </row>
    <row r="143" spans="1:11" ht="18" customHeight="1" x14ac:dyDescent="0.25">
      <c r="A143" s="37" t="str">
        <f>IF(Agent01_Savings!A148="","",Agent01_Savings!A148)</f>
        <v/>
      </c>
      <c r="B143" s="37" t="str">
        <f ca="1">IF(Agent01_Savings!A148="","","SV"&amp;TEXT(143-3,"0000")&amp;"-"&amp;TEXT(TODAY(),"YYYYMMDD"))</f>
        <v/>
      </c>
      <c r="C143" s="37" t="str">
        <f>IF(Agent01_Savings!A148="","",Agent01_Savings!B148)</f>
        <v/>
      </c>
      <c r="D143" s="37" t="str">
        <f>IF(Agent01_Savings!A148="","",Agent01_Savings!G148)</f>
        <v/>
      </c>
      <c r="E143" s="38" t="str">
        <f>IF(Agent01_Savings!A148="","",Agent01_Savings!D148)</f>
        <v/>
      </c>
      <c r="F143" s="39" t="str">
        <f>IF(Agent01_Savings!A148="","",Agent01_Savings!E148)</f>
        <v/>
      </c>
      <c r="G143" s="39" t="str">
        <f>IF(Agent01_Savings!A148="","",Agent01_Savings!F148)</f>
        <v/>
      </c>
      <c r="H143" s="37" t="str">
        <f>IF(Agent01_Savings!A148="","",Agent01_Savings!I148)</f>
        <v/>
      </c>
      <c r="I143" s="37" t="str">
        <f>IF(Agent01_Savings!A148="","",Agent01_Savings!J148)</f>
        <v/>
      </c>
      <c r="J143" s="37" t="str">
        <f>IF(Agent01_Savings!A148="","",Agent01_Savings!K148)</f>
        <v/>
      </c>
      <c r="K143" s="37" t="str">
        <f>IFERROR(IF(Agent01_Savings!A148="","",YEAR(Agent01_Savings!D148)),"")</f>
        <v/>
      </c>
    </row>
    <row r="144" spans="1:11" ht="18" customHeight="1" x14ac:dyDescent="0.25">
      <c r="A144" s="37" t="str">
        <f>IF(Agent01_Savings!A149="","",Agent01_Savings!A149)</f>
        <v/>
      </c>
      <c r="B144" s="37" t="str">
        <f ca="1">IF(Agent01_Savings!A149="","","SV"&amp;TEXT(144-3,"0000")&amp;"-"&amp;TEXT(TODAY(),"YYYYMMDD"))</f>
        <v/>
      </c>
      <c r="C144" s="37" t="str">
        <f>IF(Agent01_Savings!A149="","",Agent01_Savings!B149)</f>
        <v/>
      </c>
      <c r="D144" s="37" t="str">
        <f>IF(Agent01_Savings!A149="","",Agent01_Savings!G149)</f>
        <v/>
      </c>
      <c r="E144" s="38" t="str">
        <f>IF(Agent01_Savings!A149="","",Agent01_Savings!D149)</f>
        <v/>
      </c>
      <c r="F144" s="39" t="str">
        <f>IF(Agent01_Savings!A149="","",Agent01_Savings!E149)</f>
        <v/>
      </c>
      <c r="G144" s="39" t="str">
        <f>IF(Agent01_Savings!A149="","",Agent01_Savings!F149)</f>
        <v/>
      </c>
      <c r="H144" s="37" t="str">
        <f>IF(Agent01_Savings!A149="","",Agent01_Savings!I149)</f>
        <v/>
      </c>
      <c r="I144" s="37" t="str">
        <f>IF(Agent01_Savings!A149="","",Agent01_Savings!J149)</f>
        <v/>
      </c>
      <c r="J144" s="37" t="str">
        <f>IF(Agent01_Savings!A149="","",Agent01_Savings!K149)</f>
        <v/>
      </c>
      <c r="K144" s="37" t="str">
        <f>IFERROR(IF(Agent01_Savings!A149="","",YEAR(Agent01_Savings!D149)),"")</f>
        <v/>
      </c>
    </row>
    <row r="145" spans="1:11" ht="18" customHeight="1" x14ac:dyDescent="0.25">
      <c r="A145" s="37" t="str">
        <f>IF(Agent01_Savings!A150="","",Agent01_Savings!A150)</f>
        <v/>
      </c>
      <c r="B145" s="37" t="str">
        <f ca="1">IF(Agent01_Savings!A150="","","SV"&amp;TEXT(145-3,"0000")&amp;"-"&amp;TEXT(TODAY(),"YYYYMMDD"))</f>
        <v/>
      </c>
      <c r="C145" s="37" t="str">
        <f>IF(Agent01_Savings!A150="","",Agent01_Savings!B150)</f>
        <v/>
      </c>
      <c r="D145" s="37" t="str">
        <f>IF(Agent01_Savings!A150="","",Agent01_Savings!G150)</f>
        <v/>
      </c>
      <c r="E145" s="38" t="str">
        <f>IF(Agent01_Savings!A150="","",Agent01_Savings!D150)</f>
        <v/>
      </c>
      <c r="F145" s="39" t="str">
        <f>IF(Agent01_Savings!A150="","",Agent01_Savings!E150)</f>
        <v/>
      </c>
      <c r="G145" s="39" t="str">
        <f>IF(Agent01_Savings!A150="","",Agent01_Savings!F150)</f>
        <v/>
      </c>
      <c r="H145" s="37" t="str">
        <f>IF(Agent01_Savings!A150="","",Agent01_Savings!I150)</f>
        <v/>
      </c>
      <c r="I145" s="37" t="str">
        <f>IF(Agent01_Savings!A150="","",Agent01_Savings!J150)</f>
        <v/>
      </c>
      <c r="J145" s="37" t="str">
        <f>IF(Agent01_Savings!A150="","",Agent01_Savings!K150)</f>
        <v/>
      </c>
      <c r="K145" s="37" t="str">
        <f>IFERROR(IF(Agent01_Savings!A150="","",YEAR(Agent01_Savings!D150)),"")</f>
        <v/>
      </c>
    </row>
    <row r="146" spans="1:11" ht="18" customHeight="1" x14ac:dyDescent="0.25">
      <c r="A146" s="37" t="str">
        <f>IF(Agent01_Savings!A151="","",Agent01_Savings!A151)</f>
        <v/>
      </c>
      <c r="B146" s="37" t="str">
        <f ca="1">IF(Agent01_Savings!A151="","","SV"&amp;TEXT(146-3,"0000")&amp;"-"&amp;TEXT(TODAY(),"YYYYMMDD"))</f>
        <v/>
      </c>
      <c r="C146" s="37" t="str">
        <f>IF(Agent01_Savings!A151="","",Agent01_Savings!B151)</f>
        <v/>
      </c>
      <c r="D146" s="37" t="str">
        <f>IF(Agent01_Savings!A151="","",Agent01_Savings!G151)</f>
        <v/>
      </c>
      <c r="E146" s="38" t="str">
        <f>IF(Agent01_Savings!A151="","",Agent01_Savings!D151)</f>
        <v/>
      </c>
      <c r="F146" s="39" t="str">
        <f>IF(Agent01_Savings!A151="","",Agent01_Savings!E151)</f>
        <v/>
      </c>
      <c r="G146" s="39" t="str">
        <f>IF(Agent01_Savings!A151="","",Agent01_Savings!F151)</f>
        <v/>
      </c>
      <c r="H146" s="37" t="str">
        <f>IF(Agent01_Savings!A151="","",Agent01_Savings!I151)</f>
        <v/>
      </c>
      <c r="I146" s="37" t="str">
        <f>IF(Agent01_Savings!A151="","",Agent01_Savings!J151)</f>
        <v/>
      </c>
      <c r="J146" s="37" t="str">
        <f>IF(Agent01_Savings!A151="","",Agent01_Savings!K151)</f>
        <v/>
      </c>
      <c r="K146" s="37" t="str">
        <f>IFERROR(IF(Agent01_Savings!A151="","",YEAR(Agent01_Savings!D151)),"")</f>
        <v/>
      </c>
    </row>
    <row r="147" spans="1:11" ht="18" customHeight="1" x14ac:dyDescent="0.25">
      <c r="A147" s="37" t="str">
        <f>IF(Agent01_Savings!A152="","",Agent01_Savings!A152)</f>
        <v/>
      </c>
      <c r="B147" s="37" t="str">
        <f ca="1">IF(Agent01_Savings!A152="","","SV"&amp;TEXT(147-3,"0000")&amp;"-"&amp;TEXT(TODAY(),"YYYYMMDD"))</f>
        <v/>
      </c>
      <c r="C147" s="37" t="str">
        <f>IF(Agent01_Savings!A152="","",Agent01_Savings!B152)</f>
        <v/>
      </c>
      <c r="D147" s="37" t="str">
        <f>IF(Agent01_Savings!A152="","",Agent01_Savings!G152)</f>
        <v/>
      </c>
      <c r="E147" s="38" t="str">
        <f>IF(Agent01_Savings!A152="","",Agent01_Savings!D152)</f>
        <v/>
      </c>
      <c r="F147" s="39" t="str">
        <f>IF(Agent01_Savings!A152="","",Agent01_Savings!E152)</f>
        <v/>
      </c>
      <c r="G147" s="39" t="str">
        <f>IF(Agent01_Savings!A152="","",Agent01_Savings!F152)</f>
        <v/>
      </c>
      <c r="H147" s="37" t="str">
        <f>IF(Agent01_Savings!A152="","",Agent01_Savings!I152)</f>
        <v/>
      </c>
      <c r="I147" s="37" t="str">
        <f>IF(Agent01_Savings!A152="","",Agent01_Savings!J152)</f>
        <v/>
      </c>
      <c r="J147" s="37" t="str">
        <f>IF(Agent01_Savings!A152="","",Agent01_Savings!K152)</f>
        <v/>
      </c>
      <c r="K147" s="37" t="str">
        <f>IFERROR(IF(Agent01_Savings!A152="","",YEAR(Agent01_Savings!D152)),"")</f>
        <v/>
      </c>
    </row>
    <row r="148" spans="1:11" ht="18" customHeight="1" x14ac:dyDescent="0.25">
      <c r="A148" s="37" t="str">
        <f>IF(Agent01_Savings!A153="","",Agent01_Savings!A153)</f>
        <v/>
      </c>
      <c r="B148" s="37" t="str">
        <f ca="1">IF(Agent01_Savings!A153="","","SV"&amp;TEXT(148-3,"0000")&amp;"-"&amp;TEXT(TODAY(),"YYYYMMDD"))</f>
        <v/>
      </c>
      <c r="C148" s="37" t="str">
        <f>IF(Agent01_Savings!A153="","",Agent01_Savings!B153)</f>
        <v/>
      </c>
      <c r="D148" s="37" t="str">
        <f>IF(Agent01_Savings!A153="","",Agent01_Savings!G153)</f>
        <v/>
      </c>
      <c r="E148" s="38" t="str">
        <f>IF(Agent01_Savings!A153="","",Agent01_Savings!D153)</f>
        <v/>
      </c>
      <c r="F148" s="39" t="str">
        <f>IF(Agent01_Savings!A153="","",Agent01_Savings!E153)</f>
        <v/>
      </c>
      <c r="G148" s="39" t="str">
        <f>IF(Agent01_Savings!A153="","",Agent01_Savings!F153)</f>
        <v/>
      </c>
      <c r="H148" s="37" t="str">
        <f>IF(Agent01_Savings!A153="","",Agent01_Savings!I153)</f>
        <v/>
      </c>
      <c r="I148" s="37" t="str">
        <f>IF(Agent01_Savings!A153="","",Agent01_Savings!J153)</f>
        <v/>
      </c>
      <c r="J148" s="37" t="str">
        <f>IF(Agent01_Savings!A153="","",Agent01_Savings!K153)</f>
        <v/>
      </c>
      <c r="K148" s="37" t="str">
        <f>IFERROR(IF(Agent01_Savings!A153="","",YEAR(Agent01_Savings!D153)),"")</f>
        <v/>
      </c>
    </row>
    <row r="149" spans="1:11" ht="18" customHeight="1" x14ac:dyDescent="0.25">
      <c r="A149" s="37" t="str">
        <f>IF(Agent01_Savings!A154="","",Agent01_Savings!A154)</f>
        <v/>
      </c>
      <c r="B149" s="37" t="str">
        <f ca="1">IF(Agent01_Savings!A154="","","SV"&amp;TEXT(149-3,"0000")&amp;"-"&amp;TEXT(TODAY(),"YYYYMMDD"))</f>
        <v/>
      </c>
      <c r="C149" s="37" t="str">
        <f>IF(Agent01_Savings!A154="","",Agent01_Savings!B154)</f>
        <v/>
      </c>
      <c r="D149" s="37" t="str">
        <f>IF(Agent01_Savings!A154="","",Agent01_Savings!G154)</f>
        <v/>
      </c>
      <c r="E149" s="38" t="str">
        <f>IF(Agent01_Savings!A154="","",Agent01_Savings!D154)</f>
        <v/>
      </c>
      <c r="F149" s="39" t="str">
        <f>IF(Agent01_Savings!A154="","",Agent01_Savings!E154)</f>
        <v/>
      </c>
      <c r="G149" s="39" t="str">
        <f>IF(Agent01_Savings!A154="","",Agent01_Savings!F154)</f>
        <v/>
      </c>
      <c r="H149" s="37" t="str">
        <f>IF(Agent01_Savings!A154="","",Agent01_Savings!I154)</f>
        <v/>
      </c>
      <c r="I149" s="37" t="str">
        <f>IF(Agent01_Savings!A154="","",Agent01_Savings!J154)</f>
        <v/>
      </c>
      <c r="J149" s="37" t="str">
        <f>IF(Agent01_Savings!A154="","",Agent01_Savings!K154)</f>
        <v/>
      </c>
      <c r="K149" s="37" t="str">
        <f>IFERROR(IF(Agent01_Savings!A154="","",YEAR(Agent01_Savings!D154)),"")</f>
        <v/>
      </c>
    </row>
    <row r="150" spans="1:11" ht="18" customHeight="1" x14ac:dyDescent="0.25">
      <c r="A150" s="37" t="str">
        <f>IF(Agent01_Savings!A155="","",Agent01_Savings!A155)</f>
        <v/>
      </c>
      <c r="B150" s="37" t="str">
        <f ca="1">IF(Agent01_Savings!A155="","","SV"&amp;TEXT(150-3,"0000")&amp;"-"&amp;TEXT(TODAY(),"YYYYMMDD"))</f>
        <v/>
      </c>
      <c r="C150" s="37" t="str">
        <f>IF(Agent01_Savings!A155="","",Agent01_Savings!B155)</f>
        <v/>
      </c>
      <c r="D150" s="37" t="str">
        <f>IF(Agent01_Savings!A155="","",Agent01_Savings!G155)</f>
        <v/>
      </c>
      <c r="E150" s="38" t="str">
        <f>IF(Agent01_Savings!A155="","",Agent01_Savings!D155)</f>
        <v/>
      </c>
      <c r="F150" s="39" t="str">
        <f>IF(Agent01_Savings!A155="","",Agent01_Savings!E155)</f>
        <v/>
      </c>
      <c r="G150" s="39" t="str">
        <f>IF(Agent01_Savings!A155="","",Agent01_Savings!F155)</f>
        <v/>
      </c>
      <c r="H150" s="37" t="str">
        <f>IF(Agent01_Savings!A155="","",Agent01_Savings!I155)</f>
        <v/>
      </c>
      <c r="I150" s="37" t="str">
        <f>IF(Agent01_Savings!A155="","",Agent01_Savings!J155)</f>
        <v/>
      </c>
      <c r="J150" s="37" t="str">
        <f>IF(Agent01_Savings!A155="","",Agent01_Savings!K155)</f>
        <v/>
      </c>
      <c r="K150" s="37" t="str">
        <f>IFERROR(IF(Agent01_Savings!A155="","",YEAR(Agent01_Savings!D155)),"")</f>
        <v/>
      </c>
    </row>
    <row r="151" spans="1:11" ht="18" customHeight="1" x14ac:dyDescent="0.25">
      <c r="A151" s="37" t="str">
        <f>IF(Agent01_Savings!A156="","",Agent01_Savings!A156)</f>
        <v/>
      </c>
      <c r="B151" s="37" t="str">
        <f ca="1">IF(Agent01_Savings!A156="","","SV"&amp;TEXT(151-3,"0000")&amp;"-"&amp;TEXT(TODAY(),"YYYYMMDD"))</f>
        <v/>
      </c>
      <c r="C151" s="37" t="str">
        <f>IF(Agent01_Savings!A156="","",Agent01_Savings!B156)</f>
        <v/>
      </c>
      <c r="D151" s="37" t="str">
        <f>IF(Agent01_Savings!A156="","",Agent01_Savings!G156)</f>
        <v/>
      </c>
      <c r="E151" s="38" t="str">
        <f>IF(Agent01_Savings!A156="","",Agent01_Savings!D156)</f>
        <v/>
      </c>
      <c r="F151" s="39" t="str">
        <f>IF(Agent01_Savings!A156="","",Agent01_Savings!E156)</f>
        <v/>
      </c>
      <c r="G151" s="39" t="str">
        <f>IF(Agent01_Savings!A156="","",Agent01_Savings!F156)</f>
        <v/>
      </c>
      <c r="H151" s="37" t="str">
        <f>IF(Agent01_Savings!A156="","",Agent01_Savings!I156)</f>
        <v/>
      </c>
      <c r="I151" s="37" t="str">
        <f>IF(Agent01_Savings!A156="","",Agent01_Savings!J156)</f>
        <v/>
      </c>
      <c r="J151" s="37" t="str">
        <f>IF(Agent01_Savings!A156="","",Agent01_Savings!K156)</f>
        <v/>
      </c>
      <c r="K151" s="37" t="str">
        <f>IFERROR(IF(Agent01_Savings!A156="","",YEAR(Agent01_Savings!D156)),"")</f>
        <v/>
      </c>
    </row>
    <row r="152" spans="1:11" ht="18" customHeight="1" x14ac:dyDescent="0.25">
      <c r="A152" s="37" t="str">
        <f>IF(Agent01_Savings!A157="","",Agent01_Savings!A157)</f>
        <v/>
      </c>
      <c r="B152" s="37" t="str">
        <f ca="1">IF(Agent01_Savings!A157="","","SV"&amp;TEXT(152-3,"0000")&amp;"-"&amp;TEXT(TODAY(),"YYYYMMDD"))</f>
        <v/>
      </c>
      <c r="C152" s="37" t="str">
        <f>IF(Agent01_Savings!A157="","",Agent01_Savings!B157)</f>
        <v/>
      </c>
      <c r="D152" s="37" t="str">
        <f>IF(Agent01_Savings!A157="","",Agent01_Savings!G157)</f>
        <v/>
      </c>
      <c r="E152" s="38" t="str">
        <f>IF(Agent01_Savings!A157="","",Agent01_Savings!D157)</f>
        <v/>
      </c>
      <c r="F152" s="39" t="str">
        <f>IF(Agent01_Savings!A157="","",Agent01_Savings!E157)</f>
        <v/>
      </c>
      <c r="G152" s="39" t="str">
        <f>IF(Agent01_Savings!A157="","",Agent01_Savings!F157)</f>
        <v/>
      </c>
      <c r="H152" s="37" t="str">
        <f>IF(Agent01_Savings!A157="","",Agent01_Savings!I157)</f>
        <v/>
      </c>
      <c r="I152" s="37" t="str">
        <f>IF(Agent01_Savings!A157="","",Agent01_Savings!J157)</f>
        <v/>
      </c>
      <c r="J152" s="37" t="str">
        <f>IF(Agent01_Savings!A157="","",Agent01_Savings!K157)</f>
        <v/>
      </c>
      <c r="K152" s="37" t="str">
        <f>IFERROR(IF(Agent01_Savings!A157="","",YEAR(Agent01_Savings!D157)),"")</f>
        <v/>
      </c>
    </row>
    <row r="153" spans="1:11" ht="18" customHeight="1" x14ac:dyDescent="0.25">
      <c r="A153" s="37" t="str">
        <f>IF(Agent01_Savings!A158="","",Agent01_Savings!A158)</f>
        <v/>
      </c>
      <c r="B153" s="37" t="str">
        <f ca="1">IF(Agent01_Savings!A158="","","SV"&amp;TEXT(153-3,"0000")&amp;"-"&amp;TEXT(TODAY(),"YYYYMMDD"))</f>
        <v/>
      </c>
      <c r="C153" s="37" t="str">
        <f>IF(Agent01_Savings!A158="","",Agent01_Savings!B158)</f>
        <v/>
      </c>
      <c r="D153" s="37" t="str">
        <f>IF(Agent01_Savings!A158="","",Agent01_Savings!G158)</f>
        <v/>
      </c>
      <c r="E153" s="38" t="str">
        <f>IF(Agent01_Savings!A158="","",Agent01_Savings!D158)</f>
        <v/>
      </c>
      <c r="F153" s="39" t="str">
        <f>IF(Agent01_Savings!A158="","",Agent01_Savings!E158)</f>
        <v/>
      </c>
      <c r="G153" s="39" t="str">
        <f>IF(Agent01_Savings!A158="","",Agent01_Savings!F158)</f>
        <v/>
      </c>
      <c r="H153" s="37" t="str">
        <f>IF(Agent01_Savings!A158="","",Agent01_Savings!I158)</f>
        <v/>
      </c>
      <c r="I153" s="37" t="str">
        <f>IF(Agent01_Savings!A158="","",Agent01_Savings!J158)</f>
        <v/>
      </c>
      <c r="J153" s="37" t="str">
        <f>IF(Agent01_Savings!A158="","",Agent01_Savings!K158)</f>
        <v/>
      </c>
      <c r="K153" s="37" t="str">
        <f>IFERROR(IF(Agent01_Savings!A158="","",YEAR(Agent01_Savings!D158)),"")</f>
        <v/>
      </c>
    </row>
    <row r="154" spans="1:11" ht="18" customHeight="1" x14ac:dyDescent="0.25">
      <c r="A154" s="37" t="str">
        <f>IF(Agent01_Savings!A159="","",Agent01_Savings!A159)</f>
        <v/>
      </c>
      <c r="B154" s="37" t="str">
        <f ca="1">IF(Agent01_Savings!A159="","","SV"&amp;TEXT(154-3,"0000")&amp;"-"&amp;TEXT(TODAY(),"YYYYMMDD"))</f>
        <v/>
      </c>
      <c r="C154" s="37" t="str">
        <f>IF(Agent01_Savings!A159="","",Agent01_Savings!B159)</f>
        <v/>
      </c>
      <c r="D154" s="37" t="str">
        <f>IF(Agent01_Savings!A159="","",Agent01_Savings!G159)</f>
        <v/>
      </c>
      <c r="E154" s="38" t="str">
        <f>IF(Agent01_Savings!A159="","",Agent01_Savings!D159)</f>
        <v/>
      </c>
      <c r="F154" s="39" t="str">
        <f>IF(Agent01_Savings!A159="","",Agent01_Savings!E159)</f>
        <v/>
      </c>
      <c r="G154" s="39" t="str">
        <f>IF(Agent01_Savings!A159="","",Agent01_Savings!F159)</f>
        <v/>
      </c>
      <c r="H154" s="37" t="str">
        <f>IF(Agent01_Savings!A159="","",Agent01_Savings!I159)</f>
        <v/>
      </c>
      <c r="I154" s="37" t="str">
        <f>IF(Agent01_Savings!A159="","",Agent01_Savings!J159)</f>
        <v/>
      </c>
      <c r="J154" s="37" t="str">
        <f>IF(Agent01_Savings!A159="","",Agent01_Savings!K159)</f>
        <v/>
      </c>
      <c r="K154" s="37" t="str">
        <f>IFERROR(IF(Agent01_Savings!A159="","",YEAR(Agent01_Savings!D159)),"")</f>
        <v/>
      </c>
    </row>
    <row r="155" spans="1:11" ht="18" customHeight="1" x14ac:dyDescent="0.25">
      <c r="A155" s="37" t="str">
        <f>IF(Agent01_Savings!A160="","",Agent01_Savings!A160)</f>
        <v/>
      </c>
      <c r="B155" s="37" t="str">
        <f ca="1">IF(Agent01_Savings!A160="","","SV"&amp;TEXT(155-3,"0000")&amp;"-"&amp;TEXT(TODAY(),"YYYYMMDD"))</f>
        <v/>
      </c>
      <c r="C155" s="37" t="str">
        <f>IF(Agent01_Savings!A160="","",Agent01_Savings!B160)</f>
        <v/>
      </c>
      <c r="D155" s="37" t="str">
        <f>IF(Agent01_Savings!A160="","",Agent01_Savings!G160)</f>
        <v/>
      </c>
      <c r="E155" s="38" t="str">
        <f>IF(Agent01_Savings!A160="","",Agent01_Savings!D160)</f>
        <v/>
      </c>
      <c r="F155" s="39" t="str">
        <f>IF(Agent01_Savings!A160="","",Agent01_Savings!E160)</f>
        <v/>
      </c>
      <c r="G155" s="39" t="str">
        <f>IF(Agent01_Savings!A160="","",Agent01_Savings!F160)</f>
        <v/>
      </c>
      <c r="H155" s="37" t="str">
        <f>IF(Agent01_Savings!A160="","",Agent01_Savings!I160)</f>
        <v/>
      </c>
      <c r="I155" s="37" t="str">
        <f>IF(Agent01_Savings!A160="","",Agent01_Savings!J160)</f>
        <v/>
      </c>
      <c r="J155" s="37" t="str">
        <f>IF(Agent01_Savings!A160="","",Agent01_Savings!K160)</f>
        <v/>
      </c>
      <c r="K155" s="37" t="str">
        <f>IFERROR(IF(Agent01_Savings!A160="","",YEAR(Agent01_Savings!D160)),"")</f>
        <v/>
      </c>
    </row>
    <row r="156" spans="1:11" ht="18" customHeight="1" x14ac:dyDescent="0.25">
      <c r="A156" s="37" t="str">
        <f>IF(Agent01_Savings!A161="","",Agent01_Savings!A161)</f>
        <v/>
      </c>
      <c r="B156" s="37" t="str">
        <f ca="1">IF(Agent01_Savings!A161="","","SV"&amp;TEXT(156-3,"0000")&amp;"-"&amp;TEXT(TODAY(),"YYYYMMDD"))</f>
        <v/>
      </c>
      <c r="C156" s="37" t="str">
        <f>IF(Agent01_Savings!A161="","",Agent01_Savings!B161)</f>
        <v/>
      </c>
      <c r="D156" s="37" t="str">
        <f>IF(Agent01_Savings!A161="","",Agent01_Savings!G161)</f>
        <v/>
      </c>
      <c r="E156" s="38" t="str">
        <f>IF(Agent01_Savings!A161="","",Agent01_Savings!D161)</f>
        <v/>
      </c>
      <c r="F156" s="39" t="str">
        <f>IF(Agent01_Savings!A161="","",Agent01_Savings!E161)</f>
        <v/>
      </c>
      <c r="G156" s="39" t="str">
        <f>IF(Agent01_Savings!A161="","",Agent01_Savings!F161)</f>
        <v/>
      </c>
      <c r="H156" s="37" t="str">
        <f>IF(Agent01_Savings!A161="","",Agent01_Savings!I161)</f>
        <v/>
      </c>
      <c r="I156" s="37" t="str">
        <f>IF(Agent01_Savings!A161="","",Agent01_Savings!J161)</f>
        <v/>
      </c>
      <c r="J156" s="37" t="str">
        <f>IF(Agent01_Savings!A161="","",Agent01_Savings!K161)</f>
        <v/>
      </c>
      <c r="K156" s="37" t="str">
        <f>IFERROR(IF(Agent01_Savings!A161="","",YEAR(Agent01_Savings!D161)),"")</f>
        <v/>
      </c>
    </row>
    <row r="157" spans="1:11" ht="18" customHeight="1" x14ac:dyDescent="0.25">
      <c r="A157" s="37" t="str">
        <f>IF(Agent01_Savings!A162="","",Agent01_Savings!A162)</f>
        <v/>
      </c>
      <c r="B157" s="37" t="str">
        <f ca="1">IF(Agent01_Savings!A162="","","SV"&amp;TEXT(157-3,"0000")&amp;"-"&amp;TEXT(TODAY(),"YYYYMMDD"))</f>
        <v/>
      </c>
      <c r="C157" s="37" t="str">
        <f>IF(Agent01_Savings!A162="","",Agent01_Savings!B162)</f>
        <v/>
      </c>
      <c r="D157" s="37" t="str">
        <f>IF(Agent01_Savings!A162="","",Agent01_Savings!G162)</f>
        <v/>
      </c>
      <c r="E157" s="38" t="str">
        <f>IF(Agent01_Savings!A162="","",Agent01_Savings!D162)</f>
        <v/>
      </c>
      <c r="F157" s="39" t="str">
        <f>IF(Agent01_Savings!A162="","",Agent01_Savings!E162)</f>
        <v/>
      </c>
      <c r="G157" s="39" t="str">
        <f>IF(Agent01_Savings!A162="","",Agent01_Savings!F162)</f>
        <v/>
      </c>
      <c r="H157" s="37" t="str">
        <f>IF(Agent01_Savings!A162="","",Agent01_Savings!I162)</f>
        <v/>
      </c>
      <c r="I157" s="37" t="str">
        <f>IF(Agent01_Savings!A162="","",Agent01_Savings!J162)</f>
        <v/>
      </c>
      <c r="J157" s="37" t="str">
        <f>IF(Agent01_Savings!A162="","",Agent01_Savings!K162)</f>
        <v/>
      </c>
      <c r="K157" s="37" t="str">
        <f>IFERROR(IF(Agent01_Savings!A162="","",YEAR(Agent01_Savings!D162)),"")</f>
        <v/>
      </c>
    </row>
    <row r="158" spans="1:11" ht="18" customHeight="1" x14ac:dyDescent="0.25">
      <c r="A158" s="37" t="str">
        <f>IF(Agent01_Savings!A163="","",Agent01_Savings!A163)</f>
        <v/>
      </c>
      <c r="B158" s="37" t="str">
        <f ca="1">IF(Agent01_Savings!A163="","","SV"&amp;TEXT(158-3,"0000")&amp;"-"&amp;TEXT(TODAY(),"YYYYMMDD"))</f>
        <v/>
      </c>
      <c r="C158" s="37" t="str">
        <f>IF(Agent01_Savings!A163="","",Agent01_Savings!B163)</f>
        <v/>
      </c>
      <c r="D158" s="37" t="str">
        <f>IF(Agent01_Savings!A163="","",Agent01_Savings!G163)</f>
        <v/>
      </c>
      <c r="E158" s="38" t="str">
        <f>IF(Agent01_Savings!A163="","",Agent01_Savings!D163)</f>
        <v/>
      </c>
      <c r="F158" s="39" t="str">
        <f>IF(Agent01_Savings!A163="","",Agent01_Savings!E163)</f>
        <v/>
      </c>
      <c r="G158" s="39" t="str">
        <f>IF(Agent01_Savings!A163="","",Agent01_Savings!F163)</f>
        <v/>
      </c>
      <c r="H158" s="37" t="str">
        <f>IF(Agent01_Savings!A163="","",Agent01_Savings!I163)</f>
        <v/>
      </c>
      <c r="I158" s="37" t="str">
        <f>IF(Agent01_Savings!A163="","",Agent01_Savings!J163)</f>
        <v/>
      </c>
      <c r="J158" s="37" t="str">
        <f>IF(Agent01_Savings!A163="","",Agent01_Savings!K163)</f>
        <v/>
      </c>
      <c r="K158" s="37" t="str">
        <f>IFERROR(IF(Agent01_Savings!A163="","",YEAR(Agent01_Savings!D163)),"")</f>
        <v/>
      </c>
    </row>
    <row r="159" spans="1:11" ht="18" customHeight="1" x14ac:dyDescent="0.25">
      <c r="A159" s="37" t="str">
        <f>IF(Agent01_Savings!A164="","",Agent01_Savings!A164)</f>
        <v/>
      </c>
      <c r="B159" s="37" t="str">
        <f ca="1">IF(Agent01_Savings!A164="","","SV"&amp;TEXT(159-3,"0000")&amp;"-"&amp;TEXT(TODAY(),"YYYYMMDD"))</f>
        <v/>
      </c>
      <c r="C159" s="37" t="str">
        <f>IF(Agent01_Savings!A164="","",Agent01_Savings!B164)</f>
        <v/>
      </c>
      <c r="D159" s="37" t="str">
        <f>IF(Agent01_Savings!A164="","",Agent01_Savings!G164)</f>
        <v/>
      </c>
      <c r="E159" s="38" t="str">
        <f>IF(Agent01_Savings!A164="","",Agent01_Savings!D164)</f>
        <v/>
      </c>
      <c r="F159" s="39" t="str">
        <f>IF(Agent01_Savings!A164="","",Agent01_Savings!E164)</f>
        <v/>
      </c>
      <c r="G159" s="39" t="str">
        <f>IF(Agent01_Savings!A164="","",Agent01_Savings!F164)</f>
        <v/>
      </c>
      <c r="H159" s="37" t="str">
        <f>IF(Agent01_Savings!A164="","",Agent01_Savings!I164)</f>
        <v/>
      </c>
      <c r="I159" s="37" t="str">
        <f>IF(Agent01_Savings!A164="","",Agent01_Savings!J164)</f>
        <v/>
      </c>
      <c r="J159" s="37" t="str">
        <f>IF(Agent01_Savings!A164="","",Agent01_Savings!K164)</f>
        <v/>
      </c>
      <c r="K159" s="37" t="str">
        <f>IFERROR(IF(Agent01_Savings!A164="","",YEAR(Agent01_Savings!D164)),"")</f>
        <v/>
      </c>
    </row>
    <row r="160" spans="1:11" ht="18" customHeight="1" x14ac:dyDescent="0.25">
      <c r="A160" s="37" t="str">
        <f>IF(Agent01_Savings!A165="","",Agent01_Savings!A165)</f>
        <v/>
      </c>
      <c r="B160" s="37" t="str">
        <f ca="1">IF(Agent01_Savings!A165="","","SV"&amp;TEXT(160-3,"0000")&amp;"-"&amp;TEXT(TODAY(),"YYYYMMDD"))</f>
        <v/>
      </c>
      <c r="C160" s="37" t="str">
        <f>IF(Agent01_Savings!A165="","",Agent01_Savings!B165)</f>
        <v/>
      </c>
      <c r="D160" s="37" t="str">
        <f>IF(Agent01_Savings!A165="","",Agent01_Savings!G165)</f>
        <v/>
      </c>
      <c r="E160" s="38" t="str">
        <f>IF(Agent01_Savings!A165="","",Agent01_Savings!D165)</f>
        <v/>
      </c>
      <c r="F160" s="39" t="str">
        <f>IF(Agent01_Savings!A165="","",Agent01_Savings!E165)</f>
        <v/>
      </c>
      <c r="G160" s="39" t="str">
        <f>IF(Agent01_Savings!A165="","",Agent01_Savings!F165)</f>
        <v/>
      </c>
      <c r="H160" s="37" t="str">
        <f>IF(Agent01_Savings!A165="","",Agent01_Savings!I165)</f>
        <v/>
      </c>
      <c r="I160" s="37" t="str">
        <f>IF(Agent01_Savings!A165="","",Agent01_Savings!J165)</f>
        <v/>
      </c>
      <c r="J160" s="37" t="str">
        <f>IF(Agent01_Savings!A165="","",Agent01_Savings!K165)</f>
        <v/>
      </c>
      <c r="K160" s="37" t="str">
        <f>IFERROR(IF(Agent01_Savings!A165="","",YEAR(Agent01_Savings!D165)),"")</f>
        <v/>
      </c>
    </row>
    <row r="161" spans="1:11" ht="18" customHeight="1" x14ac:dyDescent="0.25">
      <c r="A161" s="37" t="str">
        <f>IF(Agent01_Savings!A166="","",Agent01_Savings!A166)</f>
        <v/>
      </c>
      <c r="B161" s="37" t="str">
        <f ca="1">IF(Agent01_Savings!A166="","","SV"&amp;TEXT(161-3,"0000")&amp;"-"&amp;TEXT(TODAY(),"YYYYMMDD"))</f>
        <v/>
      </c>
      <c r="C161" s="37" t="str">
        <f>IF(Agent01_Savings!A166="","",Agent01_Savings!B166)</f>
        <v/>
      </c>
      <c r="D161" s="37" t="str">
        <f>IF(Agent01_Savings!A166="","",Agent01_Savings!G166)</f>
        <v/>
      </c>
      <c r="E161" s="38" t="str">
        <f>IF(Agent01_Savings!A166="","",Agent01_Savings!D166)</f>
        <v/>
      </c>
      <c r="F161" s="39" t="str">
        <f>IF(Agent01_Savings!A166="","",Agent01_Savings!E166)</f>
        <v/>
      </c>
      <c r="G161" s="39" t="str">
        <f>IF(Agent01_Savings!A166="","",Agent01_Savings!F166)</f>
        <v/>
      </c>
      <c r="H161" s="37" t="str">
        <f>IF(Agent01_Savings!A166="","",Agent01_Savings!I166)</f>
        <v/>
      </c>
      <c r="I161" s="37" t="str">
        <f>IF(Agent01_Savings!A166="","",Agent01_Savings!J166)</f>
        <v/>
      </c>
      <c r="J161" s="37" t="str">
        <f>IF(Agent01_Savings!A166="","",Agent01_Savings!K166)</f>
        <v/>
      </c>
      <c r="K161" s="37" t="str">
        <f>IFERROR(IF(Agent01_Savings!A166="","",YEAR(Agent01_Savings!D166)),"")</f>
        <v/>
      </c>
    </row>
    <row r="162" spans="1:11" ht="18" customHeight="1" x14ac:dyDescent="0.25">
      <c r="A162" s="37" t="str">
        <f>IF(Agent01_Savings!A167="","",Agent01_Savings!A167)</f>
        <v/>
      </c>
      <c r="B162" s="37" t="str">
        <f ca="1">IF(Agent01_Savings!A167="","","SV"&amp;TEXT(162-3,"0000")&amp;"-"&amp;TEXT(TODAY(),"YYYYMMDD"))</f>
        <v/>
      </c>
      <c r="C162" s="37" t="str">
        <f>IF(Agent01_Savings!A167="","",Agent01_Savings!B167)</f>
        <v/>
      </c>
      <c r="D162" s="37" t="str">
        <f>IF(Agent01_Savings!A167="","",Agent01_Savings!G167)</f>
        <v/>
      </c>
      <c r="E162" s="38" t="str">
        <f>IF(Agent01_Savings!A167="","",Agent01_Savings!D167)</f>
        <v/>
      </c>
      <c r="F162" s="39" t="str">
        <f>IF(Agent01_Savings!A167="","",Agent01_Savings!E167)</f>
        <v/>
      </c>
      <c r="G162" s="39" t="str">
        <f>IF(Agent01_Savings!A167="","",Agent01_Savings!F167)</f>
        <v/>
      </c>
      <c r="H162" s="37" t="str">
        <f>IF(Agent01_Savings!A167="","",Agent01_Savings!I167)</f>
        <v/>
      </c>
      <c r="I162" s="37" t="str">
        <f>IF(Agent01_Savings!A167="","",Agent01_Savings!J167)</f>
        <v/>
      </c>
      <c r="J162" s="37" t="str">
        <f>IF(Agent01_Savings!A167="","",Agent01_Savings!K167)</f>
        <v/>
      </c>
      <c r="K162" s="37" t="str">
        <f>IFERROR(IF(Agent01_Savings!A167="","",YEAR(Agent01_Savings!D167)),"")</f>
        <v/>
      </c>
    </row>
    <row r="163" spans="1:11" ht="18" customHeight="1" x14ac:dyDescent="0.25">
      <c r="A163" s="37" t="str">
        <f>IF(Agent01_Savings!A168="","",Agent01_Savings!A168)</f>
        <v/>
      </c>
      <c r="B163" s="37" t="str">
        <f ca="1">IF(Agent01_Savings!A168="","","SV"&amp;TEXT(163-3,"0000")&amp;"-"&amp;TEXT(TODAY(),"YYYYMMDD"))</f>
        <v/>
      </c>
      <c r="C163" s="37" t="str">
        <f>IF(Agent01_Savings!A168="","",Agent01_Savings!B168)</f>
        <v/>
      </c>
      <c r="D163" s="37" t="str">
        <f>IF(Agent01_Savings!A168="","",Agent01_Savings!G168)</f>
        <v/>
      </c>
      <c r="E163" s="38" t="str">
        <f>IF(Agent01_Savings!A168="","",Agent01_Savings!D168)</f>
        <v/>
      </c>
      <c r="F163" s="39" t="str">
        <f>IF(Agent01_Savings!A168="","",Agent01_Savings!E168)</f>
        <v/>
      </c>
      <c r="G163" s="39" t="str">
        <f>IF(Agent01_Savings!A168="","",Agent01_Savings!F168)</f>
        <v/>
      </c>
      <c r="H163" s="37" t="str">
        <f>IF(Agent01_Savings!A168="","",Agent01_Savings!I168)</f>
        <v/>
      </c>
      <c r="I163" s="37" t="str">
        <f>IF(Agent01_Savings!A168="","",Agent01_Savings!J168)</f>
        <v/>
      </c>
      <c r="J163" s="37" t="str">
        <f>IF(Agent01_Savings!A168="","",Agent01_Savings!K168)</f>
        <v/>
      </c>
      <c r="K163" s="37" t="str">
        <f>IFERROR(IF(Agent01_Savings!A168="","",YEAR(Agent01_Savings!D168)),"")</f>
        <v/>
      </c>
    </row>
    <row r="164" spans="1:11" ht="18" customHeight="1" x14ac:dyDescent="0.25">
      <c r="A164" s="37" t="str">
        <f>IF(Agent01_Savings!A169="","",Agent01_Savings!A169)</f>
        <v/>
      </c>
      <c r="B164" s="37" t="str">
        <f ca="1">IF(Agent01_Savings!A169="","","SV"&amp;TEXT(164-3,"0000")&amp;"-"&amp;TEXT(TODAY(),"YYYYMMDD"))</f>
        <v/>
      </c>
      <c r="C164" s="37" t="str">
        <f>IF(Agent01_Savings!A169="","",Agent01_Savings!B169)</f>
        <v/>
      </c>
      <c r="D164" s="37" t="str">
        <f>IF(Agent01_Savings!A169="","",Agent01_Savings!G169)</f>
        <v/>
      </c>
      <c r="E164" s="38" t="str">
        <f>IF(Agent01_Savings!A169="","",Agent01_Savings!D169)</f>
        <v/>
      </c>
      <c r="F164" s="39" t="str">
        <f>IF(Agent01_Savings!A169="","",Agent01_Savings!E169)</f>
        <v/>
      </c>
      <c r="G164" s="39" t="str">
        <f>IF(Agent01_Savings!A169="","",Agent01_Savings!F169)</f>
        <v/>
      </c>
      <c r="H164" s="37" t="str">
        <f>IF(Agent01_Savings!A169="","",Agent01_Savings!I169)</f>
        <v/>
      </c>
      <c r="I164" s="37" t="str">
        <f>IF(Agent01_Savings!A169="","",Agent01_Savings!J169)</f>
        <v/>
      </c>
      <c r="J164" s="37" t="str">
        <f>IF(Agent01_Savings!A169="","",Agent01_Savings!K169)</f>
        <v/>
      </c>
      <c r="K164" s="37" t="str">
        <f>IFERROR(IF(Agent01_Savings!A169="","",YEAR(Agent01_Savings!D169)),"")</f>
        <v/>
      </c>
    </row>
    <row r="165" spans="1:11" ht="18" customHeight="1" x14ac:dyDescent="0.25">
      <c r="A165" s="37" t="str">
        <f>IF(Agent01_Savings!A170="","",Agent01_Savings!A170)</f>
        <v/>
      </c>
      <c r="B165" s="37" t="str">
        <f ca="1">IF(Agent01_Savings!A170="","","SV"&amp;TEXT(165-3,"0000")&amp;"-"&amp;TEXT(TODAY(),"YYYYMMDD"))</f>
        <v/>
      </c>
      <c r="C165" s="37" t="str">
        <f>IF(Agent01_Savings!A170="","",Agent01_Savings!B170)</f>
        <v/>
      </c>
      <c r="D165" s="37" t="str">
        <f>IF(Agent01_Savings!A170="","",Agent01_Savings!G170)</f>
        <v/>
      </c>
      <c r="E165" s="38" t="str">
        <f>IF(Agent01_Savings!A170="","",Agent01_Savings!D170)</f>
        <v/>
      </c>
      <c r="F165" s="39" t="str">
        <f>IF(Agent01_Savings!A170="","",Agent01_Savings!E170)</f>
        <v/>
      </c>
      <c r="G165" s="39" t="str">
        <f>IF(Agent01_Savings!A170="","",Agent01_Savings!F170)</f>
        <v/>
      </c>
      <c r="H165" s="37" t="str">
        <f>IF(Agent01_Savings!A170="","",Agent01_Savings!I170)</f>
        <v/>
      </c>
      <c r="I165" s="37" t="str">
        <f>IF(Agent01_Savings!A170="","",Agent01_Savings!J170)</f>
        <v/>
      </c>
      <c r="J165" s="37" t="str">
        <f>IF(Agent01_Savings!A170="","",Agent01_Savings!K170)</f>
        <v/>
      </c>
      <c r="K165" s="37" t="str">
        <f>IFERROR(IF(Agent01_Savings!A170="","",YEAR(Agent01_Savings!D170)),"")</f>
        <v/>
      </c>
    </row>
    <row r="166" spans="1:11" ht="18" customHeight="1" x14ac:dyDescent="0.25">
      <c r="A166" s="37" t="str">
        <f>IF(Agent01_Savings!A171="","",Agent01_Savings!A171)</f>
        <v/>
      </c>
      <c r="B166" s="37" t="str">
        <f ca="1">IF(Agent01_Savings!A171="","","SV"&amp;TEXT(166-3,"0000")&amp;"-"&amp;TEXT(TODAY(),"YYYYMMDD"))</f>
        <v/>
      </c>
      <c r="C166" s="37" t="str">
        <f>IF(Agent01_Savings!A171="","",Agent01_Savings!B171)</f>
        <v/>
      </c>
      <c r="D166" s="37" t="str">
        <f>IF(Agent01_Savings!A171="","",Agent01_Savings!G171)</f>
        <v/>
      </c>
      <c r="E166" s="38" t="str">
        <f>IF(Agent01_Savings!A171="","",Agent01_Savings!D171)</f>
        <v/>
      </c>
      <c r="F166" s="39" t="str">
        <f>IF(Agent01_Savings!A171="","",Agent01_Savings!E171)</f>
        <v/>
      </c>
      <c r="G166" s="39" t="str">
        <f>IF(Agent01_Savings!A171="","",Agent01_Savings!F171)</f>
        <v/>
      </c>
      <c r="H166" s="37" t="str">
        <f>IF(Agent01_Savings!A171="","",Agent01_Savings!I171)</f>
        <v/>
      </c>
      <c r="I166" s="37" t="str">
        <f>IF(Agent01_Savings!A171="","",Agent01_Savings!J171)</f>
        <v/>
      </c>
      <c r="J166" s="37" t="str">
        <f>IF(Agent01_Savings!A171="","",Agent01_Savings!K171)</f>
        <v/>
      </c>
      <c r="K166" s="37" t="str">
        <f>IFERROR(IF(Agent01_Savings!A171="","",YEAR(Agent01_Savings!D171)),"")</f>
        <v/>
      </c>
    </row>
    <row r="167" spans="1:11" ht="18" customHeight="1" x14ac:dyDescent="0.25">
      <c r="A167" s="37" t="str">
        <f>IF(Agent01_Savings!A172="","",Agent01_Savings!A172)</f>
        <v/>
      </c>
      <c r="B167" s="37" t="str">
        <f ca="1">IF(Agent01_Savings!A172="","","SV"&amp;TEXT(167-3,"0000")&amp;"-"&amp;TEXT(TODAY(),"YYYYMMDD"))</f>
        <v/>
      </c>
      <c r="C167" s="37" t="str">
        <f>IF(Agent01_Savings!A172="","",Agent01_Savings!B172)</f>
        <v/>
      </c>
      <c r="D167" s="37" t="str">
        <f>IF(Agent01_Savings!A172="","",Agent01_Savings!G172)</f>
        <v/>
      </c>
      <c r="E167" s="38" t="str">
        <f>IF(Agent01_Savings!A172="","",Agent01_Savings!D172)</f>
        <v/>
      </c>
      <c r="F167" s="39" t="str">
        <f>IF(Agent01_Savings!A172="","",Agent01_Savings!E172)</f>
        <v/>
      </c>
      <c r="G167" s="39" t="str">
        <f>IF(Agent01_Savings!A172="","",Agent01_Savings!F172)</f>
        <v/>
      </c>
      <c r="H167" s="37" t="str">
        <f>IF(Agent01_Savings!A172="","",Agent01_Savings!I172)</f>
        <v/>
      </c>
      <c r="I167" s="37" t="str">
        <f>IF(Agent01_Savings!A172="","",Agent01_Savings!J172)</f>
        <v/>
      </c>
      <c r="J167" s="37" t="str">
        <f>IF(Agent01_Savings!A172="","",Agent01_Savings!K172)</f>
        <v/>
      </c>
      <c r="K167" s="37" t="str">
        <f>IFERROR(IF(Agent01_Savings!A172="","",YEAR(Agent01_Savings!D172)),"")</f>
        <v/>
      </c>
    </row>
    <row r="168" spans="1:11" ht="18" customHeight="1" x14ac:dyDescent="0.25">
      <c r="A168" s="37" t="str">
        <f>IF(Agent01_Savings!A173="","",Agent01_Savings!A173)</f>
        <v/>
      </c>
      <c r="B168" s="37" t="str">
        <f ca="1">IF(Agent01_Savings!A173="","","SV"&amp;TEXT(168-3,"0000")&amp;"-"&amp;TEXT(TODAY(),"YYYYMMDD"))</f>
        <v/>
      </c>
      <c r="C168" s="37" t="str">
        <f>IF(Agent01_Savings!A173="","",Agent01_Savings!B173)</f>
        <v/>
      </c>
      <c r="D168" s="37" t="str">
        <f>IF(Agent01_Savings!A173="","",Agent01_Savings!G173)</f>
        <v/>
      </c>
      <c r="E168" s="38" t="str">
        <f>IF(Agent01_Savings!A173="","",Agent01_Savings!D173)</f>
        <v/>
      </c>
      <c r="F168" s="39" t="str">
        <f>IF(Agent01_Savings!A173="","",Agent01_Savings!E173)</f>
        <v/>
      </c>
      <c r="G168" s="39" t="str">
        <f>IF(Agent01_Savings!A173="","",Agent01_Savings!F173)</f>
        <v/>
      </c>
      <c r="H168" s="37" t="str">
        <f>IF(Agent01_Savings!A173="","",Agent01_Savings!I173)</f>
        <v/>
      </c>
      <c r="I168" s="37" t="str">
        <f>IF(Agent01_Savings!A173="","",Agent01_Savings!J173)</f>
        <v/>
      </c>
      <c r="J168" s="37" t="str">
        <f>IF(Agent01_Savings!A173="","",Agent01_Savings!K173)</f>
        <v/>
      </c>
      <c r="K168" s="37" t="str">
        <f>IFERROR(IF(Agent01_Savings!A173="","",YEAR(Agent01_Savings!D173)),"")</f>
        <v/>
      </c>
    </row>
    <row r="169" spans="1:11" ht="18" customHeight="1" x14ac:dyDescent="0.25">
      <c r="A169" s="37" t="str">
        <f>IF(Agent01_Savings!A174="","",Agent01_Savings!A174)</f>
        <v/>
      </c>
      <c r="B169" s="37" t="str">
        <f ca="1">IF(Agent01_Savings!A174="","","SV"&amp;TEXT(169-3,"0000")&amp;"-"&amp;TEXT(TODAY(),"YYYYMMDD"))</f>
        <v/>
      </c>
      <c r="C169" s="37" t="str">
        <f>IF(Agent01_Savings!A174="","",Agent01_Savings!B174)</f>
        <v/>
      </c>
      <c r="D169" s="37" t="str">
        <f>IF(Agent01_Savings!A174="","",Agent01_Savings!G174)</f>
        <v/>
      </c>
      <c r="E169" s="38" t="str">
        <f>IF(Agent01_Savings!A174="","",Agent01_Savings!D174)</f>
        <v/>
      </c>
      <c r="F169" s="39" t="str">
        <f>IF(Agent01_Savings!A174="","",Agent01_Savings!E174)</f>
        <v/>
      </c>
      <c r="G169" s="39" t="str">
        <f>IF(Agent01_Savings!A174="","",Agent01_Savings!F174)</f>
        <v/>
      </c>
      <c r="H169" s="37" t="str">
        <f>IF(Agent01_Savings!A174="","",Agent01_Savings!I174)</f>
        <v/>
      </c>
      <c r="I169" s="37" t="str">
        <f>IF(Agent01_Savings!A174="","",Agent01_Savings!J174)</f>
        <v/>
      </c>
      <c r="J169" s="37" t="str">
        <f>IF(Agent01_Savings!A174="","",Agent01_Savings!K174)</f>
        <v/>
      </c>
      <c r="K169" s="37" t="str">
        <f>IFERROR(IF(Agent01_Savings!A174="","",YEAR(Agent01_Savings!D174)),"")</f>
        <v/>
      </c>
    </row>
    <row r="170" spans="1:11" ht="18" customHeight="1" x14ac:dyDescent="0.25">
      <c r="A170" s="37" t="str">
        <f>IF(Agent01_Savings!A175="","",Agent01_Savings!A175)</f>
        <v/>
      </c>
      <c r="B170" s="37" t="str">
        <f ca="1">IF(Agent01_Savings!A175="","","SV"&amp;TEXT(170-3,"0000")&amp;"-"&amp;TEXT(TODAY(),"YYYYMMDD"))</f>
        <v/>
      </c>
      <c r="C170" s="37" t="str">
        <f>IF(Agent01_Savings!A175="","",Agent01_Savings!B175)</f>
        <v/>
      </c>
      <c r="D170" s="37" t="str">
        <f>IF(Agent01_Savings!A175="","",Agent01_Savings!G175)</f>
        <v/>
      </c>
      <c r="E170" s="38" t="str">
        <f>IF(Agent01_Savings!A175="","",Agent01_Savings!D175)</f>
        <v/>
      </c>
      <c r="F170" s="39" t="str">
        <f>IF(Agent01_Savings!A175="","",Agent01_Savings!E175)</f>
        <v/>
      </c>
      <c r="G170" s="39" t="str">
        <f>IF(Agent01_Savings!A175="","",Agent01_Savings!F175)</f>
        <v/>
      </c>
      <c r="H170" s="37" t="str">
        <f>IF(Agent01_Savings!A175="","",Agent01_Savings!I175)</f>
        <v/>
      </c>
      <c r="I170" s="37" t="str">
        <f>IF(Agent01_Savings!A175="","",Agent01_Savings!J175)</f>
        <v/>
      </c>
      <c r="J170" s="37" t="str">
        <f>IF(Agent01_Savings!A175="","",Agent01_Savings!K175)</f>
        <v/>
      </c>
      <c r="K170" s="37" t="str">
        <f>IFERROR(IF(Agent01_Savings!A175="","",YEAR(Agent01_Savings!D175)),"")</f>
        <v/>
      </c>
    </row>
    <row r="171" spans="1:11" ht="18" customHeight="1" x14ac:dyDescent="0.25">
      <c r="A171" s="37" t="str">
        <f>IF(Agent01_Savings!A176="","",Agent01_Savings!A176)</f>
        <v/>
      </c>
      <c r="B171" s="37" t="str">
        <f ca="1">IF(Agent01_Savings!A176="","","SV"&amp;TEXT(171-3,"0000")&amp;"-"&amp;TEXT(TODAY(),"YYYYMMDD"))</f>
        <v/>
      </c>
      <c r="C171" s="37" t="str">
        <f>IF(Agent01_Savings!A176="","",Agent01_Savings!B176)</f>
        <v/>
      </c>
      <c r="D171" s="37" t="str">
        <f>IF(Agent01_Savings!A176="","",Agent01_Savings!G176)</f>
        <v/>
      </c>
      <c r="E171" s="38" t="str">
        <f>IF(Agent01_Savings!A176="","",Agent01_Savings!D176)</f>
        <v/>
      </c>
      <c r="F171" s="39" t="str">
        <f>IF(Agent01_Savings!A176="","",Agent01_Savings!E176)</f>
        <v/>
      </c>
      <c r="G171" s="39" t="str">
        <f>IF(Agent01_Savings!A176="","",Agent01_Savings!F176)</f>
        <v/>
      </c>
      <c r="H171" s="37" t="str">
        <f>IF(Agent01_Savings!A176="","",Agent01_Savings!I176)</f>
        <v/>
      </c>
      <c r="I171" s="37" t="str">
        <f>IF(Agent01_Savings!A176="","",Agent01_Savings!J176)</f>
        <v/>
      </c>
      <c r="J171" s="37" t="str">
        <f>IF(Agent01_Savings!A176="","",Agent01_Savings!K176)</f>
        <v/>
      </c>
      <c r="K171" s="37" t="str">
        <f>IFERROR(IF(Agent01_Savings!A176="","",YEAR(Agent01_Savings!D176)),"")</f>
        <v/>
      </c>
    </row>
    <row r="172" spans="1:11" ht="18" customHeight="1" x14ac:dyDescent="0.25">
      <c r="A172" s="37" t="str">
        <f>IF(Agent01_Savings!A177="","",Agent01_Savings!A177)</f>
        <v/>
      </c>
      <c r="B172" s="37" t="str">
        <f ca="1">IF(Agent01_Savings!A177="","","SV"&amp;TEXT(172-3,"0000")&amp;"-"&amp;TEXT(TODAY(),"YYYYMMDD"))</f>
        <v/>
      </c>
      <c r="C172" s="37" t="str">
        <f>IF(Agent01_Savings!A177="","",Agent01_Savings!B177)</f>
        <v/>
      </c>
      <c r="D172" s="37" t="str">
        <f>IF(Agent01_Savings!A177="","",Agent01_Savings!G177)</f>
        <v/>
      </c>
      <c r="E172" s="38" t="str">
        <f>IF(Agent01_Savings!A177="","",Agent01_Savings!D177)</f>
        <v/>
      </c>
      <c r="F172" s="39" t="str">
        <f>IF(Agent01_Savings!A177="","",Agent01_Savings!E177)</f>
        <v/>
      </c>
      <c r="G172" s="39" t="str">
        <f>IF(Agent01_Savings!A177="","",Agent01_Savings!F177)</f>
        <v/>
      </c>
      <c r="H172" s="37" t="str">
        <f>IF(Agent01_Savings!A177="","",Agent01_Savings!I177)</f>
        <v/>
      </c>
      <c r="I172" s="37" t="str">
        <f>IF(Agent01_Savings!A177="","",Agent01_Savings!J177)</f>
        <v/>
      </c>
      <c r="J172" s="37" t="str">
        <f>IF(Agent01_Savings!A177="","",Agent01_Savings!K177)</f>
        <v/>
      </c>
      <c r="K172" s="37" t="str">
        <f>IFERROR(IF(Agent01_Savings!A177="","",YEAR(Agent01_Savings!D177)),"")</f>
        <v/>
      </c>
    </row>
    <row r="173" spans="1:11" ht="18" customHeight="1" x14ac:dyDescent="0.25">
      <c r="A173" s="37" t="str">
        <f>IF(Agent01_Savings!A178="","",Agent01_Savings!A178)</f>
        <v/>
      </c>
      <c r="B173" s="37" t="str">
        <f ca="1">IF(Agent01_Savings!A178="","","SV"&amp;TEXT(173-3,"0000")&amp;"-"&amp;TEXT(TODAY(),"YYYYMMDD"))</f>
        <v/>
      </c>
      <c r="C173" s="37" t="str">
        <f>IF(Agent01_Savings!A178="","",Agent01_Savings!B178)</f>
        <v/>
      </c>
      <c r="D173" s="37" t="str">
        <f>IF(Agent01_Savings!A178="","",Agent01_Savings!G178)</f>
        <v/>
      </c>
      <c r="E173" s="38" t="str">
        <f>IF(Agent01_Savings!A178="","",Agent01_Savings!D178)</f>
        <v/>
      </c>
      <c r="F173" s="39" t="str">
        <f>IF(Agent01_Savings!A178="","",Agent01_Savings!E178)</f>
        <v/>
      </c>
      <c r="G173" s="39" t="str">
        <f>IF(Agent01_Savings!A178="","",Agent01_Savings!F178)</f>
        <v/>
      </c>
      <c r="H173" s="37" t="str">
        <f>IF(Agent01_Savings!A178="","",Agent01_Savings!I178)</f>
        <v/>
      </c>
      <c r="I173" s="37" t="str">
        <f>IF(Agent01_Savings!A178="","",Agent01_Savings!J178)</f>
        <v/>
      </c>
      <c r="J173" s="37" t="str">
        <f>IF(Agent01_Savings!A178="","",Agent01_Savings!K178)</f>
        <v/>
      </c>
      <c r="K173" s="37" t="str">
        <f>IFERROR(IF(Agent01_Savings!A178="","",YEAR(Agent01_Savings!D178)),"")</f>
        <v/>
      </c>
    </row>
    <row r="174" spans="1:11" ht="18" customHeight="1" x14ac:dyDescent="0.25">
      <c r="A174" s="37" t="str">
        <f>IF(Agent01_Savings!A179="","",Agent01_Savings!A179)</f>
        <v/>
      </c>
      <c r="B174" s="37" t="str">
        <f ca="1">IF(Agent01_Savings!A179="","","SV"&amp;TEXT(174-3,"0000")&amp;"-"&amp;TEXT(TODAY(),"YYYYMMDD"))</f>
        <v/>
      </c>
      <c r="C174" s="37" t="str">
        <f>IF(Agent01_Savings!A179="","",Agent01_Savings!B179)</f>
        <v/>
      </c>
      <c r="D174" s="37" t="str">
        <f>IF(Agent01_Savings!A179="","",Agent01_Savings!G179)</f>
        <v/>
      </c>
      <c r="E174" s="38" t="str">
        <f>IF(Agent01_Savings!A179="","",Agent01_Savings!D179)</f>
        <v/>
      </c>
      <c r="F174" s="39" t="str">
        <f>IF(Agent01_Savings!A179="","",Agent01_Savings!E179)</f>
        <v/>
      </c>
      <c r="G174" s="39" t="str">
        <f>IF(Agent01_Savings!A179="","",Agent01_Savings!F179)</f>
        <v/>
      </c>
      <c r="H174" s="37" t="str">
        <f>IF(Agent01_Savings!A179="","",Agent01_Savings!I179)</f>
        <v/>
      </c>
      <c r="I174" s="37" t="str">
        <f>IF(Agent01_Savings!A179="","",Agent01_Savings!J179)</f>
        <v/>
      </c>
      <c r="J174" s="37" t="str">
        <f>IF(Agent01_Savings!A179="","",Agent01_Savings!K179)</f>
        <v/>
      </c>
      <c r="K174" s="37" t="str">
        <f>IFERROR(IF(Agent01_Savings!A179="","",YEAR(Agent01_Savings!D179)),"")</f>
        <v/>
      </c>
    </row>
    <row r="175" spans="1:11" ht="18" customHeight="1" x14ac:dyDescent="0.25">
      <c r="A175" s="37" t="str">
        <f>IF(Agent01_Savings!A180="","",Agent01_Savings!A180)</f>
        <v/>
      </c>
      <c r="B175" s="37" t="str">
        <f ca="1">IF(Agent01_Savings!A180="","","SV"&amp;TEXT(175-3,"0000")&amp;"-"&amp;TEXT(TODAY(),"YYYYMMDD"))</f>
        <v/>
      </c>
      <c r="C175" s="37" t="str">
        <f>IF(Agent01_Savings!A180="","",Agent01_Savings!B180)</f>
        <v/>
      </c>
      <c r="D175" s="37" t="str">
        <f>IF(Agent01_Savings!A180="","",Agent01_Savings!G180)</f>
        <v/>
      </c>
      <c r="E175" s="38" t="str">
        <f>IF(Agent01_Savings!A180="","",Agent01_Savings!D180)</f>
        <v/>
      </c>
      <c r="F175" s="39" t="str">
        <f>IF(Agent01_Savings!A180="","",Agent01_Savings!E180)</f>
        <v/>
      </c>
      <c r="G175" s="39" t="str">
        <f>IF(Agent01_Savings!A180="","",Agent01_Savings!F180)</f>
        <v/>
      </c>
      <c r="H175" s="37" t="str">
        <f>IF(Agent01_Savings!A180="","",Agent01_Savings!I180)</f>
        <v/>
      </c>
      <c r="I175" s="37" t="str">
        <f>IF(Agent01_Savings!A180="","",Agent01_Savings!J180)</f>
        <v/>
      </c>
      <c r="J175" s="37" t="str">
        <f>IF(Agent01_Savings!A180="","",Agent01_Savings!K180)</f>
        <v/>
      </c>
      <c r="K175" s="37" t="str">
        <f>IFERROR(IF(Agent01_Savings!A180="","",YEAR(Agent01_Savings!D180)),"")</f>
        <v/>
      </c>
    </row>
    <row r="176" spans="1:11" ht="18" customHeight="1" x14ac:dyDescent="0.25">
      <c r="A176" s="37" t="str">
        <f>IF(Agent01_Savings!A181="","",Agent01_Savings!A181)</f>
        <v/>
      </c>
      <c r="B176" s="37" t="str">
        <f ca="1">IF(Agent01_Savings!A181="","","SV"&amp;TEXT(176-3,"0000")&amp;"-"&amp;TEXT(TODAY(),"YYYYMMDD"))</f>
        <v/>
      </c>
      <c r="C176" s="37" t="str">
        <f>IF(Agent01_Savings!A181="","",Agent01_Savings!B181)</f>
        <v/>
      </c>
      <c r="D176" s="37" t="str">
        <f>IF(Agent01_Savings!A181="","",Agent01_Savings!G181)</f>
        <v/>
      </c>
      <c r="E176" s="38" t="str">
        <f>IF(Agent01_Savings!A181="","",Agent01_Savings!D181)</f>
        <v/>
      </c>
      <c r="F176" s="39" t="str">
        <f>IF(Agent01_Savings!A181="","",Agent01_Savings!E181)</f>
        <v/>
      </c>
      <c r="G176" s="39" t="str">
        <f>IF(Agent01_Savings!A181="","",Agent01_Savings!F181)</f>
        <v/>
      </c>
      <c r="H176" s="37" t="str">
        <f>IF(Agent01_Savings!A181="","",Agent01_Savings!I181)</f>
        <v/>
      </c>
      <c r="I176" s="37" t="str">
        <f>IF(Agent01_Savings!A181="","",Agent01_Savings!J181)</f>
        <v/>
      </c>
      <c r="J176" s="37" t="str">
        <f>IF(Agent01_Savings!A181="","",Agent01_Savings!K181)</f>
        <v/>
      </c>
      <c r="K176" s="37" t="str">
        <f>IFERROR(IF(Agent01_Savings!A181="","",YEAR(Agent01_Savings!D181)),"")</f>
        <v/>
      </c>
    </row>
    <row r="177" spans="1:11" ht="18" customHeight="1" x14ac:dyDescent="0.25">
      <c r="A177" s="37" t="str">
        <f>IF(Agent01_Savings!A182="","",Agent01_Savings!A182)</f>
        <v/>
      </c>
      <c r="B177" s="37" t="str">
        <f ca="1">IF(Agent01_Savings!A182="","","SV"&amp;TEXT(177-3,"0000")&amp;"-"&amp;TEXT(TODAY(),"YYYYMMDD"))</f>
        <v/>
      </c>
      <c r="C177" s="37" t="str">
        <f>IF(Agent01_Savings!A182="","",Agent01_Savings!B182)</f>
        <v/>
      </c>
      <c r="D177" s="37" t="str">
        <f>IF(Agent01_Savings!A182="","",Agent01_Savings!G182)</f>
        <v/>
      </c>
      <c r="E177" s="38" t="str">
        <f>IF(Agent01_Savings!A182="","",Agent01_Savings!D182)</f>
        <v/>
      </c>
      <c r="F177" s="39" t="str">
        <f>IF(Agent01_Savings!A182="","",Agent01_Savings!E182)</f>
        <v/>
      </c>
      <c r="G177" s="39" t="str">
        <f>IF(Agent01_Savings!A182="","",Agent01_Savings!F182)</f>
        <v/>
      </c>
      <c r="H177" s="37" t="str">
        <f>IF(Agent01_Savings!A182="","",Agent01_Savings!I182)</f>
        <v/>
      </c>
      <c r="I177" s="37" t="str">
        <f>IF(Agent01_Savings!A182="","",Agent01_Savings!J182)</f>
        <v/>
      </c>
      <c r="J177" s="37" t="str">
        <f>IF(Agent01_Savings!A182="","",Agent01_Savings!K182)</f>
        <v/>
      </c>
      <c r="K177" s="37" t="str">
        <f>IFERROR(IF(Agent01_Savings!A182="","",YEAR(Agent01_Savings!D182)),"")</f>
        <v/>
      </c>
    </row>
    <row r="178" spans="1:11" ht="18" customHeight="1" x14ac:dyDescent="0.25">
      <c r="A178" s="37" t="str">
        <f>IF(Agent01_Savings!A183="","",Agent01_Savings!A183)</f>
        <v/>
      </c>
      <c r="B178" s="37" t="str">
        <f ca="1">IF(Agent01_Savings!A183="","","SV"&amp;TEXT(178-3,"0000")&amp;"-"&amp;TEXT(TODAY(),"YYYYMMDD"))</f>
        <v/>
      </c>
      <c r="C178" s="37" t="str">
        <f>IF(Agent01_Savings!A183="","",Agent01_Savings!B183)</f>
        <v/>
      </c>
      <c r="D178" s="37" t="str">
        <f>IF(Agent01_Savings!A183="","",Agent01_Savings!G183)</f>
        <v/>
      </c>
      <c r="E178" s="38" t="str">
        <f>IF(Agent01_Savings!A183="","",Agent01_Savings!D183)</f>
        <v/>
      </c>
      <c r="F178" s="39" t="str">
        <f>IF(Agent01_Savings!A183="","",Agent01_Savings!E183)</f>
        <v/>
      </c>
      <c r="G178" s="39" t="str">
        <f>IF(Agent01_Savings!A183="","",Agent01_Savings!F183)</f>
        <v/>
      </c>
      <c r="H178" s="37" t="str">
        <f>IF(Agent01_Savings!A183="","",Agent01_Savings!I183)</f>
        <v/>
      </c>
      <c r="I178" s="37" t="str">
        <f>IF(Agent01_Savings!A183="","",Agent01_Savings!J183)</f>
        <v/>
      </c>
      <c r="J178" s="37" t="str">
        <f>IF(Agent01_Savings!A183="","",Agent01_Savings!K183)</f>
        <v/>
      </c>
      <c r="K178" s="37" t="str">
        <f>IFERROR(IF(Agent01_Savings!A183="","",YEAR(Agent01_Savings!D183)),"")</f>
        <v/>
      </c>
    </row>
    <row r="179" spans="1:11" ht="18" customHeight="1" x14ac:dyDescent="0.25">
      <c r="A179" s="37" t="str">
        <f>IF(Agent01_Savings!A184="","",Agent01_Savings!A184)</f>
        <v/>
      </c>
      <c r="B179" s="37" t="str">
        <f ca="1">IF(Agent01_Savings!A184="","","SV"&amp;TEXT(179-3,"0000")&amp;"-"&amp;TEXT(TODAY(),"YYYYMMDD"))</f>
        <v/>
      </c>
      <c r="C179" s="37" t="str">
        <f>IF(Agent01_Savings!A184="","",Agent01_Savings!B184)</f>
        <v/>
      </c>
      <c r="D179" s="37" t="str">
        <f>IF(Agent01_Savings!A184="","",Agent01_Savings!G184)</f>
        <v/>
      </c>
      <c r="E179" s="38" t="str">
        <f>IF(Agent01_Savings!A184="","",Agent01_Savings!D184)</f>
        <v/>
      </c>
      <c r="F179" s="39" t="str">
        <f>IF(Agent01_Savings!A184="","",Agent01_Savings!E184)</f>
        <v/>
      </c>
      <c r="G179" s="39" t="str">
        <f>IF(Agent01_Savings!A184="","",Agent01_Savings!F184)</f>
        <v/>
      </c>
      <c r="H179" s="37" t="str">
        <f>IF(Agent01_Savings!A184="","",Agent01_Savings!I184)</f>
        <v/>
      </c>
      <c r="I179" s="37" t="str">
        <f>IF(Agent01_Savings!A184="","",Agent01_Savings!J184)</f>
        <v/>
      </c>
      <c r="J179" s="37" t="str">
        <f>IF(Agent01_Savings!A184="","",Agent01_Savings!K184)</f>
        <v/>
      </c>
      <c r="K179" s="37" t="str">
        <f>IFERROR(IF(Agent01_Savings!A184="","",YEAR(Agent01_Savings!D184)),"")</f>
        <v/>
      </c>
    </row>
    <row r="180" spans="1:11" ht="18" customHeight="1" x14ac:dyDescent="0.25">
      <c r="A180" s="37" t="str">
        <f>IF(Agent01_Savings!A185="","",Agent01_Savings!A185)</f>
        <v/>
      </c>
      <c r="B180" s="37" t="str">
        <f ca="1">IF(Agent01_Savings!A185="","","SV"&amp;TEXT(180-3,"0000")&amp;"-"&amp;TEXT(TODAY(),"YYYYMMDD"))</f>
        <v/>
      </c>
      <c r="C180" s="37" t="str">
        <f>IF(Agent01_Savings!A185="","",Agent01_Savings!B185)</f>
        <v/>
      </c>
      <c r="D180" s="37" t="str">
        <f>IF(Agent01_Savings!A185="","",Agent01_Savings!G185)</f>
        <v/>
      </c>
      <c r="E180" s="38" t="str">
        <f>IF(Agent01_Savings!A185="","",Agent01_Savings!D185)</f>
        <v/>
      </c>
      <c r="F180" s="39" t="str">
        <f>IF(Agent01_Savings!A185="","",Agent01_Savings!E185)</f>
        <v/>
      </c>
      <c r="G180" s="39" t="str">
        <f>IF(Agent01_Savings!A185="","",Agent01_Savings!F185)</f>
        <v/>
      </c>
      <c r="H180" s="37" t="str">
        <f>IF(Agent01_Savings!A185="","",Agent01_Savings!I185)</f>
        <v/>
      </c>
      <c r="I180" s="37" t="str">
        <f>IF(Agent01_Savings!A185="","",Agent01_Savings!J185)</f>
        <v/>
      </c>
      <c r="J180" s="37" t="str">
        <f>IF(Agent01_Savings!A185="","",Agent01_Savings!K185)</f>
        <v/>
      </c>
      <c r="K180" s="37" t="str">
        <f>IFERROR(IF(Agent01_Savings!A185="","",YEAR(Agent01_Savings!D185)),"")</f>
        <v/>
      </c>
    </row>
    <row r="181" spans="1:11" ht="18" customHeight="1" x14ac:dyDescent="0.25">
      <c r="A181" s="37" t="str">
        <f>IF(Agent01_Savings!A186="","",Agent01_Savings!A186)</f>
        <v/>
      </c>
      <c r="B181" s="37" t="str">
        <f ca="1">IF(Agent01_Savings!A186="","","SV"&amp;TEXT(181-3,"0000")&amp;"-"&amp;TEXT(TODAY(),"YYYYMMDD"))</f>
        <v/>
      </c>
      <c r="C181" s="37" t="str">
        <f>IF(Agent01_Savings!A186="","",Agent01_Savings!B186)</f>
        <v/>
      </c>
      <c r="D181" s="37" t="str">
        <f>IF(Agent01_Savings!A186="","",Agent01_Savings!G186)</f>
        <v/>
      </c>
      <c r="E181" s="38" t="str">
        <f>IF(Agent01_Savings!A186="","",Agent01_Savings!D186)</f>
        <v/>
      </c>
      <c r="F181" s="39" t="str">
        <f>IF(Agent01_Savings!A186="","",Agent01_Savings!E186)</f>
        <v/>
      </c>
      <c r="G181" s="39" t="str">
        <f>IF(Agent01_Savings!A186="","",Agent01_Savings!F186)</f>
        <v/>
      </c>
      <c r="H181" s="37" t="str">
        <f>IF(Agent01_Savings!A186="","",Agent01_Savings!I186)</f>
        <v/>
      </c>
      <c r="I181" s="37" t="str">
        <f>IF(Agent01_Savings!A186="","",Agent01_Savings!J186)</f>
        <v/>
      </c>
      <c r="J181" s="37" t="str">
        <f>IF(Agent01_Savings!A186="","",Agent01_Savings!K186)</f>
        <v/>
      </c>
      <c r="K181" s="37" t="str">
        <f>IFERROR(IF(Agent01_Savings!A186="","",YEAR(Agent01_Savings!D186)),"")</f>
        <v/>
      </c>
    </row>
    <row r="182" spans="1:11" ht="18" customHeight="1" x14ac:dyDescent="0.25">
      <c r="A182" s="37" t="str">
        <f>IF(Agent01_Savings!A187="","",Agent01_Savings!A187)</f>
        <v/>
      </c>
      <c r="B182" s="37" t="str">
        <f ca="1">IF(Agent01_Savings!A187="","","SV"&amp;TEXT(182-3,"0000")&amp;"-"&amp;TEXT(TODAY(),"YYYYMMDD"))</f>
        <v/>
      </c>
      <c r="C182" s="37" t="str">
        <f>IF(Agent01_Savings!A187="","",Agent01_Savings!B187)</f>
        <v/>
      </c>
      <c r="D182" s="37" t="str">
        <f>IF(Agent01_Savings!A187="","",Agent01_Savings!G187)</f>
        <v/>
      </c>
      <c r="E182" s="38" t="str">
        <f>IF(Agent01_Savings!A187="","",Agent01_Savings!D187)</f>
        <v/>
      </c>
      <c r="F182" s="39" t="str">
        <f>IF(Agent01_Savings!A187="","",Agent01_Savings!E187)</f>
        <v/>
      </c>
      <c r="G182" s="39" t="str">
        <f>IF(Agent01_Savings!A187="","",Agent01_Savings!F187)</f>
        <v/>
      </c>
      <c r="H182" s="37" t="str">
        <f>IF(Agent01_Savings!A187="","",Agent01_Savings!I187)</f>
        <v/>
      </c>
      <c r="I182" s="37" t="str">
        <f>IF(Agent01_Savings!A187="","",Agent01_Savings!J187)</f>
        <v/>
      </c>
      <c r="J182" s="37" t="str">
        <f>IF(Agent01_Savings!A187="","",Agent01_Savings!K187)</f>
        <v/>
      </c>
      <c r="K182" s="37" t="str">
        <f>IFERROR(IF(Agent01_Savings!A187="","",YEAR(Agent01_Savings!D187)),"")</f>
        <v/>
      </c>
    </row>
    <row r="183" spans="1:11" ht="18" customHeight="1" x14ac:dyDescent="0.25">
      <c r="A183" s="37" t="str">
        <f>IF(Agent01_Savings!A188="","",Agent01_Savings!A188)</f>
        <v/>
      </c>
      <c r="B183" s="37" t="str">
        <f ca="1">IF(Agent01_Savings!A188="","","SV"&amp;TEXT(183-3,"0000")&amp;"-"&amp;TEXT(TODAY(),"YYYYMMDD"))</f>
        <v/>
      </c>
      <c r="C183" s="37" t="str">
        <f>IF(Agent01_Savings!A188="","",Agent01_Savings!B188)</f>
        <v/>
      </c>
      <c r="D183" s="37" t="str">
        <f>IF(Agent01_Savings!A188="","",Agent01_Savings!G188)</f>
        <v/>
      </c>
      <c r="E183" s="38" t="str">
        <f>IF(Agent01_Savings!A188="","",Agent01_Savings!D188)</f>
        <v/>
      </c>
      <c r="F183" s="39" t="str">
        <f>IF(Agent01_Savings!A188="","",Agent01_Savings!E188)</f>
        <v/>
      </c>
      <c r="G183" s="39" t="str">
        <f>IF(Agent01_Savings!A188="","",Agent01_Savings!F188)</f>
        <v/>
      </c>
      <c r="H183" s="37" t="str">
        <f>IF(Agent01_Savings!A188="","",Agent01_Savings!I188)</f>
        <v/>
      </c>
      <c r="I183" s="37" t="str">
        <f>IF(Agent01_Savings!A188="","",Agent01_Savings!J188)</f>
        <v/>
      </c>
      <c r="J183" s="37" t="str">
        <f>IF(Agent01_Savings!A188="","",Agent01_Savings!K188)</f>
        <v/>
      </c>
      <c r="K183" s="37" t="str">
        <f>IFERROR(IF(Agent01_Savings!A188="","",YEAR(Agent01_Savings!D188)),"")</f>
        <v/>
      </c>
    </row>
    <row r="184" spans="1:11" ht="18" customHeight="1" x14ac:dyDescent="0.25">
      <c r="A184" s="37" t="str">
        <f>IF(Agent01_Savings!A189="","",Agent01_Savings!A189)</f>
        <v/>
      </c>
      <c r="B184" s="37" t="str">
        <f ca="1">IF(Agent01_Savings!A189="","","SV"&amp;TEXT(184-3,"0000")&amp;"-"&amp;TEXT(TODAY(),"YYYYMMDD"))</f>
        <v/>
      </c>
      <c r="C184" s="37" t="str">
        <f>IF(Agent01_Savings!A189="","",Agent01_Savings!B189)</f>
        <v/>
      </c>
      <c r="D184" s="37" t="str">
        <f>IF(Agent01_Savings!A189="","",Agent01_Savings!G189)</f>
        <v/>
      </c>
      <c r="E184" s="38" t="str">
        <f>IF(Agent01_Savings!A189="","",Agent01_Savings!D189)</f>
        <v/>
      </c>
      <c r="F184" s="39" t="str">
        <f>IF(Agent01_Savings!A189="","",Agent01_Savings!E189)</f>
        <v/>
      </c>
      <c r="G184" s="39" t="str">
        <f>IF(Agent01_Savings!A189="","",Agent01_Savings!F189)</f>
        <v/>
      </c>
      <c r="H184" s="37" t="str">
        <f>IF(Agent01_Savings!A189="","",Agent01_Savings!I189)</f>
        <v/>
      </c>
      <c r="I184" s="37" t="str">
        <f>IF(Agent01_Savings!A189="","",Agent01_Savings!J189)</f>
        <v/>
      </c>
      <c r="J184" s="37" t="str">
        <f>IF(Agent01_Savings!A189="","",Agent01_Savings!K189)</f>
        <v/>
      </c>
      <c r="K184" s="37" t="str">
        <f>IFERROR(IF(Agent01_Savings!A189="","",YEAR(Agent01_Savings!D189)),"")</f>
        <v/>
      </c>
    </row>
    <row r="185" spans="1:11" ht="18" customHeight="1" x14ac:dyDescent="0.25">
      <c r="A185" s="37" t="str">
        <f>IF(Agent01_Savings!A190="","",Agent01_Savings!A190)</f>
        <v/>
      </c>
      <c r="B185" s="37" t="str">
        <f ca="1">IF(Agent01_Savings!A190="","","SV"&amp;TEXT(185-3,"0000")&amp;"-"&amp;TEXT(TODAY(),"YYYYMMDD"))</f>
        <v/>
      </c>
      <c r="C185" s="37" t="str">
        <f>IF(Agent01_Savings!A190="","",Agent01_Savings!B190)</f>
        <v/>
      </c>
      <c r="D185" s="37" t="str">
        <f>IF(Agent01_Savings!A190="","",Agent01_Savings!G190)</f>
        <v/>
      </c>
      <c r="E185" s="38" t="str">
        <f>IF(Agent01_Savings!A190="","",Agent01_Savings!D190)</f>
        <v/>
      </c>
      <c r="F185" s="39" t="str">
        <f>IF(Agent01_Savings!A190="","",Agent01_Savings!E190)</f>
        <v/>
      </c>
      <c r="G185" s="39" t="str">
        <f>IF(Agent01_Savings!A190="","",Agent01_Savings!F190)</f>
        <v/>
      </c>
      <c r="H185" s="37" t="str">
        <f>IF(Agent01_Savings!A190="","",Agent01_Savings!I190)</f>
        <v/>
      </c>
      <c r="I185" s="37" t="str">
        <f>IF(Agent01_Savings!A190="","",Agent01_Savings!J190)</f>
        <v/>
      </c>
      <c r="J185" s="37" t="str">
        <f>IF(Agent01_Savings!A190="","",Agent01_Savings!K190)</f>
        <v/>
      </c>
      <c r="K185" s="37" t="str">
        <f>IFERROR(IF(Agent01_Savings!A190="","",YEAR(Agent01_Savings!D190)),"")</f>
        <v/>
      </c>
    </row>
    <row r="186" spans="1:11" ht="18" customHeight="1" x14ac:dyDescent="0.25">
      <c r="A186" s="37" t="str">
        <f>IF(Agent01_Savings!A191="","",Agent01_Savings!A191)</f>
        <v/>
      </c>
      <c r="B186" s="37" t="str">
        <f ca="1">IF(Agent01_Savings!A191="","","SV"&amp;TEXT(186-3,"0000")&amp;"-"&amp;TEXT(TODAY(),"YYYYMMDD"))</f>
        <v/>
      </c>
      <c r="C186" s="37" t="str">
        <f>IF(Agent01_Savings!A191="","",Agent01_Savings!B191)</f>
        <v/>
      </c>
      <c r="D186" s="37" t="str">
        <f>IF(Agent01_Savings!A191="","",Agent01_Savings!G191)</f>
        <v/>
      </c>
      <c r="E186" s="38" t="str">
        <f>IF(Agent01_Savings!A191="","",Agent01_Savings!D191)</f>
        <v/>
      </c>
      <c r="F186" s="39" t="str">
        <f>IF(Agent01_Savings!A191="","",Agent01_Savings!E191)</f>
        <v/>
      </c>
      <c r="G186" s="39" t="str">
        <f>IF(Agent01_Savings!A191="","",Agent01_Savings!F191)</f>
        <v/>
      </c>
      <c r="H186" s="37" t="str">
        <f>IF(Agent01_Savings!A191="","",Agent01_Savings!I191)</f>
        <v/>
      </c>
      <c r="I186" s="37" t="str">
        <f>IF(Agent01_Savings!A191="","",Agent01_Savings!J191)</f>
        <v/>
      </c>
      <c r="J186" s="37" t="str">
        <f>IF(Agent01_Savings!A191="","",Agent01_Savings!K191)</f>
        <v/>
      </c>
      <c r="K186" s="37" t="str">
        <f>IFERROR(IF(Agent01_Savings!A191="","",YEAR(Agent01_Savings!D191)),"")</f>
        <v/>
      </c>
    </row>
    <row r="187" spans="1:11" ht="18" customHeight="1" x14ac:dyDescent="0.25">
      <c r="A187" s="37" t="str">
        <f>IF(Agent01_Savings!A192="","",Agent01_Savings!A192)</f>
        <v/>
      </c>
      <c r="B187" s="37" t="str">
        <f ca="1">IF(Agent01_Savings!A192="","","SV"&amp;TEXT(187-3,"0000")&amp;"-"&amp;TEXT(TODAY(),"YYYYMMDD"))</f>
        <v/>
      </c>
      <c r="C187" s="37" t="str">
        <f>IF(Agent01_Savings!A192="","",Agent01_Savings!B192)</f>
        <v/>
      </c>
      <c r="D187" s="37" t="str">
        <f>IF(Agent01_Savings!A192="","",Agent01_Savings!G192)</f>
        <v/>
      </c>
      <c r="E187" s="38" t="str">
        <f>IF(Agent01_Savings!A192="","",Agent01_Savings!D192)</f>
        <v/>
      </c>
      <c r="F187" s="39" t="str">
        <f>IF(Agent01_Savings!A192="","",Agent01_Savings!E192)</f>
        <v/>
      </c>
      <c r="G187" s="39" t="str">
        <f>IF(Agent01_Savings!A192="","",Agent01_Savings!F192)</f>
        <v/>
      </c>
      <c r="H187" s="37" t="str">
        <f>IF(Agent01_Savings!A192="","",Agent01_Savings!I192)</f>
        <v/>
      </c>
      <c r="I187" s="37" t="str">
        <f>IF(Agent01_Savings!A192="","",Agent01_Savings!J192)</f>
        <v/>
      </c>
      <c r="J187" s="37" t="str">
        <f>IF(Agent01_Savings!A192="","",Agent01_Savings!K192)</f>
        <v/>
      </c>
      <c r="K187" s="37" t="str">
        <f>IFERROR(IF(Agent01_Savings!A192="","",YEAR(Agent01_Savings!D192)),"")</f>
        <v/>
      </c>
    </row>
    <row r="188" spans="1:11" ht="18" customHeight="1" x14ac:dyDescent="0.25">
      <c r="A188" s="37" t="str">
        <f>IF(Agent01_Savings!A193="","",Agent01_Savings!A193)</f>
        <v/>
      </c>
      <c r="B188" s="37" t="str">
        <f ca="1">IF(Agent01_Savings!A193="","","SV"&amp;TEXT(188-3,"0000")&amp;"-"&amp;TEXT(TODAY(),"YYYYMMDD"))</f>
        <v/>
      </c>
      <c r="C188" s="37" t="str">
        <f>IF(Agent01_Savings!A193="","",Agent01_Savings!B193)</f>
        <v/>
      </c>
      <c r="D188" s="37" t="str">
        <f>IF(Agent01_Savings!A193="","",Agent01_Savings!G193)</f>
        <v/>
      </c>
      <c r="E188" s="38" t="str">
        <f>IF(Agent01_Savings!A193="","",Agent01_Savings!D193)</f>
        <v/>
      </c>
      <c r="F188" s="39" t="str">
        <f>IF(Agent01_Savings!A193="","",Agent01_Savings!E193)</f>
        <v/>
      </c>
      <c r="G188" s="39" t="str">
        <f>IF(Agent01_Savings!A193="","",Agent01_Savings!F193)</f>
        <v/>
      </c>
      <c r="H188" s="37" t="str">
        <f>IF(Agent01_Savings!A193="","",Agent01_Savings!I193)</f>
        <v/>
      </c>
      <c r="I188" s="37" t="str">
        <f>IF(Agent01_Savings!A193="","",Agent01_Savings!J193)</f>
        <v/>
      </c>
      <c r="J188" s="37" t="str">
        <f>IF(Agent01_Savings!A193="","",Agent01_Savings!K193)</f>
        <v/>
      </c>
      <c r="K188" s="37" t="str">
        <f>IFERROR(IF(Agent01_Savings!A193="","",YEAR(Agent01_Savings!D193)),"")</f>
        <v/>
      </c>
    </row>
    <row r="189" spans="1:11" ht="18" customHeight="1" x14ac:dyDescent="0.25">
      <c r="A189" s="37" t="str">
        <f>IF(Agent01_Savings!A194="","",Agent01_Savings!A194)</f>
        <v/>
      </c>
      <c r="B189" s="37" t="str">
        <f ca="1">IF(Agent01_Savings!A194="","","SV"&amp;TEXT(189-3,"0000")&amp;"-"&amp;TEXT(TODAY(),"YYYYMMDD"))</f>
        <v/>
      </c>
      <c r="C189" s="37" t="str">
        <f>IF(Agent01_Savings!A194="","",Agent01_Savings!B194)</f>
        <v/>
      </c>
      <c r="D189" s="37" t="str">
        <f>IF(Agent01_Savings!A194="","",Agent01_Savings!G194)</f>
        <v/>
      </c>
      <c r="E189" s="38" t="str">
        <f>IF(Agent01_Savings!A194="","",Agent01_Savings!D194)</f>
        <v/>
      </c>
      <c r="F189" s="39" t="str">
        <f>IF(Agent01_Savings!A194="","",Agent01_Savings!E194)</f>
        <v/>
      </c>
      <c r="G189" s="39" t="str">
        <f>IF(Agent01_Savings!A194="","",Agent01_Savings!F194)</f>
        <v/>
      </c>
      <c r="H189" s="37" t="str">
        <f>IF(Agent01_Savings!A194="","",Agent01_Savings!I194)</f>
        <v/>
      </c>
      <c r="I189" s="37" t="str">
        <f>IF(Agent01_Savings!A194="","",Agent01_Savings!J194)</f>
        <v/>
      </c>
      <c r="J189" s="37" t="str">
        <f>IF(Agent01_Savings!A194="","",Agent01_Savings!K194)</f>
        <v/>
      </c>
      <c r="K189" s="37" t="str">
        <f>IFERROR(IF(Agent01_Savings!A194="","",YEAR(Agent01_Savings!D194)),"")</f>
        <v/>
      </c>
    </row>
    <row r="190" spans="1:11" ht="18" customHeight="1" x14ac:dyDescent="0.25">
      <c r="A190" s="37" t="str">
        <f>IF(Agent01_Savings!A195="","",Agent01_Savings!A195)</f>
        <v/>
      </c>
      <c r="B190" s="37" t="str">
        <f ca="1">IF(Agent01_Savings!A195="","","SV"&amp;TEXT(190-3,"0000")&amp;"-"&amp;TEXT(TODAY(),"YYYYMMDD"))</f>
        <v/>
      </c>
      <c r="C190" s="37" t="str">
        <f>IF(Agent01_Savings!A195="","",Agent01_Savings!B195)</f>
        <v/>
      </c>
      <c r="D190" s="37" t="str">
        <f>IF(Agent01_Savings!A195="","",Agent01_Savings!G195)</f>
        <v/>
      </c>
      <c r="E190" s="38" t="str">
        <f>IF(Agent01_Savings!A195="","",Agent01_Savings!D195)</f>
        <v/>
      </c>
      <c r="F190" s="39" t="str">
        <f>IF(Agent01_Savings!A195="","",Agent01_Savings!E195)</f>
        <v/>
      </c>
      <c r="G190" s="39" t="str">
        <f>IF(Agent01_Savings!A195="","",Agent01_Savings!F195)</f>
        <v/>
      </c>
      <c r="H190" s="37" t="str">
        <f>IF(Agent01_Savings!A195="","",Agent01_Savings!I195)</f>
        <v/>
      </c>
      <c r="I190" s="37" t="str">
        <f>IF(Agent01_Savings!A195="","",Agent01_Savings!J195)</f>
        <v/>
      </c>
      <c r="J190" s="37" t="str">
        <f>IF(Agent01_Savings!A195="","",Agent01_Savings!K195)</f>
        <v/>
      </c>
      <c r="K190" s="37" t="str">
        <f>IFERROR(IF(Agent01_Savings!A195="","",YEAR(Agent01_Savings!D195)),"")</f>
        <v/>
      </c>
    </row>
    <row r="191" spans="1:11" ht="18" customHeight="1" x14ac:dyDescent="0.25">
      <c r="A191" s="37" t="str">
        <f>IF(Agent01_Savings!A196="","",Agent01_Savings!A196)</f>
        <v/>
      </c>
      <c r="B191" s="37" t="str">
        <f ca="1">IF(Agent01_Savings!A196="","","SV"&amp;TEXT(191-3,"0000")&amp;"-"&amp;TEXT(TODAY(),"YYYYMMDD"))</f>
        <v/>
      </c>
      <c r="C191" s="37" t="str">
        <f>IF(Agent01_Savings!A196="","",Agent01_Savings!B196)</f>
        <v/>
      </c>
      <c r="D191" s="37" t="str">
        <f>IF(Agent01_Savings!A196="","",Agent01_Savings!G196)</f>
        <v/>
      </c>
      <c r="E191" s="38" t="str">
        <f>IF(Agent01_Savings!A196="","",Agent01_Savings!D196)</f>
        <v/>
      </c>
      <c r="F191" s="39" t="str">
        <f>IF(Agent01_Savings!A196="","",Agent01_Savings!E196)</f>
        <v/>
      </c>
      <c r="G191" s="39" t="str">
        <f>IF(Agent01_Savings!A196="","",Agent01_Savings!F196)</f>
        <v/>
      </c>
      <c r="H191" s="37" t="str">
        <f>IF(Agent01_Savings!A196="","",Agent01_Savings!I196)</f>
        <v/>
      </c>
      <c r="I191" s="37" t="str">
        <f>IF(Agent01_Savings!A196="","",Agent01_Savings!J196)</f>
        <v/>
      </c>
      <c r="J191" s="37" t="str">
        <f>IF(Agent01_Savings!A196="","",Agent01_Savings!K196)</f>
        <v/>
      </c>
      <c r="K191" s="37" t="str">
        <f>IFERROR(IF(Agent01_Savings!A196="","",YEAR(Agent01_Savings!D196)),"")</f>
        <v/>
      </c>
    </row>
    <row r="192" spans="1:11" ht="18" customHeight="1" x14ac:dyDescent="0.25">
      <c r="A192" s="37" t="str">
        <f>IF(Agent01_Savings!A197="","",Agent01_Savings!A197)</f>
        <v/>
      </c>
      <c r="B192" s="37" t="str">
        <f ca="1">IF(Agent01_Savings!A197="","","SV"&amp;TEXT(192-3,"0000")&amp;"-"&amp;TEXT(TODAY(),"YYYYMMDD"))</f>
        <v/>
      </c>
      <c r="C192" s="37" t="str">
        <f>IF(Agent01_Savings!A197="","",Agent01_Savings!B197)</f>
        <v/>
      </c>
      <c r="D192" s="37" t="str">
        <f>IF(Agent01_Savings!A197="","",Agent01_Savings!G197)</f>
        <v/>
      </c>
      <c r="E192" s="38" t="str">
        <f>IF(Agent01_Savings!A197="","",Agent01_Savings!D197)</f>
        <v/>
      </c>
      <c r="F192" s="39" t="str">
        <f>IF(Agent01_Savings!A197="","",Agent01_Savings!E197)</f>
        <v/>
      </c>
      <c r="G192" s="39" t="str">
        <f>IF(Agent01_Savings!A197="","",Agent01_Savings!F197)</f>
        <v/>
      </c>
      <c r="H192" s="37" t="str">
        <f>IF(Agent01_Savings!A197="","",Agent01_Savings!I197)</f>
        <v/>
      </c>
      <c r="I192" s="37" t="str">
        <f>IF(Agent01_Savings!A197="","",Agent01_Savings!J197)</f>
        <v/>
      </c>
      <c r="J192" s="37" t="str">
        <f>IF(Agent01_Savings!A197="","",Agent01_Savings!K197)</f>
        <v/>
      </c>
      <c r="K192" s="37" t="str">
        <f>IFERROR(IF(Agent01_Savings!A197="","",YEAR(Agent01_Savings!D197)),"")</f>
        <v/>
      </c>
    </row>
    <row r="193" spans="1:11" ht="18" customHeight="1" x14ac:dyDescent="0.25">
      <c r="A193" s="37" t="str">
        <f>IF(Agent01_Savings!A198="","",Agent01_Savings!A198)</f>
        <v/>
      </c>
      <c r="B193" s="37" t="str">
        <f ca="1">IF(Agent01_Savings!A198="","","SV"&amp;TEXT(193-3,"0000")&amp;"-"&amp;TEXT(TODAY(),"YYYYMMDD"))</f>
        <v/>
      </c>
      <c r="C193" s="37" t="str">
        <f>IF(Agent01_Savings!A198="","",Agent01_Savings!B198)</f>
        <v/>
      </c>
      <c r="D193" s="37" t="str">
        <f>IF(Agent01_Savings!A198="","",Agent01_Savings!G198)</f>
        <v/>
      </c>
      <c r="E193" s="38" t="str">
        <f>IF(Agent01_Savings!A198="","",Agent01_Savings!D198)</f>
        <v/>
      </c>
      <c r="F193" s="39" t="str">
        <f>IF(Agent01_Savings!A198="","",Agent01_Savings!E198)</f>
        <v/>
      </c>
      <c r="G193" s="39" t="str">
        <f>IF(Agent01_Savings!A198="","",Agent01_Savings!F198)</f>
        <v/>
      </c>
      <c r="H193" s="37" t="str">
        <f>IF(Agent01_Savings!A198="","",Agent01_Savings!I198)</f>
        <v/>
      </c>
      <c r="I193" s="37" t="str">
        <f>IF(Agent01_Savings!A198="","",Agent01_Savings!J198)</f>
        <v/>
      </c>
      <c r="J193" s="37" t="str">
        <f>IF(Agent01_Savings!A198="","",Agent01_Savings!K198)</f>
        <v/>
      </c>
      <c r="K193" s="37" t="str">
        <f>IFERROR(IF(Agent01_Savings!A198="","",YEAR(Agent01_Savings!D198)),"")</f>
        <v/>
      </c>
    </row>
    <row r="194" spans="1:11" ht="18" customHeight="1" x14ac:dyDescent="0.25">
      <c r="A194" s="37" t="str">
        <f>IF(Agent01_Savings!A199="","",Agent01_Savings!A199)</f>
        <v/>
      </c>
      <c r="B194" s="37" t="str">
        <f ca="1">IF(Agent01_Savings!A199="","","SV"&amp;TEXT(194-3,"0000")&amp;"-"&amp;TEXT(TODAY(),"YYYYMMDD"))</f>
        <v/>
      </c>
      <c r="C194" s="37" t="str">
        <f>IF(Agent01_Savings!A199="","",Agent01_Savings!B199)</f>
        <v/>
      </c>
      <c r="D194" s="37" t="str">
        <f>IF(Agent01_Savings!A199="","",Agent01_Savings!G199)</f>
        <v/>
      </c>
      <c r="E194" s="38" t="str">
        <f>IF(Agent01_Savings!A199="","",Agent01_Savings!D199)</f>
        <v/>
      </c>
      <c r="F194" s="39" t="str">
        <f>IF(Agent01_Savings!A199="","",Agent01_Savings!E199)</f>
        <v/>
      </c>
      <c r="G194" s="39" t="str">
        <f>IF(Agent01_Savings!A199="","",Agent01_Savings!F199)</f>
        <v/>
      </c>
      <c r="H194" s="37" t="str">
        <f>IF(Agent01_Savings!A199="","",Agent01_Savings!I199)</f>
        <v/>
      </c>
      <c r="I194" s="37" t="str">
        <f>IF(Agent01_Savings!A199="","",Agent01_Savings!J199)</f>
        <v/>
      </c>
      <c r="J194" s="37" t="str">
        <f>IF(Agent01_Savings!A199="","",Agent01_Savings!K199)</f>
        <v/>
      </c>
      <c r="K194" s="37" t="str">
        <f>IFERROR(IF(Agent01_Savings!A199="","",YEAR(Agent01_Savings!D199)),"")</f>
        <v/>
      </c>
    </row>
    <row r="195" spans="1:11" ht="18" customHeight="1" x14ac:dyDescent="0.25">
      <c r="A195" s="37" t="str">
        <f>IF(Agent01_Savings!A200="","",Agent01_Savings!A200)</f>
        <v/>
      </c>
      <c r="B195" s="37" t="str">
        <f ca="1">IF(Agent01_Savings!A200="","","SV"&amp;TEXT(195-3,"0000")&amp;"-"&amp;TEXT(TODAY(),"YYYYMMDD"))</f>
        <v/>
      </c>
      <c r="C195" s="37" t="str">
        <f>IF(Agent01_Savings!A200="","",Agent01_Savings!B200)</f>
        <v/>
      </c>
      <c r="D195" s="37" t="str">
        <f>IF(Agent01_Savings!A200="","",Agent01_Savings!G200)</f>
        <v/>
      </c>
      <c r="E195" s="38" t="str">
        <f>IF(Agent01_Savings!A200="","",Agent01_Savings!D200)</f>
        <v/>
      </c>
      <c r="F195" s="39" t="str">
        <f>IF(Agent01_Savings!A200="","",Agent01_Savings!E200)</f>
        <v/>
      </c>
      <c r="G195" s="39" t="str">
        <f>IF(Agent01_Savings!A200="","",Agent01_Savings!F200)</f>
        <v/>
      </c>
      <c r="H195" s="37" t="str">
        <f>IF(Agent01_Savings!A200="","",Agent01_Savings!I200)</f>
        <v/>
      </c>
      <c r="I195" s="37" t="str">
        <f>IF(Agent01_Savings!A200="","",Agent01_Savings!J200)</f>
        <v/>
      </c>
      <c r="J195" s="37" t="str">
        <f>IF(Agent01_Savings!A200="","",Agent01_Savings!K200)</f>
        <v/>
      </c>
      <c r="K195" s="37" t="str">
        <f>IFERROR(IF(Agent01_Savings!A200="","",YEAR(Agent01_Savings!D200)),"")</f>
        <v/>
      </c>
    </row>
    <row r="196" spans="1:11" ht="18" customHeight="1" x14ac:dyDescent="0.25">
      <c r="A196" s="37" t="str">
        <f>IF(Agent01_Savings!A201="","",Agent01_Savings!A201)</f>
        <v/>
      </c>
      <c r="B196" s="37" t="str">
        <f ca="1">IF(Agent01_Savings!A201="","","SV"&amp;TEXT(196-3,"0000")&amp;"-"&amp;TEXT(TODAY(),"YYYYMMDD"))</f>
        <v/>
      </c>
      <c r="C196" s="37" t="str">
        <f>IF(Agent01_Savings!A201="","",Agent01_Savings!B201)</f>
        <v/>
      </c>
      <c r="D196" s="37" t="str">
        <f>IF(Agent01_Savings!A201="","",Agent01_Savings!G201)</f>
        <v/>
      </c>
      <c r="E196" s="38" t="str">
        <f>IF(Agent01_Savings!A201="","",Agent01_Savings!D201)</f>
        <v/>
      </c>
      <c r="F196" s="39" t="str">
        <f>IF(Agent01_Savings!A201="","",Agent01_Savings!E201)</f>
        <v/>
      </c>
      <c r="G196" s="39" t="str">
        <f>IF(Agent01_Savings!A201="","",Agent01_Savings!F201)</f>
        <v/>
      </c>
      <c r="H196" s="37" t="str">
        <f>IF(Agent01_Savings!A201="","",Agent01_Savings!I201)</f>
        <v/>
      </c>
      <c r="I196" s="37" t="str">
        <f>IF(Agent01_Savings!A201="","",Agent01_Savings!J201)</f>
        <v/>
      </c>
      <c r="J196" s="37" t="str">
        <f>IF(Agent01_Savings!A201="","",Agent01_Savings!K201)</f>
        <v/>
      </c>
      <c r="K196" s="37" t="str">
        <f>IFERROR(IF(Agent01_Savings!A201="","",YEAR(Agent01_Savings!D201)),"")</f>
        <v/>
      </c>
    </row>
    <row r="197" spans="1:11" ht="18" customHeight="1" x14ac:dyDescent="0.25">
      <c r="A197" s="37" t="str">
        <f>IF(Agent01_Savings!A202="","",Agent01_Savings!A202)</f>
        <v/>
      </c>
      <c r="B197" s="37" t="str">
        <f ca="1">IF(Agent01_Savings!A202="","","SV"&amp;TEXT(197-3,"0000")&amp;"-"&amp;TEXT(TODAY(),"YYYYMMDD"))</f>
        <v/>
      </c>
      <c r="C197" s="37" t="str">
        <f>IF(Agent01_Savings!A202="","",Agent01_Savings!B202)</f>
        <v/>
      </c>
      <c r="D197" s="37" t="str">
        <f>IF(Agent01_Savings!A202="","",Agent01_Savings!G202)</f>
        <v/>
      </c>
      <c r="E197" s="38" t="str">
        <f>IF(Agent01_Savings!A202="","",Agent01_Savings!D202)</f>
        <v/>
      </c>
      <c r="F197" s="39" t="str">
        <f>IF(Agent01_Savings!A202="","",Agent01_Savings!E202)</f>
        <v/>
      </c>
      <c r="G197" s="39" t="str">
        <f>IF(Agent01_Savings!A202="","",Agent01_Savings!F202)</f>
        <v/>
      </c>
      <c r="H197" s="37" t="str">
        <f>IF(Agent01_Savings!A202="","",Agent01_Savings!I202)</f>
        <v/>
      </c>
      <c r="I197" s="37" t="str">
        <f>IF(Agent01_Savings!A202="","",Agent01_Savings!J202)</f>
        <v/>
      </c>
      <c r="J197" s="37" t="str">
        <f>IF(Agent01_Savings!A202="","",Agent01_Savings!K202)</f>
        <v/>
      </c>
      <c r="K197" s="37" t="str">
        <f>IFERROR(IF(Agent01_Savings!A202="","",YEAR(Agent01_Savings!D202)),"")</f>
        <v/>
      </c>
    </row>
    <row r="198" spans="1:11" ht="18" customHeight="1" x14ac:dyDescent="0.25">
      <c r="A198" s="37" t="str">
        <f>IF(Agent01_Savings!A203="","",Agent01_Savings!A203)</f>
        <v/>
      </c>
      <c r="B198" s="37" t="str">
        <f ca="1">IF(Agent01_Savings!A203="","","SV"&amp;TEXT(198-3,"0000")&amp;"-"&amp;TEXT(TODAY(),"YYYYMMDD"))</f>
        <v/>
      </c>
      <c r="C198" s="37" t="str">
        <f>IF(Agent01_Savings!A203="","",Agent01_Savings!B203)</f>
        <v/>
      </c>
      <c r="D198" s="37" t="str">
        <f>IF(Agent01_Savings!A203="","",Agent01_Savings!G203)</f>
        <v/>
      </c>
      <c r="E198" s="38" t="str">
        <f>IF(Agent01_Savings!A203="","",Agent01_Savings!D203)</f>
        <v/>
      </c>
      <c r="F198" s="39" t="str">
        <f>IF(Agent01_Savings!A203="","",Agent01_Savings!E203)</f>
        <v/>
      </c>
      <c r="G198" s="39" t="str">
        <f>IF(Agent01_Savings!A203="","",Agent01_Savings!F203)</f>
        <v/>
      </c>
      <c r="H198" s="37" t="str">
        <f>IF(Agent01_Savings!A203="","",Agent01_Savings!I203)</f>
        <v/>
      </c>
      <c r="I198" s="37" t="str">
        <f>IF(Agent01_Savings!A203="","",Agent01_Savings!J203)</f>
        <v/>
      </c>
      <c r="J198" s="37" t="str">
        <f>IF(Agent01_Savings!A203="","",Agent01_Savings!K203)</f>
        <v/>
      </c>
      <c r="K198" s="37" t="str">
        <f>IFERROR(IF(Agent01_Savings!A203="","",YEAR(Agent01_Savings!D203)),"")</f>
        <v/>
      </c>
    </row>
    <row r="199" spans="1:11" ht="18" customHeight="1" x14ac:dyDescent="0.25">
      <c r="A199" s="37" t="str">
        <f>IF(Agent01_Savings!A204="","",Agent01_Savings!A204)</f>
        <v/>
      </c>
      <c r="B199" s="37" t="str">
        <f ca="1">IF(Agent01_Savings!A204="","","SV"&amp;TEXT(199-3,"0000")&amp;"-"&amp;TEXT(TODAY(),"YYYYMMDD"))</f>
        <v/>
      </c>
      <c r="C199" s="37" t="str">
        <f>IF(Agent01_Savings!A204="","",Agent01_Savings!B204)</f>
        <v/>
      </c>
      <c r="D199" s="37" t="str">
        <f>IF(Agent01_Savings!A204="","",Agent01_Savings!G204)</f>
        <v/>
      </c>
      <c r="E199" s="38" t="str">
        <f>IF(Agent01_Savings!A204="","",Agent01_Savings!D204)</f>
        <v/>
      </c>
      <c r="F199" s="39" t="str">
        <f>IF(Agent01_Savings!A204="","",Agent01_Savings!E204)</f>
        <v/>
      </c>
      <c r="G199" s="39" t="str">
        <f>IF(Agent01_Savings!A204="","",Agent01_Savings!F204)</f>
        <v/>
      </c>
      <c r="H199" s="37" t="str">
        <f>IF(Agent01_Savings!A204="","",Agent01_Savings!I204)</f>
        <v/>
      </c>
      <c r="I199" s="37" t="str">
        <f>IF(Agent01_Savings!A204="","",Agent01_Savings!J204)</f>
        <v/>
      </c>
      <c r="J199" s="37" t="str">
        <f>IF(Agent01_Savings!A204="","",Agent01_Savings!K204)</f>
        <v/>
      </c>
      <c r="K199" s="37" t="str">
        <f>IFERROR(IF(Agent01_Savings!A204="","",YEAR(Agent01_Savings!D204)),"")</f>
        <v/>
      </c>
    </row>
    <row r="200" spans="1:11" ht="18" customHeight="1" x14ac:dyDescent="0.25">
      <c r="A200" s="37" t="str">
        <f>IF(Agent01_Savings!A205="","",Agent01_Savings!A205)</f>
        <v/>
      </c>
      <c r="B200" s="37" t="str">
        <f ca="1">IF(Agent01_Savings!A205="","","SV"&amp;TEXT(200-3,"0000")&amp;"-"&amp;TEXT(TODAY(),"YYYYMMDD"))</f>
        <v/>
      </c>
      <c r="C200" s="37" t="str">
        <f>IF(Agent01_Savings!A205="","",Agent01_Savings!B205)</f>
        <v/>
      </c>
      <c r="D200" s="37" t="str">
        <f>IF(Agent01_Savings!A205="","",Agent01_Savings!G205)</f>
        <v/>
      </c>
      <c r="E200" s="38" t="str">
        <f>IF(Agent01_Savings!A205="","",Agent01_Savings!D205)</f>
        <v/>
      </c>
      <c r="F200" s="39" t="str">
        <f>IF(Agent01_Savings!A205="","",Agent01_Savings!E205)</f>
        <v/>
      </c>
      <c r="G200" s="39" t="str">
        <f>IF(Agent01_Savings!A205="","",Agent01_Savings!F205)</f>
        <v/>
      </c>
      <c r="H200" s="37" t="str">
        <f>IF(Agent01_Savings!A205="","",Agent01_Savings!I205)</f>
        <v/>
      </c>
      <c r="I200" s="37" t="str">
        <f>IF(Agent01_Savings!A205="","",Agent01_Savings!J205)</f>
        <v/>
      </c>
      <c r="J200" s="37" t="str">
        <f>IF(Agent01_Savings!A205="","",Agent01_Savings!K205)</f>
        <v/>
      </c>
      <c r="K200" s="37" t="str">
        <f>IFERROR(IF(Agent01_Savings!A205="","",YEAR(Agent01_Savings!D205)),"")</f>
        <v/>
      </c>
    </row>
    <row r="201" spans="1:11" ht="18" customHeight="1" x14ac:dyDescent="0.25">
      <c r="A201" s="37" t="str">
        <f>IF(Agent01_Savings!A206="","",Agent01_Savings!A206)</f>
        <v/>
      </c>
      <c r="B201" s="37" t="str">
        <f ca="1">IF(Agent01_Savings!A206="","","SV"&amp;TEXT(201-3,"0000")&amp;"-"&amp;TEXT(TODAY(),"YYYYMMDD"))</f>
        <v/>
      </c>
      <c r="C201" s="37" t="str">
        <f>IF(Agent01_Savings!A206="","",Agent01_Savings!B206)</f>
        <v/>
      </c>
      <c r="D201" s="37" t="str">
        <f>IF(Agent01_Savings!A206="","",Agent01_Savings!G206)</f>
        <v/>
      </c>
      <c r="E201" s="38" t="str">
        <f>IF(Agent01_Savings!A206="","",Agent01_Savings!D206)</f>
        <v/>
      </c>
      <c r="F201" s="39" t="str">
        <f>IF(Agent01_Savings!A206="","",Agent01_Savings!E206)</f>
        <v/>
      </c>
      <c r="G201" s="39" t="str">
        <f>IF(Agent01_Savings!A206="","",Agent01_Savings!F206)</f>
        <v/>
      </c>
      <c r="H201" s="37" t="str">
        <f>IF(Agent01_Savings!A206="","",Agent01_Savings!I206)</f>
        <v/>
      </c>
      <c r="I201" s="37" t="str">
        <f>IF(Agent01_Savings!A206="","",Agent01_Savings!J206)</f>
        <v/>
      </c>
      <c r="J201" s="37" t="str">
        <f>IF(Agent01_Savings!A206="","",Agent01_Savings!K206)</f>
        <v/>
      </c>
      <c r="K201" s="37" t="str">
        <f>IFERROR(IF(Agent01_Savings!A206="","",YEAR(Agent01_Savings!D206)),"")</f>
        <v/>
      </c>
    </row>
    <row r="202" spans="1:11" ht="18" customHeight="1" x14ac:dyDescent="0.25">
      <c r="A202" s="37" t="str">
        <f>IF(Agent01_Savings!A207="","",Agent01_Savings!A207)</f>
        <v/>
      </c>
      <c r="B202" s="37" t="str">
        <f ca="1">IF(Agent01_Savings!A207="","","SV"&amp;TEXT(202-3,"0000")&amp;"-"&amp;TEXT(TODAY(),"YYYYMMDD"))</f>
        <v/>
      </c>
      <c r="C202" s="37" t="str">
        <f>IF(Agent01_Savings!A207="","",Agent01_Savings!B207)</f>
        <v/>
      </c>
      <c r="D202" s="37" t="str">
        <f>IF(Agent01_Savings!A207="","",Agent01_Savings!G207)</f>
        <v/>
      </c>
      <c r="E202" s="38" t="str">
        <f>IF(Agent01_Savings!A207="","",Agent01_Savings!D207)</f>
        <v/>
      </c>
      <c r="F202" s="39" t="str">
        <f>IF(Agent01_Savings!A207="","",Agent01_Savings!E207)</f>
        <v/>
      </c>
      <c r="G202" s="39" t="str">
        <f>IF(Agent01_Savings!A207="","",Agent01_Savings!F207)</f>
        <v/>
      </c>
      <c r="H202" s="37" t="str">
        <f>IF(Agent01_Savings!A207="","",Agent01_Savings!I207)</f>
        <v/>
      </c>
      <c r="I202" s="37" t="str">
        <f>IF(Agent01_Savings!A207="","",Agent01_Savings!J207)</f>
        <v/>
      </c>
      <c r="J202" s="37" t="str">
        <f>IF(Agent01_Savings!A207="","",Agent01_Savings!K207)</f>
        <v/>
      </c>
      <c r="K202" s="37" t="str">
        <f>IFERROR(IF(Agent01_Savings!A207="","",YEAR(Agent01_Savings!D207)),"")</f>
        <v/>
      </c>
    </row>
    <row r="203" spans="1:11" ht="18" customHeight="1" x14ac:dyDescent="0.25">
      <c r="A203" s="37" t="str">
        <f>IF(Agent01_Savings!A208="","",Agent01_Savings!A208)</f>
        <v/>
      </c>
      <c r="B203" s="37" t="str">
        <f ca="1">IF(Agent01_Savings!A208="","","SV"&amp;TEXT(203-3,"0000")&amp;"-"&amp;TEXT(TODAY(),"YYYYMMDD"))</f>
        <v/>
      </c>
      <c r="C203" s="37" t="str">
        <f>IF(Agent01_Savings!A208="","",Agent01_Savings!B208)</f>
        <v/>
      </c>
      <c r="D203" s="37" t="str">
        <f>IF(Agent01_Savings!A208="","",Agent01_Savings!G208)</f>
        <v/>
      </c>
      <c r="E203" s="38" t="str">
        <f>IF(Agent01_Savings!A208="","",Agent01_Savings!D208)</f>
        <v/>
      </c>
      <c r="F203" s="39" t="str">
        <f>IF(Agent01_Savings!A208="","",Agent01_Savings!E208)</f>
        <v/>
      </c>
      <c r="G203" s="39" t="str">
        <f>IF(Agent01_Savings!A208="","",Agent01_Savings!F208)</f>
        <v/>
      </c>
      <c r="H203" s="37" t="str">
        <f>IF(Agent01_Savings!A208="","",Agent01_Savings!I208)</f>
        <v/>
      </c>
      <c r="I203" s="37" t="str">
        <f>IF(Agent01_Savings!A208="","",Agent01_Savings!J208)</f>
        <v/>
      </c>
      <c r="J203" s="37" t="str">
        <f>IF(Agent01_Savings!A208="","",Agent01_Savings!K208)</f>
        <v/>
      </c>
      <c r="K203" s="37" t="str">
        <f>IFERROR(IF(Agent01_Savings!A208="","",YEAR(Agent01_Savings!D208)),"")</f>
        <v/>
      </c>
    </row>
    <row r="204" spans="1:11" ht="18" customHeight="1" x14ac:dyDescent="0.25">
      <c r="A204" s="37" t="str">
        <f>IF(Agent02_Savings!A9="","",Agent02_Savings!A9)</f>
        <v/>
      </c>
      <c r="B204" s="37" t="str">
        <f ca="1">IF(Agent02_Savings!A9="","","SV"&amp;TEXT(204-3,"0000")&amp;"-"&amp;TEXT(TODAY(),"YYYYMMDD"))</f>
        <v/>
      </c>
      <c r="C204" s="37" t="str">
        <f>IF(Agent02_Savings!A9="","",Agent02_Savings!B9)</f>
        <v/>
      </c>
      <c r="D204" s="37" t="str">
        <f>IF(Agent02_Savings!A9="","",Agent02_Savings!G9)</f>
        <v/>
      </c>
      <c r="E204" s="38" t="str">
        <f>IF(Agent02_Savings!A9="","",Agent02_Savings!D9)</f>
        <v/>
      </c>
      <c r="F204" s="39" t="str">
        <f>IF(Agent02_Savings!A9="","",Agent02_Savings!E9)</f>
        <v/>
      </c>
      <c r="G204" s="39" t="str">
        <f>IF(Agent02_Savings!A9="","",Agent02_Savings!F9)</f>
        <v/>
      </c>
      <c r="H204" s="37" t="str">
        <f>IF(Agent02_Savings!A9="","",Agent02_Savings!I9)</f>
        <v/>
      </c>
      <c r="I204" s="37" t="str">
        <f>IF(Agent02_Savings!A9="","",Agent02_Savings!J9)</f>
        <v/>
      </c>
      <c r="J204" s="37" t="str">
        <f>IF(Agent02_Savings!A9="","",Agent02_Savings!K9)</f>
        <v/>
      </c>
      <c r="K204" s="37" t="str">
        <f>IFERROR(IF(Agent02_Savings!A9="","",YEAR(Agent02_Savings!D9)),"")</f>
        <v/>
      </c>
    </row>
    <row r="205" spans="1:11" ht="18" customHeight="1" x14ac:dyDescent="0.25">
      <c r="A205" s="37" t="str">
        <f>IF(Agent02_Savings!A10="","",Agent02_Savings!A10)</f>
        <v/>
      </c>
      <c r="B205" s="37" t="str">
        <f ca="1">IF(Agent02_Savings!A10="","","SV"&amp;TEXT(205-3,"0000")&amp;"-"&amp;TEXT(TODAY(),"YYYYMMDD"))</f>
        <v/>
      </c>
      <c r="C205" s="37" t="str">
        <f>IF(Agent02_Savings!A10="","",Agent02_Savings!B10)</f>
        <v/>
      </c>
      <c r="D205" s="37" t="str">
        <f>IF(Agent02_Savings!A10="","",Agent02_Savings!G10)</f>
        <v/>
      </c>
      <c r="E205" s="38" t="str">
        <f>IF(Agent02_Savings!A10="","",Agent02_Savings!D10)</f>
        <v/>
      </c>
      <c r="F205" s="39" t="str">
        <f>IF(Agent02_Savings!A10="","",Agent02_Savings!E10)</f>
        <v/>
      </c>
      <c r="G205" s="39" t="str">
        <f>IF(Agent02_Savings!A10="","",Agent02_Savings!F10)</f>
        <v/>
      </c>
      <c r="H205" s="37" t="str">
        <f>IF(Agent02_Savings!A10="","",Agent02_Savings!I10)</f>
        <v/>
      </c>
      <c r="I205" s="37" t="str">
        <f>IF(Agent02_Savings!A10="","",Agent02_Savings!J10)</f>
        <v/>
      </c>
      <c r="J205" s="37" t="str">
        <f>IF(Agent02_Savings!A10="","",Agent02_Savings!K10)</f>
        <v/>
      </c>
      <c r="K205" s="37" t="str">
        <f>IFERROR(IF(Agent02_Savings!A10="","",YEAR(Agent02_Savings!D10)),"")</f>
        <v/>
      </c>
    </row>
    <row r="206" spans="1:11" ht="18" customHeight="1" x14ac:dyDescent="0.25">
      <c r="A206" s="37" t="str">
        <f>IF(Agent02_Savings!A11="","",Agent02_Savings!A11)</f>
        <v/>
      </c>
      <c r="B206" s="37" t="str">
        <f ca="1">IF(Agent02_Savings!A11="","","SV"&amp;TEXT(206-3,"0000")&amp;"-"&amp;TEXT(TODAY(),"YYYYMMDD"))</f>
        <v/>
      </c>
      <c r="C206" s="37" t="str">
        <f>IF(Agent02_Savings!A11="","",Agent02_Savings!B11)</f>
        <v/>
      </c>
      <c r="D206" s="37" t="str">
        <f>IF(Agent02_Savings!A11="","",Agent02_Savings!G11)</f>
        <v/>
      </c>
      <c r="E206" s="38" t="str">
        <f>IF(Agent02_Savings!A11="","",Agent02_Savings!D11)</f>
        <v/>
      </c>
      <c r="F206" s="39" t="str">
        <f>IF(Agent02_Savings!A11="","",Agent02_Savings!E11)</f>
        <v/>
      </c>
      <c r="G206" s="39" t="str">
        <f>IF(Agent02_Savings!A11="","",Agent02_Savings!F11)</f>
        <v/>
      </c>
      <c r="H206" s="37" t="str">
        <f>IF(Agent02_Savings!A11="","",Agent02_Savings!I11)</f>
        <v/>
      </c>
      <c r="I206" s="37" t="str">
        <f>IF(Agent02_Savings!A11="","",Agent02_Savings!J11)</f>
        <v/>
      </c>
      <c r="J206" s="37" t="str">
        <f>IF(Agent02_Savings!A11="","",Agent02_Savings!K11)</f>
        <v/>
      </c>
      <c r="K206" s="37" t="str">
        <f>IFERROR(IF(Agent02_Savings!A11="","",YEAR(Agent02_Savings!D11)),"")</f>
        <v/>
      </c>
    </row>
    <row r="207" spans="1:11" ht="18" customHeight="1" x14ac:dyDescent="0.25">
      <c r="A207" s="37" t="str">
        <f>IF(Agent02_Savings!A12="","",Agent02_Savings!A12)</f>
        <v/>
      </c>
      <c r="B207" s="37" t="str">
        <f ca="1">IF(Agent02_Savings!A12="","","SV"&amp;TEXT(207-3,"0000")&amp;"-"&amp;TEXT(TODAY(),"YYYYMMDD"))</f>
        <v/>
      </c>
      <c r="C207" s="37" t="str">
        <f>IF(Agent02_Savings!A12="","",Agent02_Savings!B12)</f>
        <v/>
      </c>
      <c r="D207" s="37" t="str">
        <f>IF(Agent02_Savings!A12="","",Agent02_Savings!G12)</f>
        <v/>
      </c>
      <c r="E207" s="38" t="str">
        <f>IF(Agent02_Savings!A12="","",Agent02_Savings!D12)</f>
        <v/>
      </c>
      <c r="F207" s="39" t="str">
        <f>IF(Agent02_Savings!A12="","",Agent02_Savings!E12)</f>
        <v/>
      </c>
      <c r="G207" s="39" t="str">
        <f>IF(Agent02_Savings!A12="","",Agent02_Savings!F12)</f>
        <v/>
      </c>
      <c r="H207" s="37" t="str">
        <f>IF(Agent02_Savings!A12="","",Agent02_Savings!I12)</f>
        <v/>
      </c>
      <c r="I207" s="37" t="str">
        <f>IF(Agent02_Savings!A12="","",Agent02_Savings!J12)</f>
        <v/>
      </c>
      <c r="J207" s="37" t="str">
        <f>IF(Agent02_Savings!A12="","",Agent02_Savings!K12)</f>
        <v/>
      </c>
      <c r="K207" s="37" t="str">
        <f>IFERROR(IF(Agent02_Savings!A12="","",YEAR(Agent02_Savings!D12)),"")</f>
        <v/>
      </c>
    </row>
    <row r="208" spans="1:11" ht="18" customHeight="1" x14ac:dyDescent="0.25">
      <c r="A208" s="37" t="str">
        <f>IF(Agent02_Savings!A13="","",Agent02_Savings!A13)</f>
        <v/>
      </c>
      <c r="B208" s="37" t="str">
        <f ca="1">IF(Agent02_Savings!A13="","","SV"&amp;TEXT(208-3,"0000")&amp;"-"&amp;TEXT(TODAY(),"YYYYMMDD"))</f>
        <v/>
      </c>
      <c r="C208" s="37" t="str">
        <f>IF(Agent02_Savings!A13="","",Agent02_Savings!B13)</f>
        <v/>
      </c>
      <c r="D208" s="37" t="str">
        <f>IF(Agent02_Savings!A13="","",Agent02_Savings!G13)</f>
        <v/>
      </c>
      <c r="E208" s="38" t="str">
        <f>IF(Agent02_Savings!A13="","",Agent02_Savings!D13)</f>
        <v/>
      </c>
      <c r="F208" s="39" t="str">
        <f>IF(Agent02_Savings!A13="","",Agent02_Savings!E13)</f>
        <v/>
      </c>
      <c r="G208" s="39" t="str">
        <f>IF(Agent02_Savings!A13="","",Agent02_Savings!F13)</f>
        <v/>
      </c>
      <c r="H208" s="37" t="str">
        <f>IF(Agent02_Savings!A13="","",Agent02_Savings!I13)</f>
        <v/>
      </c>
      <c r="I208" s="37" t="str">
        <f>IF(Agent02_Savings!A13="","",Agent02_Savings!J13)</f>
        <v/>
      </c>
      <c r="J208" s="37" t="str">
        <f>IF(Agent02_Savings!A13="","",Agent02_Savings!K13)</f>
        <v/>
      </c>
      <c r="K208" s="37" t="str">
        <f>IFERROR(IF(Agent02_Savings!A13="","",YEAR(Agent02_Savings!D13)),"")</f>
        <v/>
      </c>
    </row>
    <row r="209" spans="1:11" ht="18" customHeight="1" x14ac:dyDescent="0.25">
      <c r="A209" s="37" t="str">
        <f>IF(Agent02_Savings!A14="","",Agent02_Savings!A14)</f>
        <v/>
      </c>
      <c r="B209" s="37" t="str">
        <f ca="1">IF(Agent02_Savings!A14="","","SV"&amp;TEXT(209-3,"0000")&amp;"-"&amp;TEXT(TODAY(),"YYYYMMDD"))</f>
        <v/>
      </c>
      <c r="C209" s="37" t="str">
        <f>IF(Agent02_Savings!A14="","",Agent02_Savings!B14)</f>
        <v/>
      </c>
      <c r="D209" s="37" t="str">
        <f>IF(Agent02_Savings!A14="","",Agent02_Savings!G14)</f>
        <v/>
      </c>
      <c r="E209" s="38" t="str">
        <f>IF(Agent02_Savings!A14="","",Agent02_Savings!D14)</f>
        <v/>
      </c>
      <c r="F209" s="39" t="str">
        <f>IF(Agent02_Savings!A14="","",Agent02_Savings!E14)</f>
        <v/>
      </c>
      <c r="G209" s="39" t="str">
        <f>IF(Agent02_Savings!A14="","",Agent02_Savings!F14)</f>
        <v/>
      </c>
      <c r="H209" s="37" t="str">
        <f>IF(Agent02_Savings!A14="","",Agent02_Savings!I14)</f>
        <v/>
      </c>
      <c r="I209" s="37" t="str">
        <f>IF(Agent02_Savings!A14="","",Agent02_Savings!J14)</f>
        <v/>
      </c>
      <c r="J209" s="37" t="str">
        <f>IF(Agent02_Savings!A14="","",Agent02_Savings!K14)</f>
        <v/>
      </c>
      <c r="K209" s="37" t="str">
        <f>IFERROR(IF(Agent02_Savings!A14="","",YEAR(Agent02_Savings!D14)),"")</f>
        <v/>
      </c>
    </row>
    <row r="210" spans="1:11" ht="18" customHeight="1" x14ac:dyDescent="0.25">
      <c r="A210" s="37" t="str">
        <f>IF(Agent02_Savings!A15="","",Agent02_Savings!A15)</f>
        <v/>
      </c>
      <c r="B210" s="37" t="str">
        <f ca="1">IF(Agent02_Savings!A15="","","SV"&amp;TEXT(210-3,"0000")&amp;"-"&amp;TEXT(TODAY(),"YYYYMMDD"))</f>
        <v/>
      </c>
      <c r="C210" s="37" t="str">
        <f>IF(Agent02_Savings!A15="","",Agent02_Savings!B15)</f>
        <v/>
      </c>
      <c r="D210" s="37" t="str">
        <f>IF(Agent02_Savings!A15="","",Agent02_Savings!G15)</f>
        <v/>
      </c>
      <c r="E210" s="38" t="str">
        <f>IF(Agent02_Savings!A15="","",Agent02_Savings!D15)</f>
        <v/>
      </c>
      <c r="F210" s="39" t="str">
        <f>IF(Agent02_Savings!A15="","",Agent02_Savings!E15)</f>
        <v/>
      </c>
      <c r="G210" s="39" t="str">
        <f>IF(Agent02_Savings!A15="","",Agent02_Savings!F15)</f>
        <v/>
      </c>
      <c r="H210" s="37" t="str">
        <f>IF(Agent02_Savings!A15="","",Agent02_Savings!I15)</f>
        <v/>
      </c>
      <c r="I210" s="37" t="str">
        <f>IF(Agent02_Savings!A15="","",Agent02_Savings!J15)</f>
        <v/>
      </c>
      <c r="J210" s="37" t="str">
        <f>IF(Agent02_Savings!A15="","",Agent02_Savings!K15)</f>
        <v/>
      </c>
      <c r="K210" s="37" t="str">
        <f>IFERROR(IF(Agent02_Savings!A15="","",YEAR(Agent02_Savings!D15)),"")</f>
        <v/>
      </c>
    </row>
    <row r="211" spans="1:11" ht="18" customHeight="1" x14ac:dyDescent="0.25">
      <c r="A211" s="37" t="str">
        <f>IF(Agent02_Savings!A16="","",Agent02_Savings!A16)</f>
        <v/>
      </c>
      <c r="B211" s="37" t="str">
        <f ca="1">IF(Agent02_Savings!A16="","","SV"&amp;TEXT(211-3,"0000")&amp;"-"&amp;TEXT(TODAY(),"YYYYMMDD"))</f>
        <v/>
      </c>
      <c r="C211" s="37" t="str">
        <f>IF(Agent02_Savings!A16="","",Agent02_Savings!B16)</f>
        <v/>
      </c>
      <c r="D211" s="37" t="str">
        <f>IF(Agent02_Savings!A16="","",Agent02_Savings!G16)</f>
        <v/>
      </c>
      <c r="E211" s="38" t="str">
        <f>IF(Agent02_Savings!A16="","",Agent02_Savings!D16)</f>
        <v/>
      </c>
      <c r="F211" s="39" t="str">
        <f>IF(Agent02_Savings!A16="","",Agent02_Savings!E16)</f>
        <v/>
      </c>
      <c r="G211" s="39" t="str">
        <f>IF(Agent02_Savings!A16="","",Agent02_Savings!F16)</f>
        <v/>
      </c>
      <c r="H211" s="37" t="str">
        <f>IF(Agent02_Savings!A16="","",Agent02_Savings!I16)</f>
        <v/>
      </c>
      <c r="I211" s="37" t="str">
        <f>IF(Agent02_Savings!A16="","",Agent02_Savings!J16)</f>
        <v/>
      </c>
      <c r="J211" s="37" t="str">
        <f>IF(Agent02_Savings!A16="","",Agent02_Savings!K16)</f>
        <v/>
      </c>
      <c r="K211" s="37" t="str">
        <f>IFERROR(IF(Agent02_Savings!A16="","",YEAR(Agent02_Savings!D16)),"")</f>
        <v/>
      </c>
    </row>
    <row r="212" spans="1:11" ht="18" customHeight="1" x14ac:dyDescent="0.25">
      <c r="A212" s="37" t="str">
        <f>IF(Agent02_Savings!A17="","",Agent02_Savings!A17)</f>
        <v/>
      </c>
      <c r="B212" s="37" t="str">
        <f ca="1">IF(Agent02_Savings!A17="","","SV"&amp;TEXT(212-3,"0000")&amp;"-"&amp;TEXT(TODAY(),"YYYYMMDD"))</f>
        <v/>
      </c>
      <c r="C212" s="37" t="str">
        <f>IF(Agent02_Savings!A17="","",Agent02_Savings!B17)</f>
        <v/>
      </c>
      <c r="D212" s="37" t="str">
        <f>IF(Agent02_Savings!A17="","",Agent02_Savings!G17)</f>
        <v/>
      </c>
      <c r="E212" s="38" t="str">
        <f>IF(Agent02_Savings!A17="","",Agent02_Savings!D17)</f>
        <v/>
      </c>
      <c r="F212" s="39" t="str">
        <f>IF(Agent02_Savings!A17="","",Agent02_Savings!E17)</f>
        <v/>
      </c>
      <c r="G212" s="39" t="str">
        <f>IF(Agent02_Savings!A17="","",Agent02_Savings!F17)</f>
        <v/>
      </c>
      <c r="H212" s="37" t="str">
        <f>IF(Agent02_Savings!A17="","",Agent02_Savings!I17)</f>
        <v/>
      </c>
      <c r="I212" s="37" t="str">
        <f>IF(Agent02_Savings!A17="","",Agent02_Savings!J17)</f>
        <v/>
      </c>
      <c r="J212" s="37" t="str">
        <f>IF(Agent02_Savings!A17="","",Agent02_Savings!K17)</f>
        <v/>
      </c>
      <c r="K212" s="37" t="str">
        <f>IFERROR(IF(Agent02_Savings!A17="","",YEAR(Agent02_Savings!D17)),"")</f>
        <v/>
      </c>
    </row>
    <row r="213" spans="1:11" ht="18" customHeight="1" x14ac:dyDescent="0.25">
      <c r="A213" s="37" t="str">
        <f>IF(Agent02_Savings!A18="","",Agent02_Savings!A18)</f>
        <v/>
      </c>
      <c r="B213" s="37" t="str">
        <f ca="1">IF(Agent02_Savings!A18="","","SV"&amp;TEXT(213-3,"0000")&amp;"-"&amp;TEXT(TODAY(),"YYYYMMDD"))</f>
        <v/>
      </c>
      <c r="C213" s="37" t="str">
        <f>IF(Agent02_Savings!A18="","",Agent02_Savings!B18)</f>
        <v/>
      </c>
      <c r="D213" s="37" t="str">
        <f>IF(Agent02_Savings!A18="","",Agent02_Savings!G18)</f>
        <v/>
      </c>
      <c r="E213" s="38" t="str">
        <f>IF(Agent02_Savings!A18="","",Agent02_Savings!D18)</f>
        <v/>
      </c>
      <c r="F213" s="39" t="str">
        <f>IF(Agent02_Savings!A18="","",Agent02_Savings!E18)</f>
        <v/>
      </c>
      <c r="G213" s="39" t="str">
        <f>IF(Agent02_Savings!A18="","",Agent02_Savings!F18)</f>
        <v/>
      </c>
      <c r="H213" s="37" t="str">
        <f>IF(Agent02_Savings!A18="","",Agent02_Savings!I18)</f>
        <v/>
      </c>
      <c r="I213" s="37" t="str">
        <f>IF(Agent02_Savings!A18="","",Agent02_Savings!J18)</f>
        <v/>
      </c>
      <c r="J213" s="37" t="str">
        <f>IF(Agent02_Savings!A18="","",Agent02_Savings!K18)</f>
        <v/>
      </c>
      <c r="K213" s="37" t="str">
        <f>IFERROR(IF(Agent02_Savings!A18="","",YEAR(Agent02_Savings!D18)),"")</f>
        <v/>
      </c>
    </row>
    <row r="214" spans="1:11" ht="18" customHeight="1" x14ac:dyDescent="0.25">
      <c r="A214" s="37" t="str">
        <f>IF(Agent02_Savings!A19="","",Agent02_Savings!A19)</f>
        <v/>
      </c>
      <c r="B214" s="37" t="str">
        <f ca="1">IF(Agent02_Savings!A19="","","SV"&amp;TEXT(214-3,"0000")&amp;"-"&amp;TEXT(TODAY(),"YYYYMMDD"))</f>
        <v/>
      </c>
      <c r="C214" s="37" t="str">
        <f>IF(Agent02_Savings!A19="","",Agent02_Savings!B19)</f>
        <v/>
      </c>
      <c r="D214" s="37" t="str">
        <f>IF(Agent02_Savings!A19="","",Agent02_Savings!G19)</f>
        <v/>
      </c>
      <c r="E214" s="38" t="str">
        <f>IF(Agent02_Savings!A19="","",Agent02_Savings!D19)</f>
        <v/>
      </c>
      <c r="F214" s="39" t="str">
        <f>IF(Agent02_Savings!A19="","",Agent02_Savings!E19)</f>
        <v/>
      </c>
      <c r="G214" s="39" t="str">
        <f>IF(Agent02_Savings!A19="","",Agent02_Savings!F19)</f>
        <v/>
      </c>
      <c r="H214" s="37" t="str">
        <f>IF(Agent02_Savings!A19="","",Agent02_Savings!I19)</f>
        <v/>
      </c>
      <c r="I214" s="37" t="str">
        <f>IF(Agent02_Savings!A19="","",Agent02_Savings!J19)</f>
        <v/>
      </c>
      <c r="J214" s="37" t="str">
        <f>IF(Agent02_Savings!A19="","",Agent02_Savings!K19)</f>
        <v/>
      </c>
      <c r="K214" s="37" t="str">
        <f>IFERROR(IF(Agent02_Savings!A19="","",YEAR(Agent02_Savings!D19)),"")</f>
        <v/>
      </c>
    </row>
    <row r="215" spans="1:11" ht="18" customHeight="1" x14ac:dyDescent="0.25">
      <c r="A215" s="37" t="str">
        <f>IF(Agent02_Savings!A20="","",Agent02_Savings!A20)</f>
        <v/>
      </c>
      <c r="B215" s="37" t="str">
        <f ca="1">IF(Agent02_Savings!A20="","","SV"&amp;TEXT(215-3,"0000")&amp;"-"&amp;TEXT(TODAY(),"YYYYMMDD"))</f>
        <v/>
      </c>
      <c r="C215" s="37" t="str">
        <f>IF(Agent02_Savings!A20="","",Agent02_Savings!B20)</f>
        <v/>
      </c>
      <c r="D215" s="37" t="str">
        <f>IF(Agent02_Savings!A20="","",Agent02_Savings!G20)</f>
        <v/>
      </c>
      <c r="E215" s="38" t="str">
        <f>IF(Agent02_Savings!A20="","",Agent02_Savings!D20)</f>
        <v/>
      </c>
      <c r="F215" s="39" t="str">
        <f>IF(Agent02_Savings!A20="","",Agent02_Savings!E20)</f>
        <v/>
      </c>
      <c r="G215" s="39" t="str">
        <f>IF(Agent02_Savings!A20="","",Agent02_Savings!F20)</f>
        <v/>
      </c>
      <c r="H215" s="37" t="str">
        <f>IF(Agent02_Savings!A20="","",Agent02_Savings!I20)</f>
        <v/>
      </c>
      <c r="I215" s="37" t="str">
        <f>IF(Agent02_Savings!A20="","",Agent02_Savings!J20)</f>
        <v/>
      </c>
      <c r="J215" s="37" t="str">
        <f>IF(Agent02_Savings!A20="","",Agent02_Savings!K20)</f>
        <v/>
      </c>
      <c r="K215" s="37" t="str">
        <f>IFERROR(IF(Agent02_Savings!A20="","",YEAR(Agent02_Savings!D20)),"")</f>
        <v/>
      </c>
    </row>
    <row r="216" spans="1:11" ht="18" customHeight="1" x14ac:dyDescent="0.25">
      <c r="A216" s="37" t="str">
        <f>IF(Agent02_Savings!A21="","",Agent02_Savings!A21)</f>
        <v/>
      </c>
      <c r="B216" s="37" t="str">
        <f ca="1">IF(Agent02_Savings!A21="","","SV"&amp;TEXT(216-3,"0000")&amp;"-"&amp;TEXT(TODAY(),"YYYYMMDD"))</f>
        <v/>
      </c>
      <c r="C216" s="37" t="str">
        <f>IF(Agent02_Savings!A21="","",Agent02_Savings!B21)</f>
        <v/>
      </c>
      <c r="D216" s="37" t="str">
        <f>IF(Agent02_Savings!A21="","",Agent02_Savings!G21)</f>
        <v/>
      </c>
      <c r="E216" s="38" t="str">
        <f>IF(Agent02_Savings!A21="","",Agent02_Savings!D21)</f>
        <v/>
      </c>
      <c r="F216" s="39" t="str">
        <f>IF(Agent02_Savings!A21="","",Agent02_Savings!E21)</f>
        <v/>
      </c>
      <c r="G216" s="39" t="str">
        <f>IF(Agent02_Savings!A21="","",Agent02_Savings!F21)</f>
        <v/>
      </c>
      <c r="H216" s="37" t="str">
        <f>IF(Agent02_Savings!A21="","",Agent02_Savings!I21)</f>
        <v/>
      </c>
      <c r="I216" s="37" t="str">
        <f>IF(Agent02_Savings!A21="","",Agent02_Savings!J21)</f>
        <v/>
      </c>
      <c r="J216" s="37" t="str">
        <f>IF(Agent02_Savings!A21="","",Agent02_Savings!K21)</f>
        <v/>
      </c>
      <c r="K216" s="37" t="str">
        <f>IFERROR(IF(Agent02_Savings!A21="","",YEAR(Agent02_Savings!D21)),"")</f>
        <v/>
      </c>
    </row>
    <row r="217" spans="1:11" ht="18" customHeight="1" x14ac:dyDescent="0.25">
      <c r="A217" s="37" t="str">
        <f>IF(Agent02_Savings!A22="","",Agent02_Savings!A22)</f>
        <v/>
      </c>
      <c r="B217" s="37" t="str">
        <f ca="1">IF(Agent02_Savings!A22="","","SV"&amp;TEXT(217-3,"0000")&amp;"-"&amp;TEXT(TODAY(),"YYYYMMDD"))</f>
        <v/>
      </c>
      <c r="C217" s="37" t="str">
        <f>IF(Agent02_Savings!A22="","",Agent02_Savings!B22)</f>
        <v/>
      </c>
      <c r="D217" s="37" t="str">
        <f>IF(Agent02_Savings!A22="","",Agent02_Savings!G22)</f>
        <v/>
      </c>
      <c r="E217" s="38" t="str">
        <f>IF(Agent02_Savings!A22="","",Agent02_Savings!D22)</f>
        <v/>
      </c>
      <c r="F217" s="39" t="str">
        <f>IF(Agent02_Savings!A22="","",Agent02_Savings!E22)</f>
        <v/>
      </c>
      <c r="G217" s="39" t="str">
        <f>IF(Agent02_Savings!A22="","",Agent02_Savings!F22)</f>
        <v/>
      </c>
      <c r="H217" s="37" t="str">
        <f>IF(Agent02_Savings!A22="","",Agent02_Savings!I22)</f>
        <v/>
      </c>
      <c r="I217" s="37" t="str">
        <f>IF(Agent02_Savings!A22="","",Agent02_Savings!J22)</f>
        <v/>
      </c>
      <c r="J217" s="37" t="str">
        <f>IF(Agent02_Savings!A22="","",Agent02_Savings!K22)</f>
        <v/>
      </c>
      <c r="K217" s="37" t="str">
        <f>IFERROR(IF(Agent02_Savings!A22="","",YEAR(Agent02_Savings!D22)),"")</f>
        <v/>
      </c>
    </row>
    <row r="218" spans="1:11" ht="18" customHeight="1" x14ac:dyDescent="0.25">
      <c r="A218" s="37" t="str">
        <f>IF(Agent02_Savings!A23="","",Agent02_Savings!A23)</f>
        <v/>
      </c>
      <c r="B218" s="37" t="str">
        <f ca="1">IF(Agent02_Savings!A23="","","SV"&amp;TEXT(218-3,"0000")&amp;"-"&amp;TEXT(TODAY(),"YYYYMMDD"))</f>
        <v/>
      </c>
      <c r="C218" s="37" t="str">
        <f>IF(Agent02_Savings!A23="","",Agent02_Savings!B23)</f>
        <v/>
      </c>
      <c r="D218" s="37" t="str">
        <f>IF(Agent02_Savings!A23="","",Agent02_Savings!G23)</f>
        <v/>
      </c>
      <c r="E218" s="38" t="str">
        <f>IF(Agent02_Savings!A23="","",Agent02_Savings!D23)</f>
        <v/>
      </c>
      <c r="F218" s="39" t="str">
        <f>IF(Agent02_Savings!A23="","",Agent02_Savings!E23)</f>
        <v/>
      </c>
      <c r="G218" s="39" t="str">
        <f>IF(Agent02_Savings!A23="","",Agent02_Savings!F23)</f>
        <v/>
      </c>
      <c r="H218" s="37" t="str">
        <f>IF(Agent02_Savings!A23="","",Agent02_Savings!I23)</f>
        <v/>
      </c>
      <c r="I218" s="37" t="str">
        <f>IF(Agent02_Savings!A23="","",Agent02_Savings!J23)</f>
        <v/>
      </c>
      <c r="J218" s="37" t="str">
        <f>IF(Agent02_Savings!A23="","",Agent02_Savings!K23)</f>
        <v/>
      </c>
      <c r="K218" s="37" t="str">
        <f>IFERROR(IF(Agent02_Savings!A23="","",YEAR(Agent02_Savings!D23)),"")</f>
        <v/>
      </c>
    </row>
    <row r="219" spans="1:11" ht="18" customHeight="1" x14ac:dyDescent="0.25">
      <c r="A219" s="37" t="str">
        <f>IF(Agent02_Savings!A24="","",Agent02_Savings!A24)</f>
        <v/>
      </c>
      <c r="B219" s="37" t="str">
        <f ca="1">IF(Agent02_Savings!A24="","","SV"&amp;TEXT(219-3,"0000")&amp;"-"&amp;TEXT(TODAY(),"YYYYMMDD"))</f>
        <v/>
      </c>
      <c r="C219" s="37" t="str">
        <f>IF(Agent02_Savings!A24="","",Agent02_Savings!B24)</f>
        <v/>
      </c>
      <c r="D219" s="37" t="str">
        <f>IF(Agent02_Savings!A24="","",Agent02_Savings!G24)</f>
        <v/>
      </c>
      <c r="E219" s="38" t="str">
        <f>IF(Agent02_Savings!A24="","",Agent02_Savings!D24)</f>
        <v/>
      </c>
      <c r="F219" s="39" t="str">
        <f>IF(Agent02_Savings!A24="","",Agent02_Savings!E24)</f>
        <v/>
      </c>
      <c r="G219" s="39" t="str">
        <f>IF(Agent02_Savings!A24="","",Agent02_Savings!F24)</f>
        <v/>
      </c>
      <c r="H219" s="37" t="str">
        <f>IF(Agent02_Savings!A24="","",Agent02_Savings!I24)</f>
        <v/>
      </c>
      <c r="I219" s="37" t="str">
        <f>IF(Agent02_Savings!A24="","",Agent02_Savings!J24)</f>
        <v/>
      </c>
      <c r="J219" s="37" t="str">
        <f>IF(Agent02_Savings!A24="","",Agent02_Savings!K24)</f>
        <v/>
      </c>
      <c r="K219" s="37" t="str">
        <f>IFERROR(IF(Agent02_Savings!A24="","",YEAR(Agent02_Savings!D24)),"")</f>
        <v/>
      </c>
    </row>
    <row r="220" spans="1:11" ht="18" customHeight="1" x14ac:dyDescent="0.25">
      <c r="A220" s="37" t="str">
        <f>IF(Agent02_Savings!A25="","",Agent02_Savings!A25)</f>
        <v/>
      </c>
      <c r="B220" s="37" t="str">
        <f ca="1">IF(Agent02_Savings!A25="","","SV"&amp;TEXT(220-3,"0000")&amp;"-"&amp;TEXT(TODAY(),"YYYYMMDD"))</f>
        <v/>
      </c>
      <c r="C220" s="37" t="str">
        <f>IF(Agent02_Savings!A25="","",Agent02_Savings!B25)</f>
        <v/>
      </c>
      <c r="D220" s="37" t="str">
        <f>IF(Agent02_Savings!A25="","",Agent02_Savings!G25)</f>
        <v/>
      </c>
      <c r="E220" s="38" t="str">
        <f>IF(Agent02_Savings!A25="","",Agent02_Savings!D25)</f>
        <v/>
      </c>
      <c r="F220" s="39" t="str">
        <f>IF(Agent02_Savings!A25="","",Agent02_Savings!E25)</f>
        <v/>
      </c>
      <c r="G220" s="39" t="str">
        <f>IF(Agent02_Savings!A25="","",Agent02_Savings!F25)</f>
        <v/>
      </c>
      <c r="H220" s="37" t="str">
        <f>IF(Agent02_Savings!A25="","",Agent02_Savings!I25)</f>
        <v/>
      </c>
      <c r="I220" s="37" t="str">
        <f>IF(Agent02_Savings!A25="","",Agent02_Savings!J25)</f>
        <v/>
      </c>
      <c r="J220" s="37" t="str">
        <f>IF(Agent02_Savings!A25="","",Agent02_Savings!K25)</f>
        <v/>
      </c>
      <c r="K220" s="37" t="str">
        <f>IFERROR(IF(Agent02_Savings!A25="","",YEAR(Agent02_Savings!D25)),"")</f>
        <v/>
      </c>
    </row>
    <row r="221" spans="1:11" ht="18" customHeight="1" x14ac:dyDescent="0.25">
      <c r="A221" s="37" t="str">
        <f>IF(Agent02_Savings!A26="","",Agent02_Savings!A26)</f>
        <v/>
      </c>
      <c r="B221" s="37" t="str">
        <f ca="1">IF(Agent02_Savings!A26="","","SV"&amp;TEXT(221-3,"0000")&amp;"-"&amp;TEXT(TODAY(),"YYYYMMDD"))</f>
        <v/>
      </c>
      <c r="C221" s="37" t="str">
        <f>IF(Agent02_Savings!A26="","",Agent02_Savings!B26)</f>
        <v/>
      </c>
      <c r="D221" s="37" t="str">
        <f>IF(Agent02_Savings!A26="","",Agent02_Savings!G26)</f>
        <v/>
      </c>
      <c r="E221" s="38" t="str">
        <f>IF(Agent02_Savings!A26="","",Agent02_Savings!D26)</f>
        <v/>
      </c>
      <c r="F221" s="39" t="str">
        <f>IF(Agent02_Savings!A26="","",Agent02_Savings!E26)</f>
        <v/>
      </c>
      <c r="G221" s="39" t="str">
        <f>IF(Agent02_Savings!A26="","",Agent02_Savings!F26)</f>
        <v/>
      </c>
      <c r="H221" s="37" t="str">
        <f>IF(Agent02_Savings!A26="","",Agent02_Savings!I26)</f>
        <v/>
      </c>
      <c r="I221" s="37" t="str">
        <f>IF(Agent02_Savings!A26="","",Agent02_Savings!J26)</f>
        <v/>
      </c>
      <c r="J221" s="37" t="str">
        <f>IF(Agent02_Savings!A26="","",Agent02_Savings!K26)</f>
        <v/>
      </c>
      <c r="K221" s="37" t="str">
        <f>IFERROR(IF(Agent02_Savings!A26="","",YEAR(Agent02_Savings!D26)),"")</f>
        <v/>
      </c>
    </row>
    <row r="222" spans="1:11" ht="18" customHeight="1" x14ac:dyDescent="0.25">
      <c r="A222" s="37" t="str">
        <f>IF(Agent02_Savings!A27="","",Agent02_Savings!A27)</f>
        <v/>
      </c>
      <c r="B222" s="37" t="str">
        <f ca="1">IF(Agent02_Savings!A27="","","SV"&amp;TEXT(222-3,"0000")&amp;"-"&amp;TEXT(TODAY(),"YYYYMMDD"))</f>
        <v/>
      </c>
      <c r="C222" s="37" t="str">
        <f>IF(Agent02_Savings!A27="","",Agent02_Savings!B27)</f>
        <v/>
      </c>
      <c r="D222" s="37" t="str">
        <f>IF(Agent02_Savings!A27="","",Agent02_Savings!G27)</f>
        <v/>
      </c>
      <c r="E222" s="38" t="str">
        <f>IF(Agent02_Savings!A27="","",Agent02_Savings!D27)</f>
        <v/>
      </c>
      <c r="F222" s="39" t="str">
        <f>IF(Agent02_Savings!A27="","",Agent02_Savings!E27)</f>
        <v/>
      </c>
      <c r="G222" s="39" t="str">
        <f>IF(Agent02_Savings!A27="","",Agent02_Savings!F27)</f>
        <v/>
      </c>
      <c r="H222" s="37" t="str">
        <f>IF(Agent02_Savings!A27="","",Agent02_Savings!I27)</f>
        <v/>
      </c>
      <c r="I222" s="37" t="str">
        <f>IF(Agent02_Savings!A27="","",Agent02_Savings!J27)</f>
        <v/>
      </c>
      <c r="J222" s="37" t="str">
        <f>IF(Agent02_Savings!A27="","",Agent02_Savings!K27)</f>
        <v/>
      </c>
      <c r="K222" s="37" t="str">
        <f>IFERROR(IF(Agent02_Savings!A27="","",YEAR(Agent02_Savings!D27)),"")</f>
        <v/>
      </c>
    </row>
    <row r="223" spans="1:11" ht="18" customHeight="1" x14ac:dyDescent="0.25">
      <c r="A223" s="37" t="str">
        <f>IF(Agent02_Savings!A28="","",Agent02_Savings!A28)</f>
        <v/>
      </c>
      <c r="B223" s="37" t="str">
        <f ca="1">IF(Agent02_Savings!A28="","","SV"&amp;TEXT(223-3,"0000")&amp;"-"&amp;TEXT(TODAY(),"YYYYMMDD"))</f>
        <v/>
      </c>
      <c r="C223" s="37" t="str">
        <f>IF(Agent02_Savings!A28="","",Agent02_Savings!B28)</f>
        <v/>
      </c>
      <c r="D223" s="37" t="str">
        <f>IF(Agent02_Savings!A28="","",Agent02_Savings!G28)</f>
        <v/>
      </c>
      <c r="E223" s="38" t="str">
        <f>IF(Agent02_Savings!A28="","",Agent02_Savings!D28)</f>
        <v/>
      </c>
      <c r="F223" s="39" t="str">
        <f>IF(Agent02_Savings!A28="","",Agent02_Savings!E28)</f>
        <v/>
      </c>
      <c r="G223" s="39" t="str">
        <f>IF(Agent02_Savings!A28="","",Agent02_Savings!F28)</f>
        <v/>
      </c>
      <c r="H223" s="37" t="str">
        <f>IF(Agent02_Savings!A28="","",Agent02_Savings!I28)</f>
        <v/>
      </c>
      <c r="I223" s="37" t="str">
        <f>IF(Agent02_Savings!A28="","",Agent02_Savings!J28)</f>
        <v/>
      </c>
      <c r="J223" s="37" t="str">
        <f>IF(Agent02_Savings!A28="","",Agent02_Savings!K28)</f>
        <v/>
      </c>
      <c r="K223" s="37" t="str">
        <f>IFERROR(IF(Agent02_Savings!A28="","",YEAR(Agent02_Savings!D28)),"")</f>
        <v/>
      </c>
    </row>
    <row r="224" spans="1:11" ht="18" customHeight="1" x14ac:dyDescent="0.25">
      <c r="A224" s="37" t="str">
        <f>IF(Agent02_Savings!A29="","",Agent02_Savings!A29)</f>
        <v/>
      </c>
      <c r="B224" s="37" t="str">
        <f ca="1">IF(Agent02_Savings!A29="","","SV"&amp;TEXT(224-3,"0000")&amp;"-"&amp;TEXT(TODAY(),"YYYYMMDD"))</f>
        <v/>
      </c>
      <c r="C224" s="37" t="str">
        <f>IF(Agent02_Savings!A29="","",Agent02_Savings!B29)</f>
        <v/>
      </c>
      <c r="D224" s="37" t="str">
        <f>IF(Agent02_Savings!A29="","",Agent02_Savings!G29)</f>
        <v/>
      </c>
      <c r="E224" s="38" t="str">
        <f>IF(Agent02_Savings!A29="","",Agent02_Savings!D29)</f>
        <v/>
      </c>
      <c r="F224" s="39" t="str">
        <f>IF(Agent02_Savings!A29="","",Agent02_Savings!E29)</f>
        <v/>
      </c>
      <c r="G224" s="39" t="str">
        <f>IF(Agent02_Savings!A29="","",Agent02_Savings!F29)</f>
        <v/>
      </c>
      <c r="H224" s="37" t="str">
        <f>IF(Agent02_Savings!A29="","",Agent02_Savings!I29)</f>
        <v/>
      </c>
      <c r="I224" s="37" t="str">
        <f>IF(Agent02_Savings!A29="","",Agent02_Savings!J29)</f>
        <v/>
      </c>
      <c r="J224" s="37" t="str">
        <f>IF(Agent02_Savings!A29="","",Agent02_Savings!K29)</f>
        <v/>
      </c>
      <c r="K224" s="37" t="str">
        <f>IFERROR(IF(Agent02_Savings!A29="","",YEAR(Agent02_Savings!D29)),"")</f>
        <v/>
      </c>
    </row>
    <row r="225" spans="1:11" ht="18" customHeight="1" x14ac:dyDescent="0.25">
      <c r="A225" s="37" t="str">
        <f>IF(Agent02_Savings!A30="","",Agent02_Savings!A30)</f>
        <v/>
      </c>
      <c r="B225" s="37" t="str">
        <f ca="1">IF(Agent02_Savings!A30="","","SV"&amp;TEXT(225-3,"0000")&amp;"-"&amp;TEXT(TODAY(),"YYYYMMDD"))</f>
        <v/>
      </c>
      <c r="C225" s="37" t="str">
        <f>IF(Agent02_Savings!A30="","",Agent02_Savings!B30)</f>
        <v/>
      </c>
      <c r="D225" s="37" t="str">
        <f>IF(Agent02_Savings!A30="","",Agent02_Savings!G30)</f>
        <v/>
      </c>
      <c r="E225" s="38" t="str">
        <f>IF(Agent02_Savings!A30="","",Agent02_Savings!D30)</f>
        <v/>
      </c>
      <c r="F225" s="39" t="str">
        <f>IF(Agent02_Savings!A30="","",Agent02_Savings!E30)</f>
        <v/>
      </c>
      <c r="G225" s="39" t="str">
        <f>IF(Agent02_Savings!A30="","",Agent02_Savings!F30)</f>
        <v/>
      </c>
      <c r="H225" s="37" t="str">
        <f>IF(Agent02_Savings!A30="","",Agent02_Savings!I30)</f>
        <v/>
      </c>
      <c r="I225" s="37" t="str">
        <f>IF(Agent02_Savings!A30="","",Agent02_Savings!J30)</f>
        <v/>
      </c>
      <c r="J225" s="37" t="str">
        <f>IF(Agent02_Savings!A30="","",Agent02_Savings!K30)</f>
        <v/>
      </c>
      <c r="K225" s="37" t="str">
        <f>IFERROR(IF(Agent02_Savings!A30="","",YEAR(Agent02_Savings!D30)),"")</f>
        <v/>
      </c>
    </row>
    <row r="226" spans="1:11" ht="18" customHeight="1" x14ac:dyDescent="0.25">
      <c r="A226" s="37" t="str">
        <f>IF(Agent02_Savings!A31="","",Agent02_Savings!A31)</f>
        <v/>
      </c>
      <c r="B226" s="37" t="str">
        <f ca="1">IF(Agent02_Savings!A31="","","SV"&amp;TEXT(226-3,"0000")&amp;"-"&amp;TEXT(TODAY(),"YYYYMMDD"))</f>
        <v/>
      </c>
      <c r="C226" s="37" t="str">
        <f>IF(Agent02_Savings!A31="","",Agent02_Savings!B31)</f>
        <v/>
      </c>
      <c r="D226" s="37" t="str">
        <f>IF(Agent02_Savings!A31="","",Agent02_Savings!G31)</f>
        <v/>
      </c>
      <c r="E226" s="38" t="str">
        <f>IF(Agent02_Savings!A31="","",Agent02_Savings!D31)</f>
        <v/>
      </c>
      <c r="F226" s="39" t="str">
        <f>IF(Agent02_Savings!A31="","",Agent02_Savings!E31)</f>
        <v/>
      </c>
      <c r="G226" s="39" t="str">
        <f>IF(Agent02_Savings!A31="","",Agent02_Savings!F31)</f>
        <v/>
      </c>
      <c r="H226" s="37" t="str">
        <f>IF(Agent02_Savings!A31="","",Agent02_Savings!I31)</f>
        <v/>
      </c>
      <c r="I226" s="37" t="str">
        <f>IF(Agent02_Savings!A31="","",Agent02_Savings!J31)</f>
        <v/>
      </c>
      <c r="J226" s="37" t="str">
        <f>IF(Agent02_Savings!A31="","",Agent02_Savings!K31)</f>
        <v/>
      </c>
      <c r="K226" s="37" t="str">
        <f>IFERROR(IF(Agent02_Savings!A31="","",YEAR(Agent02_Savings!D31)),"")</f>
        <v/>
      </c>
    </row>
    <row r="227" spans="1:11" ht="18" customHeight="1" x14ac:dyDescent="0.25">
      <c r="A227" s="37" t="str">
        <f>IF(Agent02_Savings!A32="","",Agent02_Savings!A32)</f>
        <v/>
      </c>
      <c r="B227" s="37" t="str">
        <f ca="1">IF(Agent02_Savings!A32="","","SV"&amp;TEXT(227-3,"0000")&amp;"-"&amp;TEXT(TODAY(),"YYYYMMDD"))</f>
        <v/>
      </c>
      <c r="C227" s="37" t="str">
        <f>IF(Agent02_Savings!A32="","",Agent02_Savings!B32)</f>
        <v/>
      </c>
      <c r="D227" s="37" t="str">
        <f>IF(Agent02_Savings!A32="","",Agent02_Savings!G32)</f>
        <v/>
      </c>
      <c r="E227" s="38" t="str">
        <f>IF(Agent02_Savings!A32="","",Agent02_Savings!D32)</f>
        <v/>
      </c>
      <c r="F227" s="39" t="str">
        <f>IF(Agent02_Savings!A32="","",Agent02_Savings!E32)</f>
        <v/>
      </c>
      <c r="G227" s="39" t="str">
        <f>IF(Agent02_Savings!A32="","",Agent02_Savings!F32)</f>
        <v/>
      </c>
      <c r="H227" s="37" t="str">
        <f>IF(Agent02_Savings!A32="","",Agent02_Savings!I32)</f>
        <v/>
      </c>
      <c r="I227" s="37" t="str">
        <f>IF(Agent02_Savings!A32="","",Agent02_Savings!J32)</f>
        <v/>
      </c>
      <c r="J227" s="37" t="str">
        <f>IF(Agent02_Savings!A32="","",Agent02_Savings!K32)</f>
        <v/>
      </c>
      <c r="K227" s="37" t="str">
        <f>IFERROR(IF(Agent02_Savings!A32="","",YEAR(Agent02_Savings!D32)),"")</f>
        <v/>
      </c>
    </row>
    <row r="228" spans="1:11" ht="18" customHeight="1" x14ac:dyDescent="0.25">
      <c r="A228" s="37" t="str">
        <f>IF(Agent02_Savings!A33="","",Agent02_Savings!A33)</f>
        <v/>
      </c>
      <c r="B228" s="37" t="str">
        <f ca="1">IF(Agent02_Savings!A33="","","SV"&amp;TEXT(228-3,"0000")&amp;"-"&amp;TEXT(TODAY(),"YYYYMMDD"))</f>
        <v/>
      </c>
      <c r="C228" s="37" t="str">
        <f>IF(Agent02_Savings!A33="","",Agent02_Savings!B33)</f>
        <v/>
      </c>
      <c r="D228" s="37" t="str">
        <f>IF(Agent02_Savings!A33="","",Agent02_Savings!G33)</f>
        <v/>
      </c>
      <c r="E228" s="38" t="str">
        <f>IF(Agent02_Savings!A33="","",Agent02_Savings!D33)</f>
        <v/>
      </c>
      <c r="F228" s="39" t="str">
        <f>IF(Agent02_Savings!A33="","",Agent02_Savings!E33)</f>
        <v/>
      </c>
      <c r="G228" s="39" t="str">
        <f>IF(Agent02_Savings!A33="","",Agent02_Savings!F33)</f>
        <v/>
      </c>
      <c r="H228" s="37" t="str">
        <f>IF(Agent02_Savings!A33="","",Agent02_Savings!I33)</f>
        <v/>
      </c>
      <c r="I228" s="37" t="str">
        <f>IF(Agent02_Savings!A33="","",Agent02_Savings!J33)</f>
        <v/>
      </c>
      <c r="J228" s="37" t="str">
        <f>IF(Agent02_Savings!A33="","",Agent02_Savings!K33)</f>
        <v/>
      </c>
      <c r="K228" s="37" t="str">
        <f>IFERROR(IF(Agent02_Savings!A33="","",YEAR(Agent02_Savings!D33)),"")</f>
        <v/>
      </c>
    </row>
    <row r="229" spans="1:11" ht="18" customHeight="1" x14ac:dyDescent="0.25">
      <c r="A229" s="37" t="str">
        <f>IF(Agent02_Savings!A34="","",Agent02_Savings!A34)</f>
        <v/>
      </c>
      <c r="B229" s="37" t="str">
        <f ca="1">IF(Agent02_Savings!A34="","","SV"&amp;TEXT(229-3,"0000")&amp;"-"&amp;TEXT(TODAY(),"YYYYMMDD"))</f>
        <v/>
      </c>
      <c r="C229" s="37" t="str">
        <f>IF(Agent02_Savings!A34="","",Agent02_Savings!B34)</f>
        <v/>
      </c>
      <c r="D229" s="37" t="str">
        <f>IF(Agent02_Savings!A34="","",Agent02_Savings!G34)</f>
        <v/>
      </c>
      <c r="E229" s="38" t="str">
        <f>IF(Agent02_Savings!A34="","",Agent02_Savings!D34)</f>
        <v/>
      </c>
      <c r="F229" s="39" t="str">
        <f>IF(Agent02_Savings!A34="","",Agent02_Savings!E34)</f>
        <v/>
      </c>
      <c r="G229" s="39" t="str">
        <f>IF(Agent02_Savings!A34="","",Agent02_Savings!F34)</f>
        <v/>
      </c>
      <c r="H229" s="37" t="str">
        <f>IF(Agent02_Savings!A34="","",Agent02_Savings!I34)</f>
        <v/>
      </c>
      <c r="I229" s="37" t="str">
        <f>IF(Agent02_Savings!A34="","",Agent02_Savings!J34)</f>
        <v/>
      </c>
      <c r="J229" s="37" t="str">
        <f>IF(Agent02_Savings!A34="","",Agent02_Savings!K34)</f>
        <v/>
      </c>
      <c r="K229" s="37" t="str">
        <f>IFERROR(IF(Agent02_Savings!A34="","",YEAR(Agent02_Savings!D34)),"")</f>
        <v/>
      </c>
    </row>
    <row r="230" spans="1:11" ht="18" customHeight="1" x14ac:dyDescent="0.25">
      <c r="A230" s="37" t="str">
        <f>IF(Agent02_Savings!A35="","",Agent02_Savings!A35)</f>
        <v/>
      </c>
      <c r="B230" s="37" t="str">
        <f ca="1">IF(Agent02_Savings!A35="","","SV"&amp;TEXT(230-3,"0000")&amp;"-"&amp;TEXT(TODAY(),"YYYYMMDD"))</f>
        <v/>
      </c>
      <c r="C230" s="37" t="str">
        <f>IF(Agent02_Savings!A35="","",Agent02_Savings!B35)</f>
        <v/>
      </c>
      <c r="D230" s="37" t="str">
        <f>IF(Agent02_Savings!A35="","",Agent02_Savings!G35)</f>
        <v/>
      </c>
      <c r="E230" s="38" t="str">
        <f>IF(Agent02_Savings!A35="","",Agent02_Savings!D35)</f>
        <v/>
      </c>
      <c r="F230" s="39" t="str">
        <f>IF(Agent02_Savings!A35="","",Agent02_Savings!E35)</f>
        <v/>
      </c>
      <c r="G230" s="39" t="str">
        <f>IF(Agent02_Savings!A35="","",Agent02_Savings!F35)</f>
        <v/>
      </c>
      <c r="H230" s="37" t="str">
        <f>IF(Agent02_Savings!A35="","",Agent02_Savings!I35)</f>
        <v/>
      </c>
      <c r="I230" s="37" t="str">
        <f>IF(Agent02_Savings!A35="","",Agent02_Savings!J35)</f>
        <v/>
      </c>
      <c r="J230" s="37" t="str">
        <f>IF(Agent02_Savings!A35="","",Agent02_Savings!K35)</f>
        <v/>
      </c>
      <c r="K230" s="37" t="str">
        <f>IFERROR(IF(Agent02_Savings!A35="","",YEAR(Agent02_Savings!D35)),"")</f>
        <v/>
      </c>
    </row>
    <row r="231" spans="1:11" ht="18" customHeight="1" x14ac:dyDescent="0.25">
      <c r="A231" s="37" t="str">
        <f>IF(Agent02_Savings!A36="","",Agent02_Savings!A36)</f>
        <v/>
      </c>
      <c r="B231" s="37" t="str">
        <f ca="1">IF(Agent02_Savings!A36="","","SV"&amp;TEXT(231-3,"0000")&amp;"-"&amp;TEXT(TODAY(),"YYYYMMDD"))</f>
        <v/>
      </c>
      <c r="C231" s="37" t="str">
        <f>IF(Agent02_Savings!A36="","",Agent02_Savings!B36)</f>
        <v/>
      </c>
      <c r="D231" s="37" t="str">
        <f>IF(Agent02_Savings!A36="","",Agent02_Savings!G36)</f>
        <v/>
      </c>
      <c r="E231" s="38" t="str">
        <f>IF(Agent02_Savings!A36="","",Agent02_Savings!D36)</f>
        <v/>
      </c>
      <c r="F231" s="39" t="str">
        <f>IF(Agent02_Savings!A36="","",Agent02_Savings!E36)</f>
        <v/>
      </c>
      <c r="G231" s="39" t="str">
        <f>IF(Agent02_Savings!A36="","",Agent02_Savings!F36)</f>
        <v/>
      </c>
      <c r="H231" s="37" t="str">
        <f>IF(Agent02_Savings!A36="","",Agent02_Savings!I36)</f>
        <v/>
      </c>
      <c r="I231" s="37" t="str">
        <f>IF(Agent02_Savings!A36="","",Agent02_Savings!J36)</f>
        <v/>
      </c>
      <c r="J231" s="37" t="str">
        <f>IF(Agent02_Savings!A36="","",Agent02_Savings!K36)</f>
        <v/>
      </c>
      <c r="K231" s="37" t="str">
        <f>IFERROR(IF(Agent02_Savings!A36="","",YEAR(Agent02_Savings!D36)),"")</f>
        <v/>
      </c>
    </row>
    <row r="232" spans="1:11" ht="18" customHeight="1" x14ac:dyDescent="0.25">
      <c r="A232" s="37" t="str">
        <f>IF(Agent02_Savings!A37="","",Agent02_Savings!A37)</f>
        <v/>
      </c>
      <c r="B232" s="37" t="str">
        <f ca="1">IF(Agent02_Savings!A37="","","SV"&amp;TEXT(232-3,"0000")&amp;"-"&amp;TEXT(TODAY(),"YYYYMMDD"))</f>
        <v/>
      </c>
      <c r="C232" s="37" t="str">
        <f>IF(Agent02_Savings!A37="","",Agent02_Savings!B37)</f>
        <v/>
      </c>
      <c r="D232" s="37" t="str">
        <f>IF(Agent02_Savings!A37="","",Agent02_Savings!G37)</f>
        <v/>
      </c>
      <c r="E232" s="38" t="str">
        <f>IF(Agent02_Savings!A37="","",Agent02_Savings!D37)</f>
        <v/>
      </c>
      <c r="F232" s="39" t="str">
        <f>IF(Agent02_Savings!A37="","",Agent02_Savings!E37)</f>
        <v/>
      </c>
      <c r="G232" s="39" t="str">
        <f>IF(Agent02_Savings!A37="","",Agent02_Savings!F37)</f>
        <v/>
      </c>
      <c r="H232" s="37" t="str">
        <f>IF(Agent02_Savings!A37="","",Agent02_Savings!I37)</f>
        <v/>
      </c>
      <c r="I232" s="37" t="str">
        <f>IF(Agent02_Savings!A37="","",Agent02_Savings!J37)</f>
        <v/>
      </c>
      <c r="J232" s="37" t="str">
        <f>IF(Agent02_Savings!A37="","",Agent02_Savings!K37)</f>
        <v/>
      </c>
      <c r="K232" s="37" t="str">
        <f>IFERROR(IF(Agent02_Savings!A37="","",YEAR(Agent02_Savings!D37)),"")</f>
        <v/>
      </c>
    </row>
    <row r="233" spans="1:11" ht="18" customHeight="1" x14ac:dyDescent="0.25">
      <c r="A233" s="37" t="str">
        <f>IF(Agent02_Savings!A38="","",Agent02_Savings!A38)</f>
        <v/>
      </c>
      <c r="B233" s="37" t="str">
        <f ca="1">IF(Agent02_Savings!A38="","","SV"&amp;TEXT(233-3,"0000")&amp;"-"&amp;TEXT(TODAY(),"YYYYMMDD"))</f>
        <v/>
      </c>
      <c r="C233" s="37" t="str">
        <f>IF(Agent02_Savings!A38="","",Agent02_Savings!B38)</f>
        <v/>
      </c>
      <c r="D233" s="37" t="str">
        <f>IF(Agent02_Savings!A38="","",Agent02_Savings!G38)</f>
        <v/>
      </c>
      <c r="E233" s="38" t="str">
        <f>IF(Agent02_Savings!A38="","",Agent02_Savings!D38)</f>
        <v/>
      </c>
      <c r="F233" s="39" t="str">
        <f>IF(Agent02_Savings!A38="","",Agent02_Savings!E38)</f>
        <v/>
      </c>
      <c r="G233" s="39" t="str">
        <f>IF(Agent02_Savings!A38="","",Agent02_Savings!F38)</f>
        <v/>
      </c>
      <c r="H233" s="37" t="str">
        <f>IF(Agent02_Savings!A38="","",Agent02_Savings!I38)</f>
        <v/>
      </c>
      <c r="I233" s="37" t="str">
        <f>IF(Agent02_Savings!A38="","",Agent02_Savings!J38)</f>
        <v/>
      </c>
      <c r="J233" s="37" t="str">
        <f>IF(Agent02_Savings!A38="","",Agent02_Savings!K38)</f>
        <v/>
      </c>
      <c r="K233" s="37" t="str">
        <f>IFERROR(IF(Agent02_Savings!A38="","",YEAR(Agent02_Savings!D38)),"")</f>
        <v/>
      </c>
    </row>
    <row r="234" spans="1:11" ht="18" customHeight="1" x14ac:dyDescent="0.25">
      <c r="A234" s="37" t="str">
        <f>IF(Agent02_Savings!A39="","",Agent02_Savings!A39)</f>
        <v/>
      </c>
      <c r="B234" s="37" t="str">
        <f ca="1">IF(Agent02_Savings!A39="","","SV"&amp;TEXT(234-3,"0000")&amp;"-"&amp;TEXT(TODAY(),"YYYYMMDD"))</f>
        <v/>
      </c>
      <c r="C234" s="37" t="str">
        <f>IF(Agent02_Savings!A39="","",Agent02_Savings!B39)</f>
        <v/>
      </c>
      <c r="D234" s="37" t="str">
        <f>IF(Agent02_Savings!A39="","",Agent02_Savings!G39)</f>
        <v/>
      </c>
      <c r="E234" s="38" t="str">
        <f>IF(Agent02_Savings!A39="","",Agent02_Savings!D39)</f>
        <v/>
      </c>
      <c r="F234" s="39" t="str">
        <f>IF(Agent02_Savings!A39="","",Agent02_Savings!E39)</f>
        <v/>
      </c>
      <c r="G234" s="39" t="str">
        <f>IF(Agent02_Savings!A39="","",Agent02_Savings!F39)</f>
        <v/>
      </c>
      <c r="H234" s="37" t="str">
        <f>IF(Agent02_Savings!A39="","",Agent02_Savings!I39)</f>
        <v/>
      </c>
      <c r="I234" s="37" t="str">
        <f>IF(Agent02_Savings!A39="","",Agent02_Savings!J39)</f>
        <v/>
      </c>
      <c r="J234" s="37" t="str">
        <f>IF(Agent02_Savings!A39="","",Agent02_Savings!K39)</f>
        <v/>
      </c>
      <c r="K234" s="37" t="str">
        <f>IFERROR(IF(Agent02_Savings!A39="","",YEAR(Agent02_Savings!D39)),"")</f>
        <v/>
      </c>
    </row>
    <row r="235" spans="1:11" ht="18" customHeight="1" x14ac:dyDescent="0.25">
      <c r="A235" s="37" t="str">
        <f>IF(Agent02_Savings!A40="","",Agent02_Savings!A40)</f>
        <v/>
      </c>
      <c r="B235" s="37" t="str">
        <f ca="1">IF(Agent02_Savings!A40="","","SV"&amp;TEXT(235-3,"0000")&amp;"-"&amp;TEXT(TODAY(),"YYYYMMDD"))</f>
        <v/>
      </c>
      <c r="C235" s="37" t="str">
        <f>IF(Agent02_Savings!A40="","",Agent02_Savings!B40)</f>
        <v/>
      </c>
      <c r="D235" s="37" t="str">
        <f>IF(Agent02_Savings!A40="","",Agent02_Savings!G40)</f>
        <v/>
      </c>
      <c r="E235" s="38" t="str">
        <f>IF(Agent02_Savings!A40="","",Agent02_Savings!D40)</f>
        <v/>
      </c>
      <c r="F235" s="39" t="str">
        <f>IF(Agent02_Savings!A40="","",Agent02_Savings!E40)</f>
        <v/>
      </c>
      <c r="G235" s="39" t="str">
        <f>IF(Agent02_Savings!A40="","",Agent02_Savings!F40)</f>
        <v/>
      </c>
      <c r="H235" s="37" t="str">
        <f>IF(Agent02_Savings!A40="","",Agent02_Savings!I40)</f>
        <v/>
      </c>
      <c r="I235" s="37" t="str">
        <f>IF(Agent02_Savings!A40="","",Agent02_Savings!J40)</f>
        <v/>
      </c>
      <c r="J235" s="37" t="str">
        <f>IF(Agent02_Savings!A40="","",Agent02_Savings!K40)</f>
        <v/>
      </c>
      <c r="K235" s="37" t="str">
        <f>IFERROR(IF(Agent02_Savings!A40="","",YEAR(Agent02_Savings!D40)),"")</f>
        <v/>
      </c>
    </row>
    <row r="236" spans="1:11" ht="18" customHeight="1" x14ac:dyDescent="0.25">
      <c r="A236" s="37" t="str">
        <f>IF(Agent02_Savings!A41="","",Agent02_Savings!A41)</f>
        <v/>
      </c>
      <c r="B236" s="37" t="str">
        <f ca="1">IF(Agent02_Savings!A41="","","SV"&amp;TEXT(236-3,"0000")&amp;"-"&amp;TEXT(TODAY(),"YYYYMMDD"))</f>
        <v/>
      </c>
      <c r="C236" s="37" t="str">
        <f>IF(Agent02_Savings!A41="","",Agent02_Savings!B41)</f>
        <v/>
      </c>
      <c r="D236" s="37" t="str">
        <f>IF(Agent02_Savings!A41="","",Agent02_Savings!G41)</f>
        <v/>
      </c>
      <c r="E236" s="38" t="str">
        <f>IF(Agent02_Savings!A41="","",Agent02_Savings!D41)</f>
        <v/>
      </c>
      <c r="F236" s="39" t="str">
        <f>IF(Agent02_Savings!A41="","",Agent02_Savings!E41)</f>
        <v/>
      </c>
      <c r="G236" s="39" t="str">
        <f>IF(Agent02_Savings!A41="","",Agent02_Savings!F41)</f>
        <v/>
      </c>
      <c r="H236" s="37" t="str">
        <f>IF(Agent02_Savings!A41="","",Agent02_Savings!I41)</f>
        <v/>
      </c>
      <c r="I236" s="37" t="str">
        <f>IF(Agent02_Savings!A41="","",Agent02_Savings!J41)</f>
        <v/>
      </c>
      <c r="J236" s="37" t="str">
        <f>IF(Agent02_Savings!A41="","",Agent02_Savings!K41)</f>
        <v/>
      </c>
      <c r="K236" s="37" t="str">
        <f>IFERROR(IF(Agent02_Savings!A41="","",YEAR(Agent02_Savings!D41)),"")</f>
        <v/>
      </c>
    </row>
    <row r="237" spans="1:11" ht="18" customHeight="1" x14ac:dyDescent="0.25">
      <c r="A237" s="37" t="str">
        <f>IF(Agent02_Savings!A42="","",Agent02_Savings!A42)</f>
        <v/>
      </c>
      <c r="B237" s="37" t="str">
        <f ca="1">IF(Agent02_Savings!A42="","","SV"&amp;TEXT(237-3,"0000")&amp;"-"&amp;TEXT(TODAY(),"YYYYMMDD"))</f>
        <v/>
      </c>
      <c r="C237" s="37" t="str">
        <f>IF(Agent02_Savings!A42="","",Agent02_Savings!B42)</f>
        <v/>
      </c>
      <c r="D237" s="37" t="str">
        <f>IF(Agent02_Savings!A42="","",Agent02_Savings!G42)</f>
        <v/>
      </c>
      <c r="E237" s="38" t="str">
        <f>IF(Agent02_Savings!A42="","",Agent02_Savings!D42)</f>
        <v/>
      </c>
      <c r="F237" s="39" t="str">
        <f>IF(Agent02_Savings!A42="","",Agent02_Savings!E42)</f>
        <v/>
      </c>
      <c r="G237" s="39" t="str">
        <f>IF(Agent02_Savings!A42="","",Agent02_Savings!F42)</f>
        <v/>
      </c>
      <c r="H237" s="37" t="str">
        <f>IF(Agent02_Savings!A42="","",Agent02_Savings!I42)</f>
        <v/>
      </c>
      <c r="I237" s="37" t="str">
        <f>IF(Agent02_Savings!A42="","",Agent02_Savings!J42)</f>
        <v/>
      </c>
      <c r="J237" s="37" t="str">
        <f>IF(Agent02_Savings!A42="","",Agent02_Savings!K42)</f>
        <v/>
      </c>
      <c r="K237" s="37" t="str">
        <f>IFERROR(IF(Agent02_Savings!A42="","",YEAR(Agent02_Savings!D42)),"")</f>
        <v/>
      </c>
    </row>
    <row r="238" spans="1:11" ht="18" customHeight="1" x14ac:dyDescent="0.25">
      <c r="A238" s="37" t="str">
        <f>IF(Agent02_Savings!A43="","",Agent02_Savings!A43)</f>
        <v/>
      </c>
      <c r="B238" s="37" t="str">
        <f ca="1">IF(Agent02_Savings!A43="","","SV"&amp;TEXT(238-3,"0000")&amp;"-"&amp;TEXT(TODAY(),"YYYYMMDD"))</f>
        <v/>
      </c>
      <c r="C238" s="37" t="str">
        <f>IF(Agent02_Savings!A43="","",Agent02_Savings!B43)</f>
        <v/>
      </c>
      <c r="D238" s="37" t="str">
        <f>IF(Agent02_Savings!A43="","",Agent02_Savings!G43)</f>
        <v/>
      </c>
      <c r="E238" s="38" t="str">
        <f>IF(Agent02_Savings!A43="","",Agent02_Savings!D43)</f>
        <v/>
      </c>
      <c r="F238" s="39" t="str">
        <f>IF(Agent02_Savings!A43="","",Agent02_Savings!E43)</f>
        <v/>
      </c>
      <c r="G238" s="39" t="str">
        <f>IF(Agent02_Savings!A43="","",Agent02_Savings!F43)</f>
        <v/>
      </c>
      <c r="H238" s="37" t="str">
        <f>IF(Agent02_Savings!A43="","",Agent02_Savings!I43)</f>
        <v/>
      </c>
      <c r="I238" s="37" t="str">
        <f>IF(Agent02_Savings!A43="","",Agent02_Savings!J43)</f>
        <v/>
      </c>
      <c r="J238" s="37" t="str">
        <f>IF(Agent02_Savings!A43="","",Agent02_Savings!K43)</f>
        <v/>
      </c>
      <c r="K238" s="37" t="str">
        <f>IFERROR(IF(Agent02_Savings!A43="","",YEAR(Agent02_Savings!D43)),"")</f>
        <v/>
      </c>
    </row>
    <row r="239" spans="1:11" ht="18" customHeight="1" x14ac:dyDescent="0.25">
      <c r="A239" s="37" t="str">
        <f>IF(Agent02_Savings!A44="","",Agent02_Savings!A44)</f>
        <v/>
      </c>
      <c r="B239" s="37" t="str">
        <f ca="1">IF(Agent02_Savings!A44="","","SV"&amp;TEXT(239-3,"0000")&amp;"-"&amp;TEXT(TODAY(),"YYYYMMDD"))</f>
        <v/>
      </c>
      <c r="C239" s="37" t="str">
        <f>IF(Agent02_Savings!A44="","",Agent02_Savings!B44)</f>
        <v/>
      </c>
      <c r="D239" s="37" t="str">
        <f>IF(Agent02_Savings!A44="","",Agent02_Savings!G44)</f>
        <v/>
      </c>
      <c r="E239" s="38" t="str">
        <f>IF(Agent02_Savings!A44="","",Agent02_Savings!D44)</f>
        <v/>
      </c>
      <c r="F239" s="39" t="str">
        <f>IF(Agent02_Savings!A44="","",Agent02_Savings!E44)</f>
        <v/>
      </c>
      <c r="G239" s="39" t="str">
        <f>IF(Agent02_Savings!A44="","",Agent02_Savings!F44)</f>
        <v/>
      </c>
      <c r="H239" s="37" t="str">
        <f>IF(Agent02_Savings!A44="","",Agent02_Savings!I44)</f>
        <v/>
      </c>
      <c r="I239" s="37" t="str">
        <f>IF(Agent02_Savings!A44="","",Agent02_Savings!J44)</f>
        <v/>
      </c>
      <c r="J239" s="37" t="str">
        <f>IF(Agent02_Savings!A44="","",Agent02_Savings!K44)</f>
        <v/>
      </c>
      <c r="K239" s="37" t="str">
        <f>IFERROR(IF(Agent02_Savings!A44="","",YEAR(Agent02_Savings!D44)),"")</f>
        <v/>
      </c>
    </row>
    <row r="240" spans="1:11" ht="18" customHeight="1" x14ac:dyDescent="0.25">
      <c r="A240" s="37" t="str">
        <f>IF(Agent02_Savings!A45="","",Agent02_Savings!A45)</f>
        <v/>
      </c>
      <c r="B240" s="37" t="str">
        <f ca="1">IF(Agent02_Savings!A45="","","SV"&amp;TEXT(240-3,"0000")&amp;"-"&amp;TEXT(TODAY(),"YYYYMMDD"))</f>
        <v/>
      </c>
      <c r="C240" s="37" t="str">
        <f>IF(Agent02_Savings!A45="","",Agent02_Savings!B45)</f>
        <v/>
      </c>
      <c r="D240" s="37" t="str">
        <f>IF(Agent02_Savings!A45="","",Agent02_Savings!G45)</f>
        <v/>
      </c>
      <c r="E240" s="38" t="str">
        <f>IF(Agent02_Savings!A45="","",Agent02_Savings!D45)</f>
        <v/>
      </c>
      <c r="F240" s="39" t="str">
        <f>IF(Agent02_Savings!A45="","",Agent02_Savings!E45)</f>
        <v/>
      </c>
      <c r="G240" s="39" t="str">
        <f>IF(Agent02_Savings!A45="","",Agent02_Savings!F45)</f>
        <v/>
      </c>
      <c r="H240" s="37" t="str">
        <f>IF(Agent02_Savings!A45="","",Agent02_Savings!I45)</f>
        <v/>
      </c>
      <c r="I240" s="37" t="str">
        <f>IF(Agent02_Savings!A45="","",Agent02_Savings!J45)</f>
        <v/>
      </c>
      <c r="J240" s="37" t="str">
        <f>IF(Agent02_Savings!A45="","",Agent02_Savings!K45)</f>
        <v/>
      </c>
      <c r="K240" s="37" t="str">
        <f>IFERROR(IF(Agent02_Savings!A45="","",YEAR(Agent02_Savings!D45)),"")</f>
        <v/>
      </c>
    </row>
    <row r="241" spans="1:11" ht="18" customHeight="1" x14ac:dyDescent="0.25">
      <c r="A241" s="37" t="str">
        <f>IF(Agent02_Savings!A46="","",Agent02_Savings!A46)</f>
        <v/>
      </c>
      <c r="B241" s="37" t="str">
        <f ca="1">IF(Agent02_Savings!A46="","","SV"&amp;TEXT(241-3,"0000")&amp;"-"&amp;TEXT(TODAY(),"YYYYMMDD"))</f>
        <v/>
      </c>
      <c r="C241" s="37" t="str">
        <f>IF(Agent02_Savings!A46="","",Agent02_Savings!B46)</f>
        <v/>
      </c>
      <c r="D241" s="37" t="str">
        <f>IF(Agent02_Savings!A46="","",Agent02_Savings!G46)</f>
        <v/>
      </c>
      <c r="E241" s="38" t="str">
        <f>IF(Agent02_Savings!A46="","",Agent02_Savings!D46)</f>
        <v/>
      </c>
      <c r="F241" s="39" t="str">
        <f>IF(Agent02_Savings!A46="","",Agent02_Savings!E46)</f>
        <v/>
      </c>
      <c r="G241" s="39" t="str">
        <f>IF(Agent02_Savings!A46="","",Agent02_Savings!F46)</f>
        <v/>
      </c>
      <c r="H241" s="37" t="str">
        <f>IF(Agent02_Savings!A46="","",Agent02_Savings!I46)</f>
        <v/>
      </c>
      <c r="I241" s="37" t="str">
        <f>IF(Agent02_Savings!A46="","",Agent02_Savings!J46)</f>
        <v/>
      </c>
      <c r="J241" s="37" t="str">
        <f>IF(Agent02_Savings!A46="","",Agent02_Savings!K46)</f>
        <v/>
      </c>
      <c r="K241" s="37" t="str">
        <f>IFERROR(IF(Agent02_Savings!A46="","",YEAR(Agent02_Savings!D46)),"")</f>
        <v/>
      </c>
    </row>
    <row r="242" spans="1:11" ht="18" customHeight="1" x14ac:dyDescent="0.25">
      <c r="A242" s="37" t="str">
        <f>IF(Agent02_Savings!A47="","",Agent02_Savings!A47)</f>
        <v/>
      </c>
      <c r="B242" s="37" t="str">
        <f ca="1">IF(Agent02_Savings!A47="","","SV"&amp;TEXT(242-3,"0000")&amp;"-"&amp;TEXT(TODAY(),"YYYYMMDD"))</f>
        <v/>
      </c>
      <c r="C242" s="37" t="str">
        <f>IF(Agent02_Savings!A47="","",Agent02_Savings!B47)</f>
        <v/>
      </c>
      <c r="D242" s="37" t="str">
        <f>IF(Agent02_Savings!A47="","",Agent02_Savings!G47)</f>
        <v/>
      </c>
      <c r="E242" s="38" t="str">
        <f>IF(Agent02_Savings!A47="","",Agent02_Savings!D47)</f>
        <v/>
      </c>
      <c r="F242" s="39" t="str">
        <f>IF(Agent02_Savings!A47="","",Agent02_Savings!E47)</f>
        <v/>
      </c>
      <c r="G242" s="39" t="str">
        <f>IF(Agent02_Savings!A47="","",Agent02_Savings!F47)</f>
        <v/>
      </c>
      <c r="H242" s="37" t="str">
        <f>IF(Agent02_Savings!A47="","",Agent02_Savings!I47)</f>
        <v/>
      </c>
      <c r="I242" s="37" t="str">
        <f>IF(Agent02_Savings!A47="","",Agent02_Savings!J47)</f>
        <v/>
      </c>
      <c r="J242" s="37" t="str">
        <f>IF(Agent02_Savings!A47="","",Agent02_Savings!K47)</f>
        <v/>
      </c>
      <c r="K242" s="37" t="str">
        <f>IFERROR(IF(Agent02_Savings!A47="","",YEAR(Agent02_Savings!D47)),"")</f>
        <v/>
      </c>
    </row>
    <row r="243" spans="1:11" ht="18" customHeight="1" x14ac:dyDescent="0.25">
      <c r="A243" s="37" t="str">
        <f>IF(Agent02_Savings!A48="","",Agent02_Savings!A48)</f>
        <v/>
      </c>
      <c r="B243" s="37" t="str">
        <f ca="1">IF(Agent02_Savings!A48="","","SV"&amp;TEXT(243-3,"0000")&amp;"-"&amp;TEXT(TODAY(),"YYYYMMDD"))</f>
        <v/>
      </c>
      <c r="C243" s="37" t="str">
        <f>IF(Agent02_Savings!A48="","",Agent02_Savings!B48)</f>
        <v/>
      </c>
      <c r="D243" s="37" t="str">
        <f>IF(Agent02_Savings!A48="","",Agent02_Savings!G48)</f>
        <v/>
      </c>
      <c r="E243" s="38" t="str">
        <f>IF(Agent02_Savings!A48="","",Agent02_Savings!D48)</f>
        <v/>
      </c>
      <c r="F243" s="39" t="str">
        <f>IF(Agent02_Savings!A48="","",Agent02_Savings!E48)</f>
        <v/>
      </c>
      <c r="G243" s="39" t="str">
        <f>IF(Agent02_Savings!A48="","",Agent02_Savings!F48)</f>
        <v/>
      </c>
      <c r="H243" s="37" t="str">
        <f>IF(Agent02_Savings!A48="","",Agent02_Savings!I48)</f>
        <v/>
      </c>
      <c r="I243" s="37" t="str">
        <f>IF(Agent02_Savings!A48="","",Agent02_Savings!J48)</f>
        <v/>
      </c>
      <c r="J243" s="37" t="str">
        <f>IF(Agent02_Savings!A48="","",Agent02_Savings!K48)</f>
        <v/>
      </c>
      <c r="K243" s="37" t="str">
        <f>IFERROR(IF(Agent02_Savings!A48="","",YEAR(Agent02_Savings!D48)),"")</f>
        <v/>
      </c>
    </row>
    <row r="244" spans="1:11" ht="18" customHeight="1" x14ac:dyDescent="0.25">
      <c r="A244" s="37" t="str">
        <f>IF(Agent02_Savings!A49="","",Agent02_Savings!A49)</f>
        <v/>
      </c>
      <c r="B244" s="37" t="str">
        <f ca="1">IF(Agent02_Savings!A49="","","SV"&amp;TEXT(244-3,"0000")&amp;"-"&amp;TEXT(TODAY(),"YYYYMMDD"))</f>
        <v/>
      </c>
      <c r="C244" s="37" t="str">
        <f>IF(Agent02_Savings!A49="","",Agent02_Savings!B49)</f>
        <v/>
      </c>
      <c r="D244" s="37" t="str">
        <f>IF(Agent02_Savings!A49="","",Agent02_Savings!G49)</f>
        <v/>
      </c>
      <c r="E244" s="38" t="str">
        <f>IF(Agent02_Savings!A49="","",Agent02_Savings!D49)</f>
        <v/>
      </c>
      <c r="F244" s="39" t="str">
        <f>IF(Agent02_Savings!A49="","",Agent02_Savings!E49)</f>
        <v/>
      </c>
      <c r="G244" s="39" t="str">
        <f>IF(Agent02_Savings!A49="","",Agent02_Savings!F49)</f>
        <v/>
      </c>
      <c r="H244" s="37" t="str">
        <f>IF(Agent02_Savings!A49="","",Agent02_Savings!I49)</f>
        <v/>
      </c>
      <c r="I244" s="37" t="str">
        <f>IF(Agent02_Savings!A49="","",Agent02_Savings!J49)</f>
        <v/>
      </c>
      <c r="J244" s="37" t="str">
        <f>IF(Agent02_Savings!A49="","",Agent02_Savings!K49)</f>
        <v/>
      </c>
      <c r="K244" s="37" t="str">
        <f>IFERROR(IF(Agent02_Savings!A49="","",YEAR(Agent02_Savings!D49)),"")</f>
        <v/>
      </c>
    </row>
    <row r="245" spans="1:11" ht="18" customHeight="1" x14ac:dyDescent="0.25">
      <c r="A245" s="37" t="str">
        <f>IF(Agent02_Savings!A50="","",Agent02_Savings!A50)</f>
        <v/>
      </c>
      <c r="B245" s="37" t="str">
        <f ca="1">IF(Agent02_Savings!A50="","","SV"&amp;TEXT(245-3,"0000")&amp;"-"&amp;TEXT(TODAY(),"YYYYMMDD"))</f>
        <v/>
      </c>
      <c r="C245" s="37" t="str">
        <f>IF(Agent02_Savings!A50="","",Agent02_Savings!B50)</f>
        <v/>
      </c>
      <c r="D245" s="37" t="str">
        <f>IF(Agent02_Savings!A50="","",Agent02_Savings!G50)</f>
        <v/>
      </c>
      <c r="E245" s="38" t="str">
        <f>IF(Agent02_Savings!A50="","",Agent02_Savings!D50)</f>
        <v/>
      </c>
      <c r="F245" s="39" t="str">
        <f>IF(Agent02_Savings!A50="","",Agent02_Savings!E50)</f>
        <v/>
      </c>
      <c r="G245" s="39" t="str">
        <f>IF(Agent02_Savings!A50="","",Agent02_Savings!F50)</f>
        <v/>
      </c>
      <c r="H245" s="37" t="str">
        <f>IF(Agent02_Savings!A50="","",Agent02_Savings!I50)</f>
        <v/>
      </c>
      <c r="I245" s="37" t="str">
        <f>IF(Agent02_Savings!A50="","",Agent02_Savings!J50)</f>
        <v/>
      </c>
      <c r="J245" s="37" t="str">
        <f>IF(Agent02_Savings!A50="","",Agent02_Savings!K50)</f>
        <v/>
      </c>
      <c r="K245" s="37" t="str">
        <f>IFERROR(IF(Agent02_Savings!A50="","",YEAR(Agent02_Savings!D50)),"")</f>
        <v/>
      </c>
    </row>
    <row r="246" spans="1:11" ht="18" customHeight="1" x14ac:dyDescent="0.25">
      <c r="A246" s="37" t="str">
        <f>IF(Agent02_Savings!A51="","",Agent02_Savings!A51)</f>
        <v/>
      </c>
      <c r="B246" s="37" t="str">
        <f ca="1">IF(Agent02_Savings!A51="","","SV"&amp;TEXT(246-3,"0000")&amp;"-"&amp;TEXT(TODAY(),"YYYYMMDD"))</f>
        <v/>
      </c>
      <c r="C246" s="37" t="str">
        <f>IF(Agent02_Savings!A51="","",Agent02_Savings!B51)</f>
        <v/>
      </c>
      <c r="D246" s="37" t="str">
        <f>IF(Agent02_Savings!A51="","",Agent02_Savings!G51)</f>
        <v/>
      </c>
      <c r="E246" s="38" t="str">
        <f>IF(Agent02_Savings!A51="","",Agent02_Savings!D51)</f>
        <v/>
      </c>
      <c r="F246" s="39" t="str">
        <f>IF(Agent02_Savings!A51="","",Agent02_Savings!E51)</f>
        <v/>
      </c>
      <c r="G246" s="39" t="str">
        <f>IF(Agent02_Savings!A51="","",Agent02_Savings!F51)</f>
        <v/>
      </c>
      <c r="H246" s="37" t="str">
        <f>IF(Agent02_Savings!A51="","",Agent02_Savings!I51)</f>
        <v/>
      </c>
      <c r="I246" s="37" t="str">
        <f>IF(Agent02_Savings!A51="","",Agent02_Savings!J51)</f>
        <v/>
      </c>
      <c r="J246" s="37" t="str">
        <f>IF(Agent02_Savings!A51="","",Agent02_Savings!K51)</f>
        <v/>
      </c>
      <c r="K246" s="37" t="str">
        <f>IFERROR(IF(Agent02_Savings!A51="","",YEAR(Agent02_Savings!D51)),"")</f>
        <v/>
      </c>
    </row>
    <row r="247" spans="1:11" ht="18" customHeight="1" x14ac:dyDescent="0.25">
      <c r="A247" s="37" t="str">
        <f>IF(Agent02_Savings!A52="","",Agent02_Savings!A52)</f>
        <v/>
      </c>
      <c r="B247" s="37" t="str">
        <f ca="1">IF(Agent02_Savings!A52="","","SV"&amp;TEXT(247-3,"0000")&amp;"-"&amp;TEXT(TODAY(),"YYYYMMDD"))</f>
        <v/>
      </c>
      <c r="C247" s="37" t="str">
        <f>IF(Agent02_Savings!A52="","",Agent02_Savings!B52)</f>
        <v/>
      </c>
      <c r="D247" s="37" t="str">
        <f>IF(Agent02_Savings!A52="","",Agent02_Savings!G52)</f>
        <v/>
      </c>
      <c r="E247" s="38" t="str">
        <f>IF(Agent02_Savings!A52="","",Agent02_Savings!D52)</f>
        <v/>
      </c>
      <c r="F247" s="39" t="str">
        <f>IF(Agent02_Savings!A52="","",Agent02_Savings!E52)</f>
        <v/>
      </c>
      <c r="G247" s="39" t="str">
        <f>IF(Agent02_Savings!A52="","",Agent02_Savings!F52)</f>
        <v/>
      </c>
      <c r="H247" s="37" t="str">
        <f>IF(Agent02_Savings!A52="","",Agent02_Savings!I52)</f>
        <v/>
      </c>
      <c r="I247" s="37" t="str">
        <f>IF(Agent02_Savings!A52="","",Agent02_Savings!J52)</f>
        <v/>
      </c>
      <c r="J247" s="37" t="str">
        <f>IF(Agent02_Savings!A52="","",Agent02_Savings!K52)</f>
        <v/>
      </c>
      <c r="K247" s="37" t="str">
        <f>IFERROR(IF(Agent02_Savings!A52="","",YEAR(Agent02_Savings!D52)),"")</f>
        <v/>
      </c>
    </row>
    <row r="248" spans="1:11" ht="18" customHeight="1" x14ac:dyDescent="0.25">
      <c r="A248" s="37" t="str">
        <f>IF(Agent02_Savings!A53="","",Agent02_Savings!A53)</f>
        <v/>
      </c>
      <c r="B248" s="37" t="str">
        <f ca="1">IF(Agent02_Savings!A53="","","SV"&amp;TEXT(248-3,"0000")&amp;"-"&amp;TEXT(TODAY(),"YYYYMMDD"))</f>
        <v/>
      </c>
      <c r="C248" s="37" t="str">
        <f>IF(Agent02_Savings!A53="","",Agent02_Savings!B53)</f>
        <v/>
      </c>
      <c r="D248" s="37" t="str">
        <f>IF(Agent02_Savings!A53="","",Agent02_Savings!G53)</f>
        <v/>
      </c>
      <c r="E248" s="38" t="str">
        <f>IF(Agent02_Savings!A53="","",Agent02_Savings!D53)</f>
        <v/>
      </c>
      <c r="F248" s="39" t="str">
        <f>IF(Agent02_Savings!A53="","",Agent02_Savings!E53)</f>
        <v/>
      </c>
      <c r="G248" s="39" t="str">
        <f>IF(Agent02_Savings!A53="","",Agent02_Savings!F53)</f>
        <v/>
      </c>
      <c r="H248" s="37" t="str">
        <f>IF(Agent02_Savings!A53="","",Agent02_Savings!I53)</f>
        <v/>
      </c>
      <c r="I248" s="37" t="str">
        <f>IF(Agent02_Savings!A53="","",Agent02_Savings!J53)</f>
        <v/>
      </c>
      <c r="J248" s="37" t="str">
        <f>IF(Agent02_Savings!A53="","",Agent02_Savings!K53)</f>
        <v/>
      </c>
      <c r="K248" s="37" t="str">
        <f>IFERROR(IF(Agent02_Savings!A53="","",YEAR(Agent02_Savings!D53)),"")</f>
        <v/>
      </c>
    </row>
    <row r="249" spans="1:11" ht="18" customHeight="1" x14ac:dyDescent="0.25">
      <c r="A249" s="37" t="str">
        <f>IF(Agent02_Savings!A54="","",Agent02_Savings!A54)</f>
        <v/>
      </c>
      <c r="B249" s="37" t="str">
        <f ca="1">IF(Agent02_Savings!A54="","","SV"&amp;TEXT(249-3,"0000")&amp;"-"&amp;TEXT(TODAY(),"YYYYMMDD"))</f>
        <v/>
      </c>
      <c r="C249" s="37" t="str">
        <f>IF(Agent02_Savings!A54="","",Agent02_Savings!B54)</f>
        <v/>
      </c>
      <c r="D249" s="37" t="str">
        <f>IF(Agent02_Savings!A54="","",Agent02_Savings!G54)</f>
        <v/>
      </c>
      <c r="E249" s="38" t="str">
        <f>IF(Agent02_Savings!A54="","",Agent02_Savings!D54)</f>
        <v/>
      </c>
      <c r="F249" s="39" t="str">
        <f>IF(Agent02_Savings!A54="","",Agent02_Savings!E54)</f>
        <v/>
      </c>
      <c r="G249" s="39" t="str">
        <f>IF(Agent02_Savings!A54="","",Agent02_Savings!F54)</f>
        <v/>
      </c>
      <c r="H249" s="37" t="str">
        <f>IF(Agent02_Savings!A54="","",Agent02_Savings!I54)</f>
        <v/>
      </c>
      <c r="I249" s="37" t="str">
        <f>IF(Agent02_Savings!A54="","",Agent02_Savings!J54)</f>
        <v/>
      </c>
      <c r="J249" s="37" t="str">
        <f>IF(Agent02_Savings!A54="","",Agent02_Savings!K54)</f>
        <v/>
      </c>
      <c r="K249" s="37" t="str">
        <f>IFERROR(IF(Agent02_Savings!A54="","",YEAR(Agent02_Savings!D54)),"")</f>
        <v/>
      </c>
    </row>
    <row r="250" spans="1:11" ht="18" customHeight="1" x14ac:dyDescent="0.25">
      <c r="A250" s="37" t="str">
        <f>IF(Agent02_Savings!A55="","",Agent02_Savings!A55)</f>
        <v/>
      </c>
      <c r="B250" s="37" t="str">
        <f ca="1">IF(Agent02_Savings!A55="","","SV"&amp;TEXT(250-3,"0000")&amp;"-"&amp;TEXT(TODAY(),"YYYYMMDD"))</f>
        <v/>
      </c>
      <c r="C250" s="37" t="str">
        <f>IF(Agent02_Savings!A55="","",Agent02_Savings!B55)</f>
        <v/>
      </c>
      <c r="D250" s="37" t="str">
        <f>IF(Agent02_Savings!A55="","",Agent02_Savings!G55)</f>
        <v/>
      </c>
      <c r="E250" s="38" t="str">
        <f>IF(Agent02_Savings!A55="","",Agent02_Savings!D55)</f>
        <v/>
      </c>
      <c r="F250" s="39" t="str">
        <f>IF(Agent02_Savings!A55="","",Agent02_Savings!E55)</f>
        <v/>
      </c>
      <c r="G250" s="39" t="str">
        <f>IF(Agent02_Savings!A55="","",Agent02_Savings!F55)</f>
        <v/>
      </c>
      <c r="H250" s="37" t="str">
        <f>IF(Agent02_Savings!A55="","",Agent02_Savings!I55)</f>
        <v/>
      </c>
      <c r="I250" s="37" t="str">
        <f>IF(Agent02_Savings!A55="","",Agent02_Savings!J55)</f>
        <v/>
      </c>
      <c r="J250" s="37" t="str">
        <f>IF(Agent02_Savings!A55="","",Agent02_Savings!K55)</f>
        <v/>
      </c>
      <c r="K250" s="37" t="str">
        <f>IFERROR(IF(Agent02_Savings!A55="","",YEAR(Agent02_Savings!D55)),"")</f>
        <v/>
      </c>
    </row>
    <row r="251" spans="1:11" ht="18" customHeight="1" x14ac:dyDescent="0.25">
      <c r="A251" s="37" t="str">
        <f>IF(Agent02_Savings!A56="","",Agent02_Savings!A56)</f>
        <v/>
      </c>
      <c r="B251" s="37" t="str">
        <f ca="1">IF(Agent02_Savings!A56="","","SV"&amp;TEXT(251-3,"0000")&amp;"-"&amp;TEXT(TODAY(),"YYYYMMDD"))</f>
        <v/>
      </c>
      <c r="C251" s="37" t="str">
        <f>IF(Agent02_Savings!A56="","",Agent02_Savings!B56)</f>
        <v/>
      </c>
      <c r="D251" s="37" t="str">
        <f>IF(Agent02_Savings!A56="","",Agent02_Savings!G56)</f>
        <v/>
      </c>
      <c r="E251" s="38" t="str">
        <f>IF(Agent02_Savings!A56="","",Agent02_Savings!D56)</f>
        <v/>
      </c>
      <c r="F251" s="39" t="str">
        <f>IF(Agent02_Savings!A56="","",Agent02_Savings!E56)</f>
        <v/>
      </c>
      <c r="G251" s="39" t="str">
        <f>IF(Agent02_Savings!A56="","",Agent02_Savings!F56)</f>
        <v/>
      </c>
      <c r="H251" s="37" t="str">
        <f>IF(Agent02_Savings!A56="","",Agent02_Savings!I56)</f>
        <v/>
      </c>
      <c r="I251" s="37" t="str">
        <f>IF(Agent02_Savings!A56="","",Agent02_Savings!J56)</f>
        <v/>
      </c>
      <c r="J251" s="37" t="str">
        <f>IF(Agent02_Savings!A56="","",Agent02_Savings!K56)</f>
        <v/>
      </c>
      <c r="K251" s="37" t="str">
        <f>IFERROR(IF(Agent02_Savings!A56="","",YEAR(Agent02_Savings!D56)),"")</f>
        <v/>
      </c>
    </row>
    <row r="252" spans="1:11" ht="18" customHeight="1" x14ac:dyDescent="0.25">
      <c r="A252" s="37" t="str">
        <f>IF(Agent02_Savings!A57="","",Agent02_Savings!A57)</f>
        <v/>
      </c>
      <c r="B252" s="37" t="str">
        <f ca="1">IF(Agent02_Savings!A57="","","SV"&amp;TEXT(252-3,"0000")&amp;"-"&amp;TEXT(TODAY(),"YYYYMMDD"))</f>
        <v/>
      </c>
      <c r="C252" s="37" t="str">
        <f>IF(Agent02_Savings!A57="","",Agent02_Savings!B57)</f>
        <v/>
      </c>
      <c r="D252" s="37" t="str">
        <f>IF(Agent02_Savings!A57="","",Agent02_Savings!G57)</f>
        <v/>
      </c>
      <c r="E252" s="38" t="str">
        <f>IF(Agent02_Savings!A57="","",Agent02_Savings!D57)</f>
        <v/>
      </c>
      <c r="F252" s="39" t="str">
        <f>IF(Agent02_Savings!A57="","",Agent02_Savings!E57)</f>
        <v/>
      </c>
      <c r="G252" s="39" t="str">
        <f>IF(Agent02_Savings!A57="","",Agent02_Savings!F57)</f>
        <v/>
      </c>
      <c r="H252" s="37" t="str">
        <f>IF(Agent02_Savings!A57="","",Agent02_Savings!I57)</f>
        <v/>
      </c>
      <c r="I252" s="37" t="str">
        <f>IF(Agent02_Savings!A57="","",Agent02_Savings!J57)</f>
        <v/>
      </c>
      <c r="J252" s="37" t="str">
        <f>IF(Agent02_Savings!A57="","",Agent02_Savings!K57)</f>
        <v/>
      </c>
      <c r="K252" s="37" t="str">
        <f>IFERROR(IF(Agent02_Savings!A57="","",YEAR(Agent02_Savings!D57)),"")</f>
        <v/>
      </c>
    </row>
    <row r="253" spans="1:11" ht="18" customHeight="1" x14ac:dyDescent="0.25">
      <c r="A253" s="37" t="str">
        <f>IF(Agent02_Savings!A58="","",Agent02_Savings!A58)</f>
        <v/>
      </c>
      <c r="B253" s="37" t="str">
        <f ca="1">IF(Agent02_Savings!A58="","","SV"&amp;TEXT(253-3,"0000")&amp;"-"&amp;TEXT(TODAY(),"YYYYMMDD"))</f>
        <v/>
      </c>
      <c r="C253" s="37" t="str">
        <f>IF(Agent02_Savings!A58="","",Agent02_Savings!B58)</f>
        <v/>
      </c>
      <c r="D253" s="37" t="str">
        <f>IF(Agent02_Savings!A58="","",Agent02_Savings!G58)</f>
        <v/>
      </c>
      <c r="E253" s="38" t="str">
        <f>IF(Agent02_Savings!A58="","",Agent02_Savings!D58)</f>
        <v/>
      </c>
      <c r="F253" s="39" t="str">
        <f>IF(Agent02_Savings!A58="","",Agent02_Savings!E58)</f>
        <v/>
      </c>
      <c r="G253" s="39" t="str">
        <f>IF(Agent02_Savings!A58="","",Agent02_Savings!F58)</f>
        <v/>
      </c>
      <c r="H253" s="37" t="str">
        <f>IF(Agent02_Savings!A58="","",Agent02_Savings!I58)</f>
        <v/>
      </c>
      <c r="I253" s="37" t="str">
        <f>IF(Agent02_Savings!A58="","",Agent02_Savings!J58)</f>
        <v/>
      </c>
      <c r="J253" s="37" t="str">
        <f>IF(Agent02_Savings!A58="","",Agent02_Savings!K58)</f>
        <v/>
      </c>
      <c r="K253" s="37" t="str">
        <f>IFERROR(IF(Agent02_Savings!A58="","",YEAR(Agent02_Savings!D58)),"")</f>
        <v/>
      </c>
    </row>
    <row r="254" spans="1:11" ht="18" customHeight="1" x14ac:dyDescent="0.25">
      <c r="A254" s="37" t="str">
        <f>IF(Agent02_Savings!A59="","",Agent02_Savings!A59)</f>
        <v/>
      </c>
      <c r="B254" s="37" t="str">
        <f ca="1">IF(Agent02_Savings!A59="","","SV"&amp;TEXT(254-3,"0000")&amp;"-"&amp;TEXT(TODAY(),"YYYYMMDD"))</f>
        <v/>
      </c>
      <c r="C254" s="37" t="str">
        <f>IF(Agent02_Savings!A59="","",Agent02_Savings!B59)</f>
        <v/>
      </c>
      <c r="D254" s="37" t="str">
        <f>IF(Agent02_Savings!A59="","",Agent02_Savings!G59)</f>
        <v/>
      </c>
      <c r="E254" s="38" t="str">
        <f>IF(Agent02_Savings!A59="","",Agent02_Savings!D59)</f>
        <v/>
      </c>
      <c r="F254" s="39" t="str">
        <f>IF(Agent02_Savings!A59="","",Agent02_Savings!E59)</f>
        <v/>
      </c>
      <c r="G254" s="39" t="str">
        <f>IF(Agent02_Savings!A59="","",Agent02_Savings!F59)</f>
        <v/>
      </c>
      <c r="H254" s="37" t="str">
        <f>IF(Agent02_Savings!A59="","",Agent02_Savings!I59)</f>
        <v/>
      </c>
      <c r="I254" s="37" t="str">
        <f>IF(Agent02_Savings!A59="","",Agent02_Savings!J59)</f>
        <v/>
      </c>
      <c r="J254" s="37" t="str">
        <f>IF(Agent02_Savings!A59="","",Agent02_Savings!K59)</f>
        <v/>
      </c>
      <c r="K254" s="37" t="str">
        <f>IFERROR(IF(Agent02_Savings!A59="","",YEAR(Agent02_Savings!D59)),"")</f>
        <v/>
      </c>
    </row>
    <row r="255" spans="1:11" ht="18" customHeight="1" x14ac:dyDescent="0.25">
      <c r="A255" s="37" t="str">
        <f>IF(Agent02_Savings!A60="","",Agent02_Savings!A60)</f>
        <v/>
      </c>
      <c r="B255" s="37" t="str">
        <f ca="1">IF(Agent02_Savings!A60="","","SV"&amp;TEXT(255-3,"0000")&amp;"-"&amp;TEXT(TODAY(),"YYYYMMDD"))</f>
        <v/>
      </c>
      <c r="C255" s="37" t="str">
        <f>IF(Agent02_Savings!A60="","",Agent02_Savings!B60)</f>
        <v/>
      </c>
      <c r="D255" s="37" t="str">
        <f>IF(Agent02_Savings!A60="","",Agent02_Savings!G60)</f>
        <v/>
      </c>
      <c r="E255" s="38" t="str">
        <f>IF(Agent02_Savings!A60="","",Agent02_Savings!D60)</f>
        <v/>
      </c>
      <c r="F255" s="39" t="str">
        <f>IF(Agent02_Savings!A60="","",Agent02_Savings!E60)</f>
        <v/>
      </c>
      <c r="G255" s="39" t="str">
        <f>IF(Agent02_Savings!A60="","",Agent02_Savings!F60)</f>
        <v/>
      </c>
      <c r="H255" s="37" t="str">
        <f>IF(Agent02_Savings!A60="","",Agent02_Savings!I60)</f>
        <v/>
      </c>
      <c r="I255" s="37" t="str">
        <f>IF(Agent02_Savings!A60="","",Agent02_Savings!J60)</f>
        <v/>
      </c>
      <c r="J255" s="37" t="str">
        <f>IF(Agent02_Savings!A60="","",Agent02_Savings!K60)</f>
        <v/>
      </c>
      <c r="K255" s="37" t="str">
        <f>IFERROR(IF(Agent02_Savings!A60="","",YEAR(Agent02_Savings!D60)),"")</f>
        <v/>
      </c>
    </row>
    <row r="256" spans="1:11" ht="18" customHeight="1" x14ac:dyDescent="0.25">
      <c r="A256" s="37" t="str">
        <f>IF(Agent02_Savings!A61="","",Agent02_Savings!A61)</f>
        <v/>
      </c>
      <c r="B256" s="37" t="str">
        <f ca="1">IF(Agent02_Savings!A61="","","SV"&amp;TEXT(256-3,"0000")&amp;"-"&amp;TEXT(TODAY(),"YYYYMMDD"))</f>
        <v/>
      </c>
      <c r="C256" s="37" t="str">
        <f>IF(Agent02_Savings!A61="","",Agent02_Savings!B61)</f>
        <v/>
      </c>
      <c r="D256" s="37" t="str">
        <f>IF(Agent02_Savings!A61="","",Agent02_Savings!G61)</f>
        <v/>
      </c>
      <c r="E256" s="38" t="str">
        <f>IF(Agent02_Savings!A61="","",Agent02_Savings!D61)</f>
        <v/>
      </c>
      <c r="F256" s="39" t="str">
        <f>IF(Agent02_Savings!A61="","",Agent02_Savings!E61)</f>
        <v/>
      </c>
      <c r="G256" s="39" t="str">
        <f>IF(Agent02_Savings!A61="","",Agent02_Savings!F61)</f>
        <v/>
      </c>
      <c r="H256" s="37" t="str">
        <f>IF(Agent02_Savings!A61="","",Agent02_Savings!I61)</f>
        <v/>
      </c>
      <c r="I256" s="37" t="str">
        <f>IF(Agent02_Savings!A61="","",Agent02_Savings!J61)</f>
        <v/>
      </c>
      <c r="J256" s="37" t="str">
        <f>IF(Agent02_Savings!A61="","",Agent02_Savings!K61)</f>
        <v/>
      </c>
      <c r="K256" s="37" t="str">
        <f>IFERROR(IF(Agent02_Savings!A61="","",YEAR(Agent02_Savings!D61)),"")</f>
        <v/>
      </c>
    </row>
    <row r="257" spans="1:11" ht="18" customHeight="1" x14ac:dyDescent="0.25">
      <c r="A257" s="37" t="str">
        <f>IF(Agent02_Savings!A62="","",Agent02_Savings!A62)</f>
        <v/>
      </c>
      <c r="B257" s="37" t="str">
        <f ca="1">IF(Agent02_Savings!A62="","","SV"&amp;TEXT(257-3,"0000")&amp;"-"&amp;TEXT(TODAY(),"YYYYMMDD"))</f>
        <v/>
      </c>
      <c r="C257" s="37" t="str">
        <f>IF(Agent02_Savings!A62="","",Agent02_Savings!B62)</f>
        <v/>
      </c>
      <c r="D257" s="37" t="str">
        <f>IF(Agent02_Savings!A62="","",Agent02_Savings!G62)</f>
        <v/>
      </c>
      <c r="E257" s="38" t="str">
        <f>IF(Agent02_Savings!A62="","",Agent02_Savings!D62)</f>
        <v/>
      </c>
      <c r="F257" s="39" t="str">
        <f>IF(Agent02_Savings!A62="","",Agent02_Savings!E62)</f>
        <v/>
      </c>
      <c r="G257" s="39" t="str">
        <f>IF(Agent02_Savings!A62="","",Agent02_Savings!F62)</f>
        <v/>
      </c>
      <c r="H257" s="37" t="str">
        <f>IF(Agent02_Savings!A62="","",Agent02_Savings!I62)</f>
        <v/>
      </c>
      <c r="I257" s="37" t="str">
        <f>IF(Agent02_Savings!A62="","",Agent02_Savings!J62)</f>
        <v/>
      </c>
      <c r="J257" s="37" t="str">
        <f>IF(Agent02_Savings!A62="","",Agent02_Savings!K62)</f>
        <v/>
      </c>
      <c r="K257" s="37" t="str">
        <f>IFERROR(IF(Agent02_Savings!A62="","",YEAR(Agent02_Savings!D62)),"")</f>
        <v/>
      </c>
    </row>
    <row r="258" spans="1:11" ht="18" customHeight="1" x14ac:dyDescent="0.25">
      <c r="A258" s="37" t="str">
        <f>IF(Agent02_Savings!A63="","",Agent02_Savings!A63)</f>
        <v/>
      </c>
      <c r="B258" s="37" t="str">
        <f ca="1">IF(Agent02_Savings!A63="","","SV"&amp;TEXT(258-3,"0000")&amp;"-"&amp;TEXT(TODAY(),"YYYYMMDD"))</f>
        <v/>
      </c>
      <c r="C258" s="37" t="str">
        <f>IF(Agent02_Savings!A63="","",Agent02_Savings!B63)</f>
        <v/>
      </c>
      <c r="D258" s="37" t="str">
        <f>IF(Agent02_Savings!A63="","",Agent02_Savings!G63)</f>
        <v/>
      </c>
      <c r="E258" s="38" t="str">
        <f>IF(Agent02_Savings!A63="","",Agent02_Savings!D63)</f>
        <v/>
      </c>
      <c r="F258" s="39" t="str">
        <f>IF(Agent02_Savings!A63="","",Agent02_Savings!E63)</f>
        <v/>
      </c>
      <c r="G258" s="39" t="str">
        <f>IF(Agent02_Savings!A63="","",Agent02_Savings!F63)</f>
        <v/>
      </c>
      <c r="H258" s="37" t="str">
        <f>IF(Agent02_Savings!A63="","",Agent02_Savings!I63)</f>
        <v/>
      </c>
      <c r="I258" s="37" t="str">
        <f>IF(Agent02_Savings!A63="","",Agent02_Savings!J63)</f>
        <v/>
      </c>
      <c r="J258" s="37" t="str">
        <f>IF(Agent02_Savings!A63="","",Agent02_Savings!K63)</f>
        <v/>
      </c>
      <c r="K258" s="37" t="str">
        <f>IFERROR(IF(Agent02_Savings!A63="","",YEAR(Agent02_Savings!D63)),"")</f>
        <v/>
      </c>
    </row>
    <row r="259" spans="1:11" ht="18" customHeight="1" x14ac:dyDescent="0.25">
      <c r="A259" s="37" t="str">
        <f>IF(Agent02_Savings!A64="","",Agent02_Savings!A64)</f>
        <v/>
      </c>
      <c r="B259" s="37" t="str">
        <f ca="1">IF(Agent02_Savings!A64="","","SV"&amp;TEXT(259-3,"0000")&amp;"-"&amp;TEXT(TODAY(),"YYYYMMDD"))</f>
        <v/>
      </c>
      <c r="C259" s="37" t="str">
        <f>IF(Agent02_Savings!A64="","",Agent02_Savings!B64)</f>
        <v/>
      </c>
      <c r="D259" s="37" t="str">
        <f>IF(Agent02_Savings!A64="","",Agent02_Savings!G64)</f>
        <v/>
      </c>
      <c r="E259" s="38" t="str">
        <f>IF(Agent02_Savings!A64="","",Agent02_Savings!D64)</f>
        <v/>
      </c>
      <c r="F259" s="39" t="str">
        <f>IF(Agent02_Savings!A64="","",Agent02_Savings!E64)</f>
        <v/>
      </c>
      <c r="G259" s="39" t="str">
        <f>IF(Agent02_Savings!A64="","",Agent02_Savings!F64)</f>
        <v/>
      </c>
      <c r="H259" s="37" t="str">
        <f>IF(Agent02_Savings!A64="","",Agent02_Savings!I64)</f>
        <v/>
      </c>
      <c r="I259" s="37" t="str">
        <f>IF(Agent02_Savings!A64="","",Agent02_Savings!J64)</f>
        <v/>
      </c>
      <c r="J259" s="37" t="str">
        <f>IF(Agent02_Savings!A64="","",Agent02_Savings!K64)</f>
        <v/>
      </c>
      <c r="K259" s="37" t="str">
        <f>IFERROR(IF(Agent02_Savings!A64="","",YEAR(Agent02_Savings!D64)),"")</f>
        <v/>
      </c>
    </row>
    <row r="260" spans="1:11" ht="18" customHeight="1" x14ac:dyDescent="0.25">
      <c r="A260" s="37" t="str">
        <f>IF(Agent02_Savings!A65="","",Agent02_Savings!A65)</f>
        <v/>
      </c>
      <c r="B260" s="37" t="str">
        <f ca="1">IF(Agent02_Savings!A65="","","SV"&amp;TEXT(260-3,"0000")&amp;"-"&amp;TEXT(TODAY(),"YYYYMMDD"))</f>
        <v/>
      </c>
      <c r="C260" s="37" t="str">
        <f>IF(Agent02_Savings!A65="","",Agent02_Savings!B65)</f>
        <v/>
      </c>
      <c r="D260" s="37" t="str">
        <f>IF(Agent02_Savings!A65="","",Agent02_Savings!G65)</f>
        <v/>
      </c>
      <c r="E260" s="38" t="str">
        <f>IF(Agent02_Savings!A65="","",Agent02_Savings!D65)</f>
        <v/>
      </c>
      <c r="F260" s="39" t="str">
        <f>IF(Agent02_Savings!A65="","",Agent02_Savings!E65)</f>
        <v/>
      </c>
      <c r="G260" s="39" t="str">
        <f>IF(Agent02_Savings!A65="","",Agent02_Savings!F65)</f>
        <v/>
      </c>
      <c r="H260" s="37" t="str">
        <f>IF(Agent02_Savings!A65="","",Agent02_Savings!I65)</f>
        <v/>
      </c>
      <c r="I260" s="37" t="str">
        <f>IF(Agent02_Savings!A65="","",Agent02_Savings!J65)</f>
        <v/>
      </c>
      <c r="J260" s="37" t="str">
        <f>IF(Agent02_Savings!A65="","",Agent02_Savings!K65)</f>
        <v/>
      </c>
      <c r="K260" s="37" t="str">
        <f>IFERROR(IF(Agent02_Savings!A65="","",YEAR(Agent02_Savings!D65)),"")</f>
        <v/>
      </c>
    </row>
    <row r="261" spans="1:11" ht="18" customHeight="1" x14ac:dyDescent="0.25">
      <c r="A261" s="37" t="str">
        <f>IF(Agent02_Savings!A66="","",Agent02_Savings!A66)</f>
        <v/>
      </c>
      <c r="B261" s="37" t="str">
        <f ca="1">IF(Agent02_Savings!A66="","","SV"&amp;TEXT(261-3,"0000")&amp;"-"&amp;TEXT(TODAY(),"YYYYMMDD"))</f>
        <v/>
      </c>
      <c r="C261" s="37" t="str">
        <f>IF(Agent02_Savings!A66="","",Agent02_Savings!B66)</f>
        <v/>
      </c>
      <c r="D261" s="37" t="str">
        <f>IF(Agent02_Savings!A66="","",Agent02_Savings!G66)</f>
        <v/>
      </c>
      <c r="E261" s="38" t="str">
        <f>IF(Agent02_Savings!A66="","",Agent02_Savings!D66)</f>
        <v/>
      </c>
      <c r="F261" s="39" t="str">
        <f>IF(Agent02_Savings!A66="","",Agent02_Savings!E66)</f>
        <v/>
      </c>
      <c r="G261" s="39" t="str">
        <f>IF(Agent02_Savings!A66="","",Agent02_Savings!F66)</f>
        <v/>
      </c>
      <c r="H261" s="37" t="str">
        <f>IF(Agent02_Savings!A66="","",Agent02_Savings!I66)</f>
        <v/>
      </c>
      <c r="I261" s="37" t="str">
        <f>IF(Agent02_Savings!A66="","",Agent02_Savings!J66)</f>
        <v/>
      </c>
      <c r="J261" s="37" t="str">
        <f>IF(Agent02_Savings!A66="","",Agent02_Savings!K66)</f>
        <v/>
      </c>
      <c r="K261" s="37" t="str">
        <f>IFERROR(IF(Agent02_Savings!A66="","",YEAR(Agent02_Savings!D66)),"")</f>
        <v/>
      </c>
    </row>
    <row r="262" spans="1:11" ht="18" customHeight="1" x14ac:dyDescent="0.25">
      <c r="A262" s="37" t="str">
        <f>IF(Agent02_Savings!A67="","",Agent02_Savings!A67)</f>
        <v/>
      </c>
      <c r="B262" s="37" t="str">
        <f ca="1">IF(Agent02_Savings!A67="","","SV"&amp;TEXT(262-3,"0000")&amp;"-"&amp;TEXT(TODAY(),"YYYYMMDD"))</f>
        <v/>
      </c>
      <c r="C262" s="37" t="str">
        <f>IF(Agent02_Savings!A67="","",Agent02_Savings!B67)</f>
        <v/>
      </c>
      <c r="D262" s="37" t="str">
        <f>IF(Agent02_Savings!A67="","",Agent02_Savings!G67)</f>
        <v/>
      </c>
      <c r="E262" s="38" t="str">
        <f>IF(Agent02_Savings!A67="","",Agent02_Savings!D67)</f>
        <v/>
      </c>
      <c r="F262" s="39" t="str">
        <f>IF(Agent02_Savings!A67="","",Agent02_Savings!E67)</f>
        <v/>
      </c>
      <c r="G262" s="39" t="str">
        <f>IF(Agent02_Savings!A67="","",Agent02_Savings!F67)</f>
        <v/>
      </c>
      <c r="H262" s="37" t="str">
        <f>IF(Agent02_Savings!A67="","",Agent02_Savings!I67)</f>
        <v/>
      </c>
      <c r="I262" s="37" t="str">
        <f>IF(Agent02_Savings!A67="","",Agent02_Savings!J67)</f>
        <v/>
      </c>
      <c r="J262" s="37" t="str">
        <f>IF(Agent02_Savings!A67="","",Agent02_Savings!K67)</f>
        <v/>
      </c>
      <c r="K262" s="37" t="str">
        <f>IFERROR(IF(Agent02_Savings!A67="","",YEAR(Agent02_Savings!D67)),"")</f>
        <v/>
      </c>
    </row>
    <row r="263" spans="1:11" ht="18" customHeight="1" x14ac:dyDescent="0.25">
      <c r="A263" s="37" t="str">
        <f>IF(Agent02_Savings!A68="","",Agent02_Savings!A68)</f>
        <v/>
      </c>
      <c r="B263" s="37" t="str">
        <f ca="1">IF(Agent02_Savings!A68="","","SV"&amp;TEXT(263-3,"0000")&amp;"-"&amp;TEXT(TODAY(),"YYYYMMDD"))</f>
        <v/>
      </c>
      <c r="C263" s="37" t="str">
        <f>IF(Agent02_Savings!A68="","",Agent02_Savings!B68)</f>
        <v/>
      </c>
      <c r="D263" s="37" t="str">
        <f>IF(Agent02_Savings!A68="","",Agent02_Savings!G68)</f>
        <v/>
      </c>
      <c r="E263" s="38" t="str">
        <f>IF(Agent02_Savings!A68="","",Agent02_Savings!D68)</f>
        <v/>
      </c>
      <c r="F263" s="39" t="str">
        <f>IF(Agent02_Savings!A68="","",Agent02_Savings!E68)</f>
        <v/>
      </c>
      <c r="G263" s="39" t="str">
        <f>IF(Agent02_Savings!A68="","",Agent02_Savings!F68)</f>
        <v/>
      </c>
      <c r="H263" s="37" t="str">
        <f>IF(Agent02_Savings!A68="","",Agent02_Savings!I68)</f>
        <v/>
      </c>
      <c r="I263" s="37" t="str">
        <f>IF(Agent02_Savings!A68="","",Agent02_Savings!J68)</f>
        <v/>
      </c>
      <c r="J263" s="37" t="str">
        <f>IF(Agent02_Savings!A68="","",Agent02_Savings!K68)</f>
        <v/>
      </c>
      <c r="K263" s="37" t="str">
        <f>IFERROR(IF(Agent02_Savings!A68="","",YEAR(Agent02_Savings!D68)),"")</f>
        <v/>
      </c>
    </row>
    <row r="264" spans="1:11" ht="18" customHeight="1" x14ac:dyDescent="0.25">
      <c r="A264" s="37" t="str">
        <f>IF(Agent02_Savings!A69="","",Agent02_Savings!A69)</f>
        <v/>
      </c>
      <c r="B264" s="37" t="str">
        <f ca="1">IF(Agent02_Savings!A69="","","SV"&amp;TEXT(264-3,"0000")&amp;"-"&amp;TEXT(TODAY(),"YYYYMMDD"))</f>
        <v/>
      </c>
      <c r="C264" s="37" t="str">
        <f>IF(Agent02_Savings!A69="","",Agent02_Savings!B69)</f>
        <v/>
      </c>
      <c r="D264" s="37" t="str">
        <f>IF(Agent02_Savings!A69="","",Agent02_Savings!G69)</f>
        <v/>
      </c>
      <c r="E264" s="38" t="str">
        <f>IF(Agent02_Savings!A69="","",Agent02_Savings!D69)</f>
        <v/>
      </c>
      <c r="F264" s="39" t="str">
        <f>IF(Agent02_Savings!A69="","",Agent02_Savings!E69)</f>
        <v/>
      </c>
      <c r="G264" s="39" t="str">
        <f>IF(Agent02_Savings!A69="","",Agent02_Savings!F69)</f>
        <v/>
      </c>
      <c r="H264" s="37" t="str">
        <f>IF(Agent02_Savings!A69="","",Agent02_Savings!I69)</f>
        <v/>
      </c>
      <c r="I264" s="37" t="str">
        <f>IF(Agent02_Savings!A69="","",Agent02_Savings!J69)</f>
        <v/>
      </c>
      <c r="J264" s="37" t="str">
        <f>IF(Agent02_Savings!A69="","",Agent02_Savings!K69)</f>
        <v/>
      </c>
      <c r="K264" s="37" t="str">
        <f>IFERROR(IF(Agent02_Savings!A69="","",YEAR(Agent02_Savings!D69)),"")</f>
        <v/>
      </c>
    </row>
    <row r="265" spans="1:11" ht="18" customHeight="1" x14ac:dyDescent="0.25">
      <c r="A265" s="37" t="str">
        <f>IF(Agent02_Savings!A70="","",Agent02_Savings!A70)</f>
        <v/>
      </c>
      <c r="B265" s="37" t="str">
        <f ca="1">IF(Agent02_Savings!A70="","","SV"&amp;TEXT(265-3,"0000")&amp;"-"&amp;TEXT(TODAY(),"YYYYMMDD"))</f>
        <v/>
      </c>
      <c r="C265" s="37" t="str">
        <f>IF(Agent02_Savings!A70="","",Agent02_Savings!B70)</f>
        <v/>
      </c>
      <c r="D265" s="37" t="str">
        <f>IF(Agent02_Savings!A70="","",Agent02_Savings!G70)</f>
        <v/>
      </c>
      <c r="E265" s="38" t="str">
        <f>IF(Agent02_Savings!A70="","",Agent02_Savings!D70)</f>
        <v/>
      </c>
      <c r="F265" s="39" t="str">
        <f>IF(Agent02_Savings!A70="","",Agent02_Savings!E70)</f>
        <v/>
      </c>
      <c r="G265" s="39" t="str">
        <f>IF(Agent02_Savings!A70="","",Agent02_Savings!F70)</f>
        <v/>
      </c>
      <c r="H265" s="37" t="str">
        <f>IF(Agent02_Savings!A70="","",Agent02_Savings!I70)</f>
        <v/>
      </c>
      <c r="I265" s="37" t="str">
        <f>IF(Agent02_Savings!A70="","",Agent02_Savings!J70)</f>
        <v/>
      </c>
      <c r="J265" s="37" t="str">
        <f>IF(Agent02_Savings!A70="","",Agent02_Savings!K70)</f>
        <v/>
      </c>
      <c r="K265" s="37" t="str">
        <f>IFERROR(IF(Agent02_Savings!A70="","",YEAR(Agent02_Savings!D70)),"")</f>
        <v/>
      </c>
    </row>
    <row r="266" spans="1:11" ht="18" customHeight="1" x14ac:dyDescent="0.25">
      <c r="A266" s="37" t="str">
        <f>IF(Agent02_Savings!A71="","",Agent02_Savings!A71)</f>
        <v/>
      </c>
      <c r="B266" s="37" t="str">
        <f ca="1">IF(Agent02_Savings!A71="","","SV"&amp;TEXT(266-3,"0000")&amp;"-"&amp;TEXT(TODAY(),"YYYYMMDD"))</f>
        <v/>
      </c>
      <c r="C266" s="37" t="str">
        <f>IF(Agent02_Savings!A71="","",Agent02_Savings!B71)</f>
        <v/>
      </c>
      <c r="D266" s="37" t="str">
        <f>IF(Agent02_Savings!A71="","",Agent02_Savings!G71)</f>
        <v/>
      </c>
      <c r="E266" s="38" t="str">
        <f>IF(Agent02_Savings!A71="","",Agent02_Savings!D71)</f>
        <v/>
      </c>
      <c r="F266" s="39" t="str">
        <f>IF(Agent02_Savings!A71="","",Agent02_Savings!E71)</f>
        <v/>
      </c>
      <c r="G266" s="39" t="str">
        <f>IF(Agent02_Savings!A71="","",Agent02_Savings!F71)</f>
        <v/>
      </c>
      <c r="H266" s="37" t="str">
        <f>IF(Agent02_Savings!A71="","",Agent02_Savings!I71)</f>
        <v/>
      </c>
      <c r="I266" s="37" t="str">
        <f>IF(Agent02_Savings!A71="","",Agent02_Savings!J71)</f>
        <v/>
      </c>
      <c r="J266" s="37" t="str">
        <f>IF(Agent02_Savings!A71="","",Agent02_Savings!K71)</f>
        <v/>
      </c>
      <c r="K266" s="37" t="str">
        <f>IFERROR(IF(Agent02_Savings!A71="","",YEAR(Agent02_Savings!D71)),"")</f>
        <v/>
      </c>
    </row>
    <row r="267" spans="1:11" ht="18" customHeight="1" x14ac:dyDescent="0.25">
      <c r="A267" s="37" t="str">
        <f>IF(Agent02_Savings!A72="","",Agent02_Savings!A72)</f>
        <v/>
      </c>
      <c r="B267" s="37" t="str">
        <f ca="1">IF(Agent02_Savings!A72="","","SV"&amp;TEXT(267-3,"0000")&amp;"-"&amp;TEXT(TODAY(),"YYYYMMDD"))</f>
        <v/>
      </c>
      <c r="C267" s="37" t="str">
        <f>IF(Agent02_Savings!A72="","",Agent02_Savings!B72)</f>
        <v/>
      </c>
      <c r="D267" s="37" t="str">
        <f>IF(Agent02_Savings!A72="","",Agent02_Savings!G72)</f>
        <v/>
      </c>
      <c r="E267" s="38" t="str">
        <f>IF(Agent02_Savings!A72="","",Agent02_Savings!D72)</f>
        <v/>
      </c>
      <c r="F267" s="39" t="str">
        <f>IF(Agent02_Savings!A72="","",Agent02_Savings!E72)</f>
        <v/>
      </c>
      <c r="G267" s="39" t="str">
        <f>IF(Agent02_Savings!A72="","",Agent02_Savings!F72)</f>
        <v/>
      </c>
      <c r="H267" s="37" t="str">
        <f>IF(Agent02_Savings!A72="","",Agent02_Savings!I72)</f>
        <v/>
      </c>
      <c r="I267" s="37" t="str">
        <f>IF(Agent02_Savings!A72="","",Agent02_Savings!J72)</f>
        <v/>
      </c>
      <c r="J267" s="37" t="str">
        <f>IF(Agent02_Savings!A72="","",Agent02_Savings!K72)</f>
        <v/>
      </c>
      <c r="K267" s="37" t="str">
        <f>IFERROR(IF(Agent02_Savings!A72="","",YEAR(Agent02_Savings!D72)),"")</f>
        <v/>
      </c>
    </row>
    <row r="268" spans="1:11" ht="18" customHeight="1" x14ac:dyDescent="0.25">
      <c r="A268" s="37" t="str">
        <f>IF(Agent02_Savings!A73="","",Agent02_Savings!A73)</f>
        <v/>
      </c>
      <c r="B268" s="37" t="str">
        <f ca="1">IF(Agent02_Savings!A73="","","SV"&amp;TEXT(268-3,"0000")&amp;"-"&amp;TEXT(TODAY(),"YYYYMMDD"))</f>
        <v/>
      </c>
      <c r="C268" s="37" t="str">
        <f>IF(Agent02_Savings!A73="","",Agent02_Savings!B73)</f>
        <v/>
      </c>
      <c r="D268" s="37" t="str">
        <f>IF(Agent02_Savings!A73="","",Agent02_Savings!G73)</f>
        <v/>
      </c>
      <c r="E268" s="38" t="str">
        <f>IF(Agent02_Savings!A73="","",Agent02_Savings!D73)</f>
        <v/>
      </c>
      <c r="F268" s="39" t="str">
        <f>IF(Agent02_Savings!A73="","",Agent02_Savings!E73)</f>
        <v/>
      </c>
      <c r="G268" s="39" t="str">
        <f>IF(Agent02_Savings!A73="","",Agent02_Savings!F73)</f>
        <v/>
      </c>
      <c r="H268" s="37" t="str">
        <f>IF(Agent02_Savings!A73="","",Agent02_Savings!I73)</f>
        <v/>
      </c>
      <c r="I268" s="37" t="str">
        <f>IF(Agent02_Savings!A73="","",Agent02_Savings!J73)</f>
        <v/>
      </c>
      <c r="J268" s="37" t="str">
        <f>IF(Agent02_Savings!A73="","",Agent02_Savings!K73)</f>
        <v/>
      </c>
      <c r="K268" s="37" t="str">
        <f>IFERROR(IF(Agent02_Savings!A73="","",YEAR(Agent02_Savings!D73)),"")</f>
        <v/>
      </c>
    </row>
    <row r="269" spans="1:11" ht="18" customHeight="1" x14ac:dyDescent="0.25">
      <c r="A269" s="37" t="str">
        <f>IF(Agent02_Savings!A74="","",Agent02_Savings!A74)</f>
        <v/>
      </c>
      <c r="B269" s="37" t="str">
        <f ca="1">IF(Agent02_Savings!A74="","","SV"&amp;TEXT(269-3,"0000")&amp;"-"&amp;TEXT(TODAY(),"YYYYMMDD"))</f>
        <v/>
      </c>
      <c r="C269" s="37" t="str">
        <f>IF(Agent02_Savings!A74="","",Agent02_Savings!B74)</f>
        <v/>
      </c>
      <c r="D269" s="37" t="str">
        <f>IF(Agent02_Savings!A74="","",Agent02_Savings!G74)</f>
        <v/>
      </c>
      <c r="E269" s="38" t="str">
        <f>IF(Agent02_Savings!A74="","",Agent02_Savings!D74)</f>
        <v/>
      </c>
      <c r="F269" s="39" t="str">
        <f>IF(Agent02_Savings!A74="","",Agent02_Savings!E74)</f>
        <v/>
      </c>
      <c r="G269" s="39" t="str">
        <f>IF(Agent02_Savings!A74="","",Agent02_Savings!F74)</f>
        <v/>
      </c>
      <c r="H269" s="37" t="str">
        <f>IF(Agent02_Savings!A74="","",Agent02_Savings!I74)</f>
        <v/>
      </c>
      <c r="I269" s="37" t="str">
        <f>IF(Agent02_Savings!A74="","",Agent02_Savings!J74)</f>
        <v/>
      </c>
      <c r="J269" s="37" t="str">
        <f>IF(Agent02_Savings!A74="","",Agent02_Savings!K74)</f>
        <v/>
      </c>
      <c r="K269" s="37" t="str">
        <f>IFERROR(IF(Agent02_Savings!A74="","",YEAR(Agent02_Savings!D74)),"")</f>
        <v/>
      </c>
    </row>
    <row r="270" spans="1:11" ht="18" customHeight="1" x14ac:dyDescent="0.25">
      <c r="A270" s="37" t="str">
        <f>IF(Agent02_Savings!A75="","",Agent02_Savings!A75)</f>
        <v/>
      </c>
      <c r="B270" s="37" t="str">
        <f ca="1">IF(Agent02_Savings!A75="","","SV"&amp;TEXT(270-3,"0000")&amp;"-"&amp;TEXT(TODAY(),"YYYYMMDD"))</f>
        <v/>
      </c>
      <c r="C270" s="37" t="str">
        <f>IF(Agent02_Savings!A75="","",Agent02_Savings!B75)</f>
        <v/>
      </c>
      <c r="D270" s="37" t="str">
        <f>IF(Agent02_Savings!A75="","",Agent02_Savings!G75)</f>
        <v/>
      </c>
      <c r="E270" s="38" t="str">
        <f>IF(Agent02_Savings!A75="","",Agent02_Savings!D75)</f>
        <v/>
      </c>
      <c r="F270" s="39" t="str">
        <f>IF(Agent02_Savings!A75="","",Agent02_Savings!E75)</f>
        <v/>
      </c>
      <c r="G270" s="39" t="str">
        <f>IF(Agent02_Savings!A75="","",Agent02_Savings!F75)</f>
        <v/>
      </c>
      <c r="H270" s="37" t="str">
        <f>IF(Agent02_Savings!A75="","",Agent02_Savings!I75)</f>
        <v/>
      </c>
      <c r="I270" s="37" t="str">
        <f>IF(Agent02_Savings!A75="","",Agent02_Savings!J75)</f>
        <v/>
      </c>
      <c r="J270" s="37" t="str">
        <f>IF(Agent02_Savings!A75="","",Agent02_Savings!K75)</f>
        <v/>
      </c>
      <c r="K270" s="37" t="str">
        <f>IFERROR(IF(Agent02_Savings!A75="","",YEAR(Agent02_Savings!D75)),"")</f>
        <v/>
      </c>
    </row>
    <row r="271" spans="1:11" ht="18" customHeight="1" x14ac:dyDescent="0.25">
      <c r="A271" s="37" t="str">
        <f>IF(Agent02_Savings!A76="","",Agent02_Savings!A76)</f>
        <v/>
      </c>
      <c r="B271" s="37" t="str">
        <f ca="1">IF(Agent02_Savings!A76="","","SV"&amp;TEXT(271-3,"0000")&amp;"-"&amp;TEXT(TODAY(),"YYYYMMDD"))</f>
        <v/>
      </c>
      <c r="C271" s="37" t="str">
        <f>IF(Agent02_Savings!A76="","",Agent02_Savings!B76)</f>
        <v/>
      </c>
      <c r="D271" s="37" t="str">
        <f>IF(Agent02_Savings!A76="","",Agent02_Savings!G76)</f>
        <v/>
      </c>
      <c r="E271" s="38" t="str">
        <f>IF(Agent02_Savings!A76="","",Agent02_Savings!D76)</f>
        <v/>
      </c>
      <c r="F271" s="39" t="str">
        <f>IF(Agent02_Savings!A76="","",Agent02_Savings!E76)</f>
        <v/>
      </c>
      <c r="G271" s="39" t="str">
        <f>IF(Agent02_Savings!A76="","",Agent02_Savings!F76)</f>
        <v/>
      </c>
      <c r="H271" s="37" t="str">
        <f>IF(Agent02_Savings!A76="","",Agent02_Savings!I76)</f>
        <v/>
      </c>
      <c r="I271" s="37" t="str">
        <f>IF(Agent02_Savings!A76="","",Agent02_Savings!J76)</f>
        <v/>
      </c>
      <c r="J271" s="37" t="str">
        <f>IF(Agent02_Savings!A76="","",Agent02_Savings!K76)</f>
        <v/>
      </c>
      <c r="K271" s="37" t="str">
        <f>IFERROR(IF(Agent02_Savings!A76="","",YEAR(Agent02_Savings!D76)),"")</f>
        <v/>
      </c>
    </row>
    <row r="272" spans="1:11" ht="18" customHeight="1" x14ac:dyDescent="0.25">
      <c r="A272" s="37" t="str">
        <f>IF(Agent02_Savings!A77="","",Agent02_Savings!A77)</f>
        <v/>
      </c>
      <c r="B272" s="37" t="str">
        <f ca="1">IF(Agent02_Savings!A77="","","SV"&amp;TEXT(272-3,"0000")&amp;"-"&amp;TEXT(TODAY(),"YYYYMMDD"))</f>
        <v/>
      </c>
      <c r="C272" s="37" t="str">
        <f>IF(Agent02_Savings!A77="","",Agent02_Savings!B77)</f>
        <v/>
      </c>
      <c r="D272" s="37" t="str">
        <f>IF(Agent02_Savings!A77="","",Agent02_Savings!G77)</f>
        <v/>
      </c>
      <c r="E272" s="38" t="str">
        <f>IF(Agent02_Savings!A77="","",Agent02_Savings!D77)</f>
        <v/>
      </c>
      <c r="F272" s="39" t="str">
        <f>IF(Agent02_Savings!A77="","",Agent02_Savings!E77)</f>
        <v/>
      </c>
      <c r="G272" s="39" t="str">
        <f>IF(Agent02_Savings!A77="","",Agent02_Savings!F77)</f>
        <v/>
      </c>
      <c r="H272" s="37" t="str">
        <f>IF(Agent02_Savings!A77="","",Agent02_Savings!I77)</f>
        <v/>
      </c>
      <c r="I272" s="37" t="str">
        <f>IF(Agent02_Savings!A77="","",Agent02_Savings!J77)</f>
        <v/>
      </c>
      <c r="J272" s="37" t="str">
        <f>IF(Agent02_Savings!A77="","",Agent02_Savings!K77)</f>
        <v/>
      </c>
      <c r="K272" s="37" t="str">
        <f>IFERROR(IF(Agent02_Savings!A77="","",YEAR(Agent02_Savings!D77)),"")</f>
        <v/>
      </c>
    </row>
    <row r="273" spans="1:11" ht="18" customHeight="1" x14ac:dyDescent="0.25">
      <c r="A273" s="37" t="str">
        <f>IF(Agent02_Savings!A78="","",Agent02_Savings!A78)</f>
        <v/>
      </c>
      <c r="B273" s="37" t="str">
        <f ca="1">IF(Agent02_Savings!A78="","","SV"&amp;TEXT(273-3,"0000")&amp;"-"&amp;TEXT(TODAY(),"YYYYMMDD"))</f>
        <v/>
      </c>
      <c r="C273" s="37" t="str">
        <f>IF(Agent02_Savings!A78="","",Agent02_Savings!B78)</f>
        <v/>
      </c>
      <c r="D273" s="37" t="str">
        <f>IF(Agent02_Savings!A78="","",Agent02_Savings!G78)</f>
        <v/>
      </c>
      <c r="E273" s="38" t="str">
        <f>IF(Agent02_Savings!A78="","",Agent02_Savings!D78)</f>
        <v/>
      </c>
      <c r="F273" s="39" t="str">
        <f>IF(Agent02_Savings!A78="","",Agent02_Savings!E78)</f>
        <v/>
      </c>
      <c r="G273" s="39" t="str">
        <f>IF(Agent02_Savings!A78="","",Agent02_Savings!F78)</f>
        <v/>
      </c>
      <c r="H273" s="37" t="str">
        <f>IF(Agent02_Savings!A78="","",Agent02_Savings!I78)</f>
        <v/>
      </c>
      <c r="I273" s="37" t="str">
        <f>IF(Agent02_Savings!A78="","",Agent02_Savings!J78)</f>
        <v/>
      </c>
      <c r="J273" s="37" t="str">
        <f>IF(Agent02_Savings!A78="","",Agent02_Savings!K78)</f>
        <v/>
      </c>
      <c r="K273" s="37" t="str">
        <f>IFERROR(IF(Agent02_Savings!A78="","",YEAR(Agent02_Savings!D78)),"")</f>
        <v/>
      </c>
    </row>
    <row r="274" spans="1:11" ht="18" customHeight="1" x14ac:dyDescent="0.25">
      <c r="A274" s="37" t="str">
        <f>IF(Agent02_Savings!A79="","",Agent02_Savings!A79)</f>
        <v/>
      </c>
      <c r="B274" s="37" t="str">
        <f ca="1">IF(Agent02_Savings!A79="","","SV"&amp;TEXT(274-3,"0000")&amp;"-"&amp;TEXT(TODAY(),"YYYYMMDD"))</f>
        <v/>
      </c>
      <c r="C274" s="37" t="str">
        <f>IF(Agent02_Savings!A79="","",Agent02_Savings!B79)</f>
        <v/>
      </c>
      <c r="D274" s="37" t="str">
        <f>IF(Agent02_Savings!A79="","",Agent02_Savings!G79)</f>
        <v/>
      </c>
      <c r="E274" s="38" t="str">
        <f>IF(Agent02_Savings!A79="","",Agent02_Savings!D79)</f>
        <v/>
      </c>
      <c r="F274" s="39" t="str">
        <f>IF(Agent02_Savings!A79="","",Agent02_Savings!E79)</f>
        <v/>
      </c>
      <c r="G274" s="39" t="str">
        <f>IF(Agent02_Savings!A79="","",Agent02_Savings!F79)</f>
        <v/>
      </c>
      <c r="H274" s="37" t="str">
        <f>IF(Agent02_Savings!A79="","",Agent02_Savings!I79)</f>
        <v/>
      </c>
      <c r="I274" s="37" t="str">
        <f>IF(Agent02_Savings!A79="","",Agent02_Savings!J79)</f>
        <v/>
      </c>
      <c r="J274" s="37" t="str">
        <f>IF(Agent02_Savings!A79="","",Agent02_Savings!K79)</f>
        <v/>
      </c>
      <c r="K274" s="37" t="str">
        <f>IFERROR(IF(Agent02_Savings!A79="","",YEAR(Agent02_Savings!D79)),"")</f>
        <v/>
      </c>
    </row>
    <row r="275" spans="1:11" ht="18" customHeight="1" x14ac:dyDescent="0.25">
      <c r="A275" s="37" t="str">
        <f>IF(Agent02_Savings!A80="","",Agent02_Savings!A80)</f>
        <v/>
      </c>
      <c r="B275" s="37" t="str">
        <f ca="1">IF(Agent02_Savings!A80="","","SV"&amp;TEXT(275-3,"0000")&amp;"-"&amp;TEXT(TODAY(),"YYYYMMDD"))</f>
        <v/>
      </c>
      <c r="C275" s="37" t="str">
        <f>IF(Agent02_Savings!A80="","",Agent02_Savings!B80)</f>
        <v/>
      </c>
      <c r="D275" s="37" t="str">
        <f>IF(Agent02_Savings!A80="","",Agent02_Savings!G80)</f>
        <v/>
      </c>
      <c r="E275" s="38" t="str">
        <f>IF(Agent02_Savings!A80="","",Agent02_Savings!D80)</f>
        <v/>
      </c>
      <c r="F275" s="39" t="str">
        <f>IF(Agent02_Savings!A80="","",Agent02_Savings!E80)</f>
        <v/>
      </c>
      <c r="G275" s="39" t="str">
        <f>IF(Agent02_Savings!A80="","",Agent02_Savings!F80)</f>
        <v/>
      </c>
      <c r="H275" s="37" t="str">
        <f>IF(Agent02_Savings!A80="","",Agent02_Savings!I80)</f>
        <v/>
      </c>
      <c r="I275" s="37" t="str">
        <f>IF(Agent02_Savings!A80="","",Agent02_Savings!J80)</f>
        <v/>
      </c>
      <c r="J275" s="37" t="str">
        <f>IF(Agent02_Savings!A80="","",Agent02_Savings!K80)</f>
        <v/>
      </c>
      <c r="K275" s="37" t="str">
        <f>IFERROR(IF(Agent02_Savings!A80="","",YEAR(Agent02_Savings!D80)),"")</f>
        <v/>
      </c>
    </row>
    <row r="276" spans="1:11" ht="18" customHeight="1" x14ac:dyDescent="0.25">
      <c r="A276" s="37" t="str">
        <f>IF(Agent02_Savings!A81="","",Agent02_Savings!A81)</f>
        <v/>
      </c>
      <c r="B276" s="37" t="str">
        <f ca="1">IF(Agent02_Savings!A81="","","SV"&amp;TEXT(276-3,"0000")&amp;"-"&amp;TEXT(TODAY(),"YYYYMMDD"))</f>
        <v/>
      </c>
      <c r="C276" s="37" t="str">
        <f>IF(Agent02_Savings!A81="","",Agent02_Savings!B81)</f>
        <v/>
      </c>
      <c r="D276" s="37" t="str">
        <f>IF(Agent02_Savings!A81="","",Agent02_Savings!G81)</f>
        <v/>
      </c>
      <c r="E276" s="38" t="str">
        <f>IF(Agent02_Savings!A81="","",Agent02_Savings!D81)</f>
        <v/>
      </c>
      <c r="F276" s="39" t="str">
        <f>IF(Agent02_Savings!A81="","",Agent02_Savings!E81)</f>
        <v/>
      </c>
      <c r="G276" s="39" t="str">
        <f>IF(Agent02_Savings!A81="","",Agent02_Savings!F81)</f>
        <v/>
      </c>
      <c r="H276" s="37" t="str">
        <f>IF(Agent02_Savings!A81="","",Agent02_Savings!I81)</f>
        <v/>
      </c>
      <c r="I276" s="37" t="str">
        <f>IF(Agent02_Savings!A81="","",Agent02_Savings!J81)</f>
        <v/>
      </c>
      <c r="J276" s="37" t="str">
        <f>IF(Agent02_Savings!A81="","",Agent02_Savings!K81)</f>
        <v/>
      </c>
      <c r="K276" s="37" t="str">
        <f>IFERROR(IF(Agent02_Savings!A81="","",YEAR(Agent02_Savings!D81)),"")</f>
        <v/>
      </c>
    </row>
    <row r="277" spans="1:11" ht="18" customHeight="1" x14ac:dyDescent="0.25">
      <c r="A277" s="37" t="str">
        <f>IF(Agent02_Savings!A82="","",Agent02_Savings!A82)</f>
        <v/>
      </c>
      <c r="B277" s="37" t="str">
        <f ca="1">IF(Agent02_Savings!A82="","","SV"&amp;TEXT(277-3,"0000")&amp;"-"&amp;TEXT(TODAY(),"YYYYMMDD"))</f>
        <v/>
      </c>
      <c r="C277" s="37" t="str">
        <f>IF(Agent02_Savings!A82="","",Agent02_Savings!B82)</f>
        <v/>
      </c>
      <c r="D277" s="37" t="str">
        <f>IF(Agent02_Savings!A82="","",Agent02_Savings!G82)</f>
        <v/>
      </c>
      <c r="E277" s="38" t="str">
        <f>IF(Agent02_Savings!A82="","",Agent02_Savings!D82)</f>
        <v/>
      </c>
      <c r="F277" s="39" t="str">
        <f>IF(Agent02_Savings!A82="","",Agent02_Savings!E82)</f>
        <v/>
      </c>
      <c r="G277" s="39" t="str">
        <f>IF(Agent02_Savings!A82="","",Agent02_Savings!F82)</f>
        <v/>
      </c>
      <c r="H277" s="37" t="str">
        <f>IF(Agent02_Savings!A82="","",Agent02_Savings!I82)</f>
        <v/>
      </c>
      <c r="I277" s="37" t="str">
        <f>IF(Agent02_Savings!A82="","",Agent02_Savings!J82)</f>
        <v/>
      </c>
      <c r="J277" s="37" t="str">
        <f>IF(Agent02_Savings!A82="","",Agent02_Savings!K82)</f>
        <v/>
      </c>
      <c r="K277" s="37" t="str">
        <f>IFERROR(IF(Agent02_Savings!A82="","",YEAR(Agent02_Savings!D82)),"")</f>
        <v/>
      </c>
    </row>
    <row r="278" spans="1:11" ht="18" customHeight="1" x14ac:dyDescent="0.25">
      <c r="A278" s="37" t="str">
        <f>IF(Agent02_Savings!A83="","",Agent02_Savings!A83)</f>
        <v/>
      </c>
      <c r="B278" s="37" t="str">
        <f ca="1">IF(Agent02_Savings!A83="","","SV"&amp;TEXT(278-3,"0000")&amp;"-"&amp;TEXT(TODAY(),"YYYYMMDD"))</f>
        <v/>
      </c>
      <c r="C278" s="37" t="str">
        <f>IF(Agent02_Savings!A83="","",Agent02_Savings!B83)</f>
        <v/>
      </c>
      <c r="D278" s="37" t="str">
        <f>IF(Agent02_Savings!A83="","",Agent02_Savings!G83)</f>
        <v/>
      </c>
      <c r="E278" s="38" t="str">
        <f>IF(Agent02_Savings!A83="","",Agent02_Savings!D83)</f>
        <v/>
      </c>
      <c r="F278" s="39" t="str">
        <f>IF(Agent02_Savings!A83="","",Agent02_Savings!E83)</f>
        <v/>
      </c>
      <c r="G278" s="39" t="str">
        <f>IF(Agent02_Savings!A83="","",Agent02_Savings!F83)</f>
        <v/>
      </c>
      <c r="H278" s="37" t="str">
        <f>IF(Agent02_Savings!A83="","",Agent02_Savings!I83)</f>
        <v/>
      </c>
      <c r="I278" s="37" t="str">
        <f>IF(Agent02_Savings!A83="","",Agent02_Savings!J83)</f>
        <v/>
      </c>
      <c r="J278" s="37" t="str">
        <f>IF(Agent02_Savings!A83="","",Agent02_Savings!K83)</f>
        <v/>
      </c>
      <c r="K278" s="37" t="str">
        <f>IFERROR(IF(Agent02_Savings!A83="","",YEAR(Agent02_Savings!D83)),"")</f>
        <v/>
      </c>
    </row>
    <row r="279" spans="1:11" ht="18" customHeight="1" x14ac:dyDescent="0.25">
      <c r="A279" s="37" t="str">
        <f>IF(Agent02_Savings!A84="","",Agent02_Savings!A84)</f>
        <v/>
      </c>
      <c r="B279" s="37" t="str">
        <f ca="1">IF(Agent02_Savings!A84="","","SV"&amp;TEXT(279-3,"0000")&amp;"-"&amp;TEXT(TODAY(),"YYYYMMDD"))</f>
        <v/>
      </c>
      <c r="C279" s="37" t="str">
        <f>IF(Agent02_Savings!A84="","",Agent02_Savings!B84)</f>
        <v/>
      </c>
      <c r="D279" s="37" t="str">
        <f>IF(Agent02_Savings!A84="","",Agent02_Savings!G84)</f>
        <v/>
      </c>
      <c r="E279" s="38" t="str">
        <f>IF(Agent02_Savings!A84="","",Agent02_Savings!D84)</f>
        <v/>
      </c>
      <c r="F279" s="39" t="str">
        <f>IF(Agent02_Savings!A84="","",Agent02_Savings!E84)</f>
        <v/>
      </c>
      <c r="G279" s="39" t="str">
        <f>IF(Agent02_Savings!A84="","",Agent02_Savings!F84)</f>
        <v/>
      </c>
      <c r="H279" s="37" t="str">
        <f>IF(Agent02_Savings!A84="","",Agent02_Savings!I84)</f>
        <v/>
      </c>
      <c r="I279" s="37" t="str">
        <f>IF(Agent02_Savings!A84="","",Agent02_Savings!J84)</f>
        <v/>
      </c>
      <c r="J279" s="37" t="str">
        <f>IF(Agent02_Savings!A84="","",Agent02_Savings!K84)</f>
        <v/>
      </c>
      <c r="K279" s="37" t="str">
        <f>IFERROR(IF(Agent02_Savings!A84="","",YEAR(Agent02_Savings!D84)),"")</f>
        <v/>
      </c>
    </row>
    <row r="280" spans="1:11" ht="18" customHeight="1" x14ac:dyDescent="0.25">
      <c r="A280" s="37" t="str">
        <f>IF(Agent02_Savings!A85="","",Agent02_Savings!A85)</f>
        <v/>
      </c>
      <c r="B280" s="37" t="str">
        <f ca="1">IF(Agent02_Savings!A85="","","SV"&amp;TEXT(280-3,"0000")&amp;"-"&amp;TEXT(TODAY(),"YYYYMMDD"))</f>
        <v/>
      </c>
      <c r="C280" s="37" t="str">
        <f>IF(Agent02_Savings!A85="","",Agent02_Savings!B85)</f>
        <v/>
      </c>
      <c r="D280" s="37" t="str">
        <f>IF(Agent02_Savings!A85="","",Agent02_Savings!G85)</f>
        <v/>
      </c>
      <c r="E280" s="38" t="str">
        <f>IF(Agent02_Savings!A85="","",Agent02_Savings!D85)</f>
        <v/>
      </c>
      <c r="F280" s="39" t="str">
        <f>IF(Agent02_Savings!A85="","",Agent02_Savings!E85)</f>
        <v/>
      </c>
      <c r="G280" s="39" t="str">
        <f>IF(Agent02_Savings!A85="","",Agent02_Savings!F85)</f>
        <v/>
      </c>
      <c r="H280" s="37" t="str">
        <f>IF(Agent02_Savings!A85="","",Agent02_Savings!I85)</f>
        <v/>
      </c>
      <c r="I280" s="37" t="str">
        <f>IF(Agent02_Savings!A85="","",Agent02_Savings!J85)</f>
        <v/>
      </c>
      <c r="J280" s="37" t="str">
        <f>IF(Agent02_Savings!A85="","",Agent02_Savings!K85)</f>
        <v/>
      </c>
      <c r="K280" s="37" t="str">
        <f>IFERROR(IF(Agent02_Savings!A85="","",YEAR(Agent02_Savings!D85)),"")</f>
        <v/>
      </c>
    </row>
    <row r="281" spans="1:11" ht="18" customHeight="1" x14ac:dyDescent="0.25">
      <c r="A281" s="37" t="str">
        <f>IF(Agent02_Savings!A86="","",Agent02_Savings!A86)</f>
        <v/>
      </c>
      <c r="B281" s="37" t="str">
        <f ca="1">IF(Agent02_Savings!A86="","","SV"&amp;TEXT(281-3,"0000")&amp;"-"&amp;TEXT(TODAY(),"YYYYMMDD"))</f>
        <v/>
      </c>
      <c r="C281" s="37" t="str">
        <f>IF(Agent02_Savings!A86="","",Agent02_Savings!B86)</f>
        <v/>
      </c>
      <c r="D281" s="37" t="str">
        <f>IF(Agent02_Savings!A86="","",Agent02_Savings!G86)</f>
        <v/>
      </c>
      <c r="E281" s="38" t="str">
        <f>IF(Agent02_Savings!A86="","",Agent02_Savings!D86)</f>
        <v/>
      </c>
      <c r="F281" s="39" t="str">
        <f>IF(Agent02_Savings!A86="","",Agent02_Savings!E86)</f>
        <v/>
      </c>
      <c r="G281" s="39" t="str">
        <f>IF(Agent02_Savings!A86="","",Agent02_Savings!F86)</f>
        <v/>
      </c>
      <c r="H281" s="37" t="str">
        <f>IF(Agent02_Savings!A86="","",Agent02_Savings!I86)</f>
        <v/>
      </c>
      <c r="I281" s="37" t="str">
        <f>IF(Agent02_Savings!A86="","",Agent02_Savings!J86)</f>
        <v/>
      </c>
      <c r="J281" s="37" t="str">
        <f>IF(Agent02_Savings!A86="","",Agent02_Savings!K86)</f>
        <v/>
      </c>
      <c r="K281" s="37" t="str">
        <f>IFERROR(IF(Agent02_Savings!A86="","",YEAR(Agent02_Savings!D86)),"")</f>
        <v/>
      </c>
    </row>
    <row r="282" spans="1:11" ht="18" customHeight="1" x14ac:dyDescent="0.25">
      <c r="A282" s="37" t="str">
        <f>IF(Agent02_Savings!A87="","",Agent02_Savings!A87)</f>
        <v/>
      </c>
      <c r="B282" s="37" t="str">
        <f ca="1">IF(Agent02_Savings!A87="","","SV"&amp;TEXT(282-3,"0000")&amp;"-"&amp;TEXT(TODAY(),"YYYYMMDD"))</f>
        <v/>
      </c>
      <c r="C282" s="37" t="str">
        <f>IF(Agent02_Savings!A87="","",Agent02_Savings!B87)</f>
        <v/>
      </c>
      <c r="D282" s="37" t="str">
        <f>IF(Agent02_Savings!A87="","",Agent02_Savings!G87)</f>
        <v/>
      </c>
      <c r="E282" s="38" t="str">
        <f>IF(Agent02_Savings!A87="","",Agent02_Savings!D87)</f>
        <v/>
      </c>
      <c r="F282" s="39" t="str">
        <f>IF(Agent02_Savings!A87="","",Agent02_Savings!E87)</f>
        <v/>
      </c>
      <c r="G282" s="39" t="str">
        <f>IF(Agent02_Savings!A87="","",Agent02_Savings!F87)</f>
        <v/>
      </c>
      <c r="H282" s="37" t="str">
        <f>IF(Agent02_Savings!A87="","",Agent02_Savings!I87)</f>
        <v/>
      </c>
      <c r="I282" s="37" t="str">
        <f>IF(Agent02_Savings!A87="","",Agent02_Savings!J87)</f>
        <v/>
      </c>
      <c r="J282" s="37" t="str">
        <f>IF(Agent02_Savings!A87="","",Agent02_Savings!K87)</f>
        <v/>
      </c>
      <c r="K282" s="37" t="str">
        <f>IFERROR(IF(Agent02_Savings!A87="","",YEAR(Agent02_Savings!D87)),"")</f>
        <v/>
      </c>
    </row>
    <row r="283" spans="1:11" ht="18" customHeight="1" x14ac:dyDescent="0.25">
      <c r="A283" s="37" t="str">
        <f>IF(Agent02_Savings!A88="","",Agent02_Savings!A88)</f>
        <v/>
      </c>
      <c r="B283" s="37" t="str">
        <f ca="1">IF(Agent02_Savings!A88="","","SV"&amp;TEXT(283-3,"0000")&amp;"-"&amp;TEXT(TODAY(),"YYYYMMDD"))</f>
        <v/>
      </c>
      <c r="C283" s="37" t="str">
        <f>IF(Agent02_Savings!A88="","",Agent02_Savings!B88)</f>
        <v/>
      </c>
      <c r="D283" s="37" t="str">
        <f>IF(Agent02_Savings!A88="","",Agent02_Savings!G88)</f>
        <v/>
      </c>
      <c r="E283" s="38" t="str">
        <f>IF(Agent02_Savings!A88="","",Agent02_Savings!D88)</f>
        <v/>
      </c>
      <c r="F283" s="39" t="str">
        <f>IF(Agent02_Savings!A88="","",Agent02_Savings!E88)</f>
        <v/>
      </c>
      <c r="G283" s="39" t="str">
        <f>IF(Agent02_Savings!A88="","",Agent02_Savings!F88)</f>
        <v/>
      </c>
      <c r="H283" s="37" t="str">
        <f>IF(Agent02_Savings!A88="","",Agent02_Savings!I88)</f>
        <v/>
      </c>
      <c r="I283" s="37" t="str">
        <f>IF(Agent02_Savings!A88="","",Agent02_Savings!J88)</f>
        <v/>
      </c>
      <c r="J283" s="37" t="str">
        <f>IF(Agent02_Savings!A88="","",Agent02_Savings!K88)</f>
        <v/>
      </c>
      <c r="K283" s="37" t="str">
        <f>IFERROR(IF(Agent02_Savings!A88="","",YEAR(Agent02_Savings!D88)),"")</f>
        <v/>
      </c>
    </row>
    <row r="284" spans="1:11" ht="18" customHeight="1" x14ac:dyDescent="0.25">
      <c r="A284" s="37" t="str">
        <f>IF(Agent02_Savings!A89="","",Agent02_Savings!A89)</f>
        <v/>
      </c>
      <c r="B284" s="37" t="str">
        <f ca="1">IF(Agent02_Savings!A89="","","SV"&amp;TEXT(284-3,"0000")&amp;"-"&amp;TEXT(TODAY(),"YYYYMMDD"))</f>
        <v/>
      </c>
      <c r="C284" s="37" t="str">
        <f>IF(Agent02_Savings!A89="","",Agent02_Savings!B89)</f>
        <v/>
      </c>
      <c r="D284" s="37" t="str">
        <f>IF(Agent02_Savings!A89="","",Agent02_Savings!G89)</f>
        <v/>
      </c>
      <c r="E284" s="38" t="str">
        <f>IF(Agent02_Savings!A89="","",Agent02_Savings!D89)</f>
        <v/>
      </c>
      <c r="F284" s="39" t="str">
        <f>IF(Agent02_Savings!A89="","",Agent02_Savings!E89)</f>
        <v/>
      </c>
      <c r="G284" s="39" t="str">
        <f>IF(Agent02_Savings!A89="","",Agent02_Savings!F89)</f>
        <v/>
      </c>
      <c r="H284" s="37" t="str">
        <f>IF(Agent02_Savings!A89="","",Agent02_Savings!I89)</f>
        <v/>
      </c>
      <c r="I284" s="37" t="str">
        <f>IF(Agent02_Savings!A89="","",Agent02_Savings!J89)</f>
        <v/>
      </c>
      <c r="J284" s="37" t="str">
        <f>IF(Agent02_Savings!A89="","",Agent02_Savings!K89)</f>
        <v/>
      </c>
      <c r="K284" s="37" t="str">
        <f>IFERROR(IF(Agent02_Savings!A89="","",YEAR(Agent02_Savings!D89)),"")</f>
        <v/>
      </c>
    </row>
    <row r="285" spans="1:11" ht="18" customHeight="1" x14ac:dyDescent="0.25">
      <c r="A285" s="37" t="str">
        <f>IF(Agent02_Savings!A90="","",Agent02_Savings!A90)</f>
        <v/>
      </c>
      <c r="B285" s="37" t="str">
        <f ca="1">IF(Agent02_Savings!A90="","","SV"&amp;TEXT(285-3,"0000")&amp;"-"&amp;TEXT(TODAY(),"YYYYMMDD"))</f>
        <v/>
      </c>
      <c r="C285" s="37" t="str">
        <f>IF(Agent02_Savings!A90="","",Agent02_Savings!B90)</f>
        <v/>
      </c>
      <c r="D285" s="37" t="str">
        <f>IF(Agent02_Savings!A90="","",Agent02_Savings!G90)</f>
        <v/>
      </c>
      <c r="E285" s="38" t="str">
        <f>IF(Agent02_Savings!A90="","",Agent02_Savings!D90)</f>
        <v/>
      </c>
      <c r="F285" s="39" t="str">
        <f>IF(Agent02_Savings!A90="","",Agent02_Savings!E90)</f>
        <v/>
      </c>
      <c r="G285" s="39" t="str">
        <f>IF(Agent02_Savings!A90="","",Agent02_Savings!F90)</f>
        <v/>
      </c>
      <c r="H285" s="37" t="str">
        <f>IF(Agent02_Savings!A90="","",Agent02_Savings!I90)</f>
        <v/>
      </c>
      <c r="I285" s="37" t="str">
        <f>IF(Agent02_Savings!A90="","",Agent02_Savings!J90)</f>
        <v/>
      </c>
      <c r="J285" s="37" t="str">
        <f>IF(Agent02_Savings!A90="","",Agent02_Savings!K90)</f>
        <v/>
      </c>
      <c r="K285" s="37" t="str">
        <f>IFERROR(IF(Agent02_Savings!A90="","",YEAR(Agent02_Savings!D90)),"")</f>
        <v/>
      </c>
    </row>
    <row r="286" spans="1:11" ht="18" customHeight="1" x14ac:dyDescent="0.25">
      <c r="A286" s="37" t="str">
        <f>IF(Agent02_Savings!A91="","",Agent02_Savings!A91)</f>
        <v/>
      </c>
      <c r="B286" s="37" t="str">
        <f ca="1">IF(Agent02_Savings!A91="","","SV"&amp;TEXT(286-3,"0000")&amp;"-"&amp;TEXT(TODAY(),"YYYYMMDD"))</f>
        <v/>
      </c>
      <c r="C286" s="37" t="str">
        <f>IF(Agent02_Savings!A91="","",Agent02_Savings!B91)</f>
        <v/>
      </c>
      <c r="D286" s="37" t="str">
        <f>IF(Agent02_Savings!A91="","",Agent02_Savings!G91)</f>
        <v/>
      </c>
      <c r="E286" s="38" t="str">
        <f>IF(Agent02_Savings!A91="","",Agent02_Savings!D91)</f>
        <v/>
      </c>
      <c r="F286" s="39" t="str">
        <f>IF(Agent02_Savings!A91="","",Agent02_Savings!E91)</f>
        <v/>
      </c>
      <c r="G286" s="39" t="str">
        <f>IF(Agent02_Savings!A91="","",Agent02_Savings!F91)</f>
        <v/>
      </c>
      <c r="H286" s="37" t="str">
        <f>IF(Agent02_Savings!A91="","",Agent02_Savings!I91)</f>
        <v/>
      </c>
      <c r="I286" s="37" t="str">
        <f>IF(Agent02_Savings!A91="","",Agent02_Savings!J91)</f>
        <v/>
      </c>
      <c r="J286" s="37" t="str">
        <f>IF(Agent02_Savings!A91="","",Agent02_Savings!K91)</f>
        <v/>
      </c>
      <c r="K286" s="37" t="str">
        <f>IFERROR(IF(Agent02_Savings!A91="","",YEAR(Agent02_Savings!D91)),"")</f>
        <v/>
      </c>
    </row>
    <row r="287" spans="1:11" ht="18" customHeight="1" x14ac:dyDescent="0.25">
      <c r="A287" s="37" t="str">
        <f>IF(Agent02_Savings!A92="","",Agent02_Savings!A92)</f>
        <v/>
      </c>
      <c r="B287" s="37" t="str">
        <f ca="1">IF(Agent02_Savings!A92="","","SV"&amp;TEXT(287-3,"0000")&amp;"-"&amp;TEXT(TODAY(),"YYYYMMDD"))</f>
        <v/>
      </c>
      <c r="C287" s="37" t="str">
        <f>IF(Agent02_Savings!A92="","",Agent02_Savings!B92)</f>
        <v/>
      </c>
      <c r="D287" s="37" t="str">
        <f>IF(Agent02_Savings!A92="","",Agent02_Savings!G92)</f>
        <v/>
      </c>
      <c r="E287" s="38" t="str">
        <f>IF(Agent02_Savings!A92="","",Agent02_Savings!D92)</f>
        <v/>
      </c>
      <c r="F287" s="39" t="str">
        <f>IF(Agent02_Savings!A92="","",Agent02_Savings!E92)</f>
        <v/>
      </c>
      <c r="G287" s="39" t="str">
        <f>IF(Agent02_Savings!A92="","",Agent02_Savings!F92)</f>
        <v/>
      </c>
      <c r="H287" s="37" t="str">
        <f>IF(Agent02_Savings!A92="","",Agent02_Savings!I92)</f>
        <v/>
      </c>
      <c r="I287" s="37" t="str">
        <f>IF(Agent02_Savings!A92="","",Agent02_Savings!J92)</f>
        <v/>
      </c>
      <c r="J287" s="37" t="str">
        <f>IF(Agent02_Savings!A92="","",Agent02_Savings!K92)</f>
        <v/>
      </c>
      <c r="K287" s="37" t="str">
        <f>IFERROR(IF(Agent02_Savings!A92="","",YEAR(Agent02_Savings!D92)),"")</f>
        <v/>
      </c>
    </row>
    <row r="288" spans="1:11" ht="18" customHeight="1" x14ac:dyDescent="0.25">
      <c r="A288" s="37" t="str">
        <f>IF(Agent02_Savings!A93="","",Agent02_Savings!A93)</f>
        <v/>
      </c>
      <c r="B288" s="37" t="str">
        <f ca="1">IF(Agent02_Savings!A93="","","SV"&amp;TEXT(288-3,"0000")&amp;"-"&amp;TEXT(TODAY(),"YYYYMMDD"))</f>
        <v/>
      </c>
      <c r="C288" s="37" t="str">
        <f>IF(Agent02_Savings!A93="","",Agent02_Savings!B93)</f>
        <v/>
      </c>
      <c r="D288" s="37" t="str">
        <f>IF(Agent02_Savings!A93="","",Agent02_Savings!G93)</f>
        <v/>
      </c>
      <c r="E288" s="38" t="str">
        <f>IF(Agent02_Savings!A93="","",Agent02_Savings!D93)</f>
        <v/>
      </c>
      <c r="F288" s="39" t="str">
        <f>IF(Agent02_Savings!A93="","",Agent02_Savings!E93)</f>
        <v/>
      </c>
      <c r="G288" s="39" t="str">
        <f>IF(Agent02_Savings!A93="","",Agent02_Savings!F93)</f>
        <v/>
      </c>
      <c r="H288" s="37" t="str">
        <f>IF(Agent02_Savings!A93="","",Agent02_Savings!I93)</f>
        <v/>
      </c>
      <c r="I288" s="37" t="str">
        <f>IF(Agent02_Savings!A93="","",Agent02_Savings!J93)</f>
        <v/>
      </c>
      <c r="J288" s="37" t="str">
        <f>IF(Agent02_Savings!A93="","",Agent02_Savings!K93)</f>
        <v/>
      </c>
      <c r="K288" s="37" t="str">
        <f>IFERROR(IF(Agent02_Savings!A93="","",YEAR(Agent02_Savings!D93)),"")</f>
        <v/>
      </c>
    </row>
    <row r="289" spans="1:11" ht="18" customHeight="1" x14ac:dyDescent="0.25">
      <c r="A289" s="37" t="str">
        <f>IF(Agent02_Savings!A94="","",Agent02_Savings!A94)</f>
        <v/>
      </c>
      <c r="B289" s="37" t="str">
        <f ca="1">IF(Agent02_Savings!A94="","","SV"&amp;TEXT(289-3,"0000")&amp;"-"&amp;TEXT(TODAY(),"YYYYMMDD"))</f>
        <v/>
      </c>
      <c r="C289" s="37" t="str">
        <f>IF(Agent02_Savings!A94="","",Agent02_Savings!B94)</f>
        <v/>
      </c>
      <c r="D289" s="37" t="str">
        <f>IF(Agent02_Savings!A94="","",Agent02_Savings!G94)</f>
        <v/>
      </c>
      <c r="E289" s="38" t="str">
        <f>IF(Agent02_Savings!A94="","",Agent02_Savings!D94)</f>
        <v/>
      </c>
      <c r="F289" s="39" t="str">
        <f>IF(Agent02_Savings!A94="","",Agent02_Savings!E94)</f>
        <v/>
      </c>
      <c r="G289" s="39" t="str">
        <f>IF(Agent02_Savings!A94="","",Agent02_Savings!F94)</f>
        <v/>
      </c>
      <c r="H289" s="37" t="str">
        <f>IF(Agent02_Savings!A94="","",Agent02_Savings!I94)</f>
        <v/>
      </c>
      <c r="I289" s="37" t="str">
        <f>IF(Agent02_Savings!A94="","",Agent02_Savings!J94)</f>
        <v/>
      </c>
      <c r="J289" s="37" t="str">
        <f>IF(Agent02_Savings!A94="","",Agent02_Savings!K94)</f>
        <v/>
      </c>
      <c r="K289" s="37" t="str">
        <f>IFERROR(IF(Agent02_Savings!A94="","",YEAR(Agent02_Savings!D94)),"")</f>
        <v/>
      </c>
    </row>
    <row r="290" spans="1:11" ht="18" customHeight="1" x14ac:dyDescent="0.25">
      <c r="A290" s="37" t="str">
        <f>IF(Agent02_Savings!A95="","",Agent02_Savings!A95)</f>
        <v/>
      </c>
      <c r="B290" s="37" t="str">
        <f ca="1">IF(Agent02_Savings!A95="","","SV"&amp;TEXT(290-3,"0000")&amp;"-"&amp;TEXT(TODAY(),"YYYYMMDD"))</f>
        <v/>
      </c>
      <c r="C290" s="37" t="str">
        <f>IF(Agent02_Savings!A95="","",Agent02_Savings!B95)</f>
        <v/>
      </c>
      <c r="D290" s="37" t="str">
        <f>IF(Agent02_Savings!A95="","",Agent02_Savings!G95)</f>
        <v/>
      </c>
      <c r="E290" s="38" t="str">
        <f>IF(Agent02_Savings!A95="","",Agent02_Savings!D95)</f>
        <v/>
      </c>
      <c r="F290" s="39" t="str">
        <f>IF(Agent02_Savings!A95="","",Agent02_Savings!E95)</f>
        <v/>
      </c>
      <c r="G290" s="39" t="str">
        <f>IF(Agent02_Savings!A95="","",Agent02_Savings!F95)</f>
        <v/>
      </c>
      <c r="H290" s="37" t="str">
        <f>IF(Agent02_Savings!A95="","",Agent02_Savings!I95)</f>
        <v/>
      </c>
      <c r="I290" s="37" t="str">
        <f>IF(Agent02_Savings!A95="","",Agent02_Savings!J95)</f>
        <v/>
      </c>
      <c r="J290" s="37" t="str">
        <f>IF(Agent02_Savings!A95="","",Agent02_Savings!K95)</f>
        <v/>
      </c>
      <c r="K290" s="37" t="str">
        <f>IFERROR(IF(Agent02_Savings!A95="","",YEAR(Agent02_Savings!D95)),"")</f>
        <v/>
      </c>
    </row>
    <row r="291" spans="1:11" ht="18" customHeight="1" x14ac:dyDescent="0.25">
      <c r="A291" s="37" t="str">
        <f>IF(Agent02_Savings!A96="","",Agent02_Savings!A96)</f>
        <v/>
      </c>
      <c r="B291" s="37" t="str">
        <f ca="1">IF(Agent02_Savings!A96="","","SV"&amp;TEXT(291-3,"0000")&amp;"-"&amp;TEXT(TODAY(),"YYYYMMDD"))</f>
        <v/>
      </c>
      <c r="C291" s="37" t="str">
        <f>IF(Agent02_Savings!A96="","",Agent02_Savings!B96)</f>
        <v/>
      </c>
      <c r="D291" s="37" t="str">
        <f>IF(Agent02_Savings!A96="","",Agent02_Savings!G96)</f>
        <v/>
      </c>
      <c r="E291" s="38" t="str">
        <f>IF(Agent02_Savings!A96="","",Agent02_Savings!D96)</f>
        <v/>
      </c>
      <c r="F291" s="39" t="str">
        <f>IF(Agent02_Savings!A96="","",Agent02_Savings!E96)</f>
        <v/>
      </c>
      <c r="G291" s="39" t="str">
        <f>IF(Agent02_Savings!A96="","",Agent02_Savings!F96)</f>
        <v/>
      </c>
      <c r="H291" s="37" t="str">
        <f>IF(Agent02_Savings!A96="","",Agent02_Savings!I96)</f>
        <v/>
      </c>
      <c r="I291" s="37" t="str">
        <f>IF(Agent02_Savings!A96="","",Agent02_Savings!J96)</f>
        <v/>
      </c>
      <c r="J291" s="37" t="str">
        <f>IF(Agent02_Savings!A96="","",Agent02_Savings!K96)</f>
        <v/>
      </c>
      <c r="K291" s="37" t="str">
        <f>IFERROR(IF(Agent02_Savings!A96="","",YEAR(Agent02_Savings!D96)),"")</f>
        <v/>
      </c>
    </row>
    <row r="292" spans="1:11" ht="18" customHeight="1" x14ac:dyDescent="0.25">
      <c r="A292" s="37" t="str">
        <f>IF(Agent02_Savings!A97="","",Agent02_Savings!A97)</f>
        <v/>
      </c>
      <c r="B292" s="37" t="str">
        <f ca="1">IF(Agent02_Savings!A97="","","SV"&amp;TEXT(292-3,"0000")&amp;"-"&amp;TEXT(TODAY(),"YYYYMMDD"))</f>
        <v/>
      </c>
      <c r="C292" s="37" t="str">
        <f>IF(Agent02_Savings!A97="","",Agent02_Savings!B97)</f>
        <v/>
      </c>
      <c r="D292" s="37" t="str">
        <f>IF(Agent02_Savings!A97="","",Agent02_Savings!G97)</f>
        <v/>
      </c>
      <c r="E292" s="38" t="str">
        <f>IF(Agent02_Savings!A97="","",Agent02_Savings!D97)</f>
        <v/>
      </c>
      <c r="F292" s="39" t="str">
        <f>IF(Agent02_Savings!A97="","",Agent02_Savings!E97)</f>
        <v/>
      </c>
      <c r="G292" s="39" t="str">
        <f>IF(Agent02_Savings!A97="","",Agent02_Savings!F97)</f>
        <v/>
      </c>
      <c r="H292" s="37" t="str">
        <f>IF(Agent02_Savings!A97="","",Agent02_Savings!I97)</f>
        <v/>
      </c>
      <c r="I292" s="37" t="str">
        <f>IF(Agent02_Savings!A97="","",Agent02_Savings!J97)</f>
        <v/>
      </c>
      <c r="J292" s="37" t="str">
        <f>IF(Agent02_Savings!A97="","",Agent02_Savings!K97)</f>
        <v/>
      </c>
      <c r="K292" s="37" t="str">
        <f>IFERROR(IF(Agent02_Savings!A97="","",YEAR(Agent02_Savings!D97)),"")</f>
        <v/>
      </c>
    </row>
    <row r="293" spans="1:11" ht="18" customHeight="1" x14ac:dyDescent="0.25">
      <c r="A293" s="37" t="str">
        <f>IF(Agent02_Savings!A98="","",Agent02_Savings!A98)</f>
        <v/>
      </c>
      <c r="B293" s="37" t="str">
        <f ca="1">IF(Agent02_Savings!A98="","","SV"&amp;TEXT(293-3,"0000")&amp;"-"&amp;TEXT(TODAY(),"YYYYMMDD"))</f>
        <v/>
      </c>
      <c r="C293" s="37" t="str">
        <f>IF(Agent02_Savings!A98="","",Agent02_Savings!B98)</f>
        <v/>
      </c>
      <c r="D293" s="37" t="str">
        <f>IF(Agent02_Savings!A98="","",Agent02_Savings!G98)</f>
        <v/>
      </c>
      <c r="E293" s="38" t="str">
        <f>IF(Agent02_Savings!A98="","",Agent02_Savings!D98)</f>
        <v/>
      </c>
      <c r="F293" s="39" t="str">
        <f>IF(Agent02_Savings!A98="","",Agent02_Savings!E98)</f>
        <v/>
      </c>
      <c r="G293" s="39" t="str">
        <f>IF(Agent02_Savings!A98="","",Agent02_Savings!F98)</f>
        <v/>
      </c>
      <c r="H293" s="37" t="str">
        <f>IF(Agent02_Savings!A98="","",Agent02_Savings!I98)</f>
        <v/>
      </c>
      <c r="I293" s="37" t="str">
        <f>IF(Agent02_Savings!A98="","",Agent02_Savings!J98)</f>
        <v/>
      </c>
      <c r="J293" s="37" t="str">
        <f>IF(Agent02_Savings!A98="","",Agent02_Savings!K98)</f>
        <v/>
      </c>
      <c r="K293" s="37" t="str">
        <f>IFERROR(IF(Agent02_Savings!A98="","",YEAR(Agent02_Savings!D98)),"")</f>
        <v/>
      </c>
    </row>
    <row r="294" spans="1:11" ht="18" customHeight="1" x14ac:dyDescent="0.25">
      <c r="A294" s="37" t="str">
        <f>IF(Agent02_Savings!A99="","",Agent02_Savings!A99)</f>
        <v/>
      </c>
      <c r="B294" s="37" t="str">
        <f ca="1">IF(Agent02_Savings!A99="","","SV"&amp;TEXT(294-3,"0000")&amp;"-"&amp;TEXT(TODAY(),"YYYYMMDD"))</f>
        <v/>
      </c>
      <c r="C294" s="37" t="str">
        <f>IF(Agent02_Savings!A99="","",Agent02_Savings!B99)</f>
        <v/>
      </c>
      <c r="D294" s="37" t="str">
        <f>IF(Agent02_Savings!A99="","",Agent02_Savings!G99)</f>
        <v/>
      </c>
      <c r="E294" s="38" t="str">
        <f>IF(Agent02_Savings!A99="","",Agent02_Savings!D99)</f>
        <v/>
      </c>
      <c r="F294" s="39" t="str">
        <f>IF(Agent02_Savings!A99="","",Agent02_Savings!E99)</f>
        <v/>
      </c>
      <c r="G294" s="39" t="str">
        <f>IF(Agent02_Savings!A99="","",Agent02_Savings!F99)</f>
        <v/>
      </c>
      <c r="H294" s="37" t="str">
        <f>IF(Agent02_Savings!A99="","",Agent02_Savings!I99)</f>
        <v/>
      </c>
      <c r="I294" s="37" t="str">
        <f>IF(Agent02_Savings!A99="","",Agent02_Savings!J99)</f>
        <v/>
      </c>
      <c r="J294" s="37" t="str">
        <f>IF(Agent02_Savings!A99="","",Agent02_Savings!K99)</f>
        <v/>
      </c>
      <c r="K294" s="37" t="str">
        <f>IFERROR(IF(Agent02_Savings!A99="","",YEAR(Agent02_Savings!D99)),"")</f>
        <v/>
      </c>
    </row>
    <row r="295" spans="1:11" ht="18" customHeight="1" x14ac:dyDescent="0.25">
      <c r="A295" s="37" t="str">
        <f>IF(Agent02_Savings!A100="","",Agent02_Savings!A100)</f>
        <v/>
      </c>
      <c r="B295" s="37" t="str">
        <f ca="1">IF(Agent02_Savings!A100="","","SV"&amp;TEXT(295-3,"0000")&amp;"-"&amp;TEXT(TODAY(),"YYYYMMDD"))</f>
        <v/>
      </c>
      <c r="C295" s="37" t="str">
        <f>IF(Agent02_Savings!A100="","",Agent02_Savings!B100)</f>
        <v/>
      </c>
      <c r="D295" s="37" t="str">
        <f>IF(Agent02_Savings!A100="","",Agent02_Savings!G100)</f>
        <v/>
      </c>
      <c r="E295" s="38" t="str">
        <f>IF(Agent02_Savings!A100="","",Agent02_Savings!D100)</f>
        <v/>
      </c>
      <c r="F295" s="39" t="str">
        <f>IF(Agent02_Savings!A100="","",Agent02_Savings!E100)</f>
        <v/>
      </c>
      <c r="G295" s="39" t="str">
        <f>IF(Agent02_Savings!A100="","",Agent02_Savings!F100)</f>
        <v/>
      </c>
      <c r="H295" s="37" t="str">
        <f>IF(Agent02_Savings!A100="","",Agent02_Savings!I100)</f>
        <v/>
      </c>
      <c r="I295" s="37" t="str">
        <f>IF(Agent02_Savings!A100="","",Agent02_Savings!J100)</f>
        <v/>
      </c>
      <c r="J295" s="37" t="str">
        <f>IF(Agent02_Savings!A100="","",Agent02_Savings!K100)</f>
        <v/>
      </c>
      <c r="K295" s="37" t="str">
        <f>IFERROR(IF(Agent02_Savings!A100="","",YEAR(Agent02_Savings!D100)),"")</f>
        <v/>
      </c>
    </row>
    <row r="296" spans="1:11" ht="18" customHeight="1" x14ac:dyDescent="0.25">
      <c r="A296" s="37" t="str">
        <f>IF(Agent02_Savings!A101="","",Agent02_Savings!A101)</f>
        <v/>
      </c>
      <c r="B296" s="37" t="str">
        <f ca="1">IF(Agent02_Savings!A101="","","SV"&amp;TEXT(296-3,"0000")&amp;"-"&amp;TEXT(TODAY(),"YYYYMMDD"))</f>
        <v/>
      </c>
      <c r="C296" s="37" t="str">
        <f>IF(Agent02_Savings!A101="","",Agent02_Savings!B101)</f>
        <v/>
      </c>
      <c r="D296" s="37" t="str">
        <f>IF(Agent02_Savings!A101="","",Agent02_Savings!G101)</f>
        <v/>
      </c>
      <c r="E296" s="38" t="str">
        <f>IF(Agent02_Savings!A101="","",Agent02_Savings!D101)</f>
        <v/>
      </c>
      <c r="F296" s="39" t="str">
        <f>IF(Agent02_Savings!A101="","",Agent02_Savings!E101)</f>
        <v/>
      </c>
      <c r="G296" s="39" t="str">
        <f>IF(Agent02_Savings!A101="","",Agent02_Savings!F101)</f>
        <v/>
      </c>
      <c r="H296" s="37" t="str">
        <f>IF(Agent02_Savings!A101="","",Agent02_Savings!I101)</f>
        <v/>
      </c>
      <c r="I296" s="37" t="str">
        <f>IF(Agent02_Savings!A101="","",Agent02_Savings!J101)</f>
        <v/>
      </c>
      <c r="J296" s="37" t="str">
        <f>IF(Agent02_Savings!A101="","",Agent02_Savings!K101)</f>
        <v/>
      </c>
      <c r="K296" s="37" t="str">
        <f>IFERROR(IF(Agent02_Savings!A101="","",YEAR(Agent02_Savings!D101)),"")</f>
        <v/>
      </c>
    </row>
    <row r="297" spans="1:11" ht="18" customHeight="1" x14ac:dyDescent="0.25">
      <c r="A297" s="37" t="str">
        <f>IF(Agent02_Savings!A102="","",Agent02_Savings!A102)</f>
        <v/>
      </c>
      <c r="B297" s="37" t="str">
        <f ca="1">IF(Agent02_Savings!A102="","","SV"&amp;TEXT(297-3,"0000")&amp;"-"&amp;TEXT(TODAY(),"YYYYMMDD"))</f>
        <v/>
      </c>
      <c r="C297" s="37" t="str">
        <f>IF(Agent02_Savings!A102="","",Agent02_Savings!B102)</f>
        <v/>
      </c>
      <c r="D297" s="37" t="str">
        <f>IF(Agent02_Savings!A102="","",Agent02_Savings!G102)</f>
        <v/>
      </c>
      <c r="E297" s="38" t="str">
        <f>IF(Agent02_Savings!A102="","",Agent02_Savings!D102)</f>
        <v/>
      </c>
      <c r="F297" s="39" t="str">
        <f>IF(Agent02_Savings!A102="","",Agent02_Savings!E102)</f>
        <v/>
      </c>
      <c r="G297" s="39" t="str">
        <f>IF(Agent02_Savings!A102="","",Agent02_Savings!F102)</f>
        <v/>
      </c>
      <c r="H297" s="37" t="str">
        <f>IF(Agent02_Savings!A102="","",Agent02_Savings!I102)</f>
        <v/>
      </c>
      <c r="I297" s="37" t="str">
        <f>IF(Agent02_Savings!A102="","",Agent02_Savings!J102)</f>
        <v/>
      </c>
      <c r="J297" s="37" t="str">
        <f>IF(Agent02_Savings!A102="","",Agent02_Savings!K102)</f>
        <v/>
      </c>
      <c r="K297" s="37" t="str">
        <f>IFERROR(IF(Agent02_Savings!A102="","",YEAR(Agent02_Savings!D102)),"")</f>
        <v/>
      </c>
    </row>
    <row r="298" spans="1:11" ht="18" customHeight="1" x14ac:dyDescent="0.25">
      <c r="A298" s="37" t="str">
        <f>IF(Agent02_Savings!A103="","",Agent02_Savings!A103)</f>
        <v/>
      </c>
      <c r="B298" s="37" t="str">
        <f ca="1">IF(Agent02_Savings!A103="","","SV"&amp;TEXT(298-3,"0000")&amp;"-"&amp;TEXT(TODAY(),"YYYYMMDD"))</f>
        <v/>
      </c>
      <c r="C298" s="37" t="str">
        <f>IF(Agent02_Savings!A103="","",Agent02_Savings!B103)</f>
        <v/>
      </c>
      <c r="D298" s="37" t="str">
        <f>IF(Agent02_Savings!A103="","",Agent02_Savings!G103)</f>
        <v/>
      </c>
      <c r="E298" s="38" t="str">
        <f>IF(Agent02_Savings!A103="","",Agent02_Savings!D103)</f>
        <v/>
      </c>
      <c r="F298" s="39" t="str">
        <f>IF(Agent02_Savings!A103="","",Agent02_Savings!E103)</f>
        <v/>
      </c>
      <c r="G298" s="39" t="str">
        <f>IF(Agent02_Savings!A103="","",Agent02_Savings!F103)</f>
        <v/>
      </c>
      <c r="H298" s="37" t="str">
        <f>IF(Agent02_Savings!A103="","",Agent02_Savings!I103)</f>
        <v/>
      </c>
      <c r="I298" s="37" t="str">
        <f>IF(Agent02_Savings!A103="","",Agent02_Savings!J103)</f>
        <v/>
      </c>
      <c r="J298" s="37" t="str">
        <f>IF(Agent02_Savings!A103="","",Agent02_Savings!K103)</f>
        <v/>
      </c>
      <c r="K298" s="37" t="str">
        <f>IFERROR(IF(Agent02_Savings!A103="","",YEAR(Agent02_Savings!D103)),"")</f>
        <v/>
      </c>
    </row>
    <row r="299" spans="1:11" ht="18" customHeight="1" x14ac:dyDescent="0.25">
      <c r="A299" s="37" t="str">
        <f>IF(Agent02_Savings!A104="","",Agent02_Savings!A104)</f>
        <v/>
      </c>
      <c r="B299" s="37" t="str">
        <f ca="1">IF(Agent02_Savings!A104="","","SV"&amp;TEXT(299-3,"0000")&amp;"-"&amp;TEXT(TODAY(),"YYYYMMDD"))</f>
        <v/>
      </c>
      <c r="C299" s="37" t="str">
        <f>IF(Agent02_Savings!A104="","",Agent02_Savings!B104)</f>
        <v/>
      </c>
      <c r="D299" s="37" t="str">
        <f>IF(Agent02_Savings!A104="","",Agent02_Savings!G104)</f>
        <v/>
      </c>
      <c r="E299" s="38" t="str">
        <f>IF(Agent02_Savings!A104="","",Agent02_Savings!D104)</f>
        <v/>
      </c>
      <c r="F299" s="39" t="str">
        <f>IF(Agent02_Savings!A104="","",Agent02_Savings!E104)</f>
        <v/>
      </c>
      <c r="G299" s="39" t="str">
        <f>IF(Agent02_Savings!A104="","",Agent02_Savings!F104)</f>
        <v/>
      </c>
      <c r="H299" s="37" t="str">
        <f>IF(Agent02_Savings!A104="","",Agent02_Savings!I104)</f>
        <v/>
      </c>
      <c r="I299" s="37" t="str">
        <f>IF(Agent02_Savings!A104="","",Agent02_Savings!J104)</f>
        <v/>
      </c>
      <c r="J299" s="37" t="str">
        <f>IF(Agent02_Savings!A104="","",Agent02_Savings!K104)</f>
        <v/>
      </c>
      <c r="K299" s="37" t="str">
        <f>IFERROR(IF(Agent02_Savings!A104="","",YEAR(Agent02_Savings!D104)),"")</f>
        <v/>
      </c>
    </row>
    <row r="300" spans="1:11" ht="18" customHeight="1" x14ac:dyDescent="0.25">
      <c r="A300" s="37" t="str">
        <f>IF(Agent02_Savings!A105="","",Agent02_Savings!A105)</f>
        <v/>
      </c>
      <c r="B300" s="37" t="str">
        <f ca="1">IF(Agent02_Savings!A105="","","SV"&amp;TEXT(300-3,"0000")&amp;"-"&amp;TEXT(TODAY(),"YYYYMMDD"))</f>
        <v/>
      </c>
      <c r="C300" s="37" t="str">
        <f>IF(Agent02_Savings!A105="","",Agent02_Savings!B105)</f>
        <v/>
      </c>
      <c r="D300" s="37" t="str">
        <f>IF(Agent02_Savings!A105="","",Agent02_Savings!G105)</f>
        <v/>
      </c>
      <c r="E300" s="38" t="str">
        <f>IF(Agent02_Savings!A105="","",Agent02_Savings!D105)</f>
        <v/>
      </c>
      <c r="F300" s="39" t="str">
        <f>IF(Agent02_Savings!A105="","",Agent02_Savings!E105)</f>
        <v/>
      </c>
      <c r="G300" s="39" t="str">
        <f>IF(Agent02_Savings!A105="","",Agent02_Savings!F105)</f>
        <v/>
      </c>
      <c r="H300" s="37" t="str">
        <f>IF(Agent02_Savings!A105="","",Agent02_Savings!I105)</f>
        <v/>
      </c>
      <c r="I300" s="37" t="str">
        <f>IF(Agent02_Savings!A105="","",Agent02_Savings!J105)</f>
        <v/>
      </c>
      <c r="J300" s="37" t="str">
        <f>IF(Agent02_Savings!A105="","",Agent02_Savings!K105)</f>
        <v/>
      </c>
      <c r="K300" s="37" t="str">
        <f>IFERROR(IF(Agent02_Savings!A105="","",YEAR(Agent02_Savings!D105)),"")</f>
        <v/>
      </c>
    </row>
    <row r="301" spans="1:11" ht="18" customHeight="1" x14ac:dyDescent="0.25">
      <c r="A301" s="37" t="str">
        <f>IF(Agent02_Savings!A106="","",Agent02_Savings!A106)</f>
        <v/>
      </c>
      <c r="B301" s="37" t="str">
        <f ca="1">IF(Agent02_Savings!A106="","","SV"&amp;TEXT(301-3,"0000")&amp;"-"&amp;TEXT(TODAY(),"YYYYMMDD"))</f>
        <v/>
      </c>
      <c r="C301" s="37" t="str">
        <f>IF(Agent02_Savings!A106="","",Agent02_Savings!B106)</f>
        <v/>
      </c>
      <c r="D301" s="37" t="str">
        <f>IF(Agent02_Savings!A106="","",Agent02_Savings!G106)</f>
        <v/>
      </c>
      <c r="E301" s="38" t="str">
        <f>IF(Agent02_Savings!A106="","",Agent02_Savings!D106)</f>
        <v/>
      </c>
      <c r="F301" s="39" t="str">
        <f>IF(Agent02_Savings!A106="","",Agent02_Savings!E106)</f>
        <v/>
      </c>
      <c r="G301" s="39" t="str">
        <f>IF(Agent02_Savings!A106="","",Agent02_Savings!F106)</f>
        <v/>
      </c>
      <c r="H301" s="37" t="str">
        <f>IF(Agent02_Savings!A106="","",Agent02_Savings!I106)</f>
        <v/>
      </c>
      <c r="I301" s="37" t="str">
        <f>IF(Agent02_Savings!A106="","",Agent02_Savings!J106)</f>
        <v/>
      </c>
      <c r="J301" s="37" t="str">
        <f>IF(Agent02_Savings!A106="","",Agent02_Savings!K106)</f>
        <v/>
      </c>
      <c r="K301" s="37" t="str">
        <f>IFERROR(IF(Agent02_Savings!A106="","",YEAR(Agent02_Savings!D106)),"")</f>
        <v/>
      </c>
    </row>
    <row r="302" spans="1:11" ht="18" customHeight="1" x14ac:dyDescent="0.25">
      <c r="A302" s="37" t="str">
        <f>IF(Agent02_Savings!A107="","",Agent02_Savings!A107)</f>
        <v/>
      </c>
      <c r="B302" s="37" t="str">
        <f ca="1">IF(Agent02_Savings!A107="","","SV"&amp;TEXT(302-3,"0000")&amp;"-"&amp;TEXT(TODAY(),"YYYYMMDD"))</f>
        <v/>
      </c>
      <c r="C302" s="37" t="str">
        <f>IF(Agent02_Savings!A107="","",Agent02_Savings!B107)</f>
        <v/>
      </c>
      <c r="D302" s="37" t="str">
        <f>IF(Agent02_Savings!A107="","",Agent02_Savings!G107)</f>
        <v/>
      </c>
      <c r="E302" s="38" t="str">
        <f>IF(Agent02_Savings!A107="","",Agent02_Savings!D107)</f>
        <v/>
      </c>
      <c r="F302" s="39" t="str">
        <f>IF(Agent02_Savings!A107="","",Agent02_Savings!E107)</f>
        <v/>
      </c>
      <c r="G302" s="39" t="str">
        <f>IF(Agent02_Savings!A107="","",Agent02_Savings!F107)</f>
        <v/>
      </c>
      <c r="H302" s="37" t="str">
        <f>IF(Agent02_Savings!A107="","",Agent02_Savings!I107)</f>
        <v/>
      </c>
      <c r="I302" s="37" t="str">
        <f>IF(Agent02_Savings!A107="","",Agent02_Savings!J107)</f>
        <v/>
      </c>
      <c r="J302" s="37" t="str">
        <f>IF(Agent02_Savings!A107="","",Agent02_Savings!K107)</f>
        <v/>
      </c>
      <c r="K302" s="37" t="str">
        <f>IFERROR(IF(Agent02_Savings!A107="","",YEAR(Agent02_Savings!D107)),"")</f>
        <v/>
      </c>
    </row>
    <row r="303" spans="1:11" ht="18" customHeight="1" x14ac:dyDescent="0.25">
      <c r="A303" s="37" t="str">
        <f>IF(Agent02_Savings!A108="","",Agent02_Savings!A108)</f>
        <v/>
      </c>
      <c r="B303" s="37" t="str">
        <f ca="1">IF(Agent02_Savings!A108="","","SV"&amp;TEXT(303-3,"0000")&amp;"-"&amp;TEXT(TODAY(),"YYYYMMDD"))</f>
        <v/>
      </c>
      <c r="C303" s="37" t="str">
        <f>IF(Agent02_Savings!A108="","",Agent02_Savings!B108)</f>
        <v/>
      </c>
      <c r="D303" s="37" t="str">
        <f>IF(Agent02_Savings!A108="","",Agent02_Savings!G108)</f>
        <v/>
      </c>
      <c r="E303" s="38" t="str">
        <f>IF(Agent02_Savings!A108="","",Agent02_Savings!D108)</f>
        <v/>
      </c>
      <c r="F303" s="39" t="str">
        <f>IF(Agent02_Savings!A108="","",Agent02_Savings!E108)</f>
        <v/>
      </c>
      <c r="G303" s="39" t="str">
        <f>IF(Agent02_Savings!A108="","",Agent02_Savings!F108)</f>
        <v/>
      </c>
      <c r="H303" s="37" t="str">
        <f>IF(Agent02_Savings!A108="","",Agent02_Savings!I108)</f>
        <v/>
      </c>
      <c r="I303" s="37" t="str">
        <f>IF(Agent02_Savings!A108="","",Agent02_Savings!J108)</f>
        <v/>
      </c>
      <c r="J303" s="37" t="str">
        <f>IF(Agent02_Savings!A108="","",Agent02_Savings!K108)</f>
        <v/>
      </c>
      <c r="K303" s="37" t="str">
        <f>IFERROR(IF(Agent02_Savings!A108="","",YEAR(Agent02_Savings!D108)),"")</f>
        <v/>
      </c>
    </row>
    <row r="304" spans="1:11" ht="18" customHeight="1" x14ac:dyDescent="0.25">
      <c r="A304" s="37" t="str">
        <f>IF(Agent02_Savings!A109="","",Agent02_Savings!A109)</f>
        <v/>
      </c>
      <c r="B304" s="37" t="str">
        <f ca="1">IF(Agent02_Savings!A109="","","SV"&amp;TEXT(304-3,"0000")&amp;"-"&amp;TEXT(TODAY(),"YYYYMMDD"))</f>
        <v/>
      </c>
      <c r="C304" s="37" t="str">
        <f>IF(Agent02_Savings!A109="","",Agent02_Savings!B109)</f>
        <v/>
      </c>
      <c r="D304" s="37" t="str">
        <f>IF(Agent02_Savings!A109="","",Agent02_Savings!G109)</f>
        <v/>
      </c>
      <c r="E304" s="38" t="str">
        <f>IF(Agent02_Savings!A109="","",Agent02_Savings!D109)</f>
        <v/>
      </c>
      <c r="F304" s="39" t="str">
        <f>IF(Agent02_Savings!A109="","",Agent02_Savings!E109)</f>
        <v/>
      </c>
      <c r="G304" s="39" t="str">
        <f>IF(Agent02_Savings!A109="","",Agent02_Savings!F109)</f>
        <v/>
      </c>
      <c r="H304" s="37" t="str">
        <f>IF(Agent02_Savings!A109="","",Agent02_Savings!I109)</f>
        <v/>
      </c>
      <c r="I304" s="37" t="str">
        <f>IF(Agent02_Savings!A109="","",Agent02_Savings!J109)</f>
        <v/>
      </c>
      <c r="J304" s="37" t="str">
        <f>IF(Agent02_Savings!A109="","",Agent02_Savings!K109)</f>
        <v/>
      </c>
      <c r="K304" s="37" t="str">
        <f>IFERROR(IF(Agent02_Savings!A109="","",YEAR(Agent02_Savings!D109)),"")</f>
        <v/>
      </c>
    </row>
    <row r="305" spans="1:11" ht="18" customHeight="1" x14ac:dyDescent="0.25">
      <c r="A305" s="37" t="str">
        <f>IF(Agent02_Savings!A110="","",Agent02_Savings!A110)</f>
        <v/>
      </c>
      <c r="B305" s="37" t="str">
        <f ca="1">IF(Agent02_Savings!A110="","","SV"&amp;TEXT(305-3,"0000")&amp;"-"&amp;TEXT(TODAY(),"YYYYMMDD"))</f>
        <v/>
      </c>
      <c r="C305" s="37" t="str">
        <f>IF(Agent02_Savings!A110="","",Agent02_Savings!B110)</f>
        <v/>
      </c>
      <c r="D305" s="37" t="str">
        <f>IF(Agent02_Savings!A110="","",Agent02_Savings!G110)</f>
        <v/>
      </c>
      <c r="E305" s="38" t="str">
        <f>IF(Agent02_Savings!A110="","",Agent02_Savings!D110)</f>
        <v/>
      </c>
      <c r="F305" s="39" t="str">
        <f>IF(Agent02_Savings!A110="","",Agent02_Savings!E110)</f>
        <v/>
      </c>
      <c r="G305" s="39" t="str">
        <f>IF(Agent02_Savings!A110="","",Agent02_Savings!F110)</f>
        <v/>
      </c>
      <c r="H305" s="37" t="str">
        <f>IF(Agent02_Savings!A110="","",Agent02_Savings!I110)</f>
        <v/>
      </c>
      <c r="I305" s="37" t="str">
        <f>IF(Agent02_Savings!A110="","",Agent02_Savings!J110)</f>
        <v/>
      </c>
      <c r="J305" s="37" t="str">
        <f>IF(Agent02_Savings!A110="","",Agent02_Savings!K110)</f>
        <v/>
      </c>
      <c r="K305" s="37" t="str">
        <f>IFERROR(IF(Agent02_Savings!A110="","",YEAR(Agent02_Savings!D110)),"")</f>
        <v/>
      </c>
    </row>
    <row r="306" spans="1:11" ht="18" customHeight="1" x14ac:dyDescent="0.25">
      <c r="A306" s="37" t="str">
        <f>IF(Agent02_Savings!A111="","",Agent02_Savings!A111)</f>
        <v/>
      </c>
      <c r="B306" s="37" t="str">
        <f ca="1">IF(Agent02_Savings!A111="","","SV"&amp;TEXT(306-3,"0000")&amp;"-"&amp;TEXT(TODAY(),"YYYYMMDD"))</f>
        <v/>
      </c>
      <c r="C306" s="37" t="str">
        <f>IF(Agent02_Savings!A111="","",Agent02_Savings!B111)</f>
        <v/>
      </c>
      <c r="D306" s="37" t="str">
        <f>IF(Agent02_Savings!A111="","",Agent02_Savings!G111)</f>
        <v/>
      </c>
      <c r="E306" s="38" t="str">
        <f>IF(Agent02_Savings!A111="","",Agent02_Savings!D111)</f>
        <v/>
      </c>
      <c r="F306" s="39" t="str">
        <f>IF(Agent02_Savings!A111="","",Agent02_Savings!E111)</f>
        <v/>
      </c>
      <c r="G306" s="39" t="str">
        <f>IF(Agent02_Savings!A111="","",Agent02_Savings!F111)</f>
        <v/>
      </c>
      <c r="H306" s="37" t="str">
        <f>IF(Agent02_Savings!A111="","",Agent02_Savings!I111)</f>
        <v/>
      </c>
      <c r="I306" s="37" t="str">
        <f>IF(Agent02_Savings!A111="","",Agent02_Savings!J111)</f>
        <v/>
      </c>
      <c r="J306" s="37" t="str">
        <f>IF(Agent02_Savings!A111="","",Agent02_Savings!K111)</f>
        <v/>
      </c>
      <c r="K306" s="37" t="str">
        <f>IFERROR(IF(Agent02_Savings!A111="","",YEAR(Agent02_Savings!D111)),"")</f>
        <v/>
      </c>
    </row>
    <row r="307" spans="1:11" ht="18" customHeight="1" x14ac:dyDescent="0.25">
      <c r="A307" s="37" t="str">
        <f>IF(Agent02_Savings!A112="","",Agent02_Savings!A112)</f>
        <v/>
      </c>
      <c r="B307" s="37" t="str">
        <f ca="1">IF(Agent02_Savings!A112="","","SV"&amp;TEXT(307-3,"0000")&amp;"-"&amp;TEXT(TODAY(),"YYYYMMDD"))</f>
        <v/>
      </c>
      <c r="C307" s="37" t="str">
        <f>IF(Agent02_Savings!A112="","",Agent02_Savings!B112)</f>
        <v/>
      </c>
      <c r="D307" s="37" t="str">
        <f>IF(Agent02_Savings!A112="","",Agent02_Savings!G112)</f>
        <v/>
      </c>
      <c r="E307" s="38" t="str">
        <f>IF(Agent02_Savings!A112="","",Agent02_Savings!D112)</f>
        <v/>
      </c>
      <c r="F307" s="39" t="str">
        <f>IF(Agent02_Savings!A112="","",Agent02_Savings!E112)</f>
        <v/>
      </c>
      <c r="G307" s="39" t="str">
        <f>IF(Agent02_Savings!A112="","",Agent02_Savings!F112)</f>
        <v/>
      </c>
      <c r="H307" s="37" t="str">
        <f>IF(Agent02_Savings!A112="","",Agent02_Savings!I112)</f>
        <v/>
      </c>
      <c r="I307" s="37" t="str">
        <f>IF(Agent02_Savings!A112="","",Agent02_Savings!J112)</f>
        <v/>
      </c>
      <c r="J307" s="37" t="str">
        <f>IF(Agent02_Savings!A112="","",Agent02_Savings!K112)</f>
        <v/>
      </c>
      <c r="K307" s="37" t="str">
        <f>IFERROR(IF(Agent02_Savings!A112="","",YEAR(Agent02_Savings!D112)),"")</f>
        <v/>
      </c>
    </row>
    <row r="308" spans="1:11" ht="18" customHeight="1" x14ac:dyDescent="0.25">
      <c r="A308" s="37" t="str">
        <f>IF(Agent02_Savings!A113="","",Agent02_Savings!A113)</f>
        <v/>
      </c>
      <c r="B308" s="37" t="str">
        <f ca="1">IF(Agent02_Savings!A113="","","SV"&amp;TEXT(308-3,"0000")&amp;"-"&amp;TEXT(TODAY(),"YYYYMMDD"))</f>
        <v/>
      </c>
      <c r="C308" s="37" t="str">
        <f>IF(Agent02_Savings!A113="","",Agent02_Savings!B113)</f>
        <v/>
      </c>
      <c r="D308" s="37" t="str">
        <f>IF(Agent02_Savings!A113="","",Agent02_Savings!G113)</f>
        <v/>
      </c>
      <c r="E308" s="38" t="str">
        <f>IF(Agent02_Savings!A113="","",Agent02_Savings!D113)</f>
        <v/>
      </c>
      <c r="F308" s="39" t="str">
        <f>IF(Agent02_Savings!A113="","",Agent02_Savings!E113)</f>
        <v/>
      </c>
      <c r="G308" s="39" t="str">
        <f>IF(Agent02_Savings!A113="","",Agent02_Savings!F113)</f>
        <v/>
      </c>
      <c r="H308" s="37" t="str">
        <f>IF(Agent02_Savings!A113="","",Agent02_Savings!I113)</f>
        <v/>
      </c>
      <c r="I308" s="37" t="str">
        <f>IF(Agent02_Savings!A113="","",Agent02_Savings!J113)</f>
        <v/>
      </c>
      <c r="J308" s="37" t="str">
        <f>IF(Agent02_Savings!A113="","",Agent02_Savings!K113)</f>
        <v/>
      </c>
      <c r="K308" s="37" t="str">
        <f>IFERROR(IF(Agent02_Savings!A113="","",YEAR(Agent02_Savings!D113)),"")</f>
        <v/>
      </c>
    </row>
    <row r="309" spans="1:11" ht="18" customHeight="1" x14ac:dyDescent="0.25">
      <c r="A309" s="37" t="str">
        <f>IF(Agent02_Savings!A114="","",Agent02_Savings!A114)</f>
        <v/>
      </c>
      <c r="B309" s="37" t="str">
        <f ca="1">IF(Agent02_Savings!A114="","","SV"&amp;TEXT(309-3,"0000")&amp;"-"&amp;TEXT(TODAY(),"YYYYMMDD"))</f>
        <v/>
      </c>
      <c r="C309" s="37" t="str">
        <f>IF(Agent02_Savings!A114="","",Agent02_Savings!B114)</f>
        <v/>
      </c>
      <c r="D309" s="37" t="str">
        <f>IF(Agent02_Savings!A114="","",Agent02_Savings!G114)</f>
        <v/>
      </c>
      <c r="E309" s="38" t="str">
        <f>IF(Agent02_Savings!A114="","",Agent02_Savings!D114)</f>
        <v/>
      </c>
      <c r="F309" s="39" t="str">
        <f>IF(Agent02_Savings!A114="","",Agent02_Savings!E114)</f>
        <v/>
      </c>
      <c r="G309" s="39" t="str">
        <f>IF(Agent02_Savings!A114="","",Agent02_Savings!F114)</f>
        <v/>
      </c>
      <c r="H309" s="37" t="str">
        <f>IF(Agent02_Savings!A114="","",Agent02_Savings!I114)</f>
        <v/>
      </c>
      <c r="I309" s="37" t="str">
        <f>IF(Agent02_Savings!A114="","",Agent02_Savings!J114)</f>
        <v/>
      </c>
      <c r="J309" s="37" t="str">
        <f>IF(Agent02_Savings!A114="","",Agent02_Savings!K114)</f>
        <v/>
      </c>
      <c r="K309" s="37" t="str">
        <f>IFERROR(IF(Agent02_Savings!A114="","",YEAR(Agent02_Savings!D114)),"")</f>
        <v/>
      </c>
    </row>
    <row r="310" spans="1:11" ht="18" customHeight="1" x14ac:dyDescent="0.25">
      <c r="A310" s="37" t="str">
        <f>IF(Agent02_Savings!A115="","",Agent02_Savings!A115)</f>
        <v/>
      </c>
      <c r="B310" s="37" t="str">
        <f ca="1">IF(Agent02_Savings!A115="","","SV"&amp;TEXT(310-3,"0000")&amp;"-"&amp;TEXT(TODAY(),"YYYYMMDD"))</f>
        <v/>
      </c>
      <c r="C310" s="37" t="str">
        <f>IF(Agent02_Savings!A115="","",Agent02_Savings!B115)</f>
        <v/>
      </c>
      <c r="D310" s="37" t="str">
        <f>IF(Agent02_Savings!A115="","",Agent02_Savings!G115)</f>
        <v/>
      </c>
      <c r="E310" s="38" t="str">
        <f>IF(Agent02_Savings!A115="","",Agent02_Savings!D115)</f>
        <v/>
      </c>
      <c r="F310" s="39" t="str">
        <f>IF(Agent02_Savings!A115="","",Agent02_Savings!E115)</f>
        <v/>
      </c>
      <c r="G310" s="39" t="str">
        <f>IF(Agent02_Savings!A115="","",Agent02_Savings!F115)</f>
        <v/>
      </c>
      <c r="H310" s="37" t="str">
        <f>IF(Agent02_Savings!A115="","",Agent02_Savings!I115)</f>
        <v/>
      </c>
      <c r="I310" s="37" t="str">
        <f>IF(Agent02_Savings!A115="","",Agent02_Savings!J115)</f>
        <v/>
      </c>
      <c r="J310" s="37" t="str">
        <f>IF(Agent02_Savings!A115="","",Agent02_Savings!K115)</f>
        <v/>
      </c>
      <c r="K310" s="37" t="str">
        <f>IFERROR(IF(Agent02_Savings!A115="","",YEAR(Agent02_Savings!D115)),"")</f>
        <v/>
      </c>
    </row>
    <row r="311" spans="1:11" ht="18" customHeight="1" x14ac:dyDescent="0.25">
      <c r="A311" s="37" t="str">
        <f>IF(Agent02_Savings!A116="","",Agent02_Savings!A116)</f>
        <v/>
      </c>
      <c r="B311" s="37" t="str">
        <f ca="1">IF(Agent02_Savings!A116="","","SV"&amp;TEXT(311-3,"0000")&amp;"-"&amp;TEXT(TODAY(),"YYYYMMDD"))</f>
        <v/>
      </c>
      <c r="C311" s="37" t="str">
        <f>IF(Agent02_Savings!A116="","",Agent02_Savings!B116)</f>
        <v/>
      </c>
      <c r="D311" s="37" t="str">
        <f>IF(Agent02_Savings!A116="","",Agent02_Savings!G116)</f>
        <v/>
      </c>
      <c r="E311" s="38" t="str">
        <f>IF(Agent02_Savings!A116="","",Agent02_Savings!D116)</f>
        <v/>
      </c>
      <c r="F311" s="39" t="str">
        <f>IF(Agent02_Savings!A116="","",Agent02_Savings!E116)</f>
        <v/>
      </c>
      <c r="G311" s="39" t="str">
        <f>IF(Agent02_Savings!A116="","",Agent02_Savings!F116)</f>
        <v/>
      </c>
      <c r="H311" s="37" t="str">
        <f>IF(Agent02_Savings!A116="","",Agent02_Savings!I116)</f>
        <v/>
      </c>
      <c r="I311" s="37" t="str">
        <f>IF(Agent02_Savings!A116="","",Agent02_Savings!J116)</f>
        <v/>
      </c>
      <c r="J311" s="37" t="str">
        <f>IF(Agent02_Savings!A116="","",Agent02_Savings!K116)</f>
        <v/>
      </c>
      <c r="K311" s="37" t="str">
        <f>IFERROR(IF(Agent02_Savings!A116="","",YEAR(Agent02_Savings!D116)),"")</f>
        <v/>
      </c>
    </row>
    <row r="312" spans="1:11" ht="18" customHeight="1" x14ac:dyDescent="0.25">
      <c r="A312" s="37" t="str">
        <f>IF(Agent02_Savings!A117="","",Agent02_Savings!A117)</f>
        <v/>
      </c>
      <c r="B312" s="37" t="str">
        <f ca="1">IF(Agent02_Savings!A117="","","SV"&amp;TEXT(312-3,"0000")&amp;"-"&amp;TEXT(TODAY(),"YYYYMMDD"))</f>
        <v/>
      </c>
      <c r="C312" s="37" t="str">
        <f>IF(Agent02_Savings!A117="","",Agent02_Savings!B117)</f>
        <v/>
      </c>
      <c r="D312" s="37" t="str">
        <f>IF(Agent02_Savings!A117="","",Agent02_Savings!G117)</f>
        <v/>
      </c>
      <c r="E312" s="38" t="str">
        <f>IF(Agent02_Savings!A117="","",Agent02_Savings!D117)</f>
        <v/>
      </c>
      <c r="F312" s="39" t="str">
        <f>IF(Agent02_Savings!A117="","",Agent02_Savings!E117)</f>
        <v/>
      </c>
      <c r="G312" s="39" t="str">
        <f>IF(Agent02_Savings!A117="","",Agent02_Savings!F117)</f>
        <v/>
      </c>
      <c r="H312" s="37" t="str">
        <f>IF(Agent02_Savings!A117="","",Agent02_Savings!I117)</f>
        <v/>
      </c>
      <c r="I312" s="37" t="str">
        <f>IF(Agent02_Savings!A117="","",Agent02_Savings!J117)</f>
        <v/>
      </c>
      <c r="J312" s="37" t="str">
        <f>IF(Agent02_Savings!A117="","",Agent02_Savings!K117)</f>
        <v/>
      </c>
      <c r="K312" s="37" t="str">
        <f>IFERROR(IF(Agent02_Savings!A117="","",YEAR(Agent02_Savings!D117)),"")</f>
        <v/>
      </c>
    </row>
    <row r="313" spans="1:11" ht="18" customHeight="1" x14ac:dyDescent="0.25">
      <c r="A313" s="37" t="str">
        <f>IF(Agent02_Savings!A118="","",Agent02_Savings!A118)</f>
        <v/>
      </c>
      <c r="B313" s="37" t="str">
        <f ca="1">IF(Agent02_Savings!A118="","","SV"&amp;TEXT(313-3,"0000")&amp;"-"&amp;TEXT(TODAY(),"YYYYMMDD"))</f>
        <v/>
      </c>
      <c r="C313" s="37" t="str">
        <f>IF(Agent02_Savings!A118="","",Agent02_Savings!B118)</f>
        <v/>
      </c>
      <c r="D313" s="37" t="str">
        <f>IF(Agent02_Savings!A118="","",Agent02_Savings!G118)</f>
        <v/>
      </c>
      <c r="E313" s="38" t="str">
        <f>IF(Agent02_Savings!A118="","",Agent02_Savings!D118)</f>
        <v/>
      </c>
      <c r="F313" s="39" t="str">
        <f>IF(Agent02_Savings!A118="","",Agent02_Savings!E118)</f>
        <v/>
      </c>
      <c r="G313" s="39" t="str">
        <f>IF(Agent02_Savings!A118="","",Agent02_Savings!F118)</f>
        <v/>
      </c>
      <c r="H313" s="37" t="str">
        <f>IF(Agent02_Savings!A118="","",Agent02_Savings!I118)</f>
        <v/>
      </c>
      <c r="I313" s="37" t="str">
        <f>IF(Agent02_Savings!A118="","",Agent02_Savings!J118)</f>
        <v/>
      </c>
      <c r="J313" s="37" t="str">
        <f>IF(Agent02_Savings!A118="","",Agent02_Savings!K118)</f>
        <v/>
      </c>
      <c r="K313" s="37" t="str">
        <f>IFERROR(IF(Agent02_Savings!A118="","",YEAR(Agent02_Savings!D118)),"")</f>
        <v/>
      </c>
    </row>
    <row r="314" spans="1:11" ht="18" customHeight="1" x14ac:dyDescent="0.25">
      <c r="A314" s="37" t="str">
        <f>IF(Agent02_Savings!A119="","",Agent02_Savings!A119)</f>
        <v/>
      </c>
      <c r="B314" s="37" t="str">
        <f ca="1">IF(Agent02_Savings!A119="","","SV"&amp;TEXT(314-3,"0000")&amp;"-"&amp;TEXT(TODAY(),"YYYYMMDD"))</f>
        <v/>
      </c>
      <c r="C314" s="37" t="str">
        <f>IF(Agent02_Savings!A119="","",Agent02_Savings!B119)</f>
        <v/>
      </c>
      <c r="D314" s="37" t="str">
        <f>IF(Agent02_Savings!A119="","",Agent02_Savings!G119)</f>
        <v/>
      </c>
      <c r="E314" s="38" t="str">
        <f>IF(Agent02_Savings!A119="","",Agent02_Savings!D119)</f>
        <v/>
      </c>
      <c r="F314" s="39" t="str">
        <f>IF(Agent02_Savings!A119="","",Agent02_Savings!E119)</f>
        <v/>
      </c>
      <c r="G314" s="39" t="str">
        <f>IF(Agent02_Savings!A119="","",Agent02_Savings!F119)</f>
        <v/>
      </c>
      <c r="H314" s="37" t="str">
        <f>IF(Agent02_Savings!A119="","",Agent02_Savings!I119)</f>
        <v/>
      </c>
      <c r="I314" s="37" t="str">
        <f>IF(Agent02_Savings!A119="","",Agent02_Savings!J119)</f>
        <v/>
      </c>
      <c r="J314" s="37" t="str">
        <f>IF(Agent02_Savings!A119="","",Agent02_Savings!K119)</f>
        <v/>
      </c>
      <c r="K314" s="37" t="str">
        <f>IFERROR(IF(Agent02_Savings!A119="","",YEAR(Agent02_Savings!D119)),"")</f>
        <v/>
      </c>
    </row>
    <row r="315" spans="1:11" ht="18" customHeight="1" x14ac:dyDescent="0.25">
      <c r="A315" s="37" t="str">
        <f>IF(Agent02_Savings!A120="","",Agent02_Savings!A120)</f>
        <v/>
      </c>
      <c r="B315" s="37" t="str">
        <f ca="1">IF(Agent02_Savings!A120="","","SV"&amp;TEXT(315-3,"0000")&amp;"-"&amp;TEXT(TODAY(),"YYYYMMDD"))</f>
        <v/>
      </c>
      <c r="C315" s="37" t="str">
        <f>IF(Agent02_Savings!A120="","",Agent02_Savings!B120)</f>
        <v/>
      </c>
      <c r="D315" s="37" t="str">
        <f>IF(Agent02_Savings!A120="","",Agent02_Savings!G120)</f>
        <v/>
      </c>
      <c r="E315" s="38" t="str">
        <f>IF(Agent02_Savings!A120="","",Agent02_Savings!D120)</f>
        <v/>
      </c>
      <c r="F315" s="39" t="str">
        <f>IF(Agent02_Savings!A120="","",Agent02_Savings!E120)</f>
        <v/>
      </c>
      <c r="G315" s="39" t="str">
        <f>IF(Agent02_Savings!A120="","",Agent02_Savings!F120)</f>
        <v/>
      </c>
      <c r="H315" s="37" t="str">
        <f>IF(Agent02_Savings!A120="","",Agent02_Savings!I120)</f>
        <v/>
      </c>
      <c r="I315" s="37" t="str">
        <f>IF(Agent02_Savings!A120="","",Agent02_Savings!J120)</f>
        <v/>
      </c>
      <c r="J315" s="37" t="str">
        <f>IF(Agent02_Savings!A120="","",Agent02_Savings!K120)</f>
        <v/>
      </c>
      <c r="K315" s="37" t="str">
        <f>IFERROR(IF(Agent02_Savings!A120="","",YEAR(Agent02_Savings!D120)),"")</f>
        <v/>
      </c>
    </row>
    <row r="316" spans="1:11" ht="18" customHeight="1" x14ac:dyDescent="0.25">
      <c r="A316" s="37" t="str">
        <f>IF(Agent02_Savings!A121="","",Agent02_Savings!A121)</f>
        <v/>
      </c>
      <c r="B316" s="37" t="str">
        <f ca="1">IF(Agent02_Savings!A121="","","SV"&amp;TEXT(316-3,"0000")&amp;"-"&amp;TEXT(TODAY(),"YYYYMMDD"))</f>
        <v/>
      </c>
      <c r="C316" s="37" t="str">
        <f>IF(Agent02_Savings!A121="","",Agent02_Savings!B121)</f>
        <v/>
      </c>
      <c r="D316" s="37" t="str">
        <f>IF(Agent02_Savings!A121="","",Agent02_Savings!G121)</f>
        <v/>
      </c>
      <c r="E316" s="38" t="str">
        <f>IF(Agent02_Savings!A121="","",Agent02_Savings!D121)</f>
        <v/>
      </c>
      <c r="F316" s="39" t="str">
        <f>IF(Agent02_Savings!A121="","",Agent02_Savings!E121)</f>
        <v/>
      </c>
      <c r="G316" s="39" t="str">
        <f>IF(Agent02_Savings!A121="","",Agent02_Savings!F121)</f>
        <v/>
      </c>
      <c r="H316" s="37" t="str">
        <f>IF(Agent02_Savings!A121="","",Agent02_Savings!I121)</f>
        <v/>
      </c>
      <c r="I316" s="37" t="str">
        <f>IF(Agent02_Savings!A121="","",Agent02_Savings!J121)</f>
        <v/>
      </c>
      <c r="J316" s="37" t="str">
        <f>IF(Agent02_Savings!A121="","",Agent02_Savings!K121)</f>
        <v/>
      </c>
      <c r="K316" s="37" t="str">
        <f>IFERROR(IF(Agent02_Savings!A121="","",YEAR(Agent02_Savings!D121)),"")</f>
        <v/>
      </c>
    </row>
    <row r="317" spans="1:11" ht="18" customHeight="1" x14ac:dyDescent="0.25">
      <c r="A317" s="37" t="str">
        <f>IF(Agent02_Savings!A122="","",Agent02_Savings!A122)</f>
        <v/>
      </c>
      <c r="B317" s="37" t="str">
        <f ca="1">IF(Agent02_Savings!A122="","","SV"&amp;TEXT(317-3,"0000")&amp;"-"&amp;TEXT(TODAY(),"YYYYMMDD"))</f>
        <v/>
      </c>
      <c r="C317" s="37" t="str">
        <f>IF(Agent02_Savings!A122="","",Agent02_Savings!B122)</f>
        <v/>
      </c>
      <c r="D317" s="37" t="str">
        <f>IF(Agent02_Savings!A122="","",Agent02_Savings!G122)</f>
        <v/>
      </c>
      <c r="E317" s="38" t="str">
        <f>IF(Agent02_Savings!A122="","",Agent02_Savings!D122)</f>
        <v/>
      </c>
      <c r="F317" s="39" t="str">
        <f>IF(Agent02_Savings!A122="","",Agent02_Savings!E122)</f>
        <v/>
      </c>
      <c r="G317" s="39" t="str">
        <f>IF(Agent02_Savings!A122="","",Agent02_Savings!F122)</f>
        <v/>
      </c>
      <c r="H317" s="37" t="str">
        <f>IF(Agent02_Savings!A122="","",Agent02_Savings!I122)</f>
        <v/>
      </c>
      <c r="I317" s="37" t="str">
        <f>IF(Agent02_Savings!A122="","",Agent02_Savings!J122)</f>
        <v/>
      </c>
      <c r="J317" s="37" t="str">
        <f>IF(Agent02_Savings!A122="","",Agent02_Savings!K122)</f>
        <v/>
      </c>
      <c r="K317" s="37" t="str">
        <f>IFERROR(IF(Agent02_Savings!A122="","",YEAR(Agent02_Savings!D122)),"")</f>
        <v/>
      </c>
    </row>
    <row r="318" spans="1:11" ht="18" customHeight="1" x14ac:dyDescent="0.25">
      <c r="A318" s="37" t="str">
        <f>IF(Agent02_Savings!A123="","",Agent02_Savings!A123)</f>
        <v/>
      </c>
      <c r="B318" s="37" t="str">
        <f ca="1">IF(Agent02_Savings!A123="","","SV"&amp;TEXT(318-3,"0000")&amp;"-"&amp;TEXT(TODAY(),"YYYYMMDD"))</f>
        <v/>
      </c>
      <c r="C318" s="37" t="str">
        <f>IF(Agent02_Savings!A123="","",Agent02_Savings!B123)</f>
        <v/>
      </c>
      <c r="D318" s="37" t="str">
        <f>IF(Agent02_Savings!A123="","",Agent02_Savings!G123)</f>
        <v/>
      </c>
      <c r="E318" s="38" t="str">
        <f>IF(Agent02_Savings!A123="","",Agent02_Savings!D123)</f>
        <v/>
      </c>
      <c r="F318" s="39" t="str">
        <f>IF(Agent02_Savings!A123="","",Agent02_Savings!E123)</f>
        <v/>
      </c>
      <c r="G318" s="39" t="str">
        <f>IF(Agent02_Savings!A123="","",Agent02_Savings!F123)</f>
        <v/>
      </c>
      <c r="H318" s="37" t="str">
        <f>IF(Agent02_Savings!A123="","",Agent02_Savings!I123)</f>
        <v/>
      </c>
      <c r="I318" s="37" t="str">
        <f>IF(Agent02_Savings!A123="","",Agent02_Savings!J123)</f>
        <v/>
      </c>
      <c r="J318" s="37" t="str">
        <f>IF(Agent02_Savings!A123="","",Agent02_Savings!K123)</f>
        <v/>
      </c>
      <c r="K318" s="37" t="str">
        <f>IFERROR(IF(Agent02_Savings!A123="","",YEAR(Agent02_Savings!D123)),"")</f>
        <v/>
      </c>
    </row>
    <row r="319" spans="1:11" ht="18" customHeight="1" x14ac:dyDescent="0.25">
      <c r="A319" s="37" t="str">
        <f>IF(Agent02_Savings!A124="","",Agent02_Savings!A124)</f>
        <v/>
      </c>
      <c r="B319" s="37" t="str">
        <f ca="1">IF(Agent02_Savings!A124="","","SV"&amp;TEXT(319-3,"0000")&amp;"-"&amp;TEXT(TODAY(),"YYYYMMDD"))</f>
        <v/>
      </c>
      <c r="C319" s="37" t="str">
        <f>IF(Agent02_Savings!A124="","",Agent02_Savings!B124)</f>
        <v/>
      </c>
      <c r="D319" s="37" t="str">
        <f>IF(Agent02_Savings!A124="","",Agent02_Savings!G124)</f>
        <v/>
      </c>
      <c r="E319" s="38" t="str">
        <f>IF(Agent02_Savings!A124="","",Agent02_Savings!D124)</f>
        <v/>
      </c>
      <c r="F319" s="39" t="str">
        <f>IF(Agent02_Savings!A124="","",Agent02_Savings!E124)</f>
        <v/>
      </c>
      <c r="G319" s="39" t="str">
        <f>IF(Agent02_Savings!A124="","",Agent02_Savings!F124)</f>
        <v/>
      </c>
      <c r="H319" s="37" t="str">
        <f>IF(Agent02_Savings!A124="","",Agent02_Savings!I124)</f>
        <v/>
      </c>
      <c r="I319" s="37" t="str">
        <f>IF(Agent02_Savings!A124="","",Agent02_Savings!J124)</f>
        <v/>
      </c>
      <c r="J319" s="37" t="str">
        <f>IF(Agent02_Savings!A124="","",Agent02_Savings!K124)</f>
        <v/>
      </c>
      <c r="K319" s="37" t="str">
        <f>IFERROR(IF(Agent02_Savings!A124="","",YEAR(Agent02_Savings!D124)),"")</f>
        <v/>
      </c>
    </row>
    <row r="320" spans="1:11" ht="18" customHeight="1" x14ac:dyDescent="0.25">
      <c r="A320" s="37" t="str">
        <f>IF(Agent02_Savings!A125="","",Agent02_Savings!A125)</f>
        <v/>
      </c>
      <c r="B320" s="37" t="str">
        <f ca="1">IF(Agent02_Savings!A125="","","SV"&amp;TEXT(320-3,"0000")&amp;"-"&amp;TEXT(TODAY(),"YYYYMMDD"))</f>
        <v/>
      </c>
      <c r="C320" s="37" t="str">
        <f>IF(Agent02_Savings!A125="","",Agent02_Savings!B125)</f>
        <v/>
      </c>
      <c r="D320" s="37" t="str">
        <f>IF(Agent02_Savings!A125="","",Agent02_Savings!G125)</f>
        <v/>
      </c>
      <c r="E320" s="38" t="str">
        <f>IF(Agent02_Savings!A125="","",Agent02_Savings!D125)</f>
        <v/>
      </c>
      <c r="F320" s="39" t="str">
        <f>IF(Agent02_Savings!A125="","",Agent02_Savings!E125)</f>
        <v/>
      </c>
      <c r="G320" s="39" t="str">
        <f>IF(Agent02_Savings!A125="","",Agent02_Savings!F125)</f>
        <v/>
      </c>
      <c r="H320" s="37" t="str">
        <f>IF(Agent02_Savings!A125="","",Agent02_Savings!I125)</f>
        <v/>
      </c>
      <c r="I320" s="37" t="str">
        <f>IF(Agent02_Savings!A125="","",Agent02_Savings!J125)</f>
        <v/>
      </c>
      <c r="J320" s="37" t="str">
        <f>IF(Agent02_Savings!A125="","",Agent02_Savings!K125)</f>
        <v/>
      </c>
      <c r="K320" s="37" t="str">
        <f>IFERROR(IF(Agent02_Savings!A125="","",YEAR(Agent02_Savings!D125)),"")</f>
        <v/>
      </c>
    </row>
    <row r="321" spans="1:11" ht="18" customHeight="1" x14ac:dyDescent="0.25">
      <c r="A321" s="37" t="str">
        <f>IF(Agent02_Savings!A126="","",Agent02_Savings!A126)</f>
        <v/>
      </c>
      <c r="B321" s="37" t="str">
        <f ca="1">IF(Agent02_Savings!A126="","","SV"&amp;TEXT(321-3,"0000")&amp;"-"&amp;TEXT(TODAY(),"YYYYMMDD"))</f>
        <v/>
      </c>
      <c r="C321" s="37" t="str">
        <f>IF(Agent02_Savings!A126="","",Agent02_Savings!B126)</f>
        <v/>
      </c>
      <c r="D321" s="37" t="str">
        <f>IF(Agent02_Savings!A126="","",Agent02_Savings!G126)</f>
        <v/>
      </c>
      <c r="E321" s="38" t="str">
        <f>IF(Agent02_Savings!A126="","",Agent02_Savings!D126)</f>
        <v/>
      </c>
      <c r="F321" s="39" t="str">
        <f>IF(Agent02_Savings!A126="","",Agent02_Savings!E126)</f>
        <v/>
      </c>
      <c r="G321" s="39" t="str">
        <f>IF(Agent02_Savings!A126="","",Agent02_Savings!F126)</f>
        <v/>
      </c>
      <c r="H321" s="37" t="str">
        <f>IF(Agent02_Savings!A126="","",Agent02_Savings!I126)</f>
        <v/>
      </c>
      <c r="I321" s="37" t="str">
        <f>IF(Agent02_Savings!A126="","",Agent02_Savings!J126)</f>
        <v/>
      </c>
      <c r="J321" s="37" t="str">
        <f>IF(Agent02_Savings!A126="","",Agent02_Savings!K126)</f>
        <v/>
      </c>
      <c r="K321" s="37" t="str">
        <f>IFERROR(IF(Agent02_Savings!A126="","",YEAR(Agent02_Savings!D126)),"")</f>
        <v/>
      </c>
    </row>
    <row r="322" spans="1:11" ht="18" customHeight="1" x14ac:dyDescent="0.25">
      <c r="A322" s="37" t="str">
        <f>IF(Agent02_Savings!A127="","",Agent02_Savings!A127)</f>
        <v/>
      </c>
      <c r="B322" s="37" t="str">
        <f ca="1">IF(Agent02_Savings!A127="","","SV"&amp;TEXT(322-3,"0000")&amp;"-"&amp;TEXT(TODAY(),"YYYYMMDD"))</f>
        <v/>
      </c>
      <c r="C322" s="37" t="str">
        <f>IF(Agent02_Savings!A127="","",Agent02_Savings!B127)</f>
        <v/>
      </c>
      <c r="D322" s="37" t="str">
        <f>IF(Agent02_Savings!A127="","",Agent02_Savings!G127)</f>
        <v/>
      </c>
      <c r="E322" s="38" t="str">
        <f>IF(Agent02_Savings!A127="","",Agent02_Savings!D127)</f>
        <v/>
      </c>
      <c r="F322" s="39" t="str">
        <f>IF(Agent02_Savings!A127="","",Agent02_Savings!E127)</f>
        <v/>
      </c>
      <c r="G322" s="39" t="str">
        <f>IF(Agent02_Savings!A127="","",Agent02_Savings!F127)</f>
        <v/>
      </c>
      <c r="H322" s="37" t="str">
        <f>IF(Agent02_Savings!A127="","",Agent02_Savings!I127)</f>
        <v/>
      </c>
      <c r="I322" s="37" t="str">
        <f>IF(Agent02_Savings!A127="","",Agent02_Savings!J127)</f>
        <v/>
      </c>
      <c r="J322" s="37" t="str">
        <f>IF(Agent02_Savings!A127="","",Agent02_Savings!K127)</f>
        <v/>
      </c>
      <c r="K322" s="37" t="str">
        <f>IFERROR(IF(Agent02_Savings!A127="","",YEAR(Agent02_Savings!D127)),"")</f>
        <v/>
      </c>
    </row>
    <row r="323" spans="1:11" ht="18" customHeight="1" x14ac:dyDescent="0.25">
      <c r="A323" s="37" t="str">
        <f>IF(Agent02_Savings!A128="","",Agent02_Savings!A128)</f>
        <v/>
      </c>
      <c r="B323" s="37" t="str">
        <f ca="1">IF(Agent02_Savings!A128="","","SV"&amp;TEXT(323-3,"0000")&amp;"-"&amp;TEXT(TODAY(),"YYYYMMDD"))</f>
        <v/>
      </c>
      <c r="C323" s="37" t="str">
        <f>IF(Agent02_Savings!A128="","",Agent02_Savings!B128)</f>
        <v/>
      </c>
      <c r="D323" s="37" t="str">
        <f>IF(Agent02_Savings!A128="","",Agent02_Savings!G128)</f>
        <v/>
      </c>
      <c r="E323" s="38" t="str">
        <f>IF(Agent02_Savings!A128="","",Agent02_Savings!D128)</f>
        <v/>
      </c>
      <c r="F323" s="39" t="str">
        <f>IF(Agent02_Savings!A128="","",Agent02_Savings!E128)</f>
        <v/>
      </c>
      <c r="G323" s="39" t="str">
        <f>IF(Agent02_Savings!A128="","",Agent02_Savings!F128)</f>
        <v/>
      </c>
      <c r="H323" s="37" t="str">
        <f>IF(Agent02_Savings!A128="","",Agent02_Savings!I128)</f>
        <v/>
      </c>
      <c r="I323" s="37" t="str">
        <f>IF(Agent02_Savings!A128="","",Agent02_Savings!J128)</f>
        <v/>
      </c>
      <c r="J323" s="37" t="str">
        <f>IF(Agent02_Savings!A128="","",Agent02_Savings!K128)</f>
        <v/>
      </c>
      <c r="K323" s="37" t="str">
        <f>IFERROR(IF(Agent02_Savings!A128="","",YEAR(Agent02_Savings!D128)),"")</f>
        <v/>
      </c>
    </row>
    <row r="324" spans="1:11" ht="18" customHeight="1" x14ac:dyDescent="0.25">
      <c r="A324" s="37" t="str">
        <f>IF(Agent02_Savings!A129="","",Agent02_Savings!A129)</f>
        <v/>
      </c>
      <c r="B324" s="37" t="str">
        <f ca="1">IF(Agent02_Savings!A129="","","SV"&amp;TEXT(324-3,"0000")&amp;"-"&amp;TEXT(TODAY(),"YYYYMMDD"))</f>
        <v/>
      </c>
      <c r="C324" s="37" t="str">
        <f>IF(Agent02_Savings!A129="","",Agent02_Savings!B129)</f>
        <v/>
      </c>
      <c r="D324" s="37" t="str">
        <f>IF(Agent02_Savings!A129="","",Agent02_Savings!G129)</f>
        <v/>
      </c>
      <c r="E324" s="38" t="str">
        <f>IF(Agent02_Savings!A129="","",Agent02_Savings!D129)</f>
        <v/>
      </c>
      <c r="F324" s="39" t="str">
        <f>IF(Agent02_Savings!A129="","",Agent02_Savings!E129)</f>
        <v/>
      </c>
      <c r="G324" s="39" t="str">
        <f>IF(Agent02_Savings!A129="","",Agent02_Savings!F129)</f>
        <v/>
      </c>
      <c r="H324" s="37" t="str">
        <f>IF(Agent02_Savings!A129="","",Agent02_Savings!I129)</f>
        <v/>
      </c>
      <c r="I324" s="37" t="str">
        <f>IF(Agent02_Savings!A129="","",Agent02_Savings!J129)</f>
        <v/>
      </c>
      <c r="J324" s="37" t="str">
        <f>IF(Agent02_Savings!A129="","",Agent02_Savings!K129)</f>
        <v/>
      </c>
      <c r="K324" s="37" t="str">
        <f>IFERROR(IF(Agent02_Savings!A129="","",YEAR(Agent02_Savings!D129)),"")</f>
        <v/>
      </c>
    </row>
    <row r="325" spans="1:11" ht="18" customHeight="1" x14ac:dyDescent="0.25">
      <c r="A325" s="37" t="str">
        <f>IF(Agent02_Savings!A130="","",Agent02_Savings!A130)</f>
        <v/>
      </c>
      <c r="B325" s="37" t="str">
        <f ca="1">IF(Agent02_Savings!A130="","","SV"&amp;TEXT(325-3,"0000")&amp;"-"&amp;TEXT(TODAY(),"YYYYMMDD"))</f>
        <v/>
      </c>
      <c r="C325" s="37" t="str">
        <f>IF(Agent02_Savings!A130="","",Agent02_Savings!B130)</f>
        <v/>
      </c>
      <c r="D325" s="37" t="str">
        <f>IF(Agent02_Savings!A130="","",Agent02_Savings!G130)</f>
        <v/>
      </c>
      <c r="E325" s="38" t="str">
        <f>IF(Agent02_Savings!A130="","",Agent02_Savings!D130)</f>
        <v/>
      </c>
      <c r="F325" s="39" t="str">
        <f>IF(Agent02_Savings!A130="","",Agent02_Savings!E130)</f>
        <v/>
      </c>
      <c r="G325" s="39" t="str">
        <f>IF(Agent02_Savings!A130="","",Agent02_Savings!F130)</f>
        <v/>
      </c>
      <c r="H325" s="37" t="str">
        <f>IF(Agent02_Savings!A130="","",Agent02_Savings!I130)</f>
        <v/>
      </c>
      <c r="I325" s="37" t="str">
        <f>IF(Agent02_Savings!A130="","",Agent02_Savings!J130)</f>
        <v/>
      </c>
      <c r="J325" s="37" t="str">
        <f>IF(Agent02_Savings!A130="","",Agent02_Savings!K130)</f>
        <v/>
      </c>
      <c r="K325" s="37" t="str">
        <f>IFERROR(IF(Agent02_Savings!A130="","",YEAR(Agent02_Savings!D130)),"")</f>
        <v/>
      </c>
    </row>
    <row r="326" spans="1:11" ht="18" customHeight="1" x14ac:dyDescent="0.25">
      <c r="A326" s="37" t="str">
        <f>IF(Agent02_Savings!A131="","",Agent02_Savings!A131)</f>
        <v/>
      </c>
      <c r="B326" s="37" t="str">
        <f ca="1">IF(Agent02_Savings!A131="","","SV"&amp;TEXT(326-3,"0000")&amp;"-"&amp;TEXT(TODAY(),"YYYYMMDD"))</f>
        <v/>
      </c>
      <c r="C326" s="37" t="str">
        <f>IF(Agent02_Savings!A131="","",Agent02_Savings!B131)</f>
        <v/>
      </c>
      <c r="D326" s="37" t="str">
        <f>IF(Agent02_Savings!A131="","",Agent02_Savings!G131)</f>
        <v/>
      </c>
      <c r="E326" s="38" t="str">
        <f>IF(Agent02_Savings!A131="","",Agent02_Savings!D131)</f>
        <v/>
      </c>
      <c r="F326" s="39" t="str">
        <f>IF(Agent02_Savings!A131="","",Agent02_Savings!E131)</f>
        <v/>
      </c>
      <c r="G326" s="39" t="str">
        <f>IF(Agent02_Savings!A131="","",Agent02_Savings!F131)</f>
        <v/>
      </c>
      <c r="H326" s="37" t="str">
        <f>IF(Agent02_Savings!A131="","",Agent02_Savings!I131)</f>
        <v/>
      </c>
      <c r="I326" s="37" t="str">
        <f>IF(Agent02_Savings!A131="","",Agent02_Savings!J131)</f>
        <v/>
      </c>
      <c r="J326" s="37" t="str">
        <f>IF(Agent02_Savings!A131="","",Agent02_Savings!K131)</f>
        <v/>
      </c>
      <c r="K326" s="37" t="str">
        <f>IFERROR(IF(Agent02_Savings!A131="","",YEAR(Agent02_Savings!D131)),"")</f>
        <v/>
      </c>
    </row>
    <row r="327" spans="1:11" ht="18" customHeight="1" x14ac:dyDescent="0.25">
      <c r="A327" s="37" t="str">
        <f>IF(Agent02_Savings!A132="","",Agent02_Savings!A132)</f>
        <v/>
      </c>
      <c r="B327" s="37" t="str">
        <f ca="1">IF(Agent02_Savings!A132="","","SV"&amp;TEXT(327-3,"0000")&amp;"-"&amp;TEXT(TODAY(),"YYYYMMDD"))</f>
        <v/>
      </c>
      <c r="C327" s="37" t="str">
        <f>IF(Agent02_Savings!A132="","",Agent02_Savings!B132)</f>
        <v/>
      </c>
      <c r="D327" s="37" t="str">
        <f>IF(Agent02_Savings!A132="","",Agent02_Savings!G132)</f>
        <v/>
      </c>
      <c r="E327" s="38" t="str">
        <f>IF(Agent02_Savings!A132="","",Agent02_Savings!D132)</f>
        <v/>
      </c>
      <c r="F327" s="39" t="str">
        <f>IF(Agent02_Savings!A132="","",Agent02_Savings!E132)</f>
        <v/>
      </c>
      <c r="G327" s="39" t="str">
        <f>IF(Agent02_Savings!A132="","",Agent02_Savings!F132)</f>
        <v/>
      </c>
      <c r="H327" s="37" t="str">
        <f>IF(Agent02_Savings!A132="","",Agent02_Savings!I132)</f>
        <v/>
      </c>
      <c r="I327" s="37" t="str">
        <f>IF(Agent02_Savings!A132="","",Agent02_Savings!J132)</f>
        <v/>
      </c>
      <c r="J327" s="37" t="str">
        <f>IF(Agent02_Savings!A132="","",Agent02_Savings!K132)</f>
        <v/>
      </c>
      <c r="K327" s="37" t="str">
        <f>IFERROR(IF(Agent02_Savings!A132="","",YEAR(Agent02_Savings!D132)),"")</f>
        <v/>
      </c>
    </row>
    <row r="328" spans="1:11" ht="18" customHeight="1" x14ac:dyDescent="0.25">
      <c r="A328" s="37" t="str">
        <f>IF(Agent02_Savings!A133="","",Agent02_Savings!A133)</f>
        <v/>
      </c>
      <c r="B328" s="37" t="str">
        <f ca="1">IF(Agent02_Savings!A133="","","SV"&amp;TEXT(328-3,"0000")&amp;"-"&amp;TEXT(TODAY(),"YYYYMMDD"))</f>
        <v/>
      </c>
      <c r="C328" s="37" t="str">
        <f>IF(Agent02_Savings!A133="","",Agent02_Savings!B133)</f>
        <v/>
      </c>
      <c r="D328" s="37" t="str">
        <f>IF(Agent02_Savings!A133="","",Agent02_Savings!G133)</f>
        <v/>
      </c>
      <c r="E328" s="38" t="str">
        <f>IF(Agent02_Savings!A133="","",Agent02_Savings!D133)</f>
        <v/>
      </c>
      <c r="F328" s="39" t="str">
        <f>IF(Agent02_Savings!A133="","",Agent02_Savings!E133)</f>
        <v/>
      </c>
      <c r="G328" s="39" t="str">
        <f>IF(Agent02_Savings!A133="","",Agent02_Savings!F133)</f>
        <v/>
      </c>
      <c r="H328" s="37" t="str">
        <f>IF(Agent02_Savings!A133="","",Agent02_Savings!I133)</f>
        <v/>
      </c>
      <c r="I328" s="37" t="str">
        <f>IF(Agent02_Savings!A133="","",Agent02_Savings!J133)</f>
        <v/>
      </c>
      <c r="J328" s="37" t="str">
        <f>IF(Agent02_Savings!A133="","",Agent02_Savings!K133)</f>
        <v/>
      </c>
      <c r="K328" s="37" t="str">
        <f>IFERROR(IF(Agent02_Savings!A133="","",YEAR(Agent02_Savings!D133)),"")</f>
        <v/>
      </c>
    </row>
    <row r="329" spans="1:11" ht="18" customHeight="1" x14ac:dyDescent="0.25">
      <c r="A329" s="37" t="str">
        <f>IF(Agent02_Savings!A134="","",Agent02_Savings!A134)</f>
        <v/>
      </c>
      <c r="B329" s="37" t="str">
        <f ca="1">IF(Agent02_Savings!A134="","","SV"&amp;TEXT(329-3,"0000")&amp;"-"&amp;TEXT(TODAY(),"YYYYMMDD"))</f>
        <v/>
      </c>
      <c r="C329" s="37" t="str">
        <f>IF(Agent02_Savings!A134="","",Agent02_Savings!B134)</f>
        <v/>
      </c>
      <c r="D329" s="37" t="str">
        <f>IF(Agent02_Savings!A134="","",Agent02_Savings!G134)</f>
        <v/>
      </c>
      <c r="E329" s="38" t="str">
        <f>IF(Agent02_Savings!A134="","",Agent02_Savings!D134)</f>
        <v/>
      </c>
      <c r="F329" s="39" t="str">
        <f>IF(Agent02_Savings!A134="","",Agent02_Savings!E134)</f>
        <v/>
      </c>
      <c r="G329" s="39" t="str">
        <f>IF(Agent02_Savings!A134="","",Agent02_Savings!F134)</f>
        <v/>
      </c>
      <c r="H329" s="37" t="str">
        <f>IF(Agent02_Savings!A134="","",Agent02_Savings!I134)</f>
        <v/>
      </c>
      <c r="I329" s="37" t="str">
        <f>IF(Agent02_Savings!A134="","",Agent02_Savings!J134)</f>
        <v/>
      </c>
      <c r="J329" s="37" t="str">
        <f>IF(Agent02_Savings!A134="","",Agent02_Savings!K134)</f>
        <v/>
      </c>
      <c r="K329" s="37" t="str">
        <f>IFERROR(IF(Agent02_Savings!A134="","",YEAR(Agent02_Savings!D134)),"")</f>
        <v/>
      </c>
    </row>
    <row r="330" spans="1:11" ht="18" customHeight="1" x14ac:dyDescent="0.25">
      <c r="A330" s="37" t="str">
        <f>IF(Agent02_Savings!A135="","",Agent02_Savings!A135)</f>
        <v/>
      </c>
      <c r="B330" s="37" t="str">
        <f ca="1">IF(Agent02_Savings!A135="","","SV"&amp;TEXT(330-3,"0000")&amp;"-"&amp;TEXT(TODAY(),"YYYYMMDD"))</f>
        <v/>
      </c>
      <c r="C330" s="37" t="str">
        <f>IF(Agent02_Savings!A135="","",Agent02_Savings!B135)</f>
        <v/>
      </c>
      <c r="D330" s="37" t="str">
        <f>IF(Agent02_Savings!A135="","",Agent02_Savings!G135)</f>
        <v/>
      </c>
      <c r="E330" s="38" t="str">
        <f>IF(Agent02_Savings!A135="","",Agent02_Savings!D135)</f>
        <v/>
      </c>
      <c r="F330" s="39" t="str">
        <f>IF(Agent02_Savings!A135="","",Agent02_Savings!E135)</f>
        <v/>
      </c>
      <c r="G330" s="39" t="str">
        <f>IF(Agent02_Savings!A135="","",Agent02_Savings!F135)</f>
        <v/>
      </c>
      <c r="H330" s="37" t="str">
        <f>IF(Agent02_Savings!A135="","",Agent02_Savings!I135)</f>
        <v/>
      </c>
      <c r="I330" s="37" t="str">
        <f>IF(Agent02_Savings!A135="","",Agent02_Savings!J135)</f>
        <v/>
      </c>
      <c r="J330" s="37" t="str">
        <f>IF(Agent02_Savings!A135="","",Agent02_Savings!K135)</f>
        <v/>
      </c>
      <c r="K330" s="37" t="str">
        <f>IFERROR(IF(Agent02_Savings!A135="","",YEAR(Agent02_Savings!D135)),"")</f>
        <v/>
      </c>
    </row>
    <row r="331" spans="1:11" ht="18" customHeight="1" x14ac:dyDescent="0.25">
      <c r="A331" s="37" t="str">
        <f>IF(Agent02_Savings!A136="","",Agent02_Savings!A136)</f>
        <v/>
      </c>
      <c r="B331" s="37" t="str">
        <f ca="1">IF(Agent02_Savings!A136="","","SV"&amp;TEXT(331-3,"0000")&amp;"-"&amp;TEXT(TODAY(),"YYYYMMDD"))</f>
        <v/>
      </c>
      <c r="C331" s="37" t="str">
        <f>IF(Agent02_Savings!A136="","",Agent02_Savings!B136)</f>
        <v/>
      </c>
      <c r="D331" s="37" t="str">
        <f>IF(Agent02_Savings!A136="","",Agent02_Savings!G136)</f>
        <v/>
      </c>
      <c r="E331" s="38" t="str">
        <f>IF(Agent02_Savings!A136="","",Agent02_Savings!D136)</f>
        <v/>
      </c>
      <c r="F331" s="39" t="str">
        <f>IF(Agent02_Savings!A136="","",Agent02_Savings!E136)</f>
        <v/>
      </c>
      <c r="G331" s="39" t="str">
        <f>IF(Agent02_Savings!A136="","",Agent02_Savings!F136)</f>
        <v/>
      </c>
      <c r="H331" s="37" t="str">
        <f>IF(Agent02_Savings!A136="","",Agent02_Savings!I136)</f>
        <v/>
      </c>
      <c r="I331" s="37" t="str">
        <f>IF(Agent02_Savings!A136="","",Agent02_Savings!J136)</f>
        <v/>
      </c>
      <c r="J331" s="37" t="str">
        <f>IF(Agent02_Savings!A136="","",Agent02_Savings!K136)</f>
        <v/>
      </c>
      <c r="K331" s="37" t="str">
        <f>IFERROR(IF(Agent02_Savings!A136="","",YEAR(Agent02_Savings!D136)),"")</f>
        <v/>
      </c>
    </row>
    <row r="332" spans="1:11" ht="18" customHeight="1" x14ac:dyDescent="0.25">
      <c r="A332" s="37" t="str">
        <f>IF(Agent02_Savings!A137="","",Agent02_Savings!A137)</f>
        <v/>
      </c>
      <c r="B332" s="37" t="str">
        <f ca="1">IF(Agent02_Savings!A137="","","SV"&amp;TEXT(332-3,"0000")&amp;"-"&amp;TEXT(TODAY(),"YYYYMMDD"))</f>
        <v/>
      </c>
      <c r="C332" s="37" t="str">
        <f>IF(Agent02_Savings!A137="","",Agent02_Savings!B137)</f>
        <v/>
      </c>
      <c r="D332" s="37" t="str">
        <f>IF(Agent02_Savings!A137="","",Agent02_Savings!G137)</f>
        <v/>
      </c>
      <c r="E332" s="38" t="str">
        <f>IF(Agent02_Savings!A137="","",Agent02_Savings!D137)</f>
        <v/>
      </c>
      <c r="F332" s="39" t="str">
        <f>IF(Agent02_Savings!A137="","",Agent02_Savings!E137)</f>
        <v/>
      </c>
      <c r="G332" s="39" t="str">
        <f>IF(Agent02_Savings!A137="","",Agent02_Savings!F137)</f>
        <v/>
      </c>
      <c r="H332" s="37" t="str">
        <f>IF(Agent02_Savings!A137="","",Agent02_Savings!I137)</f>
        <v/>
      </c>
      <c r="I332" s="37" t="str">
        <f>IF(Agent02_Savings!A137="","",Agent02_Savings!J137)</f>
        <v/>
      </c>
      <c r="J332" s="37" t="str">
        <f>IF(Agent02_Savings!A137="","",Agent02_Savings!K137)</f>
        <v/>
      </c>
      <c r="K332" s="37" t="str">
        <f>IFERROR(IF(Agent02_Savings!A137="","",YEAR(Agent02_Savings!D137)),"")</f>
        <v/>
      </c>
    </row>
    <row r="333" spans="1:11" ht="18" customHeight="1" x14ac:dyDescent="0.25">
      <c r="A333" s="37" t="str">
        <f>IF(Agent02_Savings!A138="","",Agent02_Savings!A138)</f>
        <v/>
      </c>
      <c r="B333" s="37" t="str">
        <f ca="1">IF(Agent02_Savings!A138="","","SV"&amp;TEXT(333-3,"0000")&amp;"-"&amp;TEXT(TODAY(),"YYYYMMDD"))</f>
        <v/>
      </c>
      <c r="C333" s="37" t="str">
        <f>IF(Agent02_Savings!A138="","",Agent02_Savings!B138)</f>
        <v/>
      </c>
      <c r="D333" s="37" t="str">
        <f>IF(Agent02_Savings!A138="","",Agent02_Savings!G138)</f>
        <v/>
      </c>
      <c r="E333" s="38" t="str">
        <f>IF(Agent02_Savings!A138="","",Agent02_Savings!D138)</f>
        <v/>
      </c>
      <c r="F333" s="39" t="str">
        <f>IF(Agent02_Savings!A138="","",Agent02_Savings!E138)</f>
        <v/>
      </c>
      <c r="G333" s="39" t="str">
        <f>IF(Agent02_Savings!A138="","",Agent02_Savings!F138)</f>
        <v/>
      </c>
      <c r="H333" s="37" t="str">
        <f>IF(Agent02_Savings!A138="","",Agent02_Savings!I138)</f>
        <v/>
      </c>
      <c r="I333" s="37" t="str">
        <f>IF(Agent02_Savings!A138="","",Agent02_Savings!J138)</f>
        <v/>
      </c>
      <c r="J333" s="37" t="str">
        <f>IF(Agent02_Savings!A138="","",Agent02_Savings!K138)</f>
        <v/>
      </c>
      <c r="K333" s="37" t="str">
        <f>IFERROR(IF(Agent02_Savings!A138="","",YEAR(Agent02_Savings!D138)),"")</f>
        <v/>
      </c>
    </row>
    <row r="334" spans="1:11" ht="18" customHeight="1" x14ac:dyDescent="0.25">
      <c r="A334" s="37" t="str">
        <f>IF(Agent02_Savings!A139="","",Agent02_Savings!A139)</f>
        <v/>
      </c>
      <c r="B334" s="37" t="str">
        <f ca="1">IF(Agent02_Savings!A139="","","SV"&amp;TEXT(334-3,"0000")&amp;"-"&amp;TEXT(TODAY(),"YYYYMMDD"))</f>
        <v/>
      </c>
      <c r="C334" s="37" t="str">
        <f>IF(Agent02_Savings!A139="","",Agent02_Savings!B139)</f>
        <v/>
      </c>
      <c r="D334" s="37" t="str">
        <f>IF(Agent02_Savings!A139="","",Agent02_Savings!G139)</f>
        <v/>
      </c>
      <c r="E334" s="38" t="str">
        <f>IF(Agent02_Savings!A139="","",Agent02_Savings!D139)</f>
        <v/>
      </c>
      <c r="F334" s="39" t="str">
        <f>IF(Agent02_Savings!A139="","",Agent02_Savings!E139)</f>
        <v/>
      </c>
      <c r="G334" s="39" t="str">
        <f>IF(Agent02_Savings!A139="","",Agent02_Savings!F139)</f>
        <v/>
      </c>
      <c r="H334" s="37" t="str">
        <f>IF(Agent02_Savings!A139="","",Agent02_Savings!I139)</f>
        <v/>
      </c>
      <c r="I334" s="37" t="str">
        <f>IF(Agent02_Savings!A139="","",Agent02_Savings!J139)</f>
        <v/>
      </c>
      <c r="J334" s="37" t="str">
        <f>IF(Agent02_Savings!A139="","",Agent02_Savings!K139)</f>
        <v/>
      </c>
      <c r="K334" s="37" t="str">
        <f>IFERROR(IF(Agent02_Savings!A139="","",YEAR(Agent02_Savings!D139)),"")</f>
        <v/>
      </c>
    </row>
    <row r="335" spans="1:11" ht="18" customHeight="1" x14ac:dyDescent="0.25">
      <c r="A335" s="37" t="str">
        <f>IF(Agent02_Savings!A140="","",Agent02_Savings!A140)</f>
        <v/>
      </c>
      <c r="B335" s="37" t="str">
        <f ca="1">IF(Agent02_Savings!A140="","","SV"&amp;TEXT(335-3,"0000")&amp;"-"&amp;TEXT(TODAY(),"YYYYMMDD"))</f>
        <v/>
      </c>
      <c r="C335" s="37" t="str">
        <f>IF(Agent02_Savings!A140="","",Agent02_Savings!B140)</f>
        <v/>
      </c>
      <c r="D335" s="37" t="str">
        <f>IF(Agent02_Savings!A140="","",Agent02_Savings!G140)</f>
        <v/>
      </c>
      <c r="E335" s="38" t="str">
        <f>IF(Agent02_Savings!A140="","",Agent02_Savings!D140)</f>
        <v/>
      </c>
      <c r="F335" s="39" t="str">
        <f>IF(Agent02_Savings!A140="","",Agent02_Savings!E140)</f>
        <v/>
      </c>
      <c r="G335" s="39" t="str">
        <f>IF(Agent02_Savings!A140="","",Agent02_Savings!F140)</f>
        <v/>
      </c>
      <c r="H335" s="37" t="str">
        <f>IF(Agent02_Savings!A140="","",Agent02_Savings!I140)</f>
        <v/>
      </c>
      <c r="I335" s="37" t="str">
        <f>IF(Agent02_Savings!A140="","",Agent02_Savings!J140)</f>
        <v/>
      </c>
      <c r="J335" s="37" t="str">
        <f>IF(Agent02_Savings!A140="","",Agent02_Savings!K140)</f>
        <v/>
      </c>
      <c r="K335" s="37" t="str">
        <f>IFERROR(IF(Agent02_Savings!A140="","",YEAR(Agent02_Savings!D140)),"")</f>
        <v/>
      </c>
    </row>
    <row r="336" spans="1:11" ht="18" customHeight="1" x14ac:dyDescent="0.25">
      <c r="A336" s="37" t="str">
        <f>IF(Agent02_Savings!A141="","",Agent02_Savings!A141)</f>
        <v/>
      </c>
      <c r="B336" s="37" t="str">
        <f ca="1">IF(Agent02_Savings!A141="","","SV"&amp;TEXT(336-3,"0000")&amp;"-"&amp;TEXT(TODAY(),"YYYYMMDD"))</f>
        <v/>
      </c>
      <c r="C336" s="37" t="str">
        <f>IF(Agent02_Savings!A141="","",Agent02_Savings!B141)</f>
        <v/>
      </c>
      <c r="D336" s="37" t="str">
        <f>IF(Agent02_Savings!A141="","",Agent02_Savings!G141)</f>
        <v/>
      </c>
      <c r="E336" s="38" t="str">
        <f>IF(Agent02_Savings!A141="","",Agent02_Savings!D141)</f>
        <v/>
      </c>
      <c r="F336" s="39" t="str">
        <f>IF(Agent02_Savings!A141="","",Agent02_Savings!E141)</f>
        <v/>
      </c>
      <c r="G336" s="39" t="str">
        <f>IF(Agent02_Savings!A141="","",Agent02_Savings!F141)</f>
        <v/>
      </c>
      <c r="H336" s="37" t="str">
        <f>IF(Agent02_Savings!A141="","",Agent02_Savings!I141)</f>
        <v/>
      </c>
      <c r="I336" s="37" t="str">
        <f>IF(Agent02_Savings!A141="","",Agent02_Savings!J141)</f>
        <v/>
      </c>
      <c r="J336" s="37" t="str">
        <f>IF(Agent02_Savings!A141="","",Agent02_Savings!K141)</f>
        <v/>
      </c>
      <c r="K336" s="37" t="str">
        <f>IFERROR(IF(Agent02_Savings!A141="","",YEAR(Agent02_Savings!D141)),"")</f>
        <v/>
      </c>
    </row>
    <row r="337" spans="1:11" ht="18" customHeight="1" x14ac:dyDescent="0.25">
      <c r="A337" s="37" t="str">
        <f>IF(Agent02_Savings!A142="","",Agent02_Savings!A142)</f>
        <v/>
      </c>
      <c r="B337" s="37" t="str">
        <f ca="1">IF(Agent02_Savings!A142="","","SV"&amp;TEXT(337-3,"0000")&amp;"-"&amp;TEXT(TODAY(),"YYYYMMDD"))</f>
        <v/>
      </c>
      <c r="C337" s="37" t="str">
        <f>IF(Agent02_Savings!A142="","",Agent02_Savings!B142)</f>
        <v/>
      </c>
      <c r="D337" s="37" t="str">
        <f>IF(Agent02_Savings!A142="","",Agent02_Savings!G142)</f>
        <v/>
      </c>
      <c r="E337" s="38" t="str">
        <f>IF(Agent02_Savings!A142="","",Agent02_Savings!D142)</f>
        <v/>
      </c>
      <c r="F337" s="39" t="str">
        <f>IF(Agent02_Savings!A142="","",Agent02_Savings!E142)</f>
        <v/>
      </c>
      <c r="G337" s="39" t="str">
        <f>IF(Agent02_Savings!A142="","",Agent02_Savings!F142)</f>
        <v/>
      </c>
      <c r="H337" s="37" t="str">
        <f>IF(Agent02_Savings!A142="","",Agent02_Savings!I142)</f>
        <v/>
      </c>
      <c r="I337" s="37" t="str">
        <f>IF(Agent02_Savings!A142="","",Agent02_Savings!J142)</f>
        <v/>
      </c>
      <c r="J337" s="37" t="str">
        <f>IF(Agent02_Savings!A142="","",Agent02_Savings!K142)</f>
        <v/>
      </c>
      <c r="K337" s="37" t="str">
        <f>IFERROR(IF(Agent02_Savings!A142="","",YEAR(Agent02_Savings!D142)),"")</f>
        <v/>
      </c>
    </row>
    <row r="338" spans="1:11" ht="18" customHeight="1" x14ac:dyDescent="0.25">
      <c r="A338" s="37" t="str">
        <f>IF(Agent02_Savings!A143="","",Agent02_Savings!A143)</f>
        <v/>
      </c>
      <c r="B338" s="37" t="str">
        <f ca="1">IF(Agent02_Savings!A143="","","SV"&amp;TEXT(338-3,"0000")&amp;"-"&amp;TEXT(TODAY(),"YYYYMMDD"))</f>
        <v/>
      </c>
      <c r="C338" s="37" t="str">
        <f>IF(Agent02_Savings!A143="","",Agent02_Savings!B143)</f>
        <v/>
      </c>
      <c r="D338" s="37" t="str">
        <f>IF(Agent02_Savings!A143="","",Agent02_Savings!G143)</f>
        <v/>
      </c>
      <c r="E338" s="38" t="str">
        <f>IF(Agent02_Savings!A143="","",Agent02_Savings!D143)</f>
        <v/>
      </c>
      <c r="F338" s="39" t="str">
        <f>IF(Agent02_Savings!A143="","",Agent02_Savings!E143)</f>
        <v/>
      </c>
      <c r="G338" s="39" t="str">
        <f>IF(Agent02_Savings!A143="","",Agent02_Savings!F143)</f>
        <v/>
      </c>
      <c r="H338" s="37" t="str">
        <f>IF(Agent02_Savings!A143="","",Agent02_Savings!I143)</f>
        <v/>
      </c>
      <c r="I338" s="37" t="str">
        <f>IF(Agent02_Savings!A143="","",Agent02_Savings!J143)</f>
        <v/>
      </c>
      <c r="J338" s="37" t="str">
        <f>IF(Agent02_Savings!A143="","",Agent02_Savings!K143)</f>
        <v/>
      </c>
      <c r="K338" s="37" t="str">
        <f>IFERROR(IF(Agent02_Savings!A143="","",YEAR(Agent02_Savings!D143)),"")</f>
        <v/>
      </c>
    </row>
    <row r="339" spans="1:11" ht="18" customHeight="1" x14ac:dyDescent="0.25">
      <c r="A339" s="37" t="str">
        <f>IF(Agent02_Savings!A144="","",Agent02_Savings!A144)</f>
        <v/>
      </c>
      <c r="B339" s="37" t="str">
        <f ca="1">IF(Agent02_Savings!A144="","","SV"&amp;TEXT(339-3,"0000")&amp;"-"&amp;TEXT(TODAY(),"YYYYMMDD"))</f>
        <v/>
      </c>
      <c r="C339" s="37" t="str">
        <f>IF(Agent02_Savings!A144="","",Agent02_Savings!B144)</f>
        <v/>
      </c>
      <c r="D339" s="37" t="str">
        <f>IF(Agent02_Savings!A144="","",Agent02_Savings!G144)</f>
        <v/>
      </c>
      <c r="E339" s="38" t="str">
        <f>IF(Agent02_Savings!A144="","",Agent02_Savings!D144)</f>
        <v/>
      </c>
      <c r="F339" s="39" t="str">
        <f>IF(Agent02_Savings!A144="","",Agent02_Savings!E144)</f>
        <v/>
      </c>
      <c r="G339" s="39" t="str">
        <f>IF(Agent02_Savings!A144="","",Agent02_Savings!F144)</f>
        <v/>
      </c>
      <c r="H339" s="37" t="str">
        <f>IF(Agent02_Savings!A144="","",Agent02_Savings!I144)</f>
        <v/>
      </c>
      <c r="I339" s="37" t="str">
        <f>IF(Agent02_Savings!A144="","",Agent02_Savings!J144)</f>
        <v/>
      </c>
      <c r="J339" s="37" t="str">
        <f>IF(Agent02_Savings!A144="","",Agent02_Savings!K144)</f>
        <v/>
      </c>
      <c r="K339" s="37" t="str">
        <f>IFERROR(IF(Agent02_Savings!A144="","",YEAR(Agent02_Savings!D144)),"")</f>
        <v/>
      </c>
    </row>
    <row r="340" spans="1:11" ht="18" customHeight="1" x14ac:dyDescent="0.25">
      <c r="A340" s="37" t="str">
        <f>IF(Agent02_Savings!A145="","",Agent02_Savings!A145)</f>
        <v/>
      </c>
      <c r="B340" s="37" t="str">
        <f ca="1">IF(Agent02_Savings!A145="","","SV"&amp;TEXT(340-3,"0000")&amp;"-"&amp;TEXT(TODAY(),"YYYYMMDD"))</f>
        <v/>
      </c>
      <c r="C340" s="37" t="str">
        <f>IF(Agent02_Savings!A145="","",Agent02_Savings!B145)</f>
        <v/>
      </c>
      <c r="D340" s="37" t="str">
        <f>IF(Agent02_Savings!A145="","",Agent02_Savings!G145)</f>
        <v/>
      </c>
      <c r="E340" s="38" t="str">
        <f>IF(Agent02_Savings!A145="","",Agent02_Savings!D145)</f>
        <v/>
      </c>
      <c r="F340" s="39" t="str">
        <f>IF(Agent02_Savings!A145="","",Agent02_Savings!E145)</f>
        <v/>
      </c>
      <c r="G340" s="39" t="str">
        <f>IF(Agent02_Savings!A145="","",Agent02_Savings!F145)</f>
        <v/>
      </c>
      <c r="H340" s="37" t="str">
        <f>IF(Agent02_Savings!A145="","",Agent02_Savings!I145)</f>
        <v/>
      </c>
      <c r="I340" s="37" t="str">
        <f>IF(Agent02_Savings!A145="","",Agent02_Savings!J145)</f>
        <v/>
      </c>
      <c r="J340" s="37" t="str">
        <f>IF(Agent02_Savings!A145="","",Agent02_Savings!K145)</f>
        <v/>
      </c>
      <c r="K340" s="37" t="str">
        <f>IFERROR(IF(Agent02_Savings!A145="","",YEAR(Agent02_Savings!D145)),"")</f>
        <v/>
      </c>
    </row>
    <row r="341" spans="1:11" ht="18" customHeight="1" x14ac:dyDescent="0.25">
      <c r="A341" s="37" t="str">
        <f>IF(Agent02_Savings!A146="","",Agent02_Savings!A146)</f>
        <v/>
      </c>
      <c r="B341" s="37" t="str">
        <f ca="1">IF(Agent02_Savings!A146="","","SV"&amp;TEXT(341-3,"0000")&amp;"-"&amp;TEXT(TODAY(),"YYYYMMDD"))</f>
        <v/>
      </c>
      <c r="C341" s="37" t="str">
        <f>IF(Agent02_Savings!A146="","",Agent02_Savings!B146)</f>
        <v/>
      </c>
      <c r="D341" s="37" t="str">
        <f>IF(Agent02_Savings!A146="","",Agent02_Savings!G146)</f>
        <v/>
      </c>
      <c r="E341" s="38" t="str">
        <f>IF(Agent02_Savings!A146="","",Agent02_Savings!D146)</f>
        <v/>
      </c>
      <c r="F341" s="39" t="str">
        <f>IF(Agent02_Savings!A146="","",Agent02_Savings!E146)</f>
        <v/>
      </c>
      <c r="G341" s="39" t="str">
        <f>IF(Agent02_Savings!A146="","",Agent02_Savings!F146)</f>
        <v/>
      </c>
      <c r="H341" s="37" t="str">
        <f>IF(Agent02_Savings!A146="","",Agent02_Savings!I146)</f>
        <v/>
      </c>
      <c r="I341" s="37" t="str">
        <f>IF(Agent02_Savings!A146="","",Agent02_Savings!J146)</f>
        <v/>
      </c>
      <c r="J341" s="37" t="str">
        <f>IF(Agent02_Savings!A146="","",Agent02_Savings!K146)</f>
        <v/>
      </c>
      <c r="K341" s="37" t="str">
        <f>IFERROR(IF(Agent02_Savings!A146="","",YEAR(Agent02_Savings!D146)),"")</f>
        <v/>
      </c>
    </row>
    <row r="342" spans="1:11" ht="18" customHeight="1" x14ac:dyDescent="0.25">
      <c r="A342" s="37" t="str">
        <f>IF(Agent02_Savings!A147="","",Agent02_Savings!A147)</f>
        <v/>
      </c>
      <c r="B342" s="37" t="str">
        <f ca="1">IF(Agent02_Savings!A147="","","SV"&amp;TEXT(342-3,"0000")&amp;"-"&amp;TEXT(TODAY(),"YYYYMMDD"))</f>
        <v/>
      </c>
      <c r="C342" s="37" t="str">
        <f>IF(Agent02_Savings!A147="","",Agent02_Savings!B147)</f>
        <v/>
      </c>
      <c r="D342" s="37" t="str">
        <f>IF(Agent02_Savings!A147="","",Agent02_Savings!G147)</f>
        <v/>
      </c>
      <c r="E342" s="38" t="str">
        <f>IF(Agent02_Savings!A147="","",Agent02_Savings!D147)</f>
        <v/>
      </c>
      <c r="F342" s="39" t="str">
        <f>IF(Agent02_Savings!A147="","",Agent02_Savings!E147)</f>
        <v/>
      </c>
      <c r="G342" s="39" t="str">
        <f>IF(Agent02_Savings!A147="","",Agent02_Savings!F147)</f>
        <v/>
      </c>
      <c r="H342" s="37" t="str">
        <f>IF(Agent02_Savings!A147="","",Agent02_Savings!I147)</f>
        <v/>
      </c>
      <c r="I342" s="37" t="str">
        <f>IF(Agent02_Savings!A147="","",Agent02_Savings!J147)</f>
        <v/>
      </c>
      <c r="J342" s="37" t="str">
        <f>IF(Agent02_Savings!A147="","",Agent02_Savings!K147)</f>
        <v/>
      </c>
      <c r="K342" s="37" t="str">
        <f>IFERROR(IF(Agent02_Savings!A147="","",YEAR(Agent02_Savings!D147)),"")</f>
        <v/>
      </c>
    </row>
    <row r="343" spans="1:11" ht="18" customHeight="1" x14ac:dyDescent="0.25">
      <c r="A343" s="37" t="str">
        <f>IF(Agent02_Savings!A148="","",Agent02_Savings!A148)</f>
        <v/>
      </c>
      <c r="B343" s="37" t="str">
        <f ca="1">IF(Agent02_Savings!A148="","","SV"&amp;TEXT(343-3,"0000")&amp;"-"&amp;TEXT(TODAY(),"YYYYMMDD"))</f>
        <v/>
      </c>
      <c r="C343" s="37" t="str">
        <f>IF(Agent02_Savings!A148="","",Agent02_Savings!B148)</f>
        <v/>
      </c>
      <c r="D343" s="37" t="str">
        <f>IF(Agent02_Savings!A148="","",Agent02_Savings!G148)</f>
        <v/>
      </c>
      <c r="E343" s="38" t="str">
        <f>IF(Agent02_Savings!A148="","",Agent02_Savings!D148)</f>
        <v/>
      </c>
      <c r="F343" s="39" t="str">
        <f>IF(Agent02_Savings!A148="","",Agent02_Savings!E148)</f>
        <v/>
      </c>
      <c r="G343" s="39" t="str">
        <f>IF(Agent02_Savings!A148="","",Agent02_Savings!F148)</f>
        <v/>
      </c>
      <c r="H343" s="37" t="str">
        <f>IF(Agent02_Savings!A148="","",Agent02_Savings!I148)</f>
        <v/>
      </c>
      <c r="I343" s="37" t="str">
        <f>IF(Agent02_Savings!A148="","",Agent02_Savings!J148)</f>
        <v/>
      </c>
      <c r="J343" s="37" t="str">
        <f>IF(Agent02_Savings!A148="","",Agent02_Savings!K148)</f>
        <v/>
      </c>
      <c r="K343" s="37" t="str">
        <f>IFERROR(IF(Agent02_Savings!A148="","",YEAR(Agent02_Savings!D148)),"")</f>
        <v/>
      </c>
    </row>
    <row r="344" spans="1:11" ht="18" customHeight="1" x14ac:dyDescent="0.25">
      <c r="A344" s="37" t="str">
        <f>IF(Agent02_Savings!A149="","",Agent02_Savings!A149)</f>
        <v/>
      </c>
      <c r="B344" s="37" t="str">
        <f ca="1">IF(Agent02_Savings!A149="","","SV"&amp;TEXT(344-3,"0000")&amp;"-"&amp;TEXT(TODAY(),"YYYYMMDD"))</f>
        <v/>
      </c>
      <c r="C344" s="37" t="str">
        <f>IF(Agent02_Savings!A149="","",Agent02_Savings!B149)</f>
        <v/>
      </c>
      <c r="D344" s="37" t="str">
        <f>IF(Agent02_Savings!A149="","",Agent02_Savings!G149)</f>
        <v/>
      </c>
      <c r="E344" s="38" t="str">
        <f>IF(Agent02_Savings!A149="","",Agent02_Savings!D149)</f>
        <v/>
      </c>
      <c r="F344" s="39" t="str">
        <f>IF(Agent02_Savings!A149="","",Agent02_Savings!E149)</f>
        <v/>
      </c>
      <c r="G344" s="39" t="str">
        <f>IF(Agent02_Savings!A149="","",Agent02_Savings!F149)</f>
        <v/>
      </c>
      <c r="H344" s="37" t="str">
        <f>IF(Agent02_Savings!A149="","",Agent02_Savings!I149)</f>
        <v/>
      </c>
      <c r="I344" s="37" t="str">
        <f>IF(Agent02_Savings!A149="","",Agent02_Savings!J149)</f>
        <v/>
      </c>
      <c r="J344" s="37" t="str">
        <f>IF(Agent02_Savings!A149="","",Agent02_Savings!K149)</f>
        <v/>
      </c>
      <c r="K344" s="37" t="str">
        <f>IFERROR(IF(Agent02_Savings!A149="","",YEAR(Agent02_Savings!D149)),"")</f>
        <v/>
      </c>
    </row>
    <row r="345" spans="1:11" ht="18" customHeight="1" x14ac:dyDescent="0.25">
      <c r="A345" s="37" t="str">
        <f>IF(Agent02_Savings!A150="","",Agent02_Savings!A150)</f>
        <v/>
      </c>
      <c r="B345" s="37" t="str">
        <f ca="1">IF(Agent02_Savings!A150="","","SV"&amp;TEXT(345-3,"0000")&amp;"-"&amp;TEXT(TODAY(),"YYYYMMDD"))</f>
        <v/>
      </c>
      <c r="C345" s="37" t="str">
        <f>IF(Agent02_Savings!A150="","",Agent02_Savings!B150)</f>
        <v/>
      </c>
      <c r="D345" s="37" t="str">
        <f>IF(Agent02_Savings!A150="","",Agent02_Savings!G150)</f>
        <v/>
      </c>
      <c r="E345" s="38" t="str">
        <f>IF(Agent02_Savings!A150="","",Agent02_Savings!D150)</f>
        <v/>
      </c>
      <c r="F345" s="39" t="str">
        <f>IF(Agent02_Savings!A150="","",Agent02_Savings!E150)</f>
        <v/>
      </c>
      <c r="G345" s="39" t="str">
        <f>IF(Agent02_Savings!A150="","",Agent02_Savings!F150)</f>
        <v/>
      </c>
      <c r="H345" s="37" t="str">
        <f>IF(Agent02_Savings!A150="","",Agent02_Savings!I150)</f>
        <v/>
      </c>
      <c r="I345" s="37" t="str">
        <f>IF(Agent02_Savings!A150="","",Agent02_Savings!J150)</f>
        <v/>
      </c>
      <c r="J345" s="37" t="str">
        <f>IF(Agent02_Savings!A150="","",Agent02_Savings!K150)</f>
        <v/>
      </c>
      <c r="K345" s="37" t="str">
        <f>IFERROR(IF(Agent02_Savings!A150="","",YEAR(Agent02_Savings!D150)),"")</f>
        <v/>
      </c>
    </row>
    <row r="346" spans="1:11" ht="18" customHeight="1" x14ac:dyDescent="0.25">
      <c r="A346" s="37" t="str">
        <f>IF(Agent02_Savings!A151="","",Agent02_Savings!A151)</f>
        <v/>
      </c>
      <c r="B346" s="37" t="str">
        <f ca="1">IF(Agent02_Savings!A151="","","SV"&amp;TEXT(346-3,"0000")&amp;"-"&amp;TEXT(TODAY(),"YYYYMMDD"))</f>
        <v/>
      </c>
      <c r="C346" s="37" t="str">
        <f>IF(Agent02_Savings!A151="","",Agent02_Savings!B151)</f>
        <v/>
      </c>
      <c r="D346" s="37" t="str">
        <f>IF(Agent02_Savings!A151="","",Agent02_Savings!G151)</f>
        <v/>
      </c>
      <c r="E346" s="38" t="str">
        <f>IF(Agent02_Savings!A151="","",Agent02_Savings!D151)</f>
        <v/>
      </c>
      <c r="F346" s="39" t="str">
        <f>IF(Agent02_Savings!A151="","",Agent02_Savings!E151)</f>
        <v/>
      </c>
      <c r="G346" s="39" t="str">
        <f>IF(Agent02_Savings!A151="","",Agent02_Savings!F151)</f>
        <v/>
      </c>
      <c r="H346" s="37" t="str">
        <f>IF(Agent02_Savings!A151="","",Agent02_Savings!I151)</f>
        <v/>
      </c>
      <c r="I346" s="37" t="str">
        <f>IF(Agent02_Savings!A151="","",Agent02_Savings!J151)</f>
        <v/>
      </c>
      <c r="J346" s="37" t="str">
        <f>IF(Agent02_Savings!A151="","",Agent02_Savings!K151)</f>
        <v/>
      </c>
      <c r="K346" s="37" t="str">
        <f>IFERROR(IF(Agent02_Savings!A151="","",YEAR(Agent02_Savings!D151)),"")</f>
        <v/>
      </c>
    </row>
    <row r="347" spans="1:11" ht="18" customHeight="1" x14ac:dyDescent="0.25">
      <c r="A347" s="37" t="str">
        <f>IF(Agent02_Savings!A152="","",Agent02_Savings!A152)</f>
        <v/>
      </c>
      <c r="B347" s="37" t="str">
        <f ca="1">IF(Agent02_Savings!A152="","","SV"&amp;TEXT(347-3,"0000")&amp;"-"&amp;TEXT(TODAY(),"YYYYMMDD"))</f>
        <v/>
      </c>
      <c r="C347" s="37" t="str">
        <f>IF(Agent02_Savings!A152="","",Agent02_Savings!B152)</f>
        <v/>
      </c>
      <c r="D347" s="37" t="str">
        <f>IF(Agent02_Savings!A152="","",Agent02_Savings!G152)</f>
        <v/>
      </c>
      <c r="E347" s="38" t="str">
        <f>IF(Agent02_Savings!A152="","",Agent02_Savings!D152)</f>
        <v/>
      </c>
      <c r="F347" s="39" t="str">
        <f>IF(Agent02_Savings!A152="","",Agent02_Savings!E152)</f>
        <v/>
      </c>
      <c r="G347" s="39" t="str">
        <f>IF(Agent02_Savings!A152="","",Agent02_Savings!F152)</f>
        <v/>
      </c>
      <c r="H347" s="37" t="str">
        <f>IF(Agent02_Savings!A152="","",Agent02_Savings!I152)</f>
        <v/>
      </c>
      <c r="I347" s="37" t="str">
        <f>IF(Agent02_Savings!A152="","",Agent02_Savings!J152)</f>
        <v/>
      </c>
      <c r="J347" s="37" t="str">
        <f>IF(Agent02_Savings!A152="","",Agent02_Savings!K152)</f>
        <v/>
      </c>
      <c r="K347" s="37" t="str">
        <f>IFERROR(IF(Agent02_Savings!A152="","",YEAR(Agent02_Savings!D152)),"")</f>
        <v/>
      </c>
    </row>
    <row r="348" spans="1:11" ht="18" customHeight="1" x14ac:dyDescent="0.25">
      <c r="A348" s="37" t="str">
        <f>IF(Agent02_Savings!A153="","",Agent02_Savings!A153)</f>
        <v/>
      </c>
      <c r="B348" s="37" t="str">
        <f ca="1">IF(Agent02_Savings!A153="","","SV"&amp;TEXT(348-3,"0000")&amp;"-"&amp;TEXT(TODAY(),"YYYYMMDD"))</f>
        <v/>
      </c>
      <c r="C348" s="37" t="str">
        <f>IF(Agent02_Savings!A153="","",Agent02_Savings!B153)</f>
        <v/>
      </c>
      <c r="D348" s="37" t="str">
        <f>IF(Agent02_Savings!A153="","",Agent02_Savings!G153)</f>
        <v/>
      </c>
      <c r="E348" s="38" t="str">
        <f>IF(Agent02_Savings!A153="","",Agent02_Savings!D153)</f>
        <v/>
      </c>
      <c r="F348" s="39" t="str">
        <f>IF(Agent02_Savings!A153="","",Agent02_Savings!E153)</f>
        <v/>
      </c>
      <c r="G348" s="39" t="str">
        <f>IF(Agent02_Savings!A153="","",Agent02_Savings!F153)</f>
        <v/>
      </c>
      <c r="H348" s="37" t="str">
        <f>IF(Agent02_Savings!A153="","",Agent02_Savings!I153)</f>
        <v/>
      </c>
      <c r="I348" s="37" t="str">
        <f>IF(Agent02_Savings!A153="","",Agent02_Savings!J153)</f>
        <v/>
      </c>
      <c r="J348" s="37" t="str">
        <f>IF(Agent02_Savings!A153="","",Agent02_Savings!K153)</f>
        <v/>
      </c>
      <c r="K348" s="37" t="str">
        <f>IFERROR(IF(Agent02_Savings!A153="","",YEAR(Agent02_Savings!D153)),"")</f>
        <v/>
      </c>
    </row>
    <row r="349" spans="1:11" ht="18" customHeight="1" x14ac:dyDescent="0.25">
      <c r="A349" s="37" t="str">
        <f>IF(Agent02_Savings!A154="","",Agent02_Savings!A154)</f>
        <v/>
      </c>
      <c r="B349" s="37" t="str">
        <f ca="1">IF(Agent02_Savings!A154="","","SV"&amp;TEXT(349-3,"0000")&amp;"-"&amp;TEXT(TODAY(),"YYYYMMDD"))</f>
        <v/>
      </c>
      <c r="C349" s="37" t="str">
        <f>IF(Agent02_Savings!A154="","",Agent02_Savings!B154)</f>
        <v/>
      </c>
      <c r="D349" s="37" t="str">
        <f>IF(Agent02_Savings!A154="","",Agent02_Savings!G154)</f>
        <v/>
      </c>
      <c r="E349" s="38" t="str">
        <f>IF(Agent02_Savings!A154="","",Agent02_Savings!D154)</f>
        <v/>
      </c>
      <c r="F349" s="39" t="str">
        <f>IF(Agent02_Savings!A154="","",Agent02_Savings!E154)</f>
        <v/>
      </c>
      <c r="G349" s="39" t="str">
        <f>IF(Agent02_Savings!A154="","",Agent02_Savings!F154)</f>
        <v/>
      </c>
      <c r="H349" s="37" t="str">
        <f>IF(Agent02_Savings!A154="","",Agent02_Savings!I154)</f>
        <v/>
      </c>
      <c r="I349" s="37" t="str">
        <f>IF(Agent02_Savings!A154="","",Agent02_Savings!J154)</f>
        <v/>
      </c>
      <c r="J349" s="37" t="str">
        <f>IF(Agent02_Savings!A154="","",Agent02_Savings!K154)</f>
        <v/>
      </c>
      <c r="K349" s="37" t="str">
        <f>IFERROR(IF(Agent02_Savings!A154="","",YEAR(Agent02_Savings!D154)),"")</f>
        <v/>
      </c>
    </row>
    <row r="350" spans="1:11" ht="18" customHeight="1" x14ac:dyDescent="0.25">
      <c r="A350" s="37" t="str">
        <f>IF(Agent02_Savings!A155="","",Agent02_Savings!A155)</f>
        <v/>
      </c>
      <c r="B350" s="37" t="str">
        <f ca="1">IF(Agent02_Savings!A155="","","SV"&amp;TEXT(350-3,"0000")&amp;"-"&amp;TEXT(TODAY(),"YYYYMMDD"))</f>
        <v/>
      </c>
      <c r="C350" s="37" t="str">
        <f>IF(Agent02_Savings!A155="","",Agent02_Savings!B155)</f>
        <v/>
      </c>
      <c r="D350" s="37" t="str">
        <f>IF(Agent02_Savings!A155="","",Agent02_Savings!G155)</f>
        <v/>
      </c>
      <c r="E350" s="38" t="str">
        <f>IF(Agent02_Savings!A155="","",Agent02_Savings!D155)</f>
        <v/>
      </c>
      <c r="F350" s="39" t="str">
        <f>IF(Agent02_Savings!A155="","",Agent02_Savings!E155)</f>
        <v/>
      </c>
      <c r="G350" s="39" t="str">
        <f>IF(Agent02_Savings!A155="","",Agent02_Savings!F155)</f>
        <v/>
      </c>
      <c r="H350" s="37" t="str">
        <f>IF(Agent02_Savings!A155="","",Agent02_Savings!I155)</f>
        <v/>
      </c>
      <c r="I350" s="37" t="str">
        <f>IF(Agent02_Savings!A155="","",Agent02_Savings!J155)</f>
        <v/>
      </c>
      <c r="J350" s="37" t="str">
        <f>IF(Agent02_Savings!A155="","",Agent02_Savings!K155)</f>
        <v/>
      </c>
      <c r="K350" s="37" t="str">
        <f>IFERROR(IF(Agent02_Savings!A155="","",YEAR(Agent02_Savings!D155)),"")</f>
        <v/>
      </c>
    </row>
    <row r="351" spans="1:11" ht="18" customHeight="1" x14ac:dyDescent="0.25">
      <c r="A351" s="37" t="str">
        <f>IF(Agent02_Savings!A156="","",Agent02_Savings!A156)</f>
        <v/>
      </c>
      <c r="B351" s="37" t="str">
        <f ca="1">IF(Agent02_Savings!A156="","","SV"&amp;TEXT(351-3,"0000")&amp;"-"&amp;TEXT(TODAY(),"YYYYMMDD"))</f>
        <v/>
      </c>
      <c r="C351" s="37" t="str">
        <f>IF(Agent02_Savings!A156="","",Agent02_Savings!B156)</f>
        <v/>
      </c>
      <c r="D351" s="37" t="str">
        <f>IF(Agent02_Savings!A156="","",Agent02_Savings!G156)</f>
        <v/>
      </c>
      <c r="E351" s="38" t="str">
        <f>IF(Agent02_Savings!A156="","",Agent02_Savings!D156)</f>
        <v/>
      </c>
      <c r="F351" s="39" t="str">
        <f>IF(Agent02_Savings!A156="","",Agent02_Savings!E156)</f>
        <v/>
      </c>
      <c r="G351" s="39" t="str">
        <f>IF(Agent02_Savings!A156="","",Agent02_Savings!F156)</f>
        <v/>
      </c>
      <c r="H351" s="37" t="str">
        <f>IF(Agent02_Savings!A156="","",Agent02_Savings!I156)</f>
        <v/>
      </c>
      <c r="I351" s="37" t="str">
        <f>IF(Agent02_Savings!A156="","",Agent02_Savings!J156)</f>
        <v/>
      </c>
      <c r="J351" s="37" t="str">
        <f>IF(Agent02_Savings!A156="","",Agent02_Savings!K156)</f>
        <v/>
      </c>
      <c r="K351" s="37" t="str">
        <f>IFERROR(IF(Agent02_Savings!A156="","",YEAR(Agent02_Savings!D156)),"")</f>
        <v/>
      </c>
    </row>
    <row r="352" spans="1:11" ht="18" customHeight="1" x14ac:dyDescent="0.25">
      <c r="A352" s="37" t="str">
        <f>IF(Agent02_Savings!A157="","",Agent02_Savings!A157)</f>
        <v/>
      </c>
      <c r="B352" s="37" t="str">
        <f ca="1">IF(Agent02_Savings!A157="","","SV"&amp;TEXT(352-3,"0000")&amp;"-"&amp;TEXT(TODAY(),"YYYYMMDD"))</f>
        <v/>
      </c>
      <c r="C352" s="37" t="str">
        <f>IF(Agent02_Savings!A157="","",Agent02_Savings!B157)</f>
        <v/>
      </c>
      <c r="D352" s="37" t="str">
        <f>IF(Agent02_Savings!A157="","",Agent02_Savings!G157)</f>
        <v/>
      </c>
      <c r="E352" s="38" t="str">
        <f>IF(Agent02_Savings!A157="","",Agent02_Savings!D157)</f>
        <v/>
      </c>
      <c r="F352" s="39" t="str">
        <f>IF(Agent02_Savings!A157="","",Agent02_Savings!E157)</f>
        <v/>
      </c>
      <c r="G352" s="39" t="str">
        <f>IF(Agent02_Savings!A157="","",Agent02_Savings!F157)</f>
        <v/>
      </c>
      <c r="H352" s="37" t="str">
        <f>IF(Agent02_Savings!A157="","",Agent02_Savings!I157)</f>
        <v/>
      </c>
      <c r="I352" s="37" t="str">
        <f>IF(Agent02_Savings!A157="","",Agent02_Savings!J157)</f>
        <v/>
      </c>
      <c r="J352" s="37" t="str">
        <f>IF(Agent02_Savings!A157="","",Agent02_Savings!K157)</f>
        <v/>
      </c>
      <c r="K352" s="37" t="str">
        <f>IFERROR(IF(Agent02_Savings!A157="","",YEAR(Agent02_Savings!D157)),"")</f>
        <v/>
      </c>
    </row>
    <row r="353" spans="1:11" ht="18" customHeight="1" x14ac:dyDescent="0.25">
      <c r="A353" s="37" t="str">
        <f>IF(Agent02_Savings!A158="","",Agent02_Savings!A158)</f>
        <v/>
      </c>
      <c r="B353" s="37" t="str">
        <f ca="1">IF(Agent02_Savings!A158="","","SV"&amp;TEXT(353-3,"0000")&amp;"-"&amp;TEXT(TODAY(),"YYYYMMDD"))</f>
        <v/>
      </c>
      <c r="C353" s="37" t="str">
        <f>IF(Agent02_Savings!A158="","",Agent02_Savings!B158)</f>
        <v/>
      </c>
      <c r="D353" s="37" t="str">
        <f>IF(Agent02_Savings!A158="","",Agent02_Savings!G158)</f>
        <v/>
      </c>
      <c r="E353" s="38" t="str">
        <f>IF(Agent02_Savings!A158="","",Agent02_Savings!D158)</f>
        <v/>
      </c>
      <c r="F353" s="39" t="str">
        <f>IF(Agent02_Savings!A158="","",Agent02_Savings!E158)</f>
        <v/>
      </c>
      <c r="G353" s="39" t="str">
        <f>IF(Agent02_Savings!A158="","",Agent02_Savings!F158)</f>
        <v/>
      </c>
      <c r="H353" s="37" t="str">
        <f>IF(Agent02_Savings!A158="","",Agent02_Savings!I158)</f>
        <v/>
      </c>
      <c r="I353" s="37" t="str">
        <f>IF(Agent02_Savings!A158="","",Agent02_Savings!J158)</f>
        <v/>
      </c>
      <c r="J353" s="37" t="str">
        <f>IF(Agent02_Savings!A158="","",Agent02_Savings!K158)</f>
        <v/>
      </c>
      <c r="K353" s="37" t="str">
        <f>IFERROR(IF(Agent02_Savings!A158="","",YEAR(Agent02_Savings!D158)),"")</f>
        <v/>
      </c>
    </row>
    <row r="354" spans="1:11" ht="18" customHeight="1" x14ac:dyDescent="0.25">
      <c r="A354" s="37" t="str">
        <f>IF(Agent02_Savings!A159="","",Agent02_Savings!A159)</f>
        <v/>
      </c>
      <c r="B354" s="37" t="str">
        <f ca="1">IF(Agent02_Savings!A159="","","SV"&amp;TEXT(354-3,"0000")&amp;"-"&amp;TEXT(TODAY(),"YYYYMMDD"))</f>
        <v/>
      </c>
      <c r="C354" s="37" t="str">
        <f>IF(Agent02_Savings!A159="","",Agent02_Savings!B159)</f>
        <v/>
      </c>
      <c r="D354" s="37" t="str">
        <f>IF(Agent02_Savings!A159="","",Agent02_Savings!G159)</f>
        <v/>
      </c>
      <c r="E354" s="38" t="str">
        <f>IF(Agent02_Savings!A159="","",Agent02_Savings!D159)</f>
        <v/>
      </c>
      <c r="F354" s="39" t="str">
        <f>IF(Agent02_Savings!A159="","",Agent02_Savings!E159)</f>
        <v/>
      </c>
      <c r="G354" s="39" t="str">
        <f>IF(Agent02_Savings!A159="","",Agent02_Savings!F159)</f>
        <v/>
      </c>
      <c r="H354" s="37" t="str">
        <f>IF(Agent02_Savings!A159="","",Agent02_Savings!I159)</f>
        <v/>
      </c>
      <c r="I354" s="37" t="str">
        <f>IF(Agent02_Savings!A159="","",Agent02_Savings!J159)</f>
        <v/>
      </c>
      <c r="J354" s="37" t="str">
        <f>IF(Agent02_Savings!A159="","",Agent02_Savings!K159)</f>
        <v/>
      </c>
      <c r="K354" s="37" t="str">
        <f>IFERROR(IF(Agent02_Savings!A159="","",YEAR(Agent02_Savings!D159)),"")</f>
        <v/>
      </c>
    </row>
    <row r="355" spans="1:11" ht="18" customHeight="1" x14ac:dyDescent="0.25">
      <c r="A355" s="37" t="str">
        <f>IF(Agent02_Savings!A160="","",Agent02_Savings!A160)</f>
        <v/>
      </c>
      <c r="B355" s="37" t="str">
        <f ca="1">IF(Agent02_Savings!A160="","","SV"&amp;TEXT(355-3,"0000")&amp;"-"&amp;TEXT(TODAY(),"YYYYMMDD"))</f>
        <v/>
      </c>
      <c r="C355" s="37" t="str">
        <f>IF(Agent02_Savings!A160="","",Agent02_Savings!B160)</f>
        <v/>
      </c>
      <c r="D355" s="37" t="str">
        <f>IF(Agent02_Savings!A160="","",Agent02_Savings!G160)</f>
        <v/>
      </c>
      <c r="E355" s="38" t="str">
        <f>IF(Agent02_Savings!A160="","",Agent02_Savings!D160)</f>
        <v/>
      </c>
      <c r="F355" s="39" t="str">
        <f>IF(Agent02_Savings!A160="","",Agent02_Savings!E160)</f>
        <v/>
      </c>
      <c r="G355" s="39" t="str">
        <f>IF(Agent02_Savings!A160="","",Agent02_Savings!F160)</f>
        <v/>
      </c>
      <c r="H355" s="37" t="str">
        <f>IF(Agent02_Savings!A160="","",Agent02_Savings!I160)</f>
        <v/>
      </c>
      <c r="I355" s="37" t="str">
        <f>IF(Agent02_Savings!A160="","",Agent02_Savings!J160)</f>
        <v/>
      </c>
      <c r="J355" s="37" t="str">
        <f>IF(Agent02_Savings!A160="","",Agent02_Savings!K160)</f>
        <v/>
      </c>
      <c r="K355" s="37" t="str">
        <f>IFERROR(IF(Agent02_Savings!A160="","",YEAR(Agent02_Savings!D160)),"")</f>
        <v/>
      </c>
    </row>
    <row r="356" spans="1:11" ht="18" customHeight="1" x14ac:dyDescent="0.25">
      <c r="A356" s="37" t="str">
        <f>IF(Agent02_Savings!A161="","",Agent02_Savings!A161)</f>
        <v/>
      </c>
      <c r="B356" s="37" t="str">
        <f ca="1">IF(Agent02_Savings!A161="","","SV"&amp;TEXT(356-3,"0000")&amp;"-"&amp;TEXT(TODAY(),"YYYYMMDD"))</f>
        <v/>
      </c>
      <c r="C356" s="37" t="str">
        <f>IF(Agent02_Savings!A161="","",Agent02_Savings!B161)</f>
        <v/>
      </c>
      <c r="D356" s="37" t="str">
        <f>IF(Agent02_Savings!A161="","",Agent02_Savings!G161)</f>
        <v/>
      </c>
      <c r="E356" s="38" t="str">
        <f>IF(Agent02_Savings!A161="","",Agent02_Savings!D161)</f>
        <v/>
      </c>
      <c r="F356" s="39" t="str">
        <f>IF(Agent02_Savings!A161="","",Agent02_Savings!E161)</f>
        <v/>
      </c>
      <c r="G356" s="39" t="str">
        <f>IF(Agent02_Savings!A161="","",Agent02_Savings!F161)</f>
        <v/>
      </c>
      <c r="H356" s="37" t="str">
        <f>IF(Agent02_Savings!A161="","",Agent02_Savings!I161)</f>
        <v/>
      </c>
      <c r="I356" s="37" t="str">
        <f>IF(Agent02_Savings!A161="","",Agent02_Savings!J161)</f>
        <v/>
      </c>
      <c r="J356" s="37" t="str">
        <f>IF(Agent02_Savings!A161="","",Agent02_Savings!K161)</f>
        <v/>
      </c>
      <c r="K356" s="37" t="str">
        <f>IFERROR(IF(Agent02_Savings!A161="","",YEAR(Agent02_Savings!D161)),"")</f>
        <v/>
      </c>
    </row>
    <row r="357" spans="1:11" ht="18" customHeight="1" x14ac:dyDescent="0.25">
      <c r="A357" s="37" t="str">
        <f>IF(Agent02_Savings!A162="","",Agent02_Savings!A162)</f>
        <v/>
      </c>
      <c r="B357" s="37" t="str">
        <f ca="1">IF(Agent02_Savings!A162="","","SV"&amp;TEXT(357-3,"0000")&amp;"-"&amp;TEXT(TODAY(),"YYYYMMDD"))</f>
        <v/>
      </c>
      <c r="C357" s="37" t="str">
        <f>IF(Agent02_Savings!A162="","",Agent02_Savings!B162)</f>
        <v/>
      </c>
      <c r="D357" s="37" t="str">
        <f>IF(Agent02_Savings!A162="","",Agent02_Savings!G162)</f>
        <v/>
      </c>
      <c r="E357" s="38" t="str">
        <f>IF(Agent02_Savings!A162="","",Agent02_Savings!D162)</f>
        <v/>
      </c>
      <c r="F357" s="39" t="str">
        <f>IF(Agent02_Savings!A162="","",Agent02_Savings!E162)</f>
        <v/>
      </c>
      <c r="G357" s="39" t="str">
        <f>IF(Agent02_Savings!A162="","",Agent02_Savings!F162)</f>
        <v/>
      </c>
      <c r="H357" s="37" t="str">
        <f>IF(Agent02_Savings!A162="","",Agent02_Savings!I162)</f>
        <v/>
      </c>
      <c r="I357" s="37" t="str">
        <f>IF(Agent02_Savings!A162="","",Agent02_Savings!J162)</f>
        <v/>
      </c>
      <c r="J357" s="37" t="str">
        <f>IF(Agent02_Savings!A162="","",Agent02_Savings!K162)</f>
        <v/>
      </c>
      <c r="K357" s="37" t="str">
        <f>IFERROR(IF(Agent02_Savings!A162="","",YEAR(Agent02_Savings!D162)),"")</f>
        <v/>
      </c>
    </row>
    <row r="358" spans="1:11" ht="18" customHeight="1" x14ac:dyDescent="0.25">
      <c r="A358" s="37" t="str">
        <f>IF(Agent02_Savings!A163="","",Agent02_Savings!A163)</f>
        <v/>
      </c>
      <c r="B358" s="37" t="str">
        <f ca="1">IF(Agent02_Savings!A163="","","SV"&amp;TEXT(358-3,"0000")&amp;"-"&amp;TEXT(TODAY(),"YYYYMMDD"))</f>
        <v/>
      </c>
      <c r="C358" s="37" t="str">
        <f>IF(Agent02_Savings!A163="","",Agent02_Savings!B163)</f>
        <v/>
      </c>
      <c r="D358" s="37" t="str">
        <f>IF(Agent02_Savings!A163="","",Agent02_Savings!G163)</f>
        <v/>
      </c>
      <c r="E358" s="38" t="str">
        <f>IF(Agent02_Savings!A163="","",Agent02_Savings!D163)</f>
        <v/>
      </c>
      <c r="F358" s="39" t="str">
        <f>IF(Agent02_Savings!A163="","",Agent02_Savings!E163)</f>
        <v/>
      </c>
      <c r="G358" s="39" t="str">
        <f>IF(Agent02_Savings!A163="","",Agent02_Savings!F163)</f>
        <v/>
      </c>
      <c r="H358" s="37" t="str">
        <f>IF(Agent02_Savings!A163="","",Agent02_Savings!I163)</f>
        <v/>
      </c>
      <c r="I358" s="37" t="str">
        <f>IF(Agent02_Savings!A163="","",Agent02_Savings!J163)</f>
        <v/>
      </c>
      <c r="J358" s="37" t="str">
        <f>IF(Agent02_Savings!A163="","",Agent02_Savings!K163)</f>
        <v/>
      </c>
      <c r="K358" s="37" t="str">
        <f>IFERROR(IF(Agent02_Savings!A163="","",YEAR(Agent02_Savings!D163)),"")</f>
        <v/>
      </c>
    </row>
    <row r="359" spans="1:11" ht="18" customHeight="1" x14ac:dyDescent="0.25">
      <c r="A359" s="37" t="str">
        <f>IF(Agent02_Savings!A164="","",Agent02_Savings!A164)</f>
        <v/>
      </c>
      <c r="B359" s="37" t="str">
        <f ca="1">IF(Agent02_Savings!A164="","","SV"&amp;TEXT(359-3,"0000")&amp;"-"&amp;TEXT(TODAY(),"YYYYMMDD"))</f>
        <v/>
      </c>
      <c r="C359" s="37" t="str">
        <f>IF(Agent02_Savings!A164="","",Agent02_Savings!B164)</f>
        <v/>
      </c>
      <c r="D359" s="37" t="str">
        <f>IF(Agent02_Savings!A164="","",Agent02_Savings!G164)</f>
        <v/>
      </c>
      <c r="E359" s="38" t="str">
        <f>IF(Agent02_Savings!A164="","",Agent02_Savings!D164)</f>
        <v/>
      </c>
      <c r="F359" s="39" t="str">
        <f>IF(Agent02_Savings!A164="","",Agent02_Savings!E164)</f>
        <v/>
      </c>
      <c r="G359" s="39" t="str">
        <f>IF(Agent02_Savings!A164="","",Agent02_Savings!F164)</f>
        <v/>
      </c>
      <c r="H359" s="37" t="str">
        <f>IF(Agent02_Savings!A164="","",Agent02_Savings!I164)</f>
        <v/>
      </c>
      <c r="I359" s="37" t="str">
        <f>IF(Agent02_Savings!A164="","",Agent02_Savings!J164)</f>
        <v/>
      </c>
      <c r="J359" s="37" t="str">
        <f>IF(Agent02_Savings!A164="","",Agent02_Savings!K164)</f>
        <v/>
      </c>
      <c r="K359" s="37" t="str">
        <f>IFERROR(IF(Agent02_Savings!A164="","",YEAR(Agent02_Savings!D164)),"")</f>
        <v/>
      </c>
    </row>
    <row r="360" spans="1:11" ht="18" customHeight="1" x14ac:dyDescent="0.25">
      <c r="A360" s="37" t="str">
        <f>IF(Agent02_Savings!A165="","",Agent02_Savings!A165)</f>
        <v/>
      </c>
      <c r="B360" s="37" t="str">
        <f ca="1">IF(Agent02_Savings!A165="","","SV"&amp;TEXT(360-3,"0000")&amp;"-"&amp;TEXT(TODAY(),"YYYYMMDD"))</f>
        <v/>
      </c>
      <c r="C360" s="37" t="str">
        <f>IF(Agent02_Savings!A165="","",Agent02_Savings!B165)</f>
        <v/>
      </c>
      <c r="D360" s="37" t="str">
        <f>IF(Agent02_Savings!A165="","",Agent02_Savings!G165)</f>
        <v/>
      </c>
      <c r="E360" s="38" t="str">
        <f>IF(Agent02_Savings!A165="","",Agent02_Savings!D165)</f>
        <v/>
      </c>
      <c r="F360" s="39" t="str">
        <f>IF(Agent02_Savings!A165="","",Agent02_Savings!E165)</f>
        <v/>
      </c>
      <c r="G360" s="39" t="str">
        <f>IF(Agent02_Savings!A165="","",Agent02_Savings!F165)</f>
        <v/>
      </c>
      <c r="H360" s="37" t="str">
        <f>IF(Agent02_Savings!A165="","",Agent02_Savings!I165)</f>
        <v/>
      </c>
      <c r="I360" s="37" t="str">
        <f>IF(Agent02_Savings!A165="","",Agent02_Savings!J165)</f>
        <v/>
      </c>
      <c r="J360" s="37" t="str">
        <f>IF(Agent02_Savings!A165="","",Agent02_Savings!K165)</f>
        <v/>
      </c>
      <c r="K360" s="37" t="str">
        <f>IFERROR(IF(Agent02_Savings!A165="","",YEAR(Agent02_Savings!D165)),"")</f>
        <v/>
      </c>
    </row>
    <row r="361" spans="1:11" ht="18" customHeight="1" x14ac:dyDescent="0.25">
      <c r="A361" s="37" t="str">
        <f>IF(Agent02_Savings!A166="","",Agent02_Savings!A166)</f>
        <v/>
      </c>
      <c r="B361" s="37" t="str">
        <f ca="1">IF(Agent02_Savings!A166="","","SV"&amp;TEXT(361-3,"0000")&amp;"-"&amp;TEXT(TODAY(),"YYYYMMDD"))</f>
        <v/>
      </c>
      <c r="C361" s="37" t="str">
        <f>IF(Agent02_Savings!A166="","",Agent02_Savings!B166)</f>
        <v/>
      </c>
      <c r="D361" s="37" t="str">
        <f>IF(Agent02_Savings!A166="","",Agent02_Savings!G166)</f>
        <v/>
      </c>
      <c r="E361" s="38" t="str">
        <f>IF(Agent02_Savings!A166="","",Agent02_Savings!D166)</f>
        <v/>
      </c>
      <c r="F361" s="39" t="str">
        <f>IF(Agent02_Savings!A166="","",Agent02_Savings!E166)</f>
        <v/>
      </c>
      <c r="G361" s="39" t="str">
        <f>IF(Agent02_Savings!A166="","",Agent02_Savings!F166)</f>
        <v/>
      </c>
      <c r="H361" s="37" t="str">
        <f>IF(Agent02_Savings!A166="","",Agent02_Savings!I166)</f>
        <v/>
      </c>
      <c r="I361" s="37" t="str">
        <f>IF(Agent02_Savings!A166="","",Agent02_Savings!J166)</f>
        <v/>
      </c>
      <c r="J361" s="37" t="str">
        <f>IF(Agent02_Savings!A166="","",Agent02_Savings!K166)</f>
        <v/>
      </c>
      <c r="K361" s="37" t="str">
        <f>IFERROR(IF(Agent02_Savings!A166="","",YEAR(Agent02_Savings!D166)),"")</f>
        <v/>
      </c>
    </row>
    <row r="362" spans="1:11" ht="18" customHeight="1" x14ac:dyDescent="0.25">
      <c r="A362" s="37" t="str">
        <f>IF(Agent02_Savings!A167="","",Agent02_Savings!A167)</f>
        <v/>
      </c>
      <c r="B362" s="37" t="str">
        <f ca="1">IF(Agent02_Savings!A167="","","SV"&amp;TEXT(362-3,"0000")&amp;"-"&amp;TEXT(TODAY(),"YYYYMMDD"))</f>
        <v/>
      </c>
      <c r="C362" s="37" t="str">
        <f>IF(Agent02_Savings!A167="","",Agent02_Savings!B167)</f>
        <v/>
      </c>
      <c r="D362" s="37" t="str">
        <f>IF(Agent02_Savings!A167="","",Agent02_Savings!G167)</f>
        <v/>
      </c>
      <c r="E362" s="38" t="str">
        <f>IF(Agent02_Savings!A167="","",Agent02_Savings!D167)</f>
        <v/>
      </c>
      <c r="F362" s="39" t="str">
        <f>IF(Agent02_Savings!A167="","",Agent02_Savings!E167)</f>
        <v/>
      </c>
      <c r="G362" s="39" t="str">
        <f>IF(Agent02_Savings!A167="","",Agent02_Savings!F167)</f>
        <v/>
      </c>
      <c r="H362" s="37" t="str">
        <f>IF(Agent02_Savings!A167="","",Agent02_Savings!I167)</f>
        <v/>
      </c>
      <c r="I362" s="37" t="str">
        <f>IF(Agent02_Savings!A167="","",Agent02_Savings!J167)</f>
        <v/>
      </c>
      <c r="J362" s="37" t="str">
        <f>IF(Agent02_Savings!A167="","",Agent02_Savings!K167)</f>
        <v/>
      </c>
      <c r="K362" s="37" t="str">
        <f>IFERROR(IF(Agent02_Savings!A167="","",YEAR(Agent02_Savings!D167)),"")</f>
        <v/>
      </c>
    </row>
    <row r="363" spans="1:11" ht="18" customHeight="1" x14ac:dyDescent="0.25">
      <c r="A363" s="37" t="str">
        <f>IF(Agent02_Savings!A168="","",Agent02_Savings!A168)</f>
        <v/>
      </c>
      <c r="B363" s="37" t="str">
        <f ca="1">IF(Agent02_Savings!A168="","","SV"&amp;TEXT(363-3,"0000")&amp;"-"&amp;TEXT(TODAY(),"YYYYMMDD"))</f>
        <v/>
      </c>
      <c r="C363" s="37" t="str">
        <f>IF(Agent02_Savings!A168="","",Agent02_Savings!B168)</f>
        <v/>
      </c>
      <c r="D363" s="37" t="str">
        <f>IF(Agent02_Savings!A168="","",Agent02_Savings!G168)</f>
        <v/>
      </c>
      <c r="E363" s="38" t="str">
        <f>IF(Agent02_Savings!A168="","",Agent02_Savings!D168)</f>
        <v/>
      </c>
      <c r="F363" s="39" t="str">
        <f>IF(Agent02_Savings!A168="","",Agent02_Savings!E168)</f>
        <v/>
      </c>
      <c r="G363" s="39" t="str">
        <f>IF(Agent02_Savings!A168="","",Agent02_Savings!F168)</f>
        <v/>
      </c>
      <c r="H363" s="37" t="str">
        <f>IF(Agent02_Savings!A168="","",Agent02_Savings!I168)</f>
        <v/>
      </c>
      <c r="I363" s="37" t="str">
        <f>IF(Agent02_Savings!A168="","",Agent02_Savings!J168)</f>
        <v/>
      </c>
      <c r="J363" s="37" t="str">
        <f>IF(Agent02_Savings!A168="","",Agent02_Savings!K168)</f>
        <v/>
      </c>
      <c r="K363" s="37" t="str">
        <f>IFERROR(IF(Agent02_Savings!A168="","",YEAR(Agent02_Savings!D168)),"")</f>
        <v/>
      </c>
    </row>
    <row r="364" spans="1:11" ht="18" customHeight="1" x14ac:dyDescent="0.25">
      <c r="A364" s="37" t="str">
        <f>IF(Agent02_Savings!A169="","",Agent02_Savings!A169)</f>
        <v/>
      </c>
      <c r="B364" s="37" t="str">
        <f ca="1">IF(Agent02_Savings!A169="","","SV"&amp;TEXT(364-3,"0000")&amp;"-"&amp;TEXT(TODAY(),"YYYYMMDD"))</f>
        <v/>
      </c>
      <c r="C364" s="37" t="str">
        <f>IF(Agent02_Savings!A169="","",Agent02_Savings!B169)</f>
        <v/>
      </c>
      <c r="D364" s="37" t="str">
        <f>IF(Agent02_Savings!A169="","",Agent02_Savings!G169)</f>
        <v/>
      </c>
      <c r="E364" s="38" t="str">
        <f>IF(Agent02_Savings!A169="","",Agent02_Savings!D169)</f>
        <v/>
      </c>
      <c r="F364" s="39" t="str">
        <f>IF(Agent02_Savings!A169="","",Agent02_Savings!E169)</f>
        <v/>
      </c>
      <c r="G364" s="39" t="str">
        <f>IF(Agent02_Savings!A169="","",Agent02_Savings!F169)</f>
        <v/>
      </c>
      <c r="H364" s="37" t="str">
        <f>IF(Agent02_Savings!A169="","",Agent02_Savings!I169)</f>
        <v/>
      </c>
      <c r="I364" s="37" t="str">
        <f>IF(Agent02_Savings!A169="","",Agent02_Savings!J169)</f>
        <v/>
      </c>
      <c r="J364" s="37" t="str">
        <f>IF(Agent02_Savings!A169="","",Agent02_Savings!K169)</f>
        <v/>
      </c>
      <c r="K364" s="37" t="str">
        <f>IFERROR(IF(Agent02_Savings!A169="","",YEAR(Agent02_Savings!D169)),"")</f>
        <v/>
      </c>
    </row>
    <row r="365" spans="1:11" ht="18" customHeight="1" x14ac:dyDescent="0.25">
      <c r="A365" s="37" t="str">
        <f>IF(Agent02_Savings!A170="","",Agent02_Savings!A170)</f>
        <v/>
      </c>
      <c r="B365" s="37" t="str">
        <f ca="1">IF(Agent02_Savings!A170="","","SV"&amp;TEXT(365-3,"0000")&amp;"-"&amp;TEXT(TODAY(),"YYYYMMDD"))</f>
        <v/>
      </c>
      <c r="C365" s="37" t="str">
        <f>IF(Agent02_Savings!A170="","",Agent02_Savings!B170)</f>
        <v/>
      </c>
      <c r="D365" s="37" t="str">
        <f>IF(Agent02_Savings!A170="","",Agent02_Savings!G170)</f>
        <v/>
      </c>
      <c r="E365" s="38" t="str">
        <f>IF(Agent02_Savings!A170="","",Agent02_Savings!D170)</f>
        <v/>
      </c>
      <c r="F365" s="39" t="str">
        <f>IF(Agent02_Savings!A170="","",Agent02_Savings!E170)</f>
        <v/>
      </c>
      <c r="G365" s="39" t="str">
        <f>IF(Agent02_Savings!A170="","",Agent02_Savings!F170)</f>
        <v/>
      </c>
      <c r="H365" s="37" t="str">
        <f>IF(Agent02_Savings!A170="","",Agent02_Savings!I170)</f>
        <v/>
      </c>
      <c r="I365" s="37" t="str">
        <f>IF(Agent02_Savings!A170="","",Agent02_Savings!J170)</f>
        <v/>
      </c>
      <c r="J365" s="37" t="str">
        <f>IF(Agent02_Savings!A170="","",Agent02_Savings!K170)</f>
        <v/>
      </c>
      <c r="K365" s="37" t="str">
        <f>IFERROR(IF(Agent02_Savings!A170="","",YEAR(Agent02_Savings!D170)),"")</f>
        <v/>
      </c>
    </row>
    <row r="366" spans="1:11" ht="18" customHeight="1" x14ac:dyDescent="0.25">
      <c r="A366" s="37" t="str">
        <f>IF(Agent02_Savings!A171="","",Agent02_Savings!A171)</f>
        <v/>
      </c>
      <c r="B366" s="37" t="str">
        <f ca="1">IF(Agent02_Savings!A171="","","SV"&amp;TEXT(366-3,"0000")&amp;"-"&amp;TEXT(TODAY(),"YYYYMMDD"))</f>
        <v/>
      </c>
      <c r="C366" s="37" t="str">
        <f>IF(Agent02_Savings!A171="","",Agent02_Savings!B171)</f>
        <v/>
      </c>
      <c r="D366" s="37" t="str">
        <f>IF(Agent02_Savings!A171="","",Agent02_Savings!G171)</f>
        <v/>
      </c>
      <c r="E366" s="38" t="str">
        <f>IF(Agent02_Savings!A171="","",Agent02_Savings!D171)</f>
        <v/>
      </c>
      <c r="F366" s="39" t="str">
        <f>IF(Agent02_Savings!A171="","",Agent02_Savings!E171)</f>
        <v/>
      </c>
      <c r="G366" s="39" t="str">
        <f>IF(Agent02_Savings!A171="","",Agent02_Savings!F171)</f>
        <v/>
      </c>
      <c r="H366" s="37" t="str">
        <f>IF(Agent02_Savings!A171="","",Agent02_Savings!I171)</f>
        <v/>
      </c>
      <c r="I366" s="37" t="str">
        <f>IF(Agent02_Savings!A171="","",Agent02_Savings!J171)</f>
        <v/>
      </c>
      <c r="J366" s="37" t="str">
        <f>IF(Agent02_Savings!A171="","",Agent02_Savings!K171)</f>
        <v/>
      </c>
      <c r="K366" s="37" t="str">
        <f>IFERROR(IF(Agent02_Savings!A171="","",YEAR(Agent02_Savings!D171)),"")</f>
        <v/>
      </c>
    </row>
    <row r="367" spans="1:11" ht="18" customHeight="1" x14ac:dyDescent="0.25">
      <c r="A367" s="37" t="str">
        <f>IF(Agent02_Savings!A172="","",Agent02_Savings!A172)</f>
        <v/>
      </c>
      <c r="B367" s="37" t="str">
        <f ca="1">IF(Agent02_Savings!A172="","","SV"&amp;TEXT(367-3,"0000")&amp;"-"&amp;TEXT(TODAY(),"YYYYMMDD"))</f>
        <v/>
      </c>
      <c r="C367" s="37" t="str">
        <f>IF(Agent02_Savings!A172="","",Agent02_Savings!B172)</f>
        <v/>
      </c>
      <c r="D367" s="37" t="str">
        <f>IF(Agent02_Savings!A172="","",Agent02_Savings!G172)</f>
        <v/>
      </c>
      <c r="E367" s="38" t="str">
        <f>IF(Agent02_Savings!A172="","",Agent02_Savings!D172)</f>
        <v/>
      </c>
      <c r="F367" s="39" t="str">
        <f>IF(Agent02_Savings!A172="","",Agent02_Savings!E172)</f>
        <v/>
      </c>
      <c r="G367" s="39" t="str">
        <f>IF(Agent02_Savings!A172="","",Agent02_Savings!F172)</f>
        <v/>
      </c>
      <c r="H367" s="37" t="str">
        <f>IF(Agent02_Savings!A172="","",Agent02_Savings!I172)</f>
        <v/>
      </c>
      <c r="I367" s="37" t="str">
        <f>IF(Agent02_Savings!A172="","",Agent02_Savings!J172)</f>
        <v/>
      </c>
      <c r="J367" s="37" t="str">
        <f>IF(Agent02_Savings!A172="","",Agent02_Savings!K172)</f>
        <v/>
      </c>
      <c r="K367" s="37" t="str">
        <f>IFERROR(IF(Agent02_Savings!A172="","",YEAR(Agent02_Savings!D172)),"")</f>
        <v/>
      </c>
    </row>
    <row r="368" spans="1:11" ht="18" customHeight="1" x14ac:dyDescent="0.25">
      <c r="A368" s="37" t="str">
        <f>IF(Agent02_Savings!A173="","",Agent02_Savings!A173)</f>
        <v/>
      </c>
      <c r="B368" s="37" t="str">
        <f ca="1">IF(Agent02_Savings!A173="","","SV"&amp;TEXT(368-3,"0000")&amp;"-"&amp;TEXT(TODAY(),"YYYYMMDD"))</f>
        <v/>
      </c>
      <c r="C368" s="37" t="str">
        <f>IF(Agent02_Savings!A173="","",Agent02_Savings!B173)</f>
        <v/>
      </c>
      <c r="D368" s="37" t="str">
        <f>IF(Agent02_Savings!A173="","",Agent02_Savings!G173)</f>
        <v/>
      </c>
      <c r="E368" s="38" t="str">
        <f>IF(Agent02_Savings!A173="","",Agent02_Savings!D173)</f>
        <v/>
      </c>
      <c r="F368" s="39" t="str">
        <f>IF(Agent02_Savings!A173="","",Agent02_Savings!E173)</f>
        <v/>
      </c>
      <c r="G368" s="39" t="str">
        <f>IF(Agent02_Savings!A173="","",Agent02_Savings!F173)</f>
        <v/>
      </c>
      <c r="H368" s="37" t="str">
        <f>IF(Agent02_Savings!A173="","",Agent02_Savings!I173)</f>
        <v/>
      </c>
      <c r="I368" s="37" t="str">
        <f>IF(Agent02_Savings!A173="","",Agent02_Savings!J173)</f>
        <v/>
      </c>
      <c r="J368" s="37" t="str">
        <f>IF(Agent02_Savings!A173="","",Agent02_Savings!K173)</f>
        <v/>
      </c>
      <c r="K368" s="37" t="str">
        <f>IFERROR(IF(Agent02_Savings!A173="","",YEAR(Agent02_Savings!D173)),"")</f>
        <v/>
      </c>
    </row>
    <row r="369" spans="1:11" ht="18" customHeight="1" x14ac:dyDescent="0.25">
      <c r="A369" s="37" t="str">
        <f>IF(Agent02_Savings!A174="","",Agent02_Savings!A174)</f>
        <v/>
      </c>
      <c r="B369" s="37" t="str">
        <f ca="1">IF(Agent02_Savings!A174="","","SV"&amp;TEXT(369-3,"0000")&amp;"-"&amp;TEXT(TODAY(),"YYYYMMDD"))</f>
        <v/>
      </c>
      <c r="C369" s="37" t="str">
        <f>IF(Agent02_Savings!A174="","",Agent02_Savings!B174)</f>
        <v/>
      </c>
      <c r="D369" s="37" t="str">
        <f>IF(Agent02_Savings!A174="","",Agent02_Savings!G174)</f>
        <v/>
      </c>
      <c r="E369" s="38" t="str">
        <f>IF(Agent02_Savings!A174="","",Agent02_Savings!D174)</f>
        <v/>
      </c>
      <c r="F369" s="39" t="str">
        <f>IF(Agent02_Savings!A174="","",Agent02_Savings!E174)</f>
        <v/>
      </c>
      <c r="G369" s="39" t="str">
        <f>IF(Agent02_Savings!A174="","",Agent02_Savings!F174)</f>
        <v/>
      </c>
      <c r="H369" s="37" t="str">
        <f>IF(Agent02_Savings!A174="","",Agent02_Savings!I174)</f>
        <v/>
      </c>
      <c r="I369" s="37" t="str">
        <f>IF(Agent02_Savings!A174="","",Agent02_Savings!J174)</f>
        <v/>
      </c>
      <c r="J369" s="37" t="str">
        <f>IF(Agent02_Savings!A174="","",Agent02_Savings!K174)</f>
        <v/>
      </c>
      <c r="K369" s="37" t="str">
        <f>IFERROR(IF(Agent02_Savings!A174="","",YEAR(Agent02_Savings!D174)),"")</f>
        <v/>
      </c>
    </row>
    <row r="370" spans="1:11" ht="18" customHeight="1" x14ac:dyDescent="0.25">
      <c r="A370" s="37" t="str">
        <f>IF(Agent02_Savings!A175="","",Agent02_Savings!A175)</f>
        <v/>
      </c>
      <c r="B370" s="37" t="str">
        <f ca="1">IF(Agent02_Savings!A175="","","SV"&amp;TEXT(370-3,"0000")&amp;"-"&amp;TEXT(TODAY(),"YYYYMMDD"))</f>
        <v/>
      </c>
      <c r="C370" s="37" t="str">
        <f>IF(Agent02_Savings!A175="","",Agent02_Savings!B175)</f>
        <v/>
      </c>
      <c r="D370" s="37" t="str">
        <f>IF(Agent02_Savings!A175="","",Agent02_Savings!G175)</f>
        <v/>
      </c>
      <c r="E370" s="38" t="str">
        <f>IF(Agent02_Savings!A175="","",Agent02_Savings!D175)</f>
        <v/>
      </c>
      <c r="F370" s="39" t="str">
        <f>IF(Agent02_Savings!A175="","",Agent02_Savings!E175)</f>
        <v/>
      </c>
      <c r="G370" s="39" t="str">
        <f>IF(Agent02_Savings!A175="","",Agent02_Savings!F175)</f>
        <v/>
      </c>
      <c r="H370" s="37" t="str">
        <f>IF(Agent02_Savings!A175="","",Agent02_Savings!I175)</f>
        <v/>
      </c>
      <c r="I370" s="37" t="str">
        <f>IF(Agent02_Savings!A175="","",Agent02_Savings!J175)</f>
        <v/>
      </c>
      <c r="J370" s="37" t="str">
        <f>IF(Agent02_Savings!A175="","",Agent02_Savings!K175)</f>
        <v/>
      </c>
      <c r="K370" s="37" t="str">
        <f>IFERROR(IF(Agent02_Savings!A175="","",YEAR(Agent02_Savings!D175)),"")</f>
        <v/>
      </c>
    </row>
    <row r="371" spans="1:11" ht="18" customHeight="1" x14ac:dyDescent="0.25">
      <c r="A371" s="37" t="str">
        <f>IF(Agent02_Savings!A176="","",Agent02_Savings!A176)</f>
        <v/>
      </c>
      <c r="B371" s="37" t="str">
        <f ca="1">IF(Agent02_Savings!A176="","","SV"&amp;TEXT(371-3,"0000")&amp;"-"&amp;TEXT(TODAY(),"YYYYMMDD"))</f>
        <v/>
      </c>
      <c r="C371" s="37" t="str">
        <f>IF(Agent02_Savings!A176="","",Agent02_Savings!B176)</f>
        <v/>
      </c>
      <c r="D371" s="37" t="str">
        <f>IF(Agent02_Savings!A176="","",Agent02_Savings!G176)</f>
        <v/>
      </c>
      <c r="E371" s="38" t="str">
        <f>IF(Agent02_Savings!A176="","",Agent02_Savings!D176)</f>
        <v/>
      </c>
      <c r="F371" s="39" t="str">
        <f>IF(Agent02_Savings!A176="","",Agent02_Savings!E176)</f>
        <v/>
      </c>
      <c r="G371" s="39" t="str">
        <f>IF(Agent02_Savings!A176="","",Agent02_Savings!F176)</f>
        <v/>
      </c>
      <c r="H371" s="37" t="str">
        <f>IF(Agent02_Savings!A176="","",Agent02_Savings!I176)</f>
        <v/>
      </c>
      <c r="I371" s="37" t="str">
        <f>IF(Agent02_Savings!A176="","",Agent02_Savings!J176)</f>
        <v/>
      </c>
      <c r="J371" s="37" t="str">
        <f>IF(Agent02_Savings!A176="","",Agent02_Savings!K176)</f>
        <v/>
      </c>
      <c r="K371" s="37" t="str">
        <f>IFERROR(IF(Agent02_Savings!A176="","",YEAR(Agent02_Savings!D176)),"")</f>
        <v/>
      </c>
    </row>
    <row r="372" spans="1:11" ht="18" customHeight="1" x14ac:dyDescent="0.25">
      <c r="A372" s="37" t="str">
        <f>IF(Agent02_Savings!A177="","",Agent02_Savings!A177)</f>
        <v/>
      </c>
      <c r="B372" s="37" t="str">
        <f ca="1">IF(Agent02_Savings!A177="","","SV"&amp;TEXT(372-3,"0000")&amp;"-"&amp;TEXT(TODAY(),"YYYYMMDD"))</f>
        <v/>
      </c>
      <c r="C372" s="37" t="str">
        <f>IF(Agent02_Savings!A177="","",Agent02_Savings!B177)</f>
        <v/>
      </c>
      <c r="D372" s="37" t="str">
        <f>IF(Agent02_Savings!A177="","",Agent02_Savings!G177)</f>
        <v/>
      </c>
      <c r="E372" s="38" t="str">
        <f>IF(Agent02_Savings!A177="","",Agent02_Savings!D177)</f>
        <v/>
      </c>
      <c r="F372" s="39" t="str">
        <f>IF(Agent02_Savings!A177="","",Agent02_Savings!E177)</f>
        <v/>
      </c>
      <c r="G372" s="39" t="str">
        <f>IF(Agent02_Savings!A177="","",Agent02_Savings!F177)</f>
        <v/>
      </c>
      <c r="H372" s="37" t="str">
        <f>IF(Agent02_Savings!A177="","",Agent02_Savings!I177)</f>
        <v/>
      </c>
      <c r="I372" s="37" t="str">
        <f>IF(Agent02_Savings!A177="","",Agent02_Savings!J177)</f>
        <v/>
      </c>
      <c r="J372" s="37" t="str">
        <f>IF(Agent02_Savings!A177="","",Agent02_Savings!K177)</f>
        <v/>
      </c>
      <c r="K372" s="37" t="str">
        <f>IFERROR(IF(Agent02_Savings!A177="","",YEAR(Agent02_Savings!D177)),"")</f>
        <v/>
      </c>
    </row>
    <row r="373" spans="1:11" ht="18" customHeight="1" x14ac:dyDescent="0.25">
      <c r="A373" s="37" t="str">
        <f>IF(Agent02_Savings!A178="","",Agent02_Savings!A178)</f>
        <v/>
      </c>
      <c r="B373" s="37" t="str">
        <f ca="1">IF(Agent02_Savings!A178="","","SV"&amp;TEXT(373-3,"0000")&amp;"-"&amp;TEXT(TODAY(),"YYYYMMDD"))</f>
        <v/>
      </c>
      <c r="C373" s="37" t="str">
        <f>IF(Agent02_Savings!A178="","",Agent02_Savings!B178)</f>
        <v/>
      </c>
      <c r="D373" s="37" t="str">
        <f>IF(Agent02_Savings!A178="","",Agent02_Savings!G178)</f>
        <v/>
      </c>
      <c r="E373" s="38" t="str">
        <f>IF(Agent02_Savings!A178="","",Agent02_Savings!D178)</f>
        <v/>
      </c>
      <c r="F373" s="39" t="str">
        <f>IF(Agent02_Savings!A178="","",Agent02_Savings!E178)</f>
        <v/>
      </c>
      <c r="G373" s="39" t="str">
        <f>IF(Agent02_Savings!A178="","",Agent02_Savings!F178)</f>
        <v/>
      </c>
      <c r="H373" s="37" t="str">
        <f>IF(Agent02_Savings!A178="","",Agent02_Savings!I178)</f>
        <v/>
      </c>
      <c r="I373" s="37" t="str">
        <f>IF(Agent02_Savings!A178="","",Agent02_Savings!J178)</f>
        <v/>
      </c>
      <c r="J373" s="37" t="str">
        <f>IF(Agent02_Savings!A178="","",Agent02_Savings!K178)</f>
        <v/>
      </c>
      <c r="K373" s="37" t="str">
        <f>IFERROR(IF(Agent02_Savings!A178="","",YEAR(Agent02_Savings!D178)),"")</f>
        <v/>
      </c>
    </row>
    <row r="374" spans="1:11" ht="18" customHeight="1" x14ac:dyDescent="0.25">
      <c r="A374" s="37" t="str">
        <f>IF(Agent02_Savings!A179="","",Agent02_Savings!A179)</f>
        <v/>
      </c>
      <c r="B374" s="37" t="str">
        <f ca="1">IF(Agent02_Savings!A179="","","SV"&amp;TEXT(374-3,"0000")&amp;"-"&amp;TEXT(TODAY(),"YYYYMMDD"))</f>
        <v/>
      </c>
      <c r="C374" s="37" t="str">
        <f>IF(Agent02_Savings!A179="","",Agent02_Savings!B179)</f>
        <v/>
      </c>
      <c r="D374" s="37" t="str">
        <f>IF(Agent02_Savings!A179="","",Agent02_Savings!G179)</f>
        <v/>
      </c>
      <c r="E374" s="38" t="str">
        <f>IF(Agent02_Savings!A179="","",Agent02_Savings!D179)</f>
        <v/>
      </c>
      <c r="F374" s="39" t="str">
        <f>IF(Agent02_Savings!A179="","",Agent02_Savings!E179)</f>
        <v/>
      </c>
      <c r="G374" s="39" t="str">
        <f>IF(Agent02_Savings!A179="","",Agent02_Savings!F179)</f>
        <v/>
      </c>
      <c r="H374" s="37" t="str">
        <f>IF(Agent02_Savings!A179="","",Agent02_Savings!I179)</f>
        <v/>
      </c>
      <c r="I374" s="37" t="str">
        <f>IF(Agent02_Savings!A179="","",Agent02_Savings!J179)</f>
        <v/>
      </c>
      <c r="J374" s="37" t="str">
        <f>IF(Agent02_Savings!A179="","",Agent02_Savings!K179)</f>
        <v/>
      </c>
      <c r="K374" s="37" t="str">
        <f>IFERROR(IF(Agent02_Savings!A179="","",YEAR(Agent02_Savings!D179)),"")</f>
        <v/>
      </c>
    </row>
    <row r="375" spans="1:11" ht="18" customHeight="1" x14ac:dyDescent="0.25">
      <c r="A375" s="37" t="str">
        <f>IF(Agent02_Savings!A180="","",Agent02_Savings!A180)</f>
        <v/>
      </c>
      <c r="B375" s="37" t="str">
        <f ca="1">IF(Agent02_Savings!A180="","","SV"&amp;TEXT(375-3,"0000")&amp;"-"&amp;TEXT(TODAY(),"YYYYMMDD"))</f>
        <v/>
      </c>
      <c r="C375" s="37" t="str">
        <f>IF(Agent02_Savings!A180="","",Agent02_Savings!B180)</f>
        <v/>
      </c>
      <c r="D375" s="37" t="str">
        <f>IF(Agent02_Savings!A180="","",Agent02_Savings!G180)</f>
        <v/>
      </c>
      <c r="E375" s="38" t="str">
        <f>IF(Agent02_Savings!A180="","",Agent02_Savings!D180)</f>
        <v/>
      </c>
      <c r="F375" s="39" t="str">
        <f>IF(Agent02_Savings!A180="","",Agent02_Savings!E180)</f>
        <v/>
      </c>
      <c r="G375" s="39" t="str">
        <f>IF(Agent02_Savings!A180="","",Agent02_Savings!F180)</f>
        <v/>
      </c>
      <c r="H375" s="37" t="str">
        <f>IF(Agent02_Savings!A180="","",Agent02_Savings!I180)</f>
        <v/>
      </c>
      <c r="I375" s="37" t="str">
        <f>IF(Agent02_Savings!A180="","",Agent02_Savings!J180)</f>
        <v/>
      </c>
      <c r="J375" s="37" t="str">
        <f>IF(Agent02_Savings!A180="","",Agent02_Savings!K180)</f>
        <v/>
      </c>
      <c r="K375" s="37" t="str">
        <f>IFERROR(IF(Agent02_Savings!A180="","",YEAR(Agent02_Savings!D180)),"")</f>
        <v/>
      </c>
    </row>
    <row r="376" spans="1:11" ht="18" customHeight="1" x14ac:dyDescent="0.25">
      <c r="A376" s="37" t="str">
        <f>IF(Agent02_Savings!A181="","",Agent02_Savings!A181)</f>
        <v/>
      </c>
      <c r="B376" s="37" t="str">
        <f ca="1">IF(Agent02_Savings!A181="","","SV"&amp;TEXT(376-3,"0000")&amp;"-"&amp;TEXT(TODAY(),"YYYYMMDD"))</f>
        <v/>
      </c>
      <c r="C376" s="37" t="str">
        <f>IF(Agent02_Savings!A181="","",Agent02_Savings!B181)</f>
        <v/>
      </c>
      <c r="D376" s="37" t="str">
        <f>IF(Agent02_Savings!A181="","",Agent02_Savings!G181)</f>
        <v/>
      </c>
      <c r="E376" s="38" t="str">
        <f>IF(Agent02_Savings!A181="","",Agent02_Savings!D181)</f>
        <v/>
      </c>
      <c r="F376" s="39" t="str">
        <f>IF(Agent02_Savings!A181="","",Agent02_Savings!E181)</f>
        <v/>
      </c>
      <c r="G376" s="39" t="str">
        <f>IF(Agent02_Savings!A181="","",Agent02_Savings!F181)</f>
        <v/>
      </c>
      <c r="H376" s="37" t="str">
        <f>IF(Agent02_Savings!A181="","",Agent02_Savings!I181)</f>
        <v/>
      </c>
      <c r="I376" s="37" t="str">
        <f>IF(Agent02_Savings!A181="","",Agent02_Savings!J181)</f>
        <v/>
      </c>
      <c r="J376" s="37" t="str">
        <f>IF(Agent02_Savings!A181="","",Agent02_Savings!K181)</f>
        <v/>
      </c>
      <c r="K376" s="37" t="str">
        <f>IFERROR(IF(Agent02_Savings!A181="","",YEAR(Agent02_Savings!D181)),"")</f>
        <v/>
      </c>
    </row>
    <row r="377" spans="1:11" ht="18" customHeight="1" x14ac:dyDescent="0.25">
      <c r="A377" s="37" t="str">
        <f>IF(Agent02_Savings!A182="","",Agent02_Savings!A182)</f>
        <v/>
      </c>
      <c r="B377" s="37" t="str">
        <f ca="1">IF(Agent02_Savings!A182="","","SV"&amp;TEXT(377-3,"0000")&amp;"-"&amp;TEXT(TODAY(),"YYYYMMDD"))</f>
        <v/>
      </c>
      <c r="C377" s="37" t="str">
        <f>IF(Agent02_Savings!A182="","",Agent02_Savings!B182)</f>
        <v/>
      </c>
      <c r="D377" s="37" t="str">
        <f>IF(Agent02_Savings!A182="","",Agent02_Savings!G182)</f>
        <v/>
      </c>
      <c r="E377" s="38" t="str">
        <f>IF(Agent02_Savings!A182="","",Agent02_Savings!D182)</f>
        <v/>
      </c>
      <c r="F377" s="39" t="str">
        <f>IF(Agent02_Savings!A182="","",Agent02_Savings!E182)</f>
        <v/>
      </c>
      <c r="G377" s="39" t="str">
        <f>IF(Agent02_Savings!A182="","",Agent02_Savings!F182)</f>
        <v/>
      </c>
      <c r="H377" s="37" t="str">
        <f>IF(Agent02_Savings!A182="","",Agent02_Savings!I182)</f>
        <v/>
      </c>
      <c r="I377" s="37" t="str">
        <f>IF(Agent02_Savings!A182="","",Agent02_Savings!J182)</f>
        <v/>
      </c>
      <c r="J377" s="37" t="str">
        <f>IF(Agent02_Savings!A182="","",Agent02_Savings!K182)</f>
        <v/>
      </c>
      <c r="K377" s="37" t="str">
        <f>IFERROR(IF(Agent02_Savings!A182="","",YEAR(Agent02_Savings!D182)),"")</f>
        <v/>
      </c>
    </row>
    <row r="378" spans="1:11" ht="18" customHeight="1" x14ac:dyDescent="0.25">
      <c r="A378" s="37" t="str">
        <f>IF(Agent02_Savings!A183="","",Agent02_Savings!A183)</f>
        <v/>
      </c>
      <c r="B378" s="37" t="str">
        <f ca="1">IF(Agent02_Savings!A183="","","SV"&amp;TEXT(378-3,"0000")&amp;"-"&amp;TEXT(TODAY(),"YYYYMMDD"))</f>
        <v/>
      </c>
      <c r="C378" s="37" t="str">
        <f>IF(Agent02_Savings!A183="","",Agent02_Savings!B183)</f>
        <v/>
      </c>
      <c r="D378" s="37" t="str">
        <f>IF(Agent02_Savings!A183="","",Agent02_Savings!G183)</f>
        <v/>
      </c>
      <c r="E378" s="38" t="str">
        <f>IF(Agent02_Savings!A183="","",Agent02_Savings!D183)</f>
        <v/>
      </c>
      <c r="F378" s="39" t="str">
        <f>IF(Agent02_Savings!A183="","",Agent02_Savings!E183)</f>
        <v/>
      </c>
      <c r="G378" s="39" t="str">
        <f>IF(Agent02_Savings!A183="","",Agent02_Savings!F183)</f>
        <v/>
      </c>
      <c r="H378" s="37" t="str">
        <f>IF(Agent02_Savings!A183="","",Agent02_Savings!I183)</f>
        <v/>
      </c>
      <c r="I378" s="37" t="str">
        <f>IF(Agent02_Savings!A183="","",Agent02_Savings!J183)</f>
        <v/>
      </c>
      <c r="J378" s="37" t="str">
        <f>IF(Agent02_Savings!A183="","",Agent02_Savings!K183)</f>
        <v/>
      </c>
      <c r="K378" s="37" t="str">
        <f>IFERROR(IF(Agent02_Savings!A183="","",YEAR(Agent02_Savings!D183)),"")</f>
        <v/>
      </c>
    </row>
    <row r="379" spans="1:11" ht="18" customHeight="1" x14ac:dyDescent="0.25">
      <c r="A379" s="37" t="str">
        <f>IF(Agent02_Savings!A184="","",Agent02_Savings!A184)</f>
        <v/>
      </c>
      <c r="B379" s="37" t="str">
        <f ca="1">IF(Agent02_Savings!A184="","","SV"&amp;TEXT(379-3,"0000")&amp;"-"&amp;TEXT(TODAY(),"YYYYMMDD"))</f>
        <v/>
      </c>
      <c r="C379" s="37" t="str">
        <f>IF(Agent02_Savings!A184="","",Agent02_Savings!B184)</f>
        <v/>
      </c>
      <c r="D379" s="37" t="str">
        <f>IF(Agent02_Savings!A184="","",Agent02_Savings!G184)</f>
        <v/>
      </c>
      <c r="E379" s="38" t="str">
        <f>IF(Agent02_Savings!A184="","",Agent02_Savings!D184)</f>
        <v/>
      </c>
      <c r="F379" s="39" t="str">
        <f>IF(Agent02_Savings!A184="","",Agent02_Savings!E184)</f>
        <v/>
      </c>
      <c r="G379" s="39" t="str">
        <f>IF(Agent02_Savings!A184="","",Agent02_Savings!F184)</f>
        <v/>
      </c>
      <c r="H379" s="37" t="str">
        <f>IF(Agent02_Savings!A184="","",Agent02_Savings!I184)</f>
        <v/>
      </c>
      <c r="I379" s="37" t="str">
        <f>IF(Agent02_Savings!A184="","",Agent02_Savings!J184)</f>
        <v/>
      </c>
      <c r="J379" s="37" t="str">
        <f>IF(Agent02_Savings!A184="","",Agent02_Savings!K184)</f>
        <v/>
      </c>
      <c r="K379" s="37" t="str">
        <f>IFERROR(IF(Agent02_Savings!A184="","",YEAR(Agent02_Savings!D184)),"")</f>
        <v/>
      </c>
    </row>
    <row r="380" spans="1:11" ht="18" customHeight="1" x14ac:dyDescent="0.25">
      <c r="A380" s="37" t="str">
        <f>IF(Agent02_Savings!A185="","",Agent02_Savings!A185)</f>
        <v/>
      </c>
      <c r="B380" s="37" t="str">
        <f ca="1">IF(Agent02_Savings!A185="","","SV"&amp;TEXT(380-3,"0000")&amp;"-"&amp;TEXT(TODAY(),"YYYYMMDD"))</f>
        <v/>
      </c>
      <c r="C380" s="37" t="str">
        <f>IF(Agent02_Savings!A185="","",Agent02_Savings!B185)</f>
        <v/>
      </c>
      <c r="D380" s="37" t="str">
        <f>IF(Agent02_Savings!A185="","",Agent02_Savings!G185)</f>
        <v/>
      </c>
      <c r="E380" s="38" t="str">
        <f>IF(Agent02_Savings!A185="","",Agent02_Savings!D185)</f>
        <v/>
      </c>
      <c r="F380" s="39" t="str">
        <f>IF(Agent02_Savings!A185="","",Agent02_Savings!E185)</f>
        <v/>
      </c>
      <c r="G380" s="39" t="str">
        <f>IF(Agent02_Savings!A185="","",Agent02_Savings!F185)</f>
        <v/>
      </c>
      <c r="H380" s="37" t="str">
        <f>IF(Agent02_Savings!A185="","",Agent02_Savings!I185)</f>
        <v/>
      </c>
      <c r="I380" s="37" t="str">
        <f>IF(Agent02_Savings!A185="","",Agent02_Savings!J185)</f>
        <v/>
      </c>
      <c r="J380" s="37" t="str">
        <f>IF(Agent02_Savings!A185="","",Agent02_Savings!K185)</f>
        <v/>
      </c>
      <c r="K380" s="37" t="str">
        <f>IFERROR(IF(Agent02_Savings!A185="","",YEAR(Agent02_Savings!D185)),"")</f>
        <v/>
      </c>
    </row>
    <row r="381" spans="1:11" ht="18" customHeight="1" x14ac:dyDescent="0.25">
      <c r="A381" s="37" t="str">
        <f>IF(Agent02_Savings!A186="","",Agent02_Savings!A186)</f>
        <v/>
      </c>
      <c r="B381" s="37" t="str">
        <f ca="1">IF(Agent02_Savings!A186="","","SV"&amp;TEXT(381-3,"0000")&amp;"-"&amp;TEXT(TODAY(),"YYYYMMDD"))</f>
        <v/>
      </c>
      <c r="C381" s="37" t="str">
        <f>IF(Agent02_Savings!A186="","",Agent02_Savings!B186)</f>
        <v/>
      </c>
      <c r="D381" s="37" t="str">
        <f>IF(Agent02_Savings!A186="","",Agent02_Savings!G186)</f>
        <v/>
      </c>
      <c r="E381" s="38" t="str">
        <f>IF(Agent02_Savings!A186="","",Agent02_Savings!D186)</f>
        <v/>
      </c>
      <c r="F381" s="39" t="str">
        <f>IF(Agent02_Savings!A186="","",Agent02_Savings!E186)</f>
        <v/>
      </c>
      <c r="G381" s="39" t="str">
        <f>IF(Agent02_Savings!A186="","",Agent02_Savings!F186)</f>
        <v/>
      </c>
      <c r="H381" s="37" t="str">
        <f>IF(Agent02_Savings!A186="","",Agent02_Savings!I186)</f>
        <v/>
      </c>
      <c r="I381" s="37" t="str">
        <f>IF(Agent02_Savings!A186="","",Agent02_Savings!J186)</f>
        <v/>
      </c>
      <c r="J381" s="37" t="str">
        <f>IF(Agent02_Savings!A186="","",Agent02_Savings!K186)</f>
        <v/>
      </c>
      <c r="K381" s="37" t="str">
        <f>IFERROR(IF(Agent02_Savings!A186="","",YEAR(Agent02_Savings!D186)),"")</f>
        <v/>
      </c>
    </row>
    <row r="382" spans="1:11" ht="18" customHeight="1" x14ac:dyDescent="0.25">
      <c r="A382" s="37" t="str">
        <f>IF(Agent02_Savings!A187="","",Agent02_Savings!A187)</f>
        <v/>
      </c>
      <c r="B382" s="37" t="str">
        <f ca="1">IF(Agent02_Savings!A187="","","SV"&amp;TEXT(382-3,"0000")&amp;"-"&amp;TEXT(TODAY(),"YYYYMMDD"))</f>
        <v/>
      </c>
      <c r="C382" s="37" t="str">
        <f>IF(Agent02_Savings!A187="","",Agent02_Savings!B187)</f>
        <v/>
      </c>
      <c r="D382" s="37" t="str">
        <f>IF(Agent02_Savings!A187="","",Agent02_Savings!G187)</f>
        <v/>
      </c>
      <c r="E382" s="38" t="str">
        <f>IF(Agent02_Savings!A187="","",Agent02_Savings!D187)</f>
        <v/>
      </c>
      <c r="F382" s="39" t="str">
        <f>IF(Agent02_Savings!A187="","",Agent02_Savings!E187)</f>
        <v/>
      </c>
      <c r="G382" s="39" t="str">
        <f>IF(Agent02_Savings!A187="","",Agent02_Savings!F187)</f>
        <v/>
      </c>
      <c r="H382" s="37" t="str">
        <f>IF(Agent02_Savings!A187="","",Agent02_Savings!I187)</f>
        <v/>
      </c>
      <c r="I382" s="37" t="str">
        <f>IF(Agent02_Savings!A187="","",Agent02_Savings!J187)</f>
        <v/>
      </c>
      <c r="J382" s="37" t="str">
        <f>IF(Agent02_Savings!A187="","",Agent02_Savings!K187)</f>
        <v/>
      </c>
      <c r="K382" s="37" t="str">
        <f>IFERROR(IF(Agent02_Savings!A187="","",YEAR(Agent02_Savings!D187)),"")</f>
        <v/>
      </c>
    </row>
    <row r="383" spans="1:11" ht="18" customHeight="1" x14ac:dyDescent="0.25">
      <c r="A383" s="37" t="str">
        <f>IF(Agent02_Savings!A188="","",Agent02_Savings!A188)</f>
        <v/>
      </c>
      <c r="B383" s="37" t="str">
        <f ca="1">IF(Agent02_Savings!A188="","","SV"&amp;TEXT(383-3,"0000")&amp;"-"&amp;TEXT(TODAY(),"YYYYMMDD"))</f>
        <v/>
      </c>
      <c r="C383" s="37" t="str">
        <f>IF(Agent02_Savings!A188="","",Agent02_Savings!B188)</f>
        <v/>
      </c>
      <c r="D383" s="37" t="str">
        <f>IF(Agent02_Savings!A188="","",Agent02_Savings!G188)</f>
        <v/>
      </c>
      <c r="E383" s="38" t="str">
        <f>IF(Agent02_Savings!A188="","",Agent02_Savings!D188)</f>
        <v/>
      </c>
      <c r="F383" s="39" t="str">
        <f>IF(Agent02_Savings!A188="","",Agent02_Savings!E188)</f>
        <v/>
      </c>
      <c r="G383" s="39" t="str">
        <f>IF(Agent02_Savings!A188="","",Agent02_Savings!F188)</f>
        <v/>
      </c>
      <c r="H383" s="37" t="str">
        <f>IF(Agent02_Savings!A188="","",Agent02_Savings!I188)</f>
        <v/>
      </c>
      <c r="I383" s="37" t="str">
        <f>IF(Agent02_Savings!A188="","",Agent02_Savings!J188)</f>
        <v/>
      </c>
      <c r="J383" s="37" t="str">
        <f>IF(Agent02_Savings!A188="","",Agent02_Savings!K188)</f>
        <v/>
      </c>
      <c r="K383" s="37" t="str">
        <f>IFERROR(IF(Agent02_Savings!A188="","",YEAR(Agent02_Savings!D188)),"")</f>
        <v/>
      </c>
    </row>
    <row r="384" spans="1:11" ht="18" customHeight="1" x14ac:dyDescent="0.25">
      <c r="A384" s="37" t="str">
        <f>IF(Agent02_Savings!A189="","",Agent02_Savings!A189)</f>
        <v/>
      </c>
      <c r="B384" s="37" t="str">
        <f ca="1">IF(Agent02_Savings!A189="","","SV"&amp;TEXT(384-3,"0000")&amp;"-"&amp;TEXT(TODAY(),"YYYYMMDD"))</f>
        <v/>
      </c>
      <c r="C384" s="37" t="str">
        <f>IF(Agent02_Savings!A189="","",Agent02_Savings!B189)</f>
        <v/>
      </c>
      <c r="D384" s="37" t="str">
        <f>IF(Agent02_Savings!A189="","",Agent02_Savings!G189)</f>
        <v/>
      </c>
      <c r="E384" s="38" t="str">
        <f>IF(Agent02_Savings!A189="","",Agent02_Savings!D189)</f>
        <v/>
      </c>
      <c r="F384" s="39" t="str">
        <f>IF(Agent02_Savings!A189="","",Agent02_Savings!E189)</f>
        <v/>
      </c>
      <c r="G384" s="39" t="str">
        <f>IF(Agent02_Savings!A189="","",Agent02_Savings!F189)</f>
        <v/>
      </c>
      <c r="H384" s="37" t="str">
        <f>IF(Agent02_Savings!A189="","",Agent02_Savings!I189)</f>
        <v/>
      </c>
      <c r="I384" s="37" t="str">
        <f>IF(Agent02_Savings!A189="","",Agent02_Savings!J189)</f>
        <v/>
      </c>
      <c r="J384" s="37" t="str">
        <f>IF(Agent02_Savings!A189="","",Agent02_Savings!K189)</f>
        <v/>
      </c>
      <c r="K384" s="37" t="str">
        <f>IFERROR(IF(Agent02_Savings!A189="","",YEAR(Agent02_Savings!D189)),"")</f>
        <v/>
      </c>
    </row>
    <row r="385" spans="1:11" ht="18" customHeight="1" x14ac:dyDescent="0.25">
      <c r="A385" s="37" t="str">
        <f>IF(Agent02_Savings!A190="","",Agent02_Savings!A190)</f>
        <v/>
      </c>
      <c r="B385" s="37" t="str">
        <f ca="1">IF(Agent02_Savings!A190="","","SV"&amp;TEXT(385-3,"0000")&amp;"-"&amp;TEXT(TODAY(),"YYYYMMDD"))</f>
        <v/>
      </c>
      <c r="C385" s="37" t="str">
        <f>IF(Agent02_Savings!A190="","",Agent02_Savings!B190)</f>
        <v/>
      </c>
      <c r="D385" s="37" t="str">
        <f>IF(Agent02_Savings!A190="","",Agent02_Savings!G190)</f>
        <v/>
      </c>
      <c r="E385" s="38" t="str">
        <f>IF(Agent02_Savings!A190="","",Agent02_Savings!D190)</f>
        <v/>
      </c>
      <c r="F385" s="39" t="str">
        <f>IF(Agent02_Savings!A190="","",Agent02_Savings!E190)</f>
        <v/>
      </c>
      <c r="G385" s="39" t="str">
        <f>IF(Agent02_Savings!A190="","",Agent02_Savings!F190)</f>
        <v/>
      </c>
      <c r="H385" s="37" t="str">
        <f>IF(Agent02_Savings!A190="","",Agent02_Savings!I190)</f>
        <v/>
      </c>
      <c r="I385" s="37" t="str">
        <f>IF(Agent02_Savings!A190="","",Agent02_Savings!J190)</f>
        <v/>
      </c>
      <c r="J385" s="37" t="str">
        <f>IF(Agent02_Savings!A190="","",Agent02_Savings!K190)</f>
        <v/>
      </c>
      <c r="K385" s="37" t="str">
        <f>IFERROR(IF(Agent02_Savings!A190="","",YEAR(Agent02_Savings!D190)),"")</f>
        <v/>
      </c>
    </row>
    <row r="386" spans="1:11" ht="18" customHeight="1" x14ac:dyDescent="0.25">
      <c r="A386" s="37" t="str">
        <f>IF(Agent02_Savings!A191="","",Agent02_Savings!A191)</f>
        <v/>
      </c>
      <c r="B386" s="37" t="str">
        <f ca="1">IF(Agent02_Savings!A191="","","SV"&amp;TEXT(386-3,"0000")&amp;"-"&amp;TEXT(TODAY(),"YYYYMMDD"))</f>
        <v/>
      </c>
      <c r="C386" s="37" t="str">
        <f>IF(Agent02_Savings!A191="","",Agent02_Savings!B191)</f>
        <v/>
      </c>
      <c r="D386" s="37" t="str">
        <f>IF(Agent02_Savings!A191="","",Agent02_Savings!G191)</f>
        <v/>
      </c>
      <c r="E386" s="38" t="str">
        <f>IF(Agent02_Savings!A191="","",Agent02_Savings!D191)</f>
        <v/>
      </c>
      <c r="F386" s="39" t="str">
        <f>IF(Agent02_Savings!A191="","",Agent02_Savings!E191)</f>
        <v/>
      </c>
      <c r="G386" s="39" t="str">
        <f>IF(Agent02_Savings!A191="","",Agent02_Savings!F191)</f>
        <v/>
      </c>
      <c r="H386" s="37" t="str">
        <f>IF(Agent02_Savings!A191="","",Agent02_Savings!I191)</f>
        <v/>
      </c>
      <c r="I386" s="37" t="str">
        <f>IF(Agent02_Savings!A191="","",Agent02_Savings!J191)</f>
        <v/>
      </c>
      <c r="J386" s="37" t="str">
        <f>IF(Agent02_Savings!A191="","",Agent02_Savings!K191)</f>
        <v/>
      </c>
      <c r="K386" s="37" t="str">
        <f>IFERROR(IF(Agent02_Savings!A191="","",YEAR(Agent02_Savings!D191)),"")</f>
        <v/>
      </c>
    </row>
    <row r="387" spans="1:11" ht="18" customHeight="1" x14ac:dyDescent="0.25">
      <c r="A387" s="37" t="str">
        <f>IF(Agent02_Savings!A192="","",Agent02_Savings!A192)</f>
        <v/>
      </c>
      <c r="B387" s="37" t="str">
        <f ca="1">IF(Agent02_Savings!A192="","","SV"&amp;TEXT(387-3,"0000")&amp;"-"&amp;TEXT(TODAY(),"YYYYMMDD"))</f>
        <v/>
      </c>
      <c r="C387" s="37" t="str">
        <f>IF(Agent02_Savings!A192="","",Agent02_Savings!B192)</f>
        <v/>
      </c>
      <c r="D387" s="37" t="str">
        <f>IF(Agent02_Savings!A192="","",Agent02_Savings!G192)</f>
        <v/>
      </c>
      <c r="E387" s="38" t="str">
        <f>IF(Agent02_Savings!A192="","",Agent02_Savings!D192)</f>
        <v/>
      </c>
      <c r="F387" s="39" t="str">
        <f>IF(Agent02_Savings!A192="","",Agent02_Savings!E192)</f>
        <v/>
      </c>
      <c r="G387" s="39" t="str">
        <f>IF(Agent02_Savings!A192="","",Agent02_Savings!F192)</f>
        <v/>
      </c>
      <c r="H387" s="37" t="str">
        <f>IF(Agent02_Savings!A192="","",Agent02_Savings!I192)</f>
        <v/>
      </c>
      <c r="I387" s="37" t="str">
        <f>IF(Agent02_Savings!A192="","",Agent02_Savings!J192)</f>
        <v/>
      </c>
      <c r="J387" s="37" t="str">
        <f>IF(Agent02_Savings!A192="","",Agent02_Savings!K192)</f>
        <v/>
      </c>
      <c r="K387" s="37" t="str">
        <f>IFERROR(IF(Agent02_Savings!A192="","",YEAR(Agent02_Savings!D192)),"")</f>
        <v/>
      </c>
    </row>
    <row r="388" spans="1:11" ht="18" customHeight="1" x14ac:dyDescent="0.25">
      <c r="A388" s="37" t="str">
        <f>IF(Agent02_Savings!A193="","",Agent02_Savings!A193)</f>
        <v/>
      </c>
      <c r="B388" s="37" t="str">
        <f ca="1">IF(Agent02_Savings!A193="","","SV"&amp;TEXT(388-3,"0000")&amp;"-"&amp;TEXT(TODAY(),"YYYYMMDD"))</f>
        <v/>
      </c>
      <c r="C388" s="37" t="str">
        <f>IF(Agent02_Savings!A193="","",Agent02_Savings!B193)</f>
        <v/>
      </c>
      <c r="D388" s="37" t="str">
        <f>IF(Agent02_Savings!A193="","",Agent02_Savings!G193)</f>
        <v/>
      </c>
      <c r="E388" s="38" t="str">
        <f>IF(Agent02_Savings!A193="","",Agent02_Savings!D193)</f>
        <v/>
      </c>
      <c r="F388" s="39" t="str">
        <f>IF(Agent02_Savings!A193="","",Agent02_Savings!E193)</f>
        <v/>
      </c>
      <c r="G388" s="39" t="str">
        <f>IF(Agent02_Savings!A193="","",Agent02_Savings!F193)</f>
        <v/>
      </c>
      <c r="H388" s="37" t="str">
        <f>IF(Agent02_Savings!A193="","",Agent02_Savings!I193)</f>
        <v/>
      </c>
      <c r="I388" s="37" t="str">
        <f>IF(Agent02_Savings!A193="","",Agent02_Savings!J193)</f>
        <v/>
      </c>
      <c r="J388" s="37" t="str">
        <f>IF(Agent02_Savings!A193="","",Agent02_Savings!K193)</f>
        <v/>
      </c>
      <c r="K388" s="37" t="str">
        <f>IFERROR(IF(Agent02_Savings!A193="","",YEAR(Agent02_Savings!D193)),"")</f>
        <v/>
      </c>
    </row>
    <row r="389" spans="1:11" ht="18" customHeight="1" x14ac:dyDescent="0.25">
      <c r="A389" s="37" t="str">
        <f>IF(Agent02_Savings!A194="","",Agent02_Savings!A194)</f>
        <v/>
      </c>
      <c r="B389" s="37" t="str">
        <f ca="1">IF(Agent02_Savings!A194="","","SV"&amp;TEXT(389-3,"0000")&amp;"-"&amp;TEXT(TODAY(),"YYYYMMDD"))</f>
        <v/>
      </c>
      <c r="C389" s="37" t="str">
        <f>IF(Agent02_Savings!A194="","",Agent02_Savings!B194)</f>
        <v/>
      </c>
      <c r="D389" s="37" t="str">
        <f>IF(Agent02_Savings!A194="","",Agent02_Savings!G194)</f>
        <v/>
      </c>
      <c r="E389" s="38" t="str">
        <f>IF(Agent02_Savings!A194="","",Agent02_Savings!D194)</f>
        <v/>
      </c>
      <c r="F389" s="39" t="str">
        <f>IF(Agent02_Savings!A194="","",Agent02_Savings!E194)</f>
        <v/>
      </c>
      <c r="G389" s="39" t="str">
        <f>IF(Agent02_Savings!A194="","",Agent02_Savings!F194)</f>
        <v/>
      </c>
      <c r="H389" s="37" t="str">
        <f>IF(Agent02_Savings!A194="","",Agent02_Savings!I194)</f>
        <v/>
      </c>
      <c r="I389" s="37" t="str">
        <f>IF(Agent02_Savings!A194="","",Agent02_Savings!J194)</f>
        <v/>
      </c>
      <c r="J389" s="37" t="str">
        <f>IF(Agent02_Savings!A194="","",Agent02_Savings!K194)</f>
        <v/>
      </c>
      <c r="K389" s="37" t="str">
        <f>IFERROR(IF(Agent02_Savings!A194="","",YEAR(Agent02_Savings!D194)),"")</f>
        <v/>
      </c>
    </row>
    <row r="390" spans="1:11" ht="18" customHeight="1" x14ac:dyDescent="0.25">
      <c r="A390" s="37" t="str">
        <f>IF(Agent02_Savings!A195="","",Agent02_Savings!A195)</f>
        <v/>
      </c>
      <c r="B390" s="37" t="str">
        <f ca="1">IF(Agent02_Savings!A195="","","SV"&amp;TEXT(390-3,"0000")&amp;"-"&amp;TEXT(TODAY(),"YYYYMMDD"))</f>
        <v/>
      </c>
      <c r="C390" s="37" t="str">
        <f>IF(Agent02_Savings!A195="","",Agent02_Savings!B195)</f>
        <v/>
      </c>
      <c r="D390" s="37" t="str">
        <f>IF(Agent02_Savings!A195="","",Agent02_Savings!G195)</f>
        <v/>
      </c>
      <c r="E390" s="38" t="str">
        <f>IF(Agent02_Savings!A195="","",Agent02_Savings!D195)</f>
        <v/>
      </c>
      <c r="F390" s="39" t="str">
        <f>IF(Agent02_Savings!A195="","",Agent02_Savings!E195)</f>
        <v/>
      </c>
      <c r="G390" s="39" t="str">
        <f>IF(Agent02_Savings!A195="","",Agent02_Savings!F195)</f>
        <v/>
      </c>
      <c r="H390" s="37" t="str">
        <f>IF(Agent02_Savings!A195="","",Agent02_Savings!I195)</f>
        <v/>
      </c>
      <c r="I390" s="37" t="str">
        <f>IF(Agent02_Savings!A195="","",Agent02_Savings!J195)</f>
        <v/>
      </c>
      <c r="J390" s="37" t="str">
        <f>IF(Agent02_Savings!A195="","",Agent02_Savings!K195)</f>
        <v/>
      </c>
      <c r="K390" s="37" t="str">
        <f>IFERROR(IF(Agent02_Savings!A195="","",YEAR(Agent02_Savings!D195)),"")</f>
        <v/>
      </c>
    </row>
    <row r="391" spans="1:11" ht="18" customHeight="1" x14ac:dyDescent="0.25">
      <c r="A391" s="37" t="str">
        <f>IF(Agent02_Savings!A196="","",Agent02_Savings!A196)</f>
        <v/>
      </c>
      <c r="B391" s="37" t="str">
        <f ca="1">IF(Agent02_Savings!A196="","","SV"&amp;TEXT(391-3,"0000")&amp;"-"&amp;TEXT(TODAY(),"YYYYMMDD"))</f>
        <v/>
      </c>
      <c r="C391" s="37" t="str">
        <f>IF(Agent02_Savings!A196="","",Agent02_Savings!B196)</f>
        <v/>
      </c>
      <c r="D391" s="37" t="str">
        <f>IF(Agent02_Savings!A196="","",Agent02_Savings!G196)</f>
        <v/>
      </c>
      <c r="E391" s="38" t="str">
        <f>IF(Agent02_Savings!A196="","",Agent02_Savings!D196)</f>
        <v/>
      </c>
      <c r="F391" s="39" t="str">
        <f>IF(Agent02_Savings!A196="","",Agent02_Savings!E196)</f>
        <v/>
      </c>
      <c r="G391" s="39" t="str">
        <f>IF(Agent02_Savings!A196="","",Agent02_Savings!F196)</f>
        <v/>
      </c>
      <c r="H391" s="37" t="str">
        <f>IF(Agent02_Savings!A196="","",Agent02_Savings!I196)</f>
        <v/>
      </c>
      <c r="I391" s="37" t="str">
        <f>IF(Agent02_Savings!A196="","",Agent02_Savings!J196)</f>
        <v/>
      </c>
      <c r="J391" s="37" t="str">
        <f>IF(Agent02_Savings!A196="","",Agent02_Savings!K196)</f>
        <v/>
      </c>
      <c r="K391" s="37" t="str">
        <f>IFERROR(IF(Agent02_Savings!A196="","",YEAR(Agent02_Savings!D196)),"")</f>
        <v/>
      </c>
    </row>
    <row r="392" spans="1:11" ht="18" customHeight="1" x14ac:dyDescent="0.25">
      <c r="A392" s="37" t="str">
        <f>IF(Agent02_Savings!A197="","",Agent02_Savings!A197)</f>
        <v/>
      </c>
      <c r="B392" s="37" t="str">
        <f ca="1">IF(Agent02_Savings!A197="","","SV"&amp;TEXT(392-3,"0000")&amp;"-"&amp;TEXT(TODAY(),"YYYYMMDD"))</f>
        <v/>
      </c>
      <c r="C392" s="37" t="str">
        <f>IF(Agent02_Savings!A197="","",Agent02_Savings!B197)</f>
        <v/>
      </c>
      <c r="D392" s="37" t="str">
        <f>IF(Agent02_Savings!A197="","",Agent02_Savings!G197)</f>
        <v/>
      </c>
      <c r="E392" s="38" t="str">
        <f>IF(Agent02_Savings!A197="","",Agent02_Savings!D197)</f>
        <v/>
      </c>
      <c r="F392" s="39" t="str">
        <f>IF(Agent02_Savings!A197="","",Agent02_Savings!E197)</f>
        <v/>
      </c>
      <c r="G392" s="39" t="str">
        <f>IF(Agent02_Savings!A197="","",Agent02_Savings!F197)</f>
        <v/>
      </c>
      <c r="H392" s="37" t="str">
        <f>IF(Agent02_Savings!A197="","",Agent02_Savings!I197)</f>
        <v/>
      </c>
      <c r="I392" s="37" t="str">
        <f>IF(Agent02_Savings!A197="","",Agent02_Savings!J197)</f>
        <v/>
      </c>
      <c r="J392" s="37" t="str">
        <f>IF(Agent02_Savings!A197="","",Agent02_Savings!K197)</f>
        <v/>
      </c>
      <c r="K392" s="37" t="str">
        <f>IFERROR(IF(Agent02_Savings!A197="","",YEAR(Agent02_Savings!D197)),"")</f>
        <v/>
      </c>
    </row>
    <row r="393" spans="1:11" ht="18" customHeight="1" x14ac:dyDescent="0.25">
      <c r="A393" s="37" t="str">
        <f>IF(Agent02_Savings!A198="","",Agent02_Savings!A198)</f>
        <v/>
      </c>
      <c r="B393" s="37" t="str">
        <f ca="1">IF(Agent02_Savings!A198="","","SV"&amp;TEXT(393-3,"0000")&amp;"-"&amp;TEXT(TODAY(),"YYYYMMDD"))</f>
        <v/>
      </c>
      <c r="C393" s="37" t="str">
        <f>IF(Agent02_Savings!A198="","",Agent02_Savings!B198)</f>
        <v/>
      </c>
      <c r="D393" s="37" t="str">
        <f>IF(Agent02_Savings!A198="","",Agent02_Savings!G198)</f>
        <v/>
      </c>
      <c r="E393" s="38" t="str">
        <f>IF(Agent02_Savings!A198="","",Agent02_Savings!D198)</f>
        <v/>
      </c>
      <c r="F393" s="39" t="str">
        <f>IF(Agent02_Savings!A198="","",Agent02_Savings!E198)</f>
        <v/>
      </c>
      <c r="G393" s="39" t="str">
        <f>IF(Agent02_Savings!A198="","",Agent02_Savings!F198)</f>
        <v/>
      </c>
      <c r="H393" s="37" t="str">
        <f>IF(Agent02_Savings!A198="","",Agent02_Savings!I198)</f>
        <v/>
      </c>
      <c r="I393" s="37" t="str">
        <f>IF(Agent02_Savings!A198="","",Agent02_Savings!J198)</f>
        <v/>
      </c>
      <c r="J393" s="37" t="str">
        <f>IF(Agent02_Savings!A198="","",Agent02_Savings!K198)</f>
        <v/>
      </c>
      <c r="K393" s="37" t="str">
        <f>IFERROR(IF(Agent02_Savings!A198="","",YEAR(Agent02_Savings!D198)),"")</f>
        <v/>
      </c>
    </row>
    <row r="394" spans="1:11" ht="18" customHeight="1" x14ac:dyDescent="0.25">
      <c r="A394" s="37" t="str">
        <f>IF(Agent02_Savings!A199="","",Agent02_Savings!A199)</f>
        <v/>
      </c>
      <c r="B394" s="37" t="str">
        <f ca="1">IF(Agent02_Savings!A199="","","SV"&amp;TEXT(394-3,"0000")&amp;"-"&amp;TEXT(TODAY(),"YYYYMMDD"))</f>
        <v/>
      </c>
      <c r="C394" s="37" t="str">
        <f>IF(Agent02_Savings!A199="","",Agent02_Savings!B199)</f>
        <v/>
      </c>
      <c r="D394" s="37" t="str">
        <f>IF(Agent02_Savings!A199="","",Agent02_Savings!G199)</f>
        <v/>
      </c>
      <c r="E394" s="38" t="str">
        <f>IF(Agent02_Savings!A199="","",Agent02_Savings!D199)</f>
        <v/>
      </c>
      <c r="F394" s="39" t="str">
        <f>IF(Agent02_Savings!A199="","",Agent02_Savings!E199)</f>
        <v/>
      </c>
      <c r="G394" s="39" t="str">
        <f>IF(Agent02_Savings!A199="","",Agent02_Savings!F199)</f>
        <v/>
      </c>
      <c r="H394" s="37" t="str">
        <f>IF(Agent02_Savings!A199="","",Agent02_Savings!I199)</f>
        <v/>
      </c>
      <c r="I394" s="37" t="str">
        <f>IF(Agent02_Savings!A199="","",Agent02_Savings!J199)</f>
        <v/>
      </c>
      <c r="J394" s="37" t="str">
        <f>IF(Agent02_Savings!A199="","",Agent02_Savings!K199)</f>
        <v/>
      </c>
      <c r="K394" s="37" t="str">
        <f>IFERROR(IF(Agent02_Savings!A199="","",YEAR(Agent02_Savings!D199)),"")</f>
        <v/>
      </c>
    </row>
    <row r="395" spans="1:11" ht="18" customHeight="1" x14ac:dyDescent="0.25">
      <c r="A395" s="37" t="str">
        <f>IF(Agent02_Savings!A200="","",Agent02_Savings!A200)</f>
        <v/>
      </c>
      <c r="B395" s="37" t="str">
        <f ca="1">IF(Agent02_Savings!A200="","","SV"&amp;TEXT(395-3,"0000")&amp;"-"&amp;TEXT(TODAY(),"YYYYMMDD"))</f>
        <v/>
      </c>
      <c r="C395" s="37" t="str">
        <f>IF(Agent02_Savings!A200="","",Agent02_Savings!B200)</f>
        <v/>
      </c>
      <c r="D395" s="37" t="str">
        <f>IF(Agent02_Savings!A200="","",Agent02_Savings!G200)</f>
        <v/>
      </c>
      <c r="E395" s="38" t="str">
        <f>IF(Agent02_Savings!A200="","",Agent02_Savings!D200)</f>
        <v/>
      </c>
      <c r="F395" s="39" t="str">
        <f>IF(Agent02_Savings!A200="","",Agent02_Savings!E200)</f>
        <v/>
      </c>
      <c r="G395" s="39" t="str">
        <f>IF(Agent02_Savings!A200="","",Agent02_Savings!F200)</f>
        <v/>
      </c>
      <c r="H395" s="37" t="str">
        <f>IF(Agent02_Savings!A200="","",Agent02_Savings!I200)</f>
        <v/>
      </c>
      <c r="I395" s="37" t="str">
        <f>IF(Agent02_Savings!A200="","",Agent02_Savings!J200)</f>
        <v/>
      </c>
      <c r="J395" s="37" t="str">
        <f>IF(Agent02_Savings!A200="","",Agent02_Savings!K200)</f>
        <v/>
      </c>
      <c r="K395" s="37" t="str">
        <f>IFERROR(IF(Agent02_Savings!A200="","",YEAR(Agent02_Savings!D200)),"")</f>
        <v/>
      </c>
    </row>
    <row r="396" spans="1:11" ht="18" customHeight="1" x14ac:dyDescent="0.25">
      <c r="A396" s="37" t="str">
        <f>IF(Agent02_Savings!A201="","",Agent02_Savings!A201)</f>
        <v/>
      </c>
      <c r="B396" s="37" t="str">
        <f ca="1">IF(Agent02_Savings!A201="","","SV"&amp;TEXT(396-3,"0000")&amp;"-"&amp;TEXT(TODAY(),"YYYYMMDD"))</f>
        <v/>
      </c>
      <c r="C396" s="37" t="str">
        <f>IF(Agent02_Savings!A201="","",Agent02_Savings!B201)</f>
        <v/>
      </c>
      <c r="D396" s="37" t="str">
        <f>IF(Agent02_Savings!A201="","",Agent02_Savings!G201)</f>
        <v/>
      </c>
      <c r="E396" s="38" t="str">
        <f>IF(Agent02_Savings!A201="","",Agent02_Savings!D201)</f>
        <v/>
      </c>
      <c r="F396" s="39" t="str">
        <f>IF(Agent02_Savings!A201="","",Agent02_Savings!E201)</f>
        <v/>
      </c>
      <c r="G396" s="39" t="str">
        <f>IF(Agent02_Savings!A201="","",Agent02_Savings!F201)</f>
        <v/>
      </c>
      <c r="H396" s="37" t="str">
        <f>IF(Agent02_Savings!A201="","",Agent02_Savings!I201)</f>
        <v/>
      </c>
      <c r="I396" s="37" t="str">
        <f>IF(Agent02_Savings!A201="","",Agent02_Savings!J201)</f>
        <v/>
      </c>
      <c r="J396" s="37" t="str">
        <f>IF(Agent02_Savings!A201="","",Agent02_Savings!K201)</f>
        <v/>
      </c>
      <c r="K396" s="37" t="str">
        <f>IFERROR(IF(Agent02_Savings!A201="","",YEAR(Agent02_Savings!D201)),"")</f>
        <v/>
      </c>
    </row>
    <row r="397" spans="1:11" ht="18" customHeight="1" x14ac:dyDescent="0.25">
      <c r="A397" s="37" t="str">
        <f>IF(Agent02_Savings!A202="","",Agent02_Savings!A202)</f>
        <v/>
      </c>
      <c r="B397" s="37" t="str">
        <f ca="1">IF(Agent02_Savings!A202="","","SV"&amp;TEXT(397-3,"0000")&amp;"-"&amp;TEXT(TODAY(),"YYYYMMDD"))</f>
        <v/>
      </c>
      <c r="C397" s="37" t="str">
        <f>IF(Agent02_Savings!A202="","",Agent02_Savings!B202)</f>
        <v/>
      </c>
      <c r="D397" s="37" t="str">
        <f>IF(Agent02_Savings!A202="","",Agent02_Savings!G202)</f>
        <v/>
      </c>
      <c r="E397" s="38" t="str">
        <f>IF(Agent02_Savings!A202="","",Agent02_Savings!D202)</f>
        <v/>
      </c>
      <c r="F397" s="39" t="str">
        <f>IF(Agent02_Savings!A202="","",Agent02_Savings!E202)</f>
        <v/>
      </c>
      <c r="G397" s="39" t="str">
        <f>IF(Agent02_Savings!A202="","",Agent02_Savings!F202)</f>
        <v/>
      </c>
      <c r="H397" s="37" t="str">
        <f>IF(Agent02_Savings!A202="","",Agent02_Savings!I202)</f>
        <v/>
      </c>
      <c r="I397" s="37" t="str">
        <f>IF(Agent02_Savings!A202="","",Agent02_Savings!J202)</f>
        <v/>
      </c>
      <c r="J397" s="37" t="str">
        <f>IF(Agent02_Savings!A202="","",Agent02_Savings!K202)</f>
        <v/>
      </c>
      <c r="K397" s="37" t="str">
        <f>IFERROR(IF(Agent02_Savings!A202="","",YEAR(Agent02_Savings!D202)),"")</f>
        <v/>
      </c>
    </row>
    <row r="398" spans="1:11" ht="18" customHeight="1" x14ac:dyDescent="0.25">
      <c r="A398" s="37" t="str">
        <f>IF(Agent02_Savings!A203="","",Agent02_Savings!A203)</f>
        <v/>
      </c>
      <c r="B398" s="37" t="str">
        <f ca="1">IF(Agent02_Savings!A203="","","SV"&amp;TEXT(398-3,"0000")&amp;"-"&amp;TEXT(TODAY(),"YYYYMMDD"))</f>
        <v/>
      </c>
      <c r="C398" s="37" t="str">
        <f>IF(Agent02_Savings!A203="","",Agent02_Savings!B203)</f>
        <v/>
      </c>
      <c r="D398" s="37" t="str">
        <f>IF(Agent02_Savings!A203="","",Agent02_Savings!G203)</f>
        <v/>
      </c>
      <c r="E398" s="38" t="str">
        <f>IF(Agent02_Savings!A203="","",Agent02_Savings!D203)</f>
        <v/>
      </c>
      <c r="F398" s="39" t="str">
        <f>IF(Agent02_Savings!A203="","",Agent02_Savings!E203)</f>
        <v/>
      </c>
      <c r="G398" s="39" t="str">
        <f>IF(Agent02_Savings!A203="","",Agent02_Savings!F203)</f>
        <v/>
      </c>
      <c r="H398" s="37" t="str">
        <f>IF(Agent02_Savings!A203="","",Agent02_Savings!I203)</f>
        <v/>
      </c>
      <c r="I398" s="37" t="str">
        <f>IF(Agent02_Savings!A203="","",Agent02_Savings!J203)</f>
        <v/>
      </c>
      <c r="J398" s="37" t="str">
        <f>IF(Agent02_Savings!A203="","",Agent02_Savings!K203)</f>
        <v/>
      </c>
      <c r="K398" s="37" t="str">
        <f>IFERROR(IF(Agent02_Savings!A203="","",YEAR(Agent02_Savings!D203)),"")</f>
        <v/>
      </c>
    </row>
    <row r="399" spans="1:11" ht="18" customHeight="1" x14ac:dyDescent="0.25">
      <c r="A399" s="37" t="str">
        <f>IF(Agent02_Savings!A204="","",Agent02_Savings!A204)</f>
        <v/>
      </c>
      <c r="B399" s="37" t="str">
        <f ca="1">IF(Agent02_Savings!A204="","","SV"&amp;TEXT(399-3,"0000")&amp;"-"&amp;TEXT(TODAY(),"YYYYMMDD"))</f>
        <v/>
      </c>
      <c r="C399" s="37" t="str">
        <f>IF(Agent02_Savings!A204="","",Agent02_Savings!B204)</f>
        <v/>
      </c>
      <c r="D399" s="37" t="str">
        <f>IF(Agent02_Savings!A204="","",Agent02_Savings!G204)</f>
        <v/>
      </c>
      <c r="E399" s="38" t="str">
        <f>IF(Agent02_Savings!A204="","",Agent02_Savings!D204)</f>
        <v/>
      </c>
      <c r="F399" s="39" t="str">
        <f>IF(Agent02_Savings!A204="","",Agent02_Savings!E204)</f>
        <v/>
      </c>
      <c r="G399" s="39" t="str">
        <f>IF(Agent02_Savings!A204="","",Agent02_Savings!F204)</f>
        <v/>
      </c>
      <c r="H399" s="37" t="str">
        <f>IF(Agent02_Savings!A204="","",Agent02_Savings!I204)</f>
        <v/>
      </c>
      <c r="I399" s="37" t="str">
        <f>IF(Agent02_Savings!A204="","",Agent02_Savings!J204)</f>
        <v/>
      </c>
      <c r="J399" s="37" t="str">
        <f>IF(Agent02_Savings!A204="","",Agent02_Savings!K204)</f>
        <v/>
      </c>
      <c r="K399" s="37" t="str">
        <f>IFERROR(IF(Agent02_Savings!A204="","",YEAR(Agent02_Savings!D204)),"")</f>
        <v/>
      </c>
    </row>
    <row r="400" spans="1:11" ht="18" customHeight="1" x14ac:dyDescent="0.25">
      <c r="A400" s="37" t="str">
        <f>IF(Agent02_Savings!A205="","",Agent02_Savings!A205)</f>
        <v/>
      </c>
      <c r="B400" s="37" t="str">
        <f ca="1">IF(Agent02_Savings!A205="","","SV"&amp;TEXT(400-3,"0000")&amp;"-"&amp;TEXT(TODAY(),"YYYYMMDD"))</f>
        <v/>
      </c>
      <c r="C400" s="37" t="str">
        <f>IF(Agent02_Savings!A205="","",Agent02_Savings!B205)</f>
        <v/>
      </c>
      <c r="D400" s="37" t="str">
        <f>IF(Agent02_Savings!A205="","",Agent02_Savings!G205)</f>
        <v/>
      </c>
      <c r="E400" s="38" t="str">
        <f>IF(Agent02_Savings!A205="","",Agent02_Savings!D205)</f>
        <v/>
      </c>
      <c r="F400" s="39" t="str">
        <f>IF(Agent02_Savings!A205="","",Agent02_Savings!E205)</f>
        <v/>
      </c>
      <c r="G400" s="39" t="str">
        <f>IF(Agent02_Savings!A205="","",Agent02_Savings!F205)</f>
        <v/>
      </c>
      <c r="H400" s="37" t="str">
        <f>IF(Agent02_Savings!A205="","",Agent02_Savings!I205)</f>
        <v/>
      </c>
      <c r="I400" s="37" t="str">
        <f>IF(Agent02_Savings!A205="","",Agent02_Savings!J205)</f>
        <v/>
      </c>
      <c r="J400" s="37" t="str">
        <f>IF(Agent02_Savings!A205="","",Agent02_Savings!K205)</f>
        <v/>
      </c>
      <c r="K400" s="37" t="str">
        <f>IFERROR(IF(Agent02_Savings!A205="","",YEAR(Agent02_Savings!D205)),"")</f>
        <v/>
      </c>
    </row>
    <row r="401" spans="1:11" ht="18" customHeight="1" x14ac:dyDescent="0.25">
      <c r="A401" s="37" t="str">
        <f>IF(Agent02_Savings!A206="","",Agent02_Savings!A206)</f>
        <v/>
      </c>
      <c r="B401" s="37" t="str">
        <f ca="1">IF(Agent02_Savings!A206="","","SV"&amp;TEXT(401-3,"0000")&amp;"-"&amp;TEXT(TODAY(),"YYYYMMDD"))</f>
        <v/>
      </c>
      <c r="C401" s="37" t="str">
        <f>IF(Agent02_Savings!A206="","",Agent02_Savings!B206)</f>
        <v/>
      </c>
      <c r="D401" s="37" t="str">
        <f>IF(Agent02_Savings!A206="","",Agent02_Savings!G206)</f>
        <v/>
      </c>
      <c r="E401" s="38" t="str">
        <f>IF(Agent02_Savings!A206="","",Agent02_Savings!D206)</f>
        <v/>
      </c>
      <c r="F401" s="39" t="str">
        <f>IF(Agent02_Savings!A206="","",Agent02_Savings!E206)</f>
        <v/>
      </c>
      <c r="G401" s="39" t="str">
        <f>IF(Agent02_Savings!A206="","",Agent02_Savings!F206)</f>
        <v/>
      </c>
      <c r="H401" s="37" t="str">
        <f>IF(Agent02_Savings!A206="","",Agent02_Savings!I206)</f>
        <v/>
      </c>
      <c r="I401" s="37" t="str">
        <f>IF(Agent02_Savings!A206="","",Agent02_Savings!J206)</f>
        <v/>
      </c>
      <c r="J401" s="37" t="str">
        <f>IF(Agent02_Savings!A206="","",Agent02_Savings!K206)</f>
        <v/>
      </c>
      <c r="K401" s="37" t="str">
        <f>IFERROR(IF(Agent02_Savings!A206="","",YEAR(Agent02_Savings!D206)),"")</f>
        <v/>
      </c>
    </row>
    <row r="402" spans="1:11" ht="18" customHeight="1" x14ac:dyDescent="0.25">
      <c r="A402" s="37" t="str">
        <f>IF(Agent02_Savings!A207="","",Agent02_Savings!A207)</f>
        <v/>
      </c>
      <c r="B402" s="37" t="str">
        <f ca="1">IF(Agent02_Savings!A207="","","SV"&amp;TEXT(402-3,"0000")&amp;"-"&amp;TEXT(TODAY(),"YYYYMMDD"))</f>
        <v/>
      </c>
      <c r="C402" s="37" t="str">
        <f>IF(Agent02_Savings!A207="","",Agent02_Savings!B207)</f>
        <v/>
      </c>
      <c r="D402" s="37" t="str">
        <f>IF(Agent02_Savings!A207="","",Agent02_Savings!G207)</f>
        <v/>
      </c>
      <c r="E402" s="38" t="str">
        <f>IF(Agent02_Savings!A207="","",Agent02_Savings!D207)</f>
        <v/>
      </c>
      <c r="F402" s="39" t="str">
        <f>IF(Agent02_Savings!A207="","",Agent02_Savings!E207)</f>
        <v/>
      </c>
      <c r="G402" s="39" t="str">
        <f>IF(Agent02_Savings!A207="","",Agent02_Savings!F207)</f>
        <v/>
      </c>
      <c r="H402" s="37" t="str">
        <f>IF(Agent02_Savings!A207="","",Agent02_Savings!I207)</f>
        <v/>
      </c>
      <c r="I402" s="37" t="str">
        <f>IF(Agent02_Savings!A207="","",Agent02_Savings!J207)</f>
        <v/>
      </c>
      <c r="J402" s="37" t="str">
        <f>IF(Agent02_Savings!A207="","",Agent02_Savings!K207)</f>
        <v/>
      </c>
      <c r="K402" s="37" t="str">
        <f>IFERROR(IF(Agent02_Savings!A207="","",YEAR(Agent02_Savings!D207)),"")</f>
        <v/>
      </c>
    </row>
    <row r="403" spans="1:11" ht="18" customHeight="1" x14ac:dyDescent="0.25">
      <c r="A403" s="37" t="str">
        <f>IF(Agent02_Savings!A208="","",Agent02_Savings!A208)</f>
        <v/>
      </c>
      <c r="B403" s="37" t="str">
        <f ca="1">IF(Agent02_Savings!A208="","","SV"&amp;TEXT(403-3,"0000")&amp;"-"&amp;TEXT(TODAY(),"YYYYMMDD"))</f>
        <v/>
      </c>
      <c r="C403" s="37" t="str">
        <f>IF(Agent02_Savings!A208="","",Agent02_Savings!B208)</f>
        <v/>
      </c>
      <c r="D403" s="37" t="str">
        <f>IF(Agent02_Savings!A208="","",Agent02_Savings!G208)</f>
        <v/>
      </c>
      <c r="E403" s="38" t="str">
        <f>IF(Agent02_Savings!A208="","",Agent02_Savings!D208)</f>
        <v/>
      </c>
      <c r="F403" s="39" t="str">
        <f>IF(Agent02_Savings!A208="","",Agent02_Savings!E208)</f>
        <v/>
      </c>
      <c r="G403" s="39" t="str">
        <f>IF(Agent02_Savings!A208="","",Agent02_Savings!F208)</f>
        <v/>
      </c>
      <c r="H403" s="37" t="str">
        <f>IF(Agent02_Savings!A208="","",Agent02_Savings!I208)</f>
        <v/>
      </c>
      <c r="I403" s="37" t="str">
        <f>IF(Agent02_Savings!A208="","",Agent02_Savings!J208)</f>
        <v/>
      </c>
      <c r="J403" s="37" t="str">
        <f>IF(Agent02_Savings!A208="","",Agent02_Savings!K208)</f>
        <v/>
      </c>
      <c r="K403" s="37" t="str">
        <f>IFERROR(IF(Agent02_Savings!A208="","",YEAR(Agent02_Savings!D208)),"")</f>
        <v/>
      </c>
    </row>
    <row r="404" spans="1:11" ht="18" customHeight="1" x14ac:dyDescent="0.25">
      <c r="A404" s="37" t="str">
        <f>IF(Agent03_Savings!A9="","",Agent03_Savings!A9)</f>
        <v/>
      </c>
      <c r="B404" s="37" t="str">
        <f ca="1">IF(Agent03_Savings!A9="","","SV"&amp;TEXT(404-3,"0000")&amp;"-"&amp;TEXT(TODAY(),"YYYYMMDD"))</f>
        <v/>
      </c>
      <c r="C404" s="37" t="str">
        <f>IF(Agent03_Savings!A9="","",Agent03_Savings!B9)</f>
        <v/>
      </c>
      <c r="D404" s="37" t="str">
        <f>IF(Agent03_Savings!A9="","",Agent03_Savings!G9)</f>
        <v/>
      </c>
      <c r="E404" s="38" t="str">
        <f>IF(Agent03_Savings!A9="","",Agent03_Savings!D9)</f>
        <v/>
      </c>
      <c r="F404" s="39" t="str">
        <f>IF(Agent03_Savings!A9="","",Agent03_Savings!E9)</f>
        <v/>
      </c>
      <c r="G404" s="39" t="str">
        <f>IF(Agent03_Savings!A9="","",Agent03_Savings!F9)</f>
        <v/>
      </c>
      <c r="H404" s="37" t="str">
        <f>IF(Agent03_Savings!A9="","",Agent03_Savings!I9)</f>
        <v/>
      </c>
      <c r="I404" s="37" t="str">
        <f>IF(Agent03_Savings!A9="","",Agent03_Savings!J9)</f>
        <v/>
      </c>
      <c r="J404" s="37" t="str">
        <f>IF(Agent03_Savings!A9="","",Agent03_Savings!K9)</f>
        <v/>
      </c>
      <c r="K404" s="37" t="str">
        <f>IFERROR(IF(Agent03_Savings!A9="","",YEAR(Agent03_Savings!D9)),"")</f>
        <v/>
      </c>
    </row>
    <row r="405" spans="1:11" ht="18" customHeight="1" x14ac:dyDescent="0.25">
      <c r="A405" s="37" t="str">
        <f>IF(Agent03_Savings!A10="","",Agent03_Savings!A10)</f>
        <v/>
      </c>
      <c r="B405" s="37" t="str">
        <f ca="1">IF(Agent03_Savings!A10="","","SV"&amp;TEXT(405-3,"0000")&amp;"-"&amp;TEXT(TODAY(),"YYYYMMDD"))</f>
        <v/>
      </c>
      <c r="C405" s="37" t="str">
        <f>IF(Agent03_Savings!A10="","",Agent03_Savings!B10)</f>
        <v/>
      </c>
      <c r="D405" s="37" t="str">
        <f>IF(Agent03_Savings!A10="","",Agent03_Savings!G10)</f>
        <v/>
      </c>
      <c r="E405" s="38" t="str">
        <f>IF(Agent03_Savings!A10="","",Agent03_Savings!D10)</f>
        <v/>
      </c>
      <c r="F405" s="39" t="str">
        <f>IF(Agent03_Savings!A10="","",Agent03_Savings!E10)</f>
        <v/>
      </c>
      <c r="G405" s="39" t="str">
        <f>IF(Agent03_Savings!A10="","",Agent03_Savings!F10)</f>
        <v/>
      </c>
      <c r="H405" s="37" t="str">
        <f>IF(Agent03_Savings!A10="","",Agent03_Savings!I10)</f>
        <v/>
      </c>
      <c r="I405" s="37" t="str">
        <f>IF(Agent03_Savings!A10="","",Agent03_Savings!J10)</f>
        <v/>
      </c>
      <c r="J405" s="37" t="str">
        <f>IF(Agent03_Savings!A10="","",Agent03_Savings!K10)</f>
        <v/>
      </c>
      <c r="K405" s="37" t="str">
        <f>IFERROR(IF(Agent03_Savings!A10="","",YEAR(Agent03_Savings!D10)),"")</f>
        <v/>
      </c>
    </row>
    <row r="406" spans="1:11" ht="18" customHeight="1" x14ac:dyDescent="0.25">
      <c r="A406" s="37" t="str">
        <f>IF(Agent03_Savings!A11="","",Agent03_Savings!A11)</f>
        <v/>
      </c>
      <c r="B406" s="37" t="str">
        <f ca="1">IF(Agent03_Savings!A11="","","SV"&amp;TEXT(406-3,"0000")&amp;"-"&amp;TEXT(TODAY(),"YYYYMMDD"))</f>
        <v/>
      </c>
      <c r="C406" s="37" t="str">
        <f>IF(Agent03_Savings!A11="","",Agent03_Savings!B11)</f>
        <v/>
      </c>
      <c r="D406" s="37" t="str">
        <f>IF(Agent03_Savings!A11="","",Agent03_Savings!G11)</f>
        <v/>
      </c>
      <c r="E406" s="38" t="str">
        <f>IF(Agent03_Savings!A11="","",Agent03_Savings!D11)</f>
        <v/>
      </c>
      <c r="F406" s="39" t="str">
        <f>IF(Agent03_Savings!A11="","",Agent03_Savings!E11)</f>
        <v/>
      </c>
      <c r="G406" s="39" t="str">
        <f>IF(Agent03_Savings!A11="","",Agent03_Savings!F11)</f>
        <v/>
      </c>
      <c r="H406" s="37" t="str">
        <f>IF(Agent03_Savings!A11="","",Agent03_Savings!I11)</f>
        <v/>
      </c>
      <c r="I406" s="37" t="str">
        <f>IF(Agent03_Savings!A11="","",Agent03_Savings!J11)</f>
        <v/>
      </c>
      <c r="J406" s="37" t="str">
        <f>IF(Agent03_Savings!A11="","",Agent03_Savings!K11)</f>
        <v/>
      </c>
      <c r="K406" s="37" t="str">
        <f>IFERROR(IF(Agent03_Savings!A11="","",YEAR(Agent03_Savings!D11)),"")</f>
        <v/>
      </c>
    </row>
    <row r="407" spans="1:11" ht="18" customHeight="1" x14ac:dyDescent="0.25">
      <c r="A407" s="37" t="str">
        <f>IF(Agent03_Savings!A12="","",Agent03_Savings!A12)</f>
        <v/>
      </c>
      <c r="B407" s="37" t="str">
        <f ca="1">IF(Agent03_Savings!A12="","","SV"&amp;TEXT(407-3,"0000")&amp;"-"&amp;TEXT(TODAY(),"YYYYMMDD"))</f>
        <v/>
      </c>
      <c r="C407" s="37" t="str">
        <f>IF(Agent03_Savings!A12="","",Agent03_Savings!B12)</f>
        <v/>
      </c>
      <c r="D407" s="37" t="str">
        <f>IF(Agent03_Savings!A12="","",Agent03_Savings!G12)</f>
        <v/>
      </c>
      <c r="E407" s="38" t="str">
        <f>IF(Agent03_Savings!A12="","",Agent03_Savings!D12)</f>
        <v/>
      </c>
      <c r="F407" s="39" t="str">
        <f>IF(Agent03_Savings!A12="","",Agent03_Savings!E12)</f>
        <v/>
      </c>
      <c r="G407" s="39" t="str">
        <f>IF(Agent03_Savings!A12="","",Agent03_Savings!F12)</f>
        <v/>
      </c>
      <c r="H407" s="37" t="str">
        <f>IF(Agent03_Savings!A12="","",Agent03_Savings!I12)</f>
        <v/>
      </c>
      <c r="I407" s="37" t="str">
        <f>IF(Agent03_Savings!A12="","",Agent03_Savings!J12)</f>
        <v/>
      </c>
      <c r="J407" s="37" t="str">
        <f>IF(Agent03_Savings!A12="","",Agent03_Savings!K12)</f>
        <v/>
      </c>
      <c r="K407" s="37" t="str">
        <f>IFERROR(IF(Agent03_Savings!A12="","",YEAR(Agent03_Savings!D12)),"")</f>
        <v/>
      </c>
    </row>
    <row r="408" spans="1:11" ht="18" customHeight="1" x14ac:dyDescent="0.25">
      <c r="A408" s="37" t="str">
        <f>IF(Agent03_Savings!A13="","",Agent03_Savings!A13)</f>
        <v/>
      </c>
      <c r="B408" s="37" t="str">
        <f ca="1">IF(Agent03_Savings!A13="","","SV"&amp;TEXT(408-3,"0000")&amp;"-"&amp;TEXT(TODAY(),"YYYYMMDD"))</f>
        <v/>
      </c>
      <c r="C408" s="37" t="str">
        <f>IF(Agent03_Savings!A13="","",Agent03_Savings!B13)</f>
        <v/>
      </c>
      <c r="D408" s="37" t="str">
        <f>IF(Agent03_Savings!A13="","",Agent03_Savings!G13)</f>
        <v/>
      </c>
      <c r="E408" s="38" t="str">
        <f>IF(Agent03_Savings!A13="","",Agent03_Savings!D13)</f>
        <v/>
      </c>
      <c r="F408" s="39" t="str">
        <f>IF(Agent03_Savings!A13="","",Agent03_Savings!E13)</f>
        <v/>
      </c>
      <c r="G408" s="39" t="str">
        <f>IF(Agent03_Savings!A13="","",Agent03_Savings!F13)</f>
        <v/>
      </c>
      <c r="H408" s="37" t="str">
        <f>IF(Agent03_Savings!A13="","",Agent03_Savings!I13)</f>
        <v/>
      </c>
      <c r="I408" s="37" t="str">
        <f>IF(Agent03_Savings!A13="","",Agent03_Savings!J13)</f>
        <v/>
      </c>
      <c r="J408" s="37" t="str">
        <f>IF(Agent03_Savings!A13="","",Agent03_Savings!K13)</f>
        <v/>
      </c>
      <c r="K408" s="37" t="str">
        <f>IFERROR(IF(Agent03_Savings!A13="","",YEAR(Agent03_Savings!D13)),"")</f>
        <v/>
      </c>
    </row>
    <row r="409" spans="1:11" ht="18" customHeight="1" x14ac:dyDescent="0.25">
      <c r="A409" s="37" t="str">
        <f>IF(Agent03_Savings!A14="","",Agent03_Savings!A14)</f>
        <v/>
      </c>
      <c r="B409" s="37" t="str">
        <f ca="1">IF(Agent03_Savings!A14="","","SV"&amp;TEXT(409-3,"0000")&amp;"-"&amp;TEXT(TODAY(),"YYYYMMDD"))</f>
        <v/>
      </c>
      <c r="C409" s="37" t="str">
        <f>IF(Agent03_Savings!A14="","",Agent03_Savings!B14)</f>
        <v/>
      </c>
      <c r="D409" s="37" t="str">
        <f>IF(Agent03_Savings!A14="","",Agent03_Savings!G14)</f>
        <v/>
      </c>
      <c r="E409" s="38" t="str">
        <f>IF(Agent03_Savings!A14="","",Agent03_Savings!D14)</f>
        <v/>
      </c>
      <c r="F409" s="39" t="str">
        <f>IF(Agent03_Savings!A14="","",Agent03_Savings!E14)</f>
        <v/>
      </c>
      <c r="G409" s="39" t="str">
        <f>IF(Agent03_Savings!A14="","",Agent03_Savings!F14)</f>
        <v/>
      </c>
      <c r="H409" s="37" t="str">
        <f>IF(Agent03_Savings!A14="","",Agent03_Savings!I14)</f>
        <v/>
      </c>
      <c r="I409" s="37" t="str">
        <f>IF(Agent03_Savings!A14="","",Agent03_Savings!J14)</f>
        <v/>
      </c>
      <c r="J409" s="37" t="str">
        <f>IF(Agent03_Savings!A14="","",Agent03_Savings!K14)</f>
        <v/>
      </c>
      <c r="K409" s="37" t="str">
        <f>IFERROR(IF(Agent03_Savings!A14="","",YEAR(Agent03_Savings!D14)),"")</f>
        <v/>
      </c>
    </row>
    <row r="410" spans="1:11" ht="18" customHeight="1" x14ac:dyDescent="0.25">
      <c r="A410" s="37" t="str">
        <f>IF(Agent03_Savings!A15="","",Agent03_Savings!A15)</f>
        <v/>
      </c>
      <c r="B410" s="37" t="str">
        <f ca="1">IF(Agent03_Savings!A15="","","SV"&amp;TEXT(410-3,"0000")&amp;"-"&amp;TEXT(TODAY(),"YYYYMMDD"))</f>
        <v/>
      </c>
      <c r="C410" s="37" t="str">
        <f>IF(Agent03_Savings!A15="","",Agent03_Savings!B15)</f>
        <v/>
      </c>
      <c r="D410" s="37" t="str">
        <f>IF(Agent03_Savings!A15="","",Agent03_Savings!G15)</f>
        <v/>
      </c>
      <c r="E410" s="38" t="str">
        <f>IF(Agent03_Savings!A15="","",Agent03_Savings!D15)</f>
        <v/>
      </c>
      <c r="F410" s="39" t="str">
        <f>IF(Agent03_Savings!A15="","",Agent03_Savings!E15)</f>
        <v/>
      </c>
      <c r="G410" s="39" t="str">
        <f>IF(Agent03_Savings!A15="","",Agent03_Savings!F15)</f>
        <v/>
      </c>
      <c r="H410" s="37" t="str">
        <f>IF(Agent03_Savings!A15="","",Agent03_Savings!I15)</f>
        <v/>
      </c>
      <c r="I410" s="37" t="str">
        <f>IF(Agent03_Savings!A15="","",Agent03_Savings!J15)</f>
        <v/>
      </c>
      <c r="J410" s="37" t="str">
        <f>IF(Agent03_Savings!A15="","",Agent03_Savings!K15)</f>
        <v/>
      </c>
      <c r="K410" s="37" t="str">
        <f>IFERROR(IF(Agent03_Savings!A15="","",YEAR(Agent03_Savings!D15)),"")</f>
        <v/>
      </c>
    </row>
    <row r="411" spans="1:11" ht="18" customHeight="1" x14ac:dyDescent="0.25">
      <c r="A411" s="37" t="str">
        <f>IF(Agent03_Savings!A16="","",Agent03_Savings!A16)</f>
        <v/>
      </c>
      <c r="B411" s="37" t="str">
        <f ca="1">IF(Agent03_Savings!A16="","","SV"&amp;TEXT(411-3,"0000")&amp;"-"&amp;TEXT(TODAY(),"YYYYMMDD"))</f>
        <v/>
      </c>
      <c r="C411" s="37" t="str">
        <f>IF(Agent03_Savings!A16="","",Agent03_Savings!B16)</f>
        <v/>
      </c>
      <c r="D411" s="37" t="str">
        <f>IF(Agent03_Savings!A16="","",Agent03_Savings!G16)</f>
        <v/>
      </c>
      <c r="E411" s="38" t="str">
        <f>IF(Agent03_Savings!A16="","",Agent03_Savings!D16)</f>
        <v/>
      </c>
      <c r="F411" s="39" t="str">
        <f>IF(Agent03_Savings!A16="","",Agent03_Savings!E16)</f>
        <v/>
      </c>
      <c r="G411" s="39" t="str">
        <f>IF(Agent03_Savings!A16="","",Agent03_Savings!F16)</f>
        <v/>
      </c>
      <c r="H411" s="37" t="str">
        <f>IF(Agent03_Savings!A16="","",Agent03_Savings!I16)</f>
        <v/>
      </c>
      <c r="I411" s="37" t="str">
        <f>IF(Agent03_Savings!A16="","",Agent03_Savings!J16)</f>
        <v/>
      </c>
      <c r="J411" s="37" t="str">
        <f>IF(Agent03_Savings!A16="","",Agent03_Savings!K16)</f>
        <v/>
      </c>
      <c r="K411" s="37" t="str">
        <f>IFERROR(IF(Agent03_Savings!A16="","",YEAR(Agent03_Savings!D16)),"")</f>
        <v/>
      </c>
    </row>
    <row r="412" spans="1:11" ht="18" customHeight="1" x14ac:dyDescent="0.25">
      <c r="A412" s="37" t="str">
        <f>IF(Agent03_Savings!A17="","",Agent03_Savings!A17)</f>
        <v/>
      </c>
      <c r="B412" s="37" t="str">
        <f ca="1">IF(Agent03_Savings!A17="","","SV"&amp;TEXT(412-3,"0000")&amp;"-"&amp;TEXT(TODAY(),"YYYYMMDD"))</f>
        <v/>
      </c>
      <c r="C412" s="37" t="str">
        <f>IF(Agent03_Savings!A17="","",Agent03_Savings!B17)</f>
        <v/>
      </c>
      <c r="D412" s="37" t="str">
        <f>IF(Agent03_Savings!A17="","",Agent03_Savings!G17)</f>
        <v/>
      </c>
      <c r="E412" s="38" t="str">
        <f>IF(Agent03_Savings!A17="","",Agent03_Savings!D17)</f>
        <v/>
      </c>
      <c r="F412" s="39" t="str">
        <f>IF(Agent03_Savings!A17="","",Agent03_Savings!E17)</f>
        <v/>
      </c>
      <c r="G412" s="39" t="str">
        <f>IF(Agent03_Savings!A17="","",Agent03_Savings!F17)</f>
        <v/>
      </c>
      <c r="H412" s="37" t="str">
        <f>IF(Agent03_Savings!A17="","",Agent03_Savings!I17)</f>
        <v/>
      </c>
      <c r="I412" s="37" t="str">
        <f>IF(Agent03_Savings!A17="","",Agent03_Savings!J17)</f>
        <v/>
      </c>
      <c r="J412" s="37" t="str">
        <f>IF(Agent03_Savings!A17="","",Agent03_Savings!K17)</f>
        <v/>
      </c>
      <c r="K412" s="37" t="str">
        <f>IFERROR(IF(Agent03_Savings!A17="","",YEAR(Agent03_Savings!D17)),"")</f>
        <v/>
      </c>
    </row>
    <row r="413" spans="1:11" ht="18" customHeight="1" x14ac:dyDescent="0.25">
      <c r="A413" s="37" t="str">
        <f>IF(Agent03_Savings!A18="","",Agent03_Savings!A18)</f>
        <v/>
      </c>
      <c r="B413" s="37" t="str">
        <f ca="1">IF(Agent03_Savings!A18="","","SV"&amp;TEXT(413-3,"0000")&amp;"-"&amp;TEXT(TODAY(),"YYYYMMDD"))</f>
        <v/>
      </c>
      <c r="C413" s="37" t="str">
        <f>IF(Agent03_Savings!A18="","",Agent03_Savings!B18)</f>
        <v/>
      </c>
      <c r="D413" s="37" t="str">
        <f>IF(Agent03_Savings!A18="","",Agent03_Savings!G18)</f>
        <v/>
      </c>
      <c r="E413" s="38" t="str">
        <f>IF(Agent03_Savings!A18="","",Agent03_Savings!D18)</f>
        <v/>
      </c>
      <c r="F413" s="39" t="str">
        <f>IF(Agent03_Savings!A18="","",Agent03_Savings!E18)</f>
        <v/>
      </c>
      <c r="G413" s="39" t="str">
        <f>IF(Agent03_Savings!A18="","",Agent03_Savings!F18)</f>
        <v/>
      </c>
      <c r="H413" s="37" t="str">
        <f>IF(Agent03_Savings!A18="","",Agent03_Savings!I18)</f>
        <v/>
      </c>
      <c r="I413" s="37" t="str">
        <f>IF(Agent03_Savings!A18="","",Agent03_Savings!J18)</f>
        <v/>
      </c>
      <c r="J413" s="37" t="str">
        <f>IF(Agent03_Savings!A18="","",Agent03_Savings!K18)</f>
        <v/>
      </c>
      <c r="K413" s="37" t="str">
        <f>IFERROR(IF(Agent03_Savings!A18="","",YEAR(Agent03_Savings!D18)),"")</f>
        <v/>
      </c>
    </row>
    <row r="414" spans="1:11" ht="18" customHeight="1" x14ac:dyDescent="0.25">
      <c r="A414" s="37" t="str">
        <f>IF(Agent03_Savings!A19="","",Agent03_Savings!A19)</f>
        <v/>
      </c>
      <c r="B414" s="37" t="str">
        <f ca="1">IF(Agent03_Savings!A19="","","SV"&amp;TEXT(414-3,"0000")&amp;"-"&amp;TEXT(TODAY(),"YYYYMMDD"))</f>
        <v/>
      </c>
      <c r="C414" s="37" t="str">
        <f>IF(Agent03_Savings!A19="","",Agent03_Savings!B19)</f>
        <v/>
      </c>
      <c r="D414" s="37" t="str">
        <f>IF(Agent03_Savings!A19="","",Agent03_Savings!G19)</f>
        <v/>
      </c>
      <c r="E414" s="38" t="str">
        <f>IF(Agent03_Savings!A19="","",Agent03_Savings!D19)</f>
        <v/>
      </c>
      <c r="F414" s="39" t="str">
        <f>IF(Agent03_Savings!A19="","",Agent03_Savings!E19)</f>
        <v/>
      </c>
      <c r="G414" s="39" t="str">
        <f>IF(Agent03_Savings!A19="","",Agent03_Savings!F19)</f>
        <v/>
      </c>
      <c r="H414" s="37" t="str">
        <f>IF(Agent03_Savings!A19="","",Agent03_Savings!I19)</f>
        <v/>
      </c>
      <c r="I414" s="37" t="str">
        <f>IF(Agent03_Savings!A19="","",Agent03_Savings!J19)</f>
        <v/>
      </c>
      <c r="J414" s="37" t="str">
        <f>IF(Agent03_Savings!A19="","",Agent03_Savings!K19)</f>
        <v/>
      </c>
      <c r="K414" s="37" t="str">
        <f>IFERROR(IF(Agent03_Savings!A19="","",YEAR(Agent03_Savings!D19)),"")</f>
        <v/>
      </c>
    </row>
    <row r="415" spans="1:11" ht="18" customHeight="1" x14ac:dyDescent="0.25">
      <c r="A415" s="37" t="str">
        <f>IF(Agent03_Savings!A20="","",Agent03_Savings!A20)</f>
        <v/>
      </c>
      <c r="B415" s="37" t="str">
        <f ca="1">IF(Agent03_Savings!A20="","","SV"&amp;TEXT(415-3,"0000")&amp;"-"&amp;TEXT(TODAY(),"YYYYMMDD"))</f>
        <v/>
      </c>
      <c r="C415" s="37" t="str">
        <f>IF(Agent03_Savings!A20="","",Agent03_Savings!B20)</f>
        <v/>
      </c>
      <c r="D415" s="37" t="str">
        <f>IF(Agent03_Savings!A20="","",Agent03_Savings!G20)</f>
        <v/>
      </c>
      <c r="E415" s="38" t="str">
        <f>IF(Agent03_Savings!A20="","",Agent03_Savings!D20)</f>
        <v/>
      </c>
      <c r="F415" s="39" t="str">
        <f>IF(Agent03_Savings!A20="","",Agent03_Savings!E20)</f>
        <v/>
      </c>
      <c r="G415" s="39" t="str">
        <f>IF(Agent03_Savings!A20="","",Agent03_Savings!F20)</f>
        <v/>
      </c>
      <c r="H415" s="37" t="str">
        <f>IF(Agent03_Savings!A20="","",Agent03_Savings!I20)</f>
        <v/>
      </c>
      <c r="I415" s="37" t="str">
        <f>IF(Agent03_Savings!A20="","",Agent03_Savings!J20)</f>
        <v/>
      </c>
      <c r="J415" s="37" t="str">
        <f>IF(Agent03_Savings!A20="","",Agent03_Savings!K20)</f>
        <v/>
      </c>
      <c r="K415" s="37" t="str">
        <f>IFERROR(IF(Agent03_Savings!A20="","",YEAR(Agent03_Savings!D20)),"")</f>
        <v/>
      </c>
    </row>
    <row r="416" spans="1:11" ht="18" customHeight="1" x14ac:dyDescent="0.25">
      <c r="A416" s="37" t="str">
        <f>IF(Agent03_Savings!A21="","",Agent03_Savings!A21)</f>
        <v/>
      </c>
      <c r="B416" s="37" t="str">
        <f ca="1">IF(Agent03_Savings!A21="","","SV"&amp;TEXT(416-3,"0000")&amp;"-"&amp;TEXT(TODAY(),"YYYYMMDD"))</f>
        <v/>
      </c>
      <c r="C416" s="37" t="str">
        <f>IF(Agent03_Savings!A21="","",Agent03_Savings!B21)</f>
        <v/>
      </c>
      <c r="D416" s="37" t="str">
        <f>IF(Agent03_Savings!A21="","",Agent03_Savings!G21)</f>
        <v/>
      </c>
      <c r="E416" s="38" t="str">
        <f>IF(Agent03_Savings!A21="","",Agent03_Savings!D21)</f>
        <v/>
      </c>
      <c r="F416" s="39" t="str">
        <f>IF(Agent03_Savings!A21="","",Agent03_Savings!E21)</f>
        <v/>
      </c>
      <c r="G416" s="39" t="str">
        <f>IF(Agent03_Savings!A21="","",Agent03_Savings!F21)</f>
        <v/>
      </c>
      <c r="H416" s="37" t="str">
        <f>IF(Agent03_Savings!A21="","",Agent03_Savings!I21)</f>
        <v/>
      </c>
      <c r="I416" s="37" t="str">
        <f>IF(Agent03_Savings!A21="","",Agent03_Savings!J21)</f>
        <v/>
      </c>
      <c r="J416" s="37" t="str">
        <f>IF(Agent03_Savings!A21="","",Agent03_Savings!K21)</f>
        <v/>
      </c>
      <c r="K416" s="37" t="str">
        <f>IFERROR(IF(Agent03_Savings!A21="","",YEAR(Agent03_Savings!D21)),"")</f>
        <v/>
      </c>
    </row>
    <row r="417" spans="1:11" ht="18" customHeight="1" x14ac:dyDescent="0.25">
      <c r="A417" s="37" t="str">
        <f>IF(Agent03_Savings!A22="","",Agent03_Savings!A22)</f>
        <v/>
      </c>
      <c r="B417" s="37" t="str">
        <f ca="1">IF(Agent03_Savings!A22="","","SV"&amp;TEXT(417-3,"0000")&amp;"-"&amp;TEXT(TODAY(),"YYYYMMDD"))</f>
        <v/>
      </c>
      <c r="C417" s="37" t="str">
        <f>IF(Agent03_Savings!A22="","",Agent03_Savings!B22)</f>
        <v/>
      </c>
      <c r="D417" s="37" t="str">
        <f>IF(Agent03_Savings!A22="","",Agent03_Savings!G22)</f>
        <v/>
      </c>
      <c r="E417" s="38" t="str">
        <f>IF(Agent03_Savings!A22="","",Agent03_Savings!D22)</f>
        <v/>
      </c>
      <c r="F417" s="39" t="str">
        <f>IF(Agent03_Savings!A22="","",Agent03_Savings!E22)</f>
        <v/>
      </c>
      <c r="G417" s="39" t="str">
        <f>IF(Agent03_Savings!A22="","",Agent03_Savings!F22)</f>
        <v/>
      </c>
      <c r="H417" s="37" t="str">
        <f>IF(Agent03_Savings!A22="","",Agent03_Savings!I22)</f>
        <v/>
      </c>
      <c r="I417" s="37" t="str">
        <f>IF(Agent03_Savings!A22="","",Agent03_Savings!J22)</f>
        <v/>
      </c>
      <c r="J417" s="37" t="str">
        <f>IF(Agent03_Savings!A22="","",Agent03_Savings!K22)</f>
        <v/>
      </c>
      <c r="K417" s="37" t="str">
        <f>IFERROR(IF(Agent03_Savings!A22="","",YEAR(Agent03_Savings!D22)),"")</f>
        <v/>
      </c>
    </row>
    <row r="418" spans="1:11" ht="18" customHeight="1" x14ac:dyDescent="0.25">
      <c r="A418" s="37" t="str">
        <f>IF(Agent03_Savings!A23="","",Agent03_Savings!A23)</f>
        <v/>
      </c>
      <c r="B418" s="37" t="str">
        <f ca="1">IF(Agent03_Savings!A23="","","SV"&amp;TEXT(418-3,"0000")&amp;"-"&amp;TEXT(TODAY(),"YYYYMMDD"))</f>
        <v/>
      </c>
      <c r="C418" s="37" t="str">
        <f>IF(Agent03_Savings!A23="","",Agent03_Savings!B23)</f>
        <v/>
      </c>
      <c r="D418" s="37" t="str">
        <f>IF(Agent03_Savings!A23="","",Agent03_Savings!G23)</f>
        <v/>
      </c>
      <c r="E418" s="38" t="str">
        <f>IF(Agent03_Savings!A23="","",Agent03_Savings!D23)</f>
        <v/>
      </c>
      <c r="F418" s="39" t="str">
        <f>IF(Agent03_Savings!A23="","",Agent03_Savings!E23)</f>
        <v/>
      </c>
      <c r="G418" s="39" t="str">
        <f>IF(Agent03_Savings!A23="","",Agent03_Savings!F23)</f>
        <v/>
      </c>
      <c r="H418" s="37" t="str">
        <f>IF(Agent03_Savings!A23="","",Agent03_Savings!I23)</f>
        <v/>
      </c>
      <c r="I418" s="37" t="str">
        <f>IF(Agent03_Savings!A23="","",Agent03_Savings!J23)</f>
        <v/>
      </c>
      <c r="J418" s="37" t="str">
        <f>IF(Agent03_Savings!A23="","",Agent03_Savings!K23)</f>
        <v/>
      </c>
      <c r="K418" s="37" t="str">
        <f>IFERROR(IF(Agent03_Savings!A23="","",YEAR(Agent03_Savings!D23)),"")</f>
        <v/>
      </c>
    </row>
    <row r="419" spans="1:11" ht="18" customHeight="1" x14ac:dyDescent="0.25">
      <c r="A419" s="37" t="str">
        <f>IF(Agent03_Savings!A24="","",Agent03_Savings!A24)</f>
        <v/>
      </c>
      <c r="B419" s="37" t="str">
        <f ca="1">IF(Agent03_Savings!A24="","","SV"&amp;TEXT(419-3,"0000")&amp;"-"&amp;TEXT(TODAY(),"YYYYMMDD"))</f>
        <v/>
      </c>
      <c r="C419" s="37" t="str">
        <f>IF(Agent03_Savings!A24="","",Agent03_Savings!B24)</f>
        <v/>
      </c>
      <c r="D419" s="37" t="str">
        <f>IF(Agent03_Savings!A24="","",Agent03_Savings!G24)</f>
        <v/>
      </c>
      <c r="E419" s="38" t="str">
        <f>IF(Agent03_Savings!A24="","",Agent03_Savings!D24)</f>
        <v/>
      </c>
      <c r="F419" s="39" t="str">
        <f>IF(Agent03_Savings!A24="","",Agent03_Savings!E24)</f>
        <v/>
      </c>
      <c r="G419" s="39" t="str">
        <f>IF(Agent03_Savings!A24="","",Agent03_Savings!F24)</f>
        <v/>
      </c>
      <c r="H419" s="37" t="str">
        <f>IF(Agent03_Savings!A24="","",Agent03_Savings!I24)</f>
        <v/>
      </c>
      <c r="I419" s="37" t="str">
        <f>IF(Agent03_Savings!A24="","",Agent03_Savings!J24)</f>
        <v/>
      </c>
      <c r="J419" s="37" t="str">
        <f>IF(Agent03_Savings!A24="","",Agent03_Savings!K24)</f>
        <v/>
      </c>
      <c r="K419" s="37" t="str">
        <f>IFERROR(IF(Agent03_Savings!A24="","",YEAR(Agent03_Savings!D24)),"")</f>
        <v/>
      </c>
    </row>
    <row r="420" spans="1:11" ht="18" customHeight="1" x14ac:dyDescent="0.25">
      <c r="A420" s="37" t="str">
        <f>IF(Agent03_Savings!A25="","",Agent03_Savings!A25)</f>
        <v/>
      </c>
      <c r="B420" s="37" t="str">
        <f ca="1">IF(Agent03_Savings!A25="","","SV"&amp;TEXT(420-3,"0000")&amp;"-"&amp;TEXT(TODAY(),"YYYYMMDD"))</f>
        <v/>
      </c>
      <c r="C420" s="37" t="str">
        <f>IF(Agent03_Savings!A25="","",Agent03_Savings!B25)</f>
        <v/>
      </c>
      <c r="D420" s="37" t="str">
        <f>IF(Agent03_Savings!A25="","",Agent03_Savings!G25)</f>
        <v/>
      </c>
      <c r="E420" s="38" t="str">
        <f>IF(Agent03_Savings!A25="","",Agent03_Savings!D25)</f>
        <v/>
      </c>
      <c r="F420" s="39" t="str">
        <f>IF(Agent03_Savings!A25="","",Agent03_Savings!E25)</f>
        <v/>
      </c>
      <c r="G420" s="39" t="str">
        <f>IF(Agent03_Savings!A25="","",Agent03_Savings!F25)</f>
        <v/>
      </c>
      <c r="H420" s="37" t="str">
        <f>IF(Agent03_Savings!A25="","",Agent03_Savings!I25)</f>
        <v/>
      </c>
      <c r="I420" s="37" t="str">
        <f>IF(Agent03_Savings!A25="","",Agent03_Savings!J25)</f>
        <v/>
      </c>
      <c r="J420" s="37" t="str">
        <f>IF(Agent03_Savings!A25="","",Agent03_Savings!K25)</f>
        <v/>
      </c>
      <c r="K420" s="37" t="str">
        <f>IFERROR(IF(Agent03_Savings!A25="","",YEAR(Agent03_Savings!D25)),"")</f>
        <v/>
      </c>
    </row>
    <row r="421" spans="1:11" ht="18" customHeight="1" x14ac:dyDescent="0.25">
      <c r="A421" s="37" t="str">
        <f>IF(Agent03_Savings!A26="","",Agent03_Savings!A26)</f>
        <v/>
      </c>
      <c r="B421" s="37" t="str">
        <f ca="1">IF(Agent03_Savings!A26="","","SV"&amp;TEXT(421-3,"0000")&amp;"-"&amp;TEXT(TODAY(),"YYYYMMDD"))</f>
        <v/>
      </c>
      <c r="C421" s="37" t="str">
        <f>IF(Agent03_Savings!A26="","",Agent03_Savings!B26)</f>
        <v/>
      </c>
      <c r="D421" s="37" t="str">
        <f>IF(Agent03_Savings!A26="","",Agent03_Savings!G26)</f>
        <v/>
      </c>
      <c r="E421" s="38" t="str">
        <f>IF(Agent03_Savings!A26="","",Agent03_Savings!D26)</f>
        <v/>
      </c>
      <c r="F421" s="39" t="str">
        <f>IF(Agent03_Savings!A26="","",Agent03_Savings!E26)</f>
        <v/>
      </c>
      <c r="G421" s="39" t="str">
        <f>IF(Agent03_Savings!A26="","",Agent03_Savings!F26)</f>
        <v/>
      </c>
      <c r="H421" s="37" t="str">
        <f>IF(Agent03_Savings!A26="","",Agent03_Savings!I26)</f>
        <v/>
      </c>
      <c r="I421" s="37" t="str">
        <f>IF(Agent03_Savings!A26="","",Agent03_Savings!J26)</f>
        <v/>
      </c>
      <c r="J421" s="37" t="str">
        <f>IF(Agent03_Savings!A26="","",Agent03_Savings!K26)</f>
        <v/>
      </c>
      <c r="K421" s="37" t="str">
        <f>IFERROR(IF(Agent03_Savings!A26="","",YEAR(Agent03_Savings!D26)),"")</f>
        <v/>
      </c>
    </row>
    <row r="422" spans="1:11" ht="18" customHeight="1" x14ac:dyDescent="0.25">
      <c r="A422" s="37" t="str">
        <f>IF(Agent03_Savings!A27="","",Agent03_Savings!A27)</f>
        <v/>
      </c>
      <c r="B422" s="37" t="str">
        <f ca="1">IF(Agent03_Savings!A27="","","SV"&amp;TEXT(422-3,"0000")&amp;"-"&amp;TEXT(TODAY(),"YYYYMMDD"))</f>
        <v/>
      </c>
      <c r="C422" s="37" t="str">
        <f>IF(Agent03_Savings!A27="","",Agent03_Savings!B27)</f>
        <v/>
      </c>
      <c r="D422" s="37" t="str">
        <f>IF(Agent03_Savings!A27="","",Agent03_Savings!G27)</f>
        <v/>
      </c>
      <c r="E422" s="38" t="str">
        <f>IF(Agent03_Savings!A27="","",Agent03_Savings!D27)</f>
        <v/>
      </c>
      <c r="F422" s="39" t="str">
        <f>IF(Agent03_Savings!A27="","",Agent03_Savings!E27)</f>
        <v/>
      </c>
      <c r="G422" s="39" t="str">
        <f>IF(Agent03_Savings!A27="","",Agent03_Savings!F27)</f>
        <v/>
      </c>
      <c r="H422" s="37" t="str">
        <f>IF(Agent03_Savings!A27="","",Agent03_Savings!I27)</f>
        <v/>
      </c>
      <c r="I422" s="37" t="str">
        <f>IF(Agent03_Savings!A27="","",Agent03_Savings!J27)</f>
        <v/>
      </c>
      <c r="J422" s="37" t="str">
        <f>IF(Agent03_Savings!A27="","",Agent03_Savings!K27)</f>
        <v/>
      </c>
      <c r="K422" s="37" t="str">
        <f>IFERROR(IF(Agent03_Savings!A27="","",YEAR(Agent03_Savings!D27)),"")</f>
        <v/>
      </c>
    </row>
    <row r="423" spans="1:11" ht="18" customHeight="1" x14ac:dyDescent="0.25">
      <c r="A423" s="37" t="str">
        <f>IF(Agent03_Savings!A28="","",Agent03_Savings!A28)</f>
        <v/>
      </c>
      <c r="B423" s="37" t="str">
        <f ca="1">IF(Agent03_Savings!A28="","","SV"&amp;TEXT(423-3,"0000")&amp;"-"&amp;TEXT(TODAY(),"YYYYMMDD"))</f>
        <v/>
      </c>
      <c r="C423" s="37" t="str">
        <f>IF(Agent03_Savings!A28="","",Agent03_Savings!B28)</f>
        <v/>
      </c>
      <c r="D423" s="37" t="str">
        <f>IF(Agent03_Savings!A28="","",Agent03_Savings!G28)</f>
        <v/>
      </c>
      <c r="E423" s="38" t="str">
        <f>IF(Agent03_Savings!A28="","",Agent03_Savings!D28)</f>
        <v/>
      </c>
      <c r="F423" s="39" t="str">
        <f>IF(Agent03_Savings!A28="","",Agent03_Savings!E28)</f>
        <v/>
      </c>
      <c r="G423" s="39" t="str">
        <f>IF(Agent03_Savings!A28="","",Agent03_Savings!F28)</f>
        <v/>
      </c>
      <c r="H423" s="37" t="str">
        <f>IF(Agent03_Savings!A28="","",Agent03_Savings!I28)</f>
        <v/>
      </c>
      <c r="I423" s="37" t="str">
        <f>IF(Agent03_Savings!A28="","",Agent03_Savings!J28)</f>
        <v/>
      </c>
      <c r="J423" s="37" t="str">
        <f>IF(Agent03_Savings!A28="","",Agent03_Savings!K28)</f>
        <v/>
      </c>
      <c r="K423" s="37" t="str">
        <f>IFERROR(IF(Agent03_Savings!A28="","",YEAR(Agent03_Savings!D28)),"")</f>
        <v/>
      </c>
    </row>
    <row r="424" spans="1:11" ht="18" customHeight="1" x14ac:dyDescent="0.25">
      <c r="A424" s="37" t="str">
        <f>IF(Agent03_Savings!A29="","",Agent03_Savings!A29)</f>
        <v/>
      </c>
      <c r="B424" s="37" t="str">
        <f ca="1">IF(Agent03_Savings!A29="","","SV"&amp;TEXT(424-3,"0000")&amp;"-"&amp;TEXT(TODAY(),"YYYYMMDD"))</f>
        <v/>
      </c>
      <c r="C424" s="37" t="str">
        <f>IF(Agent03_Savings!A29="","",Agent03_Savings!B29)</f>
        <v/>
      </c>
      <c r="D424" s="37" t="str">
        <f>IF(Agent03_Savings!A29="","",Agent03_Savings!G29)</f>
        <v/>
      </c>
      <c r="E424" s="38" t="str">
        <f>IF(Agent03_Savings!A29="","",Agent03_Savings!D29)</f>
        <v/>
      </c>
      <c r="F424" s="39" t="str">
        <f>IF(Agent03_Savings!A29="","",Agent03_Savings!E29)</f>
        <v/>
      </c>
      <c r="G424" s="39" t="str">
        <f>IF(Agent03_Savings!A29="","",Agent03_Savings!F29)</f>
        <v/>
      </c>
      <c r="H424" s="37" t="str">
        <f>IF(Agent03_Savings!A29="","",Agent03_Savings!I29)</f>
        <v/>
      </c>
      <c r="I424" s="37" t="str">
        <f>IF(Agent03_Savings!A29="","",Agent03_Savings!J29)</f>
        <v/>
      </c>
      <c r="J424" s="37" t="str">
        <f>IF(Agent03_Savings!A29="","",Agent03_Savings!K29)</f>
        <v/>
      </c>
      <c r="K424" s="37" t="str">
        <f>IFERROR(IF(Agent03_Savings!A29="","",YEAR(Agent03_Savings!D29)),"")</f>
        <v/>
      </c>
    </row>
    <row r="425" spans="1:11" ht="18" customHeight="1" x14ac:dyDescent="0.25">
      <c r="A425" s="37" t="str">
        <f>IF(Agent03_Savings!A30="","",Agent03_Savings!A30)</f>
        <v/>
      </c>
      <c r="B425" s="37" t="str">
        <f ca="1">IF(Agent03_Savings!A30="","","SV"&amp;TEXT(425-3,"0000")&amp;"-"&amp;TEXT(TODAY(),"YYYYMMDD"))</f>
        <v/>
      </c>
      <c r="C425" s="37" t="str">
        <f>IF(Agent03_Savings!A30="","",Agent03_Savings!B30)</f>
        <v/>
      </c>
      <c r="D425" s="37" t="str">
        <f>IF(Agent03_Savings!A30="","",Agent03_Savings!G30)</f>
        <v/>
      </c>
      <c r="E425" s="38" t="str">
        <f>IF(Agent03_Savings!A30="","",Agent03_Savings!D30)</f>
        <v/>
      </c>
      <c r="F425" s="39" t="str">
        <f>IF(Agent03_Savings!A30="","",Agent03_Savings!E30)</f>
        <v/>
      </c>
      <c r="G425" s="39" t="str">
        <f>IF(Agent03_Savings!A30="","",Agent03_Savings!F30)</f>
        <v/>
      </c>
      <c r="H425" s="37" t="str">
        <f>IF(Agent03_Savings!A30="","",Agent03_Savings!I30)</f>
        <v/>
      </c>
      <c r="I425" s="37" t="str">
        <f>IF(Agent03_Savings!A30="","",Agent03_Savings!J30)</f>
        <v/>
      </c>
      <c r="J425" s="37" t="str">
        <f>IF(Agent03_Savings!A30="","",Agent03_Savings!K30)</f>
        <v/>
      </c>
      <c r="K425" s="37" t="str">
        <f>IFERROR(IF(Agent03_Savings!A30="","",YEAR(Agent03_Savings!D30)),"")</f>
        <v/>
      </c>
    </row>
    <row r="426" spans="1:11" ht="18" customHeight="1" x14ac:dyDescent="0.25">
      <c r="A426" s="37" t="str">
        <f>IF(Agent03_Savings!A31="","",Agent03_Savings!A31)</f>
        <v/>
      </c>
      <c r="B426" s="37" t="str">
        <f ca="1">IF(Agent03_Savings!A31="","","SV"&amp;TEXT(426-3,"0000")&amp;"-"&amp;TEXT(TODAY(),"YYYYMMDD"))</f>
        <v/>
      </c>
      <c r="C426" s="37" t="str">
        <f>IF(Agent03_Savings!A31="","",Agent03_Savings!B31)</f>
        <v/>
      </c>
      <c r="D426" s="37" t="str">
        <f>IF(Agent03_Savings!A31="","",Agent03_Savings!G31)</f>
        <v/>
      </c>
      <c r="E426" s="38" t="str">
        <f>IF(Agent03_Savings!A31="","",Agent03_Savings!D31)</f>
        <v/>
      </c>
      <c r="F426" s="39" t="str">
        <f>IF(Agent03_Savings!A31="","",Agent03_Savings!E31)</f>
        <v/>
      </c>
      <c r="G426" s="39" t="str">
        <f>IF(Agent03_Savings!A31="","",Agent03_Savings!F31)</f>
        <v/>
      </c>
      <c r="H426" s="37" t="str">
        <f>IF(Agent03_Savings!A31="","",Agent03_Savings!I31)</f>
        <v/>
      </c>
      <c r="I426" s="37" t="str">
        <f>IF(Agent03_Savings!A31="","",Agent03_Savings!J31)</f>
        <v/>
      </c>
      <c r="J426" s="37" t="str">
        <f>IF(Agent03_Savings!A31="","",Agent03_Savings!K31)</f>
        <v/>
      </c>
      <c r="K426" s="37" t="str">
        <f>IFERROR(IF(Agent03_Savings!A31="","",YEAR(Agent03_Savings!D31)),"")</f>
        <v/>
      </c>
    </row>
    <row r="427" spans="1:11" ht="18" customHeight="1" x14ac:dyDescent="0.25">
      <c r="A427" s="37" t="str">
        <f>IF(Agent03_Savings!A32="","",Agent03_Savings!A32)</f>
        <v/>
      </c>
      <c r="B427" s="37" t="str">
        <f ca="1">IF(Agent03_Savings!A32="","","SV"&amp;TEXT(427-3,"0000")&amp;"-"&amp;TEXT(TODAY(),"YYYYMMDD"))</f>
        <v/>
      </c>
      <c r="C427" s="37" t="str">
        <f>IF(Agent03_Savings!A32="","",Agent03_Savings!B32)</f>
        <v/>
      </c>
      <c r="D427" s="37" t="str">
        <f>IF(Agent03_Savings!A32="","",Agent03_Savings!G32)</f>
        <v/>
      </c>
      <c r="E427" s="38" t="str">
        <f>IF(Agent03_Savings!A32="","",Agent03_Savings!D32)</f>
        <v/>
      </c>
      <c r="F427" s="39" t="str">
        <f>IF(Agent03_Savings!A32="","",Agent03_Savings!E32)</f>
        <v/>
      </c>
      <c r="G427" s="39" t="str">
        <f>IF(Agent03_Savings!A32="","",Agent03_Savings!F32)</f>
        <v/>
      </c>
      <c r="H427" s="37" t="str">
        <f>IF(Agent03_Savings!A32="","",Agent03_Savings!I32)</f>
        <v/>
      </c>
      <c r="I427" s="37" t="str">
        <f>IF(Agent03_Savings!A32="","",Agent03_Savings!J32)</f>
        <v/>
      </c>
      <c r="J427" s="37" t="str">
        <f>IF(Agent03_Savings!A32="","",Agent03_Savings!K32)</f>
        <v/>
      </c>
      <c r="K427" s="37" t="str">
        <f>IFERROR(IF(Agent03_Savings!A32="","",YEAR(Agent03_Savings!D32)),"")</f>
        <v/>
      </c>
    </row>
    <row r="428" spans="1:11" ht="18" customHeight="1" x14ac:dyDescent="0.25">
      <c r="A428" s="37" t="str">
        <f>IF(Agent03_Savings!A33="","",Agent03_Savings!A33)</f>
        <v/>
      </c>
      <c r="B428" s="37" t="str">
        <f ca="1">IF(Agent03_Savings!A33="","","SV"&amp;TEXT(428-3,"0000")&amp;"-"&amp;TEXT(TODAY(),"YYYYMMDD"))</f>
        <v/>
      </c>
      <c r="C428" s="37" t="str">
        <f>IF(Agent03_Savings!A33="","",Agent03_Savings!B33)</f>
        <v/>
      </c>
      <c r="D428" s="37" t="str">
        <f>IF(Agent03_Savings!A33="","",Agent03_Savings!G33)</f>
        <v/>
      </c>
      <c r="E428" s="38" t="str">
        <f>IF(Agent03_Savings!A33="","",Agent03_Savings!D33)</f>
        <v/>
      </c>
      <c r="F428" s="39" t="str">
        <f>IF(Agent03_Savings!A33="","",Agent03_Savings!E33)</f>
        <v/>
      </c>
      <c r="G428" s="39" t="str">
        <f>IF(Agent03_Savings!A33="","",Agent03_Savings!F33)</f>
        <v/>
      </c>
      <c r="H428" s="37" t="str">
        <f>IF(Agent03_Savings!A33="","",Agent03_Savings!I33)</f>
        <v/>
      </c>
      <c r="I428" s="37" t="str">
        <f>IF(Agent03_Savings!A33="","",Agent03_Savings!J33)</f>
        <v/>
      </c>
      <c r="J428" s="37" t="str">
        <f>IF(Agent03_Savings!A33="","",Agent03_Savings!K33)</f>
        <v/>
      </c>
      <c r="K428" s="37" t="str">
        <f>IFERROR(IF(Agent03_Savings!A33="","",YEAR(Agent03_Savings!D33)),"")</f>
        <v/>
      </c>
    </row>
    <row r="429" spans="1:11" ht="18" customHeight="1" x14ac:dyDescent="0.25">
      <c r="A429" s="37" t="str">
        <f>IF(Agent03_Savings!A34="","",Agent03_Savings!A34)</f>
        <v/>
      </c>
      <c r="B429" s="37" t="str">
        <f ca="1">IF(Agent03_Savings!A34="","","SV"&amp;TEXT(429-3,"0000")&amp;"-"&amp;TEXT(TODAY(),"YYYYMMDD"))</f>
        <v/>
      </c>
      <c r="C429" s="37" t="str">
        <f>IF(Agent03_Savings!A34="","",Agent03_Savings!B34)</f>
        <v/>
      </c>
      <c r="D429" s="37" t="str">
        <f>IF(Agent03_Savings!A34="","",Agent03_Savings!G34)</f>
        <v/>
      </c>
      <c r="E429" s="38" t="str">
        <f>IF(Agent03_Savings!A34="","",Agent03_Savings!D34)</f>
        <v/>
      </c>
      <c r="F429" s="39" t="str">
        <f>IF(Agent03_Savings!A34="","",Agent03_Savings!E34)</f>
        <v/>
      </c>
      <c r="G429" s="39" t="str">
        <f>IF(Agent03_Savings!A34="","",Agent03_Savings!F34)</f>
        <v/>
      </c>
      <c r="H429" s="37" t="str">
        <f>IF(Agent03_Savings!A34="","",Agent03_Savings!I34)</f>
        <v/>
      </c>
      <c r="I429" s="37" t="str">
        <f>IF(Agent03_Savings!A34="","",Agent03_Savings!J34)</f>
        <v/>
      </c>
      <c r="J429" s="37" t="str">
        <f>IF(Agent03_Savings!A34="","",Agent03_Savings!K34)</f>
        <v/>
      </c>
      <c r="K429" s="37" t="str">
        <f>IFERROR(IF(Agent03_Savings!A34="","",YEAR(Agent03_Savings!D34)),"")</f>
        <v/>
      </c>
    </row>
    <row r="430" spans="1:11" ht="18" customHeight="1" x14ac:dyDescent="0.25">
      <c r="A430" s="37" t="str">
        <f>IF(Agent03_Savings!A35="","",Agent03_Savings!A35)</f>
        <v/>
      </c>
      <c r="B430" s="37" t="str">
        <f ca="1">IF(Agent03_Savings!A35="","","SV"&amp;TEXT(430-3,"0000")&amp;"-"&amp;TEXT(TODAY(),"YYYYMMDD"))</f>
        <v/>
      </c>
      <c r="C430" s="37" t="str">
        <f>IF(Agent03_Savings!A35="","",Agent03_Savings!B35)</f>
        <v/>
      </c>
      <c r="D430" s="37" t="str">
        <f>IF(Agent03_Savings!A35="","",Agent03_Savings!G35)</f>
        <v/>
      </c>
      <c r="E430" s="38" t="str">
        <f>IF(Agent03_Savings!A35="","",Agent03_Savings!D35)</f>
        <v/>
      </c>
      <c r="F430" s="39" t="str">
        <f>IF(Agent03_Savings!A35="","",Agent03_Savings!E35)</f>
        <v/>
      </c>
      <c r="G430" s="39" t="str">
        <f>IF(Agent03_Savings!A35="","",Agent03_Savings!F35)</f>
        <v/>
      </c>
      <c r="H430" s="37" t="str">
        <f>IF(Agent03_Savings!A35="","",Agent03_Savings!I35)</f>
        <v/>
      </c>
      <c r="I430" s="37" t="str">
        <f>IF(Agent03_Savings!A35="","",Agent03_Savings!J35)</f>
        <v/>
      </c>
      <c r="J430" s="37" t="str">
        <f>IF(Agent03_Savings!A35="","",Agent03_Savings!K35)</f>
        <v/>
      </c>
      <c r="K430" s="37" t="str">
        <f>IFERROR(IF(Agent03_Savings!A35="","",YEAR(Agent03_Savings!D35)),"")</f>
        <v/>
      </c>
    </row>
    <row r="431" spans="1:11" ht="18" customHeight="1" x14ac:dyDescent="0.25">
      <c r="A431" s="37" t="str">
        <f>IF(Agent03_Savings!A36="","",Agent03_Savings!A36)</f>
        <v/>
      </c>
      <c r="B431" s="37" t="str">
        <f ca="1">IF(Agent03_Savings!A36="","","SV"&amp;TEXT(431-3,"0000")&amp;"-"&amp;TEXT(TODAY(),"YYYYMMDD"))</f>
        <v/>
      </c>
      <c r="C431" s="37" t="str">
        <f>IF(Agent03_Savings!A36="","",Agent03_Savings!B36)</f>
        <v/>
      </c>
      <c r="D431" s="37" t="str">
        <f>IF(Agent03_Savings!A36="","",Agent03_Savings!G36)</f>
        <v/>
      </c>
      <c r="E431" s="38" t="str">
        <f>IF(Agent03_Savings!A36="","",Agent03_Savings!D36)</f>
        <v/>
      </c>
      <c r="F431" s="39" t="str">
        <f>IF(Agent03_Savings!A36="","",Agent03_Savings!E36)</f>
        <v/>
      </c>
      <c r="G431" s="39" t="str">
        <f>IF(Agent03_Savings!A36="","",Agent03_Savings!F36)</f>
        <v/>
      </c>
      <c r="H431" s="37" t="str">
        <f>IF(Agent03_Savings!A36="","",Agent03_Savings!I36)</f>
        <v/>
      </c>
      <c r="I431" s="37" t="str">
        <f>IF(Agent03_Savings!A36="","",Agent03_Savings!J36)</f>
        <v/>
      </c>
      <c r="J431" s="37" t="str">
        <f>IF(Agent03_Savings!A36="","",Agent03_Savings!K36)</f>
        <v/>
      </c>
      <c r="K431" s="37" t="str">
        <f>IFERROR(IF(Agent03_Savings!A36="","",YEAR(Agent03_Savings!D36)),"")</f>
        <v/>
      </c>
    </row>
    <row r="432" spans="1:11" ht="18" customHeight="1" x14ac:dyDescent="0.25">
      <c r="A432" s="37" t="str">
        <f>IF(Agent03_Savings!A37="","",Agent03_Savings!A37)</f>
        <v/>
      </c>
      <c r="B432" s="37" t="str">
        <f ca="1">IF(Agent03_Savings!A37="","","SV"&amp;TEXT(432-3,"0000")&amp;"-"&amp;TEXT(TODAY(),"YYYYMMDD"))</f>
        <v/>
      </c>
      <c r="C432" s="37" t="str">
        <f>IF(Agent03_Savings!A37="","",Agent03_Savings!B37)</f>
        <v/>
      </c>
      <c r="D432" s="37" t="str">
        <f>IF(Agent03_Savings!A37="","",Agent03_Savings!G37)</f>
        <v/>
      </c>
      <c r="E432" s="38" t="str">
        <f>IF(Agent03_Savings!A37="","",Agent03_Savings!D37)</f>
        <v/>
      </c>
      <c r="F432" s="39" t="str">
        <f>IF(Agent03_Savings!A37="","",Agent03_Savings!E37)</f>
        <v/>
      </c>
      <c r="G432" s="39" t="str">
        <f>IF(Agent03_Savings!A37="","",Agent03_Savings!F37)</f>
        <v/>
      </c>
      <c r="H432" s="37" t="str">
        <f>IF(Agent03_Savings!A37="","",Agent03_Savings!I37)</f>
        <v/>
      </c>
      <c r="I432" s="37" t="str">
        <f>IF(Agent03_Savings!A37="","",Agent03_Savings!J37)</f>
        <v/>
      </c>
      <c r="J432" s="37" t="str">
        <f>IF(Agent03_Savings!A37="","",Agent03_Savings!K37)</f>
        <v/>
      </c>
      <c r="K432" s="37" t="str">
        <f>IFERROR(IF(Agent03_Savings!A37="","",YEAR(Agent03_Savings!D37)),"")</f>
        <v/>
      </c>
    </row>
    <row r="433" spans="1:11" ht="18" customHeight="1" x14ac:dyDescent="0.25">
      <c r="A433" s="37" t="str">
        <f>IF(Agent03_Savings!A38="","",Agent03_Savings!A38)</f>
        <v/>
      </c>
      <c r="B433" s="37" t="str">
        <f ca="1">IF(Agent03_Savings!A38="","","SV"&amp;TEXT(433-3,"0000")&amp;"-"&amp;TEXT(TODAY(),"YYYYMMDD"))</f>
        <v/>
      </c>
      <c r="C433" s="37" t="str">
        <f>IF(Agent03_Savings!A38="","",Agent03_Savings!B38)</f>
        <v/>
      </c>
      <c r="D433" s="37" t="str">
        <f>IF(Agent03_Savings!A38="","",Agent03_Savings!G38)</f>
        <v/>
      </c>
      <c r="E433" s="38" t="str">
        <f>IF(Agent03_Savings!A38="","",Agent03_Savings!D38)</f>
        <v/>
      </c>
      <c r="F433" s="39" t="str">
        <f>IF(Agent03_Savings!A38="","",Agent03_Savings!E38)</f>
        <v/>
      </c>
      <c r="G433" s="39" t="str">
        <f>IF(Agent03_Savings!A38="","",Agent03_Savings!F38)</f>
        <v/>
      </c>
      <c r="H433" s="37" t="str">
        <f>IF(Agent03_Savings!A38="","",Agent03_Savings!I38)</f>
        <v/>
      </c>
      <c r="I433" s="37" t="str">
        <f>IF(Agent03_Savings!A38="","",Agent03_Savings!J38)</f>
        <v/>
      </c>
      <c r="J433" s="37" t="str">
        <f>IF(Agent03_Savings!A38="","",Agent03_Savings!K38)</f>
        <v/>
      </c>
      <c r="K433" s="37" t="str">
        <f>IFERROR(IF(Agent03_Savings!A38="","",YEAR(Agent03_Savings!D38)),"")</f>
        <v/>
      </c>
    </row>
    <row r="434" spans="1:11" ht="18" customHeight="1" x14ac:dyDescent="0.25">
      <c r="A434" s="37" t="str">
        <f>IF(Agent03_Savings!A39="","",Agent03_Savings!A39)</f>
        <v/>
      </c>
      <c r="B434" s="37" t="str">
        <f ca="1">IF(Agent03_Savings!A39="","","SV"&amp;TEXT(434-3,"0000")&amp;"-"&amp;TEXT(TODAY(),"YYYYMMDD"))</f>
        <v/>
      </c>
      <c r="C434" s="37" t="str">
        <f>IF(Agent03_Savings!A39="","",Agent03_Savings!B39)</f>
        <v/>
      </c>
      <c r="D434" s="37" t="str">
        <f>IF(Agent03_Savings!A39="","",Agent03_Savings!G39)</f>
        <v/>
      </c>
      <c r="E434" s="38" t="str">
        <f>IF(Agent03_Savings!A39="","",Agent03_Savings!D39)</f>
        <v/>
      </c>
      <c r="F434" s="39" t="str">
        <f>IF(Agent03_Savings!A39="","",Agent03_Savings!E39)</f>
        <v/>
      </c>
      <c r="G434" s="39" t="str">
        <f>IF(Agent03_Savings!A39="","",Agent03_Savings!F39)</f>
        <v/>
      </c>
      <c r="H434" s="37" t="str">
        <f>IF(Agent03_Savings!A39="","",Agent03_Savings!I39)</f>
        <v/>
      </c>
      <c r="I434" s="37" t="str">
        <f>IF(Agent03_Savings!A39="","",Agent03_Savings!J39)</f>
        <v/>
      </c>
      <c r="J434" s="37" t="str">
        <f>IF(Agent03_Savings!A39="","",Agent03_Savings!K39)</f>
        <v/>
      </c>
      <c r="K434" s="37" t="str">
        <f>IFERROR(IF(Agent03_Savings!A39="","",YEAR(Agent03_Savings!D39)),"")</f>
        <v/>
      </c>
    </row>
    <row r="435" spans="1:11" ht="18" customHeight="1" x14ac:dyDescent="0.25">
      <c r="A435" s="37" t="str">
        <f>IF(Agent03_Savings!A40="","",Agent03_Savings!A40)</f>
        <v/>
      </c>
      <c r="B435" s="37" t="str">
        <f ca="1">IF(Agent03_Savings!A40="","","SV"&amp;TEXT(435-3,"0000")&amp;"-"&amp;TEXT(TODAY(),"YYYYMMDD"))</f>
        <v/>
      </c>
      <c r="C435" s="37" t="str">
        <f>IF(Agent03_Savings!A40="","",Agent03_Savings!B40)</f>
        <v/>
      </c>
      <c r="D435" s="37" t="str">
        <f>IF(Agent03_Savings!A40="","",Agent03_Savings!G40)</f>
        <v/>
      </c>
      <c r="E435" s="38" t="str">
        <f>IF(Agent03_Savings!A40="","",Agent03_Savings!D40)</f>
        <v/>
      </c>
      <c r="F435" s="39" t="str">
        <f>IF(Agent03_Savings!A40="","",Agent03_Savings!E40)</f>
        <v/>
      </c>
      <c r="G435" s="39" t="str">
        <f>IF(Agent03_Savings!A40="","",Agent03_Savings!F40)</f>
        <v/>
      </c>
      <c r="H435" s="37" t="str">
        <f>IF(Agent03_Savings!A40="","",Agent03_Savings!I40)</f>
        <v/>
      </c>
      <c r="I435" s="37" t="str">
        <f>IF(Agent03_Savings!A40="","",Agent03_Savings!J40)</f>
        <v/>
      </c>
      <c r="J435" s="37" t="str">
        <f>IF(Agent03_Savings!A40="","",Agent03_Savings!K40)</f>
        <v/>
      </c>
      <c r="K435" s="37" t="str">
        <f>IFERROR(IF(Agent03_Savings!A40="","",YEAR(Agent03_Savings!D40)),"")</f>
        <v/>
      </c>
    </row>
    <row r="436" spans="1:11" ht="18" customHeight="1" x14ac:dyDescent="0.25">
      <c r="A436" s="37" t="str">
        <f>IF(Agent03_Savings!A41="","",Agent03_Savings!A41)</f>
        <v/>
      </c>
      <c r="B436" s="37" t="str">
        <f ca="1">IF(Agent03_Savings!A41="","","SV"&amp;TEXT(436-3,"0000")&amp;"-"&amp;TEXT(TODAY(),"YYYYMMDD"))</f>
        <v/>
      </c>
      <c r="C436" s="37" t="str">
        <f>IF(Agent03_Savings!A41="","",Agent03_Savings!B41)</f>
        <v/>
      </c>
      <c r="D436" s="37" t="str">
        <f>IF(Agent03_Savings!A41="","",Agent03_Savings!G41)</f>
        <v/>
      </c>
      <c r="E436" s="38" t="str">
        <f>IF(Agent03_Savings!A41="","",Agent03_Savings!D41)</f>
        <v/>
      </c>
      <c r="F436" s="39" t="str">
        <f>IF(Agent03_Savings!A41="","",Agent03_Savings!E41)</f>
        <v/>
      </c>
      <c r="G436" s="39" t="str">
        <f>IF(Agent03_Savings!A41="","",Agent03_Savings!F41)</f>
        <v/>
      </c>
      <c r="H436" s="37" t="str">
        <f>IF(Agent03_Savings!A41="","",Agent03_Savings!I41)</f>
        <v/>
      </c>
      <c r="I436" s="37" t="str">
        <f>IF(Agent03_Savings!A41="","",Agent03_Savings!J41)</f>
        <v/>
      </c>
      <c r="J436" s="37" t="str">
        <f>IF(Agent03_Savings!A41="","",Agent03_Savings!K41)</f>
        <v/>
      </c>
      <c r="K436" s="37" t="str">
        <f>IFERROR(IF(Agent03_Savings!A41="","",YEAR(Agent03_Savings!D41)),"")</f>
        <v/>
      </c>
    </row>
    <row r="437" spans="1:11" ht="18" customHeight="1" x14ac:dyDescent="0.25">
      <c r="A437" s="37" t="str">
        <f>IF(Agent03_Savings!A42="","",Agent03_Savings!A42)</f>
        <v/>
      </c>
      <c r="B437" s="37" t="str">
        <f ca="1">IF(Agent03_Savings!A42="","","SV"&amp;TEXT(437-3,"0000")&amp;"-"&amp;TEXT(TODAY(),"YYYYMMDD"))</f>
        <v/>
      </c>
      <c r="C437" s="37" t="str">
        <f>IF(Agent03_Savings!A42="","",Agent03_Savings!B42)</f>
        <v/>
      </c>
      <c r="D437" s="37" t="str">
        <f>IF(Agent03_Savings!A42="","",Agent03_Savings!G42)</f>
        <v/>
      </c>
      <c r="E437" s="38" t="str">
        <f>IF(Agent03_Savings!A42="","",Agent03_Savings!D42)</f>
        <v/>
      </c>
      <c r="F437" s="39" t="str">
        <f>IF(Agent03_Savings!A42="","",Agent03_Savings!E42)</f>
        <v/>
      </c>
      <c r="G437" s="39" t="str">
        <f>IF(Agent03_Savings!A42="","",Agent03_Savings!F42)</f>
        <v/>
      </c>
      <c r="H437" s="37" t="str">
        <f>IF(Agent03_Savings!A42="","",Agent03_Savings!I42)</f>
        <v/>
      </c>
      <c r="I437" s="37" t="str">
        <f>IF(Agent03_Savings!A42="","",Agent03_Savings!J42)</f>
        <v/>
      </c>
      <c r="J437" s="37" t="str">
        <f>IF(Agent03_Savings!A42="","",Agent03_Savings!K42)</f>
        <v/>
      </c>
      <c r="K437" s="37" t="str">
        <f>IFERROR(IF(Agent03_Savings!A42="","",YEAR(Agent03_Savings!D42)),"")</f>
        <v/>
      </c>
    </row>
    <row r="438" spans="1:11" ht="18" customHeight="1" x14ac:dyDescent="0.25">
      <c r="A438" s="37" t="str">
        <f>IF(Agent03_Savings!A43="","",Agent03_Savings!A43)</f>
        <v/>
      </c>
      <c r="B438" s="37" t="str">
        <f ca="1">IF(Agent03_Savings!A43="","","SV"&amp;TEXT(438-3,"0000")&amp;"-"&amp;TEXT(TODAY(),"YYYYMMDD"))</f>
        <v/>
      </c>
      <c r="C438" s="37" t="str">
        <f>IF(Agent03_Savings!A43="","",Agent03_Savings!B43)</f>
        <v/>
      </c>
      <c r="D438" s="37" t="str">
        <f>IF(Agent03_Savings!A43="","",Agent03_Savings!G43)</f>
        <v/>
      </c>
      <c r="E438" s="38" t="str">
        <f>IF(Agent03_Savings!A43="","",Agent03_Savings!D43)</f>
        <v/>
      </c>
      <c r="F438" s="39" t="str">
        <f>IF(Agent03_Savings!A43="","",Agent03_Savings!E43)</f>
        <v/>
      </c>
      <c r="G438" s="39" t="str">
        <f>IF(Agent03_Savings!A43="","",Agent03_Savings!F43)</f>
        <v/>
      </c>
      <c r="H438" s="37" t="str">
        <f>IF(Agent03_Savings!A43="","",Agent03_Savings!I43)</f>
        <v/>
      </c>
      <c r="I438" s="37" t="str">
        <f>IF(Agent03_Savings!A43="","",Agent03_Savings!J43)</f>
        <v/>
      </c>
      <c r="J438" s="37" t="str">
        <f>IF(Agent03_Savings!A43="","",Agent03_Savings!K43)</f>
        <v/>
      </c>
      <c r="K438" s="37" t="str">
        <f>IFERROR(IF(Agent03_Savings!A43="","",YEAR(Agent03_Savings!D43)),"")</f>
        <v/>
      </c>
    </row>
    <row r="439" spans="1:11" ht="18" customHeight="1" x14ac:dyDescent="0.25">
      <c r="A439" s="37" t="str">
        <f>IF(Agent03_Savings!A44="","",Agent03_Savings!A44)</f>
        <v/>
      </c>
      <c r="B439" s="37" t="str">
        <f ca="1">IF(Agent03_Savings!A44="","","SV"&amp;TEXT(439-3,"0000")&amp;"-"&amp;TEXT(TODAY(),"YYYYMMDD"))</f>
        <v/>
      </c>
      <c r="C439" s="37" t="str">
        <f>IF(Agent03_Savings!A44="","",Agent03_Savings!B44)</f>
        <v/>
      </c>
      <c r="D439" s="37" t="str">
        <f>IF(Agent03_Savings!A44="","",Agent03_Savings!G44)</f>
        <v/>
      </c>
      <c r="E439" s="38" t="str">
        <f>IF(Agent03_Savings!A44="","",Agent03_Savings!D44)</f>
        <v/>
      </c>
      <c r="F439" s="39" t="str">
        <f>IF(Agent03_Savings!A44="","",Agent03_Savings!E44)</f>
        <v/>
      </c>
      <c r="G439" s="39" t="str">
        <f>IF(Agent03_Savings!A44="","",Agent03_Savings!F44)</f>
        <v/>
      </c>
      <c r="H439" s="37" t="str">
        <f>IF(Agent03_Savings!A44="","",Agent03_Savings!I44)</f>
        <v/>
      </c>
      <c r="I439" s="37" t="str">
        <f>IF(Agent03_Savings!A44="","",Agent03_Savings!J44)</f>
        <v/>
      </c>
      <c r="J439" s="37" t="str">
        <f>IF(Agent03_Savings!A44="","",Agent03_Savings!K44)</f>
        <v/>
      </c>
      <c r="K439" s="37" t="str">
        <f>IFERROR(IF(Agent03_Savings!A44="","",YEAR(Agent03_Savings!D44)),"")</f>
        <v/>
      </c>
    </row>
    <row r="440" spans="1:11" ht="18" customHeight="1" x14ac:dyDescent="0.25">
      <c r="A440" s="37" t="str">
        <f>IF(Agent03_Savings!A45="","",Agent03_Savings!A45)</f>
        <v/>
      </c>
      <c r="B440" s="37" t="str">
        <f ca="1">IF(Agent03_Savings!A45="","","SV"&amp;TEXT(440-3,"0000")&amp;"-"&amp;TEXT(TODAY(),"YYYYMMDD"))</f>
        <v/>
      </c>
      <c r="C440" s="37" t="str">
        <f>IF(Agent03_Savings!A45="","",Agent03_Savings!B45)</f>
        <v/>
      </c>
      <c r="D440" s="37" t="str">
        <f>IF(Agent03_Savings!A45="","",Agent03_Savings!G45)</f>
        <v/>
      </c>
      <c r="E440" s="38" t="str">
        <f>IF(Agent03_Savings!A45="","",Agent03_Savings!D45)</f>
        <v/>
      </c>
      <c r="F440" s="39" t="str">
        <f>IF(Agent03_Savings!A45="","",Agent03_Savings!E45)</f>
        <v/>
      </c>
      <c r="G440" s="39" t="str">
        <f>IF(Agent03_Savings!A45="","",Agent03_Savings!F45)</f>
        <v/>
      </c>
      <c r="H440" s="37" t="str">
        <f>IF(Agent03_Savings!A45="","",Agent03_Savings!I45)</f>
        <v/>
      </c>
      <c r="I440" s="37" t="str">
        <f>IF(Agent03_Savings!A45="","",Agent03_Savings!J45)</f>
        <v/>
      </c>
      <c r="J440" s="37" t="str">
        <f>IF(Agent03_Savings!A45="","",Agent03_Savings!K45)</f>
        <v/>
      </c>
      <c r="K440" s="37" t="str">
        <f>IFERROR(IF(Agent03_Savings!A45="","",YEAR(Agent03_Savings!D45)),"")</f>
        <v/>
      </c>
    </row>
    <row r="441" spans="1:11" ht="18" customHeight="1" x14ac:dyDescent="0.25">
      <c r="A441" s="37" t="str">
        <f>IF(Agent03_Savings!A46="","",Agent03_Savings!A46)</f>
        <v/>
      </c>
      <c r="B441" s="37" t="str">
        <f ca="1">IF(Agent03_Savings!A46="","","SV"&amp;TEXT(441-3,"0000")&amp;"-"&amp;TEXT(TODAY(),"YYYYMMDD"))</f>
        <v/>
      </c>
      <c r="C441" s="37" t="str">
        <f>IF(Agent03_Savings!A46="","",Agent03_Savings!B46)</f>
        <v/>
      </c>
      <c r="D441" s="37" t="str">
        <f>IF(Agent03_Savings!A46="","",Agent03_Savings!G46)</f>
        <v/>
      </c>
      <c r="E441" s="38" t="str">
        <f>IF(Agent03_Savings!A46="","",Agent03_Savings!D46)</f>
        <v/>
      </c>
      <c r="F441" s="39" t="str">
        <f>IF(Agent03_Savings!A46="","",Agent03_Savings!E46)</f>
        <v/>
      </c>
      <c r="G441" s="39" t="str">
        <f>IF(Agent03_Savings!A46="","",Agent03_Savings!F46)</f>
        <v/>
      </c>
      <c r="H441" s="37" t="str">
        <f>IF(Agent03_Savings!A46="","",Agent03_Savings!I46)</f>
        <v/>
      </c>
      <c r="I441" s="37" t="str">
        <f>IF(Agent03_Savings!A46="","",Agent03_Savings!J46)</f>
        <v/>
      </c>
      <c r="J441" s="37" t="str">
        <f>IF(Agent03_Savings!A46="","",Agent03_Savings!K46)</f>
        <v/>
      </c>
      <c r="K441" s="37" t="str">
        <f>IFERROR(IF(Agent03_Savings!A46="","",YEAR(Agent03_Savings!D46)),"")</f>
        <v/>
      </c>
    </row>
    <row r="442" spans="1:11" ht="18" customHeight="1" x14ac:dyDescent="0.25">
      <c r="A442" s="37" t="str">
        <f>IF(Agent03_Savings!A47="","",Agent03_Savings!A47)</f>
        <v/>
      </c>
      <c r="B442" s="37" t="str">
        <f ca="1">IF(Agent03_Savings!A47="","","SV"&amp;TEXT(442-3,"0000")&amp;"-"&amp;TEXT(TODAY(),"YYYYMMDD"))</f>
        <v/>
      </c>
      <c r="C442" s="37" t="str">
        <f>IF(Agent03_Savings!A47="","",Agent03_Savings!B47)</f>
        <v/>
      </c>
      <c r="D442" s="37" t="str">
        <f>IF(Agent03_Savings!A47="","",Agent03_Savings!G47)</f>
        <v/>
      </c>
      <c r="E442" s="38" t="str">
        <f>IF(Agent03_Savings!A47="","",Agent03_Savings!D47)</f>
        <v/>
      </c>
      <c r="F442" s="39" t="str">
        <f>IF(Agent03_Savings!A47="","",Agent03_Savings!E47)</f>
        <v/>
      </c>
      <c r="G442" s="39" t="str">
        <f>IF(Agent03_Savings!A47="","",Agent03_Savings!F47)</f>
        <v/>
      </c>
      <c r="H442" s="37" t="str">
        <f>IF(Agent03_Savings!A47="","",Agent03_Savings!I47)</f>
        <v/>
      </c>
      <c r="I442" s="37" t="str">
        <f>IF(Agent03_Savings!A47="","",Agent03_Savings!J47)</f>
        <v/>
      </c>
      <c r="J442" s="37" t="str">
        <f>IF(Agent03_Savings!A47="","",Agent03_Savings!K47)</f>
        <v/>
      </c>
      <c r="K442" s="37" t="str">
        <f>IFERROR(IF(Agent03_Savings!A47="","",YEAR(Agent03_Savings!D47)),"")</f>
        <v/>
      </c>
    </row>
    <row r="443" spans="1:11" ht="18" customHeight="1" x14ac:dyDescent="0.25">
      <c r="A443" s="37" t="str">
        <f>IF(Agent03_Savings!A48="","",Agent03_Savings!A48)</f>
        <v/>
      </c>
      <c r="B443" s="37" t="str">
        <f ca="1">IF(Agent03_Savings!A48="","","SV"&amp;TEXT(443-3,"0000")&amp;"-"&amp;TEXT(TODAY(),"YYYYMMDD"))</f>
        <v/>
      </c>
      <c r="C443" s="37" t="str">
        <f>IF(Agent03_Savings!A48="","",Agent03_Savings!B48)</f>
        <v/>
      </c>
      <c r="D443" s="37" t="str">
        <f>IF(Agent03_Savings!A48="","",Agent03_Savings!G48)</f>
        <v/>
      </c>
      <c r="E443" s="38" t="str">
        <f>IF(Agent03_Savings!A48="","",Agent03_Savings!D48)</f>
        <v/>
      </c>
      <c r="F443" s="39" t="str">
        <f>IF(Agent03_Savings!A48="","",Agent03_Savings!E48)</f>
        <v/>
      </c>
      <c r="G443" s="39" t="str">
        <f>IF(Agent03_Savings!A48="","",Agent03_Savings!F48)</f>
        <v/>
      </c>
      <c r="H443" s="37" t="str">
        <f>IF(Agent03_Savings!A48="","",Agent03_Savings!I48)</f>
        <v/>
      </c>
      <c r="I443" s="37" t="str">
        <f>IF(Agent03_Savings!A48="","",Agent03_Savings!J48)</f>
        <v/>
      </c>
      <c r="J443" s="37" t="str">
        <f>IF(Agent03_Savings!A48="","",Agent03_Savings!K48)</f>
        <v/>
      </c>
      <c r="K443" s="37" t="str">
        <f>IFERROR(IF(Agent03_Savings!A48="","",YEAR(Agent03_Savings!D48)),"")</f>
        <v/>
      </c>
    </row>
    <row r="444" spans="1:11" ht="18" customHeight="1" x14ac:dyDescent="0.25">
      <c r="A444" s="37" t="str">
        <f>IF(Agent03_Savings!A49="","",Agent03_Savings!A49)</f>
        <v/>
      </c>
      <c r="B444" s="37" t="str">
        <f ca="1">IF(Agent03_Savings!A49="","","SV"&amp;TEXT(444-3,"0000")&amp;"-"&amp;TEXT(TODAY(),"YYYYMMDD"))</f>
        <v/>
      </c>
      <c r="C444" s="37" t="str">
        <f>IF(Agent03_Savings!A49="","",Agent03_Savings!B49)</f>
        <v/>
      </c>
      <c r="D444" s="37" t="str">
        <f>IF(Agent03_Savings!A49="","",Agent03_Savings!G49)</f>
        <v/>
      </c>
      <c r="E444" s="38" t="str">
        <f>IF(Agent03_Savings!A49="","",Agent03_Savings!D49)</f>
        <v/>
      </c>
      <c r="F444" s="39" t="str">
        <f>IF(Agent03_Savings!A49="","",Agent03_Savings!E49)</f>
        <v/>
      </c>
      <c r="G444" s="39" t="str">
        <f>IF(Agent03_Savings!A49="","",Agent03_Savings!F49)</f>
        <v/>
      </c>
      <c r="H444" s="37" t="str">
        <f>IF(Agent03_Savings!A49="","",Agent03_Savings!I49)</f>
        <v/>
      </c>
      <c r="I444" s="37" t="str">
        <f>IF(Agent03_Savings!A49="","",Agent03_Savings!J49)</f>
        <v/>
      </c>
      <c r="J444" s="37" t="str">
        <f>IF(Agent03_Savings!A49="","",Agent03_Savings!K49)</f>
        <v/>
      </c>
      <c r="K444" s="37" t="str">
        <f>IFERROR(IF(Agent03_Savings!A49="","",YEAR(Agent03_Savings!D49)),"")</f>
        <v/>
      </c>
    </row>
    <row r="445" spans="1:11" ht="18" customHeight="1" x14ac:dyDescent="0.25">
      <c r="A445" s="37" t="str">
        <f>IF(Agent03_Savings!A50="","",Agent03_Savings!A50)</f>
        <v/>
      </c>
      <c r="B445" s="37" t="str">
        <f ca="1">IF(Agent03_Savings!A50="","","SV"&amp;TEXT(445-3,"0000")&amp;"-"&amp;TEXT(TODAY(),"YYYYMMDD"))</f>
        <v/>
      </c>
      <c r="C445" s="37" t="str">
        <f>IF(Agent03_Savings!A50="","",Agent03_Savings!B50)</f>
        <v/>
      </c>
      <c r="D445" s="37" t="str">
        <f>IF(Agent03_Savings!A50="","",Agent03_Savings!G50)</f>
        <v/>
      </c>
      <c r="E445" s="38" t="str">
        <f>IF(Agent03_Savings!A50="","",Agent03_Savings!D50)</f>
        <v/>
      </c>
      <c r="F445" s="39" t="str">
        <f>IF(Agent03_Savings!A50="","",Agent03_Savings!E50)</f>
        <v/>
      </c>
      <c r="G445" s="39" t="str">
        <f>IF(Agent03_Savings!A50="","",Agent03_Savings!F50)</f>
        <v/>
      </c>
      <c r="H445" s="37" t="str">
        <f>IF(Agent03_Savings!A50="","",Agent03_Savings!I50)</f>
        <v/>
      </c>
      <c r="I445" s="37" t="str">
        <f>IF(Agent03_Savings!A50="","",Agent03_Savings!J50)</f>
        <v/>
      </c>
      <c r="J445" s="37" t="str">
        <f>IF(Agent03_Savings!A50="","",Agent03_Savings!K50)</f>
        <v/>
      </c>
      <c r="K445" s="37" t="str">
        <f>IFERROR(IF(Agent03_Savings!A50="","",YEAR(Agent03_Savings!D50)),"")</f>
        <v/>
      </c>
    </row>
    <row r="446" spans="1:11" ht="18" customHeight="1" x14ac:dyDescent="0.25">
      <c r="A446" s="37" t="str">
        <f>IF(Agent03_Savings!A51="","",Agent03_Savings!A51)</f>
        <v/>
      </c>
      <c r="B446" s="37" t="str">
        <f ca="1">IF(Agent03_Savings!A51="","","SV"&amp;TEXT(446-3,"0000")&amp;"-"&amp;TEXT(TODAY(),"YYYYMMDD"))</f>
        <v/>
      </c>
      <c r="C446" s="37" t="str">
        <f>IF(Agent03_Savings!A51="","",Agent03_Savings!B51)</f>
        <v/>
      </c>
      <c r="D446" s="37" t="str">
        <f>IF(Agent03_Savings!A51="","",Agent03_Savings!G51)</f>
        <v/>
      </c>
      <c r="E446" s="38" t="str">
        <f>IF(Agent03_Savings!A51="","",Agent03_Savings!D51)</f>
        <v/>
      </c>
      <c r="F446" s="39" t="str">
        <f>IF(Agent03_Savings!A51="","",Agent03_Savings!E51)</f>
        <v/>
      </c>
      <c r="G446" s="39" t="str">
        <f>IF(Agent03_Savings!A51="","",Agent03_Savings!F51)</f>
        <v/>
      </c>
      <c r="H446" s="37" t="str">
        <f>IF(Agent03_Savings!A51="","",Agent03_Savings!I51)</f>
        <v/>
      </c>
      <c r="I446" s="37" t="str">
        <f>IF(Agent03_Savings!A51="","",Agent03_Savings!J51)</f>
        <v/>
      </c>
      <c r="J446" s="37" t="str">
        <f>IF(Agent03_Savings!A51="","",Agent03_Savings!K51)</f>
        <v/>
      </c>
      <c r="K446" s="37" t="str">
        <f>IFERROR(IF(Agent03_Savings!A51="","",YEAR(Agent03_Savings!D51)),"")</f>
        <v/>
      </c>
    </row>
    <row r="447" spans="1:11" ht="18" customHeight="1" x14ac:dyDescent="0.25">
      <c r="A447" s="37" t="str">
        <f>IF(Agent03_Savings!A52="","",Agent03_Savings!A52)</f>
        <v/>
      </c>
      <c r="B447" s="37" t="str">
        <f ca="1">IF(Agent03_Savings!A52="","","SV"&amp;TEXT(447-3,"0000")&amp;"-"&amp;TEXT(TODAY(),"YYYYMMDD"))</f>
        <v/>
      </c>
      <c r="C447" s="37" t="str">
        <f>IF(Agent03_Savings!A52="","",Agent03_Savings!B52)</f>
        <v/>
      </c>
      <c r="D447" s="37" t="str">
        <f>IF(Agent03_Savings!A52="","",Agent03_Savings!G52)</f>
        <v/>
      </c>
      <c r="E447" s="38" t="str">
        <f>IF(Agent03_Savings!A52="","",Agent03_Savings!D52)</f>
        <v/>
      </c>
      <c r="F447" s="39" t="str">
        <f>IF(Agent03_Savings!A52="","",Agent03_Savings!E52)</f>
        <v/>
      </c>
      <c r="G447" s="39" t="str">
        <f>IF(Agent03_Savings!A52="","",Agent03_Savings!F52)</f>
        <v/>
      </c>
      <c r="H447" s="37" t="str">
        <f>IF(Agent03_Savings!A52="","",Agent03_Savings!I52)</f>
        <v/>
      </c>
      <c r="I447" s="37" t="str">
        <f>IF(Agent03_Savings!A52="","",Agent03_Savings!J52)</f>
        <v/>
      </c>
      <c r="J447" s="37" t="str">
        <f>IF(Agent03_Savings!A52="","",Agent03_Savings!K52)</f>
        <v/>
      </c>
      <c r="K447" s="37" t="str">
        <f>IFERROR(IF(Agent03_Savings!A52="","",YEAR(Agent03_Savings!D52)),"")</f>
        <v/>
      </c>
    </row>
    <row r="448" spans="1:11" ht="18" customHeight="1" x14ac:dyDescent="0.25">
      <c r="A448" s="37" t="str">
        <f>IF(Agent03_Savings!A53="","",Agent03_Savings!A53)</f>
        <v/>
      </c>
      <c r="B448" s="37" t="str">
        <f ca="1">IF(Agent03_Savings!A53="","","SV"&amp;TEXT(448-3,"0000")&amp;"-"&amp;TEXT(TODAY(),"YYYYMMDD"))</f>
        <v/>
      </c>
      <c r="C448" s="37" t="str">
        <f>IF(Agent03_Savings!A53="","",Agent03_Savings!B53)</f>
        <v/>
      </c>
      <c r="D448" s="37" t="str">
        <f>IF(Agent03_Savings!A53="","",Agent03_Savings!G53)</f>
        <v/>
      </c>
      <c r="E448" s="38" t="str">
        <f>IF(Agent03_Savings!A53="","",Agent03_Savings!D53)</f>
        <v/>
      </c>
      <c r="F448" s="39" t="str">
        <f>IF(Agent03_Savings!A53="","",Agent03_Savings!E53)</f>
        <v/>
      </c>
      <c r="G448" s="39" t="str">
        <f>IF(Agent03_Savings!A53="","",Agent03_Savings!F53)</f>
        <v/>
      </c>
      <c r="H448" s="37" t="str">
        <f>IF(Agent03_Savings!A53="","",Agent03_Savings!I53)</f>
        <v/>
      </c>
      <c r="I448" s="37" t="str">
        <f>IF(Agent03_Savings!A53="","",Agent03_Savings!J53)</f>
        <v/>
      </c>
      <c r="J448" s="37" t="str">
        <f>IF(Agent03_Savings!A53="","",Agent03_Savings!K53)</f>
        <v/>
      </c>
      <c r="K448" s="37" t="str">
        <f>IFERROR(IF(Agent03_Savings!A53="","",YEAR(Agent03_Savings!D53)),"")</f>
        <v/>
      </c>
    </row>
    <row r="449" spans="1:11" ht="18" customHeight="1" x14ac:dyDescent="0.25">
      <c r="A449" s="37" t="str">
        <f>IF(Agent03_Savings!A54="","",Agent03_Savings!A54)</f>
        <v/>
      </c>
      <c r="B449" s="37" t="str">
        <f ca="1">IF(Agent03_Savings!A54="","","SV"&amp;TEXT(449-3,"0000")&amp;"-"&amp;TEXT(TODAY(),"YYYYMMDD"))</f>
        <v/>
      </c>
      <c r="C449" s="37" t="str">
        <f>IF(Agent03_Savings!A54="","",Agent03_Savings!B54)</f>
        <v/>
      </c>
      <c r="D449" s="37" t="str">
        <f>IF(Agent03_Savings!A54="","",Agent03_Savings!G54)</f>
        <v/>
      </c>
      <c r="E449" s="38" t="str">
        <f>IF(Agent03_Savings!A54="","",Agent03_Savings!D54)</f>
        <v/>
      </c>
      <c r="F449" s="39" t="str">
        <f>IF(Agent03_Savings!A54="","",Agent03_Savings!E54)</f>
        <v/>
      </c>
      <c r="G449" s="39" t="str">
        <f>IF(Agent03_Savings!A54="","",Agent03_Savings!F54)</f>
        <v/>
      </c>
      <c r="H449" s="37" t="str">
        <f>IF(Agent03_Savings!A54="","",Agent03_Savings!I54)</f>
        <v/>
      </c>
      <c r="I449" s="37" t="str">
        <f>IF(Agent03_Savings!A54="","",Agent03_Savings!J54)</f>
        <v/>
      </c>
      <c r="J449" s="37" t="str">
        <f>IF(Agent03_Savings!A54="","",Agent03_Savings!K54)</f>
        <v/>
      </c>
      <c r="K449" s="37" t="str">
        <f>IFERROR(IF(Agent03_Savings!A54="","",YEAR(Agent03_Savings!D54)),"")</f>
        <v/>
      </c>
    </row>
    <row r="450" spans="1:11" ht="18" customHeight="1" x14ac:dyDescent="0.25">
      <c r="A450" s="37" t="str">
        <f>IF(Agent03_Savings!A55="","",Agent03_Savings!A55)</f>
        <v/>
      </c>
      <c r="B450" s="37" t="str">
        <f ca="1">IF(Agent03_Savings!A55="","","SV"&amp;TEXT(450-3,"0000")&amp;"-"&amp;TEXT(TODAY(),"YYYYMMDD"))</f>
        <v/>
      </c>
      <c r="C450" s="37" t="str">
        <f>IF(Agent03_Savings!A55="","",Agent03_Savings!B55)</f>
        <v/>
      </c>
      <c r="D450" s="37" t="str">
        <f>IF(Agent03_Savings!A55="","",Agent03_Savings!G55)</f>
        <v/>
      </c>
      <c r="E450" s="38" t="str">
        <f>IF(Agent03_Savings!A55="","",Agent03_Savings!D55)</f>
        <v/>
      </c>
      <c r="F450" s="39" t="str">
        <f>IF(Agent03_Savings!A55="","",Agent03_Savings!E55)</f>
        <v/>
      </c>
      <c r="G450" s="39" t="str">
        <f>IF(Agent03_Savings!A55="","",Agent03_Savings!F55)</f>
        <v/>
      </c>
      <c r="H450" s="37" t="str">
        <f>IF(Agent03_Savings!A55="","",Agent03_Savings!I55)</f>
        <v/>
      </c>
      <c r="I450" s="37" t="str">
        <f>IF(Agent03_Savings!A55="","",Agent03_Savings!J55)</f>
        <v/>
      </c>
      <c r="J450" s="37" t="str">
        <f>IF(Agent03_Savings!A55="","",Agent03_Savings!K55)</f>
        <v/>
      </c>
      <c r="K450" s="37" t="str">
        <f>IFERROR(IF(Agent03_Savings!A55="","",YEAR(Agent03_Savings!D55)),"")</f>
        <v/>
      </c>
    </row>
    <row r="451" spans="1:11" ht="18" customHeight="1" x14ac:dyDescent="0.25">
      <c r="A451" s="37" t="str">
        <f>IF(Agent03_Savings!A56="","",Agent03_Savings!A56)</f>
        <v/>
      </c>
      <c r="B451" s="37" t="str">
        <f ca="1">IF(Agent03_Savings!A56="","","SV"&amp;TEXT(451-3,"0000")&amp;"-"&amp;TEXT(TODAY(),"YYYYMMDD"))</f>
        <v/>
      </c>
      <c r="C451" s="37" t="str">
        <f>IF(Agent03_Savings!A56="","",Agent03_Savings!B56)</f>
        <v/>
      </c>
      <c r="D451" s="37" t="str">
        <f>IF(Agent03_Savings!A56="","",Agent03_Savings!G56)</f>
        <v/>
      </c>
      <c r="E451" s="38" t="str">
        <f>IF(Agent03_Savings!A56="","",Agent03_Savings!D56)</f>
        <v/>
      </c>
      <c r="F451" s="39" t="str">
        <f>IF(Agent03_Savings!A56="","",Agent03_Savings!E56)</f>
        <v/>
      </c>
      <c r="G451" s="39" t="str">
        <f>IF(Agent03_Savings!A56="","",Agent03_Savings!F56)</f>
        <v/>
      </c>
      <c r="H451" s="37" t="str">
        <f>IF(Agent03_Savings!A56="","",Agent03_Savings!I56)</f>
        <v/>
      </c>
      <c r="I451" s="37" t="str">
        <f>IF(Agent03_Savings!A56="","",Agent03_Savings!J56)</f>
        <v/>
      </c>
      <c r="J451" s="37" t="str">
        <f>IF(Agent03_Savings!A56="","",Agent03_Savings!K56)</f>
        <v/>
      </c>
      <c r="K451" s="37" t="str">
        <f>IFERROR(IF(Agent03_Savings!A56="","",YEAR(Agent03_Savings!D56)),"")</f>
        <v/>
      </c>
    </row>
    <row r="452" spans="1:11" ht="18" customHeight="1" x14ac:dyDescent="0.25">
      <c r="A452" s="37" t="str">
        <f>IF(Agent03_Savings!A57="","",Agent03_Savings!A57)</f>
        <v/>
      </c>
      <c r="B452" s="37" t="str">
        <f ca="1">IF(Agent03_Savings!A57="","","SV"&amp;TEXT(452-3,"0000")&amp;"-"&amp;TEXT(TODAY(),"YYYYMMDD"))</f>
        <v/>
      </c>
      <c r="C452" s="37" t="str">
        <f>IF(Agent03_Savings!A57="","",Agent03_Savings!B57)</f>
        <v/>
      </c>
      <c r="D452" s="37" t="str">
        <f>IF(Agent03_Savings!A57="","",Agent03_Savings!G57)</f>
        <v/>
      </c>
      <c r="E452" s="38" t="str">
        <f>IF(Agent03_Savings!A57="","",Agent03_Savings!D57)</f>
        <v/>
      </c>
      <c r="F452" s="39" t="str">
        <f>IF(Agent03_Savings!A57="","",Agent03_Savings!E57)</f>
        <v/>
      </c>
      <c r="G452" s="39" t="str">
        <f>IF(Agent03_Savings!A57="","",Agent03_Savings!F57)</f>
        <v/>
      </c>
      <c r="H452" s="37" t="str">
        <f>IF(Agent03_Savings!A57="","",Agent03_Savings!I57)</f>
        <v/>
      </c>
      <c r="I452" s="37" t="str">
        <f>IF(Agent03_Savings!A57="","",Agent03_Savings!J57)</f>
        <v/>
      </c>
      <c r="J452" s="37" t="str">
        <f>IF(Agent03_Savings!A57="","",Agent03_Savings!K57)</f>
        <v/>
      </c>
      <c r="K452" s="37" t="str">
        <f>IFERROR(IF(Agent03_Savings!A57="","",YEAR(Agent03_Savings!D57)),"")</f>
        <v/>
      </c>
    </row>
    <row r="453" spans="1:11" ht="18" customHeight="1" x14ac:dyDescent="0.25">
      <c r="A453" s="37" t="str">
        <f>IF(Agent03_Savings!A58="","",Agent03_Savings!A58)</f>
        <v/>
      </c>
      <c r="B453" s="37" t="str">
        <f ca="1">IF(Agent03_Savings!A58="","","SV"&amp;TEXT(453-3,"0000")&amp;"-"&amp;TEXT(TODAY(),"YYYYMMDD"))</f>
        <v/>
      </c>
      <c r="C453" s="37" t="str">
        <f>IF(Agent03_Savings!A58="","",Agent03_Savings!B58)</f>
        <v/>
      </c>
      <c r="D453" s="37" t="str">
        <f>IF(Agent03_Savings!A58="","",Agent03_Savings!G58)</f>
        <v/>
      </c>
      <c r="E453" s="38" t="str">
        <f>IF(Agent03_Savings!A58="","",Agent03_Savings!D58)</f>
        <v/>
      </c>
      <c r="F453" s="39" t="str">
        <f>IF(Agent03_Savings!A58="","",Agent03_Savings!E58)</f>
        <v/>
      </c>
      <c r="G453" s="39" t="str">
        <f>IF(Agent03_Savings!A58="","",Agent03_Savings!F58)</f>
        <v/>
      </c>
      <c r="H453" s="37" t="str">
        <f>IF(Agent03_Savings!A58="","",Agent03_Savings!I58)</f>
        <v/>
      </c>
      <c r="I453" s="37" t="str">
        <f>IF(Agent03_Savings!A58="","",Agent03_Savings!J58)</f>
        <v/>
      </c>
      <c r="J453" s="37" t="str">
        <f>IF(Agent03_Savings!A58="","",Agent03_Savings!K58)</f>
        <v/>
      </c>
      <c r="K453" s="37" t="str">
        <f>IFERROR(IF(Agent03_Savings!A58="","",YEAR(Agent03_Savings!D58)),"")</f>
        <v/>
      </c>
    </row>
    <row r="454" spans="1:11" ht="18" customHeight="1" x14ac:dyDescent="0.25">
      <c r="A454" s="37" t="str">
        <f>IF(Agent03_Savings!A59="","",Agent03_Savings!A59)</f>
        <v/>
      </c>
      <c r="B454" s="37" t="str">
        <f ca="1">IF(Agent03_Savings!A59="","","SV"&amp;TEXT(454-3,"0000")&amp;"-"&amp;TEXT(TODAY(),"YYYYMMDD"))</f>
        <v/>
      </c>
      <c r="C454" s="37" t="str">
        <f>IF(Agent03_Savings!A59="","",Agent03_Savings!B59)</f>
        <v/>
      </c>
      <c r="D454" s="37" t="str">
        <f>IF(Agent03_Savings!A59="","",Agent03_Savings!G59)</f>
        <v/>
      </c>
      <c r="E454" s="38" t="str">
        <f>IF(Agent03_Savings!A59="","",Agent03_Savings!D59)</f>
        <v/>
      </c>
      <c r="F454" s="39" t="str">
        <f>IF(Agent03_Savings!A59="","",Agent03_Savings!E59)</f>
        <v/>
      </c>
      <c r="G454" s="39" t="str">
        <f>IF(Agent03_Savings!A59="","",Agent03_Savings!F59)</f>
        <v/>
      </c>
      <c r="H454" s="37" t="str">
        <f>IF(Agent03_Savings!A59="","",Agent03_Savings!I59)</f>
        <v/>
      </c>
      <c r="I454" s="37" t="str">
        <f>IF(Agent03_Savings!A59="","",Agent03_Savings!J59)</f>
        <v/>
      </c>
      <c r="J454" s="37" t="str">
        <f>IF(Agent03_Savings!A59="","",Agent03_Savings!K59)</f>
        <v/>
      </c>
      <c r="K454" s="37" t="str">
        <f>IFERROR(IF(Agent03_Savings!A59="","",YEAR(Agent03_Savings!D59)),"")</f>
        <v/>
      </c>
    </row>
    <row r="455" spans="1:11" ht="18" customHeight="1" x14ac:dyDescent="0.25">
      <c r="A455" s="37" t="str">
        <f>IF(Agent03_Savings!A60="","",Agent03_Savings!A60)</f>
        <v/>
      </c>
      <c r="B455" s="37" t="str">
        <f ca="1">IF(Agent03_Savings!A60="","","SV"&amp;TEXT(455-3,"0000")&amp;"-"&amp;TEXT(TODAY(),"YYYYMMDD"))</f>
        <v/>
      </c>
      <c r="C455" s="37" t="str">
        <f>IF(Agent03_Savings!A60="","",Agent03_Savings!B60)</f>
        <v/>
      </c>
      <c r="D455" s="37" t="str">
        <f>IF(Agent03_Savings!A60="","",Agent03_Savings!G60)</f>
        <v/>
      </c>
      <c r="E455" s="38" t="str">
        <f>IF(Agent03_Savings!A60="","",Agent03_Savings!D60)</f>
        <v/>
      </c>
      <c r="F455" s="39" t="str">
        <f>IF(Agent03_Savings!A60="","",Agent03_Savings!E60)</f>
        <v/>
      </c>
      <c r="G455" s="39" t="str">
        <f>IF(Agent03_Savings!A60="","",Agent03_Savings!F60)</f>
        <v/>
      </c>
      <c r="H455" s="37" t="str">
        <f>IF(Agent03_Savings!A60="","",Agent03_Savings!I60)</f>
        <v/>
      </c>
      <c r="I455" s="37" t="str">
        <f>IF(Agent03_Savings!A60="","",Agent03_Savings!J60)</f>
        <v/>
      </c>
      <c r="J455" s="37" t="str">
        <f>IF(Agent03_Savings!A60="","",Agent03_Savings!K60)</f>
        <v/>
      </c>
      <c r="K455" s="37" t="str">
        <f>IFERROR(IF(Agent03_Savings!A60="","",YEAR(Agent03_Savings!D60)),"")</f>
        <v/>
      </c>
    </row>
    <row r="456" spans="1:11" ht="18" customHeight="1" x14ac:dyDescent="0.25">
      <c r="A456" s="37" t="str">
        <f>IF(Agent03_Savings!A61="","",Agent03_Savings!A61)</f>
        <v/>
      </c>
      <c r="B456" s="37" t="str">
        <f ca="1">IF(Agent03_Savings!A61="","","SV"&amp;TEXT(456-3,"0000")&amp;"-"&amp;TEXT(TODAY(),"YYYYMMDD"))</f>
        <v/>
      </c>
      <c r="C456" s="37" t="str">
        <f>IF(Agent03_Savings!A61="","",Agent03_Savings!B61)</f>
        <v/>
      </c>
      <c r="D456" s="37" t="str">
        <f>IF(Agent03_Savings!A61="","",Agent03_Savings!G61)</f>
        <v/>
      </c>
      <c r="E456" s="38" t="str">
        <f>IF(Agent03_Savings!A61="","",Agent03_Savings!D61)</f>
        <v/>
      </c>
      <c r="F456" s="39" t="str">
        <f>IF(Agent03_Savings!A61="","",Agent03_Savings!E61)</f>
        <v/>
      </c>
      <c r="G456" s="39" t="str">
        <f>IF(Agent03_Savings!A61="","",Agent03_Savings!F61)</f>
        <v/>
      </c>
      <c r="H456" s="37" t="str">
        <f>IF(Agent03_Savings!A61="","",Agent03_Savings!I61)</f>
        <v/>
      </c>
      <c r="I456" s="37" t="str">
        <f>IF(Agent03_Savings!A61="","",Agent03_Savings!J61)</f>
        <v/>
      </c>
      <c r="J456" s="37" t="str">
        <f>IF(Agent03_Savings!A61="","",Agent03_Savings!K61)</f>
        <v/>
      </c>
      <c r="K456" s="37" t="str">
        <f>IFERROR(IF(Agent03_Savings!A61="","",YEAR(Agent03_Savings!D61)),"")</f>
        <v/>
      </c>
    </row>
    <row r="457" spans="1:11" ht="18" customHeight="1" x14ac:dyDescent="0.25">
      <c r="A457" s="37" t="str">
        <f>IF(Agent03_Savings!A62="","",Agent03_Savings!A62)</f>
        <v/>
      </c>
      <c r="B457" s="37" t="str">
        <f ca="1">IF(Agent03_Savings!A62="","","SV"&amp;TEXT(457-3,"0000")&amp;"-"&amp;TEXT(TODAY(),"YYYYMMDD"))</f>
        <v/>
      </c>
      <c r="C457" s="37" t="str">
        <f>IF(Agent03_Savings!A62="","",Agent03_Savings!B62)</f>
        <v/>
      </c>
      <c r="D457" s="37" t="str">
        <f>IF(Agent03_Savings!A62="","",Agent03_Savings!G62)</f>
        <v/>
      </c>
      <c r="E457" s="38" t="str">
        <f>IF(Agent03_Savings!A62="","",Agent03_Savings!D62)</f>
        <v/>
      </c>
      <c r="F457" s="39" t="str">
        <f>IF(Agent03_Savings!A62="","",Agent03_Savings!E62)</f>
        <v/>
      </c>
      <c r="G457" s="39" t="str">
        <f>IF(Agent03_Savings!A62="","",Agent03_Savings!F62)</f>
        <v/>
      </c>
      <c r="H457" s="37" t="str">
        <f>IF(Agent03_Savings!A62="","",Agent03_Savings!I62)</f>
        <v/>
      </c>
      <c r="I457" s="37" t="str">
        <f>IF(Agent03_Savings!A62="","",Agent03_Savings!J62)</f>
        <v/>
      </c>
      <c r="J457" s="37" t="str">
        <f>IF(Agent03_Savings!A62="","",Agent03_Savings!K62)</f>
        <v/>
      </c>
      <c r="K457" s="37" t="str">
        <f>IFERROR(IF(Agent03_Savings!A62="","",YEAR(Agent03_Savings!D62)),"")</f>
        <v/>
      </c>
    </row>
    <row r="458" spans="1:11" ht="18" customHeight="1" x14ac:dyDescent="0.25">
      <c r="A458" s="37" t="str">
        <f>IF(Agent03_Savings!A63="","",Agent03_Savings!A63)</f>
        <v/>
      </c>
      <c r="B458" s="37" t="str">
        <f ca="1">IF(Agent03_Savings!A63="","","SV"&amp;TEXT(458-3,"0000")&amp;"-"&amp;TEXT(TODAY(),"YYYYMMDD"))</f>
        <v/>
      </c>
      <c r="C458" s="37" t="str">
        <f>IF(Agent03_Savings!A63="","",Agent03_Savings!B63)</f>
        <v/>
      </c>
      <c r="D458" s="37" t="str">
        <f>IF(Agent03_Savings!A63="","",Agent03_Savings!G63)</f>
        <v/>
      </c>
      <c r="E458" s="38" t="str">
        <f>IF(Agent03_Savings!A63="","",Agent03_Savings!D63)</f>
        <v/>
      </c>
      <c r="F458" s="39" t="str">
        <f>IF(Agent03_Savings!A63="","",Agent03_Savings!E63)</f>
        <v/>
      </c>
      <c r="G458" s="39" t="str">
        <f>IF(Agent03_Savings!A63="","",Agent03_Savings!F63)</f>
        <v/>
      </c>
      <c r="H458" s="37" t="str">
        <f>IF(Agent03_Savings!A63="","",Agent03_Savings!I63)</f>
        <v/>
      </c>
      <c r="I458" s="37" t="str">
        <f>IF(Agent03_Savings!A63="","",Agent03_Savings!J63)</f>
        <v/>
      </c>
      <c r="J458" s="37" t="str">
        <f>IF(Agent03_Savings!A63="","",Agent03_Savings!K63)</f>
        <v/>
      </c>
      <c r="K458" s="37" t="str">
        <f>IFERROR(IF(Agent03_Savings!A63="","",YEAR(Agent03_Savings!D63)),"")</f>
        <v/>
      </c>
    </row>
    <row r="459" spans="1:11" ht="18" customHeight="1" x14ac:dyDescent="0.25">
      <c r="A459" s="37" t="str">
        <f>IF(Agent03_Savings!A64="","",Agent03_Savings!A64)</f>
        <v/>
      </c>
      <c r="B459" s="37" t="str">
        <f ca="1">IF(Agent03_Savings!A64="","","SV"&amp;TEXT(459-3,"0000")&amp;"-"&amp;TEXT(TODAY(),"YYYYMMDD"))</f>
        <v/>
      </c>
      <c r="C459" s="37" t="str">
        <f>IF(Agent03_Savings!A64="","",Agent03_Savings!B64)</f>
        <v/>
      </c>
      <c r="D459" s="37" t="str">
        <f>IF(Agent03_Savings!A64="","",Agent03_Savings!G64)</f>
        <v/>
      </c>
      <c r="E459" s="38" t="str">
        <f>IF(Agent03_Savings!A64="","",Agent03_Savings!D64)</f>
        <v/>
      </c>
      <c r="F459" s="39" t="str">
        <f>IF(Agent03_Savings!A64="","",Agent03_Savings!E64)</f>
        <v/>
      </c>
      <c r="G459" s="39" t="str">
        <f>IF(Agent03_Savings!A64="","",Agent03_Savings!F64)</f>
        <v/>
      </c>
      <c r="H459" s="37" t="str">
        <f>IF(Agent03_Savings!A64="","",Agent03_Savings!I64)</f>
        <v/>
      </c>
      <c r="I459" s="37" t="str">
        <f>IF(Agent03_Savings!A64="","",Agent03_Savings!J64)</f>
        <v/>
      </c>
      <c r="J459" s="37" t="str">
        <f>IF(Agent03_Savings!A64="","",Agent03_Savings!K64)</f>
        <v/>
      </c>
      <c r="K459" s="37" t="str">
        <f>IFERROR(IF(Agent03_Savings!A64="","",YEAR(Agent03_Savings!D64)),"")</f>
        <v/>
      </c>
    </row>
    <row r="460" spans="1:11" ht="18" customHeight="1" x14ac:dyDescent="0.25">
      <c r="A460" s="37" t="str">
        <f>IF(Agent03_Savings!A65="","",Agent03_Savings!A65)</f>
        <v/>
      </c>
      <c r="B460" s="37" t="str">
        <f ca="1">IF(Agent03_Savings!A65="","","SV"&amp;TEXT(460-3,"0000")&amp;"-"&amp;TEXT(TODAY(),"YYYYMMDD"))</f>
        <v/>
      </c>
      <c r="C460" s="37" t="str">
        <f>IF(Agent03_Savings!A65="","",Agent03_Savings!B65)</f>
        <v/>
      </c>
      <c r="D460" s="37" t="str">
        <f>IF(Agent03_Savings!A65="","",Agent03_Savings!G65)</f>
        <v/>
      </c>
      <c r="E460" s="38" t="str">
        <f>IF(Agent03_Savings!A65="","",Agent03_Savings!D65)</f>
        <v/>
      </c>
      <c r="F460" s="39" t="str">
        <f>IF(Agent03_Savings!A65="","",Agent03_Savings!E65)</f>
        <v/>
      </c>
      <c r="G460" s="39" t="str">
        <f>IF(Agent03_Savings!A65="","",Agent03_Savings!F65)</f>
        <v/>
      </c>
      <c r="H460" s="37" t="str">
        <f>IF(Agent03_Savings!A65="","",Agent03_Savings!I65)</f>
        <v/>
      </c>
      <c r="I460" s="37" t="str">
        <f>IF(Agent03_Savings!A65="","",Agent03_Savings!J65)</f>
        <v/>
      </c>
      <c r="J460" s="37" t="str">
        <f>IF(Agent03_Savings!A65="","",Agent03_Savings!K65)</f>
        <v/>
      </c>
      <c r="K460" s="37" t="str">
        <f>IFERROR(IF(Agent03_Savings!A65="","",YEAR(Agent03_Savings!D65)),"")</f>
        <v/>
      </c>
    </row>
    <row r="461" spans="1:11" ht="18" customHeight="1" x14ac:dyDescent="0.25">
      <c r="A461" s="37" t="str">
        <f>IF(Agent03_Savings!A66="","",Agent03_Savings!A66)</f>
        <v/>
      </c>
      <c r="B461" s="37" t="str">
        <f ca="1">IF(Agent03_Savings!A66="","","SV"&amp;TEXT(461-3,"0000")&amp;"-"&amp;TEXT(TODAY(),"YYYYMMDD"))</f>
        <v/>
      </c>
      <c r="C461" s="37" t="str">
        <f>IF(Agent03_Savings!A66="","",Agent03_Savings!B66)</f>
        <v/>
      </c>
      <c r="D461" s="37" t="str">
        <f>IF(Agent03_Savings!A66="","",Agent03_Savings!G66)</f>
        <v/>
      </c>
      <c r="E461" s="38" t="str">
        <f>IF(Agent03_Savings!A66="","",Agent03_Savings!D66)</f>
        <v/>
      </c>
      <c r="F461" s="39" t="str">
        <f>IF(Agent03_Savings!A66="","",Agent03_Savings!E66)</f>
        <v/>
      </c>
      <c r="G461" s="39" t="str">
        <f>IF(Agent03_Savings!A66="","",Agent03_Savings!F66)</f>
        <v/>
      </c>
      <c r="H461" s="37" t="str">
        <f>IF(Agent03_Savings!A66="","",Agent03_Savings!I66)</f>
        <v/>
      </c>
      <c r="I461" s="37" t="str">
        <f>IF(Agent03_Savings!A66="","",Agent03_Savings!J66)</f>
        <v/>
      </c>
      <c r="J461" s="37" t="str">
        <f>IF(Agent03_Savings!A66="","",Agent03_Savings!K66)</f>
        <v/>
      </c>
      <c r="K461" s="37" t="str">
        <f>IFERROR(IF(Agent03_Savings!A66="","",YEAR(Agent03_Savings!D66)),"")</f>
        <v/>
      </c>
    </row>
    <row r="462" spans="1:11" ht="18" customHeight="1" x14ac:dyDescent="0.25">
      <c r="A462" s="37" t="str">
        <f>IF(Agent03_Savings!A67="","",Agent03_Savings!A67)</f>
        <v/>
      </c>
      <c r="B462" s="37" t="str">
        <f ca="1">IF(Agent03_Savings!A67="","","SV"&amp;TEXT(462-3,"0000")&amp;"-"&amp;TEXT(TODAY(),"YYYYMMDD"))</f>
        <v/>
      </c>
      <c r="C462" s="37" t="str">
        <f>IF(Agent03_Savings!A67="","",Agent03_Savings!B67)</f>
        <v/>
      </c>
      <c r="D462" s="37" t="str">
        <f>IF(Agent03_Savings!A67="","",Agent03_Savings!G67)</f>
        <v/>
      </c>
      <c r="E462" s="38" t="str">
        <f>IF(Agent03_Savings!A67="","",Agent03_Savings!D67)</f>
        <v/>
      </c>
      <c r="F462" s="39" t="str">
        <f>IF(Agent03_Savings!A67="","",Agent03_Savings!E67)</f>
        <v/>
      </c>
      <c r="G462" s="39" t="str">
        <f>IF(Agent03_Savings!A67="","",Agent03_Savings!F67)</f>
        <v/>
      </c>
      <c r="H462" s="37" t="str">
        <f>IF(Agent03_Savings!A67="","",Agent03_Savings!I67)</f>
        <v/>
      </c>
      <c r="I462" s="37" t="str">
        <f>IF(Agent03_Savings!A67="","",Agent03_Savings!J67)</f>
        <v/>
      </c>
      <c r="J462" s="37" t="str">
        <f>IF(Agent03_Savings!A67="","",Agent03_Savings!K67)</f>
        <v/>
      </c>
      <c r="K462" s="37" t="str">
        <f>IFERROR(IF(Agent03_Savings!A67="","",YEAR(Agent03_Savings!D67)),"")</f>
        <v/>
      </c>
    </row>
    <row r="463" spans="1:11" ht="18" customHeight="1" x14ac:dyDescent="0.25">
      <c r="A463" s="37" t="str">
        <f>IF(Agent03_Savings!A68="","",Agent03_Savings!A68)</f>
        <v/>
      </c>
      <c r="B463" s="37" t="str">
        <f ca="1">IF(Agent03_Savings!A68="","","SV"&amp;TEXT(463-3,"0000")&amp;"-"&amp;TEXT(TODAY(),"YYYYMMDD"))</f>
        <v/>
      </c>
      <c r="C463" s="37" t="str">
        <f>IF(Agent03_Savings!A68="","",Agent03_Savings!B68)</f>
        <v/>
      </c>
      <c r="D463" s="37" t="str">
        <f>IF(Agent03_Savings!A68="","",Agent03_Savings!G68)</f>
        <v/>
      </c>
      <c r="E463" s="38" t="str">
        <f>IF(Agent03_Savings!A68="","",Agent03_Savings!D68)</f>
        <v/>
      </c>
      <c r="F463" s="39" t="str">
        <f>IF(Agent03_Savings!A68="","",Agent03_Savings!E68)</f>
        <v/>
      </c>
      <c r="G463" s="39" t="str">
        <f>IF(Agent03_Savings!A68="","",Agent03_Savings!F68)</f>
        <v/>
      </c>
      <c r="H463" s="37" t="str">
        <f>IF(Agent03_Savings!A68="","",Agent03_Savings!I68)</f>
        <v/>
      </c>
      <c r="I463" s="37" t="str">
        <f>IF(Agent03_Savings!A68="","",Agent03_Savings!J68)</f>
        <v/>
      </c>
      <c r="J463" s="37" t="str">
        <f>IF(Agent03_Savings!A68="","",Agent03_Savings!K68)</f>
        <v/>
      </c>
      <c r="K463" s="37" t="str">
        <f>IFERROR(IF(Agent03_Savings!A68="","",YEAR(Agent03_Savings!D68)),"")</f>
        <v/>
      </c>
    </row>
    <row r="464" spans="1:11" ht="18" customHeight="1" x14ac:dyDescent="0.25">
      <c r="A464" s="37" t="str">
        <f>IF(Agent03_Savings!A69="","",Agent03_Savings!A69)</f>
        <v/>
      </c>
      <c r="B464" s="37" t="str">
        <f ca="1">IF(Agent03_Savings!A69="","","SV"&amp;TEXT(464-3,"0000")&amp;"-"&amp;TEXT(TODAY(),"YYYYMMDD"))</f>
        <v/>
      </c>
      <c r="C464" s="37" t="str">
        <f>IF(Agent03_Savings!A69="","",Agent03_Savings!B69)</f>
        <v/>
      </c>
      <c r="D464" s="37" t="str">
        <f>IF(Agent03_Savings!A69="","",Agent03_Savings!G69)</f>
        <v/>
      </c>
      <c r="E464" s="38" t="str">
        <f>IF(Agent03_Savings!A69="","",Agent03_Savings!D69)</f>
        <v/>
      </c>
      <c r="F464" s="39" t="str">
        <f>IF(Agent03_Savings!A69="","",Agent03_Savings!E69)</f>
        <v/>
      </c>
      <c r="G464" s="39" t="str">
        <f>IF(Agent03_Savings!A69="","",Agent03_Savings!F69)</f>
        <v/>
      </c>
      <c r="H464" s="37" t="str">
        <f>IF(Agent03_Savings!A69="","",Agent03_Savings!I69)</f>
        <v/>
      </c>
      <c r="I464" s="37" t="str">
        <f>IF(Agent03_Savings!A69="","",Agent03_Savings!J69)</f>
        <v/>
      </c>
      <c r="J464" s="37" t="str">
        <f>IF(Agent03_Savings!A69="","",Agent03_Savings!K69)</f>
        <v/>
      </c>
      <c r="K464" s="37" t="str">
        <f>IFERROR(IF(Agent03_Savings!A69="","",YEAR(Agent03_Savings!D69)),"")</f>
        <v/>
      </c>
    </row>
    <row r="465" spans="1:11" ht="18" customHeight="1" x14ac:dyDescent="0.25">
      <c r="A465" s="37" t="str">
        <f>IF(Agent03_Savings!A70="","",Agent03_Savings!A70)</f>
        <v/>
      </c>
      <c r="B465" s="37" t="str">
        <f ca="1">IF(Agent03_Savings!A70="","","SV"&amp;TEXT(465-3,"0000")&amp;"-"&amp;TEXT(TODAY(),"YYYYMMDD"))</f>
        <v/>
      </c>
      <c r="C465" s="37" t="str">
        <f>IF(Agent03_Savings!A70="","",Agent03_Savings!B70)</f>
        <v/>
      </c>
      <c r="D465" s="37" t="str">
        <f>IF(Agent03_Savings!A70="","",Agent03_Savings!G70)</f>
        <v/>
      </c>
      <c r="E465" s="38" t="str">
        <f>IF(Agent03_Savings!A70="","",Agent03_Savings!D70)</f>
        <v/>
      </c>
      <c r="F465" s="39" t="str">
        <f>IF(Agent03_Savings!A70="","",Agent03_Savings!E70)</f>
        <v/>
      </c>
      <c r="G465" s="39" t="str">
        <f>IF(Agent03_Savings!A70="","",Agent03_Savings!F70)</f>
        <v/>
      </c>
      <c r="H465" s="37" t="str">
        <f>IF(Agent03_Savings!A70="","",Agent03_Savings!I70)</f>
        <v/>
      </c>
      <c r="I465" s="37" t="str">
        <f>IF(Agent03_Savings!A70="","",Agent03_Savings!J70)</f>
        <v/>
      </c>
      <c r="J465" s="37" t="str">
        <f>IF(Agent03_Savings!A70="","",Agent03_Savings!K70)</f>
        <v/>
      </c>
      <c r="K465" s="37" t="str">
        <f>IFERROR(IF(Agent03_Savings!A70="","",YEAR(Agent03_Savings!D70)),"")</f>
        <v/>
      </c>
    </row>
    <row r="466" spans="1:11" ht="18" customHeight="1" x14ac:dyDescent="0.25">
      <c r="A466" s="37" t="str">
        <f>IF(Agent03_Savings!A71="","",Agent03_Savings!A71)</f>
        <v/>
      </c>
      <c r="B466" s="37" t="str">
        <f ca="1">IF(Agent03_Savings!A71="","","SV"&amp;TEXT(466-3,"0000")&amp;"-"&amp;TEXT(TODAY(),"YYYYMMDD"))</f>
        <v/>
      </c>
      <c r="C466" s="37" t="str">
        <f>IF(Agent03_Savings!A71="","",Agent03_Savings!B71)</f>
        <v/>
      </c>
      <c r="D466" s="37" t="str">
        <f>IF(Agent03_Savings!A71="","",Agent03_Savings!G71)</f>
        <v/>
      </c>
      <c r="E466" s="38" t="str">
        <f>IF(Agent03_Savings!A71="","",Agent03_Savings!D71)</f>
        <v/>
      </c>
      <c r="F466" s="39" t="str">
        <f>IF(Agent03_Savings!A71="","",Agent03_Savings!E71)</f>
        <v/>
      </c>
      <c r="G466" s="39" t="str">
        <f>IF(Agent03_Savings!A71="","",Agent03_Savings!F71)</f>
        <v/>
      </c>
      <c r="H466" s="37" t="str">
        <f>IF(Agent03_Savings!A71="","",Agent03_Savings!I71)</f>
        <v/>
      </c>
      <c r="I466" s="37" t="str">
        <f>IF(Agent03_Savings!A71="","",Agent03_Savings!J71)</f>
        <v/>
      </c>
      <c r="J466" s="37" t="str">
        <f>IF(Agent03_Savings!A71="","",Agent03_Savings!K71)</f>
        <v/>
      </c>
      <c r="K466" s="37" t="str">
        <f>IFERROR(IF(Agent03_Savings!A71="","",YEAR(Agent03_Savings!D71)),"")</f>
        <v/>
      </c>
    </row>
    <row r="467" spans="1:11" ht="18" customHeight="1" x14ac:dyDescent="0.25">
      <c r="A467" s="37" t="str">
        <f>IF(Agent03_Savings!A72="","",Agent03_Savings!A72)</f>
        <v/>
      </c>
      <c r="B467" s="37" t="str">
        <f ca="1">IF(Agent03_Savings!A72="","","SV"&amp;TEXT(467-3,"0000")&amp;"-"&amp;TEXT(TODAY(),"YYYYMMDD"))</f>
        <v/>
      </c>
      <c r="C467" s="37" t="str">
        <f>IF(Agent03_Savings!A72="","",Agent03_Savings!B72)</f>
        <v/>
      </c>
      <c r="D467" s="37" t="str">
        <f>IF(Agent03_Savings!A72="","",Agent03_Savings!G72)</f>
        <v/>
      </c>
      <c r="E467" s="38" t="str">
        <f>IF(Agent03_Savings!A72="","",Agent03_Savings!D72)</f>
        <v/>
      </c>
      <c r="F467" s="39" t="str">
        <f>IF(Agent03_Savings!A72="","",Agent03_Savings!E72)</f>
        <v/>
      </c>
      <c r="G467" s="39" t="str">
        <f>IF(Agent03_Savings!A72="","",Agent03_Savings!F72)</f>
        <v/>
      </c>
      <c r="H467" s="37" t="str">
        <f>IF(Agent03_Savings!A72="","",Agent03_Savings!I72)</f>
        <v/>
      </c>
      <c r="I467" s="37" t="str">
        <f>IF(Agent03_Savings!A72="","",Agent03_Savings!J72)</f>
        <v/>
      </c>
      <c r="J467" s="37" t="str">
        <f>IF(Agent03_Savings!A72="","",Agent03_Savings!K72)</f>
        <v/>
      </c>
      <c r="K467" s="37" t="str">
        <f>IFERROR(IF(Agent03_Savings!A72="","",YEAR(Agent03_Savings!D72)),"")</f>
        <v/>
      </c>
    </row>
    <row r="468" spans="1:11" ht="18" customHeight="1" x14ac:dyDescent="0.25">
      <c r="A468" s="37" t="str">
        <f>IF(Agent03_Savings!A73="","",Agent03_Savings!A73)</f>
        <v/>
      </c>
      <c r="B468" s="37" t="str">
        <f ca="1">IF(Agent03_Savings!A73="","","SV"&amp;TEXT(468-3,"0000")&amp;"-"&amp;TEXT(TODAY(),"YYYYMMDD"))</f>
        <v/>
      </c>
      <c r="C468" s="37" t="str">
        <f>IF(Agent03_Savings!A73="","",Agent03_Savings!B73)</f>
        <v/>
      </c>
      <c r="D468" s="37" t="str">
        <f>IF(Agent03_Savings!A73="","",Agent03_Savings!G73)</f>
        <v/>
      </c>
      <c r="E468" s="38" t="str">
        <f>IF(Agent03_Savings!A73="","",Agent03_Savings!D73)</f>
        <v/>
      </c>
      <c r="F468" s="39" t="str">
        <f>IF(Agent03_Savings!A73="","",Agent03_Savings!E73)</f>
        <v/>
      </c>
      <c r="G468" s="39" t="str">
        <f>IF(Agent03_Savings!A73="","",Agent03_Savings!F73)</f>
        <v/>
      </c>
      <c r="H468" s="37" t="str">
        <f>IF(Agent03_Savings!A73="","",Agent03_Savings!I73)</f>
        <v/>
      </c>
      <c r="I468" s="37" t="str">
        <f>IF(Agent03_Savings!A73="","",Agent03_Savings!J73)</f>
        <v/>
      </c>
      <c r="J468" s="37" t="str">
        <f>IF(Agent03_Savings!A73="","",Agent03_Savings!K73)</f>
        <v/>
      </c>
      <c r="K468" s="37" t="str">
        <f>IFERROR(IF(Agent03_Savings!A73="","",YEAR(Agent03_Savings!D73)),"")</f>
        <v/>
      </c>
    </row>
    <row r="469" spans="1:11" ht="18" customHeight="1" x14ac:dyDescent="0.25">
      <c r="A469" s="37" t="str">
        <f>IF(Agent03_Savings!A74="","",Agent03_Savings!A74)</f>
        <v/>
      </c>
      <c r="B469" s="37" t="str">
        <f ca="1">IF(Agent03_Savings!A74="","","SV"&amp;TEXT(469-3,"0000")&amp;"-"&amp;TEXT(TODAY(),"YYYYMMDD"))</f>
        <v/>
      </c>
      <c r="C469" s="37" t="str">
        <f>IF(Agent03_Savings!A74="","",Agent03_Savings!B74)</f>
        <v/>
      </c>
      <c r="D469" s="37" t="str">
        <f>IF(Agent03_Savings!A74="","",Agent03_Savings!G74)</f>
        <v/>
      </c>
      <c r="E469" s="38" t="str">
        <f>IF(Agent03_Savings!A74="","",Agent03_Savings!D74)</f>
        <v/>
      </c>
      <c r="F469" s="39" t="str">
        <f>IF(Agent03_Savings!A74="","",Agent03_Savings!E74)</f>
        <v/>
      </c>
      <c r="G469" s="39" t="str">
        <f>IF(Agent03_Savings!A74="","",Agent03_Savings!F74)</f>
        <v/>
      </c>
      <c r="H469" s="37" t="str">
        <f>IF(Agent03_Savings!A74="","",Agent03_Savings!I74)</f>
        <v/>
      </c>
      <c r="I469" s="37" t="str">
        <f>IF(Agent03_Savings!A74="","",Agent03_Savings!J74)</f>
        <v/>
      </c>
      <c r="J469" s="37" t="str">
        <f>IF(Agent03_Savings!A74="","",Agent03_Savings!K74)</f>
        <v/>
      </c>
      <c r="K469" s="37" t="str">
        <f>IFERROR(IF(Agent03_Savings!A74="","",YEAR(Agent03_Savings!D74)),"")</f>
        <v/>
      </c>
    </row>
    <row r="470" spans="1:11" ht="18" customHeight="1" x14ac:dyDescent="0.25">
      <c r="A470" s="37" t="str">
        <f>IF(Agent03_Savings!A75="","",Agent03_Savings!A75)</f>
        <v/>
      </c>
      <c r="B470" s="37" t="str">
        <f ca="1">IF(Agent03_Savings!A75="","","SV"&amp;TEXT(470-3,"0000")&amp;"-"&amp;TEXT(TODAY(),"YYYYMMDD"))</f>
        <v/>
      </c>
      <c r="C470" s="37" t="str">
        <f>IF(Agent03_Savings!A75="","",Agent03_Savings!B75)</f>
        <v/>
      </c>
      <c r="D470" s="37" t="str">
        <f>IF(Agent03_Savings!A75="","",Agent03_Savings!G75)</f>
        <v/>
      </c>
      <c r="E470" s="38" t="str">
        <f>IF(Agent03_Savings!A75="","",Agent03_Savings!D75)</f>
        <v/>
      </c>
      <c r="F470" s="39" t="str">
        <f>IF(Agent03_Savings!A75="","",Agent03_Savings!E75)</f>
        <v/>
      </c>
      <c r="G470" s="39" t="str">
        <f>IF(Agent03_Savings!A75="","",Agent03_Savings!F75)</f>
        <v/>
      </c>
      <c r="H470" s="37" t="str">
        <f>IF(Agent03_Savings!A75="","",Agent03_Savings!I75)</f>
        <v/>
      </c>
      <c r="I470" s="37" t="str">
        <f>IF(Agent03_Savings!A75="","",Agent03_Savings!J75)</f>
        <v/>
      </c>
      <c r="J470" s="37" t="str">
        <f>IF(Agent03_Savings!A75="","",Agent03_Savings!K75)</f>
        <v/>
      </c>
      <c r="K470" s="37" t="str">
        <f>IFERROR(IF(Agent03_Savings!A75="","",YEAR(Agent03_Savings!D75)),"")</f>
        <v/>
      </c>
    </row>
    <row r="471" spans="1:11" ht="18" customHeight="1" x14ac:dyDescent="0.25">
      <c r="A471" s="37" t="str">
        <f>IF(Agent03_Savings!A76="","",Agent03_Savings!A76)</f>
        <v/>
      </c>
      <c r="B471" s="37" t="str">
        <f ca="1">IF(Agent03_Savings!A76="","","SV"&amp;TEXT(471-3,"0000")&amp;"-"&amp;TEXT(TODAY(),"YYYYMMDD"))</f>
        <v/>
      </c>
      <c r="C471" s="37" t="str">
        <f>IF(Agent03_Savings!A76="","",Agent03_Savings!B76)</f>
        <v/>
      </c>
      <c r="D471" s="37" t="str">
        <f>IF(Agent03_Savings!A76="","",Agent03_Savings!G76)</f>
        <v/>
      </c>
      <c r="E471" s="38" t="str">
        <f>IF(Agent03_Savings!A76="","",Agent03_Savings!D76)</f>
        <v/>
      </c>
      <c r="F471" s="39" t="str">
        <f>IF(Agent03_Savings!A76="","",Agent03_Savings!E76)</f>
        <v/>
      </c>
      <c r="G471" s="39" t="str">
        <f>IF(Agent03_Savings!A76="","",Agent03_Savings!F76)</f>
        <v/>
      </c>
      <c r="H471" s="37" t="str">
        <f>IF(Agent03_Savings!A76="","",Agent03_Savings!I76)</f>
        <v/>
      </c>
      <c r="I471" s="37" t="str">
        <f>IF(Agent03_Savings!A76="","",Agent03_Savings!J76)</f>
        <v/>
      </c>
      <c r="J471" s="37" t="str">
        <f>IF(Agent03_Savings!A76="","",Agent03_Savings!K76)</f>
        <v/>
      </c>
      <c r="K471" s="37" t="str">
        <f>IFERROR(IF(Agent03_Savings!A76="","",YEAR(Agent03_Savings!D76)),"")</f>
        <v/>
      </c>
    </row>
    <row r="472" spans="1:11" ht="18" customHeight="1" x14ac:dyDescent="0.25">
      <c r="A472" s="37" t="str">
        <f>IF(Agent03_Savings!A77="","",Agent03_Savings!A77)</f>
        <v/>
      </c>
      <c r="B472" s="37" t="str">
        <f ca="1">IF(Agent03_Savings!A77="","","SV"&amp;TEXT(472-3,"0000")&amp;"-"&amp;TEXT(TODAY(),"YYYYMMDD"))</f>
        <v/>
      </c>
      <c r="C472" s="37" t="str">
        <f>IF(Agent03_Savings!A77="","",Agent03_Savings!B77)</f>
        <v/>
      </c>
      <c r="D472" s="37" t="str">
        <f>IF(Agent03_Savings!A77="","",Agent03_Savings!G77)</f>
        <v/>
      </c>
      <c r="E472" s="38" t="str">
        <f>IF(Agent03_Savings!A77="","",Agent03_Savings!D77)</f>
        <v/>
      </c>
      <c r="F472" s="39" t="str">
        <f>IF(Agent03_Savings!A77="","",Agent03_Savings!E77)</f>
        <v/>
      </c>
      <c r="G472" s="39" t="str">
        <f>IF(Agent03_Savings!A77="","",Agent03_Savings!F77)</f>
        <v/>
      </c>
      <c r="H472" s="37" t="str">
        <f>IF(Agent03_Savings!A77="","",Agent03_Savings!I77)</f>
        <v/>
      </c>
      <c r="I472" s="37" t="str">
        <f>IF(Agent03_Savings!A77="","",Agent03_Savings!J77)</f>
        <v/>
      </c>
      <c r="J472" s="37" t="str">
        <f>IF(Agent03_Savings!A77="","",Agent03_Savings!K77)</f>
        <v/>
      </c>
      <c r="K472" s="37" t="str">
        <f>IFERROR(IF(Agent03_Savings!A77="","",YEAR(Agent03_Savings!D77)),"")</f>
        <v/>
      </c>
    </row>
    <row r="473" spans="1:11" ht="18" customHeight="1" x14ac:dyDescent="0.25">
      <c r="A473" s="37" t="str">
        <f>IF(Agent03_Savings!A78="","",Agent03_Savings!A78)</f>
        <v/>
      </c>
      <c r="B473" s="37" t="str">
        <f ca="1">IF(Agent03_Savings!A78="","","SV"&amp;TEXT(473-3,"0000")&amp;"-"&amp;TEXT(TODAY(),"YYYYMMDD"))</f>
        <v/>
      </c>
      <c r="C473" s="37" t="str">
        <f>IF(Agent03_Savings!A78="","",Agent03_Savings!B78)</f>
        <v/>
      </c>
      <c r="D473" s="37" t="str">
        <f>IF(Agent03_Savings!A78="","",Agent03_Savings!G78)</f>
        <v/>
      </c>
      <c r="E473" s="38" t="str">
        <f>IF(Agent03_Savings!A78="","",Agent03_Savings!D78)</f>
        <v/>
      </c>
      <c r="F473" s="39" t="str">
        <f>IF(Agent03_Savings!A78="","",Agent03_Savings!E78)</f>
        <v/>
      </c>
      <c r="G473" s="39" t="str">
        <f>IF(Agent03_Savings!A78="","",Agent03_Savings!F78)</f>
        <v/>
      </c>
      <c r="H473" s="37" t="str">
        <f>IF(Agent03_Savings!A78="","",Agent03_Savings!I78)</f>
        <v/>
      </c>
      <c r="I473" s="37" t="str">
        <f>IF(Agent03_Savings!A78="","",Agent03_Savings!J78)</f>
        <v/>
      </c>
      <c r="J473" s="37" t="str">
        <f>IF(Agent03_Savings!A78="","",Agent03_Savings!K78)</f>
        <v/>
      </c>
      <c r="K473" s="37" t="str">
        <f>IFERROR(IF(Agent03_Savings!A78="","",YEAR(Agent03_Savings!D78)),"")</f>
        <v/>
      </c>
    </row>
    <row r="474" spans="1:11" ht="18" customHeight="1" x14ac:dyDescent="0.25">
      <c r="A474" s="37" t="str">
        <f>IF(Agent03_Savings!A79="","",Agent03_Savings!A79)</f>
        <v/>
      </c>
      <c r="B474" s="37" t="str">
        <f ca="1">IF(Agent03_Savings!A79="","","SV"&amp;TEXT(474-3,"0000")&amp;"-"&amp;TEXT(TODAY(),"YYYYMMDD"))</f>
        <v/>
      </c>
      <c r="C474" s="37" t="str">
        <f>IF(Agent03_Savings!A79="","",Agent03_Savings!B79)</f>
        <v/>
      </c>
      <c r="D474" s="37" t="str">
        <f>IF(Agent03_Savings!A79="","",Agent03_Savings!G79)</f>
        <v/>
      </c>
      <c r="E474" s="38" t="str">
        <f>IF(Agent03_Savings!A79="","",Agent03_Savings!D79)</f>
        <v/>
      </c>
      <c r="F474" s="39" t="str">
        <f>IF(Agent03_Savings!A79="","",Agent03_Savings!E79)</f>
        <v/>
      </c>
      <c r="G474" s="39" t="str">
        <f>IF(Agent03_Savings!A79="","",Agent03_Savings!F79)</f>
        <v/>
      </c>
      <c r="H474" s="37" t="str">
        <f>IF(Agent03_Savings!A79="","",Agent03_Savings!I79)</f>
        <v/>
      </c>
      <c r="I474" s="37" t="str">
        <f>IF(Agent03_Savings!A79="","",Agent03_Savings!J79)</f>
        <v/>
      </c>
      <c r="J474" s="37" t="str">
        <f>IF(Agent03_Savings!A79="","",Agent03_Savings!K79)</f>
        <v/>
      </c>
      <c r="K474" s="37" t="str">
        <f>IFERROR(IF(Agent03_Savings!A79="","",YEAR(Agent03_Savings!D79)),"")</f>
        <v/>
      </c>
    </row>
    <row r="475" spans="1:11" ht="18" customHeight="1" x14ac:dyDescent="0.25">
      <c r="A475" s="37" t="str">
        <f>IF(Agent03_Savings!A80="","",Agent03_Savings!A80)</f>
        <v/>
      </c>
      <c r="B475" s="37" t="str">
        <f ca="1">IF(Agent03_Savings!A80="","","SV"&amp;TEXT(475-3,"0000")&amp;"-"&amp;TEXT(TODAY(),"YYYYMMDD"))</f>
        <v/>
      </c>
      <c r="C475" s="37" t="str">
        <f>IF(Agent03_Savings!A80="","",Agent03_Savings!B80)</f>
        <v/>
      </c>
      <c r="D475" s="37" t="str">
        <f>IF(Agent03_Savings!A80="","",Agent03_Savings!G80)</f>
        <v/>
      </c>
      <c r="E475" s="38" t="str">
        <f>IF(Agent03_Savings!A80="","",Agent03_Savings!D80)</f>
        <v/>
      </c>
      <c r="F475" s="39" t="str">
        <f>IF(Agent03_Savings!A80="","",Agent03_Savings!E80)</f>
        <v/>
      </c>
      <c r="G475" s="39" t="str">
        <f>IF(Agent03_Savings!A80="","",Agent03_Savings!F80)</f>
        <v/>
      </c>
      <c r="H475" s="37" t="str">
        <f>IF(Agent03_Savings!A80="","",Agent03_Savings!I80)</f>
        <v/>
      </c>
      <c r="I475" s="37" t="str">
        <f>IF(Agent03_Savings!A80="","",Agent03_Savings!J80)</f>
        <v/>
      </c>
      <c r="J475" s="37" t="str">
        <f>IF(Agent03_Savings!A80="","",Agent03_Savings!K80)</f>
        <v/>
      </c>
      <c r="K475" s="37" t="str">
        <f>IFERROR(IF(Agent03_Savings!A80="","",YEAR(Agent03_Savings!D80)),"")</f>
        <v/>
      </c>
    </row>
    <row r="476" spans="1:11" ht="18" customHeight="1" x14ac:dyDescent="0.25">
      <c r="A476" s="37" t="str">
        <f>IF(Agent03_Savings!A81="","",Agent03_Savings!A81)</f>
        <v/>
      </c>
      <c r="B476" s="37" t="str">
        <f ca="1">IF(Agent03_Savings!A81="","","SV"&amp;TEXT(476-3,"0000")&amp;"-"&amp;TEXT(TODAY(),"YYYYMMDD"))</f>
        <v/>
      </c>
      <c r="C476" s="37" t="str">
        <f>IF(Agent03_Savings!A81="","",Agent03_Savings!B81)</f>
        <v/>
      </c>
      <c r="D476" s="37" t="str">
        <f>IF(Agent03_Savings!A81="","",Agent03_Savings!G81)</f>
        <v/>
      </c>
      <c r="E476" s="38" t="str">
        <f>IF(Agent03_Savings!A81="","",Agent03_Savings!D81)</f>
        <v/>
      </c>
      <c r="F476" s="39" t="str">
        <f>IF(Agent03_Savings!A81="","",Agent03_Savings!E81)</f>
        <v/>
      </c>
      <c r="G476" s="39" t="str">
        <f>IF(Agent03_Savings!A81="","",Agent03_Savings!F81)</f>
        <v/>
      </c>
      <c r="H476" s="37" t="str">
        <f>IF(Agent03_Savings!A81="","",Agent03_Savings!I81)</f>
        <v/>
      </c>
      <c r="I476" s="37" t="str">
        <f>IF(Agent03_Savings!A81="","",Agent03_Savings!J81)</f>
        <v/>
      </c>
      <c r="J476" s="37" t="str">
        <f>IF(Agent03_Savings!A81="","",Agent03_Savings!K81)</f>
        <v/>
      </c>
      <c r="K476" s="37" t="str">
        <f>IFERROR(IF(Agent03_Savings!A81="","",YEAR(Agent03_Savings!D81)),"")</f>
        <v/>
      </c>
    </row>
    <row r="477" spans="1:11" ht="18" customHeight="1" x14ac:dyDescent="0.25">
      <c r="A477" s="37" t="str">
        <f>IF(Agent03_Savings!A82="","",Agent03_Savings!A82)</f>
        <v/>
      </c>
      <c r="B477" s="37" t="str">
        <f ca="1">IF(Agent03_Savings!A82="","","SV"&amp;TEXT(477-3,"0000")&amp;"-"&amp;TEXT(TODAY(),"YYYYMMDD"))</f>
        <v/>
      </c>
      <c r="C477" s="37" t="str">
        <f>IF(Agent03_Savings!A82="","",Agent03_Savings!B82)</f>
        <v/>
      </c>
      <c r="D477" s="37" t="str">
        <f>IF(Agent03_Savings!A82="","",Agent03_Savings!G82)</f>
        <v/>
      </c>
      <c r="E477" s="38" t="str">
        <f>IF(Agent03_Savings!A82="","",Agent03_Savings!D82)</f>
        <v/>
      </c>
      <c r="F477" s="39" t="str">
        <f>IF(Agent03_Savings!A82="","",Agent03_Savings!E82)</f>
        <v/>
      </c>
      <c r="G477" s="39" t="str">
        <f>IF(Agent03_Savings!A82="","",Agent03_Savings!F82)</f>
        <v/>
      </c>
      <c r="H477" s="37" t="str">
        <f>IF(Agent03_Savings!A82="","",Agent03_Savings!I82)</f>
        <v/>
      </c>
      <c r="I477" s="37" t="str">
        <f>IF(Agent03_Savings!A82="","",Agent03_Savings!J82)</f>
        <v/>
      </c>
      <c r="J477" s="37" t="str">
        <f>IF(Agent03_Savings!A82="","",Agent03_Savings!K82)</f>
        <v/>
      </c>
      <c r="K477" s="37" t="str">
        <f>IFERROR(IF(Agent03_Savings!A82="","",YEAR(Agent03_Savings!D82)),"")</f>
        <v/>
      </c>
    </row>
    <row r="478" spans="1:11" ht="18" customHeight="1" x14ac:dyDescent="0.25">
      <c r="A478" s="37" t="str">
        <f>IF(Agent03_Savings!A83="","",Agent03_Savings!A83)</f>
        <v/>
      </c>
      <c r="B478" s="37" t="str">
        <f ca="1">IF(Agent03_Savings!A83="","","SV"&amp;TEXT(478-3,"0000")&amp;"-"&amp;TEXT(TODAY(),"YYYYMMDD"))</f>
        <v/>
      </c>
      <c r="C478" s="37" t="str">
        <f>IF(Agent03_Savings!A83="","",Agent03_Savings!B83)</f>
        <v/>
      </c>
      <c r="D478" s="37" t="str">
        <f>IF(Agent03_Savings!A83="","",Agent03_Savings!G83)</f>
        <v/>
      </c>
      <c r="E478" s="38" t="str">
        <f>IF(Agent03_Savings!A83="","",Agent03_Savings!D83)</f>
        <v/>
      </c>
      <c r="F478" s="39" t="str">
        <f>IF(Agent03_Savings!A83="","",Agent03_Savings!E83)</f>
        <v/>
      </c>
      <c r="G478" s="39" t="str">
        <f>IF(Agent03_Savings!A83="","",Agent03_Savings!F83)</f>
        <v/>
      </c>
      <c r="H478" s="37" t="str">
        <f>IF(Agent03_Savings!A83="","",Agent03_Savings!I83)</f>
        <v/>
      </c>
      <c r="I478" s="37" t="str">
        <f>IF(Agent03_Savings!A83="","",Agent03_Savings!J83)</f>
        <v/>
      </c>
      <c r="J478" s="37" t="str">
        <f>IF(Agent03_Savings!A83="","",Agent03_Savings!K83)</f>
        <v/>
      </c>
      <c r="K478" s="37" t="str">
        <f>IFERROR(IF(Agent03_Savings!A83="","",YEAR(Agent03_Savings!D83)),"")</f>
        <v/>
      </c>
    </row>
    <row r="479" spans="1:11" ht="18" customHeight="1" x14ac:dyDescent="0.25">
      <c r="A479" s="37" t="str">
        <f>IF(Agent03_Savings!A84="","",Agent03_Savings!A84)</f>
        <v/>
      </c>
      <c r="B479" s="37" t="str">
        <f ca="1">IF(Agent03_Savings!A84="","","SV"&amp;TEXT(479-3,"0000")&amp;"-"&amp;TEXT(TODAY(),"YYYYMMDD"))</f>
        <v/>
      </c>
      <c r="C479" s="37" t="str">
        <f>IF(Agent03_Savings!A84="","",Agent03_Savings!B84)</f>
        <v/>
      </c>
      <c r="D479" s="37" t="str">
        <f>IF(Agent03_Savings!A84="","",Agent03_Savings!G84)</f>
        <v/>
      </c>
      <c r="E479" s="38" t="str">
        <f>IF(Agent03_Savings!A84="","",Agent03_Savings!D84)</f>
        <v/>
      </c>
      <c r="F479" s="39" t="str">
        <f>IF(Agent03_Savings!A84="","",Agent03_Savings!E84)</f>
        <v/>
      </c>
      <c r="G479" s="39" t="str">
        <f>IF(Agent03_Savings!A84="","",Agent03_Savings!F84)</f>
        <v/>
      </c>
      <c r="H479" s="37" t="str">
        <f>IF(Agent03_Savings!A84="","",Agent03_Savings!I84)</f>
        <v/>
      </c>
      <c r="I479" s="37" t="str">
        <f>IF(Agent03_Savings!A84="","",Agent03_Savings!J84)</f>
        <v/>
      </c>
      <c r="J479" s="37" t="str">
        <f>IF(Agent03_Savings!A84="","",Agent03_Savings!K84)</f>
        <v/>
      </c>
      <c r="K479" s="37" t="str">
        <f>IFERROR(IF(Agent03_Savings!A84="","",YEAR(Agent03_Savings!D84)),"")</f>
        <v/>
      </c>
    </row>
    <row r="480" spans="1:11" ht="18" customHeight="1" x14ac:dyDescent="0.25">
      <c r="A480" s="37" t="str">
        <f>IF(Agent03_Savings!A85="","",Agent03_Savings!A85)</f>
        <v/>
      </c>
      <c r="B480" s="37" t="str">
        <f ca="1">IF(Agent03_Savings!A85="","","SV"&amp;TEXT(480-3,"0000")&amp;"-"&amp;TEXT(TODAY(),"YYYYMMDD"))</f>
        <v/>
      </c>
      <c r="C480" s="37" t="str">
        <f>IF(Agent03_Savings!A85="","",Agent03_Savings!B85)</f>
        <v/>
      </c>
      <c r="D480" s="37" t="str">
        <f>IF(Agent03_Savings!A85="","",Agent03_Savings!G85)</f>
        <v/>
      </c>
      <c r="E480" s="38" t="str">
        <f>IF(Agent03_Savings!A85="","",Agent03_Savings!D85)</f>
        <v/>
      </c>
      <c r="F480" s="39" t="str">
        <f>IF(Agent03_Savings!A85="","",Agent03_Savings!E85)</f>
        <v/>
      </c>
      <c r="G480" s="39" t="str">
        <f>IF(Agent03_Savings!A85="","",Agent03_Savings!F85)</f>
        <v/>
      </c>
      <c r="H480" s="37" t="str">
        <f>IF(Agent03_Savings!A85="","",Agent03_Savings!I85)</f>
        <v/>
      </c>
      <c r="I480" s="37" t="str">
        <f>IF(Agent03_Savings!A85="","",Agent03_Savings!J85)</f>
        <v/>
      </c>
      <c r="J480" s="37" t="str">
        <f>IF(Agent03_Savings!A85="","",Agent03_Savings!K85)</f>
        <v/>
      </c>
      <c r="K480" s="37" t="str">
        <f>IFERROR(IF(Agent03_Savings!A85="","",YEAR(Agent03_Savings!D85)),"")</f>
        <v/>
      </c>
    </row>
    <row r="481" spans="1:11" ht="18" customHeight="1" x14ac:dyDescent="0.25">
      <c r="A481" s="37" t="str">
        <f>IF(Agent03_Savings!A86="","",Agent03_Savings!A86)</f>
        <v/>
      </c>
      <c r="B481" s="37" t="str">
        <f ca="1">IF(Agent03_Savings!A86="","","SV"&amp;TEXT(481-3,"0000")&amp;"-"&amp;TEXT(TODAY(),"YYYYMMDD"))</f>
        <v/>
      </c>
      <c r="C481" s="37" t="str">
        <f>IF(Agent03_Savings!A86="","",Agent03_Savings!B86)</f>
        <v/>
      </c>
      <c r="D481" s="37" t="str">
        <f>IF(Agent03_Savings!A86="","",Agent03_Savings!G86)</f>
        <v/>
      </c>
      <c r="E481" s="38" t="str">
        <f>IF(Agent03_Savings!A86="","",Agent03_Savings!D86)</f>
        <v/>
      </c>
      <c r="F481" s="39" t="str">
        <f>IF(Agent03_Savings!A86="","",Agent03_Savings!E86)</f>
        <v/>
      </c>
      <c r="G481" s="39" t="str">
        <f>IF(Agent03_Savings!A86="","",Agent03_Savings!F86)</f>
        <v/>
      </c>
      <c r="H481" s="37" t="str">
        <f>IF(Agent03_Savings!A86="","",Agent03_Savings!I86)</f>
        <v/>
      </c>
      <c r="I481" s="37" t="str">
        <f>IF(Agent03_Savings!A86="","",Agent03_Savings!J86)</f>
        <v/>
      </c>
      <c r="J481" s="37" t="str">
        <f>IF(Agent03_Savings!A86="","",Agent03_Savings!K86)</f>
        <v/>
      </c>
      <c r="K481" s="37" t="str">
        <f>IFERROR(IF(Agent03_Savings!A86="","",YEAR(Agent03_Savings!D86)),"")</f>
        <v/>
      </c>
    </row>
    <row r="482" spans="1:11" ht="18" customHeight="1" x14ac:dyDescent="0.25">
      <c r="A482" s="37" t="str">
        <f>IF(Agent03_Savings!A87="","",Agent03_Savings!A87)</f>
        <v/>
      </c>
      <c r="B482" s="37" t="str">
        <f ca="1">IF(Agent03_Savings!A87="","","SV"&amp;TEXT(482-3,"0000")&amp;"-"&amp;TEXT(TODAY(),"YYYYMMDD"))</f>
        <v/>
      </c>
      <c r="C482" s="37" t="str">
        <f>IF(Agent03_Savings!A87="","",Agent03_Savings!B87)</f>
        <v/>
      </c>
      <c r="D482" s="37" t="str">
        <f>IF(Agent03_Savings!A87="","",Agent03_Savings!G87)</f>
        <v/>
      </c>
      <c r="E482" s="38" t="str">
        <f>IF(Agent03_Savings!A87="","",Agent03_Savings!D87)</f>
        <v/>
      </c>
      <c r="F482" s="39" t="str">
        <f>IF(Agent03_Savings!A87="","",Agent03_Savings!E87)</f>
        <v/>
      </c>
      <c r="G482" s="39" t="str">
        <f>IF(Agent03_Savings!A87="","",Agent03_Savings!F87)</f>
        <v/>
      </c>
      <c r="H482" s="37" t="str">
        <f>IF(Agent03_Savings!A87="","",Agent03_Savings!I87)</f>
        <v/>
      </c>
      <c r="I482" s="37" t="str">
        <f>IF(Agent03_Savings!A87="","",Agent03_Savings!J87)</f>
        <v/>
      </c>
      <c r="J482" s="37" t="str">
        <f>IF(Agent03_Savings!A87="","",Agent03_Savings!K87)</f>
        <v/>
      </c>
      <c r="K482" s="37" t="str">
        <f>IFERROR(IF(Agent03_Savings!A87="","",YEAR(Agent03_Savings!D87)),"")</f>
        <v/>
      </c>
    </row>
    <row r="483" spans="1:11" ht="18" customHeight="1" x14ac:dyDescent="0.25">
      <c r="A483" s="37" t="str">
        <f>IF(Agent03_Savings!A88="","",Agent03_Savings!A88)</f>
        <v/>
      </c>
      <c r="B483" s="37" t="str">
        <f ca="1">IF(Agent03_Savings!A88="","","SV"&amp;TEXT(483-3,"0000")&amp;"-"&amp;TEXT(TODAY(),"YYYYMMDD"))</f>
        <v/>
      </c>
      <c r="C483" s="37" t="str">
        <f>IF(Agent03_Savings!A88="","",Agent03_Savings!B88)</f>
        <v/>
      </c>
      <c r="D483" s="37" t="str">
        <f>IF(Agent03_Savings!A88="","",Agent03_Savings!G88)</f>
        <v/>
      </c>
      <c r="E483" s="38" t="str">
        <f>IF(Agent03_Savings!A88="","",Agent03_Savings!D88)</f>
        <v/>
      </c>
      <c r="F483" s="39" t="str">
        <f>IF(Agent03_Savings!A88="","",Agent03_Savings!E88)</f>
        <v/>
      </c>
      <c r="G483" s="39" t="str">
        <f>IF(Agent03_Savings!A88="","",Agent03_Savings!F88)</f>
        <v/>
      </c>
      <c r="H483" s="37" t="str">
        <f>IF(Agent03_Savings!A88="","",Agent03_Savings!I88)</f>
        <v/>
      </c>
      <c r="I483" s="37" t="str">
        <f>IF(Agent03_Savings!A88="","",Agent03_Savings!J88)</f>
        <v/>
      </c>
      <c r="J483" s="37" t="str">
        <f>IF(Agent03_Savings!A88="","",Agent03_Savings!K88)</f>
        <v/>
      </c>
      <c r="K483" s="37" t="str">
        <f>IFERROR(IF(Agent03_Savings!A88="","",YEAR(Agent03_Savings!D88)),"")</f>
        <v/>
      </c>
    </row>
    <row r="484" spans="1:11" ht="18" customHeight="1" x14ac:dyDescent="0.25">
      <c r="A484" s="37" t="str">
        <f>IF(Agent03_Savings!A89="","",Agent03_Savings!A89)</f>
        <v/>
      </c>
      <c r="B484" s="37" t="str">
        <f ca="1">IF(Agent03_Savings!A89="","","SV"&amp;TEXT(484-3,"0000")&amp;"-"&amp;TEXT(TODAY(),"YYYYMMDD"))</f>
        <v/>
      </c>
      <c r="C484" s="37" t="str">
        <f>IF(Agent03_Savings!A89="","",Agent03_Savings!B89)</f>
        <v/>
      </c>
      <c r="D484" s="37" t="str">
        <f>IF(Agent03_Savings!A89="","",Agent03_Savings!G89)</f>
        <v/>
      </c>
      <c r="E484" s="38" t="str">
        <f>IF(Agent03_Savings!A89="","",Agent03_Savings!D89)</f>
        <v/>
      </c>
      <c r="F484" s="39" t="str">
        <f>IF(Agent03_Savings!A89="","",Agent03_Savings!E89)</f>
        <v/>
      </c>
      <c r="G484" s="39" t="str">
        <f>IF(Agent03_Savings!A89="","",Agent03_Savings!F89)</f>
        <v/>
      </c>
      <c r="H484" s="37" t="str">
        <f>IF(Agent03_Savings!A89="","",Agent03_Savings!I89)</f>
        <v/>
      </c>
      <c r="I484" s="37" t="str">
        <f>IF(Agent03_Savings!A89="","",Agent03_Savings!J89)</f>
        <v/>
      </c>
      <c r="J484" s="37" t="str">
        <f>IF(Agent03_Savings!A89="","",Agent03_Savings!K89)</f>
        <v/>
      </c>
      <c r="K484" s="37" t="str">
        <f>IFERROR(IF(Agent03_Savings!A89="","",YEAR(Agent03_Savings!D89)),"")</f>
        <v/>
      </c>
    </row>
    <row r="485" spans="1:11" ht="18" customHeight="1" x14ac:dyDescent="0.25">
      <c r="A485" s="37" t="str">
        <f>IF(Agent03_Savings!A90="","",Agent03_Savings!A90)</f>
        <v/>
      </c>
      <c r="B485" s="37" t="str">
        <f ca="1">IF(Agent03_Savings!A90="","","SV"&amp;TEXT(485-3,"0000")&amp;"-"&amp;TEXT(TODAY(),"YYYYMMDD"))</f>
        <v/>
      </c>
      <c r="C485" s="37" t="str">
        <f>IF(Agent03_Savings!A90="","",Agent03_Savings!B90)</f>
        <v/>
      </c>
      <c r="D485" s="37" t="str">
        <f>IF(Agent03_Savings!A90="","",Agent03_Savings!G90)</f>
        <v/>
      </c>
      <c r="E485" s="38" t="str">
        <f>IF(Agent03_Savings!A90="","",Agent03_Savings!D90)</f>
        <v/>
      </c>
      <c r="F485" s="39" t="str">
        <f>IF(Agent03_Savings!A90="","",Agent03_Savings!E90)</f>
        <v/>
      </c>
      <c r="G485" s="39" t="str">
        <f>IF(Agent03_Savings!A90="","",Agent03_Savings!F90)</f>
        <v/>
      </c>
      <c r="H485" s="37" t="str">
        <f>IF(Agent03_Savings!A90="","",Agent03_Savings!I90)</f>
        <v/>
      </c>
      <c r="I485" s="37" t="str">
        <f>IF(Agent03_Savings!A90="","",Agent03_Savings!J90)</f>
        <v/>
      </c>
      <c r="J485" s="37" t="str">
        <f>IF(Agent03_Savings!A90="","",Agent03_Savings!K90)</f>
        <v/>
      </c>
      <c r="K485" s="37" t="str">
        <f>IFERROR(IF(Agent03_Savings!A90="","",YEAR(Agent03_Savings!D90)),"")</f>
        <v/>
      </c>
    </row>
    <row r="486" spans="1:11" ht="18" customHeight="1" x14ac:dyDescent="0.25">
      <c r="A486" s="37" t="str">
        <f>IF(Agent03_Savings!A91="","",Agent03_Savings!A91)</f>
        <v/>
      </c>
      <c r="B486" s="37" t="str">
        <f ca="1">IF(Agent03_Savings!A91="","","SV"&amp;TEXT(486-3,"0000")&amp;"-"&amp;TEXT(TODAY(),"YYYYMMDD"))</f>
        <v/>
      </c>
      <c r="C486" s="37" t="str">
        <f>IF(Agent03_Savings!A91="","",Agent03_Savings!B91)</f>
        <v/>
      </c>
      <c r="D486" s="37" t="str">
        <f>IF(Agent03_Savings!A91="","",Agent03_Savings!G91)</f>
        <v/>
      </c>
      <c r="E486" s="38" t="str">
        <f>IF(Agent03_Savings!A91="","",Agent03_Savings!D91)</f>
        <v/>
      </c>
      <c r="F486" s="39" t="str">
        <f>IF(Agent03_Savings!A91="","",Agent03_Savings!E91)</f>
        <v/>
      </c>
      <c r="G486" s="39" t="str">
        <f>IF(Agent03_Savings!A91="","",Agent03_Savings!F91)</f>
        <v/>
      </c>
      <c r="H486" s="37" t="str">
        <f>IF(Agent03_Savings!A91="","",Agent03_Savings!I91)</f>
        <v/>
      </c>
      <c r="I486" s="37" t="str">
        <f>IF(Agent03_Savings!A91="","",Agent03_Savings!J91)</f>
        <v/>
      </c>
      <c r="J486" s="37" t="str">
        <f>IF(Agent03_Savings!A91="","",Agent03_Savings!K91)</f>
        <v/>
      </c>
      <c r="K486" s="37" t="str">
        <f>IFERROR(IF(Agent03_Savings!A91="","",YEAR(Agent03_Savings!D91)),"")</f>
        <v/>
      </c>
    </row>
    <row r="487" spans="1:11" ht="18" customHeight="1" x14ac:dyDescent="0.25">
      <c r="A487" s="37" t="str">
        <f>IF(Agent03_Savings!A92="","",Agent03_Savings!A92)</f>
        <v/>
      </c>
      <c r="B487" s="37" t="str">
        <f ca="1">IF(Agent03_Savings!A92="","","SV"&amp;TEXT(487-3,"0000")&amp;"-"&amp;TEXT(TODAY(),"YYYYMMDD"))</f>
        <v/>
      </c>
      <c r="C487" s="37" t="str">
        <f>IF(Agent03_Savings!A92="","",Agent03_Savings!B92)</f>
        <v/>
      </c>
      <c r="D487" s="37" t="str">
        <f>IF(Agent03_Savings!A92="","",Agent03_Savings!G92)</f>
        <v/>
      </c>
      <c r="E487" s="38" t="str">
        <f>IF(Agent03_Savings!A92="","",Agent03_Savings!D92)</f>
        <v/>
      </c>
      <c r="F487" s="39" t="str">
        <f>IF(Agent03_Savings!A92="","",Agent03_Savings!E92)</f>
        <v/>
      </c>
      <c r="G487" s="39" t="str">
        <f>IF(Agent03_Savings!A92="","",Agent03_Savings!F92)</f>
        <v/>
      </c>
      <c r="H487" s="37" t="str">
        <f>IF(Agent03_Savings!A92="","",Agent03_Savings!I92)</f>
        <v/>
      </c>
      <c r="I487" s="37" t="str">
        <f>IF(Agent03_Savings!A92="","",Agent03_Savings!J92)</f>
        <v/>
      </c>
      <c r="J487" s="37" t="str">
        <f>IF(Agent03_Savings!A92="","",Agent03_Savings!K92)</f>
        <v/>
      </c>
      <c r="K487" s="37" t="str">
        <f>IFERROR(IF(Agent03_Savings!A92="","",YEAR(Agent03_Savings!D92)),"")</f>
        <v/>
      </c>
    </row>
    <row r="488" spans="1:11" ht="18" customHeight="1" x14ac:dyDescent="0.25">
      <c r="A488" s="37" t="str">
        <f>IF(Agent03_Savings!A93="","",Agent03_Savings!A93)</f>
        <v/>
      </c>
      <c r="B488" s="37" t="str">
        <f ca="1">IF(Agent03_Savings!A93="","","SV"&amp;TEXT(488-3,"0000")&amp;"-"&amp;TEXT(TODAY(),"YYYYMMDD"))</f>
        <v/>
      </c>
      <c r="C488" s="37" t="str">
        <f>IF(Agent03_Savings!A93="","",Agent03_Savings!B93)</f>
        <v/>
      </c>
      <c r="D488" s="37" t="str">
        <f>IF(Agent03_Savings!A93="","",Agent03_Savings!G93)</f>
        <v/>
      </c>
      <c r="E488" s="38" t="str">
        <f>IF(Agent03_Savings!A93="","",Agent03_Savings!D93)</f>
        <v/>
      </c>
      <c r="F488" s="39" t="str">
        <f>IF(Agent03_Savings!A93="","",Agent03_Savings!E93)</f>
        <v/>
      </c>
      <c r="G488" s="39" t="str">
        <f>IF(Agent03_Savings!A93="","",Agent03_Savings!F93)</f>
        <v/>
      </c>
      <c r="H488" s="37" t="str">
        <f>IF(Agent03_Savings!A93="","",Agent03_Savings!I93)</f>
        <v/>
      </c>
      <c r="I488" s="37" t="str">
        <f>IF(Agent03_Savings!A93="","",Agent03_Savings!J93)</f>
        <v/>
      </c>
      <c r="J488" s="37" t="str">
        <f>IF(Agent03_Savings!A93="","",Agent03_Savings!K93)</f>
        <v/>
      </c>
      <c r="K488" s="37" t="str">
        <f>IFERROR(IF(Agent03_Savings!A93="","",YEAR(Agent03_Savings!D93)),"")</f>
        <v/>
      </c>
    </row>
    <row r="489" spans="1:11" ht="18" customHeight="1" x14ac:dyDescent="0.25">
      <c r="A489" s="37" t="str">
        <f>IF(Agent03_Savings!A94="","",Agent03_Savings!A94)</f>
        <v/>
      </c>
      <c r="B489" s="37" t="str">
        <f ca="1">IF(Agent03_Savings!A94="","","SV"&amp;TEXT(489-3,"0000")&amp;"-"&amp;TEXT(TODAY(),"YYYYMMDD"))</f>
        <v/>
      </c>
      <c r="C489" s="37" t="str">
        <f>IF(Agent03_Savings!A94="","",Agent03_Savings!B94)</f>
        <v/>
      </c>
      <c r="D489" s="37" t="str">
        <f>IF(Agent03_Savings!A94="","",Agent03_Savings!G94)</f>
        <v/>
      </c>
      <c r="E489" s="38" t="str">
        <f>IF(Agent03_Savings!A94="","",Agent03_Savings!D94)</f>
        <v/>
      </c>
      <c r="F489" s="39" t="str">
        <f>IF(Agent03_Savings!A94="","",Agent03_Savings!E94)</f>
        <v/>
      </c>
      <c r="G489" s="39" t="str">
        <f>IF(Agent03_Savings!A94="","",Agent03_Savings!F94)</f>
        <v/>
      </c>
      <c r="H489" s="37" t="str">
        <f>IF(Agent03_Savings!A94="","",Agent03_Savings!I94)</f>
        <v/>
      </c>
      <c r="I489" s="37" t="str">
        <f>IF(Agent03_Savings!A94="","",Agent03_Savings!J94)</f>
        <v/>
      </c>
      <c r="J489" s="37" t="str">
        <f>IF(Agent03_Savings!A94="","",Agent03_Savings!K94)</f>
        <v/>
      </c>
      <c r="K489" s="37" t="str">
        <f>IFERROR(IF(Agent03_Savings!A94="","",YEAR(Agent03_Savings!D94)),"")</f>
        <v/>
      </c>
    </row>
    <row r="490" spans="1:11" ht="18" customHeight="1" x14ac:dyDescent="0.25">
      <c r="A490" s="37" t="str">
        <f>IF(Agent03_Savings!A95="","",Agent03_Savings!A95)</f>
        <v/>
      </c>
      <c r="B490" s="37" t="str">
        <f ca="1">IF(Agent03_Savings!A95="","","SV"&amp;TEXT(490-3,"0000")&amp;"-"&amp;TEXT(TODAY(),"YYYYMMDD"))</f>
        <v/>
      </c>
      <c r="C490" s="37" t="str">
        <f>IF(Agent03_Savings!A95="","",Agent03_Savings!B95)</f>
        <v/>
      </c>
      <c r="D490" s="37" t="str">
        <f>IF(Agent03_Savings!A95="","",Agent03_Savings!G95)</f>
        <v/>
      </c>
      <c r="E490" s="38" t="str">
        <f>IF(Agent03_Savings!A95="","",Agent03_Savings!D95)</f>
        <v/>
      </c>
      <c r="F490" s="39" t="str">
        <f>IF(Agent03_Savings!A95="","",Agent03_Savings!E95)</f>
        <v/>
      </c>
      <c r="G490" s="39" t="str">
        <f>IF(Agent03_Savings!A95="","",Agent03_Savings!F95)</f>
        <v/>
      </c>
      <c r="H490" s="37" t="str">
        <f>IF(Agent03_Savings!A95="","",Agent03_Savings!I95)</f>
        <v/>
      </c>
      <c r="I490" s="37" t="str">
        <f>IF(Agent03_Savings!A95="","",Agent03_Savings!J95)</f>
        <v/>
      </c>
      <c r="J490" s="37" t="str">
        <f>IF(Agent03_Savings!A95="","",Agent03_Savings!K95)</f>
        <v/>
      </c>
      <c r="K490" s="37" t="str">
        <f>IFERROR(IF(Agent03_Savings!A95="","",YEAR(Agent03_Savings!D95)),"")</f>
        <v/>
      </c>
    </row>
    <row r="491" spans="1:11" ht="18" customHeight="1" x14ac:dyDescent="0.25">
      <c r="A491" s="37" t="str">
        <f>IF(Agent03_Savings!A96="","",Agent03_Savings!A96)</f>
        <v/>
      </c>
      <c r="B491" s="37" t="str">
        <f ca="1">IF(Agent03_Savings!A96="","","SV"&amp;TEXT(491-3,"0000")&amp;"-"&amp;TEXT(TODAY(),"YYYYMMDD"))</f>
        <v/>
      </c>
      <c r="C491" s="37" t="str">
        <f>IF(Agent03_Savings!A96="","",Agent03_Savings!B96)</f>
        <v/>
      </c>
      <c r="D491" s="37" t="str">
        <f>IF(Agent03_Savings!A96="","",Agent03_Savings!G96)</f>
        <v/>
      </c>
      <c r="E491" s="38" t="str">
        <f>IF(Agent03_Savings!A96="","",Agent03_Savings!D96)</f>
        <v/>
      </c>
      <c r="F491" s="39" t="str">
        <f>IF(Agent03_Savings!A96="","",Agent03_Savings!E96)</f>
        <v/>
      </c>
      <c r="G491" s="39" t="str">
        <f>IF(Agent03_Savings!A96="","",Agent03_Savings!F96)</f>
        <v/>
      </c>
      <c r="H491" s="37" t="str">
        <f>IF(Agent03_Savings!A96="","",Agent03_Savings!I96)</f>
        <v/>
      </c>
      <c r="I491" s="37" t="str">
        <f>IF(Agent03_Savings!A96="","",Agent03_Savings!J96)</f>
        <v/>
      </c>
      <c r="J491" s="37" t="str">
        <f>IF(Agent03_Savings!A96="","",Agent03_Savings!K96)</f>
        <v/>
      </c>
      <c r="K491" s="37" t="str">
        <f>IFERROR(IF(Agent03_Savings!A96="","",YEAR(Agent03_Savings!D96)),"")</f>
        <v/>
      </c>
    </row>
    <row r="492" spans="1:11" ht="18" customHeight="1" x14ac:dyDescent="0.25">
      <c r="A492" s="37" t="str">
        <f>IF(Agent03_Savings!A97="","",Agent03_Savings!A97)</f>
        <v/>
      </c>
      <c r="B492" s="37" t="str">
        <f ca="1">IF(Agent03_Savings!A97="","","SV"&amp;TEXT(492-3,"0000")&amp;"-"&amp;TEXT(TODAY(),"YYYYMMDD"))</f>
        <v/>
      </c>
      <c r="C492" s="37" t="str">
        <f>IF(Agent03_Savings!A97="","",Agent03_Savings!B97)</f>
        <v/>
      </c>
      <c r="D492" s="37" t="str">
        <f>IF(Agent03_Savings!A97="","",Agent03_Savings!G97)</f>
        <v/>
      </c>
      <c r="E492" s="38" t="str">
        <f>IF(Agent03_Savings!A97="","",Agent03_Savings!D97)</f>
        <v/>
      </c>
      <c r="F492" s="39" t="str">
        <f>IF(Agent03_Savings!A97="","",Agent03_Savings!E97)</f>
        <v/>
      </c>
      <c r="G492" s="39" t="str">
        <f>IF(Agent03_Savings!A97="","",Agent03_Savings!F97)</f>
        <v/>
      </c>
      <c r="H492" s="37" t="str">
        <f>IF(Agent03_Savings!A97="","",Agent03_Savings!I97)</f>
        <v/>
      </c>
      <c r="I492" s="37" t="str">
        <f>IF(Agent03_Savings!A97="","",Agent03_Savings!J97)</f>
        <v/>
      </c>
      <c r="J492" s="37" t="str">
        <f>IF(Agent03_Savings!A97="","",Agent03_Savings!K97)</f>
        <v/>
      </c>
      <c r="K492" s="37" t="str">
        <f>IFERROR(IF(Agent03_Savings!A97="","",YEAR(Agent03_Savings!D97)),"")</f>
        <v/>
      </c>
    </row>
    <row r="493" spans="1:11" ht="18" customHeight="1" x14ac:dyDescent="0.25">
      <c r="A493" s="37" t="str">
        <f>IF(Agent03_Savings!A98="","",Agent03_Savings!A98)</f>
        <v/>
      </c>
      <c r="B493" s="37" t="str">
        <f ca="1">IF(Agent03_Savings!A98="","","SV"&amp;TEXT(493-3,"0000")&amp;"-"&amp;TEXT(TODAY(),"YYYYMMDD"))</f>
        <v/>
      </c>
      <c r="C493" s="37" t="str">
        <f>IF(Agent03_Savings!A98="","",Agent03_Savings!B98)</f>
        <v/>
      </c>
      <c r="D493" s="37" t="str">
        <f>IF(Agent03_Savings!A98="","",Agent03_Savings!G98)</f>
        <v/>
      </c>
      <c r="E493" s="38" t="str">
        <f>IF(Agent03_Savings!A98="","",Agent03_Savings!D98)</f>
        <v/>
      </c>
      <c r="F493" s="39" t="str">
        <f>IF(Agent03_Savings!A98="","",Agent03_Savings!E98)</f>
        <v/>
      </c>
      <c r="G493" s="39" t="str">
        <f>IF(Agent03_Savings!A98="","",Agent03_Savings!F98)</f>
        <v/>
      </c>
      <c r="H493" s="37" t="str">
        <f>IF(Agent03_Savings!A98="","",Agent03_Savings!I98)</f>
        <v/>
      </c>
      <c r="I493" s="37" t="str">
        <f>IF(Agent03_Savings!A98="","",Agent03_Savings!J98)</f>
        <v/>
      </c>
      <c r="J493" s="37" t="str">
        <f>IF(Agent03_Savings!A98="","",Agent03_Savings!K98)</f>
        <v/>
      </c>
      <c r="K493" s="37" t="str">
        <f>IFERROR(IF(Agent03_Savings!A98="","",YEAR(Agent03_Savings!D98)),"")</f>
        <v/>
      </c>
    </row>
    <row r="494" spans="1:11" ht="18" customHeight="1" x14ac:dyDescent="0.25">
      <c r="A494" s="37" t="str">
        <f>IF(Agent03_Savings!A99="","",Agent03_Savings!A99)</f>
        <v/>
      </c>
      <c r="B494" s="37" t="str">
        <f ca="1">IF(Agent03_Savings!A99="","","SV"&amp;TEXT(494-3,"0000")&amp;"-"&amp;TEXT(TODAY(),"YYYYMMDD"))</f>
        <v/>
      </c>
      <c r="C494" s="37" t="str">
        <f>IF(Agent03_Savings!A99="","",Agent03_Savings!B99)</f>
        <v/>
      </c>
      <c r="D494" s="37" t="str">
        <f>IF(Agent03_Savings!A99="","",Agent03_Savings!G99)</f>
        <v/>
      </c>
      <c r="E494" s="38" t="str">
        <f>IF(Agent03_Savings!A99="","",Agent03_Savings!D99)</f>
        <v/>
      </c>
      <c r="F494" s="39" t="str">
        <f>IF(Agent03_Savings!A99="","",Agent03_Savings!E99)</f>
        <v/>
      </c>
      <c r="G494" s="39" t="str">
        <f>IF(Agent03_Savings!A99="","",Agent03_Savings!F99)</f>
        <v/>
      </c>
      <c r="H494" s="37" t="str">
        <f>IF(Agent03_Savings!A99="","",Agent03_Savings!I99)</f>
        <v/>
      </c>
      <c r="I494" s="37" t="str">
        <f>IF(Agent03_Savings!A99="","",Agent03_Savings!J99)</f>
        <v/>
      </c>
      <c r="J494" s="37" t="str">
        <f>IF(Agent03_Savings!A99="","",Agent03_Savings!K99)</f>
        <v/>
      </c>
      <c r="K494" s="37" t="str">
        <f>IFERROR(IF(Agent03_Savings!A99="","",YEAR(Agent03_Savings!D99)),"")</f>
        <v/>
      </c>
    </row>
    <row r="495" spans="1:11" ht="18" customHeight="1" x14ac:dyDescent="0.25">
      <c r="A495" s="37" t="str">
        <f>IF(Agent03_Savings!A100="","",Agent03_Savings!A100)</f>
        <v/>
      </c>
      <c r="B495" s="37" t="str">
        <f ca="1">IF(Agent03_Savings!A100="","","SV"&amp;TEXT(495-3,"0000")&amp;"-"&amp;TEXT(TODAY(),"YYYYMMDD"))</f>
        <v/>
      </c>
      <c r="C495" s="37" t="str">
        <f>IF(Agent03_Savings!A100="","",Agent03_Savings!B100)</f>
        <v/>
      </c>
      <c r="D495" s="37" t="str">
        <f>IF(Agent03_Savings!A100="","",Agent03_Savings!G100)</f>
        <v/>
      </c>
      <c r="E495" s="38" t="str">
        <f>IF(Agent03_Savings!A100="","",Agent03_Savings!D100)</f>
        <v/>
      </c>
      <c r="F495" s="39" t="str">
        <f>IF(Agent03_Savings!A100="","",Agent03_Savings!E100)</f>
        <v/>
      </c>
      <c r="G495" s="39" t="str">
        <f>IF(Agent03_Savings!A100="","",Agent03_Savings!F100)</f>
        <v/>
      </c>
      <c r="H495" s="37" t="str">
        <f>IF(Agent03_Savings!A100="","",Agent03_Savings!I100)</f>
        <v/>
      </c>
      <c r="I495" s="37" t="str">
        <f>IF(Agent03_Savings!A100="","",Agent03_Savings!J100)</f>
        <v/>
      </c>
      <c r="J495" s="37" t="str">
        <f>IF(Agent03_Savings!A100="","",Agent03_Savings!K100)</f>
        <v/>
      </c>
      <c r="K495" s="37" t="str">
        <f>IFERROR(IF(Agent03_Savings!A100="","",YEAR(Agent03_Savings!D100)),"")</f>
        <v/>
      </c>
    </row>
    <row r="496" spans="1:11" ht="18" customHeight="1" x14ac:dyDescent="0.25">
      <c r="A496" s="37" t="str">
        <f>IF(Agent03_Savings!A101="","",Agent03_Savings!A101)</f>
        <v/>
      </c>
      <c r="B496" s="37" t="str">
        <f ca="1">IF(Agent03_Savings!A101="","","SV"&amp;TEXT(496-3,"0000")&amp;"-"&amp;TEXT(TODAY(),"YYYYMMDD"))</f>
        <v/>
      </c>
      <c r="C496" s="37" t="str">
        <f>IF(Agent03_Savings!A101="","",Agent03_Savings!B101)</f>
        <v/>
      </c>
      <c r="D496" s="37" t="str">
        <f>IF(Agent03_Savings!A101="","",Agent03_Savings!G101)</f>
        <v/>
      </c>
      <c r="E496" s="38" t="str">
        <f>IF(Agent03_Savings!A101="","",Agent03_Savings!D101)</f>
        <v/>
      </c>
      <c r="F496" s="39" t="str">
        <f>IF(Agent03_Savings!A101="","",Agent03_Savings!E101)</f>
        <v/>
      </c>
      <c r="G496" s="39" t="str">
        <f>IF(Agent03_Savings!A101="","",Agent03_Savings!F101)</f>
        <v/>
      </c>
      <c r="H496" s="37" t="str">
        <f>IF(Agent03_Savings!A101="","",Agent03_Savings!I101)</f>
        <v/>
      </c>
      <c r="I496" s="37" t="str">
        <f>IF(Agent03_Savings!A101="","",Agent03_Savings!J101)</f>
        <v/>
      </c>
      <c r="J496" s="37" t="str">
        <f>IF(Agent03_Savings!A101="","",Agent03_Savings!K101)</f>
        <v/>
      </c>
      <c r="K496" s="37" t="str">
        <f>IFERROR(IF(Agent03_Savings!A101="","",YEAR(Agent03_Savings!D101)),"")</f>
        <v/>
      </c>
    </row>
    <row r="497" spans="1:11" ht="18" customHeight="1" x14ac:dyDescent="0.25">
      <c r="A497" s="37" t="str">
        <f>IF(Agent03_Savings!A102="","",Agent03_Savings!A102)</f>
        <v/>
      </c>
      <c r="B497" s="37" t="str">
        <f ca="1">IF(Agent03_Savings!A102="","","SV"&amp;TEXT(497-3,"0000")&amp;"-"&amp;TEXT(TODAY(),"YYYYMMDD"))</f>
        <v/>
      </c>
      <c r="C497" s="37" t="str">
        <f>IF(Agent03_Savings!A102="","",Agent03_Savings!B102)</f>
        <v/>
      </c>
      <c r="D497" s="37" t="str">
        <f>IF(Agent03_Savings!A102="","",Agent03_Savings!G102)</f>
        <v/>
      </c>
      <c r="E497" s="38" t="str">
        <f>IF(Agent03_Savings!A102="","",Agent03_Savings!D102)</f>
        <v/>
      </c>
      <c r="F497" s="39" t="str">
        <f>IF(Agent03_Savings!A102="","",Agent03_Savings!E102)</f>
        <v/>
      </c>
      <c r="G497" s="39" t="str">
        <f>IF(Agent03_Savings!A102="","",Agent03_Savings!F102)</f>
        <v/>
      </c>
      <c r="H497" s="37" t="str">
        <f>IF(Agent03_Savings!A102="","",Agent03_Savings!I102)</f>
        <v/>
      </c>
      <c r="I497" s="37" t="str">
        <f>IF(Agent03_Savings!A102="","",Agent03_Savings!J102)</f>
        <v/>
      </c>
      <c r="J497" s="37" t="str">
        <f>IF(Agent03_Savings!A102="","",Agent03_Savings!K102)</f>
        <v/>
      </c>
      <c r="K497" s="37" t="str">
        <f>IFERROR(IF(Agent03_Savings!A102="","",YEAR(Agent03_Savings!D102)),"")</f>
        <v/>
      </c>
    </row>
    <row r="498" spans="1:11" ht="18" customHeight="1" x14ac:dyDescent="0.25">
      <c r="A498" s="37" t="str">
        <f>IF(Agent03_Savings!A103="","",Agent03_Savings!A103)</f>
        <v/>
      </c>
      <c r="B498" s="37" t="str">
        <f ca="1">IF(Agent03_Savings!A103="","","SV"&amp;TEXT(498-3,"0000")&amp;"-"&amp;TEXT(TODAY(),"YYYYMMDD"))</f>
        <v/>
      </c>
      <c r="C498" s="37" t="str">
        <f>IF(Agent03_Savings!A103="","",Agent03_Savings!B103)</f>
        <v/>
      </c>
      <c r="D498" s="37" t="str">
        <f>IF(Agent03_Savings!A103="","",Agent03_Savings!G103)</f>
        <v/>
      </c>
      <c r="E498" s="38" t="str">
        <f>IF(Agent03_Savings!A103="","",Agent03_Savings!D103)</f>
        <v/>
      </c>
      <c r="F498" s="39" t="str">
        <f>IF(Agent03_Savings!A103="","",Agent03_Savings!E103)</f>
        <v/>
      </c>
      <c r="G498" s="39" t="str">
        <f>IF(Agent03_Savings!A103="","",Agent03_Savings!F103)</f>
        <v/>
      </c>
      <c r="H498" s="37" t="str">
        <f>IF(Agent03_Savings!A103="","",Agent03_Savings!I103)</f>
        <v/>
      </c>
      <c r="I498" s="37" t="str">
        <f>IF(Agent03_Savings!A103="","",Agent03_Savings!J103)</f>
        <v/>
      </c>
      <c r="J498" s="37" t="str">
        <f>IF(Agent03_Savings!A103="","",Agent03_Savings!K103)</f>
        <v/>
      </c>
      <c r="K498" s="37" t="str">
        <f>IFERROR(IF(Agent03_Savings!A103="","",YEAR(Agent03_Savings!D103)),"")</f>
        <v/>
      </c>
    </row>
    <row r="499" spans="1:11" ht="18" customHeight="1" x14ac:dyDescent="0.25">
      <c r="A499" s="37" t="str">
        <f>IF(Agent03_Savings!A104="","",Agent03_Savings!A104)</f>
        <v/>
      </c>
      <c r="B499" s="37" t="str">
        <f ca="1">IF(Agent03_Savings!A104="","","SV"&amp;TEXT(499-3,"0000")&amp;"-"&amp;TEXT(TODAY(),"YYYYMMDD"))</f>
        <v/>
      </c>
      <c r="C499" s="37" t="str">
        <f>IF(Agent03_Savings!A104="","",Agent03_Savings!B104)</f>
        <v/>
      </c>
      <c r="D499" s="37" t="str">
        <f>IF(Agent03_Savings!A104="","",Agent03_Savings!G104)</f>
        <v/>
      </c>
      <c r="E499" s="38" t="str">
        <f>IF(Agent03_Savings!A104="","",Agent03_Savings!D104)</f>
        <v/>
      </c>
      <c r="F499" s="39" t="str">
        <f>IF(Agent03_Savings!A104="","",Agent03_Savings!E104)</f>
        <v/>
      </c>
      <c r="G499" s="39" t="str">
        <f>IF(Agent03_Savings!A104="","",Agent03_Savings!F104)</f>
        <v/>
      </c>
      <c r="H499" s="37" t="str">
        <f>IF(Agent03_Savings!A104="","",Agent03_Savings!I104)</f>
        <v/>
      </c>
      <c r="I499" s="37" t="str">
        <f>IF(Agent03_Savings!A104="","",Agent03_Savings!J104)</f>
        <v/>
      </c>
      <c r="J499" s="37" t="str">
        <f>IF(Agent03_Savings!A104="","",Agent03_Savings!K104)</f>
        <v/>
      </c>
      <c r="K499" s="37" t="str">
        <f>IFERROR(IF(Agent03_Savings!A104="","",YEAR(Agent03_Savings!D104)),"")</f>
        <v/>
      </c>
    </row>
    <row r="500" spans="1:11" ht="18" customHeight="1" x14ac:dyDescent="0.25">
      <c r="A500" s="37" t="str">
        <f>IF(Agent03_Savings!A105="","",Agent03_Savings!A105)</f>
        <v/>
      </c>
      <c r="B500" s="37" t="str">
        <f ca="1">IF(Agent03_Savings!A105="","","SV"&amp;TEXT(500-3,"0000")&amp;"-"&amp;TEXT(TODAY(),"YYYYMMDD"))</f>
        <v/>
      </c>
      <c r="C500" s="37" t="str">
        <f>IF(Agent03_Savings!A105="","",Agent03_Savings!B105)</f>
        <v/>
      </c>
      <c r="D500" s="37" t="str">
        <f>IF(Agent03_Savings!A105="","",Agent03_Savings!G105)</f>
        <v/>
      </c>
      <c r="E500" s="38" t="str">
        <f>IF(Agent03_Savings!A105="","",Agent03_Savings!D105)</f>
        <v/>
      </c>
      <c r="F500" s="39" t="str">
        <f>IF(Agent03_Savings!A105="","",Agent03_Savings!E105)</f>
        <v/>
      </c>
      <c r="G500" s="39" t="str">
        <f>IF(Agent03_Savings!A105="","",Agent03_Savings!F105)</f>
        <v/>
      </c>
      <c r="H500" s="37" t="str">
        <f>IF(Agent03_Savings!A105="","",Agent03_Savings!I105)</f>
        <v/>
      </c>
      <c r="I500" s="37" t="str">
        <f>IF(Agent03_Savings!A105="","",Agent03_Savings!J105)</f>
        <v/>
      </c>
      <c r="J500" s="37" t="str">
        <f>IF(Agent03_Savings!A105="","",Agent03_Savings!K105)</f>
        <v/>
      </c>
      <c r="K500" s="37" t="str">
        <f>IFERROR(IF(Agent03_Savings!A105="","",YEAR(Agent03_Savings!D105)),"")</f>
        <v/>
      </c>
    </row>
    <row r="501" spans="1:11" ht="18" customHeight="1" x14ac:dyDescent="0.25">
      <c r="A501" s="37" t="str">
        <f>IF(Agent03_Savings!A106="","",Agent03_Savings!A106)</f>
        <v/>
      </c>
      <c r="B501" s="37" t="str">
        <f ca="1">IF(Agent03_Savings!A106="","","SV"&amp;TEXT(501-3,"0000")&amp;"-"&amp;TEXT(TODAY(),"YYYYMMDD"))</f>
        <v/>
      </c>
      <c r="C501" s="37" t="str">
        <f>IF(Agent03_Savings!A106="","",Agent03_Savings!B106)</f>
        <v/>
      </c>
      <c r="D501" s="37" t="str">
        <f>IF(Agent03_Savings!A106="","",Agent03_Savings!G106)</f>
        <v/>
      </c>
      <c r="E501" s="38" t="str">
        <f>IF(Agent03_Savings!A106="","",Agent03_Savings!D106)</f>
        <v/>
      </c>
      <c r="F501" s="39" t="str">
        <f>IF(Agent03_Savings!A106="","",Agent03_Savings!E106)</f>
        <v/>
      </c>
      <c r="G501" s="39" t="str">
        <f>IF(Agent03_Savings!A106="","",Agent03_Savings!F106)</f>
        <v/>
      </c>
      <c r="H501" s="37" t="str">
        <f>IF(Agent03_Savings!A106="","",Agent03_Savings!I106)</f>
        <v/>
      </c>
      <c r="I501" s="37" t="str">
        <f>IF(Agent03_Savings!A106="","",Agent03_Savings!J106)</f>
        <v/>
      </c>
      <c r="J501" s="37" t="str">
        <f>IF(Agent03_Savings!A106="","",Agent03_Savings!K106)</f>
        <v/>
      </c>
      <c r="K501" s="37" t="str">
        <f>IFERROR(IF(Agent03_Savings!A106="","",YEAR(Agent03_Savings!D106)),"")</f>
        <v/>
      </c>
    </row>
    <row r="502" spans="1:11" ht="18" customHeight="1" x14ac:dyDescent="0.25">
      <c r="A502" s="37" t="str">
        <f>IF(Agent03_Savings!A107="","",Agent03_Savings!A107)</f>
        <v/>
      </c>
      <c r="B502" s="37" t="str">
        <f ca="1">IF(Agent03_Savings!A107="","","SV"&amp;TEXT(502-3,"0000")&amp;"-"&amp;TEXT(TODAY(),"YYYYMMDD"))</f>
        <v/>
      </c>
      <c r="C502" s="37" t="str">
        <f>IF(Agent03_Savings!A107="","",Agent03_Savings!B107)</f>
        <v/>
      </c>
      <c r="D502" s="37" t="str">
        <f>IF(Agent03_Savings!A107="","",Agent03_Savings!G107)</f>
        <v/>
      </c>
      <c r="E502" s="38" t="str">
        <f>IF(Agent03_Savings!A107="","",Agent03_Savings!D107)</f>
        <v/>
      </c>
      <c r="F502" s="39" t="str">
        <f>IF(Agent03_Savings!A107="","",Agent03_Savings!E107)</f>
        <v/>
      </c>
      <c r="G502" s="39" t="str">
        <f>IF(Agent03_Savings!A107="","",Agent03_Savings!F107)</f>
        <v/>
      </c>
      <c r="H502" s="37" t="str">
        <f>IF(Agent03_Savings!A107="","",Agent03_Savings!I107)</f>
        <v/>
      </c>
      <c r="I502" s="37" t="str">
        <f>IF(Agent03_Savings!A107="","",Agent03_Savings!J107)</f>
        <v/>
      </c>
      <c r="J502" s="37" t="str">
        <f>IF(Agent03_Savings!A107="","",Agent03_Savings!K107)</f>
        <v/>
      </c>
      <c r="K502" s="37" t="str">
        <f>IFERROR(IF(Agent03_Savings!A107="","",YEAR(Agent03_Savings!D107)),"")</f>
        <v/>
      </c>
    </row>
    <row r="503" spans="1:11" ht="18" customHeight="1" x14ac:dyDescent="0.25">
      <c r="A503" s="37" t="str">
        <f>IF(Agent03_Savings!A108="","",Agent03_Savings!A108)</f>
        <v/>
      </c>
      <c r="B503" s="37" t="str">
        <f ca="1">IF(Agent03_Savings!A108="","","SV"&amp;TEXT(503-3,"0000")&amp;"-"&amp;TEXT(TODAY(),"YYYYMMDD"))</f>
        <v/>
      </c>
      <c r="C503" s="37" t="str">
        <f>IF(Agent03_Savings!A108="","",Agent03_Savings!B108)</f>
        <v/>
      </c>
      <c r="D503" s="37" t="str">
        <f>IF(Agent03_Savings!A108="","",Agent03_Savings!G108)</f>
        <v/>
      </c>
      <c r="E503" s="38" t="str">
        <f>IF(Agent03_Savings!A108="","",Agent03_Savings!D108)</f>
        <v/>
      </c>
      <c r="F503" s="39" t="str">
        <f>IF(Agent03_Savings!A108="","",Agent03_Savings!E108)</f>
        <v/>
      </c>
      <c r="G503" s="39" t="str">
        <f>IF(Agent03_Savings!A108="","",Agent03_Savings!F108)</f>
        <v/>
      </c>
      <c r="H503" s="37" t="str">
        <f>IF(Agent03_Savings!A108="","",Agent03_Savings!I108)</f>
        <v/>
      </c>
      <c r="I503" s="37" t="str">
        <f>IF(Agent03_Savings!A108="","",Agent03_Savings!J108)</f>
        <v/>
      </c>
      <c r="J503" s="37" t="str">
        <f>IF(Agent03_Savings!A108="","",Agent03_Savings!K108)</f>
        <v/>
      </c>
      <c r="K503" s="37" t="str">
        <f>IFERROR(IF(Agent03_Savings!A108="","",YEAR(Agent03_Savings!D108)),"")</f>
        <v/>
      </c>
    </row>
    <row r="504" spans="1:11" ht="18" customHeight="1" x14ac:dyDescent="0.25">
      <c r="A504" s="37" t="str">
        <f>IF(Agent03_Savings!A109="","",Agent03_Savings!A109)</f>
        <v/>
      </c>
      <c r="B504" s="37" t="str">
        <f ca="1">IF(Agent03_Savings!A109="","","SV"&amp;TEXT(504-3,"0000")&amp;"-"&amp;TEXT(TODAY(),"YYYYMMDD"))</f>
        <v/>
      </c>
      <c r="C504" s="37" t="str">
        <f>IF(Agent03_Savings!A109="","",Agent03_Savings!B109)</f>
        <v/>
      </c>
      <c r="D504" s="37" t="str">
        <f>IF(Agent03_Savings!A109="","",Agent03_Savings!G109)</f>
        <v/>
      </c>
      <c r="E504" s="38" t="str">
        <f>IF(Agent03_Savings!A109="","",Agent03_Savings!D109)</f>
        <v/>
      </c>
      <c r="F504" s="39" t="str">
        <f>IF(Agent03_Savings!A109="","",Agent03_Savings!E109)</f>
        <v/>
      </c>
      <c r="G504" s="39" t="str">
        <f>IF(Agent03_Savings!A109="","",Agent03_Savings!F109)</f>
        <v/>
      </c>
      <c r="H504" s="37" t="str">
        <f>IF(Agent03_Savings!A109="","",Agent03_Savings!I109)</f>
        <v/>
      </c>
      <c r="I504" s="37" t="str">
        <f>IF(Agent03_Savings!A109="","",Agent03_Savings!J109)</f>
        <v/>
      </c>
      <c r="J504" s="37" t="str">
        <f>IF(Agent03_Savings!A109="","",Agent03_Savings!K109)</f>
        <v/>
      </c>
      <c r="K504" s="37" t="str">
        <f>IFERROR(IF(Agent03_Savings!A109="","",YEAR(Agent03_Savings!D109)),"")</f>
        <v/>
      </c>
    </row>
    <row r="505" spans="1:11" ht="18" customHeight="1" x14ac:dyDescent="0.25">
      <c r="A505" s="37" t="str">
        <f>IF(Agent03_Savings!A110="","",Agent03_Savings!A110)</f>
        <v/>
      </c>
      <c r="B505" s="37" t="str">
        <f ca="1">IF(Agent03_Savings!A110="","","SV"&amp;TEXT(505-3,"0000")&amp;"-"&amp;TEXT(TODAY(),"YYYYMMDD"))</f>
        <v/>
      </c>
      <c r="C505" s="37" t="str">
        <f>IF(Agent03_Savings!A110="","",Agent03_Savings!B110)</f>
        <v/>
      </c>
      <c r="D505" s="37" t="str">
        <f>IF(Agent03_Savings!A110="","",Agent03_Savings!G110)</f>
        <v/>
      </c>
      <c r="E505" s="38" t="str">
        <f>IF(Agent03_Savings!A110="","",Agent03_Savings!D110)</f>
        <v/>
      </c>
      <c r="F505" s="39" t="str">
        <f>IF(Agent03_Savings!A110="","",Agent03_Savings!E110)</f>
        <v/>
      </c>
      <c r="G505" s="39" t="str">
        <f>IF(Agent03_Savings!A110="","",Agent03_Savings!F110)</f>
        <v/>
      </c>
      <c r="H505" s="37" t="str">
        <f>IF(Agent03_Savings!A110="","",Agent03_Savings!I110)</f>
        <v/>
      </c>
      <c r="I505" s="37" t="str">
        <f>IF(Agent03_Savings!A110="","",Agent03_Savings!J110)</f>
        <v/>
      </c>
      <c r="J505" s="37" t="str">
        <f>IF(Agent03_Savings!A110="","",Agent03_Savings!K110)</f>
        <v/>
      </c>
      <c r="K505" s="37" t="str">
        <f>IFERROR(IF(Agent03_Savings!A110="","",YEAR(Agent03_Savings!D110)),"")</f>
        <v/>
      </c>
    </row>
    <row r="506" spans="1:11" ht="18" customHeight="1" x14ac:dyDescent="0.25">
      <c r="A506" s="37" t="str">
        <f>IF(Agent03_Savings!A111="","",Agent03_Savings!A111)</f>
        <v/>
      </c>
      <c r="B506" s="37" t="str">
        <f ca="1">IF(Agent03_Savings!A111="","","SV"&amp;TEXT(506-3,"0000")&amp;"-"&amp;TEXT(TODAY(),"YYYYMMDD"))</f>
        <v/>
      </c>
      <c r="C506" s="37" t="str">
        <f>IF(Agent03_Savings!A111="","",Agent03_Savings!B111)</f>
        <v/>
      </c>
      <c r="D506" s="37" t="str">
        <f>IF(Agent03_Savings!A111="","",Agent03_Savings!G111)</f>
        <v/>
      </c>
      <c r="E506" s="38" t="str">
        <f>IF(Agent03_Savings!A111="","",Agent03_Savings!D111)</f>
        <v/>
      </c>
      <c r="F506" s="39" t="str">
        <f>IF(Agent03_Savings!A111="","",Agent03_Savings!E111)</f>
        <v/>
      </c>
      <c r="G506" s="39" t="str">
        <f>IF(Agent03_Savings!A111="","",Agent03_Savings!F111)</f>
        <v/>
      </c>
      <c r="H506" s="37" t="str">
        <f>IF(Agent03_Savings!A111="","",Agent03_Savings!I111)</f>
        <v/>
      </c>
      <c r="I506" s="37" t="str">
        <f>IF(Agent03_Savings!A111="","",Agent03_Savings!J111)</f>
        <v/>
      </c>
      <c r="J506" s="37" t="str">
        <f>IF(Agent03_Savings!A111="","",Agent03_Savings!K111)</f>
        <v/>
      </c>
      <c r="K506" s="37" t="str">
        <f>IFERROR(IF(Agent03_Savings!A111="","",YEAR(Agent03_Savings!D111)),"")</f>
        <v/>
      </c>
    </row>
    <row r="507" spans="1:11" ht="18" customHeight="1" x14ac:dyDescent="0.25">
      <c r="A507" s="37" t="str">
        <f>IF(Agent03_Savings!A112="","",Agent03_Savings!A112)</f>
        <v/>
      </c>
      <c r="B507" s="37" t="str">
        <f ca="1">IF(Agent03_Savings!A112="","","SV"&amp;TEXT(507-3,"0000")&amp;"-"&amp;TEXT(TODAY(),"YYYYMMDD"))</f>
        <v/>
      </c>
      <c r="C507" s="37" t="str">
        <f>IF(Agent03_Savings!A112="","",Agent03_Savings!B112)</f>
        <v/>
      </c>
      <c r="D507" s="37" t="str">
        <f>IF(Agent03_Savings!A112="","",Agent03_Savings!G112)</f>
        <v/>
      </c>
      <c r="E507" s="38" t="str">
        <f>IF(Agent03_Savings!A112="","",Agent03_Savings!D112)</f>
        <v/>
      </c>
      <c r="F507" s="39" t="str">
        <f>IF(Agent03_Savings!A112="","",Agent03_Savings!E112)</f>
        <v/>
      </c>
      <c r="G507" s="39" t="str">
        <f>IF(Agent03_Savings!A112="","",Agent03_Savings!F112)</f>
        <v/>
      </c>
      <c r="H507" s="37" t="str">
        <f>IF(Agent03_Savings!A112="","",Agent03_Savings!I112)</f>
        <v/>
      </c>
      <c r="I507" s="37" t="str">
        <f>IF(Agent03_Savings!A112="","",Agent03_Savings!J112)</f>
        <v/>
      </c>
      <c r="J507" s="37" t="str">
        <f>IF(Agent03_Savings!A112="","",Agent03_Savings!K112)</f>
        <v/>
      </c>
      <c r="K507" s="37" t="str">
        <f>IFERROR(IF(Agent03_Savings!A112="","",YEAR(Agent03_Savings!D112)),"")</f>
        <v/>
      </c>
    </row>
    <row r="508" spans="1:11" ht="18" customHeight="1" x14ac:dyDescent="0.25">
      <c r="A508" s="37" t="str">
        <f>IF(Agent03_Savings!A113="","",Agent03_Savings!A113)</f>
        <v/>
      </c>
      <c r="B508" s="37" t="str">
        <f ca="1">IF(Agent03_Savings!A113="","","SV"&amp;TEXT(508-3,"0000")&amp;"-"&amp;TEXT(TODAY(),"YYYYMMDD"))</f>
        <v/>
      </c>
      <c r="C508" s="37" t="str">
        <f>IF(Agent03_Savings!A113="","",Agent03_Savings!B113)</f>
        <v/>
      </c>
      <c r="D508" s="37" t="str">
        <f>IF(Agent03_Savings!A113="","",Agent03_Savings!G113)</f>
        <v/>
      </c>
      <c r="E508" s="38" t="str">
        <f>IF(Agent03_Savings!A113="","",Agent03_Savings!D113)</f>
        <v/>
      </c>
      <c r="F508" s="39" t="str">
        <f>IF(Agent03_Savings!A113="","",Agent03_Savings!E113)</f>
        <v/>
      </c>
      <c r="G508" s="39" t="str">
        <f>IF(Agent03_Savings!A113="","",Agent03_Savings!F113)</f>
        <v/>
      </c>
      <c r="H508" s="37" t="str">
        <f>IF(Agent03_Savings!A113="","",Agent03_Savings!I113)</f>
        <v/>
      </c>
      <c r="I508" s="37" t="str">
        <f>IF(Agent03_Savings!A113="","",Agent03_Savings!J113)</f>
        <v/>
      </c>
      <c r="J508" s="37" t="str">
        <f>IF(Agent03_Savings!A113="","",Agent03_Savings!K113)</f>
        <v/>
      </c>
      <c r="K508" s="37" t="str">
        <f>IFERROR(IF(Agent03_Savings!A113="","",YEAR(Agent03_Savings!D113)),"")</f>
        <v/>
      </c>
    </row>
    <row r="509" spans="1:11" ht="18" customHeight="1" x14ac:dyDescent="0.25">
      <c r="A509" s="37" t="str">
        <f>IF(Agent03_Savings!A114="","",Agent03_Savings!A114)</f>
        <v/>
      </c>
      <c r="B509" s="37" t="str">
        <f ca="1">IF(Agent03_Savings!A114="","","SV"&amp;TEXT(509-3,"0000")&amp;"-"&amp;TEXT(TODAY(),"YYYYMMDD"))</f>
        <v/>
      </c>
      <c r="C509" s="37" t="str">
        <f>IF(Agent03_Savings!A114="","",Agent03_Savings!B114)</f>
        <v/>
      </c>
      <c r="D509" s="37" t="str">
        <f>IF(Agent03_Savings!A114="","",Agent03_Savings!G114)</f>
        <v/>
      </c>
      <c r="E509" s="38" t="str">
        <f>IF(Agent03_Savings!A114="","",Agent03_Savings!D114)</f>
        <v/>
      </c>
      <c r="F509" s="39" t="str">
        <f>IF(Agent03_Savings!A114="","",Agent03_Savings!E114)</f>
        <v/>
      </c>
      <c r="G509" s="39" t="str">
        <f>IF(Agent03_Savings!A114="","",Agent03_Savings!F114)</f>
        <v/>
      </c>
      <c r="H509" s="37" t="str">
        <f>IF(Agent03_Savings!A114="","",Agent03_Savings!I114)</f>
        <v/>
      </c>
      <c r="I509" s="37" t="str">
        <f>IF(Agent03_Savings!A114="","",Agent03_Savings!J114)</f>
        <v/>
      </c>
      <c r="J509" s="37" t="str">
        <f>IF(Agent03_Savings!A114="","",Agent03_Savings!K114)</f>
        <v/>
      </c>
      <c r="K509" s="37" t="str">
        <f>IFERROR(IF(Agent03_Savings!A114="","",YEAR(Agent03_Savings!D114)),"")</f>
        <v/>
      </c>
    </row>
    <row r="510" spans="1:11" ht="18" customHeight="1" x14ac:dyDescent="0.25">
      <c r="A510" s="37" t="str">
        <f>IF(Agent03_Savings!A115="","",Agent03_Savings!A115)</f>
        <v/>
      </c>
      <c r="B510" s="37" t="str">
        <f ca="1">IF(Agent03_Savings!A115="","","SV"&amp;TEXT(510-3,"0000")&amp;"-"&amp;TEXT(TODAY(),"YYYYMMDD"))</f>
        <v/>
      </c>
      <c r="C510" s="37" t="str">
        <f>IF(Agent03_Savings!A115="","",Agent03_Savings!B115)</f>
        <v/>
      </c>
      <c r="D510" s="37" t="str">
        <f>IF(Agent03_Savings!A115="","",Agent03_Savings!G115)</f>
        <v/>
      </c>
      <c r="E510" s="38" t="str">
        <f>IF(Agent03_Savings!A115="","",Agent03_Savings!D115)</f>
        <v/>
      </c>
      <c r="F510" s="39" t="str">
        <f>IF(Agent03_Savings!A115="","",Agent03_Savings!E115)</f>
        <v/>
      </c>
      <c r="G510" s="39" t="str">
        <f>IF(Agent03_Savings!A115="","",Agent03_Savings!F115)</f>
        <v/>
      </c>
      <c r="H510" s="37" t="str">
        <f>IF(Agent03_Savings!A115="","",Agent03_Savings!I115)</f>
        <v/>
      </c>
      <c r="I510" s="37" t="str">
        <f>IF(Agent03_Savings!A115="","",Agent03_Savings!J115)</f>
        <v/>
      </c>
      <c r="J510" s="37" t="str">
        <f>IF(Agent03_Savings!A115="","",Agent03_Savings!K115)</f>
        <v/>
      </c>
      <c r="K510" s="37" t="str">
        <f>IFERROR(IF(Agent03_Savings!A115="","",YEAR(Agent03_Savings!D115)),"")</f>
        <v/>
      </c>
    </row>
    <row r="511" spans="1:11" ht="18" customHeight="1" x14ac:dyDescent="0.25">
      <c r="A511" s="37" t="str">
        <f>IF(Agent03_Savings!A116="","",Agent03_Savings!A116)</f>
        <v/>
      </c>
      <c r="B511" s="37" t="str">
        <f ca="1">IF(Agent03_Savings!A116="","","SV"&amp;TEXT(511-3,"0000")&amp;"-"&amp;TEXT(TODAY(),"YYYYMMDD"))</f>
        <v/>
      </c>
      <c r="C511" s="37" t="str">
        <f>IF(Agent03_Savings!A116="","",Agent03_Savings!B116)</f>
        <v/>
      </c>
      <c r="D511" s="37" t="str">
        <f>IF(Agent03_Savings!A116="","",Agent03_Savings!G116)</f>
        <v/>
      </c>
      <c r="E511" s="38" t="str">
        <f>IF(Agent03_Savings!A116="","",Agent03_Savings!D116)</f>
        <v/>
      </c>
      <c r="F511" s="39" t="str">
        <f>IF(Agent03_Savings!A116="","",Agent03_Savings!E116)</f>
        <v/>
      </c>
      <c r="G511" s="39" t="str">
        <f>IF(Agent03_Savings!A116="","",Agent03_Savings!F116)</f>
        <v/>
      </c>
      <c r="H511" s="37" t="str">
        <f>IF(Agent03_Savings!A116="","",Agent03_Savings!I116)</f>
        <v/>
      </c>
      <c r="I511" s="37" t="str">
        <f>IF(Agent03_Savings!A116="","",Agent03_Savings!J116)</f>
        <v/>
      </c>
      <c r="J511" s="37" t="str">
        <f>IF(Agent03_Savings!A116="","",Agent03_Savings!K116)</f>
        <v/>
      </c>
      <c r="K511" s="37" t="str">
        <f>IFERROR(IF(Agent03_Savings!A116="","",YEAR(Agent03_Savings!D116)),"")</f>
        <v/>
      </c>
    </row>
    <row r="512" spans="1:11" ht="18" customHeight="1" x14ac:dyDescent="0.25">
      <c r="A512" s="37" t="str">
        <f>IF(Agent03_Savings!A117="","",Agent03_Savings!A117)</f>
        <v/>
      </c>
      <c r="B512" s="37" t="str">
        <f ca="1">IF(Agent03_Savings!A117="","","SV"&amp;TEXT(512-3,"0000")&amp;"-"&amp;TEXT(TODAY(),"YYYYMMDD"))</f>
        <v/>
      </c>
      <c r="C512" s="37" t="str">
        <f>IF(Agent03_Savings!A117="","",Agent03_Savings!B117)</f>
        <v/>
      </c>
      <c r="D512" s="37" t="str">
        <f>IF(Agent03_Savings!A117="","",Agent03_Savings!G117)</f>
        <v/>
      </c>
      <c r="E512" s="38" t="str">
        <f>IF(Agent03_Savings!A117="","",Agent03_Savings!D117)</f>
        <v/>
      </c>
      <c r="F512" s="39" t="str">
        <f>IF(Agent03_Savings!A117="","",Agent03_Savings!E117)</f>
        <v/>
      </c>
      <c r="G512" s="39" t="str">
        <f>IF(Agent03_Savings!A117="","",Agent03_Savings!F117)</f>
        <v/>
      </c>
      <c r="H512" s="37" t="str">
        <f>IF(Agent03_Savings!A117="","",Agent03_Savings!I117)</f>
        <v/>
      </c>
      <c r="I512" s="37" t="str">
        <f>IF(Agent03_Savings!A117="","",Agent03_Savings!J117)</f>
        <v/>
      </c>
      <c r="J512" s="37" t="str">
        <f>IF(Agent03_Savings!A117="","",Agent03_Savings!K117)</f>
        <v/>
      </c>
      <c r="K512" s="37" t="str">
        <f>IFERROR(IF(Agent03_Savings!A117="","",YEAR(Agent03_Savings!D117)),"")</f>
        <v/>
      </c>
    </row>
    <row r="513" spans="1:11" ht="18" customHeight="1" x14ac:dyDescent="0.25">
      <c r="A513" s="37" t="str">
        <f>IF(Agent03_Savings!A118="","",Agent03_Savings!A118)</f>
        <v/>
      </c>
      <c r="B513" s="37" t="str">
        <f ca="1">IF(Agent03_Savings!A118="","","SV"&amp;TEXT(513-3,"0000")&amp;"-"&amp;TEXT(TODAY(),"YYYYMMDD"))</f>
        <v/>
      </c>
      <c r="C513" s="37" t="str">
        <f>IF(Agent03_Savings!A118="","",Agent03_Savings!B118)</f>
        <v/>
      </c>
      <c r="D513" s="37" t="str">
        <f>IF(Agent03_Savings!A118="","",Agent03_Savings!G118)</f>
        <v/>
      </c>
      <c r="E513" s="38" t="str">
        <f>IF(Agent03_Savings!A118="","",Agent03_Savings!D118)</f>
        <v/>
      </c>
      <c r="F513" s="39" t="str">
        <f>IF(Agent03_Savings!A118="","",Agent03_Savings!E118)</f>
        <v/>
      </c>
      <c r="G513" s="39" t="str">
        <f>IF(Agent03_Savings!A118="","",Agent03_Savings!F118)</f>
        <v/>
      </c>
      <c r="H513" s="37" t="str">
        <f>IF(Agent03_Savings!A118="","",Agent03_Savings!I118)</f>
        <v/>
      </c>
      <c r="I513" s="37" t="str">
        <f>IF(Agent03_Savings!A118="","",Agent03_Savings!J118)</f>
        <v/>
      </c>
      <c r="J513" s="37" t="str">
        <f>IF(Agent03_Savings!A118="","",Agent03_Savings!K118)</f>
        <v/>
      </c>
      <c r="K513" s="37" t="str">
        <f>IFERROR(IF(Agent03_Savings!A118="","",YEAR(Agent03_Savings!D118)),"")</f>
        <v/>
      </c>
    </row>
    <row r="514" spans="1:11" ht="18" customHeight="1" x14ac:dyDescent="0.25">
      <c r="A514" s="37" t="str">
        <f>IF(Agent03_Savings!A119="","",Agent03_Savings!A119)</f>
        <v/>
      </c>
      <c r="B514" s="37" t="str">
        <f ca="1">IF(Agent03_Savings!A119="","","SV"&amp;TEXT(514-3,"0000")&amp;"-"&amp;TEXT(TODAY(),"YYYYMMDD"))</f>
        <v/>
      </c>
      <c r="C514" s="37" t="str">
        <f>IF(Agent03_Savings!A119="","",Agent03_Savings!B119)</f>
        <v/>
      </c>
      <c r="D514" s="37" t="str">
        <f>IF(Agent03_Savings!A119="","",Agent03_Savings!G119)</f>
        <v/>
      </c>
      <c r="E514" s="38" t="str">
        <f>IF(Agent03_Savings!A119="","",Agent03_Savings!D119)</f>
        <v/>
      </c>
      <c r="F514" s="39" t="str">
        <f>IF(Agent03_Savings!A119="","",Agent03_Savings!E119)</f>
        <v/>
      </c>
      <c r="G514" s="39" t="str">
        <f>IF(Agent03_Savings!A119="","",Agent03_Savings!F119)</f>
        <v/>
      </c>
      <c r="H514" s="37" t="str">
        <f>IF(Agent03_Savings!A119="","",Agent03_Savings!I119)</f>
        <v/>
      </c>
      <c r="I514" s="37" t="str">
        <f>IF(Agent03_Savings!A119="","",Agent03_Savings!J119)</f>
        <v/>
      </c>
      <c r="J514" s="37" t="str">
        <f>IF(Agent03_Savings!A119="","",Agent03_Savings!K119)</f>
        <v/>
      </c>
      <c r="K514" s="37" t="str">
        <f>IFERROR(IF(Agent03_Savings!A119="","",YEAR(Agent03_Savings!D119)),"")</f>
        <v/>
      </c>
    </row>
    <row r="515" spans="1:11" ht="18" customHeight="1" x14ac:dyDescent="0.25">
      <c r="A515" s="37" t="str">
        <f>IF(Agent03_Savings!A120="","",Agent03_Savings!A120)</f>
        <v/>
      </c>
      <c r="B515" s="37" t="str">
        <f ca="1">IF(Agent03_Savings!A120="","","SV"&amp;TEXT(515-3,"0000")&amp;"-"&amp;TEXT(TODAY(),"YYYYMMDD"))</f>
        <v/>
      </c>
      <c r="C515" s="37" t="str">
        <f>IF(Agent03_Savings!A120="","",Agent03_Savings!B120)</f>
        <v/>
      </c>
      <c r="D515" s="37" t="str">
        <f>IF(Agent03_Savings!A120="","",Agent03_Savings!G120)</f>
        <v/>
      </c>
      <c r="E515" s="38" t="str">
        <f>IF(Agent03_Savings!A120="","",Agent03_Savings!D120)</f>
        <v/>
      </c>
      <c r="F515" s="39" t="str">
        <f>IF(Agent03_Savings!A120="","",Agent03_Savings!E120)</f>
        <v/>
      </c>
      <c r="G515" s="39" t="str">
        <f>IF(Agent03_Savings!A120="","",Agent03_Savings!F120)</f>
        <v/>
      </c>
      <c r="H515" s="37" t="str">
        <f>IF(Agent03_Savings!A120="","",Agent03_Savings!I120)</f>
        <v/>
      </c>
      <c r="I515" s="37" t="str">
        <f>IF(Agent03_Savings!A120="","",Agent03_Savings!J120)</f>
        <v/>
      </c>
      <c r="J515" s="37" t="str">
        <f>IF(Agent03_Savings!A120="","",Agent03_Savings!K120)</f>
        <v/>
      </c>
      <c r="K515" s="37" t="str">
        <f>IFERROR(IF(Agent03_Savings!A120="","",YEAR(Agent03_Savings!D120)),"")</f>
        <v/>
      </c>
    </row>
    <row r="516" spans="1:11" ht="18" customHeight="1" x14ac:dyDescent="0.25">
      <c r="A516" s="37" t="str">
        <f>IF(Agent03_Savings!A121="","",Agent03_Savings!A121)</f>
        <v/>
      </c>
      <c r="B516" s="37" t="str">
        <f ca="1">IF(Agent03_Savings!A121="","","SV"&amp;TEXT(516-3,"0000")&amp;"-"&amp;TEXT(TODAY(),"YYYYMMDD"))</f>
        <v/>
      </c>
      <c r="C516" s="37" t="str">
        <f>IF(Agent03_Savings!A121="","",Agent03_Savings!B121)</f>
        <v/>
      </c>
      <c r="D516" s="37" t="str">
        <f>IF(Agent03_Savings!A121="","",Agent03_Savings!G121)</f>
        <v/>
      </c>
      <c r="E516" s="38" t="str">
        <f>IF(Agent03_Savings!A121="","",Agent03_Savings!D121)</f>
        <v/>
      </c>
      <c r="F516" s="39" t="str">
        <f>IF(Agent03_Savings!A121="","",Agent03_Savings!E121)</f>
        <v/>
      </c>
      <c r="G516" s="39" t="str">
        <f>IF(Agent03_Savings!A121="","",Agent03_Savings!F121)</f>
        <v/>
      </c>
      <c r="H516" s="37" t="str">
        <f>IF(Agent03_Savings!A121="","",Agent03_Savings!I121)</f>
        <v/>
      </c>
      <c r="I516" s="37" t="str">
        <f>IF(Agent03_Savings!A121="","",Agent03_Savings!J121)</f>
        <v/>
      </c>
      <c r="J516" s="37" t="str">
        <f>IF(Agent03_Savings!A121="","",Agent03_Savings!K121)</f>
        <v/>
      </c>
      <c r="K516" s="37" t="str">
        <f>IFERROR(IF(Agent03_Savings!A121="","",YEAR(Agent03_Savings!D121)),"")</f>
        <v/>
      </c>
    </row>
    <row r="517" spans="1:11" ht="18" customHeight="1" x14ac:dyDescent="0.25">
      <c r="A517" s="37" t="str">
        <f>IF(Agent03_Savings!A122="","",Agent03_Savings!A122)</f>
        <v/>
      </c>
      <c r="B517" s="37" t="str">
        <f ca="1">IF(Agent03_Savings!A122="","","SV"&amp;TEXT(517-3,"0000")&amp;"-"&amp;TEXT(TODAY(),"YYYYMMDD"))</f>
        <v/>
      </c>
      <c r="C517" s="37" t="str">
        <f>IF(Agent03_Savings!A122="","",Agent03_Savings!B122)</f>
        <v/>
      </c>
      <c r="D517" s="37" t="str">
        <f>IF(Agent03_Savings!A122="","",Agent03_Savings!G122)</f>
        <v/>
      </c>
      <c r="E517" s="38" t="str">
        <f>IF(Agent03_Savings!A122="","",Agent03_Savings!D122)</f>
        <v/>
      </c>
      <c r="F517" s="39" t="str">
        <f>IF(Agent03_Savings!A122="","",Agent03_Savings!E122)</f>
        <v/>
      </c>
      <c r="G517" s="39" t="str">
        <f>IF(Agent03_Savings!A122="","",Agent03_Savings!F122)</f>
        <v/>
      </c>
      <c r="H517" s="37" t="str">
        <f>IF(Agent03_Savings!A122="","",Agent03_Savings!I122)</f>
        <v/>
      </c>
      <c r="I517" s="37" t="str">
        <f>IF(Agent03_Savings!A122="","",Agent03_Savings!J122)</f>
        <v/>
      </c>
      <c r="J517" s="37" t="str">
        <f>IF(Agent03_Savings!A122="","",Agent03_Savings!K122)</f>
        <v/>
      </c>
      <c r="K517" s="37" t="str">
        <f>IFERROR(IF(Agent03_Savings!A122="","",YEAR(Agent03_Savings!D122)),"")</f>
        <v/>
      </c>
    </row>
    <row r="518" spans="1:11" ht="18" customHeight="1" x14ac:dyDescent="0.25">
      <c r="A518" s="37" t="str">
        <f>IF(Agent03_Savings!A123="","",Agent03_Savings!A123)</f>
        <v/>
      </c>
      <c r="B518" s="37" t="str">
        <f ca="1">IF(Agent03_Savings!A123="","","SV"&amp;TEXT(518-3,"0000")&amp;"-"&amp;TEXT(TODAY(),"YYYYMMDD"))</f>
        <v/>
      </c>
      <c r="C518" s="37" t="str">
        <f>IF(Agent03_Savings!A123="","",Agent03_Savings!B123)</f>
        <v/>
      </c>
      <c r="D518" s="37" t="str">
        <f>IF(Agent03_Savings!A123="","",Agent03_Savings!G123)</f>
        <v/>
      </c>
      <c r="E518" s="38" t="str">
        <f>IF(Agent03_Savings!A123="","",Agent03_Savings!D123)</f>
        <v/>
      </c>
      <c r="F518" s="39" t="str">
        <f>IF(Agent03_Savings!A123="","",Agent03_Savings!E123)</f>
        <v/>
      </c>
      <c r="G518" s="39" t="str">
        <f>IF(Agent03_Savings!A123="","",Agent03_Savings!F123)</f>
        <v/>
      </c>
      <c r="H518" s="37" t="str">
        <f>IF(Agent03_Savings!A123="","",Agent03_Savings!I123)</f>
        <v/>
      </c>
      <c r="I518" s="37" t="str">
        <f>IF(Agent03_Savings!A123="","",Agent03_Savings!J123)</f>
        <v/>
      </c>
      <c r="J518" s="37" t="str">
        <f>IF(Agent03_Savings!A123="","",Agent03_Savings!K123)</f>
        <v/>
      </c>
      <c r="K518" s="37" t="str">
        <f>IFERROR(IF(Agent03_Savings!A123="","",YEAR(Agent03_Savings!D123)),"")</f>
        <v/>
      </c>
    </row>
    <row r="519" spans="1:11" ht="18" customHeight="1" x14ac:dyDescent="0.25">
      <c r="A519" s="37" t="str">
        <f>IF(Agent03_Savings!A124="","",Agent03_Savings!A124)</f>
        <v/>
      </c>
      <c r="B519" s="37" t="str">
        <f ca="1">IF(Agent03_Savings!A124="","","SV"&amp;TEXT(519-3,"0000")&amp;"-"&amp;TEXT(TODAY(),"YYYYMMDD"))</f>
        <v/>
      </c>
      <c r="C519" s="37" t="str">
        <f>IF(Agent03_Savings!A124="","",Agent03_Savings!B124)</f>
        <v/>
      </c>
      <c r="D519" s="37" t="str">
        <f>IF(Agent03_Savings!A124="","",Agent03_Savings!G124)</f>
        <v/>
      </c>
      <c r="E519" s="38" t="str">
        <f>IF(Agent03_Savings!A124="","",Agent03_Savings!D124)</f>
        <v/>
      </c>
      <c r="F519" s="39" t="str">
        <f>IF(Agent03_Savings!A124="","",Agent03_Savings!E124)</f>
        <v/>
      </c>
      <c r="G519" s="39" t="str">
        <f>IF(Agent03_Savings!A124="","",Agent03_Savings!F124)</f>
        <v/>
      </c>
      <c r="H519" s="37" t="str">
        <f>IF(Agent03_Savings!A124="","",Agent03_Savings!I124)</f>
        <v/>
      </c>
      <c r="I519" s="37" t="str">
        <f>IF(Agent03_Savings!A124="","",Agent03_Savings!J124)</f>
        <v/>
      </c>
      <c r="J519" s="37" t="str">
        <f>IF(Agent03_Savings!A124="","",Agent03_Savings!K124)</f>
        <v/>
      </c>
      <c r="K519" s="37" t="str">
        <f>IFERROR(IF(Agent03_Savings!A124="","",YEAR(Agent03_Savings!D124)),"")</f>
        <v/>
      </c>
    </row>
    <row r="520" spans="1:11" ht="18" customHeight="1" x14ac:dyDescent="0.25">
      <c r="A520" s="37" t="str">
        <f>IF(Agent03_Savings!A125="","",Agent03_Savings!A125)</f>
        <v/>
      </c>
      <c r="B520" s="37" t="str">
        <f ca="1">IF(Agent03_Savings!A125="","","SV"&amp;TEXT(520-3,"0000")&amp;"-"&amp;TEXT(TODAY(),"YYYYMMDD"))</f>
        <v/>
      </c>
      <c r="C520" s="37" t="str">
        <f>IF(Agent03_Savings!A125="","",Agent03_Savings!B125)</f>
        <v/>
      </c>
      <c r="D520" s="37" t="str">
        <f>IF(Agent03_Savings!A125="","",Agent03_Savings!G125)</f>
        <v/>
      </c>
      <c r="E520" s="38" t="str">
        <f>IF(Agent03_Savings!A125="","",Agent03_Savings!D125)</f>
        <v/>
      </c>
      <c r="F520" s="39" t="str">
        <f>IF(Agent03_Savings!A125="","",Agent03_Savings!E125)</f>
        <v/>
      </c>
      <c r="G520" s="39" t="str">
        <f>IF(Agent03_Savings!A125="","",Agent03_Savings!F125)</f>
        <v/>
      </c>
      <c r="H520" s="37" t="str">
        <f>IF(Agent03_Savings!A125="","",Agent03_Savings!I125)</f>
        <v/>
      </c>
      <c r="I520" s="37" t="str">
        <f>IF(Agent03_Savings!A125="","",Agent03_Savings!J125)</f>
        <v/>
      </c>
      <c r="J520" s="37" t="str">
        <f>IF(Agent03_Savings!A125="","",Agent03_Savings!K125)</f>
        <v/>
      </c>
      <c r="K520" s="37" t="str">
        <f>IFERROR(IF(Agent03_Savings!A125="","",YEAR(Agent03_Savings!D125)),"")</f>
        <v/>
      </c>
    </row>
    <row r="521" spans="1:11" ht="18" customHeight="1" x14ac:dyDescent="0.25">
      <c r="A521" s="37" t="str">
        <f>IF(Agent03_Savings!A126="","",Agent03_Savings!A126)</f>
        <v/>
      </c>
      <c r="B521" s="37" t="str">
        <f ca="1">IF(Agent03_Savings!A126="","","SV"&amp;TEXT(521-3,"0000")&amp;"-"&amp;TEXT(TODAY(),"YYYYMMDD"))</f>
        <v/>
      </c>
      <c r="C521" s="37" t="str">
        <f>IF(Agent03_Savings!A126="","",Agent03_Savings!B126)</f>
        <v/>
      </c>
      <c r="D521" s="37" t="str">
        <f>IF(Agent03_Savings!A126="","",Agent03_Savings!G126)</f>
        <v/>
      </c>
      <c r="E521" s="38" t="str">
        <f>IF(Agent03_Savings!A126="","",Agent03_Savings!D126)</f>
        <v/>
      </c>
      <c r="F521" s="39" t="str">
        <f>IF(Agent03_Savings!A126="","",Agent03_Savings!E126)</f>
        <v/>
      </c>
      <c r="G521" s="39" t="str">
        <f>IF(Agent03_Savings!A126="","",Agent03_Savings!F126)</f>
        <v/>
      </c>
      <c r="H521" s="37" t="str">
        <f>IF(Agent03_Savings!A126="","",Agent03_Savings!I126)</f>
        <v/>
      </c>
      <c r="I521" s="37" t="str">
        <f>IF(Agent03_Savings!A126="","",Agent03_Savings!J126)</f>
        <v/>
      </c>
      <c r="J521" s="37" t="str">
        <f>IF(Agent03_Savings!A126="","",Agent03_Savings!K126)</f>
        <v/>
      </c>
      <c r="K521" s="37" t="str">
        <f>IFERROR(IF(Agent03_Savings!A126="","",YEAR(Agent03_Savings!D126)),"")</f>
        <v/>
      </c>
    </row>
    <row r="522" spans="1:11" ht="18" customHeight="1" x14ac:dyDescent="0.25">
      <c r="A522" s="37" t="str">
        <f>IF(Agent03_Savings!A127="","",Agent03_Savings!A127)</f>
        <v/>
      </c>
      <c r="B522" s="37" t="str">
        <f ca="1">IF(Agent03_Savings!A127="","","SV"&amp;TEXT(522-3,"0000")&amp;"-"&amp;TEXT(TODAY(),"YYYYMMDD"))</f>
        <v/>
      </c>
      <c r="C522" s="37" t="str">
        <f>IF(Agent03_Savings!A127="","",Agent03_Savings!B127)</f>
        <v/>
      </c>
      <c r="D522" s="37" t="str">
        <f>IF(Agent03_Savings!A127="","",Agent03_Savings!G127)</f>
        <v/>
      </c>
      <c r="E522" s="38" t="str">
        <f>IF(Agent03_Savings!A127="","",Agent03_Savings!D127)</f>
        <v/>
      </c>
      <c r="F522" s="39" t="str">
        <f>IF(Agent03_Savings!A127="","",Agent03_Savings!E127)</f>
        <v/>
      </c>
      <c r="G522" s="39" t="str">
        <f>IF(Agent03_Savings!A127="","",Agent03_Savings!F127)</f>
        <v/>
      </c>
      <c r="H522" s="37" t="str">
        <f>IF(Agent03_Savings!A127="","",Agent03_Savings!I127)</f>
        <v/>
      </c>
      <c r="I522" s="37" t="str">
        <f>IF(Agent03_Savings!A127="","",Agent03_Savings!J127)</f>
        <v/>
      </c>
      <c r="J522" s="37" t="str">
        <f>IF(Agent03_Savings!A127="","",Agent03_Savings!K127)</f>
        <v/>
      </c>
      <c r="K522" s="37" t="str">
        <f>IFERROR(IF(Agent03_Savings!A127="","",YEAR(Agent03_Savings!D127)),"")</f>
        <v/>
      </c>
    </row>
    <row r="523" spans="1:11" ht="18" customHeight="1" x14ac:dyDescent="0.25">
      <c r="A523" s="37" t="str">
        <f>IF(Agent03_Savings!A128="","",Agent03_Savings!A128)</f>
        <v/>
      </c>
      <c r="B523" s="37" t="str">
        <f ca="1">IF(Agent03_Savings!A128="","","SV"&amp;TEXT(523-3,"0000")&amp;"-"&amp;TEXT(TODAY(),"YYYYMMDD"))</f>
        <v/>
      </c>
      <c r="C523" s="37" t="str">
        <f>IF(Agent03_Savings!A128="","",Agent03_Savings!B128)</f>
        <v/>
      </c>
      <c r="D523" s="37" t="str">
        <f>IF(Agent03_Savings!A128="","",Agent03_Savings!G128)</f>
        <v/>
      </c>
      <c r="E523" s="38" t="str">
        <f>IF(Agent03_Savings!A128="","",Agent03_Savings!D128)</f>
        <v/>
      </c>
      <c r="F523" s="39" t="str">
        <f>IF(Agent03_Savings!A128="","",Agent03_Savings!E128)</f>
        <v/>
      </c>
      <c r="G523" s="39" t="str">
        <f>IF(Agent03_Savings!A128="","",Agent03_Savings!F128)</f>
        <v/>
      </c>
      <c r="H523" s="37" t="str">
        <f>IF(Agent03_Savings!A128="","",Agent03_Savings!I128)</f>
        <v/>
      </c>
      <c r="I523" s="37" t="str">
        <f>IF(Agent03_Savings!A128="","",Agent03_Savings!J128)</f>
        <v/>
      </c>
      <c r="J523" s="37" t="str">
        <f>IF(Agent03_Savings!A128="","",Agent03_Savings!K128)</f>
        <v/>
      </c>
      <c r="K523" s="37" t="str">
        <f>IFERROR(IF(Agent03_Savings!A128="","",YEAR(Agent03_Savings!D128)),"")</f>
        <v/>
      </c>
    </row>
    <row r="524" spans="1:11" ht="18" customHeight="1" x14ac:dyDescent="0.25">
      <c r="A524" s="37" t="str">
        <f>IF(Agent03_Savings!A129="","",Agent03_Savings!A129)</f>
        <v/>
      </c>
      <c r="B524" s="37" t="str">
        <f ca="1">IF(Agent03_Savings!A129="","","SV"&amp;TEXT(524-3,"0000")&amp;"-"&amp;TEXT(TODAY(),"YYYYMMDD"))</f>
        <v/>
      </c>
      <c r="C524" s="37" t="str">
        <f>IF(Agent03_Savings!A129="","",Agent03_Savings!B129)</f>
        <v/>
      </c>
      <c r="D524" s="37" t="str">
        <f>IF(Agent03_Savings!A129="","",Agent03_Savings!G129)</f>
        <v/>
      </c>
      <c r="E524" s="38" t="str">
        <f>IF(Agent03_Savings!A129="","",Agent03_Savings!D129)</f>
        <v/>
      </c>
      <c r="F524" s="39" t="str">
        <f>IF(Agent03_Savings!A129="","",Agent03_Savings!E129)</f>
        <v/>
      </c>
      <c r="G524" s="39" t="str">
        <f>IF(Agent03_Savings!A129="","",Agent03_Savings!F129)</f>
        <v/>
      </c>
      <c r="H524" s="37" t="str">
        <f>IF(Agent03_Savings!A129="","",Agent03_Savings!I129)</f>
        <v/>
      </c>
      <c r="I524" s="37" t="str">
        <f>IF(Agent03_Savings!A129="","",Agent03_Savings!J129)</f>
        <v/>
      </c>
      <c r="J524" s="37" t="str">
        <f>IF(Agent03_Savings!A129="","",Agent03_Savings!K129)</f>
        <v/>
      </c>
      <c r="K524" s="37" t="str">
        <f>IFERROR(IF(Agent03_Savings!A129="","",YEAR(Agent03_Savings!D129)),"")</f>
        <v/>
      </c>
    </row>
    <row r="525" spans="1:11" ht="18" customHeight="1" x14ac:dyDescent="0.25">
      <c r="A525" s="37" t="str">
        <f>IF(Agent03_Savings!A130="","",Agent03_Savings!A130)</f>
        <v/>
      </c>
      <c r="B525" s="37" t="str">
        <f ca="1">IF(Agent03_Savings!A130="","","SV"&amp;TEXT(525-3,"0000")&amp;"-"&amp;TEXT(TODAY(),"YYYYMMDD"))</f>
        <v/>
      </c>
      <c r="C525" s="37" t="str">
        <f>IF(Agent03_Savings!A130="","",Agent03_Savings!B130)</f>
        <v/>
      </c>
      <c r="D525" s="37" t="str">
        <f>IF(Agent03_Savings!A130="","",Agent03_Savings!G130)</f>
        <v/>
      </c>
      <c r="E525" s="38" t="str">
        <f>IF(Agent03_Savings!A130="","",Agent03_Savings!D130)</f>
        <v/>
      </c>
      <c r="F525" s="39" t="str">
        <f>IF(Agent03_Savings!A130="","",Agent03_Savings!E130)</f>
        <v/>
      </c>
      <c r="G525" s="39" t="str">
        <f>IF(Agent03_Savings!A130="","",Agent03_Savings!F130)</f>
        <v/>
      </c>
      <c r="H525" s="37" t="str">
        <f>IF(Agent03_Savings!A130="","",Agent03_Savings!I130)</f>
        <v/>
      </c>
      <c r="I525" s="37" t="str">
        <f>IF(Agent03_Savings!A130="","",Agent03_Savings!J130)</f>
        <v/>
      </c>
      <c r="J525" s="37" t="str">
        <f>IF(Agent03_Savings!A130="","",Agent03_Savings!K130)</f>
        <v/>
      </c>
      <c r="K525" s="37" t="str">
        <f>IFERROR(IF(Agent03_Savings!A130="","",YEAR(Agent03_Savings!D130)),"")</f>
        <v/>
      </c>
    </row>
    <row r="526" spans="1:11" ht="18" customHeight="1" x14ac:dyDescent="0.25">
      <c r="A526" s="37" t="str">
        <f>IF(Agent03_Savings!A131="","",Agent03_Savings!A131)</f>
        <v/>
      </c>
      <c r="B526" s="37" t="str">
        <f ca="1">IF(Agent03_Savings!A131="","","SV"&amp;TEXT(526-3,"0000")&amp;"-"&amp;TEXT(TODAY(),"YYYYMMDD"))</f>
        <v/>
      </c>
      <c r="C526" s="37" t="str">
        <f>IF(Agent03_Savings!A131="","",Agent03_Savings!B131)</f>
        <v/>
      </c>
      <c r="D526" s="37" t="str">
        <f>IF(Agent03_Savings!A131="","",Agent03_Savings!G131)</f>
        <v/>
      </c>
      <c r="E526" s="38" t="str">
        <f>IF(Agent03_Savings!A131="","",Agent03_Savings!D131)</f>
        <v/>
      </c>
      <c r="F526" s="39" t="str">
        <f>IF(Agent03_Savings!A131="","",Agent03_Savings!E131)</f>
        <v/>
      </c>
      <c r="G526" s="39" t="str">
        <f>IF(Agent03_Savings!A131="","",Agent03_Savings!F131)</f>
        <v/>
      </c>
      <c r="H526" s="37" t="str">
        <f>IF(Agent03_Savings!A131="","",Agent03_Savings!I131)</f>
        <v/>
      </c>
      <c r="I526" s="37" t="str">
        <f>IF(Agent03_Savings!A131="","",Agent03_Savings!J131)</f>
        <v/>
      </c>
      <c r="J526" s="37" t="str">
        <f>IF(Agent03_Savings!A131="","",Agent03_Savings!K131)</f>
        <v/>
      </c>
      <c r="K526" s="37" t="str">
        <f>IFERROR(IF(Agent03_Savings!A131="","",YEAR(Agent03_Savings!D131)),"")</f>
        <v/>
      </c>
    </row>
    <row r="527" spans="1:11" ht="18" customHeight="1" x14ac:dyDescent="0.25">
      <c r="A527" s="37" t="str">
        <f>IF(Agent03_Savings!A132="","",Agent03_Savings!A132)</f>
        <v/>
      </c>
      <c r="B527" s="37" t="str">
        <f ca="1">IF(Agent03_Savings!A132="","","SV"&amp;TEXT(527-3,"0000")&amp;"-"&amp;TEXT(TODAY(),"YYYYMMDD"))</f>
        <v/>
      </c>
      <c r="C527" s="37" t="str">
        <f>IF(Agent03_Savings!A132="","",Agent03_Savings!B132)</f>
        <v/>
      </c>
      <c r="D527" s="37" t="str">
        <f>IF(Agent03_Savings!A132="","",Agent03_Savings!G132)</f>
        <v/>
      </c>
      <c r="E527" s="38" t="str">
        <f>IF(Agent03_Savings!A132="","",Agent03_Savings!D132)</f>
        <v/>
      </c>
      <c r="F527" s="39" t="str">
        <f>IF(Agent03_Savings!A132="","",Agent03_Savings!E132)</f>
        <v/>
      </c>
      <c r="G527" s="39" t="str">
        <f>IF(Agent03_Savings!A132="","",Agent03_Savings!F132)</f>
        <v/>
      </c>
      <c r="H527" s="37" t="str">
        <f>IF(Agent03_Savings!A132="","",Agent03_Savings!I132)</f>
        <v/>
      </c>
      <c r="I527" s="37" t="str">
        <f>IF(Agent03_Savings!A132="","",Agent03_Savings!J132)</f>
        <v/>
      </c>
      <c r="J527" s="37" t="str">
        <f>IF(Agent03_Savings!A132="","",Agent03_Savings!K132)</f>
        <v/>
      </c>
      <c r="K527" s="37" t="str">
        <f>IFERROR(IF(Agent03_Savings!A132="","",YEAR(Agent03_Savings!D132)),"")</f>
        <v/>
      </c>
    </row>
    <row r="528" spans="1:11" ht="18" customHeight="1" x14ac:dyDescent="0.25">
      <c r="A528" s="37" t="str">
        <f>IF(Agent03_Savings!A133="","",Agent03_Savings!A133)</f>
        <v/>
      </c>
      <c r="B528" s="37" t="str">
        <f ca="1">IF(Agent03_Savings!A133="","","SV"&amp;TEXT(528-3,"0000")&amp;"-"&amp;TEXT(TODAY(),"YYYYMMDD"))</f>
        <v/>
      </c>
      <c r="C528" s="37" t="str">
        <f>IF(Agent03_Savings!A133="","",Agent03_Savings!B133)</f>
        <v/>
      </c>
      <c r="D528" s="37" t="str">
        <f>IF(Agent03_Savings!A133="","",Agent03_Savings!G133)</f>
        <v/>
      </c>
      <c r="E528" s="38" t="str">
        <f>IF(Agent03_Savings!A133="","",Agent03_Savings!D133)</f>
        <v/>
      </c>
      <c r="F528" s="39" t="str">
        <f>IF(Agent03_Savings!A133="","",Agent03_Savings!E133)</f>
        <v/>
      </c>
      <c r="G528" s="39" t="str">
        <f>IF(Agent03_Savings!A133="","",Agent03_Savings!F133)</f>
        <v/>
      </c>
      <c r="H528" s="37" t="str">
        <f>IF(Agent03_Savings!A133="","",Agent03_Savings!I133)</f>
        <v/>
      </c>
      <c r="I528" s="37" t="str">
        <f>IF(Agent03_Savings!A133="","",Agent03_Savings!J133)</f>
        <v/>
      </c>
      <c r="J528" s="37" t="str">
        <f>IF(Agent03_Savings!A133="","",Agent03_Savings!K133)</f>
        <v/>
      </c>
      <c r="K528" s="37" t="str">
        <f>IFERROR(IF(Agent03_Savings!A133="","",YEAR(Agent03_Savings!D133)),"")</f>
        <v/>
      </c>
    </row>
    <row r="529" spans="1:11" ht="18" customHeight="1" x14ac:dyDescent="0.25">
      <c r="A529" s="37" t="str">
        <f>IF(Agent03_Savings!A134="","",Agent03_Savings!A134)</f>
        <v/>
      </c>
      <c r="B529" s="37" t="str">
        <f ca="1">IF(Agent03_Savings!A134="","","SV"&amp;TEXT(529-3,"0000")&amp;"-"&amp;TEXT(TODAY(),"YYYYMMDD"))</f>
        <v/>
      </c>
      <c r="C529" s="37" t="str">
        <f>IF(Agent03_Savings!A134="","",Agent03_Savings!B134)</f>
        <v/>
      </c>
      <c r="D529" s="37" t="str">
        <f>IF(Agent03_Savings!A134="","",Agent03_Savings!G134)</f>
        <v/>
      </c>
      <c r="E529" s="38" t="str">
        <f>IF(Agent03_Savings!A134="","",Agent03_Savings!D134)</f>
        <v/>
      </c>
      <c r="F529" s="39" t="str">
        <f>IF(Agent03_Savings!A134="","",Agent03_Savings!E134)</f>
        <v/>
      </c>
      <c r="G529" s="39" t="str">
        <f>IF(Agent03_Savings!A134="","",Agent03_Savings!F134)</f>
        <v/>
      </c>
      <c r="H529" s="37" t="str">
        <f>IF(Agent03_Savings!A134="","",Agent03_Savings!I134)</f>
        <v/>
      </c>
      <c r="I529" s="37" t="str">
        <f>IF(Agent03_Savings!A134="","",Agent03_Savings!J134)</f>
        <v/>
      </c>
      <c r="J529" s="37" t="str">
        <f>IF(Agent03_Savings!A134="","",Agent03_Savings!K134)</f>
        <v/>
      </c>
      <c r="K529" s="37" t="str">
        <f>IFERROR(IF(Agent03_Savings!A134="","",YEAR(Agent03_Savings!D134)),"")</f>
        <v/>
      </c>
    </row>
    <row r="530" spans="1:11" ht="18" customHeight="1" x14ac:dyDescent="0.25">
      <c r="A530" s="37" t="str">
        <f>IF(Agent03_Savings!A135="","",Agent03_Savings!A135)</f>
        <v/>
      </c>
      <c r="B530" s="37" t="str">
        <f ca="1">IF(Agent03_Savings!A135="","","SV"&amp;TEXT(530-3,"0000")&amp;"-"&amp;TEXT(TODAY(),"YYYYMMDD"))</f>
        <v/>
      </c>
      <c r="C530" s="37" t="str">
        <f>IF(Agent03_Savings!A135="","",Agent03_Savings!B135)</f>
        <v/>
      </c>
      <c r="D530" s="37" t="str">
        <f>IF(Agent03_Savings!A135="","",Agent03_Savings!G135)</f>
        <v/>
      </c>
      <c r="E530" s="38" t="str">
        <f>IF(Agent03_Savings!A135="","",Agent03_Savings!D135)</f>
        <v/>
      </c>
      <c r="F530" s="39" t="str">
        <f>IF(Agent03_Savings!A135="","",Agent03_Savings!E135)</f>
        <v/>
      </c>
      <c r="G530" s="39" t="str">
        <f>IF(Agent03_Savings!A135="","",Agent03_Savings!F135)</f>
        <v/>
      </c>
      <c r="H530" s="37" t="str">
        <f>IF(Agent03_Savings!A135="","",Agent03_Savings!I135)</f>
        <v/>
      </c>
      <c r="I530" s="37" t="str">
        <f>IF(Agent03_Savings!A135="","",Agent03_Savings!J135)</f>
        <v/>
      </c>
      <c r="J530" s="37" t="str">
        <f>IF(Agent03_Savings!A135="","",Agent03_Savings!K135)</f>
        <v/>
      </c>
      <c r="K530" s="37" t="str">
        <f>IFERROR(IF(Agent03_Savings!A135="","",YEAR(Agent03_Savings!D135)),"")</f>
        <v/>
      </c>
    </row>
    <row r="531" spans="1:11" ht="18" customHeight="1" x14ac:dyDescent="0.25">
      <c r="A531" s="37" t="str">
        <f>IF(Agent03_Savings!A136="","",Agent03_Savings!A136)</f>
        <v/>
      </c>
      <c r="B531" s="37" t="str">
        <f ca="1">IF(Agent03_Savings!A136="","","SV"&amp;TEXT(531-3,"0000")&amp;"-"&amp;TEXT(TODAY(),"YYYYMMDD"))</f>
        <v/>
      </c>
      <c r="C531" s="37" t="str">
        <f>IF(Agent03_Savings!A136="","",Agent03_Savings!B136)</f>
        <v/>
      </c>
      <c r="D531" s="37" t="str">
        <f>IF(Agent03_Savings!A136="","",Agent03_Savings!G136)</f>
        <v/>
      </c>
      <c r="E531" s="38" t="str">
        <f>IF(Agent03_Savings!A136="","",Agent03_Savings!D136)</f>
        <v/>
      </c>
      <c r="F531" s="39" t="str">
        <f>IF(Agent03_Savings!A136="","",Agent03_Savings!E136)</f>
        <v/>
      </c>
      <c r="G531" s="39" t="str">
        <f>IF(Agent03_Savings!A136="","",Agent03_Savings!F136)</f>
        <v/>
      </c>
      <c r="H531" s="37" t="str">
        <f>IF(Agent03_Savings!A136="","",Agent03_Savings!I136)</f>
        <v/>
      </c>
      <c r="I531" s="37" t="str">
        <f>IF(Agent03_Savings!A136="","",Agent03_Savings!J136)</f>
        <v/>
      </c>
      <c r="J531" s="37" t="str">
        <f>IF(Agent03_Savings!A136="","",Agent03_Savings!K136)</f>
        <v/>
      </c>
      <c r="K531" s="37" t="str">
        <f>IFERROR(IF(Agent03_Savings!A136="","",YEAR(Agent03_Savings!D136)),"")</f>
        <v/>
      </c>
    </row>
    <row r="532" spans="1:11" ht="18" customHeight="1" x14ac:dyDescent="0.25">
      <c r="A532" s="37" t="str">
        <f>IF(Agent03_Savings!A137="","",Agent03_Savings!A137)</f>
        <v/>
      </c>
      <c r="B532" s="37" t="str">
        <f ca="1">IF(Agent03_Savings!A137="","","SV"&amp;TEXT(532-3,"0000")&amp;"-"&amp;TEXT(TODAY(),"YYYYMMDD"))</f>
        <v/>
      </c>
      <c r="C532" s="37" t="str">
        <f>IF(Agent03_Savings!A137="","",Agent03_Savings!B137)</f>
        <v/>
      </c>
      <c r="D532" s="37" t="str">
        <f>IF(Agent03_Savings!A137="","",Agent03_Savings!G137)</f>
        <v/>
      </c>
      <c r="E532" s="38" t="str">
        <f>IF(Agent03_Savings!A137="","",Agent03_Savings!D137)</f>
        <v/>
      </c>
      <c r="F532" s="39" t="str">
        <f>IF(Agent03_Savings!A137="","",Agent03_Savings!E137)</f>
        <v/>
      </c>
      <c r="G532" s="39" t="str">
        <f>IF(Agent03_Savings!A137="","",Agent03_Savings!F137)</f>
        <v/>
      </c>
      <c r="H532" s="37" t="str">
        <f>IF(Agent03_Savings!A137="","",Agent03_Savings!I137)</f>
        <v/>
      </c>
      <c r="I532" s="37" t="str">
        <f>IF(Agent03_Savings!A137="","",Agent03_Savings!J137)</f>
        <v/>
      </c>
      <c r="J532" s="37" t="str">
        <f>IF(Agent03_Savings!A137="","",Agent03_Savings!K137)</f>
        <v/>
      </c>
      <c r="K532" s="37" t="str">
        <f>IFERROR(IF(Agent03_Savings!A137="","",YEAR(Agent03_Savings!D137)),"")</f>
        <v/>
      </c>
    </row>
    <row r="533" spans="1:11" ht="18" customHeight="1" x14ac:dyDescent="0.25">
      <c r="A533" s="37" t="str">
        <f>IF(Agent03_Savings!A138="","",Agent03_Savings!A138)</f>
        <v/>
      </c>
      <c r="B533" s="37" t="str">
        <f ca="1">IF(Agent03_Savings!A138="","","SV"&amp;TEXT(533-3,"0000")&amp;"-"&amp;TEXT(TODAY(),"YYYYMMDD"))</f>
        <v/>
      </c>
      <c r="C533" s="37" t="str">
        <f>IF(Agent03_Savings!A138="","",Agent03_Savings!B138)</f>
        <v/>
      </c>
      <c r="D533" s="37" t="str">
        <f>IF(Agent03_Savings!A138="","",Agent03_Savings!G138)</f>
        <v/>
      </c>
      <c r="E533" s="38" t="str">
        <f>IF(Agent03_Savings!A138="","",Agent03_Savings!D138)</f>
        <v/>
      </c>
      <c r="F533" s="39" t="str">
        <f>IF(Agent03_Savings!A138="","",Agent03_Savings!E138)</f>
        <v/>
      </c>
      <c r="G533" s="39" t="str">
        <f>IF(Agent03_Savings!A138="","",Agent03_Savings!F138)</f>
        <v/>
      </c>
      <c r="H533" s="37" t="str">
        <f>IF(Agent03_Savings!A138="","",Agent03_Savings!I138)</f>
        <v/>
      </c>
      <c r="I533" s="37" t="str">
        <f>IF(Agent03_Savings!A138="","",Agent03_Savings!J138)</f>
        <v/>
      </c>
      <c r="J533" s="37" t="str">
        <f>IF(Agent03_Savings!A138="","",Agent03_Savings!K138)</f>
        <v/>
      </c>
      <c r="K533" s="37" t="str">
        <f>IFERROR(IF(Agent03_Savings!A138="","",YEAR(Agent03_Savings!D138)),"")</f>
        <v/>
      </c>
    </row>
    <row r="534" spans="1:11" ht="18" customHeight="1" x14ac:dyDescent="0.25">
      <c r="A534" s="37" t="str">
        <f>IF(Agent03_Savings!A139="","",Agent03_Savings!A139)</f>
        <v/>
      </c>
      <c r="B534" s="37" t="str">
        <f ca="1">IF(Agent03_Savings!A139="","","SV"&amp;TEXT(534-3,"0000")&amp;"-"&amp;TEXT(TODAY(),"YYYYMMDD"))</f>
        <v/>
      </c>
      <c r="C534" s="37" t="str">
        <f>IF(Agent03_Savings!A139="","",Agent03_Savings!B139)</f>
        <v/>
      </c>
      <c r="D534" s="37" t="str">
        <f>IF(Agent03_Savings!A139="","",Agent03_Savings!G139)</f>
        <v/>
      </c>
      <c r="E534" s="38" t="str">
        <f>IF(Agent03_Savings!A139="","",Agent03_Savings!D139)</f>
        <v/>
      </c>
      <c r="F534" s="39" t="str">
        <f>IF(Agent03_Savings!A139="","",Agent03_Savings!E139)</f>
        <v/>
      </c>
      <c r="G534" s="39" t="str">
        <f>IF(Agent03_Savings!A139="","",Agent03_Savings!F139)</f>
        <v/>
      </c>
      <c r="H534" s="37" t="str">
        <f>IF(Agent03_Savings!A139="","",Agent03_Savings!I139)</f>
        <v/>
      </c>
      <c r="I534" s="37" t="str">
        <f>IF(Agent03_Savings!A139="","",Agent03_Savings!J139)</f>
        <v/>
      </c>
      <c r="J534" s="37" t="str">
        <f>IF(Agent03_Savings!A139="","",Agent03_Savings!K139)</f>
        <v/>
      </c>
      <c r="K534" s="37" t="str">
        <f>IFERROR(IF(Agent03_Savings!A139="","",YEAR(Agent03_Savings!D139)),"")</f>
        <v/>
      </c>
    </row>
    <row r="535" spans="1:11" ht="18" customHeight="1" x14ac:dyDescent="0.25">
      <c r="A535" s="37" t="str">
        <f>IF(Agent03_Savings!A140="","",Agent03_Savings!A140)</f>
        <v/>
      </c>
      <c r="B535" s="37" t="str">
        <f ca="1">IF(Agent03_Savings!A140="","","SV"&amp;TEXT(535-3,"0000")&amp;"-"&amp;TEXT(TODAY(),"YYYYMMDD"))</f>
        <v/>
      </c>
      <c r="C535" s="37" t="str">
        <f>IF(Agent03_Savings!A140="","",Agent03_Savings!B140)</f>
        <v/>
      </c>
      <c r="D535" s="37" t="str">
        <f>IF(Agent03_Savings!A140="","",Agent03_Savings!G140)</f>
        <v/>
      </c>
      <c r="E535" s="38" t="str">
        <f>IF(Agent03_Savings!A140="","",Agent03_Savings!D140)</f>
        <v/>
      </c>
      <c r="F535" s="39" t="str">
        <f>IF(Agent03_Savings!A140="","",Agent03_Savings!E140)</f>
        <v/>
      </c>
      <c r="G535" s="39" t="str">
        <f>IF(Agent03_Savings!A140="","",Agent03_Savings!F140)</f>
        <v/>
      </c>
      <c r="H535" s="37" t="str">
        <f>IF(Agent03_Savings!A140="","",Agent03_Savings!I140)</f>
        <v/>
      </c>
      <c r="I535" s="37" t="str">
        <f>IF(Agent03_Savings!A140="","",Agent03_Savings!J140)</f>
        <v/>
      </c>
      <c r="J535" s="37" t="str">
        <f>IF(Agent03_Savings!A140="","",Agent03_Savings!K140)</f>
        <v/>
      </c>
      <c r="K535" s="37" t="str">
        <f>IFERROR(IF(Agent03_Savings!A140="","",YEAR(Agent03_Savings!D140)),"")</f>
        <v/>
      </c>
    </row>
    <row r="536" spans="1:11" ht="18" customHeight="1" x14ac:dyDescent="0.25">
      <c r="A536" s="37" t="str">
        <f>IF(Agent03_Savings!A141="","",Agent03_Savings!A141)</f>
        <v/>
      </c>
      <c r="B536" s="37" t="str">
        <f ca="1">IF(Agent03_Savings!A141="","","SV"&amp;TEXT(536-3,"0000")&amp;"-"&amp;TEXT(TODAY(),"YYYYMMDD"))</f>
        <v/>
      </c>
      <c r="C536" s="37" t="str">
        <f>IF(Agent03_Savings!A141="","",Agent03_Savings!B141)</f>
        <v/>
      </c>
      <c r="D536" s="37" t="str">
        <f>IF(Agent03_Savings!A141="","",Agent03_Savings!G141)</f>
        <v/>
      </c>
      <c r="E536" s="38" t="str">
        <f>IF(Agent03_Savings!A141="","",Agent03_Savings!D141)</f>
        <v/>
      </c>
      <c r="F536" s="39" t="str">
        <f>IF(Agent03_Savings!A141="","",Agent03_Savings!E141)</f>
        <v/>
      </c>
      <c r="G536" s="39" t="str">
        <f>IF(Agent03_Savings!A141="","",Agent03_Savings!F141)</f>
        <v/>
      </c>
      <c r="H536" s="37" t="str">
        <f>IF(Agent03_Savings!A141="","",Agent03_Savings!I141)</f>
        <v/>
      </c>
      <c r="I536" s="37" t="str">
        <f>IF(Agent03_Savings!A141="","",Agent03_Savings!J141)</f>
        <v/>
      </c>
      <c r="J536" s="37" t="str">
        <f>IF(Agent03_Savings!A141="","",Agent03_Savings!K141)</f>
        <v/>
      </c>
      <c r="K536" s="37" t="str">
        <f>IFERROR(IF(Agent03_Savings!A141="","",YEAR(Agent03_Savings!D141)),"")</f>
        <v/>
      </c>
    </row>
    <row r="537" spans="1:11" ht="18" customHeight="1" x14ac:dyDescent="0.25">
      <c r="A537" s="37" t="str">
        <f>IF(Agent03_Savings!A142="","",Agent03_Savings!A142)</f>
        <v/>
      </c>
      <c r="B537" s="37" t="str">
        <f ca="1">IF(Agent03_Savings!A142="","","SV"&amp;TEXT(537-3,"0000")&amp;"-"&amp;TEXT(TODAY(),"YYYYMMDD"))</f>
        <v/>
      </c>
      <c r="C537" s="37" t="str">
        <f>IF(Agent03_Savings!A142="","",Agent03_Savings!B142)</f>
        <v/>
      </c>
      <c r="D537" s="37" t="str">
        <f>IF(Agent03_Savings!A142="","",Agent03_Savings!G142)</f>
        <v/>
      </c>
      <c r="E537" s="38" t="str">
        <f>IF(Agent03_Savings!A142="","",Agent03_Savings!D142)</f>
        <v/>
      </c>
      <c r="F537" s="39" t="str">
        <f>IF(Agent03_Savings!A142="","",Agent03_Savings!E142)</f>
        <v/>
      </c>
      <c r="G537" s="39" t="str">
        <f>IF(Agent03_Savings!A142="","",Agent03_Savings!F142)</f>
        <v/>
      </c>
      <c r="H537" s="37" t="str">
        <f>IF(Agent03_Savings!A142="","",Agent03_Savings!I142)</f>
        <v/>
      </c>
      <c r="I537" s="37" t="str">
        <f>IF(Agent03_Savings!A142="","",Agent03_Savings!J142)</f>
        <v/>
      </c>
      <c r="J537" s="37" t="str">
        <f>IF(Agent03_Savings!A142="","",Agent03_Savings!K142)</f>
        <v/>
      </c>
      <c r="K537" s="37" t="str">
        <f>IFERROR(IF(Agent03_Savings!A142="","",YEAR(Agent03_Savings!D142)),"")</f>
        <v/>
      </c>
    </row>
    <row r="538" spans="1:11" ht="18" customHeight="1" x14ac:dyDescent="0.25">
      <c r="A538" s="37" t="str">
        <f>IF(Agent03_Savings!A143="","",Agent03_Savings!A143)</f>
        <v/>
      </c>
      <c r="B538" s="37" t="str">
        <f ca="1">IF(Agent03_Savings!A143="","","SV"&amp;TEXT(538-3,"0000")&amp;"-"&amp;TEXT(TODAY(),"YYYYMMDD"))</f>
        <v/>
      </c>
      <c r="C538" s="37" t="str">
        <f>IF(Agent03_Savings!A143="","",Agent03_Savings!B143)</f>
        <v/>
      </c>
      <c r="D538" s="37" t="str">
        <f>IF(Agent03_Savings!A143="","",Agent03_Savings!G143)</f>
        <v/>
      </c>
      <c r="E538" s="38" t="str">
        <f>IF(Agent03_Savings!A143="","",Agent03_Savings!D143)</f>
        <v/>
      </c>
      <c r="F538" s="39" t="str">
        <f>IF(Agent03_Savings!A143="","",Agent03_Savings!E143)</f>
        <v/>
      </c>
      <c r="G538" s="39" t="str">
        <f>IF(Agent03_Savings!A143="","",Agent03_Savings!F143)</f>
        <v/>
      </c>
      <c r="H538" s="37" t="str">
        <f>IF(Agent03_Savings!A143="","",Agent03_Savings!I143)</f>
        <v/>
      </c>
      <c r="I538" s="37" t="str">
        <f>IF(Agent03_Savings!A143="","",Agent03_Savings!J143)</f>
        <v/>
      </c>
      <c r="J538" s="37" t="str">
        <f>IF(Agent03_Savings!A143="","",Agent03_Savings!K143)</f>
        <v/>
      </c>
      <c r="K538" s="37" t="str">
        <f>IFERROR(IF(Agent03_Savings!A143="","",YEAR(Agent03_Savings!D143)),"")</f>
        <v/>
      </c>
    </row>
    <row r="539" spans="1:11" ht="18" customHeight="1" x14ac:dyDescent="0.25">
      <c r="A539" s="37" t="str">
        <f>IF(Agent03_Savings!A144="","",Agent03_Savings!A144)</f>
        <v/>
      </c>
      <c r="B539" s="37" t="str">
        <f ca="1">IF(Agent03_Savings!A144="","","SV"&amp;TEXT(539-3,"0000")&amp;"-"&amp;TEXT(TODAY(),"YYYYMMDD"))</f>
        <v/>
      </c>
      <c r="C539" s="37" t="str">
        <f>IF(Agent03_Savings!A144="","",Agent03_Savings!B144)</f>
        <v/>
      </c>
      <c r="D539" s="37" t="str">
        <f>IF(Agent03_Savings!A144="","",Agent03_Savings!G144)</f>
        <v/>
      </c>
      <c r="E539" s="38" t="str">
        <f>IF(Agent03_Savings!A144="","",Agent03_Savings!D144)</f>
        <v/>
      </c>
      <c r="F539" s="39" t="str">
        <f>IF(Agent03_Savings!A144="","",Agent03_Savings!E144)</f>
        <v/>
      </c>
      <c r="G539" s="39" t="str">
        <f>IF(Agent03_Savings!A144="","",Agent03_Savings!F144)</f>
        <v/>
      </c>
      <c r="H539" s="37" t="str">
        <f>IF(Agent03_Savings!A144="","",Agent03_Savings!I144)</f>
        <v/>
      </c>
      <c r="I539" s="37" t="str">
        <f>IF(Agent03_Savings!A144="","",Agent03_Savings!J144)</f>
        <v/>
      </c>
      <c r="J539" s="37" t="str">
        <f>IF(Agent03_Savings!A144="","",Agent03_Savings!K144)</f>
        <v/>
      </c>
      <c r="K539" s="37" t="str">
        <f>IFERROR(IF(Agent03_Savings!A144="","",YEAR(Agent03_Savings!D144)),"")</f>
        <v/>
      </c>
    </row>
    <row r="540" spans="1:11" ht="18" customHeight="1" x14ac:dyDescent="0.25">
      <c r="A540" s="37" t="str">
        <f>IF(Agent03_Savings!A145="","",Agent03_Savings!A145)</f>
        <v/>
      </c>
      <c r="B540" s="37" t="str">
        <f ca="1">IF(Agent03_Savings!A145="","","SV"&amp;TEXT(540-3,"0000")&amp;"-"&amp;TEXT(TODAY(),"YYYYMMDD"))</f>
        <v/>
      </c>
      <c r="C540" s="37" t="str">
        <f>IF(Agent03_Savings!A145="","",Agent03_Savings!B145)</f>
        <v/>
      </c>
      <c r="D540" s="37" t="str">
        <f>IF(Agent03_Savings!A145="","",Agent03_Savings!G145)</f>
        <v/>
      </c>
      <c r="E540" s="38" t="str">
        <f>IF(Agent03_Savings!A145="","",Agent03_Savings!D145)</f>
        <v/>
      </c>
      <c r="F540" s="39" t="str">
        <f>IF(Agent03_Savings!A145="","",Agent03_Savings!E145)</f>
        <v/>
      </c>
      <c r="G540" s="39" t="str">
        <f>IF(Agent03_Savings!A145="","",Agent03_Savings!F145)</f>
        <v/>
      </c>
      <c r="H540" s="37" t="str">
        <f>IF(Agent03_Savings!A145="","",Agent03_Savings!I145)</f>
        <v/>
      </c>
      <c r="I540" s="37" t="str">
        <f>IF(Agent03_Savings!A145="","",Agent03_Savings!J145)</f>
        <v/>
      </c>
      <c r="J540" s="37" t="str">
        <f>IF(Agent03_Savings!A145="","",Agent03_Savings!K145)</f>
        <v/>
      </c>
      <c r="K540" s="37" t="str">
        <f>IFERROR(IF(Agent03_Savings!A145="","",YEAR(Agent03_Savings!D145)),"")</f>
        <v/>
      </c>
    </row>
    <row r="541" spans="1:11" ht="18" customHeight="1" x14ac:dyDescent="0.25">
      <c r="A541" s="37" t="str">
        <f>IF(Agent03_Savings!A146="","",Agent03_Savings!A146)</f>
        <v/>
      </c>
      <c r="B541" s="37" t="str">
        <f ca="1">IF(Agent03_Savings!A146="","","SV"&amp;TEXT(541-3,"0000")&amp;"-"&amp;TEXT(TODAY(),"YYYYMMDD"))</f>
        <v/>
      </c>
      <c r="C541" s="37" t="str">
        <f>IF(Agent03_Savings!A146="","",Agent03_Savings!B146)</f>
        <v/>
      </c>
      <c r="D541" s="37" t="str">
        <f>IF(Agent03_Savings!A146="","",Agent03_Savings!G146)</f>
        <v/>
      </c>
      <c r="E541" s="38" t="str">
        <f>IF(Agent03_Savings!A146="","",Agent03_Savings!D146)</f>
        <v/>
      </c>
      <c r="F541" s="39" t="str">
        <f>IF(Agent03_Savings!A146="","",Agent03_Savings!E146)</f>
        <v/>
      </c>
      <c r="G541" s="39" t="str">
        <f>IF(Agent03_Savings!A146="","",Agent03_Savings!F146)</f>
        <v/>
      </c>
      <c r="H541" s="37" t="str">
        <f>IF(Agent03_Savings!A146="","",Agent03_Savings!I146)</f>
        <v/>
      </c>
      <c r="I541" s="37" t="str">
        <f>IF(Agent03_Savings!A146="","",Agent03_Savings!J146)</f>
        <v/>
      </c>
      <c r="J541" s="37" t="str">
        <f>IF(Agent03_Savings!A146="","",Agent03_Savings!K146)</f>
        <v/>
      </c>
      <c r="K541" s="37" t="str">
        <f>IFERROR(IF(Agent03_Savings!A146="","",YEAR(Agent03_Savings!D146)),"")</f>
        <v/>
      </c>
    </row>
    <row r="542" spans="1:11" ht="18" customHeight="1" x14ac:dyDescent="0.25">
      <c r="A542" s="37" t="str">
        <f>IF(Agent03_Savings!A147="","",Agent03_Savings!A147)</f>
        <v/>
      </c>
      <c r="B542" s="37" t="str">
        <f ca="1">IF(Agent03_Savings!A147="","","SV"&amp;TEXT(542-3,"0000")&amp;"-"&amp;TEXT(TODAY(),"YYYYMMDD"))</f>
        <v/>
      </c>
      <c r="C542" s="37" t="str">
        <f>IF(Agent03_Savings!A147="","",Agent03_Savings!B147)</f>
        <v/>
      </c>
      <c r="D542" s="37" t="str">
        <f>IF(Agent03_Savings!A147="","",Agent03_Savings!G147)</f>
        <v/>
      </c>
      <c r="E542" s="38" t="str">
        <f>IF(Agent03_Savings!A147="","",Agent03_Savings!D147)</f>
        <v/>
      </c>
      <c r="F542" s="39" t="str">
        <f>IF(Agent03_Savings!A147="","",Agent03_Savings!E147)</f>
        <v/>
      </c>
      <c r="G542" s="39" t="str">
        <f>IF(Agent03_Savings!A147="","",Agent03_Savings!F147)</f>
        <v/>
      </c>
      <c r="H542" s="37" t="str">
        <f>IF(Agent03_Savings!A147="","",Agent03_Savings!I147)</f>
        <v/>
      </c>
      <c r="I542" s="37" t="str">
        <f>IF(Agent03_Savings!A147="","",Agent03_Savings!J147)</f>
        <v/>
      </c>
      <c r="J542" s="37" t="str">
        <f>IF(Agent03_Savings!A147="","",Agent03_Savings!K147)</f>
        <v/>
      </c>
      <c r="K542" s="37" t="str">
        <f>IFERROR(IF(Agent03_Savings!A147="","",YEAR(Agent03_Savings!D147)),"")</f>
        <v/>
      </c>
    </row>
    <row r="543" spans="1:11" ht="18" customHeight="1" x14ac:dyDescent="0.25">
      <c r="A543" s="37" t="str">
        <f>IF(Agent03_Savings!A148="","",Agent03_Savings!A148)</f>
        <v/>
      </c>
      <c r="B543" s="37" t="str">
        <f ca="1">IF(Agent03_Savings!A148="","","SV"&amp;TEXT(543-3,"0000")&amp;"-"&amp;TEXT(TODAY(),"YYYYMMDD"))</f>
        <v/>
      </c>
      <c r="C543" s="37" t="str">
        <f>IF(Agent03_Savings!A148="","",Agent03_Savings!B148)</f>
        <v/>
      </c>
      <c r="D543" s="37" t="str">
        <f>IF(Agent03_Savings!A148="","",Agent03_Savings!G148)</f>
        <v/>
      </c>
      <c r="E543" s="38" t="str">
        <f>IF(Agent03_Savings!A148="","",Agent03_Savings!D148)</f>
        <v/>
      </c>
      <c r="F543" s="39" t="str">
        <f>IF(Agent03_Savings!A148="","",Agent03_Savings!E148)</f>
        <v/>
      </c>
      <c r="G543" s="39" t="str">
        <f>IF(Agent03_Savings!A148="","",Agent03_Savings!F148)</f>
        <v/>
      </c>
      <c r="H543" s="37" t="str">
        <f>IF(Agent03_Savings!A148="","",Agent03_Savings!I148)</f>
        <v/>
      </c>
      <c r="I543" s="37" t="str">
        <f>IF(Agent03_Savings!A148="","",Agent03_Savings!J148)</f>
        <v/>
      </c>
      <c r="J543" s="37" t="str">
        <f>IF(Agent03_Savings!A148="","",Agent03_Savings!K148)</f>
        <v/>
      </c>
      <c r="K543" s="37" t="str">
        <f>IFERROR(IF(Agent03_Savings!A148="","",YEAR(Agent03_Savings!D148)),"")</f>
        <v/>
      </c>
    </row>
    <row r="544" spans="1:11" ht="18" customHeight="1" x14ac:dyDescent="0.25">
      <c r="A544" s="37" t="str">
        <f>IF(Agent03_Savings!A149="","",Agent03_Savings!A149)</f>
        <v/>
      </c>
      <c r="B544" s="37" t="str">
        <f ca="1">IF(Agent03_Savings!A149="","","SV"&amp;TEXT(544-3,"0000")&amp;"-"&amp;TEXT(TODAY(),"YYYYMMDD"))</f>
        <v/>
      </c>
      <c r="C544" s="37" t="str">
        <f>IF(Agent03_Savings!A149="","",Agent03_Savings!B149)</f>
        <v/>
      </c>
      <c r="D544" s="37" t="str">
        <f>IF(Agent03_Savings!A149="","",Agent03_Savings!G149)</f>
        <v/>
      </c>
      <c r="E544" s="38" t="str">
        <f>IF(Agent03_Savings!A149="","",Agent03_Savings!D149)</f>
        <v/>
      </c>
      <c r="F544" s="39" t="str">
        <f>IF(Agent03_Savings!A149="","",Agent03_Savings!E149)</f>
        <v/>
      </c>
      <c r="G544" s="39" t="str">
        <f>IF(Agent03_Savings!A149="","",Agent03_Savings!F149)</f>
        <v/>
      </c>
      <c r="H544" s="37" t="str">
        <f>IF(Agent03_Savings!A149="","",Agent03_Savings!I149)</f>
        <v/>
      </c>
      <c r="I544" s="37" t="str">
        <f>IF(Agent03_Savings!A149="","",Agent03_Savings!J149)</f>
        <v/>
      </c>
      <c r="J544" s="37" t="str">
        <f>IF(Agent03_Savings!A149="","",Agent03_Savings!K149)</f>
        <v/>
      </c>
      <c r="K544" s="37" t="str">
        <f>IFERROR(IF(Agent03_Savings!A149="","",YEAR(Agent03_Savings!D149)),"")</f>
        <v/>
      </c>
    </row>
    <row r="545" spans="1:11" ht="18" customHeight="1" x14ac:dyDescent="0.25">
      <c r="A545" s="37" t="str">
        <f>IF(Agent03_Savings!A150="","",Agent03_Savings!A150)</f>
        <v/>
      </c>
      <c r="B545" s="37" t="str">
        <f ca="1">IF(Agent03_Savings!A150="","","SV"&amp;TEXT(545-3,"0000")&amp;"-"&amp;TEXT(TODAY(),"YYYYMMDD"))</f>
        <v/>
      </c>
      <c r="C545" s="37" t="str">
        <f>IF(Agent03_Savings!A150="","",Agent03_Savings!B150)</f>
        <v/>
      </c>
      <c r="D545" s="37" t="str">
        <f>IF(Agent03_Savings!A150="","",Agent03_Savings!G150)</f>
        <v/>
      </c>
      <c r="E545" s="38" t="str">
        <f>IF(Agent03_Savings!A150="","",Agent03_Savings!D150)</f>
        <v/>
      </c>
      <c r="F545" s="39" t="str">
        <f>IF(Agent03_Savings!A150="","",Agent03_Savings!E150)</f>
        <v/>
      </c>
      <c r="G545" s="39" t="str">
        <f>IF(Agent03_Savings!A150="","",Agent03_Savings!F150)</f>
        <v/>
      </c>
      <c r="H545" s="37" t="str">
        <f>IF(Agent03_Savings!A150="","",Agent03_Savings!I150)</f>
        <v/>
      </c>
      <c r="I545" s="37" t="str">
        <f>IF(Agent03_Savings!A150="","",Agent03_Savings!J150)</f>
        <v/>
      </c>
      <c r="J545" s="37" t="str">
        <f>IF(Agent03_Savings!A150="","",Agent03_Savings!K150)</f>
        <v/>
      </c>
      <c r="K545" s="37" t="str">
        <f>IFERROR(IF(Agent03_Savings!A150="","",YEAR(Agent03_Savings!D150)),"")</f>
        <v/>
      </c>
    </row>
    <row r="546" spans="1:11" ht="18" customHeight="1" x14ac:dyDescent="0.25">
      <c r="A546" s="37" t="str">
        <f>IF(Agent03_Savings!A151="","",Agent03_Savings!A151)</f>
        <v/>
      </c>
      <c r="B546" s="37" t="str">
        <f ca="1">IF(Agent03_Savings!A151="","","SV"&amp;TEXT(546-3,"0000")&amp;"-"&amp;TEXT(TODAY(),"YYYYMMDD"))</f>
        <v/>
      </c>
      <c r="C546" s="37" t="str">
        <f>IF(Agent03_Savings!A151="","",Agent03_Savings!B151)</f>
        <v/>
      </c>
      <c r="D546" s="37" t="str">
        <f>IF(Agent03_Savings!A151="","",Agent03_Savings!G151)</f>
        <v/>
      </c>
      <c r="E546" s="38" t="str">
        <f>IF(Agent03_Savings!A151="","",Agent03_Savings!D151)</f>
        <v/>
      </c>
      <c r="F546" s="39" t="str">
        <f>IF(Agent03_Savings!A151="","",Agent03_Savings!E151)</f>
        <v/>
      </c>
      <c r="G546" s="39" t="str">
        <f>IF(Agent03_Savings!A151="","",Agent03_Savings!F151)</f>
        <v/>
      </c>
      <c r="H546" s="37" t="str">
        <f>IF(Agent03_Savings!A151="","",Agent03_Savings!I151)</f>
        <v/>
      </c>
      <c r="I546" s="37" t="str">
        <f>IF(Agent03_Savings!A151="","",Agent03_Savings!J151)</f>
        <v/>
      </c>
      <c r="J546" s="37" t="str">
        <f>IF(Agent03_Savings!A151="","",Agent03_Savings!K151)</f>
        <v/>
      </c>
      <c r="K546" s="37" t="str">
        <f>IFERROR(IF(Agent03_Savings!A151="","",YEAR(Agent03_Savings!D151)),"")</f>
        <v/>
      </c>
    </row>
    <row r="547" spans="1:11" ht="18" customHeight="1" x14ac:dyDescent="0.25">
      <c r="A547" s="37" t="str">
        <f>IF(Agent03_Savings!A152="","",Agent03_Savings!A152)</f>
        <v/>
      </c>
      <c r="B547" s="37" t="str">
        <f ca="1">IF(Agent03_Savings!A152="","","SV"&amp;TEXT(547-3,"0000")&amp;"-"&amp;TEXT(TODAY(),"YYYYMMDD"))</f>
        <v/>
      </c>
      <c r="C547" s="37" t="str">
        <f>IF(Agent03_Savings!A152="","",Agent03_Savings!B152)</f>
        <v/>
      </c>
      <c r="D547" s="37" t="str">
        <f>IF(Agent03_Savings!A152="","",Agent03_Savings!G152)</f>
        <v/>
      </c>
      <c r="E547" s="38" t="str">
        <f>IF(Agent03_Savings!A152="","",Agent03_Savings!D152)</f>
        <v/>
      </c>
      <c r="F547" s="39" t="str">
        <f>IF(Agent03_Savings!A152="","",Agent03_Savings!E152)</f>
        <v/>
      </c>
      <c r="G547" s="39" t="str">
        <f>IF(Agent03_Savings!A152="","",Agent03_Savings!F152)</f>
        <v/>
      </c>
      <c r="H547" s="37" t="str">
        <f>IF(Agent03_Savings!A152="","",Agent03_Savings!I152)</f>
        <v/>
      </c>
      <c r="I547" s="37" t="str">
        <f>IF(Agent03_Savings!A152="","",Agent03_Savings!J152)</f>
        <v/>
      </c>
      <c r="J547" s="37" t="str">
        <f>IF(Agent03_Savings!A152="","",Agent03_Savings!K152)</f>
        <v/>
      </c>
      <c r="K547" s="37" t="str">
        <f>IFERROR(IF(Agent03_Savings!A152="","",YEAR(Agent03_Savings!D152)),"")</f>
        <v/>
      </c>
    </row>
    <row r="548" spans="1:11" ht="18" customHeight="1" x14ac:dyDescent="0.25">
      <c r="A548" s="37" t="str">
        <f>IF(Agent03_Savings!A153="","",Agent03_Savings!A153)</f>
        <v/>
      </c>
      <c r="B548" s="37" t="str">
        <f ca="1">IF(Agent03_Savings!A153="","","SV"&amp;TEXT(548-3,"0000")&amp;"-"&amp;TEXT(TODAY(),"YYYYMMDD"))</f>
        <v/>
      </c>
      <c r="C548" s="37" t="str">
        <f>IF(Agent03_Savings!A153="","",Agent03_Savings!B153)</f>
        <v/>
      </c>
      <c r="D548" s="37" t="str">
        <f>IF(Agent03_Savings!A153="","",Agent03_Savings!G153)</f>
        <v/>
      </c>
      <c r="E548" s="38" t="str">
        <f>IF(Agent03_Savings!A153="","",Agent03_Savings!D153)</f>
        <v/>
      </c>
      <c r="F548" s="39" t="str">
        <f>IF(Agent03_Savings!A153="","",Agent03_Savings!E153)</f>
        <v/>
      </c>
      <c r="G548" s="39" t="str">
        <f>IF(Agent03_Savings!A153="","",Agent03_Savings!F153)</f>
        <v/>
      </c>
      <c r="H548" s="37" t="str">
        <f>IF(Agent03_Savings!A153="","",Agent03_Savings!I153)</f>
        <v/>
      </c>
      <c r="I548" s="37" t="str">
        <f>IF(Agent03_Savings!A153="","",Agent03_Savings!J153)</f>
        <v/>
      </c>
      <c r="J548" s="37" t="str">
        <f>IF(Agent03_Savings!A153="","",Agent03_Savings!K153)</f>
        <v/>
      </c>
      <c r="K548" s="37" t="str">
        <f>IFERROR(IF(Agent03_Savings!A153="","",YEAR(Agent03_Savings!D153)),"")</f>
        <v/>
      </c>
    </row>
    <row r="549" spans="1:11" ht="18" customHeight="1" x14ac:dyDescent="0.25">
      <c r="A549" s="37" t="str">
        <f>IF(Agent03_Savings!A154="","",Agent03_Savings!A154)</f>
        <v/>
      </c>
      <c r="B549" s="37" t="str">
        <f ca="1">IF(Agent03_Savings!A154="","","SV"&amp;TEXT(549-3,"0000")&amp;"-"&amp;TEXT(TODAY(),"YYYYMMDD"))</f>
        <v/>
      </c>
      <c r="C549" s="37" t="str">
        <f>IF(Agent03_Savings!A154="","",Agent03_Savings!B154)</f>
        <v/>
      </c>
      <c r="D549" s="37" t="str">
        <f>IF(Agent03_Savings!A154="","",Agent03_Savings!G154)</f>
        <v/>
      </c>
      <c r="E549" s="38" t="str">
        <f>IF(Agent03_Savings!A154="","",Agent03_Savings!D154)</f>
        <v/>
      </c>
      <c r="F549" s="39" t="str">
        <f>IF(Agent03_Savings!A154="","",Agent03_Savings!E154)</f>
        <v/>
      </c>
      <c r="G549" s="39" t="str">
        <f>IF(Agent03_Savings!A154="","",Agent03_Savings!F154)</f>
        <v/>
      </c>
      <c r="H549" s="37" t="str">
        <f>IF(Agent03_Savings!A154="","",Agent03_Savings!I154)</f>
        <v/>
      </c>
      <c r="I549" s="37" t="str">
        <f>IF(Agent03_Savings!A154="","",Agent03_Savings!J154)</f>
        <v/>
      </c>
      <c r="J549" s="37" t="str">
        <f>IF(Agent03_Savings!A154="","",Agent03_Savings!K154)</f>
        <v/>
      </c>
      <c r="K549" s="37" t="str">
        <f>IFERROR(IF(Agent03_Savings!A154="","",YEAR(Agent03_Savings!D154)),"")</f>
        <v/>
      </c>
    </row>
    <row r="550" spans="1:11" ht="18" customHeight="1" x14ac:dyDescent="0.25">
      <c r="A550" s="37" t="str">
        <f>IF(Agent03_Savings!A155="","",Agent03_Savings!A155)</f>
        <v/>
      </c>
      <c r="B550" s="37" t="str">
        <f ca="1">IF(Agent03_Savings!A155="","","SV"&amp;TEXT(550-3,"0000")&amp;"-"&amp;TEXT(TODAY(),"YYYYMMDD"))</f>
        <v/>
      </c>
      <c r="C550" s="37" t="str">
        <f>IF(Agent03_Savings!A155="","",Agent03_Savings!B155)</f>
        <v/>
      </c>
      <c r="D550" s="37" t="str">
        <f>IF(Agent03_Savings!A155="","",Agent03_Savings!G155)</f>
        <v/>
      </c>
      <c r="E550" s="38" t="str">
        <f>IF(Agent03_Savings!A155="","",Agent03_Savings!D155)</f>
        <v/>
      </c>
      <c r="F550" s="39" t="str">
        <f>IF(Agent03_Savings!A155="","",Agent03_Savings!E155)</f>
        <v/>
      </c>
      <c r="G550" s="39" t="str">
        <f>IF(Agent03_Savings!A155="","",Agent03_Savings!F155)</f>
        <v/>
      </c>
      <c r="H550" s="37" t="str">
        <f>IF(Agent03_Savings!A155="","",Agent03_Savings!I155)</f>
        <v/>
      </c>
      <c r="I550" s="37" t="str">
        <f>IF(Agent03_Savings!A155="","",Agent03_Savings!J155)</f>
        <v/>
      </c>
      <c r="J550" s="37" t="str">
        <f>IF(Agent03_Savings!A155="","",Agent03_Savings!K155)</f>
        <v/>
      </c>
      <c r="K550" s="37" t="str">
        <f>IFERROR(IF(Agent03_Savings!A155="","",YEAR(Agent03_Savings!D155)),"")</f>
        <v/>
      </c>
    </row>
    <row r="551" spans="1:11" ht="18" customHeight="1" x14ac:dyDescent="0.25">
      <c r="A551" s="37" t="str">
        <f>IF(Agent03_Savings!A156="","",Agent03_Savings!A156)</f>
        <v/>
      </c>
      <c r="B551" s="37" t="str">
        <f ca="1">IF(Agent03_Savings!A156="","","SV"&amp;TEXT(551-3,"0000")&amp;"-"&amp;TEXT(TODAY(),"YYYYMMDD"))</f>
        <v/>
      </c>
      <c r="C551" s="37" t="str">
        <f>IF(Agent03_Savings!A156="","",Agent03_Savings!B156)</f>
        <v/>
      </c>
      <c r="D551" s="37" t="str">
        <f>IF(Agent03_Savings!A156="","",Agent03_Savings!G156)</f>
        <v/>
      </c>
      <c r="E551" s="38" t="str">
        <f>IF(Agent03_Savings!A156="","",Agent03_Savings!D156)</f>
        <v/>
      </c>
      <c r="F551" s="39" t="str">
        <f>IF(Agent03_Savings!A156="","",Agent03_Savings!E156)</f>
        <v/>
      </c>
      <c r="G551" s="39" t="str">
        <f>IF(Agent03_Savings!A156="","",Agent03_Savings!F156)</f>
        <v/>
      </c>
      <c r="H551" s="37" t="str">
        <f>IF(Agent03_Savings!A156="","",Agent03_Savings!I156)</f>
        <v/>
      </c>
      <c r="I551" s="37" t="str">
        <f>IF(Agent03_Savings!A156="","",Agent03_Savings!J156)</f>
        <v/>
      </c>
      <c r="J551" s="37" t="str">
        <f>IF(Agent03_Savings!A156="","",Agent03_Savings!K156)</f>
        <v/>
      </c>
      <c r="K551" s="37" t="str">
        <f>IFERROR(IF(Agent03_Savings!A156="","",YEAR(Agent03_Savings!D156)),"")</f>
        <v/>
      </c>
    </row>
    <row r="552" spans="1:11" ht="18" customHeight="1" x14ac:dyDescent="0.25">
      <c r="A552" s="37" t="str">
        <f>IF(Agent03_Savings!A157="","",Agent03_Savings!A157)</f>
        <v/>
      </c>
      <c r="B552" s="37" t="str">
        <f ca="1">IF(Agent03_Savings!A157="","","SV"&amp;TEXT(552-3,"0000")&amp;"-"&amp;TEXT(TODAY(),"YYYYMMDD"))</f>
        <v/>
      </c>
      <c r="C552" s="37" t="str">
        <f>IF(Agent03_Savings!A157="","",Agent03_Savings!B157)</f>
        <v/>
      </c>
      <c r="D552" s="37" t="str">
        <f>IF(Agent03_Savings!A157="","",Agent03_Savings!G157)</f>
        <v/>
      </c>
      <c r="E552" s="38" t="str">
        <f>IF(Agent03_Savings!A157="","",Agent03_Savings!D157)</f>
        <v/>
      </c>
      <c r="F552" s="39" t="str">
        <f>IF(Agent03_Savings!A157="","",Agent03_Savings!E157)</f>
        <v/>
      </c>
      <c r="G552" s="39" t="str">
        <f>IF(Agent03_Savings!A157="","",Agent03_Savings!F157)</f>
        <v/>
      </c>
      <c r="H552" s="37" t="str">
        <f>IF(Agent03_Savings!A157="","",Agent03_Savings!I157)</f>
        <v/>
      </c>
      <c r="I552" s="37" t="str">
        <f>IF(Agent03_Savings!A157="","",Agent03_Savings!J157)</f>
        <v/>
      </c>
      <c r="J552" s="37" t="str">
        <f>IF(Agent03_Savings!A157="","",Agent03_Savings!K157)</f>
        <v/>
      </c>
      <c r="K552" s="37" t="str">
        <f>IFERROR(IF(Agent03_Savings!A157="","",YEAR(Agent03_Savings!D157)),"")</f>
        <v/>
      </c>
    </row>
    <row r="553" spans="1:11" ht="18" customHeight="1" x14ac:dyDescent="0.25">
      <c r="A553" s="37" t="str">
        <f>IF(Agent03_Savings!A158="","",Agent03_Savings!A158)</f>
        <v/>
      </c>
      <c r="B553" s="37" t="str">
        <f ca="1">IF(Agent03_Savings!A158="","","SV"&amp;TEXT(553-3,"0000")&amp;"-"&amp;TEXT(TODAY(),"YYYYMMDD"))</f>
        <v/>
      </c>
      <c r="C553" s="37" t="str">
        <f>IF(Agent03_Savings!A158="","",Agent03_Savings!B158)</f>
        <v/>
      </c>
      <c r="D553" s="37" t="str">
        <f>IF(Agent03_Savings!A158="","",Agent03_Savings!G158)</f>
        <v/>
      </c>
      <c r="E553" s="38" t="str">
        <f>IF(Agent03_Savings!A158="","",Agent03_Savings!D158)</f>
        <v/>
      </c>
      <c r="F553" s="39" t="str">
        <f>IF(Agent03_Savings!A158="","",Agent03_Savings!E158)</f>
        <v/>
      </c>
      <c r="G553" s="39" t="str">
        <f>IF(Agent03_Savings!A158="","",Agent03_Savings!F158)</f>
        <v/>
      </c>
      <c r="H553" s="37" t="str">
        <f>IF(Agent03_Savings!A158="","",Agent03_Savings!I158)</f>
        <v/>
      </c>
      <c r="I553" s="37" t="str">
        <f>IF(Agent03_Savings!A158="","",Agent03_Savings!J158)</f>
        <v/>
      </c>
      <c r="J553" s="37" t="str">
        <f>IF(Agent03_Savings!A158="","",Agent03_Savings!K158)</f>
        <v/>
      </c>
      <c r="K553" s="37" t="str">
        <f>IFERROR(IF(Agent03_Savings!A158="","",YEAR(Agent03_Savings!D158)),"")</f>
        <v/>
      </c>
    </row>
    <row r="554" spans="1:11" ht="18" customHeight="1" x14ac:dyDescent="0.25">
      <c r="A554" s="37" t="str">
        <f>IF(Agent03_Savings!A159="","",Agent03_Savings!A159)</f>
        <v/>
      </c>
      <c r="B554" s="37" t="str">
        <f ca="1">IF(Agent03_Savings!A159="","","SV"&amp;TEXT(554-3,"0000")&amp;"-"&amp;TEXT(TODAY(),"YYYYMMDD"))</f>
        <v/>
      </c>
      <c r="C554" s="37" t="str">
        <f>IF(Agent03_Savings!A159="","",Agent03_Savings!B159)</f>
        <v/>
      </c>
      <c r="D554" s="37" t="str">
        <f>IF(Agent03_Savings!A159="","",Agent03_Savings!G159)</f>
        <v/>
      </c>
      <c r="E554" s="38" t="str">
        <f>IF(Agent03_Savings!A159="","",Agent03_Savings!D159)</f>
        <v/>
      </c>
      <c r="F554" s="39" t="str">
        <f>IF(Agent03_Savings!A159="","",Agent03_Savings!E159)</f>
        <v/>
      </c>
      <c r="G554" s="39" t="str">
        <f>IF(Agent03_Savings!A159="","",Agent03_Savings!F159)</f>
        <v/>
      </c>
      <c r="H554" s="37" t="str">
        <f>IF(Agent03_Savings!A159="","",Agent03_Savings!I159)</f>
        <v/>
      </c>
      <c r="I554" s="37" t="str">
        <f>IF(Agent03_Savings!A159="","",Agent03_Savings!J159)</f>
        <v/>
      </c>
      <c r="J554" s="37" t="str">
        <f>IF(Agent03_Savings!A159="","",Agent03_Savings!K159)</f>
        <v/>
      </c>
      <c r="K554" s="37" t="str">
        <f>IFERROR(IF(Agent03_Savings!A159="","",YEAR(Agent03_Savings!D159)),"")</f>
        <v/>
      </c>
    </row>
    <row r="555" spans="1:11" ht="18" customHeight="1" x14ac:dyDescent="0.25">
      <c r="A555" s="37" t="str">
        <f>IF(Agent03_Savings!A160="","",Agent03_Savings!A160)</f>
        <v/>
      </c>
      <c r="B555" s="37" t="str">
        <f ca="1">IF(Agent03_Savings!A160="","","SV"&amp;TEXT(555-3,"0000")&amp;"-"&amp;TEXT(TODAY(),"YYYYMMDD"))</f>
        <v/>
      </c>
      <c r="C555" s="37" t="str">
        <f>IF(Agent03_Savings!A160="","",Agent03_Savings!B160)</f>
        <v/>
      </c>
      <c r="D555" s="37" t="str">
        <f>IF(Agent03_Savings!A160="","",Agent03_Savings!G160)</f>
        <v/>
      </c>
      <c r="E555" s="38" t="str">
        <f>IF(Agent03_Savings!A160="","",Agent03_Savings!D160)</f>
        <v/>
      </c>
      <c r="F555" s="39" t="str">
        <f>IF(Agent03_Savings!A160="","",Agent03_Savings!E160)</f>
        <v/>
      </c>
      <c r="G555" s="39" t="str">
        <f>IF(Agent03_Savings!A160="","",Agent03_Savings!F160)</f>
        <v/>
      </c>
      <c r="H555" s="37" t="str">
        <f>IF(Agent03_Savings!A160="","",Agent03_Savings!I160)</f>
        <v/>
      </c>
      <c r="I555" s="37" t="str">
        <f>IF(Agent03_Savings!A160="","",Agent03_Savings!J160)</f>
        <v/>
      </c>
      <c r="J555" s="37" t="str">
        <f>IF(Agent03_Savings!A160="","",Agent03_Savings!K160)</f>
        <v/>
      </c>
      <c r="K555" s="37" t="str">
        <f>IFERROR(IF(Agent03_Savings!A160="","",YEAR(Agent03_Savings!D160)),"")</f>
        <v/>
      </c>
    </row>
    <row r="556" spans="1:11" ht="18" customHeight="1" x14ac:dyDescent="0.25">
      <c r="A556" s="37" t="str">
        <f>IF(Agent03_Savings!A161="","",Agent03_Savings!A161)</f>
        <v/>
      </c>
      <c r="B556" s="37" t="str">
        <f ca="1">IF(Agent03_Savings!A161="","","SV"&amp;TEXT(556-3,"0000")&amp;"-"&amp;TEXT(TODAY(),"YYYYMMDD"))</f>
        <v/>
      </c>
      <c r="C556" s="37" t="str">
        <f>IF(Agent03_Savings!A161="","",Agent03_Savings!B161)</f>
        <v/>
      </c>
      <c r="D556" s="37" t="str">
        <f>IF(Agent03_Savings!A161="","",Agent03_Savings!G161)</f>
        <v/>
      </c>
      <c r="E556" s="38" t="str">
        <f>IF(Agent03_Savings!A161="","",Agent03_Savings!D161)</f>
        <v/>
      </c>
      <c r="F556" s="39" t="str">
        <f>IF(Agent03_Savings!A161="","",Agent03_Savings!E161)</f>
        <v/>
      </c>
      <c r="G556" s="39" t="str">
        <f>IF(Agent03_Savings!A161="","",Agent03_Savings!F161)</f>
        <v/>
      </c>
      <c r="H556" s="37" t="str">
        <f>IF(Agent03_Savings!A161="","",Agent03_Savings!I161)</f>
        <v/>
      </c>
      <c r="I556" s="37" t="str">
        <f>IF(Agent03_Savings!A161="","",Agent03_Savings!J161)</f>
        <v/>
      </c>
      <c r="J556" s="37" t="str">
        <f>IF(Agent03_Savings!A161="","",Agent03_Savings!K161)</f>
        <v/>
      </c>
      <c r="K556" s="37" t="str">
        <f>IFERROR(IF(Agent03_Savings!A161="","",YEAR(Agent03_Savings!D161)),"")</f>
        <v/>
      </c>
    </row>
    <row r="557" spans="1:11" ht="18" customHeight="1" x14ac:dyDescent="0.25">
      <c r="A557" s="37" t="str">
        <f>IF(Agent03_Savings!A162="","",Agent03_Savings!A162)</f>
        <v/>
      </c>
      <c r="B557" s="37" t="str">
        <f ca="1">IF(Agent03_Savings!A162="","","SV"&amp;TEXT(557-3,"0000")&amp;"-"&amp;TEXT(TODAY(),"YYYYMMDD"))</f>
        <v/>
      </c>
      <c r="C557" s="37" t="str">
        <f>IF(Agent03_Savings!A162="","",Agent03_Savings!B162)</f>
        <v/>
      </c>
      <c r="D557" s="37" t="str">
        <f>IF(Agent03_Savings!A162="","",Agent03_Savings!G162)</f>
        <v/>
      </c>
      <c r="E557" s="38" t="str">
        <f>IF(Agent03_Savings!A162="","",Agent03_Savings!D162)</f>
        <v/>
      </c>
      <c r="F557" s="39" t="str">
        <f>IF(Agent03_Savings!A162="","",Agent03_Savings!E162)</f>
        <v/>
      </c>
      <c r="G557" s="39" t="str">
        <f>IF(Agent03_Savings!A162="","",Agent03_Savings!F162)</f>
        <v/>
      </c>
      <c r="H557" s="37" t="str">
        <f>IF(Agent03_Savings!A162="","",Agent03_Savings!I162)</f>
        <v/>
      </c>
      <c r="I557" s="37" t="str">
        <f>IF(Agent03_Savings!A162="","",Agent03_Savings!J162)</f>
        <v/>
      </c>
      <c r="J557" s="37" t="str">
        <f>IF(Agent03_Savings!A162="","",Agent03_Savings!K162)</f>
        <v/>
      </c>
      <c r="K557" s="37" t="str">
        <f>IFERROR(IF(Agent03_Savings!A162="","",YEAR(Agent03_Savings!D162)),"")</f>
        <v/>
      </c>
    </row>
    <row r="558" spans="1:11" ht="18" customHeight="1" x14ac:dyDescent="0.25">
      <c r="A558" s="37" t="str">
        <f>IF(Agent03_Savings!A163="","",Agent03_Savings!A163)</f>
        <v/>
      </c>
      <c r="B558" s="37" t="str">
        <f ca="1">IF(Agent03_Savings!A163="","","SV"&amp;TEXT(558-3,"0000")&amp;"-"&amp;TEXT(TODAY(),"YYYYMMDD"))</f>
        <v/>
      </c>
      <c r="C558" s="37" t="str">
        <f>IF(Agent03_Savings!A163="","",Agent03_Savings!B163)</f>
        <v/>
      </c>
      <c r="D558" s="37" t="str">
        <f>IF(Agent03_Savings!A163="","",Agent03_Savings!G163)</f>
        <v/>
      </c>
      <c r="E558" s="38" t="str">
        <f>IF(Agent03_Savings!A163="","",Agent03_Savings!D163)</f>
        <v/>
      </c>
      <c r="F558" s="39" t="str">
        <f>IF(Agent03_Savings!A163="","",Agent03_Savings!E163)</f>
        <v/>
      </c>
      <c r="G558" s="39" t="str">
        <f>IF(Agent03_Savings!A163="","",Agent03_Savings!F163)</f>
        <v/>
      </c>
      <c r="H558" s="37" t="str">
        <f>IF(Agent03_Savings!A163="","",Agent03_Savings!I163)</f>
        <v/>
      </c>
      <c r="I558" s="37" t="str">
        <f>IF(Agent03_Savings!A163="","",Agent03_Savings!J163)</f>
        <v/>
      </c>
      <c r="J558" s="37" t="str">
        <f>IF(Agent03_Savings!A163="","",Agent03_Savings!K163)</f>
        <v/>
      </c>
      <c r="K558" s="37" t="str">
        <f>IFERROR(IF(Agent03_Savings!A163="","",YEAR(Agent03_Savings!D163)),"")</f>
        <v/>
      </c>
    </row>
    <row r="559" spans="1:11" ht="18" customHeight="1" x14ac:dyDescent="0.25">
      <c r="A559" s="37" t="str">
        <f>IF(Agent03_Savings!A164="","",Agent03_Savings!A164)</f>
        <v/>
      </c>
      <c r="B559" s="37" t="str">
        <f ca="1">IF(Agent03_Savings!A164="","","SV"&amp;TEXT(559-3,"0000")&amp;"-"&amp;TEXT(TODAY(),"YYYYMMDD"))</f>
        <v/>
      </c>
      <c r="C559" s="37" t="str">
        <f>IF(Agent03_Savings!A164="","",Agent03_Savings!B164)</f>
        <v/>
      </c>
      <c r="D559" s="37" t="str">
        <f>IF(Agent03_Savings!A164="","",Agent03_Savings!G164)</f>
        <v/>
      </c>
      <c r="E559" s="38" t="str">
        <f>IF(Agent03_Savings!A164="","",Agent03_Savings!D164)</f>
        <v/>
      </c>
      <c r="F559" s="39" t="str">
        <f>IF(Agent03_Savings!A164="","",Agent03_Savings!E164)</f>
        <v/>
      </c>
      <c r="G559" s="39" t="str">
        <f>IF(Agent03_Savings!A164="","",Agent03_Savings!F164)</f>
        <v/>
      </c>
      <c r="H559" s="37" t="str">
        <f>IF(Agent03_Savings!A164="","",Agent03_Savings!I164)</f>
        <v/>
      </c>
      <c r="I559" s="37" t="str">
        <f>IF(Agent03_Savings!A164="","",Agent03_Savings!J164)</f>
        <v/>
      </c>
      <c r="J559" s="37" t="str">
        <f>IF(Agent03_Savings!A164="","",Agent03_Savings!K164)</f>
        <v/>
      </c>
      <c r="K559" s="37" t="str">
        <f>IFERROR(IF(Agent03_Savings!A164="","",YEAR(Agent03_Savings!D164)),"")</f>
        <v/>
      </c>
    </row>
    <row r="560" spans="1:11" ht="18" customHeight="1" x14ac:dyDescent="0.25">
      <c r="A560" s="37" t="str">
        <f>IF(Agent03_Savings!A165="","",Agent03_Savings!A165)</f>
        <v/>
      </c>
      <c r="B560" s="37" t="str">
        <f ca="1">IF(Agent03_Savings!A165="","","SV"&amp;TEXT(560-3,"0000")&amp;"-"&amp;TEXT(TODAY(),"YYYYMMDD"))</f>
        <v/>
      </c>
      <c r="C560" s="37" t="str">
        <f>IF(Agent03_Savings!A165="","",Agent03_Savings!B165)</f>
        <v/>
      </c>
      <c r="D560" s="37" t="str">
        <f>IF(Agent03_Savings!A165="","",Agent03_Savings!G165)</f>
        <v/>
      </c>
      <c r="E560" s="38" t="str">
        <f>IF(Agent03_Savings!A165="","",Agent03_Savings!D165)</f>
        <v/>
      </c>
      <c r="F560" s="39" t="str">
        <f>IF(Agent03_Savings!A165="","",Agent03_Savings!E165)</f>
        <v/>
      </c>
      <c r="G560" s="39" t="str">
        <f>IF(Agent03_Savings!A165="","",Agent03_Savings!F165)</f>
        <v/>
      </c>
      <c r="H560" s="37" t="str">
        <f>IF(Agent03_Savings!A165="","",Agent03_Savings!I165)</f>
        <v/>
      </c>
      <c r="I560" s="37" t="str">
        <f>IF(Agent03_Savings!A165="","",Agent03_Savings!J165)</f>
        <v/>
      </c>
      <c r="J560" s="37" t="str">
        <f>IF(Agent03_Savings!A165="","",Agent03_Savings!K165)</f>
        <v/>
      </c>
      <c r="K560" s="37" t="str">
        <f>IFERROR(IF(Agent03_Savings!A165="","",YEAR(Agent03_Savings!D165)),"")</f>
        <v/>
      </c>
    </row>
    <row r="561" spans="1:11" ht="18" customHeight="1" x14ac:dyDescent="0.25">
      <c r="A561" s="37" t="str">
        <f>IF(Agent03_Savings!A166="","",Agent03_Savings!A166)</f>
        <v/>
      </c>
      <c r="B561" s="37" t="str">
        <f ca="1">IF(Agent03_Savings!A166="","","SV"&amp;TEXT(561-3,"0000")&amp;"-"&amp;TEXT(TODAY(),"YYYYMMDD"))</f>
        <v/>
      </c>
      <c r="C561" s="37" t="str">
        <f>IF(Agent03_Savings!A166="","",Agent03_Savings!B166)</f>
        <v/>
      </c>
      <c r="D561" s="37" t="str">
        <f>IF(Agent03_Savings!A166="","",Agent03_Savings!G166)</f>
        <v/>
      </c>
      <c r="E561" s="38" t="str">
        <f>IF(Agent03_Savings!A166="","",Agent03_Savings!D166)</f>
        <v/>
      </c>
      <c r="F561" s="39" t="str">
        <f>IF(Agent03_Savings!A166="","",Agent03_Savings!E166)</f>
        <v/>
      </c>
      <c r="G561" s="39" t="str">
        <f>IF(Agent03_Savings!A166="","",Agent03_Savings!F166)</f>
        <v/>
      </c>
      <c r="H561" s="37" t="str">
        <f>IF(Agent03_Savings!A166="","",Agent03_Savings!I166)</f>
        <v/>
      </c>
      <c r="I561" s="37" t="str">
        <f>IF(Agent03_Savings!A166="","",Agent03_Savings!J166)</f>
        <v/>
      </c>
      <c r="J561" s="37" t="str">
        <f>IF(Agent03_Savings!A166="","",Agent03_Savings!K166)</f>
        <v/>
      </c>
      <c r="K561" s="37" t="str">
        <f>IFERROR(IF(Agent03_Savings!A166="","",YEAR(Agent03_Savings!D166)),"")</f>
        <v/>
      </c>
    </row>
    <row r="562" spans="1:11" ht="18" customHeight="1" x14ac:dyDescent="0.25">
      <c r="A562" s="37" t="str">
        <f>IF(Agent03_Savings!A167="","",Agent03_Savings!A167)</f>
        <v/>
      </c>
      <c r="B562" s="37" t="str">
        <f ca="1">IF(Agent03_Savings!A167="","","SV"&amp;TEXT(562-3,"0000")&amp;"-"&amp;TEXT(TODAY(),"YYYYMMDD"))</f>
        <v/>
      </c>
      <c r="C562" s="37" t="str">
        <f>IF(Agent03_Savings!A167="","",Agent03_Savings!B167)</f>
        <v/>
      </c>
      <c r="D562" s="37" t="str">
        <f>IF(Agent03_Savings!A167="","",Agent03_Savings!G167)</f>
        <v/>
      </c>
      <c r="E562" s="38" t="str">
        <f>IF(Agent03_Savings!A167="","",Agent03_Savings!D167)</f>
        <v/>
      </c>
      <c r="F562" s="39" t="str">
        <f>IF(Agent03_Savings!A167="","",Agent03_Savings!E167)</f>
        <v/>
      </c>
      <c r="G562" s="39" t="str">
        <f>IF(Agent03_Savings!A167="","",Agent03_Savings!F167)</f>
        <v/>
      </c>
      <c r="H562" s="37" t="str">
        <f>IF(Agent03_Savings!A167="","",Agent03_Savings!I167)</f>
        <v/>
      </c>
      <c r="I562" s="37" t="str">
        <f>IF(Agent03_Savings!A167="","",Agent03_Savings!J167)</f>
        <v/>
      </c>
      <c r="J562" s="37" t="str">
        <f>IF(Agent03_Savings!A167="","",Agent03_Savings!K167)</f>
        <v/>
      </c>
      <c r="K562" s="37" t="str">
        <f>IFERROR(IF(Agent03_Savings!A167="","",YEAR(Agent03_Savings!D167)),"")</f>
        <v/>
      </c>
    </row>
    <row r="563" spans="1:11" ht="18" customHeight="1" x14ac:dyDescent="0.25">
      <c r="A563" s="37" t="str">
        <f>IF(Agent03_Savings!A168="","",Agent03_Savings!A168)</f>
        <v/>
      </c>
      <c r="B563" s="37" t="str">
        <f ca="1">IF(Agent03_Savings!A168="","","SV"&amp;TEXT(563-3,"0000")&amp;"-"&amp;TEXT(TODAY(),"YYYYMMDD"))</f>
        <v/>
      </c>
      <c r="C563" s="37" t="str">
        <f>IF(Agent03_Savings!A168="","",Agent03_Savings!B168)</f>
        <v/>
      </c>
      <c r="D563" s="37" t="str">
        <f>IF(Agent03_Savings!A168="","",Agent03_Savings!G168)</f>
        <v/>
      </c>
      <c r="E563" s="38" t="str">
        <f>IF(Agent03_Savings!A168="","",Agent03_Savings!D168)</f>
        <v/>
      </c>
      <c r="F563" s="39" t="str">
        <f>IF(Agent03_Savings!A168="","",Agent03_Savings!E168)</f>
        <v/>
      </c>
      <c r="G563" s="39" t="str">
        <f>IF(Agent03_Savings!A168="","",Agent03_Savings!F168)</f>
        <v/>
      </c>
      <c r="H563" s="37" t="str">
        <f>IF(Agent03_Savings!A168="","",Agent03_Savings!I168)</f>
        <v/>
      </c>
      <c r="I563" s="37" t="str">
        <f>IF(Agent03_Savings!A168="","",Agent03_Savings!J168)</f>
        <v/>
      </c>
      <c r="J563" s="37" t="str">
        <f>IF(Agent03_Savings!A168="","",Agent03_Savings!K168)</f>
        <v/>
      </c>
      <c r="K563" s="37" t="str">
        <f>IFERROR(IF(Agent03_Savings!A168="","",YEAR(Agent03_Savings!D168)),"")</f>
        <v/>
      </c>
    </row>
    <row r="564" spans="1:11" ht="18" customHeight="1" x14ac:dyDescent="0.25">
      <c r="A564" s="37" t="str">
        <f>IF(Agent03_Savings!A169="","",Agent03_Savings!A169)</f>
        <v/>
      </c>
      <c r="B564" s="37" t="str">
        <f ca="1">IF(Agent03_Savings!A169="","","SV"&amp;TEXT(564-3,"0000")&amp;"-"&amp;TEXT(TODAY(),"YYYYMMDD"))</f>
        <v/>
      </c>
      <c r="C564" s="37" t="str">
        <f>IF(Agent03_Savings!A169="","",Agent03_Savings!B169)</f>
        <v/>
      </c>
      <c r="D564" s="37" t="str">
        <f>IF(Agent03_Savings!A169="","",Agent03_Savings!G169)</f>
        <v/>
      </c>
      <c r="E564" s="38" t="str">
        <f>IF(Agent03_Savings!A169="","",Agent03_Savings!D169)</f>
        <v/>
      </c>
      <c r="F564" s="39" t="str">
        <f>IF(Agent03_Savings!A169="","",Agent03_Savings!E169)</f>
        <v/>
      </c>
      <c r="G564" s="39" t="str">
        <f>IF(Agent03_Savings!A169="","",Agent03_Savings!F169)</f>
        <v/>
      </c>
      <c r="H564" s="37" t="str">
        <f>IF(Agent03_Savings!A169="","",Agent03_Savings!I169)</f>
        <v/>
      </c>
      <c r="I564" s="37" t="str">
        <f>IF(Agent03_Savings!A169="","",Agent03_Savings!J169)</f>
        <v/>
      </c>
      <c r="J564" s="37" t="str">
        <f>IF(Agent03_Savings!A169="","",Agent03_Savings!K169)</f>
        <v/>
      </c>
      <c r="K564" s="37" t="str">
        <f>IFERROR(IF(Agent03_Savings!A169="","",YEAR(Agent03_Savings!D169)),"")</f>
        <v/>
      </c>
    </row>
    <row r="565" spans="1:11" ht="18" customHeight="1" x14ac:dyDescent="0.25">
      <c r="A565" s="37" t="str">
        <f>IF(Agent03_Savings!A170="","",Agent03_Savings!A170)</f>
        <v/>
      </c>
      <c r="B565" s="37" t="str">
        <f ca="1">IF(Agent03_Savings!A170="","","SV"&amp;TEXT(565-3,"0000")&amp;"-"&amp;TEXT(TODAY(),"YYYYMMDD"))</f>
        <v/>
      </c>
      <c r="C565" s="37" t="str">
        <f>IF(Agent03_Savings!A170="","",Agent03_Savings!B170)</f>
        <v/>
      </c>
      <c r="D565" s="37" t="str">
        <f>IF(Agent03_Savings!A170="","",Agent03_Savings!G170)</f>
        <v/>
      </c>
      <c r="E565" s="38" t="str">
        <f>IF(Agent03_Savings!A170="","",Agent03_Savings!D170)</f>
        <v/>
      </c>
      <c r="F565" s="39" t="str">
        <f>IF(Agent03_Savings!A170="","",Agent03_Savings!E170)</f>
        <v/>
      </c>
      <c r="G565" s="39" t="str">
        <f>IF(Agent03_Savings!A170="","",Agent03_Savings!F170)</f>
        <v/>
      </c>
      <c r="H565" s="37" t="str">
        <f>IF(Agent03_Savings!A170="","",Agent03_Savings!I170)</f>
        <v/>
      </c>
      <c r="I565" s="37" t="str">
        <f>IF(Agent03_Savings!A170="","",Agent03_Savings!J170)</f>
        <v/>
      </c>
      <c r="J565" s="37" t="str">
        <f>IF(Agent03_Savings!A170="","",Agent03_Savings!K170)</f>
        <v/>
      </c>
      <c r="K565" s="37" t="str">
        <f>IFERROR(IF(Agent03_Savings!A170="","",YEAR(Agent03_Savings!D170)),"")</f>
        <v/>
      </c>
    </row>
    <row r="566" spans="1:11" ht="18" customHeight="1" x14ac:dyDescent="0.25">
      <c r="A566" s="37" t="str">
        <f>IF(Agent03_Savings!A171="","",Agent03_Savings!A171)</f>
        <v/>
      </c>
      <c r="B566" s="37" t="str">
        <f ca="1">IF(Agent03_Savings!A171="","","SV"&amp;TEXT(566-3,"0000")&amp;"-"&amp;TEXT(TODAY(),"YYYYMMDD"))</f>
        <v/>
      </c>
      <c r="C566" s="37" t="str">
        <f>IF(Agent03_Savings!A171="","",Agent03_Savings!B171)</f>
        <v/>
      </c>
      <c r="D566" s="37" t="str">
        <f>IF(Agent03_Savings!A171="","",Agent03_Savings!G171)</f>
        <v/>
      </c>
      <c r="E566" s="38" t="str">
        <f>IF(Agent03_Savings!A171="","",Agent03_Savings!D171)</f>
        <v/>
      </c>
      <c r="F566" s="39" t="str">
        <f>IF(Agent03_Savings!A171="","",Agent03_Savings!E171)</f>
        <v/>
      </c>
      <c r="G566" s="39" t="str">
        <f>IF(Agent03_Savings!A171="","",Agent03_Savings!F171)</f>
        <v/>
      </c>
      <c r="H566" s="37" t="str">
        <f>IF(Agent03_Savings!A171="","",Agent03_Savings!I171)</f>
        <v/>
      </c>
      <c r="I566" s="37" t="str">
        <f>IF(Agent03_Savings!A171="","",Agent03_Savings!J171)</f>
        <v/>
      </c>
      <c r="J566" s="37" t="str">
        <f>IF(Agent03_Savings!A171="","",Agent03_Savings!K171)</f>
        <v/>
      </c>
      <c r="K566" s="37" t="str">
        <f>IFERROR(IF(Agent03_Savings!A171="","",YEAR(Agent03_Savings!D171)),"")</f>
        <v/>
      </c>
    </row>
    <row r="567" spans="1:11" ht="18" customHeight="1" x14ac:dyDescent="0.25">
      <c r="A567" s="37" t="str">
        <f>IF(Agent03_Savings!A172="","",Agent03_Savings!A172)</f>
        <v/>
      </c>
      <c r="B567" s="37" t="str">
        <f ca="1">IF(Agent03_Savings!A172="","","SV"&amp;TEXT(567-3,"0000")&amp;"-"&amp;TEXT(TODAY(),"YYYYMMDD"))</f>
        <v/>
      </c>
      <c r="C567" s="37" t="str">
        <f>IF(Agent03_Savings!A172="","",Agent03_Savings!B172)</f>
        <v/>
      </c>
      <c r="D567" s="37" t="str">
        <f>IF(Agent03_Savings!A172="","",Agent03_Savings!G172)</f>
        <v/>
      </c>
      <c r="E567" s="38" t="str">
        <f>IF(Agent03_Savings!A172="","",Agent03_Savings!D172)</f>
        <v/>
      </c>
      <c r="F567" s="39" t="str">
        <f>IF(Agent03_Savings!A172="","",Agent03_Savings!E172)</f>
        <v/>
      </c>
      <c r="G567" s="39" t="str">
        <f>IF(Agent03_Savings!A172="","",Agent03_Savings!F172)</f>
        <v/>
      </c>
      <c r="H567" s="37" t="str">
        <f>IF(Agent03_Savings!A172="","",Agent03_Savings!I172)</f>
        <v/>
      </c>
      <c r="I567" s="37" t="str">
        <f>IF(Agent03_Savings!A172="","",Agent03_Savings!J172)</f>
        <v/>
      </c>
      <c r="J567" s="37" t="str">
        <f>IF(Agent03_Savings!A172="","",Agent03_Savings!K172)</f>
        <v/>
      </c>
      <c r="K567" s="37" t="str">
        <f>IFERROR(IF(Agent03_Savings!A172="","",YEAR(Agent03_Savings!D172)),"")</f>
        <v/>
      </c>
    </row>
    <row r="568" spans="1:11" ht="18" customHeight="1" x14ac:dyDescent="0.25">
      <c r="A568" s="37" t="str">
        <f>IF(Agent03_Savings!A173="","",Agent03_Savings!A173)</f>
        <v/>
      </c>
      <c r="B568" s="37" t="str">
        <f ca="1">IF(Agent03_Savings!A173="","","SV"&amp;TEXT(568-3,"0000")&amp;"-"&amp;TEXT(TODAY(),"YYYYMMDD"))</f>
        <v/>
      </c>
      <c r="C568" s="37" t="str">
        <f>IF(Agent03_Savings!A173="","",Agent03_Savings!B173)</f>
        <v/>
      </c>
      <c r="D568" s="37" t="str">
        <f>IF(Agent03_Savings!A173="","",Agent03_Savings!G173)</f>
        <v/>
      </c>
      <c r="E568" s="38" t="str">
        <f>IF(Agent03_Savings!A173="","",Agent03_Savings!D173)</f>
        <v/>
      </c>
      <c r="F568" s="39" t="str">
        <f>IF(Agent03_Savings!A173="","",Agent03_Savings!E173)</f>
        <v/>
      </c>
      <c r="G568" s="39" t="str">
        <f>IF(Agent03_Savings!A173="","",Agent03_Savings!F173)</f>
        <v/>
      </c>
      <c r="H568" s="37" t="str">
        <f>IF(Agent03_Savings!A173="","",Agent03_Savings!I173)</f>
        <v/>
      </c>
      <c r="I568" s="37" t="str">
        <f>IF(Agent03_Savings!A173="","",Agent03_Savings!J173)</f>
        <v/>
      </c>
      <c r="J568" s="37" t="str">
        <f>IF(Agent03_Savings!A173="","",Agent03_Savings!K173)</f>
        <v/>
      </c>
      <c r="K568" s="37" t="str">
        <f>IFERROR(IF(Agent03_Savings!A173="","",YEAR(Agent03_Savings!D173)),"")</f>
        <v/>
      </c>
    </row>
    <row r="569" spans="1:11" ht="18" customHeight="1" x14ac:dyDescent="0.25">
      <c r="A569" s="37" t="str">
        <f>IF(Agent03_Savings!A174="","",Agent03_Savings!A174)</f>
        <v/>
      </c>
      <c r="B569" s="37" t="str">
        <f ca="1">IF(Agent03_Savings!A174="","","SV"&amp;TEXT(569-3,"0000")&amp;"-"&amp;TEXT(TODAY(),"YYYYMMDD"))</f>
        <v/>
      </c>
      <c r="C569" s="37" t="str">
        <f>IF(Agent03_Savings!A174="","",Agent03_Savings!B174)</f>
        <v/>
      </c>
      <c r="D569" s="37" t="str">
        <f>IF(Agent03_Savings!A174="","",Agent03_Savings!G174)</f>
        <v/>
      </c>
      <c r="E569" s="38" t="str">
        <f>IF(Agent03_Savings!A174="","",Agent03_Savings!D174)</f>
        <v/>
      </c>
      <c r="F569" s="39" t="str">
        <f>IF(Agent03_Savings!A174="","",Agent03_Savings!E174)</f>
        <v/>
      </c>
      <c r="G569" s="39" t="str">
        <f>IF(Agent03_Savings!A174="","",Agent03_Savings!F174)</f>
        <v/>
      </c>
      <c r="H569" s="37" t="str">
        <f>IF(Agent03_Savings!A174="","",Agent03_Savings!I174)</f>
        <v/>
      </c>
      <c r="I569" s="37" t="str">
        <f>IF(Agent03_Savings!A174="","",Agent03_Savings!J174)</f>
        <v/>
      </c>
      <c r="J569" s="37" t="str">
        <f>IF(Agent03_Savings!A174="","",Agent03_Savings!K174)</f>
        <v/>
      </c>
      <c r="K569" s="37" t="str">
        <f>IFERROR(IF(Agent03_Savings!A174="","",YEAR(Agent03_Savings!D174)),"")</f>
        <v/>
      </c>
    </row>
    <row r="570" spans="1:11" ht="18" customHeight="1" x14ac:dyDescent="0.25">
      <c r="A570" s="37" t="str">
        <f>IF(Agent03_Savings!A175="","",Agent03_Savings!A175)</f>
        <v/>
      </c>
      <c r="B570" s="37" t="str">
        <f ca="1">IF(Agent03_Savings!A175="","","SV"&amp;TEXT(570-3,"0000")&amp;"-"&amp;TEXT(TODAY(),"YYYYMMDD"))</f>
        <v/>
      </c>
      <c r="C570" s="37" t="str">
        <f>IF(Agent03_Savings!A175="","",Agent03_Savings!B175)</f>
        <v/>
      </c>
      <c r="D570" s="37" t="str">
        <f>IF(Agent03_Savings!A175="","",Agent03_Savings!G175)</f>
        <v/>
      </c>
      <c r="E570" s="38" t="str">
        <f>IF(Agent03_Savings!A175="","",Agent03_Savings!D175)</f>
        <v/>
      </c>
      <c r="F570" s="39" t="str">
        <f>IF(Agent03_Savings!A175="","",Agent03_Savings!E175)</f>
        <v/>
      </c>
      <c r="G570" s="39" t="str">
        <f>IF(Agent03_Savings!A175="","",Agent03_Savings!F175)</f>
        <v/>
      </c>
      <c r="H570" s="37" t="str">
        <f>IF(Agent03_Savings!A175="","",Agent03_Savings!I175)</f>
        <v/>
      </c>
      <c r="I570" s="37" t="str">
        <f>IF(Agent03_Savings!A175="","",Agent03_Savings!J175)</f>
        <v/>
      </c>
      <c r="J570" s="37" t="str">
        <f>IF(Agent03_Savings!A175="","",Agent03_Savings!K175)</f>
        <v/>
      </c>
      <c r="K570" s="37" t="str">
        <f>IFERROR(IF(Agent03_Savings!A175="","",YEAR(Agent03_Savings!D175)),"")</f>
        <v/>
      </c>
    </row>
    <row r="571" spans="1:11" ht="18" customHeight="1" x14ac:dyDescent="0.25">
      <c r="A571" s="37" t="str">
        <f>IF(Agent03_Savings!A176="","",Agent03_Savings!A176)</f>
        <v/>
      </c>
      <c r="B571" s="37" t="str">
        <f ca="1">IF(Agent03_Savings!A176="","","SV"&amp;TEXT(571-3,"0000")&amp;"-"&amp;TEXT(TODAY(),"YYYYMMDD"))</f>
        <v/>
      </c>
      <c r="C571" s="37" t="str">
        <f>IF(Agent03_Savings!A176="","",Agent03_Savings!B176)</f>
        <v/>
      </c>
      <c r="D571" s="37" t="str">
        <f>IF(Agent03_Savings!A176="","",Agent03_Savings!G176)</f>
        <v/>
      </c>
      <c r="E571" s="38" t="str">
        <f>IF(Agent03_Savings!A176="","",Agent03_Savings!D176)</f>
        <v/>
      </c>
      <c r="F571" s="39" t="str">
        <f>IF(Agent03_Savings!A176="","",Agent03_Savings!E176)</f>
        <v/>
      </c>
      <c r="G571" s="39" t="str">
        <f>IF(Agent03_Savings!A176="","",Agent03_Savings!F176)</f>
        <v/>
      </c>
      <c r="H571" s="37" t="str">
        <f>IF(Agent03_Savings!A176="","",Agent03_Savings!I176)</f>
        <v/>
      </c>
      <c r="I571" s="37" t="str">
        <f>IF(Agent03_Savings!A176="","",Agent03_Savings!J176)</f>
        <v/>
      </c>
      <c r="J571" s="37" t="str">
        <f>IF(Agent03_Savings!A176="","",Agent03_Savings!K176)</f>
        <v/>
      </c>
      <c r="K571" s="37" t="str">
        <f>IFERROR(IF(Agent03_Savings!A176="","",YEAR(Agent03_Savings!D176)),"")</f>
        <v/>
      </c>
    </row>
    <row r="572" spans="1:11" ht="18" customHeight="1" x14ac:dyDescent="0.25">
      <c r="A572" s="37" t="str">
        <f>IF(Agent03_Savings!A177="","",Agent03_Savings!A177)</f>
        <v/>
      </c>
      <c r="B572" s="37" t="str">
        <f ca="1">IF(Agent03_Savings!A177="","","SV"&amp;TEXT(572-3,"0000")&amp;"-"&amp;TEXT(TODAY(),"YYYYMMDD"))</f>
        <v/>
      </c>
      <c r="C572" s="37" t="str">
        <f>IF(Agent03_Savings!A177="","",Agent03_Savings!B177)</f>
        <v/>
      </c>
      <c r="D572" s="37" t="str">
        <f>IF(Agent03_Savings!A177="","",Agent03_Savings!G177)</f>
        <v/>
      </c>
      <c r="E572" s="38" t="str">
        <f>IF(Agent03_Savings!A177="","",Agent03_Savings!D177)</f>
        <v/>
      </c>
      <c r="F572" s="39" t="str">
        <f>IF(Agent03_Savings!A177="","",Agent03_Savings!E177)</f>
        <v/>
      </c>
      <c r="G572" s="39" t="str">
        <f>IF(Agent03_Savings!A177="","",Agent03_Savings!F177)</f>
        <v/>
      </c>
      <c r="H572" s="37" t="str">
        <f>IF(Agent03_Savings!A177="","",Agent03_Savings!I177)</f>
        <v/>
      </c>
      <c r="I572" s="37" t="str">
        <f>IF(Agent03_Savings!A177="","",Agent03_Savings!J177)</f>
        <v/>
      </c>
      <c r="J572" s="37" t="str">
        <f>IF(Agent03_Savings!A177="","",Agent03_Savings!K177)</f>
        <v/>
      </c>
      <c r="K572" s="37" t="str">
        <f>IFERROR(IF(Agent03_Savings!A177="","",YEAR(Agent03_Savings!D177)),"")</f>
        <v/>
      </c>
    </row>
    <row r="573" spans="1:11" ht="18" customHeight="1" x14ac:dyDescent="0.25">
      <c r="A573" s="37" t="str">
        <f>IF(Agent03_Savings!A178="","",Agent03_Savings!A178)</f>
        <v/>
      </c>
      <c r="B573" s="37" t="str">
        <f ca="1">IF(Agent03_Savings!A178="","","SV"&amp;TEXT(573-3,"0000")&amp;"-"&amp;TEXT(TODAY(),"YYYYMMDD"))</f>
        <v/>
      </c>
      <c r="C573" s="37" t="str">
        <f>IF(Agent03_Savings!A178="","",Agent03_Savings!B178)</f>
        <v/>
      </c>
      <c r="D573" s="37" t="str">
        <f>IF(Agent03_Savings!A178="","",Agent03_Savings!G178)</f>
        <v/>
      </c>
      <c r="E573" s="38" t="str">
        <f>IF(Agent03_Savings!A178="","",Agent03_Savings!D178)</f>
        <v/>
      </c>
      <c r="F573" s="39" t="str">
        <f>IF(Agent03_Savings!A178="","",Agent03_Savings!E178)</f>
        <v/>
      </c>
      <c r="G573" s="39" t="str">
        <f>IF(Agent03_Savings!A178="","",Agent03_Savings!F178)</f>
        <v/>
      </c>
      <c r="H573" s="37" t="str">
        <f>IF(Agent03_Savings!A178="","",Agent03_Savings!I178)</f>
        <v/>
      </c>
      <c r="I573" s="37" t="str">
        <f>IF(Agent03_Savings!A178="","",Agent03_Savings!J178)</f>
        <v/>
      </c>
      <c r="J573" s="37" t="str">
        <f>IF(Agent03_Savings!A178="","",Agent03_Savings!K178)</f>
        <v/>
      </c>
      <c r="K573" s="37" t="str">
        <f>IFERROR(IF(Agent03_Savings!A178="","",YEAR(Agent03_Savings!D178)),"")</f>
        <v/>
      </c>
    </row>
    <row r="574" spans="1:11" ht="18" customHeight="1" x14ac:dyDescent="0.25">
      <c r="A574" s="37" t="str">
        <f>IF(Agent03_Savings!A179="","",Agent03_Savings!A179)</f>
        <v/>
      </c>
      <c r="B574" s="37" t="str">
        <f ca="1">IF(Agent03_Savings!A179="","","SV"&amp;TEXT(574-3,"0000")&amp;"-"&amp;TEXT(TODAY(),"YYYYMMDD"))</f>
        <v/>
      </c>
      <c r="C574" s="37" t="str">
        <f>IF(Agent03_Savings!A179="","",Agent03_Savings!B179)</f>
        <v/>
      </c>
      <c r="D574" s="37" t="str">
        <f>IF(Agent03_Savings!A179="","",Agent03_Savings!G179)</f>
        <v/>
      </c>
      <c r="E574" s="38" t="str">
        <f>IF(Agent03_Savings!A179="","",Agent03_Savings!D179)</f>
        <v/>
      </c>
      <c r="F574" s="39" t="str">
        <f>IF(Agent03_Savings!A179="","",Agent03_Savings!E179)</f>
        <v/>
      </c>
      <c r="G574" s="39" t="str">
        <f>IF(Agent03_Savings!A179="","",Agent03_Savings!F179)</f>
        <v/>
      </c>
      <c r="H574" s="37" t="str">
        <f>IF(Agent03_Savings!A179="","",Agent03_Savings!I179)</f>
        <v/>
      </c>
      <c r="I574" s="37" t="str">
        <f>IF(Agent03_Savings!A179="","",Agent03_Savings!J179)</f>
        <v/>
      </c>
      <c r="J574" s="37" t="str">
        <f>IF(Agent03_Savings!A179="","",Agent03_Savings!K179)</f>
        <v/>
      </c>
      <c r="K574" s="37" t="str">
        <f>IFERROR(IF(Agent03_Savings!A179="","",YEAR(Agent03_Savings!D179)),"")</f>
        <v/>
      </c>
    </row>
    <row r="575" spans="1:11" ht="18" customHeight="1" x14ac:dyDescent="0.25">
      <c r="A575" s="37" t="str">
        <f>IF(Agent03_Savings!A180="","",Agent03_Savings!A180)</f>
        <v/>
      </c>
      <c r="B575" s="37" t="str">
        <f ca="1">IF(Agent03_Savings!A180="","","SV"&amp;TEXT(575-3,"0000")&amp;"-"&amp;TEXT(TODAY(),"YYYYMMDD"))</f>
        <v/>
      </c>
      <c r="C575" s="37" t="str">
        <f>IF(Agent03_Savings!A180="","",Agent03_Savings!B180)</f>
        <v/>
      </c>
      <c r="D575" s="37" t="str">
        <f>IF(Agent03_Savings!A180="","",Agent03_Savings!G180)</f>
        <v/>
      </c>
      <c r="E575" s="38" t="str">
        <f>IF(Agent03_Savings!A180="","",Agent03_Savings!D180)</f>
        <v/>
      </c>
      <c r="F575" s="39" t="str">
        <f>IF(Agent03_Savings!A180="","",Agent03_Savings!E180)</f>
        <v/>
      </c>
      <c r="G575" s="39" t="str">
        <f>IF(Agent03_Savings!A180="","",Agent03_Savings!F180)</f>
        <v/>
      </c>
      <c r="H575" s="37" t="str">
        <f>IF(Agent03_Savings!A180="","",Agent03_Savings!I180)</f>
        <v/>
      </c>
      <c r="I575" s="37" t="str">
        <f>IF(Agent03_Savings!A180="","",Agent03_Savings!J180)</f>
        <v/>
      </c>
      <c r="J575" s="37" t="str">
        <f>IF(Agent03_Savings!A180="","",Agent03_Savings!K180)</f>
        <v/>
      </c>
      <c r="K575" s="37" t="str">
        <f>IFERROR(IF(Agent03_Savings!A180="","",YEAR(Agent03_Savings!D180)),"")</f>
        <v/>
      </c>
    </row>
    <row r="576" spans="1:11" ht="18" customHeight="1" x14ac:dyDescent="0.25">
      <c r="A576" s="37" t="str">
        <f>IF(Agent03_Savings!A181="","",Agent03_Savings!A181)</f>
        <v/>
      </c>
      <c r="B576" s="37" t="str">
        <f ca="1">IF(Agent03_Savings!A181="","","SV"&amp;TEXT(576-3,"0000")&amp;"-"&amp;TEXT(TODAY(),"YYYYMMDD"))</f>
        <v/>
      </c>
      <c r="C576" s="37" t="str">
        <f>IF(Agent03_Savings!A181="","",Agent03_Savings!B181)</f>
        <v/>
      </c>
      <c r="D576" s="37" t="str">
        <f>IF(Agent03_Savings!A181="","",Agent03_Savings!G181)</f>
        <v/>
      </c>
      <c r="E576" s="38" t="str">
        <f>IF(Agent03_Savings!A181="","",Agent03_Savings!D181)</f>
        <v/>
      </c>
      <c r="F576" s="39" t="str">
        <f>IF(Agent03_Savings!A181="","",Agent03_Savings!E181)</f>
        <v/>
      </c>
      <c r="G576" s="39" t="str">
        <f>IF(Agent03_Savings!A181="","",Agent03_Savings!F181)</f>
        <v/>
      </c>
      <c r="H576" s="37" t="str">
        <f>IF(Agent03_Savings!A181="","",Agent03_Savings!I181)</f>
        <v/>
      </c>
      <c r="I576" s="37" t="str">
        <f>IF(Agent03_Savings!A181="","",Agent03_Savings!J181)</f>
        <v/>
      </c>
      <c r="J576" s="37" t="str">
        <f>IF(Agent03_Savings!A181="","",Agent03_Savings!K181)</f>
        <v/>
      </c>
      <c r="K576" s="37" t="str">
        <f>IFERROR(IF(Agent03_Savings!A181="","",YEAR(Agent03_Savings!D181)),"")</f>
        <v/>
      </c>
    </row>
    <row r="577" spans="1:11" ht="18" customHeight="1" x14ac:dyDescent="0.25">
      <c r="A577" s="37" t="str">
        <f>IF(Agent03_Savings!A182="","",Agent03_Savings!A182)</f>
        <v/>
      </c>
      <c r="B577" s="37" t="str">
        <f ca="1">IF(Agent03_Savings!A182="","","SV"&amp;TEXT(577-3,"0000")&amp;"-"&amp;TEXT(TODAY(),"YYYYMMDD"))</f>
        <v/>
      </c>
      <c r="C577" s="37" t="str">
        <f>IF(Agent03_Savings!A182="","",Agent03_Savings!B182)</f>
        <v/>
      </c>
      <c r="D577" s="37" t="str">
        <f>IF(Agent03_Savings!A182="","",Agent03_Savings!G182)</f>
        <v/>
      </c>
      <c r="E577" s="38" t="str">
        <f>IF(Agent03_Savings!A182="","",Agent03_Savings!D182)</f>
        <v/>
      </c>
      <c r="F577" s="39" t="str">
        <f>IF(Agent03_Savings!A182="","",Agent03_Savings!E182)</f>
        <v/>
      </c>
      <c r="G577" s="39" t="str">
        <f>IF(Agent03_Savings!A182="","",Agent03_Savings!F182)</f>
        <v/>
      </c>
      <c r="H577" s="37" t="str">
        <f>IF(Agent03_Savings!A182="","",Agent03_Savings!I182)</f>
        <v/>
      </c>
      <c r="I577" s="37" t="str">
        <f>IF(Agent03_Savings!A182="","",Agent03_Savings!J182)</f>
        <v/>
      </c>
      <c r="J577" s="37" t="str">
        <f>IF(Agent03_Savings!A182="","",Agent03_Savings!K182)</f>
        <v/>
      </c>
      <c r="K577" s="37" t="str">
        <f>IFERROR(IF(Agent03_Savings!A182="","",YEAR(Agent03_Savings!D182)),"")</f>
        <v/>
      </c>
    </row>
    <row r="578" spans="1:11" ht="18" customHeight="1" x14ac:dyDescent="0.25">
      <c r="A578" s="37" t="str">
        <f>IF(Agent03_Savings!A183="","",Agent03_Savings!A183)</f>
        <v/>
      </c>
      <c r="B578" s="37" t="str">
        <f ca="1">IF(Agent03_Savings!A183="","","SV"&amp;TEXT(578-3,"0000")&amp;"-"&amp;TEXT(TODAY(),"YYYYMMDD"))</f>
        <v/>
      </c>
      <c r="C578" s="37" t="str">
        <f>IF(Agent03_Savings!A183="","",Agent03_Savings!B183)</f>
        <v/>
      </c>
      <c r="D578" s="37" t="str">
        <f>IF(Agent03_Savings!A183="","",Agent03_Savings!G183)</f>
        <v/>
      </c>
      <c r="E578" s="38" t="str">
        <f>IF(Agent03_Savings!A183="","",Agent03_Savings!D183)</f>
        <v/>
      </c>
      <c r="F578" s="39" t="str">
        <f>IF(Agent03_Savings!A183="","",Agent03_Savings!E183)</f>
        <v/>
      </c>
      <c r="G578" s="39" t="str">
        <f>IF(Agent03_Savings!A183="","",Agent03_Savings!F183)</f>
        <v/>
      </c>
      <c r="H578" s="37" t="str">
        <f>IF(Agent03_Savings!A183="","",Agent03_Savings!I183)</f>
        <v/>
      </c>
      <c r="I578" s="37" t="str">
        <f>IF(Agent03_Savings!A183="","",Agent03_Savings!J183)</f>
        <v/>
      </c>
      <c r="J578" s="37" t="str">
        <f>IF(Agent03_Savings!A183="","",Agent03_Savings!K183)</f>
        <v/>
      </c>
      <c r="K578" s="37" t="str">
        <f>IFERROR(IF(Agent03_Savings!A183="","",YEAR(Agent03_Savings!D183)),"")</f>
        <v/>
      </c>
    </row>
    <row r="579" spans="1:11" ht="18" customHeight="1" x14ac:dyDescent="0.25">
      <c r="A579" s="37" t="str">
        <f>IF(Agent03_Savings!A184="","",Agent03_Savings!A184)</f>
        <v/>
      </c>
      <c r="B579" s="37" t="str">
        <f ca="1">IF(Agent03_Savings!A184="","","SV"&amp;TEXT(579-3,"0000")&amp;"-"&amp;TEXT(TODAY(),"YYYYMMDD"))</f>
        <v/>
      </c>
      <c r="C579" s="37" t="str">
        <f>IF(Agent03_Savings!A184="","",Agent03_Savings!B184)</f>
        <v/>
      </c>
      <c r="D579" s="37" t="str">
        <f>IF(Agent03_Savings!A184="","",Agent03_Savings!G184)</f>
        <v/>
      </c>
      <c r="E579" s="38" t="str">
        <f>IF(Agent03_Savings!A184="","",Agent03_Savings!D184)</f>
        <v/>
      </c>
      <c r="F579" s="39" t="str">
        <f>IF(Agent03_Savings!A184="","",Agent03_Savings!E184)</f>
        <v/>
      </c>
      <c r="G579" s="39" t="str">
        <f>IF(Agent03_Savings!A184="","",Agent03_Savings!F184)</f>
        <v/>
      </c>
      <c r="H579" s="37" t="str">
        <f>IF(Agent03_Savings!A184="","",Agent03_Savings!I184)</f>
        <v/>
      </c>
      <c r="I579" s="37" t="str">
        <f>IF(Agent03_Savings!A184="","",Agent03_Savings!J184)</f>
        <v/>
      </c>
      <c r="J579" s="37" t="str">
        <f>IF(Agent03_Savings!A184="","",Agent03_Savings!K184)</f>
        <v/>
      </c>
      <c r="K579" s="37" t="str">
        <f>IFERROR(IF(Agent03_Savings!A184="","",YEAR(Agent03_Savings!D184)),"")</f>
        <v/>
      </c>
    </row>
    <row r="580" spans="1:11" ht="18" customHeight="1" x14ac:dyDescent="0.25">
      <c r="A580" s="37" t="str">
        <f>IF(Agent03_Savings!A185="","",Agent03_Savings!A185)</f>
        <v/>
      </c>
      <c r="B580" s="37" t="str">
        <f ca="1">IF(Agent03_Savings!A185="","","SV"&amp;TEXT(580-3,"0000")&amp;"-"&amp;TEXT(TODAY(),"YYYYMMDD"))</f>
        <v/>
      </c>
      <c r="C580" s="37" t="str">
        <f>IF(Agent03_Savings!A185="","",Agent03_Savings!B185)</f>
        <v/>
      </c>
      <c r="D580" s="37" t="str">
        <f>IF(Agent03_Savings!A185="","",Agent03_Savings!G185)</f>
        <v/>
      </c>
      <c r="E580" s="38" t="str">
        <f>IF(Agent03_Savings!A185="","",Agent03_Savings!D185)</f>
        <v/>
      </c>
      <c r="F580" s="39" t="str">
        <f>IF(Agent03_Savings!A185="","",Agent03_Savings!E185)</f>
        <v/>
      </c>
      <c r="G580" s="39" t="str">
        <f>IF(Agent03_Savings!A185="","",Agent03_Savings!F185)</f>
        <v/>
      </c>
      <c r="H580" s="37" t="str">
        <f>IF(Agent03_Savings!A185="","",Agent03_Savings!I185)</f>
        <v/>
      </c>
      <c r="I580" s="37" t="str">
        <f>IF(Agent03_Savings!A185="","",Agent03_Savings!J185)</f>
        <v/>
      </c>
      <c r="J580" s="37" t="str">
        <f>IF(Agent03_Savings!A185="","",Agent03_Savings!K185)</f>
        <v/>
      </c>
      <c r="K580" s="37" t="str">
        <f>IFERROR(IF(Agent03_Savings!A185="","",YEAR(Agent03_Savings!D185)),"")</f>
        <v/>
      </c>
    </row>
    <row r="581" spans="1:11" ht="18" customHeight="1" x14ac:dyDescent="0.25">
      <c r="A581" s="37" t="str">
        <f>IF(Agent03_Savings!A186="","",Agent03_Savings!A186)</f>
        <v/>
      </c>
      <c r="B581" s="37" t="str">
        <f ca="1">IF(Agent03_Savings!A186="","","SV"&amp;TEXT(581-3,"0000")&amp;"-"&amp;TEXT(TODAY(),"YYYYMMDD"))</f>
        <v/>
      </c>
      <c r="C581" s="37" t="str">
        <f>IF(Agent03_Savings!A186="","",Agent03_Savings!B186)</f>
        <v/>
      </c>
      <c r="D581" s="37" t="str">
        <f>IF(Agent03_Savings!A186="","",Agent03_Savings!G186)</f>
        <v/>
      </c>
      <c r="E581" s="38" t="str">
        <f>IF(Agent03_Savings!A186="","",Agent03_Savings!D186)</f>
        <v/>
      </c>
      <c r="F581" s="39" t="str">
        <f>IF(Agent03_Savings!A186="","",Agent03_Savings!E186)</f>
        <v/>
      </c>
      <c r="G581" s="39" t="str">
        <f>IF(Agent03_Savings!A186="","",Agent03_Savings!F186)</f>
        <v/>
      </c>
      <c r="H581" s="37" t="str">
        <f>IF(Agent03_Savings!A186="","",Agent03_Savings!I186)</f>
        <v/>
      </c>
      <c r="I581" s="37" t="str">
        <f>IF(Agent03_Savings!A186="","",Agent03_Savings!J186)</f>
        <v/>
      </c>
      <c r="J581" s="37" t="str">
        <f>IF(Agent03_Savings!A186="","",Agent03_Savings!K186)</f>
        <v/>
      </c>
      <c r="K581" s="37" t="str">
        <f>IFERROR(IF(Agent03_Savings!A186="","",YEAR(Agent03_Savings!D186)),"")</f>
        <v/>
      </c>
    </row>
    <row r="582" spans="1:11" ht="18" customHeight="1" x14ac:dyDescent="0.25">
      <c r="A582" s="37" t="str">
        <f>IF(Agent03_Savings!A187="","",Agent03_Savings!A187)</f>
        <v/>
      </c>
      <c r="B582" s="37" t="str">
        <f ca="1">IF(Agent03_Savings!A187="","","SV"&amp;TEXT(582-3,"0000")&amp;"-"&amp;TEXT(TODAY(),"YYYYMMDD"))</f>
        <v/>
      </c>
      <c r="C582" s="37" t="str">
        <f>IF(Agent03_Savings!A187="","",Agent03_Savings!B187)</f>
        <v/>
      </c>
      <c r="D582" s="37" t="str">
        <f>IF(Agent03_Savings!A187="","",Agent03_Savings!G187)</f>
        <v/>
      </c>
      <c r="E582" s="38" t="str">
        <f>IF(Agent03_Savings!A187="","",Agent03_Savings!D187)</f>
        <v/>
      </c>
      <c r="F582" s="39" t="str">
        <f>IF(Agent03_Savings!A187="","",Agent03_Savings!E187)</f>
        <v/>
      </c>
      <c r="G582" s="39" t="str">
        <f>IF(Agent03_Savings!A187="","",Agent03_Savings!F187)</f>
        <v/>
      </c>
      <c r="H582" s="37" t="str">
        <f>IF(Agent03_Savings!A187="","",Agent03_Savings!I187)</f>
        <v/>
      </c>
      <c r="I582" s="37" t="str">
        <f>IF(Agent03_Savings!A187="","",Agent03_Savings!J187)</f>
        <v/>
      </c>
      <c r="J582" s="37" t="str">
        <f>IF(Agent03_Savings!A187="","",Agent03_Savings!K187)</f>
        <v/>
      </c>
      <c r="K582" s="37" t="str">
        <f>IFERROR(IF(Agent03_Savings!A187="","",YEAR(Agent03_Savings!D187)),"")</f>
        <v/>
      </c>
    </row>
    <row r="583" spans="1:11" ht="18" customHeight="1" x14ac:dyDescent="0.25">
      <c r="A583" s="37" t="str">
        <f>IF(Agent03_Savings!A188="","",Agent03_Savings!A188)</f>
        <v/>
      </c>
      <c r="B583" s="37" t="str">
        <f ca="1">IF(Agent03_Savings!A188="","","SV"&amp;TEXT(583-3,"0000")&amp;"-"&amp;TEXT(TODAY(),"YYYYMMDD"))</f>
        <v/>
      </c>
      <c r="C583" s="37" t="str">
        <f>IF(Agent03_Savings!A188="","",Agent03_Savings!B188)</f>
        <v/>
      </c>
      <c r="D583" s="37" t="str">
        <f>IF(Agent03_Savings!A188="","",Agent03_Savings!G188)</f>
        <v/>
      </c>
      <c r="E583" s="38" t="str">
        <f>IF(Agent03_Savings!A188="","",Agent03_Savings!D188)</f>
        <v/>
      </c>
      <c r="F583" s="39" t="str">
        <f>IF(Agent03_Savings!A188="","",Agent03_Savings!E188)</f>
        <v/>
      </c>
      <c r="G583" s="39" t="str">
        <f>IF(Agent03_Savings!A188="","",Agent03_Savings!F188)</f>
        <v/>
      </c>
      <c r="H583" s="37" t="str">
        <f>IF(Agent03_Savings!A188="","",Agent03_Savings!I188)</f>
        <v/>
      </c>
      <c r="I583" s="37" t="str">
        <f>IF(Agent03_Savings!A188="","",Agent03_Savings!J188)</f>
        <v/>
      </c>
      <c r="J583" s="37" t="str">
        <f>IF(Agent03_Savings!A188="","",Agent03_Savings!K188)</f>
        <v/>
      </c>
      <c r="K583" s="37" t="str">
        <f>IFERROR(IF(Agent03_Savings!A188="","",YEAR(Agent03_Savings!D188)),"")</f>
        <v/>
      </c>
    </row>
    <row r="584" spans="1:11" ht="18" customHeight="1" x14ac:dyDescent="0.25">
      <c r="A584" s="37" t="str">
        <f>IF(Agent03_Savings!A189="","",Agent03_Savings!A189)</f>
        <v/>
      </c>
      <c r="B584" s="37" t="str">
        <f ca="1">IF(Agent03_Savings!A189="","","SV"&amp;TEXT(584-3,"0000")&amp;"-"&amp;TEXT(TODAY(),"YYYYMMDD"))</f>
        <v/>
      </c>
      <c r="C584" s="37" t="str">
        <f>IF(Agent03_Savings!A189="","",Agent03_Savings!B189)</f>
        <v/>
      </c>
      <c r="D584" s="37" t="str">
        <f>IF(Agent03_Savings!A189="","",Agent03_Savings!G189)</f>
        <v/>
      </c>
      <c r="E584" s="38" t="str">
        <f>IF(Agent03_Savings!A189="","",Agent03_Savings!D189)</f>
        <v/>
      </c>
      <c r="F584" s="39" t="str">
        <f>IF(Agent03_Savings!A189="","",Agent03_Savings!E189)</f>
        <v/>
      </c>
      <c r="G584" s="39" t="str">
        <f>IF(Agent03_Savings!A189="","",Agent03_Savings!F189)</f>
        <v/>
      </c>
      <c r="H584" s="37" t="str">
        <f>IF(Agent03_Savings!A189="","",Agent03_Savings!I189)</f>
        <v/>
      </c>
      <c r="I584" s="37" t="str">
        <f>IF(Agent03_Savings!A189="","",Agent03_Savings!J189)</f>
        <v/>
      </c>
      <c r="J584" s="37" t="str">
        <f>IF(Agent03_Savings!A189="","",Agent03_Savings!K189)</f>
        <v/>
      </c>
      <c r="K584" s="37" t="str">
        <f>IFERROR(IF(Agent03_Savings!A189="","",YEAR(Agent03_Savings!D189)),"")</f>
        <v/>
      </c>
    </row>
    <row r="585" spans="1:11" ht="18" customHeight="1" x14ac:dyDescent="0.25">
      <c r="A585" s="37" t="str">
        <f>IF(Agent03_Savings!A190="","",Agent03_Savings!A190)</f>
        <v/>
      </c>
      <c r="B585" s="37" t="str">
        <f ca="1">IF(Agent03_Savings!A190="","","SV"&amp;TEXT(585-3,"0000")&amp;"-"&amp;TEXT(TODAY(),"YYYYMMDD"))</f>
        <v/>
      </c>
      <c r="C585" s="37" t="str">
        <f>IF(Agent03_Savings!A190="","",Agent03_Savings!B190)</f>
        <v/>
      </c>
      <c r="D585" s="37" t="str">
        <f>IF(Agent03_Savings!A190="","",Agent03_Savings!G190)</f>
        <v/>
      </c>
      <c r="E585" s="38" t="str">
        <f>IF(Agent03_Savings!A190="","",Agent03_Savings!D190)</f>
        <v/>
      </c>
      <c r="F585" s="39" t="str">
        <f>IF(Agent03_Savings!A190="","",Agent03_Savings!E190)</f>
        <v/>
      </c>
      <c r="G585" s="39" t="str">
        <f>IF(Agent03_Savings!A190="","",Agent03_Savings!F190)</f>
        <v/>
      </c>
      <c r="H585" s="37" t="str">
        <f>IF(Agent03_Savings!A190="","",Agent03_Savings!I190)</f>
        <v/>
      </c>
      <c r="I585" s="37" t="str">
        <f>IF(Agent03_Savings!A190="","",Agent03_Savings!J190)</f>
        <v/>
      </c>
      <c r="J585" s="37" t="str">
        <f>IF(Agent03_Savings!A190="","",Agent03_Savings!K190)</f>
        <v/>
      </c>
      <c r="K585" s="37" t="str">
        <f>IFERROR(IF(Agent03_Savings!A190="","",YEAR(Agent03_Savings!D190)),"")</f>
        <v/>
      </c>
    </row>
    <row r="586" spans="1:11" ht="18" customHeight="1" x14ac:dyDescent="0.25">
      <c r="A586" s="37" t="str">
        <f>IF(Agent03_Savings!A191="","",Agent03_Savings!A191)</f>
        <v/>
      </c>
      <c r="B586" s="37" t="str">
        <f ca="1">IF(Agent03_Savings!A191="","","SV"&amp;TEXT(586-3,"0000")&amp;"-"&amp;TEXT(TODAY(),"YYYYMMDD"))</f>
        <v/>
      </c>
      <c r="C586" s="37" t="str">
        <f>IF(Agent03_Savings!A191="","",Agent03_Savings!B191)</f>
        <v/>
      </c>
      <c r="D586" s="37" t="str">
        <f>IF(Agent03_Savings!A191="","",Agent03_Savings!G191)</f>
        <v/>
      </c>
      <c r="E586" s="38" t="str">
        <f>IF(Agent03_Savings!A191="","",Agent03_Savings!D191)</f>
        <v/>
      </c>
      <c r="F586" s="39" t="str">
        <f>IF(Agent03_Savings!A191="","",Agent03_Savings!E191)</f>
        <v/>
      </c>
      <c r="G586" s="39" t="str">
        <f>IF(Agent03_Savings!A191="","",Agent03_Savings!F191)</f>
        <v/>
      </c>
      <c r="H586" s="37" t="str">
        <f>IF(Agent03_Savings!A191="","",Agent03_Savings!I191)</f>
        <v/>
      </c>
      <c r="I586" s="37" t="str">
        <f>IF(Agent03_Savings!A191="","",Agent03_Savings!J191)</f>
        <v/>
      </c>
      <c r="J586" s="37" t="str">
        <f>IF(Agent03_Savings!A191="","",Agent03_Savings!K191)</f>
        <v/>
      </c>
      <c r="K586" s="37" t="str">
        <f>IFERROR(IF(Agent03_Savings!A191="","",YEAR(Agent03_Savings!D191)),"")</f>
        <v/>
      </c>
    </row>
    <row r="587" spans="1:11" ht="18" customHeight="1" x14ac:dyDescent="0.25">
      <c r="A587" s="37" t="str">
        <f>IF(Agent03_Savings!A192="","",Agent03_Savings!A192)</f>
        <v/>
      </c>
      <c r="B587" s="37" t="str">
        <f ca="1">IF(Agent03_Savings!A192="","","SV"&amp;TEXT(587-3,"0000")&amp;"-"&amp;TEXT(TODAY(),"YYYYMMDD"))</f>
        <v/>
      </c>
      <c r="C587" s="37" t="str">
        <f>IF(Agent03_Savings!A192="","",Agent03_Savings!B192)</f>
        <v/>
      </c>
      <c r="D587" s="37" t="str">
        <f>IF(Agent03_Savings!A192="","",Agent03_Savings!G192)</f>
        <v/>
      </c>
      <c r="E587" s="38" t="str">
        <f>IF(Agent03_Savings!A192="","",Agent03_Savings!D192)</f>
        <v/>
      </c>
      <c r="F587" s="39" t="str">
        <f>IF(Agent03_Savings!A192="","",Agent03_Savings!E192)</f>
        <v/>
      </c>
      <c r="G587" s="39" t="str">
        <f>IF(Agent03_Savings!A192="","",Agent03_Savings!F192)</f>
        <v/>
      </c>
      <c r="H587" s="37" t="str">
        <f>IF(Agent03_Savings!A192="","",Agent03_Savings!I192)</f>
        <v/>
      </c>
      <c r="I587" s="37" t="str">
        <f>IF(Agent03_Savings!A192="","",Agent03_Savings!J192)</f>
        <v/>
      </c>
      <c r="J587" s="37" t="str">
        <f>IF(Agent03_Savings!A192="","",Agent03_Savings!K192)</f>
        <v/>
      </c>
      <c r="K587" s="37" t="str">
        <f>IFERROR(IF(Agent03_Savings!A192="","",YEAR(Agent03_Savings!D192)),"")</f>
        <v/>
      </c>
    </row>
    <row r="588" spans="1:11" ht="18" customHeight="1" x14ac:dyDescent="0.25">
      <c r="A588" s="37" t="str">
        <f>IF(Agent03_Savings!A193="","",Agent03_Savings!A193)</f>
        <v/>
      </c>
      <c r="B588" s="37" t="str">
        <f ca="1">IF(Agent03_Savings!A193="","","SV"&amp;TEXT(588-3,"0000")&amp;"-"&amp;TEXT(TODAY(),"YYYYMMDD"))</f>
        <v/>
      </c>
      <c r="C588" s="37" t="str">
        <f>IF(Agent03_Savings!A193="","",Agent03_Savings!B193)</f>
        <v/>
      </c>
      <c r="D588" s="37" t="str">
        <f>IF(Agent03_Savings!A193="","",Agent03_Savings!G193)</f>
        <v/>
      </c>
      <c r="E588" s="38" t="str">
        <f>IF(Agent03_Savings!A193="","",Agent03_Savings!D193)</f>
        <v/>
      </c>
      <c r="F588" s="39" t="str">
        <f>IF(Agent03_Savings!A193="","",Agent03_Savings!E193)</f>
        <v/>
      </c>
      <c r="G588" s="39" t="str">
        <f>IF(Agent03_Savings!A193="","",Agent03_Savings!F193)</f>
        <v/>
      </c>
      <c r="H588" s="37" t="str">
        <f>IF(Agent03_Savings!A193="","",Agent03_Savings!I193)</f>
        <v/>
      </c>
      <c r="I588" s="37" t="str">
        <f>IF(Agent03_Savings!A193="","",Agent03_Savings!J193)</f>
        <v/>
      </c>
      <c r="J588" s="37" t="str">
        <f>IF(Agent03_Savings!A193="","",Agent03_Savings!K193)</f>
        <v/>
      </c>
      <c r="K588" s="37" t="str">
        <f>IFERROR(IF(Agent03_Savings!A193="","",YEAR(Agent03_Savings!D193)),"")</f>
        <v/>
      </c>
    </row>
    <row r="589" spans="1:11" ht="18" customHeight="1" x14ac:dyDescent="0.25">
      <c r="A589" s="37" t="str">
        <f>IF(Agent03_Savings!A194="","",Agent03_Savings!A194)</f>
        <v/>
      </c>
      <c r="B589" s="37" t="str">
        <f ca="1">IF(Agent03_Savings!A194="","","SV"&amp;TEXT(589-3,"0000")&amp;"-"&amp;TEXT(TODAY(),"YYYYMMDD"))</f>
        <v/>
      </c>
      <c r="C589" s="37" t="str">
        <f>IF(Agent03_Savings!A194="","",Agent03_Savings!B194)</f>
        <v/>
      </c>
      <c r="D589" s="37" t="str">
        <f>IF(Agent03_Savings!A194="","",Agent03_Savings!G194)</f>
        <v/>
      </c>
      <c r="E589" s="38" t="str">
        <f>IF(Agent03_Savings!A194="","",Agent03_Savings!D194)</f>
        <v/>
      </c>
      <c r="F589" s="39" t="str">
        <f>IF(Agent03_Savings!A194="","",Agent03_Savings!E194)</f>
        <v/>
      </c>
      <c r="G589" s="39" t="str">
        <f>IF(Agent03_Savings!A194="","",Agent03_Savings!F194)</f>
        <v/>
      </c>
      <c r="H589" s="37" t="str">
        <f>IF(Agent03_Savings!A194="","",Agent03_Savings!I194)</f>
        <v/>
      </c>
      <c r="I589" s="37" t="str">
        <f>IF(Agent03_Savings!A194="","",Agent03_Savings!J194)</f>
        <v/>
      </c>
      <c r="J589" s="37" t="str">
        <f>IF(Agent03_Savings!A194="","",Agent03_Savings!K194)</f>
        <v/>
      </c>
      <c r="K589" s="37" t="str">
        <f>IFERROR(IF(Agent03_Savings!A194="","",YEAR(Agent03_Savings!D194)),"")</f>
        <v/>
      </c>
    </row>
    <row r="590" spans="1:11" ht="18" customHeight="1" x14ac:dyDescent="0.25">
      <c r="A590" s="37" t="str">
        <f>IF(Agent03_Savings!A195="","",Agent03_Savings!A195)</f>
        <v/>
      </c>
      <c r="B590" s="37" t="str">
        <f ca="1">IF(Agent03_Savings!A195="","","SV"&amp;TEXT(590-3,"0000")&amp;"-"&amp;TEXT(TODAY(),"YYYYMMDD"))</f>
        <v/>
      </c>
      <c r="C590" s="37" t="str">
        <f>IF(Agent03_Savings!A195="","",Agent03_Savings!B195)</f>
        <v/>
      </c>
      <c r="D590" s="37" t="str">
        <f>IF(Agent03_Savings!A195="","",Agent03_Savings!G195)</f>
        <v/>
      </c>
      <c r="E590" s="38" t="str">
        <f>IF(Agent03_Savings!A195="","",Agent03_Savings!D195)</f>
        <v/>
      </c>
      <c r="F590" s="39" t="str">
        <f>IF(Agent03_Savings!A195="","",Agent03_Savings!E195)</f>
        <v/>
      </c>
      <c r="G590" s="39" t="str">
        <f>IF(Agent03_Savings!A195="","",Agent03_Savings!F195)</f>
        <v/>
      </c>
      <c r="H590" s="37" t="str">
        <f>IF(Agent03_Savings!A195="","",Agent03_Savings!I195)</f>
        <v/>
      </c>
      <c r="I590" s="37" t="str">
        <f>IF(Agent03_Savings!A195="","",Agent03_Savings!J195)</f>
        <v/>
      </c>
      <c r="J590" s="37" t="str">
        <f>IF(Agent03_Savings!A195="","",Agent03_Savings!K195)</f>
        <v/>
      </c>
      <c r="K590" s="37" t="str">
        <f>IFERROR(IF(Agent03_Savings!A195="","",YEAR(Agent03_Savings!D195)),"")</f>
        <v/>
      </c>
    </row>
    <row r="591" spans="1:11" ht="18" customHeight="1" x14ac:dyDescent="0.25">
      <c r="A591" s="37" t="str">
        <f>IF(Agent03_Savings!A196="","",Agent03_Savings!A196)</f>
        <v/>
      </c>
      <c r="B591" s="37" t="str">
        <f ca="1">IF(Agent03_Savings!A196="","","SV"&amp;TEXT(591-3,"0000")&amp;"-"&amp;TEXT(TODAY(),"YYYYMMDD"))</f>
        <v/>
      </c>
      <c r="C591" s="37" t="str">
        <f>IF(Agent03_Savings!A196="","",Agent03_Savings!B196)</f>
        <v/>
      </c>
      <c r="D591" s="37" t="str">
        <f>IF(Agent03_Savings!A196="","",Agent03_Savings!G196)</f>
        <v/>
      </c>
      <c r="E591" s="38" t="str">
        <f>IF(Agent03_Savings!A196="","",Agent03_Savings!D196)</f>
        <v/>
      </c>
      <c r="F591" s="39" t="str">
        <f>IF(Agent03_Savings!A196="","",Agent03_Savings!E196)</f>
        <v/>
      </c>
      <c r="G591" s="39" t="str">
        <f>IF(Agent03_Savings!A196="","",Agent03_Savings!F196)</f>
        <v/>
      </c>
      <c r="H591" s="37" t="str">
        <f>IF(Agent03_Savings!A196="","",Agent03_Savings!I196)</f>
        <v/>
      </c>
      <c r="I591" s="37" t="str">
        <f>IF(Agent03_Savings!A196="","",Agent03_Savings!J196)</f>
        <v/>
      </c>
      <c r="J591" s="37" t="str">
        <f>IF(Agent03_Savings!A196="","",Agent03_Savings!K196)</f>
        <v/>
      </c>
      <c r="K591" s="37" t="str">
        <f>IFERROR(IF(Agent03_Savings!A196="","",YEAR(Agent03_Savings!D196)),"")</f>
        <v/>
      </c>
    </row>
    <row r="592" spans="1:11" ht="18" customHeight="1" x14ac:dyDescent="0.25">
      <c r="A592" s="37" t="str">
        <f>IF(Agent03_Savings!A197="","",Agent03_Savings!A197)</f>
        <v/>
      </c>
      <c r="B592" s="37" t="str">
        <f ca="1">IF(Agent03_Savings!A197="","","SV"&amp;TEXT(592-3,"0000")&amp;"-"&amp;TEXT(TODAY(),"YYYYMMDD"))</f>
        <v/>
      </c>
      <c r="C592" s="37" t="str">
        <f>IF(Agent03_Savings!A197="","",Agent03_Savings!B197)</f>
        <v/>
      </c>
      <c r="D592" s="37" t="str">
        <f>IF(Agent03_Savings!A197="","",Agent03_Savings!G197)</f>
        <v/>
      </c>
      <c r="E592" s="38" t="str">
        <f>IF(Agent03_Savings!A197="","",Agent03_Savings!D197)</f>
        <v/>
      </c>
      <c r="F592" s="39" t="str">
        <f>IF(Agent03_Savings!A197="","",Agent03_Savings!E197)</f>
        <v/>
      </c>
      <c r="G592" s="39" t="str">
        <f>IF(Agent03_Savings!A197="","",Agent03_Savings!F197)</f>
        <v/>
      </c>
      <c r="H592" s="37" t="str">
        <f>IF(Agent03_Savings!A197="","",Agent03_Savings!I197)</f>
        <v/>
      </c>
      <c r="I592" s="37" t="str">
        <f>IF(Agent03_Savings!A197="","",Agent03_Savings!J197)</f>
        <v/>
      </c>
      <c r="J592" s="37" t="str">
        <f>IF(Agent03_Savings!A197="","",Agent03_Savings!K197)</f>
        <v/>
      </c>
      <c r="K592" s="37" t="str">
        <f>IFERROR(IF(Agent03_Savings!A197="","",YEAR(Agent03_Savings!D197)),"")</f>
        <v/>
      </c>
    </row>
    <row r="593" spans="1:11" ht="18" customHeight="1" x14ac:dyDescent="0.25">
      <c r="A593" s="37" t="str">
        <f>IF(Agent03_Savings!A198="","",Agent03_Savings!A198)</f>
        <v/>
      </c>
      <c r="B593" s="37" t="str">
        <f ca="1">IF(Agent03_Savings!A198="","","SV"&amp;TEXT(593-3,"0000")&amp;"-"&amp;TEXT(TODAY(),"YYYYMMDD"))</f>
        <v/>
      </c>
      <c r="C593" s="37" t="str">
        <f>IF(Agent03_Savings!A198="","",Agent03_Savings!B198)</f>
        <v/>
      </c>
      <c r="D593" s="37" t="str">
        <f>IF(Agent03_Savings!A198="","",Agent03_Savings!G198)</f>
        <v/>
      </c>
      <c r="E593" s="38" t="str">
        <f>IF(Agent03_Savings!A198="","",Agent03_Savings!D198)</f>
        <v/>
      </c>
      <c r="F593" s="39" t="str">
        <f>IF(Agent03_Savings!A198="","",Agent03_Savings!E198)</f>
        <v/>
      </c>
      <c r="G593" s="39" t="str">
        <f>IF(Agent03_Savings!A198="","",Agent03_Savings!F198)</f>
        <v/>
      </c>
      <c r="H593" s="37" t="str">
        <f>IF(Agent03_Savings!A198="","",Agent03_Savings!I198)</f>
        <v/>
      </c>
      <c r="I593" s="37" t="str">
        <f>IF(Agent03_Savings!A198="","",Agent03_Savings!J198)</f>
        <v/>
      </c>
      <c r="J593" s="37" t="str">
        <f>IF(Agent03_Savings!A198="","",Agent03_Savings!K198)</f>
        <v/>
      </c>
      <c r="K593" s="37" t="str">
        <f>IFERROR(IF(Agent03_Savings!A198="","",YEAR(Agent03_Savings!D198)),"")</f>
        <v/>
      </c>
    </row>
    <row r="594" spans="1:11" ht="18" customHeight="1" x14ac:dyDescent="0.25">
      <c r="A594" s="37" t="str">
        <f>IF(Agent03_Savings!A199="","",Agent03_Savings!A199)</f>
        <v/>
      </c>
      <c r="B594" s="37" t="str">
        <f ca="1">IF(Agent03_Savings!A199="","","SV"&amp;TEXT(594-3,"0000")&amp;"-"&amp;TEXT(TODAY(),"YYYYMMDD"))</f>
        <v/>
      </c>
      <c r="C594" s="37" t="str">
        <f>IF(Agent03_Savings!A199="","",Agent03_Savings!B199)</f>
        <v/>
      </c>
      <c r="D594" s="37" t="str">
        <f>IF(Agent03_Savings!A199="","",Agent03_Savings!G199)</f>
        <v/>
      </c>
      <c r="E594" s="38" t="str">
        <f>IF(Agent03_Savings!A199="","",Agent03_Savings!D199)</f>
        <v/>
      </c>
      <c r="F594" s="39" t="str">
        <f>IF(Agent03_Savings!A199="","",Agent03_Savings!E199)</f>
        <v/>
      </c>
      <c r="G594" s="39" t="str">
        <f>IF(Agent03_Savings!A199="","",Agent03_Savings!F199)</f>
        <v/>
      </c>
      <c r="H594" s="37" t="str">
        <f>IF(Agent03_Savings!A199="","",Agent03_Savings!I199)</f>
        <v/>
      </c>
      <c r="I594" s="37" t="str">
        <f>IF(Agent03_Savings!A199="","",Agent03_Savings!J199)</f>
        <v/>
      </c>
      <c r="J594" s="37" t="str">
        <f>IF(Agent03_Savings!A199="","",Agent03_Savings!K199)</f>
        <v/>
      </c>
      <c r="K594" s="37" t="str">
        <f>IFERROR(IF(Agent03_Savings!A199="","",YEAR(Agent03_Savings!D199)),"")</f>
        <v/>
      </c>
    </row>
    <row r="595" spans="1:11" ht="18" customHeight="1" x14ac:dyDescent="0.25">
      <c r="A595" s="37" t="str">
        <f>IF(Agent03_Savings!A200="","",Agent03_Savings!A200)</f>
        <v/>
      </c>
      <c r="B595" s="37" t="str">
        <f ca="1">IF(Agent03_Savings!A200="","","SV"&amp;TEXT(595-3,"0000")&amp;"-"&amp;TEXT(TODAY(),"YYYYMMDD"))</f>
        <v/>
      </c>
      <c r="C595" s="37" t="str">
        <f>IF(Agent03_Savings!A200="","",Agent03_Savings!B200)</f>
        <v/>
      </c>
      <c r="D595" s="37" t="str">
        <f>IF(Agent03_Savings!A200="","",Agent03_Savings!G200)</f>
        <v/>
      </c>
      <c r="E595" s="38" t="str">
        <f>IF(Agent03_Savings!A200="","",Agent03_Savings!D200)</f>
        <v/>
      </c>
      <c r="F595" s="39" t="str">
        <f>IF(Agent03_Savings!A200="","",Agent03_Savings!E200)</f>
        <v/>
      </c>
      <c r="G595" s="39" t="str">
        <f>IF(Agent03_Savings!A200="","",Agent03_Savings!F200)</f>
        <v/>
      </c>
      <c r="H595" s="37" t="str">
        <f>IF(Agent03_Savings!A200="","",Agent03_Savings!I200)</f>
        <v/>
      </c>
      <c r="I595" s="37" t="str">
        <f>IF(Agent03_Savings!A200="","",Agent03_Savings!J200)</f>
        <v/>
      </c>
      <c r="J595" s="37" t="str">
        <f>IF(Agent03_Savings!A200="","",Agent03_Savings!K200)</f>
        <v/>
      </c>
      <c r="K595" s="37" t="str">
        <f>IFERROR(IF(Agent03_Savings!A200="","",YEAR(Agent03_Savings!D200)),"")</f>
        <v/>
      </c>
    </row>
    <row r="596" spans="1:11" ht="18" customHeight="1" x14ac:dyDescent="0.25">
      <c r="A596" s="37" t="str">
        <f>IF(Agent03_Savings!A201="","",Agent03_Savings!A201)</f>
        <v/>
      </c>
      <c r="B596" s="37" t="str">
        <f ca="1">IF(Agent03_Savings!A201="","","SV"&amp;TEXT(596-3,"0000")&amp;"-"&amp;TEXT(TODAY(),"YYYYMMDD"))</f>
        <v/>
      </c>
      <c r="C596" s="37" t="str">
        <f>IF(Agent03_Savings!A201="","",Agent03_Savings!B201)</f>
        <v/>
      </c>
      <c r="D596" s="37" t="str">
        <f>IF(Agent03_Savings!A201="","",Agent03_Savings!G201)</f>
        <v/>
      </c>
      <c r="E596" s="38" t="str">
        <f>IF(Agent03_Savings!A201="","",Agent03_Savings!D201)</f>
        <v/>
      </c>
      <c r="F596" s="39" t="str">
        <f>IF(Agent03_Savings!A201="","",Agent03_Savings!E201)</f>
        <v/>
      </c>
      <c r="G596" s="39" t="str">
        <f>IF(Agent03_Savings!A201="","",Agent03_Savings!F201)</f>
        <v/>
      </c>
      <c r="H596" s="37" t="str">
        <f>IF(Agent03_Savings!A201="","",Agent03_Savings!I201)</f>
        <v/>
      </c>
      <c r="I596" s="37" t="str">
        <f>IF(Agent03_Savings!A201="","",Agent03_Savings!J201)</f>
        <v/>
      </c>
      <c r="J596" s="37" t="str">
        <f>IF(Agent03_Savings!A201="","",Agent03_Savings!K201)</f>
        <v/>
      </c>
      <c r="K596" s="37" t="str">
        <f>IFERROR(IF(Agent03_Savings!A201="","",YEAR(Agent03_Savings!D201)),"")</f>
        <v/>
      </c>
    </row>
    <row r="597" spans="1:11" ht="18" customHeight="1" x14ac:dyDescent="0.25">
      <c r="A597" s="37" t="str">
        <f>IF(Agent03_Savings!A202="","",Agent03_Savings!A202)</f>
        <v/>
      </c>
      <c r="B597" s="37" t="str">
        <f ca="1">IF(Agent03_Savings!A202="","","SV"&amp;TEXT(597-3,"0000")&amp;"-"&amp;TEXT(TODAY(),"YYYYMMDD"))</f>
        <v/>
      </c>
      <c r="C597" s="37" t="str">
        <f>IF(Agent03_Savings!A202="","",Agent03_Savings!B202)</f>
        <v/>
      </c>
      <c r="D597" s="37" t="str">
        <f>IF(Agent03_Savings!A202="","",Agent03_Savings!G202)</f>
        <v/>
      </c>
      <c r="E597" s="38" t="str">
        <f>IF(Agent03_Savings!A202="","",Agent03_Savings!D202)</f>
        <v/>
      </c>
      <c r="F597" s="39" t="str">
        <f>IF(Agent03_Savings!A202="","",Agent03_Savings!E202)</f>
        <v/>
      </c>
      <c r="G597" s="39" t="str">
        <f>IF(Agent03_Savings!A202="","",Agent03_Savings!F202)</f>
        <v/>
      </c>
      <c r="H597" s="37" t="str">
        <f>IF(Agent03_Savings!A202="","",Agent03_Savings!I202)</f>
        <v/>
      </c>
      <c r="I597" s="37" t="str">
        <f>IF(Agent03_Savings!A202="","",Agent03_Savings!J202)</f>
        <v/>
      </c>
      <c r="J597" s="37" t="str">
        <f>IF(Agent03_Savings!A202="","",Agent03_Savings!K202)</f>
        <v/>
      </c>
      <c r="K597" s="37" t="str">
        <f>IFERROR(IF(Agent03_Savings!A202="","",YEAR(Agent03_Savings!D202)),"")</f>
        <v/>
      </c>
    </row>
    <row r="598" spans="1:11" ht="18" customHeight="1" x14ac:dyDescent="0.25">
      <c r="A598" s="37" t="str">
        <f>IF(Agent03_Savings!A203="","",Agent03_Savings!A203)</f>
        <v/>
      </c>
      <c r="B598" s="37" t="str">
        <f ca="1">IF(Agent03_Savings!A203="","","SV"&amp;TEXT(598-3,"0000")&amp;"-"&amp;TEXT(TODAY(),"YYYYMMDD"))</f>
        <v/>
      </c>
      <c r="C598" s="37" t="str">
        <f>IF(Agent03_Savings!A203="","",Agent03_Savings!B203)</f>
        <v/>
      </c>
      <c r="D598" s="37" t="str">
        <f>IF(Agent03_Savings!A203="","",Agent03_Savings!G203)</f>
        <v/>
      </c>
      <c r="E598" s="38" t="str">
        <f>IF(Agent03_Savings!A203="","",Agent03_Savings!D203)</f>
        <v/>
      </c>
      <c r="F598" s="39" t="str">
        <f>IF(Agent03_Savings!A203="","",Agent03_Savings!E203)</f>
        <v/>
      </c>
      <c r="G598" s="39" t="str">
        <f>IF(Agent03_Savings!A203="","",Agent03_Savings!F203)</f>
        <v/>
      </c>
      <c r="H598" s="37" t="str">
        <f>IF(Agent03_Savings!A203="","",Agent03_Savings!I203)</f>
        <v/>
      </c>
      <c r="I598" s="37" t="str">
        <f>IF(Agent03_Savings!A203="","",Agent03_Savings!J203)</f>
        <v/>
      </c>
      <c r="J598" s="37" t="str">
        <f>IF(Agent03_Savings!A203="","",Agent03_Savings!K203)</f>
        <v/>
      </c>
      <c r="K598" s="37" t="str">
        <f>IFERROR(IF(Agent03_Savings!A203="","",YEAR(Agent03_Savings!D203)),"")</f>
        <v/>
      </c>
    </row>
    <row r="599" spans="1:11" ht="18" customHeight="1" x14ac:dyDescent="0.25">
      <c r="A599" s="37" t="str">
        <f>IF(Agent03_Savings!A204="","",Agent03_Savings!A204)</f>
        <v/>
      </c>
      <c r="B599" s="37" t="str">
        <f ca="1">IF(Agent03_Savings!A204="","","SV"&amp;TEXT(599-3,"0000")&amp;"-"&amp;TEXT(TODAY(),"YYYYMMDD"))</f>
        <v/>
      </c>
      <c r="C599" s="37" t="str">
        <f>IF(Agent03_Savings!A204="","",Agent03_Savings!B204)</f>
        <v/>
      </c>
      <c r="D599" s="37" t="str">
        <f>IF(Agent03_Savings!A204="","",Agent03_Savings!G204)</f>
        <v/>
      </c>
      <c r="E599" s="38" t="str">
        <f>IF(Agent03_Savings!A204="","",Agent03_Savings!D204)</f>
        <v/>
      </c>
      <c r="F599" s="39" t="str">
        <f>IF(Agent03_Savings!A204="","",Agent03_Savings!E204)</f>
        <v/>
      </c>
      <c r="G599" s="39" t="str">
        <f>IF(Agent03_Savings!A204="","",Agent03_Savings!F204)</f>
        <v/>
      </c>
      <c r="H599" s="37" t="str">
        <f>IF(Agent03_Savings!A204="","",Agent03_Savings!I204)</f>
        <v/>
      </c>
      <c r="I599" s="37" t="str">
        <f>IF(Agent03_Savings!A204="","",Agent03_Savings!J204)</f>
        <v/>
      </c>
      <c r="J599" s="37" t="str">
        <f>IF(Agent03_Savings!A204="","",Agent03_Savings!K204)</f>
        <v/>
      </c>
      <c r="K599" s="37" t="str">
        <f>IFERROR(IF(Agent03_Savings!A204="","",YEAR(Agent03_Savings!D204)),"")</f>
        <v/>
      </c>
    </row>
    <row r="600" spans="1:11" ht="18" customHeight="1" x14ac:dyDescent="0.25">
      <c r="A600" s="37" t="str">
        <f>IF(Agent03_Savings!A205="","",Agent03_Savings!A205)</f>
        <v/>
      </c>
      <c r="B600" s="37" t="str">
        <f ca="1">IF(Agent03_Savings!A205="","","SV"&amp;TEXT(600-3,"0000")&amp;"-"&amp;TEXT(TODAY(),"YYYYMMDD"))</f>
        <v/>
      </c>
      <c r="C600" s="37" t="str">
        <f>IF(Agent03_Savings!A205="","",Agent03_Savings!B205)</f>
        <v/>
      </c>
      <c r="D600" s="37" t="str">
        <f>IF(Agent03_Savings!A205="","",Agent03_Savings!G205)</f>
        <v/>
      </c>
      <c r="E600" s="38" t="str">
        <f>IF(Agent03_Savings!A205="","",Agent03_Savings!D205)</f>
        <v/>
      </c>
      <c r="F600" s="39" t="str">
        <f>IF(Agent03_Savings!A205="","",Agent03_Savings!E205)</f>
        <v/>
      </c>
      <c r="G600" s="39" t="str">
        <f>IF(Agent03_Savings!A205="","",Agent03_Savings!F205)</f>
        <v/>
      </c>
      <c r="H600" s="37" t="str">
        <f>IF(Agent03_Savings!A205="","",Agent03_Savings!I205)</f>
        <v/>
      </c>
      <c r="I600" s="37" t="str">
        <f>IF(Agent03_Savings!A205="","",Agent03_Savings!J205)</f>
        <v/>
      </c>
      <c r="J600" s="37" t="str">
        <f>IF(Agent03_Savings!A205="","",Agent03_Savings!K205)</f>
        <v/>
      </c>
      <c r="K600" s="37" t="str">
        <f>IFERROR(IF(Agent03_Savings!A205="","",YEAR(Agent03_Savings!D205)),"")</f>
        <v/>
      </c>
    </row>
    <row r="601" spans="1:11" ht="18" customHeight="1" x14ac:dyDescent="0.25">
      <c r="A601" s="37" t="str">
        <f>IF(Agent03_Savings!A206="","",Agent03_Savings!A206)</f>
        <v/>
      </c>
      <c r="B601" s="37" t="str">
        <f ca="1">IF(Agent03_Savings!A206="","","SV"&amp;TEXT(601-3,"0000")&amp;"-"&amp;TEXT(TODAY(),"YYYYMMDD"))</f>
        <v/>
      </c>
      <c r="C601" s="37" t="str">
        <f>IF(Agent03_Savings!A206="","",Agent03_Savings!B206)</f>
        <v/>
      </c>
      <c r="D601" s="37" t="str">
        <f>IF(Agent03_Savings!A206="","",Agent03_Savings!G206)</f>
        <v/>
      </c>
      <c r="E601" s="38" t="str">
        <f>IF(Agent03_Savings!A206="","",Agent03_Savings!D206)</f>
        <v/>
      </c>
      <c r="F601" s="39" t="str">
        <f>IF(Agent03_Savings!A206="","",Agent03_Savings!E206)</f>
        <v/>
      </c>
      <c r="G601" s="39" t="str">
        <f>IF(Agent03_Savings!A206="","",Agent03_Savings!F206)</f>
        <v/>
      </c>
      <c r="H601" s="37" t="str">
        <f>IF(Agent03_Savings!A206="","",Agent03_Savings!I206)</f>
        <v/>
      </c>
      <c r="I601" s="37" t="str">
        <f>IF(Agent03_Savings!A206="","",Agent03_Savings!J206)</f>
        <v/>
      </c>
      <c r="J601" s="37" t="str">
        <f>IF(Agent03_Savings!A206="","",Agent03_Savings!K206)</f>
        <v/>
      </c>
      <c r="K601" s="37" t="str">
        <f>IFERROR(IF(Agent03_Savings!A206="","",YEAR(Agent03_Savings!D206)),"")</f>
        <v/>
      </c>
    </row>
    <row r="602" spans="1:11" ht="18" customHeight="1" x14ac:dyDescent="0.25">
      <c r="A602" s="37" t="str">
        <f>IF(Agent03_Savings!A207="","",Agent03_Savings!A207)</f>
        <v/>
      </c>
      <c r="B602" s="37" t="str">
        <f ca="1">IF(Agent03_Savings!A207="","","SV"&amp;TEXT(602-3,"0000")&amp;"-"&amp;TEXT(TODAY(),"YYYYMMDD"))</f>
        <v/>
      </c>
      <c r="C602" s="37" t="str">
        <f>IF(Agent03_Savings!A207="","",Agent03_Savings!B207)</f>
        <v/>
      </c>
      <c r="D602" s="37" t="str">
        <f>IF(Agent03_Savings!A207="","",Agent03_Savings!G207)</f>
        <v/>
      </c>
      <c r="E602" s="38" t="str">
        <f>IF(Agent03_Savings!A207="","",Agent03_Savings!D207)</f>
        <v/>
      </c>
      <c r="F602" s="39" t="str">
        <f>IF(Agent03_Savings!A207="","",Agent03_Savings!E207)</f>
        <v/>
      </c>
      <c r="G602" s="39" t="str">
        <f>IF(Agent03_Savings!A207="","",Agent03_Savings!F207)</f>
        <v/>
      </c>
      <c r="H602" s="37" t="str">
        <f>IF(Agent03_Savings!A207="","",Agent03_Savings!I207)</f>
        <v/>
      </c>
      <c r="I602" s="37" t="str">
        <f>IF(Agent03_Savings!A207="","",Agent03_Savings!J207)</f>
        <v/>
      </c>
      <c r="J602" s="37" t="str">
        <f>IF(Agent03_Savings!A207="","",Agent03_Savings!K207)</f>
        <v/>
      </c>
      <c r="K602" s="37" t="str">
        <f>IFERROR(IF(Agent03_Savings!A207="","",YEAR(Agent03_Savings!D207)),"")</f>
        <v/>
      </c>
    </row>
    <row r="603" spans="1:11" ht="18" customHeight="1" x14ac:dyDescent="0.25">
      <c r="A603" s="37" t="str">
        <f>IF(Agent03_Savings!A208="","",Agent03_Savings!A208)</f>
        <v/>
      </c>
      <c r="B603" s="37" t="str">
        <f ca="1">IF(Agent03_Savings!A208="","","SV"&amp;TEXT(603-3,"0000")&amp;"-"&amp;TEXT(TODAY(),"YYYYMMDD"))</f>
        <v/>
      </c>
      <c r="C603" s="37" t="str">
        <f>IF(Agent03_Savings!A208="","",Agent03_Savings!B208)</f>
        <v/>
      </c>
      <c r="D603" s="37" t="str">
        <f>IF(Agent03_Savings!A208="","",Agent03_Savings!G208)</f>
        <v/>
      </c>
      <c r="E603" s="38" t="str">
        <f>IF(Agent03_Savings!A208="","",Agent03_Savings!D208)</f>
        <v/>
      </c>
      <c r="F603" s="39" t="str">
        <f>IF(Agent03_Savings!A208="","",Agent03_Savings!E208)</f>
        <v/>
      </c>
      <c r="G603" s="39" t="str">
        <f>IF(Agent03_Savings!A208="","",Agent03_Savings!F208)</f>
        <v/>
      </c>
      <c r="H603" s="37" t="str">
        <f>IF(Agent03_Savings!A208="","",Agent03_Savings!I208)</f>
        <v/>
      </c>
      <c r="I603" s="37" t="str">
        <f>IF(Agent03_Savings!A208="","",Agent03_Savings!J208)</f>
        <v/>
      </c>
      <c r="J603" s="37" t="str">
        <f>IF(Agent03_Savings!A208="","",Agent03_Savings!K208)</f>
        <v/>
      </c>
      <c r="K603" s="37" t="str">
        <f>IFERROR(IF(Agent03_Savings!A208="","",YEAR(Agent03_Savings!D208)),"")</f>
        <v/>
      </c>
    </row>
    <row r="604" spans="1:11" ht="18" customHeight="1" x14ac:dyDescent="0.25">
      <c r="A604" s="37" t="str">
        <f>IF(Agent04_Savings!A9="","",Agent04_Savings!A9)</f>
        <v/>
      </c>
      <c r="B604" s="37" t="str">
        <f ca="1">IF(Agent04_Savings!A9="","","SV"&amp;TEXT(604-3,"0000")&amp;"-"&amp;TEXT(TODAY(),"YYYYMMDD"))</f>
        <v/>
      </c>
      <c r="C604" s="37" t="str">
        <f>IF(Agent04_Savings!A9="","",Agent04_Savings!B9)</f>
        <v/>
      </c>
      <c r="D604" s="37" t="str">
        <f>IF(Agent04_Savings!A9="","",Agent04_Savings!G9)</f>
        <v/>
      </c>
      <c r="E604" s="38" t="str">
        <f>IF(Agent04_Savings!A9="","",Agent04_Savings!D9)</f>
        <v/>
      </c>
      <c r="F604" s="39" t="str">
        <f>IF(Agent04_Savings!A9="","",Agent04_Savings!E9)</f>
        <v/>
      </c>
      <c r="G604" s="39" t="str">
        <f>IF(Agent04_Savings!A9="","",Agent04_Savings!F9)</f>
        <v/>
      </c>
      <c r="H604" s="37" t="str">
        <f>IF(Agent04_Savings!A9="","",Agent04_Savings!I9)</f>
        <v/>
      </c>
      <c r="I604" s="37" t="str">
        <f>IF(Agent04_Savings!A9="","",Agent04_Savings!J9)</f>
        <v/>
      </c>
      <c r="J604" s="37" t="str">
        <f>IF(Agent04_Savings!A9="","",Agent04_Savings!K9)</f>
        <v/>
      </c>
      <c r="K604" s="37" t="str">
        <f>IFERROR(IF(Agent04_Savings!A9="","",YEAR(Agent04_Savings!D9)),"")</f>
        <v/>
      </c>
    </row>
    <row r="605" spans="1:11" ht="18" customHeight="1" x14ac:dyDescent="0.25">
      <c r="A605" s="37" t="str">
        <f>IF(Agent04_Savings!A10="","",Agent04_Savings!A10)</f>
        <v/>
      </c>
      <c r="B605" s="37" t="str">
        <f ca="1">IF(Agent04_Savings!A10="","","SV"&amp;TEXT(605-3,"0000")&amp;"-"&amp;TEXT(TODAY(),"YYYYMMDD"))</f>
        <v/>
      </c>
      <c r="C605" s="37" t="str">
        <f>IF(Agent04_Savings!A10="","",Agent04_Savings!B10)</f>
        <v/>
      </c>
      <c r="D605" s="37" t="str">
        <f>IF(Agent04_Savings!A10="","",Agent04_Savings!G10)</f>
        <v/>
      </c>
      <c r="E605" s="38" t="str">
        <f>IF(Agent04_Savings!A10="","",Agent04_Savings!D10)</f>
        <v/>
      </c>
      <c r="F605" s="39" t="str">
        <f>IF(Agent04_Savings!A10="","",Agent04_Savings!E10)</f>
        <v/>
      </c>
      <c r="G605" s="39" t="str">
        <f>IF(Agent04_Savings!A10="","",Agent04_Savings!F10)</f>
        <v/>
      </c>
      <c r="H605" s="37" t="str">
        <f>IF(Agent04_Savings!A10="","",Agent04_Savings!I10)</f>
        <v/>
      </c>
      <c r="I605" s="37" t="str">
        <f>IF(Agent04_Savings!A10="","",Agent04_Savings!J10)</f>
        <v/>
      </c>
      <c r="J605" s="37" t="str">
        <f>IF(Agent04_Savings!A10="","",Agent04_Savings!K10)</f>
        <v/>
      </c>
      <c r="K605" s="37" t="str">
        <f>IFERROR(IF(Agent04_Savings!A10="","",YEAR(Agent04_Savings!D10)),"")</f>
        <v/>
      </c>
    </row>
    <row r="606" spans="1:11" ht="18" customHeight="1" x14ac:dyDescent="0.25">
      <c r="A606" s="37" t="str">
        <f>IF(Agent04_Savings!A11="","",Agent04_Savings!A11)</f>
        <v/>
      </c>
      <c r="B606" s="37" t="str">
        <f ca="1">IF(Agent04_Savings!A11="","","SV"&amp;TEXT(606-3,"0000")&amp;"-"&amp;TEXT(TODAY(),"YYYYMMDD"))</f>
        <v/>
      </c>
      <c r="C606" s="37" t="str">
        <f>IF(Agent04_Savings!A11="","",Agent04_Savings!B11)</f>
        <v/>
      </c>
      <c r="D606" s="37" t="str">
        <f>IF(Agent04_Savings!A11="","",Agent04_Savings!G11)</f>
        <v/>
      </c>
      <c r="E606" s="38" t="str">
        <f>IF(Agent04_Savings!A11="","",Agent04_Savings!D11)</f>
        <v/>
      </c>
      <c r="F606" s="39" t="str">
        <f>IF(Agent04_Savings!A11="","",Agent04_Savings!E11)</f>
        <v/>
      </c>
      <c r="G606" s="39" t="str">
        <f>IF(Agent04_Savings!A11="","",Agent04_Savings!F11)</f>
        <v/>
      </c>
      <c r="H606" s="37" t="str">
        <f>IF(Agent04_Savings!A11="","",Agent04_Savings!I11)</f>
        <v/>
      </c>
      <c r="I606" s="37" t="str">
        <f>IF(Agent04_Savings!A11="","",Agent04_Savings!J11)</f>
        <v/>
      </c>
      <c r="J606" s="37" t="str">
        <f>IF(Agent04_Savings!A11="","",Agent04_Savings!K11)</f>
        <v/>
      </c>
      <c r="K606" s="37" t="str">
        <f>IFERROR(IF(Agent04_Savings!A11="","",YEAR(Agent04_Savings!D11)),"")</f>
        <v/>
      </c>
    </row>
    <row r="607" spans="1:11" ht="18" customHeight="1" x14ac:dyDescent="0.25">
      <c r="A607" s="37" t="str">
        <f>IF(Agent04_Savings!A12="","",Agent04_Savings!A12)</f>
        <v/>
      </c>
      <c r="B607" s="37" t="str">
        <f ca="1">IF(Agent04_Savings!A12="","","SV"&amp;TEXT(607-3,"0000")&amp;"-"&amp;TEXT(TODAY(),"YYYYMMDD"))</f>
        <v/>
      </c>
      <c r="C607" s="37" t="str">
        <f>IF(Agent04_Savings!A12="","",Agent04_Savings!B12)</f>
        <v/>
      </c>
      <c r="D607" s="37" t="str">
        <f>IF(Agent04_Savings!A12="","",Agent04_Savings!G12)</f>
        <v/>
      </c>
      <c r="E607" s="38" t="str">
        <f>IF(Agent04_Savings!A12="","",Agent04_Savings!D12)</f>
        <v/>
      </c>
      <c r="F607" s="39" t="str">
        <f>IF(Agent04_Savings!A12="","",Agent04_Savings!E12)</f>
        <v/>
      </c>
      <c r="G607" s="39" t="str">
        <f>IF(Agent04_Savings!A12="","",Agent04_Savings!F12)</f>
        <v/>
      </c>
      <c r="H607" s="37" t="str">
        <f>IF(Agent04_Savings!A12="","",Agent04_Savings!I12)</f>
        <v/>
      </c>
      <c r="I607" s="37" t="str">
        <f>IF(Agent04_Savings!A12="","",Agent04_Savings!J12)</f>
        <v/>
      </c>
      <c r="J607" s="37" t="str">
        <f>IF(Agent04_Savings!A12="","",Agent04_Savings!K12)</f>
        <v/>
      </c>
      <c r="K607" s="37" t="str">
        <f>IFERROR(IF(Agent04_Savings!A12="","",YEAR(Agent04_Savings!D12)),"")</f>
        <v/>
      </c>
    </row>
    <row r="608" spans="1:11" ht="18" customHeight="1" x14ac:dyDescent="0.25">
      <c r="A608" s="37" t="str">
        <f>IF(Agent04_Savings!A13="","",Agent04_Savings!A13)</f>
        <v/>
      </c>
      <c r="B608" s="37" t="str">
        <f ca="1">IF(Agent04_Savings!A13="","","SV"&amp;TEXT(608-3,"0000")&amp;"-"&amp;TEXT(TODAY(),"YYYYMMDD"))</f>
        <v/>
      </c>
      <c r="C608" s="37" t="str">
        <f>IF(Agent04_Savings!A13="","",Agent04_Savings!B13)</f>
        <v/>
      </c>
      <c r="D608" s="37" t="str">
        <f>IF(Agent04_Savings!A13="","",Agent04_Savings!G13)</f>
        <v/>
      </c>
      <c r="E608" s="38" t="str">
        <f>IF(Agent04_Savings!A13="","",Agent04_Savings!D13)</f>
        <v/>
      </c>
      <c r="F608" s="39" t="str">
        <f>IF(Agent04_Savings!A13="","",Agent04_Savings!E13)</f>
        <v/>
      </c>
      <c r="G608" s="39" t="str">
        <f>IF(Agent04_Savings!A13="","",Agent04_Savings!F13)</f>
        <v/>
      </c>
      <c r="H608" s="37" t="str">
        <f>IF(Agent04_Savings!A13="","",Agent04_Savings!I13)</f>
        <v/>
      </c>
      <c r="I608" s="37" t="str">
        <f>IF(Agent04_Savings!A13="","",Agent04_Savings!J13)</f>
        <v/>
      </c>
      <c r="J608" s="37" t="str">
        <f>IF(Agent04_Savings!A13="","",Agent04_Savings!K13)</f>
        <v/>
      </c>
      <c r="K608" s="37" t="str">
        <f>IFERROR(IF(Agent04_Savings!A13="","",YEAR(Agent04_Savings!D13)),"")</f>
        <v/>
      </c>
    </row>
    <row r="609" spans="1:11" ht="18" customHeight="1" x14ac:dyDescent="0.25">
      <c r="A609" s="37" t="str">
        <f>IF(Agent04_Savings!A14="","",Agent04_Savings!A14)</f>
        <v/>
      </c>
      <c r="B609" s="37" t="str">
        <f ca="1">IF(Agent04_Savings!A14="","","SV"&amp;TEXT(609-3,"0000")&amp;"-"&amp;TEXT(TODAY(),"YYYYMMDD"))</f>
        <v/>
      </c>
      <c r="C609" s="37" t="str">
        <f>IF(Agent04_Savings!A14="","",Agent04_Savings!B14)</f>
        <v/>
      </c>
      <c r="D609" s="37" t="str">
        <f>IF(Agent04_Savings!A14="","",Agent04_Savings!G14)</f>
        <v/>
      </c>
      <c r="E609" s="38" t="str">
        <f>IF(Agent04_Savings!A14="","",Agent04_Savings!D14)</f>
        <v/>
      </c>
      <c r="F609" s="39" t="str">
        <f>IF(Agent04_Savings!A14="","",Agent04_Savings!E14)</f>
        <v/>
      </c>
      <c r="G609" s="39" t="str">
        <f>IF(Agent04_Savings!A14="","",Agent04_Savings!F14)</f>
        <v/>
      </c>
      <c r="H609" s="37" t="str">
        <f>IF(Agent04_Savings!A14="","",Agent04_Savings!I14)</f>
        <v/>
      </c>
      <c r="I609" s="37" t="str">
        <f>IF(Agent04_Savings!A14="","",Agent04_Savings!J14)</f>
        <v/>
      </c>
      <c r="J609" s="37" t="str">
        <f>IF(Agent04_Savings!A14="","",Agent04_Savings!K14)</f>
        <v/>
      </c>
      <c r="K609" s="37" t="str">
        <f>IFERROR(IF(Agent04_Savings!A14="","",YEAR(Agent04_Savings!D14)),"")</f>
        <v/>
      </c>
    </row>
    <row r="610" spans="1:11" ht="18" customHeight="1" x14ac:dyDescent="0.25">
      <c r="A610" s="37" t="str">
        <f>IF(Agent04_Savings!A15="","",Agent04_Savings!A15)</f>
        <v/>
      </c>
      <c r="B610" s="37" t="str">
        <f ca="1">IF(Agent04_Savings!A15="","","SV"&amp;TEXT(610-3,"0000")&amp;"-"&amp;TEXT(TODAY(),"YYYYMMDD"))</f>
        <v/>
      </c>
      <c r="C610" s="37" t="str">
        <f>IF(Agent04_Savings!A15="","",Agent04_Savings!B15)</f>
        <v/>
      </c>
      <c r="D610" s="37" t="str">
        <f>IF(Agent04_Savings!A15="","",Agent04_Savings!G15)</f>
        <v/>
      </c>
      <c r="E610" s="38" t="str">
        <f>IF(Agent04_Savings!A15="","",Agent04_Savings!D15)</f>
        <v/>
      </c>
      <c r="F610" s="39" t="str">
        <f>IF(Agent04_Savings!A15="","",Agent04_Savings!E15)</f>
        <v/>
      </c>
      <c r="G610" s="39" t="str">
        <f>IF(Agent04_Savings!A15="","",Agent04_Savings!F15)</f>
        <v/>
      </c>
      <c r="H610" s="37" t="str">
        <f>IF(Agent04_Savings!A15="","",Agent04_Savings!I15)</f>
        <v/>
      </c>
      <c r="I610" s="37" t="str">
        <f>IF(Agent04_Savings!A15="","",Agent04_Savings!J15)</f>
        <v/>
      </c>
      <c r="J610" s="37" t="str">
        <f>IF(Agent04_Savings!A15="","",Agent04_Savings!K15)</f>
        <v/>
      </c>
      <c r="K610" s="37" t="str">
        <f>IFERROR(IF(Agent04_Savings!A15="","",YEAR(Agent04_Savings!D15)),"")</f>
        <v/>
      </c>
    </row>
    <row r="611" spans="1:11" ht="18" customHeight="1" x14ac:dyDescent="0.25">
      <c r="A611" s="37" t="str">
        <f>IF(Agent04_Savings!A16="","",Agent04_Savings!A16)</f>
        <v/>
      </c>
      <c r="B611" s="37" t="str">
        <f ca="1">IF(Agent04_Savings!A16="","","SV"&amp;TEXT(611-3,"0000")&amp;"-"&amp;TEXT(TODAY(),"YYYYMMDD"))</f>
        <v/>
      </c>
      <c r="C611" s="37" t="str">
        <f>IF(Agent04_Savings!A16="","",Agent04_Savings!B16)</f>
        <v/>
      </c>
      <c r="D611" s="37" t="str">
        <f>IF(Agent04_Savings!A16="","",Agent04_Savings!G16)</f>
        <v/>
      </c>
      <c r="E611" s="38" t="str">
        <f>IF(Agent04_Savings!A16="","",Agent04_Savings!D16)</f>
        <v/>
      </c>
      <c r="F611" s="39" t="str">
        <f>IF(Agent04_Savings!A16="","",Agent04_Savings!E16)</f>
        <v/>
      </c>
      <c r="G611" s="39" t="str">
        <f>IF(Agent04_Savings!A16="","",Agent04_Savings!F16)</f>
        <v/>
      </c>
      <c r="H611" s="37" t="str">
        <f>IF(Agent04_Savings!A16="","",Agent04_Savings!I16)</f>
        <v/>
      </c>
      <c r="I611" s="37" t="str">
        <f>IF(Agent04_Savings!A16="","",Agent04_Savings!J16)</f>
        <v/>
      </c>
      <c r="J611" s="37" t="str">
        <f>IF(Agent04_Savings!A16="","",Agent04_Savings!K16)</f>
        <v/>
      </c>
      <c r="K611" s="37" t="str">
        <f>IFERROR(IF(Agent04_Savings!A16="","",YEAR(Agent04_Savings!D16)),"")</f>
        <v/>
      </c>
    </row>
    <row r="612" spans="1:11" ht="18" customHeight="1" x14ac:dyDescent="0.25">
      <c r="A612" s="37" t="str">
        <f>IF(Agent04_Savings!A17="","",Agent04_Savings!A17)</f>
        <v/>
      </c>
      <c r="B612" s="37" t="str">
        <f ca="1">IF(Agent04_Savings!A17="","","SV"&amp;TEXT(612-3,"0000")&amp;"-"&amp;TEXT(TODAY(),"YYYYMMDD"))</f>
        <v/>
      </c>
      <c r="C612" s="37" t="str">
        <f>IF(Agent04_Savings!A17="","",Agent04_Savings!B17)</f>
        <v/>
      </c>
      <c r="D612" s="37" t="str">
        <f>IF(Agent04_Savings!A17="","",Agent04_Savings!G17)</f>
        <v/>
      </c>
      <c r="E612" s="38" t="str">
        <f>IF(Agent04_Savings!A17="","",Agent04_Savings!D17)</f>
        <v/>
      </c>
      <c r="F612" s="39" t="str">
        <f>IF(Agent04_Savings!A17="","",Agent04_Savings!E17)</f>
        <v/>
      </c>
      <c r="G612" s="39" t="str">
        <f>IF(Agent04_Savings!A17="","",Agent04_Savings!F17)</f>
        <v/>
      </c>
      <c r="H612" s="37" t="str">
        <f>IF(Agent04_Savings!A17="","",Agent04_Savings!I17)</f>
        <v/>
      </c>
      <c r="I612" s="37" t="str">
        <f>IF(Agent04_Savings!A17="","",Agent04_Savings!J17)</f>
        <v/>
      </c>
      <c r="J612" s="37" t="str">
        <f>IF(Agent04_Savings!A17="","",Agent04_Savings!K17)</f>
        <v/>
      </c>
      <c r="K612" s="37" t="str">
        <f>IFERROR(IF(Agent04_Savings!A17="","",YEAR(Agent04_Savings!D17)),"")</f>
        <v/>
      </c>
    </row>
    <row r="613" spans="1:11" ht="18" customHeight="1" x14ac:dyDescent="0.25">
      <c r="A613" s="37" t="str">
        <f>IF(Agent04_Savings!A18="","",Agent04_Savings!A18)</f>
        <v/>
      </c>
      <c r="B613" s="37" t="str">
        <f ca="1">IF(Agent04_Savings!A18="","","SV"&amp;TEXT(613-3,"0000")&amp;"-"&amp;TEXT(TODAY(),"YYYYMMDD"))</f>
        <v/>
      </c>
      <c r="C613" s="37" t="str">
        <f>IF(Agent04_Savings!A18="","",Agent04_Savings!B18)</f>
        <v/>
      </c>
      <c r="D613" s="37" t="str">
        <f>IF(Agent04_Savings!A18="","",Agent04_Savings!G18)</f>
        <v/>
      </c>
      <c r="E613" s="38" t="str">
        <f>IF(Agent04_Savings!A18="","",Agent04_Savings!D18)</f>
        <v/>
      </c>
      <c r="F613" s="39" t="str">
        <f>IF(Agent04_Savings!A18="","",Agent04_Savings!E18)</f>
        <v/>
      </c>
      <c r="G613" s="39" t="str">
        <f>IF(Agent04_Savings!A18="","",Agent04_Savings!F18)</f>
        <v/>
      </c>
      <c r="H613" s="37" t="str">
        <f>IF(Agent04_Savings!A18="","",Agent04_Savings!I18)</f>
        <v/>
      </c>
      <c r="I613" s="37" t="str">
        <f>IF(Agent04_Savings!A18="","",Agent04_Savings!J18)</f>
        <v/>
      </c>
      <c r="J613" s="37" t="str">
        <f>IF(Agent04_Savings!A18="","",Agent04_Savings!K18)</f>
        <v/>
      </c>
      <c r="K613" s="37" t="str">
        <f>IFERROR(IF(Agent04_Savings!A18="","",YEAR(Agent04_Savings!D18)),"")</f>
        <v/>
      </c>
    </row>
    <row r="614" spans="1:11" ht="18" customHeight="1" x14ac:dyDescent="0.25">
      <c r="A614" s="37" t="str">
        <f>IF(Agent04_Savings!A19="","",Agent04_Savings!A19)</f>
        <v/>
      </c>
      <c r="B614" s="37" t="str">
        <f ca="1">IF(Agent04_Savings!A19="","","SV"&amp;TEXT(614-3,"0000")&amp;"-"&amp;TEXT(TODAY(),"YYYYMMDD"))</f>
        <v/>
      </c>
      <c r="C614" s="37" t="str">
        <f>IF(Agent04_Savings!A19="","",Agent04_Savings!B19)</f>
        <v/>
      </c>
      <c r="D614" s="37" t="str">
        <f>IF(Agent04_Savings!A19="","",Agent04_Savings!G19)</f>
        <v/>
      </c>
      <c r="E614" s="38" t="str">
        <f>IF(Agent04_Savings!A19="","",Agent04_Savings!D19)</f>
        <v/>
      </c>
      <c r="F614" s="39" t="str">
        <f>IF(Agent04_Savings!A19="","",Agent04_Savings!E19)</f>
        <v/>
      </c>
      <c r="G614" s="39" t="str">
        <f>IF(Agent04_Savings!A19="","",Agent04_Savings!F19)</f>
        <v/>
      </c>
      <c r="H614" s="37" t="str">
        <f>IF(Agent04_Savings!A19="","",Agent04_Savings!I19)</f>
        <v/>
      </c>
      <c r="I614" s="37" t="str">
        <f>IF(Agent04_Savings!A19="","",Agent04_Savings!J19)</f>
        <v/>
      </c>
      <c r="J614" s="37" t="str">
        <f>IF(Agent04_Savings!A19="","",Agent04_Savings!K19)</f>
        <v/>
      </c>
      <c r="K614" s="37" t="str">
        <f>IFERROR(IF(Agent04_Savings!A19="","",YEAR(Agent04_Savings!D19)),"")</f>
        <v/>
      </c>
    </row>
    <row r="615" spans="1:11" ht="18" customHeight="1" x14ac:dyDescent="0.25">
      <c r="A615" s="37" t="str">
        <f>IF(Agent04_Savings!A20="","",Agent04_Savings!A20)</f>
        <v/>
      </c>
      <c r="B615" s="37" t="str">
        <f ca="1">IF(Agent04_Savings!A20="","","SV"&amp;TEXT(615-3,"0000")&amp;"-"&amp;TEXT(TODAY(),"YYYYMMDD"))</f>
        <v/>
      </c>
      <c r="C615" s="37" t="str">
        <f>IF(Agent04_Savings!A20="","",Agent04_Savings!B20)</f>
        <v/>
      </c>
      <c r="D615" s="37" t="str">
        <f>IF(Agent04_Savings!A20="","",Agent04_Savings!G20)</f>
        <v/>
      </c>
      <c r="E615" s="38" t="str">
        <f>IF(Agent04_Savings!A20="","",Agent04_Savings!D20)</f>
        <v/>
      </c>
      <c r="F615" s="39" t="str">
        <f>IF(Agent04_Savings!A20="","",Agent04_Savings!E20)</f>
        <v/>
      </c>
      <c r="G615" s="39" t="str">
        <f>IF(Agent04_Savings!A20="","",Agent04_Savings!F20)</f>
        <v/>
      </c>
      <c r="H615" s="37" t="str">
        <f>IF(Agent04_Savings!A20="","",Agent04_Savings!I20)</f>
        <v/>
      </c>
      <c r="I615" s="37" t="str">
        <f>IF(Agent04_Savings!A20="","",Agent04_Savings!J20)</f>
        <v/>
      </c>
      <c r="J615" s="37" t="str">
        <f>IF(Agent04_Savings!A20="","",Agent04_Savings!K20)</f>
        <v/>
      </c>
      <c r="K615" s="37" t="str">
        <f>IFERROR(IF(Agent04_Savings!A20="","",YEAR(Agent04_Savings!D20)),"")</f>
        <v/>
      </c>
    </row>
    <row r="616" spans="1:11" ht="18" customHeight="1" x14ac:dyDescent="0.25">
      <c r="A616" s="37" t="str">
        <f>IF(Agent04_Savings!A21="","",Agent04_Savings!A21)</f>
        <v/>
      </c>
      <c r="B616" s="37" t="str">
        <f ca="1">IF(Agent04_Savings!A21="","","SV"&amp;TEXT(616-3,"0000")&amp;"-"&amp;TEXT(TODAY(),"YYYYMMDD"))</f>
        <v/>
      </c>
      <c r="C616" s="37" t="str">
        <f>IF(Agent04_Savings!A21="","",Agent04_Savings!B21)</f>
        <v/>
      </c>
      <c r="D616" s="37" t="str">
        <f>IF(Agent04_Savings!A21="","",Agent04_Savings!G21)</f>
        <v/>
      </c>
      <c r="E616" s="38" t="str">
        <f>IF(Agent04_Savings!A21="","",Agent04_Savings!D21)</f>
        <v/>
      </c>
      <c r="F616" s="39" t="str">
        <f>IF(Agent04_Savings!A21="","",Agent04_Savings!E21)</f>
        <v/>
      </c>
      <c r="G616" s="39" t="str">
        <f>IF(Agent04_Savings!A21="","",Agent04_Savings!F21)</f>
        <v/>
      </c>
      <c r="H616" s="37" t="str">
        <f>IF(Agent04_Savings!A21="","",Agent04_Savings!I21)</f>
        <v/>
      </c>
      <c r="I616" s="37" t="str">
        <f>IF(Agent04_Savings!A21="","",Agent04_Savings!J21)</f>
        <v/>
      </c>
      <c r="J616" s="37" t="str">
        <f>IF(Agent04_Savings!A21="","",Agent04_Savings!K21)</f>
        <v/>
      </c>
      <c r="K616" s="37" t="str">
        <f>IFERROR(IF(Agent04_Savings!A21="","",YEAR(Agent04_Savings!D21)),"")</f>
        <v/>
      </c>
    </row>
    <row r="617" spans="1:11" ht="18" customHeight="1" x14ac:dyDescent="0.25">
      <c r="A617" s="37" t="str">
        <f>IF(Agent04_Savings!A22="","",Agent04_Savings!A22)</f>
        <v/>
      </c>
      <c r="B617" s="37" t="str">
        <f ca="1">IF(Agent04_Savings!A22="","","SV"&amp;TEXT(617-3,"0000")&amp;"-"&amp;TEXT(TODAY(),"YYYYMMDD"))</f>
        <v/>
      </c>
      <c r="C617" s="37" t="str">
        <f>IF(Agent04_Savings!A22="","",Agent04_Savings!B22)</f>
        <v/>
      </c>
      <c r="D617" s="37" t="str">
        <f>IF(Agent04_Savings!A22="","",Agent04_Savings!G22)</f>
        <v/>
      </c>
      <c r="E617" s="38" t="str">
        <f>IF(Agent04_Savings!A22="","",Agent04_Savings!D22)</f>
        <v/>
      </c>
      <c r="F617" s="39" t="str">
        <f>IF(Agent04_Savings!A22="","",Agent04_Savings!E22)</f>
        <v/>
      </c>
      <c r="G617" s="39" t="str">
        <f>IF(Agent04_Savings!A22="","",Agent04_Savings!F22)</f>
        <v/>
      </c>
      <c r="H617" s="37" t="str">
        <f>IF(Agent04_Savings!A22="","",Agent04_Savings!I22)</f>
        <v/>
      </c>
      <c r="I617" s="37" t="str">
        <f>IF(Agent04_Savings!A22="","",Agent04_Savings!J22)</f>
        <v/>
      </c>
      <c r="J617" s="37" t="str">
        <f>IF(Agent04_Savings!A22="","",Agent04_Savings!K22)</f>
        <v/>
      </c>
      <c r="K617" s="37" t="str">
        <f>IFERROR(IF(Agent04_Savings!A22="","",YEAR(Agent04_Savings!D22)),"")</f>
        <v/>
      </c>
    </row>
    <row r="618" spans="1:11" ht="18" customHeight="1" x14ac:dyDescent="0.25">
      <c r="A618" s="37" t="str">
        <f>IF(Agent04_Savings!A23="","",Agent04_Savings!A23)</f>
        <v/>
      </c>
      <c r="B618" s="37" t="str">
        <f ca="1">IF(Agent04_Savings!A23="","","SV"&amp;TEXT(618-3,"0000")&amp;"-"&amp;TEXT(TODAY(),"YYYYMMDD"))</f>
        <v/>
      </c>
      <c r="C618" s="37" t="str">
        <f>IF(Agent04_Savings!A23="","",Agent04_Savings!B23)</f>
        <v/>
      </c>
      <c r="D618" s="37" t="str">
        <f>IF(Agent04_Savings!A23="","",Agent04_Savings!G23)</f>
        <v/>
      </c>
      <c r="E618" s="38" t="str">
        <f>IF(Agent04_Savings!A23="","",Agent04_Savings!D23)</f>
        <v/>
      </c>
      <c r="F618" s="39" t="str">
        <f>IF(Agent04_Savings!A23="","",Agent04_Savings!E23)</f>
        <v/>
      </c>
      <c r="G618" s="39" t="str">
        <f>IF(Agent04_Savings!A23="","",Agent04_Savings!F23)</f>
        <v/>
      </c>
      <c r="H618" s="37" t="str">
        <f>IF(Agent04_Savings!A23="","",Agent04_Savings!I23)</f>
        <v/>
      </c>
      <c r="I618" s="37" t="str">
        <f>IF(Agent04_Savings!A23="","",Agent04_Savings!J23)</f>
        <v/>
      </c>
      <c r="J618" s="37" t="str">
        <f>IF(Agent04_Savings!A23="","",Agent04_Savings!K23)</f>
        <v/>
      </c>
      <c r="K618" s="37" t="str">
        <f>IFERROR(IF(Agent04_Savings!A23="","",YEAR(Agent04_Savings!D23)),"")</f>
        <v/>
      </c>
    </row>
    <row r="619" spans="1:11" ht="18" customHeight="1" x14ac:dyDescent="0.25">
      <c r="A619" s="37" t="str">
        <f>IF(Agent04_Savings!A24="","",Agent04_Savings!A24)</f>
        <v/>
      </c>
      <c r="B619" s="37" t="str">
        <f ca="1">IF(Agent04_Savings!A24="","","SV"&amp;TEXT(619-3,"0000")&amp;"-"&amp;TEXT(TODAY(),"YYYYMMDD"))</f>
        <v/>
      </c>
      <c r="C619" s="37" t="str">
        <f>IF(Agent04_Savings!A24="","",Agent04_Savings!B24)</f>
        <v/>
      </c>
      <c r="D619" s="37" t="str">
        <f>IF(Agent04_Savings!A24="","",Agent04_Savings!G24)</f>
        <v/>
      </c>
      <c r="E619" s="38" t="str">
        <f>IF(Agent04_Savings!A24="","",Agent04_Savings!D24)</f>
        <v/>
      </c>
      <c r="F619" s="39" t="str">
        <f>IF(Agent04_Savings!A24="","",Agent04_Savings!E24)</f>
        <v/>
      </c>
      <c r="G619" s="39" t="str">
        <f>IF(Agent04_Savings!A24="","",Agent04_Savings!F24)</f>
        <v/>
      </c>
      <c r="H619" s="37" t="str">
        <f>IF(Agent04_Savings!A24="","",Agent04_Savings!I24)</f>
        <v/>
      </c>
      <c r="I619" s="37" t="str">
        <f>IF(Agent04_Savings!A24="","",Agent04_Savings!J24)</f>
        <v/>
      </c>
      <c r="J619" s="37" t="str">
        <f>IF(Agent04_Savings!A24="","",Agent04_Savings!K24)</f>
        <v/>
      </c>
      <c r="K619" s="37" t="str">
        <f>IFERROR(IF(Agent04_Savings!A24="","",YEAR(Agent04_Savings!D24)),"")</f>
        <v/>
      </c>
    </row>
    <row r="620" spans="1:11" ht="18" customHeight="1" x14ac:dyDescent="0.25">
      <c r="A620" s="37" t="str">
        <f>IF(Agent04_Savings!A25="","",Agent04_Savings!A25)</f>
        <v/>
      </c>
      <c r="B620" s="37" t="str">
        <f ca="1">IF(Agent04_Savings!A25="","","SV"&amp;TEXT(620-3,"0000")&amp;"-"&amp;TEXT(TODAY(),"YYYYMMDD"))</f>
        <v/>
      </c>
      <c r="C620" s="37" t="str">
        <f>IF(Agent04_Savings!A25="","",Agent04_Savings!B25)</f>
        <v/>
      </c>
      <c r="D620" s="37" t="str">
        <f>IF(Agent04_Savings!A25="","",Agent04_Savings!G25)</f>
        <v/>
      </c>
      <c r="E620" s="38" t="str">
        <f>IF(Agent04_Savings!A25="","",Agent04_Savings!D25)</f>
        <v/>
      </c>
      <c r="F620" s="39" t="str">
        <f>IF(Agent04_Savings!A25="","",Agent04_Savings!E25)</f>
        <v/>
      </c>
      <c r="G620" s="39" t="str">
        <f>IF(Agent04_Savings!A25="","",Agent04_Savings!F25)</f>
        <v/>
      </c>
      <c r="H620" s="37" t="str">
        <f>IF(Agent04_Savings!A25="","",Agent04_Savings!I25)</f>
        <v/>
      </c>
      <c r="I620" s="37" t="str">
        <f>IF(Agent04_Savings!A25="","",Agent04_Savings!J25)</f>
        <v/>
      </c>
      <c r="J620" s="37" t="str">
        <f>IF(Agent04_Savings!A25="","",Agent04_Savings!K25)</f>
        <v/>
      </c>
      <c r="K620" s="37" t="str">
        <f>IFERROR(IF(Agent04_Savings!A25="","",YEAR(Agent04_Savings!D25)),"")</f>
        <v/>
      </c>
    </row>
    <row r="621" spans="1:11" ht="18" customHeight="1" x14ac:dyDescent="0.25">
      <c r="A621" s="37" t="str">
        <f>IF(Agent04_Savings!A26="","",Agent04_Savings!A26)</f>
        <v/>
      </c>
      <c r="B621" s="37" t="str">
        <f ca="1">IF(Agent04_Savings!A26="","","SV"&amp;TEXT(621-3,"0000")&amp;"-"&amp;TEXT(TODAY(),"YYYYMMDD"))</f>
        <v/>
      </c>
      <c r="C621" s="37" t="str">
        <f>IF(Agent04_Savings!A26="","",Agent04_Savings!B26)</f>
        <v/>
      </c>
      <c r="D621" s="37" t="str">
        <f>IF(Agent04_Savings!A26="","",Agent04_Savings!G26)</f>
        <v/>
      </c>
      <c r="E621" s="38" t="str">
        <f>IF(Agent04_Savings!A26="","",Agent04_Savings!D26)</f>
        <v/>
      </c>
      <c r="F621" s="39" t="str">
        <f>IF(Agent04_Savings!A26="","",Agent04_Savings!E26)</f>
        <v/>
      </c>
      <c r="G621" s="39" t="str">
        <f>IF(Agent04_Savings!A26="","",Agent04_Savings!F26)</f>
        <v/>
      </c>
      <c r="H621" s="37" t="str">
        <f>IF(Agent04_Savings!A26="","",Agent04_Savings!I26)</f>
        <v/>
      </c>
      <c r="I621" s="37" t="str">
        <f>IF(Agent04_Savings!A26="","",Agent04_Savings!J26)</f>
        <v/>
      </c>
      <c r="J621" s="37" t="str">
        <f>IF(Agent04_Savings!A26="","",Agent04_Savings!K26)</f>
        <v/>
      </c>
      <c r="K621" s="37" t="str">
        <f>IFERROR(IF(Agent04_Savings!A26="","",YEAR(Agent04_Savings!D26)),"")</f>
        <v/>
      </c>
    </row>
    <row r="622" spans="1:11" ht="18" customHeight="1" x14ac:dyDescent="0.25">
      <c r="A622" s="37" t="str">
        <f>IF(Agent04_Savings!A27="","",Agent04_Savings!A27)</f>
        <v/>
      </c>
      <c r="B622" s="37" t="str">
        <f ca="1">IF(Agent04_Savings!A27="","","SV"&amp;TEXT(622-3,"0000")&amp;"-"&amp;TEXT(TODAY(),"YYYYMMDD"))</f>
        <v/>
      </c>
      <c r="C622" s="37" t="str">
        <f>IF(Agent04_Savings!A27="","",Agent04_Savings!B27)</f>
        <v/>
      </c>
      <c r="D622" s="37" t="str">
        <f>IF(Agent04_Savings!A27="","",Agent04_Savings!G27)</f>
        <v/>
      </c>
      <c r="E622" s="38" t="str">
        <f>IF(Agent04_Savings!A27="","",Agent04_Savings!D27)</f>
        <v/>
      </c>
      <c r="F622" s="39" t="str">
        <f>IF(Agent04_Savings!A27="","",Agent04_Savings!E27)</f>
        <v/>
      </c>
      <c r="G622" s="39" t="str">
        <f>IF(Agent04_Savings!A27="","",Agent04_Savings!F27)</f>
        <v/>
      </c>
      <c r="H622" s="37" t="str">
        <f>IF(Agent04_Savings!A27="","",Agent04_Savings!I27)</f>
        <v/>
      </c>
      <c r="I622" s="37" t="str">
        <f>IF(Agent04_Savings!A27="","",Agent04_Savings!J27)</f>
        <v/>
      </c>
      <c r="J622" s="37" t="str">
        <f>IF(Agent04_Savings!A27="","",Agent04_Savings!K27)</f>
        <v/>
      </c>
      <c r="K622" s="37" t="str">
        <f>IFERROR(IF(Agent04_Savings!A27="","",YEAR(Agent04_Savings!D27)),"")</f>
        <v/>
      </c>
    </row>
    <row r="623" spans="1:11" ht="18" customHeight="1" x14ac:dyDescent="0.25">
      <c r="A623" s="37" t="str">
        <f>IF(Agent04_Savings!A28="","",Agent04_Savings!A28)</f>
        <v/>
      </c>
      <c r="B623" s="37" t="str">
        <f ca="1">IF(Agent04_Savings!A28="","","SV"&amp;TEXT(623-3,"0000")&amp;"-"&amp;TEXT(TODAY(),"YYYYMMDD"))</f>
        <v/>
      </c>
      <c r="C623" s="37" t="str">
        <f>IF(Agent04_Savings!A28="","",Agent04_Savings!B28)</f>
        <v/>
      </c>
      <c r="D623" s="37" t="str">
        <f>IF(Agent04_Savings!A28="","",Agent04_Savings!G28)</f>
        <v/>
      </c>
      <c r="E623" s="38" t="str">
        <f>IF(Agent04_Savings!A28="","",Agent04_Savings!D28)</f>
        <v/>
      </c>
      <c r="F623" s="39" t="str">
        <f>IF(Agent04_Savings!A28="","",Agent04_Savings!E28)</f>
        <v/>
      </c>
      <c r="G623" s="39" t="str">
        <f>IF(Agent04_Savings!A28="","",Agent04_Savings!F28)</f>
        <v/>
      </c>
      <c r="H623" s="37" t="str">
        <f>IF(Agent04_Savings!A28="","",Agent04_Savings!I28)</f>
        <v/>
      </c>
      <c r="I623" s="37" t="str">
        <f>IF(Agent04_Savings!A28="","",Agent04_Savings!J28)</f>
        <v/>
      </c>
      <c r="J623" s="37" t="str">
        <f>IF(Agent04_Savings!A28="","",Agent04_Savings!K28)</f>
        <v/>
      </c>
      <c r="K623" s="37" t="str">
        <f>IFERROR(IF(Agent04_Savings!A28="","",YEAR(Agent04_Savings!D28)),"")</f>
        <v/>
      </c>
    </row>
    <row r="624" spans="1:11" ht="18" customHeight="1" x14ac:dyDescent="0.25">
      <c r="A624" s="37" t="str">
        <f>IF(Agent04_Savings!A29="","",Agent04_Savings!A29)</f>
        <v/>
      </c>
      <c r="B624" s="37" t="str">
        <f ca="1">IF(Agent04_Savings!A29="","","SV"&amp;TEXT(624-3,"0000")&amp;"-"&amp;TEXT(TODAY(),"YYYYMMDD"))</f>
        <v/>
      </c>
      <c r="C624" s="37" t="str">
        <f>IF(Agent04_Savings!A29="","",Agent04_Savings!B29)</f>
        <v/>
      </c>
      <c r="D624" s="37" t="str">
        <f>IF(Agent04_Savings!A29="","",Agent04_Savings!G29)</f>
        <v/>
      </c>
      <c r="E624" s="38" t="str">
        <f>IF(Agent04_Savings!A29="","",Agent04_Savings!D29)</f>
        <v/>
      </c>
      <c r="F624" s="39" t="str">
        <f>IF(Agent04_Savings!A29="","",Agent04_Savings!E29)</f>
        <v/>
      </c>
      <c r="G624" s="39" t="str">
        <f>IF(Agent04_Savings!A29="","",Agent04_Savings!F29)</f>
        <v/>
      </c>
      <c r="H624" s="37" t="str">
        <f>IF(Agent04_Savings!A29="","",Agent04_Savings!I29)</f>
        <v/>
      </c>
      <c r="I624" s="37" t="str">
        <f>IF(Agent04_Savings!A29="","",Agent04_Savings!J29)</f>
        <v/>
      </c>
      <c r="J624" s="37" t="str">
        <f>IF(Agent04_Savings!A29="","",Agent04_Savings!K29)</f>
        <v/>
      </c>
      <c r="K624" s="37" t="str">
        <f>IFERROR(IF(Agent04_Savings!A29="","",YEAR(Agent04_Savings!D29)),"")</f>
        <v/>
      </c>
    </row>
    <row r="625" spans="1:11" ht="18" customHeight="1" x14ac:dyDescent="0.25">
      <c r="A625" s="37" t="str">
        <f>IF(Agent04_Savings!A30="","",Agent04_Savings!A30)</f>
        <v/>
      </c>
      <c r="B625" s="37" t="str">
        <f ca="1">IF(Agent04_Savings!A30="","","SV"&amp;TEXT(625-3,"0000")&amp;"-"&amp;TEXT(TODAY(),"YYYYMMDD"))</f>
        <v/>
      </c>
      <c r="C625" s="37" t="str">
        <f>IF(Agent04_Savings!A30="","",Agent04_Savings!B30)</f>
        <v/>
      </c>
      <c r="D625" s="37" t="str">
        <f>IF(Agent04_Savings!A30="","",Agent04_Savings!G30)</f>
        <v/>
      </c>
      <c r="E625" s="38" t="str">
        <f>IF(Agent04_Savings!A30="","",Agent04_Savings!D30)</f>
        <v/>
      </c>
      <c r="F625" s="39" t="str">
        <f>IF(Agent04_Savings!A30="","",Agent04_Savings!E30)</f>
        <v/>
      </c>
      <c r="G625" s="39" t="str">
        <f>IF(Agent04_Savings!A30="","",Agent04_Savings!F30)</f>
        <v/>
      </c>
      <c r="H625" s="37" t="str">
        <f>IF(Agent04_Savings!A30="","",Agent04_Savings!I30)</f>
        <v/>
      </c>
      <c r="I625" s="37" t="str">
        <f>IF(Agent04_Savings!A30="","",Agent04_Savings!J30)</f>
        <v/>
      </c>
      <c r="J625" s="37" t="str">
        <f>IF(Agent04_Savings!A30="","",Agent04_Savings!K30)</f>
        <v/>
      </c>
      <c r="K625" s="37" t="str">
        <f>IFERROR(IF(Agent04_Savings!A30="","",YEAR(Agent04_Savings!D30)),"")</f>
        <v/>
      </c>
    </row>
    <row r="626" spans="1:11" ht="18" customHeight="1" x14ac:dyDescent="0.25">
      <c r="A626" s="37" t="str">
        <f>IF(Agent04_Savings!A31="","",Agent04_Savings!A31)</f>
        <v/>
      </c>
      <c r="B626" s="37" t="str">
        <f ca="1">IF(Agent04_Savings!A31="","","SV"&amp;TEXT(626-3,"0000")&amp;"-"&amp;TEXT(TODAY(),"YYYYMMDD"))</f>
        <v/>
      </c>
      <c r="C626" s="37" t="str">
        <f>IF(Agent04_Savings!A31="","",Agent04_Savings!B31)</f>
        <v/>
      </c>
      <c r="D626" s="37" t="str">
        <f>IF(Agent04_Savings!A31="","",Agent04_Savings!G31)</f>
        <v/>
      </c>
      <c r="E626" s="38" t="str">
        <f>IF(Agent04_Savings!A31="","",Agent04_Savings!D31)</f>
        <v/>
      </c>
      <c r="F626" s="39" t="str">
        <f>IF(Agent04_Savings!A31="","",Agent04_Savings!E31)</f>
        <v/>
      </c>
      <c r="G626" s="39" t="str">
        <f>IF(Agent04_Savings!A31="","",Agent04_Savings!F31)</f>
        <v/>
      </c>
      <c r="H626" s="37" t="str">
        <f>IF(Agent04_Savings!A31="","",Agent04_Savings!I31)</f>
        <v/>
      </c>
      <c r="I626" s="37" t="str">
        <f>IF(Agent04_Savings!A31="","",Agent04_Savings!J31)</f>
        <v/>
      </c>
      <c r="J626" s="37" t="str">
        <f>IF(Agent04_Savings!A31="","",Agent04_Savings!K31)</f>
        <v/>
      </c>
      <c r="K626" s="37" t="str">
        <f>IFERROR(IF(Agent04_Savings!A31="","",YEAR(Agent04_Savings!D31)),"")</f>
        <v/>
      </c>
    </row>
    <row r="627" spans="1:11" ht="18" customHeight="1" x14ac:dyDescent="0.25">
      <c r="A627" s="37" t="str">
        <f>IF(Agent04_Savings!A32="","",Agent04_Savings!A32)</f>
        <v/>
      </c>
      <c r="B627" s="37" t="str">
        <f ca="1">IF(Agent04_Savings!A32="","","SV"&amp;TEXT(627-3,"0000")&amp;"-"&amp;TEXT(TODAY(),"YYYYMMDD"))</f>
        <v/>
      </c>
      <c r="C627" s="37" t="str">
        <f>IF(Agent04_Savings!A32="","",Agent04_Savings!B32)</f>
        <v/>
      </c>
      <c r="D627" s="37" t="str">
        <f>IF(Agent04_Savings!A32="","",Agent04_Savings!G32)</f>
        <v/>
      </c>
      <c r="E627" s="38" t="str">
        <f>IF(Agent04_Savings!A32="","",Agent04_Savings!D32)</f>
        <v/>
      </c>
      <c r="F627" s="39" t="str">
        <f>IF(Agent04_Savings!A32="","",Agent04_Savings!E32)</f>
        <v/>
      </c>
      <c r="G627" s="39" t="str">
        <f>IF(Agent04_Savings!A32="","",Agent04_Savings!F32)</f>
        <v/>
      </c>
      <c r="H627" s="37" t="str">
        <f>IF(Agent04_Savings!A32="","",Agent04_Savings!I32)</f>
        <v/>
      </c>
      <c r="I627" s="37" t="str">
        <f>IF(Agent04_Savings!A32="","",Agent04_Savings!J32)</f>
        <v/>
      </c>
      <c r="J627" s="37" t="str">
        <f>IF(Agent04_Savings!A32="","",Agent04_Savings!K32)</f>
        <v/>
      </c>
      <c r="K627" s="37" t="str">
        <f>IFERROR(IF(Agent04_Savings!A32="","",YEAR(Agent04_Savings!D32)),"")</f>
        <v/>
      </c>
    </row>
    <row r="628" spans="1:11" ht="18" customHeight="1" x14ac:dyDescent="0.25">
      <c r="A628" s="37" t="str">
        <f>IF(Agent04_Savings!A33="","",Agent04_Savings!A33)</f>
        <v/>
      </c>
      <c r="B628" s="37" t="str">
        <f ca="1">IF(Agent04_Savings!A33="","","SV"&amp;TEXT(628-3,"0000")&amp;"-"&amp;TEXT(TODAY(),"YYYYMMDD"))</f>
        <v/>
      </c>
      <c r="C628" s="37" t="str">
        <f>IF(Agent04_Savings!A33="","",Agent04_Savings!B33)</f>
        <v/>
      </c>
      <c r="D628" s="37" t="str">
        <f>IF(Agent04_Savings!A33="","",Agent04_Savings!G33)</f>
        <v/>
      </c>
      <c r="E628" s="38" t="str">
        <f>IF(Agent04_Savings!A33="","",Agent04_Savings!D33)</f>
        <v/>
      </c>
      <c r="F628" s="39" t="str">
        <f>IF(Agent04_Savings!A33="","",Agent04_Savings!E33)</f>
        <v/>
      </c>
      <c r="G628" s="39" t="str">
        <f>IF(Agent04_Savings!A33="","",Agent04_Savings!F33)</f>
        <v/>
      </c>
      <c r="H628" s="37" t="str">
        <f>IF(Agent04_Savings!A33="","",Agent04_Savings!I33)</f>
        <v/>
      </c>
      <c r="I628" s="37" t="str">
        <f>IF(Agent04_Savings!A33="","",Agent04_Savings!J33)</f>
        <v/>
      </c>
      <c r="J628" s="37" t="str">
        <f>IF(Agent04_Savings!A33="","",Agent04_Savings!K33)</f>
        <v/>
      </c>
      <c r="K628" s="37" t="str">
        <f>IFERROR(IF(Agent04_Savings!A33="","",YEAR(Agent04_Savings!D33)),"")</f>
        <v/>
      </c>
    </row>
    <row r="629" spans="1:11" ht="18" customHeight="1" x14ac:dyDescent="0.25">
      <c r="A629" s="37" t="str">
        <f>IF(Agent04_Savings!A34="","",Agent04_Savings!A34)</f>
        <v/>
      </c>
      <c r="B629" s="37" t="str">
        <f ca="1">IF(Agent04_Savings!A34="","","SV"&amp;TEXT(629-3,"0000")&amp;"-"&amp;TEXT(TODAY(),"YYYYMMDD"))</f>
        <v/>
      </c>
      <c r="C629" s="37" t="str">
        <f>IF(Agent04_Savings!A34="","",Agent04_Savings!B34)</f>
        <v/>
      </c>
      <c r="D629" s="37" t="str">
        <f>IF(Agent04_Savings!A34="","",Agent04_Savings!G34)</f>
        <v/>
      </c>
      <c r="E629" s="38" t="str">
        <f>IF(Agent04_Savings!A34="","",Agent04_Savings!D34)</f>
        <v/>
      </c>
      <c r="F629" s="39" t="str">
        <f>IF(Agent04_Savings!A34="","",Agent04_Savings!E34)</f>
        <v/>
      </c>
      <c r="G629" s="39" t="str">
        <f>IF(Agent04_Savings!A34="","",Agent04_Savings!F34)</f>
        <v/>
      </c>
      <c r="H629" s="37" t="str">
        <f>IF(Agent04_Savings!A34="","",Agent04_Savings!I34)</f>
        <v/>
      </c>
      <c r="I629" s="37" t="str">
        <f>IF(Agent04_Savings!A34="","",Agent04_Savings!J34)</f>
        <v/>
      </c>
      <c r="J629" s="37" t="str">
        <f>IF(Agent04_Savings!A34="","",Agent04_Savings!K34)</f>
        <v/>
      </c>
      <c r="K629" s="37" t="str">
        <f>IFERROR(IF(Agent04_Savings!A34="","",YEAR(Agent04_Savings!D34)),"")</f>
        <v/>
      </c>
    </row>
    <row r="630" spans="1:11" ht="18" customHeight="1" x14ac:dyDescent="0.25">
      <c r="A630" s="37" t="str">
        <f>IF(Agent04_Savings!A35="","",Agent04_Savings!A35)</f>
        <v/>
      </c>
      <c r="B630" s="37" t="str">
        <f ca="1">IF(Agent04_Savings!A35="","","SV"&amp;TEXT(630-3,"0000")&amp;"-"&amp;TEXT(TODAY(),"YYYYMMDD"))</f>
        <v/>
      </c>
      <c r="C630" s="37" t="str">
        <f>IF(Agent04_Savings!A35="","",Agent04_Savings!B35)</f>
        <v/>
      </c>
      <c r="D630" s="37" t="str">
        <f>IF(Agent04_Savings!A35="","",Agent04_Savings!G35)</f>
        <v/>
      </c>
      <c r="E630" s="38" t="str">
        <f>IF(Agent04_Savings!A35="","",Agent04_Savings!D35)</f>
        <v/>
      </c>
      <c r="F630" s="39" t="str">
        <f>IF(Agent04_Savings!A35="","",Agent04_Savings!E35)</f>
        <v/>
      </c>
      <c r="G630" s="39" t="str">
        <f>IF(Agent04_Savings!A35="","",Agent04_Savings!F35)</f>
        <v/>
      </c>
      <c r="H630" s="37" t="str">
        <f>IF(Agent04_Savings!A35="","",Agent04_Savings!I35)</f>
        <v/>
      </c>
      <c r="I630" s="37" t="str">
        <f>IF(Agent04_Savings!A35="","",Agent04_Savings!J35)</f>
        <v/>
      </c>
      <c r="J630" s="37" t="str">
        <f>IF(Agent04_Savings!A35="","",Agent04_Savings!K35)</f>
        <v/>
      </c>
      <c r="K630" s="37" t="str">
        <f>IFERROR(IF(Agent04_Savings!A35="","",YEAR(Agent04_Savings!D35)),"")</f>
        <v/>
      </c>
    </row>
    <row r="631" spans="1:11" ht="18" customHeight="1" x14ac:dyDescent="0.25">
      <c r="A631" s="37" t="str">
        <f>IF(Agent04_Savings!A36="","",Agent04_Savings!A36)</f>
        <v/>
      </c>
      <c r="B631" s="37" t="str">
        <f ca="1">IF(Agent04_Savings!A36="","","SV"&amp;TEXT(631-3,"0000")&amp;"-"&amp;TEXT(TODAY(),"YYYYMMDD"))</f>
        <v/>
      </c>
      <c r="C631" s="37" t="str">
        <f>IF(Agent04_Savings!A36="","",Agent04_Savings!B36)</f>
        <v/>
      </c>
      <c r="D631" s="37" t="str">
        <f>IF(Agent04_Savings!A36="","",Agent04_Savings!G36)</f>
        <v/>
      </c>
      <c r="E631" s="38" t="str">
        <f>IF(Agent04_Savings!A36="","",Agent04_Savings!D36)</f>
        <v/>
      </c>
      <c r="F631" s="39" t="str">
        <f>IF(Agent04_Savings!A36="","",Agent04_Savings!E36)</f>
        <v/>
      </c>
      <c r="G631" s="39" t="str">
        <f>IF(Agent04_Savings!A36="","",Agent04_Savings!F36)</f>
        <v/>
      </c>
      <c r="H631" s="37" t="str">
        <f>IF(Agent04_Savings!A36="","",Agent04_Savings!I36)</f>
        <v/>
      </c>
      <c r="I631" s="37" t="str">
        <f>IF(Agent04_Savings!A36="","",Agent04_Savings!J36)</f>
        <v/>
      </c>
      <c r="J631" s="37" t="str">
        <f>IF(Agent04_Savings!A36="","",Agent04_Savings!K36)</f>
        <v/>
      </c>
      <c r="K631" s="37" t="str">
        <f>IFERROR(IF(Agent04_Savings!A36="","",YEAR(Agent04_Savings!D36)),"")</f>
        <v/>
      </c>
    </row>
    <row r="632" spans="1:11" ht="18" customHeight="1" x14ac:dyDescent="0.25">
      <c r="A632" s="37" t="str">
        <f>IF(Agent04_Savings!A37="","",Agent04_Savings!A37)</f>
        <v/>
      </c>
      <c r="B632" s="37" t="str">
        <f ca="1">IF(Agent04_Savings!A37="","","SV"&amp;TEXT(632-3,"0000")&amp;"-"&amp;TEXT(TODAY(),"YYYYMMDD"))</f>
        <v/>
      </c>
      <c r="C632" s="37" t="str">
        <f>IF(Agent04_Savings!A37="","",Agent04_Savings!B37)</f>
        <v/>
      </c>
      <c r="D632" s="37" t="str">
        <f>IF(Agent04_Savings!A37="","",Agent04_Savings!G37)</f>
        <v/>
      </c>
      <c r="E632" s="38" t="str">
        <f>IF(Agent04_Savings!A37="","",Agent04_Savings!D37)</f>
        <v/>
      </c>
      <c r="F632" s="39" t="str">
        <f>IF(Agent04_Savings!A37="","",Agent04_Savings!E37)</f>
        <v/>
      </c>
      <c r="G632" s="39" t="str">
        <f>IF(Agent04_Savings!A37="","",Agent04_Savings!F37)</f>
        <v/>
      </c>
      <c r="H632" s="37" t="str">
        <f>IF(Agent04_Savings!A37="","",Agent04_Savings!I37)</f>
        <v/>
      </c>
      <c r="I632" s="37" t="str">
        <f>IF(Agent04_Savings!A37="","",Agent04_Savings!J37)</f>
        <v/>
      </c>
      <c r="J632" s="37" t="str">
        <f>IF(Agent04_Savings!A37="","",Agent04_Savings!K37)</f>
        <v/>
      </c>
      <c r="K632" s="37" t="str">
        <f>IFERROR(IF(Agent04_Savings!A37="","",YEAR(Agent04_Savings!D37)),"")</f>
        <v/>
      </c>
    </row>
    <row r="633" spans="1:11" ht="18" customHeight="1" x14ac:dyDescent="0.25">
      <c r="A633" s="37" t="str">
        <f>IF(Agent04_Savings!A38="","",Agent04_Savings!A38)</f>
        <v/>
      </c>
      <c r="B633" s="37" t="str">
        <f ca="1">IF(Agent04_Savings!A38="","","SV"&amp;TEXT(633-3,"0000")&amp;"-"&amp;TEXT(TODAY(),"YYYYMMDD"))</f>
        <v/>
      </c>
      <c r="C633" s="37" t="str">
        <f>IF(Agent04_Savings!A38="","",Agent04_Savings!B38)</f>
        <v/>
      </c>
      <c r="D633" s="37" t="str">
        <f>IF(Agent04_Savings!A38="","",Agent04_Savings!G38)</f>
        <v/>
      </c>
      <c r="E633" s="38" t="str">
        <f>IF(Agent04_Savings!A38="","",Agent04_Savings!D38)</f>
        <v/>
      </c>
      <c r="F633" s="39" t="str">
        <f>IF(Agent04_Savings!A38="","",Agent04_Savings!E38)</f>
        <v/>
      </c>
      <c r="G633" s="39" t="str">
        <f>IF(Agent04_Savings!A38="","",Agent04_Savings!F38)</f>
        <v/>
      </c>
      <c r="H633" s="37" t="str">
        <f>IF(Agent04_Savings!A38="","",Agent04_Savings!I38)</f>
        <v/>
      </c>
      <c r="I633" s="37" t="str">
        <f>IF(Agent04_Savings!A38="","",Agent04_Savings!J38)</f>
        <v/>
      </c>
      <c r="J633" s="37" t="str">
        <f>IF(Agent04_Savings!A38="","",Agent04_Savings!K38)</f>
        <v/>
      </c>
      <c r="K633" s="37" t="str">
        <f>IFERROR(IF(Agent04_Savings!A38="","",YEAR(Agent04_Savings!D38)),"")</f>
        <v/>
      </c>
    </row>
    <row r="634" spans="1:11" ht="18" customHeight="1" x14ac:dyDescent="0.25">
      <c r="A634" s="37" t="str">
        <f>IF(Agent04_Savings!A39="","",Agent04_Savings!A39)</f>
        <v/>
      </c>
      <c r="B634" s="37" t="str">
        <f ca="1">IF(Agent04_Savings!A39="","","SV"&amp;TEXT(634-3,"0000")&amp;"-"&amp;TEXT(TODAY(),"YYYYMMDD"))</f>
        <v/>
      </c>
      <c r="C634" s="37" t="str">
        <f>IF(Agent04_Savings!A39="","",Agent04_Savings!B39)</f>
        <v/>
      </c>
      <c r="D634" s="37" t="str">
        <f>IF(Agent04_Savings!A39="","",Agent04_Savings!G39)</f>
        <v/>
      </c>
      <c r="E634" s="38" t="str">
        <f>IF(Agent04_Savings!A39="","",Agent04_Savings!D39)</f>
        <v/>
      </c>
      <c r="F634" s="39" t="str">
        <f>IF(Agent04_Savings!A39="","",Agent04_Savings!E39)</f>
        <v/>
      </c>
      <c r="G634" s="39" t="str">
        <f>IF(Agent04_Savings!A39="","",Agent04_Savings!F39)</f>
        <v/>
      </c>
      <c r="H634" s="37" t="str">
        <f>IF(Agent04_Savings!A39="","",Agent04_Savings!I39)</f>
        <v/>
      </c>
      <c r="I634" s="37" t="str">
        <f>IF(Agent04_Savings!A39="","",Agent04_Savings!J39)</f>
        <v/>
      </c>
      <c r="J634" s="37" t="str">
        <f>IF(Agent04_Savings!A39="","",Agent04_Savings!K39)</f>
        <v/>
      </c>
      <c r="K634" s="37" t="str">
        <f>IFERROR(IF(Agent04_Savings!A39="","",YEAR(Agent04_Savings!D39)),"")</f>
        <v/>
      </c>
    </row>
    <row r="635" spans="1:11" ht="18" customHeight="1" x14ac:dyDescent="0.25">
      <c r="A635" s="37" t="str">
        <f>IF(Agent04_Savings!A40="","",Agent04_Savings!A40)</f>
        <v/>
      </c>
      <c r="B635" s="37" t="str">
        <f ca="1">IF(Agent04_Savings!A40="","","SV"&amp;TEXT(635-3,"0000")&amp;"-"&amp;TEXT(TODAY(),"YYYYMMDD"))</f>
        <v/>
      </c>
      <c r="C635" s="37" t="str">
        <f>IF(Agent04_Savings!A40="","",Agent04_Savings!B40)</f>
        <v/>
      </c>
      <c r="D635" s="37" t="str">
        <f>IF(Agent04_Savings!A40="","",Agent04_Savings!G40)</f>
        <v/>
      </c>
      <c r="E635" s="38" t="str">
        <f>IF(Agent04_Savings!A40="","",Agent04_Savings!D40)</f>
        <v/>
      </c>
      <c r="F635" s="39" t="str">
        <f>IF(Agent04_Savings!A40="","",Agent04_Savings!E40)</f>
        <v/>
      </c>
      <c r="G635" s="39" t="str">
        <f>IF(Agent04_Savings!A40="","",Agent04_Savings!F40)</f>
        <v/>
      </c>
      <c r="H635" s="37" t="str">
        <f>IF(Agent04_Savings!A40="","",Agent04_Savings!I40)</f>
        <v/>
      </c>
      <c r="I635" s="37" t="str">
        <f>IF(Agent04_Savings!A40="","",Agent04_Savings!J40)</f>
        <v/>
      </c>
      <c r="J635" s="37" t="str">
        <f>IF(Agent04_Savings!A40="","",Agent04_Savings!K40)</f>
        <v/>
      </c>
      <c r="K635" s="37" t="str">
        <f>IFERROR(IF(Agent04_Savings!A40="","",YEAR(Agent04_Savings!D40)),"")</f>
        <v/>
      </c>
    </row>
    <row r="636" spans="1:11" ht="18" customHeight="1" x14ac:dyDescent="0.25">
      <c r="A636" s="37" t="str">
        <f>IF(Agent04_Savings!A41="","",Agent04_Savings!A41)</f>
        <v/>
      </c>
      <c r="B636" s="37" t="str">
        <f ca="1">IF(Agent04_Savings!A41="","","SV"&amp;TEXT(636-3,"0000")&amp;"-"&amp;TEXT(TODAY(),"YYYYMMDD"))</f>
        <v/>
      </c>
      <c r="C636" s="37" t="str">
        <f>IF(Agent04_Savings!A41="","",Agent04_Savings!B41)</f>
        <v/>
      </c>
      <c r="D636" s="37" t="str">
        <f>IF(Agent04_Savings!A41="","",Agent04_Savings!G41)</f>
        <v/>
      </c>
      <c r="E636" s="38" t="str">
        <f>IF(Agent04_Savings!A41="","",Agent04_Savings!D41)</f>
        <v/>
      </c>
      <c r="F636" s="39" t="str">
        <f>IF(Agent04_Savings!A41="","",Agent04_Savings!E41)</f>
        <v/>
      </c>
      <c r="G636" s="39" t="str">
        <f>IF(Agent04_Savings!A41="","",Agent04_Savings!F41)</f>
        <v/>
      </c>
      <c r="H636" s="37" t="str">
        <f>IF(Agent04_Savings!A41="","",Agent04_Savings!I41)</f>
        <v/>
      </c>
      <c r="I636" s="37" t="str">
        <f>IF(Agent04_Savings!A41="","",Agent04_Savings!J41)</f>
        <v/>
      </c>
      <c r="J636" s="37" t="str">
        <f>IF(Agent04_Savings!A41="","",Agent04_Savings!K41)</f>
        <v/>
      </c>
      <c r="K636" s="37" t="str">
        <f>IFERROR(IF(Agent04_Savings!A41="","",YEAR(Agent04_Savings!D41)),"")</f>
        <v/>
      </c>
    </row>
    <row r="637" spans="1:11" ht="18" customHeight="1" x14ac:dyDescent="0.25">
      <c r="A637" s="37" t="str">
        <f>IF(Agent04_Savings!A42="","",Agent04_Savings!A42)</f>
        <v/>
      </c>
      <c r="B637" s="37" t="str">
        <f ca="1">IF(Agent04_Savings!A42="","","SV"&amp;TEXT(637-3,"0000")&amp;"-"&amp;TEXT(TODAY(),"YYYYMMDD"))</f>
        <v/>
      </c>
      <c r="C637" s="37" t="str">
        <f>IF(Agent04_Savings!A42="","",Agent04_Savings!B42)</f>
        <v/>
      </c>
      <c r="D637" s="37" t="str">
        <f>IF(Agent04_Savings!A42="","",Agent04_Savings!G42)</f>
        <v/>
      </c>
      <c r="E637" s="38" t="str">
        <f>IF(Agent04_Savings!A42="","",Agent04_Savings!D42)</f>
        <v/>
      </c>
      <c r="F637" s="39" t="str">
        <f>IF(Agent04_Savings!A42="","",Agent04_Savings!E42)</f>
        <v/>
      </c>
      <c r="G637" s="39" t="str">
        <f>IF(Agent04_Savings!A42="","",Agent04_Savings!F42)</f>
        <v/>
      </c>
      <c r="H637" s="37" t="str">
        <f>IF(Agent04_Savings!A42="","",Agent04_Savings!I42)</f>
        <v/>
      </c>
      <c r="I637" s="37" t="str">
        <f>IF(Agent04_Savings!A42="","",Agent04_Savings!J42)</f>
        <v/>
      </c>
      <c r="J637" s="37" t="str">
        <f>IF(Agent04_Savings!A42="","",Agent04_Savings!K42)</f>
        <v/>
      </c>
      <c r="K637" s="37" t="str">
        <f>IFERROR(IF(Agent04_Savings!A42="","",YEAR(Agent04_Savings!D42)),"")</f>
        <v/>
      </c>
    </row>
    <row r="638" spans="1:11" ht="18" customHeight="1" x14ac:dyDescent="0.25">
      <c r="A638" s="37" t="str">
        <f>IF(Agent04_Savings!A43="","",Agent04_Savings!A43)</f>
        <v/>
      </c>
      <c r="B638" s="37" t="str">
        <f ca="1">IF(Agent04_Savings!A43="","","SV"&amp;TEXT(638-3,"0000")&amp;"-"&amp;TEXT(TODAY(),"YYYYMMDD"))</f>
        <v/>
      </c>
      <c r="C638" s="37" t="str">
        <f>IF(Agent04_Savings!A43="","",Agent04_Savings!B43)</f>
        <v/>
      </c>
      <c r="D638" s="37" t="str">
        <f>IF(Agent04_Savings!A43="","",Agent04_Savings!G43)</f>
        <v/>
      </c>
      <c r="E638" s="38" t="str">
        <f>IF(Agent04_Savings!A43="","",Agent04_Savings!D43)</f>
        <v/>
      </c>
      <c r="F638" s="39" t="str">
        <f>IF(Agent04_Savings!A43="","",Agent04_Savings!E43)</f>
        <v/>
      </c>
      <c r="G638" s="39" t="str">
        <f>IF(Agent04_Savings!A43="","",Agent04_Savings!F43)</f>
        <v/>
      </c>
      <c r="H638" s="37" t="str">
        <f>IF(Agent04_Savings!A43="","",Agent04_Savings!I43)</f>
        <v/>
      </c>
      <c r="I638" s="37" t="str">
        <f>IF(Agent04_Savings!A43="","",Agent04_Savings!J43)</f>
        <v/>
      </c>
      <c r="J638" s="37" t="str">
        <f>IF(Agent04_Savings!A43="","",Agent04_Savings!K43)</f>
        <v/>
      </c>
      <c r="K638" s="37" t="str">
        <f>IFERROR(IF(Agent04_Savings!A43="","",YEAR(Agent04_Savings!D43)),"")</f>
        <v/>
      </c>
    </row>
    <row r="639" spans="1:11" ht="18" customHeight="1" x14ac:dyDescent="0.25">
      <c r="A639" s="37" t="str">
        <f>IF(Agent04_Savings!A44="","",Agent04_Savings!A44)</f>
        <v/>
      </c>
      <c r="B639" s="37" t="str">
        <f ca="1">IF(Agent04_Savings!A44="","","SV"&amp;TEXT(639-3,"0000")&amp;"-"&amp;TEXT(TODAY(),"YYYYMMDD"))</f>
        <v/>
      </c>
      <c r="C639" s="37" t="str">
        <f>IF(Agent04_Savings!A44="","",Agent04_Savings!B44)</f>
        <v/>
      </c>
      <c r="D639" s="37" t="str">
        <f>IF(Agent04_Savings!A44="","",Agent04_Savings!G44)</f>
        <v/>
      </c>
      <c r="E639" s="38" t="str">
        <f>IF(Agent04_Savings!A44="","",Agent04_Savings!D44)</f>
        <v/>
      </c>
      <c r="F639" s="39" t="str">
        <f>IF(Agent04_Savings!A44="","",Agent04_Savings!E44)</f>
        <v/>
      </c>
      <c r="G639" s="39" t="str">
        <f>IF(Agent04_Savings!A44="","",Agent04_Savings!F44)</f>
        <v/>
      </c>
      <c r="H639" s="37" t="str">
        <f>IF(Agent04_Savings!A44="","",Agent04_Savings!I44)</f>
        <v/>
      </c>
      <c r="I639" s="37" t="str">
        <f>IF(Agent04_Savings!A44="","",Agent04_Savings!J44)</f>
        <v/>
      </c>
      <c r="J639" s="37" t="str">
        <f>IF(Agent04_Savings!A44="","",Agent04_Savings!K44)</f>
        <v/>
      </c>
      <c r="K639" s="37" t="str">
        <f>IFERROR(IF(Agent04_Savings!A44="","",YEAR(Agent04_Savings!D44)),"")</f>
        <v/>
      </c>
    </row>
    <row r="640" spans="1:11" ht="18" customHeight="1" x14ac:dyDescent="0.25">
      <c r="A640" s="37" t="str">
        <f>IF(Agent04_Savings!A45="","",Agent04_Savings!A45)</f>
        <v/>
      </c>
      <c r="B640" s="37" t="str">
        <f ca="1">IF(Agent04_Savings!A45="","","SV"&amp;TEXT(640-3,"0000")&amp;"-"&amp;TEXT(TODAY(),"YYYYMMDD"))</f>
        <v/>
      </c>
      <c r="C640" s="37" t="str">
        <f>IF(Agent04_Savings!A45="","",Agent04_Savings!B45)</f>
        <v/>
      </c>
      <c r="D640" s="37" t="str">
        <f>IF(Agent04_Savings!A45="","",Agent04_Savings!G45)</f>
        <v/>
      </c>
      <c r="E640" s="38" t="str">
        <f>IF(Agent04_Savings!A45="","",Agent04_Savings!D45)</f>
        <v/>
      </c>
      <c r="F640" s="39" t="str">
        <f>IF(Agent04_Savings!A45="","",Agent04_Savings!E45)</f>
        <v/>
      </c>
      <c r="G640" s="39" t="str">
        <f>IF(Agent04_Savings!A45="","",Agent04_Savings!F45)</f>
        <v/>
      </c>
      <c r="H640" s="37" t="str">
        <f>IF(Agent04_Savings!A45="","",Agent04_Savings!I45)</f>
        <v/>
      </c>
      <c r="I640" s="37" t="str">
        <f>IF(Agent04_Savings!A45="","",Agent04_Savings!J45)</f>
        <v/>
      </c>
      <c r="J640" s="37" t="str">
        <f>IF(Agent04_Savings!A45="","",Agent04_Savings!K45)</f>
        <v/>
      </c>
      <c r="K640" s="37" t="str">
        <f>IFERROR(IF(Agent04_Savings!A45="","",YEAR(Agent04_Savings!D45)),"")</f>
        <v/>
      </c>
    </row>
    <row r="641" spans="1:11" ht="18" customHeight="1" x14ac:dyDescent="0.25">
      <c r="A641" s="37" t="str">
        <f>IF(Agent04_Savings!A46="","",Agent04_Savings!A46)</f>
        <v/>
      </c>
      <c r="B641" s="37" t="str">
        <f ca="1">IF(Agent04_Savings!A46="","","SV"&amp;TEXT(641-3,"0000")&amp;"-"&amp;TEXT(TODAY(),"YYYYMMDD"))</f>
        <v/>
      </c>
      <c r="C641" s="37" t="str">
        <f>IF(Agent04_Savings!A46="","",Agent04_Savings!B46)</f>
        <v/>
      </c>
      <c r="D641" s="37" t="str">
        <f>IF(Agent04_Savings!A46="","",Agent04_Savings!G46)</f>
        <v/>
      </c>
      <c r="E641" s="38" t="str">
        <f>IF(Agent04_Savings!A46="","",Agent04_Savings!D46)</f>
        <v/>
      </c>
      <c r="F641" s="39" t="str">
        <f>IF(Agent04_Savings!A46="","",Agent04_Savings!E46)</f>
        <v/>
      </c>
      <c r="G641" s="39" t="str">
        <f>IF(Agent04_Savings!A46="","",Agent04_Savings!F46)</f>
        <v/>
      </c>
      <c r="H641" s="37" t="str">
        <f>IF(Agent04_Savings!A46="","",Agent04_Savings!I46)</f>
        <v/>
      </c>
      <c r="I641" s="37" t="str">
        <f>IF(Agent04_Savings!A46="","",Agent04_Savings!J46)</f>
        <v/>
      </c>
      <c r="J641" s="37" t="str">
        <f>IF(Agent04_Savings!A46="","",Agent04_Savings!K46)</f>
        <v/>
      </c>
      <c r="K641" s="37" t="str">
        <f>IFERROR(IF(Agent04_Savings!A46="","",YEAR(Agent04_Savings!D46)),"")</f>
        <v/>
      </c>
    </row>
    <row r="642" spans="1:11" ht="18" customHeight="1" x14ac:dyDescent="0.25">
      <c r="A642" s="37" t="str">
        <f>IF(Agent04_Savings!A47="","",Agent04_Savings!A47)</f>
        <v/>
      </c>
      <c r="B642" s="37" t="str">
        <f ca="1">IF(Agent04_Savings!A47="","","SV"&amp;TEXT(642-3,"0000")&amp;"-"&amp;TEXT(TODAY(),"YYYYMMDD"))</f>
        <v/>
      </c>
      <c r="C642" s="37" t="str">
        <f>IF(Agent04_Savings!A47="","",Agent04_Savings!B47)</f>
        <v/>
      </c>
      <c r="D642" s="37" t="str">
        <f>IF(Agent04_Savings!A47="","",Agent04_Savings!G47)</f>
        <v/>
      </c>
      <c r="E642" s="38" t="str">
        <f>IF(Agent04_Savings!A47="","",Agent04_Savings!D47)</f>
        <v/>
      </c>
      <c r="F642" s="39" t="str">
        <f>IF(Agent04_Savings!A47="","",Agent04_Savings!E47)</f>
        <v/>
      </c>
      <c r="G642" s="39" t="str">
        <f>IF(Agent04_Savings!A47="","",Agent04_Savings!F47)</f>
        <v/>
      </c>
      <c r="H642" s="37" t="str">
        <f>IF(Agent04_Savings!A47="","",Agent04_Savings!I47)</f>
        <v/>
      </c>
      <c r="I642" s="37" t="str">
        <f>IF(Agent04_Savings!A47="","",Agent04_Savings!J47)</f>
        <v/>
      </c>
      <c r="J642" s="37" t="str">
        <f>IF(Agent04_Savings!A47="","",Agent04_Savings!K47)</f>
        <v/>
      </c>
      <c r="K642" s="37" t="str">
        <f>IFERROR(IF(Agent04_Savings!A47="","",YEAR(Agent04_Savings!D47)),"")</f>
        <v/>
      </c>
    </row>
    <row r="643" spans="1:11" ht="18" customHeight="1" x14ac:dyDescent="0.25">
      <c r="A643" s="37" t="str">
        <f>IF(Agent04_Savings!A48="","",Agent04_Savings!A48)</f>
        <v/>
      </c>
      <c r="B643" s="37" t="str">
        <f ca="1">IF(Agent04_Savings!A48="","","SV"&amp;TEXT(643-3,"0000")&amp;"-"&amp;TEXT(TODAY(),"YYYYMMDD"))</f>
        <v/>
      </c>
      <c r="C643" s="37" t="str">
        <f>IF(Agent04_Savings!A48="","",Agent04_Savings!B48)</f>
        <v/>
      </c>
      <c r="D643" s="37" t="str">
        <f>IF(Agent04_Savings!A48="","",Agent04_Savings!G48)</f>
        <v/>
      </c>
      <c r="E643" s="38" t="str">
        <f>IF(Agent04_Savings!A48="","",Agent04_Savings!D48)</f>
        <v/>
      </c>
      <c r="F643" s="39" t="str">
        <f>IF(Agent04_Savings!A48="","",Agent04_Savings!E48)</f>
        <v/>
      </c>
      <c r="G643" s="39" t="str">
        <f>IF(Agent04_Savings!A48="","",Agent04_Savings!F48)</f>
        <v/>
      </c>
      <c r="H643" s="37" t="str">
        <f>IF(Agent04_Savings!A48="","",Agent04_Savings!I48)</f>
        <v/>
      </c>
      <c r="I643" s="37" t="str">
        <f>IF(Agent04_Savings!A48="","",Agent04_Savings!J48)</f>
        <v/>
      </c>
      <c r="J643" s="37" t="str">
        <f>IF(Agent04_Savings!A48="","",Agent04_Savings!K48)</f>
        <v/>
      </c>
      <c r="K643" s="37" t="str">
        <f>IFERROR(IF(Agent04_Savings!A48="","",YEAR(Agent04_Savings!D48)),"")</f>
        <v/>
      </c>
    </row>
    <row r="644" spans="1:11" ht="18" customHeight="1" x14ac:dyDescent="0.25">
      <c r="A644" s="37" t="str">
        <f>IF(Agent04_Savings!A49="","",Agent04_Savings!A49)</f>
        <v/>
      </c>
      <c r="B644" s="37" t="str">
        <f ca="1">IF(Agent04_Savings!A49="","","SV"&amp;TEXT(644-3,"0000")&amp;"-"&amp;TEXT(TODAY(),"YYYYMMDD"))</f>
        <v/>
      </c>
      <c r="C644" s="37" t="str">
        <f>IF(Agent04_Savings!A49="","",Agent04_Savings!B49)</f>
        <v/>
      </c>
      <c r="D644" s="37" t="str">
        <f>IF(Agent04_Savings!A49="","",Agent04_Savings!G49)</f>
        <v/>
      </c>
      <c r="E644" s="38" t="str">
        <f>IF(Agent04_Savings!A49="","",Agent04_Savings!D49)</f>
        <v/>
      </c>
      <c r="F644" s="39" t="str">
        <f>IF(Agent04_Savings!A49="","",Agent04_Savings!E49)</f>
        <v/>
      </c>
      <c r="G644" s="39" t="str">
        <f>IF(Agent04_Savings!A49="","",Agent04_Savings!F49)</f>
        <v/>
      </c>
      <c r="H644" s="37" t="str">
        <f>IF(Agent04_Savings!A49="","",Agent04_Savings!I49)</f>
        <v/>
      </c>
      <c r="I644" s="37" t="str">
        <f>IF(Agent04_Savings!A49="","",Agent04_Savings!J49)</f>
        <v/>
      </c>
      <c r="J644" s="37" t="str">
        <f>IF(Agent04_Savings!A49="","",Agent04_Savings!K49)</f>
        <v/>
      </c>
      <c r="K644" s="37" t="str">
        <f>IFERROR(IF(Agent04_Savings!A49="","",YEAR(Agent04_Savings!D49)),"")</f>
        <v/>
      </c>
    </row>
    <row r="645" spans="1:11" ht="18" customHeight="1" x14ac:dyDescent="0.25">
      <c r="A645" s="37" t="str">
        <f>IF(Agent04_Savings!A50="","",Agent04_Savings!A50)</f>
        <v/>
      </c>
      <c r="B645" s="37" t="str">
        <f ca="1">IF(Agent04_Savings!A50="","","SV"&amp;TEXT(645-3,"0000")&amp;"-"&amp;TEXT(TODAY(),"YYYYMMDD"))</f>
        <v/>
      </c>
      <c r="C645" s="37" t="str">
        <f>IF(Agent04_Savings!A50="","",Agent04_Savings!B50)</f>
        <v/>
      </c>
      <c r="D645" s="37" t="str">
        <f>IF(Agent04_Savings!A50="","",Agent04_Savings!G50)</f>
        <v/>
      </c>
      <c r="E645" s="38" t="str">
        <f>IF(Agent04_Savings!A50="","",Agent04_Savings!D50)</f>
        <v/>
      </c>
      <c r="F645" s="39" t="str">
        <f>IF(Agent04_Savings!A50="","",Agent04_Savings!E50)</f>
        <v/>
      </c>
      <c r="G645" s="39" t="str">
        <f>IF(Agent04_Savings!A50="","",Agent04_Savings!F50)</f>
        <v/>
      </c>
      <c r="H645" s="37" t="str">
        <f>IF(Agent04_Savings!A50="","",Agent04_Savings!I50)</f>
        <v/>
      </c>
      <c r="I645" s="37" t="str">
        <f>IF(Agent04_Savings!A50="","",Agent04_Savings!J50)</f>
        <v/>
      </c>
      <c r="J645" s="37" t="str">
        <f>IF(Agent04_Savings!A50="","",Agent04_Savings!K50)</f>
        <v/>
      </c>
      <c r="K645" s="37" t="str">
        <f>IFERROR(IF(Agent04_Savings!A50="","",YEAR(Agent04_Savings!D50)),"")</f>
        <v/>
      </c>
    </row>
    <row r="646" spans="1:11" ht="18" customHeight="1" x14ac:dyDescent="0.25">
      <c r="A646" s="37" t="str">
        <f>IF(Agent04_Savings!A51="","",Agent04_Savings!A51)</f>
        <v/>
      </c>
      <c r="B646" s="37" t="str">
        <f ca="1">IF(Agent04_Savings!A51="","","SV"&amp;TEXT(646-3,"0000")&amp;"-"&amp;TEXT(TODAY(),"YYYYMMDD"))</f>
        <v/>
      </c>
      <c r="C646" s="37" t="str">
        <f>IF(Agent04_Savings!A51="","",Agent04_Savings!B51)</f>
        <v/>
      </c>
      <c r="D646" s="37" t="str">
        <f>IF(Agent04_Savings!A51="","",Agent04_Savings!G51)</f>
        <v/>
      </c>
      <c r="E646" s="38" t="str">
        <f>IF(Agent04_Savings!A51="","",Agent04_Savings!D51)</f>
        <v/>
      </c>
      <c r="F646" s="39" t="str">
        <f>IF(Agent04_Savings!A51="","",Agent04_Savings!E51)</f>
        <v/>
      </c>
      <c r="G646" s="39" t="str">
        <f>IF(Agent04_Savings!A51="","",Agent04_Savings!F51)</f>
        <v/>
      </c>
      <c r="H646" s="37" t="str">
        <f>IF(Agent04_Savings!A51="","",Agent04_Savings!I51)</f>
        <v/>
      </c>
      <c r="I646" s="37" t="str">
        <f>IF(Agent04_Savings!A51="","",Agent04_Savings!J51)</f>
        <v/>
      </c>
      <c r="J646" s="37" t="str">
        <f>IF(Agent04_Savings!A51="","",Agent04_Savings!K51)</f>
        <v/>
      </c>
      <c r="K646" s="37" t="str">
        <f>IFERROR(IF(Agent04_Savings!A51="","",YEAR(Agent04_Savings!D51)),"")</f>
        <v/>
      </c>
    </row>
    <row r="647" spans="1:11" ht="18" customHeight="1" x14ac:dyDescent="0.25">
      <c r="A647" s="37" t="str">
        <f>IF(Agent04_Savings!A52="","",Agent04_Savings!A52)</f>
        <v/>
      </c>
      <c r="B647" s="37" t="str">
        <f ca="1">IF(Agent04_Savings!A52="","","SV"&amp;TEXT(647-3,"0000")&amp;"-"&amp;TEXT(TODAY(),"YYYYMMDD"))</f>
        <v/>
      </c>
      <c r="C647" s="37" t="str">
        <f>IF(Agent04_Savings!A52="","",Agent04_Savings!B52)</f>
        <v/>
      </c>
      <c r="D647" s="37" t="str">
        <f>IF(Agent04_Savings!A52="","",Agent04_Savings!G52)</f>
        <v/>
      </c>
      <c r="E647" s="38" t="str">
        <f>IF(Agent04_Savings!A52="","",Agent04_Savings!D52)</f>
        <v/>
      </c>
      <c r="F647" s="39" t="str">
        <f>IF(Agent04_Savings!A52="","",Agent04_Savings!E52)</f>
        <v/>
      </c>
      <c r="G647" s="39" t="str">
        <f>IF(Agent04_Savings!A52="","",Agent04_Savings!F52)</f>
        <v/>
      </c>
      <c r="H647" s="37" t="str">
        <f>IF(Agent04_Savings!A52="","",Agent04_Savings!I52)</f>
        <v/>
      </c>
      <c r="I647" s="37" t="str">
        <f>IF(Agent04_Savings!A52="","",Agent04_Savings!J52)</f>
        <v/>
      </c>
      <c r="J647" s="37" t="str">
        <f>IF(Agent04_Savings!A52="","",Agent04_Savings!K52)</f>
        <v/>
      </c>
      <c r="K647" s="37" t="str">
        <f>IFERROR(IF(Agent04_Savings!A52="","",YEAR(Agent04_Savings!D52)),"")</f>
        <v/>
      </c>
    </row>
    <row r="648" spans="1:11" ht="18" customHeight="1" x14ac:dyDescent="0.25">
      <c r="A648" s="37" t="str">
        <f>IF(Agent04_Savings!A53="","",Agent04_Savings!A53)</f>
        <v/>
      </c>
      <c r="B648" s="37" t="str">
        <f ca="1">IF(Agent04_Savings!A53="","","SV"&amp;TEXT(648-3,"0000")&amp;"-"&amp;TEXT(TODAY(),"YYYYMMDD"))</f>
        <v/>
      </c>
      <c r="C648" s="37" t="str">
        <f>IF(Agent04_Savings!A53="","",Agent04_Savings!B53)</f>
        <v/>
      </c>
      <c r="D648" s="37" t="str">
        <f>IF(Agent04_Savings!A53="","",Agent04_Savings!G53)</f>
        <v/>
      </c>
      <c r="E648" s="38" t="str">
        <f>IF(Agent04_Savings!A53="","",Agent04_Savings!D53)</f>
        <v/>
      </c>
      <c r="F648" s="39" t="str">
        <f>IF(Agent04_Savings!A53="","",Agent04_Savings!E53)</f>
        <v/>
      </c>
      <c r="G648" s="39" t="str">
        <f>IF(Agent04_Savings!A53="","",Agent04_Savings!F53)</f>
        <v/>
      </c>
      <c r="H648" s="37" t="str">
        <f>IF(Agent04_Savings!A53="","",Agent04_Savings!I53)</f>
        <v/>
      </c>
      <c r="I648" s="37" t="str">
        <f>IF(Agent04_Savings!A53="","",Agent04_Savings!J53)</f>
        <v/>
      </c>
      <c r="J648" s="37" t="str">
        <f>IF(Agent04_Savings!A53="","",Agent04_Savings!K53)</f>
        <v/>
      </c>
      <c r="K648" s="37" t="str">
        <f>IFERROR(IF(Agent04_Savings!A53="","",YEAR(Agent04_Savings!D53)),"")</f>
        <v/>
      </c>
    </row>
    <row r="649" spans="1:11" ht="18" customHeight="1" x14ac:dyDescent="0.25">
      <c r="A649" s="37" t="str">
        <f>IF(Agent04_Savings!A54="","",Agent04_Savings!A54)</f>
        <v/>
      </c>
      <c r="B649" s="37" t="str">
        <f ca="1">IF(Agent04_Savings!A54="","","SV"&amp;TEXT(649-3,"0000")&amp;"-"&amp;TEXT(TODAY(),"YYYYMMDD"))</f>
        <v/>
      </c>
      <c r="C649" s="37" t="str">
        <f>IF(Agent04_Savings!A54="","",Agent04_Savings!B54)</f>
        <v/>
      </c>
      <c r="D649" s="37" t="str">
        <f>IF(Agent04_Savings!A54="","",Agent04_Savings!G54)</f>
        <v/>
      </c>
      <c r="E649" s="38" t="str">
        <f>IF(Agent04_Savings!A54="","",Agent04_Savings!D54)</f>
        <v/>
      </c>
      <c r="F649" s="39" t="str">
        <f>IF(Agent04_Savings!A54="","",Agent04_Savings!E54)</f>
        <v/>
      </c>
      <c r="G649" s="39" t="str">
        <f>IF(Agent04_Savings!A54="","",Agent04_Savings!F54)</f>
        <v/>
      </c>
      <c r="H649" s="37" t="str">
        <f>IF(Agent04_Savings!A54="","",Agent04_Savings!I54)</f>
        <v/>
      </c>
      <c r="I649" s="37" t="str">
        <f>IF(Agent04_Savings!A54="","",Agent04_Savings!J54)</f>
        <v/>
      </c>
      <c r="J649" s="37" t="str">
        <f>IF(Agent04_Savings!A54="","",Agent04_Savings!K54)</f>
        <v/>
      </c>
      <c r="K649" s="37" t="str">
        <f>IFERROR(IF(Agent04_Savings!A54="","",YEAR(Agent04_Savings!D54)),"")</f>
        <v/>
      </c>
    </row>
    <row r="650" spans="1:11" ht="18" customHeight="1" x14ac:dyDescent="0.25">
      <c r="A650" s="37" t="str">
        <f>IF(Agent04_Savings!A55="","",Agent04_Savings!A55)</f>
        <v/>
      </c>
      <c r="B650" s="37" t="str">
        <f ca="1">IF(Agent04_Savings!A55="","","SV"&amp;TEXT(650-3,"0000")&amp;"-"&amp;TEXT(TODAY(),"YYYYMMDD"))</f>
        <v/>
      </c>
      <c r="C650" s="37" t="str">
        <f>IF(Agent04_Savings!A55="","",Agent04_Savings!B55)</f>
        <v/>
      </c>
      <c r="D650" s="37" t="str">
        <f>IF(Agent04_Savings!A55="","",Agent04_Savings!G55)</f>
        <v/>
      </c>
      <c r="E650" s="38" t="str">
        <f>IF(Agent04_Savings!A55="","",Agent04_Savings!D55)</f>
        <v/>
      </c>
      <c r="F650" s="39" t="str">
        <f>IF(Agent04_Savings!A55="","",Agent04_Savings!E55)</f>
        <v/>
      </c>
      <c r="G650" s="39" t="str">
        <f>IF(Agent04_Savings!A55="","",Agent04_Savings!F55)</f>
        <v/>
      </c>
      <c r="H650" s="37" t="str">
        <f>IF(Agent04_Savings!A55="","",Agent04_Savings!I55)</f>
        <v/>
      </c>
      <c r="I650" s="37" t="str">
        <f>IF(Agent04_Savings!A55="","",Agent04_Savings!J55)</f>
        <v/>
      </c>
      <c r="J650" s="37" t="str">
        <f>IF(Agent04_Savings!A55="","",Agent04_Savings!K55)</f>
        <v/>
      </c>
      <c r="K650" s="37" t="str">
        <f>IFERROR(IF(Agent04_Savings!A55="","",YEAR(Agent04_Savings!D55)),"")</f>
        <v/>
      </c>
    </row>
    <row r="651" spans="1:11" ht="18" customHeight="1" x14ac:dyDescent="0.25">
      <c r="A651" s="37" t="str">
        <f>IF(Agent04_Savings!A56="","",Agent04_Savings!A56)</f>
        <v/>
      </c>
      <c r="B651" s="37" t="str">
        <f ca="1">IF(Agent04_Savings!A56="","","SV"&amp;TEXT(651-3,"0000")&amp;"-"&amp;TEXT(TODAY(),"YYYYMMDD"))</f>
        <v/>
      </c>
      <c r="C651" s="37" t="str">
        <f>IF(Agent04_Savings!A56="","",Agent04_Savings!B56)</f>
        <v/>
      </c>
      <c r="D651" s="37" t="str">
        <f>IF(Agent04_Savings!A56="","",Agent04_Savings!G56)</f>
        <v/>
      </c>
      <c r="E651" s="38" t="str">
        <f>IF(Agent04_Savings!A56="","",Agent04_Savings!D56)</f>
        <v/>
      </c>
      <c r="F651" s="39" t="str">
        <f>IF(Agent04_Savings!A56="","",Agent04_Savings!E56)</f>
        <v/>
      </c>
      <c r="G651" s="39" t="str">
        <f>IF(Agent04_Savings!A56="","",Agent04_Savings!F56)</f>
        <v/>
      </c>
      <c r="H651" s="37" t="str">
        <f>IF(Agent04_Savings!A56="","",Agent04_Savings!I56)</f>
        <v/>
      </c>
      <c r="I651" s="37" t="str">
        <f>IF(Agent04_Savings!A56="","",Agent04_Savings!J56)</f>
        <v/>
      </c>
      <c r="J651" s="37" t="str">
        <f>IF(Agent04_Savings!A56="","",Agent04_Savings!K56)</f>
        <v/>
      </c>
      <c r="K651" s="37" t="str">
        <f>IFERROR(IF(Agent04_Savings!A56="","",YEAR(Agent04_Savings!D56)),"")</f>
        <v/>
      </c>
    </row>
    <row r="652" spans="1:11" ht="18" customHeight="1" x14ac:dyDescent="0.25">
      <c r="A652" s="37" t="str">
        <f>IF(Agent04_Savings!A57="","",Agent04_Savings!A57)</f>
        <v/>
      </c>
      <c r="B652" s="37" t="str">
        <f ca="1">IF(Agent04_Savings!A57="","","SV"&amp;TEXT(652-3,"0000")&amp;"-"&amp;TEXT(TODAY(),"YYYYMMDD"))</f>
        <v/>
      </c>
      <c r="C652" s="37" t="str">
        <f>IF(Agent04_Savings!A57="","",Agent04_Savings!B57)</f>
        <v/>
      </c>
      <c r="D652" s="37" t="str">
        <f>IF(Agent04_Savings!A57="","",Agent04_Savings!G57)</f>
        <v/>
      </c>
      <c r="E652" s="38" t="str">
        <f>IF(Agent04_Savings!A57="","",Agent04_Savings!D57)</f>
        <v/>
      </c>
      <c r="F652" s="39" t="str">
        <f>IF(Agent04_Savings!A57="","",Agent04_Savings!E57)</f>
        <v/>
      </c>
      <c r="G652" s="39" t="str">
        <f>IF(Agent04_Savings!A57="","",Agent04_Savings!F57)</f>
        <v/>
      </c>
      <c r="H652" s="37" t="str">
        <f>IF(Agent04_Savings!A57="","",Agent04_Savings!I57)</f>
        <v/>
      </c>
      <c r="I652" s="37" t="str">
        <f>IF(Agent04_Savings!A57="","",Agent04_Savings!J57)</f>
        <v/>
      </c>
      <c r="J652" s="37" t="str">
        <f>IF(Agent04_Savings!A57="","",Agent04_Savings!K57)</f>
        <v/>
      </c>
      <c r="K652" s="37" t="str">
        <f>IFERROR(IF(Agent04_Savings!A57="","",YEAR(Agent04_Savings!D57)),"")</f>
        <v/>
      </c>
    </row>
    <row r="653" spans="1:11" ht="18" customHeight="1" x14ac:dyDescent="0.25">
      <c r="A653" s="37" t="str">
        <f>IF(Agent04_Savings!A58="","",Agent04_Savings!A58)</f>
        <v/>
      </c>
      <c r="B653" s="37" t="str">
        <f ca="1">IF(Agent04_Savings!A58="","","SV"&amp;TEXT(653-3,"0000")&amp;"-"&amp;TEXT(TODAY(),"YYYYMMDD"))</f>
        <v/>
      </c>
      <c r="C653" s="37" t="str">
        <f>IF(Agent04_Savings!A58="","",Agent04_Savings!B58)</f>
        <v/>
      </c>
      <c r="D653" s="37" t="str">
        <f>IF(Agent04_Savings!A58="","",Agent04_Savings!G58)</f>
        <v/>
      </c>
      <c r="E653" s="38" t="str">
        <f>IF(Agent04_Savings!A58="","",Agent04_Savings!D58)</f>
        <v/>
      </c>
      <c r="F653" s="39" t="str">
        <f>IF(Agent04_Savings!A58="","",Agent04_Savings!E58)</f>
        <v/>
      </c>
      <c r="G653" s="39" t="str">
        <f>IF(Agent04_Savings!A58="","",Agent04_Savings!F58)</f>
        <v/>
      </c>
      <c r="H653" s="37" t="str">
        <f>IF(Agent04_Savings!A58="","",Agent04_Savings!I58)</f>
        <v/>
      </c>
      <c r="I653" s="37" t="str">
        <f>IF(Agent04_Savings!A58="","",Agent04_Savings!J58)</f>
        <v/>
      </c>
      <c r="J653" s="37" t="str">
        <f>IF(Agent04_Savings!A58="","",Agent04_Savings!K58)</f>
        <v/>
      </c>
      <c r="K653" s="37" t="str">
        <f>IFERROR(IF(Agent04_Savings!A58="","",YEAR(Agent04_Savings!D58)),"")</f>
        <v/>
      </c>
    </row>
    <row r="654" spans="1:11" ht="18" customHeight="1" x14ac:dyDescent="0.25">
      <c r="A654" s="37" t="str">
        <f>IF(Agent04_Savings!A59="","",Agent04_Savings!A59)</f>
        <v/>
      </c>
      <c r="B654" s="37" t="str">
        <f ca="1">IF(Agent04_Savings!A59="","","SV"&amp;TEXT(654-3,"0000")&amp;"-"&amp;TEXT(TODAY(),"YYYYMMDD"))</f>
        <v/>
      </c>
      <c r="C654" s="37" t="str">
        <f>IF(Agent04_Savings!A59="","",Agent04_Savings!B59)</f>
        <v/>
      </c>
      <c r="D654" s="37" t="str">
        <f>IF(Agent04_Savings!A59="","",Agent04_Savings!G59)</f>
        <v/>
      </c>
      <c r="E654" s="38" t="str">
        <f>IF(Agent04_Savings!A59="","",Agent04_Savings!D59)</f>
        <v/>
      </c>
      <c r="F654" s="39" t="str">
        <f>IF(Agent04_Savings!A59="","",Agent04_Savings!E59)</f>
        <v/>
      </c>
      <c r="G654" s="39" t="str">
        <f>IF(Agent04_Savings!A59="","",Agent04_Savings!F59)</f>
        <v/>
      </c>
      <c r="H654" s="37" t="str">
        <f>IF(Agent04_Savings!A59="","",Agent04_Savings!I59)</f>
        <v/>
      </c>
      <c r="I654" s="37" t="str">
        <f>IF(Agent04_Savings!A59="","",Agent04_Savings!J59)</f>
        <v/>
      </c>
      <c r="J654" s="37" t="str">
        <f>IF(Agent04_Savings!A59="","",Agent04_Savings!K59)</f>
        <v/>
      </c>
      <c r="K654" s="37" t="str">
        <f>IFERROR(IF(Agent04_Savings!A59="","",YEAR(Agent04_Savings!D59)),"")</f>
        <v/>
      </c>
    </row>
    <row r="655" spans="1:11" ht="18" customHeight="1" x14ac:dyDescent="0.25">
      <c r="A655" s="37" t="str">
        <f>IF(Agent04_Savings!A60="","",Agent04_Savings!A60)</f>
        <v/>
      </c>
      <c r="B655" s="37" t="str">
        <f ca="1">IF(Agent04_Savings!A60="","","SV"&amp;TEXT(655-3,"0000")&amp;"-"&amp;TEXT(TODAY(),"YYYYMMDD"))</f>
        <v/>
      </c>
      <c r="C655" s="37" t="str">
        <f>IF(Agent04_Savings!A60="","",Agent04_Savings!B60)</f>
        <v/>
      </c>
      <c r="D655" s="37" t="str">
        <f>IF(Agent04_Savings!A60="","",Agent04_Savings!G60)</f>
        <v/>
      </c>
      <c r="E655" s="38" t="str">
        <f>IF(Agent04_Savings!A60="","",Agent04_Savings!D60)</f>
        <v/>
      </c>
      <c r="F655" s="39" t="str">
        <f>IF(Agent04_Savings!A60="","",Agent04_Savings!E60)</f>
        <v/>
      </c>
      <c r="G655" s="39" t="str">
        <f>IF(Agent04_Savings!A60="","",Agent04_Savings!F60)</f>
        <v/>
      </c>
      <c r="H655" s="37" t="str">
        <f>IF(Agent04_Savings!A60="","",Agent04_Savings!I60)</f>
        <v/>
      </c>
      <c r="I655" s="37" t="str">
        <f>IF(Agent04_Savings!A60="","",Agent04_Savings!J60)</f>
        <v/>
      </c>
      <c r="J655" s="37" t="str">
        <f>IF(Agent04_Savings!A60="","",Agent04_Savings!K60)</f>
        <v/>
      </c>
      <c r="K655" s="37" t="str">
        <f>IFERROR(IF(Agent04_Savings!A60="","",YEAR(Agent04_Savings!D60)),"")</f>
        <v/>
      </c>
    </row>
    <row r="656" spans="1:11" ht="18" customHeight="1" x14ac:dyDescent="0.25">
      <c r="A656" s="37" t="str">
        <f>IF(Agent04_Savings!A61="","",Agent04_Savings!A61)</f>
        <v/>
      </c>
      <c r="B656" s="37" t="str">
        <f ca="1">IF(Agent04_Savings!A61="","","SV"&amp;TEXT(656-3,"0000")&amp;"-"&amp;TEXT(TODAY(),"YYYYMMDD"))</f>
        <v/>
      </c>
      <c r="C656" s="37" t="str">
        <f>IF(Agent04_Savings!A61="","",Agent04_Savings!B61)</f>
        <v/>
      </c>
      <c r="D656" s="37" t="str">
        <f>IF(Agent04_Savings!A61="","",Agent04_Savings!G61)</f>
        <v/>
      </c>
      <c r="E656" s="38" t="str">
        <f>IF(Agent04_Savings!A61="","",Agent04_Savings!D61)</f>
        <v/>
      </c>
      <c r="F656" s="39" t="str">
        <f>IF(Agent04_Savings!A61="","",Agent04_Savings!E61)</f>
        <v/>
      </c>
      <c r="G656" s="39" t="str">
        <f>IF(Agent04_Savings!A61="","",Agent04_Savings!F61)</f>
        <v/>
      </c>
      <c r="H656" s="37" t="str">
        <f>IF(Agent04_Savings!A61="","",Agent04_Savings!I61)</f>
        <v/>
      </c>
      <c r="I656" s="37" t="str">
        <f>IF(Agent04_Savings!A61="","",Agent04_Savings!J61)</f>
        <v/>
      </c>
      <c r="J656" s="37" t="str">
        <f>IF(Agent04_Savings!A61="","",Agent04_Savings!K61)</f>
        <v/>
      </c>
      <c r="K656" s="37" t="str">
        <f>IFERROR(IF(Agent04_Savings!A61="","",YEAR(Agent04_Savings!D61)),"")</f>
        <v/>
      </c>
    </row>
    <row r="657" spans="1:11" ht="18" customHeight="1" x14ac:dyDescent="0.25">
      <c r="A657" s="37" t="str">
        <f>IF(Agent04_Savings!A62="","",Agent04_Savings!A62)</f>
        <v/>
      </c>
      <c r="B657" s="37" t="str">
        <f ca="1">IF(Agent04_Savings!A62="","","SV"&amp;TEXT(657-3,"0000")&amp;"-"&amp;TEXT(TODAY(),"YYYYMMDD"))</f>
        <v/>
      </c>
      <c r="C657" s="37" t="str">
        <f>IF(Agent04_Savings!A62="","",Agent04_Savings!B62)</f>
        <v/>
      </c>
      <c r="D657" s="37" t="str">
        <f>IF(Agent04_Savings!A62="","",Agent04_Savings!G62)</f>
        <v/>
      </c>
      <c r="E657" s="38" t="str">
        <f>IF(Agent04_Savings!A62="","",Agent04_Savings!D62)</f>
        <v/>
      </c>
      <c r="F657" s="39" t="str">
        <f>IF(Agent04_Savings!A62="","",Agent04_Savings!E62)</f>
        <v/>
      </c>
      <c r="G657" s="39" t="str">
        <f>IF(Agent04_Savings!A62="","",Agent04_Savings!F62)</f>
        <v/>
      </c>
      <c r="H657" s="37" t="str">
        <f>IF(Agent04_Savings!A62="","",Agent04_Savings!I62)</f>
        <v/>
      </c>
      <c r="I657" s="37" t="str">
        <f>IF(Agent04_Savings!A62="","",Agent04_Savings!J62)</f>
        <v/>
      </c>
      <c r="J657" s="37" t="str">
        <f>IF(Agent04_Savings!A62="","",Agent04_Savings!K62)</f>
        <v/>
      </c>
      <c r="K657" s="37" t="str">
        <f>IFERROR(IF(Agent04_Savings!A62="","",YEAR(Agent04_Savings!D62)),"")</f>
        <v/>
      </c>
    </row>
    <row r="658" spans="1:11" ht="18" customHeight="1" x14ac:dyDescent="0.25">
      <c r="A658" s="37" t="str">
        <f>IF(Agent04_Savings!A63="","",Agent04_Savings!A63)</f>
        <v/>
      </c>
      <c r="B658" s="37" t="str">
        <f ca="1">IF(Agent04_Savings!A63="","","SV"&amp;TEXT(658-3,"0000")&amp;"-"&amp;TEXT(TODAY(),"YYYYMMDD"))</f>
        <v/>
      </c>
      <c r="C658" s="37" t="str">
        <f>IF(Agent04_Savings!A63="","",Agent04_Savings!B63)</f>
        <v/>
      </c>
      <c r="D658" s="37" t="str">
        <f>IF(Agent04_Savings!A63="","",Agent04_Savings!G63)</f>
        <v/>
      </c>
      <c r="E658" s="38" t="str">
        <f>IF(Agent04_Savings!A63="","",Agent04_Savings!D63)</f>
        <v/>
      </c>
      <c r="F658" s="39" t="str">
        <f>IF(Agent04_Savings!A63="","",Agent04_Savings!E63)</f>
        <v/>
      </c>
      <c r="G658" s="39" t="str">
        <f>IF(Agent04_Savings!A63="","",Agent04_Savings!F63)</f>
        <v/>
      </c>
      <c r="H658" s="37" t="str">
        <f>IF(Agent04_Savings!A63="","",Agent04_Savings!I63)</f>
        <v/>
      </c>
      <c r="I658" s="37" t="str">
        <f>IF(Agent04_Savings!A63="","",Agent04_Savings!J63)</f>
        <v/>
      </c>
      <c r="J658" s="37" t="str">
        <f>IF(Agent04_Savings!A63="","",Agent04_Savings!K63)</f>
        <v/>
      </c>
      <c r="K658" s="37" t="str">
        <f>IFERROR(IF(Agent04_Savings!A63="","",YEAR(Agent04_Savings!D63)),"")</f>
        <v/>
      </c>
    </row>
    <row r="659" spans="1:11" ht="18" customHeight="1" x14ac:dyDescent="0.25">
      <c r="A659" s="37" t="str">
        <f>IF(Agent04_Savings!A64="","",Agent04_Savings!A64)</f>
        <v/>
      </c>
      <c r="B659" s="37" t="str">
        <f ca="1">IF(Agent04_Savings!A64="","","SV"&amp;TEXT(659-3,"0000")&amp;"-"&amp;TEXT(TODAY(),"YYYYMMDD"))</f>
        <v/>
      </c>
      <c r="C659" s="37" t="str">
        <f>IF(Agent04_Savings!A64="","",Agent04_Savings!B64)</f>
        <v/>
      </c>
      <c r="D659" s="37" t="str">
        <f>IF(Agent04_Savings!A64="","",Agent04_Savings!G64)</f>
        <v/>
      </c>
      <c r="E659" s="38" t="str">
        <f>IF(Agent04_Savings!A64="","",Agent04_Savings!D64)</f>
        <v/>
      </c>
      <c r="F659" s="39" t="str">
        <f>IF(Agent04_Savings!A64="","",Agent04_Savings!E64)</f>
        <v/>
      </c>
      <c r="G659" s="39" t="str">
        <f>IF(Agent04_Savings!A64="","",Agent04_Savings!F64)</f>
        <v/>
      </c>
      <c r="H659" s="37" t="str">
        <f>IF(Agent04_Savings!A64="","",Agent04_Savings!I64)</f>
        <v/>
      </c>
      <c r="I659" s="37" t="str">
        <f>IF(Agent04_Savings!A64="","",Agent04_Savings!J64)</f>
        <v/>
      </c>
      <c r="J659" s="37" t="str">
        <f>IF(Agent04_Savings!A64="","",Agent04_Savings!K64)</f>
        <v/>
      </c>
      <c r="K659" s="37" t="str">
        <f>IFERROR(IF(Agent04_Savings!A64="","",YEAR(Agent04_Savings!D64)),"")</f>
        <v/>
      </c>
    </row>
    <row r="660" spans="1:11" ht="18" customHeight="1" x14ac:dyDescent="0.25">
      <c r="A660" s="37" t="str">
        <f>IF(Agent04_Savings!A65="","",Agent04_Savings!A65)</f>
        <v/>
      </c>
      <c r="B660" s="37" t="str">
        <f ca="1">IF(Agent04_Savings!A65="","","SV"&amp;TEXT(660-3,"0000")&amp;"-"&amp;TEXT(TODAY(),"YYYYMMDD"))</f>
        <v/>
      </c>
      <c r="C660" s="37" t="str">
        <f>IF(Agent04_Savings!A65="","",Agent04_Savings!B65)</f>
        <v/>
      </c>
      <c r="D660" s="37" t="str">
        <f>IF(Agent04_Savings!A65="","",Agent04_Savings!G65)</f>
        <v/>
      </c>
      <c r="E660" s="38" t="str">
        <f>IF(Agent04_Savings!A65="","",Agent04_Savings!D65)</f>
        <v/>
      </c>
      <c r="F660" s="39" t="str">
        <f>IF(Agent04_Savings!A65="","",Agent04_Savings!E65)</f>
        <v/>
      </c>
      <c r="G660" s="39" t="str">
        <f>IF(Agent04_Savings!A65="","",Agent04_Savings!F65)</f>
        <v/>
      </c>
      <c r="H660" s="37" t="str">
        <f>IF(Agent04_Savings!A65="","",Agent04_Savings!I65)</f>
        <v/>
      </c>
      <c r="I660" s="37" t="str">
        <f>IF(Agent04_Savings!A65="","",Agent04_Savings!J65)</f>
        <v/>
      </c>
      <c r="J660" s="37" t="str">
        <f>IF(Agent04_Savings!A65="","",Agent04_Savings!K65)</f>
        <v/>
      </c>
      <c r="K660" s="37" t="str">
        <f>IFERROR(IF(Agent04_Savings!A65="","",YEAR(Agent04_Savings!D65)),"")</f>
        <v/>
      </c>
    </row>
    <row r="661" spans="1:11" ht="18" customHeight="1" x14ac:dyDescent="0.25">
      <c r="A661" s="37" t="str">
        <f>IF(Agent04_Savings!A66="","",Agent04_Savings!A66)</f>
        <v/>
      </c>
      <c r="B661" s="37" t="str">
        <f ca="1">IF(Agent04_Savings!A66="","","SV"&amp;TEXT(661-3,"0000")&amp;"-"&amp;TEXT(TODAY(),"YYYYMMDD"))</f>
        <v/>
      </c>
      <c r="C661" s="37" t="str">
        <f>IF(Agent04_Savings!A66="","",Agent04_Savings!B66)</f>
        <v/>
      </c>
      <c r="D661" s="37" t="str">
        <f>IF(Agent04_Savings!A66="","",Agent04_Savings!G66)</f>
        <v/>
      </c>
      <c r="E661" s="38" t="str">
        <f>IF(Agent04_Savings!A66="","",Agent04_Savings!D66)</f>
        <v/>
      </c>
      <c r="F661" s="39" t="str">
        <f>IF(Agent04_Savings!A66="","",Agent04_Savings!E66)</f>
        <v/>
      </c>
      <c r="G661" s="39" t="str">
        <f>IF(Agent04_Savings!A66="","",Agent04_Savings!F66)</f>
        <v/>
      </c>
      <c r="H661" s="37" t="str">
        <f>IF(Agent04_Savings!A66="","",Agent04_Savings!I66)</f>
        <v/>
      </c>
      <c r="I661" s="37" t="str">
        <f>IF(Agent04_Savings!A66="","",Agent04_Savings!J66)</f>
        <v/>
      </c>
      <c r="J661" s="37" t="str">
        <f>IF(Agent04_Savings!A66="","",Agent04_Savings!K66)</f>
        <v/>
      </c>
      <c r="K661" s="37" t="str">
        <f>IFERROR(IF(Agent04_Savings!A66="","",YEAR(Agent04_Savings!D66)),"")</f>
        <v/>
      </c>
    </row>
    <row r="662" spans="1:11" ht="18" customHeight="1" x14ac:dyDescent="0.25">
      <c r="A662" s="37" t="str">
        <f>IF(Agent04_Savings!A67="","",Agent04_Savings!A67)</f>
        <v/>
      </c>
      <c r="B662" s="37" t="str">
        <f ca="1">IF(Agent04_Savings!A67="","","SV"&amp;TEXT(662-3,"0000")&amp;"-"&amp;TEXT(TODAY(),"YYYYMMDD"))</f>
        <v/>
      </c>
      <c r="C662" s="37" t="str">
        <f>IF(Agent04_Savings!A67="","",Agent04_Savings!B67)</f>
        <v/>
      </c>
      <c r="D662" s="37" t="str">
        <f>IF(Agent04_Savings!A67="","",Agent04_Savings!G67)</f>
        <v/>
      </c>
      <c r="E662" s="38" t="str">
        <f>IF(Agent04_Savings!A67="","",Agent04_Savings!D67)</f>
        <v/>
      </c>
      <c r="F662" s="39" t="str">
        <f>IF(Agent04_Savings!A67="","",Agent04_Savings!E67)</f>
        <v/>
      </c>
      <c r="G662" s="39" t="str">
        <f>IF(Agent04_Savings!A67="","",Agent04_Savings!F67)</f>
        <v/>
      </c>
      <c r="H662" s="37" t="str">
        <f>IF(Agent04_Savings!A67="","",Agent04_Savings!I67)</f>
        <v/>
      </c>
      <c r="I662" s="37" t="str">
        <f>IF(Agent04_Savings!A67="","",Agent04_Savings!J67)</f>
        <v/>
      </c>
      <c r="J662" s="37" t="str">
        <f>IF(Agent04_Savings!A67="","",Agent04_Savings!K67)</f>
        <v/>
      </c>
      <c r="K662" s="37" t="str">
        <f>IFERROR(IF(Agent04_Savings!A67="","",YEAR(Agent04_Savings!D67)),"")</f>
        <v/>
      </c>
    </row>
    <row r="663" spans="1:11" ht="18" customHeight="1" x14ac:dyDescent="0.25">
      <c r="A663" s="37" t="str">
        <f>IF(Agent04_Savings!A68="","",Agent04_Savings!A68)</f>
        <v/>
      </c>
      <c r="B663" s="37" t="str">
        <f ca="1">IF(Agent04_Savings!A68="","","SV"&amp;TEXT(663-3,"0000")&amp;"-"&amp;TEXT(TODAY(),"YYYYMMDD"))</f>
        <v/>
      </c>
      <c r="C663" s="37" t="str">
        <f>IF(Agent04_Savings!A68="","",Agent04_Savings!B68)</f>
        <v/>
      </c>
      <c r="D663" s="37" t="str">
        <f>IF(Agent04_Savings!A68="","",Agent04_Savings!G68)</f>
        <v/>
      </c>
      <c r="E663" s="38" t="str">
        <f>IF(Agent04_Savings!A68="","",Agent04_Savings!D68)</f>
        <v/>
      </c>
      <c r="F663" s="39" t="str">
        <f>IF(Agent04_Savings!A68="","",Agent04_Savings!E68)</f>
        <v/>
      </c>
      <c r="G663" s="39" t="str">
        <f>IF(Agent04_Savings!A68="","",Agent04_Savings!F68)</f>
        <v/>
      </c>
      <c r="H663" s="37" t="str">
        <f>IF(Agent04_Savings!A68="","",Agent04_Savings!I68)</f>
        <v/>
      </c>
      <c r="I663" s="37" t="str">
        <f>IF(Agent04_Savings!A68="","",Agent04_Savings!J68)</f>
        <v/>
      </c>
      <c r="J663" s="37" t="str">
        <f>IF(Agent04_Savings!A68="","",Agent04_Savings!K68)</f>
        <v/>
      </c>
      <c r="K663" s="37" t="str">
        <f>IFERROR(IF(Agent04_Savings!A68="","",YEAR(Agent04_Savings!D68)),"")</f>
        <v/>
      </c>
    </row>
    <row r="664" spans="1:11" ht="18" customHeight="1" x14ac:dyDescent="0.25">
      <c r="A664" s="37" t="str">
        <f>IF(Agent04_Savings!A69="","",Agent04_Savings!A69)</f>
        <v/>
      </c>
      <c r="B664" s="37" t="str">
        <f ca="1">IF(Agent04_Savings!A69="","","SV"&amp;TEXT(664-3,"0000")&amp;"-"&amp;TEXT(TODAY(),"YYYYMMDD"))</f>
        <v/>
      </c>
      <c r="C664" s="37" t="str">
        <f>IF(Agent04_Savings!A69="","",Agent04_Savings!B69)</f>
        <v/>
      </c>
      <c r="D664" s="37" t="str">
        <f>IF(Agent04_Savings!A69="","",Agent04_Savings!G69)</f>
        <v/>
      </c>
      <c r="E664" s="38" t="str">
        <f>IF(Agent04_Savings!A69="","",Agent04_Savings!D69)</f>
        <v/>
      </c>
      <c r="F664" s="39" t="str">
        <f>IF(Agent04_Savings!A69="","",Agent04_Savings!E69)</f>
        <v/>
      </c>
      <c r="G664" s="39" t="str">
        <f>IF(Agent04_Savings!A69="","",Agent04_Savings!F69)</f>
        <v/>
      </c>
      <c r="H664" s="37" t="str">
        <f>IF(Agent04_Savings!A69="","",Agent04_Savings!I69)</f>
        <v/>
      </c>
      <c r="I664" s="37" t="str">
        <f>IF(Agent04_Savings!A69="","",Agent04_Savings!J69)</f>
        <v/>
      </c>
      <c r="J664" s="37" t="str">
        <f>IF(Agent04_Savings!A69="","",Agent04_Savings!K69)</f>
        <v/>
      </c>
      <c r="K664" s="37" t="str">
        <f>IFERROR(IF(Agent04_Savings!A69="","",YEAR(Agent04_Savings!D69)),"")</f>
        <v/>
      </c>
    </row>
    <row r="665" spans="1:11" ht="18" customHeight="1" x14ac:dyDescent="0.25">
      <c r="A665" s="37" t="str">
        <f>IF(Agent04_Savings!A70="","",Agent04_Savings!A70)</f>
        <v/>
      </c>
      <c r="B665" s="37" t="str">
        <f ca="1">IF(Agent04_Savings!A70="","","SV"&amp;TEXT(665-3,"0000")&amp;"-"&amp;TEXT(TODAY(),"YYYYMMDD"))</f>
        <v/>
      </c>
      <c r="C665" s="37" t="str">
        <f>IF(Agent04_Savings!A70="","",Agent04_Savings!B70)</f>
        <v/>
      </c>
      <c r="D665" s="37" t="str">
        <f>IF(Agent04_Savings!A70="","",Agent04_Savings!G70)</f>
        <v/>
      </c>
      <c r="E665" s="38" t="str">
        <f>IF(Agent04_Savings!A70="","",Agent04_Savings!D70)</f>
        <v/>
      </c>
      <c r="F665" s="39" t="str">
        <f>IF(Agent04_Savings!A70="","",Agent04_Savings!E70)</f>
        <v/>
      </c>
      <c r="G665" s="39" t="str">
        <f>IF(Agent04_Savings!A70="","",Agent04_Savings!F70)</f>
        <v/>
      </c>
      <c r="H665" s="37" t="str">
        <f>IF(Agent04_Savings!A70="","",Agent04_Savings!I70)</f>
        <v/>
      </c>
      <c r="I665" s="37" t="str">
        <f>IF(Agent04_Savings!A70="","",Agent04_Savings!J70)</f>
        <v/>
      </c>
      <c r="J665" s="37" t="str">
        <f>IF(Agent04_Savings!A70="","",Agent04_Savings!K70)</f>
        <v/>
      </c>
      <c r="K665" s="37" t="str">
        <f>IFERROR(IF(Agent04_Savings!A70="","",YEAR(Agent04_Savings!D70)),"")</f>
        <v/>
      </c>
    </row>
    <row r="666" spans="1:11" ht="18" customHeight="1" x14ac:dyDescent="0.25">
      <c r="A666" s="37" t="str">
        <f>IF(Agent04_Savings!A71="","",Agent04_Savings!A71)</f>
        <v/>
      </c>
      <c r="B666" s="37" t="str">
        <f ca="1">IF(Agent04_Savings!A71="","","SV"&amp;TEXT(666-3,"0000")&amp;"-"&amp;TEXT(TODAY(),"YYYYMMDD"))</f>
        <v/>
      </c>
      <c r="C666" s="37" t="str">
        <f>IF(Agent04_Savings!A71="","",Agent04_Savings!B71)</f>
        <v/>
      </c>
      <c r="D666" s="37" t="str">
        <f>IF(Agent04_Savings!A71="","",Agent04_Savings!G71)</f>
        <v/>
      </c>
      <c r="E666" s="38" t="str">
        <f>IF(Agent04_Savings!A71="","",Agent04_Savings!D71)</f>
        <v/>
      </c>
      <c r="F666" s="39" t="str">
        <f>IF(Agent04_Savings!A71="","",Agent04_Savings!E71)</f>
        <v/>
      </c>
      <c r="G666" s="39" t="str">
        <f>IF(Agent04_Savings!A71="","",Agent04_Savings!F71)</f>
        <v/>
      </c>
      <c r="H666" s="37" t="str">
        <f>IF(Agent04_Savings!A71="","",Agent04_Savings!I71)</f>
        <v/>
      </c>
      <c r="I666" s="37" t="str">
        <f>IF(Agent04_Savings!A71="","",Agent04_Savings!J71)</f>
        <v/>
      </c>
      <c r="J666" s="37" t="str">
        <f>IF(Agent04_Savings!A71="","",Agent04_Savings!K71)</f>
        <v/>
      </c>
      <c r="K666" s="37" t="str">
        <f>IFERROR(IF(Agent04_Savings!A71="","",YEAR(Agent04_Savings!D71)),"")</f>
        <v/>
      </c>
    </row>
    <row r="667" spans="1:11" ht="18" customHeight="1" x14ac:dyDescent="0.25">
      <c r="A667" s="37" t="str">
        <f>IF(Agent04_Savings!A72="","",Agent04_Savings!A72)</f>
        <v/>
      </c>
      <c r="B667" s="37" t="str">
        <f ca="1">IF(Agent04_Savings!A72="","","SV"&amp;TEXT(667-3,"0000")&amp;"-"&amp;TEXT(TODAY(),"YYYYMMDD"))</f>
        <v/>
      </c>
      <c r="C667" s="37" t="str">
        <f>IF(Agent04_Savings!A72="","",Agent04_Savings!B72)</f>
        <v/>
      </c>
      <c r="D667" s="37" t="str">
        <f>IF(Agent04_Savings!A72="","",Agent04_Savings!G72)</f>
        <v/>
      </c>
      <c r="E667" s="38" t="str">
        <f>IF(Agent04_Savings!A72="","",Agent04_Savings!D72)</f>
        <v/>
      </c>
      <c r="F667" s="39" t="str">
        <f>IF(Agent04_Savings!A72="","",Agent04_Savings!E72)</f>
        <v/>
      </c>
      <c r="G667" s="39" t="str">
        <f>IF(Agent04_Savings!A72="","",Agent04_Savings!F72)</f>
        <v/>
      </c>
      <c r="H667" s="37" t="str">
        <f>IF(Agent04_Savings!A72="","",Agent04_Savings!I72)</f>
        <v/>
      </c>
      <c r="I667" s="37" t="str">
        <f>IF(Agent04_Savings!A72="","",Agent04_Savings!J72)</f>
        <v/>
      </c>
      <c r="J667" s="37" t="str">
        <f>IF(Agent04_Savings!A72="","",Agent04_Savings!K72)</f>
        <v/>
      </c>
      <c r="K667" s="37" t="str">
        <f>IFERROR(IF(Agent04_Savings!A72="","",YEAR(Agent04_Savings!D72)),"")</f>
        <v/>
      </c>
    </row>
    <row r="668" spans="1:11" ht="18" customHeight="1" x14ac:dyDescent="0.25">
      <c r="A668" s="37" t="str">
        <f>IF(Agent04_Savings!A73="","",Agent04_Savings!A73)</f>
        <v/>
      </c>
      <c r="B668" s="37" t="str">
        <f ca="1">IF(Agent04_Savings!A73="","","SV"&amp;TEXT(668-3,"0000")&amp;"-"&amp;TEXT(TODAY(),"YYYYMMDD"))</f>
        <v/>
      </c>
      <c r="C668" s="37" t="str">
        <f>IF(Agent04_Savings!A73="","",Agent04_Savings!B73)</f>
        <v/>
      </c>
      <c r="D668" s="37" t="str">
        <f>IF(Agent04_Savings!A73="","",Agent04_Savings!G73)</f>
        <v/>
      </c>
      <c r="E668" s="38" t="str">
        <f>IF(Agent04_Savings!A73="","",Agent04_Savings!D73)</f>
        <v/>
      </c>
      <c r="F668" s="39" t="str">
        <f>IF(Agent04_Savings!A73="","",Agent04_Savings!E73)</f>
        <v/>
      </c>
      <c r="G668" s="39" t="str">
        <f>IF(Agent04_Savings!A73="","",Agent04_Savings!F73)</f>
        <v/>
      </c>
      <c r="H668" s="37" t="str">
        <f>IF(Agent04_Savings!A73="","",Agent04_Savings!I73)</f>
        <v/>
      </c>
      <c r="I668" s="37" t="str">
        <f>IF(Agent04_Savings!A73="","",Agent04_Savings!J73)</f>
        <v/>
      </c>
      <c r="J668" s="37" t="str">
        <f>IF(Agent04_Savings!A73="","",Agent04_Savings!K73)</f>
        <v/>
      </c>
      <c r="K668" s="37" t="str">
        <f>IFERROR(IF(Agent04_Savings!A73="","",YEAR(Agent04_Savings!D73)),"")</f>
        <v/>
      </c>
    </row>
    <row r="669" spans="1:11" ht="18" customHeight="1" x14ac:dyDescent="0.25">
      <c r="A669" s="37" t="str">
        <f>IF(Agent04_Savings!A74="","",Agent04_Savings!A74)</f>
        <v/>
      </c>
      <c r="B669" s="37" t="str">
        <f ca="1">IF(Agent04_Savings!A74="","","SV"&amp;TEXT(669-3,"0000")&amp;"-"&amp;TEXT(TODAY(),"YYYYMMDD"))</f>
        <v/>
      </c>
      <c r="C669" s="37" t="str">
        <f>IF(Agent04_Savings!A74="","",Agent04_Savings!B74)</f>
        <v/>
      </c>
      <c r="D669" s="37" t="str">
        <f>IF(Agent04_Savings!A74="","",Agent04_Savings!G74)</f>
        <v/>
      </c>
      <c r="E669" s="38" t="str">
        <f>IF(Agent04_Savings!A74="","",Agent04_Savings!D74)</f>
        <v/>
      </c>
      <c r="F669" s="39" t="str">
        <f>IF(Agent04_Savings!A74="","",Agent04_Savings!E74)</f>
        <v/>
      </c>
      <c r="G669" s="39" t="str">
        <f>IF(Agent04_Savings!A74="","",Agent04_Savings!F74)</f>
        <v/>
      </c>
      <c r="H669" s="37" t="str">
        <f>IF(Agent04_Savings!A74="","",Agent04_Savings!I74)</f>
        <v/>
      </c>
      <c r="I669" s="37" t="str">
        <f>IF(Agent04_Savings!A74="","",Agent04_Savings!J74)</f>
        <v/>
      </c>
      <c r="J669" s="37" t="str">
        <f>IF(Agent04_Savings!A74="","",Agent04_Savings!K74)</f>
        <v/>
      </c>
      <c r="K669" s="37" t="str">
        <f>IFERROR(IF(Agent04_Savings!A74="","",YEAR(Agent04_Savings!D74)),"")</f>
        <v/>
      </c>
    </row>
    <row r="670" spans="1:11" ht="18" customHeight="1" x14ac:dyDescent="0.25">
      <c r="A670" s="37" t="str">
        <f>IF(Agent04_Savings!A75="","",Agent04_Savings!A75)</f>
        <v/>
      </c>
      <c r="B670" s="37" t="str">
        <f ca="1">IF(Agent04_Savings!A75="","","SV"&amp;TEXT(670-3,"0000")&amp;"-"&amp;TEXT(TODAY(),"YYYYMMDD"))</f>
        <v/>
      </c>
      <c r="C670" s="37" t="str">
        <f>IF(Agent04_Savings!A75="","",Agent04_Savings!B75)</f>
        <v/>
      </c>
      <c r="D670" s="37" t="str">
        <f>IF(Agent04_Savings!A75="","",Agent04_Savings!G75)</f>
        <v/>
      </c>
      <c r="E670" s="38" t="str">
        <f>IF(Agent04_Savings!A75="","",Agent04_Savings!D75)</f>
        <v/>
      </c>
      <c r="F670" s="39" t="str">
        <f>IF(Agent04_Savings!A75="","",Agent04_Savings!E75)</f>
        <v/>
      </c>
      <c r="G670" s="39" t="str">
        <f>IF(Agent04_Savings!A75="","",Agent04_Savings!F75)</f>
        <v/>
      </c>
      <c r="H670" s="37" t="str">
        <f>IF(Agent04_Savings!A75="","",Agent04_Savings!I75)</f>
        <v/>
      </c>
      <c r="I670" s="37" t="str">
        <f>IF(Agent04_Savings!A75="","",Agent04_Savings!J75)</f>
        <v/>
      </c>
      <c r="J670" s="37" t="str">
        <f>IF(Agent04_Savings!A75="","",Agent04_Savings!K75)</f>
        <v/>
      </c>
      <c r="K670" s="37" t="str">
        <f>IFERROR(IF(Agent04_Savings!A75="","",YEAR(Agent04_Savings!D75)),"")</f>
        <v/>
      </c>
    </row>
    <row r="671" spans="1:11" ht="18" customHeight="1" x14ac:dyDescent="0.25">
      <c r="A671" s="37" t="str">
        <f>IF(Agent04_Savings!A76="","",Agent04_Savings!A76)</f>
        <v/>
      </c>
      <c r="B671" s="37" t="str">
        <f ca="1">IF(Agent04_Savings!A76="","","SV"&amp;TEXT(671-3,"0000")&amp;"-"&amp;TEXT(TODAY(),"YYYYMMDD"))</f>
        <v/>
      </c>
      <c r="C671" s="37" t="str">
        <f>IF(Agent04_Savings!A76="","",Agent04_Savings!B76)</f>
        <v/>
      </c>
      <c r="D671" s="37" t="str">
        <f>IF(Agent04_Savings!A76="","",Agent04_Savings!G76)</f>
        <v/>
      </c>
      <c r="E671" s="38" t="str">
        <f>IF(Agent04_Savings!A76="","",Agent04_Savings!D76)</f>
        <v/>
      </c>
      <c r="F671" s="39" t="str">
        <f>IF(Agent04_Savings!A76="","",Agent04_Savings!E76)</f>
        <v/>
      </c>
      <c r="G671" s="39" t="str">
        <f>IF(Agent04_Savings!A76="","",Agent04_Savings!F76)</f>
        <v/>
      </c>
      <c r="H671" s="37" t="str">
        <f>IF(Agent04_Savings!A76="","",Agent04_Savings!I76)</f>
        <v/>
      </c>
      <c r="I671" s="37" t="str">
        <f>IF(Agent04_Savings!A76="","",Agent04_Savings!J76)</f>
        <v/>
      </c>
      <c r="J671" s="37" t="str">
        <f>IF(Agent04_Savings!A76="","",Agent04_Savings!K76)</f>
        <v/>
      </c>
      <c r="K671" s="37" t="str">
        <f>IFERROR(IF(Agent04_Savings!A76="","",YEAR(Agent04_Savings!D76)),"")</f>
        <v/>
      </c>
    </row>
    <row r="672" spans="1:11" ht="18" customHeight="1" x14ac:dyDescent="0.25">
      <c r="A672" s="37" t="str">
        <f>IF(Agent04_Savings!A77="","",Agent04_Savings!A77)</f>
        <v/>
      </c>
      <c r="B672" s="37" t="str">
        <f ca="1">IF(Agent04_Savings!A77="","","SV"&amp;TEXT(672-3,"0000")&amp;"-"&amp;TEXT(TODAY(),"YYYYMMDD"))</f>
        <v/>
      </c>
      <c r="C672" s="37" t="str">
        <f>IF(Agent04_Savings!A77="","",Agent04_Savings!B77)</f>
        <v/>
      </c>
      <c r="D672" s="37" t="str">
        <f>IF(Agent04_Savings!A77="","",Agent04_Savings!G77)</f>
        <v/>
      </c>
      <c r="E672" s="38" t="str">
        <f>IF(Agent04_Savings!A77="","",Agent04_Savings!D77)</f>
        <v/>
      </c>
      <c r="F672" s="39" t="str">
        <f>IF(Agent04_Savings!A77="","",Agent04_Savings!E77)</f>
        <v/>
      </c>
      <c r="G672" s="39" t="str">
        <f>IF(Agent04_Savings!A77="","",Agent04_Savings!F77)</f>
        <v/>
      </c>
      <c r="H672" s="37" t="str">
        <f>IF(Agent04_Savings!A77="","",Agent04_Savings!I77)</f>
        <v/>
      </c>
      <c r="I672" s="37" t="str">
        <f>IF(Agent04_Savings!A77="","",Agent04_Savings!J77)</f>
        <v/>
      </c>
      <c r="J672" s="37" t="str">
        <f>IF(Agent04_Savings!A77="","",Agent04_Savings!K77)</f>
        <v/>
      </c>
      <c r="K672" s="37" t="str">
        <f>IFERROR(IF(Agent04_Savings!A77="","",YEAR(Agent04_Savings!D77)),"")</f>
        <v/>
      </c>
    </row>
    <row r="673" spans="1:11" ht="18" customHeight="1" x14ac:dyDescent="0.25">
      <c r="A673" s="37" t="str">
        <f>IF(Agent04_Savings!A78="","",Agent04_Savings!A78)</f>
        <v/>
      </c>
      <c r="B673" s="37" t="str">
        <f ca="1">IF(Agent04_Savings!A78="","","SV"&amp;TEXT(673-3,"0000")&amp;"-"&amp;TEXT(TODAY(),"YYYYMMDD"))</f>
        <v/>
      </c>
      <c r="C673" s="37" t="str">
        <f>IF(Agent04_Savings!A78="","",Agent04_Savings!B78)</f>
        <v/>
      </c>
      <c r="D673" s="37" t="str">
        <f>IF(Agent04_Savings!A78="","",Agent04_Savings!G78)</f>
        <v/>
      </c>
      <c r="E673" s="38" t="str">
        <f>IF(Agent04_Savings!A78="","",Agent04_Savings!D78)</f>
        <v/>
      </c>
      <c r="F673" s="39" t="str">
        <f>IF(Agent04_Savings!A78="","",Agent04_Savings!E78)</f>
        <v/>
      </c>
      <c r="G673" s="39" t="str">
        <f>IF(Agent04_Savings!A78="","",Agent04_Savings!F78)</f>
        <v/>
      </c>
      <c r="H673" s="37" t="str">
        <f>IF(Agent04_Savings!A78="","",Agent04_Savings!I78)</f>
        <v/>
      </c>
      <c r="I673" s="37" t="str">
        <f>IF(Agent04_Savings!A78="","",Agent04_Savings!J78)</f>
        <v/>
      </c>
      <c r="J673" s="37" t="str">
        <f>IF(Agent04_Savings!A78="","",Agent04_Savings!K78)</f>
        <v/>
      </c>
      <c r="K673" s="37" t="str">
        <f>IFERROR(IF(Agent04_Savings!A78="","",YEAR(Agent04_Savings!D78)),"")</f>
        <v/>
      </c>
    </row>
    <row r="674" spans="1:11" ht="18" customHeight="1" x14ac:dyDescent="0.25">
      <c r="A674" s="37" t="str">
        <f>IF(Agent04_Savings!A79="","",Agent04_Savings!A79)</f>
        <v/>
      </c>
      <c r="B674" s="37" t="str">
        <f ca="1">IF(Agent04_Savings!A79="","","SV"&amp;TEXT(674-3,"0000")&amp;"-"&amp;TEXT(TODAY(),"YYYYMMDD"))</f>
        <v/>
      </c>
      <c r="C674" s="37" t="str">
        <f>IF(Agent04_Savings!A79="","",Agent04_Savings!B79)</f>
        <v/>
      </c>
      <c r="D674" s="37" t="str">
        <f>IF(Agent04_Savings!A79="","",Agent04_Savings!G79)</f>
        <v/>
      </c>
      <c r="E674" s="38" t="str">
        <f>IF(Agent04_Savings!A79="","",Agent04_Savings!D79)</f>
        <v/>
      </c>
      <c r="F674" s="39" t="str">
        <f>IF(Agent04_Savings!A79="","",Agent04_Savings!E79)</f>
        <v/>
      </c>
      <c r="G674" s="39" t="str">
        <f>IF(Agent04_Savings!A79="","",Agent04_Savings!F79)</f>
        <v/>
      </c>
      <c r="H674" s="37" t="str">
        <f>IF(Agent04_Savings!A79="","",Agent04_Savings!I79)</f>
        <v/>
      </c>
      <c r="I674" s="37" t="str">
        <f>IF(Agent04_Savings!A79="","",Agent04_Savings!J79)</f>
        <v/>
      </c>
      <c r="J674" s="37" t="str">
        <f>IF(Agent04_Savings!A79="","",Agent04_Savings!K79)</f>
        <v/>
      </c>
      <c r="K674" s="37" t="str">
        <f>IFERROR(IF(Agent04_Savings!A79="","",YEAR(Agent04_Savings!D79)),"")</f>
        <v/>
      </c>
    </row>
    <row r="675" spans="1:11" ht="18" customHeight="1" x14ac:dyDescent="0.25">
      <c r="A675" s="37" t="str">
        <f>IF(Agent04_Savings!A80="","",Agent04_Savings!A80)</f>
        <v/>
      </c>
      <c r="B675" s="37" t="str">
        <f ca="1">IF(Agent04_Savings!A80="","","SV"&amp;TEXT(675-3,"0000")&amp;"-"&amp;TEXT(TODAY(),"YYYYMMDD"))</f>
        <v/>
      </c>
      <c r="C675" s="37" t="str">
        <f>IF(Agent04_Savings!A80="","",Agent04_Savings!B80)</f>
        <v/>
      </c>
      <c r="D675" s="37" t="str">
        <f>IF(Agent04_Savings!A80="","",Agent04_Savings!G80)</f>
        <v/>
      </c>
      <c r="E675" s="38" t="str">
        <f>IF(Agent04_Savings!A80="","",Agent04_Savings!D80)</f>
        <v/>
      </c>
      <c r="F675" s="39" t="str">
        <f>IF(Agent04_Savings!A80="","",Agent04_Savings!E80)</f>
        <v/>
      </c>
      <c r="G675" s="39" t="str">
        <f>IF(Agent04_Savings!A80="","",Agent04_Savings!F80)</f>
        <v/>
      </c>
      <c r="H675" s="37" t="str">
        <f>IF(Agent04_Savings!A80="","",Agent04_Savings!I80)</f>
        <v/>
      </c>
      <c r="I675" s="37" t="str">
        <f>IF(Agent04_Savings!A80="","",Agent04_Savings!J80)</f>
        <v/>
      </c>
      <c r="J675" s="37" t="str">
        <f>IF(Agent04_Savings!A80="","",Agent04_Savings!K80)</f>
        <v/>
      </c>
      <c r="K675" s="37" t="str">
        <f>IFERROR(IF(Agent04_Savings!A80="","",YEAR(Agent04_Savings!D80)),"")</f>
        <v/>
      </c>
    </row>
    <row r="676" spans="1:11" ht="18" customHeight="1" x14ac:dyDescent="0.25">
      <c r="A676" s="37" t="str">
        <f>IF(Agent04_Savings!A81="","",Agent04_Savings!A81)</f>
        <v/>
      </c>
      <c r="B676" s="37" t="str">
        <f ca="1">IF(Agent04_Savings!A81="","","SV"&amp;TEXT(676-3,"0000")&amp;"-"&amp;TEXT(TODAY(),"YYYYMMDD"))</f>
        <v/>
      </c>
      <c r="C676" s="37" t="str">
        <f>IF(Agent04_Savings!A81="","",Agent04_Savings!B81)</f>
        <v/>
      </c>
      <c r="D676" s="37" t="str">
        <f>IF(Agent04_Savings!A81="","",Agent04_Savings!G81)</f>
        <v/>
      </c>
      <c r="E676" s="38" t="str">
        <f>IF(Agent04_Savings!A81="","",Agent04_Savings!D81)</f>
        <v/>
      </c>
      <c r="F676" s="39" t="str">
        <f>IF(Agent04_Savings!A81="","",Agent04_Savings!E81)</f>
        <v/>
      </c>
      <c r="G676" s="39" t="str">
        <f>IF(Agent04_Savings!A81="","",Agent04_Savings!F81)</f>
        <v/>
      </c>
      <c r="H676" s="37" t="str">
        <f>IF(Agent04_Savings!A81="","",Agent04_Savings!I81)</f>
        <v/>
      </c>
      <c r="I676" s="37" t="str">
        <f>IF(Agent04_Savings!A81="","",Agent04_Savings!J81)</f>
        <v/>
      </c>
      <c r="J676" s="37" t="str">
        <f>IF(Agent04_Savings!A81="","",Agent04_Savings!K81)</f>
        <v/>
      </c>
      <c r="K676" s="37" t="str">
        <f>IFERROR(IF(Agent04_Savings!A81="","",YEAR(Agent04_Savings!D81)),"")</f>
        <v/>
      </c>
    </row>
    <row r="677" spans="1:11" ht="18" customHeight="1" x14ac:dyDescent="0.25">
      <c r="A677" s="37" t="str">
        <f>IF(Agent04_Savings!A82="","",Agent04_Savings!A82)</f>
        <v/>
      </c>
      <c r="B677" s="37" t="str">
        <f ca="1">IF(Agent04_Savings!A82="","","SV"&amp;TEXT(677-3,"0000")&amp;"-"&amp;TEXT(TODAY(),"YYYYMMDD"))</f>
        <v/>
      </c>
      <c r="C677" s="37" t="str">
        <f>IF(Agent04_Savings!A82="","",Agent04_Savings!B82)</f>
        <v/>
      </c>
      <c r="D677" s="37" t="str">
        <f>IF(Agent04_Savings!A82="","",Agent04_Savings!G82)</f>
        <v/>
      </c>
      <c r="E677" s="38" t="str">
        <f>IF(Agent04_Savings!A82="","",Agent04_Savings!D82)</f>
        <v/>
      </c>
      <c r="F677" s="39" t="str">
        <f>IF(Agent04_Savings!A82="","",Agent04_Savings!E82)</f>
        <v/>
      </c>
      <c r="G677" s="39" t="str">
        <f>IF(Agent04_Savings!A82="","",Agent04_Savings!F82)</f>
        <v/>
      </c>
      <c r="H677" s="37" t="str">
        <f>IF(Agent04_Savings!A82="","",Agent04_Savings!I82)</f>
        <v/>
      </c>
      <c r="I677" s="37" t="str">
        <f>IF(Agent04_Savings!A82="","",Agent04_Savings!J82)</f>
        <v/>
      </c>
      <c r="J677" s="37" t="str">
        <f>IF(Agent04_Savings!A82="","",Agent04_Savings!K82)</f>
        <v/>
      </c>
      <c r="K677" s="37" t="str">
        <f>IFERROR(IF(Agent04_Savings!A82="","",YEAR(Agent04_Savings!D82)),"")</f>
        <v/>
      </c>
    </row>
    <row r="678" spans="1:11" ht="18" customHeight="1" x14ac:dyDescent="0.25">
      <c r="A678" s="37" t="str">
        <f>IF(Agent04_Savings!A83="","",Agent04_Savings!A83)</f>
        <v/>
      </c>
      <c r="B678" s="37" t="str">
        <f ca="1">IF(Agent04_Savings!A83="","","SV"&amp;TEXT(678-3,"0000")&amp;"-"&amp;TEXT(TODAY(),"YYYYMMDD"))</f>
        <v/>
      </c>
      <c r="C678" s="37" t="str">
        <f>IF(Agent04_Savings!A83="","",Agent04_Savings!B83)</f>
        <v/>
      </c>
      <c r="D678" s="37" t="str">
        <f>IF(Agent04_Savings!A83="","",Agent04_Savings!G83)</f>
        <v/>
      </c>
      <c r="E678" s="38" t="str">
        <f>IF(Agent04_Savings!A83="","",Agent04_Savings!D83)</f>
        <v/>
      </c>
      <c r="F678" s="39" t="str">
        <f>IF(Agent04_Savings!A83="","",Agent04_Savings!E83)</f>
        <v/>
      </c>
      <c r="G678" s="39" t="str">
        <f>IF(Agent04_Savings!A83="","",Agent04_Savings!F83)</f>
        <v/>
      </c>
      <c r="H678" s="37" t="str">
        <f>IF(Agent04_Savings!A83="","",Agent04_Savings!I83)</f>
        <v/>
      </c>
      <c r="I678" s="37" t="str">
        <f>IF(Agent04_Savings!A83="","",Agent04_Savings!J83)</f>
        <v/>
      </c>
      <c r="J678" s="37" t="str">
        <f>IF(Agent04_Savings!A83="","",Agent04_Savings!K83)</f>
        <v/>
      </c>
      <c r="K678" s="37" t="str">
        <f>IFERROR(IF(Agent04_Savings!A83="","",YEAR(Agent04_Savings!D83)),"")</f>
        <v/>
      </c>
    </row>
    <row r="679" spans="1:11" ht="18" customHeight="1" x14ac:dyDescent="0.25">
      <c r="A679" s="37" t="str">
        <f>IF(Agent04_Savings!A84="","",Agent04_Savings!A84)</f>
        <v/>
      </c>
      <c r="B679" s="37" t="str">
        <f ca="1">IF(Agent04_Savings!A84="","","SV"&amp;TEXT(679-3,"0000")&amp;"-"&amp;TEXT(TODAY(),"YYYYMMDD"))</f>
        <v/>
      </c>
      <c r="C679" s="37" t="str">
        <f>IF(Agent04_Savings!A84="","",Agent04_Savings!B84)</f>
        <v/>
      </c>
      <c r="D679" s="37" t="str">
        <f>IF(Agent04_Savings!A84="","",Agent04_Savings!G84)</f>
        <v/>
      </c>
      <c r="E679" s="38" t="str">
        <f>IF(Agent04_Savings!A84="","",Agent04_Savings!D84)</f>
        <v/>
      </c>
      <c r="F679" s="39" t="str">
        <f>IF(Agent04_Savings!A84="","",Agent04_Savings!E84)</f>
        <v/>
      </c>
      <c r="G679" s="39" t="str">
        <f>IF(Agent04_Savings!A84="","",Agent04_Savings!F84)</f>
        <v/>
      </c>
      <c r="H679" s="37" t="str">
        <f>IF(Agent04_Savings!A84="","",Agent04_Savings!I84)</f>
        <v/>
      </c>
      <c r="I679" s="37" t="str">
        <f>IF(Agent04_Savings!A84="","",Agent04_Savings!J84)</f>
        <v/>
      </c>
      <c r="J679" s="37" t="str">
        <f>IF(Agent04_Savings!A84="","",Agent04_Savings!K84)</f>
        <v/>
      </c>
      <c r="K679" s="37" t="str">
        <f>IFERROR(IF(Agent04_Savings!A84="","",YEAR(Agent04_Savings!D84)),"")</f>
        <v/>
      </c>
    </row>
    <row r="680" spans="1:11" ht="18" customHeight="1" x14ac:dyDescent="0.25">
      <c r="A680" s="37" t="str">
        <f>IF(Agent04_Savings!A85="","",Agent04_Savings!A85)</f>
        <v/>
      </c>
      <c r="B680" s="37" t="str">
        <f ca="1">IF(Agent04_Savings!A85="","","SV"&amp;TEXT(680-3,"0000")&amp;"-"&amp;TEXT(TODAY(),"YYYYMMDD"))</f>
        <v/>
      </c>
      <c r="C680" s="37" t="str">
        <f>IF(Agent04_Savings!A85="","",Agent04_Savings!B85)</f>
        <v/>
      </c>
      <c r="D680" s="37" t="str">
        <f>IF(Agent04_Savings!A85="","",Agent04_Savings!G85)</f>
        <v/>
      </c>
      <c r="E680" s="38" t="str">
        <f>IF(Agent04_Savings!A85="","",Agent04_Savings!D85)</f>
        <v/>
      </c>
      <c r="F680" s="39" t="str">
        <f>IF(Agent04_Savings!A85="","",Agent04_Savings!E85)</f>
        <v/>
      </c>
      <c r="G680" s="39" t="str">
        <f>IF(Agent04_Savings!A85="","",Agent04_Savings!F85)</f>
        <v/>
      </c>
      <c r="H680" s="37" t="str">
        <f>IF(Agent04_Savings!A85="","",Agent04_Savings!I85)</f>
        <v/>
      </c>
      <c r="I680" s="37" t="str">
        <f>IF(Agent04_Savings!A85="","",Agent04_Savings!J85)</f>
        <v/>
      </c>
      <c r="J680" s="37" t="str">
        <f>IF(Agent04_Savings!A85="","",Agent04_Savings!K85)</f>
        <v/>
      </c>
      <c r="K680" s="37" t="str">
        <f>IFERROR(IF(Agent04_Savings!A85="","",YEAR(Agent04_Savings!D85)),"")</f>
        <v/>
      </c>
    </row>
    <row r="681" spans="1:11" ht="18" customHeight="1" x14ac:dyDescent="0.25">
      <c r="A681" s="37" t="str">
        <f>IF(Agent04_Savings!A86="","",Agent04_Savings!A86)</f>
        <v/>
      </c>
      <c r="B681" s="37" t="str">
        <f ca="1">IF(Agent04_Savings!A86="","","SV"&amp;TEXT(681-3,"0000")&amp;"-"&amp;TEXT(TODAY(),"YYYYMMDD"))</f>
        <v/>
      </c>
      <c r="C681" s="37" t="str">
        <f>IF(Agent04_Savings!A86="","",Agent04_Savings!B86)</f>
        <v/>
      </c>
      <c r="D681" s="37" t="str">
        <f>IF(Agent04_Savings!A86="","",Agent04_Savings!G86)</f>
        <v/>
      </c>
      <c r="E681" s="38" t="str">
        <f>IF(Agent04_Savings!A86="","",Agent04_Savings!D86)</f>
        <v/>
      </c>
      <c r="F681" s="39" t="str">
        <f>IF(Agent04_Savings!A86="","",Agent04_Savings!E86)</f>
        <v/>
      </c>
      <c r="G681" s="39" t="str">
        <f>IF(Agent04_Savings!A86="","",Agent04_Savings!F86)</f>
        <v/>
      </c>
      <c r="H681" s="37" t="str">
        <f>IF(Agent04_Savings!A86="","",Agent04_Savings!I86)</f>
        <v/>
      </c>
      <c r="I681" s="37" t="str">
        <f>IF(Agent04_Savings!A86="","",Agent04_Savings!J86)</f>
        <v/>
      </c>
      <c r="J681" s="37" t="str">
        <f>IF(Agent04_Savings!A86="","",Agent04_Savings!K86)</f>
        <v/>
      </c>
      <c r="K681" s="37" t="str">
        <f>IFERROR(IF(Agent04_Savings!A86="","",YEAR(Agent04_Savings!D86)),"")</f>
        <v/>
      </c>
    </row>
    <row r="682" spans="1:11" ht="18" customHeight="1" x14ac:dyDescent="0.25">
      <c r="A682" s="37" t="str">
        <f>IF(Agent04_Savings!A87="","",Agent04_Savings!A87)</f>
        <v/>
      </c>
      <c r="B682" s="37" t="str">
        <f ca="1">IF(Agent04_Savings!A87="","","SV"&amp;TEXT(682-3,"0000")&amp;"-"&amp;TEXT(TODAY(),"YYYYMMDD"))</f>
        <v/>
      </c>
      <c r="C682" s="37" t="str">
        <f>IF(Agent04_Savings!A87="","",Agent04_Savings!B87)</f>
        <v/>
      </c>
      <c r="D682" s="37" t="str">
        <f>IF(Agent04_Savings!A87="","",Agent04_Savings!G87)</f>
        <v/>
      </c>
      <c r="E682" s="38" t="str">
        <f>IF(Agent04_Savings!A87="","",Agent04_Savings!D87)</f>
        <v/>
      </c>
      <c r="F682" s="39" t="str">
        <f>IF(Agent04_Savings!A87="","",Agent04_Savings!E87)</f>
        <v/>
      </c>
      <c r="G682" s="39" t="str">
        <f>IF(Agent04_Savings!A87="","",Agent04_Savings!F87)</f>
        <v/>
      </c>
      <c r="H682" s="37" t="str">
        <f>IF(Agent04_Savings!A87="","",Agent04_Savings!I87)</f>
        <v/>
      </c>
      <c r="I682" s="37" t="str">
        <f>IF(Agent04_Savings!A87="","",Agent04_Savings!J87)</f>
        <v/>
      </c>
      <c r="J682" s="37" t="str">
        <f>IF(Agent04_Savings!A87="","",Agent04_Savings!K87)</f>
        <v/>
      </c>
      <c r="K682" s="37" t="str">
        <f>IFERROR(IF(Agent04_Savings!A87="","",YEAR(Agent04_Savings!D87)),"")</f>
        <v/>
      </c>
    </row>
    <row r="683" spans="1:11" ht="18" customHeight="1" x14ac:dyDescent="0.25">
      <c r="A683" s="37" t="str">
        <f>IF(Agent04_Savings!A88="","",Agent04_Savings!A88)</f>
        <v/>
      </c>
      <c r="B683" s="37" t="str">
        <f ca="1">IF(Agent04_Savings!A88="","","SV"&amp;TEXT(683-3,"0000")&amp;"-"&amp;TEXT(TODAY(),"YYYYMMDD"))</f>
        <v/>
      </c>
      <c r="C683" s="37" t="str">
        <f>IF(Agent04_Savings!A88="","",Agent04_Savings!B88)</f>
        <v/>
      </c>
      <c r="D683" s="37" t="str">
        <f>IF(Agent04_Savings!A88="","",Agent04_Savings!G88)</f>
        <v/>
      </c>
      <c r="E683" s="38" t="str">
        <f>IF(Agent04_Savings!A88="","",Agent04_Savings!D88)</f>
        <v/>
      </c>
      <c r="F683" s="39" t="str">
        <f>IF(Agent04_Savings!A88="","",Agent04_Savings!E88)</f>
        <v/>
      </c>
      <c r="G683" s="39" t="str">
        <f>IF(Agent04_Savings!A88="","",Agent04_Savings!F88)</f>
        <v/>
      </c>
      <c r="H683" s="37" t="str">
        <f>IF(Agent04_Savings!A88="","",Agent04_Savings!I88)</f>
        <v/>
      </c>
      <c r="I683" s="37" t="str">
        <f>IF(Agent04_Savings!A88="","",Agent04_Savings!J88)</f>
        <v/>
      </c>
      <c r="J683" s="37" t="str">
        <f>IF(Agent04_Savings!A88="","",Agent04_Savings!K88)</f>
        <v/>
      </c>
      <c r="K683" s="37" t="str">
        <f>IFERROR(IF(Agent04_Savings!A88="","",YEAR(Agent04_Savings!D88)),"")</f>
        <v/>
      </c>
    </row>
    <row r="684" spans="1:11" ht="18" customHeight="1" x14ac:dyDescent="0.25">
      <c r="A684" s="37" t="str">
        <f>IF(Agent04_Savings!A89="","",Agent04_Savings!A89)</f>
        <v/>
      </c>
      <c r="B684" s="37" t="str">
        <f ca="1">IF(Agent04_Savings!A89="","","SV"&amp;TEXT(684-3,"0000")&amp;"-"&amp;TEXT(TODAY(),"YYYYMMDD"))</f>
        <v/>
      </c>
      <c r="C684" s="37" t="str">
        <f>IF(Agent04_Savings!A89="","",Agent04_Savings!B89)</f>
        <v/>
      </c>
      <c r="D684" s="37" t="str">
        <f>IF(Agent04_Savings!A89="","",Agent04_Savings!G89)</f>
        <v/>
      </c>
      <c r="E684" s="38" t="str">
        <f>IF(Agent04_Savings!A89="","",Agent04_Savings!D89)</f>
        <v/>
      </c>
      <c r="F684" s="39" t="str">
        <f>IF(Agent04_Savings!A89="","",Agent04_Savings!E89)</f>
        <v/>
      </c>
      <c r="G684" s="39" t="str">
        <f>IF(Agent04_Savings!A89="","",Agent04_Savings!F89)</f>
        <v/>
      </c>
      <c r="H684" s="37" t="str">
        <f>IF(Agent04_Savings!A89="","",Agent04_Savings!I89)</f>
        <v/>
      </c>
      <c r="I684" s="37" t="str">
        <f>IF(Agent04_Savings!A89="","",Agent04_Savings!J89)</f>
        <v/>
      </c>
      <c r="J684" s="37" t="str">
        <f>IF(Agent04_Savings!A89="","",Agent04_Savings!K89)</f>
        <v/>
      </c>
      <c r="K684" s="37" t="str">
        <f>IFERROR(IF(Agent04_Savings!A89="","",YEAR(Agent04_Savings!D89)),"")</f>
        <v/>
      </c>
    </row>
    <row r="685" spans="1:11" ht="18" customHeight="1" x14ac:dyDescent="0.25">
      <c r="A685" s="37" t="str">
        <f>IF(Agent04_Savings!A90="","",Agent04_Savings!A90)</f>
        <v/>
      </c>
      <c r="B685" s="37" t="str">
        <f ca="1">IF(Agent04_Savings!A90="","","SV"&amp;TEXT(685-3,"0000")&amp;"-"&amp;TEXT(TODAY(),"YYYYMMDD"))</f>
        <v/>
      </c>
      <c r="C685" s="37" t="str">
        <f>IF(Agent04_Savings!A90="","",Agent04_Savings!B90)</f>
        <v/>
      </c>
      <c r="D685" s="37" t="str">
        <f>IF(Agent04_Savings!A90="","",Agent04_Savings!G90)</f>
        <v/>
      </c>
      <c r="E685" s="38" t="str">
        <f>IF(Agent04_Savings!A90="","",Agent04_Savings!D90)</f>
        <v/>
      </c>
      <c r="F685" s="39" t="str">
        <f>IF(Agent04_Savings!A90="","",Agent04_Savings!E90)</f>
        <v/>
      </c>
      <c r="G685" s="39" t="str">
        <f>IF(Agent04_Savings!A90="","",Agent04_Savings!F90)</f>
        <v/>
      </c>
      <c r="H685" s="37" t="str">
        <f>IF(Agent04_Savings!A90="","",Agent04_Savings!I90)</f>
        <v/>
      </c>
      <c r="I685" s="37" t="str">
        <f>IF(Agent04_Savings!A90="","",Agent04_Savings!J90)</f>
        <v/>
      </c>
      <c r="J685" s="37" t="str">
        <f>IF(Agent04_Savings!A90="","",Agent04_Savings!K90)</f>
        <v/>
      </c>
      <c r="K685" s="37" t="str">
        <f>IFERROR(IF(Agent04_Savings!A90="","",YEAR(Agent04_Savings!D90)),"")</f>
        <v/>
      </c>
    </row>
    <row r="686" spans="1:11" ht="18" customHeight="1" x14ac:dyDescent="0.25">
      <c r="A686" s="37" t="str">
        <f>IF(Agent04_Savings!A91="","",Agent04_Savings!A91)</f>
        <v/>
      </c>
      <c r="B686" s="37" t="str">
        <f ca="1">IF(Agent04_Savings!A91="","","SV"&amp;TEXT(686-3,"0000")&amp;"-"&amp;TEXT(TODAY(),"YYYYMMDD"))</f>
        <v/>
      </c>
      <c r="C686" s="37" t="str">
        <f>IF(Agent04_Savings!A91="","",Agent04_Savings!B91)</f>
        <v/>
      </c>
      <c r="D686" s="37" t="str">
        <f>IF(Agent04_Savings!A91="","",Agent04_Savings!G91)</f>
        <v/>
      </c>
      <c r="E686" s="38" t="str">
        <f>IF(Agent04_Savings!A91="","",Agent04_Savings!D91)</f>
        <v/>
      </c>
      <c r="F686" s="39" t="str">
        <f>IF(Agent04_Savings!A91="","",Agent04_Savings!E91)</f>
        <v/>
      </c>
      <c r="G686" s="39" t="str">
        <f>IF(Agent04_Savings!A91="","",Agent04_Savings!F91)</f>
        <v/>
      </c>
      <c r="H686" s="37" t="str">
        <f>IF(Agent04_Savings!A91="","",Agent04_Savings!I91)</f>
        <v/>
      </c>
      <c r="I686" s="37" t="str">
        <f>IF(Agent04_Savings!A91="","",Agent04_Savings!J91)</f>
        <v/>
      </c>
      <c r="J686" s="37" t="str">
        <f>IF(Agent04_Savings!A91="","",Agent04_Savings!K91)</f>
        <v/>
      </c>
      <c r="K686" s="37" t="str">
        <f>IFERROR(IF(Agent04_Savings!A91="","",YEAR(Agent04_Savings!D91)),"")</f>
        <v/>
      </c>
    </row>
    <row r="687" spans="1:11" ht="18" customHeight="1" x14ac:dyDescent="0.25">
      <c r="A687" s="37" t="str">
        <f>IF(Agent04_Savings!A92="","",Agent04_Savings!A92)</f>
        <v/>
      </c>
      <c r="B687" s="37" t="str">
        <f ca="1">IF(Agent04_Savings!A92="","","SV"&amp;TEXT(687-3,"0000")&amp;"-"&amp;TEXT(TODAY(),"YYYYMMDD"))</f>
        <v/>
      </c>
      <c r="C687" s="37" t="str">
        <f>IF(Agent04_Savings!A92="","",Agent04_Savings!B92)</f>
        <v/>
      </c>
      <c r="D687" s="37" t="str">
        <f>IF(Agent04_Savings!A92="","",Agent04_Savings!G92)</f>
        <v/>
      </c>
      <c r="E687" s="38" t="str">
        <f>IF(Agent04_Savings!A92="","",Agent04_Savings!D92)</f>
        <v/>
      </c>
      <c r="F687" s="39" t="str">
        <f>IF(Agent04_Savings!A92="","",Agent04_Savings!E92)</f>
        <v/>
      </c>
      <c r="G687" s="39" t="str">
        <f>IF(Agent04_Savings!A92="","",Agent04_Savings!F92)</f>
        <v/>
      </c>
      <c r="H687" s="37" t="str">
        <f>IF(Agent04_Savings!A92="","",Agent04_Savings!I92)</f>
        <v/>
      </c>
      <c r="I687" s="37" t="str">
        <f>IF(Agent04_Savings!A92="","",Agent04_Savings!J92)</f>
        <v/>
      </c>
      <c r="J687" s="37" t="str">
        <f>IF(Agent04_Savings!A92="","",Agent04_Savings!K92)</f>
        <v/>
      </c>
      <c r="K687" s="37" t="str">
        <f>IFERROR(IF(Agent04_Savings!A92="","",YEAR(Agent04_Savings!D92)),"")</f>
        <v/>
      </c>
    </row>
    <row r="688" spans="1:11" ht="18" customHeight="1" x14ac:dyDescent="0.25">
      <c r="A688" s="37" t="str">
        <f>IF(Agent04_Savings!A93="","",Agent04_Savings!A93)</f>
        <v/>
      </c>
      <c r="B688" s="37" t="str">
        <f ca="1">IF(Agent04_Savings!A93="","","SV"&amp;TEXT(688-3,"0000")&amp;"-"&amp;TEXT(TODAY(),"YYYYMMDD"))</f>
        <v/>
      </c>
      <c r="C688" s="37" t="str">
        <f>IF(Agent04_Savings!A93="","",Agent04_Savings!B93)</f>
        <v/>
      </c>
      <c r="D688" s="37" t="str">
        <f>IF(Agent04_Savings!A93="","",Agent04_Savings!G93)</f>
        <v/>
      </c>
      <c r="E688" s="38" t="str">
        <f>IF(Agent04_Savings!A93="","",Agent04_Savings!D93)</f>
        <v/>
      </c>
      <c r="F688" s="39" t="str">
        <f>IF(Agent04_Savings!A93="","",Agent04_Savings!E93)</f>
        <v/>
      </c>
      <c r="G688" s="39" t="str">
        <f>IF(Agent04_Savings!A93="","",Agent04_Savings!F93)</f>
        <v/>
      </c>
      <c r="H688" s="37" t="str">
        <f>IF(Agent04_Savings!A93="","",Agent04_Savings!I93)</f>
        <v/>
      </c>
      <c r="I688" s="37" t="str">
        <f>IF(Agent04_Savings!A93="","",Agent04_Savings!J93)</f>
        <v/>
      </c>
      <c r="J688" s="37" t="str">
        <f>IF(Agent04_Savings!A93="","",Agent04_Savings!K93)</f>
        <v/>
      </c>
      <c r="K688" s="37" t="str">
        <f>IFERROR(IF(Agent04_Savings!A93="","",YEAR(Agent04_Savings!D93)),"")</f>
        <v/>
      </c>
    </row>
    <row r="689" spans="1:11" ht="18" customHeight="1" x14ac:dyDescent="0.25">
      <c r="A689" s="37" t="str">
        <f>IF(Agent04_Savings!A94="","",Agent04_Savings!A94)</f>
        <v/>
      </c>
      <c r="B689" s="37" t="str">
        <f ca="1">IF(Agent04_Savings!A94="","","SV"&amp;TEXT(689-3,"0000")&amp;"-"&amp;TEXT(TODAY(),"YYYYMMDD"))</f>
        <v/>
      </c>
      <c r="C689" s="37" t="str">
        <f>IF(Agent04_Savings!A94="","",Agent04_Savings!B94)</f>
        <v/>
      </c>
      <c r="D689" s="37" t="str">
        <f>IF(Agent04_Savings!A94="","",Agent04_Savings!G94)</f>
        <v/>
      </c>
      <c r="E689" s="38" t="str">
        <f>IF(Agent04_Savings!A94="","",Agent04_Savings!D94)</f>
        <v/>
      </c>
      <c r="F689" s="39" t="str">
        <f>IF(Agent04_Savings!A94="","",Agent04_Savings!E94)</f>
        <v/>
      </c>
      <c r="G689" s="39" t="str">
        <f>IF(Agent04_Savings!A94="","",Agent04_Savings!F94)</f>
        <v/>
      </c>
      <c r="H689" s="37" t="str">
        <f>IF(Agent04_Savings!A94="","",Agent04_Savings!I94)</f>
        <v/>
      </c>
      <c r="I689" s="37" t="str">
        <f>IF(Agent04_Savings!A94="","",Agent04_Savings!J94)</f>
        <v/>
      </c>
      <c r="J689" s="37" t="str">
        <f>IF(Agent04_Savings!A94="","",Agent04_Savings!K94)</f>
        <v/>
      </c>
      <c r="K689" s="37" t="str">
        <f>IFERROR(IF(Agent04_Savings!A94="","",YEAR(Agent04_Savings!D94)),"")</f>
        <v/>
      </c>
    </row>
    <row r="690" spans="1:11" ht="18" customHeight="1" x14ac:dyDescent="0.25">
      <c r="A690" s="37" t="str">
        <f>IF(Agent04_Savings!A95="","",Agent04_Savings!A95)</f>
        <v/>
      </c>
      <c r="B690" s="37" t="str">
        <f ca="1">IF(Agent04_Savings!A95="","","SV"&amp;TEXT(690-3,"0000")&amp;"-"&amp;TEXT(TODAY(),"YYYYMMDD"))</f>
        <v/>
      </c>
      <c r="C690" s="37" t="str">
        <f>IF(Agent04_Savings!A95="","",Agent04_Savings!B95)</f>
        <v/>
      </c>
      <c r="D690" s="37" t="str">
        <f>IF(Agent04_Savings!A95="","",Agent04_Savings!G95)</f>
        <v/>
      </c>
      <c r="E690" s="38" t="str">
        <f>IF(Agent04_Savings!A95="","",Agent04_Savings!D95)</f>
        <v/>
      </c>
      <c r="F690" s="39" t="str">
        <f>IF(Agent04_Savings!A95="","",Agent04_Savings!E95)</f>
        <v/>
      </c>
      <c r="G690" s="39" t="str">
        <f>IF(Agent04_Savings!A95="","",Agent04_Savings!F95)</f>
        <v/>
      </c>
      <c r="H690" s="37" t="str">
        <f>IF(Agent04_Savings!A95="","",Agent04_Savings!I95)</f>
        <v/>
      </c>
      <c r="I690" s="37" t="str">
        <f>IF(Agent04_Savings!A95="","",Agent04_Savings!J95)</f>
        <v/>
      </c>
      <c r="J690" s="37" t="str">
        <f>IF(Agent04_Savings!A95="","",Agent04_Savings!K95)</f>
        <v/>
      </c>
      <c r="K690" s="37" t="str">
        <f>IFERROR(IF(Agent04_Savings!A95="","",YEAR(Agent04_Savings!D95)),"")</f>
        <v/>
      </c>
    </row>
    <row r="691" spans="1:11" ht="18" customHeight="1" x14ac:dyDescent="0.25">
      <c r="A691" s="37" t="str">
        <f>IF(Agent04_Savings!A96="","",Agent04_Savings!A96)</f>
        <v/>
      </c>
      <c r="B691" s="37" t="str">
        <f ca="1">IF(Agent04_Savings!A96="","","SV"&amp;TEXT(691-3,"0000")&amp;"-"&amp;TEXT(TODAY(),"YYYYMMDD"))</f>
        <v/>
      </c>
      <c r="C691" s="37" t="str">
        <f>IF(Agent04_Savings!A96="","",Agent04_Savings!B96)</f>
        <v/>
      </c>
      <c r="D691" s="37" t="str">
        <f>IF(Agent04_Savings!A96="","",Agent04_Savings!G96)</f>
        <v/>
      </c>
      <c r="E691" s="38" t="str">
        <f>IF(Agent04_Savings!A96="","",Agent04_Savings!D96)</f>
        <v/>
      </c>
      <c r="F691" s="39" t="str">
        <f>IF(Agent04_Savings!A96="","",Agent04_Savings!E96)</f>
        <v/>
      </c>
      <c r="G691" s="39" t="str">
        <f>IF(Agent04_Savings!A96="","",Agent04_Savings!F96)</f>
        <v/>
      </c>
      <c r="H691" s="37" t="str">
        <f>IF(Agent04_Savings!A96="","",Agent04_Savings!I96)</f>
        <v/>
      </c>
      <c r="I691" s="37" t="str">
        <f>IF(Agent04_Savings!A96="","",Agent04_Savings!J96)</f>
        <v/>
      </c>
      <c r="J691" s="37" t="str">
        <f>IF(Agent04_Savings!A96="","",Agent04_Savings!K96)</f>
        <v/>
      </c>
      <c r="K691" s="37" t="str">
        <f>IFERROR(IF(Agent04_Savings!A96="","",YEAR(Agent04_Savings!D96)),"")</f>
        <v/>
      </c>
    </row>
    <row r="692" spans="1:11" ht="18" customHeight="1" x14ac:dyDescent="0.25">
      <c r="A692" s="37" t="str">
        <f>IF(Agent04_Savings!A97="","",Agent04_Savings!A97)</f>
        <v/>
      </c>
      <c r="B692" s="37" t="str">
        <f ca="1">IF(Agent04_Savings!A97="","","SV"&amp;TEXT(692-3,"0000")&amp;"-"&amp;TEXT(TODAY(),"YYYYMMDD"))</f>
        <v/>
      </c>
      <c r="C692" s="37" t="str">
        <f>IF(Agent04_Savings!A97="","",Agent04_Savings!B97)</f>
        <v/>
      </c>
      <c r="D692" s="37" t="str">
        <f>IF(Agent04_Savings!A97="","",Agent04_Savings!G97)</f>
        <v/>
      </c>
      <c r="E692" s="38" t="str">
        <f>IF(Agent04_Savings!A97="","",Agent04_Savings!D97)</f>
        <v/>
      </c>
      <c r="F692" s="39" t="str">
        <f>IF(Agent04_Savings!A97="","",Agent04_Savings!E97)</f>
        <v/>
      </c>
      <c r="G692" s="39" t="str">
        <f>IF(Agent04_Savings!A97="","",Agent04_Savings!F97)</f>
        <v/>
      </c>
      <c r="H692" s="37" t="str">
        <f>IF(Agent04_Savings!A97="","",Agent04_Savings!I97)</f>
        <v/>
      </c>
      <c r="I692" s="37" t="str">
        <f>IF(Agent04_Savings!A97="","",Agent04_Savings!J97)</f>
        <v/>
      </c>
      <c r="J692" s="37" t="str">
        <f>IF(Agent04_Savings!A97="","",Agent04_Savings!K97)</f>
        <v/>
      </c>
      <c r="K692" s="37" t="str">
        <f>IFERROR(IF(Agent04_Savings!A97="","",YEAR(Agent04_Savings!D97)),"")</f>
        <v/>
      </c>
    </row>
    <row r="693" spans="1:11" ht="18" customHeight="1" x14ac:dyDescent="0.25">
      <c r="A693" s="37" t="str">
        <f>IF(Agent04_Savings!A98="","",Agent04_Savings!A98)</f>
        <v/>
      </c>
      <c r="B693" s="37" t="str">
        <f ca="1">IF(Agent04_Savings!A98="","","SV"&amp;TEXT(693-3,"0000")&amp;"-"&amp;TEXT(TODAY(),"YYYYMMDD"))</f>
        <v/>
      </c>
      <c r="C693" s="37" t="str">
        <f>IF(Agent04_Savings!A98="","",Agent04_Savings!B98)</f>
        <v/>
      </c>
      <c r="D693" s="37" t="str">
        <f>IF(Agent04_Savings!A98="","",Agent04_Savings!G98)</f>
        <v/>
      </c>
      <c r="E693" s="38" t="str">
        <f>IF(Agent04_Savings!A98="","",Agent04_Savings!D98)</f>
        <v/>
      </c>
      <c r="F693" s="39" t="str">
        <f>IF(Agent04_Savings!A98="","",Agent04_Savings!E98)</f>
        <v/>
      </c>
      <c r="G693" s="39" t="str">
        <f>IF(Agent04_Savings!A98="","",Agent04_Savings!F98)</f>
        <v/>
      </c>
      <c r="H693" s="37" t="str">
        <f>IF(Agent04_Savings!A98="","",Agent04_Savings!I98)</f>
        <v/>
      </c>
      <c r="I693" s="37" t="str">
        <f>IF(Agent04_Savings!A98="","",Agent04_Savings!J98)</f>
        <v/>
      </c>
      <c r="J693" s="37" t="str">
        <f>IF(Agent04_Savings!A98="","",Agent04_Savings!K98)</f>
        <v/>
      </c>
      <c r="K693" s="37" t="str">
        <f>IFERROR(IF(Agent04_Savings!A98="","",YEAR(Agent04_Savings!D98)),"")</f>
        <v/>
      </c>
    </row>
    <row r="694" spans="1:11" ht="18" customHeight="1" x14ac:dyDescent="0.25">
      <c r="A694" s="37" t="str">
        <f>IF(Agent04_Savings!A99="","",Agent04_Savings!A99)</f>
        <v/>
      </c>
      <c r="B694" s="37" t="str">
        <f ca="1">IF(Agent04_Savings!A99="","","SV"&amp;TEXT(694-3,"0000")&amp;"-"&amp;TEXT(TODAY(),"YYYYMMDD"))</f>
        <v/>
      </c>
      <c r="C694" s="37" t="str">
        <f>IF(Agent04_Savings!A99="","",Agent04_Savings!B99)</f>
        <v/>
      </c>
      <c r="D694" s="37" t="str">
        <f>IF(Agent04_Savings!A99="","",Agent04_Savings!G99)</f>
        <v/>
      </c>
      <c r="E694" s="38" t="str">
        <f>IF(Agent04_Savings!A99="","",Agent04_Savings!D99)</f>
        <v/>
      </c>
      <c r="F694" s="39" t="str">
        <f>IF(Agent04_Savings!A99="","",Agent04_Savings!E99)</f>
        <v/>
      </c>
      <c r="G694" s="39" t="str">
        <f>IF(Agent04_Savings!A99="","",Agent04_Savings!F99)</f>
        <v/>
      </c>
      <c r="H694" s="37" t="str">
        <f>IF(Agent04_Savings!A99="","",Agent04_Savings!I99)</f>
        <v/>
      </c>
      <c r="I694" s="37" t="str">
        <f>IF(Agent04_Savings!A99="","",Agent04_Savings!J99)</f>
        <v/>
      </c>
      <c r="J694" s="37" t="str">
        <f>IF(Agent04_Savings!A99="","",Agent04_Savings!K99)</f>
        <v/>
      </c>
      <c r="K694" s="37" t="str">
        <f>IFERROR(IF(Agent04_Savings!A99="","",YEAR(Agent04_Savings!D99)),"")</f>
        <v/>
      </c>
    </row>
    <row r="695" spans="1:11" ht="18" customHeight="1" x14ac:dyDescent="0.25">
      <c r="A695" s="37" t="str">
        <f>IF(Agent04_Savings!A100="","",Agent04_Savings!A100)</f>
        <v/>
      </c>
      <c r="B695" s="37" t="str">
        <f ca="1">IF(Agent04_Savings!A100="","","SV"&amp;TEXT(695-3,"0000")&amp;"-"&amp;TEXT(TODAY(),"YYYYMMDD"))</f>
        <v/>
      </c>
      <c r="C695" s="37" t="str">
        <f>IF(Agent04_Savings!A100="","",Agent04_Savings!B100)</f>
        <v/>
      </c>
      <c r="D695" s="37" t="str">
        <f>IF(Agent04_Savings!A100="","",Agent04_Savings!G100)</f>
        <v/>
      </c>
      <c r="E695" s="38" t="str">
        <f>IF(Agent04_Savings!A100="","",Agent04_Savings!D100)</f>
        <v/>
      </c>
      <c r="F695" s="39" t="str">
        <f>IF(Agent04_Savings!A100="","",Agent04_Savings!E100)</f>
        <v/>
      </c>
      <c r="G695" s="39" t="str">
        <f>IF(Agent04_Savings!A100="","",Agent04_Savings!F100)</f>
        <v/>
      </c>
      <c r="H695" s="37" t="str">
        <f>IF(Agent04_Savings!A100="","",Agent04_Savings!I100)</f>
        <v/>
      </c>
      <c r="I695" s="37" t="str">
        <f>IF(Agent04_Savings!A100="","",Agent04_Savings!J100)</f>
        <v/>
      </c>
      <c r="J695" s="37" t="str">
        <f>IF(Agent04_Savings!A100="","",Agent04_Savings!K100)</f>
        <v/>
      </c>
      <c r="K695" s="37" t="str">
        <f>IFERROR(IF(Agent04_Savings!A100="","",YEAR(Agent04_Savings!D100)),"")</f>
        <v/>
      </c>
    </row>
    <row r="696" spans="1:11" ht="18" customHeight="1" x14ac:dyDescent="0.25">
      <c r="A696" s="37" t="str">
        <f>IF(Agent04_Savings!A101="","",Agent04_Savings!A101)</f>
        <v/>
      </c>
      <c r="B696" s="37" t="str">
        <f ca="1">IF(Agent04_Savings!A101="","","SV"&amp;TEXT(696-3,"0000")&amp;"-"&amp;TEXT(TODAY(),"YYYYMMDD"))</f>
        <v/>
      </c>
      <c r="C696" s="37" t="str">
        <f>IF(Agent04_Savings!A101="","",Agent04_Savings!B101)</f>
        <v/>
      </c>
      <c r="D696" s="37" t="str">
        <f>IF(Agent04_Savings!A101="","",Agent04_Savings!G101)</f>
        <v/>
      </c>
      <c r="E696" s="38" t="str">
        <f>IF(Agent04_Savings!A101="","",Agent04_Savings!D101)</f>
        <v/>
      </c>
      <c r="F696" s="39" t="str">
        <f>IF(Agent04_Savings!A101="","",Agent04_Savings!E101)</f>
        <v/>
      </c>
      <c r="G696" s="39" t="str">
        <f>IF(Agent04_Savings!A101="","",Agent04_Savings!F101)</f>
        <v/>
      </c>
      <c r="H696" s="37" t="str">
        <f>IF(Agent04_Savings!A101="","",Agent04_Savings!I101)</f>
        <v/>
      </c>
      <c r="I696" s="37" t="str">
        <f>IF(Agent04_Savings!A101="","",Agent04_Savings!J101)</f>
        <v/>
      </c>
      <c r="J696" s="37" t="str">
        <f>IF(Agent04_Savings!A101="","",Agent04_Savings!K101)</f>
        <v/>
      </c>
      <c r="K696" s="37" t="str">
        <f>IFERROR(IF(Agent04_Savings!A101="","",YEAR(Agent04_Savings!D101)),"")</f>
        <v/>
      </c>
    </row>
    <row r="697" spans="1:11" ht="18" customHeight="1" x14ac:dyDescent="0.25">
      <c r="A697" s="37" t="str">
        <f>IF(Agent04_Savings!A102="","",Agent04_Savings!A102)</f>
        <v/>
      </c>
      <c r="B697" s="37" t="str">
        <f ca="1">IF(Agent04_Savings!A102="","","SV"&amp;TEXT(697-3,"0000")&amp;"-"&amp;TEXT(TODAY(),"YYYYMMDD"))</f>
        <v/>
      </c>
      <c r="C697" s="37" t="str">
        <f>IF(Agent04_Savings!A102="","",Agent04_Savings!B102)</f>
        <v/>
      </c>
      <c r="D697" s="37" t="str">
        <f>IF(Agent04_Savings!A102="","",Agent04_Savings!G102)</f>
        <v/>
      </c>
      <c r="E697" s="38" t="str">
        <f>IF(Agent04_Savings!A102="","",Agent04_Savings!D102)</f>
        <v/>
      </c>
      <c r="F697" s="39" t="str">
        <f>IF(Agent04_Savings!A102="","",Agent04_Savings!E102)</f>
        <v/>
      </c>
      <c r="G697" s="39" t="str">
        <f>IF(Agent04_Savings!A102="","",Agent04_Savings!F102)</f>
        <v/>
      </c>
      <c r="H697" s="37" t="str">
        <f>IF(Agent04_Savings!A102="","",Agent04_Savings!I102)</f>
        <v/>
      </c>
      <c r="I697" s="37" t="str">
        <f>IF(Agent04_Savings!A102="","",Agent04_Savings!J102)</f>
        <v/>
      </c>
      <c r="J697" s="37" t="str">
        <f>IF(Agent04_Savings!A102="","",Agent04_Savings!K102)</f>
        <v/>
      </c>
      <c r="K697" s="37" t="str">
        <f>IFERROR(IF(Agent04_Savings!A102="","",YEAR(Agent04_Savings!D102)),"")</f>
        <v/>
      </c>
    </row>
    <row r="698" spans="1:11" ht="18" customHeight="1" x14ac:dyDescent="0.25">
      <c r="A698" s="37" t="str">
        <f>IF(Agent04_Savings!A103="","",Agent04_Savings!A103)</f>
        <v/>
      </c>
      <c r="B698" s="37" t="str">
        <f ca="1">IF(Agent04_Savings!A103="","","SV"&amp;TEXT(698-3,"0000")&amp;"-"&amp;TEXT(TODAY(),"YYYYMMDD"))</f>
        <v/>
      </c>
      <c r="C698" s="37" t="str">
        <f>IF(Agent04_Savings!A103="","",Agent04_Savings!B103)</f>
        <v/>
      </c>
      <c r="D698" s="37" t="str">
        <f>IF(Agent04_Savings!A103="","",Agent04_Savings!G103)</f>
        <v/>
      </c>
      <c r="E698" s="38" t="str">
        <f>IF(Agent04_Savings!A103="","",Agent04_Savings!D103)</f>
        <v/>
      </c>
      <c r="F698" s="39" t="str">
        <f>IF(Agent04_Savings!A103="","",Agent04_Savings!E103)</f>
        <v/>
      </c>
      <c r="G698" s="39" t="str">
        <f>IF(Agent04_Savings!A103="","",Agent04_Savings!F103)</f>
        <v/>
      </c>
      <c r="H698" s="37" t="str">
        <f>IF(Agent04_Savings!A103="","",Agent04_Savings!I103)</f>
        <v/>
      </c>
      <c r="I698" s="37" t="str">
        <f>IF(Agent04_Savings!A103="","",Agent04_Savings!J103)</f>
        <v/>
      </c>
      <c r="J698" s="37" t="str">
        <f>IF(Agent04_Savings!A103="","",Agent04_Savings!K103)</f>
        <v/>
      </c>
      <c r="K698" s="37" t="str">
        <f>IFERROR(IF(Agent04_Savings!A103="","",YEAR(Agent04_Savings!D103)),"")</f>
        <v/>
      </c>
    </row>
    <row r="699" spans="1:11" ht="18" customHeight="1" x14ac:dyDescent="0.25">
      <c r="A699" s="37" t="str">
        <f>IF(Agent04_Savings!A104="","",Agent04_Savings!A104)</f>
        <v/>
      </c>
      <c r="B699" s="37" t="str">
        <f ca="1">IF(Agent04_Savings!A104="","","SV"&amp;TEXT(699-3,"0000")&amp;"-"&amp;TEXT(TODAY(),"YYYYMMDD"))</f>
        <v/>
      </c>
      <c r="C699" s="37" t="str">
        <f>IF(Agent04_Savings!A104="","",Agent04_Savings!B104)</f>
        <v/>
      </c>
      <c r="D699" s="37" t="str">
        <f>IF(Agent04_Savings!A104="","",Agent04_Savings!G104)</f>
        <v/>
      </c>
      <c r="E699" s="38" t="str">
        <f>IF(Agent04_Savings!A104="","",Agent04_Savings!D104)</f>
        <v/>
      </c>
      <c r="F699" s="39" t="str">
        <f>IF(Agent04_Savings!A104="","",Agent04_Savings!E104)</f>
        <v/>
      </c>
      <c r="G699" s="39" t="str">
        <f>IF(Agent04_Savings!A104="","",Agent04_Savings!F104)</f>
        <v/>
      </c>
      <c r="H699" s="37" t="str">
        <f>IF(Agent04_Savings!A104="","",Agent04_Savings!I104)</f>
        <v/>
      </c>
      <c r="I699" s="37" t="str">
        <f>IF(Agent04_Savings!A104="","",Agent04_Savings!J104)</f>
        <v/>
      </c>
      <c r="J699" s="37" t="str">
        <f>IF(Agent04_Savings!A104="","",Agent04_Savings!K104)</f>
        <v/>
      </c>
      <c r="K699" s="37" t="str">
        <f>IFERROR(IF(Agent04_Savings!A104="","",YEAR(Agent04_Savings!D104)),"")</f>
        <v/>
      </c>
    </row>
    <row r="700" spans="1:11" ht="18" customHeight="1" x14ac:dyDescent="0.25">
      <c r="A700" s="37" t="str">
        <f>IF(Agent04_Savings!A105="","",Agent04_Savings!A105)</f>
        <v/>
      </c>
      <c r="B700" s="37" t="str">
        <f ca="1">IF(Agent04_Savings!A105="","","SV"&amp;TEXT(700-3,"0000")&amp;"-"&amp;TEXT(TODAY(),"YYYYMMDD"))</f>
        <v/>
      </c>
      <c r="C700" s="37" t="str">
        <f>IF(Agent04_Savings!A105="","",Agent04_Savings!B105)</f>
        <v/>
      </c>
      <c r="D700" s="37" t="str">
        <f>IF(Agent04_Savings!A105="","",Agent04_Savings!G105)</f>
        <v/>
      </c>
      <c r="E700" s="38" t="str">
        <f>IF(Agent04_Savings!A105="","",Agent04_Savings!D105)</f>
        <v/>
      </c>
      <c r="F700" s="39" t="str">
        <f>IF(Agent04_Savings!A105="","",Agent04_Savings!E105)</f>
        <v/>
      </c>
      <c r="G700" s="39" t="str">
        <f>IF(Agent04_Savings!A105="","",Agent04_Savings!F105)</f>
        <v/>
      </c>
      <c r="H700" s="37" t="str">
        <f>IF(Agent04_Savings!A105="","",Agent04_Savings!I105)</f>
        <v/>
      </c>
      <c r="I700" s="37" t="str">
        <f>IF(Agent04_Savings!A105="","",Agent04_Savings!J105)</f>
        <v/>
      </c>
      <c r="J700" s="37" t="str">
        <f>IF(Agent04_Savings!A105="","",Agent04_Savings!K105)</f>
        <v/>
      </c>
      <c r="K700" s="37" t="str">
        <f>IFERROR(IF(Agent04_Savings!A105="","",YEAR(Agent04_Savings!D105)),"")</f>
        <v/>
      </c>
    </row>
    <row r="701" spans="1:11" ht="18" customHeight="1" x14ac:dyDescent="0.25">
      <c r="A701" s="37" t="str">
        <f>IF(Agent04_Savings!A106="","",Agent04_Savings!A106)</f>
        <v/>
      </c>
      <c r="B701" s="37" t="str">
        <f ca="1">IF(Agent04_Savings!A106="","","SV"&amp;TEXT(701-3,"0000")&amp;"-"&amp;TEXT(TODAY(),"YYYYMMDD"))</f>
        <v/>
      </c>
      <c r="C701" s="37" t="str">
        <f>IF(Agent04_Savings!A106="","",Agent04_Savings!B106)</f>
        <v/>
      </c>
      <c r="D701" s="37" t="str">
        <f>IF(Agent04_Savings!A106="","",Agent04_Savings!G106)</f>
        <v/>
      </c>
      <c r="E701" s="38" t="str">
        <f>IF(Agent04_Savings!A106="","",Agent04_Savings!D106)</f>
        <v/>
      </c>
      <c r="F701" s="39" t="str">
        <f>IF(Agent04_Savings!A106="","",Agent04_Savings!E106)</f>
        <v/>
      </c>
      <c r="G701" s="39" t="str">
        <f>IF(Agent04_Savings!A106="","",Agent04_Savings!F106)</f>
        <v/>
      </c>
      <c r="H701" s="37" t="str">
        <f>IF(Agent04_Savings!A106="","",Agent04_Savings!I106)</f>
        <v/>
      </c>
      <c r="I701" s="37" t="str">
        <f>IF(Agent04_Savings!A106="","",Agent04_Savings!J106)</f>
        <v/>
      </c>
      <c r="J701" s="37" t="str">
        <f>IF(Agent04_Savings!A106="","",Agent04_Savings!K106)</f>
        <v/>
      </c>
      <c r="K701" s="37" t="str">
        <f>IFERROR(IF(Agent04_Savings!A106="","",YEAR(Agent04_Savings!D106)),"")</f>
        <v/>
      </c>
    </row>
    <row r="702" spans="1:11" ht="18" customHeight="1" x14ac:dyDescent="0.25">
      <c r="A702" s="37" t="str">
        <f>IF(Agent04_Savings!A107="","",Agent04_Savings!A107)</f>
        <v/>
      </c>
      <c r="B702" s="37" t="str">
        <f ca="1">IF(Agent04_Savings!A107="","","SV"&amp;TEXT(702-3,"0000")&amp;"-"&amp;TEXT(TODAY(),"YYYYMMDD"))</f>
        <v/>
      </c>
      <c r="C702" s="37" t="str">
        <f>IF(Agent04_Savings!A107="","",Agent04_Savings!B107)</f>
        <v/>
      </c>
      <c r="D702" s="37" t="str">
        <f>IF(Agent04_Savings!A107="","",Agent04_Savings!G107)</f>
        <v/>
      </c>
      <c r="E702" s="38" t="str">
        <f>IF(Agent04_Savings!A107="","",Agent04_Savings!D107)</f>
        <v/>
      </c>
      <c r="F702" s="39" t="str">
        <f>IF(Agent04_Savings!A107="","",Agent04_Savings!E107)</f>
        <v/>
      </c>
      <c r="G702" s="39" t="str">
        <f>IF(Agent04_Savings!A107="","",Agent04_Savings!F107)</f>
        <v/>
      </c>
      <c r="H702" s="37" t="str">
        <f>IF(Agent04_Savings!A107="","",Agent04_Savings!I107)</f>
        <v/>
      </c>
      <c r="I702" s="37" t="str">
        <f>IF(Agent04_Savings!A107="","",Agent04_Savings!J107)</f>
        <v/>
      </c>
      <c r="J702" s="37" t="str">
        <f>IF(Agent04_Savings!A107="","",Agent04_Savings!K107)</f>
        <v/>
      </c>
      <c r="K702" s="37" t="str">
        <f>IFERROR(IF(Agent04_Savings!A107="","",YEAR(Agent04_Savings!D107)),"")</f>
        <v/>
      </c>
    </row>
    <row r="703" spans="1:11" ht="18" customHeight="1" x14ac:dyDescent="0.25">
      <c r="A703" s="37" t="str">
        <f>IF(Agent04_Savings!A108="","",Agent04_Savings!A108)</f>
        <v/>
      </c>
      <c r="B703" s="37" t="str">
        <f ca="1">IF(Agent04_Savings!A108="","","SV"&amp;TEXT(703-3,"0000")&amp;"-"&amp;TEXT(TODAY(),"YYYYMMDD"))</f>
        <v/>
      </c>
      <c r="C703" s="37" t="str">
        <f>IF(Agent04_Savings!A108="","",Agent04_Savings!B108)</f>
        <v/>
      </c>
      <c r="D703" s="37" t="str">
        <f>IF(Agent04_Savings!A108="","",Agent04_Savings!G108)</f>
        <v/>
      </c>
      <c r="E703" s="38" t="str">
        <f>IF(Agent04_Savings!A108="","",Agent04_Savings!D108)</f>
        <v/>
      </c>
      <c r="F703" s="39" t="str">
        <f>IF(Agent04_Savings!A108="","",Agent04_Savings!E108)</f>
        <v/>
      </c>
      <c r="G703" s="39" t="str">
        <f>IF(Agent04_Savings!A108="","",Agent04_Savings!F108)</f>
        <v/>
      </c>
      <c r="H703" s="37" t="str">
        <f>IF(Agent04_Savings!A108="","",Agent04_Savings!I108)</f>
        <v/>
      </c>
      <c r="I703" s="37" t="str">
        <f>IF(Agent04_Savings!A108="","",Agent04_Savings!J108)</f>
        <v/>
      </c>
      <c r="J703" s="37" t="str">
        <f>IF(Agent04_Savings!A108="","",Agent04_Savings!K108)</f>
        <v/>
      </c>
      <c r="K703" s="37" t="str">
        <f>IFERROR(IF(Agent04_Savings!A108="","",YEAR(Agent04_Savings!D108)),"")</f>
        <v/>
      </c>
    </row>
    <row r="704" spans="1:11" ht="18" customHeight="1" x14ac:dyDescent="0.25">
      <c r="A704" s="37" t="str">
        <f>IF(Agent04_Savings!A109="","",Agent04_Savings!A109)</f>
        <v/>
      </c>
      <c r="B704" s="37" t="str">
        <f ca="1">IF(Agent04_Savings!A109="","","SV"&amp;TEXT(704-3,"0000")&amp;"-"&amp;TEXT(TODAY(),"YYYYMMDD"))</f>
        <v/>
      </c>
      <c r="C704" s="37" t="str">
        <f>IF(Agent04_Savings!A109="","",Agent04_Savings!B109)</f>
        <v/>
      </c>
      <c r="D704" s="37" t="str">
        <f>IF(Agent04_Savings!A109="","",Agent04_Savings!G109)</f>
        <v/>
      </c>
      <c r="E704" s="38" t="str">
        <f>IF(Agent04_Savings!A109="","",Agent04_Savings!D109)</f>
        <v/>
      </c>
      <c r="F704" s="39" t="str">
        <f>IF(Agent04_Savings!A109="","",Agent04_Savings!E109)</f>
        <v/>
      </c>
      <c r="G704" s="39" t="str">
        <f>IF(Agent04_Savings!A109="","",Agent04_Savings!F109)</f>
        <v/>
      </c>
      <c r="H704" s="37" t="str">
        <f>IF(Agent04_Savings!A109="","",Agent04_Savings!I109)</f>
        <v/>
      </c>
      <c r="I704" s="37" t="str">
        <f>IF(Agent04_Savings!A109="","",Agent04_Savings!J109)</f>
        <v/>
      </c>
      <c r="J704" s="37" t="str">
        <f>IF(Agent04_Savings!A109="","",Agent04_Savings!K109)</f>
        <v/>
      </c>
      <c r="K704" s="37" t="str">
        <f>IFERROR(IF(Agent04_Savings!A109="","",YEAR(Agent04_Savings!D109)),"")</f>
        <v/>
      </c>
    </row>
    <row r="705" spans="1:11" ht="18" customHeight="1" x14ac:dyDescent="0.25">
      <c r="A705" s="37" t="str">
        <f>IF(Agent04_Savings!A110="","",Agent04_Savings!A110)</f>
        <v/>
      </c>
      <c r="B705" s="37" t="str">
        <f ca="1">IF(Agent04_Savings!A110="","","SV"&amp;TEXT(705-3,"0000")&amp;"-"&amp;TEXT(TODAY(),"YYYYMMDD"))</f>
        <v/>
      </c>
      <c r="C705" s="37" t="str">
        <f>IF(Agent04_Savings!A110="","",Agent04_Savings!B110)</f>
        <v/>
      </c>
      <c r="D705" s="37" t="str">
        <f>IF(Agent04_Savings!A110="","",Agent04_Savings!G110)</f>
        <v/>
      </c>
      <c r="E705" s="38" t="str">
        <f>IF(Agent04_Savings!A110="","",Agent04_Savings!D110)</f>
        <v/>
      </c>
      <c r="F705" s="39" t="str">
        <f>IF(Agent04_Savings!A110="","",Agent04_Savings!E110)</f>
        <v/>
      </c>
      <c r="G705" s="39" t="str">
        <f>IF(Agent04_Savings!A110="","",Agent04_Savings!F110)</f>
        <v/>
      </c>
      <c r="H705" s="37" t="str">
        <f>IF(Agent04_Savings!A110="","",Agent04_Savings!I110)</f>
        <v/>
      </c>
      <c r="I705" s="37" t="str">
        <f>IF(Agent04_Savings!A110="","",Agent04_Savings!J110)</f>
        <v/>
      </c>
      <c r="J705" s="37" t="str">
        <f>IF(Agent04_Savings!A110="","",Agent04_Savings!K110)</f>
        <v/>
      </c>
      <c r="K705" s="37" t="str">
        <f>IFERROR(IF(Agent04_Savings!A110="","",YEAR(Agent04_Savings!D110)),"")</f>
        <v/>
      </c>
    </row>
    <row r="706" spans="1:11" ht="18" customHeight="1" x14ac:dyDescent="0.25">
      <c r="A706" s="37" t="str">
        <f>IF(Agent04_Savings!A111="","",Agent04_Savings!A111)</f>
        <v/>
      </c>
      <c r="B706" s="37" t="str">
        <f ca="1">IF(Agent04_Savings!A111="","","SV"&amp;TEXT(706-3,"0000")&amp;"-"&amp;TEXT(TODAY(),"YYYYMMDD"))</f>
        <v/>
      </c>
      <c r="C706" s="37" t="str">
        <f>IF(Agent04_Savings!A111="","",Agent04_Savings!B111)</f>
        <v/>
      </c>
      <c r="D706" s="37" t="str">
        <f>IF(Agent04_Savings!A111="","",Agent04_Savings!G111)</f>
        <v/>
      </c>
      <c r="E706" s="38" t="str">
        <f>IF(Agent04_Savings!A111="","",Agent04_Savings!D111)</f>
        <v/>
      </c>
      <c r="F706" s="39" t="str">
        <f>IF(Agent04_Savings!A111="","",Agent04_Savings!E111)</f>
        <v/>
      </c>
      <c r="G706" s="39" t="str">
        <f>IF(Agent04_Savings!A111="","",Agent04_Savings!F111)</f>
        <v/>
      </c>
      <c r="H706" s="37" t="str">
        <f>IF(Agent04_Savings!A111="","",Agent04_Savings!I111)</f>
        <v/>
      </c>
      <c r="I706" s="37" t="str">
        <f>IF(Agent04_Savings!A111="","",Agent04_Savings!J111)</f>
        <v/>
      </c>
      <c r="J706" s="37" t="str">
        <f>IF(Agent04_Savings!A111="","",Agent04_Savings!K111)</f>
        <v/>
      </c>
      <c r="K706" s="37" t="str">
        <f>IFERROR(IF(Agent04_Savings!A111="","",YEAR(Agent04_Savings!D111)),"")</f>
        <v/>
      </c>
    </row>
    <row r="707" spans="1:11" ht="18" customHeight="1" x14ac:dyDescent="0.25">
      <c r="A707" s="37" t="str">
        <f>IF(Agent04_Savings!A112="","",Agent04_Savings!A112)</f>
        <v/>
      </c>
      <c r="B707" s="37" t="str">
        <f ca="1">IF(Agent04_Savings!A112="","","SV"&amp;TEXT(707-3,"0000")&amp;"-"&amp;TEXT(TODAY(),"YYYYMMDD"))</f>
        <v/>
      </c>
      <c r="C707" s="37" t="str">
        <f>IF(Agent04_Savings!A112="","",Agent04_Savings!B112)</f>
        <v/>
      </c>
      <c r="D707" s="37" t="str">
        <f>IF(Agent04_Savings!A112="","",Agent04_Savings!G112)</f>
        <v/>
      </c>
      <c r="E707" s="38" t="str">
        <f>IF(Agent04_Savings!A112="","",Agent04_Savings!D112)</f>
        <v/>
      </c>
      <c r="F707" s="39" t="str">
        <f>IF(Agent04_Savings!A112="","",Agent04_Savings!E112)</f>
        <v/>
      </c>
      <c r="G707" s="39" t="str">
        <f>IF(Agent04_Savings!A112="","",Agent04_Savings!F112)</f>
        <v/>
      </c>
      <c r="H707" s="37" t="str">
        <f>IF(Agent04_Savings!A112="","",Agent04_Savings!I112)</f>
        <v/>
      </c>
      <c r="I707" s="37" t="str">
        <f>IF(Agent04_Savings!A112="","",Agent04_Savings!J112)</f>
        <v/>
      </c>
      <c r="J707" s="37" t="str">
        <f>IF(Agent04_Savings!A112="","",Agent04_Savings!K112)</f>
        <v/>
      </c>
      <c r="K707" s="37" t="str">
        <f>IFERROR(IF(Agent04_Savings!A112="","",YEAR(Agent04_Savings!D112)),"")</f>
        <v/>
      </c>
    </row>
    <row r="708" spans="1:11" ht="18" customHeight="1" x14ac:dyDescent="0.25">
      <c r="A708" s="37" t="str">
        <f>IF(Agent04_Savings!A113="","",Agent04_Savings!A113)</f>
        <v/>
      </c>
      <c r="B708" s="37" t="str">
        <f ca="1">IF(Agent04_Savings!A113="","","SV"&amp;TEXT(708-3,"0000")&amp;"-"&amp;TEXT(TODAY(),"YYYYMMDD"))</f>
        <v/>
      </c>
      <c r="C708" s="37" t="str">
        <f>IF(Agent04_Savings!A113="","",Agent04_Savings!B113)</f>
        <v/>
      </c>
      <c r="D708" s="37" t="str">
        <f>IF(Agent04_Savings!A113="","",Agent04_Savings!G113)</f>
        <v/>
      </c>
      <c r="E708" s="38" t="str">
        <f>IF(Agent04_Savings!A113="","",Agent04_Savings!D113)</f>
        <v/>
      </c>
      <c r="F708" s="39" t="str">
        <f>IF(Agent04_Savings!A113="","",Agent04_Savings!E113)</f>
        <v/>
      </c>
      <c r="G708" s="39" t="str">
        <f>IF(Agent04_Savings!A113="","",Agent04_Savings!F113)</f>
        <v/>
      </c>
      <c r="H708" s="37" t="str">
        <f>IF(Agent04_Savings!A113="","",Agent04_Savings!I113)</f>
        <v/>
      </c>
      <c r="I708" s="37" t="str">
        <f>IF(Agent04_Savings!A113="","",Agent04_Savings!J113)</f>
        <v/>
      </c>
      <c r="J708" s="37" t="str">
        <f>IF(Agent04_Savings!A113="","",Agent04_Savings!K113)</f>
        <v/>
      </c>
      <c r="K708" s="37" t="str">
        <f>IFERROR(IF(Agent04_Savings!A113="","",YEAR(Agent04_Savings!D113)),"")</f>
        <v/>
      </c>
    </row>
    <row r="709" spans="1:11" ht="18" customHeight="1" x14ac:dyDescent="0.25">
      <c r="A709" s="37" t="str">
        <f>IF(Agent04_Savings!A114="","",Agent04_Savings!A114)</f>
        <v/>
      </c>
      <c r="B709" s="37" t="str">
        <f ca="1">IF(Agent04_Savings!A114="","","SV"&amp;TEXT(709-3,"0000")&amp;"-"&amp;TEXT(TODAY(),"YYYYMMDD"))</f>
        <v/>
      </c>
      <c r="C709" s="37" t="str">
        <f>IF(Agent04_Savings!A114="","",Agent04_Savings!B114)</f>
        <v/>
      </c>
      <c r="D709" s="37" t="str">
        <f>IF(Agent04_Savings!A114="","",Agent04_Savings!G114)</f>
        <v/>
      </c>
      <c r="E709" s="38" t="str">
        <f>IF(Agent04_Savings!A114="","",Agent04_Savings!D114)</f>
        <v/>
      </c>
      <c r="F709" s="39" t="str">
        <f>IF(Agent04_Savings!A114="","",Agent04_Savings!E114)</f>
        <v/>
      </c>
      <c r="G709" s="39" t="str">
        <f>IF(Agent04_Savings!A114="","",Agent04_Savings!F114)</f>
        <v/>
      </c>
      <c r="H709" s="37" t="str">
        <f>IF(Agent04_Savings!A114="","",Agent04_Savings!I114)</f>
        <v/>
      </c>
      <c r="I709" s="37" t="str">
        <f>IF(Agent04_Savings!A114="","",Agent04_Savings!J114)</f>
        <v/>
      </c>
      <c r="J709" s="37" t="str">
        <f>IF(Agent04_Savings!A114="","",Agent04_Savings!K114)</f>
        <v/>
      </c>
      <c r="K709" s="37" t="str">
        <f>IFERROR(IF(Agent04_Savings!A114="","",YEAR(Agent04_Savings!D114)),"")</f>
        <v/>
      </c>
    </row>
    <row r="710" spans="1:11" ht="18" customHeight="1" x14ac:dyDescent="0.25">
      <c r="A710" s="37" t="str">
        <f>IF(Agent04_Savings!A115="","",Agent04_Savings!A115)</f>
        <v/>
      </c>
      <c r="B710" s="37" t="str">
        <f ca="1">IF(Agent04_Savings!A115="","","SV"&amp;TEXT(710-3,"0000")&amp;"-"&amp;TEXT(TODAY(),"YYYYMMDD"))</f>
        <v/>
      </c>
      <c r="C710" s="37" t="str">
        <f>IF(Agent04_Savings!A115="","",Agent04_Savings!B115)</f>
        <v/>
      </c>
      <c r="D710" s="37" t="str">
        <f>IF(Agent04_Savings!A115="","",Agent04_Savings!G115)</f>
        <v/>
      </c>
      <c r="E710" s="38" t="str">
        <f>IF(Agent04_Savings!A115="","",Agent04_Savings!D115)</f>
        <v/>
      </c>
      <c r="F710" s="39" t="str">
        <f>IF(Agent04_Savings!A115="","",Agent04_Savings!E115)</f>
        <v/>
      </c>
      <c r="G710" s="39" t="str">
        <f>IF(Agent04_Savings!A115="","",Agent04_Savings!F115)</f>
        <v/>
      </c>
      <c r="H710" s="37" t="str">
        <f>IF(Agent04_Savings!A115="","",Agent04_Savings!I115)</f>
        <v/>
      </c>
      <c r="I710" s="37" t="str">
        <f>IF(Agent04_Savings!A115="","",Agent04_Savings!J115)</f>
        <v/>
      </c>
      <c r="J710" s="37" t="str">
        <f>IF(Agent04_Savings!A115="","",Agent04_Savings!K115)</f>
        <v/>
      </c>
      <c r="K710" s="37" t="str">
        <f>IFERROR(IF(Agent04_Savings!A115="","",YEAR(Agent04_Savings!D115)),"")</f>
        <v/>
      </c>
    </row>
    <row r="711" spans="1:11" ht="18" customHeight="1" x14ac:dyDescent="0.25">
      <c r="A711" s="37" t="str">
        <f>IF(Agent04_Savings!A116="","",Agent04_Savings!A116)</f>
        <v/>
      </c>
      <c r="B711" s="37" t="str">
        <f ca="1">IF(Agent04_Savings!A116="","","SV"&amp;TEXT(711-3,"0000")&amp;"-"&amp;TEXT(TODAY(),"YYYYMMDD"))</f>
        <v/>
      </c>
      <c r="C711" s="37" t="str">
        <f>IF(Agent04_Savings!A116="","",Agent04_Savings!B116)</f>
        <v/>
      </c>
      <c r="D711" s="37" t="str">
        <f>IF(Agent04_Savings!A116="","",Agent04_Savings!G116)</f>
        <v/>
      </c>
      <c r="E711" s="38" t="str">
        <f>IF(Agent04_Savings!A116="","",Agent04_Savings!D116)</f>
        <v/>
      </c>
      <c r="F711" s="39" t="str">
        <f>IF(Agent04_Savings!A116="","",Agent04_Savings!E116)</f>
        <v/>
      </c>
      <c r="G711" s="39" t="str">
        <f>IF(Agent04_Savings!A116="","",Agent04_Savings!F116)</f>
        <v/>
      </c>
      <c r="H711" s="37" t="str">
        <f>IF(Agent04_Savings!A116="","",Agent04_Savings!I116)</f>
        <v/>
      </c>
      <c r="I711" s="37" t="str">
        <f>IF(Agent04_Savings!A116="","",Agent04_Savings!J116)</f>
        <v/>
      </c>
      <c r="J711" s="37" t="str">
        <f>IF(Agent04_Savings!A116="","",Agent04_Savings!K116)</f>
        <v/>
      </c>
      <c r="K711" s="37" t="str">
        <f>IFERROR(IF(Agent04_Savings!A116="","",YEAR(Agent04_Savings!D116)),"")</f>
        <v/>
      </c>
    </row>
    <row r="712" spans="1:11" ht="18" customHeight="1" x14ac:dyDescent="0.25">
      <c r="A712" s="37" t="str">
        <f>IF(Agent04_Savings!A117="","",Agent04_Savings!A117)</f>
        <v/>
      </c>
      <c r="B712" s="37" t="str">
        <f ca="1">IF(Agent04_Savings!A117="","","SV"&amp;TEXT(712-3,"0000")&amp;"-"&amp;TEXT(TODAY(),"YYYYMMDD"))</f>
        <v/>
      </c>
      <c r="C712" s="37" t="str">
        <f>IF(Agent04_Savings!A117="","",Agent04_Savings!B117)</f>
        <v/>
      </c>
      <c r="D712" s="37" t="str">
        <f>IF(Agent04_Savings!A117="","",Agent04_Savings!G117)</f>
        <v/>
      </c>
      <c r="E712" s="38" t="str">
        <f>IF(Agent04_Savings!A117="","",Agent04_Savings!D117)</f>
        <v/>
      </c>
      <c r="F712" s="39" t="str">
        <f>IF(Agent04_Savings!A117="","",Agent04_Savings!E117)</f>
        <v/>
      </c>
      <c r="G712" s="39" t="str">
        <f>IF(Agent04_Savings!A117="","",Agent04_Savings!F117)</f>
        <v/>
      </c>
      <c r="H712" s="37" t="str">
        <f>IF(Agent04_Savings!A117="","",Agent04_Savings!I117)</f>
        <v/>
      </c>
      <c r="I712" s="37" t="str">
        <f>IF(Agent04_Savings!A117="","",Agent04_Savings!J117)</f>
        <v/>
      </c>
      <c r="J712" s="37" t="str">
        <f>IF(Agent04_Savings!A117="","",Agent04_Savings!K117)</f>
        <v/>
      </c>
      <c r="K712" s="37" t="str">
        <f>IFERROR(IF(Agent04_Savings!A117="","",YEAR(Agent04_Savings!D117)),"")</f>
        <v/>
      </c>
    </row>
    <row r="713" spans="1:11" ht="18" customHeight="1" x14ac:dyDescent="0.25">
      <c r="A713" s="37" t="str">
        <f>IF(Agent04_Savings!A118="","",Agent04_Savings!A118)</f>
        <v/>
      </c>
      <c r="B713" s="37" t="str">
        <f ca="1">IF(Agent04_Savings!A118="","","SV"&amp;TEXT(713-3,"0000")&amp;"-"&amp;TEXT(TODAY(),"YYYYMMDD"))</f>
        <v/>
      </c>
      <c r="C713" s="37" t="str">
        <f>IF(Agent04_Savings!A118="","",Agent04_Savings!B118)</f>
        <v/>
      </c>
      <c r="D713" s="37" t="str">
        <f>IF(Agent04_Savings!A118="","",Agent04_Savings!G118)</f>
        <v/>
      </c>
      <c r="E713" s="38" t="str">
        <f>IF(Agent04_Savings!A118="","",Agent04_Savings!D118)</f>
        <v/>
      </c>
      <c r="F713" s="39" t="str">
        <f>IF(Agent04_Savings!A118="","",Agent04_Savings!E118)</f>
        <v/>
      </c>
      <c r="G713" s="39" t="str">
        <f>IF(Agent04_Savings!A118="","",Agent04_Savings!F118)</f>
        <v/>
      </c>
      <c r="H713" s="37" t="str">
        <f>IF(Agent04_Savings!A118="","",Agent04_Savings!I118)</f>
        <v/>
      </c>
      <c r="I713" s="37" t="str">
        <f>IF(Agent04_Savings!A118="","",Agent04_Savings!J118)</f>
        <v/>
      </c>
      <c r="J713" s="37" t="str">
        <f>IF(Agent04_Savings!A118="","",Agent04_Savings!K118)</f>
        <v/>
      </c>
      <c r="K713" s="37" t="str">
        <f>IFERROR(IF(Agent04_Savings!A118="","",YEAR(Agent04_Savings!D118)),"")</f>
        <v/>
      </c>
    </row>
    <row r="714" spans="1:11" ht="18" customHeight="1" x14ac:dyDescent="0.25">
      <c r="A714" s="37" t="str">
        <f>IF(Agent04_Savings!A119="","",Agent04_Savings!A119)</f>
        <v/>
      </c>
      <c r="B714" s="37" t="str">
        <f ca="1">IF(Agent04_Savings!A119="","","SV"&amp;TEXT(714-3,"0000")&amp;"-"&amp;TEXT(TODAY(),"YYYYMMDD"))</f>
        <v/>
      </c>
      <c r="C714" s="37" t="str">
        <f>IF(Agent04_Savings!A119="","",Agent04_Savings!B119)</f>
        <v/>
      </c>
      <c r="D714" s="37" t="str">
        <f>IF(Agent04_Savings!A119="","",Agent04_Savings!G119)</f>
        <v/>
      </c>
      <c r="E714" s="38" t="str">
        <f>IF(Agent04_Savings!A119="","",Agent04_Savings!D119)</f>
        <v/>
      </c>
      <c r="F714" s="39" t="str">
        <f>IF(Agent04_Savings!A119="","",Agent04_Savings!E119)</f>
        <v/>
      </c>
      <c r="G714" s="39" t="str">
        <f>IF(Agent04_Savings!A119="","",Agent04_Savings!F119)</f>
        <v/>
      </c>
      <c r="H714" s="37" t="str">
        <f>IF(Agent04_Savings!A119="","",Agent04_Savings!I119)</f>
        <v/>
      </c>
      <c r="I714" s="37" t="str">
        <f>IF(Agent04_Savings!A119="","",Agent04_Savings!J119)</f>
        <v/>
      </c>
      <c r="J714" s="37" t="str">
        <f>IF(Agent04_Savings!A119="","",Agent04_Savings!K119)</f>
        <v/>
      </c>
      <c r="K714" s="37" t="str">
        <f>IFERROR(IF(Agent04_Savings!A119="","",YEAR(Agent04_Savings!D119)),"")</f>
        <v/>
      </c>
    </row>
    <row r="715" spans="1:11" ht="18" customHeight="1" x14ac:dyDescent="0.25">
      <c r="A715" s="37" t="str">
        <f>IF(Agent04_Savings!A120="","",Agent04_Savings!A120)</f>
        <v/>
      </c>
      <c r="B715" s="37" t="str">
        <f ca="1">IF(Agent04_Savings!A120="","","SV"&amp;TEXT(715-3,"0000")&amp;"-"&amp;TEXT(TODAY(),"YYYYMMDD"))</f>
        <v/>
      </c>
      <c r="C715" s="37" t="str">
        <f>IF(Agent04_Savings!A120="","",Agent04_Savings!B120)</f>
        <v/>
      </c>
      <c r="D715" s="37" t="str">
        <f>IF(Agent04_Savings!A120="","",Agent04_Savings!G120)</f>
        <v/>
      </c>
      <c r="E715" s="38" t="str">
        <f>IF(Agent04_Savings!A120="","",Agent04_Savings!D120)</f>
        <v/>
      </c>
      <c r="F715" s="39" t="str">
        <f>IF(Agent04_Savings!A120="","",Agent04_Savings!E120)</f>
        <v/>
      </c>
      <c r="G715" s="39" t="str">
        <f>IF(Agent04_Savings!A120="","",Agent04_Savings!F120)</f>
        <v/>
      </c>
      <c r="H715" s="37" t="str">
        <f>IF(Agent04_Savings!A120="","",Agent04_Savings!I120)</f>
        <v/>
      </c>
      <c r="I715" s="37" t="str">
        <f>IF(Agent04_Savings!A120="","",Agent04_Savings!J120)</f>
        <v/>
      </c>
      <c r="J715" s="37" t="str">
        <f>IF(Agent04_Savings!A120="","",Agent04_Savings!K120)</f>
        <v/>
      </c>
      <c r="K715" s="37" t="str">
        <f>IFERROR(IF(Agent04_Savings!A120="","",YEAR(Agent04_Savings!D120)),"")</f>
        <v/>
      </c>
    </row>
    <row r="716" spans="1:11" ht="18" customHeight="1" x14ac:dyDescent="0.25">
      <c r="A716" s="37" t="str">
        <f>IF(Agent04_Savings!A121="","",Agent04_Savings!A121)</f>
        <v/>
      </c>
      <c r="B716" s="37" t="str">
        <f ca="1">IF(Agent04_Savings!A121="","","SV"&amp;TEXT(716-3,"0000")&amp;"-"&amp;TEXT(TODAY(),"YYYYMMDD"))</f>
        <v/>
      </c>
      <c r="C716" s="37" t="str">
        <f>IF(Agent04_Savings!A121="","",Agent04_Savings!B121)</f>
        <v/>
      </c>
      <c r="D716" s="37" t="str">
        <f>IF(Agent04_Savings!A121="","",Agent04_Savings!G121)</f>
        <v/>
      </c>
      <c r="E716" s="38" t="str">
        <f>IF(Agent04_Savings!A121="","",Agent04_Savings!D121)</f>
        <v/>
      </c>
      <c r="F716" s="39" t="str">
        <f>IF(Agent04_Savings!A121="","",Agent04_Savings!E121)</f>
        <v/>
      </c>
      <c r="G716" s="39" t="str">
        <f>IF(Agent04_Savings!A121="","",Agent04_Savings!F121)</f>
        <v/>
      </c>
      <c r="H716" s="37" t="str">
        <f>IF(Agent04_Savings!A121="","",Agent04_Savings!I121)</f>
        <v/>
      </c>
      <c r="I716" s="37" t="str">
        <f>IF(Agent04_Savings!A121="","",Agent04_Savings!J121)</f>
        <v/>
      </c>
      <c r="J716" s="37" t="str">
        <f>IF(Agent04_Savings!A121="","",Agent04_Savings!K121)</f>
        <v/>
      </c>
      <c r="K716" s="37" t="str">
        <f>IFERROR(IF(Agent04_Savings!A121="","",YEAR(Agent04_Savings!D121)),"")</f>
        <v/>
      </c>
    </row>
    <row r="717" spans="1:11" ht="18" customHeight="1" x14ac:dyDescent="0.25">
      <c r="A717" s="37" t="str">
        <f>IF(Agent04_Savings!A122="","",Agent04_Savings!A122)</f>
        <v/>
      </c>
      <c r="B717" s="37" t="str">
        <f ca="1">IF(Agent04_Savings!A122="","","SV"&amp;TEXT(717-3,"0000")&amp;"-"&amp;TEXT(TODAY(),"YYYYMMDD"))</f>
        <v/>
      </c>
      <c r="C717" s="37" t="str">
        <f>IF(Agent04_Savings!A122="","",Agent04_Savings!B122)</f>
        <v/>
      </c>
      <c r="D717" s="37" t="str">
        <f>IF(Agent04_Savings!A122="","",Agent04_Savings!G122)</f>
        <v/>
      </c>
      <c r="E717" s="38" t="str">
        <f>IF(Agent04_Savings!A122="","",Agent04_Savings!D122)</f>
        <v/>
      </c>
      <c r="F717" s="39" t="str">
        <f>IF(Agent04_Savings!A122="","",Agent04_Savings!E122)</f>
        <v/>
      </c>
      <c r="G717" s="39" t="str">
        <f>IF(Agent04_Savings!A122="","",Agent04_Savings!F122)</f>
        <v/>
      </c>
      <c r="H717" s="37" t="str">
        <f>IF(Agent04_Savings!A122="","",Agent04_Savings!I122)</f>
        <v/>
      </c>
      <c r="I717" s="37" t="str">
        <f>IF(Agent04_Savings!A122="","",Agent04_Savings!J122)</f>
        <v/>
      </c>
      <c r="J717" s="37" t="str">
        <f>IF(Agent04_Savings!A122="","",Agent04_Savings!K122)</f>
        <v/>
      </c>
      <c r="K717" s="37" t="str">
        <f>IFERROR(IF(Agent04_Savings!A122="","",YEAR(Agent04_Savings!D122)),"")</f>
        <v/>
      </c>
    </row>
    <row r="718" spans="1:11" ht="18" customHeight="1" x14ac:dyDescent="0.25">
      <c r="A718" s="37" t="str">
        <f>IF(Agent04_Savings!A123="","",Agent04_Savings!A123)</f>
        <v/>
      </c>
      <c r="B718" s="37" t="str">
        <f ca="1">IF(Agent04_Savings!A123="","","SV"&amp;TEXT(718-3,"0000")&amp;"-"&amp;TEXT(TODAY(),"YYYYMMDD"))</f>
        <v/>
      </c>
      <c r="C718" s="37" t="str">
        <f>IF(Agent04_Savings!A123="","",Agent04_Savings!B123)</f>
        <v/>
      </c>
      <c r="D718" s="37" t="str">
        <f>IF(Agent04_Savings!A123="","",Agent04_Savings!G123)</f>
        <v/>
      </c>
      <c r="E718" s="38" t="str">
        <f>IF(Agent04_Savings!A123="","",Agent04_Savings!D123)</f>
        <v/>
      </c>
      <c r="F718" s="39" t="str">
        <f>IF(Agent04_Savings!A123="","",Agent04_Savings!E123)</f>
        <v/>
      </c>
      <c r="G718" s="39" t="str">
        <f>IF(Agent04_Savings!A123="","",Agent04_Savings!F123)</f>
        <v/>
      </c>
      <c r="H718" s="37" t="str">
        <f>IF(Agent04_Savings!A123="","",Agent04_Savings!I123)</f>
        <v/>
      </c>
      <c r="I718" s="37" t="str">
        <f>IF(Agent04_Savings!A123="","",Agent04_Savings!J123)</f>
        <v/>
      </c>
      <c r="J718" s="37" t="str">
        <f>IF(Agent04_Savings!A123="","",Agent04_Savings!K123)</f>
        <v/>
      </c>
      <c r="K718" s="37" t="str">
        <f>IFERROR(IF(Agent04_Savings!A123="","",YEAR(Agent04_Savings!D123)),"")</f>
        <v/>
      </c>
    </row>
    <row r="719" spans="1:11" ht="18" customHeight="1" x14ac:dyDescent="0.25">
      <c r="A719" s="37" t="str">
        <f>IF(Agent04_Savings!A124="","",Agent04_Savings!A124)</f>
        <v/>
      </c>
      <c r="B719" s="37" t="str">
        <f ca="1">IF(Agent04_Savings!A124="","","SV"&amp;TEXT(719-3,"0000")&amp;"-"&amp;TEXT(TODAY(),"YYYYMMDD"))</f>
        <v/>
      </c>
      <c r="C719" s="37" t="str">
        <f>IF(Agent04_Savings!A124="","",Agent04_Savings!B124)</f>
        <v/>
      </c>
      <c r="D719" s="37" t="str">
        <f>IF(Agent04_Savings!A124="","",Agent04_Savings!G124)</f>
        <v/>
      </c>
      <c r="E719" s="38" t="str">
        <f>IF(Agent04_Savings!A124="","",Agent04_Savings!D124)</f>
        <v/>
      </c>
      <c r="F719" s="39" t="str">
        <f>IF(Agent04_Savings!A124="","",Agent04_Savings!E124)</f>
        <v/>
      </c>
      <c r="G719" s="39" t="str">
        <f>IF(Agent04_Savings!A124="","",Agent04_Savings!F124)</f>
        <v/>
      </c>
      <c r="H719" s="37" t="str">
        <f>IF(Agent04_Savings!A124="","",Agent04_Savings!I124)</f>
        <v/>
      </c>
      <c r="I719" s="37" t="str">
        <f>IF(Agent04_Savings!A124="","",Agent04_Savings!J124)</f>
        <v/>
      </c>
      <c r="J719" s="37" t="str">
        <f>IF(Agent04_Savings!A124="","",Agent04_Savings!K124)</f>
        <v/>
      </c>
      <c r="K719" s="37" t="str">
        <f>IFERROR(IF(Agent04_Savings!A124="","",YEAR(Agent04_Savings!D124)),"")</f>
        <v/>
      </c>
    </row>
    <row r="720" spans="1:11" ht="18" customHeight="1" x14ac:dyDescent="0.25">
      <c r="A720" s="37" t="str">
        <f>IF(Agent04_Savings!A125="","",Agent04_Savings!A125)</f>
        <v/>
      </c>
      <c r="B720" s="37" t="str">
        <f ca="1">IF(Agent04_Savings!A125="","","SV"&amp;TEXT(720-3,"0000")&amp;"-"&amp;TEXT(TODAY(),"YYYYMMDD"))</f>
        <v/>
      </c>
      <c r="C720" s="37" t="str">
        <f>IF(Agent04_Savings!A125="","",Agent04_Savings!B125)</f>
        <v/>
      </c>
      <c r="D720" s="37" t="str">
        <f>IF(Agent04_Savings!A125="","",Agent04_Savings!G125)</f>
        <v/>
      </c>
      <c r="E720" s="38" t="str">
        <f>IF(Agent04_Savings!A125="","",Agent04_Savings!D125)</f>
        <v/>
      </c>
      <c r="F720" s="39" t="str">
        <f>IF(Agent04_Savings!A125="","",Agent04_Savings!E125)</f>
        <v/>
      </c>
      <c r="G720" s="39" t="str">
        <f>IF(Agent04_Savings!A125="","",Agent04_Savings!F125)</f>
        <v/>
      </c>
      <c r="H720" s="37" t="str">
        <f>IF(Agent04_Savings!A125="","",Agent04_Savings!I125)</f>
        <v/>
      </c>
      <c r="I720" s="37" t="str">
        <f>IF(Agent04_Savings!A125="","",Agent04_Savings!J125)</f>
        <v/>
      </c>
      <c r="J720" s="37" t="str">
        <f>IF(Agent04_Savings!A125="","",Agent04_Savings!K125)</f>
        <v/>
      </c>
      <c r="K720" s="37" t="str">
        <f>IFERROR(IF(Agent04_Savings!A125="","",YEAR(Agent04_Savings!D125)),"")</f>
        <v/>
      </c>
    </row>
    <row r="721" spans="1:11" ht="18" customHeight="1" x14ac:dyDescent="0.25">
      <c r="A721" s="37" t="str">
        <f>IF(Agent04_Savings!A126="","",Agent04_Savings!A126)</f>
        <v/>
      </c>
      <c r="B721" s="37" t="str">
        <f ca="1">IF(Agent04_Savings!A126="","","SV"&amp;TEXT(721-3,"0000")&amp;"-"&amp;TEXT(TODAY(),"YYYYMMDD"))</f>
        <v/>
      </c>
      <c r="C721" s="37" t="str">
        <f>IF(Agent04_Savings!A126="","",Agent04_Savings!B126)</f>
        <v/>
      </c>
      <c r="D721" s="37" t="str">
        <f>IF(Agent04_Savings!A126="","",Agent04_Savings!G126)</f>
        <v/>
      </c>
      <c r="E721" s="38" t="str">
        <f>IF(Agent04_Savings!A126="","",Agent04_Savings!D126)</f>
        <v/>
      </c>
      <c r="F721" s="39" t="str">
        <f>IF(Agent04_Savings!A126="","",Agent04_Savings!E126)</f>
        <v/>
      </c>
      <c r="G721" s="39" t="str">
        <f>IF(Agent04_Savings!A126="","",Agent04_Savings!F126)</f>
        <v/>
      </c>
      <c r="H721" s="37" t="str">
        <f>IF(Agent04_Savings!A126="","",Agent04_Savings!I126)</f>
        <v/>
      </c>
      <c r="I721" s="37" t="str">
        <f>IF(Agent04_Savings!A126="","",Agent04_Savings!J126)</f>
        <v/>
      </c>
      <c r="J721" s="37" t="str">
        <f>IF(Agent04_Savings!A126="","",Agent04_Savings!K126)</f>
        <v/>
      </c>
      <c r="K721" s="37" t="str">
        <f>IFERROR(IF(Agent04_Savings!A126="","",YEAR(Agent04_Savings!D126)),"")</f>
        <v/>
      </c>
    </row>
    <row r="722" spans="1:11" ht="18" customHeight="1" x14ac:dyDescent="0.25">
      <c r="A722" s="37" t="str">
        <f>IF(Agent04_Savings!A127="","",Agent04_Savings!A127)</f>
        <v/>
      </c>
      <c r="B722" s="37" t="str">
        <f ca="1">IF(Agent04_Savings!A127="","","SV"&amp;TEXT(722-3,"0000")&amp;"-"&amp;TEXT(TODAY(),"YYYYMMDD"))</f>
        <v/>
      </c>
      <c r="C722" s="37" t="str">
        <f>IF(Agent04_Savings!A127="","",Agent04_Savings!B127)</f>
        <v/>
      </c>
      <c r="D722" s="37" t="str">
        <f>IF(Agent04_Savings!A127="","",Agent04_Savings!G127)</f>
        <v/>
      </c>
      <c r="E722" s="38" t="str">
        <f>IF(Agent04_Savings!A127="","",Agent04_Savings!D127)</f>
        <v/>
      </c>
      <c r="F722" s="39" t="str">
        <f>IF(Agent04_Savings!A127="","",Agent04_Savings!E127)</f>
        <v/>
      </c>
      <c r="G722" s="39" t="str">
        <f>IF(Agent04_Savings!A127="","",Agent04_Savings!F127)</f>
        <v/>
      </c>
      <c r="H722" s="37" t="str">
        <f>IF(Agent04_Savings!A127="","",Agent04_Savings!I127)</f>
        <v/>
      </c>
      <c r="I722" s="37" t="str">
        <f>IF(Agent04_Savings!A127="","",Agent04_Savings!J127)</f>
        <v/>
      </c>
      <c r="J722" s="37" t="str">
        <f>IF(Agent04_Savings!A127="","",Agent04_Savings!K127)</f>
        <v/>
      </c>
      <c r="K722" s="37" t="str">
        <f>IFERROR(IF(Agent04_Savings!A127="","",YEAR(Agent04_Savings!D127)),"")</f>
        <v/>
      </c>
    </row>
    <row r="723" spans="1:11" ht="18" customHeight="1" x14ac:dyDescent="0.25">
      <c r="A723" s="37" t="str">
        <f>IF(Agent04_Savings!A128="","",Agent04_Savings!A128)</f>
        <v/>
      </c>
      <c r="B723" s="37" t="str">
        <f ca="1">IF(Agent04_Savings!A128="","","SV"&amp;TEXT(723-3,"0000")&amp;"-"&amp;TEXT(TODAY(),"YYYYMMDD"))</f>
        <v/>
      </c>
      <c r="C723" s="37" t="str">
        <f>IF(Agent04_Savings!A128="","",Agent04_Savings!B128)</f>
        <v/>
      </c>
      <c r="D723" s="37" t="str">
        <f>IF(Agent04_Savings!A128="","",Agent04_Savings!G128)</f>
        <v/>
      </c>
      <c r="E723" s="38" t="str">
        <f>IF(Agent04_Savings!A128="","",Agent04_Savings!D128)</f>
        <v/>
      </c>
      <c r="F723" s="39" t="str">
        <f>IF(Agent04_Savings!A128="","",Agent04_Savings!E128)</f>
        <v/>
      </c>
      <c r="G723" s="39" t="str">
        <f>IF(Agent04_Savings!A128="","",Agent04_Savings!F128)</f>
        <v/>
      </c>
      <c r="H723" s="37" t="str">
        <f>IF(Agent04_Savings!A128="","",Agent04_Savings!I128)</f>
        <v/>
      </c>
      <c r="I723" s="37" t="str">
        <f>IF(Agent04_Savings!A128="","",Agent04_Savings!J128)</f>
        <v/>
      </c>
      <c r="J723" s="37" t="str">
        <f>IF(Agent04_Savings!A128="","",Agent04_Savings!K128)</f>
        <v/>
      </c>
      <c r="K723" s="37" t="str">
        <f>IFERROR(IF(Agent04_Savings!A128="","",YEAR(Agent04_Savings!D128)),"")</f>
        <v/>
      </c>
    </row>
    <row r="724" spans="1:11" ht="18" customHeight="1" x14ac:dyDescent="0.25">
      <c r="A724" s="37" t="str">
        <f>IF(Agent04_Savings!A129="","",Agent04_Savings!A129)</f>
        <v/>
      </c>
      <c r="B724" s="37" t="str">
        <f ca="1">IF(Agent04_Savings!A129="","","SV"&amp;TEXT(724-3,"0000")&amp;"-"&amp;TEXT(TODAY(),"YYYYMMDD"))</f>
        <v/>
      </c>
      <c r="C724" s="37" t="str">
        <f>IF(Agent04_Savings!A129="","",Agent04_Savings!B129)</f>
        <v/>
      </c>
      <c r="D724" s="37" t="str">
        <f>IF(Agent04_Savings!A129="","",Agent04_Savings!G129)</f>
        <v/>
      </c>
      <c r="E724" s="38" t="str">
        <f>IF(Agent04_Savings!A129="","",Agent04_Savings!D129)</f>
        <v/>
      </c>
      <c r="F724" s="39" t="str">
        <f>IF(Agent04_Savings!A129="","",Agent04_Savings!E129)</f>
        <v/>
      </c>
      <c r="G724" s="39" t="str">
        <f>IF(Agent04_Savings!A129="","",Agent04_Savings!F129)</f>
        <v/>
      </c>
      <c r="H724" s="37" t="str">
        <f>IF(Agent04_Savings!A129="","",Agent04_Savings!I129)</f>
        <v/>
      </c>
      <c r="I724" s="37" t="str">
        <f>IF(Agent04_Savings!A129="","",Agent04_Savings!J129)</f>
        <v/>
      </c>
      <c r="J724" s="37" t="str">
        <f>IF(Agent04_Savings!A129="","",Agent04_Savings!K129)</f>
        <v/>
      </c>
      <c r="K724" s="37" t="str">
        <f>IFERROR(IF(Agent04_Savings!A129="","",YEAR(Agent04_Savings!D129)),"")</f>
        <v/>
      </c>
    </row>
    <row r="725" spans="1:11" ht="18" customHeight="1" x14ac:dyDescent="0.25">
      <c r="A725" s="37" t="str">
        <f>IF(Agent04_Savings!A130="","",Agent04_Savings!A130)</f>
        <v/>
      </c>
      <c r="B725" s="37" t="str">
        <f ca="1">IF(Agent04_Savings!A130="","","SV"&amp;TEXT(725-3,"0000")&amp;"-"&amp;TEXT(TODAY(),"YYYYMMDD"))</f>
        <v/>
      </c>
      <c r="C725" s="37" t="str">
        <f>IF(Agent04_Savings!A130="","",Agent04_Savings!B130)</f>
        <v/>
      </c>
      <c r="D725" s="37" t="str">
        <f>IF(Agent04_Savings!A130="","",Agent04_Savings!G130)</f>
        <v/>
      </c>
      <c r="E725" s="38" t="str">
        <f>IF(Agent04_Savings!A130="","",Agent04_Savings!D130)</f>
        <v/>
      </c>
      <c r="F725" s="39" t="str">
        <f>IF(Agent04_Savings!A130="","",Agent04_Savings!E130)</f>
        <v/>
      </c>
      <c r="G725" s="39" t="str">
        <f>IF(Agent04_Savings!A130="","",Agent04_Savings!F130)</f>
        <v/>
      </c>
      <c r="H725" s="37" t="str">
        <f>IF(Agent04_Savings!A130="","",Agent04_Savings!I130)</f>
        <v/>
      </c>
      <c r="I725" s="37" t="str">
        <f>IF(Agent04_Savings!A130="","",Agent04_Savings!J130)</f>
        <v/>
      </c>
      <c r="J725" s="37" t="str">
        <f>IF(Agent04_Savings!A130="","",Agent04_Savings!K130)</f>
        <v/>
      </c>
      <c r="K725" s="37" t="str">
        <f>IFERROR(IF(Agent04_Savings!A130="","",YEAR(Agent04_Savings!D130)),"")</f>
        <v/>
      </c>
    </row>
    <row r="726" spans="1:11" ht="18" customHeight="1" x14ac:dyDescent="0.25">
      <c r="A726" s="37" t="str">
        <f>IF(Agent04_Savings!A131="","",Agent04_Savings!A131)</f>
        <v/>
      </c>
      <c r="B726" s="37" t="str">
        <f ca="1">IF(Agent04_Savings!A131="","","SV"&amp;TEXT(726-3,"0000")&amp;"-"&amp;TEXT(TODAY(),"YYYYMMDD"))</f>
        <v/>
      </c>
      <c r="C726" s="37" t="str">
        <f>IF(Agent04_Savings!A131="","",Agent04_Savings!B131)</f>
        <v/>
      </c>
      <c r="D726" s="37" t="str">
        <f>IF(Agent04_Savings!A131="","",Agent04_Savings!G131)</f>
        <v/>
      </c>
      <c r="E726" s="38" t="str">
        <f>IF(Agent04_Savings!A131="","",Agent04_Savings!D131)</f>
        <v/>
      </c>
      <c r="F726" s="39" t="str">
        <f>IF(Agent04_Savings!A131="","",Agent04_Savings!E131)</f>
        <v/>
      </c>
      <c r="G726" s="39" t="str">
        <f>IF(Agent04_Savings!A131="","",Agent04_Savings!F131)</f>
        <v/>
      </c>
      <c r="H726" s="37" t="str">
        <f>IF(Agent04_Savings!A131="","",Agent04_Savings!I131)</f>
        <v/>
      </c>
      <c r="I726" s="37" t="str">
        <f>IF(Agent04_Savings!A131="","",Agent04_Savings!J131)</f>
        <v/>
      </c>
      <c r="J726" s="37" t="str">
        <f>IF(Agent04_Savings!A131="","",Agent04_Savings!K131)</f>
        <v/>
      </c>
      <c r="K726" s="37" t="str">
        <f>IFERROR(IF(Agent04_Savings!A131="","",YEAR(Agent04_Savings!D131)),"")</f>
        <v/>
      </c>
    </row>
    <row r="727" spans="1:11" ht="18" customHeight="1" x14ac:dyDescent="0.25">
      <c r="A727" s="37" t="str">
        <f>IF(Agent04_Savings!A132="","",Agent04_Savings!A132)</f>
        <v/>
      </c>
      <c r="B727" s="37" t="str">
        <f ca="1">IF(Agent04_Savings!A132="","","SV"&amp;TEXT(727-3,"0000")&amp;"-"&amp;TEXT(TODAY(),"YYYYMMDD"))</f>
        <v/>
      </c>
      <c r="C727" s="37" t="str">
        <f>IF(Agent04_Savings!A132="","",Agent04_Savings!B132)</f>
        <v/>
      </c>
      <c r="D727" s="37" t="str">
        <f>IF(Agent04_Savings!A132="","",Agent04_Savings!G132)</f>
        <v/>
      </c>
      <c r="E727" s="38" t="str">
        <f>IF(Agent04_Savings!A132="","",Agent04_Savings!D132)</f>
        <v/>
      </c>
      <c r="F727" s="39" t="str">
        <f>IF(Agent04_Savings!A132="","",Agent04_Savings!E132)</f>
        <v/>
      </c>
      <c r="G727" s="39" t="str">
        <f>IF(Agent04_Savings!A132="","",Agent04_Savings!F132)</f>
        <v/>
      </c>
      <c r="H727" s="37" t="str">
        <f>IF(Agent04_Savings!A132="","",Agent04_Savings!I132)</f>
        <v/>
      </c>
      <c r="I727" s="37" t="str">
        <f>IF(Agent04_Savings!A132="","",Agent04_Savings!J132)</f>
        <v/>
      </c>
      <c r="J727" s="37" t="str">
        <f>IF(Agent04_Savings!A132="","",Agent04_Savings!K132)</f>
        <v/>
      </c>
      <c r="K727" s="37" t="str">
        <f>IFERROR(IF(Agent04_Savings!A132="","",YEAR(Agent04_Savings!D132)),"")</f>
        <v/>
      </c>
    </row>
    <row r="728" spans="1:11" ht="18" customHeight="1" x14ac:dyDescent="0.25">
      <c r="A728" s="37" t="str">
        <f>IF(Agent04_Savings!A133="","",Agent04_Savings!A133)</f>
        <v/>
      </c>
      <c r="B728" s="37" t="str">
        <f ca="1">IF(Agent04_Savings!A133="","","SV"&amp;TEXT(728-3,"0000")&amp;"-"&amp;TEXT(TODAY(),"YYYYMMDD"))</f>
        <v/>
      </c>
      <c r="C728" s="37" t="str">
        <f>IF(Agent04_Savings!A133="","",Agent04_Savings!B133)</f>
        <v/>
      </c>
      <c r="D728" s="37" t="str">
        <f>IF(Agent04_Savings!A133="","",Agent04_Savings!G133)</f>
        <v/>
      </c>
      <c r="E728" s="38" t="str">
        <f>IF(Agent04_Savings!A133="","",Agent04_Savings!D133)</f>
        <v/>
      </c>
      <c r="F728" s="39" t="str">
        <f>IF(Agent04_Savings!A133="","",Agent04_Savings!E133)</f>
        <v/>
      </c>
      <c r="G728" s="39" t="str">
        <f>IF(Agent04_Savings!A133="","",Agent04_Savings!F133)</f>
        <v/>
      </c>
      <c r="H728" s="37" t="str">
        <f>IF(Agent04_Savings!A133="","",Agent04_Savings!I133)</f>
        <v/>
      </c>
      <c r="I728" s="37" t="str">
        <f>IF(Agent04_Savings!A133="","",Agent04_Savings!J133)</f>
        <v/>
      </c>
      <c r="J728" s="37" t="str">
        <f>IF(Agent04_Savings!A133="","",Agent04_Savings!K133)</f>
        <v/>
      </c>
      <c r="K728" s="37" t="str">
        <f>IFERROR(IF(Agent04_Savings!A133="","",YEAR(Agent04_Savings!D133)),"")</f>
        <v/>
      </c>
    </row>
    <row r="729" spans="1:11" ht="18" customHeight="1" x14ac:dyDescent="0.25">
      <c r="A729" s="37" t="str">
        <f>IF(Agent04_Savings!A134="","",Agent04_Savings!A134)</f>
        <v/>
      </c>
      <c r="B729" s="37" t="str">
        <f ca="1">IF(Agent04_Savings!A134="","","SV"&amp;TEXT(729-3,"0000")&amp;"-"&amp;TEXT(TODAY(),"YYYYMMDD"))</f>
        <v/>
      </c>
      <c r="C729" s="37" t="str">
        <f>IF(Agent04_Savings!A134="","",Agent04_Savings!B134)</f>
        <v/>
      </c>
      <c r="D729" s="37" t="str">
        <f>IF(Agent04_Savings!A134="","",Agent04_Savings!G134)</f>
        <v/>
      </c>
      <c r="E729" s="38" t="str">
        <f>IF(Agent04_Savings!A134="","",Agent04_Savings!D134)</f>
        <v/>
      </c>
      <c r="F729" s="39" t="str">
        <f>IF(Agent04_Savings!A134="","",Agent04_Savings!E134)</f>
        <v/>
      </c>
      <c r="G729" s="39" t="str">
        <f>IF(Agent04_Savings!A134="","",Agent04_Savings!F134)</f>
        <v/>
      </c>
      <c r="H729" s="37" t="str">
        <f>IF(Agent04_Savings!A134="","",Agent04_Savings!I134)</f>
        <v/>
      </c>
      <c r="I729" s="37" t="str">
        <f>IF(Agent04_Savings!A134="","",Agent04_Savings!J134)</f>
        <v/>
      </c>
      <c r="J729" s="37" t="str">
        <f>IF(Agent04_Savings!A134="","",Agent04_Savings!K134)</f>
        <v/>
      </c>
      <c r="K729" s="37" t="str">
        <f>IFERROR(IF(Agent04_Savings!A134="","",YEAR(Agent04_Savings!D134)),"")</f>
        <v/>
      </c>
    </row>
    <row r="730" spans="1:11" ht="18" customHeight="1" x14ac:dyDescent="0.25">
      <c r="A730" s="37" t="str">
        <f>IF(Agent04_Savings!A135="","",Agent04_Savings!A135)</f>
        <v/>
      </c>
      <c r="B730" s="37" t="str">
        <f ca="1">IF(Agent04_Savings!A135="","","SV"&amp;TEXT(730-3,"0000")&amp;"-"&amp;TEXT(TODAY(),"YYYYMMDD"))</f>
        <v/>
      </c>
      <c r="C730" s="37" t="str">
        <f>IF(Agent04_Savings!A135="","",Agent04_Savings!B135)</f>
        <v/>
      </c>
      <c r="D730" s="37" t="str">
        <f>IF(Agent04_Savings!A135="","",Agent04_Savings!G135)</f>
        <v/>
      </c>
      <c r="E730" s="38" t="str">
        <f>IF(Agent04_Savings!A135="","",Agent04_Savings!D135)</f>
        <v/>
      </c>
      <c r="F730" s="39" t="str">
        <f>IF(Agent04_Savings!A135="","",Agent04_Savings!E135)</f>
        <v/>
      </c>
      <c r="G730" s="39" t="str">
        <f>IF(Agent04_Savings!A135="","",Agent04_Savings!F135)</f>
        <v/>
      </c>
      <c r="H730" s="37" t="str">
        <f>IF(Agent04_Savings!A135="","",Agent04_Savings!I135)</f>
        <v/>
      </c>
      <c r="I730" s="37" t="str">
        <f>IF(Agent04_Savings!A135="","",Agent04_Savings!J135)</f>
        <v/>
      </c>
      <c r="J730" s="37" t="str">
        <f>IF(Agent04_Savings!A135="","",Agent04_Savings!K135)</f>
        <v/>
      </c>
      <c r="K730" s="37" t="str">
        <f>IFERROR(IF(Agent04_Savings!A135="","",YEAR(Agent04_Savings!D135)),"")</f>
        <v/>
      </c>
    </row>
    <row r="731" spans="1:11" ht="18" customHeight="1" x14ac:dyDescent="0.25">
      <c r="A731" s="37" t="str">
        <f>IF(Agent04_Savings!A136="","",Agent04_Savings!A136)</f>
        <v/>
      </c>
      <c r="B731" s="37" t="str">
        <f ca="1">IF(Agent04_Savings!A136="","","SV"&amp;TEXT(731-3,"0000")&amp;"-"&amp;TEXT(TODAY(),"YYYYMMDD"))</f>
        <v/>
      </c>
      <c r="C731" s="37" t="str">
        <f>IF(Agent04_Savings!A136="","",Agent04_Savings!B136)</f>
        <v/>
      </c>
      <c r="D731" s="37" t="str">
        <f>IF(Agent04_Savings!A136="","",Agent04_Savings!G136)</f>
        <v/>
      </c>
      <c r="E731" s="38" t="str">
        <f>IF(Agent04_Savings!A136="","",Agent04_Savings!D136)</f>
        <v/>
      </c>
      <c r="F731" s="39" t="str">
        <f>IF(Agent04_Savings!A136="","",Agent04_Savings!E136)</f>
        <v/>
      </c>
      <c r="G731" s="39" t="str">
        <f>IF(Agent04_Savings!A136="","",Agent04_Savings!F136)</f>
        <v/>
      </c>
      <c r="H731" s="37" t="str">
        <f>IF(Agent04_Savings!A136="","",Agent04_Savings!I136)</f>
        <v/>
      </c>
      <c r="I731" s="37" t="str">
        <f>IF(Agent04_Savings!A136="","",Agent04_Savings!J136)</f>
        <v/>
      </c>
      <c r="J731" s="37" t="str">
        <f>IF(Agent04_Savings!A136="","",Agent04_Savings!K136)</f>
        <v/>
      </c>
      <c r="K731" s="37" t="str">
        <f>IFERROR(IF(Agent04_Savings!A136="","",YEAR(Agent04_Savings!D136)),"")</f>
        <v/>
      </c>
    </row>
    <row r="732" spans="1:11" ht="18" customHeight="1" x14ac:dyDescent="0.25">
      <c r="A732" s="37" t="str">
        <f>IF(Agent04_Savings!A137="","",Agent04_Savings!A137)</f>
        <v/>
      </c>
      <c r="B732" s="37" t="str">
        <f ca="1">IF(Agent04_Savings!A137="","","SV"&amp;TEXT(732-3,"0000")&amp;"-"&amp;TEXT(TODAY(),"YYYYMMDD"))</f>
        <v/>
      </c>
      <c r="C732" s="37" t="str">
        <f>IF(Agent04_Savings!A137="","",Agent04_Savings!B137)</f>
        <v/>
      </c>
      <c r="D732" s="37" t="str">
        <f>IF(Agent04_Savings!A137="","",Agent04_Savings!G137)</f>
        <v/>
      </c>
      <c r="E732" s="38" t="str">
        <f>IF(Agent04_Savings!A137="","",Agent04_Savings!D137)</f>
        <v/>
      </c>
      <c r="F732" s="39" t="str">
        <f>IF(Agent04_Savings!A137="","",Agent04_Savings!E137)</f>
        <v/>
      </c>
      <c r="G732" s="39" t="str">
        <f>IF(Agent04_Savings!A137="","",Agent04_Savings!F137)</f>
        <v/>
      </c>
      <c r="H732" s="37" t="str">
        <f>IF(Agent04_Savings!A137="","",Agent04_Savings!I137)</f>
        <v/>
      </c>
      <c r="I732" s="37" t="str">
        <f>IF(Agent04_Savings!A137="","",Agent04_Savings!J137)</f>
        <v/>
      </c>
      <c r="J732" s="37" t="str">
        <f>IF(Agent04_Savings!A137="","",Agent04_Savings!K137)</f>
        <v/>
      </c>
      <c r="K732" s="37" t="str">
        <f>IFERROR(IF(Agent04_Savings!A137="","",YEAR(Agent04_Savings!D137)),"")</f>
        <v/>
      </c>
    </row>
    <row r="733" spans="1:11" ht="18" customHeight="1" x14ac:dyDescent="0.25">
      <c r="A733" s="37" t="str">
        <f>IF(Agent04_Savings!A138="","",Agent04_Savings!A138)</f>
        <v/>
      </c>
      <c r="B733" s="37" t="str">
        <f ca="1">IF(Agent04_Savings!A138="","","SV"&amp;TEXT(733-3,"0000")&amp;"-"&amp;TEXT(TODAY(),"YYYYMMDD"))</f>
        <v/>
      </c>
      <c r="C733" s="37" t="str">
        <f>IF(Agent04_Savings!A138="","",Agent04_Savings!B138)</f>
        <v/>
      </c>
      <c r="D733" s="37" t="str">
        <f>IF(Agent04_Savings!A138="","",Agent04_Savings!G138)</f>
        <v/>
      </c>
      <c r="E733" s="38" t="str">
        <f>IF(Agent04_Savings!A138="","",Agent04_Savings!D138)</f>
        <v/>
      </c>
      <c r="F733" s="39" t="str">
        <f>IF(Agent04_Savings!A138="","",Agent04_Savings!E138)</f>
        <v/>
      </c>
      <c r="G733" s="39" t="str">
        <f>IF(Agent04_Savings!A138="","",Agent04_Savings!F138)</f>
        <v/>
      </c>
      <c r="H733" s="37" t="str">
        <f>IF(Agent04_Savings!A138="","",Agent04_Savings!I138)</f>
        <v/>
      </c>
      <c r="I733" s="37" t="str">
        <f>IF(Agent04_Savings!A138="","",Agent04_Savings!J138)</f>
        <v/>
      </c>
      <c r="J733" s="37" t="str">
        <f>IF(Agent04_Savings!A138="","",Agent04_Savings!K138)</f>
        <v/>
      </c>
      <c r="K733" s="37" t="str">
        <f>IFERROR(IF(Agent04_Savings!A138="","",YEAR(Agent04_Savings!D138)),"")</f>
        <v/>
      </c>
    </row>
    <row r="734" spans="1:11" ht="18" customHeight="1" x14ac:dyDescent="0.25">
      <c r="A734" s="37" t="str">
        <f>IF(Agent04_Savings!A139="","",Agent04_Savings!A139)</f>
        <v/>
      </c>
      <c r="B734" s="37" t="str">
        <f ca="1">IF(Agent04_Savings!A139="","","SV"&amp;TEXT(734-3,"0000")&amp;"-"&amp;TEXT(TODAY(),"YYYYMMDD"))</f>
        <v/>
      </c>
      <c r="C734" s="37" t="str">
        <f>IF(Agent04_Savings!A139="","",Agent04_Savings!B139)</f>
        <v/>
      </c>
      <c r="D734" s="37" t="str">
        <f>IF(Agent04_Savings!A139="","",Agent04_Savings!G139)</f>
        <v/>
      </c>
      <c r="E734" s="38" t="str">
        <f>IF(Agent04_Savings!A139="","",Agent04_Savings!D139)</f>
        <v/>
      </c>
      <c r="F734" s="39" t="str">
        <f>IF(Agent04_Savings!A139="","",Agent04_Savings!E139)</f>
        <v/>
      </c>
      <c r="G734" s="39" t="str">
        <f>IF(Agent04_Savings!A139="","",Agent04_Savings!F139)</f>
        <v/>
      </c>
      <c r="H734" s="37" t="str">
        <f>IF(Agent04_Savings!A139="","",Agent04_Savings!I139)</f>
        <v/>
      </c>
      <c r="I734" s="37" t="str">
        <f>IF(Agent04_Savings!A139="","",Agent04_Savings!J139)</f>
        <v/>
      </c>
      <c r="J734" s="37" t="str">
        <f>IF(Agent04_Savings!A139="","",Agent04_Savings!K139)</f>
        <v/>
      </c>
      <c r="K734" s="37" t="str">
        <f>IFERROR(IF(Agent04_Savings!A139="","",YEAR(Agent04_Savings!D139)),"")</f>
        <v/>
      </c>
    </row>
    <row r="735" spans="1:11" ht="18" customHeight="1" x14ac:dyDescent="0.25">
      <c r="A735" s="37" t="str">
        <f>IF(Agent04_Savings!A140="","",Agent04_Savings!A140)</f>
        <v/>
      </c>
      <c r="B735" s="37" t="str">
        <f ca="1">IF(Agent04_Savings!A140="","","SV"&amp;TEXT(735-3,"0000")&amp;"-"&amp;TEXT(TODAY(),"YYYYMMDD"))</f>
        <v/>
      </c>
      <c r="C735" s="37" t="str">
        <f>IF(Agent04_Savings!A140="","",Agent04_Savings!B140)</f>
        <v/>
      </c>
      <c r="D735" s="37" t="str">
        <f>IF(Agent04_Savings!A140="","",Agent04_Savings!G140)</f>
        <v/>
      </c>
      <c r="E735" s="38" t="str">
        <f>IF(Agent04_Savings!A140="","",Agent04_Savings!D140)</f>
        <v/>
      </c>
      <c r="F735" s="39" t="str">
        <f>IF(Agent04_Savings!A140="","",Agent04_Savings!E140)</f>
        <v/>
      </c>
      <c r="G735" s="39" t="str">
        <f>IF(Agent04_Savings!A140="","",Agent04_Savings!F140)</f>
        <v/>
      </c>
      <c r="H735" s="37" t="str">
        <f>IF(Agent04_Savings!A140="","",Agent04_Savings!I140)</f>
        <v/>
      </c>
      <c r="I735" s="37" t="str">
        <f>IF(Agent04_Savings!A140="","",Agent04_Savings!J140)</f>
        <v/>
      </c>
      <c r="J735" s="37" t="str">
        <f>IF(Agent04_Savings!A140="","",Agent04_Savings!K140)</f>
        <v/>
      </c>
      <c r="K735" s="37" t="str">
        <f>IFERROR(IF(Agent04_Savings!A140="","",YEAR(Agent04_Savings!D140)),"")</f>
        <v/>
      </c>
    </row>
    <row r="736" spans="1:11" ht="18" customHeight="1" x14ac:dyDescent="0.25">
      <c r="A736" s="37" t="str">
        <f>IF(Agent04_Savings!A141="","",Agent04_Savings!A141)</f>
        <v/>
      </c>
      <c r="B736" s="37" t="str">
        <f ca="1">IF(Agent04_Savings!A141="","","SV"&amp;TEXT(736-3,"0000")&amp;"-"&amp;TEXT(TODAY(),"YYYYMMDD"))</f>
        <v/>
      </c>
      <c r="C736" s="37" t="str">
        <f>IF(Agent04_Savings!A141="","",Agent04_Savings!B141)</f>
        <v/>
      </c>
      <c r="D736" s="37" t="str">
        <f>IF(Agent04_Savings!A141="","",Agent04_Savings!G141)</f>
        <v/>
      </c>
      <c r="E736" s="38" t="str">
        <f>IF(Agent04_Savings!A141="","",Agent04_Savings!D141)</f>
        <v/>
      </c>
      <c r="F736" s="39" t="str">
        <f>IF(Agent04_Savings!A141="","",Agent04_Savings!E141)</f>
        <v/>
      </c>
      <c r="G736" s="39" t="str">
        <f>IF(Agent04_Savings!A141="","",Agent04_Savings!F141)</f>
        <v/>
      </c>
      <c r="H736" s="37" t="str">
        <f>IF(Agent04_Savings!A141="","",Agent04_Savings!I141)</f>
        <v/>
      </c>
      <c r="I736" s="37" t="str">
        <f>IF(Agent04_Savings!A141="","",Agent04_Savings!J141)</f>
        <v/>
      </c>
      <c r="J736" s="37" t="str">
        <f>IF(Agent04_Savings!A141="","",Agent04_Savings!K141)</f>
        <v/>
      </c>
      <c r="K736" s="37" t="str">
        <f>IFERROR(IF(Agent04_Savings!A141="","",YEAR(Agent04_Savings!D141)),"")</f>
        <v/>
      </c>
    </row>
    <row r="737" spans="1:11" ht="18" customHeight="1" x14ac:dyDescent="0.25">
      <c r="A737" s="37" t="str">
        <f>IF(Agent04_Savings!A142="","",Agent04_Savings!A142)</f>
        <v/>
      </c>
      <c r="B737" s="37" t="str">
        <f ca="1">IF(Agent04_Savings!A142="","","SV"&amp;TEXT(737-3,"0000")&amp;"-"&amp;TEXT(TODAY(),"YYYYMMDD"))</f>
        <v/>
      </c>
      <c r="C737" s="37" t="str">
        <f>IF(Agent04_Savings!A142="","",Agent04_Savings!B142)</f>
        <v/>
      </c>
      <c r="D737" s="37" t="str">
        <f>IF(Agent04_Savings!A142="","",Agent04_Savings!G142)</f>
        <v/>
      </c>
      <c r="E737" s="38" t="str">
        <f>IF(Agent04_Savings!A142="","",Agent04_Savings!D142)</f>
        <v/>
      </c>
      <c r="F737" s="39" t="str">
        <f>IF(Agent04_Savings!A142="","",Agent04_Savings!E142)</f>
        <v/>
      </c>
      <c r="G737" s="39" t="str">
        <f>IF(Agent04_Savings!A142="","",Agent04_Savings!F142)</f>
        <v/>
      </c>
      <c r="H737" s="37" t="str">
        <f>IF(Agent04_Savings!A142="","",Agent04_Savings!I142)</f>
        <v/>
      </c>
      <c r="I737" s="37" t="str">
        <f>IF(Agent04_Savings!A142="","",Agent04_Savings!J142)</f>
        <v/>
      </c>
      <c r="J737" s="37" t="str">
        <f>IF(Agent04_Savings!A142="","",Agent04_Savings!K142)</f>
        <v/>
      </c>
      <c r="K737" s="37" t="str">
        <f>IFERROR(IF(Agent04_Savings!A142="","",YEAR(Agent04_Savings!D142)),"")</f>
        <v/>
      </c>
    </row>
    <row r="738" spans="1:11" ht="18" customHeight="1" x14ac:dyDescent="0.25">
      <c r="A738" s="37" t="str">
        <f>IF(Agent04_Savings!A143="","",Agent04_Savings!A143)</f>
        <v/>
      </c>
      <c r="B738" s="37" t="str">
        <f ca="1">IF(Agent04_Savings!A143="","","SV"&amp;TEXT(738-3,"0000")&amp;"-"&amp;TEXT(TODAY(),"YYYYMMDD"))</f>
        <v/>
      </c>
      <c r="C738" s="37" t="str">
        <f>IF(Agent04_Savings!A143="","",Agent04_Savings!B143)</f>
        <v/>
      </c>
      <c r="D738" s="37" t="str">
        <f>IF(Agent04_Savings!A143="","",Agent04_Savings!G143)</f>
        <v/>
      </c>
      <c r="E738" s="38" t="str">
        <f>IF(Agent04_Savings!A143="","",Agent04_Savings!D143)</f>
        <v/>
      </c>
      <c r="F738" s="39" t="str">
        <f>IF(Agent04_Savings!A143="","",Agent04_Savings!E143)</f>
        <v/>
      </c>
      <c r="G738" s="39" t="str">
        <f>IF(Agent04_Savings!A143="","",Agent04_Savings!F143)</f>
        <v/>
      </c>
      <c r="H738" s="37" t="str">
        <f>IF(Agent04_Savings!A143="","",Agent04_Savings!I143)</f>
        <v/>
      </c>
      <c r="I738" s="37" t="str">
        <f>IF(Agent04_Savings!A143="","",Agent04_Savings!J143)</f>
        <v/>
      </c>
      <c r="J738" s="37" t="str">
        <f>IF(Agent04_Savings!A143="","",Agent04_Savings!K143)</f>
        <v/>
      </c>
      <c r="K738" s="37" t="str">
        <f>IFERROR(IF(Agent04_Savings!A143="","",YEAR(Agent04_Savings!D143)),"")</f>
        <v/>
      </c>
    </row>
    <row r="739" spans="1:11" ht="18" customHeight="1" x14ac:dyDescent="0.25">
      <c r="A739" s="37" t="str">
        <f>IF(Agent04_Savings!A144="","",Agent04_Savings!A144)</f>
        <v/>
      </c>
      <c r="B739" s="37" t="str">
        <f ca="1">IF(Agent04_Savings!A144="","","SV"&amp;TEXT(739-3,"0000")&amp;"-"&amp;TEXT(TODAY(),"YYYYMMDD"))</f>
        <v/>
      </c>
      <c r="C739" s="37" t="str">
        <f>IF(Agent04_Savings!A144="","",Agent04_Savings!B144)</f>
        <v/>
      </c>
      <c r="D739" s="37" t="str">
        <f>IF(Agent04_Savings!A144="","",Agent04_Savings!G144)</f>
        <v/>
      </c>
      <c r="E739" s="38" t="str">
        <f>IF(Agent04_Savings!A144="","",Agent04_Savings!D144)</f>
        <v/>
      </c>
      <c r="F739" s="39" t="str">
        <f>IF(Agent04_Savings!A144="","",Agent04_Savings!E144)</f>
        <v/>
      </c>
      <c r="G739" s="39" t="str">
        <f>IF(Agent04_Savings!A144="","",Agent04_Savings!F144)</f>
        <v/>
      </c>
      <c r="H739" s="37" t="str">
        <f>IF(Agent04_Savings!A144="","",Agent04_Savings!I144)</f>
        <v/>
      </c>
      <c r="I739" s="37" t="str">
        <f>IF(Agent04_Savings!A144="","",Agent04_Savings!J144)</f>
        <v/>
      </c>
      <c r="J739" s="37" t="str">
        <f>IF(Agent04_Savings!A144="","",Agent04_Savings!K144)</f>
        <v/>
      </c>
      <c r="K739" s="37" t="str">
        <f>IFERROR(IF(Agent04_Savings!A144="","",YEAR(Agent04_Savings!D144)),"")</f>
        <v/>
      </c>
    </row>
    <row r="740" spans="1:11" ht="18" customHeight="1" x14ac:dyDescent="0.25">
      <c r="A740" s="37" t="str">
        <f>IF(Agent04_Savings!A145="","",Agent04_Savings!A145)</f>
        <v/>
      </c>
      <c r="B740" s="37" t="str">
        <f ca="1">IF(Agent04_Savings!A145="","","SV"&amp;TEXT(740-3,"0000")&amp;"-"&amp;TEXT(TODAY(),"YYYYMMDD"))</f>
        <v/>
      </c>
      <c r="C740" s="37" t="str">
        <f>IF(Agent04_Savings!A145="","",Agent04_Savings!B145)</f>
        <v/>
      </c>
      <c r="D740" s="37" t="str">
        <f>IF(Agent04_Savings!A145="","",Agent04_Savings!G145)</f>
        <v/>
      </c>
      <c r="E740" s="38" t="str">
        <f>IF(Agent04_Savings!A145="","",Agent04_Savings!D145)</f>
        <v/>
      </c>
      <c r="F740" s="39" t="str">
        <f>IF(Agent04_Savings!A145="","",Agent04_Savings!E145)</f>
        <v/>
      </c>
      <c r="G740" s="39" t="str">
        <f>IF(Agent04_Savings!A145="","",Agent04_Savings!F145)</f>
        <v/>
      </c>
      <c r="H740" s="37" t="str">
        <f>IF(Agent04_Savings!A145="","",Agent04_Savings!I145)</f>
        <v/>
      </c>
      <c r="I740" s="37" t="str">
        <f>IF(Agent04_Savings!A145="","",Agent04_Savings!J145)</f>
        <v/>
      </c>
      <c r="J740" s="37" t="str">
        <f>IF(Agent04_Savings!A145="","",Agent04_Savings!K145)</f>
        <v/>
      </c>
      <c r="K740" s="37" t="str">
        <f>IFERROR(IF(Agent04_Savings!A145="","",YEAR(Agent04_Savings!D145)),"")</f>
        <v/>
      </c>
    </row>
    <row r="741" spans="1:11" ht="18" customHeight="1" x14ac:dyDescent="0.25">
      <c r="A741" s="37" t="str">
        <f>IF(Agent04_Savings!A146="","",Agent04_Savings!A146)</f>
        <v/>
      </c>
      <c r="B741" s="37" t="str">
        <f ca="1">IF(Agent04_Savings!A146="","","SV"&amp;TEXT(741-3,"0000")&amp;"-"&amp;TEXT(TODAY(),"YYYYMMDD"))</f>
        <v/>
      </c>
      <c r="C741" s="37" t="str">
        <f>IF(Agent04_Savings!A146="","",Agent04_Savings!B146)</f>
        <v/>
      </c>
      <c r="D741" s="37" t="str">
        <f>IF(Agent04_Savings!A146="","",Agent04_Savings!G146)</f>
        <v/>
      </c>
      <c r="E741" s="38" t="str">
        <f>IF(Agent04_Savings!A146="","",Agent04_Savings!D146)</f>
        <v/>
      </c>
      <c r="F741" s="39" t="str">
        <f>IF(Agent04_Savings!A146="","",Agent04_Savings!E146)</f>
        <v/>
      </c>
      <c r="G741" s="39" t="str">
        <f>IF(Agent04_Savings!A146="","",Agent04_Savings!F146)</f>
        <v/>
      </c>
      <c r="H741" s="37" t="str">
        <f>IF(Agent04_Savings!A146="","",Agent04_Savings!I146)</f>
        <v/>
      </c>
      <c r="I741" s="37" t="str">
        <f>IF(Agent04_Savings!A146="","",Agent04_Savings!J146)</f>
        <v/>
      </c>
      <c r="J741" s="37" t="str">
        <f>IF(Agent04_Savings!A146="","",Agent04_Savings!K146)</f>
        <v/>
      </c>
      <c r="K741" s="37" t="str">
        <f>IFERROR(IF(Agent04_Savings!A146="","",YEAR(Agent04_Savings!D146)),"")</f>
        <v/>
      </c>
    </row>
    <row r="742" spans="1:11" ht="18" customHeight="1" x14ac:dyDescent="0.25">
      <c r="A742" s="37" t="str">
        <f>IF(Agent04_Savings!A147="","",Agent04_Savings!A147)</f>
        <v/>
      </c>
      <c r="B742" s="37" t="str">
        <f ca="1">IF(Agent04_Savings!A147="","","SV"&amp;TEXT(742-3,"0000")&amp;"-"&amp;TEXT(TODAY(),"YYYYMMDD"))</f>
        <v/>
      </c>
      <c r="C742" s="37" t="str">
        <f>IF(Agent04_Savings!A147="","",Agent04_Savings!B147)</f>
        <v/>
      </c>
      <c r="D742" s="37" t="str">
        <f>IF(Agent04_Savings!A147="","",Agent04_Savings!G147)</f>
        <v/>
      </c>
      <c r="E742" s="38" t="str">
        <f>IF(Agent04_Savings!A147="","",Agent04_Savings!D147)</f>
        <v/>
      </c>
      <c r="F742" s="39" t="str">
        <f>IF(Agent04_Savings!A147="","",Agent04_Savings!E147)</f>
        <v/>
      </c>
      <c r="G742" s="39" t="str">
        <f>IF(Agent04_Savings!A147="","",Agent04_Savings!F147)</f>
        <v/>
      </c>
      <c r="H742" s="37" t="str">
        <f>IF(Agent04_Savings!A147="","",Agent04_Savings!I147)</f>
        <v/>
      </c>
      <c r="I742" s="37" t="str">
        <f>IF(Agent04_Savings!A147="","",Agent04_Savings!J147)</f>
        <v/>
      </c>
      <c r="J742" s="37" t="str">
        <f>IF(Agent04_Savings!A147="","",Agent04_Savings!K147)</f>
        <v/>
      </c>
      <c r="K742" s="37" t="str">
        <f>IFERROR(IF(Agent04_Savings!A147="","",YEAR(Agent04_Savings!D147)),"")</f>
        <v/>
      </c>
    </row>
    <row r="743" spans="1:11" ht="18" customHeight="1" x14ac:dyDescent="0.25">
      <c r="A743" s="37" t="str">
        <f>IF(Agent04_Savings!A148="","",Agent04_Savings!A148)</f>
        <v/>
      </c>
      <c r="B743" s="37" t="str">
        <f ca="1">IF(Agent04_Savings!A148="","","SV"&amp;TEXT(743-3,"0000")&amp;"-"&amp;TEXT(TODAY(),"YYYYMMDD"))</f>
        <v/>
      </c>
      <c r="C743" s="37" t="str">
        <f>IF(Agent04_Savings!A148="","",Agent04_Savings!B148)</f>
        <v/>
      </c>
      <c r="D743" s="37" t="str">
        <f>IF(Agent04_Savings!A148="","",Agent04_Savings!G148)</f>
        <v/>
      </c>
      <c r="E743" s="38" t="str">
        <f>IF(Agent04_Savings!A148="","",Agent04_Savings!D148)</f>
        <v/>
      </c>
      <c r="F743" s="39" t="str">
        <f>IF(Agent04_Savings!A148="","",Agent04_Savings!E148)</f>
        <v/>
      </c>
      <c r="G743" s="39" t="str">
        <f>IF(Agent04_Savings!A148="","",Agent04_Savings!F148)</f>
        <v/>
      </c>
      <c r="H743" s="37" t="str">
        <f>IF(Agent04_Savings!A148="","",Agent04_Savings!I148)</f>
        <v/>
      </c>
      <c r="I743" s="37" t="str">
        <f>IF(Agent04_Savings!A148="","",Agent04_Savings!J148)</f>
        <v/>
      </c>
      <c r="J743" s="37" t="str">
        <f>IF(Agent04_Savings!A148="","",Agent04_Savings!K148)</f>
        <v/>
      </c>
      <c r="K743" s="37" t="str">
        <f>IFERROR(IF(Agent04_Savings!A148="","",YEAR(Agent04_Savings!D148)),"")</f>
        <v/>
      </c>
    </row>
    <row r="744" spans="1:11" ht="18" customHeight="1" x14ac:dyDescent="0.25">
      <c r="A744" s="37" t="str">
        <f>IF(Agent04_Savings!A149="","",Agent04_Savings!A149)</f>
        <v/>
      </c>
      <c r="B744" s="37" t="str">
        <f ca="1">IF(Agent04_Savings!A149="","","SV"&amp;TEXT(744-3,"0000")&amp;"-"&amp;TEXT(TODAY(),"YYYYMMDD"))</f>
        <v/>
      </c>
      <c r="C744" s="37" t="str">
        <f>IF(Agent04_Savings!A149="","",Agent04_Savings!B149)</f>
        <v/>
      </c>
      <c r="D744" s="37" t="str">
        <f>IF(Agent04_Savings!A149="","",Agent04_Savings!G149)</f>
        <v/>
      </c>
      <c r="E744" s="38" t="str">
        <f>IF(Agent04_Savings!A149="","",Agent04_Savings!D149)</f>
        <v/>
      </c>
      <c r="F744" s="39" t="str">
        <f>IF(Agent04_Savings!A149="","",Agent04_Savings!E149)</f>
        <v/>
      </c>
      <c r="G744" s="39" t="str">
        <f>IF(Agent04_Savings!A149="","",Agent04_Savings!F149)</f>
        <v/>
      </c>
      <c r="H744" s="37" t="str">
        <f>IF(Agent04_Savings!A149="","",Agent04_Savings!I149)</f>
        <v/>
      </c>
      <c r="I744" s="37" t="str">
        <f>IF(Agent04_Savings!A149="","",Agent04_Savings!J149)</f>
        <v/>
      </c>
      <c r="J744" s="37" t="str">
        <f>IF(Agent04_Savings!A149="","",Agent04_Savings!K149)</f>
        <v/>
      </c>
      <c r="K744" s="37" t="str">
        <f>IFERROR(IF(Agent04_Savings!A149="","",YEAR(Agent04_Savings!D149)),"")</f>
        <v/>
      </c>
    </row>
    <row r="745" spans="1:11" ht="18" customHeight="1" x14ac:dyDescent="0.25">
      <c r="A745" s="37" t="str">
        <f>IF(Agent04_Savings!A150="","",Agent04_Savings!A150)</f>
        <v/>
      </c>
      <c r="B745" s="37" t="str">
        <f ca="1">IF(Agent04_Savings!A150="","","SV"&amp;TEXT(745-3,"0000")&amp;"-"&amp;TEXT(TODAY(),"YYYYMMDD"))</f>
        <v/>
      </c>
      <c r="C745" s="37" t="str">
        <f>IF(Agent04_Savings!A150="","",Agent04_Savings!B150)</f>
        <v/>
      </c>
      <c r="D745" s="37" t="str">
        <f>IF(Agent04_Savings!A150="","",Agent04_Savings!G150)</f>
        <v/>
      </c>
      <c r="E745" s="38" t="str">
        <f>IF(Agent04_Savings!A150="","",Agent04_Savings!D150)</f>
        <v/>
      </c>
      <c r="F745" s="39" t="str">
        <f>IF(Agent04_Savings!A150="","",Agent04_Savings!E150)</f>
        <v/>
      </c>
      <c r="G745" s="39" t="str">
        <f>IF(Agent04_Savings!A150="","",Agent04_Savings!F150)</f>
        <v/>
      </c>
      <c r="H745" s="37" t="str">
        <f>IF(Agent04_Savings!A150="","",Agent04_Savings!I150)</f>
        <v/>
      </c>
      <c r="I745" s="37" t="str">
        <f>IF(Agent04_Savings!A150="","",Agent04_Savings!J150)</f>
        <v/>
      </c>
      <c r="J745" s="37" t="str">
        <f>IF(Agent04_Savings!A150="","",Agent04_Savings!K150)</f>
        <v/>
      </c>
      <c r="K745" s="37" t="str">
        <f>IFERROR(IF(Agent04_Savings!A150="","",YEAR(Agent04_Savings!D150)),"")</f>
        <v/>
      </c>
    </row>
    <row r="746" spans="1:11" ht="18" customHeight="1" x14ac:dyDescent="0.25">
      <c r="A746" s="37" t="str">
        <f>IF(Agent04_Savings!A151="","",Agent04_Savings!A151)</f>
        <v/>
      </c>
      <c r="B746" s="37" t="str">
        <f ca="1">IF(Agent04_Savings!A151="","","SV"&amp;TEXT(746-3,"0000")&amp;"-"&amp;TEXT(TODAY(),"YYYYMMDD"))</f>
        <v/>
      </c>
      <c r="C746" s="37" t="str">
        <f>IF(Agent04_Savings!A151="","",Agent04_Savings!B151)</f>
        <v/>
      </c>
      <c r="D746" s="37" t="str">
        <f>IF(Agent04_Savings!A151="","",Agent04_Savings!G151)</f>
        <v/>
      </c>
      <c r="E746" s="38" t="str">
        <f>IF(Agent04_Savings!A151="","",Agent04_Savings!D151)</f>
        <v/>
      </c>
      <c r="F746" s="39" t="str">
        <f>IF(Agent04_Savings!A151="","",Agent04_Savings!E151)</f>
        <v/>
      </c>
      <c r="G746" s="39" t="str">
        <f>IF(Agent04_Savings!A151="","",Agent04_Savings!F151)</f>
        <v/>
      </c>
      <c r="H746" s="37" t="str">
        <f>IF(Agent04_Savings!A151="","",Agent04_Savings!I151)</f>
        <v/>
      </c>
      <c r="I746" s="37" t="str">
        <f>IF(Agent04_Savings!A151="","",Agent04_Savings!J151)</f>
        <v/>
      </c>
      <c r="J746" s="37" t="str">
        <f>IF(Agent04_Savings!A151="","",Agent04_Savings!K151)</f>
        <v/>
      </c>
      <c r="K746" s="37" t="str">
        <f>IFERROR(IF(Agent04_Savings!A151="","",YEAR(Agent04_Savings!D151)),"")</f>
        <v/>
      </c>
    </row>
    <row r="747" spans="1:11" ht="18" customHeight="1" x14ac:dyDescent="0.25">
      <c r="A747" s="37" t="str">
        <f>IF(Agent04_Savings!A152="","",Agent04_Savings!A152)</f>
        <v/>
      </c>
      <c r="B747" s="37" t="str">
        <f ca="1">IF(Agent04_Savings!A152="","","SV"&amp;TEXT(747-3,"0000")&amp;"-"&amp;TEXT(TODAY(),"YYYYMMDD"))</f>
        <v/>
      </c>
      <c r="C747" s="37" t="str">
        <f>IF(Agent04_Savings!A152="","",Agent04_Savings!B152)</f>
        <v/>
      </c>
      <c r="D747" s="37" t="str">
        <f>IF(Agent04_Savings!A152="","",Agent04_Savings!G152)</f>
        <v/>
      </c>
      <c r="E747" s="38" t="str">
        <f>IF(Agent04_Savings!A152="","",Agent04_Savings!D152)</f>
        <v/>
      </c>
      <c r="F747" s="39" t="str">
        <f>IF(Agent04_Savings!A152="","",Agent04_Savings!E152)</f>
        <v/>
      </c>
      <c r="G747" s="39" t="str">
        <f>IF(Agent04_Savings!A152="","",Agent04_Savings!F152)</f>
        <v/>
      </c>
      <c r="H747" s="37" t="str">
        <f>IF(Agent04_Savings!A152="","",Agent04_Savings!I152)</f>
        <v/>
      </c>
      <c r="I747" s="37" t="str">
        <f>IF(Agent04_Savings!A152="","",Agent04_Savings!J152)</f>
        <v/>
      </c>
      <c r="J747" s="37" t="str">
        <f>IF(Agent04_Savings!A152="","",Agent04_Savings!K152)</f>
        <v/>
      </c>
      <c r="K747" s="37" t="str">
        <f>IFERROR(IF(Agent04_Savings!A152="","",YEAR(Agent04_Savings!D152)),"")</f>
        <v/>
      </c>
    </row>
    <row r="748" spans="1:11" ht="18" customHeight="1" x14ac:dyDescent="0.25">
      <c r="A748" s="37" t="str">
        <f>IF(Agent04_Savings!A153="","",Agent04_Savings!A153)</f>
        <v/>
      </c>
      <c r="B748" s="37" t="str">
        <f ca="1">IF(Agent04_Savings!A153="","","SV"&amp;TEXT(748-3,"0000")&amp;"-"&amp;TEXT(TODAY(),"YYYYMMDD"))</f>
        <v/>
      </c>
      <c r="C748" s="37" t="str">
        <f>IF(Agent04_Savings!A153="","",Agent04_Savings!B153)</f>
        <v/>
      </c>
      <c r="D748" s="37" t="str">
        <f>IF(Agent04_Savings!A153="","",Agent04_Savings!G153)</f>
        <v/>
      </c>
      <c r="E748" s="38" t="str">
        <f>IF(Agent04_Savings!A153="","",Agent04_Savings!D153)</f>
        <v/>
      </c>
      <c r="F748" s="39" t="str">
        <f>IF(Agent04_Savings!A153="","",Agent04_Savings!E153)</f>
        <v/>
      </c>
      <c r="G748" s="39" t="str">
        <f>IF(Agent04_Savings!A153="","",Agent04_Savings!F153)</f>
        <v/>
      </c>
      <c r="H748" s="37" t="str">
        <f>IF(Agent04_Savings!A153="","",Agent04_Savings!I153)</f>
        <v/>
      </c>
      <c r="I748" s="37" t="str">
        <f>IF(Agent04_Savings!A153="","",Agent04_Savings!J153)</f>
        <v/>
      </c>
      <c r="J748" s="37" t="str">
        <f>IF(Agent04_Savings!A153="","",Agent04_Savings!K153)</f>
        <v/>
      </c>
      <c r="K748" s="37" t="str">
        <f>IFERROR(IF(Agent04_Savings!A153="","",YEAR(Agent04_Savings!D153)),"")</f>
        <v/>
      </c>
    </row>
    <row r="749" spans="1:11" ht="18" customHeight="1" x14ac:dyDescent="0.25">
      <c r="A749" s="37" t="str">
        <f>IF(Agent04_Savings!A154="","",Agent04_Savings!A154)</f>
        <v/>
      </c>
      <c r="B749" s="37" t="str">
        <f ca="1">IF(Agent04_Savings!A154="","","SV"&amp;TEXT(749-3,"0000")&amp;"-"&amp;TEXT(TODAY(),"YYYYMMDD"))</f>
        <v/>
      </c>
      <c r="C749" s="37" t="str">
        <f>IF(Agent04_Savings!A154="","",Agent04_Savings!B154)</f>
        <v/>
      </c>
      <c r="D749" s="37" t="str">
        <f>IF(Agent04_Savings!A154="","",Agent04_Savings!G154)</f>
        <v/>
      </c>
      <c r="E749" s="38" t="str">
        <f>IF(Agent04_Savings!A154="","",Agent04_Savings!D154)</f>
        <v/>
      </c>
      <c r="F749" s="39" t="str">
        <f>IF(Agent04_Savings!A154="","",Agent04_Savings!E154)</f>
        <v/>
      </c>
      <c r="G749" s="39" t="str">
        <f>IF(Agent04_Savings!A154="","",Agent04_Savings!F154)</f>
        <v/>
      </c>
      <c r="H749" s="37" t="str">
        <f>IF(Agent04_Savings!A154="","",Agent04_Savings!I154)</f>
        <v/>
      </c>
      <c r="I749" s="37" t="str">
        <f>IF(Agent04_Savings!A154="","",Agent04_Savings!J154)</f>
        <v/>
      </c>
      <c r="J749" s="37" t="str">
        <f>IF(Agent04_Savings!A154="","",Agent04_Savings!K154)</f>
        <v/>
      </c>
      <c r="K749" s="37" t="str">
        <f>IFERROR(IF(Agent04_Savings!A154="","",YEAR(Agent04_Savings!D154)),"")</f>
        <v/>
      </c>
    </row>
    <row r="750" spans="1:11" ht="18" customHeight="1" x14ac:dyDescent="0.25">
      <c r="A750" s="37" t="str">
        <f>IF(Agent04_Savings!A155="","",Agent04_Savings!A155)</f>
        <v/>
      </c>
      <c r="B750" s="37" t="str">
        <f ca="1">IF(Agent04_Savings!A155="","","SV"&amp;TEXT(750-3,"0000")&amp;"-"&amp;TEXT(TODAY(),"YYYYMMDD"))</f>
        <v/>
      </c>
      <c r="C750" s="37" t="str">
        <f>IF(Agent04_Savings!A155="","",Agent04_Savings!B155)</f>
        <v/>
      </c>
      <c r="D750" s="37" t="str">
        <f>IF(Agent04_Savings!A155="","",Agent04_Savings!G155)</f>
        <v/>
      </c>
      <c r="E750" s="38" t="str">
        <f>IF(Agent04_Savings!A155="","",Agent04_Savings!D155)</f>
        <v/>
      </c>
      <c r="F750" s="39" t="str">
        <f>IF(Agent04_Savings!A155="","",Agent04_Savings!E155)</f>
        <v/>
      </c>
      <c r="G750" s="39" t="str">
        <f>IF(Agent04_Savings!A155="","",Agent04_Savings!F155)</f>
        <v/>
      </c>
      <c r="H750" s="37" t="str">
        <f>IF(Agent04_Savings!A155="","",Agent04_Savings!I155)</f>
        <v/>
      </c>
      <c r="I750" s="37" t="str">
        <f>IF(Agent04_Savings!A155="","",Agent04_Savings!J155)</f>
        <v/>
      </c>
      <c r="J750" s="37" t="str">
        <f>IF(Agent04_Savings!A155="","",Agent04_Savings!K155)</f>
        <v/>
      </c>
      <c r="K750" s="37" t="str">
        <f>IFERROR(IF(Agent04_Savings!A155="","",YEAR(Agent04_Savings!D155)),"")</f>
        <v/>
      </c>
    </row>
    <row r="751" spans="1:11" ht="18" customHeight="1" x14ac:dyDescent="0.25">
      <c r="A751" s="37" t="str">
        <f>IF(Agent04_Savings!A156="","",Agent04_Savings!A156)</f>
        <v/>
      </c>
      <c r="B751" s="37" t="str">
        <f ca="1">IF(Agent04_Savings!A156="","","SV"&amp;TEXT(751-3,"0000")&amp;"-"&amp;TEXT(TODAY(),"YYYYMMDD"))</f>
        <v/>
      </c>
      <c r="C751" s="37" t="str">
        <f>IF(Agent04_Savings!A156="","",Agent04_Savings!B156)</f>
        <v/>
      </c>
      <c r="D751" s="37" t="str">
        <f>IF(Agent04_Savings!A156="","",Agent04_Savings!G156)</f>
        <v/>
      </c>
      <c r="E751" s="38" t="str">
        <f>IF(Agent04_Savings!A156="","",Agent04_Savings!D156)</f>
        <v/>
      </c>
      <c r="F751" s="39" t="str">
        <f>IF(Agent04_Savings!A156="","",Agent04_Savings!E156)</f>
        <v/>
      </c>
      <c r="G751" s="39" t="str">
        <f>IF(Agent04_Savings!A156="","",Agent04_Savings!F156)</f>
        <v/>
      </c>
      <c r="H751" s="37" t="str">
        <f>IF(Agent04_Savings!A156="","",Agent04_Savings!I156)</f>
        <v/>
      </c>
      <c r="I751" s="37" t="str">
        <f>IF(Agent04_Savings!A156="","",Agent04_Savings!J156)</f>
        <v/>
      </c>
      <c r="J751" s="37" t="str">
        <f>IF(Agent04_Savings!A156="","",Agent04_Savings!K156)</f>
        <v/>
      </c>
      <c r="K751" s="37" t="str">
        <f>IFERROR(IF(Agent04_Savings!A156="","",YEAR(Agent04_Savings!D156)),"")</f>
        <v/>
      </c>
    </row>
    <row r="752" spans="1:11" ht="18" customHeight="1" x14ac:dyDescent="0.25">
      <c r="A752" s="37" t="str">
        <f>IF(Agent04_Savings!A157="","",Agent04_Savings!A157)</f>
        <v/>
      </c>
      <c r="B752" s="37" t="str">
        <f ca="1">IF(Agent04_Savings!A157="","","SV"&amp;TEXT(752-3,"0000")&amp;"-"&amp;TEXT(TODAY(),"YYYYMMDD"))</f>
        <v/>
      </c>
      <c r="C752" s="37" t="str">
        <f>IF(Agent04_Savings!A157="","",Agent04_Savings!B157)</f>
        <v/>
      </c>
      <c r="D752" s="37" t="str">
        <f>IF(Agent04_Savings!A157="","",Agent04_Savings!G157)</f>
        <v/>
      </c>
      <c r="E752" s="38" t="str">
        <f>IF(Agent04_Savings!A157="","",Agent04_Savings!D157)</f>
        <v/>
      </c>
      <c r="F752" s="39" t="str">
        <f>IF(Agent04_Savings!A157="","",Agent04_Savings!E157)</f>
        <v/>
      </c>
      <c r="G752" s="39" t="str">
        <f>IF(Agent04_Savings!A157="","",Agent04_Savings!F157)</f>
        <v/>
      </c>
      <c r="H752" s="37" t="str">
        <f>IF(Agent04_Savings!A157="","",Agent04_Savings!I157)</f>
        <v/>
      </c>
      <c r="I752" s="37" t="str">
        <f>IF(Agent04_Savings!A157="","",Agent04_Savings!J157)</f>
        <v/>
      </c>
      <c r="J752" s="37" t="str">
        <f>IF(Agent04_Savings!A157="","",Agent04_Savings!K157)</f>
        <v/>
      </c>
      <c r="K752" s="37" t="str">
        <f>IFERROR(IF(Agent04_Savings!A157="","",YEAR(Agent04_Savings!D157)),"")</f>
        <v/>
      </c>
    </row>
    <row r="753" spans="1:11" ht="18" customHeight="1" x14ac:dyDescent="0.25">
      <c r="A753" s="37" t="str">
        <f>IF(Agent04_Savings!A158="","",Agent04_Savings!A158)</f>
        <v/>
      </c>
      <c r="B753" s="37" t="str">
        <f ca="1">IF(Agent04_Savings!A158="","","SV"&amp;TEXT(753-3,"0000")&amp;"-"&amp;TEXT(TODAY(),"YYYYMMDD"))</f>
        <v/>
      </c>
      <c r="C753" s="37" t="str">
        <f>IF(Agent04_Savings!A158="","",Agent04_Savings!B158)</f>
        <v/>
      </c>
      <c r="D753" s="37" t="str">
        <f>IF(Agent04_Savings!A158="","",Agent04_Savings!G158)</f>
        <v/>
      </c>
      <c r="E753" s="38" t="str">
        <f>IF(Agent04_Savings!A158="","",Agent04_Savings!D158)</f>
        <v/>
      </c>
      <c r="F753" s="39" t="str">
        <f>IF(Agent04_Savings!A158="","",Agent04_Savings!E158)</f>
        <v/>
      </c>
      <c r="G753" s="39" t="str">
        <f>IF(Agent04_Savings!A158="","",Agent04_Savings!F158)</f>
        <v/>
      </c>
      <c r="H753" s="37" t="str">
        <f>IF(Agent04_Savings!A158="","",Agent04_Savings!I158)</f>
        <v/>
      </c>
      <c r="I753" s="37" t="str">
        <f>IF(Agent04_Savings!A158="","",Agent04_Savings!J158)</f>
        <v/>
      </c>
      <c r="J753" s="37" t="str">
        <f>IF(Agent04_Savings!A158="","",Agent04_Savings!K158)</f>
        <v/>
      </c>
      <c r="K753" s="37" t="str">
        <f>IFERROR(IF(Agent04_Savings!A158="","",YEAR(Agent04_Savings!D158)),"")</f>
        <v/>
      </c>
    </row>
    <row r="754" spans="1:11" ht="18" customHeight="1" x14ac:dyDescent="0.25">
      <c r="A754" s="37" t="str">
        <f>IF(Agent04_Savings!A159="","",Agent04_Savings!A159)</f>
        <v/>
      </c>
      <c r="B754" s="37" t="str">
        <f ca="1">IF(Agent04_Savings!A159="","","SV"&amp;TEXT(754-3,"0000")&amp;"-"&amp;TEXT(TODAY(),"YYYYMMDD"))</f>
        <v/>
      </c>
      <c r="C754" s="37" t="str">
        <f>IF(Agent04_Savings!A159="","",Agent04_Savings!B159)</f>
        <v/>
      </c>
      <c r="D754" s="37" t="str">
        <f>IF(Agent04_Savings!A159="","",Agent04_Savings!G159)</f>
        <v/>
      </c>
      <c r="E754" s="38" t="str">
        <f>IF(Agent04_Savings!A159="","",Agent04_Savings!D159)</f>
        <v/>
      </c>
      <c r="F754" s="39" t="str">
        <f>IF(Agent04_Savings!A159="","",Agent04_Savings!E159)</f>
        <v/>
      </c>
      <c r="G754" s="39" t="str">
        <f>IF(Agent04_Savings!A159="","",Agent04_Savings!F159)</f>
        <v/>
      </c>
      <c r="H754" s="37" t="str">
        <f>IF(Agent04_Savings!A159="","",Agent04_Savings!I159)</f>
        <v/>
      </c>
      <c r="I754" s="37" t="str">
        <f>IF(Agent04_Savings!A159="","",Agent04_Savings!J159)</f>
        <v/>
      </c>
      <c r="J754" s="37" t="str">
        <f>IF(Agent04_Savings!A159="","",Agent04_Savings!K159)</f>
        <v/>
      </c>
      <c r="K754" s="37" t="str">
        <f>IFERROR(IF(Agent04_Savings!A159="","",YEAR(Agent04_Savings!D159)),"")</f>
        <v/>
      </c>
    </row>
    <row r="755" spans="1:11" ht="18" customHeight="1" x14ac:dyDescent="0.25">
      <c r="A755" s="37" t="str">
        <f>IF(Agent04_Savings!A160="","",Agent04_Savings!A160)</f>
        <v/>
      </c>
      <c r="B755" s="37" t="str">
        <f ca="1">IF(Agent04_Savings!A160="","","SV"&amp;TEXT(755-3,"0000")&amp;"-"&amp;TEXT(TODAY(),"YYYYMMDD"))</f>
        <v/>
      </c>
      <c r="C755" s="37" t="str">
        <f>IF(Agent04_Savings!A160="","",Agent04_Savings!B160)</f>
        <v/>
      </c>
      <c r="D755" s="37" t="str">
        <f>IF(Agent04_Savings!A160="","",Agent04_Savings!G160)</f>
        <v/>
      </c>
      <c r="E755" s="38" t="str">
        <f>IF(Agent04_Savings!A160="","",Agent04_Savings!D160)</f>
        <v/>
      </c>
      <c r="F755" s="39" t="str">
        <f>IF(Agent04_Savings!A160="","",Agent04_Savings!E160)</f>
        <v/>
      </c>
      <c r="G755" s="39" t="str">
        <f>IF(Agent04_Savings!A160="","",Agent04_Savings!F160)</f>
        <v/>
      </c>
      <c r="H755" s="37" t="str">
        <f>IF(Agent04_Savings!A160="","",Agent04_Savings!I160)</f>
        <v/>
      </c>
      <c r="I755" s="37" t="str">
        <f>IF(Agent04_Savings!A160="","",Agent04_Savings!J160)</f>
        <v/>
      </c>
      <c r="J755" s="37" t="str">
        <f>IF(Agent04_Savings!A160="","",Agent04_Savings!K160)</f>
        <v/>
      </c>
      <c r="K755" s="37" t="str">
        <f>IFERROR(IF(Agent04_Savings!A160="","",YEAR(Agent04_Savings!D160)),"")</f>
        <v/>
      </c>
    </row>
    <row r="756" spans="1:11" ht="18" customHeight="1" x14ac:dyDescent="0.25">
      <c r="A756" s="37" t="str">
        <f>IF(Agent04_Savings!A161="","",Agent04_Savings!A161)</f>
        <v/>
      </c>
      <c r="B756" s="37" t="str">
        <f ca="1">IF(Agent04_Savings!A161="","","SV"&amp;TEXT(756-3,"0000")&amp;"-"&amp;TEXT(TODAY(),"YYYYMMDD"))</f>
        <v/>
      </c>
      <c r="C756" s="37" t="str">
        <f>IF(Agent04_Savings!A161="","",Agent04_Savings!B161)</f>
        <v/>
      </c>
      <c r="D756" s="37" t="str">
        <f>IF(Agent04_Savings!A161="","",Agent04_Savings!G161)</f>
        <v/>
      </c>
      <c r="E756" s="38" t="str">
        <f>IF(Agent04_Savings!A161="","",Agent04_Savings!D161)</f>
        <v/>
      </c>
      <c r="F756" s="39" t="str">
        <f>IF(Agent04_Savings!A161="","",Agent04_Savings!E161)</f>
        <v/>
      </c>
      <c r="G756" s="39" t="str">
        <f>IF(Agent04_Savings!A161="","",Agent04_Savings!F161)</f>
        <v/>
      </c>
      <c r="H756" s="37" t="str">
        <f>IF(Agent04_Savings!A161="","",Agent04_Savings!I161)</f>
        <v/>
      </c>
      <c r="I756" s="37" t="str">
        <f>IF(Agent04_Savings!A161="","",Agent04_Savings!J161)</f>
        <v/>
      </c>
      <c r="J756" s="37" t="str">
        <f>IF(Agent04_Savings!A161="","",Agent04_Savings!K161)</f>
        <v/>
      </c>
      <c r="K756" s="37" t="str">
        <f>IFERROR(IF(Agent04_Savings!A161="","",YEAR(Agent04_Savings!D161)),"")</f>
        <v/>
      </c>
    </row>
    <row r="757" spans="1:11" ht="18" customHeight="1" x14ac:dyDescent="0.25">
      <c r="A757" s="37" t="str">
        <f>IF(Agent04_Savings!A162="","",Agent04_Savings!A162)</f>
        <v/>
      </c>
      <c r="B757" s="37" t="str">
        <f ca="1">IF(Agent04_Savings!A162="","","SV"&amp;TEXT(757-3,"0000")&amp;"-"&amp;TEXT(TODAY(),"YYYYMMDD"))</f>
        <v/>
      </c>
      <c r="C757" s="37" t="str">
        <f>IF(Agent04_Savings!A162="","",Agent04_Savings!B162)</f>
        <v/>
      </c>
      <c r="D757" s="37" t="str">
        <f>IF(Agent04_Savings!A162="","",Agent04_Savings!G162)</f>
        <v/>
      </c>
      <c r="E757" s="38" t="str">
        <f>IF(Agent04_Savings!A162="","",Agent04_Savings!D162)</f>
        <v/>
      </c>
      <c r="F757" s="39" t="str">
        <f>IF(Agent04_Savings!A162="","",Agent04_Savings!E162)</f>
        <v/>
      </c>
      <c r="G757" s="39" t="str">
        <f>IF(Agent04_Savings!A162="","",Agent04_Savings!F162)</f>
        <v/>
      </c>
      <c r="H757" s="37" t="str">
        <f>IF(Agent04_Savings!A162="","",Agent04_Savings!I162)</f>
        <v/>
      </c>
      <c r="I757" s="37" t="str">
        <f>IF(Agent04_Savings!A162="","",Agent04_Savings!J162)</f>
        <v/>
      </c>
      <c r="J757" s="37" t="str">
        <f>IF(Agent04_Savings!A162="","",Agent04_Savings!K162)</f>
        <v/>
      </c>
      <c r="K757" s="37" t="str">
        <f>IFERROR(IF(Agent04_Savings!A162="","",YEAR(Agent04_Savings!D162)),"")</f>
        <v/>
      </c>
    </row>
    <row r="758" spans="1:11" ht="18" customHeight="1" x14ac:dyDescent="0.25">
      <c r="A758" s="37" t="str">
        <f>IF(Agent04_Savings!A163="","",Agent04_Savings!A163)</f>
        <v/>
      </c>
      <c r="B758" s="37" t="str">
        <f ca="1">IF(Agent04_Savings!A163="","","SV"&amp;TEXT(758-3,"0000")&amp;"-"&amp;TEXT(TODAY(),"YYYYMMDD"))</f>
        <v/>
      </c>
      <c r="C758" s="37" t="str">
        <f>IF(Agent04_Savings!A163="","",Agent04_Savings!B163)</f>
        <v/>
      </c>
      <c r="D758" s="37" t="str">
        <f>IF(Agent04_Savings!A163="","",Agent04_Savings!G163)</f>
        <v/>
      </c>
      <c r="E758" s="38" t="str">
        <f>IF(Agent04_Savings!A163="","",Agent04_Savings!D163)</f>
        <v/>
      </c>
      <c r="F758" s="39" t="str">
        <f>IF(Agent04_Savings!A163="","",Agent04_Savings!E163)</f>
        <v/>
      </c>
      <c r="G758" s="39" t="str">
        <f>IF(Agent04_Savings!A163="","",Agent04_Savings!F163)</f>
        <v/>
      </c>
      <c r="H758" s="37" t="str">
        <f>IF(Agent04_Savings!A163="","",Agent04_Savings!I163)</f>
        <v/>
      </c>
      <c r="I758" s="37" t="str">
        <f>IF(Agent04_Savings!A163="","",Agent04_Savings!J163)</f>
        <v/>
      </c>
      <c r="J758" s="37" t="str">
        <f>IF(Agent04_Savings!A163="","",Agent04_Savings!K163)</f>
        <v/>
      </c>
      <c r="K758" s="37" t="str">
        <f>IFERROR(IF(Agent04_Savings!A163="","",YEAR(Agent04_Savings!D163)),"")</f>
        <v/>
      </c>
    </row>
    <row r="759" spans="1:11" ht="18" customHeight="1" x14ac:dyDescent="0.25">
      <c r="A759" s="37" t="str">
        <f>IF(Agent04_Savings!A164="","",Agent04_Savings!A164)</f>
        <v/>
      </c>
      <c r="B759" s="37" t="str">
        <f ca="1">IF(Agent04_Savings!A164="","","SV"&amp;TEXT(759-3,"0000")&amp;"-"&amp;TEXT(TODAY(),"YYYYMMDD"))</f>
        <v/>
      </c>
      <c r="C759" s="37" t="str">
        <f>IF(Agent04_Savings!A164="","",Agent04_Savings!B164)</f>
        <v/>
      </c>
      <c r="D759" s="37" t="str">
        <f>IF(Agent04_Savings!A164="","",Agent04_Savings!G164)</f>
        <v/>
      </c>
      <c r="E759" s="38" t="str">
        <f>IF(Agent04_Savings!A164="","",Agent04_Savings!D164)</f>
        <v/>
      </c>
      <c r="F759" s="39" t="str">
        <f>IF(Agent04_Savings!A164="","",Agent04_Savings!E164)</f>
        <v/>
      </c>
      <c r="G759" s="39" t="str">
        <f>IF(Agent04_Savings!A164="","",Agent04_Savings!F164)</f>
        <v/>
      </c>
      <c r="H759" s="37" t="str">
        <f>IF(Agent04_Savings!A164="","",Agent04_Savings!I164)</f>
        <v/>
      </c>
      <c r="I759" s="37" t="str">
        <f>IF(Agent04_Savings!A164="","",Agent04_Savings!J164)</f>
        <v/>
      </c>
      <c r="J759" s="37" t="str">
        <f>IF(Agent04_Savings!A164="","",Agent04_Savings!K164)</f>
        <v/>
      </c>
      <c r="K759" s="37" t="str">
        <f>IFERROR(IF(Agent04_Savings!A164="","",YEAR(Agent04_Savings!D164)),"")</f>
        <v/>
      </c>
    </row>
    <row r="760" spans="1:11" ht="18" customHeight="1" x14ac:dyDescent="0.25">
      <c r="A760" s="37" t="str">
        <f>IF(Agent04_Savings!A165="","",Agent04_Savings!A165)</f>
        <v/>
      </c>
      <c r="B760" s="37" t="str">
        <f ca="1">IF(Agent04_Savings!A165="","","SV"&amp;TEXT(760-3,"0000")&amp;"-"&amp;TEXT(TODAY(),"YYYYMMDD"))</f>
        <v/>
      </c>
      <c r="C760" s="37" t="str">
        <f>IF(Agent04_Savings!A165="","",Agent04_Savings!B165)</f>
        <v/>
      </c>
      <c r="D760" s="37" t="str">
        <f>IF(Agent04_Savings!A165="","",Agent04_Savings!G165)</f>
        <v/>
      </c>
      <c r="E760" s="38" t="str">
        <f>IF(Agent04_Savings!A165="","",Agent04_Savings!D165)</f>
        <v/>
      </c>
      <c r="F760" s="39" t="str">
        <f>IF(Agent04_Savings!A165="","",Agent04_Savings!E165)</f>
        <v/>
      </c>
      <c r="G760" s="39" t="str">
        <f>IF(Agent04_Savings!A165="","",Agent04_Savings!F165)</f>
        <v/>
      </c>
      <c r="H760" s="37" t="str">
        <f>IF(Agent04_Savings!A165="","",Agent04_Savings!I165)</f>
        <v/>
      </c>
      <c r="I760" s="37" t="str">
        <f>IF(Agent04_Savings!A165="","",Agent04_Savings!J165)</f>
        <v/>
      </c>
      <c r="J760" s="37" t="str">
        <f>IF(Agent04_Savings!A165="","",Agent04_Savings!K165)</f>
        <v/>
      </c>
      <c r="K760" s="37" t="str">
        <f>IFERROR(IF(Agent04_Savings!A165="","",YEAR(Agent04_Savings!D165)),"")</f>
        <v/>
      </c>
    </row>
    <row r="761" spans="1:11" ht="18" customHeight="1" x14ac:dyDescent="0.25">
      <c r="A761" s="37" t="str">
        <f>IF(Agent04_Savings!A166="","",Agent04_Savings!A166)</f>
        <v/>
      </c>
      <c r="B761" s="37" t="str">
        <f ca="1">IF(Agent04_Savings!A166="","","SV"&amp;TEXT(761-3,"0000")&amp;"-"&amp;TEXT(TODAY(),"YYYYMMDD"))</f>
        <v/>
      </c>
      <c r="C761" s="37" t="str">
        <f>IF(Agent04_Savings!A166="","",Agent04_Savings!B166)</f>
        <v/>
      </c>
      <c r="D761" s="37" t="str">
        <f>IF(Agent04_Savings!A166="","",Agent04_Savings!G166)</f>
        <v/>
      </c>
      <c r="E761" s="38" t="str">
        <f>IF(Agent04_Savings!A166="","",Agent04_Savings!D166)</f>
        <v/>
      </c>
      <c r="F761" s="39" t="str">
        <f>IF(Agent04_Savings!A166="","",Agent04_Savings!E166)</f>
        <v/>
      </c>
      <c r="G761" s="39" t="str">
        <f>IF(Agent04_Savings!A166="","",Agent04_Savings!F166)</f>
        <v/>
      </c>
      <c r="H761" s="37" t="str">
        <f>IF(Agent04_Savings!A166="","",Agent04_Savings!I166)</f>
        <v/>
      </c>
      <c r="I761" s="37" t="str">
        <f>IF(Agent04_Savings!A166="","",Agent04_Savings!J166)</f>
        <v/>
      </c>
      <c r="J761" s="37" t="str">
        <f>IF(Agent04_Savings!A166="","",Agent04_Savings!K166)</f>
        <v/>
      </c>
      <c r="K761" s="37" t="str">
        <f>IFERROR(IF(Agent04_Savings!A166="","",YEAR(Agent04_Savings!D166)),"")</f>
        <v/>
      </c>
    </row>
    <row r="762" spans="1:11" ht="18" customHeight="1" x14ac:dyDescent="0.25">
      <c r="A762" s="37" t="str">
        <f>IF(Agent04_Savings!A167="","",Agent04_Savings!A167)</f>
        <v/>
      </c>
      <c r="B762" s="37" t="str">
        <f ca="1">IF(Agent04_Savings!A167="","","SV"&amp;TEXT(762-3,"0000")&amp;"-"&amp;TEXT(TODAY(),"YYYYMMDD"))</f>
        <v/>
      </c>
      <c r="C762" s="37" t="str">
        <f>IF(Agent04_Savings!A167="","",Agent04_Savings!B167)</f>
        <v/>
      </c>
      <c r="D762" s="37" t="str">
        <f>IF(Agent04_Savings!A167="","",Agent04_Savings!G167)</f>
        <v/>
      </c>
      <c r="E762" s="38" t="str">
        <f>IF(Agent04_Savings!A167="","",Agent04_Savings!D167)</f>
        <v/>
      </c>
      <c r="F762" s="39" t="str">
        <f>IF(Agent04_Savings!A167="","",Agent04_Savings!E167)</f>
        <v/>
      </c>
      <c r="G762" s="39" t="str">
        <f>IF(Agent04_Savings!A167="","",Agent04_Savings!F167)</f>
        <v/>
      </c>
      <c r="H762" s="37" t="str">
        <f>IF(Agent04_Savings!A167="","",Agent04_Savings!I167)</f>
        <v/>
      </c>
      <c r="I762" s="37" t="str">
        <f>IF(Agent04_Savings!A167="","",Agent04_Savings!J167)</f>
        <v/>
      </c>
      <c r="J762" s="37" t="str">
        <f>IF(Agent04_Savings!A167="","",Agent04_Savings!K167)</f>
        <v/>
      </c>
      <c r="K762" s="37" t="str">
        <f>IFERROR(IF(Agent04_Savings!A167="","",YEAR(Agent04_Savings!D167)),"")</f>
        <v/>
      </c>
    </row>
    <row r="763" spans="1:11" ht="18" customHeight="1" x14ac:dyDescent="0.25">
      <c r="A763" s="37" t="str">
        <f>IF(Agent04_Savings!A168="","",Agent04_Savings!A168)</f>
        <v/>
      </c>
      <c r="B763" s="37" t="str">
        <f ca="1">IF(Agent04_Savings!A168="","","SV"&amp;TEXT(763-3,"0000")&amp;"-"&amp;TEXT(TODAY(),"YYYYMMDD"))</f>
        <v/>
      </c>
      <c r="C763" s="37" t="str">
        <f>IF(Agent04_Savings!A168="","",Agent04_Savings!B168)</f>
        <v/>
      </c>
      <c r="D763" s="37" t="str">
        <f>IF(Agent04_Savings!A168="","",Agent04_Savings!G168)</f>
        <v/>
      </c>
      <c r="E763" s="38" t="str">
        <f>IF(Agent04_Savings!A168="","",Agent04_Savings!D168)</f>
        <v/>
      </c>
      <c r="F763" s="39" t="str">
        <f>IF(Agent04_Savings!A168="","",Agent04_Savings!E168)</f>
        <v/>
      </c>
      <c r="G763" s="39" t="str">
        <f>IF(Agent04_Savings!A168="","",Agent04_Savings!F168)</f>
        <v/>
      </c>
      <c r="H763" s="37" t="str">
        <f>IF(Agent04_Savings!A168="","",Agent04_Savings!I168)</f>
        <v/>
      </c>
      <c r="I763" s="37" t="str">
        <f>IF(Agent04_Savings!A168="","",Agent04_Savings!J168)</f>
        <v/>
      </c>
      <c r="J763" s="37" t="str">
        <f>IF(Agent04_Savings!A168="","",Agent04_Savings!K168)</f>
        <v/>
      </c>
      <c r="K763" s="37" t="str">
        <f>IFERROR(IF(Agent04_Savings!A168="","",YEAR(Agent04_Savings!D168)),"")</f>
        <v/>
      </c>
    </row>
    <row r="764" spans="1:11" ht="18" customHeight="1" x14ac:dyDescent="0.25">
      <c r="A764" s="37" t="str">
        <f>IF(Agent04_Savings!A169="","",Agent04_Savings!A169)</f>
        <v/>
      </c>
      <c r="B764" s="37" t="str">
        <f ca="1">IF(Agent04_Savings!A169="","","SV"&amp;TEXT(764-3,"0000")&amp;"-"&amp;TEXT(TODAY(),"YYYYMMDD"))</f>
        <v/>
      </c>
      <c r="C764" s="37" t="str">
        <f>IF(Agent04_Savings!A169="","",Agent04_Savings!B169)</f>
        <v/>
      </c>
      <c r="D764" s="37" t="str">
        <f>IF(Agent04_Savings!A169="","",Agent04_Savings!G169)</f>
        <v/>
      </c>
      <c r="E764" s="38" t="str">
        <f>IF(Agent04_Savings!A169="","",Agent04_Savings!D169)</f>
        <v/>
      </c>
      <c r="F764" s="39" t="str">
        <f>IF(Agent04_Savings!A169="","",Agent04_Savings!E169)</f>
        <v/>
      </c>
      <c r="G764" s="39" t="str">
        <f>IF(Agent04_Savings!A169="","",Agent04_Savings!F169)</f>
        <v/>
      </c>
      <c r="H764" s="37" t="str">
        <f>IF(Agent04_Savings!A169="","",Agent04_Savings!I169)</f>
        <v/>
      </c>
      <c r="I764" s="37" t="str">
        <f>IF(Agent04_Savings!A169="","",Agent04_Savings!J169)</f>
        <v/>
      </c>
      <c r="J764" s="37" t="str">
        <f>IF(Agent04_Savings!A169="","",Agent04_Savings!K169)</f>
        <v/>
      </c>
      <c r="K764" s="37" t="str">
        <f>IFERROR(IF(Agent04_Savings!A169="","",YEAR(Agent04_Savings!D169)),"")</f>
        <v/>
      </c>
    </row>
    <row r="765" spans="1:11" ht="18" customHeight="1" x14ac:dyDescent="0.25">
      <c r="A765" s="37" t="str">
        <f>IF(Agent04_Savings!A170="","",Agent04_Savings!A170)</f>
        <v/>
      </c>
      <c r="B765" s="37" t="str">
        <f ca="1">IF(Agent04_Savings!A170="","","SV"&amp;TEXT(765-3,"0000")&amp;"-"&amp;TEXT(TODAY(),"YYYYMMDD"))</f>
        <v/>
      </c>
      <c r="C765" s="37" t="str">
        <f>IF(Agent04_Savings!A170="","",Agent04_Savings!B170)</f>
        <v/>
      </c>
      <c r="D765" s="37" t="str">
        <f>IF(Agent04_Savings!A170="","",Agent04_Savings!G170)</f>
        <v/>
      </c>
      <c r="E765" s="38" t="str">
        <f>IF(Agent04_Savings!A170="","",Agent04_Savings!D170)</f>
        <v/>
      </c>
      <c r="F765" s="39" t="str">
        <f>IF(Agent04_Savings!A170="","",Agent04_Savings!E170)</f>
        <v/>
      </c>
      <c r="G765" s="39" t="str">
        <f>IF(Agent04_Savings!A170="","",Agent04_Savings!F170)</f>
        <v/>
      </c>
      <c r="H765" s="37" t="str">
        <f>IF(Agent04_Savings!A170="","",Agent04_Savings!I170)</f>
        <v/>
      </c>
      <c r="I765" s="37" t="str">
        <f>IF(Agent04_Savings!A170="","",Agent04_Savings!J170)</f>
        <v/>
      </c>
      <c r="J765" s="37" t="str">
        <f>IF(Agent04_Savings!A170="","",Agent04_Savings!K170)</f>
        <v/>
      </c>
      <c r="K765" s="37" t="str">
        <f>IFERROR(IF(Agent04_Savings!A170="","",YEAR(Agent04_Savings!D170)),"")</f>
        <v/>
      </c>
    </row>
    <row r="766" spans="1:11" ht="18" customHeight="1" x14ac:dyDescent="0.25">
      <c r="A766" s="37" t="str">
        <f>IF(Agent04_Savings!A171="","",Agent04_Savings!A171)</f>
        <v/>
      </c>
      <c r="B766" s="37" t="str">
        <f ca="1">IF(Agent04_Savings!A171="","","SV"&amp;TEXT(766-3,"0000")&amp;"-"&amp;TEXT(TODAY(),"YYYYMMDD"))</f>
        <v/>
      </c>
      <c r="C766" s="37" t="str">
        <f>IF(Agent04_Savings!A171="","",Agent04_Savings!B171)</f>
        <v/>
      </c>
      <c r="D766" s="37" t="str">
        <f>IF(Agent04_Savings!A171="","",Agent04_Savings!G171)</f>
        <v/>
      </c>
      <c r="E766" s="38" t="str">
        <f>IF(Agent04_Savings!A171="","",Agent04_Savings!D171)</f>
        <v/>
      </c>
      <c r="F766" s="39" t="str">
        <f>IF(Agent04_Savings!A171="","",Agent04_Savings!E171)</f>
        <v/>
      </c>
      <c r="G766" s="39" t="str">
        <f>IF(Agent04_Savings!A171="","",Agent04_Savings!F171)</f>
        <v/>
      </c>
      <c r="H766" s="37" t="str">
        <f>IF(Agent04_Savings!A171="","",Agent04_Savings!I171)</f>
        <v/>
      </c>
      <c r="I766" s="37" t="str">
        <f>IF(Agent04_Savings!A171="","",Agent04_Savings!J171)</f>
        <v/>
      </c>
      <c r="J766" s="37" t="str">
        <f>IF(Agent04_Savings!A171="","",Agent04_Savings!K171)</f>
        <v/>
      </c>
      <c r="K766" s="37" t="str">
        <f>IFERROR(IF(Agent04_Savings!A171="","",YEAR(Agent04_Savings!D171)),"")</f>
        <v/>
      </c>
    </row>
    <row r="767" spans="1:11" ht="18" customHeight="1" x14ac:dyDescent="0.25">
      <c r="A767" s="37" t="str">
        <f>IF(Agent04_Savings!A172="","",Agent04_Savings!A172)</f>
        <v/>
      </c>
      <c r="B767" s="37" t="str">
        <f ca="1">IF(Agent04_Savings!A172="","","SV"&amp;TEXT(767-3,"0000")&amp;"-"&amp;TEXT(TODAY(),"YYYYMMDD"))</f>
        <v/>
      </c>
      <c r="C767" s="37" t="str">
        <f>IF(Agent04_Savings!A172="","",Agent04_Savings!B172)</f>
        <v/>
      </c>
      <c r="D767" s="37" t="str">
        <f>IF(Agent04_Savings!A172="","",Agent04_Savings!G172)</f>
        <v/>
      </c>
      <c r="E767" s="38" t="str">
        <f>IF(Agent04_Savings!A172="","",Agent04_Savings!D172)</f>
        <v/>
      </c>
      <c r="F767" s="39" t="str">
        <f>IF(Agent04_Savings!A172="","",Agent04_Savings!E172)</f>
        <v/>
      </c>
      <c r="G767" s="39" t="str">
        <f>IF(Agent04_Savings!A172="","",Agent04_Savings!F172)</f>
        <v/>
      </c>
      <c r="H767" s="37" t="str">
        <f>IF(Agent04_Savings!A172="","",Agent04_Savings!I172)</f>
        <v/>
      </c>
      <c r="I767" s="37" t="str">
        <f>IF(Agent04_Savings!A172="","",Agent04_Savings!J172)</f>
        <v/>
      </c>
      <c r="J767" s="37" t="str">
        <f>IF(Agent04_Savings!A172="","",Agent04_Savings!K172)</f>
        <v/>
      </c>
      <c r="K767" s="37" t="str">
        <f>IFERROR(IF(Agent04_Savings!A172="","",YEAR(Agent04_Savings!D172)),"")</f>
        <v/>
      </c>
    </row>
    <row r="768" spans="1:11" ht="18" customHeight="1" x14ac:dyDescent="0.25">
      <c r="A768" s="37" t="str">
        <f>IF(Agent04_Savings!A173="","",Agent04_Savings!A173)</f>
        <v/>
      </c>
      <c r="B768" s="37" t="str">
        <f ca="1">IF(Agent04_Savings!A173="","","SV"&amp;TEXT(768-3,"0000")&amp;"-"&amp;TEXT(TODAY(),"YYYYMMDD"))</f>
        <v/>
      </c>
      <c r="C768" s="37" t="str">
        <f>IF(Agent04_Savings!A173="","",Agent04_Savings!B173)</f>
        <v/>
      </c>
      <c r="D768" s="37" t="str">
        <f>IF(Agent04_Savings!A173="","",Agent04_Savings!G173)</f>
        <v/>
      </c>
      <c r="E768" s="38" t="str">
        <f>IF(Agent04_Savings!A173="","",Agent04_Savings!D173)</f>
        <v/>
      </c>
      <c r="F768" s="39" t="str">
        <f>IF(Agent04_Savings!A173="","",Agent04_Savings!E173)</f>
        <v/>
      </c>
      <c r="G768" s="39" t="str">
        <f>IF(Agent04_Savings!A173="","",Agent04_Savings!F173)</f>
        <v/>
      </c>
      <c r="H768" s="37" t="str">
        <f>IF(Agent04_Savings!A173="","",Agent04_Savings!I173)</f>
        <v/>
      </c>
      <c r="I768" s="37" t="str">
        <f>IF(Agent04_Savings!A173="","",Agent04_Savings!J173)</f>
        <v/>
      </c>
      <c r="J768" s="37" t="str">
        <f>IF(Agent04_Savings!A173="","",Agent04_Savings!K173)</f>
        <v/>
      </c>
      <c r="K768" s="37" t="str">
        <f>IFERROR(IF(Agent04_Savings!A173="","",YEAR(Agent04_Savings!D173)),"")</f>
        <v/>
      </c>
    </row>
    <row r="769" spans="1:11" ht="18" customHeight="1" x14ac:dyDescent="0.25">
      <c r="A769" s="37" t="str">
        <f>IF(Agent04_Savings!A174="","",Agent04_Savings!A174)</f>
        <v/>
      </c>
      <c r="B769" s="37" t="str">
        <f ca="1">IF(Agent04_Savings!A174="","","SV"&amp;TEXT(769-3,"0000")&amp;"-"&amp;TEXT(TODAY(),"YYYYMMDD"))</f>
        <v/>
      </c>
      <c r="C769" s="37" t="str">
        <f>IF(Agent04_Savings!A174="","",Agent04_Savings!B174)</f>
        <v/>
      </c>
      <c r="D769" s="37" t="str">
        <f>IF(Agent04_Savings!A174="","",Agent04_Savings!G174)</f>
        <v/>
      </c>
      <c r="E769" s="38" t="str">
        <f>IF(Agent04_Savings!A174="","",Agent04_Savings!D174)</f>
        <v/>
      </c>
      <c r="F769" s="39" t="str">
        <f>IF(Agent04_Savings!A174="","",Agent04_Savings!E174)</f>
        <v/>
      </c>
      <c r="G769" s="39" t="str">
        <f>IF(Agent04_Savings!A174="","",Agent04_Savings!F174)</f>
        <v/>
      </c>
      <c r="H769" s="37" t="str">
        <f>IF(Agent04_Savings!A174="","",Agent04_Savings!I174)</f>
        <v/>
      </c>
      <c r="I769" s="37" t="str">
        <f>IF(Agent04_Savings!A174="","",Agent04_Savings!J174)</f>
        <v/>
      </c>
      <c r="J769" s="37" t="str">
        <f>IF(Agent04_Savings!A174="","",Agent04_Savings!K174)</f>
        <v/>
      </c>
      <c r="K769" s="37" t="str">
        <f>IFERROR(IF(Agent04_Savings!A174="","",YEAR(Agent04_Savings!D174)),"")</f>
        <v/>
      </c>
    </row>
    <row r="770" spans="1:11" ht="18" customHeight="1" x14ac:dyDescent="0.25">
      <c r="A770" s="37" t="str">
        <f>IF(Agent04_Savings!A175="","",Agent04_Savings!A175)</f>
        <v/>
      </c>
      <c r="B770" s="37" t="str">
        <f ca="1">IF(Agent04_Savings!A175="","","SV"&amp;TEXT(770-3,"0000")&amp;"-"&amp;TEXT(TODAY(),"YYYYMMDD"))</f>
        <v/>
      </c>
      <c r="C770" s="37" t="str">
        <f>IF(Agent04_Savings!A175="","",Agent04_Savings!B175)</f>
        <v/>
      </c>
      <c r="D770" s="37" t="str">
        <f>IF(Agent04_Savings!A175="","",Agent04_Savings!G175)</f>
        <v/>
      </c>
      <c r="E770" s="38" t="str">
        <f>IF(Agent04_Savings!A175="","",Agent04_Savings!D175)</f>
        <v/>
      </c>
      <c r="F770" s="39" t="str">
        <f>IF(Agent04_Savings!A175="","",Agent04_Savings!E175)</f>
        <v/>
      </c>
      <c r="G770" s="39" t="str">
        <f>IF(Agent04_Savings!A175="","",Agent04_Savings!F175)</f>
        <v/>
      </c>
      <c r="H770" s="37" t="str">
        <f>IF(Agent04_Savings!A175="","",Agent04_Savings!I175)</f>
        <v/>
      </c>
      <c r="I770" s="37" t="str">
        <f>IF(Agent04_Savings!A175="","",Agent04_Savings!J175)</f>
        <v/>
      </c>
      <c r="J770" s="37" t="str">
        <f>IF(Agent04_Savings!A175="","",Agent04_Savings!K175)</f>
        <v/>
      </c>
      <c r="K770" s="37" t="str">
        <f>IFERROR(IF(Agent04_Savings!A175="","",YEAR(Agent04_Savings!D175)),"")</f>
        <v/>
      </c>
    </row>
    <row r="771" spans="1:11" ht="18" customHeight="1" x14ac:dyDescent="0.25">
      <c r="A771" s="37" t="str">
        <f>IF(Agent04_Savings!A176="","",Agent04_Savings!A176)</f>
        <v/>
      </c>
      <c r="B771" s="37" t="str">
        <f ca="1">IF(Agent04_Savings!A176="","","SV"&amp;TEXT(771-3,"0000")&amp;"-"&amp;TEXT(TODAY(),"YYYYMMDD"))</f>
        <v/>
      </c>
      <c r="C771" s="37" t="str">
        <f>IF(Agent04_Savings!A176="","",Agent04_Savings!B176)</f>
        <v/>
      </c>
      <c r="D771" s="37" t="str">
        <f>IF(Agent04_Savings!A176="","",Agent04_Savings!G176)</f>
        <v/>
      </c>
      <c r="E771" s="38" t="str">
        <f>IF(Agent04_Savings!A176="","",Agent04_Savings!D176)</f>
        <v/>
      </c>
      <c r="F771" s="39" t="str">
        <f>IF(Agent04_Savings!A176="","",Agent04_Savings!E176)</f>
        <v/>
      </c>
      <c r="G771" s="39" t="str">
        <f>IF(Agent04_Savings!A176="","",Agent04_Savings!F176)</f>
        <v/>
      </c>
      <c r="H771" s="37" t="str">
        <f>IF(Agent04_Savings!A176="","",Agent04_Savings!I176)</f>
        <v/>
      </c>
      <c r="I771" s="37" t="str">
        <f>IF(Agent04_Savings!A176="","",Agent04_Savings!J176)</f>
        <v/>
      </c>
      <c r="J771" s="37" t="str">
        <f>IF(Agent04_Savings!A176="","",Agent04_Savings!K176)</f>
        <v/>
      </c>
      <c r="K771" s="37" t="str">
        <f>IFERROR(IF(Agent04_Savings!A176="","",YEAR(Agent04_Savings!D176)),"")</f>
        <v/>
      </c>
    </row>
    <row r="772" spans="1:11" ht="18" customHeight="1" x14ac:dyDescent="0.25">
      <c r="A772" s="37" t="str">
        <f>IF(Agent04_Savings!A177="","",Agent04_Savings!A177)</f>
        <v/>
      </c>
      <c r="B772" s="37" t="str">
        <f ca="1">IF(Agent04_Savings!A177="","","SV"&amp;TEXT(772-3,"0000")&amp;"-"&amp;TEXT(TODAY(),"YYYYMMDD"))</f>
        <v/>
      </c>
      <c r="C772" s="37" t="str">
        <f>IF(Agent04_Savings!A177="","",Agent04_Savings!B177)</f>
        <v/>
      </c>
      <c r="D772" s="37" t="str">
        <f>IF(Agent04_Savings!A177="","",Agent04_Savings!G177)</f>
        <v/>
      </c>
      <c r="E772" s="38" t="str">
        <f>IF(Agent04_Savings!A177="","",Agent04_Savings!D177)</f>
        <v/>
      </c>
      <c r="F772" s="39" t="str">
        <f>IF(Agent04_Savings!A177="","",Agent04_Savings!E177)</f>
        <v/>
      </c>
      <c r="G772" s="39" t="str">
        <f>IF(Agent04_Savings!A177="","",Agent04_Savings!F177)</f>
        <v/>
      </c>
      <c r="H772" s="37" t="str">
        <f>IF(Agent04_Savings!A177="","",Agent04_Savings!I177)</f>
        <v/>
      </c>
      <c r="I772" s="37" t="str">
        <f>IF(Agent04_Savings!A177="","",Agent04_Savings!J177)</f>
        <v/>
      </c>
      <c r="J772" s="37" t="str">
        <f>IF(Agent04_Savings!A177="","",Agent04_Savings!K177)</f>
        <v/>
      </c>
      <c r="K772" s="37" t="str">
        <f>IFERROR(IF(Agent04_Savings!A177="","",YEAR(Agent04_Savings!D177)),"")</f>
        <v/>
      </c>
    </row>
    <row r="773" spans="1:11" ht="18" customHeight="1" x14ac:dyDescent="0.25">
      <c r="A773" s="37" t="str">
        <f>IF(Agent04_Savings!A178="","",Agent04_Savings!A178)</f>
        <v/>
      </c>
      <c r="B773" s="37" t="str">
        <f ca="1">IF(Agent04_Savings!A178="","","SV"&amp;TEXT(773-3,"0000")&amp;"-"&amp;TEXT(TODAY(),"YYYYMMDD"))</f>
        <v/>
      </c>
      <c r="C773" s="37" t="str">
        <f>IF(Agent04_Savings!A178="","",Agent04_Savings!B178)</f>
        <v/>
      </c>
      <c r="D773" s="37" t="str">
        <f>IF(Agent04_Savings!A178="","",Agent04_Savings!G178)</f>
        <v/>
      </c>
      <c r="E773" s="38" t="str">
        <f>IF(Agent04_Savings!A178="","",Agent04_Savings!D178)</f>
        <v/>
      </c>
      <c r="F773" s="39" t="str">
        <f>IF(Agent04_Savings!A178="","",Agent04_Savings!E178)</f>
        <v/>
      </c>
      <c r="G773" s="39" t="str">
        <f>IF(Agent04_Savings!A178="","",Agent04_Savings!F178)</f>
        <v/>
      </c>
      <c r="H773" s="37" t="str">
        <f>IF(Agent04_Savings!A178="","",Agent04_Savings!I178)</f>
        <v/>
      </c>
      <c r="I773" s="37" t="str">
        <f>IF(Agent04_Savings!A178="","",Agent04_Savings!J178)</f>
        <v/>
      </c>
      <c r="J773" s="37" t="str">
        <f>IF(Agent04_Savings!A178="","",Agent04_Savings!K178)</f>
        <v/>
      </c>
      <c r="K773" s="37" t="str">
        <f>IFERROR(IF(Agent04_Savings!A178="","",YEAR(Agent04_Savings!D178)),"")</f>
        <v/>
      </c>
    </row>
    <row r="774" spans="1:11" ht="18" customHeight="1" x14ac:dyDescent="0.25">
      <c r="A774" s="37" t="str">
        <f>IF(Agent04_Savings!A179="","",Agent04_Savings!A179)</f>
        <v/>
      </c>
      <c r="B774" s="37" t="str">
        <f ca="1">IF(Agent04_Savings!A179="","","SV"&amp;TEXT(774-3,"0000")&amp;"-"&amp;TEXT(TODAY(),"YYYYMMDD"))</f>
        <v/>
      </c>
      <c r="C774" s="37" t="str">
        <f>IF(Agent04_Savings!A179="","",Agent04_Savings!B179)</f>
        <v/>
      </c>
      <c r="D774" s="37" t="str">
        <f>IF(Agent04_Savings!A179="","",Agent04_Savings!G179)</f>
        <v/>
      </c>
      <c r="E774" s="38" t="str">
        <f>IF(Agent04_Savings!A179="","",Agent04_Savings!D179)</f>
        <v/>
      </c>
      <c r="F774" s="39" t="str">
        <f>IF(Agent04_Savings!A179="","",Agent04_Savings!E179)</f>
        <v/>
      </c>
      <c r="G774" s="39" t="str">
        <f>IF(Agent04_Savings!A179="","",Agent04_Savings!F179)</f>
        <v/>
      </c>
      <c r="H774" s="37" t="str">
        <f>IF(Agent04_Savings!A179="","",Agent04_Savings!I179)</f>
        <v/>
      </c>
      <c r="I774" s="37" t="str">
        <f>IF(Agent04_Savings!A179="","",Agent04_Savings!J179)</f>
        <v/>
      </c>
      <c r="J774" s="37" t="str">
        <f>IF(Agent04_Savings!A179="","",Agent04_Savings!K179)</f>
        <v/>
      </c>
      <c r="K774" s="37" t="str">
        <f>IFERROR(IF(Agent04_Savings!A179="","",YEAR(Agent04_Savings!D179)),"")</f>
        <v/>
      </c>
    </row>
    <row r="775" spans="1:11" ht="18" customHeight="1" x14ac:dyDescent="0.25">
      <c r="A775" s="37" t="str">
        <f>IF(Agent04_Savings!A180="","",Agent04_Savings!A180)</f>
        <v/>
      </c>
      <c r="B775" s="37" t="str">
        <f ca="1">IF(Agent04_Savings!A180="","","SV"&amp;TEXT(775-3,"0000")&amp;"-"&amp;TEXT(TODAY(),"YYYYMMDD"))</f>
        <v/>
      </c>
      <c r="C775" s="37" t="str">
        <f>IF(Agent04_Savings!A180="","",Agent04_Savings!B180)</f>
        <v/>
      </c>
      <c r="D775" s="37" t="str">
        <f>IF(Agent04_Savings!A180="","",Agent04_Savings!G180)</f>
        <v/>
      </c>
      <c r="E775" s="38" t="str">
        <f>IF(Agent04_Savings!A180="","",Agent04_Savings!D180)</f>
        <v/>
      </c>
      <c r="F775" s="39" t="str">
        <f>IF(Agent04_Savings!A180="","",Agent04_Savings!E180)</f>
        <v/>
      </c>
      <c r="G775" s="39" t="str">
        <f>IF(Agent04_Savings!A180="","",Agent04_Savings!F180)</f>
        <v/>
      </c>
      <c r="H775" s="37" t="str">
        <f>IF(Agent04_Savings!A180="","",Agent04_Savings!I180)</f>
        <v/>
      </c>
      <c r="I775" s="37" t="str">
        <f>IF(Agent04_Savings!A180="","",Agent04_Savings!J180)</f>
        <v/>
      </c>
      <c r="J775" s="37" t="str">
        <f>IF(Agent04_Savings!A180="","",Agent04_Savings!K180)</f>
        <v/>
      </c>
      <c r="K775" s="37" t="str">
        <f>IFERROR(IF(Agent04_Savings!A180="","",YEAR(Agent04_Savings!D180)),"")</f>
        <v/>
      </c>
    </row>
    <row r="776" spans="1:11" ht="18" customHeight="1" x14ac:dyDescent="0.25">
      <c r="A776" s="37" t="str">
        <f>IF(Agent04_Savings!A181="","",Agent04_Savings!A181)</f>
        <v/>
      </c>
      <c r="B776" s="37" t="str">
        <f ca="1">IF(Agent04_Savings!A181="","","SV"&amp;TEXT(776-3,"0000")&amp;"-"&amp;TEXT(TODAY(),"YYYYMMDD"))</f>
        <v/>
      </c>
      <c r="C776" s="37" t="str">
        <f>IF(Agent04_Savings!A181="","",Agent04_Savings!B181)</f>
        <v/>
      </c>
      <c r="D776" s="37" t="str">
        <f>IF(Agent04_Savings!A181="","",Agent04_Savings!G181)</f>
        <v/>
      </c>
      <c r="E776" s="38" t="str">
        <f>IF(Agent04_Savings!A181="","",Agent04_Savings!D181)</f>
        <v/>
      </c>
      <c r="F776" s="39" t="str">
        <f>IF(Agent04_Savings!A181="","",Agent04_Savings!E181)</f>
        <v/>
      </c>
      <c r="G776" s="39" t="str">
        <f>IF(Agent04_Savings!A181="","",Agent04_Savings!F181)</f>
        <v/>
      </c>
      <c r="H776" s="37" t="str">
        <f>IF(Agent04_Savings!A181="","",Agent04_Savings!I181)</f>
        <v/>
      </c>
      <c r="I776" s="37" t="str">
        <f>IF(Agent04_Savings!A181="","",Agent04_Savings!J181)</f>
        <v/>
      </c>
      <c r="J776" s="37" t="str">
        <f>IF(Agent04_Savings!A181="","",Agent04_Savings!K181)</f>
        <v/>
      </c>
      <c r="K776" s="37" t="str">
        <f>IFERROR(IF(Agent04_Savings!A181="","",YEAR(Agent04_Savings!D181)),"")</f>
        <v/>
      </c>
    </row>
    <row r="777" spans="1:11" ht="18" customHeight="1" x14ac:dyDescent="0.25">
      <c r="A777" s="37" t="str">
        <f>IF(Agent04_Savings!A182="","",Agent04_Savings!A182)</f>
        <v/>
      </c>
      <c r="B777" s="37" t="str">
        <f ca="1">IF(Agent04_Savings!A182="","","SV"&amp;TEXT(777-3,"0000")&amp;"-"&amp;TEXT(TODAY(),"YYYYMMDD"))</f>
        <v/>
      </c>
      <c r="C777" s="37" t="str">
        <f>IF(Agent04_Savings!A182="","",Agent04_Savings!B182)</f>
        <v/>
      </c>
      <c r="D777" s="37" t="str">
        <f>IF(Agent04_Savings!A182="","",Agent04_Savings!G182)</f>
        <v/>
      </c>
      <c r="E777" s="38" t="str">
        <f>IF(Agent04_Savings!A182="","",Agent04_Savings!D182)</f>
        <v/>
      </c>
      <c r="F777" s="39" t="str">
        <f>IF(Agent04_Savings!A182="","",Agent04_Savings!E182)</f>
        <v/>
      </c>
      <c r="G777" s="39" t="str">
        <f>IF(Agent04_Savings!A182="","",Agent04_Savings!F182)</f>
        <v/>
      </c>
      <c r="H777" s="37" t="str">
        <f>IF(Agent04_Savings!A182="","",Agent04_Savings!I182)</f>
        <v/>
      </c>
      <c r="I777" s="37" t="str">
        <f>IF(Agent04_Savings!A182="","",Agent04_Savings!J182)</f>
        <v/>
      </c>
      <c r="J777" s="37" t="str">
        <f>IF(Agent04_Savings!A182="","",Agent04_Savings!K182)</f>
        <v/>
      </c>
      <c r="K777" s="37" t="str">
        <f>IFERROR(IF(Agent04_Savings!A182="","",YEAR(Agent04_Savings!D182)),"")</f>
        <v/>
      </c>
    </row>
    <row r="778" spans="1:11" ht="18" customHeight="1" x14ac:dyDescent="0.25">
      <c r="A778" s="37" t="str">
        <f>IF(Agent04_Savings!A183="","",Agent04_Savings!A183)</f>
        <v/>
      </c>
      <c r="B778" s="37" t="str">
        <f ca="1">IF(Agent04_Savings!A183="","","SV"&amp;TEXT(778-3,"0000")&amp;"-"&amp;TEXT(TODAY(),"YYYYMMDD"))</f>
        <v/>
      </c>
      <c r="C778" s="37" t="str">
        <f>IF(Agent04_Savings!A183="","",Agent04_Savings!B183)</f>
        <v/>
      </c>
      <c r="D778" s="37" t="str">
        <f>IF(Agent04_Savings!A183="","",Agent04_Savings!G183)</f>
        <v/>
      </c>
      <c r="E778" s="38" t="str">
        <f>IF(Agent04_Savings!A183="","",Agent04_Savings!D183)</f>
        <v/>
      </c>
      <c r="F778" s="39" t="str">
        <f>IF(Agent04_Savings!A183="","",Agent04_Savings!E183)</f>
        <v/>
      </c>
      <c r="G778" s="39" t="str">
        <f>IF(Agent04_Savings!A183="","",Agent04_Savings!F183)</f>
        <v/>
      </c>
      <c r="H778" s="37" t="str">
        <f>IF(Agent04_Savings!A183="","",Agent04_Savings!I183)</f>
        <v/>
      </c>
      <c r="I778" s="37" t="str">
        <f>IF(Agent04_Savings!A183="","",Agent04_Savings!J183)</f>
        <v/>
      </c>
      <c r="J778" s="37" t="str">
        <f>IF(Agent04_Savings!A183="","",Agent04_Savings!K183)</f>
        <v/>
      </c>
      <c r="K778" s="37" t="str">
        <f>IFERROR(IF(Agent04_Savings!A183="","",YEAR(Agent04_Savings!D183)),"")</f>
        <v/>
      </c>
    </row>
    <row r="779" spans="1:11" ht="18" customHeight="1" x14ac:dyDescent="0.25">
      <c r="A779" s="37" t="str">
        <f>IF(Agent04_Savings!A184="","",Agent04_Savings!A184)</f>
        <v/>
      </c>
      <c r="B779" s="37" t="str">
        <f ca="1">IF(Agent04_Savings!A184="","","SV"&amp;TEXT(779-3,"0000")&amp;"-"&amp;TEXT(TODAY(),"YYYYMMDD"))</f>
        <v/>
      </c>
      <c r="C779" s="37" t="str">
        <f>IF(Agent04_Savings!A184="","",Agent04_Savings!B184)</f>
        <v/>
      </c>
      <c r="D779" s="37" t="str">
        <f>IF(Agent04_Savings!A184="","",Agent04_Savings!G184)</f>
        <v/>
      </c>
      <c r="E779" s="38" t="str">
        <f>IF(Agent04_Savings!A184="","",Agent04_Savings!D184)</f>
        <v/>
      </c>
      <c r="F779" s="39" t="str">
        <f>IF(Agent04_Savings!A184="","",Agent04_Savings!E184)</f>
        <v/>
      </c>
      <c r="G779" s="39" t="str">
        <f>IF(Agent04_Savings!A184="","",Agent04_Savings!F184)</f>
        <v/>
      </c>
      <c r="H779" s="37" t="str">
        <f>IF(Agent04_Savings!A184="","",Agent04_Savings!I184)</f>
        <v/>
      </c>
      <c r="I779" s="37" t="str">
        <f>IF(Agent04_Savings!A184="","",Agent04_Savings!J184)</f>
        <v/>
      </c>
      <c r="J779" s="37" t="str">
        <f>IF(Agent04_Savings!A184="","",Agent04_Savings!K184)</f>
        <v/>
      </c>
      <c r="K779" s="37" t="str">
        <f>IFERROR(IF(Agent04_Savings!A184="","",YEAR(Agent04_Savings!D184)),"")</f>
        <v/>
      </c>
    </row>
    <row r="780" spans="1:11" ht="18" customHeight="1" x14ac:dyDescent="0.25">
      <c r="A780" s="37" t="str">
        <f>IF(Agent04_Savings!A185="","",Agent04_Savings!A185)</f>
        <v/>
      </c>
      <c r="B780" s="37" t="str">
        <f ca="1">IF(Agent04_Savings!A185="","","SV"&amp;TEXT(780-3,"0000")&amp;"-"&amp;TEXT(TODAY(),"YYYYMMDD"))</f>
        <v/>
      </c>
      <c r="C780" s="37" t="str">
        <f>IF(Agent04_Savings!A185="","",Agent04_Savings!B185)</f>
        <v/>
      </c>
      <c r="D780" s="37" t="str">
        <f>IF(Agent04_Savings!A185="","",Agent04_Savings!G185)</f>
        <v/>
      </c>
      <c r="E780" s="38" t="str">
        <f>IF(Agent04_Savings!A185="","",Agent04_Savings!D185)</f>
        <v/>
      </c>
      <c r="F780" s="39" t="str">
        <f>IF(Agent04_Savings!A185="","",Agent04_Savings!E185)</f>
        <v/>
      </c>
      <c r="G780" s="39" t="str">
        <f>IF(Agent04_Savings!A185="","",Agent04_Savings!F185)</f>
        <v/>
      </c>
      <c r="H780" s="37" t="str">
        <f>IF(Agent04_Savings!A185="","",Agent04_Savings!I185)</f>
        <v/>
      </c>
      <c r="I780" s="37" t="str">
        <f>IF(Agent04_Savings!A185="","",Agent04_Savings!J185)</f>
        <v/>
      </c>
      <c r="J780" s="37" t="str">
        <f>IF(Agent04_Savings!A185="","",Agent04_Savings!K185)</f>
        <v/>
      </c>
      <c r="K780" s="37" t="str">
        <f>IFERROR(IF(Agent04_Savings!A185="","",YEAR(Agent04_Savings!D185)),"")</f>
        <v/>
      </c>
    </row>
    <row r="781" spans="1:11" ht="18" customHeight="1" x14ac:dyDescent="0.25">
      <c r="A781" s="37" t="str">
        <f>IF(Agent04_Savings!A186="","",Agent04_Savings!A186)</f>
        <v/>
      </c>
      <c r="B781" s="37" t="str">
        <f ca="1">IF(Agent04_Savings!A186="","","SV"&amp;TEXT(781-3,"0000")&amp;"-"&amp;TEXT(TODAY(),"YYYYMMDD"))</f>
        <v/>
      </c>
      <c r="C781" s="37" t="str">
        <f>IF(Agent04_Savings!A186="","",Agent04_Savings!B186)</f>
        <v/>
      </c>
      <c r="D781" s="37" t="str">
        <f>IF(Agent04_Savings!A186="","",Agent04_Savings!G186)</f>
        <v/>
      </c>
      <c r="E781" s="38" t="str">
        <f>IF(Agent04_Savings!A186="","",Agent04_Savings!D186)</f>
        <v/>
      </c>
      <c r="F781" s="39" t="str">
        <f>IF(Agent04_Savings!A186="","",Agent04_Savings!E186)</f>
        <v/>
      </c>
      <c r="G781" s="39" t="str">
        <f>IF(Agent04_Savings!A186="","",Agent04_Savings!F186)</f>
        <v/>
      </c>
      <c r="H781" s="37" t="str">
        <f>IF(Agent04_Savings!A186="","",Agent04_Savings!I186)</f>
        <v/>
      </c>
      <c r="I781" s="37" t="str">
        <f>IF(Agent04_Savings!A186="","",Agent04_Savings!J186)</f>
        <v/>
      </c>
      <c r="J781" s="37" t="str">
        <f>IF(Agent04_Savings!A186="","",Agent04_Savings!K186)</f>
        <v/>
      </c>
      <c r="K781" s="37" t="str">
        <f>IFERROR(IF(Agent04_Savings!A186="","",YEAR(Agent04_Savings!D186)),"")</f>
        <v/>
      </c>
    </row>
    <row r="782" spans="1:11" ht="18" customHeight="1" x14ac:dyDescent="0.25">
      <c r="A782" s="37" t="str">
        <f>IF(Agent04_Savings!A187="","",Agent04_Savings!A187)</f>
        <v/>
      </c>
      <c r="B782" s="37" t="str">
        <f ca="1">IF(Agent04_Savings!A187="","","SV"&amp;TEXT(782-3,"0000")&amp;"-"&amp;TEXT(TODAY(),"YYYYMMDD"))</f>
        <v/>
      </c>
      <c r="C782" s="37" t="str">
        <f>IF(Agent04_Savings!A187="","",Agent04_Savings!B187)</f>
        <v/>
      </c>
      <c r="D782" s="37" t="str">
        <f>IF(Agent04_Savings!A187="","",Agent04_Savings!G187)</f>
        <v/>
      </c>
      <c r="E782" s="38" t="str">
        <f>IF(Agent04_Savings!A187="","",Agent04_Savings!D187)</f>
        <v/>
      </c>
      <c r="F782" s="39" t="str">
        <f>IF(Agent04_Savings!A187="","",Agent04_Savings!E187)</f>
        <v/>
      </c>
      <c r="G782" s="39" t="str">
        <f>IF(Agent04_Savings!A187="","",Agent04_Savings!F187)</f>
        <v/>
      </c>
      <c r="H782" s="37" t="str">
        <f>IF(Agent04_Savings!A187="","",Agent04_Savings!I187)</f>
        <v/>
      </c>
      <c r="I782" s="37" t="str">
        <f>IF(Agent04_Savings!A187="","",Agent04_Savings!J187)</f>
        <v/>
      </c>
      <c r="J782" s="37" t="str">
        <f>IF(Agent04_Savings!A187="","",Agent04_Savings!K187)</f>
        <v/>
      </c>
      <c r="K782" s="37" t="str">
        <f>IFERROR(IF(Agent04_Savings!A187="","",YEAR(Agent04_Savings!D187)),"")</f>
        <v/>
      </c>
    </row>
    <row r="783" spans="1:11" ht="18" customHeight="1" x14ac:dyDescent="0.25">
      <c r="A783" s="37" t="str">
        <f>IF(Agent04_Savings!A188="","",Agent04_Savings!A188)</f>
        <v/>
      </c>
      <c r="B783" s="37" t="str">
        <f ca="1">IF(Agent04_Savings!A188="","","SV"&amp;TEXT(783-3,"0000")&amp;"-"&amp;TEXT(TODAY(),"YYYYMMDD"))</f>
        <v/>
      </c>
      <c r="C783" s="37" t="str">
        <f>IF(Agent04_Savings!A188="","",Agent04_Savings!B188)</f>
        <v/>
      </c>
      <c r="D783" s="37" t="str">
        <f>IF(Agent04_Savings!A188="","",Agent04_Savings!G188)</f>
        <v/>
      </c>
      <c r="E783" s="38" t="str">
        <f>IF(Agent04_Savings!A188="","",Agent04_Savings!D188)</f>
        <v/>
      </c>
      <c r="F783" s="39" t="str">
        <f>IF(Agent04_Savings!A188="","",Agent04_Savings!E188)</f>
        <v/>
      </c>
      <c r="G783" s="39" t="str">
        <f>IF(Agent04_Savings!A188="","",Agent04_Savings!F188)</f>
        <v/>
      </c>
      <c r="H783" s="37" t="str">
        <f>IF(Agent04_Savings!A188="","",Agent04_Savings!I188)</f>
        <v/>
      </c>
      <c r="I783" s="37" t="str">
        <f>IF(Agent04_Savings!A188="","",Agent04_Savings!J188)</f>
        <v/>
      </c>
      <c r="J783" s="37" t="str">
        <f>IF(Agent04_Savings!A188="","",Agent04_Savings!K188)</f>
        <v/>
      </c>
      <c r="K783" s="37" t="str">
        <f>IFERROR(IF(Agent04_Savings!A188="","",YEAR(Agent04_Savings!D188)),"")</f>
        <v/>
      </c>
    </row>
    <row r="784" spans="1:11" ht="18" customHeight="1" x14ac:dyDescent="0.25">
      <c r="A784" s="37" t="str">
        <f>IF(Agent04_Savings!A189="","",Agent04_Savings!A189)</f>
        <v/>
      </c>
      <c r="B784" s="37" t="str">
        <f ca="1">IF(Agent04_Savings!A189="","","SV"&amp;TEXT(784-3,"0000")&amp;"-"&amp;TEXT(TODAY(),"YYYYMMDD"))</f>
        <v/>
      </c>
      <c r="C784" s="37" t="str">
        <f>IF(Agent04_Savings!A189="","",Agent04_Savings!B189)</f>
        <v/>
      </c>
      <c r="D784" s="37" t="str">
        <f>IF(Agent04_Savings!A189="","",Agent04_Savings!G189)</f>
        <v/>
      </c>
      <c r="E784" s="38" t="str">
        <f>IF(Agent04_Savings!A189="","",Agent04_Savings!D189)</f>
        <v/>
      </c>
      <c r="F784" s="39" t="str">
        <f>IF(Agent04_Savings!A189="","",Agent04_Savings!E189)</f>
        <v/>
      </c>
      <c r="G784" s="39" t="str">
        <f>IF(Agent04_Savings!A189="","",Agent04_Savings!F189)</f>
        <v/>
      </c>
      <c r="H784" s="37" t="str">
        <f>IF(Agent04_Savings!A189="","",Agent04_Savings!I189)</f>
        <v/>
      </c>
      <c r="I784" s="37" t="str">
        <f>IF(Agent04_Savings!A189="","",Agent04_Savings!J189)</f>
        <v/>
      </c>
      <c r="J784" s="37" t="str">
        <f>IF(Agent04_Savings!A189="","",Agent04_Savings!K189)</f>
        <v/>
      </c>
      <c r="K784" s="37" t="str">
        <f>IFERROR(IF(Agent04_Savings!A189="","",YEAR(Agent04_Savings!D189)),"")</f>
        <v/>
      </c>
    </row>
    <row r="785" spans="1:11" ht="18" customHeight="1" x14ac:dyDescent="0.25">
      <c r="A785" s="37" t="str">
        <f>IF(Agent04_Savings!A190="","",Agent04_Savings!A190)</f>
        <v/>
      </c>
      <c r="B785" s="37" t="str">
        <f ca="1">IF(Agent04_Savings!A190="","","SV"&amp;TEXT(785-3,"0000")&amp;"-"&amp;TEXT(TODAY(),"YYYYMMDD"))</f>
        <v/>
      </c>
      <c r="C785" s="37" t="str">
        <f>IF(Agent04_Savings!A190="","",Agent04_Savings!B190)</f>
        <v/>
      </c>
      <c r="D785" s="37" t="str">
        <f>IF(Agent04_Savings!A190="","",Agent04_Savings!G190)</f>
        <v/>
      </c>
      <c r="E785" s="38" t="str">
        <f>IF(Agent04_Savings!A190="","",Agent04_Savings!D190)</f>
        <v/>
      </c>
      <c r="F785" s="39" t="str">
        <f>IF(Agent04_Savings!A190="","",Agent04_Savings!E190)</f>
        <v/>
      </c>
      <c r="G785" s="39" t="str">
        <f>IF(Agent04_Savings!A190="","",Agent04_Savings!F190)</f>
        <v/>
      </c>
      <c r="H785" s="37" t="str">
        <f>IF(Agent04_Savings!A190="","",Agent04_Savings!I190)</f>
        <v/>
      </c>
      <c r="I785" s="37" t="str">
        <f>IF(Agent04_Savings!A190="","",Agent04_Savings!J190)</f>
        <v/>
      </c>
      <c r="J785" s="37" t="str">
        <f>IF(Agent04_Savings!A190="","",Agent04_Savings!K190)</f>
        <v/>
      </c>
      <c r="K785" s="37" t="str">
        <f>IFERROR(IF(Agent04_Savings!A190="","",YEAR(Agent04_Savings!D190)),"")</f>
        <v/>
      </c>
    </row>
    <row r="786" spans="1:11" ht="18" customHeight="1" x14ac:dyDescent="0.25">
      <c r="A786" s="37" t="str">
        <f>IF(Agent04_Savings!A191="","",Agent04_Savings!A191)</f>
        <v/>
      </c>
      <c r="B786" s="37" t="str">
        <f ca="1">IF(Agent04_Savings!A191="","","SV"&amp;TEXT(786-3,"0000")&amp;"-"&amp;TEXT(TODAY(),"YYYYMMDD"))</f>
        <v/>
      </c>
      <c r="C786" s="37" t="str">
        <f>IF(Agent04_Savings!A191="","",Agent04_Savings!B191)</f>
        <v/>
      </c>
      <c r="D786" s="37" t="str">
        <f>IF(Agent04_Savings!A191="","",Agent04_Savings!G191)</f>
        <v/>
      </c>
      <c r="E786" s="38" t="str">
        <f>IF(Agent04_Savings!A191="","",Agent04_Savings!D191)</f>
        <v/>
      </c>
      <c r="F786" s="39" t="str">
        <f>IF(Agent04_Savings!A191="","",Agent04_Savings!E191)</f>
        <v/>
      </c>
      <c r="G786" s="39" t="str">
        <f>IF(Agent04_Savings!A191="","",Agent04_Savings!F191)</f>
        <v/>
      </c>
      <c r="H786" s="37" t="str">
        <f>IF(Agent04_Savings!A191="","",Agent04_Savings!I191)</f>
        <v/>
      </c>
      <c r="I786" s="37" t="str">
        <f>IF(Agent04_Savings!A191="","",Agent04_Savings!J191)</f>
        <v/>
      </c>
      <c r="J786" s="37" t="str">
        <f>IF(Agent04_Savings!A191="","",Agent04_Savings!K191)</f>
        <v/>
      </c>
      <c r="K786" s="37" t="str">
        <f>IFERROR(IF(Agent04_Savings!A191="","",YEAR(Agent04_Savings!D191)),"")</f>
        <v/>
      </c>
    </row>
    <row r="787" spans="1:11" ht="18" customHeight="1" x14ac:dyDescent="0.25">
      <c r="A787" s="37" t="str">
        <f>IF(Agent04_Savings!A192="","",Agent04_Savings!A192)</f>
        <v/>
      </c>
      <c r="B787" s="37" t="str">
        <f ca="1">IF(Agent04_Savings!A192="","","SV"&amp;TEXT(787-3,"0000")&amp;"-"&amp;TEXT(TODAY(),"YYYYMMDD"))</f>
        <v/>
      </c>
      <c r="C787" s="37" t="str">
        <f>IF(Agent04_Savings!A192="","",Agent04_Savings!B192)</f>
        <v/>
      </c>
      <c r="D787" s="37" t="str">
        <f>IF(Agent04_Savings!A192="","",Agent04_Savings!G192)</f>
        <v/>
      </c>
      <c r="E787" s="38" t="str">
        <f>IF(Agent04_Savings!A192="","",Agent04_Savings!D192)</f>
        <v/>
      </c>
      <c r="F787" s="39" t="str">
        <f>IF(Agent04_Savings!A192="","",Agent04_Savings!E192)</f>
        <v/>
      </c>
      <c r="G787" s="39" t="str">
        <f>IF(Agent04_Savings!A192="","",Agent04_Savings!F192)</f>
        <v/>
      </c>
      <c r="H787" s="37" t="str">
        <f>IF(Agent04_Savings!A192="","",Agent04_Savings!I192)</f>
        <v/>
      </c>
      <c r="I787" s="37" t="str">
        <f>IF(Agent04_Savings!A192="","",Agent04_Savings!J192)</f>
        <v/>
      </c>
      <c r="J787" s="37" t="str">
        <f>IF(Agent04_Savings!A192="","",Agent04_Savings!K192)</f>
        <v/>
      </c>
      <c r="K787" s="37" t="str">
        <f>IFERROR(IF(Agent04_Savings!A192="","",YEAR(Agent04_Savings!D192)),"")</f>
        <v/>
      </c>
    </row>
    <row r="788" spans="1:11" ht="18" customHeight="1" x14ac:dyDescent="0.25">
      <c r="A788" s="37" t="str">
        <f>IF(Agent04_Savings!A193="","",Agent04_Savings!A193)</f>
        <v/>
      </c>
      <c r="B788" s="37" t="str">
        <f ca="1">IF(Agent04_Savings!A193="","","SV"&amp;TEXT(788-3,"0000")&amp;"-"&amp;TEXT(TODAY(),"YYYYMMDD"))</f>
        <v/>
      </c>
      <c r="C788" s="37" t="str">
        <f>IF(Agent04_Savings!A193="","",Agent04_Savings!B193)</f>
        <v/>
      </c>
      <c r="D788" s="37" t="str">
        <f>IF(Agent04_Savings!A193="","",Agent04_Savings!G193)</f>
        <v/>
      </c>
      <c r="E788" s="38" t="str">
        <f>IF(Agent04_Savings!A193="","",Agent04_Savings!D193)</f>
        <v/>
      </c>
      <c r="F788" s="39" t="str">
        <f>IF(Agent04_Savings!A193="","",Agent04_Savings!E193)</f>
        <v/>
      </c>
      <c r="G788" s="39" t="str">
        <f>IF(Agent04_Savings!A193="","",Agent04_Savings!F193)</f>
        <v/>
      </c>
      <c r="H788" s="37" t="str">
        <f>IF(Agent04_Savings!A193="","",Agent04_Savings!I193)</f>
        <v/>
      </c>
      <c r="I788" s="37" t="str">
        <f>IF(Agent04_Savings!A193="","",Agent04_Savings!J193)</f>
        <v/>
      </c>
      <c r="J788" s="37" t="str">
        <f>IF(Agent04_Savings!A193="","",Agent04_Savings!K193)</f>
        <v/>
      </c>
      <c r="K788" s="37" t="str">
        <f>IFERROR(IF(Agent04_Savings!A193="","",YEAR(Agent04_Savings!D193)),"")</f>
        <v/>
      </c>
    </row>
    <row r="789" spans="1:11" ht="18" customHeight="1" x14ac:dyDescent="0.25">
      <c r="A789" s="37" t="str">
        <f>IF(Agent04_Savings!A194="","",Agent04_Savings!A194)</f>
        <v/>
      </c>
      <c r="B789" s="37" t="str">
        <f ca="1">IF(Agent04_Savings!A194="","","SV"&amp;TEXT(789-3,"0000")&amp;"-"&amp;TEXT(TODAY(),"YYYYMMDD"))</f>
        <v/>
      </c>
      <c r="C789" s="37" t="str">
        <f>IF(Agent04_Savings!A194="","",Agent04_Savings!B194)</f>
        <v/>
      </c>
      <c r="D789" s="37" t="str">
        <f>IF(Agent04_Savings!A194="","",Agent04_Savings!G194)</f>
        <v/>
      </c>
      <c r="E789" s="38" t="str">
        <f>IF(Agent04_Savings!A194="","",Agent04_Savings!D194)</f>
        <v/>
      </c>
      <c r="F789" s="39" t="str">
        <f>IF(Agent04_Savings!A194="","",Agent04_Savings!E194)</f>
        <v/>
      </c>
      <c r="G789" s="39" t="str">
        <f>IF(Agent04_Savings!A194="","",Agent04_Savings!F194)</f>
        <v/>
      </c>
      <c r="H789" s="37" t="str">
        <f>IF(Agent04_Savings!A194="","",Agent04_Savings!I194)</f>
        <v/>
      </c>
      <c r="I789" s="37" t="str">
        <f>IF(Agent04_Savings!A194="","",Agent04_Savings!J194)</f>
        <v/>
      </c>
      <c r="J789" s="37" t="str">
        <f>IF(Agent04_Savings!A194="","",Agent04_Savings!K194)</f>
        <v/>
      </c>
      <c r="K789" s="37" t="str">
        <f>IFERROR(IF(Agent04_Savings!A194="","",YEAR(Agent04_Savings!D194)),"")</f>
        <v/>
      </c>
    </row>
    <row r="790" spans="1:11" ht="18" customHeight="1" x14ac:dyDescent="0.25">
      <c r="A790" s="37" t="str">
        <f>IF(Agent04_Savings!A195="","",Agent04_Savings!A195)</f>
        <v/>
      </c>
      <c r="B790" s="37" t="str">
        <f ca="1">IF(Agent04_Savings!A195="","","SV"&amp;TEXT(790-3,"0000")&amp;"-"&amp;TEXT(TODAY(),"YYYYMMDD"))</f>
        <v/>
      </c>
      <c r="C790" s="37" t="str">
        <f>IF(Agent04_Savings!A195="","",Agent04_Savings!B195)</f>
        <v/>
      </c>
      <c r="D790" s="37" t="str">
        <f>IF(Agent04_Savings!A195="","",Agent04_Savings!G195)</f>
        <v/>
      </c>
      <c r="E790" s="38" t="str">
        <f>IF(Agent04_Savings!A195="","",Agent04_Savings!D195)</f>
        <v/>
      </c>
      <c r="F790" s="39" t="str">
        <f>IF(Agent04_Savings!A195="","",Agent04_Savings!E195)</f>
        <v/>
      </c>
      <c r="G790" s="39" t="str">
        <f>IF(Agent04_Savings!A195="","",Agent04_Savings!F195)</f>
        <v/>
      </c>
      <c r="H790" s="37" t="str">
        <f>IF(Agent04_Savings!A195="","",Agent04_Savings!I195)</f>
        <v/>
      </c>
      <c r="I790" s="37" t="str">
        <f>IF(Agent04_Savings!A195="","",Agent04_Savings!J195)</f>
        <v/>
      </c>
      <c r="J790" s="37" t="str">
        <f>IF(Agent04_Savings!A195="","",Agent04_Savings!K195)</f>
        <v/>
      </c>
      <c r="K790" s="37" t="str">
        <f>IFERROR(IF(Agent04_Savings!A195="","",YEAR(Agent04_Savings!D195)),"")</f>
        <v/>
      </c>
    </row>
    <row r="791" spans="1:11" ht="18" customHeight="1" x14ac:dyDescent="0.25">
      <c r="A791" s="37" t="str">
        <f>IF(Agent04_Savings!A196="","",Agent04_Savings!A196)</f>
        <v/>
      </c>
      <c r="B791" s="37" t="str">
        <f ca="1">IF(Agent04_Savings!A196="","","SV"&amp;TEXT(791-3,"0000")&amp;"-"&amp;TEXT(TODAY(),"YYYYMMDD"))</f>
        <v/>
      </c>
      <c r="C791" s="37" t="str">
        <f>IF(Agent04_Savings!A196="","",Agent04_Savings!B196)</f>
        <v/>
      </c>
      <c r="D791" s="37" t="str">
        <f>IF(Agent04_Savings!A196="","",Agent04_Savings!G196)</f>
        <v/>
      </c>
      <c r="E791" s="38" t="str">
        <f>IF(Agent04_Savings!A196="","",Agent04_Savings!D196)</f>
        <v/>
      </c>
      <c r="F791" s="39" t="str">
        <f>IF(Agent04_Savings!A196="","",Agent04_Savings!E196)</f>
        <v/>
      </c>
      <c r="G791" s="39" t="str">
        <f>IF(Agent04_Savings!A196="","",Agent04_Savings!F196)</f>
        <v/>
      </c>
      <c r="H791" s="37" t="str">
        <f>IF(Agent04_Savings!A196="","",Agent04_Savings!I196)</f>
        <v/>
      </c>
      <c r="I791" s="37" t="str">
        <f>IF(Agent04_Savings!A196="","",Agent04_Savings!J196)</f>
        <v/>
      </c>
      <c r="J791" s="37" t="str">
        <f>IF(Agent04_Savings!A196="","",Agent04_Savings!K196)</f>
        <v/>
      </c>
      <c r="K791" s="37" t="str">
        <f>IFERROR(IF(Agent04_Savings!A196="","",YEAR(Agent04_Savings!D196)),"")</f>
        <v/>
      </c>
    </row>
    <row r="792" spans="1:11" ht="18" customHeight="1" x14ac:dyDescent="0.25">
      <c r="A792" s="37" t="str">
        <f>IF(Agent04_Savings!A197="","",Agent04_Savings!A197)</f>
        <v/>
      </c>
      <c r="B792" s="37" t="str">
        <f ca="1">IF(Agent04_Savings!A197="","","SV"&amp;TEXT(792-3,"0000")&amp;"-"&amp;TEXT(TODAY(),"YYYYMMDD"))</f>
        <v/>
      </c>
      <c r="C792" s="37" t="str">
        <f>IF(Agent04_Savings!A197="","",Agent04_Savings!B197)</f>
        <v/>
      </c>
      <c r="D792" s="37" t="str">
        <f>IF(Agent04_Savings!A197="","",Agent04_Savings!G197)</f>
        <v/>
      </c>
      <c r="E792" s="38" t="str">
        <f>IF(Agent04_Savings!A197="","",Agent04_Savings!D197)</f>
        <v/>
      </c>
      <c r="F792" s="39" t="str">
        <f>IF(Agent04_Savings!A197="","",Agent04_Savings!E197)</f>
        <v/>
      </c>
      <c r="G792" s="39" t="str">
        <f>IF(Agent04_Savings!A197="","",Agent04_Savings!F197)</f>
        <v/>
      </c>
      <c r="H792" s="37" t="str">
        <f>IF(Agent04_Savings!A197="","",Agent04_Savings!I197)</f>
        <v/>
      </c>
      <c r="I792" s="37" t="str">
        <f>IF(Agent04_Savings!A197="","",Agent04_Savings!J197)</f>
        <v/>
      </c>
      <c r="J792" s="37" t="str">
        <f>IF(Agent04_Savings!A197="","",Agent04_Savings!K197)</f>
        <v/>
      </c>
      <c r="K792" s="37" t="str">
        <f>IFERROR(IF(Agent04_Savings!A197="","",YEAR(Agent04_Savings!D197)),"")</f>
        <v/>
      </c>
    </row>
    <row r="793" spans="1:11" ht="18" customHeight="1" x14ac:dyDescent="0.25">
      <c r="A793" s="37" t="str">
        <f>IF(Agent04_Savings!A198="","",Agent04_Savings!A198)</f>
        <v/>
      </c>
      <c r="B793" s="37" t="str">
        <f ca="1">IF(Agent04_Savings!A198="","","SV"&amp;TEXT(793-3,"0000")&amp;"-"&amp;TEXT(TODAY(),"YYYYMMDD"))</f>
        <v/>
      </c>
      <c r="C793" s="37" t="str">
        <f>IF(Agent04_Savings!A198="","",Agent04_Savings!B198)</f>
        <v/>
      </c>
      <c r="D793" s="37" t="str">
        <f>IF(Agent04_Savings!A198="","",Agent04_Savings!G198)</f>
        <v/>
      </c>
      <c r="E793" s="38" t="str">
        <f>IF(Agent04_Savings!A198="","",Agent04_Savings!D198)</f>
        <v/>
      </c>
      <c r="F793" s="39" t="str">
        <f>IF(Agent04_Savings!A198="","",Agent04_Savings!E198)</f>
        <v/>
      </c>
      <c r="G793" s="39" t="str">
        <f>IF(Agent04_Savings!A198="","",Agent04_Savings!F198)</f>
        <v/>
      </c>
      <c r="H793" s="37" t="str">
        <f>IF(Agent04_Savings!A198="","",Agent04_Savings!I198)</f>
        <v/>
      </c>
      <c r="I793" s="37" t="str">
        <f>IF(Agent04_Savings!A198="","",Agent04_Savings!J198)</f>
        <v/>
      </c>
      <c r="J793" s="37" t="str">
        <f>IF(Agent04_Savings!A198="","",Agent04_Savings!K198)</f>
        <v/>
      </c>
      <c r="K793" s="37" t="str">
        <f>IFERROR(IF(Agent04_Savings!A198="","",YEAR(Agent04_Savings!D198)),"")</f>
        <v/>
      </c>
    </row>
    <row r="794" spans="1:11" ht="18" customHeight="1" x14ac:dyDescent="0.25">
      <c r="A794" s="37" t="str">
        <f>IF(Agent04_Savings!A199="","",Agent04_Savings!A199)</f>
        <v/>
      </c>
      <c r="B794" s="37" t="str">
        <f ca="1">IF(Agent04_Savings!A199="","","SV"&amp;TEXT(794-3,"0000")&amp;"-"&amp;TEXT(TODAY(),"YYYYMMDD"))</f>
        <v/>
      </c>
      <c r="C794" s="37" t="str">
        <f>IF(Agent04_Savings!A199="","",Agent04_Savings!B199)</f>
        <v/>
      </c>
      <c r="D794" s="37" t="str">
        <f>IF(Agent04_Savings!A199="","",Agent04_Savings!G199)</f>
        <v/>
      </c>
      <c r="E794" s="38" t="str">
        <f>IF(Agent04_Savings!A199="","",Agent04_Savings!D199)</f>
        <v/>
      </c>
      <c r="F794" s="39" t="str">
        <f>IF(Agent04_Savings!A199="","",Agent04_Savings!E199)</f>
        <v/>
      </c>
      <c r="G794" s="39" t="str">
        <f>IF(Agent04_Savings!A199="","",Agent04_Savings!F199)</f>
        <v/>
      </c>
      <c r="H794" s="37" t="str">
        <f>IF(Agent04_Savings!A199="","",Agent04_Savings!I199)</f>
        <v/>
      </c>
      <c r="I794" s="37" t="str">
        <f>IF(Agent04_Savings!A199="","",Agent04_Savings!J199)</f>
        <v/>
      </c>
      <c r="J794" s="37" t="str">
        <f>IF(Agent04_Savings!A199="","",Agent04_Savings!K199)</f>
        <v/>
      </c>
      <c r="K794" s="37" t="str">
        <f>IFERROR(IF(Agent04_Savings!A199="","",YEAR(Agent04_Savings!D199)),"")</f>
        <v/>
      </c>
    </row>
    <row r="795" spans="1:11" ht="18" customHeight="1" x14ac:dyDescent="0.25">
      <c r="A795" s="37" t="str">
        <f>IF(Agent04_Savings!A200="","",Agent04_Savings!A200)</f>
        <v/>
      </c>
      <c r="B795" s="37" t="str">
        <f ca="1">IF(Agent04_Savings!A200="","","SV"&amp;TEXT(795-3,"0000")&amp;"-"&amp;TEXT(TODAY(),"YYYYMMDD"))</f>
        <v/>
      </c>
      <c r="C795" s="37" t="str">
        <f>IF(Agent04_Savings!A200="","",Agent04_Savings!B200)</f>
        <v/>
      </c>
      <c r="D795" s="37" t="str">
        <f>IF(Agent04_Savings!A200="","",Agent04_Savings!G200)</f>
        <v/>
      </c>
      <c r="E795" s="38" t="str">
        <f>IF(Agent04_Savings!A200="","",Agent04_Savings!D200)</f>
        <v/>
      </c>
      <c r="F795" s="39" t="str">
        <f>IF(Agent04_Savings!A200="","",Agent04_Savings!E200)</f>
        <v/>
      </c>
      <c r="G795" s="39" t="str">
        <f>IF(Agent04_Savings!A200="","",Agent04_Savings!F200)</f>
        <v/>
      </c>
      <c r="H795" s="37" t="str">
        <f>IF(Agent04_Savings!A200="","",Agent04_Savings!I200)</f>
        <v/>
      </c>
      <c r="I795" s="37" t="str">
        <f>IF(Agent04_Savings!A200="","",Agent04_Savings!J200)</f>
        <v/>
      </c>
      <c r="J795" s="37" t="str">
        <f>IF(Agent04_Savings!A200="","",Agent04_Savings!K200)</f>
        <v/>
      </c>
      <c r="K795" s="37" t="str">
        <f>IFERROR(IF(Agent04_Savings!A200="","",YEAR(Agent04_Savings!D200)),"")</f>
        <v/>
      </c>
    </row>
    <row r="796" spans="1:11" ht="18" customHeight="1" x14ac:dyDescent="0.25">
      <c r="A796" s="37" t="str">
        <f>IF(Agent04_Savings!A201="","",Agent04_Savings!A201)</f>
        <v/>
      </c>
      <c r="B796" s="37" t="str">
        <f ca="1">IF(Agent04_Savings!A201="","","SV"&amp;TEXT(796-3,"0000")&amp;"-"&amp;TEXT(TODAY(),"YYYYMMDD"))</f>
        <v/>
      </c>
      <c r="C796" s="37" t="str">
        <f>IF(Agent04_Savings!A201="","",Agent04_Savings!B201)</f>
        <v/>
      </c>
      <c r="D796" s="37" t="str">
        <f>IF(Agent04_Savings!A201="","",Agent04_Savings!G201)</f>
        <v/>
      </c>
      <c r="E796" s="38" t="str">
        <f>IF(Agent04_Savings!A201="","",Agent04_Savings!D201)</f>
        <v/>
      </c>
      <c r="F796" s="39" t="str">
        <f>IF(Agent04_Savings!A201="","",Agent04_Savings!E201)</f>
        <v/>
      </c>
      <c r="G796" s="39" t="str">
        <f>IF(Agent04_Savings!A201="","",Agent04_Savings!F201)</f>
        <v/>
      </c>
      <c r="H796" s="37" t="str">
        <f>IF(Agent04_Savings!A201="","",Agent04_Savings!I201)</f>
        <v/>
      </c>
      <c r="I796" s="37" t="str">
        <f>IF(Agent04_Savings!A201="","",Agent04_Savings!J201)</f>
        <v/>
      </c>
      <c r="J796" s="37" t="str">
        <f>IF(Agent04_Savings!A201="","",Agent04_Savings!K201)</f>
        <v/>
      </c>
      <c r="K796" s="37" t="str">
        <f>IFERROR(IF(Agent04_Savings!A201="","",YEAR(Agent04_Savings!D201)),"")</f>
        <v/>
      </c>
    </row>
    <row r="797" spans="1:11" ht="18" customHeight="1" x14ac:dyDescent="0.25">
      <c r="A797" s="37" t="str">
        <f>IF(Agent04_Savings!A202="","",Agent04_Savings!A202)</f>
        <v/>
      </c>
      <c r="B797" s="37" t="str">
        <f ca="1">IF(Agent04_Savings!A202="","","SV"&amp;TEXT(797-3,"0000")&amp;"-"&amp;TEXT(TODAY(),"YYYYMMDD"))</f>
        <v/>
      </c>
      <c r="C797" s="37" t="str">
        <f>IF(Agent04_Savings!A202="","",Agent04_Savings!B202)</f>
        <v/>
      </c>
      <c r="D797" s="37" t="str">
        <f>IF(Agent04_Savings!A202="","",Agent04_Savings!G202)</f>
        <v/>
      </c>
      <c r="E797" s="38" t="str">
        <f>IF(Agent04_Savings!A202="","",Agent04_Savings!D202)</f>
        <v/>
      </c>
      <c r="F797" s="39" t="str">
        <f>IF(Agent04_Savings!A202="","",Agent04_Savings!E202)</f>
        <v/>
      </c>
      <c r="G797" s="39" t="str">
        <f>IF(Agent04_Savings!A202="","",Agent04_Savings!F202)</f>
        <v/>
      </c>
      <c r="H797" s="37" t="str">
        <f>IF(Agent04_Savings!A202="","",Agent04_Savings!I202)</f>
        <v/>
      </c>
      <c r="I797" s="37" t="str">
        <f>IF(Agent04_Savings!A202="","",Agent04_Savings!J202)</f>
        <v/>
      </c>
      <c r="J797" s="37" t="str">
        <f>IF(Agent04_Savings!A202="","",Agent04_Savings!K202)</f>
        <v/>
      </c>
      <c r="K797" s="37" t="str">
        <f>IFERROR(IF(Agent04_Savings!A202="","",YEAR(Agent04_Savings!D202)),"")</f>
        <v/>
      </c>
    </row>
    <row r="798" spans="1:11" ht="18" customHeight="1" x14ac:dyDescent="0.25">
      <c r="A798" s="37" t="str">
        <f>IF(Agent04_Savings!A203="","",Agent04_Savings!A203)</f>
        <v/>
      </c>
      <c r="B798" s="37" t="str">
        <f ca="1">IF(Agent04_Savings!A203="","","SV"&amp;TEXT(798-3,"0000")&amp;"-"&amp;TEXT(TODAY(),"YYYYMMDD"))</f>
        <v/>
      </c>
      <c r="C798" s="37" t="str">
        <f>IF(Agent04_Savings!A203="","",Agent04_Savings!B203)</f>
        <v/>
      </c>
      <c r="D798" s="37" t="str">
        <f>IF(Agent04_Savings!A203="","",Agent04_Savings!G203)</f>
        <v/>
      </c>
      <c r="E798" s="38" t="str">
        <f>IF(Agent04_Savings!A203="","",Agent04_Savings!D203)</f>
        <v/>
      </c>
      <c r="F798" s="39" t="str">
        <f>IF(Agent04_Savings!A203="","",Agent04_Savings!E203)</f>
        <v/>
      </c>
      <c r="G798" s="39" t="str">
        <f>IF(Agent04_Savings!A203="","",Agent04_Savings!F203)</f>
        <v/>
      </c>
      <c r="H798" s="37" t="str">
        <f>IF(Agent04_Savings!A203="","",Agent04_Savings!I203)</f>
        <v/>
      </c>
      <c r="I798" s="37" t="str">
        <f>IF(Agent04_Savings!A203="","",Agent04_Savings!J203)</f>
        <v/>
      </c>
      <c r="J798" s="37" t="str">
        <f>IF(Agent04_Savings!A203="","",Agent04_Savings!K203)</f>
        <v/>
      </c>
      <c r="K798" s="37" t="str">
        <f>IFERROR(IF(Agent04_Savings!A203="","",YEAR(Agent04_Savings!D203)),"")</f>
        <v/>
      </c>
    </row>
    <row r="799" spans="1:11" ht="18" customHeight="1" x14ac:dyDescent="0.25">
      <c r="A799" s="37" t="str">
        <f>IF(Agent04_Savings!A204="","",Agent04_Savings!A204)</f>
        <v/>
      </c>
      <c r="B799" s="37" t="str">
        <f ca="1">IF(Agent04_Savings!A204="","","SV"&amp;TEXT(799-3,"0000")&amp;"-"&amp;TEXT(TODAY(),"YYYYMMDD"))</f>
        <v/>
      </c>
      <c r="C799" s="37" t="str">
        <f>IF(Agent04_Savings!A204="","",Agent04_Savings!B204)</f>
        <v/>
      </c>
      <c r="D799" s="37" t="str">
        <f>IF(Agent04_Savings!A204="","",Agent04_Savings!G204)</f>
        <v/>
      </c>
      <c r="E799" s="38" t="str">
        <f>IF(Agent04_Savings!A204="","",Agent04_Savings!D204)</f>
        <v/>
      </c>
      <c r="F799" s="39" t="str">
        <f>IF(Agent04_Savings!A204="","",Agent04_Savings!E204)</f>
        <v/>
      </c>
      <c r="G799" s="39" t="str">
        <f>IF(Agent04_Savings!A204="","",Agent04_Savings!F204)</f>
        <v/>
      </c>
      <c r="H799" s="37" t="str">
        <f>IF(Agent04_Savings!A204="","",Agent04_Savings!I204)</f>
        <v/>
      </c>
      <c r="I799" s="37" t="str">
        <f>IF(Agent04_Savings!A204="","",Agent04_Savings!J204)</f>
        <v/>
      </c>
      <c r="J799" s="37" t="str">
        <f>IF(Agent04_Savings!A204="","",Agent04_Savings!K204)</f>
        <v/>
      </c>
      <c r="K799" s="37" t="str">
        <f>IFERROR(IF(Agent04_Savings!A204="","",YEAR(Agent04_Savings!D204)),"")</f>
        <v/>
      </c>
    </row>
    <row r="800" spans="1:11" ht="18" customHeight="1" x14ac:dyDescent="0.25">
      <c r="A800" s="37" t="str">
        <f>IF(Agent04_Savings!A205="","",Agent04_Savings!A205)</f>
        <v/>
      </c>
      <c r="B800" s="37" t="str">
        <f ca="1">IF(Agent04_Savings!A205="","","SV"&amp;TEXT(800-3,"0000")&amp;"-"&amp;TEXT(TODAY(),"YYYYMMDD"))</f>
        <v/>
      </c>
      <c r="C800" s="37" t="str">
        <f>IF(Agent04_Savings!A205="","",Agent04_Savings!B205)</f>
        <v/>
      </c>
      <c r="D800" s="37" t="str">
        <f>IF(Agent04_Savings!A205="","",Agent04_Savings!G205)</f>
        <v/>
      </c>
      <c r="E800" s="38" t="str">
        <f>IF(Agent04_Savings!A205="","",Agent04_Savings!D205)</f>
        <v/>
      </c>
      <c r="F800" s="39" t="str">
        <f>IF(Agent04_Savings!A205="","",Agent04_Savings!E205)</f>
        <v/>
      </c>
      <c r="G800" s="39" t="str">
        <f>IF(Agent04_Savings!A205="","",Agent04_Savings!F205)</f>
        <v/>
      </c>
      <c r="H800" s="37" t="str">
        <f>IF(Agent04_Savings!A205="","",Agent04_Savings!I205)</f>
        <v/>
      </c>
      <c r="I800" s="37" t="str">
        <f>IF(Agent04_Savings!A205="","",Agent04_Savings!J205)</f>
        <v/>
      </c>
      <c r="J800" s="37" t="str">
        <f>IF(Agent04_Savings!A205="","",Agent04_Savings!K205)</f>
        <v/>
      </c>
      <c r="K800" s="37" t="str">
        <f>IFERROR(IF(Agent04_Savings!A205="","",YEAR(Agent04_Savings!D205)),"")</f>
        <v/>
      </c>
    </row>
    <row r="801" spans="1:11" ht="18" customHeight="1" x14ac:dyDescent="0.25">
      <c r="A801" s="37" t="str">
        <f>IF(Agent04_Savings!A206="","",Agent04_Savings!A206)</f>
        <v/>
      </c>
      <c r="B801" s="37" t="str">
        <f ca="1">IF(Agent04_Savings!A206="","","SV"&amp;TEXT(801-3,"0000")&amp;"-"&amp;TEXT(TODAY(),"YYYYMMDD"))</f>
        <v/>
      </c>
      <c r="C801" s="37" t="str">
        <f>IF(Agent04_Savings!A206="","",Agent04_Savings!B206)</f>
        <v/>
      </c>
      <c r="D801" s="37" t="str">
        <f>IF(Agent04_Savings!A206="","",Agent04_Savings!G206)</f>
        <v/>
      </c>
      <c r="E801" s="38" t="str">
        <f>IF(Agent04_Savings!A206="","",Agent04_Savings!D206)</f>
        <v/>
      </c>
      <c r="F801" s="39" t="str">
        <f>IF(Agent04_Savings!A206="","",Agent04_Savings!E206)</f>
        <v/>
      </c>
      <c r="G801" s="39" t="str">
        <f>IF(Agent04_Savings!A206="","",Agent04_Savings!F206)</f>
        <v/>
      </c>
      <c r="H801" s="37" t="str">
        <f>IF(Agent04_Savings!A206="","",Agent04_Savings!I206)</f>
        <v/>
      </c>
      <c r="I801" s="37" t="str">
        <f>IF(Agent04_Savings!A206="","",Agent04_Savings!J206)</f>
        <v/>
      </c>
      <c r="J801" s="37" t="str">
        <f>IF(Agent04_Savings!A206="","",Agent04_Savings!K206)</f>
        <v/>
      </c>
      <c r="K801" s="37" t="str">
        <f>IFERROR(IF(Agent04_Savings!A206="","",YEAR(Agent04_Savings!D206)),"")</f>
        <v/>
      </c>
    </row>
    <row r="802" spans="1:11" ht="18" customHeight="1" x14ac:dyDescent="0.25">
      <c r="A802" s="37" t="str">
        <f>IF(Agent04_Savings!A207="","",Agent04_Savings!A207)</f>
        <v/>
      </c>
      <c r="B802" s="37" t="str">
        <f ca="1">IF(Agent04_Savings!A207="","","SV"&amp;TEXT(802-3,"0000")&amp;"-"&amp;TEXT(TODAY(),"YYYYMMDD"))</f>
        <v/>
      </c>
      <c r="C802" s="37" t="str">
        <f>IF(Agent04_Savings!A207="","",Agent04_Savings!B207)</f>
        <v/>
      </c>
      <c r="D802" s="37" t="str">
        <f>IF(Agent04_Savings!A207="","",Agent04_Savings!G207)</f>
        <v/>
      </c>
      <c r="E802" s="38" t="str">
        <f>IF(Agent04_Savings!A207="","",Agent04_Savings!D207)</f>
        <v/>
      </c>
      <c r="F802" s="39" t="str">
        <f>IF(Agent04_Savings!A207="","",Agent04_Savings!E207)</f>
        <v/>
      </c>
      <c r="G802" s="39" t="str">
        <f>IF(Agent04_Savings!A207="","",Agent04_Savings!F207)</f>
        <v/>
      </c>
      <c r="H802" s="37" t="str">
        <f>IF(Agent04_Savings!A207="","",Agent04_Savings!I207)</f>
        <v/>
      </c>
      <c r="I802" s="37" t="str">
        <f>IF(Agent04_Savings!A207="","",Agent04_Savings!J207)</f>
        <v/>
      </c>
      <c r="J802" s="37" t="str">
        <f>IF(Agent04_Savings!A207="","",Agent04_Savings!K207)</f>
        <v/>
      </c>
      <c r="K802" s="37" t="str">
        <f>IFERROR(IF(Agent04_Savings!A207="","",YEAR(Agent04_Savings!D207)),"")</f>
        <v/>
      </c>
    </row>
    <row r="803" spans="1:11" ht="18" customHeight="1" x14ac:dyDescent="0.25">
      <c r="A803" s="37" t="str">
        <f>IF(Agent04_Savings!A208="","",Agent04_Savings!A208)</f>
        <v/>
      </c>
      <c r="B803" s="37" t="str">
        <f ca="1">IF(Agent04_Savings!A208="","","SV"&amp;TEXT(803-3,"0000")&amp;"-"&amp;TEXT(TODAY(),"YYYYMMDD"))</f>
        <v/>
      </c>
      <c r="C803" s="37" t="str">
        <f>IF(Agent04_Savings!A208="","",Agent04_Savings!B208)</f>
        <v/>
      </c>
      <c r="D803" s="37" t="str">
        <f>IF(Agent04_Savings!A208="","",Agent04_Savings!G208)</f>
        <v/>
      </c>
      <c r="E803" s="38" t="str">
        <f>IF(Agent04_Savings!A208="","",Agent04_Savings!D208)</f>
        <v/>
      </c>
      <c r="F803" s="39" t="str">
        <f>IF(Agent04_Savings!A208="","",Agent04_Savings!E208)</f>
        <v/>
      </c>
      <c r="G803" s="39" t="str">
        <f>IF(Agent04_Savings!A208="","",Agent04_Savings!F208)</f>
        <v/>
      </c>
      <c r="H803" s="37" t="str">
        <f>IF(Agent04_Savings!A208="","",Agent04_Savings!I208)</f>
        <v/>
      </c>
      <c r="I803" s="37" t="str">
        <f>IF(Agent04_Savings!A208="","",Agent04_Savings!J208)</f>
        <v/>
      </c>
      <c r="J803" s="37" t="str">
        <f>IF(Agent04_Savings!A208="","",Agent04_Savings!K208)</f>
        <v/>
      </c>
      <c r="K803" s="37" t="str">
        <f>IFERROR(IF(Agent04_Savings!A208="","",YEAR(Agent04_Savings!D208)),"")</f>
        <v/>
      </c>
    </row>
    <row r="804" spans="1:11" ht="18" customHeight="1" x14ac:dyDescent="0.25">
      <c r="A804" s="37" t="str">
        <f>IF(Agent05_Savings!A9="","",Agent05_Savings!A9)</f>
        <v/>
      </c>
      <c r="B804" s="37" t="str">
        <f ca="1">IF(Agent05_Savings!A9="","","SV"&amp;TEXT(804-3,"0000")&amp;"-"&amp;TEXT(TODAY(),"YYYYMMDD"))</f>
        <v/>
      </c>
      <c r="C804" s="37" t="str">
        <f>IF(Agent05_Savings!A9="","",Agent05_Savings!B9)</f>
        <v/>
      </c>
      <c r="D804" s="37" t="str">
        <f>IF(Agent05_Savings!A9="","",Agent05_Savings!G9)</f>
        <v/>
      </c>
      <c r="E804" s="38" t="str">
        <f>IF(Agent05_Savings!A9="","",Agent05_Savings!D9)</f>
        <v/>
      </c>
      <c r="F804" s="39" t="str">
        <f>IF(Agent05_Savings!A9="","",Agent05_Savings!E9)</f>
        <v/>
      </c>
      <c r="G804" s="39" t="str">
        <f>IF(Agent05_Savings!A9="","",Agent05_Savings!F9)</f>
        <v/>
      </c>
      <c r="H804" s="37" t="str">
        <f>IF(Agent05_Savings!A9="","",Agent05_Savings!I9)</f>
        <v/>
      </c>
      <c r="I804" s="37" t="str">
        <f>IF(Agent05_Savings!A9="","",Agent05_Savings!J9)</f>
        <v/>
      </c>
      <c r="J804" s="37" t="str">
        <f>IF(Agent05_Savings!A9="","",Agent05_Savings!K9)</f>
        <v/>
      </c>
      <c r="K804" s="37" t="str">
        <f>IFERROR(IF(Agent05_Savings!A9="","",YEAR(Agent05_Savings!D9)),"")</f>
        <v/>
      </c>
    </row>
    <row r="805" spans="1:11" ht="18" customHeight="1" x14ac:dyDescent="0.25">
      <c r="A805" s="37" t="str">
        <f>IF(Agent05_Savings!A10="","",Agent05_Savings!A10)</f>
        <v/>
      </c>
      <c r="B805" s="37" t="str">
        <f ca="1">IF(Agent05_Savings!A10="","","SV"&amp;TEXT(805-3,"0000")&amp;"-"&amp;TEXT(TODAY(),"YYYYMMDD"))</f>
        <v/>
      </c>
      <c r="C805" s="37" t="str">
        <f>IF(Agent05_Savings!A10="","",Agent05_Savings!B10)</f>
        <v/>
      </c>
      <c r="D805" s="37" t="str">
        <f>IF(Agent05_Savings!A10="","",Agent05_Savings!G10)</f>
        <v/>
      </c>
      <c r="E805" s="38" t="str">
        <f>IF(Agent05_Savings!A10="","",Agent05_Savings!D10)</f>
        <v/>
      </c>
      <c r="F805" s="39" t="str">
        <f>IF(Agent05_Savings!A10="","",Agent05_Savings!E10)</f>
        <v/>
      </c>
      <c r="G805" s="39" t="str">
        <f>IF(Agent05_Savings!A10="","",Agent05_Savings!F10)</f>
        <v/>
      </c>
      <c r="H805" s="37" t="str">
        <f>IF(Agent05_Savings!A10="","",Agent05_Savings!I10)</f>
        <v/>
      </c>
      <c r="I805" s="37" t="str">
        <f>IF(Agent05_Savings!A10="","",Agent05_Savings!J10)</f>
        <v/>
      </c>
      <c r="J805" s="37" t="str">
        <f>IF(Agent05_Savings!A10="","",Agent05_Savings!K10)</f>
        <v/>
      </c>
      <c r="K805" s="37" t="str">
        <f>IFERROR(IF(Agent05_Savings!A10="","",YEAR(Agent05_Savings!D10)),"")</f>
        <v/>
      </c>
    </row>
    <row r="806" spans="1:11" ht="18" customHeight="1" x14ac:dyDescent="0.25">
      <c r="A806" s="37" t="str">
        <f>IF(Agent05_Savings!A11="","",Agent05_Savings!A11)</f>
        <v/>
      </c>
      <c r="B806" s="37" t="str">
        <f ca="1">IF(Agent05_Savings!A11="","","SV"&amp;TEXT(806-3,"0000")&amp;"-"&amp;TEXT(TODAY(),"YYYYMMDD"))</f>
        <v/>
      </c>
      <c r="C806" s="37" t="str">
        <f>IF(Agent05_Savings!A11="","",Agent05_Savings!B11)</f>
        <v/>
      </c>
      <c r="D806" s="37" t="str">
        <f>IF(Agent05_Savings!A11="","",Agent05_Savings!G11)</f>
        <v/>
      </c>
      <c r="E806" s="38" t="str">
        <f>IF(Agent05_Savings!A11="","",Agent05_Savings!D11)</f>
        <v/>
      </c>
      <c r="F806" s="39" t="str">
        <f>IF(Agent05_Savings!A11="","",Agent05_Savings!E11)</f>
        <v/>
      </c>
      <c r="G806" s="39" t="str">
        <f>IF(Agent05_Savings!A11="","",Agent05_Savings!F11)</f>
        <v/>
      </c>
      <c r="H806" s="37" t="str">
        <f>IF(Agent05_Savings!A11="","",Agent05_Savings!I11)</f>
        <v/>
      </c>
      <c r="I806" s="37" t="str">
        <f>IF(Agent05_Savings!A11="","",Agent05_Savings!J11)</f>
        <v/>
      </c>
      <c r="J806" s="37" t="str">
        <f>IF(Agent05_Savings!A11="","",Agent05_Savings!K11)</f>
        <v/>
      </c>
      <c r="K806" s="37" t="str">
        <f>IFERROR(IF(Agent05_Savings!A11="","",YEAR(Agent05_Savings!D11)),"")</f>
        <v/>
      </c>
    </row>
    <row r="807" spans="1:11" ht="18" customHeight="1" x14ac:dyDescent="0.25">
      <c r="A807" s="37" t="str">
        <f>IF(Agent05_Savings!A12="","",Agent05_Savings!A12)</f>
        <v/>
      </c>
      <c r="B807" s="37" t="str">
        <f ca="1">IF(Agent05_Savings!A12="","","SV"&amp;TEXT(807-3,"0000")&amp;"-"&amp;TEXT(TODAY(),"YYYYMMDD"))</f>
        <v/>
      </c>
      <c r="C807" s="37" t="str">
        <f>IF(Agent05_Savings!A12="","",Agent05_Savings!B12)</f>
        <v/>
      </c>
      <c r="D807" s="37" t="str">
        <f>IF(Agent05_Savings!A12="","",Agent05_Savings!G12)</f>
        <v/>
      </c>
      <c r="E807" s="38" t="str">
        <f>IF(Agent05_Savings!A12="","",Agent05_Savings!D12)</f>
        <v/>
      </c>
      <c r="F807" s="39" t="str">
        <f>IF(Agent05_Savings!A12="","",Agent05_Savings!E12)</f>
        <v/>
      </c>
      <c r="G807" s="39" t="str">
        <f>IF(Agent05_Savings!A12="","",Agent05_Savings!F12)</f>
        <v/>
      </c>
      <c r="H807" s="37" t="str">
        <f>IF(Agent05_Savings!A12="","",Agent05_Savings!I12)</f>
        <v/>
      </c>
      <c r="I807" s="37" t="str">
        <f>IF(Agent05_Savings!A12="","",Agent05_Savings!J12)</f>
        <v/>
      </c>
      <c r="J807" s="37" t="str">
        <f>IF(Agent05_Savings!A12="","",Agent05_Savings!K12)</f>
        <v/>
      </c>
      <c r="K807" s="37" t="str">
        <f>IFERROR(IF(Agent05_Savings!A12="","",YEAR(Agent05_Savings!D12)),"")</f>
        <v/>
      </c>
    </row>
    <row r="808" spans="1:11" ht="18" customHeight="1" x14ac:dyDescent="0.25">
      <c r="A808" s="37" t="str">
        <f>IF(Agent05_Savings!A13="","",Agent05_Savings!A13)</f>
        <v/>
      </c>
      <c r="B808" s="37" t="str">
        <f ca="1">IF(Agent05_Savings!A13="","","SV"&amp;TEXT(808-3,"0000")&amp;"-"&amp;TEXT(TODAY(),"YYYYMMDD"))</f>
        <v/>
      </c>
      <c r="C808" s="37" t="str">
        <f>IF(Agent05_Savings!A13="","",Agent05_Savings!B13)</f>
        <v/>
      </c>
      <c r="D808" s="37" t="str">
        <f>IF(Agent05_Savings!A13="","",Agent05_Savings!G13)</f>
        <v/>
      </c>
      <c r="E808" s="38" t="str">
        <f>IF(Agent05_Savings!A13="","",Agent05_Savings!D13)</f>
        <v/>
      </c>
      <c r="F808" s="39" t="str">
        <f>IF(Agent05_Savings!A13="","",Agent05_Savings!E13)</f>
        <v/>
      </c>
      <c r="G808" s="39" t="str">
        <f>IF(Agent05_Savings!A13="","",Agent05_Savings!F13)</f>
        <v/>
      </c>
      <c r="H808" s="37" t="str">
        <f>IF(Agent05_Savings!A13="","",Agent05_Savings!I13)</f>
        <v/>
      </c>
      <c r="I808" s="37" t="str">
        <f>IF(Agent05_Savings!A13="","",Agent05_Savings!J13)</f>
        <v/>
      </c>
      <c r="J808" s="37" t="str">
        <f>IF(Agent05_Savings!A13="","",Agent05_Savings!K13)</f>
        <v/>
      </c>
      <c r="K808" s="37" t="str">
        <f>IFERROR(IF(Agent05_Savings!A13="","",YEAR(Agent05_Savings!D13)),"")</f>
        <v/>
      </c>
    </row>
    <row r="809" spans="1:11" ht="18" customHeight="1" x14ac:dyDescent="0.25">
      <c r="A809" s="37" t="str">
        <f>IF(Agent05_Savings!A14="","",Agent05_Savings!A14)</f>
        <v/>
      </c>
      <c r="B809" s="37" t="str">
        <f ca="1">IF(Agent05_Savings!A14="","","SV"&amp;TEXT(809-3,"0000")&amp;"-"&amp;TEXT(TODAY(),"YYYYMMDD"))</f>
        <v/>
      </c>
      <c r="C809" s="37" t="str">
        <f>IF(Agent05_Savings!A14="","",Agent05_Savings!B14)</f>
        <v/>
      </c>
      <c r="D809" s="37" t="str">
        <f>IF(Agent05_Savings!A14="","",Agent05_Savings!G14)</f>
        <v/>
      </c>
      <c r="E809" s="38" t="str">
        <f>IF(Agent05_Savings!A14="","",Agent05_Savings!D14)</f>
        <v/>
      </c>
      <c r="F809" s="39" t="str">
        <f>IF(Agent05_Savings!A14="","",Agent05_Savings!E14)</f>
        <v/>
      </c>
      <c r="G809" s="39" t="str">
        <f>IF(Agent05_Savings!A14="","",Agent05_Savings!F14)</f>
        <v/>
      </c>
      <c r="H809" s="37" t="str">
        <f>IF(Agent05_Savings!A14="","",Agent05_Savings!I14)</f>
        <v/>
      </c>
      <c r="I809" s="37" t="str">
        <f>IF(Agent05_Savings!A14="","",Agent05_Savings!J14)</f>
        <v/>
      </c>
      <c r="J809" s="37" t="str">
        <f>IF(Agent05_Savings!A14="","",Agent05_Savings!K14)</f>
        <v/>
      </c>
      <c r="K809" s="37" t="str">
        <f>IFERROR(IF(Agent05_Savings!A14="","",YEAR(Agent05_Savings!D14)),"")</f>
        <v/>
      </c>
    </row>
    <row r="810" spans="1:11" ht="18" customHeight="1" x14ac:dyDescent="0.25">
      <c r="A810" s="37" t="str">
        <f>IF(Agent05_Savings!A15="","",Agent05_Savings!A15)</f>
        <v/>
      </c>
      <c r="B810" s="37" t="str">
        <f ca="1">IF(Agent05_Savings!A15="","","SV"&amp;TEXT(810-3,"0000")&amp;"-"&amp;TEXT(TODAY(),"YYYYMMDD"))</f>
        <v/>
      </c>
      <c r="C810" s="37" t="str">
        <f>IF(Agent05_Savings!A15="","",Agent05_Savings!B15)</f>
        <v/>
      </c>
      <c r="D810" s="37" t="str">
        <f>IF(Agent05_Savings!A15="","",Agent05_Savings!G15)</f>
        <v/>
      </c>
      <c r="E810" s="38" t="str">
        <f>IF(Agent05_Savings!A15="","",Agent05_Savings!D15)</f>
        <v/>
      </c>
      <c r="F810" s="39" t="str">
        <f>IF(Agent05_Savings!A15="","",Agent05_Savings!E15)</f>
        <v/>
      </c>
      <c r="G810" s="39" t="str">
        <f>IF(Agent05_Savings!A15="","",Agent05_Savings!F15)</f>
        <v/>
      </c>
      <c r="H810" s="37" t="str">
        <f>IF(Agent05_Savings!A15="","",Agent05_Savings!I15)</f>
        <v/>
      </c>
      <c r="I810" s="37" t="str">
        <f>IF(Agent05_Savings!A15="","",Agent05_Savings!J15)</f>
        <v/>
      </c>
      <c r="J810" s="37" t="str">
        <f>IF(Agent05_Savings!A15="","",Agent05_Savings!K15)</f>
        <v/>
      </c>
      <c r="K810" s="37" t="str">
        <f>IFERROR(IF(Agent05_Savings!A15="","",YEAR(Agent05_Savings!D15)),"")</f>
        <v/>
      </c>
    </row>
    <row r="811" spans="1:11" ht="18" customHeight="1" x14ac:dyDescent="0.25">
      <c r="A811" s="37" t="str">
        <f>IF(Agent05_Savings!A16="","",Agent05_Savings!A16)</f>
        <v/>
      </c>
      <c r="B811" s="37" t="str">
        <f ca="1">IF(Agent05_Savings!A16="","","SV"&amp;TEXT(811-3,"0000")&amp;"-"&amp;TEXT(TODAY(),"YYYYMMDD"))</f>
        <v/>
      </c>
      <c r="C811" s="37" t="str">
        <f>IF(Agent05_Savings!A16="","",Agent05_Savings!B16)</f>
        <v/>
      </c>
      <c r="D811" s="37" t="str">
        <f>IF(Agent05_Savings!A16="","",Agent05_Savings!G16)</f>
        <v/>
      </c>
      <c r="E811" s="38" t="str">
        <f>IF(Agent05_Savings!A16="","",Agent05_Savings!D16)</f>
        <v/>
      </c>
      <c r="F811" s="39" t="str">
        <f>IF(Agent05_Savings!A16="","",Agent05_Savings!E16)</f>
        <v/>
      </c>
      <c r="G811" s="39" t="str">
        <f>IF(Agent05_Savings!A16="","",Agent05_Savings!F16)</f>
        <v/>
      </c>
      <c r="H811" s="37" t="str">
        <f>IF(Agent05_Savings!A16="","",Agent05_Savings!I16)</f>
        <v/>
      </c>
      <c r="I811" s="37" t="str">
        <f>IF(Agent05_Savings!A16="","",Agent05_Savings!J16)</f>
        <v/>
      </c>
      <c r="J811" s="37" t="str">
        <f>IF(Agent05_Savings!A16="","",Agent05_Savings!K16)</f>
        <v/>
      </c>
      <c r="K811" s="37" t="str">
        <f>IFERROR(IF(Agent05_Savings!A16="","",YEAR(Agent05_Savings!D16)),"")</f>
        <v/>
      </c>
    </row>
    <row r="812" spans="1:11" ht="18" customHeight="1" x14ac:dyDescent="0.25">
      <c r="A812" s="37" t="str">
        <f>IF(Agent05_Savings!A17="","",Agent05_Savings!A17)</f>
        <v/>
      </c>
      <c r="B812" s="37" t="str">
        <f ca="1">IF(Agent05_Savings!A17="","","SV"&amp;TEXT(812-3,"0000")&amp;"-"&amp;TEXT(TODAY(),"YYYYMMDD"))</f>
        <v/>
      </c>
      <c r="C812" s="37" t="str">
        <f>IF(Agent05_Savings!A17="","",Agent05_Savings!B17)</f>
        <v/>
      </c>
      <c r="D812" s="37" t="str">
        <f>IF(Agent05_Savings!A17="","",Agent05_Savings!G17)</f>
        <v/>
      </c>
      <c r="E812" s="38" t="str">
        <f>IF(Agent05_Savings!A17="","",Agent05_Savings!D17)</f>
        <v/>
      </c>
      <c r="F812" s="39" t="str">
        <f>IF(Agent05_Savings!A17="","",Agent05_Savings!E17)</f>
        <v/>
      </c>
      <c r="G812" s="39" t="str">
        <f>IF(Agent05_Savings!A17="","",Agent05_Savings!F17)</f>
        <v/>
      </c>
      <c r="H812" s="37" t="str">
        <f>IF(Agent05_Savings!A17="","",Agent05_Savings!I17)</f>
        <v/>
      </c>
      <c r="I812" s="37" t="str">
        <f>IF(Agent05_Savings!A17="","",Agent05_Savings!J17)</f>
        <v/>
      </c>
      <c r="J812" s="37" t="str">
        <f>IF(Agent05_Savings!A17="","",Agent05_Savings!K17)</f>
        <v/>
      </c>
      <c r="K812" s="37" t="str">
        <f>IFERROR(IF(Agent05_Savings!A17="","",YEAR(Agent05_Savings!D17)),"")</f>
        <v/>
      </c>
    </row>
    <row r="813" spans="1:11" ht="18" customHeight="1" x14ac:dyDescent="0.25">
      <c r="A813" s="37" t="str">
        <f>IF(Agent05_Savings!A18="","",Agent05_Savings!A18)</f>
        <v/>
      </c>
      <c r="B813" s="37" t="str">
        <f ca="1">IF(Agent05_Savings!A18="","","SV"&amp;TEXT(813-3,"0000")&amp;"-"&amp;TEXT(TODAY(),"YYYYMMDD"))</f>
        <v/>
      </c>
      <c r="C813" s="37" t="str">
        <f>IF(Agent05_Savings!A18="","",Agent05_Savings!B18)</f>
        <v/>
      </c>
      <c r="D813" s="37" t="str">
        <f>IF(Agent05_Savings!A18="","",Agent05_Savings!G18)</f>
        <v/>
      </c>
      <c r="E813" s="38" t="str">
        <f>IF(Agent05_Savings!A18="","",Agent05_Savings!D18)</f>
        <v/>
      </c>
      <c r="F813" s="39" t="str">
        <f>IF(Agent05_Savings!A18="","",Agent05_Savings!E18)</f>
        <v/>
      </c>
      <c r="G813" s="39" t="str">
        <f>IF(Agent05_Savings!A18="","",Agent05_Savings!F18)</f>
        <v/>
      </c>
      <c r="H813" s="37" t="str">
        <f>IF(Agent05_Savings!A18="","",Agent05_Savings!I18)</f>
        <v/>
      </c>
      <c r="I813" s="37" t="str">
        <f>IF(Agent05_Savings!A18="","",Agent05_Savings!J18)</f>
        <v/>
      </c>
      <c r="J813" s="37" t="str">
        <f>IF(Agent05_Savings!A18="","",Agent05_Savings!K18)</f>
        <v/>
      </c>
      <c r="K813" s="37" t="str">
        <f>IFERROR(IF(Agent05_Savings!A18="","",YEAR(Agent05_Savings!D18)),"")</f>
        <v/>
      </c>
    </row>
    <row r="814" spans="1:11" ht="18" customHeight="1" x14ac:dyDescent="0.25">
      <c r="A814" s="37" t="str">
        <f>IF(Agent05_Savings!A19="","",Agent05_Savings!A19)</f>
        <v/>
      </c>
      <c r="B814" s="37" t="str">
        <f ca="1">IF(Agent05_Savings!A19="","","SV"&amp;TEXT(814-3,"0000")&amp;"-"&amp;TEXT(TODAY(),"YYYYMMDD"))</f>
        <v/>
      </c>
      <c r="C814" s="37" t="str">
        <f>IF(Agent05_Savings!A19="","",Agent05_Savings!B19)</f>
        <v/>
      </c>
      <c r="D814" s="37" t="str">
        <f>IF(Agent05_Savings!A19="","",Agent05_Savings!G19)</f>
        <v/>
      </c>
      <c r="E814" s="38" t="str">
        <f>IF(Agent05_Savings!A19="","",Agent05_Savings!D19)</f>
        <v/>
      </c>
      <c r="F814" s="39" t="str">
        <f>IF(Agent05_Savings!A19="","",Agent05_Savings!E19)</f>
        <v/>
      </c>
      <c r="G814" s="39" t="str">
        <f>IF(Agent05_Savings!A19="","",Agent05_Savings!F19)</f>
        <v/>
      </c>
      <c r="H814" s="37" t="str">
        <f>IF(Agent05_Savings!A19="","",Agent05_Savings!I19)</f>
        <v/>
      </c>
      <c r="I814" s="37" t="str">
        <f>IF(Agent05_Savings!A19="","",Agent05_Savings!J19)</f>
        <v/>
      </c>
      <c r="J814" s="37" t="str">
        <f>IF(Agent05_Savings!A19="","",Agent05_Savings!K19)</f>
        <v/>
      </c>
      <c r="K814" s="37" t="str">
        <f>IFERROR(IF(Agent05_Savings!A19="","",YEAR(Agent05_Savings!D19)),"")</f>
        <v/>
      </c>
    </row>
    <row r="815" spans="1:11" ht="18" customHeight="1" x14ac:dyDescent="0.25">
      <c r="A815" s="37" t="str">
        <f>IF(Agent05_Savings!A20="","",Agent05_Savings!A20)</f>
        <v/>
      </c>
      <c r="B815" s="37" t="str">
        <f ca="1">IF(Agent05_Savings!A20="","","SV"&amp;TEXT(815-3,"0000")&amp;"-"&amp;TEXT(TODAY(),"YYYYMMDD"))</f>
        <v/>
      </c>
      <c r="C815" s="37" t="str">
        <f>IF(Agent05_Savings!A20="","",Agent05_Savings!B20)</f>
        <v/>
      </c>
      <c r="D815" s="37" t="str">
        <f>IF(Agent05_Savings!A20="","",Agent05_Savings!G20)</f>
        <v/>
      </c>
      <c r="E815" s="38" t="str">
        <f>IF(Agent05_Savings!A20="","",Agent05_Savings!D20)</f>
        <v/>
      </c>
      <c r="F815" s="39" t="str">
        <f>IF(Agent05_Savings!A20="","",Agent05_Savings!E20)</f>
        <v/>
      </c>
      <c r="G815" s="39" t="str">
        <f>IF(Agent05_Savings!A20="","",Agent05_Savings!F20)</f>
        <v/>
      </c>
      <c r="H815" s="37" t="str">
        <f>IF(Agent05_Savings!A20="","",Agent05_Savings!I20)</f>
        <v/>
      </c>
      <c r="I815" s="37" t="str">
        <f>IF(Agent05_Savings!A20="","",Agent05_Savings!J20)</f>
        <v/>
      </c>
      <c r="J815" s="37" t="str">
        <f>IF(Agent05_Savings!A20="","",Agent05_Savings!K20)</f>
        <v/>
      </c>
      <c r="K815" s="37" t="str">
        <f>IFERROR(IF(Agent05_Savings!A20="","",YEAR(Agent05_Savings!D20)),"")</f>
        <v/>
      </c>
    </row>
    <row r="816" spans="1:11" ht="18" customHeight="1" x14ac:dyDescent="0.25">
      <c r="A816" s="37" t="str">
        <f>IF(Agent05_Savings!A21="","",Agent05_Savings!A21)</f>
        <v/>
      </c>
      <c r="B816" s="37" t="str">
        <f ca="1">IF(Agent05_Savings!A21="","","SV"&amp;TEXT(816-3,"0000")&amp;"-"&amp;TEXT(TODAY(),"YYYYMMDD"))</f>
        <v/>
      </c>
      <c r="C816" s="37" t="str">
        <f>IF(Agent05_Savings!A21="","",Agent05_Savings!B21)</f>
        <v/>
      </c>
      <c r="D816" s="37" t="str">
        <f>IF(Agent05_Savings!A21="","",Agent05_Savings!G21)</f>
        <v/>
      </c>
      <c r="E816" s="38" t="str">
        <f>IF(Agent05_Savings!A21="","",Agent05_Savings!D21)</f>
        <v/>
      </c>
      <c r="F816" s="39" t="str">
        <f>IF(Agent05_Savings!A21="","",Agent05_Savings!E21)</f>
        <v/>
      </c>
      <c r="G816" s="39" t="str">
        <f>IF(Agent05_Savings!A21="","",Agent05_Savings!F21)</f>
        <v/>
      </c>
      <c r="H816" s="37" t="str">
        <f>IF(Agent05_Savings!A21="","",Agent05_Savings!I21)</f>
        <v/>
      </c>
      <c r="I816" s="37" t="str">
        <f>IF(Agent05_Savings!A21="","",Agent05_Savings!J21)</f>
        <v/>
      </c>
      <c r="J816" s="37" t="str">
        <f>IF(Agent05_Savings!A21="","",Agent05_Savings!K21)</f>
        <v/>
      </c>
      <c r="K816" s="37" t="str">
        <f>IFERROR(IF(Agent05_Savings!A21="","",YEAR(Agent05_Savings!D21)),"")</f>
        <v/>
      </c>
    </row>
    <row r="817" spans="1:11" ht="18" customHeight="1" x14ac:dyDescent="0.25">
      <c r="A817" s="37" t="str">
        <f>IF(Agent05_Savings!A22="","",Agent05_Savings!A22)</f>
        <v/>
      </c>
      <c r="B817" s="37" t="str">
        <f ca="1">IF(Agent05_Savings!A22="","","SV"&amp;TEXT(817-3,"0000")&amp;"-"&amp;TEXT(TODAY(),"YYYYMMDD"))</f>
        <v/>
      </c>
      <c r="C817" s="37" t="str">
        <f>IF(Agent05_Savings!A22="","",Agent05_Savings!B22)</f>
        <v/>
      </c>
      <c r="D817" s="37" t="str">
        <f>IF(Agent05_Savings!A22="","",Agent05_Savings!G22)</f>
        <v/>
      </c>
      <c r="E817" s="38" t="str">
        <f>IF(Agent05_Savings!A22="","",Agent05_Savings!D22)</f>
        <v/>
      </c>
      <c r="F817" s="39" t="str">
        <f>IF(Agent05_Savings!A22="","",Agent05_Savings!E22)</f>
        <v/>
      </c>
      <c r="G817" s="39" t="str">
        <f>IF(Agent05_Savings!A22="","",Agent05_Savings!F22)</f>
        <v/>
      </c>
      <c r="H817" s="37" t="str">
        <f>IF(Agent05_Savings!A22="","",Agent05_Savings!I22)</f>
        <v/>
      </c>
      <c r="I817" s="37" t="str">
        <f>IF(Agent05_Savings!A22="","",Agent05_Savings!J22)</f>
        <v/>
      </c>
      <c r="J817" s="37" t="str">
        <f>IF(Agent05_Savings!A22="","",Agent05_Savings!K22)</f>
        <v/>
      </c>
      <c r="K817" s="37" t="str">
        <f>IFERROR(IF(Agent05_Savings!A22="","",YEAR(Agent05_Savings!D22)),"")</f>
        <v/>
      </c>
    </row>
    <row r="818" spans="1:11" ht="18" customHeight="1" x14ac:dyDescent="0.25">
      <c r="A818" s="37" t="str">
        <f>IF(Agent05_Savings!A23="","",Agent05_Savings!A23)</f>
        <v/>
      </c>
      <c r="B818" s="37" t="str">
        <f ca="1">IF(Agent05_Savings!A23="","","SV"&amp;TEXT(818-3,"0000")&amp;"-"&amp;TEXT(TODAY(),"YYYYMMDD"))</f>
        <v/>
      </c>
      <c r="C818" s="37" t="str">
        <f>IF(Agent05_Savings!A23="","",Agent05_Savings!B23)</f>
        <v/>
      </c>
      <c r="D818" s="37" t="str">
        <f>IF(Agent05_Savings!A23="","",Agent05_Savings!G23)</f>
        <v/>
      </c>
      <c r="E818" s="38" t="str">
        <f>IF(Agent05_Savings!A23="","",Agent05_Savings!D23)</f>
        <v/>
      </c>
      <c r="F818" s="39" t="str">
        <f>IF(Agent05_Savings!A23="","",Agent05_Savings!E23)</f>
        <v/>
      </c>
      <c r="G818" s="39" t="str">
        <f>IF(Agent05_Savings!A23="","",Agent05_Savings!F23)</f>
        <v/>
      </c>
      <c r="H818" s="37" t="str">
        <f>IF(Agent05_Savings!A23="","",Agent05_Savings!I23)</f>
        <v/>
      </c>
      <c r="I818" s="37" t="str">
        <f>IF(Agent05_Savings!A23="","",Agent05_Savings!J23)</f>
        <v/>
      </c>
      <c r="J818" s="37" t="str">
        <f>IF(Agent05_Savings!A23="","",Agent05_Savings!K23)</f>
        <v/>
      </c>
      <c r="K818" s="37" t="str">
        <f>IFERROR(IF(Agent05_Savings!A23="","",YEAR(Agent05_Savings!D23)),"")</f>
        <v/>
      </c>
    </row>
    <row r="819" spans="1:11" ht="18" customHeight="1" x14ac:dyDescent="0.25">
      <c r="A819" s="37" t="str">
        <f>IF(Agent05_Savings!A24="","",Agent05_Savings!A24)</f>
        <v/>
      </c>
      <c r="B819" s="37" t="str">
        <f ca="1">IF(Agent05_Savings!A24="","","SV"&amp;TEXT(819-3,"0000")&amp;"-"&amp;TEXT(TODAY(),"YYYYMMDD"))</f>
        <v/>
      </c>
      <c r="C819" s="37" t="str">
        <f>IF(Agent05_Savings!A24="","",Agent05_Savings!B24)</f>
        <v/>
      </c>
      <c r="D819" s="37" t="str">
        <f>IF(Agent05_Savings!A24="","",Agent05_Savings!G24)</f>
        <v/>
      </c>
      <c r="E819" s="38" t="str">
        <f>IF(Agent05_Savings!A24="","",Agent05_Savings!D24)</f>
        <v/>
      </c>
      <c r="F819" s="39" t="str">
        <f>IF(Agent05_Savings!A24="","",Agent05_Savings!E24)</f>
        <v/>
      </c>
      <c r="G819" s="39" t="str">
        <f>IF(Agent05_Savings!A24="","",Agent05_Savings!F24)</f>
        <v/>
      </c>
      <c r="H819" s="37" t="str">
        <f>IF(Agent05_Savings!A24="","",Agent05_Savings!I24)</f>
        <v/>
      </c>
      <c r="I819" s="37" t="str">
        <f>IF(Agent05_Savings!A24="","",Agent05_Savings!J24)</f>
        <v/>
      </c>
      <c r="J819" s="37" t="str">
        <f>IF(Agent05_Savings!A24="","",Agent05_Savings!K24)</f>
        <v/>
      </c>
      <c r="K819" s="37" t="str">
        <f>IFERROR(IF(Agent05_Savings!A24="","",YEAR(Agent05_Savings!D24)),"")</f>
        <v/>
      </c>
    </row>
    <row r="820" spans="1:11" ht="18" customHeight="1" x14ac:dyDescent="0.25">
      <c r="A820" s="37" t="str">
        <f>IF(Agent05_Savings!A25="","",Agent05_Savings!A25)</f>
        <v/>
      </c>
      <c r="B820" s="37" t="str">
        <f ca="1">IF(Agent05_Savings!A25="","","SV"&amp;TEXT(820-3,"0000")&amp;"-"&amp;TEXT(TODAY(),"YYYYMMDD"))</f>
        <v/>
      </c>
      <c r="C820" s="37" t="str">
        <f>IF(Agent05_Savings!A25="","",Agent05_Savings!B25)</f>
        <v/>
      </c>
      <c r="D820" s="37" t="str">
        <f>IF(Agent05_Savings!A25="","",Agent05_Savings!G25)</f>
        <v/>
      </c>
      <c r="E820" s="38" t="str">
        <f>IF(Agent05_Savings!A25="","",Agent05_Savings!D25)</f>
        <v/>
      </c>
      <c r="F820" s="39" t="str">
        <f>IF(Agent05_Savings!A25="","",Agent05_Savings!E25)</f>
        <v/>
      </c>
      <c r="G820" s="39" t="str">
        <f>IF(Agent05_Savings!A25="","",Agent05_Savings!F25)</f>
        <v/>
      </c>
      <c r="H820" s="37" t="str">
        <f>IF(Agent05_Savings!A25="","",Agent05_Savings!I25)</f>
        <v/>
      </c>
      <c r="I820" s="37" t="str">
        <f>IF(Agent05_Savings!A25="","",Agent05_Savings!J25)</f>
        <v/>
      </c>
      <c r="J820" s="37" t="str">
        <f>IF(Agent05_Savings!A25="","",Agent05_Savings!K25)</f>
        <v/>
      </c>
      <c r="K820" s="37" t="str">
        <f>IFERROR(IF(Agent05_Savings!A25="","",YEAR(Agent05_Savings!D25)),"")</f>
        <v/>
      </c>
    </row>
    <row r="821" spans="1:11" ht="18" customHeight="1" x14ac:dyDescent="0.25">
      <c r="A821" s="37" t="str">
        <f>IF(Agent05_Savings!A26="","",Agent05_Savings!A26)</f>
        <v/>
      </c>
      <c r="B821" s="37" t="str">
        <f ca="1">IF(Agent05_Savings!A26="","","SV"&amp;TEXT(821-3,"0000")&amp;"-"&amp;TEXT(TODAY(),"YYYYMMDD"))</f>
        <v/>
      </c>
      <c r="C821" s="37" t="str">
        <f>IF(Agent05_Savings!A26="","",Agent05_Savings!B26)</f>
        <v/>
      </c>
      <c r="D821" s="37" t="str">
        <f>IF(Agent05_Savings!A26="","",Agent05_Savings!G26)</f>
        <v/>
      </c>
      <c r="E821" s="38" t="str">
        <f>IF(Agent05_Savings!A26="","",Agent05_Savings!D26)</f>
        <v/>
      </c>
      <c r="F821" s="39" t="str">
        <f>IF(Agent05_Savings!A26="","",Agent05_Savings!E26)</f>
        <v/>
      </c>
      <c r="G821" s="39" t="str">
        <f>IF(Agent05_Savings!A26="","",Agent05_Savings!F26)</f>
        <v/>
      </c>
      <c r="H821" s="37" t="str">
        <f>IF(Agent05_Savings!A26="","",Agent05_Savings!I26)</f>
        <v/>
      </c>
      <c r="I821" s="37" t="str">
        <f>IF(Agent05_Savings!A26="","",Agent05_Savings!J26)</f>
        <v/>
      </c>
      <c r="J821" s="37" t="str">
        <f>IF(Agent05_Savings!A26="","",Agent05_Savings!K26)</f>
        <v/>
      </c>
      <c r="K821" s="37" t="str">
        <f>IFERROR(IF(Agent05_Savings!A26="","",YEAR(Agent05_Savings!D26)),"")</f>
        <v/>
      </c>
    </row>
    <row r="822" spans="1:11" ht="18" customHeight="1" x14ac:dyDescent="0.25">
      <c r="A822" s="37" t="str">
        <f>IF(Agent05_Savings!A27="","",Agent05_Savings!A27)</f>
        <v/>
      </c>
      <c r="B822" s="37" t="str">
        <f ca="1">IF(Agent05_Savings!A27="","","SV"&amp;TEXT(822-3,"0000")&amp;"-"&amp;TEXT(TODAY(),"YYYYMMDD"))</f>
        <v/>
      </c>
      <c r="C822" s="37" t="str">
        <f>IF(Agent05_Savings!A27="","",Agent05_Savings!B27)</f>
        <v/>
      </c>
      <c r="D822" s="37" t="str">
        <f>IF(Agent05_Savings!A27="","",Agent05_Savings!G27)</f>
        <v/>
      </c>
      <c r="E822" s="38" t="str">
        <f>IF(Agent05_Savings!A27="","",Agent05_Savings!D27)</f>
        <v/>
      </c>
      <c r="F822" s="39" t="str">
        <f>IF(Agent05_Savings!A27="","",Agent05_Savings!E27)</f>
        <v/>
      </c>
      <c r="G822" s="39" t="str">
        <f>IF(Agent05_Savings!A27="","",Agent05_Savings!F27)</f>
        <v/>
      </c>
      <c r="H822" s="37" t="str">
        <f>IF(Agent05_Savings!A27="","",Agent05_Savings!I27)</f>
        <v/>
      </c>
      <c r="I822" s="37" t="str">
        <f>IF(Agent05_Savings!A27="","",Agent05_Savings!J27)</f>
        <v/>
      </c>
      <c r="J822" s="37" t="str">
        <f>IF(Agent05_Savings!A27="","",Agent05_Savings!K27)</f>
        <v/>
      </c>
      <c r="K822" s="37" t="str">
        <f>IFERROR(IF(Agent05_Savings!A27="","",YEAR(Agent05_Savings!D27)),"")</f>
        <v/>
      </c>
    </row>
    <row r="823" spans="1:11" ht="18" customHeight="1" x14ac:dyDescent="0.25">
      <c r="A823" s="37" t="str">
        <f>IF(Agent05_Savings!A28="","",Agent05_Savings!A28)</f>
        <v/>
      </c>
      <c r="B823" s="37" t="str">
        <f ca="1">IF(Agent05_Savings!A28="","","SV"&amp;TEXT(823-3,"0000")&amp;"-"&amp;TEXT(TODAY(),"YYYYMMDD"))</f>
        <v/>
      </c>
      <c r="C823" s="37" t="str">
        <f>IF(Agent05_Savings!A28="","",Agent05_Savings!B28)</f>
        <v/>
      </c>
      <c r="D823" s="37" t="str">
        <f>IF(Agent05_Savings!A28="","",Agent05_Savings!G28)</f>
        <v/>
      </c>
      <c r="E823" s="38" t="str">
        <f>IF(Agent05_Savings!A28="","",Agent05_Savings!D28)</f>
        <v/>
      </c>
      <c r="F823" s="39" t="str">
        <f>IF(Agent05_Savings!A28="","",Agent05_Savings!E28)</f>
        <v/>
      </c>
      <c r="G823" s="39" t="str">
        <f>IF(Agent05_Savings!A28="","",Agent05_Savings!F28)</f>
        <v/>
      </c>
      <c r="H823" s="37" t="str">
        <f>IF(Agent05_Savings!A28="","",Agent05_Savings!I28)</f>
        <v/>
      </c>
      <c r="I823" s="37" t="str">
        <f>IF(Agent05_Savings!A28="","",Agent05_Savings!J28)</f>
        <v/>
      </c>
      <c r="J823" s="37" t="str">
        <f>IF(Agent05_Savings!A28="","",Agent05_Savings!K28)</f>
        <v/>
      </c>
      <c r="K823" s="37" t="str">
        <f>IFERROR(IF(Agent05_Savings!A28="","",YEAR(Agent05_Savings!D28)),"")</f>
        <v/>
      </c>
    </row>
    <row r="824" spans="1:11" ht="18" customHeight="1" x14ac:dyDescent="0.25">
      <c r="A824" s="37" t="str">
        <f>IF(Agent05_Savings!A29="","",Agent05_Savings!A29)</f>
        <v/>
      </c>
      <c r="B824" s="37" t="str">
        <f ca="1">IF(Agent05_Savings!A29="","","SV"&amp;TEXT(824-3,"0000")&amp;"-"&amp;TEXT(TODAY(),"YYYYMMDD"))</f>
        <v/>
      </c>
      <c r="C824" s="37" t="str">
        <f>IF(Agent05_Savings!A29="","",Agent05_Savings!B29)</f>
        <v/>
      </c>
      <c r="D824" s="37" t="str">
        <f>IF(Agent05_Savings!A29="","",Agent05_Savings!G29)</f>
        <v/>
      </c>
      <c r="E824" s="38" t="str">
        <f>IF(Agent05_Savings!A29="","",Agent05_Savings!D29)</f>
        <v/>
      </c>
      <c r="F824" s="39" t="str">
        <f>IF(Agent05_Savings!A29="","",Agent05_Savings!E29)</f>
        <v/>
      </c>
      <c r="G824" s="39" t="str">
        <f>IF(Agent05_Savings!A29="","",Agent05_Savings!F29)</f>
        <v/>
      </c>
      <c r="H824" s="37" t="str">
        <f>IF(Agent05_Savings!A29="","",Agent05_Savings!I29)</f>
        <v/>
      </c>
      <c r="I824" s="37" t="str">
        <f>IF(Agent05_Savings!A29="","",Agent05_Savings!J29)</f>
        <v/>
      </c>
      <c r="J824" s="37" t="str">
        <f>IF(Agent05_Savings!A29="","",Agent05_Savings!K29)</f>
        <v/>
      </c>
      <c r="K824" s="37" t="str">
        <f>IFERROR(IF(Agent05_Savings!A29="","",YEAR(Agent05_Savings!D29)),"")</f>
        <v/>
      </c>
    </row>
    <row r="825" spans="1:11" ht="18" customHeight="1" x14ac:dyDescent="0.25">
      <c r="A825" s="37" t="str">
        <f>IF(Agent05_Savings!A30="","",Agent05_Savings!A30)</f>
        <v/>
      </c>
      <c r="B825" s="37" t="str">
        <f ca="1">IF(Agent05_Savings!A30="","","SV"&amp;TEXT(825-3,"0000")&amp;"-"&amp;TEXT(TODAY(),"YYYYMMDD"))</f>
        <v/>
      </c>
      <c r="C825" s="37" t="str">
        <f>IF(Agent05_Savings!A30="","",Agent05_Savings!B30)</f>
        <v/>
      </c>
      <c r="D825" s="37" t="str">
        <f>IF(Agent05_Savings!A30="","",Agent05_Savings!G30)</f>
        <v/>
      </c>
      <c r="E825" s="38" t="str">
        <f>IF(Agent05_Savings!A30="","",Agent05_Savings!D30)</f>
        <v/>
      </c>
      <c r="F825" s="39" t="str">
        <f>IF(Agent05_Savings!A30="","",Agent05_Savings!E30)</f>
        <v/>
      </c>
      <c r="G825" s="39" t="str">
        <f>IF(Agent05_Savings!A30="","",Agent05_Savings!F30)</f>
        <v/>
      </c>
      <c r="H825" s="37" t="str">
        <f>IF(Agent05_Savings!A30="","",Agent05_Savings!I30)</f>
        <v/>
      </c>
      <c r="I825" s="37" t="str">
        <f>IF(Agent05_Savings!A30="","",Agent05_Savings!J30)</f>
        <v/>
      </c>
      <c r="J825" s="37" t="str">
        <f>IF(Agent05_Savings!A30="","",Agent05_Savings!K30)</f>
        <v/>
      </c>
      <c r="K825" s="37" t="str">
        <f>IFERROR(IF(Agent05_Savings!A30="","",YEAR(Agent05_Savings!D30)),"")</f>
        <v/>
      </c>
    </row>
    <row r="826" spans="1:11" ht="18" customHeight="1" x14ac:dyDescent="0.25">
      <c r="A826" s="37" t="str">
        <f>IF(Agent05_Savings!A31="","",Agent05_Savings!A31)</f>
        <v/>
      </c>
      <c r="B826" s="37" t="str">
        <f ca="1">IF(Agent05_Savings!A31="","","SV"&amp;TEXT(826-3,"0000")&amp;"-"&amp;TEXT(TODAY(),"YYYYMMDD"))</f>
        <v/>
      </c>
      <c r="C826" s="37" t="str">
        <f>IF(Agent05_Savings!A31="","",Agent05_Savings!B31)</f>
        <v/>
      </c>
      <c r="D826" s="37" t="str">
        <f>IF(Agent05_Savings!A31="","",Agent05_Savings!G31)</f>
        <v/>
      </c>
      <c r="E826" s="38" t="str">
        <f>IF(Agent05_Savings!A31="","",Agent05_Savings!D31)</f>
        <v/>
      </c>
      <c r="F826" s="39" t="str">
        <f>IF(Agent05_Savings!A31="","",Agent05_Savings!E31)</f>
        <v/>
      </c>
      <c r="G826" s="39" t="str">
        <f>IF(Agent05_Savings!A31="","",Agent05_Savings!F31)</f>
        <v/>
      </c>
      <c r="H826" s="37" t="str">
        <f>IF(Agent05_Savings!A31="","",Agent05_Savings!I31)</f>
        <v/>
      </c>
      <c r="I826" s="37" t="str">
        <f>IF(Agent05_Savings!A31="","",Agent05_Savings!J31)</f>
        <v/>
      </c>
      <c r="J826" s="37" t="str">
        <f>IF(Agent05_Savings!A31="","",Agent05_Savings!K31)</f>
        <v/>
      </c>
      <c r="K826" s="37" t="str">
        <f>IFERROR(IF(Agent05_Savings!A31="","",YEAR(Agent05_Savings!D31)),"")</f>
        <v/>
      </c>
    </row>
    <row r="827" spans="1:11" ht="18" customHeight="1" x14ac:dyDescent="0.25">
      <c r="A827" s="37" t="str">
        <f>IF(Agent05_Savings!A32="","",Agent05_Savings!A32)</f>
        <v/>
      </c>
      <c r="B827" s="37" t="str">
        <f ca="1">IF(Agent05_Savings!A32="","","SV"&amp;TEXT(827-3,"0000")&amp;"-"&amp;TEXT(TODAY(),"YYYYMMDD"))</f>
        <v/>
      </c>
      <c r="C827" s="37" t="str">
        <f>IF(Agent05_Savings!A32="","",Agent05_Savings!B32)</f>
        <v/>
      </c>
      <c r="D827" s="37" t="str">
        <f>IF(Agent05_Savings!A32="","",Agent05_Savings!G32)</f>
        <v/>
      </c>
      <c r="E827" s="38" t="str">
        <f>IF(Agent05_Savings!A32="","",Agent05_Savings!D32)</f>
        <v/>
      </c>
      <c r="F827" s="39" t="str">
        <f>IF(Agent05_Savings!A32="","",Agent05_Savings!E32)</f>
        <v/>
      </c>
      <c r="G827" s="39" t="str">
        <f>IF(Agent05_Savings!A32="","",Agent05_Savings!F32)</f>
        <v/>
      </c>
      <c r="H827" s="37" t="str">
        <f>IF(Agent05_Savings!A32="","",Agent05_Savings!I32)</f>
        <v/>
      </c>
      <c r="I827" s="37" t="str">
        <f>IF(Agent05_Savings!A32="","",Agent05_Savings!J32)</f>
        <v/>
      </c>
      <c r="J827" s="37" t="str">
        <f>IF(Agent05_Savings!A32="","",Agent05_Savings!K32)</f>
        <v/>
      </c>
      <c r="K827" s="37" t="str">
        <f>IFERROR(IF(Agent05_Savings!A32="","",YEAR(Agent05_Savings!D32)),"")</f>
        <v/>
      </c>
    </row>
    <row r="828" spans="1:11" ht="18" customHeight="1" x14ac:dyDescent="0.25">
      <c r="A828" s="37" t="str">
        <f>IF(Agent05_Savings!A33="","",Agent05_Savings!A33)</f>
        <v/>
      </c>
      <c r="B828" s="37" t="str">
        <f ca="1">IF(Agent05_Savings!A33="","","SV"&amp;TEXT(828-3,"0000")&amp;"-"&amp;TEXT(TODAY(),"YYYYMMDD"))</f>
        <v/>
      </c>
      <c r="C828" s="37" t="str">
        <f>IF(Agent05_Savings!A33="","",Agent05_Savings!B33)</f>
        <v/>
      </c>
      <c r="D828" s="37" t="str">
        <f>IF(Agent05_Savings!A33="","",Agent05_Savings!G33)</f>
        <v/>
      </c>
      <c r="E828" s="38" t="str">
        <f>IF(Agent05_Savings!A33="","",Agent05_Savings!D33)</f>
        <v/>
      </c>
      <c r="F828" s="39" t="str">
        <f>IF(Agent05_Savings!A33="","",Agent05_Savings!E33)</f>
        <v/>
      </c>
      <c r="G828" s="39" t="str">
        <f>IF(Agent05_Savings!A33="","",Agent05_Savings!F33)</f>
        <v/>
      </c>
      <c r="H828" s="37" t="str">
        <f>IF(Agent05_Savings!A33="","",Agent05_Savings!I33)</f>
        <v/>
      </c>
      <c r="I828" s="37" t="str">
        <f>IF(Agent05_Savings!A33="","",Agent05_Savings!J33)</f>
        <v/>
      </c>
      <c r="J828" s="37" t="str">
        <f>IF(Agent05_Savings!A33="","",Agent05_Savings!K33)</f>
        <v/>
      </c>
      <c r="K828" s="37" t="str">
        <f>IFERROR(IF(Agent05_Savings!A33="","",YEAR(Agent05_Savings!D33)),"")</f>
        <v/>
      </c>
    </row>
    <row r="829" spans="1:11" ht="18" customHeight="1" x14ac:dyDescent="0.25">
      <c r="A829" s="37" t="str">
        <f>IF(Agent05_Savings!A34="","",Agent05_Savings!A34)</f>
        <v/>
      </c>
      <c r="B829" s="37" t="str">
        <f ca="1">IF(Agent05_Savings!A34="","","SV"&amp;TEXT(829-3,"0000")&amp;"-"&amp;TEXT(TODAY(),"YYYYMMDD"))</f>
        <v/>
      </c>
      <c r="C829" s="37" t="str">
        <f>IF(Agent05_Savings!A34="","",Agent05_Savings!B34)</f>
        <v/>
      </c>
      <c r="D829" s="37" t="str">
        <f>IF(Agent05_Savings!A34="","",Agent05_Savings!G34)</f>
        <v/>
      </c>
      <c r="E829" s="38" t="str">
        <f>IF(Agent05_Savings!A34="","",Agent05_Savings!D34)</f>
        <v/>
      </c>
      <c r="F829" s="39" t="str">
        <f>IF(Agent05_Savings!A34="","",Agent05_Savings!E34)</f>
        <v/>
      </c>
      <c r="G829" s="39" t="str">
        <f>IF(Agent05_Savings!A34="","",Agent05_Savings!F34)</f>
        <v/>
      </c>
      <c r="H829" s="37" t="str">
        <f>IF(Agent05_Savings!A34="","",Agent05_Savings!I34)</f>
        <v/>
      </c>
      <c r="I829" s="37" t="str">
        <f>IF(Agent05_Savings!A34="","",Agent05_Savings!J34)</f>
        <v/>
      </c>
      <c r="J829" s="37" t="str">
        <f>IF(Agent05_Savings!A34="","",Agent05_Savings!K34)</f>
        <v/>
      </c>
      <c r="K829" s="37" t="str">
        <f>IFERROR(IF(Agent05_Savings!A34="","",YEAR(Agent05_Savings!D34)),"")</f>
        <v/>
      </c>
    </row>
    <row r="830" spans="1:11" ht="18" customHeight="1" x14ac:dyDescent="0.25">
      <c r="A830" s="37" t="str">
        <f>IF(Agent05_Savings!A35="","",Agent05_Savings!A35)</f>
        <v/>
      </c>
      <c r="B830" s="37" t="str">
        <f ca="1">IF(Agent05_Savings!A35="","","SV"&amp;TEXT(830-3,"0000")&amp;"-"&amp;TEXT(TODAY(),"YYYYMMDD"))</f>
        <v/>
      </c>
      <c r="C830" s="37" t="str">
        <f>IF(Agent05_Savings!A35="","",Agent05_Savings!B35)</f>
        <v/>
      </c>
      <c r="D830" s="37" t="str">
        <f>IF(Agent05_Savings!A35="","",Agent05_Savings!G35)</f>
        <v/>
      </c>
      <c r="E830" s="38" t="str">
        <f>IF(Agent05_Savings!A35="","",Agent05_Savings!D35)</f>
        <v/>
      </c>
      <c r="F830" s="39" t="str">
        <f>IF(Agent05_Savings!A35="","",Agent05_Savings!E35)</f>
        <v/>
      </c>
      <c r="G830" s="39" t="str">
        <f>IF(Agent05_Savings!A35="","",Agent05_Savings!F35)</f>
        <v/>
      </c>
      <c r="H830" s="37" t="str">
        <f>IF(Agent05_Savings!A35="","",Agent05_Savings!I35)</f>
        <v/>
      </c>
      <c r="I830" s="37" t="str">
        <f>IF(Agent05_Savings!A35="","",Agent05_Savings!J35)</f>
        <v/>
      </c>
      <c r="J830" s="37" t="str">
        <f>IF(Agent05_Savings!A35="","",Agent05_Savings!K35)</f>
        <v/>
      </c>
      <c r="K830" s="37" t="str">
        <f>IFERROR(IF(Agent05_Savings!A35="","",YEAR(Agent05_Savings!D35)),"")</f>
        <v/>
      </c>
    </row>
    <row r="831" spans="1:11" ht="18" customHeight="1" x14ac:dyDescent="0.25">
      <c r="A831" s="37" t="str">
        <f>IF(Agent05_Savings!A36="","",Agent05_Savings!A36)</f>
        <v/>
      </c>
      <c r="B831" s="37" t="str">
        <f ca="1">IF(Agent05_Savings!A36="","","SV"&amp;TEXT(831-3,"0000")&amp;"-"&amp;TEXT(TODAY(),"YYYYMMDD"))</f>
        <v/>
      </c>
      <c r="C831" s="37" t="str">
        <f>IF(Agent05_Savings!A36="","",Agent05_Savings!B36)</f>
        <v/>
      </c>
      <c r="D831" s="37" t="str">
        <f>IF(Agent05_Savings!A36="","",Agent05_Savings!G36)</f>
        <v/>
      </c>
      <c r="E831" s="38" t="str">
        <f>IF(Agent05_Savings!A36="","",Agent05_Savings!D36)</f>
        <v/>
      </c>
      <c r="F831" s="39" t="str">
        <f>IF(Agent05_Savings!A36="","",Agent05_Savings!E36)</f>
        <v/>
      </c>
      <c r="G831" s="39" t="str">
        <f>IF(Agent05_Savings!A36="","",Agent05_Savings!F36)</f>
        <v/>
      </c>
      <c r="H831" s="37" t="str">
        <f>IF(Agent05_Savings!A36="","",Agent05_Savings!I36)</f>
        <v/>
      </c>
      <c r="I831" s="37" t="str">
        <f>IF(Agent05_Savings!A36="","",Agent05_Savings!J36)</f>
        <v/>
      </c>
      <c r="J831" s="37" t="str">
        <f>IF(Agent05_Savings!A36="","",Agent05_Savings!K36)</f>
        <v/>
      </c>
      <c r="K831" s="37" t="str">
        <f>IFERROR(IF(Agent05_Savings!A36="","",YEAR(Agent05_Savings!D36)),"")</f>
        <v/>
      </c>
    </row>
    <row r="832" spans="1:11" ht="18" customHeight="1" x14ac:dyDescent="0.25">
      <c r="A832" s="37" t="str">
        <f>IF(Agent05_Savings!A37="","",Agent05_Savings!A37)</f>
        <v/>
      </c>
      <c r="B832" s="37" t="str">
        <f ca="1">IF(Agent05_Savings!A37="","","SV"&amp;TEXT(832-3,"0000")&amp;"-"&amp;TEXT(TODAY(),"YYYYMMDD"))</f>
        <v/>
      </c>
      <c r="C832" s="37" t="str">
        <f>IF(Agent05_Savings!A37="","",Agent05_Savings!B37)</f>
        <v/>
      </c>
      <c r="D832" s="37" t="str">
        <f>IF(Agent05_Savings!A37="","",Agent05_Savings!G37)</f>
        <v/>
      </c>
      <c r="E832" s="38" t="str">
        <f>IF(Agent05_Savings!A37="","",Agent05_Savings!D37)</f>
        <v/>
      </c>
      <c r="F832" s="39" t="str">
        <f>IF(Agent05_Savings!A37="","",Agent05_Savings!E37)</f>
        <v/>
      </c>
      <c r="G832" s="39" t="str">
        <f>IF(Agent05_Savings!A37="","",Agent05_Savings!F37)</f>
        <v/>
      </c>
      <c r="H832" s="37" t="str">
        <f>IF(Agent05_Savings!A37="","",Agent05_Savings!I37)</f>
        <v/>
      </c>
      <c r="I832" s="37" t="str">
        <f>IF(Agent05_Savings!A37="","",Agent05_Savings!J37)</f>
        <v/>
      </c>
      <c r="J832" s="37" t="str">
        <f>IF(Agent05_Savings!A37="","",Agent05_Savings!K37)</f>
        <v/>
      </c>
      <c r="K832" s="37" t="str">
        <f>IFERROR(IF(Agent05_Savings!A37="","",YEAR(Agent05_Savings!D37)),"")</f>
        <v/>
      </c>
    </row>
    <row r="833" spans="1:11" ht="18" customHeight="1" x14ac:dyDescent="0.25">
      <c r="A833" s="37" t="str">
        <f>IF(Agent05_Savings!A38="","",Agent05_Savings!A38)</f>
        <v/>
      </c>
      <c r="B833" s="37" t="str">
        <f ca="1">IF(Agent05_Savings!A38="","","SV"&amp;TEXT(833-3,"0000")&amp;"-"&amp;TEXT(TODAY(),"YYYYMMDD"))</f>
        <v/>
      </c>
      <c r="C833" s="37" t="str">
        <f>IF(Agent05_Savings!A38="","",Agent05_Savings!B38)</f>
        <v/>
      </c>
      <c r="D833" s="37" t="str">
        <f>IF(Agent05_Savings!A38="","",Agent05_Savings!G38)</f>
        <v/>
      </c>
      <c r="E833" s="38" t="str">
        <f>IF(Agent05_Savings!A38="","",Agent05_Savings!D38)</f>
        <v/>
      </c>
      <c r="F833" s="39" t="str">
        <f>IF(Agent05_Savings!A38="","",Agent05_Savings!E38)</f>
        <v/>
      </c>
      <c r="G833" s="39" t="str">
        <f>IF(Agent05_Savings!A38="","",Agent05_Savings!F38)</f>
        <v/>
      </c>
      <c r="H833" s="37" t="str">
        <f>IF(Agent05_Savings!A38="","",Agent05_Savings!I38)</f>
        <v/>
      </c>
      <c r="I833" s="37" t="str">
        <f>IF(Agent05_Savings!A38="","",Agent05_Savings!J38)</f>
        <v/>
      </c>
      <c r="J833" s="37" t="str">
        <f>IF(Agent05_Savings!A38="","",Agent05_Savings!K38)</f>
        <v/>
      </c>
      <c r="K833" s="37" t="str">
        <f>IFERROR(IF(Agent05_Savings!A38="","",YEAR(Agent05_Savings!D38)),"")</f>
        <v/>
      </c>
    </row>
    <row r="834" spans="1:11" ht="18" customHeight="1" x14ac:dyDescent="0.25">
      <c r="A834" s="37" t="str">
        <f>IF(Agent05_Savings!A39="","",Agent05_Savings!A39)</f>
        <v/>
      </c>
      <c r="B834" s="37" t="str">
        <f ca="1">IF(Agent05_Savings!A39="","","SV"&amp;TEXT(834-3,"0000")&amp;"-"&amp;TEXT(TODAY(),"YYYYMMDD"))</f>
        <v/>
      </c>
      <c r="C834" s="37" t="str">
        <f>IF(Agent05_Savings!A39="","",Agent05_Savings!B39)</f>
        <v/>
      </c>
      <c r="D834" s="37" t="str">
        <f>IF(Agent05_Savings!A39="","",Agent05_Savings!G39)</f>
        <v/>
      </c>
      <c r="E834" s="38" t="str">
        <f>IF(Agent05_Savings!A39="","",Agent05_Savings!D39)</f>
        <v/>
      </c>
      <c r="F834" s="39" t="str">
        <f>IF(Agent05_Savings!A39="","",Agent05_Savings!E39)</f>
        <v/>
      </c>
      <c r="G834" s="39" t="str">
        <f>IF(Agent05_Savings!A39="","",Agent05_Savings!F39)</f>
        <v/>
      </c>
      <c r="H834" s="37" t="str">
        <f>IF(Agent05_Savings!A39="","",Agent05_Savings!I39)</f>
        <v/>
      </c>
      <c r="I834" s="37" t="str">
        <f>IF(Agent05_Savings!A39="","",Agent05_Savings!J39)</f>
        <v/>
      </c>
      <c r="J834" s="37" t="str">
        <f>IF(Agent05_Savings!A39="","",Agent05_Savings!K39)</f>
        <v/>
      </c>
      <c r="K834" s="37" t="str">
        <f>IFERROR(IF(Agent05_Savings!A39="","",YEAR(Agent05_Savings!D39)),"")</f>
        <v/>
      </c>
    </row>
    <row r="835" spans="1:11" ht="18" customHeight="1" x14ac:dyDescent="0.25">
      <c r="A835" s="37" t="str">
        <f>IF(Agent05_Savings!A40="","",Agent05_Savings!A40)</f>
        <v/>
      </c>
      <c r="B835" s="37" t="str">
        <f ca="1">IF(Agent05_Savings!A40="","","SV"&amp;TEXT(835-3,"0000")&amp;"-"&amp;TEXT(TODAY(),"YYYYMMDD"))</f>
        <v/>
      </c>
      <c r="C835" s="37" t="str">
        <f>IF(Agent05_Savings!A40="","",Agent05_Savings!B40)</f>
        <v/>
      </c>
      <c r="D835" s="37" t="str">
        <f>IF(Agent05_Savings!A40="","",Agent05_Savings!G40)</f>
        <v/>
      </c>
      <c r="E835" s="38" t="str">
        <f>IF(Agent05_Savings!A40="","",Agent05_Savings!D40)</f>
        <v/>
      </c>
      <c r="F835" s="39" t="str">
        <f>IF(Agent05_Savings!A40="","",Agent05_Savings!E40)</f>
        <v/>
      </c>
      <c r="G835" s="39" t="str">
        <f>IF(Agent05_Savings!A40="","",Agent05_Savings!F40)</f>
        <v/>
      </c>
      <c r="H835" s="37" t="str">
        <f>IF(Agent05_Savings!A40="","",Agent05_Savings!I40)</f>
        <v/>
      </c>
      <c r="I835" s="37" t="str">
        <f>IF(Agent05_Savings!A40="","",Agent05_Savings!J40)</f>
        <v/>
      </c>
      <c r="J835" s="37" t="str">
        <f>IF(Agent05_Savings!A40="","",Agent05_Savings!K40)</f>
        <v/>
      </c>
      <c r="K835" s="37" t="str">
        <f>IFERROR(IF(Agent05_Savings!A40="","",YEAR(Agent05_Savings!D40)),"")</f>
        <v/>
      </c>
    </row>
    <row r="836" spans="1:11" ht="18" customHeight="1" x14ac:dyDescent="0.25">
      <c r="A836" s="37" t="str">
        <f>IF(Agent05_Savings!A41="","",Agent05_Savings!A41)</f>
        <v/>
      </c>
      <c r="B836" s="37" t="str">
        <f ca="1">IF(Agent05_Savings!A41="","","SV"&amp;TEXT(836-3,"0000")&amp;"-"&amp;TEXT(TODAY(),"YYYYMMDD"))</f>
        <v/>
      </c>
      <c r="C836" s="37" t="str">
        <f>IF(Agent05_Savings!A41="","",Agent05_Savings!B41)</f>
        <v/>
      </c>
      <c r="D836" s="37" t="str">
        <f>IF(Agent05_Savings!A41="","",Agent05_Savings!G41)</f>
        <v/>
      </c>
      <c r="E836" s="38" t="str">
        <f>IF(Agent05_Savings!A41="","",Agent05_Savings!D41)</f>
        <v/>
      </c>
      <c r="F836" s="39" t="str">
        <f>IF(Agent05_Savings!A41="","",Agent05_Savings!E41)</f>
        <v/>
      </c>
      <c r="G836" s="39" t="str">
        <f>IF(Agent05_Savings!A41="","",Agent05_Savings!F41)</f>
        <v/>
      </c>
      <c r="H836" s="37" t="str">
        <f>IF(Agent05_Savings!A41="","",Agent05_Savings!I41)</f>
        <v/>
      </c>
      <c r="I836" s="37" t="str">
        <f>IF(Agent05_Savings!A41="","",Agent05_Savings!J41)</f>
        <v/>
      </c>
      <c r="J836" s="37" t="str">
        <f>IF(Agent05_Savings!A41="","",Agent05_Savings!K41)</f>
        <v/>
      </c>
      <c r="K836" s="37" t="str">
        <f>IFERROR(IF(Agent05_Savings!A41="","",YEAR(Agent05_Savings!D41)),"")</f>
        <v/>
      </c>
    </row>
    <row r="837" spans="1:11" ht="18" customHeight="1" x14ac:dyDescent="0.25">
      <c r="A837" s="37" t="str">
        <f>IF(Agent05_Savings!A42="","",Agent05_Savings!A42)</f>
        <v/>
      </c>
      <c r="B837" s="37" t="str">
        <f ca="1">IF(Agent05_Savings!A42="","","SV"&amp;TEXT(837-3,"0000")&amp;"-"&amp;TEXT(TODAY(),"YYYYMMDD"))</f>
        <v/>
      </c>
      <c r="C837" s="37" t="str">
        <f>IF(Agent05_Savings!A42="","",Agent05_Savings!B42)</f>
        <v/>
      </c>
      <c r="D837" s="37" t="str">
        <f>IF(Agent05_Savings!A42="","",Agent05_Savings!G42)</f>
        <v/>
      </c>
      <c r="E837" s="38" t="str">
        <f>IF(Agent05_Savings!A42="","",Agent05_Savings!D42)</f>
        <v/>
      </c>
      <c r="F837" s="39" t="str">
        <f>IF(Agent05_Savings!A42="","",Agent05_Savings!E42)</f>
        <v/>
      </c>
      <c r="G837" s="39" t="str">
        <f>IF(Agent05_Savings!A42="","",Agent05_Savings!F42)</f>
        <v/>
      </c>
      <c r="H837" s="37" t="str">
        <f>IF(Agent05_Savings!A42="","",Agent05_Savings!I42)</f>
        <v/>
      </c>
      <c r="I837" s="37" t="str">
        <f>IF(Agent05_Savings!A42="","",Agent05_Savings!J42)</f>
        <v/>
      </c>
      <c r="J837" s="37" t="str">
        <f>IF(Agent05_Savings!A42="","",Agent05_Savings!K42)</f>
        <v/>
      </c>
      <c r="K837" s="37" t="str">
        <f>IFERROR(IF(Agent05_Savings!A42="","",YEAR(Agent05_Savings!D42)),"")</f>
        <v/>
      </c>
    </row>
    <row r="838" spans="1:11" ht="18" customHeight="1" x14ac:dyDescent="0.25">
      <c r="A838" s="37" t="str">
        <f>IF(Agent05_Savings!A43="","",Agent05_Savings!A43)</f>
        <v/>
      </c>
      <c r="B838" s="37" t="str">
        <f ca="1">IF(Agent05_Savings!A43="","","SV"&amp;TEXT(838-3,"0000")&amp;"-"&amp;TEXT(TODAY(),"YYYYMMDD"))</f>
        <v/>
      </c>
      <c r="C838" s="37" t="str">
        <f>IF(Agent05_Savings!A43="","",Agent05_Savings!B43)</f>
        <v/>
      </c>
      <c r="D838" s="37" t="str">
        <f>IF(Agent05_Savings!A43="","",Agent05_Savings!G43)</f>
        <v/>
      </c>
      <c r="E838" s="38" t="str">
        <f>IF(Agent05_Savings!A43="","",Agent05_Savings!D43)</f>
        <v/>
      </c>
      <c r="F838" s="39" t="str">
        <f>IF(Agent05_Savings!A43="","",Agent05_Savings!E43)</f>
        <v/>
      </c>
      <c r="G838" s="39" t="str">
        <f>IF(Agent05_Savings!A43="","",Agent05_Savings!F43)</f>
        <v/>
      </c>
      <c r="H838" s="37" t="str">
        <f>IF(Agent05_Savings!A43="","",Agent05_Savings!I43)</f>
        <v/>
      </c>
      <c r="I838" s="37" t="str">
        <f>IF(Agent05_Savings!A43="","",Agent05_Savings!J43)</f>
        <v/>
      </c>
      <c r="J838" s="37" t="str">
        <f>IF(Agent05_Savings!A43="","",Agent05_Savings!K43)</f>
        <v/>
      </c>
      <c r="K838" s="37" t="str">
        <f>IFERROR(IF(Agent05_Savings!A43="","",YEAR(Agent05_Savings!D43)),"")</f>
        <v/>
      </c>
    </row>
    <row r="839" spans="1:11" ht="18" customHeight="1" x14ac:dyDescent="0.25">
      <c r="A839" s="37" t="str">
        <f>IF(Agent05_Savings!A44="","",Agent05_Savings!A44)</f>
        <v/>
      </c>
      <c r="B839" s="37" t="str">
        <f ca="1">IF(Agent05_Savings!A44="","","SV"&amp;TEXT(839-3,"0000")&amp;"-"&amp;TEXT(TODAY(),"YYYYMMDD"))</f>
        <v/>
      </c>
      <c r="C839" s="37" t="str">
        <f>IF(Agent05_Savings!A44="","",Agent05_Savings!B44)</f>
        <v/>
      </c>
      <c r="D839" s="37" t="str">
        <f>IF(Agent05_Savings!A44="","",Agent05_Savings!G44)</f>
        <v/>
      </c>
      <c r="E839" s="38" t="str">
        <f>IF(Agent05_Savings!A44="","",Agent05_Savings!D44)</f>
        <v/>
      </c>
      <c r="F839" s="39" t="str">
        <f>IF(Agent05_Savings!A44="","",Agent05_Savings!E44)</f>
        <v/>
      </c>
      <c r="G839" s="39" t="str">
        <f>IF(Agent05_Savings!A44="","",Agent05_Savings!F44)</f>
        <v/>
      </c>
      <c r="H839" s="37" t="str">
        <f>IF(Agent05_Savings!A44="","",Agent05_Savings!I44)</f>
        <v/>
      </c>
      <c r="I839" s="37" t="str">
        <f>IF(Agent05_Savings!A44="","",Agent05_Savings!J44)</f>
        <v/>
      </c>
      <c r="J839" s="37" t="str">
        <f>IF(Agent05_Savings!A44="","",Agent05_Savings!K44)</f>
        <v/>
      </c>
      <c r="K839" s="37" t="str">
        <f>IFERROR(IF(Agent05_Savings!A44="","",YEAR(Agent05_Savings!D44)),"")</f>
        <v/>
      </c>
    </row>
    <row r="840" spans="1:11" ht="18" customHeight="1" x14ac:dyDescent="0.25">
      <c r="A840" s="37" t="str">
        <f>IF(Agent05_Savings!A45="","",Agent05_Savings!A45)</f>
        <v/>
      </c>
      <c r="B840" s="37" t="str">
        <f ca="1">IF(Agent05_Savings!A45="","","SV"&amp;TEXT(840-3,"0000")&amp;"-"&amp;TEXT(TODAY(),"YYYYMMDD"))</f>
        <v/>
      </c>
      <c r="C840" s="37" t="str">
        <f>IF(Agent05_Savings!A45="","",Agent05_Savings!B45)</f>
        <v/>
      </c>
      <c r="D840" s="37" t="str">
        <f>IF(Agent05_Savings!A45="","",Agent05_Savings!G45)</f>
        <v/>
      </c>
      <c r="E840" s="38" t="str">
        <f>IF(Agent05_Savings!A45="","",Agent05_Savings!D45)</f>
        <v/>
      </c>
      <c r="F840" s="39" t="str">
        <f>IF(Agent05_Savings!A45="","",Agent05_Savings!E45)</f>
        <v/>
      </c>
      <c r="G840" s="39" t="str">
        <f>IF(Agent05_Savings!A45="","",Agent05_Savings!F45)</f>
        <v/>
      </c>
      <c r="H840" s="37" t="str">
        <f>IF(Agent05_Savings!A45="","",Agent05_Savings!I45)</f>
        <v/>
      </c>
      <c r="I840" s="37" t="str">
        <f>IF(Agent05_Savings!A45="","",Agent05_Savings!J45)</f>
        <v/>
      </c>
      <c r="J840" s="37" t="str">
        <f>IF(Agent05_Savings!A45="","",Agent05_Savings!K45)</f>
        <v/>
      </c>
      <c r="K840" s="37" t="str">
        <f>IFERROR(IF(Agent05_Savings!A45="","",YEAR(Agent05_Savings!D45)),"")</f>
        <v/>
      </c>
    </row>
    <row r="841" spans="1:11" ht="18" customHeight="1" x14ac:dyDescent="0.25">
      <c r="A841" s="37" t="str">
        <f>IF(Agent05_Savings!A46="","",Agent05_Savings!A46)</f>
        <v/>
      </c>
      <c r="B841" s="37" t="str">
        <f ca="1">IF(Agent05_Savings!A46="","","SV"&amp;TEXT(841-3,"0000")&amp;"-"&amp;TEXT(TODAY(),"YYYYMMDD"))</f>
        <v/>
      </c>
      <c r="C841" s="37" t="str">
        <f>IF(Agent05_Savings!A46="","",Agent05_Savings!B46)</f>
        <v/>
      </c>
      <c r="D841" s="37" t="str">
        <f>IF(Agent05_Savings!A46="","",Agent05_Savings!G46)</f>
        <v/>
      </c>
      <c r="E841" s="38" t="str">
        <f>IF(Agent05_Savings!A46="","",Agent05_Savings!D46)</f>
        <v/>
      </c>
      <c r="F841" s="39" t="str">
        <f>IF(Agent05_Savings!A46="","",Agent05_Savings!E46)</f>
        <v/>
      </c>
      <c r="G841" s="39" t="str">
        <f>IF(Agent05_Savings!A46="","",Agent05_Savings!F46)</f>
        <v/>
      </c>
      <c r="H841" s="37" t="str">
        <f>IF(Agent05_Savings!A46="","",Agent05_Savings!I46)</f>
        <v/>
      </c>
      <c r="I841" s="37" t="str">
        <f>IF(Agent05_Savings!A46="","",Agent05_Savings!J46)</f>
        <v/>
      </c>
      <c r="J841" s="37" t="str">
        <f>IF(Agent05_Savings!A46="","",Agent05_Savings!K46)</f>
        <v/>
      </c>
      <c r="K841" s="37" t="str">
        <f>IFERROR(IF(Agent05_Savings!A46="","",YEAR(Agent05_Savings!D46)),"")</f>
        <v/>
      </c>
    </row>
    <row r="842" spans="1:11" ht="18" customHeight="1" x14ac:dyDescent="0.25">
      <c r="A842" s="37" t="str">
        <f>IF(Agent05_Savings!A47="","",Agent05_Savings!A47)</f>
        <v/>
      </c>
      <c r="B842" s="37" t="str">
        <f ca="1">IF(Agent05_Savings!A47="","","SV"&amp;TEXT(842-3,"0000")&amp;"-"&amp;TEXT(TODAY(),"YYYYMMDD"))</f>
        <v/>
      </c>
      <c r="C842" s="37" t="str">
        <f>IF(Agent05_Savings!A47="","",Agent05_Savings!B47)</f>
        <v/>
      </c>
      <c r="D842" s="37" t="str">
        <f>IF(Agent05_Savings!A47="","",Agent05_Savings!G47)</f>
        <v/>
      </c>
      <c r="E842" s="38" t="str">
        <f>IF(Agent05_Savings!A47="","",Agent05_Savings!D47)</f>
        <v/>
      </c>
      <c r="F842" s="39" t="str">
        <f>IF(Agent05_Savings!A47="","",Agent05_Savings!E47)</f>
        <v/>
      </c>
      <c r="G842" s="39" t="str">
        <f>IF(Agent05_Savings!A47="","",Agent05_Savings!F47)</f>
        <v/>
      </c>
      <c r="H842" s="37" t="str">
        <f>IF(Agent05_Savings!A47="","",Agent05_Savings!I47)</f>
        <v/>
      </c>
      <c r="I842" s="37" t="str">
        <f>IF(Agent05_Savings!A47="","",Agent05_Savings!J47)</f>
        <v/>
      </c>
      <c r="J842" s="37" t="str">
        <f>IF(Agent05_Savings!A47="","",Agent05_Savings!K47)</f>
        <v/>
      </c>
      <c r="K842" s="37" t="str">
        <f>IFERROR(IF(Agent05_Savings!A47="","",YEAR(Agent05_Savings!D47)),"")</f>
        <v/>
      </c>
    </row>
    <row r="843" spans="1:11" ht="18" customHeight="1" x14ac:dyDescent="0.25">
      <c r="A843" s="37" t="str">
        <f>IF(Agent05_Savings!A48="","",Agent05_Savings!A48)</f>
        <v/>
      </c>
      <c r="B843" s="37" t="str">
        <f ca="1">IF(Agent05_Savings!A48="","","SV"&amp;TEXT(843-3,"0000")&amp;"-"&amp;TEXT(TODAY(),"YYYYMMDD"))</f>
        <v/>
      </c>
      <c r="C843" s="37" t="str">
        <f>IF(Agent05_Savings!A48="","",Agent05_Savings!B48)</f>
        <v/>
      </c>
      <c r="D843" s="37" t="str">
        <f>IF(Agent05_Savings!A48="","",Agent05_Savings!G48)</f>
        <v/>
      </c>
      <c r="E843" s="38" t="str">
        <f>IF(Agent05_Savings!A48="","",Agent05_Savings!D48)</f>
        <v/>
      </c>
      <c r="F843" s="39" t="str">
        <f>IF(Agent05_Savings!A48="","",Agent05_Savings!E48)</f>
        <v/>
      </c>
      <c r="G843" s="39" t="str">
        <f>IF(Agent05_Savings!A48="","",Agent05_Savings!F48)</f>
        <v/>
      </c>
      <c r="H843" s="37" t="str">
        <f>IF(Agent05_Savings!A48="","",Agent05_Savings!I48)</f>
        <v/>
      </c>
      <c r="I843" s="37" t="str">
        <f>IF(Agent05_Savings!A48="","",Agent05_Savings!J48)</f>
        <v/>
      </c>
      <c r="J843" s="37" t="str">
        <f>IF(Agent05_Savings!A48="","",Agent05_Savings!K48)</f>
        <v/>
      </c>
      <c r="K843" s="37" t="str">
        <f>IFERROR(IF(Agent05_Savings!A48="","",YEAR(Agent05_Savings!D48)),"")</f>
        <v/>
      </c>
    </row>
    <row r="844" spans="1:11" ht="18" customHeight="1" x14ac:dyDescent="0.25">
      <c r="A844" s="37" t="str">
        <f>IF(Agent05_Savings!A49="","",Agent05_Savings!A49)</f>
        <v/>
      </c>
      <c r="B844" s="37" t="str">
        <f ca="1">IF(Agent05_Savings!A49="","","SV"&amp;TEXT(844-3,"0000")&amp;"-"&amp;TEXT(TODAY(),"YYYYMMDD"))</f>
        <v/>
      </c>
      <c r="C844" s="37" t="str">
        <f>IF(Agent05_Savings!A49="","",Agent05_Savings!B49)</f>
        <v/>
      </c>
      <c r="D844" s="37" t="str">
        <f>IF(Agent05_Savings!A49="","",Agent05_Savings!G49)</f>
        <v/>
      </c>
      <c r="E844" s="38" t="str">
        <f>IF(Agent05_Savings!A49="","",Agent05_Savings!D49)</f>
        <v/>
      </c>
      <c r="F844" s="39" t="str">
        <f>IF(Agent05_Savings!A49="","",Agent05_Savings!E49)</f>
        <v/>
      </c>
      <c r="G844" s="39" t="str">
        <f>IF(Agent05_Savings!A49="","",Agent05_Savings!F49)</f>
        <v/>
      </c>
      <c r="H844" s="37" t="str">
        <f>IF(Agent05_Savings!A49="","",Agent05_Savings!I49)</f>
        <v/>
      </c>
      <c r="I844" s="37" t="str">
        <f>IF(Agent05_Savings!A49="","",Agent05_Savings!J49)</f>
        <v/>
      </c>
      <c r="J844" s="37" t="str">
        <f>IF(Agent05_Savings!A49="","",Agent05_Savings!K49)</f>
        <v/>
      </c>
      <c r="K844" s="37" t="str">
        <f>IFERROR(IF(Agent05_Savings!A49="","",YEAR(Agent05_Savings!D49)),"")</f>
        <v/>
      </c>
    </row>
    <row r="845" spans="1:11" ht="18" customHeight="1" x14ac:dyDescent="0.25">
      <c r="A845" s="37" t="str">
        <f>IF(Agent05_Savings!A50="","",Agent05_Savings!A50)</f>
        <v/>
      </c>
      <c r="B845" s="37" t="str">
        <f ca="1">IF(Agent05_Savings!A50="","","SV"&amp;TEXT(845-3,"0000")&amp;"-"&amp;TEXT(TODAY(),"YYYYMMDD"))</f>
        <v/>
      </c>
      <c r="C845" s="37" t="str">
        <f>IF(Agent05_Savings!A50="","",Agent05_Savings!B50)</f>
        <v/>
      </c>
      <c r="D845" s="37" t="str">
        <f>IF(Agent05_Savings!A50="","",Agent05_Savings!G50)</f>
        <v/>
      </c>
      <c r="E845" s="38" t="str">
        <f>IF(Agent05_Savings!A50="","",Agent05_Savings!D50)</f>
        <v/>
      </c>
      <c r="F845" s="39" t="str">
        <f>IF(Agent05_Savings!A50="","",Agent05_Savings!E50)</f>
        <v/>
      </c>
      <c r="G845" s="39" t="str">
        <f>IF(Agent05_Savings!A50="","",Agent05_Savings!F50)</f>
        <v/>
      </c>
      <c r="H845" s="37" t="str">
        <f>IF(Agent05_Savings!A50="","",Agent05_Savings!I50)</f>
        <v/>
      </c>
      <c r="I845" s="37" t="str">
        <f>IF(Agent05_Savings!A50="","",Agent05_Savings!J50)</f>
        <v/>
      </c>
      <c r="J845" s="37" t="str">
        <f>IF(Agent05_Savings!A50="","",Agent05_Savings!K50)</f>
        <v/>
      </c>
      <c r="K845" s="37" t="str">
        <f>IFERROR(IF(Agent05_Savings!A50="","",YEAR(Agent05_Savings!D50)),"")</f>
        <v/>
      </c>
    </row>
    <row r="846" spans="1:11" ht="18" customHeight="1" x14ac:dyDescent="0.25">
      <c r="A846" s="37" t="str">
        <f>IF(Agent05_Savings!A51="","",Agent05_Savings!A51)</f>
        <v/>
      </c>
      <c r="B846" s="37" t="str">
        <f ca="1">IF(Agent05_Savings!A51="","","SV"&amp;TEXT(846-3,"0000")&amp;"-"&amp;TEXT(TODAY(),"YYYYMMDD"))</f>
        <v/>
      </c>
      <c r="C846" s="37" t="str">
        <f>IF(Agent05_Savings!A51="","",Agent05_Savings!B51)</f>
        <v/>
      </c>
      <c r="D846" s="37" t="str">
        <f>IF(Agent05_Savings!A51="","",Agent05_Savings!G51)</f>
        <v/>
      </c>
      <c r="E846" s="38" t="str">
        <f>IF(Agent05_Savings!A51="","",Agent05_Savings!D51)</f>
        <v/>
      </c>
      <c r="F846" s="39" t="str">
        <f>IF(Agent05_Savings!A51="","",Agent05_Savings!E51)</f>
        <v/>
      </c>
      <c r="G846" s="39" t="str">
        <f>IF(Agent05_Savings!A51="","",Agent05_Savings!F51)</f>
        <v/>
      </c>
      <c r="H846" s="37" t="str">
        <f>IF(Agent05_Savings!A51="","",Agent05_Savings!I51)</f>
        <v/>
      </c>
      <c r="I846" s="37" t="str">
        <f>IF(Agent05_Savings!A51="","",Agent05_Savings!J51)</f>
        <v/>
      </c>
      <c r="J846" s="37" t="str">
        <f>IF(Agent05_Savings!A51="","",Agent05_Savings!K51)</f>
        <v/>
      </c>
      <c r="K846" s="37" t="str">
        <f>IFERROR(IF(Agent05_Savings!A51="","",YEAR(Agent05_Savings!D51)),"")</f>
        <v/>
      </c>
    </row>
    <row r="847" spans="1:11" ht="18" customHeight="1" x14ac:dyDescent="0.25">
      <c r="A847" s="37" t="str">
        <f>IF(Agent05_Savings!A52="","",Agent05_Savings!A52)</f>
        <v/>
      </c>
      <c r="B847" s="37" t="str">
        <f ca="1">IF(Agent05_Savings!A52="","","SV"&amp;TEXT(847-3,"0000")&amp;"-"&amp;TEXT(TODAY(),"YYYYMMDD"))</f>
        <v/>
      </c>
      <c r="C847" s="37" t="str">
        <f>IF(Agent05_Savings!A52="","",Agent05_Savings!B52)</f>
        <v/>
      </c>
      <c r="D847" s="37" t="str">
        <f>IF(Agent05_Savings!A52="","",Agent05_Savings!G52)</f>
        <v/>
      </c>
      <c r="E847" s="38" t="str">
        <f>IF(Agent05_Savings!A52="","",Agent05_Savings!D52)</f>
        <v/>
      </c>
      <c r="F847" s="39" t="str">
        <f>IF(Agent05_Savings!A52="","",Agent05_Savings!E52)</f>
        <v/>
      </c>
      <c r="G847" s="39" t="str">
        <f>IF(Agent05_Savings!A52="","",Agent05_Savings!F52)</f>
        <v/>
      </c>
      <c r="H847" s="37" t="str">
        <f>IF(Agent05_Savings!A52="","",Agent05_Savings!I52)</f>
        <v/>
      </c>
      <c r="I847" s="37" t="str">
        <f>IF(Agent05_Savings!A52="","",Agent05_Savings!J52)</f>
        <v/>
      </c>
      <c r="J847" s="37" t="str">
        <f>IF(Agent05_Savings!A52="","",Agent05_Savings!K52)</f>
        <v/>
      </c>
      <c r="K847" s="37" t="str">
        <f>IFERROR(IF(Agent05_Savings!A52="","",YEAR(Agent05_Savings!D52)),"")</f>
        <v/>
      </c>
    </row>
    <row r="848" spans="1:11" ht="18" customHeight="1" x14ac:dyDescent="0.25">
      <c r="A848" s="37" t="str">
        <f>IF(Agent05_Savings!A53="","",Agent05_Savings!A53)</f>
        <v/>
      </c>
      <c r="B848" s="37" t="str">
        <f ca="1">IF(Agent05_Savings!A53="","","SV"&amp;TEXT(848-3,"0000")&amp;"-"&amp;TEXT(TODAY(),"YYYYMMDD"))</f>
        <v/>
      </c>
      <c r="C848" s="37" t="str">
        <f>IF(Agent05_Savings!A53="","",Agent05_Savings!B53)</f>
        <v/>
      </c>
      <c r="D848" s="37" t="str">
        <f>IF(Agent05_Savings!A53="","",Agent05_Savings!G53)</f>
        <v/>
      </c>
      <c r="E848" s="38" t="str">
        <f>IF(Agent05_Savings!A53="","",Agent05_Savings!D53)</f>
        <v/>
      </c>
      <c r="F848" s="39" t="str">
        <f>IF(Agent05_Savings!A53="","",Agent05_Savings!E53)</f>
        <v/>
      </c>
      <c r="G848" s="39" t="str">
        <f>IF(Agent05_Savings!A53="","",Agent05_Savings!F53)</f>
        <v/>
      </c>
      <c r="H848" s="37" t="str">
        <f>IF(Agent05_Savings!A53="","",Agent05_Savings!I53)</f>
        <v/>
      </c>
      <c r="I848" s="37" t="str">
        <f>IF(Agent05_Savings!A53="","",Agent05_Savings!J53)</f>
        <v/>
      </c>
      <c r="J848" s="37" t="str">
        <f>IF(Agent05_Savings!A53="","",Agent05_Savings!K53)</f>
        <v/>
      </c>
      <c r="K848" s="37" t="str">
        <f>IFERROR(IF(Agent05_Savings!A53="","",YEAR(Agent05_Savings!D53)),"")</f>
        <v/>
      </c>
    </row>
    <row r="849" spans="1:11" ht="18" customHeight="1" x14ac:dyDescent="0.25">
      <c r="A849" s="37" t="str">
        <f>IF(Agent05_Savings!A54="","",Agent05_Savings!A54)</f>
        <v/>
      </c>
      <c r="B849" s="37" t="str">
        <f ca="1">IF(Agent05_Savings!A54="","","SV"&amp;TEXT(849-3,"0000")&amp;"-"&amp;TEXT(TODAY(),"YYYYMMDD"))</f>
        <v/>
      </c>
      <c r="C849" s="37" t="str">
        <f>IF(Agent05_Savings!A54="","",Agent05_Savings!B54)</f>
        <v/>
      </c>
      <c r="D849" s="37" t="str">
        <f>IF(Agent05_Savings!A54="","",Agent05_Savings!G54)</f>
        <v/>
      </c>
      <c r="E849" s="38" t="str">
        <f>IF(Agent05_Savings!A54="","",Agent05_Savings!D54)</f>
        <v/>
      </c>
      <c r="F849" s="39" t="str">
        <f>IF(Agent05_Savings!A54="","",Agent05_Savings!E54)</f>
        <v/>
      </c>
      <c r="G849" s="39" t="str">
        <f>IF(Agent05_Savings!A54="","",Agent05_Savings!F54)</f>
        <v/>
      </c>
      <c r="H849" s="37" t="str">
        <f>IF(Agent05_Savings!A54="","",Agent05_Savings!I54)</f>
        <v/>
      </c>
      <c r="I849" s="37" t="str">
        <f>IF(Agent05_Savings!A54="","",Agent05_Savings!J54)</f>
        <v/>
      </c>
      <c r="J849" s="37" t="str">
        <f>IF(Agent05_Savings!A54="","",Agent05_Savings!K54)</f>
        <v/>
      </c>
      <c r="K849" s="37" t="str">
        <f>IFERROR(IF(Agent05_Savings!A54="","",YEAR(Agent05_Savings!D54)),"")</f>
        <v/>
      </c>
    </row>
    <row r="850" spans="1:11" ht="18" customHeight="1" x14ac:dyDescent="0.25">
      <c r="A850" s="37" t="str">
        <f>IF(Agent05_Savings!A55="","",Agent05_Savings!A55)</f>
        <v/>
      </c>
      <c r="B850" s="37" t="str">
        <f ca="1">IF(Agent05_Savings!A55="","","SV"&amp;TEXT(850-3,"0000")&amp;"-"&amp;TEXT(TODAY(),"YYYYMMDD"))</f>
        <v/>
      </c>
      <c r="C850" s="37" t="str">
        <f>IF(Agent05_Savings!A55="","",Agent05_Savings!B55)</f>
        <v/>
      </c>
      <c r="D850" s="37" t="str">
        <f>IF(Agent05_Savings!A55="","",Agent05_Savings!G55)</f>
        <v/>
      </c>
      <c r="E850" s="38" t="str">
        <f>IF(Agent05_Savings!A55="","",Agent05_Savings!D55)</f>
        <v/>
      </c>
      <c r="F850" s="39" t="str">
        <f>IF(Agent05_Savings!A55="","",Agent05_Savings!E55)</f>
        <v/>
      </c>
      <c r="G850" s="39" t="str">
        <f>IF(Agent05_Savings!A55="","",Agent05_Savings!F55)</f>
        <v/>
      </c>
      <c r="H850" s="37" t="str">
        <f>IF(Agent05_Savings!A55="","",Agent05_Savings!I55)</f>
        <v/>
      </c>
      <c r="I850" s="37" t="str">
        <f>IF(Agent05_Savings!A55="","",Agent05_Savings!J55)</f>
        <v/>
      </c>
      <c r="J850" s="37" t="str">
        <f>IF(Agent05_Savings!A55="","",Agent05_Savings!K55)</f>
        <v/>
      </c>
      <c r="K850" s="37" t="str">
        <f>IFERROR(IF(Agent05_Savings!A55="","",YEAR(Agent05_Savings!D55)),"")</f>
        <v/>
      </c>
    </row>
    <row r="851" spans="1:11" ht="18" customHeight="1" x14ac:dyDescent="0.25">
      <c r="A851" s="37" t="str">
        <f>IF(Agent05_Savings!A56="","",Agent05_Savings!A56)</f>
        <v/>
      </c>
      <c r="B851" s="37" t="str">
        <f ca="1">IF(Agent05_Savings!A56="","","SV"&amp;TEXT(851-3,"0000")&amp;"-"&amp;TEXT(TODAY(),"YYYYMMDD"))</f>
        <v/>
      </c>
      <c r="C851" s="37" t="str">
        <f>IF(Agent05_Savings!A56="","",Agent05_Savings!B56)</f>
        <v/>
      </c>
      <c r="D851" s="37" t="str">
        <f>IF(Agent05_Savings!A56="","",Agent05_Savings!G56)</f>
        <v/>
      </c>
      <c r="E851" s="38" t="str">
        <f>IF(Agent05_Savings!A56="","",Agent05_Savings!D56)</f>
        <v/>
      </c>
      <c r="F851" s="39" t="str">
        <f>IF(Agent05_Savings!A56="","",Agent05_Savings!E56)</f>
        <v/>
      </c>
      <c r="G851" s="39" t="str">
        <f>IF(Agent05_Savings!A56="","",Agent05_Savings!F56)</f>
        <v/>
      </c>
      <c r="H851" s="37" t="str">
        <f>IF(Agent05_Savings!A56="","",Agent05_Savings!I56)</f>
        <v/>
      </c>
      <c r="I851" s="37" t="str">
        <f>IF(Agent05_Savings!A56="","",Agent05_Savings!J56)</f>
        <v/>
      </c>
      <c r="J851" s="37" t="str">
        <f>IF(Agent05_Savings!A56="","",Agent05_Savings!K56)</f>
        <v/>
      </c>
      <c r="K851" s="37" t="str">
        <f>IFERROR(IF(Agent05_Savings!A56="","",YEAR(Agent05_Savings!D56)),"")</f>
        <v/>
      </c>
    </row>
    <row r="852" spans="1:11" ht="18" customHeight="1" x14ac:dyDescent="0.25">
      <c r="A852" s="37" t="str">
        <f>IF(Agent05_Savings!A57="","",Agent05_Savings!A57)</f>
        <v/>
      </c>
      <c r="B852" s="37" t="str">
        <f ca="1">IF(Agent05_Savings!A57="","","SV"&amp;TEXT(852-3,"0000")&amp;"-"&amp;TEXT(TODAY(),"YYYYMMDD"))</f>
        <v/>
      </c>
      <c r="C852" s="37" t="str">
        <f>IF(Agent05_Savings!A57="","",Agent05_Savings!B57)</f>
        <v/>
      </c>
      <c r="D852" s="37" t="str">
        <f>IF(Agent05_Savings!A57="","",Agent05_Savings!G57)</f>
        <v/>
      </c>
      <c r="E852" s="38" t="str">
        <f>IF(Agent05_Savings!A57="","",Agent05_Savings!D57)</f>
        <v/>
      </c>
      <c r="F852" s="39" t="str">
        <f>IF(Agent05_Savings!A57="","",Agent05_Savings!E57)</f>
        <v/>
      </c>
      <c r="G852" s="39" t="str">
        <f>IF(Agent05_Savings!A57="","",Agent05_Savings!F57)</f>
        <v/>
      </c>
      <c r="H852" s="37" t="str">
        <f>IF(Agent05_Savings!A57="","",Agent05_Savings!I57)</f>
        <v/>
      </c>
      <c r="I852" s="37" t="str">
        <f>IF(Agent05_Savings!A57="","",Agent05_Savings!J57)</f>
        <v/>
      </c>
      <c r="J852" s="37" t="str">
        <f>IF(Agent05_Savings!A57="","",Agent05_Savings!K57)</f>
        <v/>
      </c>
      <c r="K852" s="37" t="str">
        <f>IFERROR(IF(Agent05_Savings!A57="","",YEAR(Agent05_Savings!D57)),"")</f>
        <v/>
      </c>
    </row>
    <row r="853" spans="1:11" ht="18" customHeight="1" x14ac:dyDescent="0.25">
      <c r="A853" s="37" t="str">
        <f>IF(Agent05_Savings!A58="","",Agent05_Savings!A58)</f>
        <v/>
      </c>
      <c r="B853" s="37" t="str">
        <f ca="1">IF(Agent05_Savings!A58="","","SV"&amp;TEXT(853-3,"0000")&amp;"-"&amp;TEXT(TODAY(),"YYYYMMDD"))</f>
        <v/>
      </c>
      <c r="C853" s="37" t="str">
        <f>IF(Agent05_Savings!A58="","",Agent05_Savings!B58)</f>
        <v/>
      </c>
      <c r="D853" s="37" t="str">
        <f>IF(Agent05_Savings!A58="","",Agent05_Savings!G58)</f>
        <v/>
      </c>
      <c r="E853" s="38" t="str">
        <f>IF(Agent05_Savings!A58="","",Agent05_Savings!D58)</f>
        <v/>
      </c>
      <c r="F853" s="39" t="str">
        <f>IF(Agent05_Savings!A58="","",Agent05_Savings!E58)</f>
        <v/>
      </c>
      <c r="G853" s="39" t="str">
        <f>IF(Agent05_Savings!A58="","",Agent05_Savings!F58)</f>
        <v/>
      </c>
      <c r="H853" s="37" t="str">
        <f>IF(Agent05_Savings!A58="","",Agent05_Savings!I58)</f>
        <v/>
      </c>
      <c r="I853" s="37" t="str">
        <f>IF(Agent05_Savings!A58="","",Agent05_Savings!J58)</f>
        <v/>
      </c>
      <c r="J853" s="37" t="str">
        <f>IF(Agent05_Savings!A58="","",Agent05_Savings!K58)</f>
        <v/>
      </c>
      <c r="K853" s="37" t="str">
        <f>IFERROR(IF(Agent05_Savings!A58="","",YEAR(Agent05_Savings!D58)),"")</f>
        <v/>
      </c>
    </row>
    <row r="854" spans="1:11" ht="18" customHeight="1" x14ac:dyDescent="0.25">
      <c r="A854" s="37" t="str">
        <f>IF(Agent05_Savings!A59="","",Agent05_Savings!A59)</f>
        <v/>
      </c>
      <c r="B854" s="37" t="str">
        <f ca="1">IF(Agent05_Savings!A59="","","SV"&amp;TEXT(854-3,"0000")&amp;"-"&amp;TEXT(TODAY(),"YYYYMMDD"))</f>
        <v/>
      </c>
      <c r="C854" s="37" t="str">
        <f>IF(Agent05_Savings!A59="","",Agent05_Savings!B59)</f>
        <v/>
      </c>
      <c r="D854" s="37" t="str">
        <f>IF(Agent05_Savings!A59="","",Agent05_Savings!G59)</f>
        <v/>
      </c>
      <c r="E854" s="38" t="str">
        <f>IF(Agent05_Savings!A59="","",Agent05_Savings!D59)</f>
        <v/>
      </c>
      <c r="F854" s="39" t="str">
        <f>IF(Agent05_Savings!A59="","",Agent05_Savings!E59)</f>
        <v/>
      </c>
      <c r="G854" s="39" t="str">
        <f>IF(Agent05_Savings!A59="","",Agent05_Savings!F59)</f>
        <v/>
      </c>
      <c r="H854" s="37" t="str">
        <f>IF(Agent05_Savings!A59="","",Agent05_Savings!I59)</f>
        <v/>
      </c>
      <c r="I854" s="37" t="str">
        <f>IF(Agent05_Savings!A59="","",Agent05_Savings!J59)</f>
        <v/>
      </c>
      <c r="J854" s="37" t="str">
        <f>IF(Agent05_Savings!A59="","",Agent05_Savings!K59)</f>
        <v/>
      </c>
      <c r="K854" s="37" t="str">
        <f>IFERROR(IF(Agent05_Savings!A59="","",YEAR(Agent05_Savings!D59)),"")</f>
        <v/>
      </c>
    </row>
    <row r="855" spans="1:11" ht="18" customHeight="1" x14ac:dyDescent="0.25">
      <c r="A855" s="37" t="str">
        <f>IF(Agent05_Savings!A60="","",Agent05_Savings!A60)</f>
        <v/>
      </c>
      <c r="B855" s="37" t="str">
        <f ca="1">IF(Agent05_Savings!A60="","","SV"&amp;TEXT(855-3,"0000")&amp;"-"&amp;TEXT(TODAY(),"YYYYMMDD"))</f>
        <v/>
      </c>
      <c r="C855" s="37" t="str">
        <f>IF(Agent05_Savings!A60="","",Agent05_Savings!B60)</f>
        <v/>
      </c>
      <c r="D855" s="37" t="str">
        <f>IF(Agent05_Savings!A60="","",Agent05_Savings!G60)</f>
        <v/>
      </c>
      <c r="E855" s="38" t="str">
        <f>IF(Agent05_Savings!A60="","",Agent05_Savings!D60)</f>
        <v/>
      </c>
      <c r="F855" s="39" t="str">
        <f>IF(Agent05_Savings!A60="","",Agent05_Savings!E60)</f>
        <v/>
      </c>
      <c r="G855" s="39" t="str">
        <f>IF(Agent05_Savings!A60="","",Agent05_Savings!F60)</f>
        <v/>
      </c>
      <c r="H855" s="37" t="str">
        <f>IF(Agent05_Savings!A60="","",Agent05_Savings!I60)</f>
        <v/>
      </c>
      <c r="I855" s="37" t="str">
        <f>IF(Agent05_Savings!A60="","",Agent05_Savings!J60)</f>
        <v/>
      </c>
      <c r="J855" s="37" t="str">
        <f>IF(Agent05_Savings!A60="","",Agent05_Savings!K60)</f>
        <v/>
      </c>
      <c r="K855" s="37" t="str">
        <f>IFERROR(IF(Agent05_Savings!A60="","",YEAR(Agent05_Savings!D60)),"")</f>
        <v/>
      </c>
    </row>
    <row r="856" spans="1:11" ht="18" customHeight="1" x14ac:dyDescent="0.25">
      <c r="A856" s="37" t="str">
        <f>IF(Agent05_Savings!A61="","",Agent05_Savings!A61)</f>
        <v/>
      </c>
      <c r="B856" s="37" t="str">
        <f ca="1">IF(Agent05_Savings!A61="","","SV"&amp;TEXT(856-3,"0000")&amp;"-"&amp;TEXT(TODAY(),"YYYYMMDD"))</f>
        <v/>
      </c>
      <c r="C856" s="37" t="str">
        <f>IF(Agent05_Savings!A61="","",Agent05_Savings!B61)</f>
        <v/>
      </c>
      <c r="D856" s="37" t="str">
        <f>IF(Agent05_Savings!A61="","",Agent05_Savings!G61)</f>
        <v/>
      </c>
      <c r="E856" s="38" t="str">
        <f>IF(Agent05_Savings!A61="","",Agent05_Savings!D61)</f>
        <v/>
      </c>
      <c r="F856" s="39" t="str">
        <f>IF(Agent05_Savings!A61="","",Agent05_Savings!E61)</f>
        <v/>
      </c>
      <c r="G856" s="39" t="str">
        <f>IF(Agent05_Savings!A61="","",Agent05_Savings!F61)</f>
        <v/>
      </c>
      <c r="H856" s="37" t="str">
        <f>IF(Agent05_Savings!A61="","",Agent05_Savings!I61)</f>
        <v/>
      </c>
      <c r="I856" s="37" t="str">
        <f>IF(Agent05_Savings!A61="","",Agent05_Savings!J61)</f>
        <v/>
      </c>
      <c r="J856" s="37" t="str">
        <f>IF(Agent05_Savings!A61="","",Agent05_Savings!K61)</f>
        <v/>
      </c>
      <c r="K856" s="37" t="str">
        <f>IFERROR(IF(Agent05_Savings!A61="","",YEAR(Agent05_Savings!D61)),"")</f>
        <v/>
      </c>
    </row>
    <row r="857" spans="1:11" ht="18" customHeight="1" x14ac:dyDescent="0.25">
      <c r="A857" s="37" t="str">
        <f>IF(Agent05_Savings!A62="","",Agent05_Savings!A62)</f>
        <v/>
      </c>
      <c r="B857" s="37" t="str">
        <f ca="1">IF(Agent05_Savings!A62="","","SV"&amp;TEXT(857-3,"0000")&amp;"-"&amp;TEXT(TODAY(),"YYYYMMDD"))</f>
        <v/>
      </c>
      <c r="C857" s="37" t="str">
        <f>IF(Agent05_Savings!A62="","",Agent05_Savings!B62)</f>
        <v/>
      </c>
      <c r="D857" s="37" t="str">
        <f>IF(Agent05_Savings!A62="","",Agent05_Savings!G62)</f>
        <v/>
      </c>
      <c r="E857" s="38" t="str">
        <f>IF(Agent05_Savings!A62="","",Agent05_Savings!D62)</f>
        <v/>
      </c>
      <c r="F857" s="39" t="str">
        <f>IF(Agent05_Savings!A62="","",Agent05_Savings!E62)</f>
        <v/>
      </c>
      <c r="G857" s="39" t="str">
        <f>IF(Agent05_Savings!A62="","",Agent05_Savings!F62)</f>
        <v/>
      </c>
      <c r="H857" s="37" t="str">
        <f>IF(Agent05_Savings!A62="","",Agent05_Savings!I62)</f>
        <v/>
      </c>
      <c r="I857" s="37" t="str">
        <f>IF(Agent05_Savings!A62="","",Agent05_Savings!J62)</f>
        <v/>
      </c>
      <c r="J857" s="37" t="str">
        <f>IF(Agent05_Savings!A62="","",Agent05_Savings!K62)</f>
        <v/>
      </c>
      <c r="K857" s="37" t="str">
        <f>IFERROR(IF(Agent05_Savings!A62="","",YEAR(Agent05_Savings!D62)),"")</f>
        <v/>
      </c>
    </row>
    <row r="858" spans="1:11" ht="18" customHeight="1" x14ac:dyDescent="0.25">
      <c r="A858" s="37" t="str">
        <f>IF(Agent05_Savings!A63="","",Agent05_Savings!A63)</f>
        <v/>
      </c>
      <c r="B858" s="37" t="str">
        <f ca="1">IF(Agent05_Savings!A63="","","SV"&amp;TEXT(858-3,"0000")&amp;"-"&amp;TEXT(TODAY(),"YYYYMMDD"))</f>
        <v/>
      </c>
      <c r="C858" s="37" t="str">
        <f>IF(Agent05_Savings!A63="","",Agent05_Savings!B63)</f>
        <v/>
      </c>
      <c r="D858" s="37" t="str">
        <f>IF(Agent05_Savings!A63="","",Agent05_Savings!G63)</f>
        <v/>
      </c>
      <c r="E858" s="38" t="str">
        <f>IF(Agent05_Savings!A63="","",Agent05_Savings!D63)</f>
        <v/>
      </c>
      <c r="F858" s="39" t="str">
        <f>IF(Agent05_Savings!A63="","",Agent05_Savings!E63)</f>
        <v/>
      </c>
      <c r="G858" s="39" t="str">
        <f>IF(Agent05_Savings!A63="","",Agent05_Savings!F63)</f>
        <v/>
      </c>
      <c r="H858" s="37" t="str">
        <f>IF(Agent05_Savings!A63="","",Agent05_Savings!I63)</f>
        <v/>
      </c>
      <c r="I858" s="37" t="str">
        <f>IF(Agent05_Savings!A63="","",Agent05_Savings!J63)</f>
        <v/>
      </c>
      <c r="J858" s="37" t="str">
        <f>IF(Agent05_Savings!A63="","",Agent05_Savings!K63)</f>
        <v/>
      </c>
      <c r="K858" s="37" t="str">
        <f>IFERROR(IF(Agent05_Savings!A63="","",YEAR(Agent05_Savings!D63)),"")</f>
        <v/>
      </c>
    </row>
    <row r="859" spans="1:11" ht="18" customHeight="1" x14ac:dyDescent="0.25">
      <c r="A859" s="37" t="str">
        <f>IF(Agent05_Savings!A64="","",Agent05_Savings!A64)</f>
        <v/>
      </c>
      <c r="B859" s="37" t="str">
        <f ca="1">IF(Agent05_Savings!A64="","","SV"&amp;TEXT(859-3,"0000")&amp;"-"&amp;TEXT(TODAY(),"YYYYMMDD"))</f>
        <v/>
      </c>
      <c r="C859" s="37" t="str">
        <f>IF(Agent05_Savings!A64="","",Agent05_Savings!B64)</f>
        <v/>
      </c>
      <c r="D859" s="37" t="str">
        <f>IF(Agent05_Savings!A64="","",Agent05_Savings!G64)</f>
        <v/>
      </c>
      <c r="E859" s="38" t="str">
        <f>IF(Agent05_Savings!A64="","",Agent05_Savings!D64)</f>
        <v/>
      </c>
      <c r="F859" s="39" t="str">
        <f>IF(Agent05_Savings!A64="","",Agent05_Savings!E64)</f>
        <v/>
      </c>
      <c r="G859" s="39" t="str">
        <f>IF(Agent05_Savings!A64="","",Agent05_Savings!F64)</f>
        <v/>
      </c>
      <c r="H859" s="37" t="str">
        <f>IF(Agent05_Savings!A64="","",Agent05_Savings!I64)</f>
        <v/>
      </c>
      <c r="I859" s="37" t="str">
        <f>IF(Agent05_Savings!A64="","",Agent05_Savings!J64)</f>
        <v/>
      </c>
      <c r="J859" s="37" t="str">
        <f>IF(Agent05_Savings!A64="","",Agent05_Savings!K64)</f>
        <v/>
      </c>
      <c r="K859" s="37" t="str">
        <f>IFERROR(IF(Agent05_Savings!A64="","",YEAR(Agent05_Savings!D64)),"")</f>
        <v/>
      </c>
    </row>
    <row r="860" spans="1:11" ht="18" customHeight="1" x14ac:dyDescent="0.25">
      <c r="A860" s="37" t="str">
        <f>IF(Agent05_Savings!A65="","",Agent05_Savings!A65)</f>
        <v/>
      </c>
      <c r="B860" s="37" t="str">
        <f ca="1">IF(Agent05_Savings!A65="","","SV"&amp;TEXT(860-3,"0000")&amp;"-"&amp;TEXT(TODAY(),"YYYYMMDD"))</f>
        <v/>
      </c>
      <c r="C860" s="37" t="str">
        <f>IF(Agent05_Savings!A65="","",Agent05_Savings!B65)</f>
        <v/>
      </c>
      <c r="D860" s="37" t="str">
        <f>IF(Agent05_Savings!A65="","",Agent05_Savings!G65)</f>
        <v/>
      </c>
      <c r="E860" s="38" t="str">
        <f>IF(Agent05_Savings!A65="","",Agent05_Savings!D65)</f>
        <v/>
      </c>
      <c r="F860" s="39" t="str">
        <f>IF(Agent05_Savings!A65="","",Agent05_Savings!E65)</f>
        <v/>
      </c>
      <c r="G860" s="39" t="str">
        <f>IF(Agent05_Savings!A65="","",Agent05_Savings!F65)</f>
        <v/>
      </c>
      <c r="H860" s="37" t="str">
        <f>IF(Agent05_Savings!A65="","",Agent05_Savings!I65)</f>
        <v/>
      </c>
      <c r="I860" s="37" t="str">
        <f>IF(Agent05_Savings!A65="","",Agent05_Savings!J65)</f>
        <v/>
      </c>
      <c r="J860" s="37" t="str">
        <f>IF(Agent05_Savings!A65="","",Agent05_Savings!K65)</f>
        <v/>
      </c>
      <c r="K860" s="37" t="str">
        <f>IFERROR(IF(Agent05_Savings!A65="","",YEAR(Agent05_Savings!D65)),"")</f>
        <v/>
      </c>
    </row>
    <row r="861" spans="1:11" ht="18" customHeight="1" x14ac:dyDescent="0.25">
      <c r="A861" s="37" t="str">
        <f>IF(Agent05_Savings!A66="","",Agent05_Savings!A66)</f>
        <v/>
      </c>
      <c r="B861" s="37" t="str">
        <f ca="1">IF(Agent05_Savings!A66="","","SV"&amp;TEXT(861-3,"0000")&amp;"-"&amp;TEXT(TODAY(),"YYYYMMDD"))</f>
        <v/>
      </c>
      <c r="C861" s="37" t="str">
        <f>IF(Agent05_Savings!A66="","",Agent05_Savings!B66)</f>
        <v/>
      </c>
      <c r="D861" s="37" t="str">
        <f>IF(Agent05_Savings!A66="","",Agent05_Savings!G66)</f>
        <v/>
      </c>
      <c r="E861" s="38" t="str">
        <f>IF(Agent05_Savings!A66="","",Agent05_Savings!D66)</f>
        <v/>
      </c>
      <c r="F861" s="39" t="str">
        <f>IF(Agent05_Savings!A66="","",Agent05_Savings!E66)</f>
        <v/>
      </c>
      <c r="G861" s="39" t="str">
        <f>IF(Agent05_Savings!A66="","",Agent05_Savings!F66)</f>
        <v/>
      </c>
      <c r="H861" s="37" t="str">
        <f>IF(Agent05_Savings!A66="","",Agent05_Savings!I66)</f>
        <v/>
      </c>
      <c r="I861" s="37" t="str">
        <f>IF(Agent05_Savings!A66="","",Agent05_Savings!J66)</f>
        <v/>
      </c>
      <c r="J861" s="37" t="str">
        <f>IF(Agent05_Savings!A66="","",Agent05_Savings!K66)</f>
        <v/>
      </c>
      <c r="K861" s="37" t="str">
        <f>IFERROR(IF(Agent05_Savings!A66="","",YEAR(Agent05_Savings!D66)),"")</f>
        <v/>
      </c>
    </row>
    <row r="862" spans="1:11" ht="18" customHeight="1" x14ac:dyDescent="0.25">
      <c r="A862" s="37" t="str">
        <f>IF(Agent05_Savings!A67="","",Agent05_Savings!A67)</f>
        <v/>
      </c>
      <c r="B862" s="37" t="str">
        <f ca="1">IF(Agent05_Savings!A67="","","SV"&amp;TEXT(862-3,"0000")&amp;"-"&amp;TEXT(TODAY(),"YYYYMMDD"))</f>
        <v/>
      </c>
      <c r="C862" s="37" t="str">
        <f>IF(Agent05_Savings!A67="","",Agent05_Savings!B67)</f>
        <v/>
      </c>
      <c r="D862" s="37" t="str">
        <f>IF(Agent05_Savings!A67="","",Agent05_Savings!G67)</f>
        <v/>
      </c>
      <c r="E862" s="38" t="str">
        <f>IF(Agent05_Savings!A67="","",Agent05_Savings!D67)</f>
        <v/>
      </c>
      <c r="F862" s="39" t="str">
        <f>IF(Agent05_Savings!A67="","",Agent05_Savings!E67)</f>
        <v/>
      </c>
      <c r="G862" s="39" t="str">
        <f>IF(Agent05_Savings!A67="","",Agent05_Savings!F67)</f>
        <v/>
      </c>
      <c r="H862" s="37" t="str">
        <f>IF(Agent05_Savings!A67="","",Agent05_Savings!I67)</f>
        <v/>
      </c>
      <c r="I862" s="37" t="str">
        <f>IF(Agent05_Savings!A67="","",Agent05_Savings!J67)</f>
        <v/>
      </c>
      <c r="J862" s="37" t="str">
        <f>IF(Agent05_Savings!A67="","",Agent05_Savings!K67)</f>
        <v/>
      </c>
      <c r="K862" s="37" t="str">
        <f>IFERROR(IF(Agent05_Savings!A67="","",YEAR(Agent05_Savings!D67)),"")</f>
        <v/>
      </c>
    </row>
    <row r="863" spans="1:11" ht="18" customHeight="1" x14ac:dyDescent="0.25">
      <c r="A863" s="37" t="str">
        <f>IF(Agent05_Savings!A68="","",Agent05_Savings!A68)</f>
        <v/>
      </c>
      <c r="B863" s="37" t="str">
        <f ca="1">IF(Agent05_Savings!A68="","","SV"&amp;TEXT(863-3,"0000")&amp;"-"&amp;TEXT(TODAY(),"YYYYMMDD"))</f>
        <v/>
      </c>
      <c r="C863" s="37" t="str">
        <f>IF(Agent05_Savings!A68="","",Agent05_Savings!B68)</f>
        <v/>
      </c>
      <c r="D863" s="37" t="str">
        <f>IF(Agent05_Savings!A68="","",Agent05_Savings!G68)</f>
        <v/>
      </c>
      <c r="E863" s="38" t="str">
        <f>IF(Agent05_Savings!A68="","",Agent05_Savings!D68)</f>
        <v/>
      </c>
      <c r="F863" s="39" t="str">
        <f>IF(Agent05_Savings!A68="","",Agent05_Savings!E68)</f>
        <v/>
      </c>
      <c r="G863" s="39" t="str">
        <f>IF(Agent05_Savings!A68="","",Agent05_Savings!F68)</f>
        <v/>
      </c>
      <c r="H863" s="37" t="str">
        <f>IF(Agent05_Savings!A68="","",Agent05_Savings!I68)</f>
        <v/>
      </c>
      <c r="I863" s="37" t="str">
        <f>IF(Agent05_Savings!A68="","",Agent05_Savings!J68)</f>
        <v/>
      </c>
      <c r="J863" s="37" t="str">
        <f>IF(Agent05_Savings!A68="","",Agent05_Savings!K68)</f>
        <v/>
      </c>
      <c r="K863" s="37" t="str">
        <f>IFERROR(IF(Agent05_Savings!A68="","",YEAR(Agent05_Savings!D68)),"")</f>
        <v/>
      </c>
    </row>
    <row r="864" spans="1:11" ht="18" customHeight="1" x14ac:dyDescent="0.25">
      <c r="A864" s="37" t="str">
        <f>IF(Agent05_Savings!A69="","",Agent05_Savings!A69)</f>
        <v/>
      </c>
      <c r="B864" s="37" t="str">
        <f ca="1">IF(Agent05_Savings!A69="","","SV"&amp;TEXT(864-3,"0000")&amp;"-"&amp;TEXT(TODAY(),"YYYYMMDD"))</f>
        <v/>
      </c>
      <c r="C864" s="37" t="str">
        <f>IF(Agent05_Savings!A69="","",Agent05_Savings!B69)</f>
        <v/>
      </c>
      <c r="D864" s="37" t="str">
        <f>IF(Agent05_Savings!A69="","",Agent05_Savings!G69)</f>
        <v/>
      </c>
      <c r="E864" s="38" t="str">
        <f>IF(Agent05_Savings!A69="","",Agent05_Savings!D69)</f>
        <v/>
      </c>
      <c r="F864" s="39" t="str">
        <f>IF(Agent05_Savings!A69="","",Agent05_Savings!E69)</f>
        <v/>
      </c>
      <c r="G864" s="39" t="str">
        <f>IF(Agent05_Savings!A69="","",Agent05_Savings!F69)</f>
        <v/>
      </c>
      <c r="H864" s="37" t="str">
        <f>IF(Agent05_Savings!A69="","",Agent05_Savings!I69)</f>
        <v/>
      </c>
      <c r="I864" s="37" t="str">
        <f>IF(Agent05_Savings!A69="","",Agent05_Savings!J69)</f>
        <v/>
      </c>
      <c r="J864" s="37" t="str">
        <f>IF(Agent05_Savings!A69="","",Agent05_Savings!K69)</f>
        <v/>
      </c>
      <c r="K864" s="37" t="str">
        <f>IFERROR(IF(Agent05_Savings!A69="","",YEAR(Agent05_Savings!D69)),"")</f>
        <v/>
      </c>
    </row>
    <row r="865" spans="1:11" ht="18" customHeight="1" x14ac:dyDescent="0.25">
      <c r="A865" s="37" t="str">
        <f>IF(Agent05_Savings!A70="","",Agent05_Savings!A70)</f>
        <v/>
      </c>
      <c r="B865" s="37" t="str">
        <f ca="1">IF(Agent05_Savings!A70="","","SV"&amp;TEXT(865-3,"0000")&amp;"-"&amp;TEXT(TODAY(),"YYYYMMDD"))</f>
        <v/>
      </c>
      <c r="C865" s="37" t="str">
        <f>IF(Agent05_Savings!A70="","",Agent05_Savings!B70)</f>
        <v/>
      </c>
      <c r="D865" s="37" t="str">
        <f>IF(Agent05_Savings!A70="","",Agent05_Savings!G70)</f>
        <v/>
      </c>
      <c r="E865" s="38" t="str">
        <f>IF(Agent05_Savings!A70="","",Agent05_Savings!D70)</f>
        <v/>
      </c>
      <c r="F865" s="39" t="str">
        <f>IF(Agent05_Savings!A70="","",Agent05_Savings!E70)</f>
        <v/>
      </c>
      <c r="G865" s="39" t="str">
        <f>IF(Agent05_Savings!A70="","",Agent05_Savings!F70)</f>
        <v/>
      </c>
      <c r="H865" s="37" t="str">
        <f>IF(Agent05_Savings!A70="","",Agent05_Savings!I70)</f>
        <v/>
      </c>
      <c r="I865" s="37" t="str">
        <f>IF(Agent05_Savings!A70="","",Agent05_Savings!J70)</f>
        <v/>
      </c>
      <c r="J865" s="37" t="str">
        <f>IF(Agent05_Savings!A70="","",Agent05_Savings!K70)</f>
        <v/>
      </c>
      <c r="K865" s="37" t="str">
        <f>IFERROR(IF(Agent05_Savings!A70="","",YEAR(Agent05_Savings!D70)),"")</f>
        <v/>
      </c>
    </row>
    <row r="866" spans="1:11" ht="18" customHeight="1" x14ac:dyDescent="0.25">
      <c r="A866" s="37" t="str">
        <f>IF(Agent05_Savings!A71="","",Agent05_Savings!A71)</f>
        <v/>
      </c>
      <c r="B866" s="37" t="str">
        <f ca="1">IF(Agent05_Savings!A71="","","SV"&amp;TEXT(866-3,"0000")&amp;"-"&amp;TEXT(TODAY(),"YYYYMMDD"))</f>
        <v/>
      </c>
      <c r="C866" s="37" t="str">
        <f>IF(Agent05_Savings!A71="","",Agent05_Savings!B71)</f>
        <v/>
      </c>
      <c r="D866" s="37" t="str">
        <f>IF(Agent05_Savings!A71="","",Agent05_Savings!G71)</f>
        <v/>
      </c>
      <c r="E866" s="38" t="str">
        <f>IF(Agent05_Savings!A71="","",Agent05_Savings!D71)</f>
        <v/>
      </c>
      <c r="F866" s="39" t="str">
        <f>IF(Agent05_Savings!A71="","",Agent05_Savings!E71)</f>
        <v/>
      </c>
      <c r="G866" s="39" t="str">
        <f>IF(Agent05_Savings!A71="","",Agent05_Savings!F71)</f>
        <v/>
      </c>
      <c r="H866" s="37" t="str">
        <f>IF(Agent05_Savings!A71="","",Agent05_Savings!I71)</f>
        <v/>
      </c>
      <c r="I866" s="37" t="str">
        <f>IF(Agent05_Savings!A71="","",Agent05_Savings!J71)</f>
        <v/>
      </c>
      <c r="J866" s="37" t="str">
        <f>IF(Agent05_Savings!A71="","",Agent05_Savings!K71)</f>
        <v/>
      </c>
      <c r="K866" s="37" t="str">
        <f>IFERROR(IF(Agent05_Savings!A71="","",YEAR(Agent05_Savings!D71)),"")</f>
        <v/>
      </c>
    </row>
    <row r="867" spans="1:11" ht="18" customHeight="1" x14ac:dyDescent="0.25">
      <c r="A867" s="37" t="str">
        <f>IF(Agent05_Savings!A72="","",Agent05_Savings!A72)</f>
        <v/>
      </c>
      <c r="B867" s="37" t="str">
        <f ca="1">IF(Agent05_Savings!A72="","","SV"&amp;TEXT(867-3,"0000")&amp;"-"&amp;TEXT(TODAY(),"YYYYMMDD"))</f>
        <v/>
      </c>
      <c r="C867" s="37" t="str">
        <f>IF(Agent05_Savings!A72="","",Agent05_Savings!B72)</f>
        <v/>
      </c>
      <c r="D867" s="37" t="str">
        <f>IF(Agent05_Savings!A72="","",Agent05_Savings!G72)</f>
        <v/>
      </c>
      <c r="E867" s="38" t="str">
        <f>IF(Agent05_Savings!A72="","",Agent05_Savings!D72)</f>
        <v/>
      </c>
      <c r="F867" s="39" t="str">
        <f>IF(Agent05_Savings!A72="","",Agent05_Savings!E72)</f>
        <v/>
      </c>
      <c r="G867" s="39" t="str">
        <f>IF(Agent05_Savings!A72="","",Agent05_Savings!F72)</f>
        <v/>
      </c>
      <c r="H867" s="37" t="str">
        <f>IF(Agent05_Savings!A72="","",Agent05_Savings!I72)</f>
        <v/>
      </c>
      <c r="I867" s="37" t="str">
        <f>IF(Agent05_Savings!A72="","",Agent05_Savings!J72)</f>
        <v/>
      </c>
      <c r="J867" s="37" t="str">
        <f>IF(Agent05_Savings!A72="","",Agent05_Savings!K72)</f>
        <v/>
      </c>
      <c r="K867" s="37" t="str">
        <f>IFERROR(IF(Agent05_Savings!A72="","",YEAR(Agent05_Savings!D72)),"")</f>
        <v/>
      </c>
    </row>
    <row r="868" spans="1:11" ht="18" customHeight="1" x14ac:dyDescent="0.25">
      <c r="A868" s="37" t="str">
        <f>IF(Agent05_Savings!A73="","",Agent05_Savings!A73)</f>
        <v/>
      </c>
      <c r="B868" s="37" t="str">
        <f ca="1">IF(Agent05_Savings!A73="","","SV"&amp;TEXT(868-3,"0000")&amp;"-"&amp;TEXT(TODAY(),"YYYYMMDD"))</f>
        <v/>
      </c>
      <c r="C868" s="37" t="str">
        <f>IF(Agent05_Savings!A73="","",Agent05_Savings!B73)</f>
        <v/>
      </c>
      <c r="D868" s="37" t="str">
        <f>IF(Agent05_Savings!A73="","",Agent05_Savings!G73)</f>
        <v/>
      </c>
      <c r="E868" s="38" t="str">
        <f>IF(Agent05_Savings!A73="","",Agent05_Savings!D73)</f>
        <v/>
      </c>
      <c r="F868" s="39" t="str">
        <f>IF(Agent05_Savings!A73="","",Agent05_Savings!E73)</f>
        <v/>
      </c>
      <c r="G868" s="39" t="str">
        <f>IF(Agent05_Savings!A73="","",Agent05_Savings!F73)</f>
        <v/>
      </c>
      <c r="H868" s="37" t="str">
        <f>IF(Agent05_Savings!A73="","",Agent05_Savings!I73)</f>
        <v/>
      </c>
      <c r="I868" s="37" t="str">
        <f>IF(Agent05_Savings!A73="","",Agent05_Savings!J73)</f>
        <v/>
      </c>
      <c r="J868" s="37" t="str">
        <f>IF(Agent05_Savings!A73="","",Agent05_Savings!K73)</f>
        <v/>
      </c>
      <c r="K868" s="37" t="str">
        <f>IFERROR(IF(Agent05_Savings!A73="","",YEAR(Agent05_Savings!D73)),"")</f>
        <v/>
      </c>
    </row>
    <row r="869" spans="1:11" ht="18" customHeight="1" x14ac:dyDescent="0.25">
      <c r="A869" s="37" t="str">
        <f>IF(Agent05_Savings!A74="","",Agent05_Savings!A74)</f>
        <v/>
      </c>
      <c r="B869" s="37" t="str">
        <f ca="1">IF(Agent05_Savings!A74="","","SV"&amp;TEXT(869-3,"0000")&amp;"-"&amp;TEXT(TODAY(),"YYYYMMDD"))</f>
        <v/>
      </c>
      <c r="C869" s="37" t="str">
        <f>IF(Agent05_Savings!A74="","",Agent05_Savings!B74)</f>
        <v/>
      </c>
      <c r="D869" s="37" t="str">
        <f>IF(Agent05_Savings!A74="","",Agent05_Savings!G74)</f>
        <v/>
      </c>
      <c r="E869" s="38" t="str">
        <f>IF(Agent05_Savings!A74="","",Agent05_Savings!D74)</f>
        <v/>
      </c>
      <c r="F869" s="39" t="str">
        <f>IF(Agent05_Savings!A74="","",Agent05_Savings!E74)</f>
        <v/>
      </c>
      <c r="G869" s="39" t="str">
        <f>IF(Agent05_Savings!A74="","",Agent05_Savings!F74)</f>
        <v/>
      </c>
      <c r="H869" s="37" t="str">
        <f>IF(Agent05_Savings!A74="","",Agent05_Savings!I74)</f>
        <v/>
      </c>
      <c r="I869" s="37" t="str">
        <f>IF(Agent05_Savings!A74="","",Agent05_Savings!J74)</f>
        <v/>
      </c>
      <c r="J869" s="37" t="str">
        <f>IF(Agent05_Savings!A74="","",Agent05_Savings!K74)</f>
        <v/>
      </c>
      <c r="K869" s="37" t="str">
        <f>IFERROR(IF(Agent05_Savings!A74="","",YEAR(Agent05_Savings!D74)),"")</f>
        <v/>
      </c>
    </row>
    <row r="870" spans="1:11" ht="18" customHeight="1" x14ac:dyDescent="0.25">
      <c r="A870" s="37" t="str">
        <f>IF(Agent05_Savings!A75="","",Agent05_Savings!A75)</f>
        <v/>
      </c>
      <c r="B870" s="37" t="str">
        <f ca="1">IF(Agent05_Savings!A75="","","SV"&amp;TEXT(870-3,"0000")&amp;"-"&amp;TEXT(TODAY(),"YYYYMMDD"))</f>
        <v/>
      </c>
      <c r="C870" s="37" t="str">
        <f>IF(Agent05_Savings!A75="","",Agent05_Savings!B75)</f>
        <v/>
      </c>
      <c r="D870" s="37" t="str">
        <f>IF(Agent05_Savings!A75="","",Agent05_Savings!G75)</f>
        <v/>
      </c>
      <c r="E870" s="38" t="str">
        <f>IF(Agent05_Savings!A75="","",Agent05_Savings!D75)</f>
        <v/>
      </c>
      <c r="F870" s="39" t="str">
        <f>IF(Agent05_Savings!A75="","",Agent05_Savings!E75)</f>
        <v/>
      </c>
      <c r="G870" s="39" t="str">
        <f>IF(Agent05_Savings!A75="","",Agent05_Savings!F75)</f>
        <v/>
      </c>
      <c r="H870" s="37" t="str">
        <f>IF(Agent05_Savings!A75="","",Agent05_Savings!I75)</f>
        <v/>
      </c>
      <c r="I870" s="37" t="str">
        <f>IF(Agent05_Savings!A75="","",Agent05_Savings!J75)</f>
        <v/>
      </c>
      <c r="J870" s="37" t="str">
        <f>IF(Agent05_Savings!A75="","",Agent05_Savings!K75)</f>
        <v/>
      </c>
      <c r="K870" s="37" t="str">
        <f>IFERROR(IF(Agent05_Savings!A75="","",YEAR(Agent05_Savings!D75)),"")</f>
        <v/>
      </c>
    </row>
    <row r="871" spans="1:11" ht="18" customHeight="1" x14ac:dyDescent="0.25">
      <c r="A871" s="37" t="str">
        <f>IF(Agent05_Savings!A76="","",Agent05_Savings!A76)</f>
        <v/>
      </c>
      <c r="B871" s="37" t="str">
        <f ca="1">IF(Agent05_Savings!A76="","","SV"&amp;TEXT(871-3,"0000")&amp;"-"&amp;TEXT(TODAY(),"YYYYMMDD"))</f>
        <v/>
      </c>
      <c r="C871" s="37" t="str">
        <f>IF(Agent05_Savings!A76="","",Agent05_Savings!B76)</f>
        <v/>
      </c>
      <c r="D871" s="37" t="str">
        <f>IF(Agent05_Savings!A76="","",Agent05_Savings!G76)</f>
        <v/>
      </c>
      <c r="E871" s="38" t="str">
        <f>IF(Agent05_Savings!A76="","",Agent05_Savings!D76)</f>
        <v/>
      </c>
      <c r="F871" s="39" t="str">
        <f>IF(Agent05_Savings!A76="","",Agent05_Savings!E76)</f>
        <v/>
      </c>
      <c r="G871" s="39" t="str">
        <f>IF(Agent05_Savings!A76="","",Agent05_Savings!F76)</f>
        <v/>
      </c>
      <c r="H871" s="37" t="str">
        <f>IF(Agent05_Savings!A76="","",Agent05_Savings!I76)</f>
        <v/>
      </c>
      <c r="I871" s="37" t="str">
        <f>IF(Agent05_Savings!A76="","",Agent05_Savings!J76)</f>
        <v/>
      </c>
      <c r="J871" s="37" t="str">
        <f>IF(Agent05_Savings!A76="","",Agent05_Savings!K76)</f>
        <v/>
      </c>
      <c r="K871" s="37" t="str">
        <f>IFERROR(IF(Agent05_Savings!A76="","",YEAR(Agent05_Savings!D76)),"")</f>
        <v/>
      </c>
    </row>
    <row r="872" spans="1:11" ht="18" customHeight="1" x14ac:dyDescent="0.25">
      <c r="A872" s="37" t="str">
        <f>IF(Agent05_Savings!A77="","",Agent05_Savings!A77)</f>
        <v/>
      </c>
      <c r="B872" s="37" t="str">
        <f ca="1">IF(Agent05_Savings!A77="","","SV"&amp;TEXT(872-3,"0000")&amp;"-"&amp;TEXT(TODAY(),"YYYYMMDD"))</f>
        <v/>
      </c>
      <c r="C872" s="37" t="str">
        <f>IF(Agent05_Savings!A77="","",Agent05_Savings!B77)</f>
        <v/>
      </c>
      <c r="D872" s="37" t="str">
        <f>IF(Agent05_Savings!A77="","",Agent05_Savings!G77)</f>
        <v/>
      </c>
      <c r="E872" s="38" t="str">
        <f>IF(Agent05_Savings!A77="","",Agent05_Savings!D77)</f>
        <v/>
      </c>
      <c r="F872" s="39" t="str">
        <f>IF(Agent05_Savings!A77="","",Agent05_Savings!E77)</f>
        <v/>
      </c>
      <c r="G872" s="39" t="str">
        <f>IF(Agent05_Savings!A77="","",Agent05_Savings!F77)</f>
        <v/>
      </c>
      <c r="H872" s="37" t="str">
        <f>IF(Agent05_Savings!A77="","",Agent05_Savings!I77)</f>
        <v/>
      </c>
      <c r="I872" s="37" t="str">
        <f>IF(Agent05_Savings!A77="","",Agent05_Savings!J77)</f>
        <v/>
      </c>
      <c r="J872" s="37" t="str">
        <f>IF(Agent05_Savings!A77="","",Agent05_Savings!K77)</f>
        <v/>
      </c>
      <c r="K872" s="37" t="str">
        <f>IFERROR(IF(Agent05_Savings!A77="","",YEAR(Agent05_Savings!D77)),"")</f>
        <v/>
      </c>
    </row>
    <row r="873" spans="1:11" ht="18" customHeight="1" x14ac:dyDescent="0.25">
      <c r="A873" s="37" t="str">
        <f>IF(Agent05_Savings!A78="","",Agent05_Savings!A78)</f>
        <v/>
      </c>
      <c r="B873" s="37" t="str">
        <f ca="1">IF(Agent05_Savings!A78="","","SV"&amp;TEXT(873-3,"0000")&amp;"-"&amp;TEXT(TODAY(),"YYYYMMDD"))</f>
        <v/>
      </c>
      <c r="C873" s="37" t="str">
        <f>IF(Agent05_Savings!A78="","",Agent05_Savings!B78)</f>
        <v/>
      </c>
      <c r="D873" s="37" t="str">
        <f>IF(Agent05_Savings!A78="","",Agent05_Savings!G78)</f>
        <v/>
      </c>
      <c r="E873" s="38" t="str">
        <f>IF(Agent05_Savings!A78="","",Agent05_Savings!D78)</f>
        <v/>
      </c>
      <c r="F873" s="39" t="str">
        <f>IF(Agent05_Savings!A78="","",Agent05_Savings!E78)</f>
        <v/>
      </c>
      <c r="G873" s="39" t="str">
        <f>IF(Agent05_Savings!A78="","",Agent05_Savings!F78)</f>
        <v/>
      </c>
      <c r="H873" s="37" t="str">
        <f>IF(Agent05_Savings!A78="","",Agent05_Savings!I78)</f>
        <v/>
      </c>
      <c r="I873" s="37" t="str">
        <f>IF(Agent05_Savings!A78="","",Agent05_Savings!J78)</f>
        <v/>
      </c>
      <c r="J873" s="37" t="str">
        <f>IF(Agent05_Savings!A78="","",Agent05_Savings!K78)</f>
        <v/>
      </c>
      <c r="K873" s="37" t="str">
        <f>IFERROR(IF(Agent05_Savings!A78="","",YEAR(Agent05_Savings!D78)),"")</f>
        <v/>
      </c>
    </row>
    <row r="874" spans="1:11" ht="18" customHeight="1" x14ac:dyDescent="0.25">
      <c r="A874" s="37" t="str">
        <f>IF(Agent05_Savings!A79="","",Agent05_Savings!A79)</f>
        <v/>
      </c>
      <c r="B874" s="37" t="str">
        <f ca="1">IF(Agent05_Savings!A79="","","SV"&amp;TEXT(874-3,"0000")&amp;"-"&amp;TEXT(TODAY(),"YYYYMMDD"))</f>
        <v/>
      </c>
      <c r="C874" s="37" t="str">
        <f>IF(Agent05_Savings!A79="","",Agent05_Savings!B79)</f>
        <v/>
      </c>
      <c r="D874" s="37" t="str">
        <f>IF(Agent05_Savings!A79="","",Agent05_Savings!G79)</f>
        <v/>
      </c>
      <c r="E874" s="38" t="str">
        <f>IF(Agent05_Savings!A79="","",Agent05_Savings!D79)</f>
        <v/>
      </c>
      <c r="F874" s="39" t="str">
        <f>IF(Agent05_Savings!A79="","",Agent05_Savings!E79)</f>
        <v/>
      </c>
      <c r="G874" s="39" t="str">
        <f>IF(Agent05_Savings!A79="","",Agent05_Savings!F79)</f>
        <v/>
      </c>
      <c r="H874" s="37" t="str">
        <f>IF(Agent05_Savings!A79="","",Agent05_Savings!I79)</f>
        <v/>
      </c>
      <c r="I874" s="37" t="str">
        <f>IF(Agent05_Savings!A79="","",Agent05_Savings!J79)</f>
        <v/>
      </c>
      <c r="J874" s="37" t="str">
        <f>IF(Agent05_Savings!A79="","",Agent05_Savings!K79)</f>
        <v/>
      </c>
      <c r="K874" s="37" t="str">
        <f>IFERROR(IF(Agent05_Savings!A79="","",YEAR(Agent05_Savings!D79)),"")</f>
        <v/>
      </c>
    </row>
    <row r="875" spans="1:11" ht="18" customHeight="1" x14ac:dyDescent="0.25">
      <c r="A875" s="37" t="str">
        <f>IF(Agent05_Savings!A80="","",Agent05_Savings!A80)</f>
        <v/>
      </c>
      <c r="B875" s="37" t="str">
        <f ca="1">IF(Agent05_Savings!A80="","","SV"&amp;TEXT(875-3,"0000")&amp;"-"&amp;TEXT(TODAY(),"YYYYMMDD"))</f>
        <v/>
      </c>
      <c r="C875" s="37" t="str">
        <f>IF(Agent05_Savings!A80="","",Agent05_Savings!B80)</f>
        <v/>
      </c>
      <c r="D875" s="37" t="str">
        <f>IF(Agent05_Savings!A80="","",Agent05_Savings!G80)</f>
        <v/>
      </c>
      <c r="E875" s="38" t="str">
        <f>IF(Agent05_Savings!A80="","",Agent05_Savings!D80)</f>
        <v/>
      </c>
      <c r="F875" s="39" t="str">
        <f>IF(Agent05_Savings!A80="","",Agent05_Savings!E80)</f>
        <v/>
      </c>
      <c r="G875" s="39" t="str">
        <f>IF(Agent05_Savings!A80="","",Agent05_Savings!F80)</f>
        <v/>
      </c>
      <c r="H875" s="37" t="str">
        <f>IF(Agent05_Savings!A80="","",Agent05_Savings!I80)</f>
        <v/>
      </c>
      <c r="I875" s="37" t="str">
        <f>IF(Agent05_Savings!A80="","",Agent05_Savings!J80)</f>
        <v/>
      </c>
      <c r="J875" s="37" t="str">
        <f>IF(Agent05_Savings!A80="","",Agent05_Savings!K80)</f>
        <v/>
      </c>
      <c r="K875" s="37" t="str">
        <f>IFERROR(IF(Agent05_Savings!A80="","",YEAR(Agent05_Savings!D80)),"")</f>
        <v/>
      </c>
    </row>
    <row r="876" spans="1:11" ht="18" customHeight="1" x14ac:dyDescent="0.25">
      <c r="A876" s="37" t="str">
        <f>IF(Agent05_Savings!A81="","",Agent05_Savings!A81)</f>
        <v/>
      </c>
      <c r="B876" s="37" t="str">
        <f ca="1">IF(Agent05_Savings!A81="","","SV"&amp;TEXT(876-3,"0000")&amp;"-"&amp;TEXT(TODAY(),"YYYYMMDD"))</f>
        <v/>
      </c>
      <c r="C876" s="37" t="str">
        <f>IF(Agent05_Savings!A81="","",Agent05_Savings!B81)</f>
        <v/>
      </c>
      <c r="D876" s="37" t="str">
        <f>IF(Agent05_Savings!A81="","",Agent05_Savings!G81)</f>
        <v/>
      </c>
      <c r="E876" s="38" t="str">
        <f>IF(Agent05_Savings!A81="","",Agent05_Savings!D81)</f>
        <v/>
      </c>
      <c r="F876" s="39" t="str">
        <f>IF(Agent05_Savings!A81="","",Agent05_Savings!E81)</f>
        <v/>
      </c>
      <c r="G876" s="39" t="str">
        <f>IF(Agent05_Savings!A81="","",Agent05_Savings!F81)</f>
        <v/>
      </c>
      <c r="H876" s="37" t="str">
        <f>IF(Agent05_Savings!A81="","",Agent05_Savings!I81)</f>
        <v/>
      </c>
      <c r="I876" s="37" t="str">
        <f>IF(Agent05_Savings!A81="","",Agent05_Savings!J81)</f>
        <v/>
      </c>
      <c r="J876" s="37" t="str">
        <f>IF(Agent05_Savings!A81="","",Agent05_Savings!K81)</f>
        <v/>
      </c>
      <c r="K876" s="37" t="str">
        <f>IFERROR(IF(Agent05_Savings!A81="","",YEAR(Agent05_Savings!D81)),"")</f>
        <v/>
      </c>
    </row>
    <row r="877" spans="1:11" ht="18" customHeight="1" x14ac:dyDescent="0.25">
      <c r="A877" s="37" t="str">
        <f>IF(Agent05_Savings!A82="","",Agent05_Savings!A82)</f>
        <v/>
      </c>
      <c r="B877" s="37" t="str">
        <f ca="1">IF(Agent05_Savings!A82="","","SV"&amp;TEXT(877-3,"0000")&amp;"-"&amp;TEXT(TODAY(),"YYYYMMDD"))</f>
        <v/>
      </c>
      <c r="C877" s="37" t="str">
        <f>IF(Agent05_Savings!A82="","",Agent05_Savings!B82)</f>
        <v/>
      </c>
      <c r="D877" s="37" t="str">
        <f>IF(Agent05_Savings!A82="","",Agent05_Savings!G82)</f>
        <v/>
      </c>
      <c r="E877" s="38" t="str">
        <f>IF(Agent05_Savings!A82="","",Agent05_Savings!D82)</f>
        <v/>
      </c>
      <c r="F877" s="39" t="str">
        <f>IF(Agent05_Savings!A82="","",Agent05_Savings!E82)</f>
        <v/>
      </c>
      <c r="G877" s="39" t="str">
        <f>IF(Agent05_Savings!A82="","",Agent05_Savings!F82)</f>
        <v/>
      </c>
      <c r="H877" s="37" t="str">
        <f>IF(Agent05_Savings!A82="","",Agent05_Savings!I82)</f>
        <v/>
      </c>
      <c r="I877" s="37" t="str">
        <f>IF(Agent05_Savings!A82="","",Agent05_Savings!J82)</f>
        <v/>
      </c>
      <c r="J877" s="37" t="str">
        <f>IF(Agent05_Savings!A82="","",Agent05_Savings!K82)</f>
        <v/>
      </c>
      <c r="K877" s="37" t="str">
        <f>IFERROR(IF(Agent05_Savings!A82="","",YEAR(Agent05_Savings!D82)),"")</f>
        <v/>
      </c>
    </row>
    <row r="878" spans="1:11" ht="18" customHeight="1" x14ac:dyDescent="0.25">
      <c r="A878" s="37" t="str">
        <f>IF(Agent05_Savings!A83="","",Agent05_Savings!A83)</f>
        <v/>
      </c>
      <c r="B878" s="37" t="str">
        <f ca="1">IF(Agent05_Savings!A83="","","SV"&amp;TEXT(878-3,"0000")&amp;"-"&amp;TEXT(TODAY(),"YYYYMMDD"))</f>
        <v/>
      </c>
      <c r="C878" s="37" t="str">
        <f>IF(Agent05_Savings!A83="","",Agent05_Savings!B83)</f>
        <v/>
      </c>
      <c r="D878" s="37" t="str">
        <f>IF(Agent05_Savings!A83="","",Agent05_Savings!G83)</f>
        <v/>
      </c>
      <c r="E878" s="38" t="str">
        <f>IF(Agent05_Savings!A83="","",Agent05_Savings!D83)</f>
        <v/>
      </c>
      <c r="F878" s="39" t="str">
        <f>IF(Agent05_Savings!A83="","",Agent05_Savings!E83)</f>
        <v/>
      </c>
      <c r="G878" s="39" t="str">
        <f>IF(Agent05_Savings!A83="","",Agent05_Savings!F83)</f>
        <v/>
      </c>
      <c r="H878" s="37" t="str">
        <f>IF(Agent05_Savings!A83="","",Agent05_Savings!I83)</f>
        <v/>
      </c>
      <c r="I878" s="37" t="str">
        <f>IF(Agent05_Savings!A83="","",Agent05_Savings!J83)</f>
        <v/>
      </c>
      <c r="J878" s="37" t="str">
        <f>IF(Agent05_Savings!A83="","",Agent05_Savings!K83)</f>
        <v/>
      </c>
      <c r="K878" s="37" t="str">
        <f>IFERROR(IF(Agent05_Savings!A83="","",YEAR(Agent05_Savings!D83)),"")</f>
        <v/>
      </c>
    </row>
    <row r="879" spans="1:11" ht="18" customHeight="1" x14ac:dyDescent="0.25">
      <c r="A879" s="37" t="str">
        <f>IF(Agent05_Savings!A84="","",Agent05_Savings!A84)</f>
        <v/>
      </c>
      <c r="B879" s="37" t="str">
        <f ca="1">IF(Agent05_Savings!A84="","","SV"&amp;TEXT(879-3,"0000")&amp;"-"&amp;TEXT(TODAY(),"YYYYMMDD"))</f>
        <v/>
      </c>
      <c r="C879" s="37" t="str">
        <f>IF(Agent05_Savings!A84="","",Agent05_Savings!B84)</f>
        <v/>
      </c>
      <c r="D879" s="37" t="str">
        <f>IF(Agent05_Savings!A84="","",Agent05_Savings!G84)</f>
        <v/>
      </c>
      <c r="E879" s="38" t="str">
        <f>IF(Agent05_Savings!A84="","",Agent05_Savings!D84)</f>
        <v/>
      </c>
      <c r="F879" s="39" t="str">
        <f>IF(Agent05_Savings!A84="","",Agent05_Savings!E84)</f>
        <v/>
      </c>
      <c r="G879" s="39" t="str">
        <f>IF(Agent05_Savings!A84="","",Agent05_Savings!F84)</f>
        <v/>
      </c>
      <c r="H879" s="37" t="str">
        <f>IF(Agent05_Savings!A84="","",Agent05_Savings!I84)</f>
        <v/>
      </c>
      <c r="I879" s="37" t="str">
        <f>IF(Agent05_Savings!A84="","",Agent05_Savings!J84)</f>
        <v/>
      </c>
      <c r="J879" s="37" t="str">
        <f>IF(Agent05_Savings!A84="","",Agent05_Savings!K84)</f>
        <v/>
      </c>
      <c r="K879" s="37" t="str">
        <f>IFERROR(IF(Agent05_Savings!A84="","",YEAR(Agent05_Savings!D84)),"")</f>
        <v/>
      </c>
    </row>
    <row r="880" spans="1:11" ht="18" customHeight="1" x14ac:dyDescent="0.25">
      <c r="A880" s="37" t="str">
        <f>IF(Agent05_Savings!A85="","",Agent05_Savings!A85)</f>
        <v/>
      </c>
      <c r="B880" s="37" t="str">
        <f ca="1">IF(Agent05_Savings!A85="","","SV"&amp;TEXT(880-3,"0000")&amp;"-"&amp;TEXT(TODAY(),"YYYYMMDD"))</f>
        <v/>
      </c>
      <c r="C880" s="37" t="str">
        <f>IF(Agent05_Savings!A85="","",Agent05_Savings!B85)</f>
        <v/>
      </c>
      <c r="D880" s="37" t="str">
        <f>IF(Agent05_Savings!A85="","",Agent05_Savings!G85)</f>
        <v/>
      </c>
      <c r="E880" s="38" t="str">
        <f>IF(Agent05_Savings!A85="","",Agent05_Savings!D85)</f>
        <v/>
      </c>
      <c r="F880" s="39" t="str">
        <f>IF(Agent05_Savings!A85="","",Agent05_Savings!E85)</f>
        <v/>
      </c>
      <c r="G880" s="39" t="str">
        <f>IF(Agent05_Savings!A85="","",Agent05_Savings!F85)</f>
        <v/>
      </c>
      <c r="H880" s="37" t="str">
        <f>IF(Agent05_Savings!A85="","",Agent05_Savings!I85)</f>
        <v/>
      </c>
      <c r="I880" s="37" t="str">
        <f>IF(Agent05_Savings!A85="","",Agent05_Savings!J85)</f>
        <v/>
      </c>
      <c r="J880" s="37" t="str">
        <f>IF(Agent05_Savings!A85="","",Agent05_Savings!K85)</f>
        <v/>
      </c>
      <c r="K880" s="37" t="str">
        <f>IFERROR(IF(Agent05_Savings!A85="","",YEAR(Agent05_Savings!D85)),"")</f>
        <v/>
      </c>
    </row>
    <row r="881" spans="1:11" ht="18" customHeight="1" x14ac:dyDescent="0.25">
      <c r="A881" s="37" t="str">
        <f>IF(Agent05_Savings!A86="","",Agent05_Savings!A86)</f>
        <v/>
      </c>
      <c r="B881" s="37" t="str">
        <f ca="1">IF(Agent05_Savings!A86="","","SV"&amp;TEXT(881-3,"0000")&amp;"-"&amp;TEXT(TODAY(),"YYYYMMDD"))</f>
        <v/>
      </c>
      <c r="C881" s="37" t="str">
        <f>IF(Agent05_Savings!A86="","",Agent05_Savings!B86)</f>
        <v/>
      </c>
      <c r="D881" s="37" t="str">
        <f>IF(Agent05_Savings!A86="","",Agent05_Savings!G86)</f>
        <v/>
      </c>
      <c r="E881" s="38" t="str">
        <f>IF(Agent05_Savings!A86="","",Agent05_Savings!D86)</f>
        <v/>
      </c>
      <c r="F881" s="39" t="str">
        <f>IF(Agent05_Savings!A86="","",Agent05_Savings!E86)</f>
        <v/>
      </c>
      <c r="G881" s="39" t="str">
        <f>IF(Agent05_Savings!A86="","",Agent05_Savings!F86)</f>
        <v/>
      </c>
      <c r="H881" s="37" t="str">
        <f>IF(Agent05_Savings!A86="","",Agent05_Savings!I86)</f>
        <v/>
      </c>
      <c r="I881" s="37" t="str">
        <f>IF(Agent05_Savings!A86="","",Agent05_Savings!J86)</f>
        <v/>
      </c>
      <c r="J881" s="37" t="str">
        <f>IF(Agent05_Savings!A86="","",Agent05_Savings!K86)</f>
        <v/>
      </c>
      <c r="K881" s="37" t="str">
        <f>IFERROR(IF(Agent05_Savings!A86="","",YEAR(Agent05_Savings!D86)),"")</f>
        <v/>
      </c>
    </row>
    <row r="882" spans="1:11" ht="18" customHeight="1" x14ac:dyDescent="0.25">
      <c r="A882" s="37" t="str">
        <f>IF(Agent05_Savings!A87="","",Agent05_Savings!A87)</f>
        <v/>
      </c>
      <c r="B882" s="37" t="str">
        <f ca="1">IF(Agent05_Savings!A87="","","SV"&amp;TEXT(882-3,"0000")&amp;"-"&amp;TEXT(TODAY(),"YYYYMMDD"))</f>
        <v/>
      </c>
      <c r="C882" s="37" t="str">
        <f>IF(Agent05_Savings!A87="","",Agent05_Savings!B87)</f>
        <v/>
      </c>
      <c r="D882" s="37" t="str">
        <f>IF(Agent05_Savings!A87="","",Agent05_Savings!G87)</f>
        <v/>
      </c>
      <c r="E882" s="38" t="str">
        <f>IF(Agent05_Savings!A87="","",Agent05_Savings!D87)</f>
        <v/>
      </c>
      <c r="F882" s="39" t="str">
        <f>IF(Agent05_Savings!A87="","",Agent05_Savings!E87)</f>
        <v/>
      </c>
      <c r="G882" s="39" t="str">
        <f>IF(Agent05_Savings!A87="","",Agent05_Savings!F87)</f>
        <v/>
      </c>
      <c r="H882" s="37" t="str">
        <f>IF(Agent05_Savings!A87="","",Agent05_Savings!I87)</f>
        <v/>
      </c>
      <c r="I882" s="37" t="str">
        <f>IF(Agent05_Savings!A87="","",Agent05_Savings!J87)</f>
        <v/>
      </c>
      <c r="J882" s="37" t="str">
        <f>IF(Agent05_Savings!A87="","",Agent05_Savings!K87)</f>
        <v/>
      </c>
      <c r="K882" s="37" t="str">
        <f>IFERROR(IF(Agent05_Savings!A87="","",YEAR(Agent05_Savings!D87)),"")</f>
        <v/>
      </c>
    </row>
    <row r="883" spans="1:11" ht="18" customHeight="1" x14ac:dyDescent="0.25">
      <c r="A883" s="37" t="str">
        <f>IF(Agent05_Savings!A88="","",Agent05_Savings!A88)</f>
        <v/>
      </c>
      <c r="B883" s="37" t="str">
        <f ca="1">IF(Agent05_Savings!A88="","","SV"&amp;TEXT(883-3,"0000")&amp;"-"&amp;TEXT(TODAY(),"YYYYMMDD"))</f>
        <v/>
      </c>
      <c r="C883" s="37" t="str">
        <f>IF(Agent05_Savings!A88="","",Agent05_Savings!B88)</f>
        <v/>
      </c>
      <c r="D883" s="37" t="str">
        <f>IF(Agent05_Savings!A88="","",Agent05_Savings!G88)</f>
        <v/>
      </c>
      <c r="E883" s="38" t="str">
        <f>IF(Agent05_Savings!A88="","",Agent05_Savings!D88)</f>
        <v/>
      </c>
      <c r="F883" s="39" t="str">
        <f>IF(Agent05_Savings!A88="","",Agent05_Savings!E88)</f>
        <v/>
      </c>
      <c r="G883" s="39" t="str">
        <f>IF(Agent05_Savings!A88="","",Agent05_Savings!F88)</f>
        <v/>
      </c>
      <c r="H883" s="37" t="str">
        <f>IF(Agent05_Savings!A88="","",Agent05_Savings!I88)</f>
        <v/>
      </c>
      <c r="I883" s="37" t="str">
        <f>IF(Agent05_Savings!A88="","",Agent05_Savings!J88)</f>
        <v/>
      </c>
      <c r="J883" s="37" t="str">
        <f>IF(Agent05_Savings!A88="","",Agent05_Savings!K88)</f>
        <v/>
      </c>
      <c r="K883" s="37" t="str">
        <f>IFERROR(IF(Agent05_Savings!A88="","",YEAR(Agent05_Savings!D88)),"")</f>
        <v/>
      </c>
    </row>
    <row r="884" spans="1:11" ht="18" customHeight="1" x14ac:dyDescent="0.25">
      <c r="A884" s="37" t="str">
        <f>IF(Agent05_Savings!A89="","",Agent05_Savings!A89)</f>
        <v/>
      </c>
      <c r="B884" s="37" t="str">
        <f ca="1">IF(Agent05_Savings!A89="","","SV"&amp;TEXT(884-3,"0000")&amp;"-"&amp;TEXT(TODAY(),"YYYYMMDD"))</f>
        <v/>
      </c>
      <c r="C884" s="37" t="str">
        <f>IF(Agent05_Savings!A89="","",Agent05_Savings!B89)</f>
        <v/>
      </c>
      <c r="D884" s="37" t="str">
        <f>IF(Agent05_Savings!A89="","",Agent05_Savings!G89)</f>
        <v/>
      </c>
      <c r="E884" s="38" t="str">
        <f>IF(Agent05_Savings!A89="","",Agent05_Savings!D89)</f>
        <v/>
      </c>
      <c r="F884" s="39" t="str">
        <f>IF(Agent05_Savings!A89="","",Agent05_Savings!E89)</f>
        <v/>
      </c>
      <c r="G884" s="39" t="str">
        <f>IF(Agent05_Savings!A89="","",Agent05_Savings!F89)</f>
        <v/>
      </c>
      <c r="H884" s="37" t="str">
        <f>IF(Agent05_Savings!A89="","",Agent05_Savings!I89)</f>
        <v/>
      </c>
      <c r="I884" s="37" t="str">
        <f>IF(Agent05_Savings!A89="","",Agent05_Savings!J89)</f>
        <v/>
      </c>
      <c r="J884" s="37" t="str">
        <f>IF(Agent05_Savings!A89="","",Agent05_Savings!K89)</f>
        <v/>
      </c>
      <c r="K884" s="37" t="str">
        <f>IFERROR(IF(Agent05_Savings!A89="","",YEAR(Agent05_Savings!D89)),"")</f>
        <v/>
      </c>
    </row>
    <row r="885" spans="1:11" ht="18" customHeight="1" x14ac:dyDescent="0.25">
      <c r="A885" s="37" t="str">
        <f>IF(Agent05_Savings!A90="","",Agent05_Savings!A90)</f>
        <v/>
      </c>
      <c r="B885" s="37" t="str">
        <f ca="1">IF(Agent05_Savings!A90="","","SV"&amp;TEXT(885-3,"0000")&amp;"-"&amp;TEXT(TODAY(),"YYYYMMDD"))</f>
        <v/>
      </c>
      <c r="C885" s="37" t="str">
        <f>IF(Agent05_Savings!A90="","",Agent05_Savings!B90)</f>
        <v/>
      </c>
      <c r="D885" s="37" t="str">
        <f>IF(Agent05_Savings!A90="","",Agent05_Savings!G90)</f>
        <v/>
      </c>
      <c r="E885" s="38" t="str">
        <f>IF(Agent05_Savings!A90="","",Agent05_Savings!D90)</f>
        <v/>
      </c>
      <c r="F885" s="39" t="str">
        <f>IF(Agent05_Savings!A90="","",Agent05_Savings!E90)</f>
        <v/>
      </c>
      <c r="G885" s="39" t="str">
        <f>IF(Agent05_Savings!A90="","",Agent05_Savings!F90)</f>
        <v/>
      </c>
      <c r="H885" s="37" t="str">
        <f>IF(Agent05_Savings!A90="","",Agent05_Savings!I90)</f>
        <v/>
      </c>
      <c r="I885" s="37" t="str">
        <f>IF(Agent05_Savings!A90="","",Agent05_Savings!J90)</f>
        <v/>
      </c>
      <c r="J885" s="37" t="str">
        <f>IF(Agent05_Savings!A90="","",Agent05_Savings!K90)</f>
        <v/>
      </c>
      <c r="K885" s="37" t="str">
        <f>IFERROR(IF(Agent05_Savings!A90="","",YEAR(Agent05_Savings!D90)),"")</f>
        <v/>
      </c>
    </row>
    <row r="886" spans="1:11" ht="18" customHeight="1" x14ac:dyDescent="0.25">
      <c r="A886" s="37" t="str">
        <f>IF(Agent05_Savings!A91="","",Agent05_Savings!A91)</f>
        <v/>
      </c>
      <c r="B886" s="37" t="str">
        <f ca="1">IF(Agent05_Savings!A91="","","SV"&amp;TEXT(886-3,"0000")&amp;"-"&amp;TEXT(TODAY(),"YYYYMMDD"))</f>
        <v/>
      </c>
      <c r="C886" s="37" t="str">
        <f>IF(Agent05_Savings!A91="","",Agent05_Savings!B91)</f>
        <v/>
      </c>
      <c r="D886" s="37" t="str">
        <f>IF(Agent05_Savings!A91="","",Agent05_Savings!G91)</f>
        <v/>
      </c>
      <c r="E886" s="38" t="str">
        <f>IF(Agent05_Savings!A91="","",Agent05_Savings!D91)</f>
        <v/>
      </c>
      <c r="F886" s="39" t="str">
        <f>IF(Agent05_Savings!A91="","",Agent05_Savings!E91)</f>
        <v/>
      </c>
      <c r="G886" s="39" t="str">
        <f>IF(Agent05_Savings!A91="","",Agent05_Savings!F91)</f>
        <v/>
      </c>
      <c r="H886" s="37" t="str">
        <f>IF(Agent05_Savings!A91="","",Agent05_Savings!I91)</f>
        <v/>
      </c>
      <c r="I886" s="37" t="str">
        <f>IF(Agent05_Savings!A91="","",Agent05_Savings!J91)</f>
        <v/>
      </c>
      <c r="J886" s="37" t="str">
        <f>IF(Agent05_Savings!A91="","",Agent05_Savings!K91)</f>
        <v/>
      </c>
      <c r="K886" s="37" t="str">
        <f>IFERROR(IF(Agent05_Savings!A91="","",YEAR(Agent05_Savings!D91)),"")</f>
        <v/>
      </c>
    </row>
    <row r="887" spans="1:11" ht="18" customHeight="1" x14ac:dyDescent="0.25">
      <c r="A887" s="37" t="str">
        <f>IF(Agent05_Savings!A92="","",Agent05_Savings!A92)</f>
        <v/>
      </c>
      <c r="B887" s="37" t="str">
        <f ca="1">IF(Agent05_Savings!A92="","","SV"&amp;TEXT(887-3,"0000")&amp;"-"&amp;TEXT(TODAY(),"YYYYMMDD"))</f>
        <v/>
      </c>
      <c r="C887" s="37" t="str">
        <f>IF(Agent05_Savings!A92="","",Agent05_Savings!B92)</f>
        <v/>
      </c>
      <c r="D887" s="37" t="str">
        <f>IF(Agent05_Savings!A92="","",Agent05_Savings!G92)</f>
        <v/>
      </c>
      <c r="E887" s="38" t="str">
        <f>IF(Agent05_Savings!A92="","",Agent05_Savings!D92)</f>
        <v/>
      </c>
      <c r="F887" s="39" t="str">
        <f>IF(Agent05_Savings!A92="","",Agent05_Savings!E92)</f>
        <v/>
      </c>
      <c r="G887" s="39" t="str">
        <f>IF(Agent05_Savings!A92="","",Agent05_Savings!F92)</f>
        <v/>
      </c>
      <c r="H887" s="37" t="str">
        <f>IF(Agent05_Savings!A92="","",Agent05_Savings!I92)</f>
        <v/>
      </c>
      <c r="I887" s="37" t="str">
        <f>IF(Agent05_Savings!A92="","",Agent05_Savings!J92)</f>
        <v/>
      </c>
      <c r="J887" s="37" t="str">
        <f>IF(Agent05_Savings!A92="","",Agent05_Savings!K92)</f>
        <v/>
      </c>
      <c r="K887" s="37" t="str">
        <f>IFERROR(IF(Agent05_Savings!A92="","",YEAR(Agent05_Savings!D92)),"")</f>
        <v/>
      </c>
    </row>
    <row r="888" spans="1:11" ht="18" customHeight="1" x14ac:dyDescent="0.25">
      <c r="A888" s="37" t="str">
        <f>IF(Agent05_Savings!A93="","",Agent05_Savings!A93)</f>
        <v/>
      </c>
      <c r="B888" s="37" t="str">
        <f ca="1">IF(Agent05_Savings!A93="","","SV"&amp;TEXT(888-3,"0000")&amp;"-"&amp;TEXT(TODAY(),"YYYYMMDD"))</f>
        <v/>
      </c>
      <c r="C888" s="37" t="str">
        <f>IF(Agent05_Savings!A93="","",Agent05_Savings!B93)</f>
        <v/>
      </c>
      <c r="D888" s="37" t="str">
        <f>IF(Agent05_Savings!A93="","",Agent05_Savings!G93)</f>
        <v/>
      </c>
      <c r="E888" s="38" t="str">
        <f>IF(Agent05_Savings!A93="","",Agent05_Savings!D93)</f>
        <v/>
      </c>
      <c r="F888" s="39" t="str">
        <f>IF(Agent05_Savings!A93="","",Agent05_Savings!E93)</f>
        <v/>
      </c>
      <c r="G888" s="39" t="str">
        <f>IF(Agent05_Savings!A93="","",Agent05_Savings!F93)</f>
        <v/>
      </c>
      <c r="H888" s="37" t="str">
        <f>IF(Agent05_Savings!A93="","",Agent05_Savings!I93)</f>
        <v/>
      </c>
      <c r="I888" s="37" t="str">
        <f>IF(Agent05_Savings!A93="","",Agent05_Savings!J93)</f>
        <v/>
      </c>
      <c r="J888" s="37" t="str">
        <f>IF(Agent05_Savings!A93="","",Agent05_Savings!K93)</f>
        <v/>
      </c>
      <c r="K888" s="37" t="str">
        <f>IFERROR(IF(Agent05_Savings!A93="","",YEAR(Agent05_Savings!D93)),"")</f>
        <v/>
      </c>
    </row>
    <row r="889" spans="1:11" ht="18" customHeight="1" x14ac:dyDescent="0.25">
      <c r="A889" s="37" t="str">
        <f>IF(Agent05_Savings!A94="","",Agent05_Savings!A94)</f>
        <v/>
      </c>
      <c r="B889" s="37" t="str">
        <f ca="1">IF(Agent05_Savings!A94="","","SV"&amp;TEXT(889-3,"0000")&amp;"-"&amp;TEXT(TODAY(),"YYYYMMDD"))</f>
        <v/>
      </c>
      <c r="C889" s="37" t="str">
        <f>IF(Agent05_Savings!A94="","",Agent05_Savings!B94)</f>
        <v/>
      </c>
      <c r="D889" s="37" t="str">
        <f>IF(Agent05_Savings!A94="","",Agent05_Savings!G94)</f>
        <v/>
      </c>
      <c r="E889" s="38" t="str">
        <f>IF(Agent05_Savings!A94="","",Agent05_Savings!D94)</f>
        <v/>
      </c>
      <c r="F889" s="39" t="str">
        <f>IF(Agent05_Savings!A94="","",Agent05_Savings!E94)</f>
        <v/>
      </c>
      <c r="G889" s="39" t="str">
        <f>IF(Agent05_Savings!A94="","",Agent05_Savings!F94)</f>
        <v/>
      </c>
      <c r="H889" s="37" t="str">
        <f>IF(Agent05_Savings!A94="","",Agent05_Savings!I94)</f>
        <v/>
      </c>
      <c r="I889" s="37" t="str">
        <f>IF(Agent05_Savings!A94="","",Agent05_Savings!J94)</f>
        <v/>
      </c>
      <c r="J889" s="37" t="str">
        <f>IF(Agent05_Savings!A94="","",Agent05_Savings!K94)</f>
        <v/>
      </c>
      <c r="K889" s="37" t="str">
        <f>IFERROR(IF(Agent05_Savings!A94="","",YEAR(Agent05_Savings!D94)),"")</f>
        <v/>
      </c>
    </row>
    <row r="890" spans="1:11" ht="18" customHeight="1" x14ac:dyDescent="0.25">
      <c r="A890" s="37" t="str">
        <f>IF(Agent05_Savings!A95="","",Agent05_Savings!A95)</f>
        <v/>
      </c>
      <c r="B890" s="37" t="str">
        <f ca="1">IF(Agent05_Savings!A95="","","SV"&amp;TEXT(890-3,"0000")&amp;"-"&amp;TEXT(TODAY(),"YYYYMMDD"))</f>
        <v/>
      </c>
      <c r="C890" s="37" t="str">
        <f>IF(Agent05_Savings!A95="","",Agent05_Savings!B95)</f>
        <v/>
      </c>
      <c r="D890" s="37" t="str">
        <f>IF(Agent05_Savings!A95="","",Agent05_Savings!G95)</f>
        <v/>
      </c>
      <c r="E890" s="38" t="str">
        <f>IF(Agent05_Savings!A95="","",Agent05_Savings!D95)</f>
        <v/>
      </c>
      <c r="F890" s="39" t="str">
        <f>IF(Agent05_Savings!A95="","",Agent05_Savings!E95)</f>
        <v/>
      </c>
      <c r="G890" s="39" t="str">
        <f>IF(Agent05_Savings!A95="","",Agent05_Savings!F95)</f>
        <v/>
      </c>
      <c r="H890" s="37" t="str">
        <f>IF(Agent05_Savings!A95="","",Agent05_Savings!I95)</f>
        <v/>
      </c>
      <c r="I890" s="37" t="str">
        <f>IF(Agent05_Savings!A95="","",Agent05_Savings!J95)</f>
        <v/>
      </c>
      <c r="J890" s="37" t="str">
        <f>IF(Agent05_Savings!A95="","",Agent05_Savings!K95)</f>
        <v/>
      </c>
      <c r="K890" s="37" t="str">
        <f>IFERROR(IF(Agent05_Savings!A95="","",YEAR(Agent05_Savings!D95)),"")</f>
        <v/>
      </c>
    </row>
    <row r="891" spans="1:11" ht="18" customHeight="1" x14ac:dyDescent="0.25">
      <c r="A891" s="37" t="str">
        <f>IF(Agent05_Savings!A96="","",Agent05_Savings!A96)</f>
        <v/>
      </c>
      <c r="B891" s="37" t="str">
        <f ca="1">IF(Agent05_Savings!A96="","","SV"&amp;TEXT(891-3,"0000")&amp;"-"&amp;TEXT(TODAY(),"YYYYMMDD"))</f>
        <v/>
      </c>
      <c r="C891" s="37" t="str">
        <f>IF(Agent05_Savings!A96="","",Agent05_Savings!B96)</f>
        <v/>
      </c>
      <c r="D891" s="37" t="str">
        <f>IF(Agent05_Savings!A96="","",Agent05_Savings!G96)</f>
        <v/>
      </c>
      <c r="E891" s="38" t="str">
        <f>IF(Agent05_Savings!A96="","",Agent05_Savings!D96)</f>
        <v/>
      </c>
      <c r="F891" s="39" t="str">
        <f>IF(Agent05_Savings!A96="","",Agent05_Savings!E96)</f>
        <v/>
      </c>
      <c r="G891" s="39" t="str">
        <f>IF(Agent05_Savings!A96="","",Agent05_Savings!F96)</f>
        <v/>
      </c>
      <c r="H891" s="37" t="str">
        <f>IF(Agent05_Savings!A96="","",Agent05_Savings!I96)</f>
        <v/>
      </c>
      <c r="I891" s="37" t="str">
        <f>IF(Agent05_Savings!A96="","",Agent05_Savings!J96)</f>
        <v/>
      </c>
      <c r="J891" s="37" t="str">
        <f>IF(Agent05_Savings!A96="","",Agent05_Savings!K96)</f>
        <v/>
      </c>
      <c r="K891" s="37" t="str">
        <f>IFERROR(IF(Agent05_Savings!A96="","",YEAR(Agent05_Savings!D96)),"")</f>
        <v/>
      </c>
    </row>
    <row r="892" spans="1:11" ht="18" customHeight="1" x14ac:dyDescent="0.25">
      <c r="A892" s="37" t="str">
        <f>IF(Agent05_Savings!A97="","",Agent05_Savings!A97)</f>
        <v/>
      </c>
      <c r="B892" s="37" t="str">
        <f ca="1">IF(Agent05_Savings!A97="","","SV"&amp;TEXT(892-3,"0000")&amp;"-"&amp;TEXT(TODAY(),"YYYYMMDD"))</f>
        <v/>
      </c>
      <c r="C892" s="37" t="str">
        <f>IF(Agent05_Savings!A97="","",Agent05_Savings!B97)</f>
        <v/>
      </c>
      <c r="D892" s="37" t="str">
        <f>IF(Agent05_Savings!A97="","",Agent05_Savings!G97)</f>
        <v/>
      </c>
      <c r="E892" s="38" t="str">
        <f>IF(Agent05_Savings!A97="","",Agent05_Savings!D97)</f>
        <v/>
      </c>
      <c r="F892" s="39" t="str">
        <f>IF(Agent05_Savings!A97="","",Agent05_Savings!E97)</f>
        <v/>
      </c>
      <c r="G892" s="39" t="str">
        <f>IF(Agent05_Savings!A97="","",Agent05_Savings!F97)</f>
        <v/>
      </c>
      <c r="H892" s="37" t="str">
        <f>IF(Agent05_Savings!A97="","",Agent05_Savings!I97)</f>
        <v/>
      </c>
      <c r="I892" s="37" t="str">
        <f>IF(Agent05_Savings!A97="","",Agent05_Savings!J97)</f>
        <v/>
      </c>
      <c r="J892" s="37" t="str">
        <f>IF(Agent05_Savings!A97="","",Agent05_Savings!K97)</f>
        <v/>
      </c>
      <c r="K892" s="37" t="str">
        <f>IFERROR(IF(Agent05_Savings!A97="","",YEAR(Agent05_Savings!D97)),"")</f>
        <v/>
      </c>
    </row>
    <row r="893" spans="1:11" ht="18" customHeight="1" x14ac:dyDescent="0.25">
      <c r="A893" s="37" t="str">
        <f>IF(Agent05_Savings!A98="","",Agent05_Savings!A98)</f>
        <v/>
      </c>
      <c r="B893" s="37" t="str">
        <f ca="1">IF(Agent05_Savings!A98="","","SV"&amp;TEXT(893-3,"0000")&amp;"-"&amp;TEXT(TODAY(),"YYYYMMDD"))</f>
        <v/>
      </c>
      <c r="C893" s="37" t="str">
        <f>IF(Agent05_Savings!A98="","",Agent05_Savings!B98)</f>
        <v/>
      </c>
      <c r="D893" s="37" t="str">
        <f>IF(Agent05_Savings!A98="","",Agent05_Savings!G98)</f>
        <v/>
      </c>
      <c r="E893" s="38" t="str">
        <f>IF(Agent05_Savings!A98="","",Agent05_Savings!D98)</f>
        <v/>
      </c>
      <c r="F893" s="39" t="str">
        <f>IF(Agent05_Savings!A98="","",Agent05_Savings!E98)</f>
        <v/>
      </c>
      <c r="G893" s="39" t="str">
        <f>IF(Agent05_Savings!A98="","",Agent05_Savings!F98)</f>
        <v/>
      </c>
      <c r="H893" s="37" t="str">
        <f>IF(Agent05_Savings!A98="","",Agent05_Savings!I98)</f>
        <v/>
      </c>
      <c r="I893" s="37" t="str">
        <f>IF(Agent05_Savings!A98="","",Agent05_Savings!J98)</f>
        <v/>
      </c>
      <c r="J893" s="37" t="str">
        <f>IF(Agent05_Savings!A98="","",Agent05_Savings!K98)</f>
        <v/>
      </c>
      <c r="K893" s="37" t="str">
        <f>IFERROR(IF(Agent05_Savings!A98="","",YEAR(Agent05_Savings!D98)),"")</f>
        <v/>
      </c>
    </row>
    <row r="894" spans="1:11" ht="18" customHeight="1" x14ac:dyDescent="0.25">
      <c r="A894" s="37" t="str">
        <f>IF(Agent05_Savings!A99="","",Agent05_Savings!A99)</f>
        <v/>
      </c>
      <c r="B894" s="37" t="str">
        <f ca="1">IF(Agent05_Savings!A99="","","SV"&amp;TEXT(894-3,"0000")&amp;"-"&amp;TEXT(TODAY(),"YYYYMMDD"))</f>
        <v/>
      </c>
      <c r="C894" s="37" t="str">
        <f>IF(Agent05_Savings!A99="","",Agent05_Savings!B99)</f>
        <v/>
      </c>
      <c r="D894" s="37" t="str">
        <f>IF(Agent05_Savings!A99="","",Agent05_Savings!G99)</f>
        <v/>
      </c>
      <c r="E894" s="38" t="str">
        <f>IF(Agent05_Savings!A99="","",Agent05_Savings!D99)</f>
        <v/>
      </c>
      <c r="F894" s="39" t="str">
        <f>IF(Agent05_Savings!A99="","",Agent05_Savings!E99)</f>
        <v/>
      </c>
      <c r="G894" s="39" t="str">
        <f>IF(Agent05_Savings!A99="","",Agent05_Savings!F99)</f>
        <v/>
      </c>
      <c r="H894" s="37" t="str">
        <f>IF(Agent05_Savings!A99="","",Agent05_Savings!I99)</f>
        <v/>
      </c>
      <c r="I894" s="37" t="str">
        <f>IF(Agent05_Savings!A99="","",Agent05_Savings!J99)</f>
        <v/>
      </c>
      <c r="J894" s="37" t="str">
        <f>IF(Agent05_Savings!A99="","",Agent05_Savings!K99)</f>
        <v/>
      </c>
      <c r="K894" s="37" t="str">
        <f>IFERROR(IF(Agent05_Savings!A99="","",YEAR(Agent05_Savings!D99)),"")</f>
        <v/>
      </c>
    </row>
    <row r="895" spans="1:11" ht="18" customHeight="1" x14ac:dyDescent="0.25">
      <c r="A895" s="37" t="str">
        <f>IF(Agent05_Savings!A100="","",Agent05_Savings!A100)</f>
        <v/>
      </c>
      <c r="B895" s="37" t="str">
        <f ca="1">IF(Agent05_Savings!A100="","","SV"&amp;TEXT(895-3,"0000")&amp;"-"&amp;TEXT(TODAY(),"YYYYMMDD"))</f>
        <v/>
      </c>
      <c r="C895" s="37" t="str">
        <f>IF(Agent05_Savings!A100="","",Agent05_Savings!B100)</f>
        <v/>
      </c>
      <c r="D895" s="37" t="str">
        <f>IF(Agent05_Savings!A100="","",Agent05_Savings!G100)</f>
        <v/>
      </c>
      <c r="E895" s="38" t="str">
        <f>IF(Agent05_Savings!A100="","",Agent05_Savings!D100)</f>
        <v/>
      </c>
      <c r="F895" s="39" t="str">
        <f>IF(Agent05_Savings!A100="","",Agent05_Savings!E100)</f>
        <v/>
      </c>
      <c r="G895" s="39" t="str">
        <f>IF(Agent05_Savings!A100="","",Agent05_Savings!F100)</f>
        <v/>
      </c>
      <c r="H895" s="37" t="str">
        <f>IF(Agent05_Savings!A100="","",Agent05_Savings!I100)</f>
        <v/>
      </c>
      <c r="I895" s="37" t="str">
        <f>IF(Agent05_Savings!A100="","",Agent05_Savings!J100)</f>
        <v/>
      </c>
      <c r="J895" s="37" t="str">
        <f>IF(Agent05_Savings!A100="","",Agent05_Savings!K100)</f>
        <v/>
      </c>
      <c r="K895" s="37" t="str">
        <f>IFERROR(IF(Agent05_Savings!A100="","",YEAR(Agent05_Savings!D100)),"")</f>
        <v/>
      </c>
    </row>
    <row r="896" spans="1:11" ht="18" customHeight="1" x14ac:dyDescent="0.25">
      <c r="A896" s="37" t="str">
        <f>IF(Agent05_Savings!A101="","",Agent05_Savings!A101)</f>
        <v/>
      </c>
      <c r="B896" s="37" t="str">
        <f ca="1">IF(Agent05_Savings!A101="","","SV"&amp;TEXT(896-3,"0000")&amp;"-"&amp;TEXT(TODAY(),"YYYYMMDD"))</f>
        <v/>
      </c>
      <c r="C896" s="37" t="str">
        <f>IF(Agent05_Savings!A101="","",Agent05_Savings!B101)</f>
        <v/>
      </c>
      <c r="D896" s="37" t="str">
        <f>IF(Agent05_Savings!A101="","",Agent05_Savings!G101)</f>
        <v/>
      </c>
      <c r="E896" s="38" t="str">
        <f>IF(Agent05_Savings!A101="","",Agent05_Savings!D101)</f>
        <v/>
      </c>
      <c r="F896" s="39" t="str">
        <f>IF(Agent05_Savings!A101="","",Agent05_Savings!E101)</f>
        <v/>
      </c>
      <c r="G896" s="39" t="str">
        <f>IF(Agent05_Savings!A101="","",Agent05_Savings!F101)</f>
        <v/>
      </c>
      <c r="H896" s="37" t="str">
        <f>IF(Agent05_Savings!A101="","",Agent05_Savings!I101)</f>
        <v/>
      </c>
      <c r="I896" s="37" t="str">
        <f>IF(Agent05_Savings!A101="","",Agent05_Savings!J101)</f>
        <v/>
      </c>
      <c r="J896" s="37" t="str">
        <f>IF(Agent05_Savings!A101="","",Agent05_Savings!K101)</f>
        <v/>
      </c>
      <c r="K896" s="37" t="str">
        <f>IFERROR(IF(Agent05_Savings!A101="","",YEAR(Agent05_Savings!D101)),"")</f>
        <v/>
      </c>
    </row>
    <row r="897" spans="1:11" ht="18" customHeight="1" x14ac:dyDescent="0.25">
      <c r="A897" s="37" t="str">
        <f>IF(Agent05_Savings!A102="","",Agent05_Savings!A102)</f>
        <v/>
      </c>
      <c r="B897" s="37" t="str">
        <f ca="1">IF(Agent05_Savings!A102="","","SV"&amp;TEXT(897-3,"0000")&amp;"-"&amp;TEXT(TODAY(),"YYYYMMDD"))</f>
        <v/>
      </c>
      <c r="C897" s="37" t="str">
        <f>IF(Agent05_Savings!A102="","",Agent05_Savings!B102)</f>
        <v/>
      </c>
      <c r="D897" s="37" t="str">
        <f>IF(Agent05_Savings!A102="","",Agent05_Savings!G102)</f>
        <v/>
      </c>
      <c r="E897" s="38" t="str">
        <f>IF(Agent05_Savings!A102="","",Agent05_Savings!D102)</f>
        <v/>
      </c>
      <c r="F897" s="39" t="str">
        <f>IF(Agent05_Savings!A102="","",Agent05_Savings!E102)</f>
        <v/>
      </c>
      <c r="G897" s="39" t="str">
        <f>IF(Agent05_Savings!A102="","",Agent05_Savings!F102)</f>
        <v/>
      </c>
      <c r="H897" s="37" t="str">
        <f>IF(Agent05_Savings!A102="","",Agent05_Savings!I102)</f>
        <v/>
      </c>
      <c r="I897" s="37" t="str">
        <f>IF(Agent05_Savings!A102="","",Agent05_Savings!J102)</f>
        <v/>
      </c>
      <c r="J897" s="37" t="str">
        <f>IF(Agent05_Savings!A102="","",Agent05_Savings!K102)</f>
        <v/>
      </c>
      <c r="K897" s="37" t="str">
        <f>IFERROR(IF(Agent05_Savings!A102="","",YEAR(Agent05_Savings!D102)),"")</f>
        <v/>
      </c>
    </row>
    <row r="898" spans="1:11" ht="18" customHeight="1" x14ac:dyDescent="0.25">
      <c r="A898" s="37" t="str">
        <f>IF(Agent05_Savings!A103="","",Agent05_Savings!A103)</f>
        <v/>
      </c>
      <c r="B898" s="37" t="str">
        <f ca="1">IF(Agent05_Savings!A103="","","SV"&amp;TEXT(898-3,"0000")&amp;"-"&amp;TEXT(TODAY(),"YYYYMMDD"))</f>
        <v/>
      </c>
      <c r="C898" s="37" t="str">
        <f>IF(Agent05_Savings!A103="","",Agent05_Savings!B103)</f>
        <v/>
      </c>
      <c r="D898" s="37" t="str">
        <f>IF(Agent05_Savings!A103="","",Agent05_Savings!G103)</f>
        <v/>
      </c>
      <c r="E898" s="38" t="str">
        <f>IF(Agent05_Savings!A103="","",Agent05_Savings!D103)</f>
        <v/>
      </c>
      <c r="F898" s="39" t="str">
        <f>IF(Agent05_Savings!A103="","",Agent05_Savings!E103)</f>
        <v/>
      </c>
      <c r="G898" s="39" t="str">
        <f>IF(Agent05_Savings!A103="","",Agent05_Savings!F103)</f>
        <v/>
      </c>
      <c r="H898" s="37" t="str">
        <f>IF(Agent05_Savings!A103="","",Agent05_Savings!I103)</f>
        <v/>
      </c>
      <c r="I898" s="37" t="str">
        <f>IF(Agent05_Savings!A103="","",Agent05_Savings!J103)</f>
        <v/>
      </c>
      <c r="J898" s="37" t="str">
        <f>IF(Agent05_Savings!A103="","",Agent05_Savings!K103)</f>
        <v/>
      </c>
      <c r="K898" s="37" t="str">
        <f>IFERROR(IF(Agent05_Savings!A103="","",YEAR(Agent05_Savings!D103)),"")</f>
        <v/>
      </c>
    </row>
    <row r="899" spans="1:11" ht="18" customHeight="1" x14ac:dyDescent="0.25">
      <c r="A899" s="37" t="str">
        <f>IF(Agent05_Savings!A104="","",Agent05_Savings!A104)</f>
        <v/>
      </c>
      <c r="B899" s="37" t="str">
        <f ca="1">IF(Agent05_Savings!A104="","","SV"&amp;TEXT(899-3,"0000")&amp;"-"&amp;TEXT(TODAY(),"YYYYMMDD"))</f>
        <v/>
      </c>
      <c r="C899" s="37" t="str">
        <f>IF(Agent05_Savings!A104="","",Agent05_Savings!B104)</f>
        <v/>
      </c>
      <c r="D899" s="37" t="str">
        <f>IF(Agent05_Savings!A104="","",Agent05_Savings!G104)</f>
        <v/>
      </c>
      <c r="E899" s="38" t="str">
        <f>IF(Agent05_Savings!A104="","",Agent05_Savings!D104)</f>
        <v/>
      </c>
      <c r="F899" s="39" t="str">
        <f>IF(Agent05_Savings!A104="","",Agent05_Savings!E104)</f>
        <v/>
      </c>
      <c r="G899" s="39" t="str">
        <f>IF(Agent05_Savings!A104="","",Agent05_Savings!F104)</f>
        <v/>
      </c>
      <c r="H899" s="37" t="str">
        <f>IF(Agent05_Savings!A104="","",Agent05_Savings!I104)</f>
        <v/>
      </c>
      <c r="I899" s="37" t="str">
        <f>IF(Agent05_Savings!A104="","",Agent05_Savings!J104)</f>
        <v/>
      </c>
      <c r="J899" s="37" t="str">
        <f>IF(Agent05_Savings!A104="","",Agent05_Savings!K104)</f>
        <v/>
      </c>
      <c r="K899" s="37" t="str">
        <f>IFERROR(IF(Agent05_Savings!A104="","",YEAR(Agent05_Savings!D104)),"")</f>
        <v/>
      </c>
    </row>
    <row r="900" spans="1:11" ht="18" customHeight="1" x14ac:dyDescent="0.25">
      <c r="A900" s="37" t="str">
        <f>IF(Agent05_Savings!A105="","",Agent05_Savings!A105)</f>
        <v/>
      </c>
      <c r="B900" s="37" t="str">
        <f ca="1">IF(Agent05_Savings!A105="","","SV"&amp;TEXT(900-3,"0000")&amp;"-"&amp;TEXT(TODAY(),"YYYYMMDD"))</f>
        <v/>
      </c>
      <c r="C900" s="37" t="str">
        <f>IF(Agent05_Savings!A105="","",Agent05_Savings!B105)</f>
        <v/>
      </c>
      <c r="D900" s="37" t="str">
        <f>IF(Agent05_Savings!A105="","",Agent05_Savings!G105)</f>
        <v/>
      </c>
      <c r="E900" s="38" t="str">
        <f>IF(Agent05_Savings!A105="","",Agent05_Savings!D105)</f>
        <v/>
      </c>
      <c r="F900" s="39" t="str">
        <f>IF(Agent05_Savings!A105="","",Agent05_Savings!E105)</f>
        <v/>
      </c>
      <c r="G900" s="39" t="str">
        <f>IF(Agent05_Savings!A105="","",Agent05_Savings!F105)</f>
        <v/>
      </c>
      <c r="H900" s="37" t="str">
        <f>IF(Agent05_Savings!A105="","",Agent05_Savings!I105)</f>
        <v/>
      </c>
      <c r="I900" s="37" t="str">
        <f>IF(Agent05_Savings!A105="","",Agent05_Savings!J105)</f>
        <v/>
      </c>
      <c r="J900" s="37" t="str">
        <f>IF(Agent05_Savings!A105="","",Agent05_Savings!K105)</f>
        <v/>
      </c>
      <c r="K900" s="37" t="str">
        <f>IFERROR(IF(Agent05_Savings!A105="","",YEAR(Agent05_Savings!D105)),"")</f>
        <v/>
      </c>
    </row>
    <row r="901" spans="1:11" ht="18" customHeight="1" x14ac:dyDescent="0.25">
      <c r="A901" s="37" t="str">
        <f>IF(Agent05_Savings!A106="","",Agent05_Savings!A106)</f>
        <v/>
      </c>
      <c r="B901" s="37" t="str">
        <f ca="1">IF(Agent05_Savings!A106="","","SV"&amp;TEXT(901-3,"0000")&amp;"-"&amp;TEXT(TODAY(),"YYYYMMDD"))</f>
        <v/>
      </c>
      <c r="C901" s="37" t="str">
        <f>IF(Agent05_Savings!A106="","",Agent05_Savings!B106)</f>
        <v/>
      </c>
      <c r="D901" s="37" t="str">
        <f>IF(Agent05_Savings!A106="","",Agent05_Savings!G106)</f>
        <v/>
      </c>
      <c r="E901" s="38" t="str">
        <f>IF(Agent05_Savings!A106="","",Agent05_Savings!D106)</f>
        <v/>
      </c>
      <c r="F901" s="39" t="str">
        <f>IF(Agent05_Savings!A106="","",Agent05_Savings!E106)</f>
        <v/>
      </c>
      <c r="G901" s="39" t="str">
        <f>IF(Agent05_Savings!A106="","",Agent05_Savings!F106)</f>
        <v/>
      </c>
      <c r="H901" s="37" t="str">
        <f>IF(Agent05_Savings!A106="","",Agent05_Savings!I106)</f>
        <v/>
      </c>
      <c r="I901" s="37" t="str">
        <f>IF(Agent05_Savings!A106="","",Agent05_Savings!J106)</f>
        <v/>
      </c>
      <c r="J901" s="37" t="str">
        <f>IF(Agent05_Savings!A106="","",Agent05_Savings!K106)</f>
        <v/>
      </c>
      <c r="K901" s="37" t="str">
        <f>IFERROR(IF(Agent05_Savings!A106="","",YEAR(Agent05_Savings!D106)),"")</f>
        <v/>
      </c>
    </row>
    <row r="902" spans="1:11" ht="18" customHeight="1" x14ac:dyDescent="0.25">
      <c r="A902" s="37" t="str">
        <f>IF(Agent05_Savings!A107="","",Agent05_Savings!A107)</f>
        <v/>
      </c>
      <c r="B902" s="37" t="str">
        <f ca="1">IF(Agent05_Savings!A107="","","SV"&amp;TEXT(902-3,"0000")&amp;"-"&amp;TEXT(TODAY(),"YYYYMMDD"))</f>
        <v/>
      </c>
      <c r="C902" s="37" t="str">
        <f>IF(Agent05_Savings!A107="","",Agent05_Savings!B107)</f>
        <v/>
      </c>
      <c r="D902" s="37" t="str">
        <f>IF(Agent05_Savings!A107="","",Agent05_Savings!G107)</f>
        <v/>
      </c>
      <c r="E902" s="38" t="str">
        <f>IF(Agent05_Savings!A107="","",Agent05_Savings!D107)</f>
        <v/>
      </c>
      <c r="F902" s="39" t="str">
        <f>IF(Agent05_Savings!A107="","",Agent05_Savings!E107)</f>
        <v/>
      </c>
      <c r="G902" s="39" t="str">
        <f>IF(Agent05_Savings!A107="","",Agent05_Savings!F107)</f>
        <v/>
      </c>
      <c r="H902" s="37" t="str">
        <f>IF(Agent05_Savings!A107="","",Agent05_Savings!I107)</f>
        <v/>
      </c>
      <c r="I902" s="37" t="str">
        <f>IF(Agent05_Savings!A107="","",Agent05_Savings!J107)</f>
        <v/>
      </c>
      <c r="J902" s="37" t="str">
        <f>IF(Agent05_Savings!A107="","",Agent05_Savings!K107)</f>
        <v/>
      </c>
      <c r="K902" s="37" t="str">
        <f>IFERROR(IF(Agent05_Savings!A107="","",YEAR(Agent05_Savings!D107)),"")</f>
        <v/>
      </c>
    </row>
    <row r="903" spans="1:11" ht="18" customHeight="1" x14ac:dyDescent="0.25">
      <c r="A903" s="37" t="str">
        <f>IF(Agent05_Savings!A108="","",Agent05_Savings!A108)</f>
        <v/>
      </c>
      <c r="B903" s="37" t="str">
        <f ca="1">IF(Agent05_Savings!A108="","","SV"&amp;TEXT(903-3,"0000")&amp;"-"&amp;TEXT(TODAY(),"YYYYMMDD"))</f>
        <v/>
      </c>
      <c r="C903" s="37" t="str">
        <f>IF(Agent05_Savings!A108="","",Agent05_Savings!B108)</f>
        <v/>
      </c>
      <c r="D903" s="37" t="str">
        <f>IF(Agent05_Savings!A108="","",Agent05_Savings!G108)</f>
        <v/>
      </c>
      <c r="E903" s="38" t="str">
        <f>IF(Agent05_Savings!A108="","",Agent05_Savings!D108)</f>
        <v/>
      </c>
      <c r="F903" s="39" t="str">
        <f>IF(Agent05_Savings!A108="","",Agent05_Savings!E108)</f>
        <v/>
      </c>
      <c r="G903" s="39" t="str">
        <f>IF(Agent05_Savings!A108="","",Agent05_Savings!F108)</f>
        <v/>
      </c>
      <c r="H903" s="37" t="str">
        <f>IF(Agent05_Savings!A108="","",Agent05_Savings!I108)</f>
        <v/>
      </c>
      <c r="I903" s="37" t="str">
        <f>IF(Agent05_Savings!A108="","",Agent05_Savings!J108)</f>
        <v/>
      </c>
      <c r="J903" s="37" t="str">
        <f>IF(Agent05_Savings!A108="","",Agent05_Savings!K108)</f>
        <v/>
      </c>
      <c r="K903" s="37" t="str">
        <f>IFERROR(IF(Agent05_Savings!A108="","",YEAR(Agent05_Savings!D108)),"")</f>
        <v/>
      </c>
    </row>
    <row r="904" spans="1:11" ht="18" customHeight="1" x14ac:dyDescent="0.25">
      <c r="A904" s="37" t="str">
        <f>IF(Agent05_Savings!A109="","",Agent05_Savings!A109)</f>
        <v/>
      </c>
      <c r="B904" s="37" t="str">
        <f ca="1">IF(Agent05_Savings!A109="","","SV"&amp;TEXT(904-3,"0000")&amp;"-"&amp;TEXT(TODAY(),"YYYYMMDD"))</f>
        <v/>
      </c>
      <c r="C904" s="37" t="str">
        <f>IF(Agent05_Savings!A109="","",Agent05_Savings!B109)</f>
        <v/>
      </c>
      <c r="D904" s="37" t="str">
        <f>IF(Agent05_Savings!A109="","",Agent05_Savings!G109)</f>
        <v/>
      </c>
      <c r="E904" s="38" t="str">
        <f>IF(Agent05_Savings!A109="","",Agent05_Savings!D109)</f>
        <v/>
      </c>
      <c r="F904" s="39" t="str">
        <f>IF(Agent05_Savings!A109="","",Agent05_Savings!E109)</f>
        <v/>
      </c>
      <c r="G904" s="39" t="str">
        <f>IF(Agent05_Savings!A109="","",Agent05_Savings!F109)</f>
        <v/>
      </c>
      <c r="H904" s="37" t="str">
        <f>IF(Agent05_Savings!A109="","",Agent05_Savings!I109)</f>
        <v/>
      </c>
      <c r="I904" s="37" t="str">
        <f>IF(Agent05_Savings!A109="","",Agent05_Savings!J109)</f>
        <v/>
      </c>
      <c r="J904" s="37" t="str">
        <f>IF(Agent05_Savings!A109="","",Agent05_Savings!K109)</f>
        <v/>
      </c>
      <c r="K904" s="37" t="str">
        <f>IFERROR(IF(Agent05_Savings!A109="","",YEAR(Agent05_Savings!D109)),"")</f>
        <v/>
      </c>
    </row>
    <row r="905" spans="1:11" ht="18" customHeight="1" x14ac:dyDescent="0.25">
      <c r="A905" s="37" t="str">
        <f>IF(Agent05_Savings!A110="","",Agent05_Savings!A110)</f>
        <v/>
      </c>
      <c r="B905" s="37" t="str">
        <f ca="1">IF(Agent05_Savings!A110="","","SV"&amp;TEXT(905-3,"0000")&amp;"-"&amp;TEXT(TODAY(),"YYYYMMDD"))</f>
        <v/>
      </c>
      <c r="C905" s="37" t="str">
        <f>IF(Agent05_Savings!A110="","",Agent05_Savings!B110)</f>
        <v/>
      </c>
      <c r="D905" s="37" t="str">
        <f>IF(Agent05_Savings!A110="","",Agent05_Savings!G110)</f>
        <v/>
      </c>
      <c r="E905" s="38" t="str">
        <f>IF(Agent05_Savings!A110="","",Agent05_Savings!D110)</f>
        <v/>
      </c>
      <c r="F905" s="39" t="str">
        <f>IF(Agent05_Savings!A110="","",Agent05_Savings!E110)</f>
        <v/>
      </c>
      <c r="G905" s="39" t="str">
        <f>IF(Agent05_Savings!A110="","",Agent05_Savings!F110)</f>
        <v/>
      </c>
      <c r="H905" s="37" t="str">
        <f>IF(Agent05_Savings!A110="","",Agent05_Savings!I110)</f>
        <v/>
      </c>
      <c r="I905" s="37" t="str">
        <f>IF(Agent05_Savings!A110="","",Agent05_Savings!J110)</f>
        <v/>
      </c>
      <c r="J905" s="37" t="str">
        <f>IF(Agent05_Savings!A110="","",Agent05_Savings!K110)</f>
        <v/>
      </c>
      <c r="K905" s="37" t="str">
        <f>IFERROR(IF(Agent05_Savings!A110="","",YEAR(Agent05_Savings!D110)),"")</f>
        <v/>
      </c>
    </row>
    <row r="906" spans="1:11" ht="18" customHeight="1" x14ac:dyDescent="0.25">
      <c r="A906" s="37" t="str">
        <f>IF(Agent05_Savings!A111="","",Agent05_Savings!A111)</f>
        <v/>
      </c>
      <c r="B906" s="37" t="str">
        <f ca="1">IF(Agent05_Savings!A111="","","SV"&amp;TEXT(906-3,"0000")&amp;"-"&amp;TEXT(TODAY(),"YYYYMMDD"))</f>
        <v/>
      </c>
      <c r="C906" s="37" t="str">
        <f>IF(Agent05_Savings!A111="","",Agent05_Savings!B111)</f>
        <v/>
      </c>
      <c r="D906" s="37" t="str">
        <f>IF(Agent05_Savings!A111="","",Agent05_Savings!G111)</f>
        <v/>
      </c>
      <c r="E906" s="38" t="str">
        <f>IF(Agent05_Savings!A111="","",Agent05_Savings!D111)</f>
        <v/>
      </c>
      <c r="F906" s="39" t="str">
        <f>IF(Agent05_Savings!A111="","",Agent05_Savings!E111)</f>
        <v/>
      </c>
      <c r="G906" s="39" t="str">
        <f>IF(Agent05_Savings!A111="","",Agent05_Savings!F111)</f>
        <v/>
      </c>
      <c r="H906" s="37" t="str">
        <f>IF(Agent05_Savings!A111="","",Agent05_Savings!I111)</f>
        <v/>
      </c>
      <c r="I906" s="37" t="str">
        <f>IF(Agent05_Savings!A111="","",Agent05_Savings!J111)</f>
        <v/>
      </c>
      <c r="J906" s="37" t="str">
        <f>IF(Agent05_Savings!A111="","",Agent05_Savings!K111)</f>
        <v/>
      </c>
      <c r="K906" s="37" t="str">
        <f>IFERROR(IF(Agent05_Savings!A111="","",YEAR(Agent05_Savings!D111)),"")</f>
        <v/>
      </c>
    </row>
    <row r="907" spans="1:11" ht="18" customHeight="1" x14ac:dyDescent="0.25">
      <c r="A907" s="37" t="str">
        <f>IF(Agent05_Savings!A112="","",Agent05_Savings!A112)</f>
        <v/>
      </c>
      <c r="B907" s="37" t="str">
        <f ca="1">IF(Agent05_Savings!A112="","","SV"&amp;TEXT(907-3,"0000")&amp;"-"&amp;TEXT(TODAY(),"YYYYMMDD"))</f>
        <v/>
      </c>
      <c r="C907" s="37" t="str">
        <f>IF(Agent05_Savings!A112="","",Agent05_Savings!B112)</f>
        <v/>
      </c>
      <c r="D907" s="37" t="str">
        <f>IF(Agent05_Savings!A112="","",Agent05_Savings!G112)</f>
        <v/>
      </c>
      <c r="E907" s="38" t="str">
        <f>IF(Agent05_Savings!A112="","",Agent05_Savings!D112)</f>
        <v/>
      </c>
      <c r="F907" s="39" t="str">
        <f>IF(Agent05_Savings!A112="","",Agent05_Savings!E112)</f>
        <v/>
      </c>
      <c r="G907" s="39" t="str">
        <f>IF(Agent05_Savings!A112="","",Agent05_Savings!F112)</f>
        <v/>
      </c>
      <c r="H907" s="37" t="str">
        <f>IF(Agent05_Savings!A112="","",Agent05_Savings!I112)</f>
        <v/>
      </c>
      <c r="I907" s="37" t="str">
        <f>IF(Agent05_Savings!A112="","",Agent05_Savings!J112)</f>
        <v/>
      </c>
      <c r="J907" s="37" t="str">
        <f>IF(Agent05_Savings!A112="","",Agent05_Savings!K112)</f>
        <v/>
      </c>
      <c r="K907" s="37" t="str">
        <f>IFERROR(IF(Agent05_Savings!A112="","",YEAR(Agent05_Savings!D112)),"")</f>
        <v/>
      </c>
    </row>
    <row r="908" spans="1:11" ht="18" customHeight="1" x14ac:dyDescent="0.25">
      <c r="A908" s="37" t="str">
        <f>IF(Agent05_Savings!A113="","",Agent05_Savings!A113)</f>
        <v/>
      </c>
      <c r="B908" s="37" t="str">
        <f ca="1">IF(Agent05_Savings!A113="","","SV"&amp;TEXT(908-3,"0000")&amp;"-"&amp;TEXT(TODAY(),"YYYYMMDD"))</f>
        <v/>
      </c>
      <c r="C908" s="37" t="str">
        <f>IF(Agent05_Savings!A113="","",Agent05_Savings!B113)</f>
        <v/>
      </c>
      <c r="D908" s="37" t="str">
        <f>IF(Agent05_Savings!A113="","",Agent05_Savings!G113)</f>
        <v/>
      </c>
      <c r="E908" s="38" t="str">
        <f>IF(Agent05_Savings!A113="","",Agent05_Savings!D113)</f>
        <v/>
      </c>
      <c r="F908" s="39" t="str">
        <f>IF(Agent05_Savings!A113="","",Agent05_Savings!E113)</f>
        <v/>
      </c>
      <c r="G908" s="39" t="str">
        <f>IF(Agent05_Savings!A113="","",Agent05_Savings!F113)</f>
        <v/>
      </c>
      <c r="H908" s="37" t="str">
        <f>IF(Agent05_Savings!A113="","",Agent05_Savings!I113)</f>
        <v/>
      </c>
      <c r="I908" s="37" t="str">
        <f>IF(Agent05_Savings!A113="","",Agent05_Savings!J113)</f>
        <v/>
      </c>
      <c r="J908" s="37" t="str">
        <f>IF(Agent05_Savings!A113="","",Agent05_Savings!K113)</f>
        <v/>
      </c>
      <c r="K908" s="37" t="str">
        <f>IFERROR(IF(Agent05_Savings!A113="","",YEAR(Agent05_Savings!D113)),"")</f>
        <v/>
      </c>
    </row>
    <row r="909" spans="1:11" ht="18" customHeight="1" x14ac:dyDescent="0.25">
      <c r="A909" s="37" t="str">
        <f>IF(Agent05_Savings!A114="","",Agent05_Savings!A114)</f>
        <v/>
      </c>
      <c r="B909" s="37" t="str">
        <f ca="1">IF(Agent05_Savings!A114="","","SV"&amp;TEXT(909-3,"0000")&amp;"-"&amp;TEXT(TODAY(),"YYYYMMDD"))</f>
        <v/>
      </c>
      <c r="C909" s="37" t="str">
        <f>IF(Agent05_Savings!A114="","",Agent05_Savings!B114)</f>
        <v/>
      </c>
      <c r="D909" s="37" t="str">
        <f>IF(Agent05_Savings!A114="","",Agent05_Savings!G114)</f>
        <v/>
      </c>
      <c r="E909" s="38" t="str">
        <f>IF(Agent05_Savings!A114="","",Agent05_Savings!D114)</f>
        <v/>
      </c>
      <c r="F909" s="39" t="str">
        <f>IF(Agent05_Savings!A114="","",Agent05_Savings!E114)</f>
        <v/>
      </c>
      <c r="G909" s="39" t="str">
        <f>IF(Agent05_Savings!A114="","",Agent05_Savings!F114)</f>
        <v/>
      </c>
      <c r="H909" s="37" t="str">
        <f>IF(Agent05_Savings!A114="","",Agent05_Savings!I114)</f>
        <v/>
      </c>
      <c r="I909" s="37" t="str">
        <f>IF(Agent05_Savings!A114="","",Agent05_Savings!J114)</f>
        <v/>
      </c>
      <c r="J909" s="37" t="str">
        <f>IF(Agent05_Savings!A114="","",Agent05_Savings!K114)</f>
        <v/>
      </c>
      <c r="K909" s="37" t="str">
        <f>IFERROR(IF(Agent05_Savings!A114="","",YEAR(Agent05_Savings!D114)),"")</f>
        <v/>
      </c>
    </row>
    <row r="910" spans="1:11" ht="18" customHeight="1" x14ac:dyDescent="0.25">
      <c r="A910" s="37" t="str">
        <f>IF(Agent05_Savings!A115="","",Agent05_Savings!A115)</f>
        <v/>
      </c>
      <c r="B910" s="37" t="str">
        <f ca="1">IF(Agent05_Savings!A115="","","SV"&amp;TEXT(910-3,"0000")&amp;"-"&amp;TEXT(TODAY(),"YYYYMMDD"))</f>
        <v/>
      </c>
      <c r="C910" s="37" t="str">
        <f>IF(Agent05_Savings!A115="","",Agent05_Savings!B115)</f>
        <v/>
      </c>
      <c r="D910" s="37" t="str">
        <f>IF(Agent05_Savings!A115="","",Agent05_Savings!G115)</f>
        <v/>
      </c>
      <c r="E910" s="38" t="str">
        <f>IF(Agent05_Savings!A115="","",Agent05_Savings!D115)</f>
        <v/>
      </c>
      <c r="F910" s="39" t="str">
        <f>IF(Agent05_Savings!A115="","",Agent05_Savings!E115)</f>
        <v/>
      </c>
      <c r="G910" s="39" t="str">
        <f>IF(Agent05_Savings!A115="","",Agent05_Savings!F115)</f>
        <v/>
      </c>
      <c r="H910" s="37" t="str">
        <f>IF(Agent05_Savings!A115="","",Agent05_Savings!I115)</f>
        <v/>
      </c>
      <c r="I910" s="37" t="str">
        <f>IF(Agent05_Savings!A115="","",Agent05_Savings!J115)</f>
        <v/>
      </c>
      <c r="J910" s="37" t="str">
        <f>IF(Agent05_Savings!A115="","",Agent05_Savings!K115)</f>
        <v/>
      </c>
      <c r="K910" s="37" t="str">
        <f>IFERROR(IF(Agent05_Savings!A115="","",YEAR(Agent05_Savings!D115)),"")</f>
        <v/>
      </c>
    </row>
    <row r="911" spans="1:11" ht="18" customHeight="1" x14ac:dyDescent="0.25">
      <c r="A911" s="37" t="str">
        <f>IF(Agent05_Savings!A116="","",Agent05_Savings!A116)</f>
        <v/>
      </c>
      <c r="B911" s="37" t="str">
        <f ca="1">IF(Agent05_Savings!A116="","","SV"&amp;TEXT(911-3,"0000")&amp;"-"&amp;TEXT(TODAY(),"YYYYMMDD"))</f>
        <v/>
      </c>
      <c r="C911" s="37" t="str">
        <f>IF(Agent05_Savings!A116="","",Agent05_Savings!B116)</f>
        <v/>
      </c>
      <c r="D911" s="37" t="str">
        <f>IF(Agent05_Savings!A116="","",Agent05_Savings!G116)</f>
        <v/>
      </c>
      <c r="E911" s="38" t="str">
        <f>IF(Agent05_Savings!A116="","",Agent05_Savings!D116)</f>
        <v/>
      </c>
      <c r="F911" s="39" t="str">
        <f>IF(Agent05_Savings!A116="","",Agent05_Savings!E116)</f>
        <v/>
      </c>
      <c r="G911" s="39" t="str">
        <f>IF(Agent05_Savings!A116="","",Agent05_Savings!F116)</f>
        <v/>
      </c>
      <c r="H911" s="37" t="str">
        <f>IF(Agent05_Savings!A116="","",Agent05_Savings!I116)</f>
        <v/>
      </c>
      <c r="I911" s="37" t="str">
        <f>IF(Agent05_Savings!A116="","",Agent05_Savings!J116)</f>
        <v/>
      </c>
      <c r="J911" s="37" t="str">
        <f>IF(Agent05_Savings!A116="","",Agent05_Savings!K116)</f>
        <v/>
      </c>
      <c r="K911" s="37" t="str">
        <f>IFERROR(IF(Agent05_Savings!A116="","",YEAR(Agent05_Savings!D116)),"")</f>
        <v/>
      </c>
    </row>
    <row r="912" spans="1:11" ht="18" customHeight="1" x14ac:dyDescent="0.25">
      <c r="A912" s="37" t="str">
        <f>IF(Agent05_Savings!A117="","",Agent05_Savings!A117)</f>
        <v/>
      </c>
      <c r="B912" s="37" t="str">
        <f ca="1">IF(Agent05_Savings!A117="","","SV"&amp;TEXT(912-3,"0000")&amp;"-"&amp;TEXT(TODAY(),"YYYYMMDD"))</f>
        <v/>
      </c>
      <c r="C912" s="37" t="str">
        <f>IF(Agent05_Savings!A117="","",Agent05_Savings!B117)</f>
        <v/>
      </c>
      <c r="D912" s="37" t="str">
        <f>IF(Agent05_Savings!A117="","",Agent05_Savings!G117)</f>
        <v/>
      </c>
      <c r="E912" s="38" t="str">
        <f>IF(Agent05_Savings!A117="","",Agent05_Savings!D117)</f>
        <v/>
      </c>
      <c r="F912" s="39" t="str">
        <f>IF(Agent05_Savings!A117="","",Agent05_Savings!E117)</f>
        <v/>
      </c>
      <c r="G912" s="39" t="str">
        <f>IF(Agent05_Savings!A117="","",Agent05_Savings!F117)</f>
        <v/>
      </c>
      <c r="H912" s="37" t="str">
        <f>IF(Agent05_Savings!A117="","",Agent05_Savings!I117)</f>
        <v/>
      </c>
      <c r="I912" s="37" t="str">
        <f>IF(Agent05_Savings!A117="","",Agent05_Savings!J117)</f>
        <v/>
      </c>
      <c r="J912" s="37" t="str">
        <f>IF(Agent05_Savings!A117="","",Agent05_Savings!K117)</f>
        <v/>
      </c>
      <c r="K912" s="37" t="str">
        <f>IFERROR(IF(Agent05_Savings!A117="","",YEAR(Agent05_Savings!D117)),"")</f>
        <v/>
      </c>
    </row>
    <row r="913" spans="1:11" ht="18" customHeight="1" x14ac:dyDescent="0.25">
      <c r="A913" s="37" t="str">
        <f>IF(Agent05_Savings!A118="","",Agent05_Savings!A118)</f>
        <v/>
      </c>
      <c r="B913" s="37" t="str">
        <f ca="1">IF(Agent05_Savings!A118="","","SV"&amp;TEXT(913-3,"0000")&amp;"-"&amp;TEXT(TODAY(),"YYYYMMDD"))</f>
        <v/>
      </c>
      <c r="C913" s="37" t="str">
        <f>IF(Agent05_Savings!A118="","",Agent05_Savings!B118)</f>
        <v/>
      </c>
      <c r="D913" s="37" t="str">
        <f>IF(Agent05_Savings!A118="","",Agent05_Savings!G118)</f>
        <v/>
      </c>
      <c r="E913" s="38" t="str">
        <f>IF(Agent05_Savings!A118="","",Agent05_Savings!D118)</f>
        <v/>
      </c>
      <c r="F913" s="39" t="str">
        <f>IF(Agent05_Savings!A118="","",Agent05_Savings!E118)</f>
        <v/>
      </c>
      <c r="G913" s="39" t="str">
        <f>IF(Agent05_Savings!A118="","",Agent05_Savings!F118)</f>
        <v/>
      </c>
      <c r="H913" s="37" t="str">
        <f>IF(Agent05_Savings!A118="","",Agent05_Savings!I118)</f>
        <v/>
      </c>
      <c r="I913" s="37" t="str">
        <f>IF(Agent05_Savings!A118="","",Agent05_Savings!J118)</f>
        <v/>
      </c>
      <c r="J913" s="37" t="str">
        <f>IF(Agent05_Savings!A118="","",Agent05_Savings!K118)</f>
        <v/>
      </c>
      <c r="K913" s="37" t="str">
        <f>IFERROR(IF(Agent05_Savings!A118="","",YEAR(Agent05_Savings!D118)),"")</f>
        <v/>
      </c>
    </row>
    <row r="914" spans="1:11" ht="18" customHeight="1" x14ac:dyDescent="0.25">
      <c r="A914" s="37" t="str">
        <f>IF(Agent05_Savings!A119="","",Agent05_Savings!A119)</f>
        <v/>
      </c>
      <c r="B914" s="37" t="str">
        <f ca="1">IF(Agent05_Savings!A119="","","SV"&amp;TEXT(914-3,"0000")&amp;"-"&amp;TEXT(TODAY(),"YYYYMMDD"))</f>
        <v/>
      </c>
      <c r="C914" s="37" t="str">
        <f>IF(Agent05_Savings!A119="","",Agent05_Savings!B119)</f>
        <v/>
      </c>
      <c r="D914" s="37" t="str">
        <f>IF(Agent05_Savings!A119="","",Agent05_Savings!G119)</f>
        <v/>
      </c>
      <c r="E914" s="38" t="str">
        <f>IF(Agent05_Savings!A119="","",Agent05_Savings!D119)</f>
        <v/>
      </c>
      <c r="F914" s="39" t="str">
        <f>IF(Agent05_Savings!A119="","",Agent05_Savings!E119)</f>
        <v/>
      </c>
      <c r="G914" s="39" t="str">
        <f>IF(Agent05_Savings!A119="","",Agent05_Savings!F119)</f>
        <v/>
      </c>
      <c r="H914" s="37" t="str">
        <f>IF(Agent05_Savings!A119="","",Agent05_Savings!I119)</f>
        <v/>
      </c>
      <c r="I914" s="37" t="str">
        <f>IF(Agent05_Savings!A119="","",Agent05_Savings!J119)</f>
        <v/>
      </c>
      <c r="J914" s="37" t="str">
        <f>IF(Agent05_Savings!A119="","",Agent05_Savings!K119)</f>
        <v/>
      </c>
      <c r="K914" s="37" t="str">
        <f>IFERROR(IF(Agent05_Savings!A119="","",YEAR(Agent05_Savings!D119)),"")</f>
        <v/>
      </c>
    </row>
    <row r="915" spans="1:11" ht="18" customHeight="1" x14ac:dyDescent="0.25">
      <c r="A915" s="37" t="str">
        <f>IF(Agent05_Savings!A120="","",Agent05_Savings!A120)</f>
        <v/>
      </c>
      <c r="B915" s="37" t="str">
        <f ca="1">IF(Agent05_Savings!A120="","","SV"&amp;TEXT(915-3,"0000")&amp;"-"&amp;TEXT(TODAY(),"YYYYMMDD"))</f>
        <v/>
      </c>
      <c r="C915" s="37" t="str">
        <f>IF(Agent05_Savings!A120="","",Agent05_Savings!B120)</f>
        <v/>
      </c>
      <c r="D915" s="37" t="str">
        <f>IF(Agent05_Savings!A120="","",Agent05_Savings!G120)</f>
        <v/>
      </c>
      <c r="E915" s="38" t="str">
        <f>IF(Agent05_Savings!A120="","",Agent05_Savings!D120)</f>
        <v/>
      </c>
      <c r="F915" s="39" t="str">
        <f>IF(Agent05_Savings!A120="","",Agent05_Savings!E120)</f>
        <v/>
      </c>
      <c r="G915" s="39" t="str">
        <f>IF(Agent05_Savings!A120="","",Agent05_Savings!F120)</f>
        <v/>
      </c>
      <c r="H915" s="37" t="str">
        <f>IF(Agent05_Savings!A120="","",Agent05_Savings!I120)</f>
        <v/>
      </c>
      <c r="I915" s="37" t="str">
        <f>IF(Agent05_Savings!A120="","",Agent05_Savings!J120)</f>
        <v/>
      </c>
      <c r="J915" s="37" t="str">
        <f>IF(Agent05_Savings!A120="","",Agent05_Savings!K120)</f>
        <v/>
      </c>
      <c r="K915" s="37" t="str">
        <f>IFERROR(IF(Agent05_Savings!A120="","",YEAR(Agent05_Savings!D120)),"")</f>
        <v/>
      </c>
    </row>
    <row r="916" spans="1:11" ht="18" customHeight="1" x14ac:dyDescent="0.25">
      <c r="A916" s="37" t="str">
        <f>IF(Agent05_Savings!A121="","",Agent05_Savings!A121)</f>
        <v/>
      </c>
      <c r="B916" s="37" t="str">
        <f ca="1">IF(Agent05_Savings!A121="","","SV"&amp;TEXT(916-3,"0000")&amp;"-"&amp;TEXT(TODAY(),"YYYYMMDD"))</f>
        <v/>
      </c>
      <c r="C916" s="37" t="str">
        <f>IF(Agent05_Savings!A121="","",Agent05_Savings!B121)</f>
        <v/>
      </c>
      <c r="D916" s="37" t="str">
        <f>IF(Agent05_Savings!A121="","",Agent05_Savings!G121)</f>
        <v/>
      </c>
      <c r="E916" s="38" t="str">
        <f>IF(Agent05_Savings!A121="","",Agent05_Savings!D121)</f>
        <v/>
      </c>
      <c r="F916" s="39" t="str">
        <f>IF(Agent05_Savings!A121="","",Agent05_Savings!E121)</f>
        <v/>
      </c>
      <c r="G916" s="39" t="str">
        <f>IF(Agent05_Savings!A121="","",Agent05_Savings!F121)</f>
        <v/>
      </c>
      <c r="H916" s="37" t="str">
        <f>IF(Agent05_Savings!A121="","",Agent05_Savings!I121)</f>
        <v/>
      </c>
      <c r="I916" s="37" t="str">
        <f>IF(Agent05_Savings!A121="","",Agent05_Savings!J121)</f>
        <v/>
      </c>
      <c r="J916" s="37" t="str">
        <f>IF(Agent05_Savings!A121="","",Agent05_Savings!K121)</f>
        <v/>
      </c>
      <c r="K916" s="37" t="str">
        <f>IFERROR(IF(Agent05_Savings!A121="","",YEAR(Agent05_Savings!D121)),"")</f>
        <v/>
      </c>
    </row>
    <row r="917" spans="1:11" ht="18" customHeight="1" x14ac:dyDescent="0.25">
      <c r="A917" s="37" t="str">
        <f>IF(Agent05_Savings!A122="","",Agent05_Savings!A122)</f>
        <v/>
      </c>
      <c r="B917" s="37" t="str">
        <f ca="1">IF(Agent05_Savings!A122="","","SV"&amp;TEXT(917-3,"0000")&amp;"-"&amp;TEXT(TODAY(),"YYYYMMDD"))</f>
        <v/>
      </c>
      <c r="C917" s="37" t="str">
        <f>IF(Agent05_Savings!A122="","",Agent05_Savings!B122)</f>
        <v/>
      </c>
      <c r="D917" s="37" t="str">
        <f>IF(Agent05_Savings!A122="","",Agent05_Savings!G122)</f>
        <v/>
      </c>
      <c r="E917" s="38" t="str">
        <f>IF(Agent05_Savings!A122="","",Agent05_Savings!D122)</f>
        <v/>
      </c>
      <c r="F917" s="39" t="str">
        <f>IF(Agent05_Savings!A122="","",Agent05_Savings!E122)</f>
        <v/>
      </c>
      <c r="G917" s="39" t="str">
        <f>IF(Agent05_Savings!A122="","",Agent05_Savings!F122)</f>
        <v/>
      </c>
      <c r="H917" s="37" t="str">
        <f>IF(Agent05_Savings!A122="","",Agent05_Savings!I122)</f>
        <v/>
      </c>
      <c r="I917" s="37" t="str">
        <f>IF(Agent05_Savings!A122="","",Agent05_Savings!J122)</f>
        <v/>
      </c>
      <c r="J917" s="37" t="str">
        <f>IF(Agent05_Savings!A122="","",Agent05_Savings!K122)</f>
        <v/>
      </c>
      <c r="K917" s="37" t="str">
        <f>IFERROR(IF(Agent05_Savings!A122="","",YEAR(Agent05_Savings!D122)),"")</f>
        <v/>
      </c>
    </row>
    <row r="918" spans="1:11" ht="18" customHeight="1" x14ac:dyDescent="0.25">
      <c r="A918" s="37" t="str">
        <f>IF(Agent05_Savings!A123="","",Agent05_Savings!A123)</f>
        <v/>
      </c>
      <c r="B918" s="37" t="str">
        <f ca="1">IF(Agent05_Savings!A123="","","SV"&amp;TEXT(918-3,"0000")&amp;"-"&amp;TEXT(TODAY(),"YYYYMMDD"))</f>
        <v/>
      </c>
      <c r="C918" s="37" t="str">
        <f>IF(Agent05_Savings!A123="","",Agent05_Savings!B123)</f>
        <v/>
      </c>
      <c r="D918" s="37" t="str">
        <f>IF(Agent05_Savings!A123="","",Agent05_Savings!G123)</f>
        <v/>
      </c>
      <c r="E918" s="38" t="str">
        <f>IF(Agent05_Savings!A123="","",Agent05_Savings!D123)</f>
        <v/>
      </c>
      <c r="F918" s="39" t="str">
        <f>IF(Agent05_Savings!A123="","",Agent05_Savings!E123)</f>
        <v/>
      </c>
      <c r="G918" s="39" t="str">
        <f>IF(Agent05_Savings!A123="","",Agent05_Savings!F123)</f>
        <v/>
      </c>
      <c r="H918" s="37" t="str">
        <f>IF(Agent05_Savings!A123="","",Agent05_Savings!I123)</f>
        <v/>
      </c>
      <c r="I918" s="37" t="str">
        <f>IF(Agent05_Savings!A123="","",Agent05_Savings!J123)</f>
        <v/>
      </c>
      <c r="J918" s="37" t="str">
        <f>IF(Agent05_Savings!A123="","",Agent05_Savings!K123)</f>
        <v/>
      </c>
      <c r="K918" s="37" t="str">
        <f>IFERROR(IF(Agent05_Savings!A123="","",YEAR(Agent05_Savings!D123)),"")</f>
        <v/>
      </c>
    </row>
    <row r="919" spans="1:11" ht="18" customHeight="1" x14ac:dyDescent="0.25">
      <c r="A919" s="37" t="str">
        <f>IF(Agent05_Savings!A124="","",Agent05_Savings!A124)</f>
        <v/>
      </c>
      <c r="B919" s="37" t="str">
        <f ca="1">IF(Agent05_Savings!A124="","","SV"&amp;TEXT(919-3,"0000")&amp;"-"&amp;TEXT(TODAY(),"YYYYMMDD"))</f>
        <v/>
      </c>
      <c r="C919" s="37" t="str">
        <f>IF(Agent05_Savings!A124="","",Agent05_Savings!B124)</f>
        <v/>
      </c>
      <c r="D919" s="37" t="str">
        <f>IF(Agent05_Savings!A124="","",Agent05_Savings!G124)</f>
        <v/>
      </c>
      <c r="E919" s="38" t="str">
        <f>IF(Agent05_Savings!A124="","",Agent05_Savings!D124)</f>
        <v/>
      </c>
      <c r="F919" s="39" t="str">
        <f>IF(Agent05_Savings!A124="","",Agent05_Savings!E124)</f>
        <v/>
      </c>
      <c r="G919" s="39" t="str">
        <f>IF(Agent05_Savings!A124="","",Agent05_Savings!F124)</f>
        <v/>
      </c>
      <c r="H919" s="37" t="str">
        <f>IF(Agent05_Savings!A124="","",Agent05_Savings!I124)</f>
        <v/>
      </c>
      <c r="I919" s="37" t="str">
        <f>IF(Agent05_Savings!A124="","",Agent05_Savings!J124)</f>
        <v/>
      </c>
      <c r="J919" s="37" t="str">
        <f>IF(Agent05_Savings!A124="","",Agent05_Savings!K124)</f>
        <v/>
      </c>
      <c r="K919" s="37" t="str">
        <f>IFERROR(IF(Agent05_Savings!A124="","",YEAR(Agent05_Savings!D124)),"")</f>
        <v/>
      </c>
    </row>
    <row r="920" spans="1:11" ht="18" customHeight="1" x14ac:dyDescent="0.25">
      <c r="A920" s="37" t="str">
        <f>IF(Agent05_Savings!A125="","",Agent05_Savings!A125)</f>
        <v/>
      </c>
      <c r="B920" s="37" t="str">
        <f ca="1">IF(Agent05_Savings!A125="","","SV"&amp;TEXT(920-3,"0000")&amp;"-"&amp;TEXT(TODAY(),"YYYYMMDD"))</f>
        <v/>
      </c>
      <c r="C920" s="37" t="str">
        <f>IF(Agent05_Savings!A125="","",Agent05_Savings!B125)</f>
        <v/>
      </c>
      <c r="D920" s="37" t="str">
        <f>IF(Agent05_Savings!A125="","",Agent05_Savings!G125)</f>
        <v/>
      </c>
      <c r="E920" s="38" t="str">
        <f>IF(Agent05_Savings!A125="","",Agent05_Savings!D125)</f>
        <v/>
      </c>
      <c r="F920" s="39" t="str">
        <f>IF(Agent05_Savings!A125="","",Agent05_Savings!E125)</f>
        <v/>
      </c>
      <c r="G920" s="39" t="str">
        <f>IF(Agent05_Savings!A125="","",Agent05_Savings!F125)</f>
        <v/>
      </c>
      <c r="H920" s="37" t="str">
        <f>IF(Agent05_Savings!A125="","",Agent05_Savings!I125)</f>
        <v/>
      </c>
      <c r="I920" s="37" t="str">
        <f>IF(Agent05_Savings!A125="","",Agent05_Savings!J125)</f>
        <v/>
      </c>
      <c r="J920" s="37" t="str">
        <f>IF(Agent05_Savings!A125="","",Agent05_Savings!K125)</f>
        <v/>
      </c>
      <c r="K920" s="37" t="str">
        <f>IFERROR(IF(Agent05_Savings!A125="","",YEAR(Agent05_Savings!D125)),"")</f>
        <v/>
      </c>
    </row>
    <row r="921" spans="1:11" ht="18" customHeight="1" x14ac:dyDescent="0.25">
      <c r="A921" s="37" t="str">
        <f>IF(Agent05_Savings!A126="","",Agent05_Savings!A126)</f>
        <v/>
      </c>
      <c r="B921" s="37" t="str">
        <f ca="1">IF(Agent05_Savings!A126="","","SV"&amp;TEXT(921-3,"0000")&amp;"-"&amp;TEXT(TODAY(),"YYYYMMDD"))</f>
        <v/>
      </c>
      <c r="C921" s="37" t="str">
        <f>IF(Agent05_Savings!A126="","",Agent05_Savings!B126)</f>
        <v/>
      </c>
      <c r="D921" s="37" t="str">
        <f>IF(Agent05_Savings!A126="","",Agent05_Savings!G126)</f>
        <v/>
      </c>
      <c r="E921" s="38" t="str">
        <f>IF(Agent05_Savings!A126="","",Agent05_Savings!D126)</f>
        <v/>
      </c>
      <c r="F921" s="39" t="str">
        <f>IF(Agent05_Savings!A126="","",Agent05_Savings!E126)</f>
        <v/>
      </c>
      <c r="G921" s="39" t="str">
        <f>IF(Agent05_Savings!A126="","",Agent05_Savings!F126)</f>
        <v/>
      </c>
      <c r="H921" s="37" t="str">
        <f>IF(Agent05_Savings!A126="","",Agent05_Savings!I126)</f>
        <v/>
      </c>
      <c r="I921" s="37" t="str">
        <f>IF(Agent05_Savings!A126="","",Agent05_Savings!J126)</f>
        <v/>
      </c>
      <c r="J921" s="37" t="str">
        <f>IF(Agent05_Savings!A126="","",Agent05_Savings!K126)</f>
        <v/>
      </c>
      <c r="K921" s="37" t="str">
        <f>IFERROR(IF(Agent05_Savings!A126="","",YEAR(Agent05_Savings!D126)),"")</f>
        <v/>
      </c>
    </row>
    <row r="922" spans="1:11" ht="18" customHeight="1" x14ac:dyDescent="0.25">
      <c r="A922" s="37" t="str">
        <f>IF(Agent05_Savings!A127="","",Agent05_Savings!A127)</f>
        <v/>
      </c>
      <c r="B922" s="37" t="str">
        <f ca="1">IF(Agent05_Savings!A127="","","SV"&amp;TEXT(922-3,"0000")&amp;"-"&amp;TEXT(TODAY(),"YYYYMMDD"))</f>
        <v/>
      </c>
      <c r="C922" s="37" t="str">
        <f>IF(Agent05_Savings!A127="","",Agent05_Savings!B127)</f>
        <v/>
      </c>
      <c r="D922" s="37" t="str">
        <f>IF(Agent05_Savings!A127="","",Agent05_Savings!G127)</f>
        <v/>
      </c>
      <c r="E922" s="38" t="str">
        <f>IF(Agent05_Savings!A127="","",Agent05_Savings!D127)</f>
        <v/>
      </c>
      <c r="F922" s="39" t="str">
        <f>IF(Agent05_Savings!A127="","",Agent05_Savings!E127)</f>
        <v/>
      </c>
      <c r="G922" s="39" t="str">
        <f>IF(Agent05_Savings!A127="","",Agent05_Savings!F127)</f>
        <v/>
      </c>
      <c r="H922" s="37" t="str">
        <f>IF(Agent05_Savings!A127="","",Agent05_Savings!I127)</f>
        <v/>
      </c>
      <c r="I922" s="37" t="str">
        <f>IF(Agent05_Savings!A127="","",Agent05_Savings!J127)</f>
        <v/>
      </c>
      <c r="J922" s="37" t="str">
        <f>IF(Agent05_Savings!A127="","",Agent05_Savings!K127)</f>
        <v/>
      </c>
      <c r="K922" s="37" t="str">
        <f>IFERROR(IF(Agent05_Savings!A127="","",YEAR(Agent05_Savings!D127)),"")</f>
        <v/>
      </c>
    </row>
    <row r="923" spans="1:11" ht="18" customHeight="1" x14ac:dyDescent="0.25">
      <c r="A923" s="37" t="str">
        <f>IF(Agent05_Savings!A128="","",Agent05_Savings!A128)</f>
        <v/>
      </c>
      <c r="B923" s="37" t="str">
        <f ca="1">IF(Agent05_Savings!A128="","","SV"&amp;TEXT(923-3,"0000")&amp;"-"&amp;TEXT(TODAY(),"YYYYMMDD"))</f>
        <v/>
      </c>
      <c r="C923" s="37" t="str">
        <f>IF(Agent05_Savings!A128="","",Agent05_Savings!B128)</f>
        <v/>
      </c>
      <c r="D923" s="37" t="str">
        <f>IF(Agent05_Savings!A128="","",Agent05_Savings!G128)</f>
        <v/>
      </c>
      <c r="E923" s="38" t="str">
        <f>IF(Agent05_Savings!A128="","",Agent05_Savings!D128)</f>
        <v/>
      </c>
      <c r="F923" s="39" t="str">
        <f>IF(Agent05_Savings!A128="","",Agent05_Savings!E128)</f>
        <v/>
      </c>
      <c r="G923" s="39" t="str">
        <f>IF(Agent05_Savings!A128="","",Agent05_Savings!F128)</f>
        <v/>
      </c>
      <c r="H923" s="37" t="str">
        <f>IF(Agent05_Savings!A128="","",Agent05_Savings!I128)</f>
        <v/>
      </c>
      <c r="I923" s="37" t="str">
        <f>IF(Agent05_Savings!A128="","",Agent05_Savings!J128)</f>
        <v/>
      </c>
      <c r="J923" s="37" t="str">
        <f>IF(Agent05_Savings!A128="","",Agent05_Savings!K128)</f>
        <v/>
      </c>
      <c r="K923" s="37" t="str">
        <f>IFERROR(IF(Agent05_Savings!A128="","",YEAR(Agent05_Savings!D128)),"")</f>
        <v/>
      </c>
    </row>
    <row r="924" spans="1:11" ht="18" customHeight="1" x14ac:dyDescent="0.25">
      <c r="A924" s="37" t="str">
        <f>IF(Agent05_Savings!A129="","",Agent05_Savings!A129)</f>
        <v/>
      </c>
      <c r="B924" s="37" t="str">
        <f ca="1">IF(Agent05_Savings!A129="","","SV"&amp;TEXT(924-3,"0000")&amp;"-"&amp;TEXT(TODAY(),"YYYYMMDD"))</f>
        <v/>
      </c>
      <c r="C924" s="37" t="str">
        <f>IF(Agent05_Savings!A129="","",Agent05_Savings!B129)</f>
        <v/>
      </c>
      <c r="D924" s="37" t="str">
        <f>IF(Agent05_Savings!A129="","",Agent05_Savings!G129)</f>
        <v/>
      </c>
      <c r="E924" s="38" t="str">
        <f>IF(Agent05_Savings!A129="","",Agent05_Savings!D129)</f>
        <v/>
      </c>
      <c r="F924" s="39" t="str">
        <f>IF(Agent05_Savings!A129="","",Agent05_Savings!E129)</f>
        <v/>
      </c>
      <c r="G924" s="39" t="str">
        <f>IF(Agent05_Savings!A129="","",Agent05_Savings!F129)</f>
        <v/>
      </c>
      <c r="H924" s="37" t="str">
        <f>IF(Agent05_Savings!A129="","",Agent05_Savings!I129)</f>
        <v/>
      </c>
      <c r="I924" s="37" t="str">
        <f>IF(Agent05_Savings!A129="","",Agent05_Savings!J129)</f>
        <v/>
      </c>
      <c r="J924" s="37" t="str">
        <f>IF(Agent05_Savings!A129="","",Agent05_Savings!K129)</f>
        <v/>
      </c>
      <c r="K924" s="37" t="str">
        <f>IFERROR(IF(Agent05_Savings!A129="","",YEAR(Agent05_Savings!D129)),"")</f>
        <v/>
      </c>
    </row>
    <row r="925" spans="1:11" ht="18" customHeight="1" x14ac:dyDescent="0.25">
      <c r="A925" s="37" t="str">
        <f>IF(Agent05_Savings!A130="","",Agent05_Savings!A130)</f>
        <v/>
      </c>
      <c r="B925" s="37" t="str">
        <f ca="1">IF(Agent05_Savings!A130="","","SV"&amp;TEXT(925-3,"0000")&amp;"-"&amp;TEXT(TODAY(),"YYYYMMDD"))</f>
        <v/>
      </c>
      <c r="C925" s="37" t="str">
        <f>IF(Agent05_Savings!A130="","",Agent05_Savings!B130)</f>
        <v/>
      </c>
      <c r="D925" s="37" t="str">
        <f>IF(Agent05_Savings!A130="","",Agent05_Savings!G130)</f>
        <v/>
      </c>
      <c r="E925" s="38" t="str">
        <f>IF(Agent05_Savings!A130="","",Agent05_Savings!D130)</f>
        <v/>
      </c>
      <c r="F925" s="39" t="str">
        <f>IF(Agent05_Savings!A130="","",Agent05_Savings!E130)</f>
        <v/>
      </c>
      <c r="G925" s="39" t="str">
        <f>IF(Agent05_Savings!A130="","",Agent05_Savings!F130)</f>
        <v/>
      </c>
      <c r="H925" s="37" t="str">
        <f>IF(Agent05_Savings!A130="","",Agent05_Savings!I130)</f>
        <v/>
      </c>
      <c r="I925" s="37" t="str">
        <f>IF(Agent05_Savings!A130="","",Agent05_Savings!J130)</f>
        <v/>
      </c>
      <c r="J925" s="37" t="str">
        <f>IF(Agent05_Savings!A130="","",Agent05_Savings!K130)</f>
        <v/>
      </c>
      <c r="K925" s="37" t="str">
        <f>IFERROR(IF(Agent05_Savings!A130="","",YEAR(Agent05_Savings!D130)),"")</f>
        <v/>
      </c>
    </row>
    <row r="926" spans="1:11" ht="18" customHeight="1" x14ac:dyDescent="0.25">
      <c r="A926" s="37" t="str">
        <f>IF(Agent05_Savings!A131="","",Agent05_Savings!A131)</f>
        <v/>
      </c>
      <c r="B926" s="37" t="str">
        <f ca="1">IF(Agent05_Savings!A131="","","SV"&amp;TEXT(926-3,"0000")&amp;"-"&amp;TEXT(TODAY(),"YYYYMMDD"))</f>
        <v/>
      </c>
      <c r="C926" s="37" t="str">
        <f>IF(Agent05_Savings!A131="","",Agent05_Savings!B131)</f>
        <v/>
      </c>
      <c r="D926" s="37" t="str">
        <f>IF(Agent05_Savings!A131="","",Agent05_Savings!G131)</f>
        <v/>
      </c>
      <c r="E926" s="38" t="str">
        <f>IF(Agent05_Savings!A131="","",Agent05_Savings!D131)</f>
        <v/>
      </c>
      <c r="F926" s="39" t="str">
        <f>IF(Agent05_Savings!A131="","",Agent05_Savings!E131)</f>
        <v/>
      </c>
      <c r="G926" s="39" t="str">
        <f>IF(Agent05_Savings!A131="","",Agent05_Savings!F131)</f>
        <v/>
      </c>
      <c r="H926" s="37" t="str">
        <f>IF(Agent05_Savings!A131="","",Agent05_Savings!I131)</f>
        <v/>
      </c>
      <c r="I926" s="37" t="str">
        <f>IF(Agent05_Savings!A131="","",Agent05_Savings!J131)</f>
        <v/>
      </c>
      <c r="J926" s="37" t="str">
        <f>IF(Agent05_Savings!A131="","",Agent05_Savings!K131)</f>
        <v/>
      </c>
      <c r="K926" s="37" t="str">
        <f>IFERROR(IF(Agent05_Savings!A131="","",YEAR(Agent05_Savings!D131)),"")</f>
        <v/>
      </c>
    </row>
    <row r="927" spans="1:11" ht="18" customHeight="1" x14ac:dyDescent="0.25">
      <c r="A927" s="37" t="str">
        <f>IF(Agent05_Savings!A132="","",Agent05_Savings!A132)</f>
        <v/>
      </c>
      <c r="B927" s="37" t="str">
        <f ca="1">IF(Agent05_Savings!A132="","","SV"&amp;TEXT(927-3,"0000")&amp;"-"&amp;TEXT(TODAY(),"YYYYMMDD"))</f>
        <v/>
      </c>
      <c r="C927" s="37" t="str">
        <f>IF(Agent05_Savings!A132="","",Agent05_Savings!B132)</f>
        <v/>
      </c>
      <c r="D927" s="37" t="str">
        <f>IF(Agent05_Savings!A132="","",Agent05_Savings!G132)</f>
        <v/>
      </c>
      <c r="E927" s="38" t="str">
        <f>IF(Agent05_Savings!A132="","",Agent05_Savings!D132)</f>
        <v/>
      </c>
      <c r="F927" s="39" t="str">
        <f>IF(Agent05_Savings!A132="","",Agent05_Savings!E132)</f>
        <v/>
      </c>
      <c r="G927" s="39" t="str">
        <f>IF(Agent05_Savings!A132="","",Agent05_Savings!F132)</f>
        <v/>
      </c>
      <c r="H927" s="37" t="str">
        <f>IF(Agent05_Savings!A132="","",Agent05_Savings!I132)</f>
        <v/>
      </c>
      <c r="I927" s="37" t="str">
        <f>IF(Agent05_Savings!A132="","",Agent05_Savings!J132)</f>
        <v/>
      </c>
      <c r="J927" s="37" t="str">
        <f>IF(Agent05_Savings!A132="","",Agent05_Savings!K132)</f>
        <v/>
      </c>
      <c r="K927" s="37" t="str">
        <f>IFERROR(IF(Agent05_Savings!A132="","",YEAR(Agent05_Savings!D132)),"")</f>
        <v/>
      </c>
    </row>
    <row r="928" spans="1:11" ht="18" customHeight="1" x14ac:dyDescent="0.25">
      <c r="A928" s="37" t="str">
        <f>IF(Agent05_Savings!A133="","",Agent05_Savings!A133)</f>
        <v/>
      </c>
      <c r="B928" s="37" t="str">
        <f ca="1">IF(Agent05_Savings!A133="","","SV"&amp;TEXT(928-3,"0000")&amp;"-"&amp;TEXT(TODAY(),"YYYYMMDD"))</f>
        <v/>
      </c>
      <c r="C928" s="37" t="str">
        <f>IF(Agent05_Savings!A133="","",Agent05_Savings!B133)</f>
        <v/>
      </c>
      <c r="D928" s="37" t="str">
        <f>IF(Agent05_Savings!A133="","",Agent05_Savings!G133)</f>
        <v/>
      </c>
      <c r="E928" s="38" t="str">
        <f>IF(Agent05_Savings!A133="","",Agent05_Savings!D133)</f>
        <v/>
      </c>
      <c r="F928" s="39" t="str">
        <f>IF(Agent05_Savings!A133="","",Agent05_Savings!E133)</f>
        <v/>
      </c>
      <c r="G928" s="39" t="str">
        <f>IF(Agent05_Savings!A133="","",Agent05_Savings!F133)</f>
        <v/>
      </c>
      <c r="H928" s="37" t="str">
        <f>IF(Agent05_Savings!A133="","",Agent05_Savings!I133)</f>
        <v/>
      </c>
      <c r="I928" s="37" t="str">
        <f>IF(Agent05_Savings!A133="","",Agent05_Savings!J133)</f>
        <v/>
      </c>
      <c r="J928" s="37" t="str">
        <f>IF(Agent05_Savings!A133="","",Agent05_Savings!K133)</f>
        <v/>
      </c>
      <c r="K928" s="37" t="str">
        <f>IFERROR(IF(Agent05_Savings!A133="","",YEAR(Agent05_Savings!D133)),"")</f>
        <v/>
      </c>
    </row>
    <row r="929" spans="1:11" ht="18" customHeight="1" x14ac:dyDescent="0.25">
      <c r="A929" s="37" t="str">
        <f>IF(Agent05_Savings!A134="","",Agent05_Savings!A134)</f>
        <v/>
      </c>
      <c r="B929" s="37" t="str">
        <f ca="1">IF(Agent05_Savings!A134="","","SV"&amp;TEXT(929-3,"0000")&amp;"-"&amp;TEXT(TODAY(),"YYYYMMDD"))</f>
        <v/>
      </c>
      <c r="C929" s="37" t="str">
        <f>IF(Agent05_Savings!A134="","",Agent05_Savings!B134)</f>
        <v/>
      </c>
      <c r="D929" s="37" t="str">
        <f>IF(Agent05_Savings!A134="","",Agent05_Savings!G134)</f>
        <v/>
      </c>
      <c r="E929" s="38" t="str">
        <f>IF(Agent05_Savings!A134="","",Agent05_Savings!D134)</f>
        <v/>
      </c>
      <c r="F929" s="39" t="str">
        <f>IF(Agent05_Savings!A134="","",Agent05_Savings!E134)</f>
        <v/>
      </c>
      <c r="G929" s="39" t="str">
        <f>IF(Agent05_Savings!A134="","",Agent05_Savings!F134)</f>
        <v/>
      </c>
      <c r="H929" s="37" t="str">
        <f>IF(Agent05_Savings!A134="","",Agent05_Savings!I134)</f>
        <v/>
      </c>
      <c r="I929" s="37" t="str">
        <f>IF(Agent05_Savings!A134="","",Agent05_Savings!J134)</f>
        <v/>
      </c>
      <c r="J929" s="37" t="str">
        <f>IF(Agent05_Savings!A134="","",Agent05_Savings!K134)</f>
        <v/>
      </c>
      <c r="K929" s="37" t="str">
        <f>IFERROR(IF(Agent05_Savings!A134="","",YEAR(Agent05_Savings!D134)),"")</f>
        <v/>
      </c>
    </row>
    <row r="930" spans="1:11" ht="18" customHeight="1" x14ac:dyDescent="0.25">
      <c r="A930" s="37" t="str">
        <f>IF(Agent05_Savings!A135="","",Agent05_Savings!A135)</f>
        <v/>
      </c>
      <c r="B930" s="37" t="str">
        <f ca="1">IF(Agent05_Savings!A135="","","SV"&amp;TEXT(930-3,"0000")&amp;"-"&amp;TEXT(TODAY(),"YYYYMMDD"))</f>
        <v/>
      </c>
      <c r="C930" s="37" t="str">
        <f>IF(Agent05_Savings!A135="","",Agent05_Savings!B135)</f>
        <v/>
      </c>
      <c r="D930" s="37" t="str">
        <f>IF(Agent05_Savings!A135="","",Agent05_Savings!G135)</f>
        <v/>
      </c>
      <c r="E930" s="38" t="str">
        <f>IF(Agent05_Savings!A135="","",Agent05_Savings!D135)</f>
        <v/>
      </c>
      <c r="F930" s="39" t="str">
        <f>IF(Agent05_Savings!A135="","",Agent05_Savings!E135)</f>
        <v/>
      </c>
      <c r="G930" s="39" t="str">
        <f>IF(Agent05_Savings!A135="","",Agent05_Savings!F135)</f>
        <v/>
      </c>
      <c r="H930" s="37" t="str">
        <f>IF(Agent05_Savings!A135="","",Agent05_Savings!I135)</f>
        <v/>
      </c>
      <c r="I930" s="37" t="str">
        <f>IF(Agent05_Savings!A135="","",Agent05_Savings!J135)</f>
        <v/>
      </c>
      <c r="J930" s="37" t="str">
        <f>IF(Agent05_Savings!A135="","",Agent05_Savings!K135)</f>
        <v/>
      </c>
      <c r="K930" s="37" t="str">
        <f>IFERROR(IF(Agent05_Savings!A135="","",YEAR(Agent05_Savings!D135)),"")</f>
        <v/>
      </c>
    </row>
    <row r="931" spans="1:11" ht="18" customHeight="1" x14ac:dyDescent="0.25">
      <c r="A931" s="37" t="str">
        <f>IF(Agent05_Savings!A136="","",Agent05_Savings!A136)</f>
        <v/>
      </c>
      <c r="B931" s="37" t="str">
        <f ca="1">IF(Agent05_Savings!A136="","","SV"&amp;TEXT(931-3,"0000")&amp;"-"&amp;TEXT(TODAY(),"YYYYMMDD"))</f>
        <v/>
      </c>
      <c r="C931" s="37" t="str">
        <f>IF(Agent05_Savings!A136="","",Agent05_Savings!B136)</f>
        <v/>
      </c>
      <c r="D931" s="37" t="str">
        <f>IF(Agent05_Savings!A136="","",Agent05_Savings!G136)</f>
        <v/>
      </c>
      <c r="E931" s="38" t="str">
        <f>IF(Agent05_Savings!A136="","",Agent05_Savings!D136)</f>
        <v/>
      </c>
      <c r="F931" s="39" t="str">
        <f>IF(Agent05_Savings!A136="","",Agent05_Savings!E136)</f>
        <v/>
      </c>
      <c r="G931" s="39" t="str">
        <f>IF(Agent05_Savings!A136="","",Agent05_Savings!F136)</f>
        <v/>
      </c>
      <c r="H931" s="37" t="str">
        <f>IF(Agent05_Savings!A136="","",Agent05_Savings!I136)</f>
        <v/>
      </c>
      <c r="I931" s="37" t="str">
        <f>IF(Agent05_Savings!A136="","",Agent05_Savings!J136)</f>
        <v/>
      </c>
      <c r="J931" s="37" t="str">
        <f>IF(Agent05_Savings!A136="","",Agent05_Savings!K136)</f>
        <v/>
      </c>
      <c r="K931" s="37" t="str">
        <f>IFERROR(IF(Agent05_Savings!A136="","",YEAR(Agent05_Savings!D136)),"")</f>
        <v/>
      </c>
    </row>
    <row r="932" spans="1:11" ht="18" customHeight="1" x14ac:dyDescent="0.25">
      <c r="A932" s="37" t="str">
        <f>IF(Agent05_Savings!A137="","",Agent05_Savings!A137)</f>
        <v/>
      </c>
      <c r="B932" s="37" t="str">
        <f ca="1">IF(Agent05_Savings!A137="","","SV"&amp;TEXT(932-3,"0000")&amp;"-"&amp;TEXT(TODAY(),"YYYYMMDD"))</f>
        <v/>
      </c>
      <c r="C932" s="37" t="str">
        <f>IF(Agent05_Savings!A137="","",Agent05_Savings!B137)</f>
        <v/>
      </c>
      <c r="D932" s="37" t="str">
        <f>IF(Agent05_Savings!A137="","",Agent05_Savings!G137)</f>
        <v/>
      </c>
      <c r="E932" s="38" t="str">
        <f>IF(Agent05_Savings!A137="","",Agent05_Savings!D137)</f>
        <v/>
      </c>
      <c r="F932" s="39" t="str">
        <f>IF(Agent05_Savings!A137="","",Agent05_Savings!E137)</f>
        <v/>
      </c>
      <c r="G932" s="39" t="str">
        <f>IF(Agent05_Savings!A137="","",Agent05_Savings!F137)</f>
        <v/>
      </c>
      <c r="H932" s="37" t="str">
        <f>IF(Agent05_Savings!A137="","",Agent05_Savings!I137)</f>
        <v/>
      </c>
      <c r="I932" s="37" t="str">
        <f>IF(Agent05_Savings!A137="","",Agent05_Savings!J137)</f>
        <v/>
      </c>
      <c r="J932" s="37" t="str">
        <f>IF(Agent05_Savings!A137="","",Agent05_Savings!K137)</f>
        <v/>
      </c>
      <c r="K932" s="37" t="str">
        <f>IFERROR(IF(Agent05_Savings!A137="","",YEAR(Agent05_Savings!D137)),"")</f>
        <v/>
      </c>
    </row>
    <row r="933" spans="1:11" ht="18" customHeight="1" x14ac:dyDescent="0.25">
      <c r="A933" s="37" t="str">
        <f>IF(Agent05_Savings!A138="","",Agent05_Savings!A138)</f>
        <v/>
      </c>
      <c r="B933" s="37" t="str">
        <f ca="1">IF(Agent05_Savings!A138="","","SV"&amp;TEXT(933-3,"0000")&amp;"-"&amp;TEXT(TODAY(),"YYYYMMDD"))</f>
        <v/>
      </c>
      <c r="C933" s="37" t="str">
        <f>IF(Agent05_Savings!A138="","",Agent05_Savings!B138)</f>
        <v/>
      </c>
      <c r="D933" s="37" t="str">
        <f>IF(Agent05_Savings!A138="","",Agent05_Savings!G138)</f>
        <v/>
      </c>
      <c r="E933" s="38" t="str">
        <f>IF(Agent05_Savings!A138="","",Agent05_Savings!D138)</f>
        <v/>
      </c>
      <c r="F933" s="39" t="str">
        <f>IF(Agent05_Savings!A138="","",Agent05_Savings!E138)</f>
        <v/>
      </c>
      <c r="G933" s="39" t="str">
        <f>IF(Agent05_Savings!A138="","",Agent05_Savings!F138)</f>
        <v/>
      </c>
      <c r="H933" s="37" t="str">
        <f>IF(Agent05_Savings!A138="","",Agent05_Savings!I138)</f>
        <v/>
      </c>
      <c r="I933" s="37" t="str">
        <f>IF(Agent05_Savings!A138="","",Agent05_Savings!J138)</f>
        <v/>
      </c>
      <c r="J933" s="37" t="str">
        <f>IF(Agent05_Savings!A138="","",Agent05_Savings!K138)</f>
        <v/>
      </c>
      <c r="K933" s="37" t="str">
        <f>IFERROR(IF(Agent05_Savings!A138="","",YEAR(Agent05_Savings!D138)),"")</f>
        <v/>
      </c>
    </row>
    <row r="934" spans="1:11" ht="18" customHeight="1" x14ac:dyDescent="0.25">
      <c r="A934" s="37" t="str">
        <f>IF(Agent05_Savings!A139="","",Agent05_Savings!A139)</f>
        <v/>
      </c>
      <c r="B934" s="37" t="str">
        <f ca="1">IF(Agent05_Savings!A139="","","SV"&amp;TEXT(934-3,"0000")&amp;"-"&amp;TEXT(TODAY(),"YYYYMMDD"))</f>
        <v/>
      </c>
      <c r="C934" s="37" t="str">
        <f>IF(Agent05_Savings!A139="","",Agent05_Savings!B139)</f>
        <v/>
      </c>
      <c r="D934" s="37" t="str">
        <f>IF(Agent05_Savings!A139="","",Agent05_Savings!G139)</f>
        <v/>
      </c>
      <c r="E934" s="38" t="str">
        <f>IF(Agent05_Savings!A139="","",Agent05_Savings!D139)</f>
        <v/>
      </c>
      <c r="F934" s="39" t="str">
        <f>IF(Agent05_Savings!A139="","",Agent05_Savings!E139)</f>
        <v/>
      </c>
      <c r="G934" s="39" t="str">
        <f>IF(Agent05_Savings!A139="","",Agent05_Savings!F139)</f>
        <v/>
      </c>
      <c r="H934" s="37" t="str">
        <f>IF(Agent05_Savings!A139="","",Agent05_Savings!I139)</f>
        <v/>
      </c>
      <c r="I934" s="37" t="str">
        <f>IF(Agent05_Savings!A139="","",Agent05_Savings!J139)</f>
        <v/>
      </c>
      <c r="J934" s="37" t="str">
        <f>IF(Agent05_Savings!A139="","",Agent05_Savings!K139)</f>
        <v/>
      </c>
      <c r="K934" s="37" t="str">
        <f>IFERROR(IF(Agent05_Savings!A139="","",YEAR(Agent05_Savings!D139)),"")</f>
        <v/>
      </c>
    </row>
    <row r="935" spans="1:11" ht="18" customHeight="1" x14ac:dyDescent="0.25">
      <c r="A935" s="37" t="str">
        <f>IF(Agent05_Savings!A140="","",Agent05_Savings!A140)</f>
        <v/>
      </c>
      <c r="B935" s="37" t="str">
        <f ca="1">IF(Agent05_Savings!A140="","","SV"&amp;TEXT(935-3,"0000")&amp;"-"&amp;TEXT(TODAY(),"YYYYMMDD"))</f>
        <v/>
      </c>
      <c r="C935" s="37" t="str">
        <f>IF(Agent05_Savings!A140="","",Agent05_Savings!B140)</f>
        <v/>
      </c>
      <c r="D935" s="37" t="str">
        <f>IF(Agent05_Savings!A140="","",Agent05_Savings!G140)</f>
        <v/>
      </c>
      <c r="E935" s="38" t="str">
        <f>IF(Agent05_Savings!A140="","",Agent05_Savings!D140)</f>
        <v/>
      </c>
      <c r="F935" s="39" t="str">
        <f>IF(Agent05_Savings!A140="","",Agent05_Savings!E140)</f>
        <v/>
      </c>
      <c r="G935" s="39" t="str">
        <f>IF(Agent05_Savings!A140="","",Agent05_Savings!F140)</f>
        <v/>
      </c>
      <c r="H935" s="37" t="str">
        <f>IF(Agent05_Savings!A140="","",Agent05_Savings!I140)</f>
        <v/>
      </c>
      <c r="I935" s="37" t="str">
        <f>IF(Agent05_Savings!A140="","",Agent05_Savings!J140)</f>
        <v/>
      </c>
      <c r="J935" s="37" t="str">
        <f>IF(Agent05_Savings!A140="","",Agent05_Savings!K140)</f>
        <v/>
      </c>
      <c r="K935" s="37" t="str">
        <f>IFERROR(IF(Agent05_Savings!A140="","",YEAR(Agent05_Savings!D140)),"")</f>
        <v/>
      </c>
    </row>
    <row r="936" spans="1:11" ht="18" customHeight="1" x14ac:dyDescent="0.25">
      <c r="A936" s="37" t="str">
        <f>IF(Agent05_Savings!A141="","",Agent05_Savings!A141)</f>
        <v/>
      </c>
      <c r="B936" s="37" t="str">
        <f ca="1">IF(Agent05_Savings!A141="","","SV"&amp;TEXT(936-3,"0000")&amp;"-"&amp;TEXT(TODAY(),"YYYYMMDD"))</f>
        <v/>
      </c>
      <c r="C936" s="37" t="str">
        <f>IF(Agent05_Savings!A141="","",Agent05_Savings!B141)</f>
        <v/>
      </c>
      <c r="D936" s="37" t="str">
        <f>IF(Agent05_Savings!A141="","",Agent05_Savings!G141)</f>
        <v/>
      </c>
      <c r="E936" s="38" t="str">
        <f>IF(Agent05_Savings!A141="","",Agent05_Savings!D141)</f>
        <v/>
      </c>
      <c r="F936" s="39" t="str">
        <f>IF(Agent05_Savings!A141="","",Agent05_Savings!E141)</f>
        <v/>
      </c>
      <c r="G936" s="39" t="str">
        <f>IF(Agent05_Savings!A141="","",Agent05_Savings!F141)</f>
        <v/>
      </c>
      <c r="H936" s="37" t="str">
        <f>IF(Agent05_Savings!A141="","",Agent05_Savings!I141)</f>
        <v/>
      </c>
      <c r="I936" s="37" t="str">
        <f>IF(Agent05_Savings!A141="","",Agent05_Savings!J141)</f>
        <v/>
      </c>
      <c r="J936" s="37" t="str">
        <f>IF(Agent05_Savings!A141="","",Agent05_Savings!K141)</f>
        <v/>
      </c>
      <c r="K936" s="37" t="str">
        <f>IFERROR(IF(Agent05_Savings!A141="","",YEAR(Agent05_Savings!D141)),"")</f>
        <v/>
      </c>
    </row>
    <row r="937" spans="1:11" ht="18" customHeight="1" x14ac:dyDescent="0.25">
      <c r="A937" s="37" t="str">
        <f>IF(Agent05_Savings!A142="","",Agent05_Savings!A142)</f>
        <v/>
      </c>
      <c r="B937" s="37" t="str">
        <f ca="1">IF(Agent05_Savings!A142="","","SV"&amp;TEXT(937-3,"0000")&amp;"-"&amp;TEXT(TODAY(),"YYYYMMDD"))</f>
        <v/>
      </c>
      <c r="C937" s="37" t="str">
        <f>IF(Agent05_Savings!A142="","",Agent05_Savings!B142)</f>
        <v/>
      </c>
      <c r="D937" s="37" t="str">
        <f>IF(Agent05_Savings!A142="","",Agent05_Savings!G142)</f>
        <v/>
      </c>
      <c r="E937" s="38" t="str">
        <f>IF(Agent05_Savings!A142="","",Agent05_Savings!D142)</f>
        <v/>
      </c>
      <c r="F937" s="39" t="str">
        <f>IF(Agent05_Savings!A142="","",Agent05_Savings!E142)</f>
        <v/>
      </c>
      <c r="G937" s="39" t="str">
        <f>IF(Agent05_Savings!A142="","",Agent05_Savings!F142)</f>
        <v/>
      </c>
      <c r="H937" s="37" t="str">
        <f>IF(Agent05_Savings!A142="","",Agent05_Savings!I142)</f>
        <v/>
      </c>
      <c r="I937" s="37" t="str">
        <f>IF(Agent05_Savings!A142="","",Agent05_Savings!J142)</f>
        <v/>
      </c>
      <c r="J937" s="37" t="str">
        <f>IF(Agent05_Savings!A142="","",Agent05_Savings!K142)</f>
        <v/>
      </c>
      <c r="K937" s="37" t="str">
        <f>IFERROR(IF(Agent05_Savings!A142="","",YEAR(Agent05_Savings!D142)),"")</f>
        <v/>
      </c>
    </row>
    <row r="938" spans="1:11" ht="18" customHeight="1" x14ac:dyDescent="0.25">
      <c r="A938" s="37" t="str">
        <f>IF(Agent05_Savings!A143="","",Agent05_Savings!A143)</f>
        <v/>
      </c>
      <c r="B938" s="37" t="str">
        <f ca="1">IF(Agent05_Savings!A143="","","SV"&amp;TEXT(938-3,"0000")&amp;"-"&amp;TEXT(TODAY(),"YYYYMMDD"))</f>
        <v/>
      </c>
      <c r="C938" s="37" t="str">
        <f>IF(Agent05_Savings!A143="","",Agent05_Savings!B143)</f>
        <v/>
      </c>
      <c r="D938" s="37" t="str">
        <f>IF(Agent05_Savings!A143="","",Agent05_Savings!G143)</f>
        <v/>
      </c>
      <c r="E938" s="38" t="str">
        <f>IF(Agent05_Savings!A143="","",Agent05_Savings!D143)</f>
        <v/>
      </c>
      <c r="F938" s="39" t="str">
        <f>IF(Agent05_Savings!A143="","",Agent05_Savings!E143)</f>
        <v/>
      </c>
      <c r="G938" s="39" t="str">
        <f>IF(Agent05_Savings!A143="","",Agent05_Savings!F143)</f>
        <v/>
      </c>
      <c r="H938" s="37" t="str">
        <f>IF(Agent05_Savings!A143="","",Agent05_Savings!I143)</f>
        <v/>
      </c>
      <c r="I938" s="37" t="str">
        <f>IF(Agent05_Savings!A143="","",Agent05_Savings!J143)</f>
        <v/>
      </c>
      <c r="J938" s="37" t="str">
        <f>IF(Agent05_Savings!A143="","",Agent05_Savings!K143)</f>
        <v/>
      </c>
      <c r="K938" s="37" t="str">
        <f>IFERROR(IF(Agent05_Savings!A143="","",YEAR(Agent05_Savings!D143)),"")</f>
        <v/>
      </c>
    </row>
    <row r="939" spans="1:11" ht="18" customHeight="1" x14ac:dyDescent="0.25">
      <c r="A939" s="37" t="str">
        <f>IF(Agent05_Savings!A144="","",Agent05_Savings!A144)</f>
        <v/>
      </c>
      <c r="B939" s="37" t="str">
        <f ca="1">IF(Agent05_Savings!A144="","","SV"&amp;TEXT(939-3,"0000")&amp;"-"&amp;TEXT(TODAY(),"YYYYMMDD"))</f>
        <v/>
      </c>
      <c r="C939" s="37" t="str">
        <f>IF(Agent05_Savings!A144="","",Agent05_Savings!B144)</f>
        <v/>
      </c>
      <c r="D939" s="37" t="str">
        <f>IF(Agent05_Savings!A144="","",Agent05_Savings!G144)</f>
        <v/>
      </c>
      <c r="E939" s="38" t="str">
        <f>IF(Agent05_Savings!A144="","",Agent05_Savings!D144)</f>
        <v/>
      </c>
      <c r="F939" s="39" t="str">
        <f>IF(Agent05_Savings!A144="","",Agent05_Savings!E144)</f>
        <v/>
      </c>
      <c r="G939" s="39" t="str">
        <f>IF(Agent05_Savings!A144="","",Agent05_Savings!F144)</f>
        <v/>
      </c>
      <c r="H939" s="37" t="str">
        <f>IF(Agent05_Savings!A144="","",Agent05_Savings!I144)</f>
        <v/>
      </c>
      <c r="I939" s="37" t="str">
        <f>IF(Agent05_Savings!A144="","",Agent05_Savings!J144)</f>
        <v/>
      </c>
      <c r="J939" s="37" t="str">
        <f>IF(Agent05_Savings!A144="","",Agent05_Savings!K144)</f>
        <v/>
      </c>
      <c r="K939" s="37" t="str">
        <f>IFERROR(IF(Agent05_Savings!A144="","",YEAR(Agent05_Savings!D144)),"")</f>
        <v/>
      </c>
    </row>
    <row r="940" spans="1:11" ht="18" customHeight="1" x14ac:dyDescent="0.25">
      <c r="A940" s="37" t="str">
        <f>IF(Agent05_Savings!A145="","",Agent05_Savings!A145)</f>
        <v/>
      </c>
      <c r="B940" s="37" t="str">
        <f ca="1">IF(Agent05_Savings!A145="","","SV"&amp;TEXT(940-3,"0000")&amp;"-"&amp;TEXT(TODAY(),"YYYYMMDD"))</f>
        <v/>
      </c>
      <c r="C940" s="37" t="str">
        <f>IF(Agent05_Savings!A145="","",Agent05_Savings!B145)</f>
        <v/>
      </c>
      <c r="D940" s="37" t="str">
        <f>IF(Agent05_Savings!A145="","",Agent05_Savings!G145)</f>
        <v/>
      </c>
      <c r="E940" s="38" t="str">
        <f>IF(Agent05_Savings!A145="","",Agent05_Savings!D145)</f>
        <v/>
      </c>
      <c r="F940" s="39" t="str">
        <f>IF(Agent05_Savings!A145="","",Agent05_Savings!E145)</f>
        <v/>
      </c>
      <c r="G940" s="39" t="str">
        <f>IF(Agent05_Savings!A145="","",Agent05_Savings!F145)</f>
        <v/>
      </c>
      <c r="H940" s="37" t="str">
        <f>IF(Agent05_Savings!A145="","",Agent05_Savings!I145)</f>
        <v/>
      </c>
      <c r="I940" s="37" t="str">
        <f>IF(Agent05_Savings!A145="","",Agent05_Savings!J145)</f>
        <v/>
      </c>
      <c r="J940" s="37" t="str">
        <f>IF(Agent05_Savings!A145="","",Agent05_Savings!K145)</f>
        <v/>
      </c>
      <c r="K940" s="37" t="str">
        <f>IFERROR(IF(Agent05_Savings!A145="","",YEAR(Agent05_Savings!D145)),"")</f>
        <v/>
      </c>
    </row>
    <row r="941" spans="1:11" ht="18" customHeight="1" x14ac:dyDescent="0.25">
      <c r="A941" s="37" t="str">
        <f>IF(Agent05_Savings!A146="","",Agent05_Savings!A146)</f>
        <v/>
      </c>
      <c r="B941" s="37" t="str">
        <f ca="1">IF(Agent05_Savings!A146="","","SV"&amp;TEXT(941-3,"0000")&amp;"-"&amp;TEXT(TODAY(),"YYYYMMDD"))</f>
        <v/>
      </c>
      <c r="C941" s="37" t="str">
        <f>IF(Agent05_Savings!A146="","",Agent05_Savings!B146)</f>
        <v/>
      </c>
      <c r="D941" s="37" t="str">
        <f>IF(Agent05_Savings!A146="","",Agent05_Savings!G146)</f>
        <v/>
      </c>
      <c r="E941" s="38" t="str">
        <f>IF(Agent05_Savings!A146="","",Agent05_Savings!D146)</f>
        <v/>
      </c>
      <c r="F941" s="39" t="str">
        <f>IF(Agent05_Savings!A146="","",Agent05_Savings!E146)</f>
        <v/>
      </c>
      <c r="G941" s="39" t="str">
        <f>IF(Agent05_Savings!A146="","",Agent05_Savings!F146)</f>
        <v/>
      </c>
      <c r="H941" s="37" t="str">
        <f>IF(Agent05_Savings!A146="","",Agent05_Savings!I146)</f>
        <v/>
      </c>
      <c r="I941" s="37" t="str">
        <f>IF(Agent05_Savings!A146="","",Agent05_Savings!J146)</f>
        <v/>
      </c>
      <c r="J941" s="37" t="str">
        <f>IF(Agent05_Savings!A146="","",Agent05_Savings!K146)</f>
        <v/>
      </c>
      <c r="K941" s="37" t="str">
        <f>IFERROR(IF(Agent05_Savings!A146="","",YEAR(Agent05_Savings!D146)),"")</f>
        <v/>
      </c>
    </row>
    <row r="942" spans="1:11" ht="18" customHeight="1" x14ac:dyDescent="0.25">
      <c r="A942" s="37" t="str">
        <f>IF(Agent05_Savings!A147="","",Agent05_Savings!A147)</f>
        <v/>
      </c>
      <c r="B942" s="37" t="str">
        <f ca="1">IF(Agent05_Savings!A147="","","SV"&amp;TEXT(942-3,"0000")&amp;"-"&amp;TEXT(TODAY(),"YYYYMMDD"))</f>
        <v/>
      </c>
      <c r="C942" s="37" t="str">
        <f>IF(Agent05_Savings!A147="","",Agent05_Savings!B147)</f>
        <v/>
      </c>
      <c r="D942" s="37" t="str">
        <f>IF(Agent05_Savings!A147="","",Agent05_Savings!G147)</f>
        <v/>
      </c>
      <c r="E942" s="38" t="str">
        <f>IF(Agent05_Savings!A147="","",Agent05_Savings!D147)</f>
        <v/>
      </c>
      <c r="F942" s="39" t="str">
        <f>IF(Agent05_Savings!A147="","",Agent05_Savings!E147)</f>
        <v/>
      </c>
      <c r="G942" s="39" t="str">
        <f>IF(Agent05_Savings!A147="","",Agent05_Savings!F147)</f>
        <v/>
      </c>
      <c r="H942" s="37" t="str">
        <f>IF(Agent05_Savings!A147="","",Agent05_Savings!I147)</f>
        <v/>
      </c>
      <c r="I942" s="37" t="str">
        <f>IF(Agent05_Savings!A147="","",Agent05_Savings!J147)</f>
        <v/>
      </c>
      <c r="J942" s="37" t="str">
        <f>IF(Agent05_Savings!A147="","",Agent05_Savings!K147)</f>
        <v/>
      </c>
      <c r="K942" s="37" t="str">
        <f>IFERROR(IF(Agent05_Savings!A147="","",YEAR(Agent05_Savings!D147)),"")</f>
        <v/>
      </c>
    </row>
    <row r="943" spans="1:11" ht="18" customHeight="1" x14ac:dyDescent="0.25">
      <c r="A943" s="37" t="str">
        <f>IF(Agent05_Savings!A148="","",Agent05_Savings!A148)</f>
        <v/>
      </c>
      <c r="B943" s="37" t="str">
        <f ca="1">IF(Agent05_Savings!A148="","","SV"&amp;TEXT(943-3,"0000")&amp;"-"&amp;TEXT(TODAY(),"YYYYMMDD"))</f>
        <v/>
      </c>
      <c r="C943" s="37" t="str">
        <f>IF(Agent05_Savings!A148="","",Agent05_Savings!B148)</f>
        <v/>
      </c>
      <c r="D943" s="37" t="str">
        <f>IF(Agent05_Savings!A148="","",Agent05_Savings!G148)</f>
        <v/>
      </c>
      <c r="E943" s="38" t="str">
        <f>IF(Agent05_Savings!A148="","",Agent05_Savings!D148)</f>
        <v/>
      </c>
      <c r="F943" s="39" t="str">
        <f>IF(Agent05_Savings!A148="","",Agent05_Savings!E148)</f>
        <v/>
      </c>
      <c r="G943" s="39" t="str">
        <f>IF(Agent05_Savings!A148="","",Agent05_Savings!F148)</f>
        <v/>
      </c>
      <c r="H943" s="37" t="str">
        <f>IF(Agent05_Savings!A148="","",Agent05_Savings!I148)</f>
        <v/>
      </c>
      <c r="I943" s="37" t="str">
        <f>IF(Agent05_Savings!A148="","",Agent05_Savings!J148)</f>
        <v/>
      </c>
      <c r="J943" s="37" t="str">
        <f>IF(Agent05_Savings!A148="","",Agent05_Savings!K148)</f>
        <v/>
      </c>
      <c r="K943" s="37" t="str">
        <f>IFERROR(IF(Agent05_Savings!A148="","",YEAR(Agent05_Savings!D148)),"")</f>
        <v/>
      </c>
    </row>
    <row r="944" spans="1:11" ht="18" customHeight="1" x14ac:dyDescent="0.25">
      <c r="A944" s="37" t="str">
        <f>IF(Agent05_Savings!A149="","",Agent05_Savings!A149)</f>
        <v/>
      </c>
      <c r="B944" s="37" t="str">
        <f ca="1">IF(Agent05_Savings!A149="","","SV"&amp;TEXT(944-3,"0000")&amp;"-"&amp;TEXT(TODAY(),"YYYYMMDD"))</f>
        <v/>
      </c>
      <c r="C944" s="37" t="str">
        <f>IF(Agent05_Savings!A149="","",Agent05_Savings!B149)</f>
        <v/>
      </c>
      <c r="D944" s="37" t="str">
        <f>IF(Agent05_Savings!A149="","",Agent05_Savings!G149)</f>
        <v/>
      </c>
      <c r="E944" s="38" t="str">
        <f>IF(Agent05_Savings!A149="","",Agent05_Savings!D149)</f>
        <v/>
      </c>
      <c r="F944" s="39" t="str">
        <f>IF(Agent05_Savings!A149="","",Agent05_Savings!E149)</f>
        <v/>
      </c>
      <c r="G944" s="39" t="str">
        <f>IF(Agent05_Savings!A149="","",Agent05_Savings!F149)</f>
        <v/>
      </c>
      <c r="H944" s="37" t="str">
        <f>IF(Agent05_Savings!A149="","",Agent05_Savings!I149)</f>
        <v/>
      </c>
      <c r="I944" s="37" t="str">
        <f>IF(Agent05_Savings!A149="","",Agent05_Savings!J149)</f>
        <v/>
      </c>
      <c r="J944" s="37" t="str">
        <f>IF(Agent05_Savings!A149="","",Agent05_Savings!K149)</f>
        <v/>
      </c>
      <c r="K944" s="37" t="str">
        <f>IFERROR(IF(Agent05_Savings!A149="","",YEAR(Agent05_Savings!D149)),"")</f>
        <v/>
      </c>
    </row>
    <row r="945" spans="1:11" ht="18" customHeight="1" x14ac:dyDescent="0.25">
      <c r="A945" s="37" t="str">
        <f>IF(Agent05_Savings!A150="","",Agent05_Savings!A150)</f>
        <v/>
      </c>
      <c r="B945" s="37" t="str">
        <f ca="1">IF(Agent05_Savings!A150="","","SV"&amp;TEXT(945-3,"0000")&amp;"-"&amp;TEXT(TODAY(),"YYYYMMDD"))</f>
        <v/>
      </c>
      <c r="C945" s="37" t="str">
        <f>IF(Agent05_Savings!A150="","",Agent05_Savings!B150)</f>
        <v/>
      </c>
      <c r="D945" s="37" t="str">
        <f>IF(Agent05_Savings!A150="","",Agent05_Savings!G150)</f>
        <v/>
      </c>
      <c r="E945" s="38" t="str">
        <f>IF(Agent05_Savings!A150="","",Agent05_Savings!D150)</f>
        <v/>
      </c>
      <c r="F945" s="39" t="str">
        <f>IF(Agent05_Savings!A150="","",Agent05_Savings!E150)</f>
        <v/>
      </c>
      <c r="G945" s="39" t="str">
        <f>IF(Agent05_Savings!A150="","",Agent05_Savings!F150)</f>
        <v/>
      </c>
      <c r="H945" s="37" t="str">
        <f>IF(Agent05_Savings!A150="","",Agent05_Savings!I150)</f>
        <v/>
      </c>
      <c r="I945" s="37" t="str">
        <f>IF(Agent05_Savings!A150="","",Agent05_Savings!J150)</f>
        <v/>
      </c>
      <c r="J945" s="37" t="str">
        <f>IF(Agent05_Savings!A150="","",Agent05_Savings!K150)</f>
        <v/>
      </c>
      <c r="K945" s="37" t="str">
        <f>IFERROR(IF(Agent05_Savings!A150="","",YEAR(Agent05_Savings!D150)),"")</f>
        <v/>
      </c>
    </row>
    <row r="946" spans="1:11" ht="18" customHeight="1" x14ac:dyDescent="0.25">
      <c r="A946" s="37" t="str">
        <f>IF(Agent05_Savings!A151="","",Agent05_Savings!A151)</f>
        <v/>
      </c>
      <c r="B946" s="37" t="str">
        <f ca="1">IF(Agent05_Savings!A151="","","SV"&amp;TEXT(946-3,"0000")&amp;"-"&amp;TEXT(TODAY(),"YYYYMMDD"))</f>
        <v/>
      </c>
      <c r="C946" s="37" t="str">
        <f>IF(Agent05_Savings!A151="","",Agent05_Savings!B151)</f>
        <v/>
      </c>
      <c r="D946" s="37" t="str">
        <f>IF(Agent05_Savings!A151="","",Agent05_Savings!G151)</f>
        <v/>
      </c>
      <c r="E946" s="38" t="str">
        <f>IF(Agent05_Savings!A151="","",Agent05_Savings!D151)</f>
        <v/>
      </c>
      <c r="F946" s="39" t="str">
        <f>IF(Agent05_Savings!A151="","",Agent05_Savings!E151)</f>
        <v/>
      </c>
      <c r="G946" s="39" t="str">
        <f>IF(Agent05_Savings!A151="","",Agent05_Savings!F151)</f>
        <v/>
      </c>
      <c r="H946" s="37" t="str">
        <f>IF(Agent05_Savings!A151="","",Agent05_Savings!I151)</f>
        <v/>
      </c>
      <c r="I946" s="37" t="str">
        <f>IF(Agent05_Savings!A151="","",Agent05_Savings!J151)</f>
        <v/>
      </c>
      <c r="J946" s="37" t="str">
        <f>IF(Agent05_Savings!A151="","",Agent05_Savings!K151)</f>
        <v/>
      </c>
      <c r="K946" s="37" t="str">
        <f>IFERROR(IF(Agent05_Savings!A151="","",YEAR(Agent05_Savings!D151)),"")</f>
        <v/>
      </c>
    </row>
    <row r="947" spans="1:11" ht="18" customHeight="1" x14ac:dyDescent="0.25">
      <c r="A947" s="37" t="str">
        <f>IF(Agent05_Savings!A152="","",Agent05_Savings!A152)</f>
        <v/>
      </c>
      <c r="B947" s="37" t="str">
        <f ca="1">IF(Agent05_Savings!A152="","","SV"&amp;TEXT(947-3,"0000")&amp;"-"&amp;TEXT(TODAY(),"YYYYMMDD"))</f>
        <v/>
      </c>
      <c r="C947" s="37" t="str">
        <f>IF(Agent05_Savings!A152="","",Agent05_Savings!B152)</f>
        <v/>
      </c>
      <c r="D947" s="37" t="str">
        <f>IF(Agent05_Savings!A152="","",Agent05_Savings!G152)</f>
        <v/>
      </c>
      <c r="E947" s="38" t="str">
        <f>IF(Agent05_Savings!A152="","",Agent05_Savings!D152)</f>
        <v/>
      </c>
      <c r="F947" s="39" t="str">
        <f>IF(Agent05_Savings!A152="","",Agent05_Savings!E152)</f>
        <v/>
      </c>
      <c r="G947" s="39" t="str">
        <f>IF(Agent05_Savings!A152="","",Agent05_Savings!F152)</f>
        <v/>
      </c>
      <c r="H947" s="37" t="str">
        <f>IF(Agent05_Savings!A152="","",Agent05_Savings!I152)</f>
        <v/>
      </c>
      <c r="I947" s="37" t="str">
        <f>IF(Agent05_Savings!A152="","",Agent05_Savings!J152)</f>
        <v/>
      </c>
      <c r="J947" s="37" t="str">
        <f>IF(Agent05_Savings!A152="","",Agent05_Savings!K152)</f>
        <v/>
      </c>
      <c r="K947" s="37" t="str">
        <f>IFERROR(IF(Agent05_Savings!A152="","",YEAR(Agent05_Savings!D152)),"")</f>
        <v/>
      </c>
    </row>
    <row r="948" spans="1:11" ht="18" customHeight="1" x14ac:dyDescent="0.25">
      <c r="A948" s="37" t="str">
        <f>IF(Agent05_Savings!A153="","",Agent05_Savings!A153)</f>
        <v/>
      </c>
      <c r="B948" s="37" t="str">
        <f ca="1">IF(Agent05_Savings!A153="","","SV"&amp;TEXT(948-3,"0000")&amp;"-"&amp;TEXT(TODAY(),"YYYYMMDD"))</f>
        <v/>
      </c>
      <c r="C948" s="37" t="str">
        <f>IF(Agent05_Savings!A153="","",Agent05_Savings!B153)</f>
        <v/>
      </c>
      <c r="D948" s="37" t="str">
        <f>IF(Agent05_Savings!A153="","",Agent05_Savings!G153)</f>
        <v/>
      </c>
      <c r="E948" s="38" t="str">
        <f>IF(Agent05_Savings!A153="","",Agent05_Savings!D153)</f>
        <v/>
      </c>
      <c r="F948" s="39" t="str">
        <f>IF(Agent05_Savings!A153="","",Agent05_Savings!E153)</f>
        <v/>
      </c>
      <c r="G948" s="39" t="str">
        <f>IF(Agent05_Savings!A153="","",Agent05_Savings!F153)</f>
        <v/>
      </c>
      <c r="H948" s="37" t="str">
        <f>IF(Agent05_Savings!A153="","",Agent05_Savings!I153)</f>
        <v/>
      </c>
      <c r="I948" s="37" t="str">
        <f>IF(Agent05_Savings!A153="","",Agent05_Savings!J153)</f>
        <v/>
      </c>
      <c r="J948" s="37" t="str">
        <f>IF(Agent05_Savings!A153="","",Agent05_Savings!K153)</f>
        <v/>
      </c>
      <c r="K948" s="37" t="str">
        <f>IFERROR(IF(Agent05_Savings!A153="","",YEAR(Agent05_Savings!D153)),"")</f>
        <v/>
      </c>
    </row>
    <row r="949" spans="1:11" ht="18" customHeight="1" x14ac:dyDescent="0.25">
      <c r="A949" s="37" t="str">
        <f>IF(Agent05_Savings!A154="","",Agent05_Savings!A154)</f>
        <v/>
      </c>
      <c r="B949" s="37" t="str">
        <f ca="1">IF(Agent05_Savings!A154="","","SV"&amp;TEXT(949-3,"0000")&amp;"-"&amp;TEXT(TODAY(),"YYYYMMDD"))</f>
        <v/>
      </c>
      <c r="C949" s="37" t="str">
        <f>IF(Agent05_Savings!A154="","",Agent05_Savings!B154)</f>
        <v/>
      </c>
      <c r="D949" s="37" t="str">
        <f>IF(Agent05_Savings!A154="","",Agent05_Savings!G154)</f>
        <v/>
      </c>
      <c r="E949" s="38" t="str">
        <f>IF(Agent05_Savings!A154="","",Agent05_Savings!D154)</f>
        <v/>
      </c>
      <c r="F949" s="39" t="str">
        <f>IF(Agent05_Savings!A154="","",Agent05_Savings!E154)</f>
        <v/>
      </c>
      <c r="G949" s="39" t="str">
        <f>IF(Agent05_Savings!A154="","",Agent05_Savings!F154)</f>
        <v/>
      </c>
      <c r="H949" s="37" t="str">
        <f>IF(Agent05_Savings!A154="","",Agent05_Savings!I154)</f>
        <v/>
      </c>
      <c r="I949" s="37" t="str">
        <f>IF(Agent05_Savings!A154="","",Agent05_Savings!J154)</f>
        <v/>
      </c>
      <c r="J949" s="37" t="str">
        <f>IF(Agent05_Savings!A154="","",Agent05_Savings!K154)</f>
        <v/>
      </c>
      <c r="K949" s="37" t="str">
        <f>IFERROR(IF(Agent05_Savings!A154="","",YEAR(Agent05_Savings!D154)),"")</f>
        <v/>
      </c>
    </row>
    <row r="950" spans="1:11" ht="18" customHeight="1" x14ac:dyDescent="0.25">
      <c r="A950" s="37" t="str">
        <f>IF(Agent05_Savings!A155="","",Agent05_Savings!A155)</f>
        <v/>
      </c>
      <c r="B950" s="37" t="str">
        <f ca="1">IF(Agent05_Savings!A155="","","SV"&amp;TEXT(950-3,"0000")&amp;"-"&amp;TEXT(TODAY(),"YYYYMMDD"))</f>
        <v/>
      </c>
      <c r="C950" s="37" t="str">
        <f>IF(Agent05_Savings!A155="","",Agent05_Savings!B155)</f>
        <v/>
      </c>
      <c r="D950" s="37" t="str">
        <f>IF(Agent05_Savings!A155="","",Agent05_Savings!G155)</f>
        <v/>
      </c>
      <c r="E950" s="38" t="str">
        <f>IF(Agent05_Savings!A155="","",Agent05_Savings!D155)</f>
        <v/>
      </c>
      <c r="F950" s="39" t="str">
        <f>IF(Agent05_Savings!A155="","",Agent05_Savings!E155)</f>
        <v/>
      </c>
      <c r="G950" s="39" t="str">
        <f>IF(Agent05_Savings!A155="","",Agent05_Savings!F155)</f>
        <v/>
      </c>
      <c r="H950" s="37" t="str">
        <f>IF(Agent05_Savings!A155="","",Agent05_Savings!I155)</f>
        <v/>
      </c>
      <c r="I950" s="37" t="str">
        <f>IF(Agent05_Savings!A155="","",Agent05_Savings!J155)</f>
        <v/>
      </c>
      <c r="J950" s="37" t="str">
        <f>IF(Agent05_Savings!A155="","",Agent05_Savings!K155)</f>
        <v/>
      </c>
      <c r="K950" s="37" t="str">
        <f>IFERROR(IF(Agent05_Savings!A155="","",YEAR(Agent05_Savings!D155)),"")</f>
        <v/>
      </c>
    </row>
    <row r="951" spans="1:11" ht="18" customHeight="1" x14ac:dyDescent="0.25">
      <c r="A951" s="37" t="str">
        <f>IF(Agent05_Savings!A156="","",Agent05_Savings!A156)</f>
        <v/>
      </c>
      <c r="B951" s="37" t="str">
        <f ca="1">IF(Agent05_Savings!A156="","","SV"&amp;TEXT(951-3,"0000")&amp;"-"&amp;TEXT(TODAY(),"YYYYMMDD"))</f>
        <v/>
      </c>
      <c r="C951" s="37" t="str">
        <f>IF(Agent05_Savings!A156="","",Agent05_Savings!B156)</f>
        <v/>
      </c>
      <c r="D951" s="37" t="str">
        <f>IF(Agent05_Savings!A156="","",Agent05_Savings!G156)</f>
        <v/>
      </c>
      <c r="E951" s="38" t="str">
        <f>IF(Agent05_Savings!A156="","",Agent05_Savings!D156)</f>
        <v/>
      </c>
      <c r="F951" s="39" t="str">
        <f>IF(Agent05_Savings!A156="","",Agent05_Savings!E156)</f>
        <v/>
      </c>
      <c r="G951" s="39" t="str">
        <f>IF(Agent05_Savings!A156="","",Agent05_Savings!F156)</f>
        <v/>
      </c>
      <c r="H951" s="37" t="str">
        <f>IF(Agent05_Savings!A156="","",Agent05_Savings!I156)</f>
        <v/>
      </c>
      <c r="I951" s="37" t="str">
        <f>IF(Agent05_Savings!A156="","",Agent05_Savings!J156)</f>
        <v/>
      </c>
      <c r="J951" s="37" t="str">
        <f>IF(Agent05_Savings!A156="","",Agent05_Savings!K156)</f>
        <v/>
      </c>
      <c r="K951" s="37" t="str">
        <f>IFERROR(IF(Agent05_Savings!A156="","",YEAR(Agent05_Savings!D156)),"")</f>
        <v/>
      </c>
    </row>
    <row r="952" spans="1:11" ht="18" customHeight="1" x14ac:dyDescent="0.25">
      <c r="A952" s="37" t="str">
        <f>IF(Agent05_Savings!A157="","",Agent05_Savings!A157)</f>
        <v/>
      </c>
      <c r="B952" s="37" t="str">
        <f ca="1">IF(Agent05_Savings!A157="","","SV"&amp;TEXT(952-3,"0000")&amp;"-"&amp;TEXT(TODAY(),"YYYYMMDD"))</f>
        <v/>
      </c>
      <c r="C952" s="37" t="str">
        <f>IF(Agent05_Savings!A157="","",Agent05_Savings!B157)</f>
        <v/>
      </c>
      <c r="D952" s="37" t="str">
        <f>IF(Agent05_Savings!A157="","",Agent05_Savings!G157)</f>
        <v/>
      </c>
      <c r="E952" s="38" t="str">
        <f>IF(Agent05_Savings!A157="","",Agent05_Savings!D157)</f>
        <v/>
      </c>
      <c r="F952" s="39" t="str">
        <f>IF(Agent05_Savings!A157="","",Agent05_Savings!E157)</f>
        <v/>
      </c>
      <c r="G952" s="39" t="str">
        <f>IF(Agent05_Savings!A157="","",Agent05_Savings!F157)</f>
        <v/>
      </c>
      <c r="H952" s="37" t="str">
        <f>IF(Agent05_Savings!A157="","",Agent05_Savings!I157)</f>
        <v/>
      </c>
      <c r="I952" s="37" t="str">
        <f>IF(Agent05_Savings!A157="","",Agent05_Savings!J157)</f>
        <v/>
      </c>
      <c r="J952" s="37" t="str">
        <f>IF(Agent05_Savings!A157="","",Agent05_Savings!K157)</f>
        <v/>
      </c>
      <c r="K952" s="37" t="str">
        <f>IFERROR(IF(Agent05_Savings!A157="","",YEAR(Agent05_Savings!D157)),"")</f>
        <v/>
      </c>
    </row>
    <row r="953" spans="1:11" ht="18" customHeight="1" x14ac:dyDescent="0.25">
      <c r="A953" s="37" t="str">
        <f>IF(Agent05_Savings!A158="","",Agent05_Savings!A158)</f>
        <v/>
      </c>
      <c r="B953" s="37" t="str">
        <f ca="1">IF(Agent05_Savings!A158="","","SV"&amp;TEXT(953-3,"0000")&amp;"-"&amp;TEXT(TODAY(),"YYYYMMDD"))</f>
        <v/>
      </c>
      <c r="C953" s="37" t="str">
        <f>IF(Agent05_Savings!A158="","",Agent05_Savings!B158)</f>
        <v/>
      </c>
      <c r="D953" s="37" t="str">
        <f>IF(Agent05_Savings!A158="","",Agent05_Savings!G158)</f>
        <v/>
      </c>
      <c r="E953" s="38" t="str">
        <f>IF(Agent05_Savings!A158="","",Agent05_Savings!D158)</f>
        <v/>
      </c>
      <c r="F953" s="39" t="str">
        <f>IF(Agent05_Savings!A158="","",Agent05_Savings!E158)</f>
        <v/>
      </c>
      <c r="G953" s="39" t="str">
        <f>IF(Agent05_Savings!A158="","",Agent05_Savings!F158)</f>
        <v/>
      </c>
      <c r="H953" s="37" t="str">
        <f>IF(Agent05_Savings!A158="","",Agent05_Savings!I158)</f>
        <v/>
      </c>
      <c r="I953" s="37" t="str">
        <f>IF(Agent05_Savings!A158="","",Agent05_Savings!J158)</f>
        <v/>
      </c>
      <c r="J953" s="37" t="str">
        <f>IF(Agent05_Savings!A158="","",Agent05_Savings!K158)</f>
        <v/>
      </c>
      <c r="K953" s="37" t="str">
        <f>IFERROR(IF(Agent05_Savings!A158="","",YEAR(Agent05_Savings!D158)),"")</f>
        <v/>
      </c>
    </row>
    <row r="954" spans="1:11" ht="18" customHeight="1" x14ac:dyDescent="0.25">
      <c r="A954" s="37" t="str">
        <f>IF(Agent05_Savings!A159="","",Agent05_Savings!A159)</f>
        <v/>
      </c>
      <c r="B954" s="37" t="str">
        <f ca="1">IF(Agent05_Savings!A159="","","SV"&amp;TEXT(954-3,"0000")&amp;"-"&amp;TEXT(TODAY(),"YYYYMMDD"))</f>
        <v/>
      </c>
      <c r="C954" s="37" t="str">
        <f>IF(Agent05_Savings!A159="","",Agent05_Savings!B159)</f>
        <v/>
      </c>
      <c r="D954" s="37" t="str">
        <f>IF(Agent05_Savings!A159="","",Agent05_Savings!G159)</f>
        <v/>
      </c>
      <c r="E954" s="38" t="str">
        <f>IF(Agent05_Savings!A159="","",Agent05_Savings!D159)</f>
        <v/>
      </c>
      <c r="F954" s="39" t="str">
        <f>IF(Agent05_Savings!A159="","",Agent05_Savings!E159)</f>
        <v/>
      </c>
      <c r="G954" s="39" t="str">
        <f>IF(Agent05_Savings!A159="","",Agent05_Savings!F159)</f>
        <v/>
      </c>
      <c r="H954" s="37" t="str">
        <f>IF(Agent05_Savings!A159="","",Agent05_Savings!I159)</f>
        <v/>
      </c>
      <c r="I954" s="37" t="str">
        <f>IF(Agent05_Savings!A159="","",Agent05_Savings!J159)</f>
        <v/>
      </c>
      <c r="J954" s="37" t="str">
        <f>IF(Agent05_Savings!A159="","",Agent05_Savings!K159)</f>
        <v/>
      </c>
      <c r="K954" s="37" t="str">
        <f>IFERROR(IF(Agent05_Savings!A159="","",YEAR(Agent05_Savings!D159)),"")</f>
        <v/>
      </c>
    </row>
    <row r="955" spans="1:11" ht="18" customHeight="1" x14ac:dyDescent="0.25">
      <c r="A955" s="37" t="str">
        <f>IF(Agent05_Savings!A160="","",Agent05_Savings!A160)</f>
        <v/>
      </c>
      <c r="B955" s="37" t="str">
        <f ca="1">IF(Agent05_Savings!A160="","","SV"&amp;TEXT(955-3,"0000")&amp;"-"&amp;TEXT(TODAY(),"YYYYMMDD"))</f>
        <v/>
      </c>
      <c r="C955" s="37" t="str">
        <f>IF(Agent05_Savings!A160="","",Agent05_Savings!B160)</f>
        <v/>
      </c>
      <c r="D955" s="37" t="str">
        <f>IF(Agent05_Savings!A160="","",Agent05_Savings!G160)</f>
        <v/>
      </c>
      <c r="E955" s="38" t="str">
        <f>IF(Agent05_Savings!A160="","",Agent05_Savings!D160)</f>
        <v/>
      </c>
      <c r="F955" s="39" t="str">
        <f>IF(Agent05_Savings!A160="","",Agent05_Savings!E160)</f>
        <v/>
      </c>
      <c r="G955" s="39" t="str">
        <f>IF(Agent05_Savings!A160="","",Agent05_Savings!F160)</f>
        <v/>
      </c>
      <c r="H955" s="37" t="str">
        <f>IF(Agent05_Savings!A160="","",Agent05_Savings!I160)</f>
        <v/>
      </c>
      <c r="I955" s="37" t="str">
        <f>IF(Agent05_Savings!A160="","",Agent05_Savings!J160)</f>
        <v/>
      </c>
      <c r="J955" s="37" t="str">
        <f>IF(Agent05_Savings!A160="","",Agent05_Savings!K160)</f>
        <v/>
      </c>
      <c r="K955" s="37" t="str">
        <f>IFERROR(IF(Agent05_Savings!A160="","",YEAR(Agent05_Savings!D160)),"")</f>
        <v/>
      </c>
    </row>
    <row r="956" spans="1:11" ht="18" customHeight="1" x14ac:dyDescent="0.25">
      <c r="A956" s="37" t="str">
        <f>IF(Agent05_Savings!A161="","",Agent05_Savings!A161)</f>
        <v/>
      </c>
      <c r="B956" s="37" t="str">
        <f ca="1">IF(Agent05_Savings!A161="","","SV"&amp;TEXT(956-3,"0000")&amp;"-"&amp;TEXT(TODAY(),"YYYYMMDD"))</f>
        <v/>
      </c>
      <c r="C956" s="37" t="str">
        <f>IF(Agent05_Savings!A161="","",Agent05_Savings!B161)</f>
        <v/>
      </c>
      <c r="D956" s="37" t="str">
        <f>IF(Agent05_Savings!A161="","",Agent05_Savings!G161)</f>
        <v/>
      </c>
      <c r="E956" s="38" t="str">
        <f>IF(Agent05_Savings!A161="","",Agent05_Savings!D161)</f>
        <v/>
      </c>
      <c r="F956" s="39" t="str">
        <f>IF(Agent05_Savings!A161="","",Agent05_Savings!E161)</f>
        <v/>
      </c>
      <c r="G956" s="39" t="str">
        <f>IF(Agent05_Savings!A161="","",Agent05_Savings!F161)</f>
        <v/>
      </c>
      <c r="H956" s="37" t="str">
        <f>IF(Agent05_Savings!A161="","",Agent05_Savings!I161)</f>
        <v/>
      </c>
      <c r="I956" s="37" t="str">
        <f>IF(Agent05_Savings!A161="","",Agent05_Savings!J161)</f>
        <v/>
      </c>
      <c r="J956" s="37" t="str">
        <f>IF(Agent05_Savings!A161="","",Agent05_Savings!K161)</f>
        <v/>
      </c>
      <c r="K956" s="37" t="str">
        <f>IFERROR(IF(Agent05_Savings!A161="","",YEAR(Agent05_Savings!D161)),"")</f>
        <v/>
      </c>
    </row>
    <row r="957" spans="1:11" ht="18" customHeight="1" x14ac:dyDescent="0.25">
      <c r="A957" s="37" t="str">
        <f>IF(Agent05_Savings!A162="","",Agent05_Savings!A162)</f>
        <v/>
      </c>
      <c r="B957" s="37" t="str">
        <f ca="1">IF(Agent05_Savings!A162="","","SV"&amp;TEXT(957-3,"0000")&amp;"-"&amp;TEXT(TODAY(),"YYYYMMDD"))</f>
        <v/>
      </c>
      <c r="C957" s="37" t="str">
        <f>IF(Agent05_Savings!A162="","",Agent05_Savings!B162)</f>
        <v/>
      </c>
      <c r="D957" s="37" t="str">
        <f>IF(Agent05_Savings!A162="","",Agent05_Savings!G162)</f>
        <v/>
      </c>
      <c r="E957" s="38" t="str">
        <f>IF(Agent05_Savings!A162="","",Agent05_Savings!D162)</f>
        <v/>
      </c>
      <c r="F957" s="39" t="str">
        <f>IF(Agent05_Savings!A162="","",Agent05_Savings!E162)</f>
        <v/>
      </c>
      <c r="G957" s="39" t="str">
        <f>IF(Agent05_Savings!A162="","",Agent05_Savings!F162)</f>
        <v/>
      </c>
      <c r="H957" s="37" t="str">
        <f>IF(Agent05_Savings!A162="","",Agent05_Savings!I162)</f>
        <v/>
      </c>
      <c r="I957" s="37" t="str">
        <f>IF(Agent05_Savings!A162="","",Agent05_Savings!J162)</f>
        <v/>
      </c>
      <c r="J957" s="37" t="str">
        <f>IF(Agent05_Savings!A162="","",Agent05_Savings!K162)</f>
        <v/>
      </c>
      <c r="K957" s="37" t="str">
        <f>IFERROR(IF(Agent05_Savings!A162="","",YEAR(Agent05_Savings!D162)),"")</f>
        <v/>
      </c>
    </row>
    <row r="958" spans="1:11" ht="18" customHeight="1" x14ac:dyDescent="0.25">
      <c r="A958" s="37" t="str">
        <f>IF(Agent05_Savings!A163="","",Agent05_Savings!A163)</f>
        <v/>
      </c>
      <c r="B958" s="37" t="str">
        <f ca="1">IF(Agent05_Savings!A163="","","SV"&amp;TEXT(958-3,"0000")&amp;"-"&amp;TEXT(TODAY(),"YYYYMMDD"))</f>
        <v/>
      </c>
      <c r="C958" s="37" t="str">
        <f>IF(Agent05_Savings!A163="","",Agent05_Savings!B163)</f>
        <v/>
      </c>
      <c r="D958" s="37" t="str">
        <f>IF(Agent05_Savings!A163="","",Agent05_Savings!G163)</f>
        <v/>
      </c>
      <c r="E958" s="38" t="str">
        <f>IF(Agent05_Savings!A163="","",Agent05_Savings!D163)</f>
        <v/>
      </c>
      <c r="F958" s="39" t="str">
        <f>IF(Agent05_Savings!A163="","",Agent05_Savings!E163)</f>
        <v/>
      </c>
      <c r="G958" s="39" t="str">
        <f>IF(Agent05_Savings!A163="","",Agent05_Savings!F163)</f>
        <v/>
      </c>
      <c r="H958" s="37" t="str">
        <f>IF(Agent05_Savings!A163="","",Agent05_Savings!I163)</f>
        <v/>
      </c>
      <c r="I958" s="37" t="str">
        <f>IF(Agent05_Savings!A163="","",Agent05_Savings!J163)</f>
        <v/>
      </c>
      <c r="J958" s="37" t="str">
        <f>IF(Agent05_Savings!A163="","",Agent05_Savings!K163)</f>
        <v/>
      </c>
      <c r="K958" s="37" t="str">
        <f>IFERROR(IF(Agent05_Savings!A163="","",YEAR(Agent05_Savings!D163)),"")</f>
        <v/>
      </c>
    </row>
    <row r="959" spans="1:11" ht="18" customHeight="1" x14ac:dyDescent="0.25">
      <c r="A959" s="37" t="str">
        <f>IF(Agent05_Savings!A164="","",Agent05_Savings!A164)</f>
        <v/>
      </c>
      <c r="B959" s="37" t="str">
        <f ca="1">IF(Agent05_Savings!A164="","","SV"&amp;TEXT(959-3,"0000")&amp;"-"&amp;TEXT(TODAY(),"YYYYMMDD"))</f>
        <v/>
      </c>
      <c r="C959" s="37" t="str">
        <f>IF(Agent05_Savings!A164="","",Agent05_Savings!B164)</f>
        <v/>
      </c>
      <c r="D959" s="37" t="str">
        <f>IF(Agent05_Savings!A164="","",Agent05_Savings!G164)</f>
        <v/>
      </c>
      <c r="E959" s="38" t="str">
        <f>IF(Agent05_Savings!A164="","",Agent05_Savings!D164)</f>
        <v/>
      </c>
      <c r="F959" s="39" t="str">
        <f>IF(Agent05_Savings!A164="","",Agent05_Savings!E164)</f>
        <v/>
      </c>
      <c r="G959" s="39" t="str">
        <f>IF(Agent05_Savings!A164="","",Agent05_Savings!F164)</f>
        <v/>
      </c>
      <c r="H959" s="37" t="str">
        <f>IF(Agent05_Savings!A164="","",Agent05_Savings!I164)</f>
        <v/>
      </c>
      <c r="I959" s="37" t="str">
        <f>IF(Agent05_Savings!A164="","",Agent05_Savings!J164)</f>
        <v/>
      </c>
      <c r="J959" s="37" t="str">
        <f>IF(Agent05_Savings!A164="","",Agent05_Savings!K164)</f>
        <v/>
      </c>
      <c r="K959" s="37" t="str">
        <f>IFERROR(IF(Agent05_Savings!A164="","",YEAR(Agent05_Savings!D164)),"")</f>
        <v/>
      </c>
    </row>
    <row r="960" spans="1:11" ht="18" customHeight="1" x14ac:dyDescent="0.25">
      <c r="A960" s="37" t="str">
        <f>IF(Agent05_Savings!A165="","",Agent05_Savings!A165)</f>
        <v/>
      </c>
      <c r="B960" s="37" t="str">
        <f ca="1">IF(Agent05_Savings!A165="","","SV"&amp;TEXT(960-3,"0000")&amp;"-"&amp;TEXT(TODAY(),"YYYYMMDD"))</f>
        <v/>
      </c>
      <c r="C960" s="37" t="str">
        <f>IF(Agent05_Savings!A165="","",Agent05_Savings!B165)</f>
        <v/>
      </c>
      <c r="D960" s="37" t="str">
        <f>IF(Agent05_Savings!A165="","",Agent05_Savings!G165)</f>
        <v/>
      </c>
      <c r="E960" s="38" t="str">
        <f>IF(Agent05_Savings!A165="","",Agent05_Savings!D165)</f>
        <v/>
      </c>
      <c r="F960" s="39" t="str">
        <f>IF(Agent05_Savings!A165="","",Agent05_Savings!E165)</f>
        <v/>
      </c>
      <c r="G960" s="39" t="str">
        <f>IF(Agent05_Savings!A165="","",Agent05_Savings!F165)</f>
        <v/>
      </c>
      <c r="H960" s="37" t="str">
        <f>IF(Agent05_Savings!A165="","",Agent05_Savings!I165)</f>
        <v/>
      </c>
      <c r="I960" s="37" t="str">
        <f>IF(Agent05_Savings!A165="","",Agent05_Savings!J165)</f>
        <v/>
      </c>
      <c r="J960" s="37" t="str">
        <f>IF(Agent05_Savings!A165="","",Agent05_Savings!K165)</f>
        <v/>
      </c>
      <c r="K960" s="37" t="str">
        <f>IFERROR(IF(Agent05_Savings!A165="","",YEAR(Agent05_Savings!D165)),"")</f>
        <v/>
      </c>
    </row>
    <row r="961" spans="1:11" ht="18" customHeight="1" x14ac:dyDescent="0.25">
      <c r="A961" s="37" t="str">
        <f>IF(Agent05_Savings!A166="","",Agent05_Savings!A166)</f>
        <v/>
      </c>
      <c r="B961" s="37" t="str">
        <f ca="1">IF(Agent05_Savings!A166="","","SV"&amp;TEXT(961-3,"0000")&amp;"-"&amp;TEXT(TODAY(),"YYYYMMDD"))</f>
        <v/>
      </c>
      <c r="C961" s="37" t="str">
        <f>IF(Agent05_Savings!A166="","",Agent05_Savings!B166)</f>
        <v/>
      </c>
      <c r="D961" s="37" t="str">
        <f>IF(Agent05_Savings!A166="","",Agent05_Savings!G166)</f>
        <v/>
      </c>
      <c r="E961" s="38" t="str">
        <f>IF(Agent05_Savings!A166="","",Agent05_Savings!D166)</f>
        <v/>
      </c>
      <c r="F961" s="39" t="str">
        <f>IF(Agent05_Savings!A166="","",Agent05_Savings!E166)</f>
        <v/>
      </c>
      <c r="G961" s="39" t="str">
        <f>IF(Agent05_Savings!A166="","",Agent05_Savings!F166)</f>
        <v/>
      </c>
      <c r="H961" s="37" t="str">
        <f>IF(Agent05_Savings!A166="","",Agent05_Savings!I166)</f>
        <v/>
      </c>
      <c r="I961" s="37" t="str">
        <f>IF(Agent05_Savings!A166="","",Agent05_Savings!J166)</f>
        <v/>
      </c>
      <c r="J961" s="37" t="str">
        <f>IF(Agent05_Savings!A166="","",Agent05_Savings!K166)</f>
        <v/>
      </c>
      <c r="K961" s="37" t="str">
        <f>IFERROR(IF(Agent05_Savings!A166="","",YEAR(Agent05_Savings!D166)),"")</f>
        <v/>
      </c>
    </row>
    <row r="962" spans="1:11" ht="18" customHeight="1" x14ac:dyDescent="0.25">
      <c r="A962" s="37" t="str">
        <f>IF(Agent05_Savings!A167="","",Agent05_Savings!A167)</f>
        <v/>
      </c>
      <c r="B962" s="37" t="str">
        <f ca="1">IF(Agent05_Savings!A167="","","SV"&amp;TEXT(962-3,"0000")&amp;"-"&amp;TEXT(TODAY(),"YYYYMMDD"))</f>
        <v/>
      </c>
      <c r="C962" s="37" t="str">
        <f>IF(Agent05_Savings!A167="","",Agent05_Savings!B167)</f>
        <v/>
      </c>
      <c r="D962" s="37" t="str">
        <f>IF(Agent05_Savings!A167="","",Agent05_Savings!G167)</f>
        <v/>
      </c>
      <c r="E962" s="38" t="str">
        <f>IF(Agent05_Savings!A167="","",Agent05_Savings!D167)</f>
        <v/>
      </c>
      <c r="F962" s="39" t="str">
        <f>IF(Agent05_Savings!A167="","",Agent05_Savings!E167)</f>
        <v/>
      </c>
      <c r="G962" s="39" t="str">
        <f>IF(Agent05_Savings!A167="","",Agent05_Savings!F167)</f>
        <v/>
      </c>
      <c r="H962" s="37" t="str">
        <f>IF(Agent05_Savings!A167="","",Agent05_Savings!I167)</f>
        <v/>
      </c>
      <c r="I962" s="37" t="str">
        <f>IF(Agent05_Savings!A167="","",Agent05_Savings!J167)</f>
        <v/>
      </c>
      <c r="J962" s="37" t="str">
        <f>IF(Agent05_Savings!A167="","",Agent05_Savings!K167)</f>
        <v/>
      </c>
      <c r="K962" s="37" t="str">
        <f>IFERROR(IF(Agent05_Savings!A167="","",YEAR(Agent05_Savings!D167)),"")</f>
        <v/>
      </c>
    </row>
    <row r="963" spans="1:11" ht="18" customHeight="1" x14ac:dyDescent="0.25">
      <c r="A963" s="37" t="str">
        <f>IF(Agent05_Savings!A168="","",Agent05_Savings!A168)</f>
        <v/>
      </c>
      <c r="B963" s="37" t="str">
        <f ca="1">IF(Agent05_Savings!A168="","","SV"&amp;TEXT(963-3,"0000")&amp;"-"&amp;TEXT(TODAY(),"YYYYMMDD"))</f>
        <v/>
      </c>
      <c r="C963" s="37" t="str">
        <f>IF(Agent05_Savings!A168="","",Agent05_Savings!B168)</f>
        <v/>
      </c>
      <c r="D963" s="37" t="str">
        <f>IF(Agent05_Savings!A168="","",Agent05_Savings!G168)</f>
        <v/>
      </c>
      <c r="E963" s="38" t="str">
        <f>IF(Agent05_Savings!A168="","",Agent05_Savings!D168)</f>
        <v/>
      </c>
      <c r="F963" s="39" t="str">
        <f>IF(Agent05_Savings!A168="","",Agent05_Savings!E168)</f>
        <v/>
      </c>
      <c r="G963" s="39" t="str">
        <f>IF(Agent05_Savings!A168="","",Agent05_Savings!F168)</f>
        <v/>
      </c>
      <c r="H963" s="37" t="str">
        <f>IF(Agent05_Savings!A168="","",Agent05_Savings!I168)</f>
        <v/>
      </c>
      <c r="I963" s="37" t="str">
        <f>IF(Agent05_Savings!A168="","",Agent05_Savings!J168)</f>
        <v/>
      </c>
      <c r="J963" s="37" t="str">
        <f>IF(Agent05_Savings!A168="","",Agent05_Savings!K168)</f>
        <v/>
      </c>
      <c r="K963" s="37" t="str">
        <f>IFERROR(IF(Agent05_Savings!A168="","",YEAR(Agent05_Savings!D168)),"")</f>
        <v/>
      </c>
    </row>
    <row r="964" spans="1:11" ht="18" customHeight="1" x14ac:dyDescent="0.25">
      <c r="A964" s="37" t="str">
        <f>IF(Agent05_Savings!A169="","",Agent05_Savings!A169)</f>
        <v/>
      </c>
      <c r="B964" s="37" t="str">
        <f ca="1">IF(Agent05_Savings!A169="","","SV"&amp;TEXT(964-3,"0000")&amp;"-"&amp;TEXT(TODAY(),"YYYYMMDD"))</f>
        <v/>
      </c>
      <c r="C964" s="37" t="str">
        <f>IF(Agent05_Savings!A169="","",Agent05_Savings!B169)</f>
        <v/>
      </c>
      <c r="D964" s="37" t="str">
        <f>IF(Agent05_Savings!A169="","",Agent05_Savings!G169)</f>
        <v/>
      </c>
      <c r="E964" s="38" t="str">
        <f>IF(Agent05_Savings!A169="","",Agent05_Savings!D169)</f>
        <v/>
      </c>
      <c r="F964" s="39" t="str">
        <f>IF(Agent05_Savings!A169="","",Agent05_Savings!E169)</f>
        <v/>
      </c>
      <c r="G964" s="39" t="str">
        <f>IF(Agent05_Savings!A169="","",Agent05_Savings!F169)</f>
        <v/>
      </c>
      <c r="H964" s="37" t="str">
        <f>IF(Agent05_Savings!A169="","",Agent05_Savings!I169)</f>
        <v/>
      </c>
      <c r="I964" s="37" t="str">
        <f>IF(Agent05_Savings!A169="","",Agent05_Savings!J169)</f>
        <v/>
      </c>
      <c r="J964" s="37" t="str">
        <f>IF(Agent05_Savings!A169="","",Agent05_Savings!K169)</f>
        <v/>
      </c>
      <c r="K964" s="37" t="str">
        <f>IFERROR(IF(Agent05_Savings!A169="","",YEAR(Agent05_Savings!D169)),"")</f>
        <v/>
      </c>
    </row>
    <row r="965" spans="1:11" ht="18" customHeight="1" x14ac:dyDescent="0.25">
      <c r="A965" s="37" t="str">
        <f>IF(Agent05_Savings!A170="","",Agent05_Savings!A170)</f>
        <v/>
      </c>
      <c r="B965" s="37" t="str">
        <f ca="1">IF(Agent05_Savings!A170="","","SV"&amp;TEXT(965-3,"0000")&amp;"-"&amp;TEXT(TODAY(),"YYYYMMDD"))</f>
        <v/>
      </c>
      <c r="C965" s="37" t="str">
        <f>IF(Agent05_Savings!A170="","",Agent05_Savings!B170)</f>
        <v/>
      </c>
      <c r="D965" s="37" t="str">
        <f>IF(Agent05_Savings!A170="","",Agent05_Savings!G170)</f>
        <v/>
      </c>
      <c r="E965" s="38" t="str">
        <f>IF(Agent05_Savings!A170="","",Agent05_Savings!D170)</f>
        <v/>
      </c>
      <c r="F965" s="39" t="str">
        <f>IF(Agent05_Savings!A170="","",Agent05_Savings!E170)</f>
        <v/>
      </c>
      <c r="G965" s="39" t="str">
        <f>IF(Agent05_Savings!A170="","",Agent05_Savings!F170)</f>
        <v/>
      </c>
      <c r="H965" s="37" t="str">
        <f>IF(Agent05_Savings!A170="","",Agent05_Savings!I170)</f>
        <v/>
      </c>
      <c r="I965" s="37" t="str">
        <f>IF(Agent05_Savings!A170="","",Agent05_Savings!J170)</f>
        <v/>
      </c>
      <c r="J965" s="37" t="str">
        <f>IF(Agent05_Savings!A170="","",Agent05_Savings!K170)</f>
        <v/>
      </c>
      <c r="K965" s="37" t="str">
        <f>IFERROR(IF(Agent05_Savings!A170="","",YEAR(Agent05_Savings!D170)),"")</f>
        <v/>
      </c>
    </row>
    <row r="966" spans="1:11" ht="18" customHeight="1" x14ac:dyDescent="0.25">
      <c r="A966" s="37" t="str">
        <f>IF(Agent05_Savings!A171="","",Agent05_Savings!A171)</f>
        <v/>
      </c>
      <c r="B966" s="37" t="str">
        <f ca="1">IF(Agent05_Savings!A171="","","SV"&amp;TEXT(966-3,"0000")&amp;"-"&amp;TEXT(TODAY(),"YYYYMMDD"))</f>
        <v/>
      </c>
      <c r="C966" s="37" t="str">
        <f>IF(Agent05_Savings!A171="","",Agent05_Savings!B171)</f>
        <v/>
      </c>
      <c r="D966" s="37" t="str">
        <f>IF(Agent05_Savings!A171="","",Agent05_Savings!G171)</f>
        <v/>
      </c>
      <c r="E966" s="38" t="str">
        <f>IF(Agent05_Savings!A171="","",Agent05_Savings!D171)</f>
        <v/>
      </c>
      <c r="F966" s="39" t="str">
        <f>IF(Agent05_Savings!A171="","",Agent05_Savings!E171)</f>
        <v/>
      </c>
      <c r="G966" s="39" t="str">
        <f>IF(Agent05_Savings!A171="","",Agent05_Savings!F171)</f>
        <v/>
      </c>
      <c r="H966" s="37" t="str">
        <f>IF(Agent05_Savings!A171="","",Agent05_Savings!I171)</f>
        <v/>
      </c>
      <c r="I966" s="37" t="str">
        <f>IF(Agent05_Savings!A171="","",Agent05_Savings!J171)</f>
        <v/>
      </c>
      <c r="J966" s="37" t="str">
        <f>IF(Agent05_Savings!A171="","",Agent05_Savings!K171)</f>
        <v/>
      </c>
      <c r="K966" s="37" t="str">
        <f>IFERROR(IF(Agent05_Savings!A171="","",YEAR(Agent05_Savings!D171)),"")</f>
        <v/>
      </c>
    </row>
    <row r="967" spans="1:11" ht="18" customHeight="1" x14ac:dyDescent="0.25">
      <c r="A967" s="37" t="str">
        <f>IF(Agent05_Savings!A172="","",Agent05_Savings!A172)</f>
        <v/>
      </c>
      <c r="B967" s="37" t="str">
        <f ca="1">IF(Agent05_Savings!A172="","","SV"&amp;TEXT(967-3,"0000")&amp;"-"&amp;TEXT(TODAY(),"YYYYMMDD"))</f>
        <v/>
      </c>
      <c r="C967" s="37" t="str">
        <f>IF(Agent05_Savings!A172="","",Agent05_Savings!B172)</f>
        <v/>
      </c>
      <c r="D967" s="37" t="str">
        <f>IF(Agent05_Savings!A172="","",Agent05_Savings!G172)</f>
        <v/>
      </c>
      <c r="E967" s="38" t="str">
        <f>IF(Agent05_Savings!A172="","",Agent05_Savings!D172)</f>
        <v/>
      </c>
      <c r="F967" s="39" t="str">
        <f>IF(Agent05_Savings!A172="","",Agent05_Savings!E172)</f>
        <v/>
      </c>
      <c r="G967" s="39" t="str">
        <f>IF(Agent05_Savings!A172="","",Agent05_Savings!F172)</f>
        <v/>
      </c>
      <c r="H967" s="37" t="str">
        <f>IF(Agent05_Savings!A172="","",Agent05_Savings!I172)</f>
        <v/>
      </c>
      <c r="I967" s="37" t="str">
        <f>IF(Agent05_Savings!A172="","",Agent05_Savings!J172)</f>
        <v/>
      </c>
      <c r="J967" s="37" t="str">
        <f>IF(Agent05_Savings!A172="","",Agent05_Savings!K172)</f>
        <v/>
      </c>
      <c r="K967" s="37" t="str">
        <f>IFERROR(IF(Agent05_Savings!A172="","",YEAR(Agent05_Savings!D172)),"")</f>
        <v/>
      </c>
    </row>
    <row r="968" spans="1:11" ht="18" customHeight="1" x14ac:dyDescent="0.25">
      <c r="A968" s="37" t="str">
        <f>IF(Agent05_Savings!A173="","",Agent05_Savings!A173)</f>
        <v/>
      </c>
      <c r="B968" s="37" t="str">
        <f ca="1">IF(Agent05_Savings!A173="","","SV"&amp;TEXT(968-3,"0000")&amp;"-"&amp;TEXT(TODAY(),"YYYYMMDD"))</f>
        <v/>
      </c>
      <c r="C968" s="37" t="str">
        <f>IF(Agent05_Savings!A173="","",Agent05_Savings!B173)</f>
        <v/>
      </c>
      <c r="D968" s="37" t="str">
        <f>IF(Agent05_Savings!A173="","",Agent05_Savings!G173)</f>
        <v/>
      </c>
      <c r="E968" s="38" t="str">
        <f>IF(Agent05_Savings!A173="","",Agent05_Savings!D173)</f>
        <v/>
      </c>
      <c r="F968" s="39" t="str">
        <f>IF(Agent05_Savings!A173="","",Agent05_Savings!E173)</f>
        <v/>
      </c>
      <c r="G968" s="39" t="str">
        <f>IF(Agent05_Savings!A173="","",Agent05_Savings!F173)</f>
        <v/>
      </c>
      <c r="H968" s="37" t="str">
        <f>IF(Agent05_Savings!A173="","",Agent05_Savings!I173)</f>
        <v/>
      </c>
      <c r="I968" s="37" t="str">
        <f>IF(Agent05_Savings!A173="","",Agent05_Savings!J173)</f>
        <v/>
      </c>
      <c r="J968" s="37" t="str">
        <f>IF(Agent05_Savings!A173="","",Agent05_Savings!K173)</f>
        <v/>
      </c>
      <c r="K968" s="37" t="str">
        <f>IFERROR(IF(Agent05_Savings!A173="","",YEAR(Agent05_Savings!D173)),"")</f>
        <v/>
      </c>
    </row>
    <row r="969" spans="1:11" ht="18" customHeight="1" x14ac:dyDescent="0.25">
      <c r="A969" s="37" t="str">
        <f>IF(Agent05_Savings!A174="","",Agent05_Savings!A174)</f>
        <v/>
      </c>
      <c r="B969" s="37" t="str">
        <f ca="1">IF(Agent05_Savings!A174="","","SV"&amp;TEXT(969-3,"0000")&amp;"-"&amp;TEXT(TODAY(),"YYYYMMDD"))</f>
        <v/>
      </c>
      <c r="C969" s="37" t="str">
        <f>IF(Agent05_Savings!A174="","",Agent05_Savings!B174)</f>
        <v/>
      </c>
      <c r="D969" s="37" t="str">
        <f>IF(Agent05_Savings!A174="","",Agent05_Savings!G174)</f>
        <v/>
      </c>
      <c r="E969" s="38" t="str">
        <f>IF(Agent05_Savings!A174="","",Agent05_Savings!D174)</f>
        <v/>
      </c>
      <c r="F969" s="39" t="str">
        <f>IF(Agent05_Savings!A174="","",Agent05_Savings!E174)</f>
        <v/>
      </c>
      <c r="G969" s="39" t="str">
        <f>IF(Agent05_Savings!A174="","",Agent05_Savings!F174)</f>
        <v/>
      </c>
      <c r="H969" s="37" t="str">
        <f>IF(Agent05_Savings!A174="","",Agent05_Savings!I174)</f>
        <v/>
      </c>
      <c r="I969" s="37" t="str">
        <f>IF(Agent05_Savings!A174="","",Agent05_Savings!J174)</f>
        <v/>
      </c>
      <c r="J969" s="37" t="str">
        <f>IF(Agent05_Savings!A174="","",Agent05_Savings!K174)</f>
        <v/>
      </c>
      <c r="K969" s="37" t="str">
        <f>IFERROR(IF(Agent05_Savings!A174="","",YEAR(Agent05_Savings!D174)),"")</f>
        <v/>
      </c>
    </row>
    <row r="970" spans="1:11" ht="18" customHeight="1" x14ac:dyDescent="0.25">
      <c r="A970" s="37" t="str">
        <f>IF(Agent05_Savings!A175="","",Agent05_Savings!A175)</f>
        <v/>
      </c>
      <c r="B970" s="37" t="str">
        <f ca="1">IF(Agent05_Savings!A175="","","SV"&amp;TEXT(970-3,"0000")&amp;"-"&amp;TEXT(TODAY(),"YYYYMMDD"))</f>
        <v/>
      </c>
      <c r="C970" s="37" t="str">
        <f>IF(Agent05_Savings!A175="","",Agent05_Savings!B175)</f>
        <v/>
      </c>
      <c r="D970" s="37" t="str">
        <f>IF(Agent05_Savings!A175="","",Agent05_Savings!G175)</f>
        <v/>
      </c>
      <c r="E970" s="38" t="str">
        <f>IF(Agent05_Savings!A175="","",Agent05_Savings!D175)</f>
        <v/>
      </c>
      <c r="F970" s="39" t="str">
        <f>IF(Agent05_Savings!A175="","",Agent05_Savings!E175)</f>
        <v/>
      </c>
      <c r="G970" s="39" t="str">
        <f>IF(Agent05_Savings!A175="","",Agent05_Savings!F175)</f>
        <v/>
      </c>
      <c r="H970" s="37" t="str">
        <f>IF(Agent05_Savings!A175="","",Agent05_Savings!I175)</f>
        <v/>
      </c>
      <c r="I970" s="37" t="str">
        <f>IF(Agent05_Savings!A175="","",Agent05_Savings!J175)</f>
        <v/>
      </c>
      <c r="J970" s="37" t="str">
        <f>IF(Agent05_Savings!A175="","",Agent05_Savings!K175)</f>
        <v/>
      </c>
      <c r="K970" s="37" t="str">
        <f>IFERROR(IF(Agent05_Savings!A175="","",YEAR(Agent05_Savings!D175)),"")</f>
        <v/>
      </c>
    </row>
    <row r="971" spans="1:11" ht="18" customHeight="1" x14ac:dyDescent="0.25">
      <c r="A971" s="37" t="str">
        <f>IF(Agent05_Savings!A176="","",Agent05_Savings!A176)</f>
        <v/>
      </c>
      <c r="B971" s="37" t="str">
        <f ca="1">IF(Agent05_Savings!A176="","","SV"&amp;TEXT(971-3,"0000")&amp;"-"&amp;TEXT(TODAY(),"YYYYMMDD"))</f>
        <v/>
      </c>
      <c r="C971" s="37" t="str">
        <f>IF(Agent05_Savings!A176="","",Agent05_Savings!B176)</f>
        <v/>
      </c>
      <c r="D971" s="37" t="str">
        <f>IF(Agent05_Savings!A176="","",Agent05_Savings!G176)</f>
        <v/>
      </c>
      <c r="E971" s="38" t="str">
        <f>IF(Agent05_Savings!A176="","",Agent05_Savings!D176)</f>
        <v/>
      </c>
      <c r="F971" s="39" t="str">
        <f>IF(Agent05_Savings!A176="","",Agent05_Savings!E176)</f>
        <v/>
      </c>
      <c r="G971" s="39" t="str">
        <f>IF(Agent05_Savings!A176="","",Agent05_Savings!F176)</f>
        <v/>
      </c>
      <c r="H971" s="37" t="str">
        <f>IF(Agent05_Savings!A176="","",Agent05_Savings!I176)</f>
        <v/>
      </c>
      <c r="I971" s="37" t="str">
        <f>IF(Agent05_Savings!A176="","",Agent05_Savings!J176)</f>
        <v/>
      </c>
      <c r="J971" s="37" t="str">
        <f>IF(Agent05_Savings!A176="","",Agent05_Savings!K176)</f>
        <v/>
      </c>
      <c r="K971" s="37" t="str">
        <f>IFERROR(IF(Agent05_Savings!A176="","",YEAR(Agent05_Savings!D176)),"")</f>
        <v/>
      </c>
    </row>
    <row r="972" spans="1:11" ht="18" customHeight="1" x14ac:dyDescent="0.25">
      <c r="A972" s="37" t="str">
        <f>IF(Agent05_Savings!A177="","",Agent05_Savings!A177)</f>
        <v/>
      </c>
      <c r="B972" s="37" t="str">
        <f ca="1">IF(Agent05_Savings!A177="","","SV"&amp;TEXT(972-3,"0000")&amp;"-"&amp;TEXT(TODAY(),"YYYYMMDD"))</f>
        <v/>
      </c>
      <c r="C972" s="37" t="str">
        <f>IF(Agent05_Savings!A177="","",Agent05_Savings!B177)</f>
        <v/>
      </c>
      <c r="D972" s="37" t="str">
        <f>IF(Agent05_Savings!A177="","",Agent05_Savings!G177)</f>
        <v/>
      </c>
      <c r="E972" s="38" t="str">
        <f>IF(Agent05_Savings!A177="","",Agent05_Savings!D177)</f>
        <v/>
      </c>
      <c r="F972" s="39" t="str">
        <f>IF(Agent05_Savings!A177="","",Agent05_Savings!E177)</f>
        <v/>
      </c>
      <c r="G972" s="39" t="str">
        <f>IF(Agent05_Savings!A177="","",Agent05_Savings!F177)</f>
        <v/>
      </c>
      <c r="H972" s="37" t="str">
        <f>IF(Agent05_Savings!A177="","",Agent05_Savings!I177)</f>
        <v/>
      </c>
      <c r="I972" s="37" t="str">
        <f>IF(Agent05_Savings!A177="","",Agent05_Savings!J177)</f>
        <v/>
      </c>
      <c r="J972" s="37" t="str">
        <f>IF(Agent05_Savings!A177="","",Agent05_Savings!K177)</f>
        <v/>
      </c>
      <c r="K972" s="37" t="str">
        <f>IFERROR(IF(Agent05_Savings!A177="","",YEAR(Agent05_Savings!D177)),"")</f>
        <v/>
      </c>
    </row>
    <row r="973" spans="1:11" ht="18" customHeight="1" x14ac:dyDescent="0.25">
      <c r="A973" s="37" t="str">
        <f>IF(Agent05_Savings!A178="","",Agent05_Savings!A178)</f>
        <v/>
      </c>
      <c r="B973" s="37" t="str">
        <f ca="1">IF(Agent05_Savings!A178="","","SV"&amp;TEXT(973-3,"0000")&amp;"-"&amp;TEXT(TODAY(),"YYYYMMDD"))</f>
        <v/>
      </c>
      <c r="C973" s="37" t="str">
        <f>IF(Agent05_Savings!A178="","",Agent05_Savings!B178)</f>
        <v/>
      </c>
      <c r="D973" s="37" t="str">
        <f>IF(Agent05_Savings!A178="","",Agent05_Savings!G178)</f>
        <v/>
      </c>
      <c r="E973" s="38" t="str">
        <f>IF(Agent05_Savings!A178="","",Agent05_Savings!D178)</f>
        <v/>
      </c>
      <c r="F973" s="39" t="str">
        <f>IF(Agent05_Savings!A178="","",Agent05_Savings!E178)</f>
        <v/>
      </c>
      <c r="G973" s="39" t="str">
        <f>IF(Agent05_Savings!A178="","",Agent05_Savings!F178)</f>
        <v/>
      </c>
      <c r="H973" s="37" t="str">
        <f>IF(Agent05_Savings!A178="","",Agent05_Savings!I178)</f>
        <v/>
      </c>
      <c r="I973" s="37" t="str">
        <f>IF(Agent05_Savings!A178="","",Agent05_Savings!J178)</f>
        <v/>
      </c>
      <c r="J973" s="37" t="str">
        <f>IF(Agent05_Savings!A178="","",Agent05_Savings!K178)</f>
        <v/>
      </c>
      <c r="K973" s="37" t="str">
        <f>IFERROR(IF(Agent05_Savings!A178="","",YEAR(Agent05_Savings!D178)),"")</f>
        <v/>
      </c>
    </row>
    <row r="974" spans="1:11" ht="18" customHeight="1" x14ac:dyDescent="0.25">
      <c r="A974" s="37" t="str">
        <f>IF(Agent05_Savings!A179="","",Agent05_Savings!A179)</f>
        <v/>
      </c>
      <c r="B974" s="37" t="str">
        <f ca="1">IF(Agent05_Savings!A179="","","SV"&amp;TEXT(974-3,"0000")&amp;"-"&amp;TEXT(TODAY(),"YYYYMMDD"))</f>
        <v/>
      </c>
      <c r="C974" s="37" t="str">
        <f>IF(Agent05_Savings!A179="","",Agent05_Savings!B179)</f>
        <v/>
      </c>
      <c r="D974" s="37" t="str">
        <f>IF(Agent05_Savings!A179="","",Agent05_Savings!G179)</f>
        <v/>
      </c>
      <c r="E974" s="38" t="str">
        <f>IF(Agent05_Savings!A179="","",Agent05_Savings!D179)</f>
        <v/>
      </c>
      <c r="F974" s="39" t="str">
        <f>IF(Agent05_Savings!A179="","",Agent05_Savings!E179)</f>
        <v/>
      </c>
      <c r="G974" s="39" t="str">
        <f>IF(Agent05_Savings!A179="","",Agent05_Savings!F179)</f>
        <v/>
      </c>
      <c r="H974" s="37" t="str">
        <f>IF(Agent05_Savings!A179="","",Agent05_Savings!I179)</f>
        <v/>
      </c>
      <c r="I974" s="37" t="str">
        <f>IF(Agent05_Savings!A179="","",Agent05_Savings!J179)</f>
        <v/>
      </c>
      <c r="J974" s="37" t="str">
        <f>IF(Agent05_Savings!A179="","",Agent05_Savings!K179)</f>
        <v/>
      </c>
      <c r="K974" s="37" t="str">
        <f>IFERROR(IF(Agent05_Savings!A179="","",YEAR(Agent05_Savings!D179)),"")</f>
        <v/>
      </c>
    </row>
    <row r="975" spans="1:11" ht="18" customHeight="1" x14ac:dyDescent="0.25">
      <c r="A975" s="37" t="str">
        <f>IF(Agent05_Savings!A180="","",Agent05_Savings!A180)</f>
        <v/>
      </c>
      <c r="B975" s="37" t="str">
        <f ca="1">IF(Agent05_Savings!A180="","","SV"&amp;TEXT(975-3,"0000")&amp;"-"&amp;TEXT(TODAY(),"YYYYMMDD"))</f>
        <v/>
      </c>
      <c r="C975" s="37" t="str">
        <f>IF(Agent05_Savings!A180="","",Agent05_Savings!B180)</f>
        <v/>
      </c>
      <c r="D975" s="37" t="str">
        <f>IF(Agent05_Savings!A180="","",Agent05_Savings!G180)</f>
        <v/>
      </c>
      <c r="E975" s="38" t="str">
        <f>IF(Agent05_Savings!A180="","",Agent05_Savings!D180)</f>
        <v/>
      </c>
      <c r="F975" s="39" t="str">
        <f>IF(Agent05_Savings!A180="","",Agent05_Savings!E180)</f>
        <v/>
      </c>
      <c r="G975" s="39" t="str">
        <f>IF(Agent05_Savings!A180="","",Agent05_Savings!F180)</f>
        <v/>
      </c>
      <c r="H975" s="37" t="str">
        <f>IF(Agent05_Savings!A180="","",Agent05_Savings!I180)</f>
        <v/>
      </c>
      <c r="I975" s="37" t="str">
        <f>IF(Agent05_Savings!A180="","",Agent05_Savings!J180)</f>
        <v/>
      </c>
      <c r="J975" s="37" t="str">
        <f>IF(Agent05_Savings!A180="","",Agent05_Savings!K180)</f>
        <v/>
      </c>
      <c r="K975" s="37" t="str">
        <f>IFERROR(IF(Agent05_Savings!A180="","",YEAR(Agent05_Savings!D180)),"")</f>
        <v/>
      </c>
    </row>
    <row r="976" spans="1:11" ht="18" customHeight="1" x14ac:dyDescent="0.25">
      <c r="A976" s="37" t="str">
        <f>IF(Agent05_Savings!A181="","",Agent05_Savings!A181)</f>
        <v/>
      </c>
      <c r="B976" s="37" t="str">
        <f ca="1">IF(Agent05_Savings!A181="","","SV"&amp;TEXT(976-3,"0000")&amp;"-"&amp;TEXT(TODAY(),"YYYYMMDD"))</f>
        <v/>
      </c>
      <c r="C976" s="37" t="str">
        <f>IF(Agent05_Savings!A181="","",Agent05_Savings!B181)</f>
        <v/>
      </c>
      <c r="D976" s="37" t="str">
        <f>IF(Agent05_Savings!A181="","",Agent05_Savings!G181)</f>
        <v/>
      </c>
      <c r="E976" s="38" t="str">
        <f>IF(Agent05_Savings!A181="","",Agent05_Savings!D181)</f>
        <v/>
      </c>
      <c r="F976" s="39" t="str">
        <f>IF(Agent05_Savings!A181="","",Agent05_Savings!E181)</f>
        <v/>
      </c>
      <c r="G976" s="39" t="str">
        <f>IF(Agent05_Savings!A181="","",Agent05_Savings!F181)</f>
        <v/>
      </c>
      <c r="H976" s="37" t="str">
        <f>IF(Agent05_Savings!A181="","",Agent05_Savings!I181)</f>
        <v/>
      </c>
      <c r="I976" s="37" t="str">
        <f>IF(Agent05_Savings!A181="","",Agent05_Savings!J181)</f>
        <v/>
      </c>
      <c r="J976" s="37" t="str">
        <f>IF(Agent05_Savings!A181="","",Agent05_Savings!K181)</f>
        <v/>
      </c>
      <c r="K976" s="37" t="str">
        <f>IFERROR(IF(Agent05_Savings!A181="","",YEAR(Agent05_Savings!D181)),"")</f>
        <v/>
      </c>
    </row>
    <row r="977" spans="1:11" ht="18" customHeight="1" x14ac:dyDescent="0.25">
      <c r="A977" s="37" t="str">
        <f>IF(Agent05_Savings!A182="","",Agent05_Savings!A182)</f>
        <v/>
      </c>
      <c r="B977" s="37" t="str">
        <f ca="1">IF(Agent05_Savings!A182="","","SV"&amp;TEXT(977-3,"0000")&amp;"-"&amp;TEXT(TODAY(),"YYYYMMDD"))</f>
        <v/>
      </c>
      <c r="C977" s="37" t="str">
        <f>IF(Agent05_Savings!A182="","",Agent05_Savings!B182)</f>
        <v/>
      </c>
      <c r="D977" s="37" t="str">
        <f>IF(Agent05_Savings!A182="","",Agent05_Savings!G182)</f>
        <v/>
      </c>
      <c r="E977" s="38" t="str">
        <f>IF(Agent05_Savings!A182="","",Agent05_Savings!D182)</f>
        <v/>
      </c>
      <c r="F977" s="39" t="str">
        <f>IF(Agent05_Savings!A182="","",Agent05_Savings!E182)</f>
        <v/>
      </c>
      <c r="G977" s="39" t="str">
        <f>IF(Agent05_Savings!A182="","",Agent05_Savings!F182)</f>
        <v/>
      </c>
      <c r="H977" s="37" t="str">
        <f>IF(Agent05_Savings!A182="","",Agent05_Savings!I182)</f>
        <v/>
      </c>
      <c r="I977" s="37" t="str">
        <f>IF(Agent05_Savings!A182="","",Agent05_Savings!J182)</f>
        <v/>
      </c>
      <c r="J977" s="37" t="str">
        <f>IF(Agent05_Savings!A182="","",Agent05_Savings!K182)</f>
        <v/>
      </c>
      <c r="K977" s="37" t="str">
        <f>IFERROR(IF(Agent05_Savings!A182="","",YEAR(Agent05_Savings!D182)),"")</f>
        <v/>
      </c>
    </row>
    <row r="978" spans="1:11" ht="18" customHeight="1" x14ac:dyDescent="0.25">
      <c r="A978" s="37" t="str">
        <f>IF(Agent05_Savings!A183="","",Agent05_Savings!A183)</f>
        <v/>
      </c>
      <c r="B978" s="37" t="str">
        <f ca="1">IF(Agent05_Savings!A183="","","SV"&amp;TEXT(978-3,"0000")&amp;"-"&amp;TEXT(TODAY(),"YYYYMMDD"))</f>
        <v/>
      </c>
      <c r="C978" s="37" t="str">
        <f>IF(Agent05_Savings!A183="","",Agent05_Savings!B183)</f>
        <v/>
      </c>
      <c r="D978" s="37" t="str">
        <f>IF(Agent05_Savings!A183="","",Agent05_Savings!G183)</f>
        <v/>
      </c>
      <c r="E978" s="38" t="str">
        <f>IF(Agent05_Savings!A183="","",Agent05_Savings!D183)</f>
        <v/>
      </c>
      <c r="F978" s="39" t="str">
        <f>IF(Agent05_Savings!A183="","",Agent05_Savings!E183)</f>
        <v/>
      </c>
      <c r="G978" s="39" t="str">
        <f>IF(Agent05_Savings!A183="","",Agent05_Savings!F183)</f>
        <v/>
      </c>
      <c r="H978" s="37" t="str">
        <f>IF(Agent05_Savings!A183="","",Agent05_Savings!I183)</f>
        <v/>
      </c>
      <c r="I978" s="37" t="str">
        <f>IF(Agent05_Savings!A183="","",Agent05_Savings!J183)</f>
        <v/>
      </c>
      <c r="J978" s="37" t="str">
        <f>IF(Agent05_Savings!A183="","",Agent05_Savings!K183)</f>
        <v/>
      </c>
      <c r="K978" s="37" t="str">
        <f>IFERROR(IF(Agent05_Savings!A183="","",YEAR(Agent05_Savings!D183)),"")</f>
        <v/>
      </c>
    </row>
    <row r="979" spans="1:11" ht="18" customHeight="1" x14ac:dyDescent="0.25">
      <c r="A979" s="37" t="str">
        <f>IF(Agent05_Savings!A184="","",Agent05_Savings!A184)</f>
        <v/>
      </c>
      <c r="B979" s="37" t="str">
        <f ca="1">IF(Agent05_Savings!A184="","","SV"&amp;TEXT(979-3,"0000")&amp;"-"&amp;TEXT(TODAY(),"YYYYMMDD"))</f>
        <v/>
      </c>
      <c r="C979" s="37" t="str">
        <f>IF(Agent05_Savings!A184="","",Agent05_Savings!B184)</f>
        <v/>
      </c>
      <c r="D979" s="37" t="str">
        <f>IF(Agent05_Savings!A184="","",Agent05_Savings!G184)</f>
        <v/>
      </c>
      <c r="E979" s="38" t="str">
        <f>IF(Agent05_Savings!A184="","",Agent05_Savings!D184)</f>
        <v/>
      </c>
      <c r="F979" s="39" t="str">
        <f>IF(Agent05_Savings!A184="","",Agent05_Savings!E184)</f>
        <v/>
      </c>
      <c r="G979" s="39" t="str">
        <f>IF(Agent05_Savings!A184="","",Agent05_Savings!F184)</f>
        <v/>
      </c>
      <c r="H979" s="37" t="str">
        <f>IF(Agent05_Savings!A184="","",Agent05_Savings!I184)</f>
        <v/>
      </c>
      <c r="I979" s="37" t="str">
        <f>IF(Agent05_Savings!A184="","",Agent05_Savings!J184)</f>
        <v/>
      </c>
      <c r="J979" s="37" t="str">
        <f>IF(Agent05_Savings!A184="","",Agent05_Savings!K184)</f>
        <v/>
      </c>
      <c r="K979" s="37" t="str">
        <f>IFERROR(IF(Agent05_Savings!A184="","",YEAR(Agent05_Savings!D184)),"")</f>
        <v/>
      </c>
    </row>
    <row r="980" spans="1:11" ht="18" customHeight="1" x14ac:dyDescent="0.25">
      <c r="A980" s="37" t="str">
        <f>IF(Agent05_Savings!A185="","",Agent05_Savings!A185)</f>
        <v/>
      </c>
      <c r="B980" s="37" t="str">
        <f ca="1">IF(Agent05_Savings!A185="","","SV"&amp;TEXT(980-3,"0000")&amp;"-"&amp;TEXT(TODAY(),"YYYYMMDD"))</f>
        <v/>
      </c>
      <c r="C980" s="37" t="str">
        <f>IF(Agent05_Savings!A185="","",Agent05_Savings!B185)</f>
        <v/>
      </c>
      <c r="D980" s="37" t="str">
        <f>IF(Agent05_Savings!A185="","",Agent05_Savings!G185)</f>
        <v/>
      </c>
      <c r="E980" s="38" t="str">
        <f>IF(Agent05_Savings!A185="","",Agent05_Savings!D185)</f>
        <v/>
      </c>
      <c r="F980" s="39" t="str">
        <f>IF(Agent05_Savings!A185="","",Agent05_Savings!E185)</f>
        <v/>
      </c>
      <c r="G980" s="39" t="str">
        <f>IF(Agent05_Savings!A185="","",Agent05_Savings!F185)</f>
        <v/>
      </c>
      <c r="H980" s="37" t="str">
        <f>IF(Agent05_Savings!A185="","",Agent05_Savings!I185)</f>
        <v/>
      </c>
      <c r="I980" s="37" t="str">
        <f>IF(Agent05_Savings!A185="","",Agent05_Savings!J185)</f>
        <v/>
      </c>
      <c r="J980" s="37" t="str">
        <f>IF(Agent05_Savings!A185="","",Agent05_Savings!K185)</f>
        <v/>
      </c>
      <c r="K980" s="37" t="str">
        <f>IFERROR(IF(Agent05_Savings!A185="","",YEAR(Agent05_Savings!D185)),"")</f>
        <v/>
      </c>
    </row>
    <row r="981" spans="1:11" ht="18" customHeight="1" x14ac:dyDescent="0.25">
      <c r="A981" s="37" t="str">
        <f>IF(Agent05_Savings!A186="","",Agent05_Savings!A186)</f>
        <v/>
      </c>
      <c r="B981" s="37" t="str">
        <f ca="1">IF(Agent05_Savings!A186="","","SV"&amp;TEXT(981-3,"0000")&amp;"-"&amp;TEXT(TODAY(),"YYYYMMDD"))</f>
        <v/>
      </c>
      <c r="C981" s="37" t="str">
        <f>IF(Agent05_Savings!A186="","",Agent05_Savings!B186)</f>
        <v/>
      </c>
      <c r="D981" s="37" t="str">
        <f>IF(Agent05_Savings!A186="","",Agent05_Savings!G186)</f>
        <v/>
      </c>
      <c r="E981" s="38" t="str">
        <f>IF(Agent05_Savings!A186="","",Agent05_Savings!D186)</f>
        <v/>
      </c>
      <c r="F981" s="39" t="str">
        <f>IF(Agent05_Savings!A186="","",Agent05_Savings!E186)</f>
        <v/>
      </c>
      <c r="G981" s="39" t="str">
        <f>IF(Agent05_Savings!A186="","",Agent05_Savings!F186)</f>
        <v/>
      </c>
      <c r="H981" s="37" t="str">
        <f>IF(Agent05_Savings!A186="","",Agent05_Savings!I186)</f>
        <v/>
      </c>
      <c r="I981" s="37" t="str">
        <f>IF(Agent05_Savings!A186="","",Agent05_Savings!J186)</f>
        <v/>
      </c>
      <c r="J981" s="37" t="str">
        <f>IF(Agent05_Savings!A186="","",Agent05_Savings!K186)</f>
        <v/>
      </c>
      <c r="K981" s="37" t="str">
        <f>IFERROR(IF(Agent05_Savings!A186="","",YEAR(Agent05_Savings!D186)),"")</f>
        <v/>
      </c>
    </row>
    <row r="982" spans="1:11" ht="18" customHeight="1" x14ac:dyDescent="0.25">
      <c r="A982" s="37" t="str">
        <f>IF(Agent05_Savings!A187="","",Agent05_Savings!A187)</f>
        <v/>
      </c>
      <c r="B982" s="37" t="str">
        <f ca="1">IF(Agent05_Savings!A187="","","SV"&amp;TEXT(982-3,"0000")&amp;"-"&amp;TEXT(TODAY(),"YYYYMMDD"))</f>
        <v/>
      </c>
      <c r="C982" s="37" t="str">
        <f>IF(Agent05_Savings!A187="","",Agent05_Savings!B187)</f>
        <v/>
      </c>
      <c r="D982" s="37" t="str">
        <f>IF(Agent05_Savings!A187="","",Agent05_Savings!G187)</f>
        <v/>
      </c>
      <c r="E982" s="38" t="str">
        <f>IF(Agent05_Savings!A187="","",Agent05_Savings!D187)</f>
        <v/>
      </c>
      <c r="F982" s="39" t="str">
        <f>IF(Agent05_Savings!A187="","",Agent05_Savings!E187)</f>
        <v/>
      </c>
      <c r="G982" s="39" t="str">
        <f>IF(Agent05_Savings!A187="","",Agent05_Savings!F187)</f>
        <v/>
      </c>
      <c r="H982" s="37" t="str">
        <f>IF(Agent05_Savings!A187="","",Agent05_Savings!I187)</f>
        <v/>
      </c>
      <c r="I982" s="37" t="str">
        <f>IF(Agent05_Savings!A187="","",Agent05_Savings!J187)</f>
        <v/>
      </c>
      <c r="J982" s="37" t="str">
        <f>IF(Agent05_Savings!A187="","",Agent05_Savings!K187)</f>
        <v/>
      </c>
      <c r="K982" s="37" t="str">
        <f>IFERROR(IF(Agent05_Savings!A187="","",YEAR(Agent05_Savings!D187)),"")</f>
        <v/>
      </c>
    </row>
    <row r="983" spans="1:11" ht="18" customHeight="1" x14ac:dyDescent="0.25">
      <c r="A983" s="37" t="str">
        <f>IF(Agent05_Savings!A188="","",Agent05_Savings!A188)</f>
        <v/>
      </c>
      <c r="B983" s="37" t="str">
        <f ca="1">IF(Agent05_Savings!A188="","","SV"&amp;TEXT(983-3,"0000")&amp;"-"&amp;TEXT(TODAY(),"YYYYMMDD"))</f>
        <v/>
      </c>
      <c r="C983" s="37" t="str">
        <f>IF(Agent05_Savings!A188="","",Agent05_Savings!B188)</f>
        <v/>
      </c>
      <c r="D983" s="37" t="str">
        <f>IF(Agent05_Savings!A188="","",Agent05_Savings!G188)</f>
        <v/>
      </c>
      <c r="E983" s="38" t="str">
        <f>IF(Agent05_Savings!A188="","",Agent05_Savings!D188)</f>
        <v/>
      </c>
      <c r="F983" s="39" t="str">
        <f>IF(Agent05_Savings!A188="","",Agent05_Savings!E188)</f>
        <v/>
      </c>
      <c r="G983" s="39" t="str">
        <f>IF(Agent05_Savings!A188="","",Agent05_Savings!F188)</f>
        <v/>
      </c>
      <c r="H983" s="37" t="str">
        <f>IF(Agent05_Savings!A188="","",Agent05_Savings!I188)</f>
        <v/>
      </c>
      <c r="I983" s="37" t="str">
        <f>IF(Agent05_Savings!A188="","",Agent05_Savings!J188)</f>
        <v/>
      </c>
      <c r="J983" s="37" t="str">
        <f>IF(Agent05_Savings!A188="","",Agent05_Savings!K188)</f>
        <v/>
      </c>
      <c r="K983" s="37" t="str">
        <f>IFERROR(IF(Agent05_Savings!A188="","",YEAR(Agent05_Savings!D188)),"")</f>
        <v/>
      </c>
    </row>
    <row r="984" spans="1:11" ht="18" customHeight="1" x14ac:dyDescent="0.25">
      <c r="A984" s="37" t="str">
        <f>IF(Agent05_Savings!A189="","",Agent05_Savings!A189)</f>
        <v/>
      </c>
      <c r="B984" s="37" t="str">
        <f ca="1">IF(Agent05_Savings!A189="","","SV"&amp;TEXT(984-3,"0000")&amp;"-"&amp;TEXT(TODAY(),"YYYYMMDD"))</f>
        <v/>
      </c>
      <c r="C984" s="37" t="str">
        <f>IF(Agent05_Savings!A189="","",Agent05_Savings!B189)</f>
        <v/>
      </c>
      <c r="D984" s="37" t="str">
        <f>IF(Agent05_Savings!A189="","",Agent05_Savings!G189)</f>
        <v/>
      </c>
      <c r="E984" s="38" t="str">
        <f>IF(Agent05_Savings!A189="","",Agent05_Savings!D189)</f>
        <v/>
      </c>
      <c r="F984" s="39" t="str">
        <f>IF(Agent05_Savings!A189="","",Agent05_Savings!E189)</f>
        <v/>
      </c>
      <c r="G984" s="39" t="str">
        <f>IF(Agent05_Savings!A189="","",Agent05_Savings!F189)</f>
        <v/>
      </c>
      <c r="H984" s="37" t="str">
        <f>IF(Agent05_Savings!A189="","",Agent05_Savings!I189)</f>
        <v/>
      </c>
      <c r="I984" s="37" t="str">
        <f>IF(Agent05_Savings!A189="","",Agent05_Savings!J189)</f>
        <v/>
      </c>
      <c r="J984" s="37" t="str">
        <f>IF(Agent05_Savings!A189="","",Agent05_Savings!K189)</f>
        <v/>
      </c>
      <c r="K984" s="37" t="str">
        <f>IFERROR(IF(Agent05_Savings!A189="","",YEAR(Agent05_Savings!D189)),"")</f>
        <v/>
      </c>
    </row>
    <row r="985" spans="1:11" ht="18" customHeight="1" x14ac:dyDescent="0.25">
      <c r="A985" s="37" t="str">
        <f>IF(Agent05_Savings!A190="","",Agent05_Savings!A190)</f>
        <v/>
      </c>
      <c r="B985" s="37" t="str">
        <f ca="1">IF(Agent05_Savings!A190="","","SV"&amp;TEXT(985-3,"0000")&amp;"-"&amp;TEXT(TODAY(),"YYYYMMDD"))</f>
        <v/>
      </c>
      <c r="C985" s="37" t="str">
        <f>IF(Agent05_Savings!A190="","",Agent05_Savings!B190)</f>
        <v/>
      </c>
      <c r="D985" s="37" t="str">
        <f>IF(Agent05_Savings!A190="","",Agent05_Savings!G190)</f>
        <v/>
      </c>
      <c r="E985" s="38" t="str">
        <f>IF(Agent05_Savings!A190="","",Agent05_Savings!D190)</f>
        <v/>
      </c>
      <c r="F985" s="39" t="str">
        <f>IF(Agent05_Savings!A190="","",Agent05_Savings!E190)</f>
        <v/>
      </c>
      <c r="G985" s="39" t="str">
        <f>IF(Agent05_Savings!A190="","",Agent05_Savings!F190)</f>
        <v/>
      </c>
      <c r="H985" s="37" t="str">
        <f>IF(Agent05_Savings!A190="","",Agent05_Savings!I190)</f>
        <v/>
      </c>
      <c r="I985" s="37" t="str">
        <f>IF(Agent05_Savings!A190="","",Agent05_Savings!J190)</f>
        <v/>
      </c>
      <c r="J985" s="37" t="str">
        <f>IF(Agent05_Savings!A190="","",Agent05_Savings!K190)</f>
        <v/>
      </c>
      <c r="K985" s="37" t="str">
        <f>IFERROR(IF(Agent05_Savings!A190="","",YEAR(Agent05_Savings!D190)),"")</f>
        <v/>
      </c>
    </row>
    <row r="986" spans="1:11" ht="18" customHeight="1" x14ac:dyDescent="0.25">
      <c r="A986" s="37" t="str">
        <f>IF(Agent05_Savings!A191="","",Agent05_Savings!A191)</f>
        <v/>
      </c>
      <c r="B986" s="37" t="str">
        <f ca="1">IF(Agent05_Savings!A191="","","SV"&amp;TEXT(986-3,"0000")&amp;"-"&amp;TEXT(TODAY(),"YYYYMMDD"))</f>
        <v/>
      </c>
      <c r="C986" s="37" t="str">
        <f>IF(Agent05_Savings!A191="","",Agent05_Savings!B191)</f>
        <v/>
      </c>
      <c r="D986" s="37" t="str">
        <f>IF(Agent05_Savings!A191="","",Agent05_Savings!G191)</f>
        <v/>
      </c>
      <c r="E986" s="38" t="str">
        <f>IF(Agent05_Savings!A191="","",Agent05_Savings!D191)</f>
        <v/>
      </c>
      <c r="F986" s="39" t="str">
        <f>IF(Agent05_Savings!A191="","",Agent05_Savings!E191)</f>
        <v/>
      </c>
      <c r="G986" s="39" t="str">
        <f>IF(Agent05_Savings!A191="","",Agent05_Savings!F191)</f>
        <v/>
      </c>
      <c r="H986" s="37" t="str">
        <f>IF(Agent05_Savings!A191="","",Agent05_Savings!I191)</f>
        <v/>
      </c>
      <c r="I986" s="37" t="str">
        <f>IF(Agent05_Savings!A191="","",Agent05_Savings!J191)</f>
        <v/>
      </c>
      <c r="J986" s="37" t="str">
        <f>IF(Agent05_Savings!A191="","",Agent05_Savings!K191)</f>
        <v/>
      </c>
      <c r="K986" s="37" t="str">
        <f>IFERROR(IF(Agent05_Savings!A191="","",YEAR(Agent05_Savings!D191)),"")</f>
        <v/>
      </c>
    </row>
    <row r="987" spans="1:11" ht="18" customHeight="1" x14ac:dyDescent="0.25">
      <c r="A987" s="37" t="str">
        <f>IF(Agent05_Savings!A192="","",Agent05_Savings!A192)</f>
        <v/>
      </c>
      <c r="B987" s="37" t="str">
        <f ca="1">IF(Agent05_Savings!A192="","","SV"&amp;TEXT(987-3,"0000")&amp;"-"&amp;TEXT(TODAY(),"YYYYMMDD"))</f>
        <v/>
      </c>
      <c r="C987" s="37" t="str">
        <f>IF(Agent05_Savings!A192="","",Agent05_Savings!B192)</f>
        <v/>
      </c>
      <c r="D987" s="37" t="str">
        <f>IF(Agent05_Savings!A192="","",Agent05_Savings!G192)</f>
        <v/>
      </c>
      <c r="E987" s="38" t="str">
        <f>IF(Agent05_Savings!A192="","",Agent05_Savings!D192)</f>
        <v/>
      </c>
      <c r="F987" s="39" t="str">
        <f>IF(Agent05_Savings!A192="","",Agent05_Savings!E192)</f>
        <v/>
      </c>
      <c r="G987" s="39" t="str">
        <f>IF(Agent05_Savings!A192="","",Agent05_Savings!F192)</f>
        <v/>
      </c>
      <c r="H987" s="37" t="str">
        <f>IF(Agent05_Savings!A192="","",Agent05_Savings!I192)</f>
        <v/>
      </c>
      <c r="I987" s="37" t="str">
        <f>IF(Agent05_Savings!A192="","",Agent05_Savings!J192)</f>
        <v/>
      </c>
      <c r="J987" s="37" t="str">
        <f>IF(Agent05_Savings!A192="","",Agent05_Savings!K192)</f>
        <v/>
      </c>
      <c r="K987" s="37" t="str">
        <f>IFERROR(IF(Agent05_Savings!A192="","",YEAR(Agent05_Savings!D192)),"")</f>
        <v/>
      </c>
    </row>
    <row r="988" spans="1:11" ht="18" customHeight="1" x14ac:dyDescent="0.25">
      <c r="A988" s="37" t="str">
        <f>IF(Agent05_Savings!A193="","",Agent05_Savings!A193)</f>
        <v/>
      </c>
      <c r="B988" s="37" t="str">
        <f ca="1">IF(Agent05_Savings!A193="","","SV"&amp;TEXT(988-3,"0000")&amp;"-"&amp;TEXT(TODAY(),"YYYYMMDD"))</f>
        <v/>
      </c>
      <c r="C988" s="37" t="str">
        <f>IF(Agent05_Savings!A193="","",Agent05_Savings!B193)</f>
        <v/>
      </c>
      <c r="D988" s="37" t="str">
        <f>IF(Agent05_Savings!A193="","",Agent05_Savings!G193)</f>
        <v/>
      </c>
      <c r="E988" s="38" t="str">
        <f>IF(Agent05_Savings!A193="","",Agent05_Savings!D193)</f>
        <v/>
      </c>
      <c r="F988" s="39" t="str">
        <f>IF(Agent05_Savings!A193="","",Agent05_Savings!E193)</f>
        <v/>
      </c>
      <c r="G988" s="39" t="str">
        <f>IF(Agent05_Savings!A193="","",Agent05_Savings!F193)</f>
        <v/>
      </c>
      <c r="H988" s="37" t="str">
        <f>IF(Agent05_Savings!A193="","",Agent05_Savings!I193)</f>
        <v/>
      </c>
      <c r="I988" s="37" t="str">
        <f>IF(Agent05_Savings!A193="","",Agent05_Savings!J193)</f>
        <v/>
      </c>
      <c r="J988" s="37" t="str">
        <f>IF(Agent05_Savings!A193="","",Agent05_Savings!K193)</f>
        <v/>
      </c>
      <c r="K988" s="37" t="str">
        <f>IFERROR(IF(Agent05_Savings!A193="","",YEAR(Agent05_Savings!D193)),"")</f>
        <v/>
      </c>
    </row>
    <row r="989" spans="1:11" ht="18" customHeight="1" x14ac:dyDescent="0.25">
      <c r="A989" s="37" t="str">
        <f>IF(Agent05_Savings!A194="","",Agent05_Savings!A194)</f>
        <v/>
      </c>
      <c r="B989" s="37" t="str">
        <f ca="1">IF(Agent05_Savings!A194="","","SV"&amp;TEXT(989-3,"0000")&amp;"-"&amp;TEXT(TODAY(),"YYYYMMDD"))</f>
        <v/>
      </c>
      <c r="C989" s="37" t="str">
        <f>IF(Agent05_Savings!A194="","",Agent05_Savings!B194)</f>
        <v/>
      </c>
      <c r="D989" s="37" t="str">
        <f>IF(Agent05_Savings!A194="","",Agent05_Savings!G194)</f>
        <v/>
      </c>
      <c r="E989" s="38" t="str">
        <f>IF(Agent05_Savings!A194="","",Agent05_Savings!D194)</f>
        <v/>
      </c>
      <c r="F989" s="39" t="str">
        <f>IF(Agent05_Savings!A194="","",Agent05_Savings!E194)</f>
        <v/>
      </c>
      <c r="G989" s="39" t="str">
        <f>IF(Agent05_Savings!A194="","",Agent05_Savings!F194)</f>
        <v/>
      </c>
      <c r="H989" s="37" t="str">
        <f>IF(Agent05_Savings!A194="","",Agent05_Savings!I194)</f>
        <v/>
      </c>
      <c r="I989" s="37" t="str">
        <f>IF(Agent05_Savings!A194="","",Agent05_Savings!J194)</f>
        <v/>
      </c>
      <c r="J989" s="37" t="str">
        <f>IF(Agent05_Savings!A194="","",Agent05_Savings!K194)</f>
        <v/>
      </c>
      <c r="K989" s="37" t="str">
        <f>IFERROR(IF(Agent05_Savings!A194="","",YEAR(Agent05_Savings!D194)),"")</f>
        <v/>
      </c>
    </row>
    <row r="990" spans="1:11" ht="18" customHeight="1" x14ac:dyDescent="0.25">
      <c r="A990" s="37" t="str">
        <f>IF(Agent05_Savings!A195="","",Agent05_Savings!A195)</f>
        <v/>
      </c>
      <c r="B990" s="37" t="str">
        <f ca="1">IF(Agent05_Savings!A195="","","SV"&amp;TEXT(990-3,"0000")&amp;"-"&amp;TEXT(TODAY(),"YYYYMMDD"))</f>
        <v/>
      </c>
      <c r="C990" s="37" t="str">
        <f>IF(Agent05_Savings!A195="","",Agent05_Savings!B195)</f>
        <v/>
      </c>
      <c r="D990" s="37" t="str">
        <f>IF(Agent05_Savings!A195="","",Agent05_Savings!G195)</f>
        <v/>
      </c>
      <c r="E990" s="38" t="str">
        <f>IF(Agent05_Savings!A195="","",Agent05_Savings!D195)</f>
        <v/>
      </c>
      <c r="F990" s="39" t="str">
        <f>IF(Agent05_Savings!A195="","",Agent05_Savings!E195)</f>
        <v/>
      </c>
      <c r="G990" s="39" t="str">
        <f>IF(Agent05_Savings!A195="","",Agent05_Savings!F195)</f>
        <v/>
      </c>
      <c r="H990" s="37" t="str">
        <f>IF(Agent05_Savings!A195="","",Agent05_Savings!I195)</f>
        <v/>
      </c>
      <c r="I990" s="37" t="str">
        <f>IF(Agent05_Savings!A195="","",Agent05_Savings!J195)</f>
        <v/>
      </c>
      <c r="J990" s="37" t="str">
        <f>IF(Agent05_Savings!A195="","",Agent05_Savings!K195)</f>
        <v/>
      </c>
      <c r="K990" s="37" t="str">
        <f>IFERROR(IF(Agent05_Savings!A195="","",YEAR(Agent05_Savings!D195)),"")</f>
        <v/>
      </c>
    </row>
    <row r="991" spans="1:11" ht="18" customHeight="1" x14ac:dyDescent="0.25">
      <c r="A991" s="37" t="str">
        <f>IF(Agent05_Savings!A196="","",Agent05_Savings!A196)</f>
        <v/>
      </c>
      <c r="B991" s="37" t="str">
        <f ca="1">IF(Agent05_Savings!A196="","","SV"&amp;TEXT(991-3,"0000")&amp;"-"&amp;TEXT(TODAY(),"YYYYMMDD"))</f>
        <v/>
      </c>
      <c r="C991" s="37" t="str">
        <f>IF(Agent05_Savings!A196="","",Agent05_Savings!B196)</f>
        <v/>
      </c>
      <c r="D991" s="37" t="str">
        <f>IF(Agent05_Savings!A196="","",Agent05_Savings!G196)</f>
        <v/>
      </c>
      <c r="E991" s="38" t="str">
        <f>IF(Agent05_Savings!A196="","",Agent05_Savings!D196)</f>
        <v/>
      </c>
      <c r="F991" s="39" t="str">
        <f>IF(Agent05_Savings!A196="","",Agent05_Savings!E196)</f>
        <v/>
      </c>
      <c r="G991" s="39" t="str">
        <f>IF(Agent05_Savings!A196="","",Agent05_Savings!F196)</f>
        <v/>
      </c>
      <c r="H991" s="37" t="str">
        <f>IF(Agent05_Savings!A196="","",Agent05_Savings!I196)</f>
        <v/>
      </c>
      <c r="I991" s="37" t="str">
        <f>IF(Agent05_Savings!A196="","",Agent05_Savings!J196)</f>
        <v/>
      </c>
      <c r="J991" s="37" t="str">
        <f>IF(Agent05_Savings!A196="","",Agent05_Savings!K196)</f>
        <v/>
      </c>
      <c r="K991" s="37" t="str">
        <f>IFERROR(IF(Agent05_Savings!A196="","",YEAR(Agent05_Savings!D196)),"")</f>
        <v/>
      </c>
    </row>
    <row r="992" spans="1:11" ht="18" customHeight="1" x14ac:dyDescent="0.25">
      <c r="A992" s="37" t="str">
        <f>IF(Agent05_Savings!A197="","",Agent05_Savings!A197)</f>
        <v/>
      </c>
      <c r="B992" s="37" t="str">
        <f ca="1">IF(Agent05_Savings!A197="","","SV"&amp;TEXT(992-3,"0000")&amp;"-"&amp;TEXT(TODAY(),"YYYYMMDD"))</f>
        <v/>
      </c>
      <c r="C992" s="37" t="str">
        <f>IF(Agent05_Savings!A197="","",Agent05_Savings!B197)</f>
        <v/>
      </c>
      <c r="D992" s="37" t="str">
        <f>IF(Agent05_Savings!A197="","",Agent05_Savings!G197)</f>
        <v/>
      </c>
      <c r="E992" s="38" t="str">
        <f>IF(Agent05_Savings!A197="","",Agent05_Savings!D197)</f>
        <v/>
      </c>
      <c r="F992" s="39" t="str">
        <f>IF(Agent05_Savings!A197="","",Agent05_Savings!E197)</f>
        <v/>
      </c>
      <c r="G992" s="39" t="str">
        <f>IF(Agent05_Savings!A197="","",Agent05_Savings!F197)</f>
        <v/>
      </c>
      <c r="H992" s="37" t="str">
        <f>IF(Agent05_Savings!A197="","",Agent05_Savings!I197)</f>
        <v/>
      </c>
      <c r="I992" s="37" t="str">
        <f>IF(Agent05_Savings!A197="","",Agent05_Savings!J197)</f>
        <v/>
      </c>
      <c r="J992" s="37" t="str">
        <f>IF(Agent05_Savings!A197="","",Agent05_Savings!K197)</f>
        <v/>
      </c>
      <c r="K992" s="37" t="str">
        <f>IFERROR(IF(Agent05_Savings!A197="","",YEAR(Agent05_Savings!D197)),"")</f>
        <v/>
      </c>
    </row>
    <row r="993" spans="1:11" ht="18" customHeight="1" x14ac:dyDescent="0.25">
      <c r="A993" s="37" t="str">
        <f>IF(Agent05_Savings!A198="","",Agent05_Savings!A198)</f>
        <v/>
      </c>
      <c r="B993" s="37" t="str">
        <f ca="1">IF(Agent05_Savings!A198="","","SV"&amp;TEXT(993-3,"0000")&amp;"-"&amp;TEXT(TODAY(),"YYYYMMDD"))</f>
        <v/>
      </c>
      <c r="C993" s="37" t="str">
        <f>IF(Agent05_Savings!A198="","",Agent05_Savings!B198)</f>
        <v/>
      </c>
      <c r="D993" s="37" t="str">
        <f>IF(Agent05_Savings!A198="","",Agent05_Savings!G198)</f>
        <v/>
      </c>
      <c r="E993" s="38" t="str">
        <f>IF(Agent05_Savings!A198="","",Agent05_Savings!D198)</f>
        <v/>
      </c>
      <c r="F993" s="39" t="str">
        <f>IF(Agent05_Savings!A198="","",Agent05_Savings!E198)</f>
        <v/>
      </c>
      <c r="G993" s="39" t="str">
        <f>IF(Agent05_Savings!A198="","",Agent05_Savings!F198)</f>
        <v/>
      </c>
      <c r="H993" s="37" t="str">
        <f>IF(Agent05_Savings!A198="","",Agent05_Savings!I198)</f>
        <v/>
      </c>
      <c r="I993" s="37" t="str">
        <f>IF(Agent05_Savings!A198="","",Agent05_Savings!J198)</f>
        <v/>
      </c>
      <c r="J993" s="37" t="str">
        <f>IF(Agent05_Savings!A198="","",Agent05_Savings!K198)</f>
        <v/>
      </c>
      <c r="K993" s="37" t="str">
        <f>IFERROR(IF(Agent05_Savings!A198="","",YEAR(Agent05_Savings!D198)),"")</f>
        <v/>
      </c>
    </row>
    <row r="994" spans="1:11" ht="18" customHeight="1" x14ac:dyDescent="0.25">
      <c r="A994" s="37" t="str">
        <f>IF(Agent05_Savings!A199="","",Agent05_Savings!A199)</f>
        <v/>
      </c>
      <c r="B994" s="37" t="str">
        <f ca="1">IF(Agent05_Savings!A199="","","SV"&amp;TEXT(994-3,"0000")&amp;"-"&amp;TEXT(TODAY(),"YYYYMMDD"))</f>
        <v/>
      </c>
      <c r="C994" s="37" t="str">
        <f>IF(Agent05_Savings!A199="","",Agent05_Savings!B199)</f>
        <v/>
      </c>
      <c r="D994" s="37" t="str">
        <f>IF(Agent05_Savings!A199="","",Agent05_Savings!G199)</f>
        <v/>
      </c>
      <c r="E994" s="38" t="str">
        <f>IF(Agent05_Savings!A199="","",Agent05_Savings!D199)</f>
        <v/>
      </c>
      <c r="F994" s="39" t="str">
        <f>IF(Agent05_Savings!A199="","",Agent05_Savings!E199)</f>
        <v/>
      </c>
      <c r="G994" s="39" t="str">
        <f>IF(Agent05_Savings!A199="","",Agent05_Savings!F199)</f>
        <v/>
      </c>
      <c r="H994" s="37" t="str">
        <f>IF(Agent05_Savings!A199="","",Agent05_Savings!I199)</f>
        <v/>
      </c>
      <c r="I994" s="37" t="str">
        <f>IF(Agent05_Savings!A199="","",Agent05_Savings!J199)</f>
        <v/>
      </c>
      <c r="J994" s="37" t="str">
        <f>IF(Agent05_Savings!A199="","",Agent05_Savings!K199)</f>
        <v/>
      </c>
      <c r="K994" s="37" t="str">
        <f>IFERROR(IF(Agent05_Savings!A199="","",YEAR(Agent05_Savings!D199)),"")</f>
        <v/>
      </c>
    </row>
    <row r="995" spans="1:11" ht="18" customHeight="1" x14ac:dyDescent="0.25">
      <c r="A995" s="37" t="str">
        <f>IF(Agent05_Savings!A200="","",Agent05_Savings!A200)</f>
        <v/>
      </c>
      <c r="B995" s="37" t="str">
        <f ca="1">IF(Agent05_Savings!A200="","","SV"&amp;TEXT(995-3,"0000")&amp;"-"&amp;TEXT(TODAY(),"YYYYMMDD"))</f>
        <v/>
      </c>
      <c r="C995" s="37" t="str">
        <f>IF(Agent05_Savings!A200="","",Agent05_Savings!B200)</f>
        <v/>
      </c>
      <c r="D995" s="37" t="str">
        <f>IF(Agent05_Savings!A200="","",Agent05_Savings!G200)</f>
        <v/>
      </c>
      <c r="E995" s="38" t="str">
        <f>IF(Agent05_Savings!A200="","",Agent05_Savings!D200)</f>
        <v/>
      </c>
      <c r="F995" s="39" t="str">
        <f>IF(Agent05_Savings!A200="","",Agent05_Savings!E200)</f>
        <v/>
      </c>
      <c r="G995" s="39" t="str">
        <f>IF(Agent05_Savings!A200="","",Agent05_Savings!F200)</f>
        <v/>
      </c>
      <c r="H995" s="37" t="str">
        <f>IF(Agent05_Savings!A200="","",Agent05_Savings!I200)</f>
        <v/>
      </c>
      <c r="I995" s="37" t="str">
        <f>IF(Agent05_Savings!A200="","",Agent05_Savings!J200)</f>
        <v/>
      </c>
      <c r="J995" s="37" t="str">
        <f>IF(Agent05_Savings!A200="","",Agent05_Savings!K200)</f>
        <v/>
      </c>
      <c r="K995" s="37" t="str">
        <f>IFERROR(IF(Agent05_Savings!A200="","",YEAR(Agent05_Savings!D200)),"")</f>
        <v/>
      </c>
    </row>
    <row r="996" spans="1:11" ht="18" customHeight="1" x14ac:dyDescent="0.25">
      <c r="A996" s="37" t="str">
        <f>IF(Agent05_Savings!A201="","",Agent05_Savings!A201)</f>
        <v/>
      </c>
      <c r="B996" s="37" t="str">
        <f ca="1">IF(Agent05_Savings!A201="","","SV"&amp;TEXT(996-3,"0000")&amp;"-"&amp;TEXT(TODAY(),"YYYYMMDD"))</f>
        <v/>
      </c>
      <c r="C996" s="37" t="str">
        <f>IF(Agent05_Savings!A201="","",Agent05_Savings!B201)</f>
        <v/>
      </c>
      <c r="D996" s="37" t="str">
        <f>IF(Agent05_Savings!A201="","",Agent05_Savings!G201)</f>
        <v/>
      </c>
      <c r="E996" s="38" t="str">
        <f>IF(Agent05_Savings!A201="","",Agent05_Savings!D201)</f>
        <v/>
      </c>
      <c r="F996" s="39" t="str">
        <f>IF(Agent05_Savings!A201="","",Agent05_Savings!E201)</f>
        <v/>
      </c>
      <c r="G996" s="39" t="str">
        <f>IF(Agent05_Savings!A201="","",Agent05_Savings!F201)</f>
        <v/>
      </c>
      <c r="H996" s="37" t="str">
        <f>IF(Agent05_Savings!A201="","",Agent05_Savings!I201)</f>
        <v/>
      </c>
      <c r="I996" s="37" t="str">
        <f>IF(Agent05_Savings!A201="","",Agent05_Savings!J201)</f>
        <v/>
      </c>
      <c r="J996" s="37" t="str">
        <f>IF(Agent05_Savings!A201="","",Agent05_Savings!K201)</f>
        <v/>
      </c>
      <c r="K996" s="37" t="str">
        <f>IFERROR(IF(Agent05_Savings!A201="","",YEAR(Agent05_Savings!D201)),"")</f>
        <v/>
      </c>
    </row>
    <row r="997" spans="1:11" ht="18" customHeight="1" x14ac:dyDescent="0.25">
      <c r="A997" s="37" t="str">
        <f>IF(Agent05_Savings!A202="","",Agent05_Savings!A202)</f>
        <v/>
      </c>
      <c r="B997" s="37" t="str">
        <f ca="1">IF(Agent05_Savings!A202="","","SV"&amp;TEXT(997-3,"0000")&amp;"-"&amp;TEXT(TODAY(),"YYYYMMDD"))</f>
        <v/>
      </c>
      <c r="C997" s="37" t="str">
        <f>IF(Agent05_Savings!A202="","",Agent05_Savings!B202)</f>
        <v/>
      </c>
      <c r="D997" s="37" t="str">
        <f>IF(Agent05_Savings!A202="","",Agent05_Savings!G202)</f>
        <v/>
      </c>
      <c r="E997" s="38" t="str">
        <f>IF(Agent05_Savings!A202="","",Agent05_Savings!D202)</f>
        <v/>
      </c>
      <c r="F997" s="39" t="str">
        <f>IF(Agent05_Savings!A202="","",Agent05_Savings!E202)</f>
        <v/>
      </c>
      <c r="G997" s="39" t="str">
        <f>IF(Agent05_Savings!A202="","",Agent05_Savings!F202)</f>
        <v/>
      </c>
      <c r="H997" s="37" t="str">
        <f>IF(Agent05_Savings!A202="","",Agent05_Savings!I202)</f>
        <v/>
      </c>
      <c r="I997" s="37" t="str">
        <f>IF(Agent05_Savings!A202="","",Agent05_Savings!J202)</f>
        <v/>
      </c>
      <c r="J997" s="37" t="str">
        <f>IF(Agent05_Savings!A202="","",Agent05_Savings!K202)</f>
        <v/>
      </c>
      <c r="K997" s="37" t="str">
        <f>IFERROR(IF(Agent05_Savings!A202="","",YEAR(Agent05_Savings!D202)),"")</f>
        <v/>
      </c>
    </row>
    <row r="998" spans="1:11" ht="18" customHeight="1" x14ac:dyDescent="0.25">
      <c r="A998" s="37" t="str">
        <f>IF(Agent05_Savings!A203="","",Agent05_Savings!A203)</f>
        <v/>
      </c>
      <c r="B998" s="37" t="str">
        <f ca="1">IF(Agent05_Savings!A203="","","SV"&amp;TEXT(998-3,"0000")&amp;"-"&amp;TEXT(TODAY(),"YYYYMMDD"))</f>
        <v/>
      </c>
      <c r="C998" s="37" t="str">
        <f>IF(Agent05_Savings!A203="","",Agent05_Savings!B203)</f>
        <v/>
      </c>
      <c r="D998" s="37" t="str">
        <f>IF(Agent05_Savings!A203="","",Agent05_Savings!G203)</f>
        <v/>
      </c>
      <c r="E998" s="38" t="str">
        <f>IF(Agent05_Savings!A203="","",Agent05_Savings!D203)</f>
        <v/>
      </c>
      <c r="F998" s="39" t="str">
        <f>IF(Agent05_Savings!A203="","",Agent05_Savings!E203)</f>
        <v/>
      </c>
      <c r="G998" s="39" t="str">
        <f>IF(Agent05_Savings!A203="","",Agent05_Savings!F203)</f>
        <v/>
      </c>
      <c r="H998" s="37" t="str">
        <f>IF(Agent05_Savings!A203="","",Agent05_Savings!I203)</f>
        <v/>
      </c>
      <c r="I998" s="37" t="str">
        <f>IF(Agent05_Savings!A203="","",Agent05_Savings!J203)</f>
        <v/>
      </c>
      <c r="J998" s="37" t="str">
        <f>IF(Agent05_Savings!A203="","",Agent05_Savings!K203)</f>
        <v/>
      </c>
      <c r="K998" s="37" t="str">
        <f>IFERROR(IF(Agent05_Savings!A203="","",YEAR(Agent05_Savings!D203)),"")</f>
        <v/>
      </c>
    </row>
    <row r="999" spans="1:11" ht="18" customHeight="1" x14ac:dyDescent="0.25">
      <c r="A999" s="37" t="str">
        <f>IF(Agent05_Savings!A204="","",Agent05_Savings!A204)</f>
        <v/>
      </c>
      <c r="B999" s="37" t="str">
        <f ca="1">IF(Agent05_Savings!A204="","","SV"&amp;TEXT(999-3,"0000")&amp;"-"&amp;TEXT(TODAY(),"YYYYMMDD"))</f>
        <v/>
      </c>
      <c r="C999" s="37" t="str">
        <f>IF(Agent05_Savings!A204="","",Agent05_Savings!B204)</f>
        <v/>
      </c>
      <c r="D999" s="37" t="str">
        <f>IF(Agent05_Savings!A204="","",Agent05_Savings!G204)</f>
        <v/>
      </c>
      <c r="E999" s="38" t="str">
        <f>IF(Agent05_Savings!A204="","",Agent05_Savings!D204)</f>
        <v/>
      </c>
      <c r="F999" s="39" t="str">
        <f>IF(Agent05_Savings!A204="","",Agent05_Savings!E204)</f>
        <v/>
      </c>
      <c r="G999" s="39" t="str">
        <f>IF(Agent05_Savings!A204="","",Agent05_Savings!F204)</f>
        <v/>
      </c>
      <c r="H999" s="37" t="str">
        <f>IF(Agent05_Savings!A204="","",Agent05_Savings!I204)</f>
        <v/>
      </c>
      <c r="I999" s="37" t="str">
        <f>IF(Agent05_Savings!A204="","",Agent05_Savings!J204)</f>
        <v/>
      </c>
      <c r="J999" s="37" t="str">
        <f>IF(Agent05_Savings!A204="","",Agent05_Savings!K204)</f>
        <v/>
      </c>
      <c r="K999" s="37" t="str">
        <f>IFERROR(IF(Agent05_Savings!A204="","",YEAR(Agent05_Savings!D204)),"")</f>
        <v/>
      </c>
    </row>
    <row r="1000" spans="1:11" ht="18" customHeight="1" x14ac:dyDescent="0.25">
      <c r="A1000" s="37" t="str">
        <f>IF(Agent05_Savings!A205="","",Agent05_Savings!A205)</f>
        <v/>
      </c>
      <c r="B1000" s="37" t="str">
        <f ca="1">IF(Agent05_Savings!A205="","","SV"&amp;TEXT(1000-3,"0000")&amp;"-"&amp;TEXT(TODAY(),"YYYYMMDD"))</f>
        <v/>
      </c>
      <c r="C1000" s="37" t="str">
        <f>IF(Agent05_Savings!A205="","",Agent05_Savings!B205)</f>
        <v/>
      </c>
      <c r="D1000" s="37" t="str">
        <f>IF(Agent05_Savings!A205="","",Agent05_Savings!G205)</f>
        <v/>
      </c>
      <c r="E1000" s="38" t="str">
        <f>IF(Agent05_Savings!A205="","",Agent05_Savings!D205)</f>
        <v/>
      </c>
      <c r="F1000" s="39" t="str">
        <f>IF(Agent05_Savings!A205="","",Agent05_Savings!E205)</f>
        <v/>
      </c>
      <c r="G1000" s="39" t="str">
        <f>IF(Agent05_Savings!A205="","",Agent05_Savings!F205)</f>
        <v/>
      </c>
      <c r="H1000" s="37" t="str">
        <f>IF(Agent05_Savings!A205="","",Agent05_Savings!I205)</f>
        <v/>
      </c>
      <c r="I1000" s="37" t="str">
        <f>IF(Agent05_Savings!A205="","",Agent05_Savings!J205)</f>
        <v/>
      </c>
      <c r="J1000" s="37" t="str">
        <f>IF(Agent05_Savings!A205="","",Agent05_Savings!K205)</f>
        <v/>
      </c>
      <c r="K1000" s="37" t="str">
        <f>IFERROR(IF(Agent05_Savings!A205="","",YEAR(Agent05_Savings!D205)),"")</f>
        <v/>
      </c>
    </row>
    <row r="1001" spans="1:11" ht="18" customHeight="1" x14ac:dyDescent="0.25">
      <c r="A1001" s="37" t="str">
        <f>IF(Agent05_Savings!A206="","",Agent05_Savings!A206)</f>
        <v/>
      </c>
      <c r="B1001" s="37" t="str">
        <f ca="1">IF(Agent05_Savings!A206="","","SV"&amp;TEXT(1001-3,"0000")&amp;"-"&amp;TEXT(TODAY(),"YYYYMMDD"))</f>
        <v/>
      </c>
      <c r="C1001" s="37" t="str">
        <f>IF(Agent05_Savings!A206="","",Agent05_Savings!B206)</f>
        <v/>
      </c>
      <c r="D1001" s="37" t="str">
        <f>IF(Agent05_Savings!A206="","",Agent05_Savings!G206)</f>
        <v/>
      </c>
      <c r="E1001" s="38" t="str">
        <f>IF(Agent05_Savings!A206="","",Agent05_Savings!D206)</f>
        <v/>
      </c>
      <c r="F1001" s="39" t="str">
        <f>IF(Agent05_Savings!A206="","",Agent05_Savings!E206)</f>
        <v/>
      </c>
      <c r="G1001" s="39" t="str">
        <f>IF(Agent05_Savings!A206="","",Agent05_Savings!F206)</f>
        <v/>
      </c>
      <c r="H1001" s="37" t="str">
        <f>IF(Agent05_Savings!A206="","",Agent05_Savings!I206)</f>
        <v/>
      </c>
      <c r="I1001" s="37" t="str">
        <f>IF(Agent05_Savings!A206="","",Agent05_Savings!J206)</f>
        <v/>
      </c>
      <c r="J1001" s="37" t="str">
        <f>IF(Agent05_Savings!A206="","",Agent05_Savings!K206)</f>
        <v/>
      </c>
      <c r="K1001" s="37" t="str">
        <f>IFERROR(IF(Agent05_Savings!A206="","",YEAR(Agent05_Savings!D206)),"")</f>
        <v/>
      </c>
    </row>
    <row r="1002" spans="1:11" ht="18" customHeight="1" x14ac:dyDescent="0.25">
      <c r="A1002" s="37" t="str">
        <f>IF(Agent05_Savings!A207="","",Agent05_Savings!A207)</f>
        <v/>
      </c>
      <c r="B1002" s="37" t="str">
        <f ca="1">IF(Agent05_Savings!A207="","","SV"&amp;TEXT(1002-3,"0000")&amp;"-"&amp;TEXT(TODAY(),"YYYYMMDD"))</f>
        <v/>
      </c>
      <c r="C1002" s="37" t="str">
        <f>IF(Agent05_Savings!A207="","",Agent05_Savings!B207)</f>
        <v/>
      </c>
      <c r="D1002" s="37" t="str">
        <f>IF(Agent05_Savings!A207="","",Agent05_Savings!G207)</f>
        <v/>
      </c>
      <c r="E1002" s="38" t="str">
        <f>IF(Agent05_Savings!A207="","",Agent05_Savings!D207)</f>
        <v/>
      </c>
      <c r="F1002" s="39" t="str">
        <f>IF(Agent05_Savings!A207="","",Agent05_Savings!E207)</f>
        <v/>
      </c>
      <c r="G1002" s="39" t="str">
        <f>IF(Agent05_Savings!A207="","",Agent05_Savings!F207)</f>
        <v/>
      </c>
      <c r="H1002" s="37" t="str">
        <f>IF(Agent05_Savings!A207="","",Agent05_Savings!I207)</f>
        <v/>
      </c>
      <c r="I1002" s="37" t="str">
        <f>IF(Agent05_Savings!A207="","",Agent05_Savings!J207)</f>
        <v/>
      </c>
      <c r="J1002" s="37" t="str">
        <f>IF(Agent05_Savings!A207="","",Agent05_Savings!K207)</f>
        <v/>
      </c>
      <c r="K1002" s="37" t="str">
        <f>IFERROR(IF(Agent05_Savings!A207="","",YEAR(Agent05_Savings!D207)),"")</f>
        <v/>
      </c>
    </row>
    <row r="1003" spans="1:11" ht="18" customHeight="1" x14ac:dyDescent="0.25">
      <c r="A1003" s="37" t="str">
        <f>IF(Agent05_Savings!A208="","",Agent05_Savings!A208)</f>
        <v/>
      </c>
      <c r="B1003" s="37" t="str">
        <f ca="1">IF(Agent05_Savings!A208="","","SV"&amp;TEXT(1003-3,"0000")&amp;"-"&amp;TEXT(TODAY(),"YYYYMMDD"))</f>
        <v/>
      </c>
      <c r="C1003" s="37" t="str">
        <f>IF(Agent05_Savings!A208="","",Agent05_Savings!B208)</f>
        <v/>
      </c>
      <c r="D1003" s="37" t="str">
        <f>IF(Agent05_Savings!A208="","",Agent05_Savings!G208)</f>
        <v/>
      </c>
      <c r="E1003" s="38" t="str">
        <f>IF(Agent05_Savings!A208="","",Agent05_Savings!D208)</f>
        <v/>
      </c>
      <c r="F1003" s="39" t="str">
        <f>IF(Agent05_Savings!A208="","",Agent05_Savings!E208)</f>
        <v/>
      </c>
      <c r="G1003" s="39" t="str">
        <f>IF(Agent05_Savings!A208="","",Agent05_Savings!F208)</f>
        <v/>
      </c>
      <c r="H1003" s="37" t="str">
        <f>IF(Agent05_Savings!A208="","",Agent05_Savings!I208)</f>
        <v/>
      </c>
      <c r="I1003" s="37" t="str">
        <f>IF(Agent05_Savings!A208="","",Agent05_Savings!J208)</f>
        <v/>
      </c>
      <c r="J1003" s="37" t="str">
        <f>IF(Agent05_Savings!A208="","",Agent05_Savings!K208)</f>
        <v/>
      </c>
      <c r="K1003" s="37" t="str">
        <f>IFERROR(IF(Agent05_Savings!A208="","",YEAR(Agent05_Savings!D208)),"")</f>
        <v/>
      </c>
    </row>
    <row r="1004" spans="1:11" ht="18" customHeight="1" x14ac:dyDescent="0.25">
      <c r="A1004" s="37" t="str">
        <f>IF(Agent06_Savings!A9="","",Agent06_Savings!A9)</f>
        <v/>
      </c>
      <c r="B1004" s="37" t="str">
        <f ca="1">IF(Agent06_Savings!A9="","","SV"&amp;TEXT(1004-3,"0000")&amp;"-"&amp;TEXT(TODAY(),"YYYYMMDD"))</f>
        <v/>
      </c>
      <c r="C1004" s="37" t="str">
        <f>IF(Agent06_Savings!A9="","",Agent06_Savings!B9)</f>
        <v/>
      </c>
      <c r="D1004" s="37" t="str">
        <f>IF(Agent06_Savings!A9="","",Agent06_Savings!G9)</f>
        <v/>
      </c>
      <c r="E1004" s="38" t="str">
        <f>IF(Agent06_Savings!A9="","",Agent06_Savings!D9)</f>
        <v/>
      </c>
      <c r="F1004" s="39" t="str">
        <f>IF(Agent06_Savings!A9="","",Agent06_Savings!E9)</f>
        <v/>
      </c>
      <c r="G1004" s="39" t="str">
        <f>IF(Agent06_Savings!A9="","",Agent06_Savings!F9)</f>
        <v/>
      </c>
      <c r="H1004" s="37" t="str">
        <f>IF(Agent06_Savings!A9="","",Agent06_Savings!I9)</f>
        <v/>
      </c>
      <c r="I1004" s="37" t="str">
        <f>IF(Agent06_Savings!A9="","",Agent06_Savings!J9)</f>
        <v/>
      </c>
      <c r="J1004" s="37" t="str">
        <f>IF(Agent06_Savings!A9="","",Agent06_Savings!K9)</f>
        <v/>
      </c>
      <c r="K1004" s="37" t="str">
        <f>IFERROR(IF(Agent06_Savings!A9="","",YEAR(Agent06_Savings!D9)),"")</f>
        <v/>
      </c>
    </row>
    <row r="1005" spans="1:11" ht="18" customHeight="1" x14ac:dyDescent="0.25">
      <c r="A1005" s="37" t="str">
        <f>IF(Agent06_Savings!A10="","",Agent06_Savings!A10)</f>
        <v/>
      </c>
      <c r="B1005" s="37" t="str">
        <f ca="1">IF(Agent06_Savings!A10="","","SV"&amp;TEXT(1005-3,"0000")&amp;"-"&amp;TEXT(TODAY(),"YYYYMMDD"))</f>
        <v/>
      </c>
      <c r="C1005" s="37" t="str">
        <f>IF(Agent06_Savings!A10="","",Agent06_Savings!B10)</f>
        <v/>
      </c>
      <c r="D1005" s="37" t="str">
        <f>IF(Agent06_Savings!A10="","",Agent06_Savings!G10)</f>
        <v/>
      </c>
      <c r="E1005" s="38" t="str">
        <f>IF(Agent06_Savings!A10="","",Agent06_Savings!D10)</f>
        <v/>
      </c>
      <c r="F1005" s="39" t="str">
        <f>IF(Agent06_Savings!A10="","",Agent06_Savings!E10)</f>
        <v/>
      </c>
      <c r="G1005" s="39" t="str">
        <f>IF(Agent06_Savings!A10="","",Agent06_Savings!F10)</f>
        <v/>
      </c>
      <c r="H1005" s="37" t="str">
        <f>IF(Agent06_Savings!A10="","",Agent06_Savings!I10)</f>
        <v/>
      </c>
      <c r="I1005" s="37" t="str">
        <f>IF(Agent06_Savings!A10="","",Agent06_Savings!J10)</f>
        <v/>
      </c>
      <c r="J1005" s="37" t="str">
        <f>IF(Agent06_Savings!A10="","",Agent06_Savings!K10)</f>
        <v/>
      </c>
      <c r="K1005" s="37" t="str">
        <f>IFERROR(IF(Agent06_Savings!A10="","",YEAR(Agent06_Savings!D10)),"")</f>
        <v/>
      </c>
    </row>
    <row r="1006" spans="1:11" ht="18" customHeight="1" x14ac:dyDescent="0.25">
      <c r="A1006" s="37" t="str">
        <f>IF(Agent06_Savings!A11="","",Agent06_Savings!A11)</f>
        <v/>
      </c>
      <c r="B1006" s="37" t="str">
        <f ca="1">IF(Agent06_Savings!A11="","","SV"&amp;TEXT(1006-3,"0000")&amp;"-"&amp;TEXT(TODAY(),"YYYYMMDD"))</f>
        <v/>
      </c>
      <c r="C1006" s="37" t="str">
        <f>IF(Agent06_Savings!A11="","",Agent06_Savings!B11)</f>
        <v/>
      </c>
      <c r="D1006" s="37" t="str">
        <f>IF(Agent06_Savings!A11="","",Agent06_Savings!G11)</f>
        <v/>
      </c>
      <c r="E1006" s="38" t="str">
        <f>IF(Agent06_Savings!A11="","",Agent06_Savings!D11)</f>
        <v/>
      </c>
      <c r="F1006" s="39" t="str">
        <f>IF(Agent06_Savings!A11="","",Agent06_Savings!E11)</f>
        <v/>
      </c>
      <c r="G1006" s="39" t="str">
        <f>IF(Agent06_Savings!A11="","",Agent06_Savings!F11)</f>
        <v/>
      </c>
      <c r="H1006" s="37" t="str">
        <f>IF(Agent06_Savings!A11="","",Agent06_Savings!I11)</f>
        <v/>
      </c>
      <c r="I1006" s="37" t="str">
        <f>IF(Agent06_Savings!A11="","",Agent06_Savings!J11)</f>
        <v/>
      </c>
      <c r="J1006" s="37" t="str">
        <f>IF(Agent06_Savings!A11="","",Agent06_Savings!K11)</f>
        <v/>
      </c>
      <c r="K1006" s="37" t="str">
        <f>IFERROR(IF(Agent06_Savings!A11="","",YEAR(Agent06_Savings!D11)),"")</f>
        <v/>
      </c>
    </row>
    <row r="1007" spans="1:11" ht="18" customHeight="1" x14ac:dyDescent="0.25">
      <c r="A1007" s="37" t="str">
        <f>IF(Agent06_Savings!A12="","",Agent06_Savings!A12)</f>
        <v/>
      </c>
      <c r="B1007" s="37" t="str">
        <f ca="1">IF(Agent06_Savings!A12="","","SV"&amp;TEXT(1007-3,"0000")&amp;"-"&amp;TEXT(TODAY(),"YYYYMMDD"))</f>
        <v/>
      </c>
      <c r="C1007" s="37" t="str">
        <f>IF(Agent06_Savings!A12="","",Agent06_Savings!B12)</f>
        <v/>
      </c>
      <c r="D1007" s="37" t="str">
        <f>IF(Agent06_Savings!A12="","",Agent06_Savings!G12)</f>
        <v/>
      </c>
      <c r="E1007" s="38" t="str">
        <f>IF(Agent06_Savings!A12="","",Agent06_Savings!D12)</f>
        <v/>
      </c>
      <c r="F1007" s="39" t="str">
        <f>IF(Agent06_Savings!A12="","",Agent06_Savings!E12)</f>
        <v/>
      </c>
      <c r="G1007" s="39" t="str">
        <f>IF(Agent06_Savings!A12="","",Agent06_Savings!F12)</f>
        <v/>
      </c>
      <c r="H1007" s="37" t="str">
        <f>IF(Agent06_Savings!A12="","",Agent06_Savings!I12)</f>
        <v/>
      </c>
      <c r="I1007" s="37" t="str">
        <f>IF(Agent06_Savings!A12="","",Agent06_Savings!J12)</f>
        <v/>
      </c>
      <c r="J1007" s="37" t="str">
        <f>IF(Agent06_Savings!A12="","",Agent06_Savings!K12)</f>
        <v/>
      </c>
      <c r="K1007" s="37" t="str">
        <f>IFERROR(IF(Agent06_Savings!A12="","",YEAR(Agent06_Savings!D12)),"")</f>
        <v/>
      </c>
    </row>
    <row r="1008" spans="1:11" ht="18" customHeight="1" x14ac:dyDescent="0.25">
      <c r="A1008" s="37" t="str">
        <f>IF(Agent06_Savings!A13="","",Agent06_Savings!A13)</f>
        <v/>
      </c>
      <c r="B1008" s="37" t="str">
        <f ca="1">IF(Agent06_Savings!A13="","","SV"&amp;TEXT(1008-3,"0000")&amp;"-"&amp;TEXT(TODAY(),"YYYYMMDD"))</f>
        <v/>
      </c>
      <c r="C1008" s="37" t="str">
        <f>IF(Agent06_Savings!A13="","",Agent06_Savings!B13)</f>
        <v/>
      </c>
      <c r="D1008" s="37" t="str">
        <f>IF(Agent06_Savings!A13="","",Agent06_Savings!G13)</f>
        <v/>
      </c>
      <c r="E1008" s="38" t="str">
        <f>IF(Agent06_Savings!A13="","",Agent06_Savings!D13)</f>
        <v/>
      </c>
      <c r="F1008" s="39" t="str">
        <f>IF(Agent06_Savings!A13="","",Agent06_Savings!E13)</f>
        <v/>
      </c>
      <c r="G1008" s="39" t="str">
        <f>IF(Agent06_Savings!A13="","",Agent06_Savings!F13)</f>
        <v/>
      </c>
      <c r="H1008" s="37" t="str">
        <f>IF(Agent06_Savings!A13="","",Agent06_Savings!I13)</f>
        <v/>
      </c>
      <c r="I1008" s="37" t="str">
        <f>IF(Agent06_Savings!A13="","",Agent06_Savings!J13)</f>
        <v/>
      </c>
      <c r="J1008" s="37" t="str">
        <f>IF(Agent06_Savings!A13="","",Agent06_Savings!K13)</f>
        <v/>
      </c>
      <c r="K1008" s="37" t="str">
        <f>IFERROR(IF(Agent06_Savings!A13="","",YEAR(Agent06_Savings!D13)),"")</f>
        <v/>
      </c>
    </row>
    <row r="1009" spans="1:11" ht="18" customHeight="1" x14ac:dyDescent="0.25">
      <c r="A1009" s="37" t="str">
        <f>IF(Agent06_Savings!A14="","",Agent06_Savings!A14)</f>
        <v/>
      </c>
      <c r="B1009" s="37" t="str">
        <f ca="1">IF(Agent06_Savings!A14="","","SV"&amp;TEXT(1009-3,"0000")&amp;"-"&amp;TEXT(TODAY(),"YYYYMMDD"))</f>
        <v/>
      </c>
      <c r="C1009" s="37" t="str">
        <f>IF(Agent06_Savings!A14="","",Agent06_Savings!B14)</f>
        <v/>
      </c>
      <c r="D1009" s="37" t="str">
        <f>IF(Agent06_Savings!A14="","",Agent06_Savings!G14)</f>
        <v/>
      </c>
      <c r="E1009" s="38" t="str">
        <f>IF(Agent06_Savings!A14="","",Agent06_Savings!D14)</f>
        <v/>
      </c>
      <c r="F1009" s="39" t="str">
        <f>IF(Agent06_Savings!A14="","",Agent06_Savings!E14)</f>
        <v/>
      </c>
      <c r="G1009" s="39" t="str">
        <f>IF(Agent06_Savings!A14="","",Agent06_Savings!F14)</f>
        <v/>
      </c>
      <c r="H1009" s="37" t="str">
        <f>IF(Agent06_Savings!A14="","",Agent06_Savings!I14)</f>
        <v/>
      </c>
      <c r="I1009" s="37" t="str">
        <f>IF(Agent06_Savings!A14="","",Agent06_Savings!J14)</f>
        <v/>
      </c>
      <c r="J1009" s="37" t="str">
        <f>IF(Agent06_Savings!A14="","",Agent06_Savings!K14)</f>
        <v/>
      </c>
      <c r="K1009" s="37" t="str">
        <f>IFERROR(IF(Agent06_Savings!A14="","",YEAR(Agent06_Savings!D14)),"")</f>
        <v/>
      </c>
    </row>
    <row r="1010" spans="1:11" ht="18" customHeight="1" x14ac:dyDescent="0.25">
      <c r="A1010" s="37" t="str">
        <f>IF(Agent06_Savings!A15="","",Agent06_Savings!A15)</f>
        <v/>
      </c>
      <c r="B1010" s="37" t="str">
        <f ca="1">IF(Agent06_Savings!A15="","","SV"&amp;TEXT(1010-3,"0000")&amp;"-"&amp;TEXT(TODAY(),"YYYYMMDD"))</f>
        <v/>
      </c>
      <c r="C1010" s="37" t="str">
        <f>IF(Agent06_Savings!A15="","",Agent06_Savings!B15)</f>
        <v/>
      </c>
      <c r="D1010" s="37" t="str">
        <f>IF(Agent06_Savings!A15="","",Agent06_Savings!G15)</f>
        <v/>
      </c>
      <c r="E1010" s="38" t="str">
        <f>IF(Agent06_Savings!A15="","",Agent06_Savings!D15)</f>
        <v/>
      </c>
      <c r="F1010" s="39" t="str">
        <f>IF(Agent06_Savings!A15="","",Agent06_Savings!E15)</f>
        <v/>
      </c>
      <c r="G1010" s="39" t="str">
        <f>IF(Agent06_Savings!A15="","",Agent06_Savings!F15)</f>
        <v/>
      </c>
      <c r="H1010" s="37" t="str">
        <f>IF(Agent06_Savings!A15="","",Agent06_Savings!I15)</f>
        <v/>
      </c>
      <c r="I1010" s="37" t="str">
        <f>IF(Agent06_Savings!A15="","",Agent06_Savings!J15)</f>
        <v/>
      </c>
      <c r="J1010" s="37" t="str">
        <f>IF(Agent06_Savings!A15="","",Agent06_Savings!K15)</f>
        <v/>
      </c>
      <c r="K1010" s="37" t="str">
        <f>IFERROR(IF(Agent06_Savings!A15="","",YEAR(Agent06_Savings!D15)),"")</f>
        <v/>
      </c>
    </row>
    <row r="1011" spans="1:11" ht="18" customHeight="1" x14ac:dyDescent="0.25">
      <c r="A1011" s="37" t="str">
        <f>IF(Agent06_Savings!A16="","",Agent06_Savings!A16)</f>
        <v/>
      </c>
      <c r="B1011" s="37" t="str">
        <f ca="1">IF(Agent06_Savings!A16="","","SV"&amp;TEXT(1011-3,"0000")&amp;"-"&amp;TEXT(TODAY(),"YYYYMMDD"))</f>
        <v/>
      </c>
      <c r="C1011" s="37" t="str">
        <f>IF(Agent06_Savings!A16="","",Agent06_Savings!B16)</f>
        <v/>
      </c>
      <c r="D1011" s="37" t="str">
        <f>IF(Agent06_Savings!A16="","",Agent06_Savings!G16)</f>
        <v/>
      </c>
      <c r="E1011" s="38" t="str">
        <f>IF(Agent06_Savings!A16="","",Agent06_Savings!D16)</f>
        <v/>
      </c>
      <c r="F1011" s="39" t="str">
        <f>IF(Agent06_Savings!A16="","",Agent06_Savings!E16)</f>
        <v/>
      </c>
      <c r="G1011" s="39" t="str">
        <f>IF(Agent06_Savings!A16="","",Agent06_Savings!F16)</f>
        <v/>
      </c>
      <c r="H1011" s="37" t="str">
        <f>IF(Agent06_Savings!A16="","",Agent06_Savings!I16)</f>
        <v/>
      </c>
      <c r="I1011" s="37" t="str">
        <f>IF(Agent06_Savings!A16="","",Agent06_Savings!J16)</f>
        <v/>
      </c>
      <c r="J1011" s="37" t="str">
        <f>IF(Agent06_Savings!A16="","",Agent06_Savings!K16)</f>
        <v/>
      </c>
      <c r="K1011" s="37" t="str">
        <f>IFERROR(IF(Agent06_Savings!A16="","",YEAR(Agent06_Savings!D16)),"")</f>
        <v/>
      </c>
    </row>
    <row r="1012" spans="1:11" ht="18" customHeight="1" x14ac:dyDescent="0.25">
      <c r="A1012" s="37" t="str">
        <f>IF(Agent06_Savings!A17="","",Agent06_Savings!A17)</f>
        <v/>
      </c>
      <c r="B1012" s="37" t="str">
        <f ca="1">IF(Agent06_Savings!A17="","","SV"&amp;TEXT(1012-3,"0000")&amp;"-"&amp;TEXT(TODAY(),"YYYYMMDD"))</f>
        <v/>
      </c>
      <c r="C1012" s="37" t="str">
        <f>IF(Agent06_Savings!A17="","",Agent06_Savings!B17)</f>
        <v/>
      </c>
      <c r="D1012" s="37" t="str">
        <f>IF(Agent06_Savings!A17="","",Agent06_Savings!G17)</f>
        <v/>
      </c>
      <c r="E1012" s="38" t="str">
        <f>IF(Agent06_Savings!A17="","",Agent06_Savings!D17)</f>
        <v/>
      </c>
      <c r="F1012" s="39" t="str">
        <f>IF(Agent06_Savings!A17="","",Agent06_Savings!E17)</f>
        <v/>
      </c>
      <c r="G1012" s="39" t="str">
        <f>IF(Agent06_Savings!A17="","",Agent06_Savings!F17)</f>
        <v/>
      </c>
      <c r="H1012" s="37" t="str">
        <f>IF(Agent06_Savings!A17="","",Agent06_Savings!I17)</f>
        <v/>
      </c>
      <c r="I1012" s="37" t="str">
        <f>IF(Agent06_Savings!A17="","",Agent06_Savings!J17)</f>
        <v/>
      </c>
      <c r="J1012" s="37" t="str">
        <f>IF(Agent06_Savings!A17="","",Agent06_Savings!K17)</f>
        <v/>
      </c>
      <c r="K1012" s="37" t="str">
        <f>IFERROR(IF(Agent06_Savings!A17="","",YEAR(Agent06_Savings!D17)),"")</f>
        <v/>
      </c>
    </row>
    <row r="1013" spans="1:11" ht="18" customHeight="1" x14ac:dyDescent="0.25">
      <c r="A1013" s="37" t="str">
        <f>IF(Agent06_Savings!A18="","",Agent06_Savings!A18)</f>
        <v/>
      </c>
      <c r="B1013" s="37" t="str">
        <f ca="1">IF(Agent06_Savings!A18="","","SV"&amp;TEXT(1013-3,"0000")&amp;"-"&amp;TEXT(TODAY(),"YYYYMMDD"))</f>
        <v/>
      </c>
      <c r="C1013" s="37" t="str">
        <f>IF(Agent06_Savings!A18="","",Agent06_Savings!B18)</f>
        <v/>
      </c>
      <c r="D1013" s="37" t="str">
        <f>IF(Agent06_Savings!A18="","",Agent06_Savings!G18)</f>
        <v/>
      </c>
      <c r="E1013" s="38" t="str">
        <f>IF(Agent06_Savings!A18="","",Agent06_Savings!D18)</f>
        <v/>
      </c>
      <c r="F1013" s="39" t="str">
        <f>IF(Agent06_Savings!A18="","",Agent06_Savings!E18)</f>
        <v/>
      </c>
      <c r="G1013" s="39" t="str">
        <f>IF(Agent06_Savings!A18="","",Agent06_Savings!F18)</f>
        <v/>
      </c>
      <c r="H1013" s="37" t="str">
        <f>IF(Agent06_Savings!A18="","",Agent06_Savings!I18)</f>
        <v/>
      </c>
      <c r="I1013" s="37" t="str">
        <f>IF(Agent06_Savings!A18="","",Agent06_Savings!J18)</f>
        <v/>
      </c>
      <c r="J1013" s="37" t="str">
        <f>IF(Agent06_Savings!A18="","",Agent06_Savings!K18)</f>
        <v/>
      </c>
      <c r="K1013" s="37" t="str">
        <f>IFERROR(IF(Agent06_Savings!A18="","",YEAR(Agent06_Savings!D18)),"")</f>
        <v/>
      </c>
    </row>
    <row r="1014" spans="1:11" ht="18" customHeight="1" x14ac:dyDescent="0.25">
      <c r="A1014" s="37" t="str">
        <f>IF(Agent06_Savings!A19="","",Agent06_Savings!A19)</f>
        <v/>
      </c>
      <c r="B1014" s="37" t="str">
        <f ca="1">IF(Agent06_Savings!A19="","","SV"&amp;TEXT(1014-3,"0000")&amp;"-"&amp;TEXT(TODAY(),"YYYYMMDD"))</f>
        <v/>
      </c>
      <c r="C1014" s="37" t="str">
        <f>IF(Agent06_Savings!A19="","",Agent06_Savings!B19)</f>
        <v/>
      </c>
      <c r="D1014" s="37" t="str">
        <f>IF(Agent06_Savings!A19="","",Agent06_Savings!G19)</f>
        <v/>
      </c>
      <c r="E1014" s="38" t="str">
        <f>IF(Agent06_Savings!A19="","",Agent06_Savings!D19)</f>
        <v/>
      </c>
      <c r="F1014" s="39" t="str">
        <f>IF(Agent06_Savings!A19="","",Agent06_Savings!E19)</f>
        <v/>
      </c>
      <c r="G1014" s="39" t="str">
        <f>IF(Agent06_Savings!A19="","",Agent06_Savings!F19)</f>
        <v/>
      </c>
      <c r="H1014" s="37" t="str">
        <f>IF(Agent06_Savings!A19="","",Agent06_Savings!I19)</f>
        <v/>
      </c>
      <c r="I1014" s="37" t="str">
        <f>IF(Agent06_Savings!A19="","",Agent06_Savings!J19)</f>
        <v/>
      </c>
      <c r="J1014" s="37" t="str">
        <f>IF(Agent06_Savings!A19="","",Agent06_Savings!K19)</f>
        <v/>
      </c>
      <c r="K1014" s="37" t="str">
        <f>IFERROR(IF(Agent06_Savings!A19="","",YEAR(Agent06_Savings!D19)),"")</f>
        <v/>
      </c>
    </row>
    <row r="1015" spans="1:11" ht="18" customHeight="1" x14ac:dyDescent="0.25">
      <c r="A1015" s="37" t="str">
        <f>IF(Agent06_Savings!A20="","",Agent06_Savings!A20)</f>
        <v/>
      </c>
      <c r="B1015" s="37" t="str">
        <f ca="1">IF(Agent06_Savings!A20="","","SV"&amp;TEXT(1015-3,"0000")&amp;"-"&amp;TEXT(TODAY(),"YYYYMMDD"))</f>
        <v/>
      </c>
      <c r="C1015" s="37" t="str">
        <f>IF(Agent06_Savings!A20="","",Agent06_Savings!B20)</f>
        <v/>
      </c>
      <c r="D1015" s="37" t="str">
        <f>IF(Agent06_Savings!A20="","",Agent06_Savings!G20)</f>
        <v/>
      </c>
      <c r="E1015" s="38" t="str">
        <f>IF(Agent06_Savings!A20="","",Agent06_Savings!D20)</f>
        <v/>
      </c>
      <c r="F1015" s="39" t="str">
        <f>IF(Agent06_Savings!A20="","",Agent06_Savings!E20)</f>
        <v/>
      </c>
      <c r="G1015" s="39" t="str">
        <f>IF(Agent06_Savings!A20="","",Agent06_Savings!F20)</f>
        <v/>
      </c>
      <c r="H1015" s="37" t="str">
        <f>IF(Agent06_Savings!A20="","",Agent06_Savings!I20)</f>
        <v/>
      </c>
      <c r="I1015" s="37" t="str">
        <f>IF(Agent06_Savings!A20="","",Agent06_Savings!J20)</f>
        <v/>
      </c>
      <c r="J1015" s="37" t="str">
        <f>IF(Agent06_Savings!A20="","",Agent06_Savings!K20)</f>
        <v/>
      </c>
      <c r="K1015" s="37" t="str">
        <f>IFERROR(IF(Agent06_Savings!A20="","",YEAR(Agent06_Savings!D20)),"")</f>
        <v/>
      </c>
    </row>
    <row r="1016" spans="1:11" ht="18" customHeight="1" x14ac:dyDescent="0.25">
      <c r="A1016" s="37" t="str">
        <f>IF(Agent06_Savings!A21="","",Agent06_Savings!A21)</f>
        <v/>
      </c>
      <c r="B1016" s="37" t="str">
        <f ca="1">IF(Agent06_Savings!A21="","","SV"&amp;TEXT(1016-3,"0000")&amp;"-"&amp;TEXT(TODAY(),"YYYYMMDD"))</f>
        <v/>
      </c>
      <c r="C1016" s="37" t="str">
        <f>IF(Agent06_Savings!A21="","",Agent06_Savings!B21)</f>
        <v/>
      </c>
      <c r="D1016" s="37" t="str">
        <f>IF(Agent06_Savings!A21="","",Agent06_Savings!G21)</f>
        <v/>
      </c>
      <c r="E1016" s="38" t="str">
        <f>IF(Agent06_Savings!A21="","",Agent06_Savings!D21)</f>
        <v/>
      </c>
      <c r="F1016" s="39" t="str">
        <f>IF(Agent06_Savings!A21="","",Agent06_Savings!E21)</f>
        <v/>
      </c>
      <c r="G1016" s="39" t="str">
        <f>IF(Agent06_Savings!A21="","",Agent06_Savings!F21)</f>
        <v/>
      </c>
      <c r="H1016" s="37" t="str">
        <f>IF(Agent06_Savings!A21="","",Agent06_Savings!I21)</f>
        <v/>
      </c>
      <c r="I1016" s="37" t="str">
        <f>IF(Agent06_Savings!A21="","",Agent06_Savings!J21)</f>
        <v/>
      </c>
      <c r="J1016" s="37" t="str">
        <f>IF(Agent06_Savings!A21="","",Agent06_Savings!K21)</f>
        <v/>
      </c>
      <c r="K1016" s="37" t="str">
        <f>IFERROR(IF(Agent06_Savings!A21="","",YEAR(Agent06_Savings!D21)),"")</f>
        <v/>
      </c>
    </row>
    <row r="1017" spans="1:11" ht="18" customHeight="1" x14ac:dyDescent="0.25">
      <c r="A1017" s="37" t="str">
        <f>IF(Agent06_Savings!A22="","",Agent06_Savings!A22)</f>
        <v/>
      </c>
      <c r="B1017" s="37" t="str">
        <f ca="1">IF(Agent06_Savings!A22="","","SV"&amp;TEXT(1017-3,"0000")&amp;"-"&amp;TEXT(TODAY(),"YYYYMMDD"))</f>
        <v/>
      </c>
      <c r="C1017" s="37" t="str">
        <f>IF(Agent06_Savings!A22="","",Agent06_Savings!B22)</f>
        <v/>
      </c>
      <c r="D1017" s="37" t="str">
        <f>IF(Agent06_Savings!A22="","",Agent06_Savings!G22)</f>
        <v/>
      </c>
      <c r="E1017" s="38" t="str">
        <f>IF(Agent06_Savings!A22="","",Agent06_Savings!D22)</f>
        <v/>
      </c>
      <c r="F1017" s="39" t="str">
        <f>IF(Agent06_Savings!A22="","",Agent06_Savings!E22)</f>
        <v/>
      </c>
      <c r="G1017" s="39" t="str">
        <f>IF(Agent06_Savings!A22="","",Agent06_Savings!F22)</f>
        <v/>
      </c>
      <c r="H1017" s="37" t="str">
        <f>IF(Agent06_Savings!A22="","",Agent06_Savings!I22)</f>
        <v/>
      </c>
      <c r="I1017" s="37" t="str">
        <f>IF(Agent06_Savings!A22="","",Agent06_Savings!J22)</f>
        <v/>
      </c>
      <c r="J1017" s="37" t="str">
        <f>IF(Agent06_Savings!A22="","",Agent06_Savings!K22)</f>
        <v/>
      </c>
      <c r="K1017" s="37" t="str">
        <f>IFERROR(IF(Agent06_Savings!A22="","",YEAR(Agent06_Savings!D22)),"")</f>
        <v/>
      </c>
    </row>
    <row r="1018" spans="1:11" ht="18" customHeight="1" x14ac:dyDescent="0.25">
      <c r="A1018" s="37" t="str">
        <f>IF(Agent06_Savings!A23="","",Agent06_Savings!A23)</f>
        <v/>
      </c>
      <c r="B1018" s="37" t="str">
        <f ca="1">IF(Agent06_Savings!A23="","","SV"&amp;TEXT(1018-3,"0000")&amp;"-"&amp;TEXT(TODAY(),"YYYYMMDD"))</f>
        <v/>
      </c>
      <c r="C1018" s="37" t="str">
        <f>IF(Agent06_Savings!A23="","",Agent06_Savings!B23)</f>
        <v/>
      </c>
      <c r="D1018" s="37" t="str">
        <f>IF(Agent06_Savings!A23="","",Agent06_Savings!G23)</f>
        <v/>
      </c>
      <c r="E1018" s="38" t="str">
        <f>IF(Agent06_Savings!A23="","",Agent06_Savings!D23)</f>
        <v/>
      </c>
      <c r="F1018" s="39" t="str">
        <f>IF(Agent06_Savings!A23="","",Agent06_Savings!E23)</f>
        <v/>
      </c>
      <c r="G1018" s="39" t="str">
        <f>IF(Agent06_Savings!A23="","",Agent06_Savings!F23)</f>
        <v/>
      </c>
      <c r="H1018" s="37" t="str">
        <f>IF(Agent06_Savings!A23="","",Agent06_Savings!I23)</f>
        <v/>
      </c>
      <c r="I1018" s="37" t="str">
        <f>IF(Agent06_Savings!A23="","",Agent06_Savings!J23)</f>
        <v/>
      </c>
      <c r="J1018" s="37" t="str">
        <f>IF(Agent06_Savings!A23="","",Agent06_Savings!K23)</f>
        <v/>
      </c>
      <c r="K1018" s="37" t="str">
        <f>IFERROR(IF(Agent06_Savings!A23="","",YEAR(Agent06_Savings!D23)),"")</f>
        <v/>
      </c>
    </row>
    <row r="1019" spans="1:11" ht="18" customHeight="1" x14ac:dyDescent="0.25">
      <c r="A1019" s="37" t="str">
        <f>IF(Agent06_Savings!A24="","",Agent06_Savings!A24)</f>
        <v/>
      </c>
      <c r="B1019" s="37" t="str">
        <f ca="1">IF(Agent06_Savings!A24="","","SV"&amp;TEXT(1019-3,"0000")&amp;"-"&amp;TEXT(TODAY(),"YYYYMMDD"))</f>
        <v/>
      </c>
      <c r="C1019" s="37" t="str">
        <f>IF(Agent06_Savings!A24="","",Agent06_Savings!B24)</f>
        <v/>
      </c>
      <c r="D1019" s="37" t="str">
        <f>IF(Agent06_Savings!A24="","",Agent06_Savings!G24)</f>
        <v/>
      </c>
      <c r="E1019" s="38" t="str">
        <f>IF(Agent06_Savings!A24="","",Agent06_Savings!D24)</f>
        <v/>
      </c>
      <c r="F1019" s="39" t="str">
        <f>IF(Agent06_Savings!A24="","",Agent06_Savings!E24)</f>
        <v/>
      </c>
      <c r="G1019" s="39" t="str">
        <f>IF(Agent06_Savings!A24="","",Agent06_Savings!F24)</f>
        <v/>
      </c>
      <c r="H1019" s="37" t="str">
        <f>IF(Agent06_Savings!A24="","",Agent06_Savings!I24)</f>
        <v/>
      </c>
      <c r="I1019" s="37" t="str">
        <f>IF(Agent06_Savings!A24="","",Agent06_Savings!J24)</f>
        <v/>
      </c>
      <c r="J1019" s="37" t="str">
        <f>IF(Agent06_Savings!A24="","",Agent06_Savings!K24)</f>
        <v/>
      </c>
      <c r="K1019" s="37" t="str">
        <f>IFERROR(IF(Agent06_Savings!A24="","",YEAR(Agent06_Savings!D24)),"")</f>
        <v/>
      </c>
    </row>
    <row r="1020" spans="1:11" ht="18" customHeight="1" x14ac:dyDescent="0.25">
      <c r="A1020" s="37" t="str">
        <f>IF(Agent06_Savings!A25="","",Agent06_Savings!A25)</f>
        <v/>
      </c>
      <c r="B1020" s="37" t="str">
        <f ca="1">IF(Agent06_Savings!A25="","","SV"&amp;TEXT(1020-3,"0000")&amp;"-"&amp;TEXT(TODAY(),"YYYYMMDD"))</f>
        <v/>
      </c>
      <c r="C1020" s="37" t="str">
        <f>IF(Agent06_Savings!A25="","",Agent06_Savings!B25)</f>
        <v/>
      </c>
      <c r="D1020" s="37" t="str">
        <f>IF(Agent06_Savings!A25="","",Agent06_Savings!G25)</f>
        <v/>
      </c>
      <c r="E1020" s="38" t="str">
        <f>IF(Agent06_Savings!A25="","",Agent06_Savings!D25)</f>
        <v/>
      </c>
      <c r="F1020" s="39" t="str">
        <f>IF(Agent06_Savings!A25="","",Agent06_Savings!E25)</f>
        <v/>
      </c>
      <c r="G1020" s="39" t="str">
        <f>IF(Agent06_Savings!A25="","",Agent06_Savings!F25)</f>
        <v/>
      </c>
      <c r="H1020" s="37" t="str">
        <f>IF(Agent06_Savings!A25="","",Agent06_Savings!I25)</f>
        <v/>
      </c>
      <c r="I1020" s="37" t="str">
        <f>IF(Agent06_Savings!A25="","",Agent06_Savings!J25)</f>
        <v/>
      </c>
      <c r="J1020" s="37" t="str">
        <f>IF(Agent06_Savings!A25="","",Agent06_Savings!K25)</f>
        <v/>
      </c>
      <c r="K1020" s="37" t="str">
        <f>IFERROR(IF(Agent06_Savings!A25="","",YEAR(Agent06_Savings!D25)),"")</f>
        <v/>
      </c>
    </row>
    <row r="1021" spans="1:11" ht="18" customHeight="1" x14ac:dyDescent="0.25">
      <c r="A1021" s="37" t="str">
        <f>IF(Agent06_Savings!A26="","",Agent06_Savings!A26)</f>
        <v/>
      </c>
      <c r="B1021" s="37" t="str">
        <f ca="1">IF(Agent06_Savings!A26="","","SV"&amp;TEXT(1021-3,"0000")&amp;"-"&amp;TEXT(TODAY(),"YYYYMMDD"))</f>
        <v/>
      </c>
      <c r="C1021" s="37" t="str">
        <f>IF(Agent06_Savings!A26="","",Agent06_Savings!B26)</f>
        <v/>
      </c>
      <c r="D1021" s="37" t="str">
        <f>IF(Agent06_Savings!A26="","",Agent06_Savings!G26)</f>
        <v/>
      </c>
      <c r="E1021" s="38" t="str">
        <f>IF(Agent06_Savings!A26="","",Agent06_Savings!D26)</f>
        <v/>
      </c>
      <c r="F1021" s="39" t="str">
        <f>IF(Agent06_Savings!A26="","",Agent06_Savings!E26)</f>
        <v/>
      </c>
      <c r="G1021" s="39" t="str">
        <f>IF(Agent06_Savings!A26="","",Agent06_Savings!F26)</f>
        <v/>
      </c>
      <c r="H1021" s="37" t="str">
        <f>IF(Agent06_Savings!A26="","",Agent06_Savings!I26)</f>
        <v/>
      </c>
      <c r="I1021" s="37" t="str">
        <f>IF(Agent06_Savings!A26="","",Agent06_Savings!J26)</f>
        <v/>
      </c>
      <c r="J1021" s="37" t="str">
        <f>IF(Agent06_Savings!A26="","",Agent06_Savings!K26)</f>
        <v/>
      </c>
      <c r="K1021" s="37" t="str">
        <f>IFERROR(IF(Agent06_Savings!A26="","",YEAR(Agent06_Savings!D26)),"")</f>
        <v/>
      </c>
    </row>
    <row r="1022" spans="1:11" ht="18" customHeight="1" x14ac:dyDescent="0.25">
      <c r="A1022" s="37" t="str">
        <f>IF(Agent06_Savings!A27="","",Agent06_Savings!A27)</f>
        <v/>
      </c>
      <c r="B1022" s="37" t="str">
        <f ca="1">IF(Agent06_Savings!A27="","","SV"&amp;TEXT(1022-3,"0000")&amp;"-"&amp;TEXT(TODAY(),"YYYYMMDD"))</f>
        <v/>
      </c>
      <c r="C1022" s="37" t="str">
        <f>IF(Agent06_Savings!A27="","",Agent06_Savings!B27)</f>
        <v/>
      </c>
      <c r="D1022" s="37" t="str">
        <f>IF(Agent06_Savings!A27="","",Agent06_Savings!G27)</f>
        <v/>
      </c>
      <c r="E1022" s="38" t="str">
        <f>IF(Agent06_Savings!A27="","",Agent06_Savings!D27)</f>
        <v/>
      </c>
      <c r="F1022" s="39" t="str">
        <f>IF(Agent06_Savings!A27="","",Agent06_Savings!E27)</f>
        <v/>
      </c>
      <c r="G1022" s="39" t="str">
        <f>IF(Agent06_Savings!A27="","",Agent06_Savings!F27)</f>
        <v/>
      </c>
      <c r="H1022" s="37" t="str">
        <f>IF(Agent06_Savings!A27="","",Agent06_Savings!I27)</f>
        <v/>
      </c>
      <c r="I1022" s="37" t="str">
        <f>IF(Agent06_Savings!A27="","",Agent06_Savings!J27)</f>
        <v/>
      </c>
      <c r="J1022" s="37" t="str">
        <f>IF(Agent06_Savings!A27="","",Agent06_Savings!K27)</f>
        <v/>
      </c>
      <c r="K1022" s="37" t="str">
        <f>IFERROR(IF(Agent06_Savings!A27="","",YEAR(Agent06_Savings!D27)),"")</f>
        <v/>
      </c>
    </row>
    <row r="1023" spans="1:11" ht="18" customHeight="1" x14ac:dyDescent="0.25">
      <c r="A1023" s="37" t="str">
        <f>IF(Agent06_Savings!A28="","",Agent06_Savings!A28)</f>
        <v/>
      </c>
      <c r="B1023" s="37" t="str">
        <f ca="1">IF(Agent06_Savings!A28="","","SV"&amp;TEXT(1023-3,"0000")&amp;"-"&amp;TEXT(TODAY(),"YYYYMMDD"))</f>
        <v/>
      </c>
      <c r="C1023" s="37" t="str">
        <f>IF(Agent06_Savings!A28="","",Agent06_Savings!B28)</f>
        <v/>
      </c>
      <c r="D1023" s="37" t="str">
        <f>IF(Agent06_Savings!A28="","",Agent06_Savings!G28)</f>
        <v/>
      </c>
      <c r="E1023" s="38" t="str">
        <f>IF(Agent06_Savings!A28="","",Agent06_Savings!D28)</f>
        <v/>
      </c>
      <c r="F1023" s="39" t="str">
        <f>IF(Agent06_Savings!A28="","",Agent06_Savings!E28)</f>
        <v/>
      </c>
      <c r="G1023" s="39" t="str">
        <f>IF(Agent06_Savings!A28="","",Agent06_Savings!F28)</f>
        <v/>
      </c>
      <c r="H1023" s="37" t="str">
        <f>IF(Agent06_Savings!A28="","",Agent06_Savings!I28)</f>
        <v/>
      </c>
      <c r="I1023" s="37" t="str">
        <f>IF(Agent06_Savings!A28="","",Agent06_Savings!J28)</f>
        <v/>
      </c>
      <c r="J1023" s="37" t="str">
        <f>IF(Agent06_Savings!A28="","",Agent06_Savings!K28)</f>
        <v/>
      </c>
      <c r="K1023" s="37" t="str">
        <f>IFERROR(IF(Agent06_Savings!A28="","",YEAR(Agent06_Savings!D28)),"")</f>
        <v/>
      </c>
    </row>
    <row r="1024" spans="1:11" ht="18" customHeight="1" x14ac:dyDescent="0.25">
      <c r="A1024" s="37" t="str">
        <f>IF(Agent06_Savings!A29="","",Agent06_Savings!A29)</f>
        <v/>
      </c>
      <c r="B1024" s="37" t="str">
        <f ca="1">IF(Agent06_Savings!A29="","","SV"&amp;TEXT(1024-3,"0000")&amp;"-"&amp;TEXT(TODAY(),"YYYYMMDD"))</f>
        <v/>
      </c>
      <c r="C1024" s="37" t="str">
        <f>IF(Agent06_Savings!A29="","",Agent06_Savings!B29)</f>
        <v/>
      </c>
      <c r="D1024" s="37" t="str">
        <f>IF(Agent06_Savings!A29="","",Agent06_Savings!G29)</f>
        <v/>
      </c>
      <c r="E1024" s="38" t="str">
        <f>IF(Agent06_Savings!A29="","",Agent06_Savings!D29)</f>
        <v/>
      </c>
      <c r="F1024" s="39" t="str">
        <f>IF(Agent06_Savings!A29="","",Agent06_Savings!E29)</f>
        <v/>
      </c>
      <c r="G1024" s="39" t="str">
        <f>IF(Agent06_Savings!A29="","",Agent06_Savings!F29)</f>
        <v/>
      </c>
      <c r="H1024" s="37" t="str">
        <f>IF(Agent06_Savings!A29="","",Agent06_Savings!I29)</f>
        <v/>
      </c>
      <c r="I1024" s="37" t="str">
        <f>IF(Agent06_Savings!A29="","",Agent06_Savings!J29)</f>
        <v/>
      </c>
      <c r="J1024" s="37" t="str">
        <f>IF(Agent06_Savings!A29="","",Agent06_Savings!K29)</f>
        <v/>
      </c>
      <c r="K1024" s="37" t="str">
        <f>IFERROR(IF(Agent06_Savings!A29="","",YEAR(Agent06_Savings!D29)),"")</f>
        <v/>
      </c>
    </row>
    <row r="1025" spans="1:11" ht="18" customHeight="1" x14ac:dyDescent="0.25">
      <c r="A1025" s="37" t="str">
        <f>IF(Agent06_Savings!A30="","",Agent06_Savings!A30)</f>
        <v/>
      </c>
      <c r="B1025" s="37" t="str">
        <f ca="1">IF(Agent06_Savings!A30="","","SV"&amp;TEXT(1025-3,"0000")&amp;"-"&amp;TEXT(TODAY(),"YYYYMMDD"))</f>
        <v/>
      </c>
      <c r="C1025" s="37" t="str">
        <f>IF(Agent06_Savings!A30="","",Agent06_Savings!B30)</f>
        <v/>
      </c>
      <c r="D1025" s="37" t="str">
        <f>IF(Agent06_Savings!A30="","",Agent06_Savings!G30)</f>
        <v/>
      </c>
      <c r="E1025" s="38" t="str">
        <f>IF(Agent06_Savings!A30="","",Agent06_Savings!D30)</f>
        <v/>
      </c>
      <c r="F1025" s="39" t="str">
        <f>IF(Agent06_Savings!A30="","",Agent06_Savings!E30)</f>
        <v/>
      </c>
      <c r="G1025" s="39" t="str">
        <f>IF(Agent06_Savings!A30="","",Agent06_Savings!F30)</f>
        <v/>
      </c>
      <c r="H1025" s="37" t="str">
        <f>IF(Agent06_Savings!A30="","",Agent06_Savings!I30)</f>
        <v/>
      </c>
      <c r="I1025" s="37" t="str">
        <f>IF(Agent06_Savings!A30="","",Agent06_Savings!J30)</f>
        <v/>
      </c>
      <c r="J1025" s="37" t="str">
        <f>IF(Agent06_Savings!A30="","",Agent06_Savings!K30)</f>
        <v/>
      </c>
      <c r="K1025" s="37" t="str">
        <f>IFERROR(IF(Agent06_Savings!A30="","",YEAR(Agent06_Savings!D30)),"")</f>
        <v/>
      </c>
    </row>
    <row r="1026" spans="1:11" ht="18" customHeight="1" x14ac:dyDescent="0.25">
      <c r="A1026" s="37" t="str">
        <f>IF(Agent06_Savings!A31="","",Agent06_Savings!A31)</f>
        <v/>
      </c>
      <c r="B1026" s="37" t="str">
        <f ca="1">IF(Agent06_Savings!A31="","","SV"&amp;TEXT(1026-3,"0000")&amp;"-"&amp;TEXT(TODAY(),"YYYYMMDD"))</f>
        <v/>
      </c>
      <c r="C1026" s="37" t="str">
        <f>IF(Agent06_Savings!A31="","",Agent06_Savings!B31)</f>
        <v/>
      </c>
      <c r="D1026" s="37" t="str">
        <f>IF(Agent06_Savings!A31="","",Agent06_Savings!G31)</f>
        <v/>
      </c>
      <c r="E1026" s="38" t="str">
        <f>IF(Agent06_Savings!A31="","",Agent06_Savings!D31)</f>
        <v/>
      </c>
      <c r="F1026" s="39" t="str">
        <f>IF(Agent06_Savings!A31="","",Agent06_Savings!E31)</f>
        <v/>
      </c>
      <c r="G1026" s="39" t="str">
        <f>IF(Agent06_Savings!A31="","",Agent06_Savings!F31)</f>
        <v/>
      </c>
      <c r="H1026" s="37" t="str">
        <f>IF(Agent06_Savings!A31="","",Agent06_Savings!I31)</f>
        <v/>
      </c>
      <c r="I1026" s="37" t="str">
        <f>IF(Agent06_Savings!A31="","",Agent06_Savings!J31)</f>
        <v/>
      </c>
      <c r="J1026" s="37" t="str">
        <f>IF(Agent06_Savings!A31="","",Agent06_Savings!K31)</f>
        <v/>
      </c>
      <c r="K1026" s="37" t="str">
        <f>IFERROR(IF(Agent06_Savings!A31="","",YEAR(Agent06_Savings!D31)),"")</f>
        <v/>
      </c>
    </row>
    <row r="1027" spans="1:11" ht="18" customHeight="1" x14ac:dyDescent="0.25">
      <c r="A1027" s="37" t="str">
        <f>IF(Agent06_Savings!A32="","",Agent06_Savings!A32)</f>
        <v/>
      </c>
      <c r="B1027" s="37" t="str">
        <f ca="1">IF(Agent06_Savings!A32="","","SV"&amp;TEXT(1027-3,"0000")&amp;"-"&amp;TEXT(TODAY(),"YYYYMMDD"))</f>
        <v/>
      </c>
      <c r="C1027" s="37" t="str">
        <f>IF(Agent06_Savings!A32="","",Agent06_Savings!B32)</f>
        <v/>
      </c>
      <c r="D1027" s="37" t="str">
        <f>IF(Agent06_Savings!A32="","",Agent06_Savings!G32)</f>
        <v/>
      </c>
      <c r="E1027" s="38" t="str">
        <f>IF(Agent06_Savings!A32="","",Agent06_Savings!D32)</f>
        <v/>
      </c>
      <c r="F1027" s="39" t="str">
        <f>IF(Agent06_Savings!A32="","",Agent06_Savings!E32)</f>
        <v/>
      </c>
      <c r="G1027" s="39" t="str">
        <f>IF(Agent06_Savings!A32="","",Agent06_Savings!F32)</f>
        <v/>
      </c>
      <c r="H1027" s="37" t="str">
        <f>IF(Agent06_Savings!A32="","",Agent06_Savings!I32)</f>
        <v/>
      </c>
      <c r="I1027" s="37" t="str">
        <f>IF(Agent06_Savings!A32="","",Agent06_Savings!J32)</f>
        <v/>
      </c>
      <c r="J1027" s="37" t="str">
        <f>IF(Agent06_Savings!A32="","",Agent06_Savings!K32)</f>
        <v/>
      </c>
      <c r="K1027" s="37" t="str">
        <f>IFERROR(IF(Agent06_Savings!A32="","",YEAR(Agent06_Savings!D32)),"")</f>
        <v/>
      </c>
    </row>
    <row r="1028" spans="1:11" ht="18" customHeight="1" x14ac:dyDescent="0.25">
      <c r="A1028" s="37" t="str">
        <f>IF(Agent06_Savings!A33="","",Agent06_Savings!A33)</f>
        <v/>
      </c>
      <c r="B1028" s="37" t="str">
        <f ca="1">IF(Agent06_Savings!A33="","","SV"&amp;TEXT(1028-3,"0000")&amp;"-"&amp;TEXT(TODAY(),"YYYYMMDD"))</f>
        <v/>
      </c>
      <c r="C1028" s="37" t="str">
        <f>IF(Agent06_Savings!A33="","",Agent06_Savings!B33)</f>
        <v/>
      </c>
      <c r="D1028" s="37" t="str">
        <f>IF(Agent06_Savings!A33="","",Agent06_Savings!G33)</f>
        <v/>
      </c>
      <c r="E1028" s="38" t="str">
        <f>IF(Agent06_Savings!A33="","",Agent06_Savings!D33)</f>
        <v/>
      </c>
      <c r="F1028" s="39" t="str">
        <f>IF(Agent06_Savings!A33="","",Agent06_Savings!E33)</f>
        <v/>
      </c>
      <c r="G1028" s="39" t="str">
        <f>IF(Agent06_Savings!A33="","",Agent06_Savings!F33)</f>
        <v/>
      </c>
      <c r="H1028" s="37" t="str">
        <f>IF(Agent06_Savings!A33="","",Agent06_Savings!I33)</f>
        <v/>
      </c>
      <c r="I1028" s="37" t="str">
        <f>IF(Agent06_Savings!A33="","",Agent06_Savings!J33)</f>
        <v/>
      </c>
      <c r="J1028" s="37" t="str">
        <f>IF(Agent06_Savings!A33="","",Agent06_Savings!K33)</f>
        <v/>
      </c>
      <c r="K1028" s="37" t="str">
        <f>IFERROR(IF(Agent06_Savings!A33="","",YEAR(Agent06_Savings!D33)),"")</f>
        <v/>
      </c>
    </row>
    <row r="1029" spans="1:11" ht="18" customHeight="1" x14ac:dyDescent="0.25">
      <c r="A1029" s="37" t="str">
        <f>IF(Agent06_Savings!A34="","",Agent06_Savings!A34)</f>
        <v/>
      </c>
      <c r="B1029" s="37" t="str">
        <f ca="1">IF(Agent06_Savings!A34="","","SV"&amp;TEXT(1029-3,"0000")&amp;"-"&amp;TEXT(TODAY(),"YYYYMMDD"))</f>
        <v/>
      </c>
      <c r="C1029" s="37" t="str">
        <f>IF(Agent06_Savings!A34="","",Agent06_Savings!B34)</f>
        <v/>
      </c>
      <c r="D1029" s="37" t="str">
        <f>IF(Agent06_Savings!A34="","",Agent06_Savings!G34)</f>
        <v/>
      </c>
      <c r="E1029" s="38" t="str">
        <f>IF(Agent06_Savings!A34="","",Agent06_Savings!D34)</f>
        <v/>
      </c>
      <c r="F1029" s="39" t="str">
        <f>IF(Agent06_Savings!A34="","",Agent06_Savings!E34)</f>
        <v/>
      </c>
      <c r="G1029" s="39" t="str">
        <f>IF(Agent06_Savings!A34="","",Agent06_Savings!F34)</f>
        <v/>
      </c>
      <c r="H1029" s="37" t="str">
        <f>IF(Agent06_Savings!A34="","",Agent06_Savings!I34)</f>
        <v/>
      </c>
      <c r="I1029" s="37" t="str">
        <f>IF(Agent06_Savings!A34="","",Agent06_Savings!J34)</f>
        <v/>
      </c>
      <c r="J1029" s="37" t="str">
        <f>IF(Agent06_Savings!A34="","",Agent06_Savings!K34)</f>
        <v/>
      </c>
      <c r="K1029" s="37" t="str">
        <f>IFERROR(IF(Agent06_Savings!A34="","",YEAR(Agent06_Savings!D34)),"")</f>
        <v/>
      </c>
    </row>
    <row r="1030" spans="1:11" ht="18" customHeight="1" x14ac:dyDescent="0.25">
      <c r="A1030" s="37" t="str">
        <f>IF(Agent06_Savings!A35="","",Agent06_Savings!A35)</f>
        <v/>
      </c>
      <c r="B1030" s="37" t="str">
        <f ca="1">IF(Agent06_Savings!A35="","","SV"&amp;TEXT(1030-3,"0000")&amp;"-"&amp;TEXT(TODAY(),"YYYYMMDD"))</f>
        <v/>
      </c>
      <c r="C1030" s="37" t="str">
        <f>IF(Agent06_Savings!A35="","",Agent06_Savings!B35)</f>
        <v/>
      </c>
      <c r="D1030" s="37" t="str">
        <f>IF(Agent06_Savings!A35="","",Agent06_Savings!G35)</f>
        <v/>
      </c>
      <c r="E1030" s="38" t="str">
        <f>IF(Agent06_Savings!A35="","",Agent06_Savings!D35)</f>
        <v/>
      </c>
      <c r="F1030" s="39" t="str">
        <f>IF(Agent06_Savings!A35="","",Agent06_Savings!E35)</f>
        <v/>
      </c>
      <c r="G1030" s="39" t="str">
        <f>IF(Agent06_Savings!A35="","",Agent06_Savings!F35)</f>
        <v/>
      </c>
      <c r="H1030" s="37" t="str">
        <f>IF(Agent06_Savings!A35="","",Agent06_Savings!I35)</f>
        <v/>
      </c>
      <c r="I1030" s="37" t="str">
        <f>IF(Agent06_Savings!A35="","",Agent06_Savings!J35)</f>
        <v/>
      </c>
      <c r="J1030" s="37" t="str">
        <f>IF(Agent06_Savings!A35="","",Agent06_Savings!K35)</f>
        <v/>
      </c>
      <c r="K1030" s="37" t="str">
        <f>IFERROR(IF(Agent06_Savings!A35="","",YEAR(Agent06_Savings!D35)),"")</f>
        <v/>
      </c>
    </row>
    <row r="1031" spans="1:11" ht="18" customHeight="1" x14ac:dyDescent="0.25">
      <c r="A1031" s="37" t="str">
        <f>IF(Agent06_Savings!A36="","",Agent06_Savings!A36)</f>
        <v/>
      </c>
      <c r="B1031" s="37" t="str">
        <f ca="1">IF(Agent06_Savings!A36="","","SV"&amp;TEXT(1031-3,"0000")&amp;"-"&amp;TEXT(TODAY(),"YYYYMMDD"))</f>
        <v/>
      </c>
      <c r="C1031" s="37" t="str">
        <f>IF(Agent06_Savings!A36="","",Agent06_Savings!B36)</f>
        <v/>
      </c>
      <c r="D1031" s="37" t="str">
        <f>IF(Agent06_Savings!A36="","",Agent06_Savings!G36)</f>
        <v/>
      </c>
      <c r="E1031" s="38" t="str">
        <f>IF(Agent06_Savings!A36="","",Agent06_Savings!D36)</f>
        <v/>
      </c>
      <c r="F1031" s="39" t="str">
        <f>IF(Agent06_Savings!A36="","",Agent06_Savings!E36)</f>
        <v/>
      </c>
      <c r="G1031" s="39" t="str">
        <f>IF(Agent06_Savings!A36="","",Agent06_Savings!F36)</f>
        <v/>
      </c>
      <c r="H1031" s="37" t="str">
        <f>IF(Agent06_Savings!A36="","",Agent06_Savings!I36)</f>
        <v/>
      </c>
      <c r="I1031" s="37" t="str">
        <f>IF(Agent06_Savings!A36="","",Agent06_Savings!J36)</f>
        <v/>
      </c>
      <c r="J1031" s="37" t="str">
        <f>IF(Agent06_Savings!A36="","",Agent06_Savings!K36)</f>
        <v/>
      </c>
      <c r="K1031" s="37" t="str">
        <f>IFERROR(IF(Agent06_Savings!A36="","",YEAR(Agent06_Savings!D36)),"")</f>
        <v/>
      </c>
    </row>
    <row r="1032" spans="1:11" ht="18" customHeight="1" x14ac:dyDescent="0.25">
      <c r="A1032" s="37" t="str">
        <f>IF(Agent06_Savings!A37="","",Agent06_Savings!A37)</f>
        <v/>
      </c>
      <c r="B1032" s="37" t="str">
        <f ca="1">IF(Agent06_Savings!A37="","","SV"&amp;TEXT(1032-3,"0000")&amp;"-"&amp;TEXT(TODAY(),"YYYYMMDD"))</f>
        <v/>
      </c>
      <c r="C1032" s="37" t="str">
        <f>IF(Agent06_Savings!A37="","",Agent06_Savings!B37)</f>
        <v/>
      </c>
      <c r="D1032" s="37" t="str">
        <f>IF(Agent06_Savings!A37="","",Agent06_Savings!G37)</f>
        <v/>
      </c>
      <c r="E1032" s="38" t="str">
        <f>IF(Agent06_Savings!A37="","",Agent06_Savings!D37)</f>
        <v/>
      </c>
      <c r="F1032" s="39" t="str">
        <f>IF(Agent06_Savings!A37="","",Agent06_Savings!E37)</f>
        <v/>
      </c>
      <c r="G1032" s="39" t="str">
        <f>IF(Agent06_Savings!A37="","",Agent06_Savings!F37)</f>
        <v/>
      </c>
      <c r="H1032" s="37" t="str">
        <f>IF(Agent06_Savings!A37="","",Agent06_Savings!I37)</f>
        <v/>
      </c>
      <c r="I1032" s="37" t="str">
        <f>IF(Agent06_Savings!A37="","",Agent06_Savings!J37)</f>
        <v/>
      </c>
      <c r="J1032" s="37" t="str">
        <f>IF(Agent06_Savings!A37="","",Agent06_Savings!K37)</f>
        <v/>
      </c>
      <c r="K1032" s="37" t="str">
        <f>IFERROR(IF(Agent06_Savings!A37="","",YEAR(Agent06_Savings!D37)),"")</f>
        <v/>
      </c>
    </row>
    <row r="1033" spans="1:11" ht="18" customHeight="1" x14ac:dyDescent="0.25">
      <c r="A1033" s="37" t="str">
        <f>IF(Agent06_Savings!A38="","",Agent06_Savings!A38)</f>
        <v/>
      </c>
      <c r="B1033" s="37" t="str">
        <f ca="1">IF(Agent06_Savings!A38="","","SV"&amp;TEXT(1033-3,"0000")&amp;"-"&amp;TEXT(TODAY(),"YYYYMMDD"))</f>
        <v/>
      </c>
      <c r="C1033" s="37" t="str">
        <f>IF(Agent06_Savings!A38="","",Agent06_Savings!B38)</f>
        <v/>
      </c>
      <c r="D1033" s="37" t="str">
        <f>IF(Agent06_Savings!A38="","",Agent06_Savings!G38)</f>
        <v/>
      </c>
      <c r="E1033" s="38" t="str">
        <f>IF(Agent06_Savings!A38="","",Agent06_Savings!D38)</f>
        <v/>
      </c>
      <c r="F1033" s="39" t="str">
        <f>IF(Agent06_Savings!A38="","",Agent06_Savings!E38)</f>
        <v/>
      </c>
      <c r="G1033" s="39" t="str">
        <f>IF(Agent06_Savings!A38="","",Agent06_Savings!F38)</f>
        <v/>
      </c>
      <c r="H1033" s="37" t="str">
        <f>IF(Agent06_Savings!A38="","",Agent06_Savings!I38)</f>
        <v/>
      </c>
      <c r="I1033" s="37" t="str">
        <f>IF(Agent06_Savings!A38="","",Agent06_Savings!J38)</f>
        <v/>
      </c>
      <c r="J1033" s="37" t="str">
        <f>IF(Agent06_Savings!A38="","",Agent06_Savings!K38)</f>
        <v/>
      </c>
      <c r="K1033" s="37" t="str">
        <f>IFERROR(IF(Agent06_Savings!A38="","",YEAR(Agent06_Savings!D38)),"")</f>
        <v/>
      </c>
    </row>
    <row r="1034" spans="1:11" ht="18" customHeight="1" x14ac:dyDescent="0.25">
      <c r="A1034" s="37" t="str">
        <f>IF(Agent06_Savings!A39="","",Agent06_Savings!A39)</f>
        <v/>
      </c>
      <c r="B1034" s="37" t="str">
        <f ca="1">IF(Agent06_Savings!A39="","","SV"&amp;TEXT(1034-3,"0000")&amp;"-"&amp;TEXT(TODAY(),"YYYYMMDD"))</f>
        <v/>
      </c>
      <c r="C1034" s="37" t="str">
        <f>IF(Agent06_Savings!A39="","",Agent06_Savings!B39)</f>
        <v/>
      </c>
      <c r="D1034" s="37" t="str">
        <f>IF(Agent06_Savings!A39="","",Agent06_Savings!G39)</f>
        <v/>
      </c>
      <c r="E1034" s="38" t="str">
        <f>IF(Agent06_Savings!A39="","",Agent06_Savings!D39)</f>
        <v/>
      </c>
      <c r="F1034" s="39" t="str">
        <f>IF(Agent06_Savings!A39="","",Agent06_Savings!E39)</f>
        <v/>
      </c>
      <c r="G1034" s="39" t="str">
        <f>IF(Agent06_Savings!A39="","",Agent06_Savings!F39)</f>
        <v/>
      </c>
      <c r="H1034" s="37" t="str">
        <f>IF(Agent06_Savings!A39="","",Agent06_Savings!I39)</f>
        <v/>
      </c>
      <c r="I1034" s="37" t="str">
        <f>IF(Agent06_Savings!A39="","",Agent06_Savings!J39)</f>
        <v/>
      </c>
      <c r="J1034" s="37" t="str">
        <f>IF(Agent06_Savings!A39="","",Agent06_Savings!K39)</f>
        <v/>
      </c>
      <c r="K1034" s="37" t="str">
        <f>IFERROR(IF(Agent06_Savings!A39="","",YEAR(Agent06_Savings!D39)),"")</f>
        <v/>
      </c>
    </row>
    <row r="1035" spans="1:11" ht="18" customHeight="1" x14ac:dyDescent="0.25">
      <c r="A1035" s="37" t="str">
        <f>IF(Agent06_Savings!A40="","",Agent06_Savings!A40)</f>
        <v/>
      </c>
      <c r="B1035" s="37" t="str">
        <f ca="1">IF(Agent06_Savings!A40="","","SV"&amp;TEXT(1035-3,"0000")&amp;"-"&amp;TEXT(TODAY(),"YYYYMMDD"))</f>
        <v/>
      </c>
      <c r="C1035" s="37" t="str">
        <f>IF(Agent06_Savings!A40="","",Agent06_Savings!B40)</f>
        <v/>
      </c>
      <c r="D1035" s="37" t="str">
        <f>IF(Agent06_Savings!A40="","",Agent06_Savings!G40)</f>
        <v/>
      </c>
      <c r="E1035" s="38" t="str">
        <f>IF(Agent06_Savings!A40="","",Agent06_Savings!D40)</f>
        <v/>
      </c>
      <c r="F1035" s="39" t="str">
        <f>IF(Agent06_Savings!A40="","",Agent06_Savings!E40)</f>
        <v/>
      </c>
      <c r="G1035" s="39" t="str">
        <f>IF(Agent06_Savings!A40="","",Agent06_Savings!F40)</f>
        <v/>
      </c>
      <c r="H1035" s="37" t="str">
        <f>IF(Agent06_Savings!A40="","",Agent06_Savings!I40)</f>
        <v/>
      </c>
      <c r="I1035" s="37" t="str">
        <f>IF(Agent06_Savings!A40="","",Agent06_Savings!J40)</f>
        <v/>
      </c>
      <c r="J1035" s="37" t="str">
        <f>IF(Agent06_Savings!A40="","",Agent06_Savings!K40)</f>
        <v/>
      </c>
      <c r="K1035" s="37" t="str">
        <f>IFERROR(IF(Agent06_Savings!A40="","",YEAR(Agent06_Savings!D40)),"")</f>
        <v/>
      </c>
    </row>
    <row r="1036" spans="1:11" ht="18" customHeight="1" x14ac:dyDescent="0.25">
      <c r="A1036" s="37" t="str">
        <f>IF(Agent06_Savings!A41="","",Agent06_Savings!A41)</f>
        <v/>
      </c>
      <c r="B1036" s="37" t="str">
        <f ca="1">IF(Agent06_Savings!A41="","","SV"&amp;TEXT(1036-3,"0000")&amp;"-"&amp;TEXT(TODAY(),"YYYYMMDD"))</f>
        <v/>
      </c>
      <c r="C1036" s="37" t="str">
        <f>IF(Agent06_Savings!A41="","",Agent06_Savings!B41)</f>
        <v/>
      </c>
      <c r="D1036" s="37" t="str">
        <f>IF(Agent06_Savings!A41="","",Agent06_Savings!G41)</f>
        <v/>
      </c>
      <c r="E1036" s="38" t="str">
        <f>IF(Agent06_Savings!A41="","",Agent06_Savings!D41)</f>
        <v/>
      </c>
      <c r="F1036" s="39" t="str">
        <f>IF(Agent06_Savings!A41="","",Agent06_Savings!E41)</f>
        <v/>
      </c>
      <c r="G1036" s="39" t="str">
        <f>IF(Agent06_Savings!A41="","",Agent06_Savings!F41)</f>
        <v/>
      </c>
      <c r="H1036" s="37" t="str">
        <f>IF(Agent06_Savings!A41="","",Agent06_Savings!I41)</f>
        <v/>
      </c>
      <c r="I1036" s="37" t="str">
        <f>IF(Agent06_Savings!A41="","",Agent06_Savings!J41)</f>
        <v/>
      </c>
      <c r="J1036" s="37" t="str">
        <f>IF(Agent06_Savings!A41="","",Agent06_Savings!K41)</f>
        <v/>
      </c>
      <c r="K1036" s="37" t="str">
        <f>IFERROR(IF(Agent06_Savings!A41="","",YEAR(Agent06_Savings!D41)),"")</f>
        <v/>
      </c>
    </row>
    <row r="1037" spans="1:11" ht="18" customHeight="1" x14ac:dyDescent="0.25">
      <c r="A1037" s="37" t="str">
        <f>IF(Agent06_Savings!A42="","",Agent06_Savings!A42)</f>
        <v/>
      </c>
      <c r="B1037" s="37" t="str">
        <f ca="1">IF(Agent06_Savings!A42="","","SV"&amp;TEXT(1037-3,"0000")&amp;"-"&amp;TEXT(TODAY(),"YYYYMMDD"))</f>
        <v/>
      </c>
      <c r="C1037" s="37" t="str">
        <f>IF(Agent06_Savings!A42="","",Agent06_Savings!B42)</f>
        <v/>
      </c>
      <c r="D1037" s="37" t="str">
        <f>IF(Agent06_Savings!A42="","",Agent06_Savings!G42)</f>
        <v/>
      </c>
      <c r="E1037" s="38" t="str">
        <f>IF(Agent06_Savings!A42="","",Agent06_Savings!D42)</f>
        <v/>
      </c>
      <c r="F1037" s="39" t="str">
        <f>IF(Agent06_Savings!A42="","",Agent06_Savings!E42)</f>
        <v/>
      </c>
      <c r="G1037" s="39" t="str">
        <f>IF(Agent06_Savings!A42="","",Agent06_Savings!F42)</f>
        <v/>
      </c>
      <c r="H1037" s="37" t="str">
        <f>IF(Agent06_Savings!A42="","",Agent06_Savings!I42)</f>
        <v/>
      </c>
      <c r="I1037" s="37" t="str">
        <f>IF(Agent06_Savings!A42="","",Agent06_Savings!J42)</f>
        <v/>
      </c>
      <c r="J1037" s="37" t="str">
        <f>IF(Agent06_Savings!A42="","",Agent06_Savings!K42)</f>
        <v/>
      </c>
      <c r="K1037" s="37" t="str">
        <f>IFERROR(IF(Agent06_Savings!A42="","",YEAR(Agent06_Savings!D42)),"")</f>
        <v/>
      </c>
    </row>
    <row r="1038" spans="1:11" ht="18" customHeight="1" x14ac:dyDescent="0.25">
      <c r="A1038" s="37" t="str">
        <f>IF(Agent06_Savings!A43="","",Agent06_Savings!A43)</f>
        <v/>
      </c>
      <c r="B1038" s="37" t="str">
        <f ca="1">IF(Agent06_Savings!A43="","","SV"&amp;TEXT(1038-3,"0000")&amp;"-"&amp;TEXT(TODAY(),"YYYYMMDD"))</f>
        <v/>
      </c>
      <c r="C1038" s="37" t="str">
        <f>IF(Agent06_Savings!A43="","",Agent06_Savings!B43)</f>
        <v/>
      </c>
      <c r="D1038" s="37" t="str">
        <f>IF(Agent06_Savings!A43="","",Agent06_Savings!G43)</f>
        <v/>
      </c>
      <c r="E1038" s="38" t="str">
        <f>IF(Agent06_Savings!A43="","",Agent06_Savings!D43)</f>
        <v/>
      </c>
      <c r="F1038" s="39" t="str">
        <f>IF(Agent06_Savings!A43="","",Agent06_Savings!E43)</f>
        <v/>
      </c>
      <c r="G1038" s="39" t="str">
        <f>IF(Agent06_Savings!A43="","",Agent06_Savings!F43)</f>
        <v/>
      </c>
      <c r="H1038" s="37" t="str">
        <f>IF(Agent06_Savings!A43="","",Agent06_Savings!I43)</f>
        <v/>
      </c>
      <c r="I1038" s="37" t="str">
        <f>IF(Agent06_Savings!A43="","",Agent06_Savings!J43)</f>
        <v/>
      </c>
      <c r="J1038" s="37" t="str">
        <f>IF(Agent06_Savings!A43="","",Agent06_Savings!K43)</f>
        <v/>
      </c>
      <c r="K1038" s="37" t="str">
        <f>IFERROR(IF(Agent06_Savings!A43="","",YEAR(Agent06_Savings!D43)),"")</f>
        <v/>
      </c>
    </row>
    <row r="1039" spans="1:11" ht="18" customHeight="1" x14ac:dyDescent="0.25">
      <c r="A1039" s="37" t="str">
        <f>IF(Agent06_Savings!A44="","",Agent06_Savings!A44)</f>
        <v/>
      </c>
      <c r="B1039" s="37" t="str">
        <f ca="1">IF(Agent06_Savings!A44="","","SV"&amp;TEXT(1039-3,"0000")&amp;"-"&amp;TEXT(TODAY(),"YYYYMMDD"))</f>
        <v/>
      </c>
      <c r="C1039" s="37" t="str">
        <f>IF(Agent06_Savings!A44="","",Agent06_Savings!B44)</f>
        <v/>
      </c>
      <c r="D1039" s="37" t="str">
        <f>IF(Agent06_Savings!A44="","",Agent06_Savings!G44)</f>
        <v/>
      </c>
      <c r="E1039" s="38" t="str">
        <f>IF(Agent06_Savings!A44="","",Agent06_Savings!D44)</f>
        <v/>
      </c>
      <c r="F1039" s="39" t="str">
        <f>IF(Agent06_Savings!A44="","",Agent06_Savings!E44)</f>
        <v/>
      </c>
      <c r="G1039" s="39" t="str">
        <f>IF(Agent06_Savings!A44="","",Agent06_Savings!F44)</f>
        <v/>
      </c>
      <c r="H1039" s="37" t="str">
        <f>IF(Agent06_Savings!A44="","",Agent06_Savings!I44)</f>
        <v/>
      </c>
      <c r="I1039" s="37" t="str">
        <f>IF(Agent06_Savings!A44="","",Agent06_Savings!J44)</f>
        <v/>
      </c>
      <c r="J1039" s="37" t="str">
        <f>IF(Agent06_Savings!A44="","",Agent06_Savings!K44)</f>
        <v/>
      </c>
      <c r="K1039" s="37" t="str">
        <f>IFERROR(IF(Agent06_Savings!A44="","",YEAR(Agent06_Savings!D44)),"")</f>
        <v/>
      </c>
    </row>
    <row r="1040" spans="1:11" ht="18" customHeight="1" x14ac:dyDescent="0.25">
      <c r="A1040" s="37" t="str">
        <f>IF(Agent06_Savings!A45="","",Agent06_Savings!A45)</f>
        <v/>
      </c>
      <c r="B1040" s="37" t="str">
        <f ca="1">IF(Agent06_Savings!A45="","","SV"&amp;TEXT(1040-3,"0000")&amp;"-"&amp;TEXT(TODAY(),"YYYYMMDD"))</f>
        <v/>
      </c>
      <c r="C1040" s="37" t="str">
        <f>IF(Agent06_Savings!A45="","",Agent06_Savings!B45)</f>
        <v/>
      </c>
      <c r="D1040" s="37" t="str">
        <f>IF(Agent06_Savings!A45="","",Agent06_Savings!G45)</f>
        <v/>
      </c>
      <c r="E1040" s="38" t="str">
        <f>IF(Agent06_Savings!A45="","",Agent06_Savings!D45)</f>
        <v/>
      </c>
      <c r="F1040" s="39" t="str">
        <f>IF(Agent06_Savings!A45="","",Agent06_Savings!E45)</f>
        <v/>
      </c>
      <c r="G1040" s="39" t="str">
        <f>IF(Agent06_Savings!A45="","",Agent06_Savings!F45)</f>
        <v/>
      </c>
      <c r="H1040" s="37" t="str">
        <f>IF(Agent06_Savings!A45="","",Agent06_Savings!I45)</f>
        <v/>
      </c>
      <c r="I1040" s="37" t="str">
        <f>IF(Agent06_Savings!A45="","",Agent06_Savings!J45)</f>
        <v/>
      </c>
      <c r="J1040" s="37" t="str">
        <f>IF(Agent06_Savings!A45="","",Agent06_Savings!K45)</f>
        <v/>
      </c>
      <c r="K1040" s="37" t="str">
        <f>IFERROR(IF(Agent06_Savings!A45="","",YEAR(Agent06_Savings!D45)),"")</f>
        <v/>
      </c>
    </row>
    <row r="1041" spans="1:11" ht="18" customHeight="1" x14ac:dyDescent="0.25">
      <c r="A1041" s="37" t="str">
        <f>IF(Agent06_Savings!A46="","",Agent06_Savings!A46)</f>
        <v/>
      </c>
      <c r="B1041" s="37" t="str">
        <f ca="1">IF(Agent06_Savings!A46="","","SV"&amp;TEXT(1041-3,"0000")&amp;"-"&amp;TEXT(TODAY(),"YYYYMMDD"))</f>
        <v/>
      </c>
      <c r="C1041" s="37" t="str">
        <f>IF(Agent06_Savings!A46="","",Agent06_Savings!B46)</f>
        <v/>
      </c>
      <c r="D1041" s="37" t="str">
        <f>IF(Agent06_Savings!A46="","",Agent06_Savings!G46)</f>
        <v/>
      </c>
      <c r="E1041" s="38" t="str">
        <f>IF(Agent06_Savings!A46="","",Agent06_Savings!D46)</f>
        <v/>
      </c>
      <c r="F1041" s="39" t="str">
        <f>IF(Agent06_Savings!A46="","",Agent06_Savings!E46)</f>
        <v/>
      </c>
      <c r="G1041" s="39" t="str">
        <f>IF(Agent06_Savings!A46="","",Agent06_Savings!F46)</f>
        <v/>
      </c>
      <c r="H1041" s="37" t="str">
        <f>IF(Agent06_Savings!A46="","",Agent06_Savings!I46)</f>
        <v/>
      </c>
      <c r="I1041" s="37" t="str">
        <f>IF(Agent06_Savings!A46="","",Agent06_Savings!J46)</f>
        <v/>
      </c>
      <c r="J1041" s="37" t="str">
        <f>IF(Agent06_Savings!A46="","",Agent06_Savings!K46)</f>
        <v/>
      </c>
      <c r="K1041" s="37" t="str">
        <f>IFERROR(IF(Agent06_Savings!A46="","",YEAR(Agent06_Savings!D46)),"")</f>
        <v/>
      </c>
    </row>
    <row r="1042" spans="1:11" ht="18" customHeight="1" x14ac:dyDescent="0.25">
      <c r="A1042" s="37" t="str">
        <f>IF(Agent06_Savings!A47="","",Agent06_Savings!A47)</f>
        <v/>
      </c>
      <c r="B1042" s="37" t="str">
        <f ca="1">IF(Agent06_Savings!A47="","","SV"&amp;TEXT(1042-3,"0000")&amp;"-"&amp;TEXT(TODAY(),"YYYYMMDD"))</f>
        <v/>
      </c>
      <c r="C1042" s="37" t="str">
        <f>IF(Agent06_Savings!A47="","",Agent06_Savings!B47)</f>
        <v/>
      </c>
      <c r="D1042" s="37" t="str">
        <f>IF(Agent06_Savings!A47="","",Agent06_Savings!G47)</f>
        <v/>
      </c>
      <c r="E1042" s="38" t="str">
        <f>IF(Agent06_Savings!A47="","",Agent06_Savings!D47)</f>
        <v/>
      </c>
      <c r="F1042" s="39" t="str">
        <f>IF(Agent06_Savings!A47="","",Agent06_Savings!E47)</f>
        <v/>
      </c>
      <c r="G1042" s="39" t="str">
        <f>IF(Agent06_Savings!A47="","",Agent06_Savings!F47)</f>
        <v/>
      </c>
      <c r="H1042" s="37" t="str">
        <f>IF(Agent06_Savings!A47="","",Agent06_Savings!I47)</f>
        <v/>
      </c>
      <c r="I1042" s="37" t="str">
        <f>IF(Agent06_Savings!A47="","",Agent06_Savings!J47)</f>
        <v/>
      </c>
      <c r="J1042" s="37" t="str">
        <f>IF(Agent06_Savings!A47="","",Agent06_Savings!K47)</f>
        <v/>
      </c>
      <c r="K1042" s="37" t="str">
        <f>IFERROR(IF(Agent06_Savings!A47="","",YEAR(Agent06_Savings!D47)),"")</f>
        <v/>
      </c>
    </row>
    <row r="1043" spans="1:11" ht="18" customHeight="1" x14ac:dyDescent="0.25">
      <c r="A1043" s="37" t="str">
        <f>IF(Agent06_Savings!A48="","",Agent06_Savings!A48)</f>
        <v/>
      </c>
      <c r="B1043" s="37" t="str">
        <f ca="1">IF(Agent06_Savings!A48="","","SV"&amp;TEXT(1043-3,"0000")&amp;"-"&amp;TEXT(TODAY(),"YYYYMMDD"))</f>
        <v/>
      </c>
      <c r="C1043" s="37" t="str">
        <f>IF(Agent06_Savings!A48="","",Agent06_Savings!B48)</f>
        <v/>
      </c>
      <c r="D1043" s="37" t="str">
        <f>IF(Agent06_Savings!A48="","",Agent06_Savings!G48)</f>
        <v/>
      </c>
      <c r="E1043" s="38" t="str">
        <f>IF(Agent06_Savings!A48="","",Agent06_Savings!D48)</f>
        <v/>
      </c>
      <c r="F1043" s="39" t="str">
        <f>IF(Agent06_Savings!A48="","",Agent06_Savings!E48)</f>
        <v/>
      </c>
      <c r="G1043" s="39" t="str">
        <f>IF(Agent06_Savings!A48="","",Agent06_Savings!F48)</f>
        <v/>
      </c>
      <c r="H1043" s="37" t="str">
        <f>IF(Agent06_Savings!A48="","",Agent06_Savings!I48)</f>
        <v/>
      </c>
      <c r="I1043" s="37" t="str">
        <f>IF(Agent06_Savings!A48="","",Agent06_Savings!J48)</f>
        <v/>
      </c>
      <c r="J1043" s="37" t="str">
        <f>IF(Agent06_Savings!A48="","",Agent06_Savings!K48)</f>
        <v/>
      </c>
      <c r="K1043" s="37" t="str">
        <f>IFERROR(IF(Agent06_Savings!A48="","",YEAR(Agent06_Savings!D48)),"")</f>
        <v/>
      </c>
    </row>
    <row r="1044" spans="1:11" ht="18" customHeight="1" x14ac:dyDescent="0.25">
      <c r="A1044" s="37" t="str">
        <f>IF(Agent06_Savings!A49="","",Agent06_Savings!A49)</f>
        <v/>
      </c>
      <c r="B1044" s="37" t="str">
        <f ca="1">IF(Agent06_Savings!A49="","","SV"&amp;TEXT(1044-3,"0000")&amp;"-"&amp;TEXT(TODAY(),"YYYYMMDD"))</f>
        <v/>
      </c>
      <c r="C1044" s="37" t="str">
        <f>IF(Agent06_Savings!A49="","",Agent06_Savings!B49)</f>
        <v/>
      </c>
      <c r="D1044" s="37" t="str">
        <f>IF(Agent06_Savings!A49="","",Agent06_Savings!G49)</f>
        <v/>
      </c>
      <c r="E1044" s="38" t="str">
        <f>IF(Agent06_Savings!A49="","",Agent06_Savings!D49)</f>
        <v/>
      </c>
      <c r="F1044" s="39" t="str">
        <f>IF(Agent06_Savings!A49="","",Agent06_Savings!E49)</f>
        <v/>
      </c>
      <c r="G1044" s="39" t="str">
        <f>IF(Agent06_Savings!A49="","",Agent06_Savings!F49)</f>
        <v/>
      </c>
      <c r="H1044" s="37" t="str">
        <f>IF(Agent06_Savings!A49="","",Agent06_Savings!I49)</f>
        <v/>
      </c>
      <c r="I1044" s="37" t="str">
        <f>IF(Agent06_Savings!A49="","",Agent06_Savings!J49)</f>
        <v/>
      </c>
      <c r="J1044" s="37" t="str">
        <f>IF(Agent06_Savings!A49="","",Agent06_Savings!K49)</f>
        <v/>
      </c>
      <c r="K1044" s="37" t="str">
        <f>IFERROR(IF(Agent06_Savings!A49="","",YEAR(Agent06_Savings!D49)),"")</f>
        <v/>
      </c>
    </row>
    <row r="1045" spans="1:11" ht="18" customHeight="1" x14ac:dyDescent="0.25">
      <c r="A1045" s="37" t="str">
        <f>IF(Agent06_Savings!A50="","",Agent06_Savings!A50)</f>
        <v/>
      </c>
      <c r="B1045" s="37" t="str">
        <f ca="1">IF(Agent06_Savings!A50="","","SV"&amp;TEXT(1045-3,"0000")&amp;"-"&amp;TEXT(TODAY(),"YYYYMMDD"))</f>
        <v/>
      </c>
      <c r="C1045" s="37" t="str">
        <f>IF(Agent06_Savings!A50="","",Agent06_Savings!B50)</f>
        <v/>
      </c>
      <c r="D1045" s="37" t="str">
        <f>IF(Agent06_Savings!A50="","",Agent06_Savings!G50)</f>
        <v/>
      </c>
      <c r="E1045" s="38" t="str">
        <f>IF(Agent06_Savings!A50="","",Agent06_Savings!D50)</f>
        <v/>
      </c>
      <c r="F1045" s="39" t="str">
        <f>IF(Agent06_Savings!A50="","",Agent06_Savings!E50)</f>
        <v/>
      </c>
      <c r="G1045" s="39" t="str">
        <f>IF(Agent06_Savings!A50="","",Agent06_Savings!F50)</f>
        <v/>
      </c>
      <c r="H1045" s="37" t="str">
        <f>IF(Agent06_Savings!A50="","",Agent06_Savings!I50)</f>
        <v/>
      </c>
      <c r="I1045" s="37" t="str">
        <f>IF(Agent06_Savings!A50="","",Agent06_Savings!J50)</f>
        <v/>
      </c>
      <c r="J1045" s="37" t="str">
        <f>IF(Agent06_Savings!A50="","",Agent06_Savings!K50)</f>
        <v/>
      </c>
      <c r="K1045" s="37" t="str">
        <f>IFERROR(IF(Agent06_Savings!A50="","",YEAR(Agent06_Savings!D50)),"")</f>
        <v/>
      </c>
    </row>
    <row r="1046" spans="1:11" ht="18" customHeight="1" x14ac:dyDescent="0.25">
      <c r="A1046" s="37" t="str">
        <f>IF(Agent06_Savings!A51="","",Agent06_Savings!A51)</f>
        <v/>
      </c>
      <c r="B1046" s="37" t="str">
        <f ca="1">IF(Agent06_Savings!A51="","","SV"&amp;TEXT(1046-3,"0000")&amp;"-"&amp;TEXT(TODAY(),"YYYYMMDD"))</f>
        <v/>
      </c>
      <c r="C1046" s="37" t="str">
        <f>IF(Agent06_Savings!A51="","",Agent06_Savings!B51)</f>
        <v/>
      </c>
      <c r="D1046" s="37" t="str">
        <f>IF(Agent06_Savings!A51="","",Agent06_Savings!G51)</f>
        <v/>
      </c>
      <c r="E1046" s="38" t="str">
        <f>IF(Agent06_Savings!A51="","",Agent06_Savings!D51)</f>
        <v/>
      </c>
      <c r="F1046" s="39" t="str">
        <f>IF(Agent06_Savings!A51="","",Agent06_Savings!E51)</f>
        <v/>
      </c>
      <c r="G1046" s="39" t="str">
        <f>IF(Agent06_Savings!A51="","",Agent06_Savings!F51)</f>
        <v/>
      </c>
      <c r="H1046" s="37" t="str">
        <f>IF(Agent06_Savings!A51="","",Agent06_Savings!I51)</f>
        <v/>
      </c>
      <c r="I1046" s="37" t="str">
        <f>IF(Agent06_Savings!A51="","",Agent06_Savings!J51)</f>
        <v/>
      </c>
      <c r="J1046" s="37" t="str">
        <f>IF(Agent06_Savings!A51="","",Agent06_Savings!K51)</f>
        <v/>
      </c>
      <c r="K1046" s="37" t="str">
        <f>IFERROR(IF(Agent06_Savings!A51="","",YEAR(Agent06_Savings!D51)),"")</f>
        <v/>
      </c>
    </row>
    <row r="1047" spans="1:11" ht="18" customHeight="1" x14ac:dyDescent="0.25">
      <c r="A1047" s="37" t="str">
        <f>IF(Agent06_Savings!A52="","",Agent06_Savings!A52)</f>
        <v/>
      </c>
      <c r="B1047" s="37" t="str">
        <f ca="1">IF(Agent06_Savings!A52="","","SV"&amp;TEXT(1047-3,"0000")&amp;"-"&amp;TEXT(TODAY(),"YYYYMMDD"))</f>
        <v/>
      </c>
      <c r="C1047" s="37" t="str">
        <f>IF(Agent06_Savings!A52="","",Agent06_Savings!B52)</f>
        <v/>
      </c>
      <c r="D1047" s="37" t="str">
        <f>IF(Agent06_Savings!A52="","",Agent06_Savings!G52)</f>
        <v/>
      </c>
      <c r="E1047" s="38" t="str">
        <f>IF(Agent06_Savings!A52="","",Agent06_Savings!D52)</f>
        <v/>
      </c>
      <c r="F1047" s="39" t="str">
        <f>IF(Agent06_Savings!A52="","",Agent06_Savings!E52)</f>
        <v/>
      </c>
      <c r="G1047" s="39" t="str">
        <f>IF(Agent06_Savings!A52="","",Agent06_Savings!F52)</f>
        <v/>
      </c>
      <c r="H1047" s="37" t="str">
        <f>IF(Agent06_Savings!A52="","",Agent06_Savings!I52)</f>
        <v/>
      </c>
      <c r="I1047" s="37" t="str">
        <f>IF(Agent06_Savings!A52="","",Agent06_Savings!J52)</f>
        <v/>
      </c>
      <c r="J1047" s="37" t="str">
        <f>IF(Agent06_Savings!A52="","",Agent06_Savings!K52)</f>
        <v/>
      </c>
      <c r="K1047" s="37" t="str">
        <f>IFERROR(IF(Agent06_Savings!A52="","",YEAR(Agent06_Savings!D52)),"")</f>
        <v/>
      </c>
    </row>
    <row r="1048" spans="1:11" ht="18" customHeight="1" x14ac:dyDescent="0.25">
      <c r="A1048" s="37" t="str">
        <f>IF(Agent06_Savings!A53="","",Agent06_Savings!A53)</f>
        <v/>
      </c>
      <c r="B1048" s="37" t="str">
        <f ca="1">IF(Agent06_Savings!A53="","","SV"&amp;TEXT(1048-3,"0000")&amp;"-"&amp;TEXT(TODAY(),"YYYYMMDD"))</f>
        <v/>
      </c>
      <c r="C1048" s="37" t="str">
        <f>IF(Agent06_Savings!A53="","",Agent06_Savings!B53)</f>
        <v/>
      </c>
      <c r="D1048" s="37" t="str">
        <f>IF(Agent06_Savings!A53="","",Agent06_Savings!G53)</f>
        <v/>
      </c>
      <c r="E1048" s="38" t="str">
        <f>IF(Agent06_Savings!A53="","",Agent06_Savings!D53)</f>
        <v/>
      </c>
      <c r="F1048" s="39" t="str">
        <f>IF(Agent06_Savings!A53="","",Agent06_Savings!E53)</f>
        <v/>
      </c>
      <c r="G1048" s="39" t="str">
        <f>IF(Agent06_Savings!A53="","",Agent06_Savings!F53)</f>
        <v/>
      </c>
      <c r="H1048" s="37" t="str">
        <f>IF(Agent06_Savings!A53="","",Agent06_Savings!I53)</f>
        <v/>
      </c>
      <c r="I1048" s="37" t="str">
        <f>IF(Agent06_Savings!A53="","",Agent06_Savings!J53)</f>
        <v/>
      </c>
      <c r="J1048" s="37" t="str">
        <f>IF(Agent06_Savings!A53="","",Agent06_Savings!K53)</f>
        <v/>
      </c>
      <c r="K1048" s="37" t="str">
        <f>IFERROR(IF(Agent06_Savings!A53="","",YEAR(Agent06_Savings!D53)),"")</f>
        <v/>
      </c>
    </row>
    <row r="1049" spans="1:11" ht="18" customHeight="1" x14ac:dyDescent="0.25">
      <c r="A1049" s="37" t="str">
        <f>IF(Agent06_Savings!A54="","",Agent06_Savings!A54)</f>
        <v/>
      </c>
      <c r="B1049" s="37" t="str">
        <f ca="1">IF(Agent06_Savings!A54="","","SV"&amp;TEXT(1049-3,"0000")&amp;"-"&amp;TEXT(TODAY(),"YYYYMMDD"))</f>
        <v/>
      </c>
      <c r="C1049" s="37" t="str">
        <f>IF(Agent06_Savings!A54="","",Agent06_Savings!B54)</f>
        <v/>
      </c>
      <c r="D1049" s="37" t="str">
        <f>IF(Agent06_Savings!A54="","",Agent06_Savings!G54)</f>
        <v/>
      </c>
      <c r="E1049" s="38" t="str">
        <f>IF(Agent06_Savings!A54="","",Agent06_Savings!D54)</f>
        <v/>
      </c>
      <c r="F1049" s="39" t="str">
        <f>IF(Agent06_Savings!A54="","",Agent06_Savings!E54)</f>
        <v/>
      </c>
      <c r="G1049" s="39" t="str">
        <f>IF(Agent06_Savings!A54="","",Agent06_Savings!F54)</f>
        <v/>
      </c>
      <c r="H1049" s="37" t="str">
        <f>IF(Agent06_Savings!A54="","",Agent06_Savings!I54)</f>
        <v/>
      </c>
      <c r="I1049" s="37" t="str">
        <f>IF(Agent06_Savings!A54="","",Agent06_Savings!J54)</f>
        <v/>
      </c>
      <c r="J1049" s="37" t="str">
        <f>IF(Agent06_Savings!A54="","",Agent06_Savings!K54)</f>
        <v/>
      </c>
      <c r="K1049" s="37" t="str">
        <f>IFERROR(IF(Agent06_Savings!A54="","",YEAR(Agent06_Savings!D54)),"")</f>
        <v/>
      </c>
    </row>
    <row r="1050" spans="1:11" ht="18" customHeight="1" x14ac:dyDescent="0.25">
      <c r="A1050" s="37" t="str">
        <f>IF(Agent06_Savings!A55="","",Agent06_Savings!A55)</f>
        <v/>
      </c>
      <c r="B1050" s="37" t="str">
        <f ca="1">IF(Agent06_Savings!A55="","","SV"&amp;TEXT(1050-3,"0000")&amp;"-"&amp;TEXT(TODAY(),"YYYYMMDD"))</f>
        <v/>
      </c>
      <c r="C1050" s="37" t="str">
        <f>IF(Agent06_Savings!A55="","",Agent06_Savings!B55)</f>
        <v/>
      </c>
      <c r="D1050" s="37" t="str">
        <f>IF(Agent06_Savings!A55="","",Agent06_Savings!G55)</f>
        <v/>
      </c>
      <c r="E1050" s="38" t="str">
        <f>IF(Agent06_Savings!A55="","",Agent06_Savings!D55)</f>
        <v/>
      </c>
      <c r="F1050" s="39" t="str">
        <f>IF(Agent06_Savings!A55="","",Agent06_Savings!E55)</f>
        <v/>
      </c>
      <c r="G1050" s="39" t="str">
        <f>IF(Agent06_Savings!A55="","",Agent06_Savings!F55)</f>
        <v/>
      </c>
      <c r="H1050" s="37" t="str">
        <f>IF(Agent06_Savings!A55="","",Agent06_Savings!I55)</f>
        <v/>
      </c>
      <c r="I1050" s="37" t="str">
        <f>IF(Agent06_Savings!A55="","",Agent06_Savings!J55)</f>
        <v/>
      </c>
      <c r="J1050" s="37" t="str">
        <f>IF(Agent06_Savings!A55="","",Agent06_Savings!K55)</f>
        <v/>
      </c>
      <c r="K1050" s="37" t="str">
        <f>IFERROR(IF(Agent06_Savings!A55="","",YEAR(Agent06_Savings!D55)),"")</f>
        <v/>
      </c>
    </row>
    <row r="1051" spans="1:11" ht="18" customHeight="1" x14ac:dyDescent="0.25">
      <c r="A1051" s="37" t="str">
        <f>IF(Agent06_Savings!A56="","",Agent06_Savings!A56)</f>
        <v/>
      </c>
      <c r="B1051" s="37" t="str">
        <f ca="1">IF(Agent06_Savings!A56="","","SV"&amp;TEXT(1051-3,"0000")&amp;"-"&amp;TEXT(TODAY(),"YYYYMMDD"))</f>
        <v/>
      </c>
      <c r="C1051" s="37" t="str">
        <f>IF(Agent06_Savings!A56="","",Agent06_Savings!B56)</f>
        <v/>
      </c>
      <c r="D1051" s="37" t="str">
        <f>IF(Agent06_Savings!A56="","",Agent06_Savings!G56)</f>
        <v/>
      </c>
      <c r="E1051" s="38" t="str">
        <f>IF(Agent06_Savings!A56="","",Agent06_Savings!D56)</f>
        <v/>
      </c>
      <c r="F1051" s="39" t="str">
        <f>IF(Agent06_Savings!A56="","",Agent06_Savings!E56)</f>
        <v/>
      </c>
      <c r="G1051" s="39" t="str">
        <f>IF(Agent06_Savings!A56="","",Agent06_Savings!F56)</f>
        <v/>
      </c>
      <c r="H1051" s="37" t="str">
        <f>IF(Agent06_Savings!A56="","",Agent06_Savings!I56)</f>
        <v/>
      </c>
      <c r="I1051" s="37" t="str">
        <f>IF(Agent06_Savings!A56="","",Agent06_Savings!J56)</f>
        <v/>
      </c>
      <c r="J1051" s="37" t="str">
        <f>IF(Agent06_Savings!A56="","",Agent06_Savings!K56)</f>
        <v/>
      </c>
      <c r="K1051" s="37" t="str">
        <f>IFERROR(IF(Agent06_Savings!A56="","",YEAR(Agent06_Savings!D56)),"")</f>
        <v/>
      </c>
    </row>
    <row r="1052" spans="1:11" ht="18" customHeight="1" x14ac:dyDescent="0.25">
      <c r="A1052" s="37" t="str">
        <f>IF(Agent06_Savings!A57="","",Agent06_Savings!A57)</f>
        <v/>
      </c>
      <c r="B1052" s="37" t="str">
        <f ca="1">IF(Agent06_Savings!A57="","","SV"&amp;TEXT(1052-3,"0000")&amp;"-"&amp;TEXT(TODAY(),"YYYYMMDD"))</f>
        <v/>
      </c>
      <c r="C1052" s="37" t="str">
        <f>IF(Agent06_Savings!A57="","",Agent06_Savings!B57)</f>
        <v/>
      </c>
      <c r="D1052" s="37" t="str">
        <f>IF(Agent06_Savings!A57="","",Agent06_Savings!G57)</f>
        <v/>
      </c>
      <c r="E1052" s="38" t="str">
        <f>IF(Agent06_Savings!A57="","",Agent06_Savings!D57)</f>
        <v/>
      </c>
      <c r="F1052" s="39" t="str">
        <f>IF(Agent06_Savings!A57="","",Agent06_Savings!E57)</f>
        <v/>
      </c>
      <c r="G1052" s="39" t="str">
        <f>IF(Agent06_Savings!A57="","",Agent06_Savings!F57)</f>
        <v/>
      </c>
      <c r="H1052" s="37" t="str">
        <f>IF(Agent06_Savings!A57="","",Agent06_Savings!I57)</f>
        <v/>
      </c>
      <c r="I1052" s="37" t="str">
        <f>IF(Agent06_Savings!A57="","",Agent06_Savings!J57)</f>
        <v/>
      </c>
      <c r="J1052" s="37" t="str">
        <f>IF(Agent06_Savings!A57="","",Agent06_Savings!K57)</f>
        <v/>
      </c>
      <c r="K1052" s="37" t="str">
        <f>IFERROR(IF(Agent06_Savings!A57="","",YEAR(Agent06_Savings!D57)),"")</f>
        <v/>
      </c>
    </row>
    <row r="1053" spans="1:11" ht="18" customHeight="1" x14ac:dyDescent="0.25">
      <c r="A1053" s="37" t="str">
        <f>IF(Agent06_Savings!A58="","",Agent06_Savings!A58)</f>
        <v/>
      </c>
      <c r="B1053" s="37" t="str">
        <f ca="1">IF(Agent06_Savings!A58="","","SV"&amp;TEXT(1053-3,"0000")&amp;"-"&amp;TEXT(TODAY(),"YYYYMMDD"))</f>
        <v/>
      </c>
      <c r="C1053" s="37" t="str">
        <f>IF(Agent06_Savings!A58="","",Agent06_Savings!B58)</f>
        <v/>
      </c>
      <c r="D1053" s="37" t="str">
        <f>IF(Agent06_Savings!A58="","",Agent06_Savings!G58)</f>
        <v/>
      </c>
      <c r="E1053" s="38" t="str">
        <f>IF(Agent06_Savings!A58="","",Agent06_Savings!D58)</f>
        <v/>
      </c>
      <c r="F1053" s="39" t="str">
        <f>IF(Agent06_Savings!A58="","",Agent06_Savings!E58)</f>
        <v/>
      </c>
      <c r="G1053" s="39" t="str">
        <f>IF(Agent06_Savings!A58="","",Agent06_Savings!F58)</f>
        <v/>
      </c>
      <c r="H1053" s="37" t="str">
        <f>IF(Agent06_Savings!A58="","",Agent06_Savings!I58)</f>
        <v/>
      </c>
      <c r="I1053" s="37" t="str">
        <f>IF(Agent06_Savings!A58="","",Agent06_Savings!J58)</f>
        <v/>
      </c>
      <c r="J1053" s="37" t="str">
        <f>IF(Agent06_Savings!A58="","",Agent06_Savings!K58)</f>
        <v/>
      </c>
      <c r="K1053" s="37" t="str">
        <f>IFERROR(IF(Agent06_Savings!A58="","",YEAR(Agent06_Savings!D58)),"")</f>
        <v/>
      </c>
    </row>
    <row r="1054" spans="1:11" ht="18" customHeight="1" x14ac:dyDescent="0.25">
      <c r="A1054" s="37" t="str">
        <f>IF(Agent06_Savings!A59="","",Agent06_Savings!A59)</f>
        <v/>
      </c>
      <c r="B1054" s="37" t="str">
        <f ca="1">IF(Agent06_Savings!A59="","","SV"&amp;TEXT(1054-3,"0000")&amp;"-"&amp;TEXT(TODAY(),"YYYYMMDD"))</f>
        <v/>
      </c>
      <c r="C1054" s="37" t="str">
        <f>IF(Agent06_Savings!A59="","",Agent06_Savings!B59)</f>
        <v/>
      </c>
      <c r="D1054" s="37" t="str">
        <f>IF(Agent06_Savings!A59="","",Agent06_Savings!G59)</f>
        <v/>
      </c>
      <c r="E1054" s="38" t="str">
        <f>IF(Agent06_Savings!A59="","",Agent06_Savings!D59)</f>
        <v/>
      </c>
      <c r="F1054" s="39" t="str">
        <f>IF(Agent06_Savings!A59="","",Agent06_Savings!E59)</f>
        <v/>
      </c>
      <c r="G1054" s="39" t="str">
        <f>IF(Agent06_Savings!A59="","",Agent06_Savings!F59)</f>
        <v/>
      </c>
      <c r="H1054" s="37" t="str">
        <f>IF(Agent06_Savings!A59="","",Agent06_Savings!I59)</f>
        <v/>
      </c>
      <c r="I1054" s="37" t="str">
        <f>IF(Agent06_Savings!A59="","",Agent06_Savings!J59)</f>
        <v/>
      </c>
      <c r="J1054" s="37" t="str">
        <f>IF(Agent06_Savings!A59="","",Agent06_Savings!K59)</f>
        <v/>
      </c>
      <c r="K1054" s="37" t="str">
        <f>IFERROR(IF(Agent06_Savings!A59="","",YEAR(Agent06_Savings!D59)),"")</f>
        <v/>
      </c>
    </row>
    <row r="1055" spans="1:11" ht="18" customHeight="1" x14ac:dyDescent="0.25">
      <c r="A1055" s="37" t="str">
        <f>IF(Agent06_Savings!A60="","",Agent06_Savings!A60)</f>
        <v/>
      </c>
      <c r="B1055" s="37" t="str">
        <f ca="1">IF(Agent06_Savings!A60="","","SV"&amp;TEXT(1055-3,"0000")&amp;"-"&amp;TEXT(TODAY(),"YYYYMMDD"))</f>
        <v/>
      </c>
      <c r="C1055" s="37" t="str">
        <f>IF(Agent06_Savings!A60="","",Agent06_Savings!B60)</f>
        <v/>
      </c>
      <c r="D1055" s="37" t="str">
        <f>IF(Agent06_Savings!A60="","",Agent06_Savings!G60)</f>
        <v/>
      </c>
      <c r="E1055" s="38" t="str">
        <f>IF(Agent06_Savings!A60="","",Agent06_Savings!D60)</f>
        <v/>
      </c>
      <c r="F1055" s="39" t="str">
        <f>IF(Agent06_Savings!A60="","",Agent06_Savings!E60)</f>
        <v/>
      </c>
      <c r="G1055" s="39" t="str">
        <f>IF(Agent06_Savings!A60="","",Agent06_Savings!F60)</f>
        <v/>
      </c>
      <c r="H1055" s="37" t="str">
        <f>IF(Agent06_Savings!A60="","",Agent06_Savings!I60)</f>
        <v/>
      </c>
      <c r="I1055" s="37" t="str">
        <f>IF(Agent06_Savings!A60="","",Agent06_Savings!J60)</f>
        <v/>
      </c>
      <c r="J1055" s="37" t="str">
        <f>IF(Agent06_Savings!A60="","",Agent06_Savings!K60)</f>
        <v/>
      </c>
      <c r="K1055" s="37" t="str">
        <f>IFERROR(IF(Agent06_Savings!A60="","",YEAR(Agent06_Savings!D60)),"")</f>
        <v/>
      </c>
    </row>
    <row r="1056" spans="1:11" ht="18" customHeight="1" x14ac:dyDescent="0.25">
      <c r="A1056" s="37" t="str">
        <f>IF(Agent06_Savings!A61="","",Agent06_Savings!A61)</f>
        <v/>
      </c>
      <c r="B1056" s="37" t="str">
        <f ca="1">IF(Agent06_Savings!A61="","","SV"&amp;TEXT(1056-3,"0000")&amp;"-"&amp;TEXT(TODAY(),"YYYYMMDD"))</f>
        <v/>
      </c>
      <c r="C1056" s="37" t="str">
        <f>IF(Agent06_Savings!A61="","",Agent06_Savings!B61)</f>
        <v/>
      </c>
      <c r="D1056" s="37" t="str">
        <f>IF(Agent06_Savings!A61="","",Agent06_Savings!G61)</f>
        <v/>
      </c>
      <c r="E1056" s="38" t="str">
        <f>IF(Agent06_Savings!A61="","",Agent06_Savings!D61)</f>
        <v/>
      </c>
      <c r="F1056" s="39" t="str">
        <f>IF(Agent06_Savings!A61="","",Agent06_Savings!E61)</f>
        <v/>
      </c>
      <c r="G1056" s="39" t="str">
        <f>IF(Agent06_Savings!A61="","",Agent06_Savings!F61)</f>
        <v/>
      </c>
      <c r="H1056" s="37" t="str">
        <f>IF(Agent06_Savings!A61="","",Agent06_Savings!I61)</f>
        <v/>
      </c>
      <c r="I1056" s="37" t="str">
        <f>IF(Agent06_Savings!A61="","",Agent06_Savings!J61)</f>
        <v/>
      </c>
      <c r="J1056" s="37" t="str">
        <f>IF(Agent06_Savings!A61="","",Agent06_Savings!K61)</f>
        <v/>
      </c>
      <c r="K1056" s="37" t="str">
        <f>IFERROR(IF(Agent06_Savings!A61="","",YEAR(Agent06_Savings!D61)),"")</f>
        <v/>
      </c>
    </row>
    <row r="1057" spans="1:11" ht="18" customHeight="1" x14ac:dyDescent="0.25">
      <c r="A1057" s="37" t="str">
        <f>IF(Agent06_Savings!A62="","",Agent06_Savings!A62)</f>
        <v/>
      </c>
      <c r="B1057" s="37" t="str">
        <f ca="1">IF(Agent06_Savings!A62="","","SV"&amp;TEXT(1057-3,"0000")&amp;"-"&amp;TEXT(TODAY(),"YYYYMMDD"))</f>
        <v/>
      </c>
      <c r="C1057" s="37" t="str">
        <f>IF(Agent06_Savings!A62="","",Agent06_Savings!B62)</f>
        <v/>
      </c>
      <c r="D1057" s="37" t="str">
        <f>IF(Agent06_Savings!A62="","",Agent06_Savings!G62)</f>
        <v/>
      </c>
      <c r="E1057" s="38" t="str">
        <f>IF(Agent06_Savings!A62="","",Agent06_Savings!D62)</f>
        <v/>
      </c>
      <c r="F1057" s="39" t="str">
        <f>IF(Agent06_Savings!A62="","",Agent06_Savings!E62)</f>
        <v/>
      </c>
      <c r="G1057" s="39" t="str">
        <f>IF(Agent06_Savings!A62="","",Agent06_Savings!F62)</f>
        <v/>
      </c>
      <c r="H1057" s="37" t="str">
        <f>IF(Agent06_Savings!A62="","",Agent06_Savings!I62)</f>
        <v/>
      </c>
      <c r="I1057" s="37" t="str">
        <f>IF(Agent06_Savings!A62="","",Agent06_Savings!J62)</f>
        <v/>
      </c>
      <c r="J1057" s="37" t="str">
        <f>IF(Agent06_Savings!A62="","",Agent06_Savings!K62)</f>
        <v/>
      </c>
      <c r="K1057" s="37" t="str">
        <f>IFERROR(IF(Agent06_Savings!A62="","",YEAR(Agent06_Savings!D62)),"")</f>
        <v/>
      </c>
    </row>
    <row r="1058" spans="1:11" ht="18" customHeight="1" x14ac:dyDescent="0.25">
      <c r="A1058" s="37" t="str">
        <f>IF(Agent06_Savings!A63="","",Agent06_Savings!A63)</f>
        <v/>
      </c>
      <c r="B1058" s="37" t="str">
        <f ca="1">IF(Agent06_Savings!A63="","","SV"&amp;TEXT(1058-3,"0000")&amp;"-"&amp;TEXT(TODAY(),"YYYYMMDD"))</f>
        <v/>
      </c>
      <c r="C1058" s="37" t="str">
        <f>IF(Agent06_Savings!A63="","",Agent06_Savings!B63)</f>
        <v/>
      </c>
      <c r="D1058" s="37" t="str">
        <f>IF(Agent06_Savings!A63="","",Agent06_Savings!G63)</f>
        <v/>
      </c>
      <c r="E1058" s="38" t="str">
        <f>IF(Agent06_Savings!A63="","",Agent06_Savings!D63)</f>
        <v/>
      </c>
      <c r="F1058" s="39" t="str">
        <f>IF(Agent06_Savings!A63="","",Agent06_Savings!E63)</f>
        <v/>
      </c>
      <c r="G1058" s="39" t="str">
        <f>IF(Agent06_Savings!A63="","",Agent06_Savings!F63)</f>
        <v/>
      </c>
      <c r="H1058" s="37" t="str">
        <f>IF(Agent06_Savings!A63="","",Agent06_Savings!I63)</f>
        <v/>
      </c>
      <c r="I1058" s="37" t="str">
        <f>IF(Agent06_Savings!A63="","",Agent06_Savings!J63)</f>
        <v/>
      </c>
      <c r="J1058" s="37" t="str">
        <f>IF(Agent06_Savings!A63="","",Agent06_Savings!K63)</f>
        <v/>
      </c>
      <c r="K1058" s="37" t="str">
        <f>IFERROR(IF(Agent06_Savings!A63="","",YEAR(Agent06_Savings!D63)),"")</f>
        <v/>
      </c>
    </row>
    <row r="1059" spans="1:11" ht="18" customHeight="1" x14ac:dyDescent="0.25">
      <c r="A1059" s="37" t="str">
        <f>IF(Agent06_Savings!A64="","",Agent06_Savings!A64)</f>
        <v/>
      </c>
      <c r="B1059" s="37" t="str">
        <f ca="1">IF(Agent06_Savings!A64="","","SV"&amp;TEXT(1059-3,"0000")&amp;"-"&amp;TEXT(TODAY(),"YYYYMMDD"))</f>
        <v/>
      </c>
      <c r="C1059" s="37" t="str">
        <f>IF(Agent06_Savings!A64="","",Agent06_Savings!B64)</f>
        <v/>
      </c>
      <c r="D1059" s="37" t="str">
        <f>IF(Agent06_Savings!A64="","",Agent06_Savings!G64)</f>
        <v/>
      </c>
      <c r="E1059" s="38" t="str">
        <f>IF(Agent06_Savings!A64="","",Agent06_Savings!D64)</f>
        <v/>
      </c>
      <c r="F1059" s="39" t="str">
        <f>IF(Agent06_Savings!A64="","",Agent06_Savings!E64)</f>
        <v/>
      </c>
      <c r="G1059" s="39" t="str">
        <f>IF(Agent06_Savings!A64="","",Agent06_Savings!F64)</f>
        <v/>
      </c>
      <c r="H1059" s="37" t="str">
        <f>IF(Agent06_Savings!A64="","",Agent06_Savings!I64)</f>
        <v/>
      </c>
      <c r="I1059" s="37" t="str">
        <f>IF(Agent06_Savings!A64="","",Agent06_Savings!J64)</f>
        <v/>
      </c>
      <c r="J1059" s="37" t="str">
        <f>IF(Agent06_Savings!A64="","",Agent06_Savings!K64)</f>
        <v/>
      </c>
      <c r="K1059" s="37" t="str">
        <f>IFERROR(IF(Agent06_Savings!A64="","",YEAR(Agent06_Savings!D64)),"")</f>
        <v/>
      </c>
    </row>
    <row r="1060" spans="1:11" ht="18" customHeight="1" x14ac:dyDescent="0.25">
      <c r="A1060" s="37" t="str">
        <f>IF(Agent06_Savings!A65="","",Agent06_Savings!A65)</f>
        <v/>
      </c>
      <c r="B1060" s="37" t="str">
        <f ca="1">IF(Agent06_Savings!A65="","","SV"&amp;TEXT(1060-3,"0000")&amp;"-"&amp;TEXT(TODAY(),"YYYYMMDD"))</f>
        <v/>
      </c>
      <c r="C1060" s="37" t="str">
        <f>IF(Agent06_Savings!A65="","",Agent06_Savings!B65)</f>
        <v/>
      </c>
      <c r="D1060" s="37" t="str">
        <f>IF(Agent06_Savings!A65="","",Agent06_Savings!G65)</f>
        <v/>
      </c>
      <c r="E1060" s="38" t="str">
        <f>IF(Agent06_Savings!A65="","",Agent06_Savings!D65)</f>
        <v/>
      </c>
      <c r="F1060" s="39" t="str">
        <f>IF(Agent06_Savings!A65="","",Agent06_Savings!E65)</f>
        <v/>
      </c>
      <c r="G1060" s="39" t="str">
        <f>IF(Agent06_Savings!A65="","",Agent06_Savings!F65)</f>
        <v/>
      </c>
      <c r="H1060" s="37" t="str">
        <f>IF(Agent06_Savings!A65="","",Agent06_Savings!I65)</f>
        <v/>
      </c>
      <c r="I1060" s="37" t="str">
        <f>IF(Agent06_Savings!A65="","",Agent06_Savings!J65)</f>
        <v/>
      </c>
      <c r="J1060" s="37" t="str">
        <f>IF(Agent06_Savings!A65="","",Agent06_Savings!K65)</f>
        <v/>
      </c>
      <c r="K1060" s="37" t="str">
        <f>IFERROR(IF(Agent06_Savings!A65="","",YEAR(Agent06_Savings!D65)),"")</f>
        <v/>
      </c>
    </row>
    <row r="1061" spans="1:11" ht="18" customHeight="1" x14ac:dyDescent="0.25">
      <c r="A1061" s="37" t="str">
        <f>IF(Agent06_Savings!A66="","",Agent06_Savings!A66)</f>
        <v/>
      </c>
      <c r="B1061" s="37" t="str">
        <f ca="1">IF(Agent06_Savings!A66="","","SV"&amp;TEXT(1061-3,"0000")&amp;"-"&amp;TEXT(TODAY(),"YYYYMMDD"))</f>
        <v/>
      </c>
      <c r="C1061" s="37" t="str">
        <f>IF(Agent06_Savings!A66="","",Agent06_Savings!B66)</f>
        <v/>
      </c>
      <c r="D1061" s="37" t="str">
        <f>IF(Agent06_Savings!A66="","",Agent06_Savings!G66)</f>
        <v/>
      </c>
      <c r="E1061" s="38" t="str">
        <f>IF(Agent06_Savings!A66="","",Agent06_Savings!D66)</f>
        <v/>
      </c>
      <c r="F1061" s="39" t="str">
        <f>IF(Agent06_Savings!A66="","",Agent06_Savings!E66)</f>
        <v/>
      </c>
      <c r="G1061" s="39" t="str">
        <f>IF(Agent06_Savings!A66="","",Agent06_Savings!F66)</f>
        <v/>
      </c>
      <c r="H1061" s="37" t="str">
        <f>IF(Agent06_Savings!A66="","",Agent06_Savings!I66)</f>
        <v/>
      </c>
      <c r="I1061" s="37" t="str">
        <f>IF(Agent06_Savings!A66="","",Agent06_Savings!J66)</f>
        <v/>
      </c>
      <c r="J1061" s="37" t="str">
        <f>IF(Agent06_Savings!A66="","",Agent06_Savings!K66)</f>
        <v/>
      </c>
      <c r="K1061" s="37" t="str">
        <f>IFERROR(IF(Agent06_Savings!A66="","",YEAR(Agent06_Savings!D66)),"")</f>
        <v/>
      </c>
    </row>
    <row r="1062" spans="1:11" ht="18" customHeight="1" x14ac:dyDescent="0.25">
      <c r="A1062" s="37" t="str">
        <f>IF(Agent06_Savings!A67="","",Agent06_Savings!A67)</f>
        <v/>
      </c>
      <c r="B1062" s="37" t="str">
        <f ca="1">IF(Agent06_Savings!A67="","","SV"&amp;TEXT(1062-3,"0000")&amp;"-"&amp;TEXT(TODAY(),"YYYYMMDD"))</f>
        <v/>
      </c>
      <c r="C1062" s="37" t="str">
        <f>IF(Agent06_Savings!A67="","",Agent06_Savings!B67)</f>
        <v/>
      </c>
      <c r="D1062" s="37" t="str">
        <f>IF(Agent06_Savings!A67="","",Agent06_Savings!G67)</f>
        <v/>
      </c>
      <c r="E1062" s="38" t="str">
        <f>IF(Agent06_Savings!A67="","",Agent06_Savings!D67)</f>
        <v/>
      </c>
      <c r="F1062" s="39" t="str">
        <f>IF(Agent06_Savings!A67="","",Agent06_Savings!E67)</f>
        <v/>
      </c>
      <c r="G1062" s="39" t="str">
        <f>IF(Agent06_Savings!A67="","",Agent06_Savings!F67)</f>
        <v/>
      </c>
      <c r="H1062" s="37" t="str">
        <f>IF(Agent06_Savings!A67="","",Agent06_Savings!I67)</f>
        <v/>
      </c>
      <c r="I1062" s="37" t="str">
        <f>IF(Agent06_Savings!A67="","",Agent06_Savings!J67)</f>
        <v/>
      </c>
      <c r="J1062" s="37" t="str">
        <f>IF(Agent06_Savings!A67="","",Agent06_Savings!K67)</f>
        <v/>
      </c>
      <c r="K1062" s="37" t="str">
        <f>IFERROR(IF(Agent06_Savings!A67="","",YEAR(Agent06_Savings!D67)),"")</f>
        <v/>
      </c>
    </row>
    <row r="1063" spans="1:11" ht="18" customHeight="1" x14ac:dyDescent="0.25">
      <c r="A1063" s="37" t="str">
        <f>IF(Agent06_Savings!A68="","",Agent06_Savings!A68)</f>
        <v/>
      </c>
      <c r="B1063" s="37" t="str">
        <f ca="1">IF(Agent06_Savings!A68="","","SV"&amp;TEXT(1063-3,"0000")&amp;"-"&amp;TEXT(TODAY(),"YYYYMMDD"))</f>
        <v/>
      </c>
      <c r="C1063" s="37" t="str">
        <f>IF(Agent06_Savings!A68="","",Agent06_Savings!B68)</f>
        <v/>
      </c>
      <c r="D1063" s="37" t="str">
        <f>IF(Agent06_Savings!A68="","",Agent06_Savings!G68)</f>
        <v/>
      </c>
      <c r="E1063" s="38" t="str">
        <f>IF(Agent06_Savings!A68="","",Agent06_Savings!D68)</f>
        <v/>
      </c>
      <c r="F1063" s="39" t="str">
        <f>IF(Agent06_Savings!A68="","",Agent06_Savings!E68)</f>
        <v/>
      </c>
      <c r="G1063" s="39" t="str">
        <f>IF(Agent06_Savings!A68="","",Agent06_Savings!F68)</f>
        <v/>
      </c>
      <c r="H1063" s="37" t="str">
        <f>IF(Agent06_Savings!A68="","",Agent06_Savings!I68)</f>
        <v/>
      </c>
      <c r="I1063" s="37" t="str">
        <f>IF(Agent06_Savings!A68="","",Agent06_Savings!J68)</f>
        <v/>
      </c>
      <c r="J1063" s="37" t="str">
        <f>IF(Agent06_Savings!A68="","",Agent06_Savings!K68)</f>
        <v/>
      </c>
      <c r="K1063" s="37" t="str">
        <f>IFERROR(IF(Agent06_Savings!A68="","",YEAR(Agent06_Savings!D68)),"")</f>
        <v/>
      </c>
    </row>
    <row r="1064" spans="1:11" ht="18" customHeight="1" x14ac:dyDescent="0.25">
      <c r="A1064" s="37" t="str">
        <f>IF(Agent06_Savings!A69="","",Agent06_Savings!A69)</f>
        <v/>
      </c>
      <c r="B1064" s="37" t="str">
        <f ca="1">IF(Agent06_Savings!A69="","","SV"&amp;TEXT(1064-3,"0000")&amp;"-"&amp;TEXT(TODAY(),"YYYYMMDD"))</f>
        <v/>
      </c>
      <c r="C1064" s="37" t="str">
        <f>IF(Agent06_Savings!A69="","",Agent06_Savings!B69)</f>
        <v/>
      </c>
      <c r="D1064" s="37" t="str">
        <f>IF(Agent06_Savings!A69="","",Agent06_Savings!G69)</f>
        <v/>
      </c>
      <c r="E1064" s="38" t="str">
        <f>IF(Agent06_Savings!A69="","",Agent06_Savings!D69)</f>
        <v/>
      </c>
      <c r="F1064" s="39" t="str">
        <f>IF(Agent06_Savings!A69="","",Agent06_Savings!E69)</f>
        <v/>
      </c>
      <c r="G1064" s="39" t="str">
        <f>IF(Agent06_Savings!A69="","",Agent06_Savings!F69)</f>
        <v/>
      </c>
      <c r="H1064" s="37" t="str">
        <f>IF(Agent06_Savings!A69="","",Agent06_Savings!I69)</f>
        <v/>
      </c>
      <c r="I1064" s="37" t="str">
        <f>IF(Agent06_Savings!A69="","",Agent06_Savings!J69)</f>
        <v/>
      </c>
      <c r="J1064" s="37" t="str">
        <f>IF(Agent06_Savings!A69="","",Agent06_Savings!K69)</f>
        <v/>
      </c>
      <c r="K1064" s="37" t="str">
        <f>IFERROR(IF(Agent06_Savings!A69="","",YEAR(Agent06_Savings!D69)),"")</f>
        <v/>
      </c>
    </row>
    <row r="1065" spans="1:11" ht="18" customHeight="1" x14ac:dyDescent="0.25">
      <c r="A1065" s="37" t="str">
        <f>IF(Agent06_Savings!A70="","",Agent06_Savings!A70)</f>
        <v/>
      </c>
      <c r="B1065" s="37" t="str">
        <f ca="1">IF(Agent06_Savings!A70="","","SV"&amp;TEXT(1065-3,"0000")&amp;"-"&amp;TEXT(TODAY(),"YYYYMMDD"))</f>
        <v/>
      </c>
      <c r="C1065" s="37" t="str">
        <f>IF(Agent06_Savings!A70="","",Agent06_Savings!B70)</f>
        <v/>
      </c>
      <c r="D1065" s="37" t="str">
        <f>IF(Agent06_Savings!A70="","",Agent06_Savings!G70)</f>
        <v/>
      </c>
      <c r="E1065" s="38" t="str">
        <f>IF(Agent06_Savings!A70="","",Agent06_Savings!D70)</f>
        <v/>
      </c>
      <c r="F1065" s="39" t="str">
        <f>IF(Agent06_Savings!A70="","",Agent06_Savings!E70)</f>
        <v/>
      </c>
      <c r="G1065" s="39" t="str">
        <f>IF(Agent06_Savings!A70="","",Agent06_Savings!F70)</f>
        <v/>
      </c>
      <c r="H1065" s="37" t="str">
        <f>IF(Agent06_Savings!A70="","",Agent06_Savings!I70)</f>
        <v/>
      </c>
      <c r="I1065" s="37" t="str">
        <f>IF(Agent06_Savings!A70="","",Agent06_Savings!J70)</f>
        <v/>
      </c>
      <c r="J1065" s="37" t="str">
        <f>IF(Agent06_Savings!A70="","",Agent06_Savings!K70)</f>
        <v/>
      </c>
      <c r="K1065" s="37" t="str">
        <f>IFERROR(IF(Agent06_Savings!A70="","",YEAR(Agent06_Savings!D70)),"")</f>
        <v/>
      </c>
    </row>
    <row r="1066" spans="1:11" ht="18" customHeight="1" x14ac:dyDescent="0.25">
      <c r="A1066" s="37" t="str">
        <f>IF(Agent06_Savings!A71="","",Agent06_Savings!A71)</f>
        <v/>
      </c>
      <c r="B1066" s="37" t="str">
        <f ca="1">IF(Agent06_Savings!A71="","","SV"&amp;TEXT(1066-3,"0000")&amp;"-"&amp;TEXT(TODAY(),"YYYYMMDD"))</f>
        <v/>
      </c>
      <c r="C1066" s="37" t="str">
        <f>IF(Agent06_Savings!A71="","",Agent06_Savings!B71)</f>
        <v/>
      </c>
      <c r="D1066" s="37" t="str">
        <f>IF(Agent06_Savings!A71="","",Agent06_Savings!G71)</f>
        <v/>
      </c>
      <c r="E1066" s="38" t="str">
        <f>IF(Agent06_Savings!A71="","",Agent06_Savings!D71)</f>
        <v/>
      </c>
      <c r="F1066" s="39" t="str">
        <f>IF(Agent06_Savings!A71="","",Agent06_Savings!E71)</f>
        <v/>
      </c>
      <c r="G1066" s="39" t="str">
        <f>IF(Agent06_Savings!A71="","",Agent06_Savings!F71)</f>
        <v/>
      </c>
      <c r="H1066" s="37" t="str">
        <f>IF(Agent06_Savings!A71="","",Agent06_Savings!I71)</f>
        <v/>
      </c>
      <c r="I1066" s="37" t="str">
        <f>IF(Agent06_Savings!A71="","",Agent06_Savings!J71)</f>
        <v/>
      </c>
      <c r="J1066" s="37" t="str">
        <f>IF(Agent06_Savings!A71="","",Agent06_Savings!K71)</f>
        <v/>
      </c>
      <c r="K1066" s="37" t="str">
        <f>IFERROR(IF(Agent06_Savings!A71="","",YEAR(Agent06_Savings!D71)),"")</f>
        <v/>
      </c>
    </row>
    <row r="1067" spans="1:11" ht="18" customHeight="1" x14ac:dyDescent="0.25">
      <c r="A1067" s="37" t="str">
        <f>IF(Agent06_Savings!A72="","",Agent06_Savings!A72)</f>
        <v/>
      </c>
      <c r="B1067" s="37" t="str">
        <f ca="1">IF(Agent06_Savings!A72="","","SV"&amp;TEXT(1067-3,"0000")&amp;"-"&amp;TEXT(TODAY(),"YYYYMMDD"))</f>
        <v/>
      </c>
      <c r="C1067" s="37" t="str">
        <f>IF(Agent06_Savings!A72="","",Agent06_Savings!B72)</f>
        <v/>
      </c>
      <c r="D1067" s="37" t="str">
        <f>IF(Agent06_Savings!A72="","",Agent06_Savings!G72)</f>
        <v/>
      </c>
      <c r="E1067" s="38" t="str">
        <f>IF(Agent06_Savings!A72="","",Agent06_Savings!D72)</f>
        <v/>
      </c>
      <c r="F1067" s="39" t="str">
        <f>IF(Agent06_Savings!A72="","",Agent06_Savings!E72)</f>
        <v/>
      </c>
      <c r="G1067" s="39" t="str">
        <f>IF(Agent06_Savings!A72="","",Agent06_Savings!F72)</f>
        <v/>
      </c>
      <c r="H1067" s="37" t="str">
        <f>IF(Agent06_Savings!A72="","",Agent06_Savings!I72)</f>
        <v/>
      </c>
      <c r="I1067" s="37" t="str">
        <f>IF(Agent06_Savings!A72="","",Agent06_Savings!J72)</f>
        <v/>
      </c>
      <c r="J1067" s="37" t="str">
        <f>IF(Agent06_Savings!A72="","",Agent06_Savings!K72)</f>
        <v/>
      </c>
      <c r="K1067" s="37" t="str">
        <f>IFERROR(IF(Agent06_Savings!A72="","",YEAR(Agent06_Savings!D72)),"")</f>
        <v/>
      </c>
    </row>
    <row r="1068" spans="1:11" ht="18" customHeight="1" x14ac:dyDescent="0.25">
      <c r="A1068" s="37" t="str">
        <f>IF(Agent06_Savings!A73="","",Agent06_Savings!A73)</f>
        <v/>
      </c>
      <c r="B1068" s="37" t="str">
        <f ca="1">IF(Agent06_Savings!A73="","","SV"&amp;TEXT(1068-3,"0000")&amp;"-"&amp;TEXT(TODAY(),"YYYYMMDD"))</f>
        <v/>
      </c>
      <c r="C1068" s="37" t="str">
        <f>IF(Agent06_Savings!A73="","",Agent06_Savings!B73)</f>
        <v/>
      </c>
      <c r="D1068" s="37" t="str">
        <f>IF(Agent06_Savings!A73="","",Agent06_Savings!G73)</f>
        <v/>
      </c>
      <c r="E1068" s="38" t="str">
        <f>IF(Agent06_Savings!A73="","",Agent06_Savings!D73)</f>
        <v/>
      </c>
      <c r="F1068" s="39" t="str">
        <f>IF(Agent06_Savings!A73="","",Agent06_Savings!E73)</f>
        <v/>
      </c>
      <c r="G1068" s="39" t="str">
        <f>IF(Agent06_Savings!A73="","",Agent06_Savings!F73)</f>
        <v/>
      </c>
      <c r="H1068" s="37" t="str">
        <f>IF(Agent06_Savings!A73="","",Agent06_Savings!I73)</f>
        <v/>
      </c>
      <c r="I1068" s="37" t="str">
        <f>IF(Agent06_Savings!A73="","",Agent06_Savings!J73)</f>
        <v/>
      </c>
      <c r="J1068" s="37" t="str">
        <f>IF(Agent06_Savings!A73="","",Agent06_Savings!K73)</f>
        <v/>
      </c>
      <c r="K1068" s="37" t="str">
        <f>IFERROR(IF(Agent06_Savings!A73="","",YEAR(Agent06_Savings!D73)),"")</f>
        <v/>
      </c>
    </row>
    <row r="1069" spans="1:11" ht="18" customHeight="1" x14ac:dyDescent="0.25">
      <c r="A1069" s="37" t="str">
        <f>IF(Agent06_Savings!A74="","",Agent06_Savings!A74)</f>
        <v/>
      </c>
      <c r="B1069" s="37" t="str">
        <f ca="1">IF(Agent06_Savings!A74="","","SV"&amp;TEXT(1069-3,"0000")&amp;"-"&amp;TEXT(TODAY(),"YYYYMMDD"))</f>
        <v/>
      </c>
      <c r="C1069" s="37" t="str">
        <f>IF(Agent06_Savings!A74="","",Agent06_Savings!B74)</f>
        <v/>
      </c>
      <c r="D1069" s="37" t="str">
        <f>IF(Agent06_Savings!A74="","",Agent06_Savings!G74)</f>
        <v/>
      </c>
      <c r="E1069" s="38" t="str">
        <f>IF(Agent06_Savings!A74="","",Agent06_Savings!D74)</f>
        <v/>
      </c>
      <c r="F1069" s="39" t="str">
        <f>IF(Agent06_Savings!A74="","",Agent06_Savings!E74)</f>
        <v/>
      </c>
      <c r="G1069" s="39" t="str">
        <f>IF(Agent06_Savings!A74="","",Agent06_Savings!F74)</f>
        <v/>
      </c>
      <c r="H1069" s="37" t="str">
        <f>IF(Agent06_Savings!A74="","",Agent06_Savings!I74)</f>
        <v/>
      </c>
      <c r="I1069" s="37" t="str">
        <f>IF(Agent06_Savings!A74="","",Agent06_Savings!J74)</f>
        <v/>
      </c>
      <c r="J1069" s="37" t="str">
        <f>IF(Agent06_Savings!A74="","",Agent06_Savings!K74)</f>
        <v/>
      </c>
      <c r="K1069" s="37" t="str">
        <f>IFERROR(IF(Agent06_Savings!A74="","",YEAR(Agent06_Savings!D74)),"")</f>
        <v/>
      </c>
    </row>
    <row r="1070" spans="1:11" ht="18" customHeight="1" x14ac:dyDescent="0.25">
      <c r="A1070" s="37" t="str">
        <f>IF(Agent06_Savings!A75="","",Agent06_Savings!A75)</f>
        <v/>
      </c>
      <c r="B1070" s="37" t="str">
        <f ca="1">IF(Agent06_Savings!A75="","","SV"&amp;TEXT(1070-3,"0000")&amp;"-"&amp;TEXT(TODAY(),"YYYYMMDD"))</f>
        <v/>
      </c>
      <c r="C1070" s="37" t="str">
        <f>IF(Agent06_Savings!A75="","",Agent06_Savings!B75)</f>
        <v/>
      </c>
      <c r="D1070" s="37" t="str">
        <f>IF(Agent06_Savings!A75="","",Agent06_Savings!G75)</f>
        <v/>
      </c>
      <c r="E1070" s="38" t="str">
        <f>IF(Agent06_Savings!A75="","",Agent06_Savings!D75)</f>
        <v/>
      </c>
      <c r="F1070" s="39" t="str">
        <f>IF(Agent06_Savings!A75="","",Agent06_Savings!E75)</f>
        <v/>
      </c>
      <c r="G1070" s="39" t="str">
        <f>IF(Agent06_Savings!A75="","",Agent06_Savings!F75)</f>
        <v/>
      </c>
      <c r="H1070" s="37" t="str">
        <f>IF(Agent06_Savings!A75="","",Agent06_Savings!I75)</f>
        <v/>
      </c>
      <c r="I1070" s="37" t="str">
        <f>IF(Agent06_Savings!A75="","",Agent06_Savings!J75)</f>
        <v/>
      </c>
      <c r="J1070" s="37" t="str">
        <f>IF(Agent06_Savings!A75="","",Agent06_Savings!K75)</f>
        <v/>
      </c>
      <c r="K1070" s="37" t="str">
        <f>IFERROR(IF(Agent06_Savings!A75="","",YEAR(Agent06_Savings!D75)),"")</f>
        <v/>
      </c>
    </row>
    <row r="1071" spans="1:11" ht="18" customHeight="1" x14ac:dyDescent="0.25">
      <c r="A1071" s="37" t="str">
        <f>IF(Agent06_Savings!A76="","",Agent06_Savings!A76)</f>
        <v/>
      </c>
      <c r="B1071" s="37" t="str">
        <f ca="1">IF(Agent06_Savings!A76="","","SV"&amp;TEXT(1071-3,"0000")&amp;"-"&amp;TEXT(TODAY(),"YYYYMMDD"))</f>
        <v/>
      </c>
      <c r="C1071" s="37" t="str">
        <f>IF(Agent06_Savings!A76="","",Agent06_Savings!B76)</f>
        <v/>
      </c>
      <c r="D1071" s="37" t="str">
        <f>IF(Agent06_Savings!A76="","",Agent06_Savings!G76)</f>
        <v/>
      </c>
      <c r="E1071" s="38" t="str">
        <f>IF(Agent06_Savings!A76="","",Agent06_Savings!D76)</f>
        <v/>
      </c>
      <c r="F1071" s="39" t="str">
        <f>IF(Agent06_Savings!A76="","",Agent06_Savings!E76)</f>
        <v/>
      </c>
      <c r="G1071" s="39" t="str">
        <f>IF(Agent06_Savings!A76="","",Agent06_Savings!F76)</f>
        <v/>
      </c>
      <c r="H1071" s="37" t="str">
        <f>IF(Agent06_Savings!A76="","",Agent06_Savings!I76)</f>
        <v/>
      </c>
      <c r="I1071" s="37" t="str">
        <f>IF(Agent06_Savings!A76="","",Agent06_Savings!J76)</f>
        <v/>
      </c>
      <c r="J1071" s="37" t="str">
        <f>IF(Agent06_Savings!A76="","",Agent06_Savings!K76)</f>
        <v/>
      </c>
      <c r="K1071" s="37" t="str">
        <f>IFERROR(IF(Agent06_Savings!A76="","",YEAR(Agent06_Savings!D76)),"")</f>
        <v/>
      </c>
    </row>
    <row r="1072" spans="1:11" ht="18" customHeight="1" x14ac:dyDescent="0.25">
      <c r="A1072" s="37" t="str">
        <f>IF(Agent06_Savings!A77="","",Agent06_Savings!A77)</f>
        <v/>
      </c>
      <c r="B1072" s="37" t="str">
        <f ca="1">IF(Agent06_Savings!A77="","","SV"&amp;TEXT(1072-3,"0000")&amp;"-"&amp;TEXT(TODAY(),"YYYYMMDD"))</f>
        <v/>
      </c>
      <c r="C1072" s="37" t="str">
        <f>IF(Agent06_Savings!A77="","",Agent06_Savings!B77)</f>
        <v/>
      </c>
      <c r="D1072" s="37" t="str">
        <f>IF(Agent06_Savings!A77="","",Agent06_Savings!G77)</f>
        <v/>
      </c>
      <c r="E1072" s="38" t="str">
        <f>IF(Agent06_Savings!A77="","",Agent06_Savings!D77)</f>
        <v/>
      </c>
      <c r="F1072" s="39" t="str">
        <f>IF(Agent06_Savings!A77="","",Agent06_Savings!E77)</f>
        <v/>
      </c>
      <c r="G1072" s="39" t="str">
        <f>IF(Agent06_Savings!A77="","",Agent06_Savings!F77)</f>
        <v/>
      </c>
      <c r="H1072" s="37" t="str">
        <f>IF(Agent06_Savings!A77="","",Agent06_Savings!I77)</f>
        <v/>
      </c>
      <c r="I1072" s="37" t="str">
        <f>IF(Agent06_Savings!A77="","",Agent06_Savings!J77)</f>
        <v/>
      </c>
      <c r="J1072" s="37" t="str">
        <f>IF(Agent06_Savings!A77="","",Agent06_Savings!K77)</f>
        <v/>
      </c>
      <c r="K1072" s="37" t="str">
        <f>IFERROR(IF(Agent06_Savings!A77="","",YEAR(Agent06_Savings!D77)),"")</f>
        <v/>
      </c>
    </row>
    <row r="1073" spans="1:11" ht="18" customHeight="1" x14ac:dyDescent="0.25">
      <c r="A1073" s="37" t="str">
        <f>IF(Agent06_Savings!A78="","",Agent06_Savings!A78)</f>
        <v/>
      </c>
      <c r="B1073" s="37" t="str">
        <f ca="1">IF(Agent06_Savings!A78="","","SV"&amp;TEXT(1073-3,"0000")&amp;"-"&amp;TEXT(TODAY(),"YYYYMMDD"))</f>
        <v/>
      </c>
      <c r="C1073" s="37" t="str">
        <f>IF(Agent06_Savings!A78="","",Agent06_Savings!B78)</f>
        <v/>
      </c>
      <c r="D1073" s="37" t="str">
        <f>IF(Agent06_Savings!A78="","",Agent06_Savings!G78)</f>
        <v/>
      </c>
      <c r="E1073" s="38" t="str">
        <f>IF(Agent06_Savings!A78="","",Agent06_Savings!D78)</f>
        <v/>
      </c>
      <c r="F1073" s="39" t="str">
        <f>IF(Agent06_Savings!A78="","",Agent06_Savings!E78)</f>
        <v/>
      </c>
      <c r="G1073" s="39" t="str">
        <f>IF(Agent06_Savings!A78="","",Agent06_Savings!F78)</f>
        <v/>
      </c>
      <c r="H1073" s="37" t="str">
        <f>IF(Agent06_Savings!A78="","",Agent06_Savings!I78)</f>
        <v/>
      </c>
      <c r="I1073" s="37" t="str">
        <f>IF(Agent06_Savings!A78="","",Agent06_Savings!J78)</f>
        <v/>
      </c>
      <c r="J1073" s="37" t="str">
        <f>IF(Agent06_Savings!A78="","",Agent06_Savings!K78)</f>
        <v/>
      </c>
      <c r="K1073" s="37" t="str">
        <f>IFERROR(IF(Agent06_Savings!A78="","",YEAR(Agent06_Savings!D78)),"")</f>
        <v/>
      </c>
    </row>
    <row r="1074" spans="1:11" ht="18" customHeight="1" x14ac:dyDescent="0.25">
      <c r="A1074" s="37" t="str">
        <f>IF(Agent06_Savings!A79="","",Agent06_Savings!A79)</f>
        <v/>
      </c>
      <c r="B1074" s="37" t="str">
        <f ca="1">IF(Agent06_Savings!A79="","","SV"&amp;TEXT(1074-3,"0000")&amp;"-"&amp;TEXT(TODAY(),"YYYYMMDD"))</f>
        <v/>
      </c>
      <c r="C1074" s="37" t="str">
        <f>IF(Agent06_Savings!A79="","",Agent06_Savings!B79)</f>
        <v/>
      </c>
      <c r="D1074" s="37" t="str">
        <f>IF(Agent06_Savings!A79="","",Agent06_Savings!G79)</f>
        <v/>
      </c>
      <c r="E1074" s="38" t="str">
        <f>IF(Agent06_Savings!A79="","",Agent06_Savings!D79)</f>
        <v/>
      </c>
      <c r="F1074" s="39" t="str">
        <f>IF(Agent06_Savings!A79="","",Agent06_Savings!E79)</f>
        <v/>
      </c>
      <c r="G1074" s="39" t="str">
        <f>IF(Agent06_Savings!A79="","",Agent06_Savings!F79)</f>
        <v/>
      </c>
      <c r="H1074" s="37" t="str">
        <f>IF(Agent06_Savings!A79="","",Agent06_Savings!I79)</f>
        <v/>
      </c>
      <c r="I1074" s="37" t="str">
        <f>IF(Agent06_Savings!A79="","",Agent06_Savings!J79)</f>
        <v/>
      </c>
      <c r="J1074" s="37" t="str">
        <f>IF(Agent06_Savings!A79="","",Agent06_Savings!K79)</f>
        <v/>
      </c>
      <c r="K1074" s="37" t="str">
        <f>IFERROR(IF(Agent06_Savings!A79="","",YEAR(Agent06_Savings!D79)),"")</f>
        <v/>
      </c>
    </row>
    <row r="1075" spans="1:11" ht="18" customHeight="1" x14ac:dyDescent="0.25">
      <c r="A1075" s="37" t="str">
        <f>IF(Agent06_Savings!A80="","",Agent06_Savings!A80)</f>
        <v/>
      </c>
      <c r="B1075" s="37" t="str">
        <f ca="1">IF(Agent06_Savings!A80="","","SV"&amp;TEXT(1075-3,"0000")&amp;"-"&amp;TEXT(TODAY(),"YYYYMMDD"))</f>
        <v/>
      </c>
      <c r="C1075" s="37" t="str">
        <f>IF(Agent06_Savings!A80="","",Agent06_Savings!B80)</f>
        <v/>
      </c>
      <c r="D1075" s="37" t="str">
        <f>IF(Agent06_Savings!A80="","",Agent06_Savings!G80)</f>
        <v/>
      </c>
      <c r="E1075" s="38" t="str">
        <f>IF(Agent06_Savings!A80="","",Agent06_Savings!D80)</f>
        <v/>
      </c>
      <c r="F1075" s="39" t="str">
        <f>IF(Agent06_Savings!A80="","",Agent06_Savings!E80)</f>
        <v/>
      </c>
      <c r="G1075" s="39" t="str">
        <f>IF(Agent06_Savings!A80="","",Agent06_Savings!F80)</f>
        <v/>
      </c>
      <c r="H1075" s="37" t="str">
        <f>IF(Agent06_Savings!A80="","",Agent06_Savings!I80)</f>
        <v/>
      </c>
      <c r="I1075" s="37" t="str">
        <f>IF(Agent06_Savings!A80="","",Agent06_Savings!J80)</f>
        <v/>
      </c>
      <c r="J1075" s="37" t="str">
        <f>IF(Agent06_Savings!A80="","",Agent06_Savings!K80)</f>
        <v/>
      </c>
      <c r="K1075" s="37" t="str">
        <f>IFERROR(IF(Agent06_Savings!A80="","",YEAR(Agent06_Savings!D80)),"")</f>
        <v/>
      </c>
    </row>
    <row r="1076" spans="1:11" ht="18" customHeight="1" x14ac:dyDescent="0.25">
      <c r="A1076" s="37" t="str">
        <f>IF(Agent06_Savings!A81="","",Agent06_Savings!A81)</f>
        <v/>
      </c>
      <c r="B1076" s="37" t="str">
        <f ca="1">IF(Agent06_Savings!A81="","","SV"&amp;TEXT(1076-3,"0000")&amp;"-"&amp;TEXT(TODAY(),"YYYYMMDD"))</f>
        <v/>
      </c>
      <c r="C1076" s="37" t="str">
        <f>IF(Agent06_Savings!A81="","",Agent06_Savings!B81)</f>
        <v/>
      </c>
      <c r="D1076" s="37" t="str">
        <f>IF(Agent06_Savings!A81="","",Agent06_Savings!G81)</f>
        <v/>
      </c>
      <c r="E1076" s="38" t="str">
        <f>IF(Agent06_Savings!A81="","",Agent06_Savings!D81)</f>
        <v/>
      </c>
      <c r="F1076" s="39" t="str">
        <f>IF(Agent06_Savings!A81="","",Agent06_Savings!E81)</f>
        <v/>
      </c>
      <c r="G1076" s="39" t="str">
        <f>IF(Agent06_Savings!A81="","",Agent06_Savings!F81)</f>
        <v/>
      </c>
      <c r="H1076" s="37" t="str">
        <f>IF(Agent06_Savings!A81="","",Agent06_Savings!I81)</f>
        <v/>
      </c>
      <c r="I1076" s="37" t="str">
        <f>IF(Agent06_Savings!A81="","",Agent06_Savings!J81)</f>
        <v/>
      </c>
      <c r="J1076" s="37" t="str">
        <f>IF(Agent06_Savings!A81="","",Agent06_Savings!K81)</f>
        <v/>
      </c>
      <c r="K1076" s="37" t="str">
        <f>IFERROR(IF(Agent06_Savings!A81="","",YEAR(Agent06_Savings!D81)),"")</f>
        <v/>
      </c>
    </row>
    <row r="1077" spans="1:11" ht="18" customHeight="1" x14ac:dyDescent="0.25">
      <c r="A1077" s="37" t="str">
        <f>IF(Agent06_Savings!A82="","",Agent06_Savings!A82)</f>
        <v/>
      </c>
      <c r="B1077" s="37" t="str">
        <f ca="1">IF(Agent06_Savings!A82="","","SV"&amp;TEXT(1077-3,"0000")&amp;"-"&amp;TEXT(TODAY(),"YYYYMMDD"))</f>
        <v/>
      </c>
      <c r="C1077" s="37" t="str">
        <f>IF(Agent06_Savings!A82="","",Agent06_Savings!B82)</f>
        <v/>
      </c>
      <c r="D1077" s="37" t="str">
        <f>IF(Agent06_Savings!A82="","",Agent06_Savings!G82)</f>
        <v/>
      </c>
      <c r="E1077" s="38" t="str">
        <f>IF(Agent06_Savings!A82="","",Agent06_Savings!D82)</f>
        <v/>
      </c>
      <c r="F1077" s="39" t="str">
        <f>IF(Agent06_Savings!A82="","",Agent06_Savings!E82)</f>
        <v/>
      </c>
      <c r="G1077" s="39" t="str">
        <f>IF(Agent06_Savings!A82="","",Agent06_Savings!F82)</f>
        <v/>
      </c>
      <c r="H1077" s="37" t="str">
        <f>IF(Agent06_Savings!A82="","",Agent06_Savings!I82)</f>
        <v/>
      </c>
      <c r="I1077" s="37" t="str">
        <f>IF(Agent06_Savings!A82="","",Agent06_Savings!J82)</f>
        <v/>
      </c>
      <c r="J1077" s="37" t="str">
        <f>IF(Agent06_Savings!A82="","",Agent06_Savings!K82)</f>
        <v/>
      </c>
      <c r="K1077" s="37" t="str">
        <f>IFERROR(IF(Agent06_Savings!A82="","",YEAR(Agent06_Savings!D82)),"")</f>
        <v/>
      </c>
    </row>
    <row r="1078" spans="1:11" ht="18" customHeight="1" x14ac:dyDescent="0.25">
      <c r="A1078" s="37" t="str">
        <f>IF(Agent06_Savings!A83="","",Agent06_Savings!A83)</f>
        <v/>
      </c>
      <c r="B1078" s="37" t="str">
        <f ca="1">IF(Agent06_Savings!A83="","","SV"&amp;TEXT(1078-3,"0000")&amp;"-"&amp;TEXT(TODAY(),"YYYYMMDD"))</f>
        <v/>
      </c>
      <c r="C1078" s="37" t="str">
        <f>IF(Agent06_Savings!A83="","",Agent06_Savings!B83)</f>
        <v/>
      </c>
      <c r="D1078" s="37" t="str">
        <f>IF(Agent06_Savings!A83="","",Agent06_Savings!G83)</f>
        <v/>
      </c>
      <c r="E1078" s="38" t="str">
        <f>IF(Agent06_Savings!A83="","",Agent06_Savings!D83)</f>
        <v/>
      </c>
      <c r="F1078" s="39" t="str">
        <f>IF(Agent06_Savings!A83="","",Agent06_Savings!E83)</f>
        <v/>
      </c>
      <c r="G1078" s="39" t="str">
        <f>IF(Agent06_Savings!A83="","",Agent06_Savings!F83)</f>
        <v/>
      </c>
      <c r="H1078" s="37" t="str">
        <f>IF(Agent06_Savings!A83="","",Agent06_Savings!I83)</f>
        <v/>
      </c>
      <c r="I1078" s="37" t="str">
        <f>IF(Agent06_Savings!A83="","",Agent06_Savings!J83)</f>
        <v/>
      </c>
      <c r="J1078" s="37" t="str">
        <f>IF(Agent06_Savings!A83="","",Agent06_Savings!K83)</f>
        <v/>
      </c>
      <c r="K1078" s="37" t="str">
        <f>IFERROR(IF(Agent06_Savings!A83="","",YEAR(Agent06_Savings!D83)),"")</f>
        <v/>
      </c>
    </row>
    <row r="1079" spans="1:11" ht="18" customHeight="1" x14ac:dyDescent="0.25">
      <c r="A1079" s="37" t="str">
        <f>IF(Agent06_Savings!A84="","",Agent06_Savings!A84)</f>
        <v/>
      </c>
      <c r="B1079" s="37" t="str">
        <f ca="1">IF(Agent06_Savings!A84="","","SV"&amp;TEXT(1079-3,"0000")&amp;"-"&amp;TEXT(TODAY(),"YYYYMMDD"))</f>
        <v/>
      </c>
      <c r="C1079" s="37" t="str">
        <f>IF(Agent06_Savings!A84="","",Agent06_Savings!B84)</f>
        <v/>
      </c>
      <c r="D1079" s="37" t="str">
        <f>IF(Agent06_Savings!A84="","",Agent06_Savings!G84)</f>
        <v/>
      </c>
      <c r="E1079" s="38" t="str">
        <f>IF(Agent06_Savings!A84="","",Agent06_Savings!D84)</f>
        <v/>
      </c>
      <c r="F1079" s="39" t="str">
        <f>IF(Agent06_Savings!A84="","",Agent06_Savings!E84)</f>
        <v/>
      </c>
      <c r="G1079" s="39" t="str">
        <f>IF(Agent06_Savings!A84="","",Agent06_Savings!F84)</f>
        <v/>
      </c>
      <c r="H1079" s="37" t="str">
        <f>IF(Agent06_Savings!A84="","",Agent06_Savings!I84)</f>
        <v/>
      </c>
      <c r="I1079" s="37" t="str">
        <f>IF(Agent06_Savings!A84="","",Agent06_Savings!J84)</f>
        <v/>
      </c>
      <c r="J1079" s="37" t="str">
        <f>IF(Agent06_Savings!A84="","",Agent06_Savings!K84)</f>
        <v/>
      </c>
      <c r="K1079" s="37" t="str">
        <f>IFERROR(IF(Agent06_Savings!A84="","",YEAR(Agent06_Savings!D84)),"")</f>
        <v/>
      </c>
    </row>
    <row r="1080" spans="1:11" ht="18" customHeight="1" x14ac:dyDescent="0.25">
      <c r="A1080" s="37" t="str">
        <f>IF(Agent06_Savings!A85="","",Agent06_Savings!A85)</f>
        <v/>
      </c>
      <c r="B1080" s="37" t="str">
        <f ca="1">IF(Agent06_Savings!A85="","","SV"&amp;TEXT(1080-3,"0000")&amp;"-"&amp;TEXT(TODAY(),"YYYYMMDD"))</f>
        <v/>
      </c>
      <c r="C1080" s="37" t="str">
        <f>IF(Agent06_Savings!A85="","",Agent06_Savings!B85)</f>
        <v/>
      </c>
      <c r="D1080" s="37" t="str">
        <f>IF(Agent06_Savings!A85="","",Agent06_Savings!G85)</f>
        <v/>
      </c>
      <c r="E1080" s="38" t="str">
        <f>IF(Agent06_Savings!A85="","",Agent06_Savings!D85)</f>
        <v/>
      </c>
      <c r="F1080" s="39" t="str">
        <f>IF(Agent06_Savings!A85="","",Agent06_Savings!E85)</f>
        <v/>
      </c>
      <c r="G1080" s="39" t="str">
        <f>IF(Agent06_Savings!A85="","",Agent06_Savings!F85)</f>
        <v/>
      </c>
      <c r="H1080" s="37" t="str">
        <f>IF(Agent06_Savings!A85="","",Agent06_Savings!I85)</f>
        <v/>
      </c>
      <c r="I1080" s="37" t="str">
        <f>IF(Agent06_Savings!A85="","",Agent06_Savings!J85)</f>
        <v/>
      </c>
      <c r="J1080" s="37" t="str">
        <f>IF(Agent06_Savings!A85="","",Agent06_Savings!K85)</f>
        <v/>
      </c>
      <c r="K1080" s="37" t="str">
        <f>IFERROR(IF(Agent06_Savings!A85="","",YEAR(Agent06_Savings!D85)),"")</f>
        <v/>
      </c>
    </row>
    <row r="1081" spans="1:11" ht="18" customHeight="1" x14ac:dyDescent="0.25">
      <c r="A1081" s="37" t="str">
        <f>IF(Agent06_Savings!A86="","",Agent06_Savings!A86)</f>
        <v/>
      </c>
      <c r="B1081" s="37" t="str">
        <f ca="1">IF(Agent06_Savings!A86="","","SV"&amp;TEXT(1081-3,"0000")&amp;"-"&amp;TEXT(TODAY(),"YYYYMMDD"))</f>
        <v/>
      </c>
      <c r="C1081" s="37" t="str">
        <f>IF(Agent06_Savings!A86="","",Agent06_Savings!B86)</f>
        <v/>
      </c>
      <c r="D1081" s="37" t="str">
        <f>IF(Agent06_Savings!A86="","",Agent06_Savings!G86)</f>
        <v/>
      </c>
      <c r="E1081" s="38" t="str">
        <f>IF(Agent06_Savings!A86="","",Agent06_Savings!D86)</f>
        <v/>
      </c>
      <c r="F1081" s="39" t="str">
        <f>IF(Agent06_Savings!A86="","",Agent06_Savings!E86)</f>
        <v/>
      </c>
      <c r="G1081" s="39" t="str">
        <f>IF(Agent06_Savings!A86="","",Agent06_Savings!F86)</f>
        <v/>
      </c>
      <c r="H1081" s="37" t="str">
        <f>IF(Agent06_Savings!A86="","",Agent06_Savings!I86)</f>
        <v/>
      </c>
      <c r="I1081" s="37" t="str">
        <f>IF(Agent06_Savings!A86="","",Agent06_Savings!J86)</f>
        <v/>
      </c>
      <c r="J1081" s="37" t="str">
        <f>IF(Agent06_Savings!A86="","",Agent06_Savings!K86)</f>
        <v/>
      </c>
      <c r="K1081" s="37" t="str">
        <f>IFERROR(IF(Agent06_Savings!A86="","",YEAR(Agent06_Savings!D86)),"")</f>
        <v/>
      </c>
    </row>
    <row r="1082" spans="1:11" ht="18" customHeight="1" x14ac:dyDescent="0.25">
      <c r="A1082" s="37" t="str">
        <f>IF(Agent06_Savings!A87="","",Agent06_Savings!A87)</f>
        <v/>
      </c>
      <c r="B1082" s="37" t="str">
        <f ca="1">IF(Agent06_Savings!A87="","","SV"&amp;TEXT(1082-3,"0000")&amp;"-"&amp;TEXT(TODAY(),"YYYYMMDD"))</f>
        <v/>
      </c>
      <c r="C1082" s="37" t="str">
        <f>IF(Agent06_Savings!A87="","",Agent06_Savings!B87)</f>
        <v/>
      </c>
      <c r="D1082" s="37" t="str">
        <f>IF(Agent06_Savings!A87="","",Agent06_Savings!G87)</f>
        <v/>
      </c>
      <c r="E1082" s="38" t="str">
        <f>IF(Agent06_Savings!A87="","",Agent06_Savings!D87)</f>
        <v/>
      </c>
      <c r="F1082" s="39" t="str">
        <f>IF(Agent06_Savings!A87="","",Agent06_Savings!E87)</f>
        <v/>
      </c>
      <c r="G1082" s="39" t="str">
        <f>IF(Agent06_Savings!A87="","",Agent06_Savings!F87)</f>
        <v/>
      </c>
      <c r="H1082" s="37" t="str">
        <f>IF(Agent06_Savings!A87="","",Agent06_Savings!I87)</f>
        <v/>
      </c>
      <c r="I1082" s="37" t="str">
        <f>IF(Agent06_Savings!A87="","",Agent06_Savings!J87)</f>
        <v/>
      </c>
      <c r="J1082" s="37" t="str">
        <f>IF(Agent06_Savings!A87="","",Agent06_Savings!K87)</f>
        <v/>
      </c>
      <c r="K1082" s="37" t="str">
        <f>IFERROR(IF(Agent06_Savings!A87="","",YEAR(Agent06_Savings!D87)),"")</f>
        <v/>
      </c>
    </row>
    <row r="1083" spans="1:11" ht="18" customHeight="1" x14ac:dyDescent="0.25">
      <c r="A1083" s="37" t="str">
        <f>IF(Agent06_Savings!A88="","",Agent06_Savings!A88)</f>
        <v/>
      </c>
      <c r="B1083" s="37" t="str">
        <f ca="1">IF(Agent06_Savings!A88="","","SV"&amp;TEXT(1083-3,"0000")&amp;"-"&amp;TEXT(TODAY(),"YYYYMMDD"))</f>
        <v/>
      </c>
      <c r="C1083" s="37" t="str">
        <f>IF(Agent06_Savings!A88="","",Agent06_Savings!B88)</f>
        <v/>
      </c>
      <c r="D1083" s="37" t="str">
        <f>IF(Agent06_Savings!A88="","",Agent06_Savings!G88)</f>
        <v/>
      </c>
      <c r="E1083" s="38" t="str">
        <f>IF(Agent06_Savings!A88="","",Agent06_Savings!D88)</f>
        <v/>
      </c>
      <c r="F1083" s="39" t="str">
        <f>IF(Agent06_Savings!A88="","",Agent06_Savings!E88)</f>
        <v/>
      </c>
      <c r="G1083" s="39" t="str">
        <f>IF(Agent06_Savings!A88="","",Agent06_Savings!F88)</f>
        <v/>
      </c>
      <c r="H1083" s="37" t="str">
        <f>IF(Agent06_Savings!A88="","",Agent06_Savings!I88)</f>
        <v/>
      </c>
      <c r="I1083" s="37" t="str">
        <f>IF(Agent06_Savings!A88="","",Agent06_Savings!J88)</f>
        <v/>
      </c>
      <c r="J1083" s="37" t="str">
        <f>IF(Agent06_Savings!A88="","",Agent06_Savings!K88)</f>
        <v/>
      </c>
      <c r="K1083" s="37" t="str">
        <f>IFERROR(IF(Agent06_Savings!A88="","",YEAR(Agent06_Savings!D88)),"")</f>
        <v/>
      </c>
    </row>
    <row r="1084" spans="1:11" ht="18" customHeight="1" x14ac:dyDescent="0.25">
      <c r="A1084" s="37" t="str">
        <f>IF(Agent06_Savings!A89="","",Agent06_Savings!A89)</f>
        <v/>
      </c>
      <c r="B1084" s="37" t="str">
        <f ca="1">IF(Agent06_Savings!A89="","","SV"&amp;TEXT(1084-3,"0000")&amp;"-"&amp;TEXT(TODAY(),"YYYYMMDD"))</f>
        <v/>
      </c>
      <c r="C1084" s="37" t="str">
        <f>IF(Agent06_Savings!A89="","",Agent06_Savings!B89)</f>
        <v/>
      </c>
      <c r="D1084" s="37" t="str">
        <f>IF(Agent06_Savings!A89="","",Agent06_Savings!G89)</f>
        <v/>
      </c>
      <c r="E1084" s="38" t="str">
        <f>IF(Agent06_Savings!A89="","",Agent06_Savings!D89)</f>
        <v/>
      </c>
      <c r="F1084" s="39" t="str">
        <f>IF(Agent06_Savings!A89="","",Agent06_Savings!E89)</f>
        <v/>
      </c>
      <c r="G1084" s="39" t="str">
        <f>IF(Agent06_Savings!A89="","",Agent06_Savings!F89)</f>
        <v/>
      </c>
      <c r="H1084" s="37" t="str">
        <f>IF(Agent06_Savings!A89="","",Agent06_Savings!I89)</f>
        <v/>
      </c>
      <c r="I1084" s="37" t="str">
        <f>IF(Agent06_Savings!A89="","",Agent06_Savings!J89)</f>
        <v/>
      </c>
      <c r="J1084" s="37" t="str">
        <f>IF(Agent06_Savings!A89="","",Agent06_Savings!K89)</f>
        <v/>
      </c>
      <c r="K1084" s="37" t="str">
        <f>IFERROR(IF(Agent06_Savings!A89="","",YEAR(Agent06_Savings!D89)),"")</f>
        <v/>
      </c>
    </row>
    <row r="1085" spans="1:11" ht="18" customHeight="1" x14ac:dyDescent="0.25">
      <c r="A1085" s="37" t="str">
        <f>IF(Agent06_Savings!A90="","",Agent06_Savings!A90)</f>
        <v/>
      </c>
      <c r="B1085" s="37" t="str">
        <f ca="1">IF(Agent06_Savings!A90="","","SV"&amp;TEXT(1085-3,"0000")&amp;"-"&amp;TEXT(TODAY(),"YYYYMMDD"))</f>
        <v/>
      </c>
      <c r="C1085" s="37" t="str">
        <f>IF(Agent06_Savings!A90="","",Agent06_Savings!B90)</f>
        <v/>
      </c>
      <c r="D1085" s="37" t="str">
        <f>IF(Agent06_Savings!A90="","",Agent06_Savings!G90)</f>
        <v/>
      </c>
      <c r="E1085" s="38" t="str">
        <f>IF(Agent06_Savings!A90="","",Agent06_Savings!D90)</f>
        <v/>
      </c>
      <c r="F1085" s="39" t="str">
        <f>IF(Agent06_Savings!A90="","",Agent06_Savings!E90)</f>
        <v/>
      </c>
      <c r="G1085" s="39" t="str">
        <f>IF(Agent06_Savings!A90="","",Agent06_Savings!F90)</f>
        <v/>
      </c>
      <c r="H1085" s="37" t="str">
        <f>IF(Agent06_Savings!A90="","",Agent06_Savings!I90)</f>
        <v/>
      </c>
      <c r="I1085" s="37" t="str">
        <f>IF(Agent06_Savings!A90="","",Agent06_Savings!J90)</f>
        <v/>
      </c>
      <c r="J1085" s="37" t="str">
        <f>IF(Agent06_Savings!A90="","",Agent06_Savings!K90)</f>
        <v/>
      </c>
      <c r="K1085" s="37" t="str">
        <f>IFERROR(IF(Agent06_Savings!A90="","",YEAR(Agent06_Savings!D90)),"")</f>
        <v/>
      </c>
    </row>
    <row r="1086" spans="1:11" ht="18" customHeight="1" x14ac:dyDescent="0.25">
      <c r="A1086" s="37" t="str">
        <f>IF(Agent06_Savings!A91="","",Agent06_Savings!A91)</f>
        <v/>
      </c>
      <c r="B1086" s="37" t="str">
        <f ca="1">IF(Agent06_Savings!A91="","","SV"&amp;TEXT(1086-3,"0000")&amp;"-"&amp;TEXT(TODAY(),"YYYYMMDD"))</f>
        <v/>
      </c>
      <c r="C1086" s="37" t="str">
        <f>IF(Agent06_Savings!A91="","",Agent06_Savings!B91)</f>
        <v/>
      </c>
      <c r="D1086" s="37" t="str">
        <f>IF(Agent06_Savings!A91="","",Agent06_Savings!G91)</f>
        <v/>
      </c>
      <c r="E1086" s="38" t="str">
        <f>IF(Agent06_Savings!A91="","",Agent06_Savings!D91)</f>
        <v/>
      </c>
      <c r="F1086" s="39" t="str">
        <f>IF(Agent06_Savings!A91="","",Agent06_Savings!E91)</f>
        <v/>
      </c>
      <c r="G1086" s="39" t="str">
        <f>IF(Agent06_Savings!A91="","",Agent06_Savings!F91)</f>
        <v/>
      </c>
      <c r="H1086" s="37" t="str">
        <f>IF(Agent06_Savings!A91="","",Agent06_Savings!I91)</f>
        <v/>
      </c>
      <c r="I1086" s="37" t="str">
        <f>IF(Agent06_Savings!A91="","",Agent06_Savings!J91)</f>
        <v/>
      </c>
      <c r="J1086" s="37" t="str">
        <f>IF(Agent06_Savings!A91="","",Agent06_Savings!K91)</f>
        <v/>
      </c>
      <c r="K1086" s="37" t="str">
        <f>IFERROR(IF(Agent06_Savings!A91="","",YEAR(Agent06_Savings!D91)),"")</f>
        <v/>
      </c>
    </row>
    <row r="1087" spans="1:11" ht="18" customHeight="1" x14ac:dyDescent="0.25">
      <c r="A1087" s="37" t="str">
        <f>IF(Agent06_Savings!A92="","",Agent06_Savings!A92)</f>
        <v/>
      </c>
      <c r="B1087" s="37" t="str">
        <f ca="1">IF(Agent06_Savings!A92="","","SV"&amp;TEXT(1087-3,"0000")&amp;"-"&amp;TEXT(TODAY(),"YYYYMMDD"))</f>
        <v/>
      </c>
      <c r="C1087" s="37" t="str">
        <f>IF(Agent06_Savings!A92="","",Agent06_Savings!B92)</f>
        <v/>
      </c>
      <c r="D1087" s="37" t="str">
        <f>IF(Agent06_Savings!A92="","",Agent06_Savings!G92)</f>
        <v/>
      </c>
      <c r="E1087" s="38" t="str">
        <f>IF(Agent06_Savings!A92="","",Agent06_Savings!D92)</f>
        <v/>
      </c>
      <c r="F1087" s="39" t="str">
        <f>IF(Agent06_Savings!A92="","",Agent06_Savings!E92)</f>
        <v/>
      </c>
      <c r="G1087" s="39" t="str">
        <f>IF(Agent06_Savings!A92="","",Agent06_Savings!F92)</f>
        <v/>
      </c>
      <c r="H1087" s="37" t="str">
        <f>IF(Agent06_Savings!A92="","",Agent06_Savings!I92)</f>
        <v/>
      </c>
      <c r="I1087" s="37" t="str">
        <f>IF(Agent06_Savings!A92="","",Agent06_Savings!J92)</f>
        <v/>
      </c>
      <c r="J1087" s="37" t="str">
        <f>IF(Agent06_Savings!A92="","",Agent06_Savings!K92)</f>
        <v/>
      </c>
      <c r="K1087" s="37" t="str">
        <f>IFERROR(IF(Agent06_Savings!A92="","",YEAR(Agent06_Savings!D92)),"")</f>
        <v/>
      </c>
    </row>
    <row r="1088" spans="1:11" ht="18" customHeight="1" x14ac:dyDescent="0.25">
      <c r="A1088" s="37" t="str">
        <f>IF(Agent06_Savings!A93="","",Agent06_Savings!A93)</f>
        <v/>
      </c>
      <c r="B1088" s="37" t="str">
        <f ca="1">IF(Agent06_Savings!A93="","","SV"&amp;TEXT(1088-3,"0000")&amp;"-"&amp;TEXT(TODAY(),"YYYYMMDD"))</f>
        <v/>
      </c>
      <c r="C1088" s="37" t="str">
        <f>IF(Agent06_Savings!A93="","",Agent06_Savings!B93)</f>
        <v/>
      </c>
      <c r="D1088" s="37" t="str">
        <f>IF(Agent06_Savings!A93="","",Agent06_Savings!G93)</f>
        <v/>
      </c>
      <c r="E1088" s="38" t="str">
        <f>IF(Agent06_Savings!A93="","",Agent06_Savings!D93)</f>
        <v/>
      </c>
      <c r="F1088" s="39" t="str">
        <f>IF(Agent06_Savings!A93="","",Agent06_Savings!E93)</f>
        <v/>
      </c>
      <c r="G1088" s="39" t="str">
        <f>IF(Agent06_Savings!A93="","",Agent06_Savings!F93)</f>
        <v/>
      </c>
      <c r="H1088" s="37" t="str">
        <f>IF(Agent06_Savings!A93="","",Agent06_Savings!I93)</f>
        <v/>
      </c>
      <c r="I1088" s="37" t="str">
        <f>IF(Agent06_Savings!A93="","",Agent06_Savings!J93)</f>
        <v/>
      </c>
      <c r="J1088" s="37" t="str">
        <f>IF(Agent06_Savings!A93="","",Agent06_Savings!K93)</f>
        <v/>
      </c>
      <c r="K1088" s="37" t="str">
        <f>IFERROR(IF(Agent06_Savings!A93="","",YEAR(Agent06_Savings!D93)),"")</f>
        <v/>
      </c>
    </row>
    <row r="1089" spans="1:11" ht="18" customHeight="1" x14ac:dyDescent="0.25">
      <c r="A1089" s="37" t="str">
        <f>IF(Agent06_Savings!A94="","",Agent06_Savings!A94)</f>
        <v/>
      </c>
      <c r="B1089" s="37" t="str">
        <f ca="1">IF(Agent06_Savings!A94="","","SV"&amp;TEXT(1089-3,"0000")&amp;"-"&amp;TEXT(TODAY(),"YYYYMMDD"))</f>
        <v/>
      </c>
      <c r="C1089" s="37" t="str">
        <f>IF(Agent06_Savings!A94="","",Agent06_Savings!B94)</f>
        <v/>
      </c>
      <c r="D1089" s="37" t="str">
        <f>IF(Agent06_Savings!A94="","",Agent06_Savings!G94)</f>
        <v/>
      </c>
      <c r="E1089" s="38" t="str">
        <f>IF(Agent06_Savings!A94="","",Agent06_Savings!D94)</f>
        <v/>
      </c>
      <c r="F1089" s="39" t="str">
        <f>IF(Agent06_Savings!A94="","",Agent06_Savings!E94)</f>
        <v/>
      </c>
      <c r="G1089" s="39" t="str">
        <f>IF(Agent06_Savings!A94="","",Agent06_Savings!F94)</f>
        <v/>
      </c>
      <c r="H1089" s="37" t="str">
        <f>IF(Agent06_Savings!A94="","",Agent06_Savings!I94)</f>
        <v/>
      </c>
      <c r="I1089" s="37" t="str">
        <f>IF(Agent06_Savings!A94="","",Agent06_Savings!J94)</f>
        <v/>
      </c>
      <c r="J1089" s="37" t="str">
        <f>IF(Agent06_Savings!A94="","",Agent06_Savings!K94)</f>
        <v/>
      </c>
      <c r="K1089" s="37" t="str">
        <f>IFERROR(IF(Agent06_Savings!A94="","",YEAR(Agent06_Savings!D94)),"")</f>
        <v/>
      </c>
    </row>
    <row r="1090" spans="1:11" ht="18" customHeight="1" x14ac:dyDescent="0.25">
      <c r="A1090" s="37" t="str">
        <f>IF(Agent06_Savings!A95="","",Agent06_Savings!A95)</f>
        <v/>
      </c>
      <c r="B1090" s="37" t="str">
        <f ca="1">IF(Agent06_Savings!A95="","","SV"&amp;TEXT(1090-3,"0000")&amp;"-"&amp;TEXT(TODAY(),"YYYYMMDD"))</f>
        <v/>
      </c>
      <c r="C1090" s="37" t="str">
        <f>IF(Agent06_Savings!A95="","",Agent06_Savings!B95)</f>
        <v/>
      </c>
      <c r="D1090" s="37" t="str">
        <f>IF(Agent06_Savings!A95="","",Agent06_Savings!G95)</f>
        <v/>
      </c>
      <c r="E1090" s="38" t="str">
        <f>IF(Agent06_Savings!A95="","",Agent06_Savings!D95)</f>
        <v/>
      </c>
      <c r="F1090" s="39" t="str">
        <f>IF(Agent06_Savings!A95="","",Agent06_Savings!E95)</f>
        <v/>
      </c>
      <c r="G1090" s="39" t="str">
        <f>IF(Agent06_Savings!A95="","",Agent06_Savings!F95)</f>
        <v/>
      </c>
      <c r="H1090" s="37" t="str">
        <f>IF(Agent06_Savings!A95="","",Agent06_Savings!I95)</f>
        <v/>
      </c>
      <c r="I1090" s="37" t="str">
        <f>IF(Agent06_Savings!A95="","",Agent06_Savings!J95)</f>
        <v/>
      </c>
      <c r="J1090" s="37" t="str">
        <f>IF(Agent06_Savings!A95="","",Agent06_Savings!K95)</f>
        <v/>
      </c>
      <c r="K1090" s="37" t="str">
        <f>IFERROR(IF(Agent06_Savings!A95="","",YEAR(Agent06_Savings!D95)),"")</f>
        <v/>
      </c>
    </row>
    <row r="1091" spans="1:11" ht="18" customHeight="1" x14ac:dyDescent="0.25">
      <c r="A1091" s="37" t="str">
        <f>IF(Agent06_Savings!A96="","",Agent06_Savings!A96)</f>
        <v/>
      </c>
      <c r="B1091" s="37" t="str">
        <f ca="1">IF(Agent06_Savings!A96="","","SV"&amp;TEXT(1091-3,"0000")&amp;"-"&amp;TEXT(TODAY(),"YYYYMMDD"))</f>
        <v/>
      </c>
      <c r="C1091" s="37" t="str">
        <f>IF(Agent06_Savings!A96="","",Agent06_Savings!B96)</f>
        <v/>
      </c>
      <c r="D1091" s="37" t="str">
        <f>IF(Agent06_Savings!A96="","",Agent06_Savings!G96)</f>
        <v/>
      </c>
      <c r="E1091" s="38" t="str">
        <f>IF(Agent06_Savings!A96="","",Agent06_Savings!D96)</f>
        <v/>
      </c>
      <c r="F1091" s="39" t="str">
        <f>IF(Agent06_Savings!A96="","",Agent06_Savings!E96)</f>
        <v/>
      </c>
      <c r="G1091" s="39" t="str">
        <f>IF(Agent06_Savings!A96="","",Agent06_Savings!F96)</f>
        <v/>
      </c>
      <c r="H1091" s="37" t="str">
        <f>IF(Agent06_Savings!A96="","",Agent06_Savings!I96)</f>
        <v/>
      </c>
      <c r="I1091" s="37" t="str">
        <f>IF(Agent06_Savings!A96="","",Agent06_Savings!J96)</f>
        <v/>
      </c>
      <c r="J1091" s="37" t="str">
        <f>IF(Agent06_Savings!A96="","",Agent06_Savings!K96)</f>
        <v/>
      </c>
      <c r="K1091" s="37" t="str">
        <f>IFERROR(IF(Agent06_Savings!A96="","",YEAR(Agent06_Savings!D96)),"")</f>
        <v/>
      </c>
    </row>
    <row r="1092" spans="1:11" ht="18" customHeight="1" x14ac:dyDescent="0.25">
      <c r="A1092" s="37" t="str">
        <f>IF(Agent06_Savings!A97="","",Agent06_Savings!A97)</f>
        <v/>
      </c>
      <c r="B1092" s="37" t="str">
        <f ca="1">IF(Agent06_Savings!A97="","","SV"&amp;TEXT(1092-3,"0000")&amp;"-"&amp;TEXT(TODAY(),"YYYYMMDD"))</f>
        <v/>
      </c>
      <c r="C1092" s="37" t="str">
        <f>IF(Agent06_Savings!A97="","",Agent06_Savings!B97)</f>
        <v/>
      </c>
      <c r="D1092" s="37" t="str">
        <f>IF(Agent06_Savings!A97="","",Agent06_Savings!G97)</f>
        <v/>
      </c>
      <c r="E1092" s="38" t="str">
        <f>IF(Agent06_Savings!A97="","",Agent06_Savings!D97)</f>
        <v/>
      </c>
      <c r="F1092" s="39" t="str">
        <f>IF(Agent06_Savings!A97="","",Agent06_Savings!E97)</f>
        <v/>
      </c>
      <c r="G1092" s="39" t="str">
        <f>IF(Agent06_Savings!A97="","",Agent06_Savings!F97)</f>
        <v/>
      </c>
      <c r="H1092" s="37" t="str">
        <f>IF(Agent06_Savings!A97="","",Agent06_Savings!I97)</f>
        <v/>
      </c>
      <c r="I1092" s="37" t="str">
        <f>IF(Agent06_Savings!A97="","",Agent06_Savings!J97)</f>
        <v/>
      </c>
      <c r="J1092" s="37" t="str">
        <f>IF(Agent06_Savings!A97="","",Agent06_Savings!K97)</f>
        <v/>
      </c>
      <c r="K1092" s="37" t="str">
        <f>IFERROR(IF(Agent06_Savings!A97="","",YEAR(Agent06_Savings!D97)),"")</f>
        <v/>
      </c>
    </row>
    <row r="1093" spans="1:11" ht="18" customHeight="1" x14ac:dyDescent="0.25">
      <c r="A1093" s="37" t="str">
        <f>IF(Agent06_Savings!A98="","",Agent06_Savings!A98)</f>
        <v/>
      </c>
      <c r="B1093" s="37" t="str">
        <f ca="1">IF(Agent06_Savings!A98="","","SV"&amp;TEXT(1093-3,"0000")&amp;"-"&amp;TEXT(TODAY(),"YYYYMMDD"))</f>
        <v/>
      </c>
      <c r="C1093" s="37" t="str">
        <f>IF(Agent06_Savings!A98="","",Agent06_Savings!B98)</f>
        <v/>
      </c>
      <c r="D1093" s="37" t="str">
        <f>IF(Agent06_Savings!A98="","",Agent06_Savings!G98)</f>
        <v/>
      </c>
      <c r="E1093" s="38" t="str">
        <f>IF(Agent06_Savings!A98="","",Agent06_Savings!D98)</f>
        <v/>
      </c>
      <c r="F1093" s="39" t="str">
        <f>IF(Agent06_Savings!A98="","",Agent06_Savings!E98)</f>
        <v/>
      </c>
      <c r="G1093" s="39" t="str">
        <f>IF(Agent06_Savings!A98="","",Agent06_Savings!F98)</f>
        <v/>
      </c>
      <c r="H1093" s="37" t="str">
        <f>IF(Agent06_Savings!A98="","",Agent06_Savings!I98)</f>
        <v/>
      </c>
      <c r="I1093" s="37" t="str">
        <f>IF(Agent06_Savings!A98="","",Agent06_Savings!J98)</f>
        <v/>
      </c>
      <c r="J1093" s="37" t="str">
        <f>IF(Agent06_Savings!A98="","",Agent06_Savings!K98)</f>
        <v/>
      </c>
      <c r="K1093" s="37" t="str">
        <f>IFERROR(IF(Agent06_Savings!A98="","",YEAR(Agent06_Savings!D98)),"")</f>
        <v/>
      </c>
    </row>
    <row r="1094" spans="1:11" ht="18" customHeight="1" x14ac:dyDescent="0.25">
      <c r="A1094" s="37" t="str">
        <f>IF(Agent06_Savings!A99="","",Agent06_Savings!A99)</f>
        <v/>
      </c>
      <c r="B1094" s="37" t="str">
        <f ca="1">IF(Agent06_Savings!A99="","","SV"&amp;TEXT(1094-3,"0000")&amp;"-"&amp;TEXT(TODAY(),"YYYYMMDD"))</f>
        <v/>
      </c>
      <c r="C1094" s="37" t="str">
        <f>IF(Agent06_Savings!A99="","",Agent06_Savings!B99)</f>
        <v/>
      </c>
      <c r="D1094" s="37" t="str">
        <f>IF(Agent06_Savings!A99="","",Agent06_Savings!G99)</f>
        <v/>
      </c>
      <c r="E1094" s="38" t="str">
        <f>IF(Agent06_Savings!A99="","",Agent06_Savings!D99)</f>
        <v/>
      </c>
      <c r="F1094" s="39" t="str">
        <f>IF(Agent06_Savings!A99="","",Agent06_Savings!E99)</f>
        <v/>
      </c>
      <c r="G1094" s="39" t="str">
        <f>IF(Agent06_Savings!A99="","",Agent06_Savings!F99)</f>
        <v/>
      </c>
      <c r="H1094" s="37" t="str">
        <f>IF(Agent06_Savings!A99="","",Agent06_Savings!I99)</f>
        <v/>
      </c>
      <c r="I1094" s="37" t="str">
        <f>IF(Agent06_Savings!A99="","",Agent06_Savings!J99)</f>
        <v/>
      </c>
      <c r="J1094" s="37" t="str">
        <f>IF(Agent06_Savings!A99="","",Agent06_Savings!K99)</f>
        <v/>
      </c>
      <c r="K1094" s="37" t="str">
        <f>IFERROR(IF(Agent06_Savings!A99="","",YEAR(Agent06_Savings!D99)),"")</f>
        <v/>
      </c>
    </row>
    <row r="1095" spans="1:11" ht="18" customHeight="1" x14ac:dyDescent="0.25">
      <c r="A1095" s="37" t="str">
        <f>IF(Agent06_Savings!A100="","",Agent06_Savings!A100)</f>
        <v/>
      </c>
      <c r="B1095" s="37" t="str">
        <f ca="1">IF(Agent06_Savings!A100="","","SV"&amp;TEXT(1095-3,"0000")&amp;"-"&amp;TEXT(TODAY(),"YYYYMMDD"))</f>
        <v/>
      </c>
      <c r="C1095" s="37" t="str">
        <f>IF(Agent06_Savings!A100="","",Agent06_Savings!B100)</f>
        <v/>
      </c>
      <c r="D1095" s="37" t="str">
        <f>IF(Agent06_Savings!A100="","",Agent06_Savings!G100)</f>
        <v/>
      </c>
      <c r="E1095" s="38" t="str">
        <f>IF(Agent06_Savings!A100="","",Agent06_Savings!D100)</f>
        <v/>
      </c>
      <c r="F1095" s="39" t="str">
        <f>IF(Agent06_Savings!A100="","",Agent06_Savings!E100)</f>
        <v/>
      </c>
      <c r="G1095" s="39" t="str">
        <f>IF(Agent06_Savings!A100="","",Agent06_Savings!F100)</f>
        <v/>
      </c>
      <c r="H1095" s="37" t="str">
        <f>IF(Agent06_Savings!A100="","",Agent06_Savings!I100)</f>
        <v/>
      </c>
      <c r="I1095" s="37" t="str">
        <f>IF(Agent06_Savings!A100="","",Agent06_Savings!J100)</f>
        <v/>
      </c>
      <c r="J1095" s="37" t="str">
        <f>IF(Agent06_Savings!A100="","",Agent06_Savings!K100)</f>
        <v/>
      </c>
      <c r="K1095" s="37" t="str">
        <f>IFERROR(IF(Agent06_Savings!A100="","",YEAR(Agent06_Savings!D100)),"")</f>
        <v/>
      </c>
    </row>
    <row r="1096" spans="1:11" ht="18" customHeight="1" x14ac:dyDescent="0.25">
      <c r="A1096" s="37" t="str">
        <f>IF(Agent06_Savings!A101="","",Agent06_Savings!A101)</f>
        <v/>
      </c>
      <c r="B1096" s="37" t="str">
        <f ca="1">IF(Agent06_Savings!A101="","","SV"&amp;TEXT(1096-3,"0000")&amp;"-"&amp;TEXT(TODAY(),"YYYYMMDD"))</f>
        <v/>
      </c>
      <c r="C1096" s="37" t="str">
        <f>IF(Agent06_Savings!A101="","",Agent06_Savings!B101)</f>
        <v/>
      </c>
      <c r="D1096" s="37" t="str">
        <f>IF(Agent06_Savings!A101="","",Agent06_Savings!G101)</f>
        <v/>
      </c>
      <c r="E1096" s="38" t="str">
        <f>IF(Agent06_Savings!A101="","",Agent06_Savings!D101)</f>
        <v/>
      </c>
      <c r="F1096" s="39" t="str">
        <f>IF(Agent06_Savings!A101="","",Agent06_Savings!E101)</f>
        <v/>
      </c>
      <c r="G1096" s="39" t="str">
        <f>IF(Agent06_Savings!A101="","",Agent06_Savings!F101)</f>
        <v/>
      </c>
      <c r="H1096" s="37" t="str">
        <f>IF(Agent06_Savings!A101="","",Agent06_Savings!I101)</f>
        <v/>
      </c>
      <c r="I1096" s="37" t="str">
        <f>IF(Agent06_Savings!A101="","",Agent06_Savings!J101)</f>
        <v/>
      </c>
      <c r="J1096" s="37" t="str">
        <f>IF(Agent06_Savings!A101="","",Agent06_Savings!K101)</f>
        <v/>
      </c>
      <c r="K1096" s="37" t="str">
        <f>IFERROR(IF(Agent06_Savings!A101="","",YEAR(Agent06_Savings!D101)),"")</f>
        <v/>
      </c>
    </row>
    <row r="1097" spans="1:11" ht="18" customHeight="1" x14ac:dyDescent="0.25">
      <c r="A1097" s="37" t="str">
        <f>IF(Agent06_Savings!A102="","",Agent06_Savings!A102)</f>
        <v/>
      </c>
      <c r="B1097" s="37" t="str">
        <f ca="1">IF(Agent06_Savings!A102="","","SV"&amp;TEXT(1097-3,"0000")&amp;"-"&amp;TEXT(TODAY(),"YYYYMMDD"))</f>
        <v/>
      </c>
      <c r="C1097" s="37" t="str">
        <f>IF(Agent06_Savings!A102="","",Agent06_Savings!B102)</f>
        <v/>
      </c>
      <c r="D1097" s="37" t="str">
        <f>IF(Agent06_Savings!A102="","",Agent06_Savings!G102)</f>
        <v/>
      </c>
      <c r="E1097" s="38" t="str">
        <f>IF(Agent06_Savings!A102="","",Agent06_Savings!D102)</f>
        <v/>
      </c>
      <c r="F1097" s="39" t="str">
        <f>IF(Agent06_Savings!A102="","",Agent06_Savings!E102)</f>
        <v/>
      </c>
      <c r="G1097" s="39" t="str">
        <f>IF(Agent06_Savings!A102="","",Agent06_Savings!F102)</f>
        <v/>
      </c>
      <c r="H1097" s="37" t="str">
        <f>IF(Agent06_Savings!A102="","",Agent06_Savings!I102)</f>
        <v/>
      </c>
      <c r="I1097" s="37" t="str">
        <f>IF(Agent06_Savings!A102="","",Agent06_Savings!J102)</f>
        <v/>
      </c>
      <c r="J1097" s="37" t="str">
        <f>IF(Agent06_Savings!A102="","",Agent06_Savings!K102)</f>
        <v/>
      </c>
      <c r="K1097" s="37" t="str">
        <f>IFERROR(IF(Agent06_Savings!A102="","",YEAR(Agent06_Savings!D102)),"")</f>
        <v/>
      </c>
    </row>
    <row r="1098" spans="1:11" ht="18" customHeight="1" x14ac:dyDescent="0.25">
      <c r="A1098" s="37" t="str">
        <f>IF(Agent06_Savings!A103="","",Agent06_Savings!A103)</f>
        <v/>
      </c>
      <c r="B1098" s="37" t="str">
        <f ca="1">IF(Agent06_Savings!A103="","","SV"&amp;TEXT(1098-3,"0000")&amp;"-"&amp;TEXT(TODAY(),"YYYYMMDD"))</f>
        <v/>
      </c>
      <c r="C1098" s="37" t="str">
        <f>IF(Agent06_Savings!A103="","",Agent06_Savings!B103)</f>
        <v/>
      </c>
      <c r="D1098" s="37" t="str">
        <f>IF(Agent06_Savings!A103="","",Agent06_Savings!G103)</f>
        <v/>
      </c>
      <c r="E1098" s="38" t="str">
        <f>IF(Agent06_Savings!A103="","",Agent06_Savings!D103)</f>
        <v/>
      </c>
      <c r="F1098" s="39" t="str">
        <f>IF(Agent06_Savings!A103="","",Agent06_Savings!E103)</f>
        <v/>
      </c>
      <c r="G1098" s="39" t="str">
        <f>IF(Agent06_Savings!A103="","",Agent06_Savings!F103)</f>
        <v/>
      </c>
      <c r="H1098" s="37" t="str">
        <f>IF(Agent06_Savings!A103="","",Agent06_Savings!I103)</f>
        <v/>
      </c>
      <c r="I1098" s="37" t="str">
        <f>IF(Agent06_Savings!A103="","",Agent06_Savings!J103)</f>
        <v/>
      </c>
      <c r="J1098" s="37" t="str">
        <f>IF(Agent06_Savings!A103="","",Agent06_Savings!K103)</f>
        <v/>
      </c>
      <c r="K1098" s="37" t="str">
        <f>IFERROR(IF(Agent06_Savings!A103="","",YEAR(Agent06_Savings!D103)),"")</f>
        <v/>
      </c>
    </row>
    <row r="1099" spans="1:11" ht="18" customHeight="1" x14ac:dyDescent="0.25">
      <c r="A1099" s="37" t="str">
        <f>IF(Agent06_Savings!A104="","",Agent06_Savings!A104)</f>
        <v/>
      </c>
      <c r="B1099" s="37" t="str">
        <f ca="1">IF(Agent06_Savings!A104="","","SV"&amp;TEXT(1099-3,"0000")&amp;"-"&amp;TEXT(TODAY(),"YYYYMMDD"))</f>
        <v/>
      </c>
      <c r="C1099" s="37" t="str">
        <f>IF(Agent06_Savings!A104="","",Agent06_Savings!B104)</f>
        <v/>
      </c>
      <c r="D1099" s="37" t="str">
        <f>IF(Agent06_Savings!A104="","",Agent06_Savings!G104)</f>
        <v/>
      </c>
      <c r="E1099" s="38" t="str">
        <f>IF(Agent06_Savings!A104="","",Agent06_Savings!D104)</f>
        <v/>
      </c>
      <c r="F1099" s="39" t="str">
        <f>IF(Agent06_Savings!A104="","",Agent06_Savings!E104)</f>
        <v/>
      </c>
      <c r="G1099" s="39" t="str">
        <f>IF(Agent06_Savings!A104="","",Agent06_Savings!F104)</f>
        <v/>
      </c>
      <c r="H1099" s="37" t="str">
        <f>IF(Agent06_Savings!A104="","",Agent06_Savings!I104)</f>
        <v/>
      </c>
      <c r="I1099" s="37" t="str">
        <f>IF(Agent06_Savings!A104="","",Agent06_Savings!J104)</f>
        <v/>
      </c>
      <c r="J1099" s="37" t="str">
        <f>IF(Agent06_Savings!A104="","",Agent06_Savings!K104)</f>
        <v/>
      </c>
      <c r="K1099" s="37" t="str">
        <f>IFERROR(IF(Agent06_Savings!A104="","",YEAR(Agent06_Savings!D104)),"")</f>
        <v/>
      </c>
    </row>
    <row r="1100" spans="1:11" ht="18" customHeight="1" x14ac:dyDescent="0.25">
      <c r="A1100" s="37" t="str">
        <f>IF(Agent06_Savings!A105="","",Agent06_Savings!A105)</f>
        <v/>
      </c>
      <c r="B1100" s="37" t="str">
        <f ca="1">IF(Agent06_Savings!A105="","","SV"&amp;TEXT(1100-3,"0000")&amp;"-"&amp;TEXT(TODAY(),"YYYYMMDD"))</f>
        <v/>
      </c>
      <c r="C1100" s="37" t="str">
        <f>IF(Agent06_Savings!A105="","",Agent06_Savings!B105)</f>
        <v/>
      </c>
      <c r="D1100" s="37" t="str">
        <f>IF(Agent06_Savings!A105="","",Agent06_Savings!G105)</f>
        <v/>
      </c>
      <c r="E1100" s="38" t="str">
        <f>IF(Agent06_Savings!A105="","",Agent06_Savings!D105)</f>
        <v/>
      </c>
      <c r="F1100" s="39" t="str">
        <f>IF(Agent06_Savings!A105="","",Agent06_Savings!E105)</f>
        <v/>
      </c>
      <c r="G1100" s="39" t="str">
        <f>IF(Agent06_Savings!A105="","",Agent06_Savings!F105)</f>
        <v/>
      </c>
      <c r="H1100" s="37" t="str">
        <f>IF(Agent06_Savings!A105="","",Agent06_Savings!I105)</f>
        <v/>
      </c>
      <c r="I1100" s="37" t="str">
        <f>IF(Agent06_Savings!A105="","",Agent06_Savings!J105)</f>
        <v/>
      </c>
      <c r="J1100" s="37" t="str">
        <f>IF(Agent06_Savings!A105="","",Agent06_Savings!K105)</f>
        <v/>
      </c>
      <c r="K1100" s="37" t="str">
        <f>IFERROR(IF(Agent06_Savings!A105="","",YEAR(Agent06_Savings!D105)),"")</f>
        <v/>
      </c>
    </row>
    <row r="1101" spans="1:11" ht="18" customHeight="1" x14ac:dyDescent="0.25">
      <c r="A1101" s="37" t="str">
        <f>IF(Agent06_Savings!A106="","",Agent06_Savings!A106)</f>
        <v/>
      </c>
      <c r="B1101" s="37" t="str">
        <f ca="1">IF(Agent06_Savings!A106="","","SV"&amp;TEXT(1101-3,"0000")&amp;"-"&amp;TEXT(TODAY(),"YYYYMMDD"))</f>
        <v/>
      </c>
      <c r="C1101" s="37" t="str">
        <f>IF(Agent06_Savings!A106="","",Agent06_Savings!B106)</f>
        <v/>
      </c>
      <c r="D1101" s="37" t="str">
        <f>IF(Agent06_Savings!A106="","",Agent06_Savings!G106)</f>
        <v/>
      </c>
      <c r="E1101" s="38" t="str">
        <f>IF(Agent06_Savings!A106="","",Agent06_Savings!D106)</f>
        <v/>
      </c>
      <c r="F1101" s="39" t="str">
        <f>IF(Agent06_Savings!A106="","",Agent06_Savings!E106)</f>
        <v/>
      </c>
      <c r="G1101" s="39" t="str">
        <f>IF(Agent06_Savings!A106="","",Agent06_Savings!F106)</f>
        <v/>
      </c>
      <c r="H1101" s="37" t="str">
        <f>IF(Agent06_Savings!A106="","",Agent06_Savings!I106)</f>
        <v/>
      </c>
      <c r="I1101" s="37" t="str">
        <f>IF(Agent06_Savings!A106="","",Agent06_Savings!J106)</f>
        <v/>
      </c>
      <c r="J1101" s="37" t="str">
        <f>IF(Agent06_Savings!A106="","",Agent06_Savings!K106)</f>
        <v/>
      </c>
      <c r="K1101" s="37" t="str">
        <f>IFERROR(IF(Agent06_Savings!A106="","",YEAR(Agent06_Savings!D106)),"")</f>
        <v/>
      </c>
    </row>
    <row r="1102" spans="1:11" ht="18" customHeight="1" x14ac:dyDescent="0.25">
      <c r="A1102" s="37" t="str">
        <f>IF(Agent06_Savings!A107="","",Agent06_Savings!A107)</f>
        <v/>
      </c>
      <c r="B1102" s="37" t="str">
        <f ca="1">IF(Agent06_Savings!A107="","","SV"&amp;TEXT(1102-3,"0000")&amp;"-"&amp;TEXT(TODAY(),"YYYYMMDD"))</f>
        <v/>
      </c>
      <c r="C1102" s="37" t="str">
        <f>IF(Agent06_Savings!A107="","",Agent06_Savings!B107)</f>
        <v/>
      </c>
      <c r="D1102" s="37" t="str">
        <f>IF(Agent06_Savings!A107="","",Agent06_Savings!G107)</f>
        <v/>
      </c>
      <c r="E1102" s="38" t="str">
        <f>IF(Agent06_Savings!A107="","",Agent06_Savings!D107)</f>
        <v/>
      </c>
      <c r="F1102" s="39" t="str">
        <f>IF(Agent06_Savings!A107="","",Agent06_Savings!E107)</f>
        <v/>
      </c>
      <c r="G1102" s="39" t="str">
        <f>IF(Agent06_Savings!A107="","",Agent06_Savings!F107)</f>
        <v/>
      </c>
      <c r="H1102" s="37" t="str">
        <f>IF(Agent06_Savings!A107="","",Agent06_Savings!I107)</f>
        <v/>
      </c>
      <c r="I1102" s="37" t="str">
        <f>IF(Agent06_Savings!A107="","",Agent06_Savings!J107)</f>
        <v/>
      </c>
      <c r="J1102" s="37" t="str">
        <f>IF(Agent06_Savings!A107="","",Agent06_Savings!K107)</f>
        <v/>
      </c>
      <c r="K1102" s="37" t="str">
        <f>IFERROR(IF(Agent06_Savings!A107="","",YEAR(Agent06_Savings!D107)),"")</f>
        <v/>
      </c>
    </row>
    <row r="1103" spans="1:11" ht="18" customHeight="1" x14ac:dyDescent="0.25">
      <c r="A1103" s="37" t="str">
        <f>IF(Agent06_Savings!A108="","",Agent06_Savings!A108)</f>
        <v/>
      </c>
      <c r="B1103" s="37" t="str">
        <f ca="1">IF(Agent06_Savings!A108="","","SV"&amp;TEXT(1103-3,"0000")&amp;"-"&amp;TEXT(TODAY(),"YYYYMMDD"))</f>
        <v/>
      </c>
      <c r="C1103" s="37" t="str">
        <f>IF(Agent06_Savings!A108="","",Agent06_Savings!B108)</f>
        <v/>
      </c>
      <c r="D1103" s="37" t="str">
        <f>IF(Agent06_Savings!A108="","",Agent06_Savings!G108)</f>
        <v/>
      </c>
      <c r="E1103" s="38" t="str">
        <f>IF(Agent06_Savings!A108="","",Agent06_Savings!D108)</f>
        <v/>
      </c>
      <c r="F1103" s="39" t="str">
        <f>IF(Agent06_Savings!A108="","",Agent06_Savings!E108)</f>
        <v/>
      </c>
      <c r="G1103" s="39" t="str">
        <f>IF(Agent06_Savings!A108="","",Agent06_Savings!F108)</f>
        <v/>
      </c>
      <c r="H1103" s="37" t="str">
        <f>IF(Agent06_Savings!A108="","",Agent06_Savings!I108)</f>
        <v/>
      </c>
      <c r="I1103" s="37" t="str">
        <f>IF(Agent06_Savings!A108="","",Agent06_Savings!J108)</f>
        <v/>
      </c>
      <c r="J1103" s="37" t="str">
        <f>IF(Agent06_Savings!A108="","",Agent06_Savings!K108)</f>
        <v/>
      </c>
      <c r="K1103" s="37" t="str">
        <f>IFERROR(IF(Agent06_Savings!A108="","",YEAR(Agent06_Savings!D108)),"")</f>
        <v/>
      </c>
    </row>
    <row r="1104" spans="1:11" ht="18" customHeight="1" x14ac:dyDescent="0.25">
      <c r="A1104" s="37" t="str">
        <f>IF(Agent06_Savings!A109="","",Agent06_Savings!A109)</f>
        <v/>
      </c>
      <c r="B1104" s="37" t="str">
        <f ca="1">IF(Agent06_Savings!A109="","","SV"&amp;TEXT(1104-3,"0000")&amp;"-"&amp;TEXT(TODAY(),"YYYYMMDD"))</f>
        <v/>
      </c>
      <c r="C1104" s="37" t="str">
        <f>IF(Agent06_Savings!A109="","",Agent06_Savings!B109)</f>
        <v/>
      </c>
      <c r="D1104" s="37" t="str">
        <f>IF(Agent06_Savings!A109="","",Agent06_Savings!G109)</f>
        <v/>
      </c>
      <c r="E1104" s="38" t="str">
        <f>IF(Agent06_Savings!A109="","",Agent06_Savings!D109)</f>
        <v/>
      </c>
      <c r="F1104" s="39" t="str">
        <f>IF(Agent06_Savings!A109="","",Agent06_Savings!E109)</f>
        <v/>
      </c>
      <c r="G1104" s="39" t="str">
        <f>IF(Agent06_Savings!A109="","",Agent06_Savings!F109)</f>
        <v/>
      </c>
      <c r="H1104" s="37" t="str">
        <f>IF(Agent06_Savings!A109="","",Agent06_Savings!I109)</f>
        <v/>
      </c>
      <c r="I1104" s="37" t="str">
        <f>IF(Agent06_Savings!A109="","",Agent06_Savings!J109)</f>
        <v/>
      </c>
      <c r="J1104" s="37" t="str">
        <f>IF(Agent06_Savings!A109="","",Agent06_Savings!K109)</f>
        <v/>
      </c>
      <c r="K1104" s="37" t="str">
        <f>IFERROR(IF(Agent06_Savings!A109="","",YEAR(Agent06_Savings!D109)),"")</f>
        <v/>
      </c>
    </row>
    <row r="1105" spans="1:11" ht="18" customHeight="1" x14ac:dyDescent="0.25">
      <c r="A1105" s="37" t="str">
        <f>IF(Agent06_Savings!A110="","",Agent06_Savings!A110)</f>
        <v/>
      </c>
      <c r="B1105" s="37" t="str">
        <f ca="1">IF(Agent06_Savings!A110="","","SV"&amp;TEXT(1105-3,"0000")&amp;"-"&amp;TEXT(TODAY(),"YYYYMMDD"))</f>
        <v/>
      </c>
      <c r="C1105" s="37" t="str">
        <f>IF(Agent06_Savings!A110="","",Agent06_Savings!B110)</f>
        <v/>
      </c>
      <c r="D1105" s="37" t="str">
        <f>IF(Agent06_Savings!A110="","",Agent06_Savings!G110)</f>
        <v/>
      </c>
      <c r="E1105" s="38" t="str">
        <f>IF(Agent06_Savings!A110="","",Agent06_Savings!D110)</f>
        <v/>
      </c>
      <c r="F1105" s="39" t="str">
        <f>IF(Agent06_Savings!A110="","",Agent06_Savings!E110)</f>
        <v/>
      </c>
      <c r="G1105" s="39" t="str">
        <f>IF(Agent06_Savings!A110="","",Agent06_Savings!F110)</f>
        <v/>
      </c>
      <c r="H1105" s="37" t="str">
        <f>IF(Agent06_Savings!A110="","",Agent06_Savings!I110)</f>
        <v/>
      </c>
      <c r="I1105" s="37" t="str">
        <f>IF(Agent06_Savings!A110="","",Agent06_Savings!J110)</f>
        <v/>
      </c>
      <c r="J1105" s="37" t="str">
        <f>IF(Agent06_Savings!A110="","",Agent06_Savings!K110)</f>
        <v/>
      </c>
      <c r="K1105" s="37" t="str">
        <f>IFERROR(IF(Agent06_Savings!A110="","",YEAR(Agent06_Savings!D110)),"")</f>
        <v/>
      </c>
    </row>
    <row r="1106" spans="1:11" ht="18" customHeight="1" x14ac:dyDescent="0.25">
      <c r="A1106" s="37" t="str">
        <f>IF(Agent06_Savings!A111="","",Agent06_Savings!A111)</f>
        <v/>
      </c>
      <c r="B1106" s="37" t="str">
        <f ca="1">IF(Agent06_Savings!A111="","","SV"&amp;TEXT(1106-3,"0000")&amp;"-"&amp;TEXT(TODAY(),"YYYYMMDD"))</f>
        <v/>
      </c>
      <c r="C1106" s="37" t="str">
        <f>IF(Agent06_Savings!A111="","",Agent06_Savings!B111)</f>
        <v/>
      </c>
      <c r="D1106" s="37" t="str">
        <f>IF(Agent06_Savings!A111="","",Agent06_Savings!G111)</f>
        <v/>
      </c>
      <c r="E1106" s="38" t="str">
        <f>IF(Agent06_Savings!A111="","",Agent06_Savings!D111)</f>
        <v/>
      </c>
      <c r="F1106" s="39" t="str">
        <f>IF(Agent06_Savings!A111="","",Agent06_Savings!E111)</f>
        <v/>
      </c>
      <c r="G1106" s="39" t="str">
        <f>IF(Agent06_Savings!A111="","",Agent06_Savings!F111)</f>
        <v/>
      </c>
      <c r="H1106" s="37" t="str">
        <f>IF(Agent06_Savings!A111="","",Agent06_Savings!I111)</f>
        <v/>
      </c>
      <c r="I1106" s="37" t="str">
        <f>IF(Agent06_Savings!A111="","",Agent06_Savings!J111)</f>
        <v/>
      </c>
      <c r="J1106" s="37" t="str">
        <f>IF(Agent06_Savings!A111="","",Agent06_Savings!K111)</f>
        <v/>
      </c>
      <c r="K1106" s="37" t="str">
        <f>IFERROR(IF(Agent06_Savings!A111="","",YEAR(Agent06_Savings!D111)),"")</f>
        <v/>
      </c>
    </row>
    <row r="1107" spans="1:11" ht="18" customHeight="1" x14ac:dyDescent="0.25">
      <c r="A1107" s="37" t="str">
        <f>IF(Agent06_Savings!A112="","",Agent06_Savings!A112)</f>
        <v/>
      </c>
      <c r="B1107" s="37" t="str">
        <f ca="1">IF(Agent06_Savings!A112="","","SV"&amp;TEXT(1107-3,"0000")&amp;"-"&amp;TEXT(TODAY(),"YYYYMMDD"))</f>
        <v/>
      </c>
      <c r="C1107" s="37" t="str">
        <f>IF(Agent06_Savings!A112="","",Agent06_Savings!B112)</f>
        <v/>
      </c>
      <c r="D1107" s="37" t="str">
        <f>IF(Agent06_Savings!A112="","",Agent06_Savings!G112)</f>
        <v/>
      </c>
      <c r="E1107" s="38" t="str">
        <f>IF(Agent06_Savings!A112="","",Agent06_Savings!D112)</f>
        <v/>
      </c>
      <c r="F1107" s="39" t="str">
        <f>IF(Agent06_Savings!A112="","",Agent06_Savings!E112)</f>
        <v/>
      </c>
      <c r="G1107" s="39" t="str">
        <f>IF(Agent06_Savings!A112="","",Agent06_Savings!F112)</f>
        <v/>
      </c>
      <c r="H1107" s="37" t="str">
        <f>IF(Agent06_Savings!A112="","",Agent06_Savings!I112)</f>
        <v/>
      </c>
      <c r="I1107" s="37" t="str">
        <f>IF(Agent06_Savings!A112="","",Agent06_Savings!J112)</f>
        <v/>
      </c>
      <c r="J1107" s="37" t="str">
        <f>IF(Agent06_Savings!A112="","",Agent06_Savings!K112)</f>
        <v/>
      </c>
      <c r="K1107" s="37" t="str">
        <f>IFERROR(IF(Agent06_Savings!A112="","",YEAR(Agent06_Savings!D112)),"")</f>
        <v/>
      </c>
    </row>
    <row r="1108" spans="1:11" ht="18" customHeight="1" x14ac:dyDescent="0.25">
      <c r="A1108" s="37" t="str">
        <f>IF(Agent06_Savings!A113="","",Agent06_Savings!A113)</f>
        <v/>
      </c>
      <c r="B1108" s="37" t="str">
        <f ca="1">IF(Agent06_Savings!A113="","","SV"&amp;TEXT(1108-3,"0000")&amp;"-"&amp;TEXT(TODAY(),"YYYYMMDD"))</f>
        <v/>
      </c>
      <c r="C1108" s="37" t="str">
        <f>IF(Agent06_Savings!A113="","",Agent06_Savings!B113)</f>
        <v/>
      </c>
      <c r="D1108" s="37" t="str">
        <f>IF(Agent06_Savings!A113="","",Agent06_Savings!G113)</f>
        <v/>
      </c>
      <c r="E1108" s="38" t="str">
        <f>IF(Agent06_Savings!A113="","",Agent06_Savings!D113)</f>
        <v/>
      </c>
      <c r="F1108" s="39" t="str">
        <f>IF(Agent06_Savings!A113="","",Agent06_Savings!E113)</f>
        <v/>
      </c>
      <c r="G1108" s="39" t="str">
        <f>IF(Agent06_Savings!A113="","",Agent06_Savings!F113)</f>
        <v/>
      </c>
      <c r="H1108" s="37" t="str">
        <f>IF(Agent06_Savings!A113="","",Agent06_Savings!I113)</f>
        <v/>
      </c>
      <c r="I1108" s="37" t="str">
        <f>IF(Agent06_Savings!A113="","",Agent06_Savings!J113)</f>
        <v/>
      </c>
      <c r="J1108" s="37" t="str">
        <f>IF(Agent06_Savings!A113="","",Agent06_Savings!K113)</f>
        <v/>
      </c>
      <c r="K1108" s="37" t="str">
        <f>IFERROR(IF(Agent06_Savings!A113="","",YEAR(Agent06_Savings!D113)),"")</f>
        <v/>
      </c>
    </row>
    <row r="1109" spans="1:11" ht="18" customHeight="1" x14ac:dyDescent="0.25">
      <c r="A1109" s="37" t="str">
        <f>IF(Agent06_Savings!A114="","",Agent06_Savings!A114)</f>
        <v/>
      </c>
      <c r="B1109" s="37" t="str">
        <f ca="1">IF(Agent06_Savings!A114="","","SV"&amp;TEXT(1109-3,"0000")&amp;"-"&amp;TEXT(TODAY(),"YYYYMMDD"))</f>
        <v/>
      </c>
      <c r="C1109" s="37" t="str">
        <f>IF(Agent06_Savings!A114="","",Agent06_Savings!B114)</f>
        <v/>
      </c>
      <c r="D1109" s="37" t="str">
        <f>IF(Agent06_Savings!A114="","",Agent06_Savings!G114)</f>
        <v/>
      </c>
      <c r="E1109" s="38" t="str">
        <f>IF(Agent06_Savings!A114="","",Agent06_Savings!D114)</f>
        <v/>
      </c>
      <c r="F1109" s="39" t="str">
        <f>IF(Agent06_Savings!A114="","",Agent06_Savings!E114)</f>
        <v/>
      </c>
      <c r="G1109" s="39" t="str">
        <f>IF(Agent06_Savings!A114="","",Agent06_Savings!F114)</f>
        <v/>
      </c>
      <c r="H1109" s="37" t="str">
        <f>IF(Agent06_Savings!A114="","",Agent06_Savings!I114)</f>
        <v/>
      </c>
      <c r="I1109" s="37" t="str">
        <f>IF(Agent06_Savings!A114="","",Agent06_Savings!J114)</f>
        <v/>
      </c>
      <c r="J1109" s="37" t="str">
        <f>IF(Agent06_Savings!A114="","",Agent06_Savings!K114)</f>
        <v/>
      </c>
      <c r="K1109" s="37" t="str">
        <f>IFERROR(IF(Agent06_Savings!A114="","",YEAR(Agent06_Savings!D114)),"")</f>
        <v/>
      </c>
    </row>
    <row r="1110" spans="1:11" ht="18" customHeight="1" x14ac:dyDescent="0.25">
      <c r="A1110" s="37" t="str">
        <f>IF(Agent06_Savings!A115="","",Agent06_Savings!A115)</f>
        <v/>
      </c>
      <c r="B1110" s="37" t="str">
        <f ca="1">IF(Agent06_Savings!A115="","","SV"&amp;TEXT(1110-3,"0000")&amp;"-"&amp;TEXT(TODAY(),"YYYYMMDD"))</f>
        <v/>
      </c>
      <c r="C1110" s="37" t="str">
        <f>IF(Agent06_Savings!A115="","",Agent06_Savings!B115)</f>
        <v/>
      </c>
      <c r="D1110" s="37" t="str">
        <f>IF(Agent06_Savings!A115="","",Agent06_Savings!G115)</f>
        <v/>
      </c>
      <c r="E1110" s="38" t="str">
        <f>IF(Agent06_Savings!A115="","",Agent06_Savings!D115)</f>
        <v/>
      </c>
      <c r="F1110" s="39" t="str">
        <f>IF(Agent06_Savings!A115="","",Agent06_Savings!E115)</f>
        <v/>
      </c>
      <c r="G1110" s="39" t="str">
        <f>IF(Agent06_Savings!A115="","",Agent06_Savings!F115)</f>
        <v/>
      </c>
      <c r="H1110" s="37" t="str">
        <f>IF(Agent06_Savings!A115="","",Agent06_Savings!I115)</f>
        <v/>
      </c>
      <c r="I1110" s="37" t="str">
        <f>IF(Agent06_Savings!A115="","",Agent06_Savings!J115)</f>
        <v/>
      </c>
      <c r="J1110" s="37" t="str">
        <f>IF(Agent06_Savings!A115="","",Agent06_Savings!K115)</f>
        <v/>
      </c>
      <c r="K1110" s="37" t="str">
        <f>IFERROR(IF(Agent06_Savings!A115="","",YEAR(Agent06_Savings!D115)),"")</f>
        <v/>
      </c>
    </row>
    <row r="1111" spans="1:11" ht="18" customHeight="1" x14ac:dyDescent="0.25">
      <c r="A1111" s="37" t="str">
        <f>IF(Agent06_Savings!A116="","",Agent06_Savings!A116)</f>
        <v/>
      </c>
      <c r="B1111" s="37" t="str">
        <f ca="1">IF(Agent06_Savings!A116="","","SV"&amp;TEXT(1111-3,"0000")&amp;"-"&amp;TEXT(TODAY(),"YYYYMMDD"))</f>
        <v/>
      </c>
      <c r="C1111" s="37" t="str">
        <f>IF(Agent06_Savings!A116="","",Agent06_Savings!B116)</f>
        <v/>
      </c>
      <c r="D1111" s="37" t="str">
        <f>IF(Agent06_Savings!A116="","",Agent06_Savings!G116)</f>
        <v/>
      </c>
      <c r="E1111" s="38" t="str">
        <f>IF(Agent06_Savings!A116="","",Agent06_Savings!D116)</f>
        <v/>
      </c>
      <c r="F1111" s="39" t="str">
        <f>IF(Agent06_Savings!A116="","",Agent06_Savings!E116)</f>
        <v/>
      </c>
      <c r="G1111" s="39" t="str">
        <f>IF(Agent06_Savings!A116="","",Agent06_Savings!F116)</f>
        <v/>
      </c>
      <c r="H1111" s="37" t="str">
        <f>IF(Agent06_Savings!A116="","",Agent06_Savings!I116)</f>
        <v/>
      </c>
      <c r="I1111" s="37" t="str">
        <f>IF(Agent06_Savings!A116="","",Agent06_Savings!J116)</f>
        <v/>
      </c>
      <c r="J1111" s="37" t="str">
        <f>IF(Agent06_Savings!A116="","",Agent06_Savings!K116)</f>
        <v/>
      </c>
      <c r="K1111" s="37" t="str">
        <f>IFERROR(IF(Agent06_Savings!A116="","",YEAR(Agent06_Savings!D116)),"")</f>
        <v/>
      </c>
    </row>
    <row r="1112" spans="1:11" ht="18" customHeight="1" x14ac:dyDescent="0.25">
      <c r="A1112" s="37" t="str">
        <f>IF(Agent06_Savings!A117="","",Agent06_Savings!A117)</f>
        <v/>
      </c>
      <c r="B1112" s="37" t="str">
        <f ca="1">IF(Agent06_Savings!A117="","","SV"&amp;TEXT(1112-3,"0000")&amp;"-"&amp;TEXT(TODAY(),"YYYYMMDD"))</f>
        <v/>
      </c>
      <c r="C1112" s="37" t="str">
        <f>IF(Agent06_Savings!A117="","",Agent06_Savings!B117)</f>
        <v/>
      </c>
      <c r="D1112" s="37" t="str">
        <f>IF(Agent06_Savings!A117="","",Agent06_Savings!G117)</f>
        <v/>
      </c>
      <c r="E1112" s="38" t="str">
        <f>IF(Agent06_Savings!A117="","",Agent06_Savings!D117)</f>
        <v/>
      </c>
      <c r="F1112" s="39" t="str">
        <f>IF(Agent06_Savings!A117="","",Agent06_Savings!E117)</f>
        <v/>
      </c>
      <c r="G1112" s="39" t="str">
        <f>IF(Agent06_Savings!A117="","",Agent06_Savings!F117)</f>
        <v/>
      </c>
      <c r="H1112" s="37" t="str">
        <f>IF(Agent06_Savings!A117="","",Agent06_Savings!I117)</f>
        <v/>
      </c>
      <c r="I1112" s="37" t="str">
        <f>IF(Agent06_Savings!A117="","",Agent06_Savings!J117)</f>
        <v/>
      </c>
      <c r="J1112" s="37" t="str">
        <f>IF(Agent06_Savings!A117="","",Agent06_Savings!K117)</f>
        <v/>
      </c>
      <c r="K1112" s="37" t="str">
        <f>IFERROR(IF(Agent06_Savings!A117="","",YEAR(Agent06_Savings!D117)),"")</f>
        <v/>
      </c>
    </row>
    <row r="1113" spans="1:11" ht="18" customHeight="1" x14ac:dyDescent="0.25">
      <c r="A1113" s="37" t="str">
        <f>IF(Agent06_Savings!A118="","",Agent06_Savings!A118)</f>
        <v/>
      </c>
      <c r="B1113" s="37" t="str">
        <f ca="1">IF(Agent06_Savings!A118="","","SV"&amp;TEXT(1113-3,"0000")&amp;"-"&amp;TEXT(TODAY(),"YYYYMMDD"))</f>
        <v/>
      </c>
      <c r="C1113" s="37" t="str">
        <f>IF(Agent06_Savings!A118="","",Agent06_Savings!B118)</f>
        <v/>
      </c>
      <c r="D1113" s="37" t="str">
        <f>IF(Agent06_Savings!A118="","",Agent06_Savings!G118)</f>
        <v/>
      </c>
      <c r="E1113" s="38" t="str">
        <f>IF(Agent06_Savings!A118="","",Agent06_Savings!D118)</f>
        <v/>
      </c>
      <c r="F1113" s="39" t="str">
        <f>IF(Agent06_Savings!A118="","",Agent06_Savings!E118)</f>
        <v/>
      </c>
      <c r="G1113" s="39" t="str">
        <f>IF(Agent06_Savings!A118="","",Agent06_Savings!F118)</f>
        <v/>
      </c>
      <c r="H1113" s="37" t="str">
        <f>IF(Agent06_Savings!A118="","",Agent06_Savings!I118)</f>
        <v/>
      </c>
      <c r="I1113" s="37" t="str">
        <f>IF(Agent06_Savings!A118="","",Agent06_Savings!J118)</f>
        <v/>
      </c>
      <c r="J1113" s="37" t="str">
        <f>IF(Agent06_Savings!A118="","",Agent06_Savings!K118)</f>
        <v/>
      </c>
      <c r="K1113" s="37" t="str">
        <f>IFERROR(IF(Agent06_Savings!A118="","",YEAR(Agent06_Savings!D118)),"")</f>
        <v/>
      </c>
    </row>
    <row r="1114" spans="1:11" ht="18" customHeight="1" x14ac:dyDescent="0.25">
      <c r="A1114" s="37" t="str">
        <f>IF(Agent06_Savings!A119="","",Agent06_Savings!A119)</f>
        <v/>
      </c>
      <c r="B1114" s="37" t="str">
        <f ca="1">IF(Agent06_Savings!A119="","","SV"&amp;TEXT(1114-3,"0000")&amp;"-"&amp;TEXT(TODAY(),"YYYYMMDD"))</f>
        <v/>
      </c>
      <c r="C1114" s="37" t="str">
        <f>IF(Agent06_Savings!A119="","",Agent06_Savings!B119)</f>
        <v/>
      </c>
      <c r="D1114" s="37" t="str">
        <f>IF(Agent06_Savings!A119="","",Agent06_Savings!G119)</f>
        <v/>
      </c>
      <c r="E1114" s="38" t="str">
        <f>IF(Agent06_Savings!A119="","",Agent06_Savings!D119)</f>
        <v/>
      </c>
      <c r="F1114" s="39" t="str">
        <f>IF(Agent06_Savings!A119="","",Agent06_Savings!E119)</f>
        <v/>
      </c>
      <c r="G1114" s="39" t="str">
        <f>IF(Agent06_Savings!A119="","",Agent06_Savings!F119)</f>
        <v/>
      </c>
      <c r="H1114" s="37" t="str">
        <f>IF(Agent06_Savings!A119="","",Agent06_Savings!I119)</f>
        <v/>
      </c>
      <c r="I1114" s="37" t="str">
        <f>IF(Agent06_Savings!A119="","",Agent06_Savings!J119)</f>
        <v/>
      </c>
      <c r="J1114" s="37" t="str">
        <f>IF(Agent06_Savings!A119="","",Agent06_Savings!K119)</f>
        <v/>
      </c>
      <c r="K1114" s="37" t="str">
        <f>IFERROR(IF(Agent06_Savings!A119="","",YEAR(Agent06_Savings!D119)),"")</f>
        <v/>
      </c>
    </row>
    <row r="1115" spans="1:11" ht="18" customHeight="1" x14ac:dyDescent="0.25">
      <c r="A1115" s="37" t="str">
        <f>IF(Agent06_Savings!A120="","",Agent06_Savings!A120)</f>
        <v/>
      </c>
      <c r="B1115" s="37" t="str">
        <f ca="1">IF(Agent06_Savings!A120="","","SV"&amp;TEXT(1115-3,"0000")&amp;"-"&amp;TEXT(TODAY(),"YYYYMMDD"))</f>
        <v/>
      </c>
      <c r="C1115" s="37" t="str">
        <f>IF(Agent06_Savings!A120="","",Agent06_Savings!B120)</f>
        <v/>
      </c>
      <c r="D1115" s="37" t="str">
        <f>IF(Agent06_Savings!A120="","",Agent06_Savings!G120)</f>
        <v/>
      </c>
      <c r="E1115" s="38" t="str">
        <f>IF(Agent06_Savings!A120="","",Agent06_Savings!D120)</f>
        <v/>
      </c>
      <c r="F1115" s="39" t="str">
        <f>IF(Agent06_Savings!A120="","",Agent06_Savings!E120)</f>
        <v/>
      </c>
      <c r="G1115" s="39" t="str">
        <f>IF(Agent06_Savings!A120="","",Agent06_Savings!F120)</f>
        <v/>
      </c>
      <c r="H1115" s="37" t="str">
        <f>IF(Agent06_Savings!A120="","",Agent06_Savings!I120)</f>
        <v/>
      </c>
      <c r="I1115" s="37" t="str">
        <f>IF(Agent06_Savings!A120="","",Agent06_Savings!J120)</f>
        <v/>
      </c>
      <c r="J1115" s="37" t="str">
        <f>IF(Agent06_Savings!A120="","",Agent06_Savings!K120)</f>
        <v/>
      </c>
      <c r="K1115" s="37" t="str">
        <f>IFERROR(IF(Agent06_Savings!A120="","",YEAR(Agent06_Savings!D120)),"")</f>
        <v/>
      </c>
    </row>
    <row r="1116" spans="1:11" ht="18" customHeight="1" x14ac:dyDescent="0.25">
      <c r="A1116" s="37" t="str">
        <f>IF(Agent06_Savings!A121="","",Agent06_Savings!A121)</f>
        <v/>
      </c>
      <c r="B1116" s="37" t="str">
        <f ca="1">IF(Agent06_Savings!A121="","","SV"&amp;TEXT(1116-3,"0000")&amp;"-"&amp;TEXT(TODAY(),"YYYYMMDD"))</f>
        <v/>
      </c>
      <c r="C1116" s="37" t="str">
        <f>IF(Agent06_Savings!A121="","",Agent06_Savings!B121)</f>
        <v/>
      </c>
      <c r="D1116" s="37" t="str">
        <f>IF(Agent06_Savings!A121="","",Agent06_Savings!G121)</f>
        <v/>
      </c>
      <c r="E1116" s="38" t="str">
        <f>IF(Agent06_Savings!A121="","",Agent06_Savings!D121)</f>
        <v/>
      </c>
      <c r="F1116" s="39" t="str">
        <f>IF(Agent06_Savings!A121="","",Agent06_Savings!E121)</f>
        <v/>
      </c>
      <c r="G1116" s="39" t="str">
        <f>IF(Agent06_Savings!A121="","",Agent06_Savings!F121)</f>
        <v/>
      </c>
      <c r="H1116" s="37" t="str">
        <f>IF(Agent06_Savings!A121="","",Agent06_Savings!I121)</f>
        <v/>
      </c>
      <c r="I1116" s="37" t="str">
        <f>IF(Agent06_Savings!A121="","",Agent06_Savings!J121)</f>
        <v/>
      </c>
      <c r="J1116" s="37" t="str">
        <f>IF(Agent06_Savings!A121="","",Agent06_Savings!K121)</f>
        <v/>
      </c>
      <c r="K1116" s="37" t="str">
        <f>IFERROR(IF(Agent06_Savings!A121="","",YEAR(Agent06_Savings!D121)),"")</f>
        <v/>
      </c>
    </row>
    <row r="1117" spans="1:11" ht="18" customHeight="1" x14ac:dyDescent="0.25">
      <c r="A1117" s="37" t="str">
        <f>IF(Agent06_Savings!A122="","",Agent06_Savings!A122)</f>
        <v/>
      </c>
      <c r="B1117" s="37" t="str">
        <f ca="1">IF(Agent06_Savings!A122="","","SV"&amp;TEXT(1117-3,"0000")&amp;"-"&amp;TEXT(TODAY(),"YYYYMMDD"))</f>
        <v/>
      </c>
      <c r="C1117" s="37" t="str">
        <f>IF(Agent06_Savings!A122="","",Agent06_Savings!B122)</f>
        <v/>
      </c>
      <c r="D1117" s="37" t="str">
        <f>IF(Agent06_Savings!A122="","",Agent06_Savings!G122)</f>
        <v/>
      </c>
      <c r="E1117" s="38" t="str">
        <f>IF(Agent06_Savings!A122="","",Agent06_Savings!D122)</f>
        <v/>
      </c>
      <c r="F1117" s="39" t="str">
        <f>IF(Agent06_Savings!A122="","",Agent06_Savings!E122)</f>
        <v/>
      </c>
      <c r="G1117" s="39" t="str">
        <f>IF(Agent06_Savings!A122="","",Agent06_Savings!F122)</f>
        <v/>
      </c>
      <c r="H1117" s="37" t="str">
        <f>IF(Agent06_Savings!A122="","",Agent06_Savings!I122)</f>
        <v/>
      </c>
      <c r="I1117" s="37" t="str">
        <f>IF(Agent06_Savings!A122="","",Agent06_Savings!J122)</f>
        <v/>
      </c>
      <c r="J1117" s="37" t="str">
        <f>IF(Agent06_Savings!A122="","",Agent06_Savings!K122)</f>
        <v/>
      </c>
      <c r="K1117" s="37" t="str">
        <f>IFERROR(IF(Agent06_Savings!A122="","",YEAR(Agent06_Savings!D122)),"")</f>
        <v/>
      </c>
    </row>
    <row r="1118" spans="1:11" ht="18" customHeight="1" x14ac:dyDescent="0.25">
      <c r="A1118" s="37" t="str">
        <f>IF(Agent06_Savings!A123="","",Agent06_Savings!A123)</f>
        <v/>
      </c>
      <c r="B1118" s="37" t="str">
        <f ca="1">IF(Agent06_Savings!A123="","","SV"&amp;TEXT(1118-3,"0000")&amp;"-"&amp;TEXT(TODAY(),"YYYYMMDD"))</f>
        <v/>
      </c>
      <c r="C1118" s="37" t="str">
        <f>IF(Agent06_Savings!A123="","",Agent06_Savings!B123)</f>
        <v/>
      </c>
      <c r="D1118" s="37" t="str">
        <f>IF(Agent06_Savings!A123="","",Agent06_Savings!G123)</f>
        <v/>
      </c>
      <c r="E1118" s="38" t="str">
        <f>IF(Agent06_Savings!A123="","",Agent06_Savings!D123)</f>
        <v/>
      </c>
      <c r="F1118" s="39" t="str">
        <f>IF(Agent06_Savings!A123="","",Agent06_Savings!E123)</f>
        <v/>
      </c>
      <c r="G1118" s="39" t="str">
        <f>IF(Agent06_Savings!A123="","",Agent06_Savings!F123)</f>
        <v/>
      </c>
      <c r="H1118" s="37" t="str">
        <f>IF(Agent06_Savings!A123="","",Agent06_Savings!I123)</f>
        <v/>
      </c>
      <c r="I1118" s="37" t="str">
        <f>IF(Agent06_Savings!A123="","",Agent06_Savings!J123)</f>
        <v/>
      </c>
      <c r="J1118" s="37" t="str">
        <f>IF(Agent06_Savings!A123="","",Agent06_Savings!K123)</f>
        <v/>
      </c>
      <c r="K1118" s="37" t="str">
        <f>IFERROR(IF(Agent06_Savings!A123="","",YEAR(Agent06_Savings!D123)),"")</f>
        <v/>
      </c>
    </row>
    <row r="1119" spans="1:11" ht="18" customHeight="1" x14ac:dyDescent="0.25">
      <c r="A1119" s="37" t="str">
        <f>IF(Agent06_Savings!A124="","",Agent06_Savings!A124)</f>
        <v/>
      </c>
      <c r="B1119" s="37" t="str">
        <f ca="1">IF(Agent06_Savings!A124="","","SV"&amp;TEXT(1119-3,"0000")&amp;"-"&amp;TEXT(TODAY(),"YYYYMMDD"))</f>
        <v/>
      </c>
      <c r="C1119" s="37" t="str">
        <f>IF(Agent06_Savings!A124="","",Agent06_Savings!B124)</f>
        <v/>
      </c>
      <c r="D1119" s="37" t="str">
        <f>IF(Agent06_Savings!A124="","",Agent06_Savings!G124)</f>
        <v/>
      </c>
      <c r="E1119" s="38" t="str">
        <f>IF(Agent06_Savings!A124="","",Agent06_Savings!D124)</f>
        <v/>
      </c>
      <c r="F1119" s="39" t="str">
        <f>IF(Agent06_Savings!A124="","",Agent06_Savings!E124)</f>
        <v/>
      </c>
      <c r="G1119" s="39" t="str">
        <f>IF(Agent06_Savings!A124="","",Agent06_Savings!F124)</f>
        <v/>
      </c>
      <c r="H1119" s="37" t="str">
        <f>IF(Agent06_Savings!A124="","",Agent06_Savings!I124)</f>
        <v/>
      </c>
      <c r="I1119" s="37" t="str">
        <f>IF(Agent06_Savings!A124="","",Agent06_Savings!J124)</f>
        <v/>
      </c>
      <c r="J1119" s="37" t="str">
        <f>IF(Agent06_Savings!A124="","",Agent06_Savings!K124)</f>
        <v/>
      </c>
      <c r="K1119" s="37" t="str">
        <f>IFERROR(IF(Agent06_Savings!A124="","",YEAR(Agent06_Savings!D124)),"")</f>
        <v/>
      </c>
    </row>
    <row r="1120" spans="1:11" ht="18" customHeight="1" x14ac:dyDescent="0.25">
      <c r="A1120" s="37" t="str">
        <f>IF(Agent06_Savings!A125="","",Agent06_Savings!A125)</f>
        <v/>
      </c>
      <c r="B1120" s="37" t="str">
        <f ca="1">IF(Agent06_Savings!A125="","","SV"&amp;TEXT(1120-3,"0000")&amp;"-"&amp;TEXT(TODAY(),"YYYYMMDD"))</f>
        <v/>
      </c>
      <c r="C1120" s="37" t="str">
        <f>IF(Agent06_Savings!A125="","",Agent06_Savings!B125)</f>
        <v/>
      </c>
      <c r="D1120" s="37" t="str">
        <f>IF(Agent06_Savings!A125="","",Agent06_Savings!G125)</f>
        <v/>
      </c>
      <c r="E1120" s="38" t="str">
        <f>IF(Agent06_Savings!A125="","",Agent06_Savings!D125)</f>
        <v/>
      </c>
      <c r="F1120" s="39" t="str">
        <f>IF(Agent06_Savings!A125="","",Agent06_Savings!E125)</f>
        <v/>
      </c>
      <c r="G1120" s="39" t="str">
        <f>IF(Agent06_Savings!A125="","",Agent06_Savings!F125)</f>
        <v/>
      </c>
      <c r="H1120" s="37" t="str">
        <f>IF(Agent06_Savings!A125="","",Agent06_Savings!I125)</f>
        <v/>
      </c>
      <c r="I1120" s="37" t="str">
        <f>IF(Agent06_Savings!A125="","",Agent06_Savings!J125)</f>
        <v/>
      </c>
      <c r="J1120" s="37" t="str">
        <f>IF(Agent06_Savings!A125="","",Agent06_Savings!K125)</f>
        <v/>
      </c>
      <c r="K1120" s="37" t="str">
        <f>IFERROR(IF(Agent06_Savings!A125="","",YEAR(Agent06_Savings!D125)),"")</f>
        <v/>
      </c>
    </row>
    <row r="1121" spans="1:11" ht="18" customHeight="1" x14ac:dyDescent="0.25">
      <c r="A1121" s="37" t="str">
        <f>IF(Agent06_Savings!A126="","",Agent06_Savings!A126)</f>
        <v/>
      </c>
      <c r="B1121" s="37" t="str">
        <f ca="1">IF(Agent06_Savings!A126="","","SV"&amp;TEXT(1121-3,"0000")&amp;"-"&amp;TEXT(TODAY(),"YYYYMMDD"))</f>
        <v/>
      </c>
      <c r="C1121" s="37" t="str">
        <f>IF(Agent06_Savings!A126="","",Agent06_Savings!B126)</f>
        <v/>
      </c>
      <c r="D1121" s="37" t="str">
        <f>IF(Agent06_Savings!A126="","",Agent06_Savings!G126)</f>
        <v/>
      </c>
      <c r="E1121" s="38" t="str">
        <f>IF(Agent06_Savings!A126="","",Agent06_Savings!D126)</f>
        <v/>
      </c>
      <c r="F1121" s="39" t="str">
        <f>IF(Agent06_Savings!A126="","",Agent06_Savings!E126)</f>
        <v/>
      </c>
      <c r="G1121" s="39" t="str">
        <f>IF(Agent06_Savings!A126="","",Agent06_Savings!F126)</f>
        <v/>
      </c>
      <c r="H1121" s="37" t="str">
        <f>IF(Agent06_Savings!A126="","",Agent06_Savings!I126)</f>
        <v/>
      </c>
      <c r="I1121" s="37" t="str">
        <f>IF(Agent06_Savings!A126="","",Agent06_Savings!J126)</f>
        <v/>
      </c>
      <c r="J1121" s="37" t="str">
        <f>IF(Agent06_Savings!A126="","",Agent06_Savings!K126)</f>
        <v/>
      </c>
      <c r="K1121" s="37" t="str">
        <f>IFERROR(IF(Agent06_Savings!A126="","",YEAR(Agent06_Savings!D126)),"")</f>
        <v/>
      </c>
    </row>
    <row r="1122" spans="1:11" ht="18" customHeight="1" x14ac:dyDescent="0.25">
      <c r="A1122" s="37" t="str">
        <f>IF(Agent06_Savings!A127="","",Agent06_Savings!A127)</f>
        <v/>
      </c>
      <c r="B1122" s="37" t="str">
        <f ca="1">IF(Agent06_Savings!A127="","","SV"&amp;TEXT(1122-3,"0000")&amp;"-"&amp;TEXT(TODAY(),"YYYYMMDD"))</f>
        <v/>
      </c>
      <c r="C1122" s="37" t="str">
        <f>IF(Agent06_Savings!A127="","",Agent06_Savings!B127)</f>
        <v/>
      </c>
      <c r="D1122" s="37" t="str">
        <f>IF(Agent06_Savings!A127="","",Agent06_Savings!G127)</f>
        <v/>
      </c>
      <c r="E1122" s="38" t="str">
        <f>IF(Agent06_Savings!A127="","",Agent06_Savings!D127)</f>
        <v/>
      </c>
      <c r="F1122" s="39" t="str">
        <f>IF(Agent06_Savings!A127="","",Agent06_Savings!E127)</f>
        <v/>
      </c>
      <c r="G1122" s="39" t="str">
        <f>IF(Agent06_Savings!A127="","",Agent06_Savings!F127)</f>
        <v/>
      </c>
      <c r="H1122" s="37" t="str">
        <f>IF(Agent06_Savings!A127="","",Agent06_Savings!I127)</f>
        <v/>
      </c>
      <c r="I1122" s="37" t="str">
        <f>IF(Agent06_Savings!A127="","",Agent06_Savings!J127)</f>
        <v/>
      </c>
      <c r="J1122" s="37" t="str">
        <f>IF(Agent06_Savings!A127="","",Agent06_Savings!K127)</f>
        <v/>
      </c>
      <c r="K1122" s="37" t="str">
        <f>IFERROR(IF(Agent06_Savings!A127="","",YEAR(Agent06_Savings!D127)),"")</f>
        <v/>
      </c>
    </row>
    <row r="1123" spans="1:11" ht="18" customHeight="1" x14ac:dyDescent="0.25">
      <c r="A1123" s="37" t="str">
        <f>IF(Agent06_Savings!A128="","",Agent06_Savings!A128)</f>
        <v/>
      </c>
      <c r="B1123" s="37" t="str">
        <f ca="1">IF(Agent06_Savings!A128="","","SV"&amp;TEXT(1123-3,"0000")&amp;"-"&amp;TEXT(TODAY(),"YYYYMMDD"))</f>
        <v/>
      </c>
      <c r="C1123" s="37" t="str">
        <f>IF(Agent06_Savings!A128="","",Agent06_Savings!B128)</f>
        <v/>
      </c>
      <c r="D1123" s="37" t="str">
        <f>IF(Agent06_Savings!A128="","",Agent06_Savings!G128)</f>
        <v/>
      </c>
      <c r="E1123" s="38" t="str">
        <f>IF(Agent06_Savings!A128="","",Agent06_Savings!D128)</f>
        <v/>
      </c>
      <c r="F1123" s="39" t="str">
        <f>IF(Agent06_Savings!A128="","",Agent06_Savings!E128)</f>
        <v/>
      </c>
      <c r="G1123" s="39" t="str">
        <f>IF(Agent06_Savings!A128="","",Agent06_Savings!F128)</f>
        <v/>
      </c>
      <c r="H1123" s="37" t="str">
        <f>IF(Agent06_Savings!A128="","",Agent06_Savings!I128)</f>
        <v/>
      </c>
      <c r="I1123" s="37" t="str">
        <f>IF(Agent06_Savings!A128="","",Agent06_Savings!J128)</f>
        <v/>
      </c>
      <c r="J1123" s="37" t="str">
        <f>IF(Agent06_Savings!A128="","",Agent06_Savings!K128)</f>
        <v/>
      </c>
      <c r="K1123" s="37" t="str">
        <f>IFERROR(IF(Agent06_Savings!A128="","",YEAR(Agent06_Savings!D128)),"")</f>
        <v/>
      </c>
    </row>
    <row r="1124" spans="1:11" ht="18" customHeight="1" x14ac:dyDescent="0.25">
      <c r="A1124" s="37" t="str">
        <f>IF(Agent06_Savings!A129="","",Agent06_Savings!A129)</f>
        <v/>
      </c>
      <c r="B1124" s="37" t="str">
        <f ca="1">IF(Agent06_Savings!A129="","","SV"&amp;TEXT(1124-3,"0000")&amp;"-"&amp;TEXT(TODAY(),"YYYYMMDD"))</f>
        <v/>
      </c>
      <c r="C1124" s="37" t="str">
        <f>IF(Agent06_Savings!A129="","",Agent06_Savings!B129)</f>
        <v/>
      </c>
      <c r="D1124" s="37" t="str">
        <f>IF(Agent06_Savings!A129="","",Agent06_Savings!G129)</f>
        <v/>
      </c>
      <c r="E1124" s="38" t="str">
        <f>IF(Agent06_Savings!A129="","",Agent06_Savings!D129)</f>
        <v/>
      </c>
      <c r="F1124" s="39" t="str">
        <f>IF(Agent06_Savings!A129="","",Agent06_Savings!E129)</f>
        <v/>
      </c>
      <c r="G1124" s="39" t="str">
        <f>IF(Agent06_Savings!A129="","",Agent06_Savings!F129)</f>
        <v/>
      </c>
      <c r="H1124" s="37" t="str">
        <f>IF(Agent06_Savings!A129="","",Agent06_Savings!I129)</f>
        <v/>
      </c>
      <c r="I1124" s="37" t="str">
        <f>IF(Agent06_Savings!A129="","",Agent06_Savings!J129)</f>
        <v/>
      </c>
      <c r="J1124" s="37" t="str">
        <f>IF(Agent06_Savings!A129="","",Agent06_Savings!K129)</f>
        <v/>
      </c>
      <c r="K1124" s="37" t="str">
        <f>IFERROR(IF(Agent06_Savings!A129="","",YEAR(Agent06_Savings!D129)),"")</f>
        <v/>
      </c>
    </row>
    <row r="1125" spans="1:11" ht="18" customHeight="1" x14ac:dyDescent="0.25">
      <c r="A1125" s="37" t="str">
        <f>IF(Agent06_Savings!A130="","",Agent06_Savings!A130)</f>
        <v/>
      </c>
      <c r="B1125" s="37" t="str">
        <f ca="1">IF(Agent06_Savings!A130="","","SV"&amp;TEXT(1125-3,"0000")&amp;"-"&amp;TEXT(TODAY(),"YYYYMMDD"))</f>
        <v/>
      </c>
      <c r="C1125" s="37" t="str">
        <f>IF(Agent06_Savings!A130="","",Agent06_Savings!B130)</f>
        <v/>
      </c>
      <c r="D1125" s="37" t="str">
        <f>IF(Agent06_Savings!A130="","",Agent06_Savings!G130)</f>
        <v/>
      </c>
      <c r="E1125" s="38" t="str">
        <f>IF(Agent06_Savings!A130="","",Agent06_Savings!D130)</f>
        <v/>
      </c>
      <c r="F1125" s="39" t="str">
        <f>IF(Agent06_Savings!A130="","",Agent06_Savings!E130)</f>
        <v/>
      </c>
      <c r="G1125" s="39" t="str">
        <f>IF(Agent06_Savings!A130="","",Agent06_Savings!F130)</f>
        <v/>
      </c>
      <c r="H1125" s="37" t="str">
        <f>IF(Agent06_Savings!A130="","",Agent06_Savings!I130)</f>
        <v/>
      </c>
      <c r="I1125" s="37" t="str">
        <f>IF(Agent06_Savings!A130="","",Agent06_Savings!J130)</f>
        <v/>
      </c>
      <c r="J1125" s="37" t="str">
        <f>IF(Agent06_Savings!A130="","",Agent06_Savings!K130)</f>
        <v/>
      </c>
      <c r="K1125" s="37" t="str">
        <f>IFERROR(IF(Agent06_Savings!A130="","",YEAR(Agent06_Savings!D130)),"")</f>
        <v/>
      </c>
    </row>
    <row r="1126" spans="1:11" ht="18" customHeight="1" x14ac:dyDescent="0.25">
      <c r="A1126" s="37" t="str">
        <f>IF(Agent06_Savings!A131="","",Agent06_Savings!A131)</f>
        <v/>
      </c>
      <c r="B1126" s="37" t="str">
        <f ca="1">IF(Agent06_Savings!A131="","","SV"&amp;TEXT(1126-3,"0000")&amp;"-"&amp;TEXT(TODAY(),"YYYYMMDD"))</f>
        <v/>
      </c>
      <c r="C1126" s="37" t="str">
        <f>IF(Agent06_Savings!A131="","",Agent06_Savings!B131)</f>
        <v/>
      </c>
      <c r="D1126" s="37" t="str">
        <f>IF(Agent06_Savings!A131="","",Agent06_Savings!G131)</f>
        <v/>
      </c>
      <c r="E1126" s="38" t="str">
        <f>IF(Agent06_Savings!A131="","",Agent06_Savings!D131)</f>
        <v/>
      </c>
      <c r="F1126" s="39" t="str">
        <f>IF(Agent06_Savings!A131="","",Agent06_Savings!E131)</f>
        <v/>
      </c>
      <c r="G1126" s="39" t="str">
        <f>IF(Agent06_Savings!A131="","",Agent06_Savings!F131)</f>
        <v/>
      </c>
      <c r="H1126" s="37" t="str">
        <f>IF(Agent06_Savings!A131="","",Agent06_Savings!I131)</f>
        <v/>
      </c>
      <c r="I1126" s="37" t="str">
        <f>IF(Agent06_Savings!A131="","",Agent06_Savings!J131)</f>
        <v/>
      </c>
      <c r="J1126" s="37" t="str">
        <f>IF(Agent06_Savings!A131="","",Agent06_Savings!K131)</f>
        <v/>
      </c>
      <c r="K1126" s="37" t="str">
        <f>IFERROR(IF(Agent06_Savings!A131="","",YEAR(Agent06_Savings!D131)),"")</f>
        <v/>
      </c>
    </row>
    <row r="1127" spans="1:11" ht="18" customHeight="1" x14ac:dyDescent="0.25">
      <c r="A1127" s="37" t="str">
        <f>IF(Agent06_Savings!A132="","",Agent06_Savings!A132)</f>
        <v/>
      </c>
      <c r="B1127" s="37" t="str">
        <f ca="1">IF(Agent06_Savings!A132="","","SV"&amp;TEXT(1127-3,"0000")&amp;"-"&amp;TEXT(TODAY(),"YYYYMMDD"))</f>
        <v/>
      </c>
      <c r="C1127" s="37" t="str">
        <f>IF(Agent06_Savings!A132="","",Agent06_Savings!B132)</f>
        <v/>
      </c>
      <c r="D1127" s="37" t="str">
        <f>IF(Agent06_Savings!A132="","",Agent06_Savings!G132)</f>
        <v/>
      </c>
      <c r="E1127" s="38" t="str">
        <f>IF(Agent06_Savings!A132="","",Agent06_Savings!D132)</f>
        <v/>
      </c>
      <c r="F1127" s="39" t="str">
        <f>IF(Agent06_Savings!A132="","",Agent06_Savings!E132)</f>
        <v/>
      </c>
      <c r="G1127" s="39" t="str">
        <f>IF(Agent06_Savings!A132="","",Agent06_Savings!F132)</f>
        <v/>
      </c>
      <c r="H1127" s="37" t="str">
        <f>IF(Agent06_Savings!A132="","",Agent06_Savings!I132)</f>
        <v/>
      </c>
      <c r="I1127" s="37" t="str">
        <f>IF(Agent06_Savings!A132="","",Agent06_Savings!J132)</f>
        <v/>
      </c>
      <c r="J1127" s="37" t="str">
        <f>IF(Agent06_Savings!A132="","",Agent06_Savings!K132)</f>
        <v/>
      </c>
      <c r="K1127" s="37" t="str">
        <f>IFERROR(IF(Agent06_Savings!A132="","",YEAR(Agent06_Savings!D132)),"")</f>
        <v/>
      </c>
    </row>
    <row r="1128" spans="1:11" ht="18" customHeight="1" x14ac:dyDescent="0.25">
      <c r="A1128" s="37" t="str">
        <f>IF(Agent06_Savings!A133="","",Agent06_Savings!A133)</f>
        <v/>
      </c>
      <c r="B1128" s="37" t="str">
        <f ca="1">IF(Agent06_Savings!A133="","","SV"&amp;TEXT(1128-3,"0000")&amp;"-"&amp;TEXT(TODAY(),"YYYYMMDD"))</f>
        <v/>
      </c>
      <c r="C1128" s="37" t="str">
        <f>IF(Agent06_Savings!A133="","",Agent06_Savings!B133)</f>
        <v/>
      </c>
      <c r="D1128" s="37" t="str">
        <f>IF(Agent06_Savings!A133="","",Agent06_Savings!G133)</f>
        <v/>
      </c>
      <c r="E1128" s="38" t="str">
        <f>IF(Agent06_Savings!A133="","",Agent06_Savings!D133)</f>
        <v/>
      </c>
      <c r="F1128" s="39" t="str">
        <f>IF(Agent06_Savings!A133="","",Agent06_Savings!E133)</f>
        <v/>
      </c>
      <c r="G1128" s="39" t="str">
        <f>IF(Agent06_Savings!A133="","",Agent06_Savings!F133)</f>
        <v/>
      </c>
      <c r="H1128" s="37" t="str">
        <f>IF(Agent06_Savings!A133="","",Agent06_Savings!I133)</f>
        <v/>
      </c>
      <c r="I1128" s="37" t="str">
        <f>IF(Agent06_Savings!A133="","",Agent06_Savings!J133)</f>
        <v/>
      </c>
      <c r="J1128" s="37" t="str">
        <f>IF(Agent06_Savings!A133="","",Agent06_Savings!K133)</f>
        <v/>
      </c>
      <c r="K1128" s="37" t="str">
        <f>IFERROR(IF(Agent06_Savings!A133="","",YEAR(Agent06_Savings!D133)),"")</f>
        <v/>
      </c>
    </row>
    <row r="1129" spans="1:11" ht="18" customHeight="1" x14ac:dyDescent="0.25">
      <c r="A1129" s="37" t="str">
        <f>IF(Agent06_Savings!A134="","",Agent06_Savings!A134)</f>
        <v/>
      </c>
      <c r="B1129" s="37" t="str">
        <f ca="1">IF(Agent06_Savings!A134="","","SV"&amp;TEXT(1129-3,"0000")&amp;"-"&amp;TEXT(TODAY(),"YYYYMMDD"))</f>
        <v/>
      </c>
      <c r="C1129" s="37" t="str">
        <f>IF(Agent06_Savings!A134="","",Agent06_Savings!B134)</f>
        <v/>
      </c>
      <c r="D1129" s="37" t="str">
        <f>IF(Agent06_Savings!A134="","",Agent06_Savings!G134)</f>
        <v/>
      </c>
      <c r="E1129" s="38" t="str">
        <f>IF(Agent06_Savings!A134="","",Agent06_Savings!D134)</f>
        <v/>
      </c>
      <c r="F1129" s="39" t="str">
        <f>IF(Agent06_Savings!A134="","",Agent06_Savings!E134)</f>
        <v/>
      </c>
      <c r="G1129" s="39" t="str">
        <f>IF(Agent06_Savings!A134="","",Agent06_Savings!F134)</f>
        <v/>
      </c>
      <c r="H1129" s="37" t="str">
        <f>IF(Agent06_Savings!A134="","",Agent06_Savings!I134)</f>
        <v/>
      </c>
      <c r="I1129" s="37" t="str">
        <f>IF(Agent06_Savings!A134="","",Agent06_Savings!J134)</f>
        <v/>
      </c>
      <c r="J1129" s="37" t="str">
        <f>IF(Agent06_Savings!A134="","",Agent06_Savings!K134)</f>
        <v/>
      </c>
      <c r="K1129" s="37" t="str">
        <f>IFERROR(IF(Agent06_Savings!A134="","",YEAR(Agent06_Savings!D134)),"")</f>
        <v/>
      </c>
    </row>
    <row r="1130" spans="1:11" ht="18" customHeight="1" x14ac:dyDescent="0.25">
      <c r="A1130" s="37" t="str">
        <f>IF(Agent06_Savings!A135="","",Agent06_Savings!A135)</f>
        <v/>
      </c>
      <c r="B1130" s="37" t="str">
        <f ca="1">IF(Agent06_Savings!A135="","","SV"&amp;TEXT(1130-3,"0000")&amp;"-"&amp;TEXT(TODAY(),"YYYYMMDD"))</f>
        <v/>
      </c>
      <c r="C1130" s="37" t="str">
        <f>IF(Agent06_Savings!A135="","",Agent06_Savings!B135)</f>
        <v/>
      </c>
      <c r="D1130" s="37" t="str">
        <f>IF(Agent06_Savings!A135="","",Agent06_Savings!G135)</f>
        <v/>
      </c>
      <c r="E1130" s="38" t="str">
        <f>IF(Agent06_Savings!A135="","",Agent06_Savings!D135)</f>
        <v/>
      </c>
      <c r="F1130" s="39" t="str">
        <f>IF(Agent06_Savings!A135="","",Agent06_Savings!E135)</f>
        <v/>
      </c>
      <c r="G1130" s="39" t="str">
        <f>IF(Agent06_Savings!A135="","",Agent06_Savings!F135)</f>
        <v/>
      </c>
      <c r="H1130" s="37" t="str">
        <f>IF(Agent06_Savings!A135="","",Agent06_Savings!I135)</f>
        <v/>
      </c>
      <c r="I1130" s="37" t="str">
        <f>IF(Agent06_Savings!A135="","",Agent06_Savings!J135)</f>
        <v/>
      </c>
      <c r="J1130" s="37" t="str">
        <f>IF(Agent06_Savings!A135="","",Agent06_Savings!K135)</f>
        <v/>
      </c>
      <c r="K1130" s="37" t="str">
        <f>IFERROR(IF(Agent06_Savings!A135="","",YEAR(Agent06_Savings!D135)),"")</f>
        <v/>
      </c>
    </row>
    <row r="1131" spans="1:11" ht="18" customHeight="1" x14ac:dyDescent="0.25">
      <c r="A1131" s="37" t="str">
        <f>IF(Agent06_Savings!A136="","",Agent06_Savings!A136)</f>
        <v/>
      </c>
      <c r="B1131" s="37" t="str">
        <f ca="1">IF(Agent06_Savings!A136="","","SV"&amp;TEXT(1131-3,"0000")&amp;"-"&amp;TEXT(TODAY(),"YYYYMMDD"))</f>
        <v/>
      </c>
      <c r="C1131" s="37" t="str">
        <f>IF(Agent06_Savings!A136="","",Agent06_Savings!B136)</f>
        <v/>
      </c>
      <c r="D1131" s="37" t="str">
        <f>IF(Agent06_Savings!A136="","",Agent06_Savings!G136)</f>
        <v/>
      </c>
      <c r="E1131" s="38" t="str">
        <f>IF(Agent06_Savings!A136="","",Agent06_Savings!D136)</f>
        <v/>
      </c>
      <c r="F1131" s="39" t="str">
        <f>IF(Agent06_Savings!A136="","",Agent06_Savings!E136)</f>
        <v/>
      </c>
      <c r="G1131" s="39" t="str">
        <f>IF(Agent06_Savings!A136="","",Agent06_Savings!F136)</f>
        <v/>
      </c>
      <c r="H1131" s="37" t="str">
        <f>IF(Agent06_Savings!A136="","",Agent06_Savings!I136)</f>
        <v/>
      </c>
      <c r="I1131" s="37" t="str">
        <f>IF(Agent06_Savings!A136="","",Agent06_Savings!J136)</f>
        <v/>
      </c>
      <c r="J1131" s="37" t="str">
        <f>IF(Agent06_Savings!A136="","",Agent06_Savings!K136)</f>
        <v/>
      </c>
      <c r="K1131" s="37" t="str">
        <f>IFERROR(IF(Agent06_Savings!A136="","",YEAR(Agent06_Savings!D136)),"")</f>
        <v/>
      </c>
    </row>
    <row r="1132" spans="1:11" ht="18" customHeight="1" x14ac:dyDescent="0.25">
      <c r="A1132" s="37" t="str">
        <f>IF(Agent06_Savings!A137="","",Agent06_Savings!A137)</f>
        <v/>
      </c>
      <c r="B1132" s="37" t="str">
        <f ca="1">IF(Agent06_Savings!A137="","","SV"&amp;TEXT(1132-3,"0000")&amp;"-"&amp;TEXT(TODAY(),"YYYYMMDD"))</f>
        <v/>
      </c>
      <c r="C1132" s="37" t="str">
        <f>IF(Agent06_Savings!A137="","",Agent06_Savings!B137)</f>
        <v/>
      </c>
      <c r="D1132" s="37" t="str">
        <f>IF(Agent06_Savings!A137="","",Agent06_Savings!G137)</f>
        <v/>
      </c>
      <c r="E1132" s="38" t="str">
        <f>IF(Agent06_Savings!A137="","",Agent06_Savings!D137)</f>
        <v/>
      </c>
      <c r="F1132" s="39" t="str">
        <f>IF(Agent06_Savings!A137="","",Agent06_Savings!E137)</f>
        <v/>
      </c>
      <c r="G1132" s="39" t="str">
        <f>IF(Agent06_Savings!A137="","",Agent06_Savings!F137)</f>
        <v/>
      </c>
      <c r="H1132" s="37" t="str">
        <f>IF(Agent06_Savings!A137="","",Agent06_Savings!I137)</f>
        <v/>
      </c>
      <c r="I1132" s="37" t="str">
        <f>IF(Agent06_Savings!A137="","",Agent06_Savings!J137)</f>
        <v/>
      </c>
      <c r="J1132" s="37" t="str">
        <f>IF(Agent06_Savings!A137="","",Agent06_Savings!K137)</f>
        <v/>
      </c>
      <c r="K1132" s="37" t="str">
        <f>IFERROR(IF(Agent06_Savings!A137="","",YEAR(Agent06_Savings!D137)),"")</f>
        <v/>
      </c>
    </row>
    <row r="1133" spans="1:11" ht="18" customHeight="1" x14ac:dyDescent="0.25">
      <c r="A1133" s="37" t="str">
        <f>IF(Agent06_Savings!A138="","",Agent06_Savings!A138)</f>
        <v/>
      </c>
      <c r="B1133" s="37" t="str">
        <f ca="1">IF(Agent06_Savings!A138="","","SV"&amp;TEXT(1133-3,"0000")&amp;"-"&amp;TEXT(TODAY(),"YYYYMMDD"))</f>
        <v/>
      </c>
      <c r="C1133" s="37" t="str">
        <f>IF(Agent06_Savings!A138="","",Agent06_Savings!B138)</f>
        <v/>
      </c>
      <c r="D1133" s="37" t="str">
        <f>IF(Agent06_Savings!A138="","",Agent06_Savings!G138)</f>
        <v/>
      </c>
      <c r="E1133" s="38" t="str">
        <f>IF(Agent06_Savings!A138="","",Agent06_Savings!D138)</f>
        <v/>
      </c>
      <c r="F1133" s="39" t="str">
        <f>IF(Agent06_Savings!A138="","",Agent06_Savings!E138)</f>
        <v/>
      </c>
      <c r="G1133" s="39" t="str">
        <f>IF(Agent06_Savings!A138="","",Agent06_Savings!F138)</f>
        <v/>
      </c>
      <c r="H1133" s="37" t="str">
        <f>IF(Agent06_Savings!A138="","",Agent06_Savings!I138)</f>
        <v/>
      </c>
      <c r="I1133" s="37" t="str">
        <f>IF(Agent06_Savings!A138="","",Agent06_Savings!J138)</f>
        <v/>
      </c>
      <c r="J1133" s="37" t="str">
        <f>IF(Agent06_Savings!A138="","",Agent06_Savings!K138)</f>
        <v/>
      </c>
      <c r="K1133" s="37" t="str">
        <f>IFERROR(IF(Agent06_Savings!A138="","",YEAR(Agent06_Savings!D138)),"")</f>
        <v/>
      </c>
    </row>
    <row r="1134" spans="1:11" ht="18" customHeight="1" x14ac:dyDescent="0.25">
      <c r="A1134" s="37" t="str">
        <f>IF(Agent06_Savings!A139="","",Agent06_Savings!A139)</f>
        <v/>
      </c>
      <c r="B1134" s="37" t="str">
        <f ca="1">IF(Agent06_Savings!A139="","","SV"&amp;TEXT(1134-3,"0000")&amp;"-"&amp;TEXT(TODAY(),"YYYYMMDD"))</f>
        <v/>
      </c>
      <c r="C1134" s="37" t="str">
        <f>IF(Agent06_Savings!A139="","",Agent06_Savings!B139)</f>
        <v/>
      </c>
      <c r="D1134" s="37" t="str">
        <f>IF(Agent06_Savings!A139="","",Agent06_Savings!G139)</f>
        <v/>
      </c>
      <c r="E1134" s="38" t="str">
        <f>IF(Agent06_Savings!A139="","",Agent06_Savings!D139)</f>
        <v/>
      </c>
      <c r="F1134" s="39" t="str">
        <f>IF(Agent06_Savings!A139="","",Agent06_Savings!E139)</f>
        <v/>
      </c>
      <c r="G1134" s="39" t="str">
        <f>IF(Agent06_Savings!A139="","",Agent06_Savings!F139)</f>
        <v/>
      </c>
      <c r="H1134" s="37" t="str">
        <f>IF(Agent06_Savings!A139="","",Agent06_Savings!I139)</f>
        <v/>
      </c>
      <c r="I1134" s="37" t="str">
        <f>IF(Agent06_Savings!A139="","",Agent06_Savings!J139)</f>
        <v/>
      </c>
      <c r="J1134" s="37" t="str">
        <f>IF(Agent06_Savings!A139="","",Agent06_Savings!K139)</f>
        <v/>
      </c>
      <c r="K1134" s="37" t="str">
        <f>IFERROR(IF(Agent06_Savings!A139="","",YEAR(Agent06_Savings!D139)),"")</f>
        <v/>
      </c>
    </row>
    <row r="1135" spans="1:11" ht="18" customHeight="1" x14ac:dyDescent="0.25">
      <c r="A1135" s="37" t="str">
        <f>IF(Agent06_Savings!A140="","",Agent06_Savings!A140)</f>
        <v/>
      </c>
      <c r="B1135" s="37" t="str">
        <f ca="1">IF(Agent06_Savings!A140="","","SV"&amp;TEXT(1135-3,"0000")&amp;"-"&amp;TEXT(TODAY(),"YYYYMMDD"))</f>
        <v/>
      </c>
      <c r="C1135" s="37" t="str">
        <f>IF(Agent06_Savings!A140="","",Agent06_Savings!B140)</f>
        <v/>
      </c>
      <c r="D1135" s="37" t="str">
        <f>IF(Agent06_Savings!A140="","",Agent06_Savings!G140)</f>
        <v/>
      </c>
      <c r="E1135" s="38" t="str">
        <f>IF(Agent06_Savings!A140="","",Agent06_Savings!D140)</f>
        <v/>
      </c>
      <c r="F1135" s="39" t="str">
        <f>IF(Agent06_Savings!A140="","",Agent06_Savings!E140)</f>
        <v/>
      </c>
      <c r="G1135" s="39" t="str">
        <f>IF(Agent06_Savings!A140="","",Agent06_Savings!F140)</f>
        <v/>
      </c>
      <c r="H1135" s="37" t="str">
        <f>IF(Agent06_Savings!A140="","",Agent06_Savings!I140)</f>
        <v/>
      </c>
      <c r="I1135" s="37" t="str">
        <f>IF(Agent06_Savings!A140="","",Agent06_Savings!J140)</f>
        <v/>
      </c>
      <c r="J1135" s="37" t="str">
        <f>IF(Agent06_Savings!A140="","",Agent06_Savings!K140)</f>
        <v/>
      </c>
      <c r="K1135" s="37" t="str">
        <f>IFERROR(IF(Agent06_Savings!A140="","",YEAR(Agent06_Savings!D140)),"")</f>
        <v/>
      </c>
    </row>
    <row r="1136" spans="1:11" ht="18" customHeight="1" x14ac:dyDescent="0.25">
      <c r="A1136" s="37" t="str">
        <f>IF(Agent06_Savings!A141="","",Agent06_Savings!A141)</f>
        <v/>
      </c>
      <c r="B1136" s="37" t="str">
        <f ca="1">IF(Agent06_Savings!A141="","","SV"&amp;TEXT(1136-3,"0000")&amp;"-"&amp;TEXT(TODAY(),"YYYYMMDD"))</f>
        <v/>
      </c>
      <c r="C1136" s="37" t="str">
        <f>IF(Agent06_Savings!A141="","",Agent06_Savings!B141)</f>
        <v/>
      </c>
      <c r="D1136" s="37" t="str">
        <f>IF(Agent06_Savings!A141="","",Agent06_Savings!G141)</f>
        <v/>
      </c>
      <c r="E1136" s="38" t="str">
        <f>IF(Agent06_Savings!A141="","",Agent06_Savings!D141)</f>
        <v/>
      </c>
      <c r="F1136" s="39" t="str">
        <f>IF(Agent06_Savings!A141="","",Agent06_Savings!E141)</f>
        <v/>
      </c>
      <c r="G1136" s="39" t="str">
        <f>IF(Agent06_Savings!A141="","",Agent06_Savings!F141)</f>
        <v/>
      </c>
      <c r="H1136" s="37" t="str">
        <f>IF(Agent06_Savings!A141="","",Agent06_Savings!I141)</f>
        <v/>
      </c>
      <c r="I1136" s="37" t="str">
        <f>IF(Agent06_Savings!A141="","",Agent06_Savings!J141)</f>
        <v/>
      </c>
      <c r="J1136" s="37" t="str">
        <f>IF(Agent06_Savings!A141="","",Agent06_Savings!K141)</f>
        <v/>
      </c>
      <c r="K1136" s="37" t="str">
        <f>IFERROR(IF(Agent06_Savings!A141="","",YEAR(Agent06_Savings!D141)),"")</f>
        <v/>
      </c>
    </row>
    <row r="1137" spans="1:11" ht="18" customHeight="1" x14ac:dyDescent="0.25">
      <c r="A1137" s="37" t="str">
        <f>IF(Agent06_Savings!A142="","",Agent06_Savings!A142)</f>
        <v/>
      </c>
      <c r="B1137" s="37" t="str">
        <f ca="1">IF(Agent06_Savings!A142="","","SV"&amp;TEXT(1137-3,"0000")&amp;"-"&amp;TEXT(TODAY(),"YYYYMMDD"))</f>
        <v/>
      </c>
      <c r="C1137" s="37" t="str">
        <f>IF(Agent06_Savings!A142="","",Agent06_Savings!B142)</f>
        <v/>
      </c>
      <c r="D1137" s="37" t="str">
        <f>IF(Agent06_Savings!A142="","",Agent06_Savings!G142)</f>
        <v/>
      </c>
      <c r="E1137" s="38" t="str">
        <f>IF(Agent06_Savings!A142="","",Agent06_Savings!D142)</f>
        <v/>
      </c>
      <c r="F1137" s="39" t="str">
        <f>IF(Agent06_Savings!A142="","",Agent06_Savings!E142)</f>
        <v/>
      </c>
      <c r="G1137" s="39" t="str">
        <f>IF(Agent06_Savings!A142="","",Agent06_Savings!F142)</f>
        <v/>
      </c>
      <c r="H1137" s="37" t="str">
        <f>IF(Agent06_Savings!A142="","",Agent06_Savings!I142)</f>
        <v/>
      </c>
      <c r="I1137" s="37" t="str">
        <f>IF(Agent06_Savings!A142="","",Agent06_Savings!J142)</f>
        <v/>
      </c>
      <c r="J1137" s="37" t="str">
        <f>IF(Agent06_Savings!A142="","",Agent06_Savings!K142)</f>
        <v/>
      </c>
      <c r="K1137" s="37" t="str">
        <f>IFERROR(IF(Agent06_Savings!A142="","",YEAR(Agent06_Savings!D142)),"")</f>
        <v/>
      </c>
    </row>
    <row r="1138" spans="1:11" ht="18" customHeight="1" x14ac:dyDescent="0.25">
      <c r="A1138" s="37" t="str">
        <f>IF(Agent06_Savings!A143="","",Agent06_Savings!A143)</f>
        <v/>
      </c>
      <c r="B1138" s="37" t="str">
        <f ca="1">IF(Agent06_Savings!A143="","","SV"&amp;TEXT(1138-3,"0000")&amp;"-"&amp;TEXT(TODAY(),"YYYYMMDD"))</f>
        <v/>
      </c>
      <c r="C1138" s="37" t="str">
        <f>IF(Agent06_Savings!A143="","",Agent06_Savings!B143)</f>
        <v/>
      </c>
      <c r="D1138" s="37" t="str">
        <f>IF(Agent06_Savings!A143="","",Agent06_Savings!G143)</f>
        <v/>
      </c>
      <c r="E1138" s="38" t="str">
        <f>IF(Agent06_Savings!A143="","",Agent06_Savings!D143)</f>
        <v/>
      </c>
      <c r="F1138" s="39" t="str">
        <f>IF(Agent06_Savings!A143="","",Agent06_Savings!E143)</f>
        <v/>
      </c>
      <c r="G1138" s="39" t="str">
        <f>IF(Agent06_Savings!A143="","",Agent06_Savings!F143)</f>
        <v/>
      </c>
      <c r="H1138" s="37" t="str">
        <f>IF(Agent06_Savings!A143="","",Agent06_Savings!I143)</f>
        <v/>
      </c>
      <c r="I1138" s="37" t="str">
        <f>IF(Agent06_Savings!A143="","",Agent06_Savings!J143)</f>
        <v/>
      </c>
      <c r="J1138" s="37" t="str">
        <f>IF(Agent06_Savings!A143="","",Agent06_Savings!K143)</f>
        <v/>
      </c>
      <c r="K1138" s="37" t="str">
        <f>IFERROR(IF(Agent06_Savings!A143="","",YEAR(Agent06_Savings!D143)),"")</f>
        <v/>
      </c>
    </row>
    <row r="1139" spans="1:11" ht="18" customHeight="1" x14ac:dyDescent="0.25">
      <c r="A1139" s="37" t="str">
        <f>IF(Agent06_Savings!A144="","",Agent06_Savings!A144)</f>
        <v/>
      </c>
      <c r="B1139" s="37" t="str">
        <f ca="1">IF(Agent06_Savings!A144="","","SV"&amp;TEXT(1139-3,"0000")&amp;"-"&amp;TEXT(TODAY(),"YYYYMMDD"))</f>
        <v/>
      </c>
      <c r="C1139" s="37" t="str">
        <f>IF(Agent06_Savings!A144="","",Agent06_Savings!B144)</f>
        <v/>
      </c>
      <c r="D1139" s="37" t="str">
        <f>IF(Agent06_Savings!A144="","",Agent06_Savings!G144)</f>
        <v/>
      </c>
      <c r="E1139" s="38" t="str">
        <f>IF(Agent06_Savings!A144="","",Agent06_Savings!D144)</f>
        <v/>
      </c>
      <c r="F1139" s="39" t="str">
        <f>IF(Agent06_Savings!A144="","",Agent06_Savings!E144)</f>
        <v/>
      </c>
      <c r="G1139" s="39" t="str">
        <f>IF(Agent06_Savings!A144="","",Agent06_Savings!F144)</f>
        <v/>
      </c>
      <c r="H1139" s="37" t="str">
        <f>IF(Agent06_Savings!A144="","",Agent06_Savings!I144)</f>
        <v/>
      </c>
      <c r="I1139" s="37" t="str">
        <f>IF(Agent06_Savings!A144="","",Agent06_Savings!J144)</f>
        <v/>
      </c>
      <c r="J1139" s="37" t="str">
        <f>IF(Agent06_Savings!A144="","",Agent06_Savings!K144)</f>
        <v/>
      </c>
      <c r="K1139" s="37" t="str">
        <f>IFERROR(IF(Agent06_Savings!A144="","",YEAR(Agent06_Savings!D144)),"")</f>
        <v/>
      </c>
    </row>
    <row r="1140" spans="1:11" ht="18" customHeight="1" x14ac:dyDescent="0.25">
      <c r="A1140" s="37" t="str">
        <f>IF(Agent06_Savings!A145="","",Agent06_Savings!A145)</f>
        <v/>
      </c>
      <c r="B1140" s="37" t="str">
        <f ca="1">IF(Agent06_Savings!A145="","","SV"&amp;TEXT(1140-3,"0000")&amp;"-"&amp;TEXT(TODAY(),"YYYYMMDD"))</f>
        <v/>
      </c>
      <c r="C1140" s="37" t="str">
        <f>IF(Agent06_Savings!A145="","",Agent06_Savings!B145)</f>
        <v/>
      </c>
      <c r="D1140" s="37" t="str">
        <f>IF(Agent06_Savings!A145="","",Agent06_Savings!G145)</f>
        <v/>
      </c>
      <c r="E1140" s="38" t="str">
        <f>IF(Agent06_Savings!A145="","",Agent06_Savings!D145)</f>
        <v/>
      </c>
      <c r="F1140" s="39" t="str">
        <f>IF(Agent06_Savings!A145="","",Agent06_Savings!E145)</f>
        <v/>
      </c>
      <c r="G1140" s="39" t="str">
        <f>IF(Agent06_Savings!A145="","",Agent06_Savings!F145)</f>
        <v/>
      </c>
      <c r="H1140" s="37" t="str">
        <f>IF(Agent06_Savings!A145="","",Agent06_Savings!I145)</f>
        <v/>
      </c>
      <c r="I1140" s="37" t="str">
        <f>IF(Agent06_Savings!A145="","",Agent06_Savings!J145)</f>
        <v/>
      </c>
      <c r="J1140" s="37" t="str">
        <f>IF(Agent06_Savings!A145="","",Agent06_Savings!K145)</f>
        <v/>
      </c>
      <c r="K1140" s="37" t="str">
        <f>IFERROR(IF(Agent06_Savings!A145="","",YEAR(Agent06_Savings!D145)),"")</f>
        <v/>
      </c>
    </row>
    <row r="1141" spans="1:11" ht="18" customHeight="1" x14ac:dyDescent="0.25">
      <c r="A1141" s="37" t="str">
        <f>IF(Agent06_Savings!A146="","",Agent06_Savings!A146)</f>
        <v/>
      </c>
      <c r="B1141" s="37" t="str">
        <f ca="1">IF(Agent06_Savings!A146="","","SV"&amp;TEXT(1141-3,"0000")&amp;"-"&amp;TEXT(TODAY(),"YYYYMMDD"))</f>
        <v/>
      </c>
      <c r="C1141" s="37" t="str">
        <f>IF(Agent06_Savings!A146="","",Agent06_Savings!B146)</f>
        <v/>
      </c>
      <c r="D1141" s="37" t="str">
        <f>IF(Agent06_Savings!A146="","",Agent06_Savings!G146)</f>
        <v/>
      </c>
      <c r="E1141" s="38" t="str">
        <f>IF(Agent06_Savings!A146="","",Agent06_Savings!D146)</f>
        <v/>
      </c>
      <c r="F1141" s="39" t="str">
        <f>IF(Agent06_Savings!A146="","",Agent06_Savings!E146)</f>
        <v/>
      </c>
      <c r="G1141" s="39" t="str">
        <f>IF(Agent06_Savings!A146="","",Agent06_Savings!F146)</f>
        <v/>
      </c>
      <c r="H1141" s="37" t="str">
        <f>IF(Agent06_Savings!A146="","",Agent06_Savings!I146)</f>
        <v/>
      </c>
      <c r="I1141" s="37" t="str">
        <f>IF(Agent06_Savings!A146="","",Agent06_Savings!J146)</f>
        <v/>
      </c>
      <c r="J1141" s="37" t="str">
        <f>IF(Agent06_Savings!A146="","",Agent06_Savings!K146)</f>
        <v/>
      </c>
      <c r="K1141" s="37" t="str">
        <f>IFERROR(IF(Agent06_Savings!A146="","",YEAR(Agent06_Savings!D146)),"")</f>
        <v/>
      </c>
    </row>
    <row r="1142" spans="1:11" ht="18" customHeight="1" x14ac:dyDescent="0.25">
      <c r="A1142" s="37" t="str">
        <f>IF(Agent06_Savings!A147="","",Agent06_Savings!A147)</f>
        <v/>
      </c>
      <c r="B1142" s="37" t="str">
        <f ca="1">IF(Agent06_Savings!A147="","","SV"&amp;TEXT(1142-3,"0000")&amp;"-"&amp;TEXT(TODAY(),"YYYYMMDD"))</f>
        <v/>
      </c>
      <c r="C1142" s="37" t="str">
        <f>IF(Agent06_Savings!A147="","",Agent06_Savings!B147)</f>
        <v/>
      </c>
      <c r="D1142" s="37" t="str">
        <f>IF(Agent06_Savings!A147="","",Agent06_Savings!G147)</f>
        <v/>
      </c>
      <c r="E1142" s="38" t="str">
        <f>IF(Agent06_Savings!A147="","",Agent06_Savings!D147)</f>
        <v/>
      </c>
      <c r="F1142" s="39" t="str">
        <f>IF(Agent06_Savings!A147="","",Agent06_Savings!E147)</f>
        <v/>
      </c>
      <c r="G1142" s="39" t="str">
        <f>IF(Agent06_Savings!A147="","",Agent06_Savings!F147)</f>
        <v/>
      </c>
      <c r="H1142" s="37" t="str">
        <f>IF(Agent06_Savings!A147="","",Agent06_Savings!I147)</f>
        <v/>
      </c>
      <c r="I1142" s="37" t="str">
        <f>IF(Agent06_Savings!A147="","",Agent06_Savings!J147)</f>
        <v/>
      </c>
      <c r="J1142" s="37" t="str">
        <f>IF(Agent06_Savings!A147="","",Agent06_Savings!K147)</f>
        <v/>
      </c>
      <c r="K1142" s="37" t="str">
        <f>IFERROR(IF(Agent06_Savings!A147="","",YEAR(Agent06_Savings!D147)),"")</f>
        <v/>
      </c>
    </row>
    <row r="1143" spans="1:11" ht="18" customHeight="1" x14ac:dyDescent="0.25">
      <c r="A1143" s="37" t="str">
        <f>IF(Agent06_Savings!A148="","",Agent06_Savings!A148)</f>
        <v/>
      </c>
      <c r="B1143" s="37" t="str">
        <f ca="1">IF(Agent06_Savings!A148="","","SV"&amp;TEXT(1143-3,"0000")&amp;"-"&amp;TEXT(TODAY(),"YYYYMMDD"))</f>
        <v/>
      </c>
      <c r="C1143" s="37" t="str">
        <f>IF(Agent06_Savings!A148="","",Agent06_Savings!B148)</f>
        <v/>
      </c>
      <c r="D1143" s="37" t="str">
        <f>IF(Agent06_Savings!A148="","",Agent06_Savings!G148)</f>
        <v/>
      </c>
      <c r="E1143" s="38" t="str">
        <f>IF(Agent06_Savings!A148="","",Agent06_Savings!D148)</f>
        <v/>
      </c>
      <c r="F1143" s="39" t="str">
        <f>IF(Agent06_Savings!A148="","",Agent06_Savings!E148)</f>
        <v/>
      </c>
      <c r="G1143" s="39" t="str">
        <f>IF(Agent06_Savings!A148="","",Agent06_Savings!F148)</f>
        <v/>
      </c>
      <c r="H1143" s="37" t="str">
        <f>IF(Agent06_Savings!A148="","",Agent06_Savings!I148)</f>
        <v/>
      </c>
      <c r="I1143" s="37" t="str">
        <f>IF(Agent06_Savings!A148="","",Agent06_Savings!J148)</f>
        <v/>
      </c>
      <c r="J1143" s="37" t="str">
        <f>IF(Agent06_Savings!A148="","",Agent06_Savings!K148)</f>
        <v/>
      </c>
      <c r="K1143" s="37" t="str">
        <f>IFERROR(IF(Agent06_Savings!A148="","",YEAR(Agent06_Savings!D148)),"")</f>
        <v/>
      </c>
    </row>
    <row r="1144" spans="1:11" ht="18" customHeight="1" x14ac:dyDescent="0.25">
      <c r="A1144" s="37" t="str">
        <f>IF(Agent06_Savings!A149="","",Agent06_Savings!A149)</f>
        <v/>
      </c>
      <c r="B1144" s="37" t="str">
        <f ca="1">IF(Agent06_Savings!A149="","","SV"&amp;TEXT(1144-3,"0000")&amp;"-"&amp;TEXT(TODAY(),"YYYYMMDD"))</f>
        <v/>
      </c>
      <c r="C1144" s="37" t="str">
        <f>IF(Agent06_Savings!A149="","",Agent06_Savings!B149)</f>
        <v/>
      </c>
      <c r="D1144" s="37" t="str">
        <f>IF(Agent06_Savings!A149="","",Agent06_Savings!G149)</f>
        <v/>
      </c>
      <c r="E1144" s="38" t="str">
        <f>IF(Agent06_Savings!A149="","",Agent06_Savings!D149)</f>
        <v/>
      </c>
      <c r="F1144" s="39" t="str">
        <f>IF(Agent06_Savings!A149="","",Agent06_Savings!E149)</f>
        <v/>
      </c>
      <c r="G1144" s="39" t="str">
        <f>IF(Agent06_Savings!A149="","",Agent06_Savings!F149)</f>
        <v/>
      </c>
      <c r="H1144" s="37" t="str">
        <f>IF(Agent06_Savings!A149="","",Agent06_Savings!I149)</f>
        <v/>
      </c>
      <c r="I1144" s="37" t="str">
        <f>IF(Agent06_Savings!A149="","",Agent06_Savings!J149)</f>
        <v/>
      </c>
      <c r="J1144" s="37" t="str">
        <f>IF(Agent06_Savings!A149="","",Agent06_Savings!K149)</f>
        <v/>
      </c>
      <c r="K1144" s="37" t="str">
        <f>IFERROR(IF(Agent06_Savings!A149="","",YEAR(Agent06_Savings!D149)),"")</f>
        <v/>
      </c>
    </row>
    <row r="1145" spans="1:11" ht="18" customHeight="1" x14ac:dyDescent="0.25">
      <c r="A1145" s="37" t="str">
        <f>IF(Agent06_Savings!A150="","",Agent06_Savings!A150)</f>
        <v/>
      </c>
      <c r="B1145" s="37" t="str">
        <f ca="1">IF(Agent06_Savings!A150="","","SV"&amp;TEXT(1145-3,"0000")&amp;"-"&amp;TEXT(TODAY(),"YYYYMMDD"))</f>
        <v/>
      </c>
      <c r="C1145" s="37" t="str">
        <f>IF(Agent06_Savings!A150="","",Agent06_Savings!B150)</f>
        <v/>
      </c>
      <c r="D1145" s="37" t="str">
        <f>IF(Agent06_Savings!A150="","",Agent06_Savings!G150)</f>
        <v/>
      </c>
      <c r="E1145" s="38" t="str">
        <f>IF(Agent06_Savings!A150="","",Agent06_Savings!D150)</f>
        <v/>
      </c>
      <c r="F1145" s="39" t="str">
        <f>IF(Agent06_Savings!A150="","",Agent06_Savings!E150)</f>
        <v/>
      </c>
      <c r="G1145" s="39" t="str">
        <f>IF(Agent06_Savings!A150="","",Agent06_Savings!F150)</f>
        <v/>
      </c>
      <c r="H1145" s="37" t="str">
        <f>IF(Agent06_Savings!A150="","",Agent06_Savings!I150)</f>
        <v/>
      </c>
      <c r="I1145" s="37" t="str">
        <f>IF(Agent06_Savings!A150="","",Agent06_Savings!J150)</f>
        <v/>
      </c>
      <c r="J1145" s="37" t="str">
        <f>IF(Agent06_Savings!A150="","",Agent06_Savings!K150)</f>
        <v/>
      </c>
      <c r="K1145" s="37" t="str">
        <f>IFERROR(IF(Agent06_Savings!A150="","",YEAR(Agent06_Savings!D150)),"")</f>
        <v/>
      </c>
    </row>
    <row r="1146" spans="1:11" ht="18" customHeight="1" x14ac:dyDescent="0.25">
      <c r="A1146" s="37" t="str">
        <f>IF(Agent06_Savings!A151="","",Agent06_Savings!A151)</f>
        <v/>
      </c>
      <c r="B1146" s="37" t="str">
        <f ca="1">IF(Agent06_Savings!A151="","","SV"&amp;TEXT(1146-3,"0000")&amp;"-"&amp;TEXT(TODAY(),"YYYYMMDD"))</f>
        <v/>
      </c>
      <c r="C1146" s="37" t="str">
        <f>IF(Agent06_Savings!A151="","",Agent06_Savings!B151)</f>
        <v/>
      </c>
      <c r="D1146" s="37" t="str">
        <f>IF(Agent06_Savings!A151="","",Agent06_Savings!G151)</f>
        <v/>
      </c>
      <c r="E1146" s="38" t="str">
        <f>IF(Agent06_Savings!A151="","",Agent06_Savings!D151)</f>
        <v/>
      </c>
      <c r="F1146" s="39" t="str">
        <f>IF(Agent06_Savings!A151="","",Agent06_Savings!E151)</f>
        <v/>
      </c>
      <c r="G1146" s="39" t="str">
        <f>IF(Agent06_Savings!A151="","",Agent06_Savings!F151)</f>
        <v/>
      </c>
      <c r="H1146" s="37" t="str">
        <f>IF(Agent06_Savings!A151="","",Agent06_Savings!I151)</f>
        <v/>
      </c>
      <c r="I1146" s="37" t="str">
        <f>IF(Agent06_Savings!A151="","",Agent06_Savings!J151)</f>
        <v/>
      </c>
      <c r="J1146" s="37" t="str">
        <f>IF(Agent06_Savings!A151="","",Agent06_Savings!K151)</f>
        <v/>
      </c>
      <c r="K1146" s="37" t="str">
        <f>IFERROR(IF(Agent06_Savings!A151="","",YEAR(Agent06_Savings!D151)),"")</f>
        <v/>
      </c>
    </row>
    <row r="1147" spans="1:11" ht="18" customHeight="1" x14ac:dyDescent="0.25">
      <c r="A1147" s="37" t="str">
        <f>IF(Agent06_Savings!A152="","",Agent06_Savings!A152)</f>
        <v/>
      </c>
      <c r="B1147" s="37" t="str">
        <f ca="1">IF(Agent06_Savings!A152="","","SV"&amp;TEXT(1147-3,"0000")&amp;"-"&amp;TEXT(TODAY(),"YYYYMMDD"))</f>
        <v/>
      </c>
      <c r="C1147" s="37" t="str">
        <f>IF(Agent06_Savings!A152="","",Agent06_Savings!B152)</f>
        <v/>
      </c>
      <c r="D1147" s="37" t="str">
        <f>IF(Agent06_Savings!A152="","",Agent06_Savings!G152)</f>
        <v/>
      </c>
      <c r="E1147" s="38" t="str">
        <f>IF(Agent06_Savings!A152="","",Agent06_Savings!D152)</f>
        <v/>
      </c>
      <c r="F1147" s="39" t="str">
        <f>IF(Agent06_Savings!A152="","",Agent06_Savings!E152)</f>
        <v/>
      </c>
      <c r="G1147" s="39" t="str">
        <f>IF(Agent06_Savings!A152="","",Agent06_Savings!F152)</f>
        <v/>
      </c>
      <c r="H1147" s="37" t="str">
        <f>IF(Agent06_Savings!A152="","",Agent06_Savings!I152)</f>
        <v/>
      </c>
      <c r="I1147" s="37" t="str">
        <f>IF(Agent06_Savings!A152="","",Agent06_Savings!J152)</f>
        <v/>
      </c>
      <c r="J1147" s="37" t="str">
        <f>IF(Agent06_Savings!A152="","",Agent06_Savings!K152)</f>
        <v/>
      </c>
      <c r="K1147" s="37" t="str">
        <f>IFERROR(IF(Agent06_Savings!A152="","",YEAR(Agent06_Savings!D152)),"")</f>
        <v/>
      </c>
    </row>
    <row r="1148" spans="1:11" ht="18" customHeight="1" x14ac:dyDescent="0.25">
      <c r="A1148" s="37" t="str">
        <f>IF(Agent06_Savings!A153="","",Agent06_Savings!A153)</f>
        <v/>
      </c>
      <c r="B1148" s="37" t="str">
        <f ca="1">IF(Agent06_Savings!A153="","","SV"&amp;TEXT(1148-3,"0000")&amp;"-"&amp;TEXT(TODAY(),"YYYYMMDD"))</f>
        <v/>
      </c>
      <c r="C1148" s="37" t="str">
        <f>IF(Agent06_Savings!A153="","",Agent06_Savings!B153)</f>
        <v/>
      </c>
      <c r="D1148" s="37" t="str">
        <f>IF(Agent06_Savings!A153="","",Agent06_Savings!G153)</f>
        <v/>
      </c>
      <c r="E1148" s="38" t="str">
        <f>IF(Agent06_Savings!A153="","",Agent06_Savings!D153)</f>
        <v/>
      </c>
      <c r="F1148" s="39" t="str">
        <f>IF(Agent06_Savings!A153="","",Agent06_Savings!E153)</f>
        <v/>
      </c>
      <c r="G1148" s="39" t="str">
        <f>IF(Agent06_Savings!A153="","",Agent06_Savings!F153)</f>
        <v/>
      </c>
      <c r="H1148" s="37" t="str">
        <f>IF(Agent06_Savings!A153="","",Agent06_Savings!I153)</f>
        <v/>
      </c>
      <c r="I1148" s="37" t="str">
        <f>IF(Agent06_Savings!A153="","",Agent06_Savings!J153)</f>
        <v/>
      </c>
      <c r="J1148" s="37" t="str">
        <f>IF(Agent06_Savings!A153="","",Agent06_Savings!K153)</f>
        <v/>
      </c>
      <c r="K1148" s="37" t="str">
        <f>IFERROR(IF(Agent06_Savings!A153="","",YEAR(Agent06_Savings!D153)),"")</f>
        <v/>
      </c>
    </row>
    <row r="1149" spans="1:11" ht="18" customHeight="1" x14ac:dyDescent="0.25">
      <c r="A1149" s="37" t="str">
        <f>IF(Agent06_Savings!A154="","",Agent06_Savings!A154)</f>
        <v/>
      </c>
      <c r="B1149" s="37" t="str">
        <f ca="1">IF(Agent06_Savings!A154="","","SV"&amp;TEXT(1149-3,"0000")&amp;"-"&amp;TEXT(TODAY(),"YYYYMMDD"))</f>
        <v/>
      </c>
      <c r="C1149" s="37" t="str">
        <f>IF(Agent06_Savings!A154="","",Agent06_Savings!B154)</f>
        <v/>
      </c>
      <c r="D1149" s="37" t="str">
        <f>IF(Agent06_Savings!A154="","",Agent06_Savings!G154)</f>
        <v/>
      </c>
      <c r="E1149" s="38" t="str">
        <f>IF(Agent06_Savings!A154="","",Agent06_Savings!D154)</f>
        <v/>
      </c>
      <c r="F1149" s="39" t="str">
        <f>IF(Agent06_Savings!A154="","",Agent06_Savings!E154)</f>
        <v/>
      </c>
      <c r="G1149" s="39" t="str">
        <f>IF(Agent06_Savings!A154="","",Agent06_Savings!F154)</f>
        <v/>
      </c>
      <c r="H1149" s="37" t="str">
        <f>IF(Agent06_Savings!A154="","",Agent06_Savings!I154)</f>
        <v/>
      </c>
      <c r="I1149" s="37" t="str">
        <f>IF(Agent06_Savings!A154="","",Agent06_Savings!J154)</f>
        <v/>
      </c>
      <c r="J1149" s="37" t="str">
        <f>IF(Agent06_Savings!A154="","",Agent06_Savings!K154)</f>
        <v/>
      </c>
      <c r="K1149" s="37" t="str">
        <f>IFERROR(IF(Agent06_Savings!A154="","",YEAR(Agent06_Savings!D154)),"")</f>
        <v/>
      </c>
    </row>
    <row r="1150" spans="1:11" ht="18" customHeight="1" x14ac:dyDescent="0.25">
      <c r="A1150" s="37" t="str">
        <f>IF(Agent06_Savings!A155="","",Agent06_Savings!A155)</f>
        <v/>
      </c>
      <c r="B1150" s="37" t="str">
        <f ca="1">IF(Agent06_Savings!A155="","","SV"&amp;TEXT(1150-3,"0000")&amp;"-"&amp;TEXT(TODAY(),"YYYYMMDD"))</f>
        <v/>
      </c>
      <c r="C1150" s="37" t="str">
        <f>IF(Agent06_Savings!A155="","",Agent06_Savings!B155)</f>
        <v/>
      </c>
      <c r="D1150" s="37" t="str">
        <f>IF(Agent06_Savings!A155="","",Agent06_Savings!G155)</f>
        <v/>
      </c>
      <c r="E1150" s="38" t="str">
        <f>IF(Agent06_Savings!A155="","",Agent06_Savings!D155)</f>
        <v/>
      </c>
      <c r="F1150" s="39" t="str">
        <f>IF(Agent06_Savings!A155="","",Agent06_Savings!E155)</f>
        <v/>
      </c>
      <c r="G1150" s="39" t="str">
        <f>IF(Agent06_Savings!A155="","",Agent06_Savings!F155)</f>
        <v/>
      </c>
      <c r="H1150" s="37" t="str">
        <f>IF(Agent06_Savings!A155="","",Agent06_Savings!I155)</f>
        <v/>
      </c>
      <c r="I1150" s="37" t="str">
        <f>IF(Agent06_Savings!A155="","",Agent06_Savings!J155)</f>
        <v/>
      </c>
      <c r="J1150" s="37" t="str">
        <f>IF(Agent06_Savings!A155="","",Agent06_Savings!K155)</f>
        <v/>
      </c>
      <c r="K1150" s="37" t="str">
        <f>IFERROR(IF(Agent06_Savings!A155="","",YEAR(Agent06_Savings!D155)),"")</f>
        <v/>
      </c>
    </row>
    <row r="1151" spans="1:11" ht="18" customHeight="1" x14ac:dyDescent="0.25">
      <c r="A1151" s="37" t="str">
        <f>IF(Agent06_Savings!A156="","",Agent06_Savings!A156)</f>
        <v/>
      </c>
      <c r="B1151" s="37" t="str">
        <f ca="1">IF(Agent06_Savings!A156="","","SV"&amp;TEXT(1151-3,"0000")&amp;"-"&amp;TEXT(TODAY(),"YYYYMMDD"))</f>
        <v/>
      </c>
      <c r="C1151" s="37" t="str">
        <f>IF(Agent06_Savings!A156="","",Agent06_Savings!B156)</f>
        <v/>
      </c>
      <c r="D1151" s="37" t="str">
        <f>IF(Agent06_Savings!A156="","",Agent06_Savings!G156)</f>
        <v/>
      </c>
      <c r="E1151" s="38" t="str">
        <f>IF(Agent06_Savings!A156="","",Agent06_Savings!D156)</f>
        <v/>
      </c>
      <c r="F1151" s="39" t="str">
        <f>IF(Agent06_Savings!A156="","",Agent06_Savings!E156)</f>
        <v/>
      </c>
      <c r="G1151" s="39" t="str">
        <f>IF(Agent06_Savings!A156="","",Agent06_Savings!F156)</f>
        <v/>
      </c>
      <c r="H1151" s="37" t="str">
        <f>IF(Agent06_Savings!A156="","",Agent06_Savings!I156)</f>
        <v/>
      </c>
      <c r="I1151" s="37" t="str">
        <f>IF(Agent06_Savings!A156="","",Agent06_Savings!J156)</f>
        <v/>
      </c>
      <c r="J1151" s="37" t="str">
        <f>IF(Agent06_Savings!A156="","",Agent06_Savings!K156)</f>
        <v/>
      </c>
      <c r="K1151" s="37" t="str">
        <f>IFERROR(IF(Agent06_Savings!A156="","",YEAR(Agent06_Savings!D156)),"")</f>
        <v/>
      </c>
    </row>
    <row r="1152" spans="1:11" ht="18" customHeight="1" x14ac:dyDescent="0.25">
      <c r="A1152" s="37" t="str">
        <f>IF(Agent06_Savings!A157="","",Agent06_Savings!A157)</f>
        <v/>
      </c>
      <c r="B1152" s="37" t="str">
        <f ca="1">IF(Agent06_Savings!A157="","","SV"&amp;TEXT(1152-3,"0000")&amp;"-"&amp;TEXT(TODAY(),"YYYYMMDD"))</f>
        <v/>
      </c>
      <c r="C1152" s="37" t="str">
        <f>IF(Agent06_Savings!A157="","",Agent06_Savings!B157)</f>
        <v/>
      </c>
      <c r="D1152" s="37" t="str">
        <f>IF(Agent06_Savings!A157="","",Agent06_Savings!G157)</f>
        <v/>
      </c>
      <c r="E1152" s="38" t="str">
        <f>IF(Agent06_Savings!A157="","",Agent06_Savings!D157)</f>
        <v/>
      </c>
      <c r="F1152" s="39" t="str">
        <f>IF(Agent06_Savings!A157="","",Agent06_Savings!E157)</f>
        <v/>
      </c>
      <c r="G1152" s="39" t="str">
        <f>IF(Agent06_Savings!A157="","",Agent06_Savings!F157)</f>
        <v/>
      </c>
      <c r="H1152" s="37" t="str">
        <f>IF(Agent06_Savings!A157="","",Agent06_Savings!I157)</f>
        <v/>
      </c>
      <c r="I1152" s="37" t="str">
        <f>IF(Agent06_Savings!A157="","",Agent06_Savings!J157)</f>
        <v/>
      </c>
      <c r="J1152" s="37" t="str">
        <f>IF(Agent06_Savings!A157="","",Agent06_Savings!K157)</f>
        <v/>
      </c>
      <c r="K1152" s="37" t="str">
        <f>IFERROR(IF(Agent06_Savings!A157="","",YEAR(Agent06_Savings!D157)),"")</f>
        <v/>
      </c>
    </row>
    <row r="1153" spans="1:11" ht="18" customHeight="1" x14ac:dyDescent="0.25">
      <c r="A1153" s="37" t="str">
        <f>IF(Agent06_Savings!A158="","",Agent06_Savings!A158)</f>
        <v/>
      </c>
      <c r="B1153" s="37" t="str">
        <f ca="1">IF(Agent06_Savings!A158="","","SV"&amp;TEXT(1153-3,"0000")&amp;"-"&amp;TEXT(TODAY(),"YYYYMMDD"))</f>
        <v/>
      </c>
      <c r="C1153" s="37" t="str">
        <f>IF(Agent06_Savings!A158="","",Agent06_Savings!B158)</f>
        <v/>
      </c>
      <c r="D1153" s="37" t="str">
        <f>IF(Agent06_Savings!A158="","",Agent06_Savings!G158)</f>
        <v/>
      </c>
      <c r="E1153" s="38" t="str">
        <f>IF(Agent06_Savings!A158="","",Agent06_Savings!D158)</f>
        <v/>
      </c>
      <c r="F1153" s="39" t="str">
        <f>IF(Agent06_Savings!A158="","",Agent06_Savings!E158)</f>
        <v/>
      </c>
      <c r="G1153" s="39" t="str">
        <f>IF(Agent06_Savings!A158="","",Agent06_Savings!F158)</f>
        <v/>
      </c>
      <c r="H1153" s="37" t="str">
        <f>IF(Agent06_Savings!A158="","",Agent06_Savings!I158)</f>
        <v/>
      </c>
      <c r="I1153" s="37" t="str">
        <f>IF(Agent06_Savings!A158="","",Agent06_Savings!J158)</f>
        <v/>
      </c>
      <c r="J1153" s="37" t="str">
        <f>IF(Agent06_Savings!A158="","",Agent06_Savings!K158)</f>
        <v/>
      </c>
      <c r="K1153" s="37" t="str">
        <f>IFERROR(IF(Agent06_Savings!A158="","",YEAR(Agent06_Savings!D158)),"")</f>
        <v/>
      </c>
    </row>
    <row r="1154" spans="1:11" ht="18" customHeight="1" x14ac:dyDescent="0.25">
      <c r="A1154" s="37" t="str">
        <f>IF(Agent06_Savings!A159="","",Agent06_Savings!A159)</f>
        <v/>
      </c>
      <c r="B1154" s="37" t="str">
        <f ca="1">IF(Agent06_Savings!A159="","","SV"&amp;TEXT(1154-3,"0000")&amp;"-"&amp;TEXT(TODAY(),"YYYYMMDD"))</f>
        <v/>
      </c>
      <c r="C1154" s="37" t="str">
        <f>IF(Agent06_Savings!A159="","",Agent06_Savings!B159)</f>
        <v/>
      </c>
      <c r="D1154" s="37" t="str">
        <f>IF(Agent06_Savings!A159="","",Agent06_Savings!G159)</f>
        <v/>
      </c>
      <c r="E1154" s="38" t="str">
        <f>IF(Agent06_Savings!A159="","",Agent06_Savings!D159)</f>
        <v/>
      </c>
      <c r="F1154" s="39" t="str">
        <f>IF(Agent06_Savings!A159="","",Agent06_Savings!E159)</f>
        <v/>
      </c>
      <c r="G1154" s="39" t="str">
        <f>IF(Agent06_Savings!A159="","",Agent06_Savings!F159)</f>
        <v/>
      </c>
      <c r="H1154" s="37" t="str">
        <f>IF(Agent06_Savings!A159="","",Agent06_Savings!I159)</f>
        <v/>
      </c>
      <c r="I1154" s="37" t="str">
        <f>IF(Agent06_Savings!A159="","",Agent06_Savings!J159)</f>
        <v/>
      </c>
      <c r="J1154" s="37" t="str">
        <f>IF(Agent06_Savings!A159="","",Agent06_Savings!K159)</f>
        <v/>
      </c>
      <c r="K1154" s="37" t="str">
        <f>IFERROR(IF(Agent06_Savings!A159="","",YEAR(Agent06_Savings!D159)),"")</f>
        <v/>
      </c>
    </row>
    <row r="1155" spans="1:11" ht="18" customHeight="1" x14ac:dyDescent="0.25">
      <c r="A1155" s="37" t="str">
        <f>IF(Agent06_Savings!A160="","",Agent06_Savings!A160)</f>
        <v/>
      </c>
      <c r="B1155" s="37" t="str">
        <f ca="1">IF(Agent06_Savings!A160="","","SV"&amp;TEXT(1155-3,"0000")&amp;"-"&amp;TEXT(TODAY(),"YYYYMMDD"))</f>
        <v/>
      </c>
      <c r="C1155" s="37" t="str">
        <f>IF(Agent06_Savings!A160="","",Agent06_Savings!B160)</f>
        <v/>
      </c>
      <c r="D1155" s="37" t="str">
        <f>IF(Agent06_Savings!A160="","",Agent06_Savings!G160)</f>
        <v/>
      </c>
      <c r="E1155" s="38" t="str">
        <f>IF(Agent06_Savings!A160="","",Agent06_Savings!D160)</f>
        <v/>
      </c>
      <c r="F1155" s="39" t="str">
        <f>IF(Agent06_Savings!A160="","",Agent06_Savings!E160)</f>
        <v/>
      </c>
      <c r="G1155" s="39" t="str">
        <f>IF(Agent06_Savings!A160="","",Agent06_Savings!F160)</f>
        <v/>
      </c>
      <c r="H1155" s="37" t="str">
        <f>IF(Agent06_Savings!A160="","",Agent06_Savings!I160)</f>
        <v/>
      </c>
      <c r="I1155" s="37" t="str">
        <f>IF(Agent06_Savings!A160="","",Agent06_Savings!J160)</f>
        <v/>
      </c>
      <c r="J1155" s="37" t="str">
        <f>IF(Agent06_Savings!A160="","",Agent06_Savings!K160)</f>
        <v/>
      </c>
      <c r="K1155" s="37" t="str">
        <f>IFERROR(IF(Agent06_Savings!A160="","",YEAR(Agent06_Savings!D160)),"")</f>
        <v/>
      </c>
    </row>
    <row r="1156" spans="1:11" ht="18" customHeight="1" x14ac:dyDescent="0.25">
      <c r="A1156" s="37" t="str">
        <f>IF(Agent06_Savings!A161="","",Agent06_Savings!A161)</f>
        <v/>
      </c>
      <c r="B1156" s="37" t="str">
        <f ca="1">IF(Agent06_Savings!A161="","","SV"&amp;TEXT(1156-3,"0000")&amp;"-"&amp;TEXT(TODAY(),"YYYYMMDD"))</f>
        <v/>
      </c>
      <c r="C1156" s="37" t="str">
        <f>IF(Agent06_Savings!A161="","",Agent06_Savings!B161)</f>
        <v/>
      </c>
      <c r="D1156" s="37" t="str">
        <f>IF(Agent06_Savings!A161="","",Agent06_Savings!G161)</f>
        <v/>
      </c>
      <c r="E1156" s="38" t="str">
        <f>IF(Agent06_Savings!A161="","",Agent06_Savings!D161)</f>
        <v/>
      </c>
      <c r="F1156" s="39" t="str">
        <f>IF(Agent06_Savings!A161="","",Agent06_Savings!E161)</f>
        <v/>
      </c>
      <c r="G1156" s="39" t="str">
        <f>IF(Agent06_Savings!A161="","",Agent06_Savings!F161)</f>
        <v/>
      </c>
      <c r="H1156" s="37" t="str">
        <f>IF(Agent06_Savings!A161="","",Agent06_Savings!I161)</f>
        <v/>
      </c>
      <c r="I1156" s="37" t="str">
        <f>IF(Agent06_Savings!A161="","",Agent06_Savings!J161)</f>
        <v/>
      </c>
      <c r="J1156" s="37" t="str">
        <f>IF(Agent06_Savings!A161="","",Agent06_Savings!K161)</f>
        <v/>
      </c>
      <c r="K1156" s="37" t="str">
        <f>IFERROR(IF(Agent06_Savings!A161="","",YEAR(Agent06_Savings!D161)),"")</f>
        <v/>
      </c>
    </row>
    <row r="1157" spans="1:11" ht="18" customHeight="1" x14ac:dyDescent="0.25">
      <c r="A1157" s="37" t="str">
        <f>IF(Agent06_Savings!A162="","",Agent06_Savings!A162)</f>
        <v/>
      </c>
      <c r="B1157" s="37" t="str">
        <f ca="1">IF(Agent06_Savings!A162="","","SV"&amp;TEXT(1157-3,"0000")&amp;"-"&amp;TEXT(TODAY(),"YYYYMMDD"))</f>
        <v/>
      </c>
      <c r="C1157" s="37" t="str">
        <f>IF(Agent06_Savings!A162="","",Agent06_Savings!B162)</f>
        <v/>
      </c>
      <c r="D1157" s="37" t="str">
        <f>IF(Agent06_Savings!A162="","",Agent06_Savings!G162)</f>
        <v/>
      </c>
      <c r="E1157" s="38" t="str">
        <f>IF(Agent06_Savings!A162="","",Agent06_Savings!D162)</f>
        <v/>
      </c>
      <c r="F1157" s="39" t="str">
        <f>IF(Agent06_Savings!A162="","",Agent06_Savings!E162)</f>
        <v/>
      </c>
      <c r="G1157" s="39" t="str">
        <f>IF(Agent06_Savings!A162="","",Agent06_Savings!F162)</f>
        <v/>
      </c>
      <c r="H1157" s="37" t="str">
        <f>IF(Agent06_Savings!A162="","",Agent06_Savings!I162)</f>
        <v/>
      </c>
      <c r="I1157" s="37" t="str">
        <f>IF(Agent06_Savings!A162="","",Agent06_Savings!J162)</f>
        <v/>
      </c>
      <c r="J1157" s="37" t="str">
        <f>IF(Agent06_Savings!A162="","",Agent06_Savings!K162)</f>
        <v/>
      </c>
      <c r="K1157" s="37" t="str">
        <f>IFERROR(IF(Agent06_Savings!A162="","",YEAR(Agent06_Savings!D162)),"")</f>
        <v/>
      </c>
    </row>
    <row r="1158" spans="1:11" ht="18" customHeight="1" x14ac:dyDescent="0.25">
      <c r="A1158" s="37" t="str">
        <f>IF(Agent06_Savings!A163="","",Agent06_Savings!A163)</f>
        <v/>
      </c>
      <c r="B1158" s="37" t="str">
        <f ca="1">IF(Agent06_Savings!A163="","","SV"&amp;TEXT(1158-3,"0000")&amp;"-"&amp;TEXT(TODAY(),"YYYYMMDD"))</f>
        <v/>
      </c>
      <c r="C1158" s="37" t="str">
        <f>IF(Agent06_Savings!A163="","",Agent06_Savings!B163)</f>
        <v/>
      </c>
      <c r="D1158" s="37" t="str">
        <f>IF(Agent06_Savings!A163="","",Agent06_Savings!G163)</f>
        <v/>
      </c>
      <c r="E1158" s="38" t="str">
        <f>IF(Agent06_Savings!A163="","",Agent06_Savings!D163)</f>
        <v/>
      </c>
      <c r="F1158" s="39" t="str">
        <f>IF(Agent06_Savings!A163="","",Agent06_Savings!E163)</f>
        <v/>
      </c>
      <c r="G1158" s="39" t="str">
        <f>IF(Agent06_Savings!A163="","",Agent06_Savings!F163)</f>
        <v/>
      </c>
      <c r="H1158" s="37" t="str">
        <f>IF(Agent06_Savings!A163="","",Agent06_Savings!I163)</f>
        <v/>
      </c>
      <c r="I1158" s="37" t="str">
        <f>IF(Agent06_Savings!A163="","",Agent06_Savings!J163)</f>
        <v/>
      </c>
      <c r="J1158" s="37" t="str">
        <f>IF(Agent06_Savings!A163="","",Agent06_Savings!K163)</f>
        <v/>
      </c>
      <c r="K1158" s="37" t="str">
        <f>IFERROR(IF(Agent06_Savings!A163="","",YEAR(Agent06_Savings!D163)),"")</f>
        <v/>
      </c>
    </row>
    <row r="1159" spans="1:11" ht="18" customHeight="1" x14ac:dyDescent="0.25">
      <c r="A1159" s="37" t="str">
        <f>IF(Agent06_Savings!A164="","",Agent06_Savings!A164)</f>
        <v/>
      </c>
      <c r="B1159" s="37" t="str">
        <f ca="1">IF(Agent06_Savings!A164="","","SV"&amp;TEXT(1159-3,"0000")&amp;"-"&amp;TEXT(TODAY(),"YYYYMMDD"))</f>
        <v/>
      </c>
      <c r="C1159" s="37" t="str">
        <f>IF(Agent06_Savings!A164="","",Agent06_Savings!B164)</f>
        <v/>
      </c>
      <c r="D1159" s="37" t="str">
        <f>IF(Agent06_Savings!A164="","",Agent06_Savings!G164)</f>
        <v/>
      </c>
      <c r="E1159" s="38" t="str">
        <f>IF(Agent06_Savings!A164="","",Agent06_Savings!D164)</f>
        <v/>
      </c>
      <c r="F1159" s="39" t="str">
        <f>IF(Agent06_Savings!A164="","",Agent06_Savings!E164)</f>
        <v/>
      </c>
      <c r="G1159" s="39" t="str">
        <f>IF(Agent06_Savings!A164="","",Agent06_Savings!F164)</f>
        <v/>
      </c>
      <c r="H1159" s="37" t="str">
        <f>IF(Agent06_Savings!A164="","",Agent06_Savings!I164)</f>
        <v/>
      </c>
      <c r="I1159" s="37" t="str">
        <f>IF(Agent06_Savings!A164="","",Agent06_Savings!J164)</f>
        <v/>
      </c>
      <c r="J1159" s="37" t="str">
        <f>IF(Agent06_Savings!A164="","",Agent06_Savings!K164)</f>
        <v/>
      </c>
      <c r="K1159" s="37" t="str">
        <f>IFERROR(IF(Agent06_Savings!A164="","",YEAR(Agent06_Savings!D164)),"")</f>
        <v/>
      </c>
    </row>
    <row r="1160" spans="1:11" ht="18" customHeight="1" x14ac:dyDescent="0.25">
      <c r="A1160" s="37" t="str">
        <f>IF(Agent06_Savings!A165="","",Agent06_Savings!A165)</f>
        <v/>
      </c>
      <c r="B1160" s="37" t="str">
        <f ca="1">IF(Agent06_Savings!A165="","","SV"&amp;TEXT(1160-3,"0000")&amp;"-"&amp;TEXT(TODAY(),"YYYYMMDD"))</f>
        <v/>
      </c>
      <c r="C1160" s="37" t="str">
        <f>IF(Agent06_Savings!A165="","",Agent06_Savings!B165)</f>
        <v/>
      </c>
      <c r="D1160" s="37" t="str">
        <f>IF(Agent06_Savings!A165="","",Agent06_Savings!G165)</f>
        <v/>
      </c>
      <c r="E1160" s="38" t="str">
        <f>IF(Agent06_Savings!A165="","",Agent06_Savings!D165)</f>
        <v/>
      </c>
      <c r="F1160" s="39" t="str">
        <f>IF(Agent06_Savings!A165="","",Agent06_Savings!E165)</f>
        <v/>
      </c>
      <c r="G1160" s="39" t="str">
        <f>IF(Agent06_Savings!A165="","",Agent06_Savings!F165)</f>
        <v/>
      </c>
      <c r="H1160" s="37" t="str">
        <f>IF(Agent06_Savings!A165="","",Agent06_Savings!I165)</f>
        <v/>
      </c>
      <c r="I1160" s="37" t="str">
        <f>IF(Agent06_Savings!A165="","",Agent06_Savings!J165)</f>
        <v/>
      </c>
      <c r="J1160" s="37" t="str">
        <f>IF(Agent06_Savings!A165="","",Agent06_Savings!K165)</f>
        <v/>
      </c>
      <c r="K1160" s="37" t="str">
        <f>IFERROR(IF(Agent06_Savings!A165="","",YEAR(Agent06_Savings!D165)),"")</f>
        <v/>
      </c>
    </row>
    <row r="1161" spans="1:11" ht="18" customHeight="1" x14ac:dyDescent="0.25">
      <c r="A1161" s="37" t="str">
        <f>IF(Agent06_Savings!A166="","",Agent06_Savings!A166)</f>
        <v/>
      </c>
      <c r="B1161" s="37" t="str">
        <f ca="1">IF(Agent06_Savings!A166="","","SV"&amp;TEXT(1161-3,"0000")&amp;"-"&amp;TEXT(TODAY(),"YYYYMMDD"))</f>
        <v/>
      </c>
      <c r="C1161" s="37" t="str">
        <f>IF(Agent06_Savings!A166="","",Agent06_Savings!B166)</f>
        <v/>
      </c>
      <c r="D1161" s="37" t="str">
        <f>IF(Agent06_Savings!A166="","",Agent06_Savings!G166)</f>
        <v/>
      </c>
      <c r="E1161" s="38" t="str">
        <f>IF(Agent06_Savings!A166="","",Agent06_Savings!D166)</f>
        <v/>
      </c>
      <c r="F1161" s="39" t="str">
        <f>IF(Agent06_Savings!A166="","",Agent06_Savings!E166)</f>
        <v/>
      </c>
      <c r="G1161" s="39" t="str">
        <f>IF(Agent06_Savings!A166="","",Agent06_Savings!F166)</f>
        <v/>
      </c>
      <c r="H1161" s="37" t="str">
        <f>IF(Agent06_Savings!A166="","",Agent06_Savings!I166)</f>
        <v/>
      </c>
      <c r="I1161" s="37" t="str">
        <f>IF(Agent06_Savings!A166="","",Agent06_Savings!J166)</f>
        <v/>
      </c>
      <c r="J1161" s="37" t="str">
        <f>IF(Agent06_Savings!A166="","",Agent06_Savings!K166)</f>
        <v/>
      </c>
      <c r="K1161" s="37" t="str">
        <f>IFERROR(IF(Agent06_Savings!A166="","",YEAR(Agent06_Savings!D166)),"")</f>
        <v/>
      </c>
    </row>
    <row r="1162" spans="1:11" ht="18" customHeight="1" x14ac:dyDescent="0.25">
      <c r="A1162" s="37" t="str">
        <f>IF(Agent06_Savings!A167="","",Agent06_Savings!A167)</f>
        <v/>
      </c>
      <c r="B1162" s="37" t="str">
        <f ca="1">IF(Agent06_Savings!A167="","","SV"&amp;TEXT(1162-3,"0000")&amp;"-"&amp;TEXT(TODAY(),"YYYYMMDD"))</f>
        <v/>
      </c>
      <c r="C1162" s="37" t="str">
        <f>IF(Agent06_Savings!A167="","",Agent06_Savings!B167)</f>
        <v/>
      </c>
      <c r="D1162" s="37" t="str">
        <f>IF(Agent06_Savings!A167="","",Agent06_Savings!G167)</f>
        <v/>
      </c>
      <c r="E1162" s="38" t="str">
        <f>IF(Agent06_Savings!A167="","",Agent06_Savings!D167)</f>
        <v/>
      </c>
      <c r="F1162" s="39" t="str">
        <f>IF(Agent06_Savings!A167="","",Agent06_Savings!E167)</f>
        <v/>
      </c>
      <c r="G1162" s="39" t="str">
        <f>IF(Agent06_Savings!A167="","",Agent06_Savings!F167)</f>
        <v/>
      </c>
      <c r="H1162" s="37" t="str">
        <f>IF(Agent06_Savings!A167="","",Agent06_Savings!I167)</f>
        <v/>
      </c>
      <c r="I1162" s="37" t="str">
        <f>IF(Agent06_Savings!A167="","",Agent06_Savings!J167)</f>
        <v/>
      </c>
      <c r="J1162" s="37" t="str">
        <f>IF(Agent06_Savings!A167="","",Agent06_Savings!K167)</f>
        <v/>
      </c>
      <c r="K1162" s="37" t="str">
        <f>IFERROR(IF(Agent06_Savings!A167="","",YEAR(Agent06_Savings!D167)),"")</f>
        <v/>
      </c>
    </row>
    <row r="1163" spans="1:11" ht="18" customHeight="1" x14ac:dyDescent="0.25">
      <c r="A1163" s="37" t="str">
        <f>IF(Agent06_Savings!A168="","",Agent06_Savings!A168)</f>
        <v/>
      </c>
      <c r="B1163" s="37" t="str">
        <f ca="1">IF(Agent06_Savings!A168="","","SV"&amp;TEXT(1163-3,"0000")&amp;"-"&amp;TEXT(TODAY(),"YYYYMMDD"))</f>
        <v/>
      </c>
      <c r="C1163" s="37" t="str">
        <f>IF(Agent06_Savings!A168="","",Agent06_Savings!B168)</f>
        <v/>
      </c>
      <c r="D1163" s="37" t="str">
        <f>IF(Agent06_Savings!A168="","",Agent06_Savings!G168)</f>
        <v/>
      </c>
      <c r="E1163" s="38" t="str">
        <f>IF(Agent06_Savings!A168="","",Agent06_Savings!D168)</f>
        <v/>
      </c>
      <c r="F1163" s="39" t="str">
        <f>IF(Agent06_Savings!A168="","",Agent06_Savings!E168)</f>
        <v/>
      </c>
      <c r="G1163" s="39" t="str">
        <f>IF(Agent06_Savings!A168="","",Agent06_Savings!F168)</f>
        <v/>
      </c>
      <c r="H1163" s="37" t="str">
        <f>IF(Agent06_Savings!A168="","",Agent06_Savings!I168)</f>
        <v/>
      </c>
      <c r="I1163" s="37" t="str">
        <f>IF(Agent06_Savings!A168="","",Agent06_Savings!J168)</f>
        <v/>
      </c>
      <c r="J1163" s="37" t="str">
        <f>IF(Agent06_Savings!A168="","",Agent06_Savings!K168)</f>
        <v/>
      </c>
      <c r="K1163" s="37" t="str">
        <f>IFERROR(IF(Agent06_Savings!A168="","",YEAR(Agent06_Savings!D168)),"")</f>
        <v/>
      </c>
    </row>
    <row r="1164" spans="1:11" ht="18" customHeight="1" x14ac:dyDescent="0.25">
      <c r="A1164" s="37" t="str">
        <f>IF(Agent06_Savings!A169="","",Agent06_Savings!A169)</f>
        <v/>
      </c>
      <c r="B1164" s="37" t="str">
        <f ca="1">IF(Agent06_Savings!A169="","","SV"&amp;TEXT(1164-3,"0000")&amp;"-"&amp;TEXT(TODAY(),"YYYYMMDD"))</f>
        <v/>
      </c>
      <c r="C1164" s="37" t="str">
        <f>IF(Agent06_Savings!A169="","",Agent06_Savings!B169)</f>
        <v/>
      </c>
      <c r="D1164" s="37" t="str">
        <f>IF(Agent06_Savings!A169="","",Agent06_Savings!G169)</f>
        <v/>
      </c>
      <c r="E1164" s="38" t="str">
        <f>IF(Agent06_Savings!A169="","",Agent06_Savings!D169)</f>
        <v/>
      </c>
      <c r="F1164" s="39" t="str">
        <f>IF(Agent06_Savings!A169="","",Agent06_Savings!E169)</f>
        <v/>
      </c>
      <c r="G1164" s="39" t="str">
        <f>IF(Agent06_Savings!A169="","",Agent06_Savings!F169)</f>
        <v/>
      </c>
      <c r="H1164" s="37" t="str">
        <f>IF(Agent06_Savings!A169="","",Agent06_Savings!I169)</f>
        <v/>
      </c>
      <c r="I1164" s="37" t="str">
        <f>IF(Agent06_Savings!A169="","",Agent06_Savings!J169)</f>
        <v/>
      </c>
      <c r="J1164" s="37" t="str">
        <f>IF(Agent06_Savings!A169="","",Agent06_Savings!K169)</f>
        <v/>
      </c>
      <c r="K1164" s="37" t="str">
        <f>IFERROR(IF(Agent06_Savings!A169="","",YEAR(Agent06_Savings!D169)),"")</f>
        <v/>
      </c>
    </row>
    <row r="1165" spans="1:11" ht="18" customHeight="1" x14ac:dyDescent="0.25">
      <c r="A1165" s="37" t="str">
        <f>IF(Agent06_Savings!A170="","",Agent06_Savings!A170)</f>
        <v/>
      </c>
      <c r="B1165" s="37" t="str">
        <f ca="1">IF(Agent06_Savings!A170="","","SV"&amp;TEXT(1165-3,"0000")&amp;"-"&amp;TEXT(TODAY(),"YYYYMMDD"))</f>
        <v/>
      </c>
      <c r="C1165" s="37" t="str">
        <f>IF(Agent06_Savings!A170="","",Agent06_Savings!B170)</f>
        <v/>
      </c>
      <c r="D1165" s="37" t="str">
        <f>IF(Agent06_Savings!A170="","",Agent06_Savings!G170)</f>
        <v/>
      </c>
      <c r="E1165" s="38" t="str">
        <f>IF(Agent06_Savings!A170="","",Agent06_Savings!D170)</f>
        <v/>
      </c>
      <c r="F1165" s="39" t="str">
        <f>IF(Agent06_Savings!A170="","",Agent06_Savings!E170)</f>
        <v/>
      </c>
      <c r="G1165" s="39" t="str">
        <f>IF(Agent06_Savings!A170="","",Agent06_Savings!F170)</f>
        <v/>
      </c>
      <c r="H1165" s="37" t="str">
        <f>IF(Agent06_Savings!A170="","",Agent06_Savings!I170)</f>
        <v/>
      </c>
      <c r="I1165" s="37" t="str">
        <f>IF(Agent06_Savings!A170="","",Agent06_Savings!J170)</f>
        <v/>
      </c>
      <c r="J1165" s="37" t="str">
        <f>IF(Agent06_Savings!A170="","",Agent06_Savings!K170)</f>
        <v/>
      </c>
      <c r="K1165" s="37" t="str">
        <f>IFERROR(IF(Agent06_Savings!A170="","",YEAR(Agent06_Savings!D170)),"")</f>
        <v/>
      </c>
    </row>
    <row r="1166" spans="1:11" ht="18" customHeight="1" x14ac:dyDescent="0.25">
      <c r="A1166" s="37" t="str">
        <f>IF(Agent06_Savings!A171="","",Agent06_Savings!A171)</f>
        <v/>
      </c>
      <c r="B1166" s="37" t="str">
        <f ca="1">IF(Agent06_Savings!A171="","","SV"&amp;TEXT(1166-3,"0000")&amp;"-"&amp;TEXT(TODAY(),"YYYYMMDD"))</f>
        <v/>
      </c>
      <c r="C1166" s="37" t="str">
        <f>IF(Agent06_Savings!A171="","",Agent06_Savings!B171)</f>
        <v/>
      </c>
      <c r="D1166" s="37" t="str">
        <f>IF(Agent06_Savings!A171="","",Agent06_Savings!G171)</f>
        <v/>
      </c>
      <c r="E1166" s="38" t="str">
        <f>IF(Agent06_Savings!A171="","",Agent06_Savings!D171)</f>
        <v/>
      </c>
      <c r="F1166" s="39" t="str">
        <f>IF(Agent06_Savings!A171="","",Agent06_Savings!E171)</f>
        <v/>
      </c>
      <c r="G1166" s="39" t="str">
        <f>IF(Agent06_Savings!A171="","",Agent06_Savings!F171)</f>
        <v/>
      </c>
      <c r="H1166" s="37" t="str">
        <f>IF(Agent06_Savings!A171="","",Agent06_Savings!I171)</f>
        <v/>
      </c>
      <c r="I1166" s="37" t="str">
        <f>IF(Agent06_Savings!A171="","",Agent06_Savings!J171)</f>
        <v/>
      </c>
      <c r="J1166" s="37" t="str">
        <f>IF(Agent06_Savings!A171="","",Agent06_Savings!K171)</f>
        <v/>
      </c>
      <c r="K1166" s="37" t="str">
        <f>IFERROR(IF(Agent06_Savings!A171="","",YEAR(Agent06_Savings!D171)),"")</f>
        <v/>
      </c>
    </row>
    <row r="1167" spans="1:11" ht="18" customHeight="1" x14ac:dyDescent="0.25">
      <c r="A1167" s="37" t="str">
        <f>IF(Agent06_Savings!A172="","",Agent06_Savings!A172)</f>
        <v/>
      </c>
      <c r="B1167" s="37" t="str">
        <f ca="1">IF(Agent06_Savings!A172="","","SV"&amp;TEXT(1167-3,"0000")&amp;"-"&amp;TEXT(TODAY(),"YYYYMMDD"))</f>
        <v/>
      </c>
      <c r="C1167" s="37" t="str">
        <f>IF(Agent06_Savings!A172="","",Agent06_Savings!B172)</f>
        <v/>
      </c>
      <c r="D1167" s="37" t="str">
        <f>IF(Agent06_Savings!A172="","",Agent06_Savings!G172)</f>
        <v/>
      </c>
      <c r="E1167" s="38" t="str">
        <f>IF(Agent06_Savings!A172="","",Agent06_Savings!D172)</f>
        <v/>
      </c>
      <c r="F1167" s="39" t="str">
        <f>IF(Agent06_Savings!A172="","",Agent06_Savings!E172)</f>
        <v/>
      </c>
      <c r="G1167" s="39" t="str">
        <f>IF(Agent06_Savings!A172="","",Agent06_Savings!F172)</f>
        <v/>
      </c>
      <c r="H1167" s="37" t="str">
        <f>IF(Agent06_Savings!A172="","",Agent06_Savings!I172)</f>
        <v/>
      </c>
      <c r="I1167" s="37" t="str">
        <f>IF(Agent06_Savings!A172="","",Agent06_Savings!J172)</f>
        <v/>
      </c>
      <c r="J1167" s="37" t="str">
        <f>IF(Agent06_Savings!A172="","",Agent06_Savings!K172)</f>
        <v/>
      </c>
      <c r="K1167" s="37" t="str">
        <f>IFERROR(IF(Agent06_Savings!A172="","",YEAR(Agent06_Savings!D172)),"")</f>
        <v/>
      </c>
    </row>
    <row r="1168" spans="1:11" ht="18" customHeight="1" x14ac:dyDescent="0.25">
      <c r="A1168" s="37" t="str">
        <f>IF(Agent06_Savings!A173="","",Agent06_Savings!A173)</f>
        <v/>
      </c>
      <c r="B1168" s="37" t="str">
        <f ca="1">IF(Agent06_Savings!A173="","","SV"&amp;TEXT(1168-3,"0000")&amp;"-"&amp;TEXT(TODAY(),"YYYYMMDD"))</f>
        <v/>
      </c>
      <c r="C1168" s="37" t="str">
        <f>IF(Agent06_Savings!A173="","",Agent06_Savings!B173)</f>
        <v/>
      </c>
      <c r="D1168" s="37" t="str">
        <f>IF(Agent06_Savings!A173="","",Agent06_Savings!G173)</f>
        <v/>
      </c>
      <c r="E1168" s="38" t="str">
        <f>IF(Agent06_Savings!A173="","",Agent06_Savings!D173)</f>
        <v/>
      </c>
      <c r="F1168" s="39" t="str">
        <f>IF(Agent06_Savings!A173="","",Agent06_Savings!E173)</f>
        <v/>
      </c>
      <c r="G1168" s="39" t="str">
        <f>IF(Agent06_Savings!A173="","",Agent06_Savings!F173)</f>
        <v/>
      </c>
      <c r="H1168" s="37" t="str">
        <f>IF(Agent06_Savings!A173="","",Agent06_Savings!I173)</f>
        <v/>
      </c>
      <c r="I1168" s="37" t="str">
        <f>IF(Agent06_Savings!A173="","",Agent06_Savings!J173)</f>
        <v/>
      </c>
      <c r="J1168" s="37" t="str">
        <f>IF(Agent06_Savings!A173="","",Agent06_Savings!K173)</f>
        <v/>
      </c>
      <c r="K1168" s="37" t="str">
        <f>IFERROR(IF(Agent06_Savings!A173="","",YEAR(Agent06_Savings!D173)),"")</f>
        <v/>
      </c>
    </row>
    <row r="1169" spans="1:11" ht="18" customHeight="1" x14ac:dyDescent="0.25">
      <c r="A1169" s="37" t="str">
        <f>IF(Agent06_Savings!A174="","",Agent06_Savings!A174)</f>
        <v/>
      </c>
      <c r="B1169" s="37" t="str">
        <f ca="1">IF(Agent06_Savings!A174="","","SV"&amp;TEXT(1169-3,"0000")&amp;"-"&amp;TEXT(TODAY(),"YYYYMMDD"))</f>
        <v/>
      </c>
      <c r="C1169" s="37" t="str">
        <f>IF(Agent06_Savings!A174="","",Agent06_Savings!B174)</f>
        <v/>
      </c>
      <c r="D1169" s="37" t="str">
        <f>IF(Agent06_Savings!A174="","",Agent06_Savings!G174)</f>
        <v/>
      </c>
      <c r="E1169" s="38" t="str">
        <f>IF(Agent06_Savings!A174="","",Agent06_Savings!D174)</f>
        <v/>
      </c>
      <c r="F1169" s="39" t="str">
        <f>IF(Agent06_Savings!A174="","",Agent06_Savings!E174)</f>
        <v/>
      </c>
      <c r="G1169" s="39" t="str">
        <f>IF(Agent06_Savings!A174="","",Agent06_Savings!F174)</f>
        <v/>
      </c>
      <c r="H1169" s="37" t="str">
        <f>IF(Agent06_Savings!A174="","",Agent06_Savings!I174)</f>
        <v/>
      </c>
      <c r="I1169" s="37" t="str">
        <f>IF(Agent06_Savings!A174="","",Agent06_Savings!J174)</f>
        <v/>
      </c>
      <c r="J1169" s="37" t="str">
        <f>IF(Agent06_Savings!A174="","",Agent06_Savings!K174)</f>
        <v/>
      </c>
      <c r="K1169" s="37" t="str">
        <f>IFERROR(IF(Agent06_Savings!A174="","",YEAR(Agent06_Savings!D174)),"")</f>
        <v/>
      </c>
    </row>
    <row r="1170" spans="1:11" ht="18" customHeight="1" x14ac:dyDescent="0.25">
      <c r="A1170" s="37" t="str">
        <f>IF(Agent06_Savings!A175="","",Agent06_Savings!A175)</f>
        <v/>
      </c>
      <c r="B1170" s="37" t="str">
        <f ca="1">IF(Agent06_Savings!A175="","","SV"&amp;TEXT(1170-3,"0000")&amp;"-"&amp;TEXT(TODAY(),"YYYYMMDD"))</f>
        <v/>
      </c>
      <c r="C1170" s="37" t="str">
        <f>IF(Agent06_Savings!A175="","",Agent06_Savings!B175)</f>
        <v/>
      </c>
      <c r="D1170" s="37" t="str">
        <f>IF(Agent06_Savings!A175="","",Agent06_Savings!G175)</f>
        <v/>
      </c>
      <c r="E1170" s="38" t="str">
        <f>IF(Agent06_Savings!A175="","",Agent06_Savings!D175)</f>
        <v/>
      </c>
      <c r="F1170" s="39" t="str">
        <f>IF(Agent06_Savings!A175="","",Agent06_Savings!E175)</f>
        <v/>
      </c>
      <c r="G1170" s="39" t="str">
        <f>IF(Agent06_Savings!A175="","",Agent06_Savings!F175)</f>
        <v/>
      </c>
      <c r="H1170" s="37" t="str">
        <f>IF(Agent06_Savings!A175="","",Agent06_Savings!I175)</f>
        <v/>
      </c>
      <c r="I1170" s="37" t="str">
        <f>IF(Agent06_Savings!A175="","",Agent06_Savings!J175)</f>
        <v/>
      </c>
      <c r="J1170" s="37" t="str">
        <f>IF(Agent06_Savings!A175="","",Agent06_Savings!K175)</f>
        <v/>
      </c>
      <c r="K1170" s="37" t="str">
        <f>IFERROR(IF(Agent06_Savings!A175="","",YEAR(Agent06_Savings!D175)),"")</f>
        <v/>
      </c>
    </row>
    <row r="1171" spans="1:11" ht="18" customHeight="1" x14ac:dyDescent="0.25">
      <c r="A1171" s="37" t="str">
        <f>IF(Agent06_Savings!A176="","",Agent06_Savings!A176)</f>
        <v/>
      </c>
      <c r="B1171" s="37" t="str">
        <f ca="1">IF(Agent06_Savings!A176="","","SV"&amp;TEXT(1171-3,"0000")&amp;"-"&amp;TEXT(TODAY(),"YYYYMMDD"))</f>
        <v/>
      </c>
      <c r="C1171" s="37" t="str">
        <f>IF(Agent06_Savings!A176="","",Agent06_Savings!B176)</f>
        <v/>
      </c>
      <c r="D1171" s="37" t="str">
        <f>IF(Agent06_Savings!A176="","",Agent06_Savings!G176)</f>
        <v/>
      </c>
      <c r="E1171" s="38" t="str">
        <f>IF(Agent06_Savings!A176="","",Agent06_Savings!D176)</f>
        <v/>
      </c>
      <c r="F1171" s="39" t="str">
        <f>IF(Agent06_Savings!A176="","",Agent06_Savings!E176)</f>
        <v/>
      </c>
      <c r="G1171" s="39" t="str">
        <f>IF(Agent06_Savings!A176="","",Agent06_Savings!F176)</f>
        <v/>
      </c>
      <c r="H1171" s="37" t="str">
        <f>IF(Agent06_Savings!A176="","",Agent06_Savings!I176)</f>
        <v/>
      </c>
      <c r="I1171" s="37" t="str">
        <f>IF(Agent06_Savings!A176="","",Agent06_Savings!J176)</f>
        <v/>
      </c>
      <c r="J1171" s="37" t="str">
        <f>IF(Agent06_Savings!A176="","",Agent06_Savings!K176)</f>
        <v/>
      </c>
      <c r="K1171" s="37" t="str">
        <f>IFERROR(IF(Agent06_Savings!A176="","",YEAR(Agent06_Savings!D176)),"")</f>
        <v/>
      </c>
    </row>
    <row r="1172" spans="1:11" ht="18" customHeight="1" x14ac:dyDescent="0.25">
      <c r="A1172" s="37" t="str">
        <f>IF(Agent06_Savings!A177="","",Agent06_Savings!A177)</f>
        <v/>
      </c>
      <c r="B1172" s="37" t="str">
        <f ca="1">IF(Agent06_Savings!A177="","","SV"&amp;TEXT(1172-3,"0000")&amp;"-"&amp;TEXT(TODAY(),"YYYYMMDD"))</f>
        <v/>
      </c>
      <c r="C1172" s="37" t="str">
        <f>IF(Agent06_Savings!A177="","",Agent06_Savings!B177)</f>
        <v/>
      </c>
      <c r="D1172" s="37" t="str">
        <f>IF(Agent06_Savings!A177="","",Agent06_Savings!G177)</f>
        <v/>
      </c>
      <c r="E1172" s="38" t="str">
        <f>IF(Agent06_Savings!A177="","",Agent06_Savings!D177)</f>
        <v/>
      </c>
      <c r="F1172" s="39" t="str">
        <f>IF(Agent06_Savings!A177="","",Agent06_Savings!E177)</f>
        <v/>
      </c>
      <c r="G1172" s="39" t="str">
        <f>IF(Agent06_Savings!A177="","",Agent06_Savings!F177)</f>
        <v/>
      </c>
      <c r="H1172" s="37" t="str">
        <f>IF(Agent06_Savings!A177="","",Agent06_Savings!I177)</f>
        <v/>
      </c>
      <c r="I1172" s="37" t="str">
        <f>IF(Agent06_Savings!A177="","",Agent06_Savings!J177)</f>
        <v/>
      </c>
      <c r="J1172" s="37" t="str">
        <f>IF(Agent06_Savings!A177="","",Agent06_Savings!K177)</f>
        <v/>
      </c>
      <c r="K1172" s="37" t="str">
        <f>IFERROR(IF(Agent06_Savings!A177="","",YEAR(Agent06_Savings!D177)),"")</f>
        <v/>
      </c>
    </row>
    <row r="1173" spans="1:11" ht="18" customHeight="1" x14ac:dyDescent="0.25">
      <c r="A1173" s="37" t="str">
        <f>IF(Agent06_Savings!A178="","",Agent06_Savings!A178)</f>
        <v/>
      </c>
      <c r="B1173" s="37" t="str">
        <f ca="1">IF(Agent06_Savings!A178="","","SV"&amp;TEXT(1173-3,"0000")&amp;"-"&amp;TEXT(TODAY(),"YYYYMMDD"))</f>
        <v/>
      </c>
      <c r="C1173" s="37" t="str">
        <f>IF(Agent06_Savings!A178="","",Agent06_Savings!B178)</f>
        <v/>
      </c>
      <c r="D1173" s="37" t="str">
        <f>IF(Agent06_Savings!A178="","",Agent06_Savings!G178)</f>
        <v/>
      </c>
      <c r="E1173" s="38" t="str">
        <f>IF(Agent06_Savings!A178="","",Agent06_Savings!D178)</f>
        <v/>
      </c>
      <c r="F1173" s="39" t="str">
        <f>IF(Agent06_Savings!A178="","",Agent06_Savings!E178)</f>
        <v/>
      </c>
      <c r="G1173" s="39" t="str">
        <f>IF(Agent06_Savings!A178="","",Agent06_Savings!F178)</f>
        <v/>
      </c>
      <c r="H1173" s="37" t="str">
        <f>IF(Agent06_Savings!A178="","",Agent06_Savings!I178)</f>
        <v/>
      </c>
      <c r="I1173" s="37" t="str">
        <f>IF(Agent06_Savings!A178="","",Agent06_Savings!J178)</f>
        <v/>
      </c>
      <c r="J1173" s="37" t="str">
        <f>IF(Agent06_Savings!A178="","",Agent06_Savings!K178)</f>
        <v/>
      </c>
      <c r="K1173" s="37" t="str">
        <f>IFERROR(IF(Agent06_Savings!A178="","",YEAR(Agent06_Savings!D178)),"")</f>
        <v/>
      </c>
    </row>
    <row r="1174" spans="1:11" ht="18" customHeight="1" x14ac:dyDescent="0.25">
      <c r="A1174" s="37" t="str">
        <f>IF(Agent06_Savings!A179="","",Agent06_Savings!A179)</f>
        <v/>
      </c>
      <c r="B1174" s="37" t="str">
        <f ca="1">IF(Agent06_Savings!A179="","","SV"&amp;TEXT(1174-3,"0000")&amp;"-"&amp;TEXT(TODAY(),"YYYYMMDD"))</f>
        <v/>
      </c>
      <c r="C1174" s="37" t="str">
        <f>IF(Agent06_Savings!A179="","",Agent06_Savings!B179)</f>
        <v/>
      </c>
      <c r="D1174" s="37" t="str">
        <f>IF(Agent06_Savings!A179="","",Agent06_Savings!G179)</f>
        <v/>
      </c>
      <c r="E1174" s="38" t="str">
        <f>IF(Agent06_Savings!A179="","",Agent06_Savings!D179)</f>
        <v/>
      </c>
      <c r="F1174" s="39" t="str">
        <f>IF(Agent06_Savings!A179="","",Agent06_Savings!E179)</f>
        <v/>
      </c>
      <c r="G1174" s="39" t="str">
        <f>IF(Agent06_Savings!A179="","",Agent06_Savings!F179)</f>
        <v/>
      </c>
      <c r="H1174" s="37" t="str">
        <f>IF(Agent06_Savings!A179="","",Agent06_Savings!I179)</f>
        <v/>
      </c>
      <c r="I1174" s="37" t="str">
        <f>IF(Agent06_Savings!A179="","",Agent06_Savings!J179)</f>
        <v/>
      </c>
      <c r="J1174" s="37" t="str">
        <f>IF(Agent06_Savings!A179="","",Agent06_Savings!K179)</f>
        <v/>
      </c>
      <c r="K1174" s="37" t="str">
        <f>IFERROR(IF(Agent06_Savings!A179="","",YEAR(Agent06_Savings!D179)),"")</f>
        <v/>
      </c>
    </row>
    <row r="1175" spans="1:11" ht="18" customHeight="1" x14ac:dyDescent="0.25">
      <c r="A1175" s="37" t="str">
        <f>IF(Agent06_Savings!A180="","",Agent06_Savings!A180)</f>
        <v/>
      </c>
      <c r="B1175" s="37" t="str">
        <f ca="1">IF(Agent06_Savings!A180="","","SV"&amp;TEXT(1175-3,"0000")&amp;"-"&amp;TEXT(TODAY(),"YYYYMMDD"))</f>
        <v/>
      </c>
      <c r="C1175" s="37" t="str">
        <f>IF(Agent06_Savings!A180="","",Agent06_Savings!B180)</f>
        <v/>
      </c>
      <c r="D1175" s="37" t="str">
        <f>IF(Agent06_Savings!A180="","",Agent06_Savings!G180)</f>
        <v/>
      </c>
      <c r="E1175" s="38" t="str">
        <f>IF(Agent06_Savings!A180="","",Agent06_Savings!D180)</f>
        <v/>
      </c>
      <c r="F1175" s="39" t="str">
        <f>IF(Agent06_Savings!A180="","",Agent06_Savings!E180)</f>
        <v/>
      </c>
      <c r="G1175" s="39" t="str">
        <f>IF(Agent06_Savings!A180="","",Agent06_Savings!F180)</f>
        <v/>
      </c>
      <c r="H1175" s="37" t="str">
        <f>IF(Agent06_Savings!A180="","",Agent06_Savings!I180)</f>
        <v/>
      </c>
      <c r="I1175" s="37" t="str">
        <f>IF(Agent06_Savings!A180="","",Agent06_Savings!J180)</f>
        <v/>
      </c>
      <c r="J1175" s="37" t="str">
        <f>IF(Agent06_Savings!A180="","",Agent06_Savings!K180)</f>
        <v/>
      </c>
      <c r="K1175" s="37" t="str">
        <f>IFERROR(IF(Agent06_Savings!A180="","",YEAR(Agent06_Savings!D180)),"")</f>
        <v/>
      </c>
    </row>
    <row r="1176" spans="1:11" ht="18" customHeight="1" x14ac:dyDescent="0.25">
      <c r="A1176" s="37" t="str">
        <f>IF(Agent06_Savings!A181="","",Agent06_Savings!A181)</f>
        <v/>
      </c>
      <c r="B1176" s="37" t="str">
        <f ca="1">IF(Agent06_Savings!A181="","","SV"&amp;TEXT(1176-3,"0000")&amp;"-"&amp;TEXT(TODAY(),"YYYYMMDD"))</f>
        <v/>
      </c>
      <c r="C1176" s="37" t="str">
        <f>IF(Agent06_Savings!A181="","",Agent06_Savings!B181)</f>
        <v/>
      </c>
      <c r="D1176" s="37" t="str">
        <f>IF(Agent06_Savings!A181="","",Agent06_Savings!G181)</f>
        <v/>
      </c>
      <c r="E1176" s="38" t="str">
        <f>IF(Agent06_Savings!A181="","",Agent06_Savings!D181)</f>
        <v/>
      </c>
      <c r="F1176" s="39" t="str">
        <f>IF(Agent06_Savings!A181="","",Agent06_Savings!E181)</f>
        <v/>
      </c>
      <c r="G1176" s="39" t="str">
        <f>IF(Agent06_Savings!A181="","",Agent06_Savings!F181)</f>
        <v/>
      </c>
      <c r="H1176" s="37" t="str">
        <f>IF(Agent06_Savings!A181="","",Agent06_Savings!I181)</f>
        <v/>
      </c>
      <c r="I1176" s="37" t="str">
        <f>IF(Agent06_Savings!A181="","",Agent06_Savings!J181)</f>
        <v/>
      </c>
      <c r="J1176" s="37" t="str">
        <f>IF(Agent06_Savings!A181="","",Agent06_Savings!K181)</f>
        <v/>
      </c>
      <c r="K1176" s="37" t="str">
        <f>IFERROR(IF(Agent06_Savings!A181="","",YEAR(Agent06_Savings!D181)),"")</f>
        <v/>
      </c>
    </row>
    <row r="1177" spans="1:11" ht="18" customHeight="1" x14ac:dyDescent="0.25">
      <c r="A1177" s="37" t="str">
        <f>IF(Agent06_Savings!A182="","",Agent06_Savings!A182)</f>
        <v/>
      </c>
      <c r="B1177" s="37" t="str">
        <f ca="1">IF(Agent06_Savings!A182="","","SV"&amp;TEXT(1177-3,"0000")&amp;"-"&amp;TEXT(TODAY(),"YYYYMMDD"))</f>
        <v/>
      </c>
      <c r="C1177" s="37" t="str">
        <f>IF(Agent06_Savings!A182="","",Agent06_Savings!B182)</f>
        <v/>
      </c>
      <c r="D1177" s="37" t="str">
        <f>IF(Agent06_Savings!A182="","",Agent06_Savings!G182)</f>
        <v/>
      </c>
      <c r="E1177" s="38" t="str">
        <f>IF(Agent06_Savings!A182="","",Agent06_Savings!D182)</f>
        <v/>
      </c>
      <c r="F1177" s="39" t="str">
        <f>IF(Agent06_Savings!A182="","",Agent06_Savings!E182)</f>
        <v/>
      </c>
      <c r="G1177" s="39" t="str">
        <f>IF(Agent06_Savings!A182="","",Agent06_Savings!F182)</f>
        <v/>
      </c>
      <c r="H1177" s="37" t="str">
        <f>IF(Agent06_Savings!A182="","",Agent06_Savings!I182)</f>
        <v/>
      </c>
      <c r="I1177" s="37" t="str">
        <f>IF(Agent06_Savings!A182="","",Agent06_Savings!J182)</f>
        <v/>
      </c>
      <c r="J1177" s="37" t="str">
        <f>IF(Agent06_Savings!A182="","",Agent06_Savings!K182)</f>
        <v/>
      </c>
      <c r="K1177" s="37" t="str">
        <f>IFERROR(IF(Agent06_Savings!A182="","",YEAR(Agent06_Savings!D182)),"")</f>
        <v/>
      </c>
    </row>
    <row r="1178" spans="1:11" ht="18" customHeight="1" x14ac:dyDescent="0.25">
      <c r="A1178" s="37" t="str">
        <f>IF(Agent06_Savings!A183="","",Agent06_Savings!A183)</f>
        <v/>
      </c>
      <c r="B1178" s="37" t="str">
        <f ca="1">IF(Agent06_Savings!A183="","","SV"&amp;TEXT(1178-3,"0000")&amp;"-"&amp;TEXT(TODAY(),"YYYYMMDD"))</f>
        <v/>
      </c>
      <c r="C1178" s="37" t="str">
        <f>IF(Agent06_Savings!A183="","",Agent06_Savings!B183)</f>
        <v/>
      </c>
      <c r="D1178" s="37" t="str">
        <f>IF(Agent06_Savings!A183="","",Agent06_Savings!G183)</f>
        <v/>
      </c>
      <c r="E1178" s="38" t="str">
        <f>IF(Agent06_Savings!A183="","",Agent06_Savings!D183)</f>
        <v/>
      </c>
      <c r="F1178" s="39" t="str">
        <f>IF(Agent06_Savings!A183="","",Agent06_Savings!E183)</f>
        <v/>
      </c>
      <c r="G1178" s="39" t="str">
        <f>IF(Agent06_Savings!A183="","",Agent06_Savings!F183)</f>
        <v/>
      </c>
      <c r="H1178" s="37" t="str">
        <f>IF(Agent06_Savings!A183="","",Agent06_Savings!I183)</f>
        <v/>
      </c>
      <c r="I1178" s="37" t="str">
        <f>IF(Agent06_Savings!A183="","",Agent06_Savings!J183)</f>
        <v/>
      </c>
      <c r="J1178" s="37" t="str">
        <f>IF(Agent06_Savings!A183="","",Agent06_Savings!K183)</f>
        <v/>
      </c>
      <c r="K1178" s="37" t="str">
        <f>IFERROR(IF(Agent06_Savings!A183="","",YEAR(Agent06_Savings!D183)),"")</f>
        <v/>
      </c>
    </row>
    <row r="1179" spans="1:11" ht="18" customHeight="1" x14ac:dyDescent="0.25">
      <c r="A1179" s="37" t="str">
        <f>IF(Agent06_Savings!A184="","",Agent06_Savings!A184)</f>
        <v/>
      </c>
      <c r="B1179" s="37" t="str">
        <f ca="1">IF(Agent06_Savings!A184="","","SV"&amp;TEXT(1179-3,"0000")&amp;"-"&amp;TEXT(TODAY(),"YYYYMMDD"))</f>
        <v/>
      </c>
      <c r="C1179" s="37" t="str">
        <f>IF(Agent06_Savings!A184="","",Agent06_Savings!B184)</f>
        <v/>
      </c>
      <c r="D1179" s="37" t="str">
        <f>IF(Agent06_Savings!A184="","",Agent06_Savings!G184)</f>
        <v/>
      </c>
      <c r="E1179" s="38" t="str">
        <f>IF(Agent06_Savings!A184="","",Agent06_Savings!D184)</f>
        <v/>
      </c>
      <c r="F1179" s="39" t="str">
        <f>IF(Agent06_Savings!A184="","",Agent06_Savings!E184)</f>
        <v/>
      </c>
      <c r="G1179" s="39" t="str">
        <f>IF(Agent06_Savings!A184="","",Agent06_Savings!F184)</f>
        <v/>
      </c>
      <c r="H1179" s="37" t="str">
        <f>IF(Agent06_Savings!A184="","",Agent06_Savings!I184)</f>
        <v/>
      </c>
      <c r="I1179" s="37" t="str">
        <f>IF(Agent06_Savings!A184="","",Agent06_Savings!J184)</f>
        <v/>
      </c>
      <c r="J1179" s="37" t="str">
        <f>IF(Agent06_Savings!A184="","",Agent06_Savings!K184)</f>
        <v/>
      </c>
      <c r="K1179" s="37" t="str">
        <f>IFERROR(IF(Agent06_Savings!A184="","",YEAR(Agent06_Savings!D184)),"")</f>
        <v/>
      </c>
    </row>
    <row r="1180" spans="1:11" ht="18" customHeight="1" x14ac:dyDescent="0.25">
      <c r="A1180" s="37" t="str">
        <f>IF(Agent06_Savings!A185="","",Agent06_Savings!A185)</f>
        <v/>
      </c>
      <c r="B1180" s="37" t="str">
        <f ca="1">IF(Agent06_Savings!A185="","","SV"&amp;TEXT(1180-3,"0000")&amp;"-"&amp;TEXT(TODAY(),"YYYYMMDD"))</f>
        <v/>
      </c>
      <c r="C1180" s="37" t="str">
        <f>IF(Agent06_Savings!A185="","",Agent06_Savings!B185)</f>
        <v/>
      </c>
      <c r="D1180" s="37" t="str">
        <f>IF(Agent06_Savings!A185="","",Agent06_Savings!G185)</f>
        <v/>
      </c>
      <c r="E1180" s="38" t="str">
        <f>IF(Agent06_Savings!A185="","",Agent06_Savings!D185)</f>
        <v/>
      </c>
      <c r="F1180" s="39" t="str">
        <f>IF(Agent06_Savings!A185="","",Agent06_Savings!E185)</f>
        <v/>
      </c>
      <c r="G1180" s="39" t="str">
        <f>IF(Agent06_Savings!A185="","",Agent06_Savings!F185)</f>
        <v/>
      </c>
      <c r="H1180" s="37" t="str">
        <f>IF(Agent06_Savings!A185="","",Agent06_Savings!I185)</f>
        <v/>
      </c>
      <c r="I1180" s="37" t="str">
        <f>IF(Agent06_Savings!A185="","",Agent06_Savings!J185)</f>
        <v/>
      </c>
      <c r="J1180" s="37" t="str">
        <f>IF(Agent06_Savings!A185="","",Agent06_Savings!K185)</f>
        <v/>
      </c>
      <c r="K1180" s="37" t="str">
        <f>IFERROR(IF(Agent06_Savings!A185="","",YEAR(Agent06_Savings!D185)),"")</f>
        <v/>
      </c>
    </row>
    <row r="1181" spans="1:11" ht="18" customHeight="1" x14ac:dyDescent="0.25">
      <c r="A1181" s="37" t="str">
        <f>IF(Agent06_Savings!A186="","",Agent06_Savings!A186)</f>
        <v/>
      </c>
      <c r="B1181" s="37" t="str">
        <f ca="1">IF(Agent06_Savings!A186="","","SV"&amp;TEXT(1181-3,"0000")&amp;"-"&amp;TEXT(TODAY(),"YYYYMMDD"))</f>
        <v/>
      </c>
      <c r="C1181" s="37" t="str">
        <f>IF(Agent06_Savings!A186="","",Agent06_Savings!B186)</f>
        <v/>
      </c>
      <c r="D1181" s="37" t="str">
        <f>IF(Agent06_Savings!A186="","",Agent06_Savings!G186)</f>
        <v/>
      </c>
      <c r="E1181" s="38" t="str">
        <f>IF(Agent06_Savings!A186="","",Agent06_Savings!D186)</f>
        <v/>
      </c>
      <c r="F1181" s="39" t="str">
        <f>IF(Agent06_Savings!A186="","",Agent06_Savings!E186)</f>
        <v/>
      </c>
      <c r="G1181" s="39" t="str">
        <f>IF(Agent06_Savings!A186="","",Agent06_Savings!F186)</f>
        <v/>
      </c>
      <c r="H1181" s="37" t="str">
        <f>IF(Agent06_Savings!A186="","",Agent06_Savings!I186)</f>
        <v/>
      </c>
      <c r="I1181" s="37" t="str">
        <f>IF(Agent06_Savings!A186="","",Agent06_Savings!J186)</f>
        <v/>
      </c>
      <c r="J1181" s="37" t="str">
        <f>IF(Agent06_Savings!A186="","",Agent06_Savings!K186)</f>
        <v/>
      </c>
      <c r="K1181" s="37" t="str">
        <f>IFERROR(IF(Agent06_Savings!A186="","",YEAR(Agent06_Savings!D186)),"")</f>
        <v/>
      </c>
    </row>
    <row r="1182" spans="1:11" ht="18" customHeight="1" x14ac:dyDescent="0.25">
      <c r="A1182" s="37" t="str">
        <f>IF(Agent06_Savings!A187="","",Agent06_Savings!A187)</f>
        <v/>
      </c>
      <c r="B1182" s="37" t="str">
        <f ca="1">IF(Agent06_Savings!A187="","","SV"&amp;TEXT(1182-3,"0000")&amp;"-"&amp;TEXT(TODAY(),"YYYYMMDD"))</f>
        <v/>
      </c>
      <c r="C1182" s="37" t="str">
        <f>IF(Agent06_Savings!A187="","",Agent06_Savings!B187)</f>
        <v/>
      </c>
      <c r="D1182" s="37" t="str">
        <f>IF(Agent06_Savings!A187="","",Agent06_Savings!G187)</f>
        <v/>
      </c>
      <c r="E1182" s="38" t="str">
        <f>IF(Agent06_Savings!A187="","",Agent06_Savings!D187)</f>
        <v/>
      </c>
      <c r="F1182" s="39" t="str">
        <f>IF(Agent06_Savings!A187="","",Agent06_Savings!E187)</f>
        <v/>
      </c>
      <c r="G1182" s="39" t="str">
        <f>IF(Agent06_Savings!A187="","",Agent06_Savings!F187)</f>
        <v/>
      </c>
      <c r="H1182" s="37" t="str">
        <f>IF(Agent06_Savings!A187="","",Agent06_Savings!I187)</f>
        <v/>
      </c>
      <c r="I1182" s="37" t="str">
        <f>IF(Agent06_Savings!A187="","",Agent06_Savings!J187)</f>
        <v/>
      </c>
      <c r="J1182" s="37" t="str">
        <f>IF(Agent06_Savings!A187="","",Agent06_Savings!K187)</f>
        <v/>
      </c>
      <c r="K1182" s="37" t="str">
        <f>IFERROR(IF(Agent06_Savings!A187="","",YEAR(Agent06_Savings!D187)),"")</f>
        <v/>
      </c>
    </row>
    <row r="1183" spans="1:11" ht="18" customHeight="1" x14ac:dyDescent="0.25">
      <c r="A1183" s="37" t="str">
        <f>IF(Agent06_Savings!A188="","",Agent06_Savings!A188)</f>
        <v/>
      </c>
      <c r="B1183" s="37" t="str">
        <f ca="1">IF(Agent06_Savings!A188="","","SV"&amp;TEXT(1183-3,"0000")&amp;"-"&amp;TEXT(TODAY(),"YYYYMMDD"))</f>
        <v/>
      </c>
      <c r="C1183" s="37" t="str">
        <f>IF(Agent06_Savings!A188="","",Agent06_Savings!B188)</f>
        <v/>
      </c>
      <c r="D1183" s="37" t="str">
        <f>IF(Agent06_Savings!A188="","",Agent06_Savings!G188)</f>
        <v/>
      </c>
      <c r="E1183" s="38" t="str">
        <f>IF(Agent06_Savings!A188="","",Agent06_Savings!D188)</f>
        <v/>
      </c>
      <c r="F1183" s="39" t="str">
        <f>IF(Agent06_Savings!A188="","",Agent06_Savings!E188)</f>
        <v/>
      </c>
      <c r="G1183" s="39" t="str">
        <f>IF(Agent06_Savings!A188="","",Agent06_Savings!F188)</f>
        <v/>
      </c>
      <c r="H1183" s="37" t="str">
        <f>IF(Agent06_Savings!A188="","",Agent06_Savings!I188)</f>
        <v/>
      </c>
      <c r="I1183" s="37" t="str">
        <f>IF(Agent06_Savings!A188="","",Agent06_Savings!J188)</f>
        <v/>
      </c>
      <c r="J1183" s="37" t="str">
        <f>IF(Agent06_Savings!A188="","",Agent06_Savings!K188)</f>
        <v/>
      </c>
      <c r="K1183" s="37" t="str">
        <f>IFERROR(IF(Agent06_Savings!A188="","",YEAR(Agent06_Savings!D188)),"")</f>
        <v/>
      </c>
    </row>
    <row r="1184" spans="1:11" ht="18" customHeight="1" x14ac:dyDescent="0.25">
      <c r="A1184" s="37" t="str">
        <f>IF(Agent06_Savings!A189="","",Agent06_Savings!A189)</f>
        <v/>
      </c>
      <c r="B1184" s="37" t="str">
        <f ca="1">IF(Agent06_Savings!A189="","","SV"&amp;TEXT(1184-3,"0000")&amp;"-"&amp;TEXT(TODAY(),"YYYYMMDD"))</f>
        <v/>
      </c>
      <c r="C1184" s="37" t="str">
        <f>IF(Agent06_Savings!A189="","",Agent06_Savings!B189)</f>
        <v/>
      </c>
      <c r="D1184" s="37" t="str">
        <f>IF(Agent06_Savings!A189="","",Agent06_Savings!G189)</f>
        <v/>
      </c>
      <c r="E1184" s="38" t="str">
        <f>IF(Agent06_Savings!A189="","",Agent06_Savings!D189)</f>
        <v/>
      </c>
      <c r="F1184" s="39" t="str">
        <f>IF(Agent06_Savings!A189="","",Agent06_Savings!E189)</f>
        <v/>
      </c>
      <c r="G1184" s="39" t="str">
        <f>IF(Agent06_Savings!A189="","",Agent06_Savings!F189)</f>
        <v/>
      </c>
      <c r="H1184" s="37" t="str">
        <f>IF(Agent06_Savings!A189="","",Agent06_Savings!I189)</f>
        <v/>
      </c>
      <c r="I1184" s="37" t="str">
        <f>IF(Agent06_Savings!A189="","",Agent06_Savings!J189)</f>
        <v/>
      </c>
      <c r="J1184" s="37" t="str">
        <f>IF(Agent06_Savings!A189="","",Agent06_Savings!K189)</f>
        <v/>
      </c>
      <c r="K1184" s="37" t="str">
        <f>IFERROR(IF(Agent06_Savings!A189="","",YEAR(Agent06_Savings!D189)),"")</f>
        <v/>
      </c>
    </row>
    <row r="1185" spans="1:11" ht="18" customHeight="1" x14ac:dyDescent="0.25">
      <c r="A1185" s="37" t="str">
        <f>IF(Agent06_Savings!A190="","",Agent06_Savings!A190)</f>
        <v/>
      </c>
      <c r="B1185" s="37" t="str">
        <f ca="1">IF(Agent06_Savings!A190="","","SV"&amp;TEXT(1185-3,"0000")&amp;"-"&amp;TEXT(TODAY(),"YYYYMMDD"))</f>
        <v/>
      </c>
      <c r="C1185" s="37" t="str">
        <f>IF(Agent06_Savings!A190="","",Agent06_Savings!B190)</f>
        <v/>
      </c>
      <c r="D1185" s="37" t="str">
        <f>IF(Agent06_Savings!A190="","",Agent06_Savings!G190)</f>
        <v/>
      </c>
      <c r="E1185" s="38" t="str">
        <f>IF(Agent06_Savings!A190="","",Agent06_Savings!D190)</f>
        <v/>
      </c>
      <c r="F1185" s="39" t="str">
        <f>IF(Agent06_Savings!A190="","",Agent06_Savings!E190)</f>
        <v/>
      </c>
      <c r="G1185" s="39" t="str">
        <f>IF(Agent06_Savings!A190="","",Agent06_Savings!F190)</f>
        <v/>
      </c>
      <c r="H1185" s="37" t="str">
        <f>IF(Agent06_Savings!A190="","",Agent06_Savings!I190)</f>
        <v/>
      </c>
      <c r="I1185" s="37" t="str">
        <f>IF(Agent06_Savings!A190="","",Agent06_Savings!J190)</f>
        <v/>
      </c>
      <c r="J1185" s="37" t="str">
        <f>IF(Agent06_Savings!A190="","",Agent06_Savings!K190)</f>
        <v/>
      </c>
      <c r="K1185" s="37" t="str">
        <f>IFERROR(IF(Agent06_Savings!A190="","",YEAR(Agent06_Savings!D190)),"")</f>
        <v/>
      </c>
    </row>
    <row r="1186" spans="1:11" ht="18" customHeight="1" x14ac:dyDescent="0.25">
      <c r="A1186" s="37" t="str">
        <f>IF(Agent06_Savings!A191="","",Agent06_Savings!A191)</f>
        <v/>
      </c>
      <c r="B1186" s="37" t="str">
        <f ca="1">IF(Agent06_Savings!A191="","","SV"&amp;TEXT(1186-3,"0000")&amp;"-"&amp;TEXT(TODAY(),"YYYYMMDD"))</f>
        <v/>
      </c>
      <c r="C1186" s="37" t="str">
        <f>IF(Agent06_Savings!A191="","",Agent06_Savings!B191)</f>
        <v/>
      </c>
      <c r="D1186" s="37" t="str">
        <f>IF(Agent06_Savings!A191="","",Agent06_Savings!G191)</f>
        <v/>
      </c>
      <c r="E1186" s="38" t="str">
        <f>IF(Agent06_Savings!A191="","",Agent06_Savings!D191)</f>
        <v/>
      </c>
      <c r="F1186" s="39" t="str">
        <f>IF(Agent06_Savings!A191="","",Agent06_Savings!E191)</f>
        <v/>
      </c>
      <c r="G1186" s="39" t="str">
        <f>IF(Agent06_Savings!A191="","",Agent06_Savings!F191)</f>
        <v/>
      </c>
      <c r="H1186" s="37" t="str">
        <f>IF(Agent06_Savings!A191="","",Agent06_Savings!I191)</f>
        <v/>
      </c>
      <c r="I1186" s="37" t="str">
        <f>IF(Agent06_Savings!A191="","",Agent06_Savings!J191)</f>
        <v/>
      </c>
      <c r="J1186" s="37" t="str">
        <f>IF(Agent06_Savings!A191="","",Agent06_Savings!K191)</f>
        <v/>
      </c>
      <c r="K1186" s="37" t="str">
        <f>IFERROR(IF(Agent06_Savings!A191="","",YEAR(Agent06_Savings!D191)),"")</f>
        <v/>
      </c>
    </row>
    <row r="1187" spans="1:11" ht="18" customHeight="1" x14ac:dyDescent="0.25">
      <c r="A1187" s="37" t="str">
        <f>IF(Agent06_Savings!A192="","",Agent06_Savings!A192)</f>
        <v/>
      </c>
      <c r="B1187" s="37" t="str">
        <f ca="1">IF(Agent06_Savings!A192="","","SV"&amp;TEXT(1187-3,"0000")&amp;"-"&amp;TEXT(TODAY(),"YYYYMMDD"))</f>
        <v/>
      </c>
      <c r="C1187" s="37" t="str">
        <f>IF(Agent06_Savings!A192="","",Agent06_Savings!B192)</f>
        <v/>
      </c>
      <c r="D1187" s="37" t="str">
        <f>IF(Agent06_Savings!A192="","",Agent06_Savings!G192)</f>
        <v/>
      </c>
      <c r="E1187" s="38" t="str">
        <f>IF(Agent06_Savings!A192="","",Agent06_Savings!D192)</f>
        <v/>
      </c>
      <c r="F1187" s="39" t="str">
        <f>IF(Agent06_Savings!A192="","",Agent06_Savings!E192)</f>
        <v/>
      </c>
      <c r="G1187" s="39" t="str">
        <f>IF(Agent06_Savings!A192="","",Agent06_Savings!F192)</f>
        <v/>
      </c>
      <c r="H1187" s="37" t="str">
        <f>IF(Agent06_Savings!A192="","",Agent06_Savings!I192)</f>
        <v/>
      </c>
      <c r="I1187" s="37" t="str">
        <f>IF(Agent06_Savings!A192="","",Agent06_Savings!J192)</f>
        <v/>
      </c>
      <c r="J1187" s="37" t="str">
        <f>IF(Agent06_Savings!A192="","",Agent06_Savings!K192)</f>
        <v/>
      </c>
      <c r="K1187" s="37" t="str">
        <f>IFERROR(IF(Agent06_Savings!A192="","",YEAR(Agent06_Savings!D192)),"")</f>
        <v/>
      </c>
    </row>
    <row r="1188" spans="1:11" ht="18" customHeight="1" x14ac:dyDescent="0.25">
      <c r="A1188" s="37" t="str">
        <f>IF(Agent06_Savings!A193="","",Agent06_Savings!A193)</f>
        <v/>
      </c>
      <c r="B1188" s="37" t="str">
        <f ca="1">IF(Agent06_Savings!A193="","","SV"&amp;TEXT(1188-3,"0000")&amp;"-"&amp;TEXT(TODAY(),"YYYYMMDD"))</f>
        <v/>
      </c>
      <c r="C1188" s="37" t="str">
        <f>IF(Agent06_Savings!A193="","",Agent06_Savings!B193)</f>
        <v/>
      </c>
      <c r="D1188" s="37" t="str">
        <f>IF(Agent06_Savings!A193="","",Agent06_Savings!G193)</f>
        <v/>
      </c>
      <c r="E1188" s="38" t="str">
        <f>IF(Agent06_Savings!A193="","",Agent06_Savings!D193)</f>
        <v/>
      </c>
      <c r="F1188" s="39" t="str">
        <f>IF(Agent06_Savings!A193="","",Agent06_Savings!E193)</f>
        <v/>
      </c>
      <c r="G1188" s="39" t="str">
        <f>IF(Agent06_Savings!A193="","",Agent06_Savings!F193)</f>
        <v/>
      </c>
      <c r="H1188" s="37" t="str">
        <f>IF(Agent06_Savings!A193="","",Agent06_Savings!I193)</f>
        <v/>
      </c>
      <c r="I1188" s="37" t="str">
        <f>IF(Agent06_Savings!A193="","",Agent06_Savings!J193)</f>
        <v/>
      </c>
      <c r="J1188" s="37" t="str">
        <f>IF(Agent06_Savings!A193="","",Agent06_Savings!K193)</f>
        <v/>
      </c>
      <c r="K1188" s="37" t="str">
        <f>IFERROR(IF(Agent06_Savings!A193="","",YEAR(Agent06_Savings!D193)),"")</f>
        <v/>
      </c>
    </row>
    <row r="1189" spans="1:11" ht="18" customHeight="1" x14ac:dyDescent="0.25">
      <c r="A1189" s="37" t="str">
        <f>IF(Agent06_Savings!A194="","",Agent06_Savings!A194)</f>
        <v/>
      </c>
      <c r="B1189" s="37" t="str">
        <f ca="1">IF(Agent06_Savings!A194="","","SV"&amp;TEXT(1189-3,"0000")&amp;"-"&amp;TEXT(TODAY(),"YYYYMMDD"))</f>
        <v/>
      </c>
      <c r="C1189" s="37" t="str">
        <f>IF(Agent06_Savings!A194="","",Agent06_Savings!B194)</f>
        <v/>
      </c>
      <c r="D1189" s="37" t="str">
        <f>IF(Agent06_Savings!A194="","",Agent06_Savings!G194)</f>
        <v/>
      </c>
      <c r="E1189" s="38" t="str">
        <f>IF(Agent06_Savings!A194="","",Agent06_Savings!D194)</f>
        <v/>
      </c>
      <c r="F1189" s="39" t="str">
        <f>IF(Agent06_Savings!A194="","",Agent06_Savings!E194)</f>
        <v/>
      </c>
      <c r="G1189" s="39" t="str">
        <f>IF(Agent06_Savings!A194="","",Agent06_Savings!F194)</f>
        <v/>
      </c>
      <c r="H1189" s="37" t="str">
        <f>IF(Agent06_Savings!A194="","",Agent06_Savings!I194)</f>
        <v/>
      </c>
      <c r="I1189" s="37" t="str">
        <f>IF(Agent06_Savings!A194="","",Agent06_Savings!J194)</f>
        <v/>
      </c>
      <c r="J1189" s="37" t="str">
        <f>IF(Agent06_Savings!A194="","",Agent06_Savings!K194)</f>
        <v/>
      </c>
      <c r="K1189" s="37" t="str">
        <f>IFERROR(IF(Agent06_Savings!A194="","",YEAR(Agent06_Savings!D194)),"")</f>
        <v/>
      </c>
    </row>
    <row r="1190" spans="1:11" ht="18" customHeight="1" x14ac:dyDescent="0.25">
      <c r="A1190" s="37" t="str">
        <f>IF(Agent06_Savings!A195="","",Agent06_Savings!A195)</f>
        <v/>
      </c>
      <c r="B1190" s="37" t="str">
        <f ca="1">IF(Agent06_Savings!A195="","","SV"&amp;TEXT(1190-3,"0000")&amp;"-"&amp;TEXT(TODAY(),"YYYYMMDD"))</f>
        <v/>
      </c>
      <c r="C1190" s="37" t="str">
        <f>IF(Agent06_Savings!A195="","",Agent06_Savings!B195)</f>
        <v/>
      </c>
      <c r="D1190" s="37" t="str">
        <f>IF(Agent06_Savings!A195="","",Agent06_Savings!G195)</f>
        <v/>
      </c>
      <c r="E1190" s="38" t="str">
        <f>IF(Agent06_Savings!A195="","",Agent06_Savings!D195)</f>
        <v/>
      </c>
      <c r="F1190" s="39" t="str">
        <f>IF(Agent06_Savings!A195="","",Agent06_Savings!E195)</f>
        <v/>
      </c>
      <c r="G1190" s="39" t="str">
        <f>IF(Agent06_Savings!A195="","",Agent06_Savings!F195)</f>
        <v/>
      </c>
      <c r="H1190" s="37" t="str">
        <f>IF(Agent06_Savings!A195="","",Agent06_Savings!I195)</f>
        <v/>
      </c>
      <c r="I1190" s="37" t="str">
        <f>IF(Agent06_Savings!A195="","",Agent06_Savings!J195)</f>
        <v/>
      </c>
      <c r="J1190" s="37" t="str">
        <f>IF(Agent06_Savings!A195="","",Agent06_Savings!K195)</f>
        <v/>
      </c>
      <c r="K1190" s="37" t="str">
        <f>IFERROR(IF(Agent06_Savings!A195="","",YEAR(Agent06_Savings!D195)),"")</f>
        <v/>
      </c>
    </row>
    <row r="1191" spans="1:11" ht="18" customHeight="1" x14ac:dyDescent="0.25">
      <c r="A1191" s="37" t="str">
        <f>IF(Agent06_Savings!A196="","",Agent06_Savings!A196)</f>
        <v/>
      </c>
      <c r="B1191" s="37" t="str">
        <f ca="1">IF(Agent06_Savings!A196="","","SV"&amp;TEXT(1191-3,"0000")&amp;"-"&amp;TEXT(TODAY(),"YYYYMMDD"))</f>
        <v/>
      </c>
      <c r="C1191" s="37" t="str">
        <f>IF(Agent06_Savings!A196="","",Agent06_Savings!B196)</f>
        <v/>
      </c>
      <c r="D1191" s="37" t="str">
        <f>IF(Agent06_Savings!A196="","",Agent06_Savings!G196)</f>
        <v/>
      </c>
      <c r="E1191" s="38" t="str">
        <f>IF(Agent06_Savings!A196="","",Agent06_Savings!D196)</f>
        <v/>
      </c>
      <c r="F1191" s="39" t="str">
        <f>IF(Agent06_Savings!A196="","",Agent06_Savings!E196)</f>
        <v/>
      </c>
      <c r="G1191" s="39" t="str">
        <f>IF(Agent06_Savings!A196="","",Agent06_Savings!F196)</f>
        <v/>
      </c>
      <c r="H1191" s="37" t="str">
        <f>IF(Agent06_Savings!A196="","",Agent06_Savings!I196)</f>
        <v/>
      </c>
      <c r="I1191" s="37" t="str">
        <f>IF(Agent06_Savings!A196="","",Agent06_Savings!J196)</f>
        <v/>
      </c>
      <c r="J1191" s="37" t="str">
        <f>IF(Agent06_Savings!A196="","",Agent06_Savings!K196)</f>
        <v/>
      </c>
      <c r="K1191" s="37" t="str">
        <f>IFERROR(IF(Agent06_Savings!A196="","",YEAR(Agent06_Savings!D196)),"")</f>
        <v/>
      </c>
    </row>
    <row r="1192" spans="1:11" ht="18" customHeight="1" x14ac:dyDescent="0.25">
      <c r="A1192" s="37" t="str">
        <f>IF(Agent06_Savings!A197="","",Agent06_Savings!A197)</f>
        <v/>
      </c>
      <c r="B1192" s="37" t="str">
        <f ca="1">IF(Agent06_Savings!A197="","","SV"&amp;TEXT(1192-3,"0000")&amp;"-"&amp;TEXT(TODAY(),"YYYYMMDD"))</f>
        <v/>
      </c>
      <c r="C1192" s="37" t="str">
        <f>IF(Agent06_Savings!A197="","",Agent06_Savings!B197)</f>
        <v/>
      </c>
      <c r="D1192" s="37" t="str">
        <f>IF(Agent06_Savings!A197="","",Agent06_Savings!G197)</f>
        <v/>
      </c>
      <c r="E1192" s="38" t="str">
        <f>IF(Agent06_Savings!A197="","",Agent06_Savings!D197)</f>
        <v/>
      </c>
      <c r="F1192" s="39" t="str">
        <f>IF(Agent06_Savings!A197="","",Agent06_Savings!E197)</f>
        <v/>
      </c>
      <c r="G1192" s="39" t="str">
        <f>IF(Agent06_Savings!A197="","",Agent06_Savings!F197)</f>
        <v/>
      </c>
      <c r="H1192" s="37" t="str">
        <f>IF(Agent06_Savings!A197="","",Agent06_Savings!I197)</f>
        <v/>
      </c>
      <c r="I1192" s="37" t="str">
        <f>IF(Agent06_Savings!A197="","",Agent06_Savings!J197)</f>
        <v/>
      </c>
      <c r="J1192" s="37" t="str">
        <f>IF(Agent06_Savings!A197="","",Agent06_Savings!K197)</f>
        <v/>
      </c>
      <c r="K1192" s="37" t="str">
        <f>IFERROR(IF(Agent06_Savings!A197="","",YEAR(Agent06_Savings!D197)),"")</f>
        <v/>
      </c>
    </row>
    <row r="1193" spans="1:11" ht="18" customHeight="1" x14ac:dyDescent="0.25">
      <c r="A1193" s="37" t="str">
        <f>IF(Agent06_Savings!A198="","",Agent06_Savings!A198)</f>
        <v/>
      </c>
      <c r="B1193" s="37" t="str">
        <f ca="1">IF(Agent06_Savings!A198="","","SV"&amp;TEXT(1193-3,"0000")&amp;"-"&amp;TEXT(TODAY(),"YYYYMMDD"))</f>
        <v/>
      </c>
      <c r="C1193" s="37" t="str">
        <f>IF(Agent06_Savings!A198="","",Agent06_Savings!B198)</f>
        <v/>
      </c>
      <c r="D1193" s="37" t="str">
        <f>IF(Agent06_Savings!A198="","",Agent06_Savings!G198)</f>
        <v/>
      </c>
      <c r="E1193" s="38" t="str">
        <f>IF(Agent06_Savings!A198="","",Agent06_Savings!D198)</f>
        <v/>
      </c>
      <c r="F1193" s="39" t="str">
        <f>IF(Agent06_Savings!A198="","",Agent06_Savings!E198)</f>
        <v/>
      </c>
      <c r="G1193" s="39" t="str">
        <f>IF(Agent06_Savings!A198="","",Agent06_Savings!F198)</f>
        <v/>
      </c>
      <c r="H1193" s="37" t="str">
        <f>IF(Agent06_Savings!A198="","",Agent06_Savings!I198)</f>
        <v/>
      </c>
      <c r="I1193" s="37" t="str">
        <f>IF(Agent06_Savings!A198="","",Agent06_Savings!J198)</f>
        <v/>
      </c>
      <c r="J1193" s="37" t="str">
        <f>IF(Agent06_Savings!A198="","",Agent06_Savings!K198)</f>
        <v/>
      </c>
      <c r="K1193" s="37" t="str">
        <f>IFERROR(IF(Agent06_Savings!A198="","",YEAR(Agent06_Savings!D198)),"")</f>
        <v/>
      </c>
    </row>
    <row r="1194" spans="1:11" ht="18" customHeight="1" x14ac:dyDescent="0.25">
      <c r="A1194" s="37" t="str">
        <f>IF(Agent06_Savings!A199="","",Agent06_Savings!A199)</f>
        <v/>
      </c>
      <c r="B1194" s="37" t="str">
        <f ca="1">IF(Agent06_Savings!A199="","","SV"&amp;TEXT(1194-3,"0000")&amp;"-"&amp;TEXT(TODAY(),"YYYYMMDD"))</f>
        <v/>
      </c>
      <c r="C1194" s="37" t="str">
        <f>IF(Agent06_Savings!A199="","",Agent06_Savings!B199)</f>
        <v/>
      </c>
      <c r="D1194" s="37" t="str">
        <f>IF(Agent06_Savings!A199="","",Agent06_Savings!G199)</f>
        <v/>
      </c>
      <c r="E1194" s="38" t="str">
        <f>IF(Agent06_Savings!A199="","",Agent06_Savings!D199)</f>
        <v/>
      </c>
      <c r="F1194" s="39" t="str">
        <f>IF(Agent06_Savings!A199="","",Agent06_Savings!E199)</f>
        <v/>
      </c>
      <c r="G1194" s="39" t="str">
        <f>IF(Agent06_Savings!A199="","",Agent06_Savings!F199)</f>
        <v/>
      </c>
      <c r="H1194" s="37" t="str">
        <f>IF(Agent06_Savings!A199="","",Agent06_Savings!I199)</f>
        <v/>
      </c>
      <c r="I1194" s="37" t="str">
        <f>IF(Agent06_Savings!A199="","",Agent06_Savings!J199)</f>
        <v/>
      </c>
      <c r="J1194" s="37" t="str">
        <f>IF(Agent06_Savings!A199="","",Agent06_Savings!K199)</f>
        <v/>
      </c>
      <c r="K1194" s="37" t="str">
        <f>IFERROR(IF(Agent06_Savings!A199="","",YEAR(Agent06_Savings!D199)),"")</f>
        <v/>
      </c>
    </row>
    <row r="1195" spans="1:11" ht="18" customHeight="1" x14ac:dyDescent="0.25">
      <c r="A1195" s="37" t="str">
        <f>IF(Agent06_Savings!A200="","",Agent06_Savings!A200)</f>
        <v/>
      </c>
      <c r="B1195" s="37" t="str">
        <f ca="1">IF(Agent06_Savings!A200="","","SV"&amp;TEXT(1195-3,"0000")&amp;"-"&amp;TEXT(TODAY(),"YYYYMMDD"))</f>
        <v/>
      </c>
      <c r="C1195" s="37" t="str">
        <f>IF(Agent06_Savings!A200="","",Agent06_Savings!B200)</f>
        <v/>
      </c>
      <c r="D1195" s="37" t="str">
        <f>IF(Agent06_Savings!A200="","",Agent06_Savings!G200)</f>
        <v/>
      </c>
      <c r="E1195" s="38" t="str">
        <f>IF(Agent06_Savings!A200="","",Agent06_Savings!D200)</f>
        <v/>
      </c>
      <c r="F1195" s="39" t="str">
        <f>IF(Agent06_Savings!A200="","",Agent06_Savings!E200)</f>
        <v/>
      </c>
      <c r="G1195" s="39" t="str">
        <f>IF(Agent06_Savings!A200="","",Agent06_Savings!F200)</f>
        <v/>
      </c>
      <c r="H1195" s="37" t="str">
        <f>IF(Agent06_Savings!A200="","",Agent06_Savings!I200)</f>
        <v/>
      </c>
      <c r="I1195" s="37" t="str">
        <f>IF(Agent06_Savings!A200="","",Agent06_Savings!J200)</f>
        <v/>
      </c>
      <c r="J1195" s="37" t="str">
        <f>IF(Agent06_Savings!A200="","",Agent06_Savings!K200)</f>
        <v/>
      </c>
      <c r="K1195" s="37" t="str">
        <f>IFERROR(IF(Agent06_Savings!A200="","",YEAR(Agent06_Savings!D200)),"")</f>
        <v/>
      </c>
    </row>
    <row r="1196" spans="1:11" ht="18" customHeight="1" x14ac:dyDescent="0.25">
      <c r="A1196" s="37" t="str">
        <f>IF(Agent06_Savings!A201="","",Agent06_Savings!A201)</f>
        <v/>
      </c>
      <c r="B1196" s="37" t="str">
        <f ca="1">IF(Agent06_Savings!A201="","","SV"&amp;TEXT(1196-3,"0000")&amp;"-"&amp;TEXT(TODAY(),"YYYYMMDD"))</f>
        <v/>
      </c>
      <c r="C1196" s="37" t="str">
        <f>IF(Agent06_Savings!A201="","",Agent06_Savings!B201)</f>
        <v/>
      </c>
      <c r="D1196" s="37" t="str">
        <f>IF(Agent06_Savings!A201="","",Agent06_Savings!G201)</f>
        <v/>
      </c>
      <c r="E1196" s="38" t="str">
        <f>IF(Agent06_Savings!A201="","",Agent06_Savings!D201)</f>
        <v/>
      </c>
      <c r="F1196" s="39" t="str">
        <f>IF(Agent06_Savings!A201="","",Agent06_Savings!E201)</f>
        <v/>
      </c>
      <c r="G1196" s="39" t="str">
        <f>IF(Agent06_Savings!A201="","",Agent06_Savings!F201)</f>
        <v/>
      </c>
      <c r="H1196" s="37" t="str">
        <f>IF(Agent06_Savings!A201="","",Agent06_Savings!I201)</f>
        <v/>
      </c>
      <c r="I1196" s="37" t="str">
        <f>IF(Agent06_Savings!A201="","",Agent06_Savings!J201)</f>
        <v/>
      </c>
      <c r="J1196" s="37" t="str">
        <f>IF(Agent06_Savings!A201="","",Agent06_Savings!K201)</f>
        <v/>
      </c>
      <c r="K1196" s="37" t="str">
        <f>IFERROR(IF(Agent06_Savings!A201="","",YEAR(Agent06_Savings!D201)),"")</f>
        <v/>
      </c>
    </row>
    <row r="1197" spans="1:11" ht="18" customHeight="1" x14ac:dyDescent="0.25">
      <c r="A1197" s="37" t="str">
        <f>IF(Agent06_Savings!A202="","",Agent06_Savings!A202)</f>
        <v/>
      </c>
      <c r="B1197" s="37" t="str">
        <f ca="1">IF(Agent06_Savings!A202="","","SV"&amp;TEXT(1197-3,"0000")&amp;"-"&amp;TEXT(TODAY(),"YYYYMMDD"))</f>
        <v/>
      </c>
      <c r="C1197" s="37" t="str">
        <f>IF(Agent06_Savings!A202="","",Agent06_Savings!B202)</f>
        <v/>
      </c>
      <c r="D1197" s="37" t="str">
        <f>IF(Agent06_Savings!A202="","",Agent06_Savings!G202)</f>
        <v/>
      </c>
      <c r="E1197" s="38" t="str">
        <f>IF(Agent06_Savings!A202="","",Agent06_Savings!D202)</f>
        <v/>
      </c>
      <c r="F1197" s="39" t="str">
        <f>IF(Agent06_Savings!A202="","",Agent06_Savings!E202)</f>
        <v/>
      </c>
      <c r="G1197" s="39" t="str">
        <f>IF(Agent06_Savings!A202="","",Agent06_Savings!F202)</f>
        <v/>
      </c>
      <c r="H1197" s="37" t="str">
        <f>IF(Agent06_Savings!A202="","",Agent06_Savings!I202)</f>
        <v/>
      </c>
      <c r="I1197" s="37" t="str">
        <f>IF(Agent06_Savings!A202="","",Agent06_Savings!J202)</f>
        <v/>
      </c>
      <c r="J1197" s="37" t="str">
        <f>IF(Agent06_Savings!A202="","",Agent06_Savings!K202)</f>
        <v/>
      </c>
      <c r="K1197" s="37" t="str">
        <f>IFERROR(IF(Agent06_Savings!A202="","",YEAR(Agent06_Savings!D202)),"")</f>
        <v/>
      </c>
    </row>
    <row r="1198" spans="1:11" ht="18" customHeight="1" x14ac:dyDescent="0.25">
      <c r="A1198" s="37" t="str">
        <f>IF(Agent06_Savings!A203="","",Agent06_Savings!A203)</f>
        <v/>
      </c>
      <c r="B1198" s="37" t="str">
        <f ca="1">IF(Agent06_Savings!A203="","","SV"&amp;TEXT(1198-3,"0000")&amp;"-"&amp;TEXT(TODAY(),"YYYYMMDD"))</f>
        <v/>
      </c>
      <c r="C1198" s="37" t="str">
        <f>IF(Agent06_Savings!A203="","",Agent06_Savings!B203)</f>
        <v/>
      </c>
      <c r="D1198" s="37" t="str">
        <f>IF(Agent06_Savings!A203="","",Agent06_Savings!G203)</f>
        <v/>
      </c>
      <c r="E1198" s="38" t="str">
        <f>IF(Agent06_Savings!A203="","",Agent06_Savings!D203)</f>
        <v/>
      </c>
      <c r="F1198" s="39" t="str">
        <f>IF(Agent06_Savings!A203="","",Agent06_Savings!E203)</f>
        <v/>
      </c>
      <c r="G1198" s="39" t="str">
        <f>IF(Agent06_Savings!A203="","",Agent06_Savings!F203)</f>
        <v/>
      </c>
      <c r="H1198" s="37" t="str">
        <f>IF(Agent06_Savings!A203="","",Agent06_Savings!I203)</f>
        <v/>
      </c>
      <c r="I1198" s="37" t="str">
        <f>IF(Agent06_Savings!A203="","",Agent06_Savings!J203)</f>
        <v/>
      </c>
      <c r="J1198" s="37" t="str">
        <f>IF(Agent06_Savings!A203="","",Agent06_Savings!K203)</f>
        <v/>
      </c>
      <c r="K1198" s="37" t="str">
        <f>IFERROR(IF(Agent06_Savings!A203="","",YEAR(Agent06_Savings!D203)),"")</f>
        <v/>
      </c>
    </row>
    <row r="1199" spans="1:11" ht="18" customHeight="1" x14ac:dyDescent="0.25">
      <c r="A1199" s="37" t="str">
        <f>IF(Agent06_Savings!A204="","",Agent06_Savings!A204)</f>
        <v/>
      </c>
      <c r="B1199" s="37" t="str">
        <f ca="1">IF(Agent06_Savings!A204="","","SV"&amp;TEXT(1199-3,"0000")&amp;"-"&amp;TEXT(TODAY(),"YYYYMMDD"))</f>
        <v/>
      </c>
      <c r="C1199" s="37" t="str">
        <f>IF(Agent06_Savings!A204="","",Agent06_Savings!B204)</f>
        <v/>
      </c>
      <c r="D1199" s="37" t="str">
        <f>IF(Agent06_Savings!A204="","",Agent06_Savings!G204)</f>
        <v/>
      </c>
      <c r="E1199" s="38" t="str">
        <f>IF(Agent06_Savings!A204="","",Agent06_Savings!D204)</f>
        <v/>
      </c>
      <c r="F1199" s="39" t="str">
        <f>IF(Agent06_Savings!A204="","",Agent06_Savings!E204)</f>
        <v/>
      </c>
      <c r="G1199" s="39" t="str">
        <f>IF(Agent06_Savings!A204="","",Agent06_Savings!F204)</f>
        <v/>
      </c>
      <c r="H1199" s="37" t="str">
        <f>IF(Agent06_Savings!A204="","",Agent06_Savings!I204)</f>
        <v/>
      </c>
      <c r="I1199" s="37" t="str">
        <f>IF(Agent06_Savings!A204="","",Agent06_Savings!J204)</f>
        <v/>
      </c>
      <c r="J1199" s="37" t="str">
        <f>IF(Agent06_Savings!A204="","",Agent06_Savings!K204)</f>
        <v/>
      </c>
      <c r="K1199" s="37" t="str">
        <f>IFERROR(IF(Agent06_Savings!A204="","",YEAR(Agent06_Savings!D204)),"")</f>
        <v/>
      </c>
    </row>
    <row r="1200" spans="1:11" ht="18" customHeight="1" x14ac:dyDescent="0.25">
      <c r="A1200" s="37" t="str">
        <f>IF(Agent06_Savings!A205="","",Agent06_Savings!A205)</f>
        <v/>
      </c>
      <c r="B1200" s="37" t="str">
        <f ca="1">IF(Agent06_Savings!A205="","","SV"&amp;TEXT(1200-3,"0000")&amp;"-"&amp;TEXT(TODAY(),"YYYYMMDD"))</f>
        <v/>
      </c>
      <c r="C1200" s="37" t="str">
        <f>IF(Agent06_Savings!A205="","",Agent06_Savings!B205)</f>
        <v/>
      </c>
      <c r="D1200" s="37" t="str">
        <f>IF(Agent06_Savings!A205="","",Agent06_Savings!G205)</f>
        <v/>
      </c>
      <c r="E1200" s="38" t="str">
        <f>IF(Agent06_Savings!A205="","",Agent06_Savings!D205)</f>
        <v/>
      </c>
      <c r="F1200" s="39" t="str">
        <f>IF(Agent06_Savings!A205="","",Agent06_Savings!E205)</f>
        <v/>
      </c>
      <c r="G1200" s="39" t="str">
        <f>IF(Agent06_Savings!A205="","",Agent06_Savings!F205)</f>
        <v/>
      </c>
      <c r="H1200" s="37" t="str">
        <f>IF(Agent06_Savings!A205="","",Agent06_Savings!I205)</f>
        <v/>
      </c>
      <c r="I1200" s="37" t="str">
        <f>IF(Agent06_Savings!A205="","",Agent06_Savings!J205)</f>
        <v/>
      </c>
      <c r="J1200" s="37" t="str">
        <f>IF(Agent06_Savings!A205="","",Agent06_Savings!K205)</f>
        <v/>
      </c>
      <c r="K1200" s="37" t="str">
        <f>IFERROR(IF(Agent06_Savings!A205="","",YEAR(Agent06_Savings!D205)),"")</f>
        <v/>
      </c>
    </row>
    <row r="1201" spans="1:11" ht="18" customHeight="1" x14ac:dyDescent="0.25">
      <c r="A1201" s="37" t="str">
        <f>IF(Agent06_Savings!A206="","",Agent06_Savings!A206)</f>
        <v/>
      </c>
      <c r="B1201" s="37" t="str">
        <f ca="1">IF(Agent06_Savings!A206="","","SV"&amp;TEXT(1201-3,"0000")&amp;"-"&amp;TEXT(TODAY(),"YYYYMMDD"))</f>
        <v/>
      </c>
      <c r="C1201" s="37" t="str">
        <f>IF(Agent06_Savings!A206="","",Agent06_Savings!B206)</f>
        <v/>
      </c>
      <c r="D1201" s="37" t="str">
        <f>IF(Agent06_Savings!A206="","",Agent06_Savings!G206)</f>
        <v/>
      </c>
      <c r="E1201" s="38" t="str">
        <f>IF(Agent06_Savings!A206="","",Agent06_Savings!D206)</f>
        <v/>
      </c>
      <c r="F1201" s="39" t="str">
        <f>IF(Agent06_Savings!A206="","",Agent06_Savings!E206)</f>
        <v/>
      </c>
      <c r="G1201" s="39" t="str">
        <f>IF(Agent06_Savings!A206="","",Agent06_Savings!F206)</f>
        <v/>
      </c>
      <c r="H1201" s="37" t="str">
        <f>IF(Agent06_Savings!A206="","",Agent06_Savings!I206)</f>
        <v/>
      </c>
      <c r="I1201" s="37" t="str">
        <f>IF(Agent06_Savings!A206="","",Agent06_Savings!J206)</f>
        <v/>
      </c>
      <c r="J1201" s="37" t="str">
        <f>IF(Agent06_Savings!A206="","",Agent06_Savings!K206)</f>
        <v/>
      </c>
      <c r="K1201" s="37" t="str">
        <f>IFERROR(IF(Agent06_Savings!A206="","",YEAR(Agent06_Savings!D206)),"")</f>
        <v/>
      </c>
    </row>
    <row r="1202" spans="1:11" ht="18" customHeight="1" x14ac:dyDescent="0.25">
      <c r="A1202" s="37" t="str">
        <f>IF(Agent06_Savings!A207="","",Agent06_Savings!A207)</f>
        <v/>
      </c>
      <c r="B1202" s="37" t="str">
        <f ca="1">IF(Agent06_Savings!A207="","","SV"&amp;TEXT(1202-3,"0000")&amp;"-"&amp;TEXT(TODAY(),"YYYYMMDD"))</f>
        <v/>
      </c>
      <c r="C1202" s="37" t="str">
        <f>IF(Agent06_Savings!A207="","",Agent06_Savings!B207)</f>
        <v/>
      </c>
      <c r="D1202" s="37" t="str">
        <f>IF(Agent06_Savings!A207="","",Agent06_Savings!G207)</f>
        <v/>
      </c>
      <c r="E1202" s="38" t="str">
        <f>IF(Agent06_Savings!A207="","",Agent06_Savings!D207)</f>
        <v/>
      </c>
      <c r="F1202" s="39" t="str">
        <f>IF(Agent06_Savings!A207="","",Agent06_Savings!E207)</f>
        <v/>
      </c>
      <c r="G1202" s="39" t="str">
        <f>IF(Agent06_Savings!A207="","",Agent06_Savings!F207)</f>
        <v/>
      </c>
      <c r="H1202" s="37" t="str">
        <f>IF(Agent06_Savings!A207="","",Agent06_Savings!I207)</f>
        <v/>
      </c>
      <c r="I1202" s="37" t="str">
        <f>IF(Agent06_Savings!A207="","",Agent06_Savings!J207)</f>
        <v/>
      </c>
      <c r="J1202" s="37" t="str">
        <f>IF(Agent06_Savings!A207="","",Agent06_Savings!K207)</f>
        <v/>
      </c>
      <c r="K1202" s="37" t="str">
        <f>IFERROR(IF(Agent06_Savings!A207="","",YEAR(Agent06_Savings!D207)),"")</f>
        <v/>
      </c>
    </row>
    <row r="1203" spans="1:11" ht="18" customHeight="1" x14ac:dyDescent="0.25">
      <c r="A1203" s="37" t="str">
        <f>IF(Agent06_Savings!A208="","",Agent06_Savings!A208)</f>
        <v/>
      </c>
      <c r="B1203" s="37" t="str">
        <f ca="1">IF(Agent06_Savings!A208="","","SV"&amp;TEXT(1203-3,"0000")&amp;"-"&amp;TEXT(TODAY(),"YYYYMMDD"))</f>
        <v/>
      </c>
      <c r="C1203" s="37" t="str">
        <f>IF(Agent06_Savings!A208="","",Agent06_Savings!B208)</f>
        <v/>
      </c>
      <c r="D1203" s="37" t="str">
        <f>IF(Agent06_Savings!A208="","",Agent06_Savings!G208)</f>
        <v/>
      </c>
      <c r="E1203" s="38" t="str">
        <f>IF(Agent06_Savings!A208="","",Agent06_Savings!D208)</f>
        <v/>
      </c>
      <c r="F1203" s="39" t="str">
        <f>IF(Agent06_Savings!A208="","",Agent06_Savings!E208)</f>
        <v/>
      </c>
      <c r="G1203" s="39" t="str">
        <f>IF(Agent06_Savings!A208="","",Agent06_Savings!F208)</f>
        <v/>
      </c>
      <c r="H1203" s="37" t="str">
        <f>IF(Agent06_Savings!A208="","",Agent06_Savings!I208)</f>
        <v/>
      </c>
      <c r="I1203" s="37" t="str">
        <f>IF(Agent06_Savings!A208="","",Agent06_Savings!J208)</f>
        <v/>
      </c>
      <c r="J1203" s="37" t="str">
        <f>IF(Agent06_Savings!A208="","",Agent06_Savings!K208)</f>
        <v/>
      </c>
      <c r="K1203" s="37" t="str">
        <f>IFERROR(IF(Agent06_Savings!A208="","",YEAR(Agent06_Savings!D208)),"")</f>
        <v/>
      </c>
    </row>
    <row r="1204" spans="1:11" ht="18" customHeight="1" x14ac:dyDescent="0.25">
      <c r="A1204" s="37" t="str">
        <f>IF(Agent07_Savings!A9="","",Agent07_Savings!A9)</f>
        <v/>
      </c>
      <c r="B1204" s="37" t="str">
        <f ca="1">IF(Agent07_Savings!A9="","","SV"&amp;TEXT(1204-3,"0000")&amp;"-"&amp;TEXT(TODAY(),"YYYYMMDD"))</f>
        <v/>
      </c>
      <c r="C1204" s="37" t="str">
        <f>IF(Agent07_Savings!A9="","",Agent07_Savings!B9)</f>
        <v/>
      </c>
      <c r="D1204" s="37" t="str">
        <f>IF(Agent07_Savings!A9="","",Agent07_Savings!G9)</f>
        <v/>
      </c>
      <c r="E1204" s="38" t="str">
        <f>IF(Agent07_Savings!A9="","",Agent07_Savings!D9)</f>
        <v/>
      </c>
      <c r="F1204" s="39" t="str">
        <f>IF(Agent07_Savings!A9="","",Agent07_Savings!E9)</f>
        <v/>
      </c>
      <c r="G1204" s="39" t="str">
        <f>IF(Agent07_Savings!A9="","",Agent07_Savings!F9)</f>
        <v/>
      </c>
      <c r="H1204" s="37" t="str">
        <f>IF(Agent07_Savings!A9="","",Agent07_Savings!I9)</f>
        <v/>
      </c>
      <c r="I1204" s="37" t="str">
        <f>IF(Agent07_Savings!A9="","",Agent07_Savings!J9)</f>
        <v/>
      </c>
      <c r="J1204" s="37" t="str">
        <f>IF(Agent07_Savings!A9="","",Agent07_Savings!K9)</f>
        <v/>
      </c>
      <c r="K1204" s="37" t="str">
        <f>IFERROR(IF(Agent07_Savings!A9="","",YEAR(Agent07_Savings!D9)),"")</f>
        <v/>
      </c>
    </row>
    <row r="1205" spans="1:11" ht="18" customHeight="1" x14ac:dyDescent="0.25">
      <c r="A1205" s="37" t="str">
        <f>IF(Agent07_Savings!A10="","",Agent07_Savings!A10)</f>
        <v/>
      </c>
      <c r="B1205" s="37" t="str">
        <f ca="1">IF(Agent07_Savings!A10="","","SV"&amp;TEXT(1205-3,"0000")&amp;"-"&amp;TEXT(TODAY(),"YYYYMMDD"))</f>
        <v/>
      </c>
      <c r="C1205" s="37" t="str">
        <f>IF(Agent07_Savings!A10="","",Agent07_Savings!B10)</f>
        <v/>
      </c>
      <c r="D1205" s="37" t="str">
        <f>IF(Agent07_Savings!A10="","",Agent07_Savings!G10)</f>
        <v/>
      </c>
      <c r="E1205" s="38" t="str">
        <f>IF(Agent07_Savings!A10="","",Agent07_Savings!D10)</f>
        <v/>
      </c>
      <c r="F1205" s="39" t="str">
        <f>IF(Agent07_Savings!A10="","",Agent07_Savings!E10)</f>
        <v/>
      </c>
      <c r="G1205" s="39" t="str">
        <f>IF(Agent07_Savings!A10="","",Agent07_Savings!F10)</f>
        <v/>
      </c>
      <c r="H1205" s="37" t="str">
        <f>IF(Agent07_Savings!A10="","",Agent07_Savings!I10)</f>
        <v/>
      </c>
      <c r="I1205" s="37" t="str">
        <f>IF(Agent07_Savings!A10="","",Agent07_Savings!J10)</f>
        <v/>
      </c>
      <c r="J1205" s="37" t="str">
        <f>IF(Agent07_Savings!A10="","",Agent07_Savings!K10)</f>
        <v/>
      </c>
      <c r="K1205" s="37" t="str">
        <f>IFERROR(IF(Agent07_Savings!A10="","",YEAR(Agent07_Savings!D10)),"")</f>
        <v/>
      </c>
    </row>
    <row r="1206" spans="1:11" ht="18" customHeight="1" x14ac:dyDescent="0.25">
      <c r="A1206" s="37" t="str">
        <f>IF(Agent07_Savings!A11="","",Agent07_Savings!A11)</f>
        <v/>
      </c>
      <c r="B1206" s="37" t="str">
        <f ca="1">IF(Agent07_Savings!A11="","","SV"&amp;TEXT(1206-3,"0000")&amp;"-"&amp;TEXT(TODAY(),"YYYYMMDD"))</f>
        <v/>
      </c>
      <c r="C1206" s="37" t="str">
        <f>IF(Agent07_Savings!A11="","",Agent07_Savings!B11)</f>
        <v/>
      </c>
      <c r="D1206" s="37" t="str">
        <f>IF(Agent07_Savings!A11="","",Agent07_Savings!G11)</f>
        <v/>
      </c>
      <c r="E1206" s="38" t="str">
        <f>IF(Agent07_Savings!A11="","",Agent07_Savings!D11)</f>
        <v/>
      </c>
      <c r="F1206" s="39" t="str">
        <f>IF(Agent07_Savings!A11="","",Agent07_Savings!E11)</f>
        <v/>
      </c>
      <c r="G1206" s="39" t="str">
        <f>IF(Agent07_Savings!A11="","",Agent07_Savings!F11)</f>
        <v/>
      </c>
      <c r="H1206" s="37" t="str">
        <f>IF(Agent07_Savings!A11="","",Agent07_Savings!I11)</f>
        <v/>
      </c>
      <c r="I1206" s="37" t="str">
        <f>IF(Agent07_Savings!A11="","",Agent07_Savings!J11)</f>
        <v/>
      </c>
      <c r="J1206" s="37" t="str">
        <f>IF(Agent07_Savings!A11="","",Agent07_Savings!K11)</f>
        <v/>
      </c>
      <c r="K1206" s="37" t="str">
        <f>IFERROR(IF(Agent07_Savings!A11="","",YEAR(Agent07_Savings!D11)),"")</f>
        <v/>
      </c>
    </row>
    <row r="1207" spans="1:11" ht="18" customHeight="1" x14ac:dyDescent="0.25">
      <c r="A1207" s="37" t="str">
        <f>IF(Agent07_Savings!A12="","",Agent07_Savings!A12)</f>
        <v/>
      </c>
      <c r="B1207" s="37" t="str">
        <f ca="1">IF(Agent07_Savings!A12="","","SV"&amp;TEXT(1207-3,"0000")&amp;"-"&amp;TEXT(TODAY(),"YYYYMMDD"))</f>
        <v/>
      </c>
      <c r="C1207" s="37" t="str">
        <f>IF(Agent07_Savings!A12="","",Agent07_Savings!B12)</f>
        <v/>
      </c>
      <c r="D1207" s="37" t="str">
        <f>IF(Agent07_Savings!A12="","",Agent07_Savings!G12)</f>
        <v/>
      </c>
      <c r="E1207" s="38" t="str">
        <f>IF(Agent07_Savings!A12="","",Agent07_Savings!D12)</f>
        <v/>
      </c>
      <c r="F1207" s="39" t="str">
        <f>IF(Agent07_Savings!A12="","",Agent07_Savings!E12)</f>
        <v/>
      </c>
      <c r="G1207" s="39" t="str">
        <f>IF(Agent07_Savings!A12="","",Agent07_Savings!F12)</f>
        <v/>
      </c>
      <c r="H1207" s="37" t="str">
        <f>IF(Agent07_Savings!A12="","",Agent07_Savings!I12)</f>
        <v/>
      </c>
      <c r="I1207" s="37" t="str">
        <f>IF(Agent07_Savings!A12="","",Agent07_Savings!J12)</f>
        <v/>
      </c>
      <c r="J1207" s="37" t="str">
        <f>IF(Agent07_Savings!A12="","",Agent07_Savings!K12)</f>
        <v/>
      </c>
      <c r="K1207" s="37" t="str">
        <f>IFERROR(IF(Agent07_Savings!A12="","",YEAR(Agent07_Savings!D12)),"")</f>
        <v/>
      </c>
    </row>
    <row r="1208" spans="1:11" ht="18" customHeight="1" x14ac:dyDescent="0.25">
      <c r="A1208" s="37" t="str">
        <f>IF(Agent07_Savings!A13="","",Agent07_Savings!A13)</f>
        <v/>
      </c>
      <c r="B1208" s="37" t="str">
        <f ca="1">IF(Agent07_Savings!A13="","","SV"&amp;TEXT(1208-3,"0000")&amp;"-"&amp;TEXT(TODAY(),"YYYYMMDD"))</f>
        <v/>
      </c>
      <c r="C1208" s="37" t="str">
        <f>IF(Agent07_Savings!A13="","",Agent07_Savings!B13)</f>
        <v/>
      </c>
      <c r="D1208" s="37" t="str">
        <f>IF(Agent07_Savings!A13="","",Agent07_Savings!G13)</f>
        <v/>
      </c>
      <c r="E1208" s="38" t="str">
        <f>IF(Agent07_Savings!A13="","",Agent07_Savings!D13)</f>
        <v/>
      </c>
      <c r="F1208" s="39" t="str">
        <f>IF(Agent07_Savings!A13="","",Agent07_Savings!E13)</f>
        <v/>
      </c>
      <c r="G1208" s="39" t="str">
        <f>IF(Agent07_Savings!A13="","",Agent07_Savings!F13)</f>
        <v/>
      </c>
      <c r="H1208" s="37" t="str">
        <f>IF(Agent07_Savings!A13="","",Agent07_Savings!I13)</f>
        <v/>
      </c>
      <c r="I1208" s="37" t="str">
        <f>IF(Agent07_Savings!A13="","",Agent07_Savings!J13)</f>
        <v/>
      </c>
      <c r="J1208" s="37" t="str">
        <f>IF(Agent07_Savings!A13="","",Agent07_Savings!K13)</f>
        <v/>
      </c>
      <c r="K1208" s="37" t="str">
        <f>IFERROR(IF(Agent07_Savings!A13="","",YEAR(Agent07_Savings!D13)),"")</f>
        <v/>
      </c>
    </row>
    <row r="1209" spans="1:11" ht="18" customHeight="1" x14ac:dyDescent="0.25">
      <c r="A1209" s="37" t="str">
        <f>IF(Agent07_Savings!A14="","",Agent07_Savings!A14)</f>
        <v/>
      </c>
      <c r="B1209" s="37" t="str">
        <f ca="1">IF(Agent07_Savings!A14="","","SV"&amp;TEXT(1209-3,"0000")&amp;"-"&amp;TEXT(TODAY(),"YYYYMMDD"))</f>
        <v/>
      </c>
      <c r="C1209" s="37" t="str">
        <f>IF(Agent07_Savings!A14="","",Agent07_Savings!B14)</f>
        <v/>
      </c>
      <c r="D1209" s="37" t="str">
        <f>IF(Agent07_Savings!A14="","",Agent07_Savings!G14)</f>
        <v/>
      </c>
      <c r="E1209" s="38" t="str">
        <f>IF(Agent07_Savings!A14="","",Agent07_Savings!D14)</f>
        <v/>
      </c>
      <c r="F1209" s="39" t="str">
        <f>IF(Agent07_Savings!A14="","",Agent07_Savings!E14)</f>
        <v/>
      </c>
      <c r="G1209" s="39" t="str">
        <f>IF(Agent07_Savings!A14="","",Agent07_Savings!F14)</f>
        <v/>
      </c>
      <c r="H1209" s="37" t="str">
        <f>IF(Agent07_Savings!A14="","",Agent07_Savings!I14)</f>
        <v/>
      </c>
      <c r="I1209" s="37" t="str">
        <f>IF(Agent07_Savings!A14="","",Agent07_Savings!J14)</f>
        <v/>
      </c>
      <c r="J1209" s="37" t="str">
        <f>IF(Agent07_Savings!A14="","",Agent07_Savings!K14)</f>
        <v/>
      </c>
      <c r="K1209" s="37" t="str">
        <f>IFERROR(IF(Agent07_Savings!A14="","",YEAR(Agent07_Savings!D14)),"")</f>
        <v/>
      </c>
    </row>
    <row r="1210" spans="1:11" ht="18" customHeight="1" x14ac:dyDescent="0.25">
      <c r="A1210" s="37" t="str">
        <f>IF(Agent07_Savings!A15="","",Agent07_Savings!A15)</f>
        <v/>
      </c>
      <c r="B1210" s="37" t="str">
        <f ca="1">IF(Agent07_Savings!A15="","","SV"&amp;TEXT(1210-3,"0000")&amp;"-"&amp;TEXT(TODAY(),"YYYYMMDD"))</f>
        <v/>
      </c>
      <c r="C1210" s="37" t="str">
        <f>IF(Agent07_Savings!A15="","",Agent07_Savings!B15)</f>
        <v/>
      </c>
      <c r="D1210" s="37" t="str">
        <f>IF(Agent07_Savings!A15="","",Agent07_Savings!G15)</f>
        <v/>
      </c>
      <c r="E1210" s="38" t="str">
        <f>IF(Agent07_Savings!A15="","",Agent07_Savings!D15)</f>
        <v/>
      </c>
      <c r="F1210" s="39" t="str">
        <f>IF(Agent07_Savings!A15="","",Agent07_Savings!E15)</f>
        <v/>
      </c>
      <c r="G1210" s="39" t="str">
        <f>IF(Agent07_Savings!A15="","",Agent07_Savings!F15)</f>
        <v/>
      </c>
      <c r="H1210" s="37" t="str">
        <f>IF(Agent07_Savings!A15="","",Agent07_Savings!I15)</f>
        <v/>
      </c>
      <c r="I1210" s="37" t="str">
        <f>IF(Agent07_Savings!A15="","",Agent07_Savings!J15)</f>
        <v/>
      </c>
      <c r="J1210" s="37" t="str">
        <f>IF(Agent07_Savings!A15="","",Agent07_Savings!K15)</f>
        <v/>
      </c>
      <c r="K1210" s="37" t="str">
        <f>IFERROR(IF(Agent07_Savings!A15="","",YEAR(Agent07_Savings!D15)),"")</f>
        <v/>
      </c>
    </row>
    <row r="1211" spans="1:11" ht="18" customHeight="1" x14ac:dyDescent="0.25">
      <c r="A1211" s="37" t="str">
        <f>IF(Agent07_Savings!A16="","",Agent07_Savings!A16)</f>
        <v/>
      </c>
      <c r="B1211" s="37" t="str">
        <f ca="1">IF(Agent07_Savings!A16="","","SV"&amp;TEXT(1211-3,"0000")&amp;"-"&amp;TEXT(TODAY(),"YYYYMMDD"))</f>
        <v/>
      </c>
      <c r="C1211" s="37" t="str">
        <f>IF(Agent07_Savings!A16="","",Agent07_Savings!B16)</f>
        <v/>
      </c>
      <c r="D1211" s="37" t="str">
        <f>IF(Agent07_Savings!A16="","",Agent07_Savings!G16)</f>
        <v/>
      </c>
      <c r="E1211" s="38" t="str">
        <f>IF(Agent07_Savings!A16="","",Agent07_Savings!D16)</f>
        <v/>
      </c>
      <c r="F1211" s="39" t="str">
        <f>IF(Agent07_Savings!A16="","",Agent07_Savings!E16)</f>
        <v/>
      </c>
      <c r="G1211" s="39" t="str">
        <f>IF(Agent07_Savings!A16="","",Agent07_Savings!F16)</f>
        <v/>
      </c>
      <c r="H1211" s="37" t="str">
        <f>IF(Agent07_Savings!A16="","",Agent07_Savings!I16)</f>
        <v/>
      </c>
      <c r="I1211" s="37" t="str">
        <f>IF(Agent07_Savings!A16="","",Agent07_Savings!J16)</f>
        <v/>
      </c>
      <c r="J1211" s="37" t="str">
        <f>IF(Agent07_Savings!A16="","",Agent07_Savings!K16)</f>
        <v/>
      </c>
      <c r="K1211" s="37" t="str">
        <f>IFERROR(IF(Agent07_Savings!A16="","",YEAR(Agent07_Savings!D16)),"")</f>
        <v/>
      </c>
    </row>
    <row r="1212" spans="1:11" ht="18" customHeight="1" x14ac:dyDescent="0.25">
      <c r="A1212" s="37" t="str">
        <f>IF(Agent07_Savings!A17="","",Agent07_Savings!A17)</f>
        <v/>
      </c>
      <c r="B1212" s="37" t="str">
        <f ca="1">IF(Agent07_Savings!A17="","","SV"&amp;TEXT(1212-3,"0000")&amp;"-"&amp;TEXT(TODAY(),"YYYYMMDD"))</f>
        <v/>
      </c>
      <c r="C1212" s="37" t="str">
        <f>IF(Agent07_Savings!A17="","",Agent07_Savings!B17)</f>
        <v/>
      </c>
      <c r="D1212" s="37" t="str">
        <f>IF(Agent07_Savings!A17="","",Agent07_Savings!G17)</f>
        <v/>
      </c>
      <c r="E1212" s="38" t="str">
        <f>IF(Agent07_Savings!A17="","",Agent07_Savings!D17)</f>
        <v/>
      </c>
      <c r="F1212" s="39" t="str">
        <f>IF(Agent07_Savings!A17="","",Agent07_Savings!E17)</f>
        <v/>
      </c>
      <c r="G1212" s="39" t="str">
        <f>IF(Agent07_Savings!A17="","",Agent07_Savings!F17)</f>
        <v/>
      </c>
      <c r="H1212" s="37" t="str">
        <f>IF(Agent07_Savings!A17="","",Agent07_Savings!I17)</f>
        <v/>
      </c>
      <c r="I1212" s="37" t="str">
        <f>IF(Agent07_Savings!A17="","",Agent07_Savings!J17)</f>
        <v/>
      </c>
      <c r="J1212" s="37" t="str">
        <f>IF(Agent07_Savings!A17="","",Agent07_Savings!K17)</f>
        <v/>
      </c>
      <c r="K1212" s="37" t="str">
        <f>IFERROR(IF(Agent07_Savings!A17="","",YEAR(Agent07_Savings!D17)),"")</f>
        <v/>
      </c>
    </row>
    <row r="1213" spans="1:11" ht="18" customHeight="1" x14ac:dyDescent="0.25">
      <c r="A1213" s="37" t="str">
        <f>IF(Agent07_Savings!A18="","",Agent07_Savings!A18)</f>
        <v/>
      </c>
      <c r="B1213" s="37" t="str">
        <f ca="1">IF(Agent07_Savings!A18="","","SV"&amp;TEXT(1213-3,"0000")&amp;"-"&amp;TEXT(TODAY(),"YYYYMMDD"))</f>
        <v/>
      </c>
      <c r="C1213" s="37" t="str">
        <f>IF(Agent07_Savings!A18="","",Agent07_Savings!B18)</f>
        <v/>
      </c>
      <c r="D1213" s="37" t="str">
        <f>IF(Agent07_Savings!A18="","",Agent07_Savings!G18)</f>
        <v/>
      </c>
      <c r="E1213" s="38" t="str">
        <f>IF(Agent07_Savings!A18="","",Agent07_Savings!D18)</f>
        <v/>
      </c>
      <c r="F1213" s="39" t="str">
        <f>IF(Agent07_Savings!A18="","",Agent07_Savings!E18)</f>
        <v/>
      </c>
      <c r="G1213" s="39" t="str">
        <f>IF(Agent07_Savings!A18="","",Agent07_Savings!F18)</f>
        <v/>
      </c>
      <c r="H1213" s="37" t="str">
        <f>IF(Agent07_Savings!A18="","",Agent07_Savings!I18)</f>
        <v/>
      </c>
      <c r="I1213" s="37" t="str">
        <f>IF(Agent07_Savings!A18="","",Agent07_Savings!J18)</f>
        <v/>
      </c>
      <c r="J1213" s="37" t="str">
        <f>IF(Agent07_Savings!A18="","",Agent07_Savings!K18)</f>
        <v/>
      </c>
      <c r="K1213" s="37" t="str">
        <f>IFERROR(IF(Agent07_Savings!A18="","",YEAR(Agent07_Savings!D18)),"")</f>
        <v/>
      </c>
    </row>
    <row r="1214" spans="1:11" ht="18" customHeight="1" x14ac:dyDescent="0.25">
      <c r="A1214" s="37" t="str">
        <f>IF(Agent07_Savings!A19="","",Agent07_Savings!A19)</f>
        <v/>
      </c>
      <c r="B1214" s="37" t="str">
        <f ca="1">IF(Agent07_Savings!A19="","","SV"&amp;TEXT(1214-3,"0000")&amp;"-"&amp;TEXT(TODAY(),"YYYYMMDD"))</f>
        <v/>
      </c>
      <c r="C1214" s="37" t="str">
        <f>IF(Agent07_Savings!A19="","",Agent07_Savings!B19)</f>
        <v/>
      </c>
      <c r="D1214" s="37" t="str">
        <f>IF(Agent07_Savings!A19="","",Agent07_Savings!G19)</f>
        <v/>
      </c>
      <c r="E1214" s="38" t="str">
        <f>IF(Agent07_Savings!A19="","",Agent07_Savings!D19)</f>
        <v/>
      </c>
      <c r="F1214" s="39" t="str">
        <f>IF(Agent07_Savings!A19="","",Agent07_Savings!E19)</f>
        <v/>
      </c>
      <c r="G1214" s="39" t="str">
        <f>IF(Agent07_Savings!A19="","",Agent07_Savings!F19)</f>
        <v/>
      </c>
      <c r="H1214" s="37" t="str">
        <f>IF(Agent07_Savings!A19="","",Agent07_Savings!I19)</f>
        <v/>
      </c>
      <c r="I1214" s="37" t="str">
        <f>IF(Agent07_Savings!A19="","",Agent07_Savings!J19)</f>
        <v/>
      </c>
      <c r="J1214" s="37" t="str">
        <f>IF(Agent07_Savings!A19="","",Agent07_Savings!K19)</f>
        <v/>
      </c>
      <c r="K1214" s="37" t="str">
        <f>IFERROR(IF(Agent07_Savings!A19="","",YEAR(Agent07_Savings!D19)),"")</f>
        <v/>
      </c>
    </row>
    <row r="1215" spans="1:11" ht="18" customHeight="1" x14ac:dyDescent="0.25">
      <c r="A1215" s="37" t="str">
        <f>IF(Agent07_Savings!A20="","",Agent07_Savings!A20)</f>
        <v/>
      </c>
      <c r="B1215" s="37" t="str">
        <f ca="1">IF(Agent07_Savings!A20="","","SV"&amp;TEXT(1215-3,"0000")&amp;"-"&amp;TEXT(TODAY(),"YYYYMMDD"))</f>
        <v/>
      </c>
      <c r="C1215" s="37" t="str">
        <f>IF(Agent07_Savings!A20="","",Agent07_Savings!B20)</f>
        <v/>
      </c>
      <c r="D1215" s="37" t="str">
        <f>IF(Agent07_Savings!A20="","",Agent07_Savings!G20)</f>
        <v/>
      </c>
      <c r="E1215" s="38" t="str">
        <f>IF(Agent07_Savings!A20="","",Agent07_Savings!D20)</f>
        <v/>
      </c>
      <c r="F1215" s="39" t="str">
        <f>IF(Agent07_Savings!A20="","",Agent07_Savings!E20)</f>
        <v/>
      </c>
      <c r="G1215" s="39" t="str">
        <f>IF(Agent07_Savings!A20="","",Agent07_Savings!F20)</f>
        <v/>
      </c>
      <c r="H1215" s="37" t="str">
        <f>IF(Agent07_Savings!A20="","",Agent07_Savings!I20)</f>
        <v/>
      </c>
      <c r="I1215" s="37" t="str">
        <f>IF(Agent07_Savings!A20="","",Agent07_Savings!J20)</f>
        <v/>
      </c>
      <c r="J1215" s="37" t="str">
        <f>IF(Agent07_Savings!A20="","",Agent07_Savings!K20)</f>
        <v/>
      </c>
      <c r="K1215" s="37" t="str">
        <f>IFERROR(IF(Agent07_Savings!A20="","",YEAR(Agent07_Savings!D20)),"")</f>
        <v/>
      </c>
    </row>
    <row r="1216" spans="1:11" ht="18" customHeight="1" x14ac:dyDescent="0.25">
      <c r="A1216" s="37" t="str">
        <f>IF(Agent07_Savings!A21="","",Agent07_Savings!A21)</f>
        <v/>
      </c>
      <c r="B1216" s="37" t="str">
        <f ca="1">IF(Agent07_Savings!A21="","","SV"&amp;TEXT(1216-3,"0000")&amp;"-"&amp;TEXT(TODAY(),"YYYYMMDD"))</f>
        <v/>
      </c>
      <c r="C1216" s="37" t="str">
        <f>IF(Agent07_Savings!A21="","",Agent07_Savings!B21)</f>
        <v/>
      </c>
      <c r="D1216" s="37" t="str">
        <f>IF(Agent07_Savings!A21="","",Agent07_Savings!G21)</f>
        <v/>
      </c>
      <c r="E1216" s="38" t="str">
        <f>IF(Agent07_Savings!A21="","",Agent07_Savings!D21)</f>
        <v/>
      </c>
      <c r="F1216" s="39" t="str">
        <f>IF(Agent07_Savings!A21="","",Agent07_Savings!E21)</f>
        <v/>
      </c>
      <c r="G1216" s="39" t="str">
        <f>IF(Agent07_Savings!A21="","",Agent07_Savings!F21)</f>
        <v/>
      </c>
      <c r="H1216" s="37" t="str">
        <f>IF(Agent07_Savings!A21="","",Agent07_Savings!I21)</f>
        <v/>
      </c>
      <c r="I1216" s="37" t="str">
        <f>IF(Agent07_Savings!A21="","",Agent07_Savings!J21)</f>
        <v/>
      </c>
      <c r="J1216" s="37" t="str">
        <f>IF(Agent07_Savings!A21="","",Agent07_Savings!K21)</f>
        <v/>
      </c>
      <c r="K1216" s="37" t="str">
        <f>IFERROR(IF(Agent07_Savings!A21="","",YEAR(Agent07_Savings!D21)),"")</f>
        <v/>
      </c>
    </row>
    <row r="1217" spans="1:11" ht="18" customHeight="1" x14ac:dyDescent="0.25">
      <c r="A1217" s="37" t="str">
        <f>IF(Agent07_Savings!A22="","",Agent07_Savings!A22)</f>
        <v/>
      </c>
      <c r="B1217" s="37" t="str">
        <f ca="1">IF(Agent07_Savings!A22="","","SV"&amp;TEXT(1217-3,"0000")&amp;"-"&amp;TEXT(TODAY(),"YYYYMMDD"))</f>
        <v/>
      </c>
      <c r="C1217" s="37" t="str">
        <f>IF(Agent07_Savings!A22="","",Agent07_Savings!B22)</f>
        <v/>
      </c>
      <c r="D1217" s="37" t="str">
        <f>IF(Agent07_Savings!A22="","",Agent07_Savings!G22)</f>
        <v/>
      </c>
      <c r="E1217" s="38" t="str">
        <f>IF(Agent07_Savings!A22="","",Agent07_Savings!D22)</f>
        <v/>
      </c>
      <c r="F1217" s="39" t="str">
        <f>IF(Agent07_Savings!A22="","",Agent07_Savings!E22)</f>
        <v/>
      </c>
      <c r="G1217" s="39" t="str">
        <f>IF(Agent07_Savings!A22="","",Agent07_Savings!F22)</f>
        <v/>
      </c>
      <c r="H1217" s="37" t="str">
        <f>IF(Agent07_Savings!A22="","",Agent07_Savings!I22)</f>
        <v/>
      </c>
      <c r="I1217" s="37" t="str">
        <f>IF(Agent07_Savings!A22="","",Agent07_Savings!J22)</f>
        <v/>
      </c>
      <c r="J1217" s="37" t="str">
        <f>IF(Agent07_Savings!A22="","",Agent07_Savings!K22)</f>
        <v/>
      </c>
      <c r="K1217" s="37" t="str">
        <f>IFERROR(IF(Agent07_Savings!A22="","",YEAR(Agent07_Savings!D22)),"")</f>
        <v/>
      </c>
    </row>
    <row r="1218" spans="1:11" ht="18" customHeight="1" x14ac:dyDescent="0.25">
      <c r="A1218" s="37" t="str">
        <f>IF(Agent07_Savings!A23="","",Agent07_Savings!A23)</f>
        <v/>
      </c>
      <c r="B1218" s="37" t="str">
        <f ca="1">IF(Agent07_Savings!A23="","","SV"&amp;TEXT(1218-3,"0000")&amp;"-"&amp;TEXT(TODAY(),"YYYYMMDD"))</f>
        <v/>
      </c>
      <c r="C1218" s="37" t="str">
        <f>IF(Agent07_Savings!A23="","",Agent07_Savings!B23)</f>
        <v/>
      </c>
      <c r="D1218" s="37" t="str">
        <f>IF(Agent07_Savings!A23="","",Agent07_Savings!G23)</f>
        <v/>
      </c>
      <c r="E1218" s="38" t="str">
        <f>IF(Agent07_Savings!A23="","",Agent07_Savings!D23)</f>
        <v/>
      </c>
      <c r="F1218" s="39" t="str">
        <f>IF(Agent07_Savings!A23="","",Agent07_Savings!E23)</f>
        <v/>
      </c>
      <c r="G1218" s="39" t="str">
        <f>IF(Agent07_Savings!A23="","",Agent07_Savings!F23)</f>
        <v/>
      </c>
      <c r="H1218" s="37" t="str">
        <f>IF(Agent07_Savings!A23="","",Agent07_Savings!I23)</f>
        <v/>
      </c>
      <c r="I1218" s="37" t="str">
        <f>IF(Agent07_Savings!A23="","",Agent07_Savings!J23)</f>
        <v/>
      </c>
      <c r="J1218" s="37" t="str">
        <f>IF(Agent07_Savings!A23="","",Agent07_Savings!K23)</f>
        <v/>
      </c>
      <c r="K1218" s="37" t="str">
        <f>IFERROR(IF(Agent07_Savings!A23="","",YEAR(Agent07_Savings!D23)),"")</f>
        <v/>
      </c>
    </row>
    <row r="1219" spans="1:11" ht="18" customHeight="1" x14ac:dyDescent="0.25">
      <c r="A1219" s="37" t="str">
        <f>IF(Agent07_Savings!A24="","",Agent07_Savings!A24)</f>
        <v/>
      </c>
      <c r="B1219" s="37" t="str">
        <f ca="1">IF(Agent07_Savings!A24="","","SV"&amp;TEXT(1219-3,"0000")&amp;"-"&amp;TEXT(TODAY(),"YYYYMMDD"))</f>
        <v/>
      </c>
      <c r="C1219" s="37" t="str">
        <f>IF(Agent07_Savings!A24="","",Agent07_Savings!B24)</f>
        <v/>
      </c>
      <c r="D1219" s="37" t="str">
        <f>IF(Agent07_Savings!A24="","",Agent07_Savings!G24)</f>
        <v/>
      </c>
      <c r="E1219" s="38" t="str">
        <f>IF(Agent07_Savings!A24="","",Agent07_Savings!D24)</f>
        <v/>
      </c>
      <c r="F1219" s="39" t="str">
        <f>IF(Agent07_Savings!A24="","",Agent07_Savings!E24)</f>
        <v/>
      </c>
      <c r="G1219" s="39" t="str">
        <f>IF(Agent07_Savings!A24="","",Agent07_Savings!F24)</f>
        <v/>
      </c>
      <c r="H1219" s="37" t="str">
        <f>IF(Agent07_Savings!A24="","",Agent07_Savings!I24)</f>
        <v/>
      </c>
      <c r="I1219" s="37" t="str">
        <f>IF(Agent07_Savings!A24="","",Agent07_Savings!J24)</f>
        <v/>
      </c>
      <c r="J1219" s="37" t="str">
        <f>IF(Agent07_Savings!A24="","",Agent07_Savings!K24)</f>
        <v/>
      </c>
      <c r="K1219" s="37" t="str">
        <f>IFERROR(IF(Agent07_Savings!A24="","",YEAR(Agent07_Savings!D24)),"")</f>
        <v/>
      </c>
    </row>
    <row r="1220" spans="1:11" ht="18" customHeight="1" x14ac:dyDescent="0.25">
      <c r="A1220" s="37" t="str">
        <f>IF(Agent07_Savings!A25="","",Agent07_Savings!A25)</f>
        <v/>
      </c>
      <c r="B1220" s="37" t="str">
        <f ca="1">IF(Agent07_Savings!A25="","","SV"&amp;TEXT(1220-3,"0000")&amp;"-"&amp;TEXT(TODAY(),"YYYYMMDD"))</f>
        <v/>
      </c>
      <c r="C1220" s="37" t="str">
        <f>IF(Agent07_Savings!A25="","",Agent07_Savings!B25)</f>
        <v/>
      </c>
      <c r="D1220" s="37" t="str">
        <f>IF(Agent07_Savings!A25="","",Agent07_Savings!G25)</f>
        <v/>
      </c>
      <c r="E1220" s="38" t="str">
        <f>IF(Agent07_Savings!A25="","",Agent07_Savings!D25)</f>
        <v/>
      </c>
      <c r="F1220" s="39" t="str">
        <f>IF(Agent07_Savings!A25="","",Agent07_Savings!E25)</f>
        <v/>
      </c>
      <c r="G1220" s="39" t="str">
        <f>IF(Agent07_Savings!A25="","",Agent07_Savings!F25)</f>
        <v/>
      </c>
      <c r="H1220" s="37" t="str">
        <f>IF(Agent07_Savings!A25="","",Agent07_Savings!I25)</f>
        <v/>
      </c>
      <c r="I1220" s="37" t="str">
        <f>IF(Agent07_Savings!A25="","",Agent07_Savings!J25)</f>
        <v/>
      </c>
      <c r="J1220" s="37" t="str">
        <f>IF(Agent07_Savings!A25="","",Agent07_Savings!K25)</f>
        <v/>
      </c>
      <c r="K1220" s="37" t="str">
        <f>IFERROR(IF(Agent07_Savings!A25="","",YEAR(Agent07_Savings!D25)),"")</f>
        <v/>
      </c>
    </row>
    <row r="1221" spans="1:11" ht="18" customHeight="1" x14ac:dyDescent="0.25">
      <c r="A1221" s="37" t="str">
        <f>IF(Agent07_Savings!A26="","",Agent07_Savings!A26)</f>
        <v/>
      </c>
      <c r="B1221" s="37" t="str">
        <f ca="1">IF(Agent07_Savings!A26="","","SV"&amp;TEXT(1221-3,"0000")&amp;"-"&amp;TEXT(TODAY(),"YYYYMMDD"))</f>
        <v/>
      </c>
      <c r="C1221" s="37" t="str">
        <f>IF(Agent07_Savings!A26="","",Agent07_Savings!B26)</f>
        <v/>
      </c>
      <c r="D1221" s="37" t="str">
        <f>IF(Agent07_Savings!A26="","",Agent07_Savings!G26)</f>
        <v/>
      </c>
      <c r="E1221" s="38" t="str">
        <f>IF(Agent07_Savings!A26="","",Agent07_Savings!D26)</f>
        <v/>
      </c>
      <c r="F1221" s="39" t="str">
        <f>IF(Agent07_Savings!A26="","",Agent07_Savings!E26)</f>
        <v/>
      </c>
      <c r="G1221" s="39" t="str">
        <f>IF(Agent07_Savings!A26="","",Agent07_Savings!F26)</f>
        <v/>
      </c>
      <c r="H1221" s="37" t="str">
        <f>IF(Agent07_Savings!A26="","",Agent07_Savings!I26)</f>
        <v/>
      </c>
      <c r="I1221" s="37" t="str">
        <f>IF(Agent07_Savings!A26="","",Agent07_Savings!J26)</f>
        <v/>
      </c>
      <c r="J1221" s="37" t="str">
        <f>IF(Agent07_Savings!A26="","",Agent07_Savings!K26)</f>
        <v/>
      </c>
      <c r="K1221" s="37" t="str">
        <f>IFERROR(IF(Agent07_Savings!A26="","",YEAR(Agent07_Savings!D26)),"")</f>
        <v/>
      </c>
    </row>
    <row r="1222" spans="1:11" ht="18" customHeight="1" x14ac:dyDescent="0.25">
      <c r="A1222" s="37" t="str">
        <f>IF(Agent07_Savings!A27="","",Agent07_Savings!A27)</f>
        <v/>
      </c>
      <c r="B1222" s="37" t="str">
        <f ca="1">IF(Agent07_Savings!A27="","","SV"&amp;TEXT(1222-3,"0000")&amp;"-"&amp;TEXT(TODAY(),"YYYYMMDD"))</f>
        <v/>
      </c>
      <c r="C1222" s="37" t="str">
        <f>IF(Agent07_Savings!A27="","",Agent07_Savings!B27)</f>
        <v/>
      </c>
      <c r="D1222" s="37" t="str">
        <f>IF(Agent07_Savings!A27="","",Agent07_Savings!G27)</f>
        <v/>
      </c>
      <c r="E1222" s="38" t="str">
        <f>IF(Agent07_Savings!A27="","",Agent07_Savings!D27)</f>
        <v/>
      </c>
      <c r="F1222" s="39" t="str">
        <f>IF(Agent07_Savings!A27="","",Agent07_Savings!E27)</f>
        <v/>
      </c>
      <c r="G1222" s="39" t="str">
        <f>IF(Agent07_Savings!A27="","",Agent07_Savings!F27)</f>
        <v/>
      </c>
      <c r="H1222" s="37" t="str">
        <f>IF(Agent07_Savings!A27="","",Agent07_Savings!I27)</f>
        <v/>
      </c>
      <c r="I1222" s="37" t="str">
        <f>IF(Agent07_Savings!A27="","",Agent07_Savings!J27)</f>
        <v/>
      </c>
      <c r="J1222" s="37" t="str">
        <f>IF(Agent07_Savings!A27="","",Agent07_Savings!K27)</f>
        <v/>
      </c>
      <c r="K1222" s="37" t="str">
        <f>IFERROR(IF(Agent07_Savings!A27="","",YEAR(Agent07_Savings!D27)),"")</f>
        <v/>
      </c>
    </row>
    <row r="1223" spans="1:11" ht="18" customHeight="1" x14ac:dyDescent="0.25">
      <c r="A1223" s="37" t="str">
        <f>IF(Agent07_Savings!A28="","",Agent07_Savings!A28)</f>
        <v/>
      </c>
      <c r="B1223" s="37" t="str">
        <f ca="1">IF(Agent07_Savings!A28="","","SV"&amp;TEXT(1223-3,"0000")&amp;"-"&amp;TEXT(TODAY(),"YYYYMMDD"))</f>
        <v/>
      </c>
      <c r="C1223" s="37" t="str">
        <f>IF(Agent07_Savings!A28="","",Agent07_Savings!B28)</f>
        <v/>
      </c>
      <c r="D1223" s="37" t="str">
        <f>IF(Agent07_Savings!A28="","",Agent07_Savings!G28)</f>
        <v/>
      </c>
      <c r="E1223" s="38" t="str">
        <f>IF(Agent07_Savings!A28="","",Agent07_Savings!D28)</f>
        <v/>
      </c>
      <c r="F1223" s="39" t="str">
        <f>IF(Agent07_Savings!A28="","",Agent07_Savings!E28)</f>
        <v/>
      </c>
      <c r="G1223" s="39" t="str">
        <f>IF(Agent07_Savings!A28="","",Agent07_Savings!F28)</f>
        <v/>
      </c>
      <c r="H1223" s="37" t="str">
        <f>IF(Agent07_Savings!A28="","",Agent07_Savings!I28)</f>
        <v/>
      </c>
      <c r="I1223" s="37" t="str">
        <f>IF(Agent07_Savings!A28="","",Agent07_Savings!J28)</f>
        <v/>
      </c>
      <c r="J1223" s="37" t="str">
        <f>IF(Agent07_Savings!A28="","",Agent07_Savings!K28)</f>
        <v/>
      </c>
      <c r="K1223" s="37" t="str">
        <f>IFERROR(IF(Agent07_Savings!A28="","",YEAR(Agent07_Savings!D28)),"")</f>
        <v/>
      </c>
    </row>
    <row r="1224" spans="1:11" ht="18" customHeight="1" x14ac:dyDescent="0.25">
      <c r="A1224" s="37" t="str">
        <f>IF(Agent07_Savings!A29="","",Agent07_Savings!A29)</f>
        <v/>
      </c>
      <c r="B1224" s="37" t="str">
        <f ca="1">IF(Agent07_Savings!A29="","","SV"&amp;TEXT(1224-3,"0000")&amp;"-"&amp;TEXT(TODAY(),"YYYYMMDD"))</f>
        <v/>
      </c>
      <c r="C1224" s="37" t="str">
        <f>IF(Agent07_Savings!A29="","",Agent07_Savings!B29)</f>
        <v/>
      </c>
      <c r="D1224" s="37" t="str">
        <f>IF(Agent07_Savings!A29="","",Agent07_Savings!G29)</f>
        <v/>
      </c>
      <c r="E1224" s="38" t="str">
        <f>IF(Agent07_Savings!A29="","",Agent07_Savings!D29)</f>
        <v/>
      </c>
      <c r="F1224" s="39" t="str">
        <f>IF(Agent07_Savings!A29="","",Agent07_Savings!E29)</f>
        <v/>
      </c>
      <c r="G1224" s="39" t="str">
        <f>IF(Agent07_Savings!A29="","",Agent07_Savings!F29)</f>
        <v/>
      </c>
      <c r="H1224" s="37" t="str">
        <f>IF(Agent07_Savings!A29="","",Agent07_Savings!I29)</f>
        <v/>
      </c>
      <c r="I1224" s="37" t="str">
        <f>IF(Agent07_Savings!A29="","",Agent07_Savings!J29)</f>
        <v/>
      </c>
      <c r="J1224" s="37" t="str">
        <f>IF(Agent07_Savings!A29="","",Agent07_Savings!K29)</f>
        <v/>
      </c>
      <c r="K1224" s="37" t="str">
        <f>IFERROR(IF(Agent07_Savings!A29="","",YEAR(Agent07_Savings!D29)),"")</f>
        <v/>
      </c>
    </row>
    <row r="1225" spans="1:11" ht="18" customHeight="1" x14ac:dyDescent="0.25">
      <c r="A1225" s="37" t="str">
        <f>IF(Agent07_Savings!A30="","",Agent07_Savings!A30)</f>
        <v/>
      </c>
      <c r="B1225" s="37" t="str">
        <f ca="1">IF(Agent07_Savings!A30="","","SV"&amp;TEXT(1225-3,"0000")&amp;"-"&amp;TEXT(TODAY(),"YYYYMMDD"))</f>
        <v/>
      </c>
      <c r="C1225" s="37" t="str">
        <f>IF(Agent07_Savings!A30="","",Agent07_Savings!B30)</f>
        <v/>
      </c>
      <c r="D1225" s="37" t="str">
        <f>IF(Agent07_Savings!A30="","",Agent07_Savings!G30)</f>
        <v/>
      </c>
      <c r="E1225" s="38" t="str">
        <f>IF(Agent07_Savings!A30="","",Agent07_Savings!D30)</f>
        <v/>
      </c>
      <c r="F1225" s="39" t="str">
        <f>IF(Agent07_Savings!A30="","",Agent07_Savings!E30)</f>
        <v/>
      </c>
      <c r="G1225" s="39" t="str">
        <f>IF(Agent07_Savings!A30="","",Agent07_Savings!F30)</f>
        <v/>
      </c>
      <c r="H1225" s="37" t="str">
        <f>IF(Agent07_Savings!A30="","",Agent07_Savings!I30)</f>
        <v/>
      </c>
      <c r="I1225" s="37" t="str">
        <f>IF(Agent07_Savings!A30="","",Agent07_Savings!J30)</f>
        <v/>
      </c>
      <c r="J1225" s="37" t="str">
        <f>IF(Agent07_Savings!A30="","",Agent07_Savings!K30)</f>
        <v/>
      </c>
      <c r="K1225" s="37" t="str">
        <f>IFERROR(IF(Agent07_Savings!A30="","",YEAR(Agent07_Savings!D30)),"")</f>
        <v/>
      </c>
    </row>
    <row r="1226" spans="1:11" ht="18" customHeight="1" x14ac:dyDescent="0.25">
      <c r="A1226" s="37" t="str">
        <f>IF(Agent07_Savings!A31="","",Agent07_Savings!A31)</f>
        <v/>
      </c>
      <c r="B1226" s="37" t="str">
        <f ca="1">IF(Agent07_Savings!A31="","","SV"&amp;TEXT(1226-3,"0000")&amp;"-"&amp;TEXT(TODAY(),"YYYYMMDD"))</f>
        <v/>
      </c>
      <c r="C1226" s="37" t="str">
        <f>IF(Agent07_Savings!A31="","",Agent07_Savings!B31)</f>
        <v/>
      </c>
      <c r="D1226" s="37" t="str">
        <f>IF(Agent07_Savings!A31="","",Agent07_Savings!G31)</f>
        <v/>
      </c>
      <c r="E1226" s="38" t="str">
        <f>IF(Agent07_Savings!A31="","",Agent07_Savings!D31)</f>
        <v/>
      </c>
      <c r="F1226" s="39" t="str">
        <f>IF(Agent07_Savings!A31="","",Agent07_Savings!E31)</f>
        <v/>
      </c>
      <c r="G1226" s="39" t="str">
        <f>IF(Agent07_Savings!A31="","",Agent07_Savings!F31)</f>
        <v/>
      </c>
      <c r="H1226" s="37" t="str">
        <f>IF(Agent07_Savings!A31="","",Agent07_Savings!I31)</f>
        <v/>
      </c>
      <c r="I1226" s="37" t="str">
        <f>IF(Agent07_Savings!A31="","",Agent07_Savings!J31)</f>
        <v/>
      </c>
      <c r="J1226" s="37" t="str">
        <f>IF(Agent07_Savings!A31="","",Agent07_Savings!K31)</f>
        <v/>
      </c>
      <c r="K1226" s="37" t="str">
        <f>IFERROR(IF(Agent07_Savings!A31="","",YEAR(Agent07_Savings!D31)),"")</f>
        <v/>
      </c>
    </row>
    <row r="1227" spans="1:11" ht="18" customHeight="1" x14ac:dyDescent="0.25">
      <c r="A1227" s="37" t="str">
        <f>IF(Agent07_Savings!A32="","",Agent07_Savings!A32)</f>
        <v/>
      </c>
      <c r="B1227" s="37" t="str">
        <f ca="1">IF(Agent07_Savings!A32="","","SV"&amp;TEXT(1227-3,"0000")&amp;"-"&amp;TEXT(TODAY(),"YYYYMMDD"))</f>
        <v/>
      </c>
      <c r="C1227" s="37" t="str">
        <f>IF(Agent07_Savings!A32="","",Agent07_Savings!B32)</f>
        <v/>
      </c>
      <c r="D1227" s="37" t="str">
        <f>IF(Agent07_Savings!A32="","",Agent07_Savings!G32)</f>
        <v/>
      </c>
      <c r="E1227" s="38" t="str">
        <f>IF(Agent07_Savings!A32="","",Agent07_Savings!D32)</f>
        <v/>
      </c>
      <c r="F1227" s="39" t="str">
        <f>IF(Agent07_Savings!A32="","",Agent07_Savings!E32)</f>
        <v/>
      </c>
      <c r="G1227" s="39" t="str">
        <f>IF(Agent07_Savings!A32="","",Agent07_Savings!F32)</f>
        <v/>
      </c>
      <c r="H1227" s="37" t="str">
        <f>IF(Agent07_Savings!A32="","",Agent07_Savings!I32)</f>
        <v/>
      </c>
      <c r="I1227" s="37" t="str">
        <f>IF(Agent07_Savings!A32="","",Agent07_Savings!J32)</f>
        <v/>
      </c>
      <c r="J1227" s="37" t="str">
        <f>IF(Agent07_Savings!A32="","",Agent07_Savings!K32)</f>
        <v/>
      </c>
      <c r="K1227" s="37" t="str">
        <f>IFERROR(IF(Agent07_Savings!A32="","",YEAR(Agent07_Savings!D32)),"")</f>
        <v/>
      </c>
    </row>
    <row r="1228" spans="1:11" ht="18" customHeight="1" x14ac:dyDescent="0.25">
      <c r="A1228" s="37" t="str">
        <f>IF(Agent07_Savings!A33="","",Agent07_Savings!A33)</f>
        <v/>
      </c>
      <c r="B1228" s="37" t="str">
        <f ca="1">IF(Agent07_Savings!A33="","","SV"&amp;TEXT(1228-3,"0000")&amp;"-"&amp;TEXT(TODAY(),"YYYYMMDD"))</f>
        <v/>
      </c>
      <c r="C1228" s="37" t="str">
        <f>IF(Agent07_Savings!A33="","",Agent07_Savings!B33)</f>
        <v/>
      </c>
      <c r="D1228" s="37" t="str">
        <f>IF(Agent07_Savings!A33="","",Agent07_Savings!G33)</f>
        <v/>
      </c>
      <c r="E1228" s="38" t="str">
        <f>IF(Agent07_Savings!A33="","",Agent07_Savings!D33)</f>
        <v/>
      </c>
      <c r="F1228" s="39" t="str">
        <f>IF(Agent07_Savings!A33="","",Agent07_Savings!E33)</f>
        <v/>
      </c>
      <c r="G1228" s="39" t="str">
        <f>IF(Agent07_Savings!A33="","",Agent07_Savings!F33)</f>
        <v/>
      </c>
      <c r="H1228" s="37" t="str">
        <f>IF(Agent07_Savings!A33="","",Agent07_Savings!I33)</f>
        <v/>
      </c>
      <c r="I1228" s="37" t="str">
        <f>IF(Agent07_Savings!A33="","",Agent07_Savings!J33)</f>
        <v/>
      </c>
      <c r="J1228" s="37" t="str">
        <f>IF(Agent07_Savings!A33="","",Agent07_Savings!K33)</f>
        <v/>
      </c>
      <c r="K1228" s="37" t="str">
        <f>IFERROR(IF(Agent07_Savings!A33="","",YEAR(Agent07_Savings!D33)),"")</f>
        <v/>
      </c>
    </row>
    <row r="1229" spans="1:11" ht="18" customHeight="1" x14ac:dyDescent="0.25">
      <c r="A1229" s="37" t="str">
        <f>IF(Agent07_Savings!A34="","",Agent07_Savings!A34)</f>
        <v/>
      </c>
      <c r="B1229" s="37" t="str">
        <f ca="1">IF(Agent07_Savings!A34="","","SV"&amp;TEXT(1229-3,"0000")&amp;"-"&amp;TEXT(TODAY(),"YYYYMMDD"))</f>
        <v/>
      </c>
      <c r="C1229" s="37" t="str">
        <f>IF(Agent07_Savings!A34="","",Agent07_Savings!B34)</f>
        <v/>
      </c>
      <c r="D1229" s="37" t="str">
        <f>IF(Agent07_Savings!A34="","",Agent07_Savings!G34)</f>
        <v/>
      </c>
      <c r="E1229" s="38" t="str">
        <f>IF(Agent07_Savings!A34="","",Agent07_Savings!D34)</f>
        <v/>
      </c>
      <c r="F1229" s="39" t="str">
        <f>IF(Agent07_Savings!A34="","",Agent07_Savings!E34)</f>
        <v/>
      </c>
      <c r="G1229" s="39" t="str">
        <f>IF(Agent07_Savings!A34="","",Agent07_Savings!F34)</f>
        <v/>
      </c>
      <c r="H1229" s="37" t="str">
        <f>IF(Agent07_Savings!A34="","",Agent07_Savings!I34)</f>
        <v/>
      </c>
      <c r="I1229" s="37" t="str">
        <f>IF(Agent07_Savings!A34="","",Agent07_Savings!J34)</f>
        <v/>
      </c>
      <c r="J1229" s="37" t="str">
        <f>IF(Agent07_Savings!A34="","",Agent07_Savings!K34)</f>
        <v/>
      </c>
      <c r="K1229" s="37" t="str">
        <f>IFERROR(IF(Agent07_Savings!A34="","",YEAR(Agent07_Savings!D34)),"")</f>
        <v/>
      </c>
    </row>
    <row r="1230" spans="1:11" ht="18" customHeight="1" x14ac:dyDescent="0.25">
      <c r="A1230" s="37" t="str">
        <f>IF(Agent07_Savings!A35="","",Agent07_Savings!A35)</f>
        <v/>
      </c>
      <c r="B1230" s="37" t="str">
        <f ca="1">IF(Agent07_Savings!A35="","","SV"&amp;TEXT(1230-3,"0000")&amp;"-"&amp;TEXT(TODAY(),"YYYYMMDD"))</f>
        <v/>
      </c>
      <c r="C1230" s="37" t="str">
        <f>IF(Agent07_Savings!A35="","",Agent07_Savings!B35)</f>
        <v/>
      </c>
      <c r="D1230" s="37" t="str">
        <f>IF(Agent07_Savings!A35="","",Agent07_Savings!G35)</f>
        <v/>
      </c>
      <c r="E1230" s="38" t="str">
        <f>IF(Agent07_Savings!A35="","",Agent07_Savings!D35)</f>
        <v/>
      </c>
      <c r="F1230" s="39" t="str">
        <f>IF(Agent07_Savings!A35="","",Agent07_Savings!E35)</f>
        <v/>
      </c>
      <c r="G1230" s="39" t="str">
        <f>IF(Agent07_Savings!A35="","",Agent07_Savings!F35)</f>
        <v/>
      </c>
      <c r="H1230" s="37" t="str">
        <f>IF(Agent07_Savings!A35="","",Agent07_Savings!I35)</f>
        <v/>
      </c>
      <c r="I1230" s="37" t="str">
        <f>IF(Agent07_Savings!A35="","",Agent07_Savings!J35)</f>
        <v/>
      </c>
      <c r="J1230" s="37" t="str">
        <f>IF(Agent07_Savings!A35="","",Agent07_Savings!K35)</f>
        <v/>
      </c>
      <c r="K1230" s="37" t="str">
        <f>IFERROR(IF(Agent07_Savings!A35="","",YEAR(Agent07_Savings!D35)),"")</f>
        <v/>
      </c>
    </row>
    <row r="1231" spans="1:11" ht="18" customHeight="1" x14ac:dyDescent="0.25">
      <c r="A1231" s="37" t="str">
        <f>IF(Agent07_Savings!A36="","",Agent07_Savings!A36)</f>
        <v/>
      </c>
      <c r="B1231" s="37" t="str">
        <f ca="1">IF(Agent07_Savings!A36="","","SV"&amp;TEXT(1231-3,"0000")&amp;"-"&amp;TEXT(TODAY(),"YYYYMMDD"))</f>
        <v/>
      </c>
      <c r="C1231" s="37" t="str">
        <f>IF(Agent07_Savings!A36="","",Agent07_Savings!B36)</f>
        <v/>
      </c>
      <c r="D1231" s="37" t="str">
        <f>IF(Agent07_Savings!A36="","",Agent07_Savings!G36)</f>
        <v/>
      </c>
      <c r="E1231" s="38" t="str">
        <f>IF(Agent07_Savings!A36="","",Agent07_Savings!D36)</f>
        <v/>
      </c>
      <c r="F1231" s="39" t="str">
        <f>IF(Agent07_Savings!A36="","",Agent07_Savings!E36)</f>
        <v/>
      </c>
      <c r="G1231" s="39" t="str">
        <f>IF(Agent07_Savings!A36="","",Agent07_Savings!F36)</f>
        <v/>
      </c>
      <c r="H1231" s="37" t="str">
        <f>IF(Agent07_Savings!A36="","",Agent07_Savings!I36)</f>
        <v/>
      </c>
      <c r="I1231" s="37" t="str">
        <f>IF(Agent07_Savings!A36="","",Agent07_Savings!J36)</f>
        <v/>
      </c>
      <c r="J1231" s="37" t="str">
        <f>IF(Agent07_Savings!A36="","",Agent07_Savings!K36)</f>
        <v/>
      </c>
      <c r="K1231" s="37" t="str">
        <f>IFERROR(IF(Agent07_Savings!A36="","",YEAR(Agent07_Savings!D36)),"")</f>
        <v/>
      </c>
    </row>
    <row r="1232" spans="1:11" ht="18" customHeight="1" x14ac:dyDescent="0.25">
      <c r="A1232" s="37" t="str">
        <f>IF(Agent07_Savings!A37="","",Agent07_Savings!A37)</f>
        <v/>
      </c>
      <c r="B1232" s="37" t="str">
        <f ca="1">IF(Agent07_Savings!A37="","","SV"&amp;TEXT(1232-3,"0000")&amp;"-"&amp;TEXT(TODAY(),"YYYYMMDD"))</f>
        <v/>
      </c>
      <c r="C1232" s="37" t="str">
        <f>IF(Agent07_Savings!A37="","",Agent07_Savings!B37)</f>
        <v/>
      </c>
      <c r="D1232" s="37" t="str">
        <f>IF(Agent07_Savings!A37="","",Agent07_Savings!G37)</f>
        <v/>
      </c>
      <c r="E1232" s="38" t="str">
        <f>IF(Agent07_Savings!A37="","",Agent07_Savings!D37)</f>
        <v/>
      </c>
      <c r="F1232" s="39" t="str">
        <f>IF(Agent07_Savings!A37="","",Agent07_Savings!E37)</f>
        <v/>
      </c>
      <c r="G1232" s="39" t="str">
        <f>IF(Agent07_Savings!A37="","",Agent07_Savings!F37)</f>
        <v/>
      </c>
      <c r="H1232" s="37" t="str">
        <f>IF(Agent07_Savings!A37="","",Agent07_Savings!I37)</f>
        <v/>
      </c>
      <c r="I1232" s="37" t="str">
        <f>IF(Agent07_Savings!A37="","",Agent07_Savings!J37)</f>
        <v/>
      </c>
      <c r="J1232" s="37" t="str">
        <f>IF(Agent07_Savings!A37="","",Agent07_Savings!K37)</f>
        <v/>
      </c>
      <c r="K1232" s="37" t="str">
        <f>IFERROR(IF(Agent07_Savings!A37="","",YEAR(Agent07_Savings!D37)),"")</f>
        <v/>
      </c>
    </row>
    <row r="1233" spans="1:11" ht="18" customHeight="1" x14ac:dyDescent="0.25">
      <c r="A1233" s="37" t="str">
        <f>IF(Agent07_Savings!A38="","",Agent07_Savings!A38)</f>
        <v/>
      </c>
      <c r="B1233" s="37" t="str">
        <f ca="1">IF(Agent07_Savings!A38="","","SV"&amp;TEXT(1233-3,"0000")&amp;"-"&amp;TEXT(TODAY(),"YYYYMMDD"))</f>
        <v/>
      </c>
      <c r="C1233" s="37" t="str">
        <f>IF(Agent07_Savings!A38="","",Agent07_Savings!B38)</f>
        <v/>
      </c>
      <c r="D1233" s="37" t="str">
        <f>IF(Agent07_Savings!A38="","",Agent07_Savings!G38)</f>
        <v/>
      </c>
      <c r="E1233" s="38" t="str">
        <f>IF(Agent07_Savings!A38="","",Agent07_Savings!D38)</f>
        <v/>
      </c>
      <c r="F1233" s="39" t="str">
        <f>IF(Agent07_Savings!A38="","",Agent07_Savings!E38)</f>
        <v/>
      </c>
      <c r="G1233" s="39" t="str">
        <f>IF(Agent07_Savings!A38="","",Agent07_Savings!F38)</f>
        <v/>
      </c>
      <c r="H1233" s="37" t="str">
        <f>IF(Agent07_Savings!A38="","",Agent07_Savings!I38)</f>
        <v/>
      </c>
      <c r="I1233" s="37" t="str">
        <f>IF(Agent07_Savings!A38="","",Agent07_Savings!J38)</f>
        <v/>
      </c>
      <c r="J1233" s="37" t="str">
        <f>IF(Agent07_Savings!A38="","",Agent07_Savings!K38)</f>
        <v/>
      </c>
      <c r="K1233" s="37" t="str">
        <f>IFERROR(IF(Agent07_Savings!A38="","",YEAR(Agent07_Savings!D38)),"")</f>
        <v/>
      </c>
    </row>
    <row r="1234" spans="1:11" ht="18" customHeight="1" x14ac:dyDescent="0.25">
      <c r="A1234" s="37" t="str">
        <f>IF(Agent07_Savings!A39="","",Agent07_Savings!A39)</f>
        <v/>
      </c>
      <c r="B1234" s="37" t="str">
        <f ca="1">IF(Agent07_Savings!A39="","","SV"&amp;TEXT(1234-3,"0000")&amp;"-"&amp;TEXT(TODAY(),"YYYYMMDD"))</f>
        <v/>
      </c>
      <c r="C1234" s="37" t="str">
        <f>IF(Agent07_Savings!A39="","",Agent07_Savings!B39)</f>
        <v/>
      </c>
      <c r="D1234" s="37" t="str">
        <f>IF(Agent07_Savings!A39="","",Agent07_Savings!G39)</f>
        <v/>
      </c>
      <c r="E1234" s="38" t="str">
        <f>IF(Agent07_Savings!A39="","",Agent07_Savings!D39)</f>
        <v/>
      </c>
      <c r="F1234" s="39" t="str">
        <f>IF(Agent07_Savings!A39="","",Agent07_Savings!E39)</f>
        <v/>
      </c>
      <c r="G1234" s="39" t="str">
        <f>IF(Agent07_Savings!A39="","",Agent07_Savings!F39)</f>
        <v/>
      </c>
      <c r="H1234" s="37" t="str">
        <f>IF(Agent07_Savings!A39="","",Agent07_Savings!I39)</f>
        <v/>
      </c>
      <c r="I1234" s="37" t="str">
        <f>IF(Agent07_Savings!A39="","",Agent07_Savings!J39)</f>
        <v/>
      </c>
      <c r="J1234" s="37" t="str">
        <f>IF(Agent07_Savings!A39="","",Agent07_Savings!K39)</f>
        <v/>
      </c>
      <c r="K1234" s="37" t="str">
        <f>IFERROR(IF(Agent07_Savings!A39="","",YEAR(Agent07_Savings!D39)),"")</f>
        <v/>
      </c>
    </row>
    <row r="1235" spans="1:11" ht="18" customHeight="1" x14ac:dyDescent="0.25">
      <c r="A1235" s="37" t="str">
        <f>IF(Agent07_Savings!A40="","",Agent07_Savings!A40)</f>
        <v/>
      </c>
      <c r="B1235" s="37" t="str">
        <f ca="1">IF(Agent07_Savings!A40="","","SV"&amp;TEXT(1235-3,"0000")&amp;"-"&amp;TEXT(TODAY(),"YYYYMMDD"))</f>
        <v/>
      </c>
      <c r="C1235" s="37" t="str">
        <f>IF(Agent07_Savings!A40="","",Agent07_Savings!B40)</f>
        <v/>
      </c>
      <c r="D1235" s="37" t="str">
        <f>IF(Agent07_Savings!A40="","",Agent07_Savings!G40)</f>
        <v/>
      </c>
      <c r="E1235" s="38" t="str">
        <f>IF(Agent07_Savings!A40="","",Agent07_Savings!D40)</f>
        <v/>
      </c>
      <c r="F1235" s="39" t="str">
        <f>IF(Agent07_Savings!A40="","",Agent07_Savings!E40)</f>
        <v/>
      </c>
      <c r="G1235" s="39" t="str">
        <f>IF(Agent07_Savings!A40="","",Agent07_Savings!F40)</f>
        <v/>
      </c>
      <c r="H1235" s="37" t="str">
        <f>IF(Agent07_Savings!A40="","",Agent07_Savings!I40)</f>
        <v/>
      </c>
      <c r="I1235" s="37" t="str">
        <f>IF(Agent07_Savings!A40="","",Agent07_Savings!J40)</f>
        <v/>
      </c>
      <c r="J1235" s="37" t="str">
        <f>IF(Agent07_Savings!A40="","",Agent07_Savings!K40)</f>
        <v/>
      </c>
      <c r="K1235" s="37" t="str">
        <f>IFERROR(IF(Agent07_Savings!A40="","",YEAR(Agent07_Savings!D40)),"")</f>
        <v/>
      </c>
    </row>
    <row r="1236" spans="1:11" ht="18" customHeight="1" x14ac:dyDescent="0.25">
      <c r="A1236" s="37" t="str">
        <f>IF(Agent07_Savings!A41="","",Agent07_Savings!A41)</f>
        <v/>
      </c>
      <c r="B1236" s="37" t="str">
        <f ca="1">IF(Agent07_Savings!A41="","","SV"&amp;TEXT(1236-3,"0000")&amp;"-"&amp;TEXT(TODAY(),"YYYYMMDD"))</f>
        <v/>
      </c>
      <c r="C1236" s="37" t="str">
        <f>IF(Agent07_Savings!A41="","",Agent07_Savings!B41)</f>
        <v/>
      </c>
      <c r="D1236" s="37" t="str">
        <f>IF(Agent07_Savings!A41="","",Agent07_Savings!G41)</f>
        <v/>
      </c>
      <c r="E1236" s="38" t="str">
        <f>IF(Agent07_Savings!A41="","",Agent07_Savings!D41)</f>
        <v/>
      </c>
      <c r="F1236" s="39" t="str">
        <f>IF(Agent07_Savings!A41="","",Agent07_Savings!E41)</f>
        <v/>
      </c>
      <c r="G1236" s="39" t="str">
        <f>IF(Agent07_Savings!A41="","",Agent07_Savings!F41)</f>
        <v/>
      </c>
      <c r="H1236" s="37" t="str">
        <f>IF(Agent07_Savings!A41="","",Agent07_Savings!I41)</f>
        <v/>
      </c>
      <c r="I1236" s="37" t="str">
        <f>IF(Agent07_Savings!A41="","",Agent07_Savings!J41)</f>
        <v/>
      </c>
      <c r="J1236" s="37" t="str">
        <f>IF(Agent07_Savings!A41="","",Agent07_Savings!K41)</f>
        <v/>
      </c>
      <c r="K1236" s="37" t="str">
        <f>IFERROR(IF(Agent07_Savings!A41="","",YEAR(Agent07_Savings!D41)),"")</f>
        <v/>
      </c>
    </row>
    <row r="1237" spans="1:11" ht="18" customHeight="1" x14ac:dyDescent="0.25">
      <c r="A1237" s="37" t="str">
        <f>IF(Agent07_Savings!A42="","",Agent07_Savings!A42)</f>
        <v/>
      </c>
      <c r="B1237" s="37" t="str">
        <f ca="1">IF(Agent07_Savings!A42="","","SV"&amp;TEXT(1237-3,"0000")&amp;"-"&amp;TEXT(TODAY(),"YYYYMMDD"))</f>
        <v/>
      </c>
      <c r="C1237" s="37" t="str">
        <f>IF(Agent07_Savings!A42="","",Agent07_Savings!B42)</f>
        <v/>
      </c>
      <c r="D1237" s="37" t="str">
        <f>IF(Agent07_Savings!A42="","",Agent07_Savings!G42)</f>
        <v/>
      </c>
      <c r="E1237" s="38" t="str">
        <f>IF(Agent07_Savings!A42="","",Agent07_Savings!D42)</f>
        <v/>
      </c>
      <c r="F1237" s="39" t="str">
        <f>IF(Agent07_Savings!A42="","",Agent07_Savings!E42)</f>
        <v/>
      </c>
      <c r="G1237" s="39" t="str">
        <f>IF(Agent07_Savings!A42="","",Agent07_Savings!F42)</f>
        <v/>
      </c>
      <c r="H1237" s="37" t="str">
        <f>IF(Agent07_Savings!A42="","",Agent07_Savings!I42)</f>
        <v/>
      </c>
      <c r="I1237" s="37" t="str">
        <f>IF(Agent07_Savings!A42="","",Agent07_Savings!J42)</f>
        <v/>
      </c>
      <c r="J1237" s="37" t="str">
        <f>IF(Agent07_Savings!A42="","",Agent07_Savings!K42)</f>
        <v/>
      </c>
      <c r="K1237" s="37" t="str">
        <f>IFERROR(IF(Agent07_Savings!A42="","",YEAR(Agent07_Savings!D42)),"")</f>
        <v/>
      </c>
    </row>
    <row r="1238" spans="1:11" ht="18" customHeight="1" x14ac:dyDescent="0.25">
      <c r="A1238" s="37" t="str">
        <f>IF(Agent07_Savings!A43="","",Agent07_Savings!A43)</f>
        <v/>
      </c>
      <c r="B1238" s="37" t="str">
        <f ca="1">IF(Agent07_Savings!A43="","","SV"&amp;TEXT(1238-3,"0000")&amp;"-"&amp;TEXT(TODAY(),"YYYYMMDD"))</f>
        <v/>
      </c>
      <c r="C1238" s="37" t="str">
        <f>IF(Agent07_Savings!A43="","",Agent07_Savings!B43)</f>
        <v/>
      </c>
      <c r="D1238" s="37" t="str">
        <f>IF(Agent07_Savings!A43="","",Agent07_Savings!G43)</f>
        <v/>
      </c>
      <c r="E1238" s="38" t="str">
        <f>IF(Agent07_Savings!A43="","",Agent07_Savings!D43)</f>
        <v/>
      </c>
      <c r="F1238" s="39" t="str">
        <f>IF(Agent07_Savings!A43="","",Agent07_Savings!E43)</f>
        <v/>
      </c>
      <c r="G1238" s="39" t="str">
        <f>IF(Agent07_Savings!A43="","",Agent07_Savings!F43)</f>
        <v/>
      </c>
      <c r="H1238" s="37" t="str">
        <f>IF(Agent07_Savings!A43="","",Agent07_Savings!I43)</f>
        <v/>
      </c>
      <c r="I1238" s="37" t="str">
        <f>IF(Agent07_Savings!A43="","",Agent07_Savings!J43)</f>
        <v/>
      </c>
      <c r="J1238" s="37" t="str">
        <f>IF(Agent07_Savings!A43="","",Agent07_Savings!K43)</f>
        <v/>
      </c>
      <c r="K1238" s="37" t="str">
        <f>IFERROR(IF(Agent07_Savings!A43="","",YEAR(Agent07_Savings!D43)),"")</f>
        <v/>
      </c>
    </row>
    <row r="1239" spans="1:11" ht="18" customHeight="1" x14ac:dyDescent="0.25">
      <c r="A1239" s="37" t="str">
        <f>IF(Agent07_Savings!A44="","",Agent07_Savings!A44)</f>
        <v/>
      </c>
      <c r="B1239" s="37" t="str">
        <f ca="1">IF(Agent07_Savings!A44="","","SV"&amp;TEXT(1239-3,"0000")&amp;"-"&amp;TEXT(TODAY(),"YYYYMMDD"))</f>
        <v/>
      </c>
      <c r="C1239" s="37" t="str">
        <f>IF(Agent07_Savings!A44="","",Agent07_Savings!B44)</f>
        <v/>
      </c>
      <c r="D1239" s="37" t="str">
        <f>IF(Agent07_Savings!A44="","",Agent07_Savings!G44)</f>
        <v/>
      </c>
      <c r="E1239" s="38" t="str">
        <f>IF(Agent07_Savings!A44="","",Agent07_Savings!D44)</f>
        <v/>
      </c>
      <c r="F1239" s="39" t="str">
        <f>IF(Agent07_Savings!A44="","",Agent07_Savings!E44)</f>
        <v/>
      </c>
      <c r="G1239" s="39" t="str">
        <f>IF(Agent07_Savings!A44="","",Agent07_Savings!F44)</f>
        <v/>
      </c>
      <c r="H1239" s="37" t="str">
        <f>IF(Agent07_Savings!A44="","",Agent07_Savings!I44)</f>
        <v/>
      </c>
      <c r="I1239" s="37" t="str">
        <f>IF(Agent07_Savings!A44="","",Agent07_Savings!J44)</f>
        <v/>
      </c>
      <c r="J1239" s="37" t="str">
        <f>IF(Agent07_Savings!A44="","",Agent07_Savings!K44)</f>
        <v/>
      </c>
      <c r="K1239" s="37" t="str">
        <f>IFERROR(IF(Agent07_Savings!A44="","",YEAR(Agent07_Savings!D44)),"")</f>
        <v/>
      </c>
    </row>
    <row r="1240" spans="1:11" ht="18" customHeight="1" x14ac:dyDescent="0.25">
      <c r="A1240" s="37" t="str">
        <f>IF(Agent07_Savings!A45="","",Agent07_Savings!A45)</f>
        <v/>
      </c>
      <c r="B1240" s="37" t="str">
        <f ca="1">IF(Agent07_Savings!A45="","","SV"&amp;TEXT(1240-3,"0000")&amp;"-"&amp;TEXT(TODAY(),"YYYYMMDD"))</f>
        <v/>
      </c>
      <c r="C1240" s="37" t="str">
        <f>IF(Agent07_Savings!A45="","",Agent07_Savings!B45)</f>
        <v/>
      </c>
      <c r="D1240" s="37" t="str">
        <f>IF(Agent07_Savings!A45="","",Agent07_Savings!G45)</f>
        <v/>
      </c>
      <c r="E1240" s="38" t="str">
        <f>IF(Agent07_Savings!A45="","",Agent07_Savings!D45)</f>
        <v/>
      </c>
      <c r="F1240" s="39" t="str">
        <f>IF(Agent07_Savings!A45="","",Agent07_Savings!E45)</f>
        <v/>
      </c>
      <c r="G1240" s="39" t="str">
        <f>IF(Agent07_Savings!A45="","",Agent07_Savings!F45)</f>
        <v/>
      </c>
      <c r="H1240" s="37" t="str">
        <f>IF(Agent07_Savings!A45="","",Agent07_Savings!I45)</f>
        <v/>
      </c>
      <c r="I1240" s="37" t="str">
        <f>IF(Agent07_Savings!A45="","",Agent07_Savings!J45)</f>
        <v/>
      </c>
      <c r="J1240" s="37" t="str">
        <f>IF(Agent07_Savings!A45="","",Agent07_Savings!K45)</f>
        <v/>
      </c>
      <c r="K1240" s="37" t="str">
        <f>IFERROR(IF(Agent07_Savings!A45="","",YEAR(Agent07_Savings!D45)),"")</f>
        <v/>
      </c>
    </row>
    <row r="1241" spans="1:11" ht="18" customHeight="1" x14ac:dyDescent="0.25">
      <c r="A1241" s="37" t="str">
        <f>IF(Agent07_Savings!A46="","",Agent07_Savings!A46)</f>
        <v/>
      </c>
      <c r="B1241" s="37" t="str">
        <f ca="1">IF(Agent07_Savings!A46="","","SV"&amp;TEXT(1241-3,"0000")&amp;"-"&amp;TEXT(TODAY(),"YYYYMMDD"))</f>
        <v/>
      </c>
      <c r="C1241" s="37" t="str">
        <f>IF(Agent07_Savings!A46="","",Agent07_Savings!B46)</f>
        <v/>
      </c>
      <c r="D1241" s="37" t="str">
        <f>IF(Agent07_Savings!A46="","",Agent07_Savings!G46)</f>
        <v/>
      </c>
      <c r="E1241" s="38" t="str">
        <f>IF(Agent07_Savings!A46="","",Agent07_Savings!D46)</f>
        <v/>
      </c>
      <c r="F1241" s="39" t="str">
        <f>IF(Agent07_Savings!A46="","",Agent07_Savings!E46)</f>
        <v/>
      </c>
      <c r="G1241" s="39" t="str">
        <f>IF(Agent07_Savings!A46="","",Agent07_Savings!F46)</f>
        <v/>
      </c>
      <c r="H1241" s="37" t="str">
        <f>IF(Agent07_Savings!A46="","",Agent07_Savings!I46)</f>
        <v/>
      </c>
      <c r="I1241" s="37" t="str">
        <f>IF(Agent07_Savings!A46="","",Agent07_Savings!J46)</f>
        <v/>
      </c>
      <c r="J1241" s="37" t="str">
        <f>IF(Agent07_Savings!A46="","",Agent07_Savings!K46)</f>
        <v/>
      </c>
      <c r="K1241" s="37" t="str">
        <f>IFERROR(IF(Agent07_Savings!A46="","",YEAR(Agent07_Savings!D46)),"")</f>
        <v/>
      </c>
    </row>
    <row r="1242" spans="1:11" ht="18" customHeight="1" x14ac:dyDescent="0.25">
      <c r="A1242" s="37" t="str">
        <f>IF(Agent07_Savings!A47="","",Agent07_Savings!A47)</f>
        <v/>
      </c>
      <c r="B1242" s="37" t="str">
        <f ca="1">IF(Agent07_Savings!A47="","","SV"&amp;TEXT(1242-3,"0000")&amp;"-"&amp;TEXT(TODAY(),"YYYYMMDD"))</f>
        <v/>
      </c>
      <c r="C1242" s="37" t="str">
        <f>IF(Agent07_Savings!A47="","",Agent07_Savings!B47)</f>
        <v/>
      </c>
      <c r="D1242" s="37" t="str">
        <f>IF(Agent07_Savings!A47="","",Agent07_Savings!G47)</f>
        <v/>
      </c>
      <c r="E1242" s="38" t="str">
        <f>IF(Agent07_Savings!A47="","",Agent07_Savings!D47)</f>
        <v/>
      </c>
      <c r="F1242" s="39" t="str">
        <f>IF(Agent07_Savings!A47="","",Agent07_Savings!E47)</f>
        <v/>
      </c>
      <c r="G1242" s="39" t="str">
        <f>IF(Agent07_Savings!A47="","",Agent07_Savings!F47)</f>
        <v/>
      </c>
      <c r="H1242" s="37" t="str">
        <f>IF(Agent07_Savings!A47="","",Agent07_Savings!I47)</f>
        <v/>
      </c>
      <c r="I1242" s="37" t="str">
        <f>IF(Agent07_Savings!A47="","",Agent07_Savings!J47)</f>
        <v/>
      </c>
      <c r="J1242" s="37" t="str">
        <f>IF(Agent07_Savings!A47="","",Agent07_Savings!K47)</f>
        <v/>
      </c>
      <c r="K1242" s="37" t="str">
        <f>IFERROR(IF(Agent07_Savings!A47="","",YEAR(Agent07_Savings!D47)),"")</f>
        <v/>
      </c>
    </row>
    <row r="1243" spans="1:11" ht="18" customHeight="1" x14ac:dyDescent="0.25">
      <c r="A1243" s="37" t="str">
        <f>IF(Agent07_Savings!A48="","",Agent07_Savings!A48)</f>
        <v/>
      </c>
      <c r="B1243" s="37" t="str">
        <f ca="1">IF(Agent07_Savings!A48="","","SV"&amp;TEXT(1243-3,"0000")&amp;"-"&amp;TEXT(TODAY(),"YYYYMMDD"))</f>
        <v/>
      </c>
      <c r="C1243" s="37" t="str">
        <f>IF(Agent07_Savings!A48="","",Agent07_Savings!B48)</f>
        <v/>
      </c>
      <c r="D1243" s="37" t="str">
        <f>IF(Agent07_Savings!A48="","",Agent07_Savings!G48)</f>
        <v/>
      </c>
      <c r="E1243" s="38" t="str">
        <f>IF(Agent07_Savings!A48="","",Agent07_Savings!D48)</f>
        <v/>
      </c>
      <c r="F1243" s="39" t="str">
        <f>IF(Agent07_Savings!A48="","",Agent07_Savings!E48)</f>
        <v/>
      </c>
      <c r="G1243" s="39" t="str">
        <f>IF(Agent07_Savings!A48="","",Agent07_Savings!F48)</f>
        <v/>
      </c>
      <c r="H1243" s="37" t="str">
        <f>IF(Agent07_Savings!A48="","",Agent07_Savings!I48)</f>
        <v/>
      </c>
      <c r="I1243" s="37" t="str">
        <f>IF(Agent07_Savings!A48="","",Agent07_Savings!J48)</f>
        <v/>
      </c>
      <c r="J1243" s="37" t="str">
        <f>IF(Agent07_Savings!A48="","",Agent07_Savings!K48)</f>
        <v/>
      </c>
      <c r="K1243" s="37" t="str">
        <f>IFERROR(IF(Agent07_Savings!A48="","",YEAR(Agent07_Savings!D48)),"")</f>
        <v/>
      </c>
    </row>
    <row r="1244" spans="1:11" ht="18" customHeight="1" x14ac:dyDescent="0.25">
      <c r="A1244" s="37" t="str">
        <f>IF(Agent07_Savings!A49="","",Agent07_Savings!A49)</f>
        <v/>
      </c>
      <c r="B1244" s="37" t="str">
        <f ca="1">IF(Agent07_Savings!A49="","","SV"&amp;TEXT(1244-3,"0000")&amp;"-"&amp;TEXT(TODAY(),"YYYYMMDD"))</f>
        <v/>
      </c>
      <c r="C1244" s="37" t="str">
        <f>IF(Agent07_Savings!A49="","",Agent07_Savings!B49)</f>
        <v/>
      </c>
      <c r="D1244" s="37" t="str">
        <f>IF(Agent07_Savings!A49="","",Agent07_Savings!G49)</f>
        <v/>
      </c>
      <c r="E1244" s="38" t="str">
        <f>IF(Agent07_Savings!A49="","",Agent07_Savings!D49)</f>
        <v/>
      </c>
      <c r="F1244" s="39" t="str">
        <f>IF(Agent07_Savings!A49="","",Agent07_Savings!E49)</f>
        <v/>
      </c>
      <c r="G1244" s="39" t="str">
        <f>IF(Agent07_Savings!A49="","",Agent07_Savings!F49)</f>
        <v/>
      </c>
      <c r="H1244" s="37" t="str">
        <f>IF(Agent07_Savings!A49="","",Agent07_Savings!I49)</f>
        <v/>
      </c>
      <c r="I1244" s="37" t="str">
        <f>IF(Agent07_Savings!A49="","",Agent07_Savings!J49)</f>
        <v/>
      </c>
      <c r="J1244" s="37" t="str">
        <f>IF(Agent07_Savings!A49="","",Agent07_Savings!K49)</f>
        <v/>
      </c>
      <c r="K1244" s="37" t="str">
        <f>IFERROR(IF(Agent07_Savings!A49="","",YEAR(Agent07_Savings!D49)),"")</f>
        <v/>
      </c>
    </row>
    <row r="1245" spans="1:11" ht="18" customHeight="1" x14ac:dyDescent="0.25">
      <c r="A1245" s="37" t="str">
        <f>IF(Agent07_Savings!A50="","",Agent07_Savings!A50)</f>
        <v/>
      </c>
      <c r="B1245" s="37" t="str">
        <f ca="1">IF(Agent07_Savings!A50="","","SV"&amp;TEXT(1245-3,"0000")&amp;"-"&amp;TEXT(TODAY(),"YYYYMMDD"))</f>
        <v/>
      </c>
      <c r="C1245" s="37" t="str">
        <f>IF(Agent07_Savings!A50="","",Agent07_Savings!B50)</f>
        <v/>
      </c>
      <c r="D1245" s="37" t="str">
        <f>IF(Agent07_Savings!A50="","",Agent07_Savings!G50)</f>
        <v/>
      </c>
      <c r="E1245" s="38" t="str">
        <f>IF(Agent07_Savings!A50="","",Agent07_Savings!D50)</f>
        <v/>
      </c>
      <c r="F1245" s="39" t="str">
        <f>IF(Agent07_Savings!A50="","",Agent07_Savings!E50)</f>
        <v/>
      </c>
      <c r="G1245" s="39" t="str">
        <f>IF(Agent07_Savings!A50="","",Agent07_Savings!F50)</f>
        <v/>
      </c>
      <c r="H1245" s="37" t="str">
        <f>IF(Agent07_Savings!A50="","",Agent07_Savings!I50)</f>
        <v/>
      </c>
      <c r="I1245" s="37" t="str">
        <f>IF(Agent07_Savings!A50="","",Agent07_Savings!J50)</f>
        <v/>
      </c>
      <c r="J1245" s="37" t="str">
        <f>IF(Agent07_Savings!A50="","",Agent07_Savings!K50)</f>
        <v/>
      </c>
      <c r="K1245" s="37" t="str">
        <f>IFERROR(IF(Agent07_Savings!A50="","",YEAR(Agent07_Savings!D50)),"")</f>
        <v/>
      </c>
    </row>
    <row r="1246" spans="1:11" ht="18" customHeight="1" x14ac:dyDescent="0.25">
      <c r="A1246" s="37" t="str">
        <f>IF(Agent07_Savings!A51="","",Agent07_Savings!A51)</f>
        <v/>
      </c>
      <c r="B1246" s="37" t="str">
        <f ca="1">IF(Agent07_Savings!A51="","","SV"&amp;TEXT(1246-3,"0000")&amp;"-"&amp;TEXT(TODAY(),"YYYYMMDD"))</f>
        <v/>
      </c>
      <c r="C1246" s="37" t="str">
        <f>IF(Agent07_Savings!A51="","",Agent07_Savings!B51)</f>
        <v/>
      </c>
      <c r="D1246" s="37" t="str">
        <f>IF(Agent07_Savings!A51="","",Agent07_Savings!G51)</f>
        <v/>
      </c>
      <c r="E1246" s="38" t="str">
        <f>IF(Agent07_Savings!A51="","",Agent07_Savings!D51)</f>
        <v/>
      </c>
      <c r="F1246" s="39" t="str">
        <f>IF(Agent07_Savings!A51="","",Agent07_Savings!E51)</f>
        <v/>
      </c>
      <c r="G1246" s="39" t="str">
        <f>IF(Agent07_Savings!A51="","",Agent07_Savings!F51)</f>
        <v/>
      </c>
      <c r="H1246" s="37" t="str">
        <f>IF(Agent07_Savings!A51="","",Agent07_Savings!I51)</f>
        <v/>
      </c>
      <c r="I1246" s="37" t="str">
        <f>IF(Agent07_Savings!A51="","",Agent07_Savings!J51)</f>
        <v/>
      </c>
      <c r="J1246" s="37" t="str">
        <f>IF(Agent07_Savings!A51="","",Agent07_Savings!K51)</f>
        <v/>
      </c>
      <c r="K1246" s="37" t="str">
        <f>IFERROR(IF(Agent07_Savings!A51="","",YEAR(Agent07_Savings!D51)),"")</f>
        <v/>
      </c>
    </row>
    <row r="1247" spans="1:11" ht="18" customHeight="1" x14ac:dyDescent="0.25">
      <c r="A1247" s="37" t="str">
        <f>IF(Agent07_Savings!A52="","",Agent07_Savings!A52)</f>
        <v/>
      </c>
      <c r="B1247" s="37" t="str">
        <f ca="1">IF(Agent07_Savings!A52="","","SV"&amp;TEXT(1247-3,"0000")&amp;"-"&amp;TEXT(TODAY(),"YYYYMMDD"))</f>
        <v/>
      </c>
      <c r="C1247" s="37" t="str">
        <f>IF(Agent07_Savings!A52="","",Agent07_Savings!B52)</f>
        <v/>
      </c>
      <c r="D1247" s="37" t="str">
        <f>IF(Agent07_Savings!A52="","",Agent07_Savings!G52)</f>
        <v/>
      </c>
      <c r="E1247" s="38" t="str">
        <f>IF(Agent07_Savings!A52="","",Agent07_Savings!D52)</f>
        <v/>
      </c>
      <c r="F1247" s="39" t="str">
        <f>IF(Agent07_Savings!A52="","",Agent07_Savings!E52)</f>
        <v/>
      </c>
      <c r="G1247" s="39" t="str">
        <f>IF(Agent07_Savings!A52="","",Agent07_Savings!F52)</f>
        <v/>
      </c>
      <c r="H1247" s="37" t="str">
        <f>IF(Agent07_Savings!A52="","",Agent07_Savings!I52)</f>
        <v/>
      </c>
      <c r="I1247" s="37" t="str">
        <f>IF(Agent07_Savings!A52="","",Agent07_Savings!J52)</f>
        <v/>
      </c>
      <c r="J1247" s="37" t="str">
        <f>IF(Agent07_Savings!A52="","",Agent07_Savings!K52)</f>
        <v/>
      </c>
      <c r="K1247" s="37" t="str">
        <f>IFERROR(IF(Agent07_Savings!A52="","",YEAR(Agent07_Savings!D52)),"")</f>
        <v/>
      </c>
    </row>
    <row r="1248" spans="1:11" ht="18" customHeight="1" x14ac:dyDescent="0.25">
      <c r="A1248" s="37" t="str">
        <f>IF(Agent07_Savings!A53="","",Agent07_Savings!A53)</f>
        <v/>
      </c>
      <c r="B1248" s="37" t="str">
        <f ca="1">IF(Agent07_Savings!A53="","","SV"&amp;TEXT(1248-3,"0000")&amp;"-"&amp;TEXT(TODAY(),"YYYYMMDD"))</f>
        <v/>
      </c>
      <c r="C1248" s="37" t="str">
        <f>IF(Agent07_Savings!A53="","",Agent07_Savings!B53)</f>
        <v/>
      </c>
      <c r="D1248" s="37" t="str">
        <f>IF(Agent07_Savings!A53="","",Agent07_Savings!G53)</f>
        <v/>
      </c>
      <c r="E1248" s="38" t="str">
        <f>IF(Agent07_Savings!A53="","",Agent07_Savings!D53)</f>
        <v/>
      </c>
      <c r="F1248" s="39" t="str">
        <f>IF(Agent07_Savings!A53="","",Agent07_Savings!E53)</f>
        <v/>
      </c>
      <c r="G1248" s="39" t="str">
        <f>IF(Agent07_Savings!A53="","",Agent07_Savings!F53)</f>
        <v/>
      </c>
      <c r="H1248" s="37" t="str">
        <f>IF(Agent07_Savings!A53="","",Agent07_Savings!I53)</f>
        <v/>
      </c>
      <c r="I1248" s="37" t="str">
        <f>IF(Agent07_Savings!A53="","",Agent07_Savings!J53)</f>
        <v/>
      </c>
      <c r="J1248" s="37" t="str">
        <f>IF(Agent07_Savings!A53="","",Agent07_Savings!K53)</f>
        <v/>
      </c>
      <c r="K1248" s="37" t="str">
        <f>IFERROR(IF(Agent07_Savings!A53="","",YEAR(Agent07_Savings!D53)),"")</f>
        <v/>
      </c>
    </row>
    <row r="1249" spans="1:11" ht="18" customHeight="1" x14ac:dyDescent="0.25">
      <c r="A1249" s="37" t="str">
        <f>IF(Agent07_Savings!A54="","",Agent07_Savings!A54)</f>
        <v/>
      </c>
      <c r="B1249" s="37" t="str">
        <f ca="1">IF(Agent07_Savings!A54="","","SV"&amp;TEXT(1249-3,"0000")&amp;"-"&amp;TEXT(TODAY(),"YYYYMMDD"))</f>
        <v/>
      </c>
      <c r="C1249" s="37" t="str">
        <f>IF(Agent07_Savings!A54="","",Agent07_Savings!B54)</f>
        <v/>
      </c>
      <c r="D1249" s="37" t="str">
        <f>IF(Agent07_Savings!A54="","",Agent07_Savings!G54)</f>
        <v/>
      </c>
      <c r="E1249" s="38" t="str">
        <f>IF(Agent07_Savings!A54="","",Agent07_Savings!D54)</f>
        <v/>
      </c>
      <c r="F1249" s="39" t="str">
        <f>IF(Agent07_Savings!A54="","",Agent07_Savings!E54)</f>
        <v/>
      </c>
      <c r="G1249" s="39" t="str">
        <f>IF(Agent07_Savings!A54="","",Agent07_Savings!F54)</f>
        <v/>
      </c>
      <c r="H1249" s="37" t="str">
        <f>IF(Agent07_Savings!A54="","",Agent07_Savings!I54)</f>
        <v/>
      </c>
      <c r="I1249" s="37" t="str">
        <f>IF(Agent07_Savings!A54="","",Agent07_Savings!J54)</f>
        <v/>
      </c>
      <c r="J1249" s="37" t="str">
        <f>IF(Agent07_Savings!A54="","",Agent07_Savings!K54)</f>
        <v/>
      </c>
      <c r="K1249" s="37" t="str">
        <f>IFERROR(IF(Agent07_Savings!A54="","",YEAR(Agent07_Savings!D54)),"")</f>
        <v/>
      </c>
    </row>
    <row r="1250" spans="1:11" ht="18" customHeight="1" x14ac:dyDescent="0.25">
      <c r="A1250" s="37" t="str">
        <f>IF(Agent07_Savings!A55="","",Agent07_Savings!A55)</f>
        <v/>
      </c>
      <c r="B1250" s="37" t="str">
        <f ca="1">IF(Agent07_Savings!A55="","","SV"&amp;TEXT(1250-3,"0000")&amp;"-"&amp;TEXT(TODAY(),"YYYYMMDD"))</f>
        <v/>
      </c>
      <c r="C1250" s="37" t="str">
        <f>IF(Agent07_Savings!A55="","",Agent07_Savings!B55)</f>
        <v/>
      </c>
      <c r="D1250" s="37" t="str">
        <f>IF(Agent07_Savings!A55="","",Agent07_Savings!G55)</f>
        <v/>
      </c>
      <c r="E1250" s="38" t="str">
        <f>IF(Agent07_Savings!A55="","",Agent07_Savings!D55)</f>
        <v/>
      </c>
      <c r="F1250" s="39" t="str">
        <f>IF(Agent07_Savings!A55="","",Agent07_Savings!E55)</f>
        <v/>
      </c>
      <c r="G1250" s="39" t="str">
        <f>IF(Agent07_Savings!A55="","",Agent07_Savings!F55)</f>
        <v/>
      </c>
      <c r="H1250" s="37" t="str">
        <f>IF(Agent07_Savings!A55="","",Agent07_Savings!I55)</f>
        <v/>
      </c>
      <c r="I1250" s="37" t="str">
        <f>IF(Agent07_Savings!A55="","",Agent07_Savings!J55)</f>
        <v/>
      </c>
      <c r="J1250" s="37" t="str">
        <f>IF(Agent07_Savings!A55="","",Agent07_Savings!K55)</f>
        <v/>
      </c>
      <c r="K1250" s="37" t="str">
        <f>IFERROR(IF(Agent07_Savings!A55="","",YEAR(Agent07_Savings!D55)),"")</f>
        <v/>
      </c>
    </row>
    <row r="1251" spans="1:11" ht="18" customHeight="1" x14ac:dyDescent="0.25">
      <c r="A1251" s="37" t="str">
        <f>IF(Agent07_Savings!A56="","",Agent07_Savings!A56)</f>
        <v/>
      </c>
      <c r="B1251" s="37" t="str">
        <f ca="1">IF(Agent07_Savings!A56="","","SV"&amp;TEXT(1251-3,"0000")&amp;"-"&amp;TEXT(TODAY(),"YYYYMMDD"))</f>
        <v/>
      </c>
      <c r="C1251" s="37" t="str">
        <f>IF(Agent07_Savings!A56="","",Agent07_Savings!B56)</f>
        <v/>
      </c>
      <c r="D1251" s="37" t="str">
        <f>IF(Agent07_Savings!A56="","",Agent07_Savings!G56)</f>
        <v/>
      </c>
      <c r="E1251" s="38" t="str">
        <f>IF(Agent07_Savings!A56="","",Agent07_Savings!D56)</f>
        <v/>
      </c>
      <c r="F1251" s="39" t="str">
        <f>IF(Agent07_Savings!A56="","",Agent07_Savings!E56)</f>
        <v/>
      </c>
      <c r="G1251" s="39" t="str">
        <f>IF(Agent07_Savings!A56="","",Agent07_Savings!F56)</f>
        <v/>
      </c>
      <c r="H1251" s="37" t="str">
        <f>IF(Agent07_Savings!A56="","",Agent07_Savings!I56)</f>
        <v/>
      </c>
      <c r="I1251" s="37" t="str">
        <f>IF(Agent07_Savings!A56="","",Agent07_Savings!J56)</f>
        <v/>
      </c>
      <c r="J1251" s="37" t="str">
        <f>IF(Agent07_Savings!A56="","",Agent07_Savings!K56)</f>
        <v/>
      </c>
      <c r="K1251" s="37" t="str">
        <f>IFERROR(IF(Agent07_Savings!A56="","",YEAR(Agent07_Savings!D56)),"")</f>
        <v/>
      </c>
    </row>
    <row r="1252" spans="1:11" ht="18" customHeight="1" x14ac:dyDescent="0.25">
      <c r="A1252" s="37" t="str">
        <f>IF(Agent07_Savings!A57="","",Agent07_Savings!A57)</f>
        <v/>
      </c>
      <c r="B1252" s="37" t="str">
        <f ca="1">IF(Agent07_Savings!A57="","","SV"&amp;TEXT(1252-3,"0000")&amp;"-"&amp;TEXT(TODAY(),"YYYYMMDD"))</f>
        <v/>
      </c>
      <c r="C1252" s="37" t="str">
        <f>IF(Agent07_Savings!A57="","",Agent07_Savings!B57)</f>
        <v/>
      </c>
      <c r="D1252" s="37" t="str">
        <f>IF(Agent07_Savings!A57="","",Agent07_Savings!G57)</f>
        <v/>
      </c>
      <c r="E1252" s="38" t="str">
        <f>IF(Agent07_Savings!A57="","",Agent07_Savings!D57)</f>
        <v/>
      </c>
      <c r="F1252" s="39" t="str">
        <f>IF(Agent07_Savings!A57="","",Agent07_Savings!E57)</f>
        <v/>
      </c>
      <c r="G1252" s="39" t="str">
        <f>IF(Agent07_Savings!A57="","",Agent07_Savings!F57)</f>
        <v/>
      </c>
      <c r="H1252" s="37" t="str">
        <f>IF(Agent07_Savings!A57="","",Agent07_Savings!I57)</f>
        <v/>
      </c>
      <c r="I1252" s="37" t="str">
        <f>IF(Agent07_Savings!A57="","",Agent07_Savings!J57)</f>
        <v/>
      </c>
      <c r="J1252" s="37" t="str">
        <f>IF(Agent07_Savings!A57="","",Agent07_Savings!K57)</f>
        <v/>
      </c>
      <c r="K1252" s="37" t="str">
        <f>IFERROR(IF(Agent07_Savings!A57="","",YEAR(Agent07_Savings!D57)),"")</f>
        <v/>
      </c>
    </row>
    <row r="1253" spans="1:11" ht="18" customHeight="1" x14ac:dyDescent="0.25">
      <c r="A1253" s="37" t="str">
        <f>IF(Agent07_Savings!A58="","",Agent07_Savings!A58)</f>
        <v/>
      </c>
      <c r="B1253" s="37" t="str">
        <f ca="1">IF(Agent07_Savings!A58="","","SV"&amp;TEXT(1253-3,"0000")&amp;"-"&amp;TEXT(TODAY(),"YYYYMMDD"))</f>
        <v/>
      </c>
      <c r="C1253" s="37" t="str">
        <f>IF(Agent07_Savings!A58="","",Agent07_Savings!B58)</f>
        <v/>
      </c>
      <c r="D1253" s="37" t="str">
        <f>IF(Agent07_Savings!A58="","",Agent07_Savings!G58)</f>
        <v/>
      </c>
      <c r="E1253" s="38" t="str">
        <f>IF(Agent07_Savings!A58="","",Agent07_Savings!D58)</f>
        <v/>
      </c>
      <c r="F1253" s="39" t="str">
        <f>IF(Agent07_Savings!A58="","",Agent07_Savings!E58)</f>
        <v/>
      </c>
      <c r="G1253" s="39" t="str">
        <f>IF(Agent07_Savings!A58="","",Agent07_Savings!F58)</f>
        <v/>
      </c>
      <c r="H1253" s="37" t="str">
        <f>IF(Agent07_Savings!A58="","",Agent07_Savings!I58)</f>
        <v/>
      </c>
      <c r="I1253" s="37" t="str">
        <f>IF(Agent07_Savings!A58="","",Agent07_Savings!J58)</f>
        <v/>
      </c>
      <c r="J1253" s="37" t="str">
        <f>IF(Agent07_Savings!A58="","",Agent07_Savings!K58)</f>
        <v/>
      </c>
      <c r="K1253" s="37" t="str">
        <f>IFERROR(IF(Agent07_Savings!A58="","",YEAR(Agent07_Savings!D58)),"")</f>
        <v/>
      </c>
    </row>
    <row r="1254" spans="1:11" ht="18" customHeight="1" x14ac:dyDescent="0.25">
      <c r="A1254" s="37" t="str">
        <f>IF(Agent07_Savings!A59="","",Agent07_Savings!A59)</f>
        <v/>
      </c>
      <c r="B1254" s="37" t="str">
        <f ca="1">IF(Agent07_Savings!A59="","","SV"&amp;TEXT(1254-3,"0000")&amp;"-"&amp;TEXT(TODAY(),"YYYYMMDD"))</f>
        <v/>
      </c>
      <c r="C1254" s="37" t="str">
        <f>IF(Agent07_Savings!A59="","",Agent07_Savings!B59)</f>
        <v/>
      </c>
      <c r="D1254" s="37" t="str">
        <f>IF(Agent07_Savings!A59="","",Agent07_Savings!G59)</f>
        <v/>
      </c>
      <c r="E1254" s="38" t="str">
        <f>IF(Agent07_Savings!A59="","",Agent07_Savings!D59)</f>
        <v/>
      </c>
      <c r="F1254" s="39" t="str">
        <f>IF(Agent07_Savings!A59="","",Agent07_Savings!E59)</f>
        <v/>
      </c>
      <c r="G1254" s="39" t="str">
        <f>IF(Agent07_Savings!A59="","",Agent07_Savings!F59)</f>
        <v/>
      </c>
      <c r="H1254" s="37" t="str">
        <f>IF(Agent07_Savings!A59="","",Agent07_Savings!I59)</f>
        <v/>
      </c>
      <c r="I1254" s="37" t="str">
        <f>IF(Agent07_Savings!A59="","",Agent07_Savings!J59)</f>
        <v/>
      </c>
      <c r="J1254" s="37" t="str">
        <f>IF(Agent07_Savings!A59="","",Agent07_Savings!K59)</f>
        <v/>
      </c>
      <c r="K1254" s="37" t="str">
        <f>IFERROR(IF(Agent07_Savings!A59="","",YEAR(Agent07_Savings!D59)),"")</f>
        <v/>
      </c>
    </row>
    <row r="1255" spans="1:11" ht="18" customHeight="1" x14ac:dyDescent="0.25">
      <c r="A1255" s="37" t="str">
        <f>IF(Agent07_Savings!A60="","",Agent07_Savings!A60)</f>
        <v/>
      </c>
      <c r="B1255" s="37" t="str">
        <f ca="1">IF(Agent07_Savings!A60="","","SV"&amp;TEXT(1255-3,"0000")&amp;"-"&amp;TEXT(TODAY(),"YYYYMMDD"))</f>
        <v/>
      </c>
      <c r="C1255" s="37" t="str">
        <f>IF(Agent07_Savings!A60="","",Agent07_Savings!B60)</f>
        <v/>
      </c>
      <c r="D1255" s="37" t="str">
        <f>IF(Agent07_Savings!A60="","",Agent07_Savings!G60)</f>
        <v/>
      </c>
      <c r="E1255" s="38" t="str">
        <f>IF(Agent07_Savings!A60="","",Agent07_Savings!D60)</f>
        <v/>
      </c>
      <c r="F1255" s="39" t="str">
        <f>IF(Agent07_Savings!A60="","",Agent07_Savings!E60)</f>
        <v/>
      </c>
      <c r="G1255" s="39" t="str">
        <f>IF(Agent07_Savings!A60="","",Agent07_Savings!F60)</f>
        <v/>
      </c>
      <c r="H1255" s="37" t="str">
        <f>IF(Agent07_Savings!A60="","",Agent07_Savings!I60)</f>
        <v/>
      </c>
      <c r="I1255" s="37" t="str">
        <f>IF(Agent07_Savings!A60="","",Agent07_Savings!J60)</f>
        <v/>
      </c>
      <c r="J1255" s="37" t="str">
        <f>IF(Agent07_Savings!A60="","",Agent07_Savings!K60)</f>
        <v/>
      </c>
      <c r="K1255" s="37" t="str">
        <f>IFERROR(IF(Agent07_Savings!A60="","",YEAR(Agent07_Savings!D60)),"")</f>
        <v/>
      </c>
    </row>
    <row r="1256" spans="1:11" ht="18" customHeight="1" x14ac:dyDescent="0.25">
      <c r="A1256" s="37" t="str">
        <f>IF(Agent07_Savings!A61="","",Agent07_Savings!A61)</f>
        <v/>
      </c>
      <c r="B1256" s="37" t="str">
        <f ca="1">IF(Agent07_Savings!A61="","","SV"&amp;TEXT(1256-3,"0000")&amp;"-"&amp;TEXT(TODAY(),"YYYYMMDD"))</f>
        <v/>
      </c>
      <c r="C1256" s="37" t="str">
        <f>IF(Agent07_Savings!A61="","",Agent07_Savings!B61)</f>
        <v/>
      </c>
      <c r="D1256" s="37" t="str">
        <f>IF(Agent07_Savings!A61="","",Agent07_Savings!G61)</f>
        <v/>
      </c>
      <c r="E1256" s="38" t="str">
        <f>IF(Agent07_Savings!A61="","",Agent07_Savings!D61)</f>
        <v/>
      </c>
      <c r="F1256" s="39" t="str">
        <f>IF(Agent07_Savings!A61="","",Agent07_Savings!E61)</f>
        <v/>
      </c>
      <c r="G1256" s="39" t="str">
        <f>IF(Agent07_Savings!A61="","",Agent07_Savings!F61)</f>
        <v/>
      </c>
      <c r="H1256" s="37" t="str">
        <f>IF(Agent07_Savings!A61="","",Agent07_Savings!I61)</f>
        <v/>
      </c>
      <c r="I1256" s="37" t="str">
        <f>IF(Agent07_Savings!A61="","",Agent07_Savings!J61)</f>
        <v/>
      </c>
      <c r="J1256" s="37" t="str">
        <f>IF(Agent07_Savings!A61="","",Agent07_Savings!K61)</f>
        <v/>
      </c>
      <c r="K1256" s="37" t="str">
        <f>IFERROR(IF(Agent07_Savings!A61="","",YEAR(Agent07_Savings!D61)),"")</f>
        <v/>
      </c>
    </row>
    <row r="1257" spans="1:11" ht="18" customHeight="1" x14ac:dyDescent="0.25">
      <c r="A1257" s="37" t="str">
        <f>IF(Agent07_Savings!A62="","",Agent07_Savings!A62)</f>
        <v/>
      </c>
      <c r="B1257" s="37" t="str">
        <f ca="1">IF(Agent07_Savings!A62="","","SV"&amp;TEXT(1257-3,"0000")&amp;"-"&amp;TEXT(TODAY(),"YYYYMMDD"))</f>
        <v/>
      </c>
      <c r="C1257" s="37" t="str">
        <f>IF(Agent07_Savings!A62="","",Agent07_Savings!B62)</f>
        <v/>
      </c>
      <c r="D1257" s="37" t="str">
        <f>IF(Agent07_Savings!A62="","",Agent07_Savings!G62)</f>
        <v/>
      </c>
      <c r="E1257" s="38" t="str">
        <f>IF(Agent07_Savings!A62="","",Agent07_Savings!D62)</f>
        <v/>
      </c>
      <c r="F1257" s="39" t="str">
        <f>IF(Agent07_Savings!A62="","",Agent07_Savings!E62)</f>
        <v/>
      </c>
      <c r="G1257" s="39" t="str">
        <f>IF(Agent07_Savings!A62="","",Agent07_Savings!F62)</f>
        <v/>
      </c>
      <c r="H1257" s="37" t="str">
        <f>IF(Agent07_Savings!A62="","",Agent07_Savings!I62)</f>
        <v/>
      </c>
      <c r="I1257" s="37" t="str">
        <f>IF(Agent07_Savings!A62="","",Agent07_Savings!J62)</f>
        <v/>
      </c>
      <c r="J1257" s="37" t="str">
        <f>IF(Agent07_Savings!A62="","",Agent07_Savings!K62)</f>
        <v/>
      </c>
      <c r="K1257" s="37" t="str">
        <f>IFERROR(IF(Agent07_Savings!A62="","",YEAR(Agent07_Savings!D62)),"")</f>
        <v/>
      </c>
    </row>
    <row r="1258" spans="1:11" ht="18" customHeight="1" x14ac:dyDescent="0.25">
      <c r="A1258" s="37" t="str">
        <f>IF(Agent07_Savings!A63="","",Agent07_Savings!A63)</f>
        <v/>
      </c>
      <c r="B1258" s="37" t="str">
        <f ca="1">IF(Agent07_Savings!A63="","","SV"&amp;TEXT(1258-3,"0000")&amp;"-"&amp;TEXT(TODAY(),"YYYYMMDD"))</f>
        <v/>
      </c>
      <c r="C1258" s="37" t="str">
        <f>IF(Agent07_Savings!A63="","",Agent07_Savings!B63)</f>
        <v/>
      </c>
      <c r="D1258" s="37" t="str">
        <f>IF(Agent07_Savings!A63="","",Agent07_Savings!G63)</f>
        <v/>
      </c>
      <c r="E1258" s="38" t="str">
        <f>IF(Agent07_Savings!A63="","",Agent07_Savings!D63)</f>
        <v/>
      </c>
      <c r="F1258" s="39" t="str">
        <f>IF(Agent07_Savings!A63="","",Agent07_Savings!E63)</f>
        <v/>
      </c>
      <c r="G1258" s="39" t="str">
        <f>IF(Agent07_Savings!A63="","",Agent07_Savings!F63)</f>
        <v/>
      </c>
      <c r="H1258" s="37" t="str">
        <f>IF(Agent07_Savings!A63="","",Agent07_Savings!I63)</f>
        <v/>
      </c>
      <c r="I1258" s="37" t="str">
        <f>IF(Agent07_Savings!A63="","",Agent07_Savings!J63)</f>
        <v/>
      </c>
      <c r="J1258" s="37" t="str">
        <f>IF(Agent07_Savings!A63="","",Agent07_Savings!K63)</f>
        <v/>
      </c>
      <c r="K1258" s="37" t="str">
        <f>IFERROR(IF(Agent07_Savings!A63="","",YEAR(Agent07_Savings!D63)),"")</f>
        <v/>
      </c>
    </row>
    <row r="1259" spans="1:11" ht="18" customHeight="1" x14ac:dyDescent="0.25">
      <c r="A1259" s="37" t="str">
        <f>IF(Agent07_Savings!A64="","",Agent07_Savings!A64)</f>
        <v/>
      </c>
      <c r="B1259" s="37" t="str">
        <f ca="1">IF(Agent07_Savings!A64="","","SV"&amp;TEXT(1259-3,"0000")&amp;"-"&amp;TEXT(TODAY(),"YYYYMMDD"))</f>
        <v/>
      </c>
      <c r="C1259" s="37" t="str">
        <f>IF(Agent07_Savings!A64="","",Agent07_Savings!B64)</f>
        <v/>
      </c>
      <c r="D1259" s="37" t="str">
        <f>IF(Agent07_Savings!A64="","",Agent07_Savings!G64)</f>
        <v/>
      </c>
      <c r="E1259" s="38" t="str">
        <f>IF(Agent07_Savings!A64="","",Agent07_Savings!D64)</f>
        <v/>
      </c>
      <c r="F1259" s="39" t="str">
        <f>IF(Agent07_Savings!A64="","",Agent07_Savings!E64)</f>
        <v/>
      </c>
      <c r="G1259" s="39" t="str">
        <f>IF(Agent07_Savings!A64="","",Agent07_Savings!F64)</f>
        <v/>
      </c>
      <c r="H1259" s="37" t="str">
        <f>IF(Agent07_Savings!A64="","",Agent07_Savings!I64)</f>
        <v/>
      </c>
      <c r="I1259" s="37" t="str">
        <f>IF(Agent07_Savings!A64="","",Agent07_Savings!J64)</f>
        <v/>
      </c>
      <c r="J1259" s="37" t="str">
        <f>IF(Agent07_Savings!A64="","",Agent07_Savings!K64)</f>
        <v/>
      </c>
      <c r="K1259" s="37" t="str">
        <f>IFERROR(IF(Agent07_Savings!A64="","",YEAR(Agent07_Savings!D64)),"")</f>
        <v/>
      </c>
    </row>
    <row r="1260" spans="1:11" ht="18" customHeight="1" x14ac:dyDescent="0.25">
      <c r="A1260" s="37" t="str">
        <f>IF(Agent07_Savings!A65="","",Agent07_Savings!A65)</f>
        <v/>
      </c>
      <c r="B1260" s="37" t="str">
        <f ca="1">IF(Agent07_Savings!A65="","","SV"&amp;TEXT(1260-3,"0000")&amp;"-"&amp;TEXT(TODAY(),"YYYYMMDD"))</f>
        <v/>
      </c>
      <c r="C1260" s="37" t="str">
        <f>IF(Agent07_Savings!A65="","",Agent07_Savings!B65)</f>
        <v/>
      </c>
      <c r="D1260" s="37" t="str">
        <f>IF(Agent07_Savings!A65="","",Agent07_Savings!G65)</f>
        <v/>
      </c>
      <c r="E1260" s="38" t="str">
        <f>IF(Agent07_Savings!A65="","",Agent07_Savings!D65)</f>
        <v/>
      </c>
      <c r="F1260" s="39" t="str">
        <f>IF(Agent07_Savings!A65="","",Agent07_Savings!E65)</f>
        <v/>
      </c>
      <c r="G1260" s="39" t="str">
        <f>IF(Agent07_Savings!A65="","",Agent07_Savings!F65)</f>
        <v/>
      </c>
      <c r="H1260" s="37" t="str">
        <f>IF(Agent07_Savings!A65="","",Agent07_Savings!I65)</f>
        <v/>
      </c>
      <c r="I1260" s="37" t="str">
        <f>IF(Agent07_Savings!A65="","",Agent07_Savings!J65)</f>
        <v/>
      </c>
      <c r="J1260" s="37" t="str">
        <f>IF(Agent07_Savings!A65="","",Agent07_Savings!K65)</f>
        <v/>
      </c>
      <c r="K1260" s="37" t="str">
        <f>IFERROR(IF(Agent07_Savings!A65="","",YEAR(Agent07_Savings!D65)),"")</f>
        <v/>
      </c>
    </row>
    <row r="1261" spans="1:11" ht="18" customHeight="1" x14ac:dyDescent="0.25">
      <c r="A1261" s="37" t="str">
        <f>IF(Agent07_Savings!A66="","",Agent07_Savings!A66)</f>
        <v/>
      </c>
      <c r="B1261" s="37" t="str">
        <f ca="1">IF(Agent07_Savings!A66="","","SV"&amp;TEXT(1261-3,"0000")&amp;"-"&amp;TEXT(TODAY(),"YYYYMMDD"))</f>
        <v/>
      </c>
      <c r="C1261" s="37" t="str">
        <f>IF(Agent07_Savings!A66="","",Agent07_Savings!B66)</f>
        <v/>
      </c>
      <c r="D1261" s="37" t="str">
        <f>IF(Agent07_Savings!A66="","",Agent07_Savings!G66)</f>
        <v/>
      </c>
      <c r="E1261" s="38" t="str">
        <f>IF(Agent07_Savings!A66="","",Agent07_Savings!D66)</f>
        <v/>
      </c>
      <c r="F1261" s="39" t="str">
        <f>IF(Agent07_Savings!A66="","",Agent07_Savings!E66)</f>
        <v/>
      </c>
      <c r="G1261" s="39" t="str">
        <f>IF(Agent07_Savings!A66="","",Agent07_Savings!F66)</f>
        <v/>
      </c>
      <c r="H1261" s="37" t="str">
        <f>IF(Agent07_Savings!A66="","",Agent07_Savings!I66)</f>
        <v/>
      </c>
      <c r="I1261" s="37" t="str">
        <f>IF(Agent07_Savings!A66="","",Agent07_Savings!J66)</f>
        <v/>
      </c>
      <c r="J1261" s="37" t="str">
        <f>IF(Agent07_Savings!A66="","",Agent07_Savings!K66)</f>
        <v/>
      </c>
      <c r="K1261" s="37" t="str">
        <f>IFERROR(IF(Agent07_Savings!A66="","",YEAR(Agent07_Savings!D66)),"")</f>
        <v/>
      </c>
    </row>
    <row r="1262" spans="1:11" ht="18" customHeight="1" x14ac:dyDescent="0.25">
      <c r="A1262" s="37" t="str">
        <f>IF(Agent07_Savings!A67="","",Agent07_Savings!A67)</f>
        <v/>
      </c>
      <c r="B1262" s="37" t="str">
        <f ca="1">IF(Agent07_Savings!A67="","","SV"&amp;TEXT(1262-3,"0000")&amp;"-"&amp;TEXT(TODAY(),"YYYYMMDD"))</f>
        <v/>
      </c>
      <c r="C1262" s="37" t="str">
        <f>IF(Agent07_Savings!A67="","",Agent07_Savings!B67)</f>
        <v/>
      </c>
      <c r="D1262" s="37" t="str">
        <f>IF(Agent07_Savings!A67="","",Agent07_Savings!G67)</f>
        <v/>
      </c>
      <c r="E1262" s="38" t="str">
        <f>IF(Agent07_Savings!A67="","",Agent07_Savings!D67)</f>
        <v/>
      </c>
      <c r="F1262" s="39" t="str">
        <f>IF(Agent07_Savings!A67="","",Agent07_Savings!E67)</f>
        <v/>
      </c>
      <c r="G1262" s="39" t="str">
        <f>IF(Agent07_Savings!A67="","",Agent07_Savings!F67)</f>
        <v/>
      </c>
      <c r="H1262" s="37" t="str">
        <f>IF(Agent07_Savings!A67="","",Agent07_Savings!I67)</f>
        <v/>
      </c>
      <c r="I1262" s="37" t="str">
        <f>IF(Agent07_Savings!A67="","",Agent07_Savings!J67)</f>
        <v/>
      </c>
      <c r="J1262" s="37" t="str">
        <f>IF(Agent07_Savings!A67="","",Agent07_Savings!K67)</f>
        <v/>
      </c>
      <c r="K1262" s="37" t="str">
        <f>IFERROR(IF(Agent07_Savings!A67="","",YEAR(Agent07_Savings!D67)),"")</f>
        <v/>
      </c>
    </row>
    <row r="1263" spans="1:11" ht="18" customHeight="1" x14ac:dyDescent="0.25">
      <c r="A1263" s="37" t="str">
        <f>IF(Agent07_Savings!A68="","",Agent07_Savings!A68)</f>
        <v/>
      </c>
      <c r="B1263" s="37" t="str">
        <f ca="1">IF(Agent07_Savings!A68="","","SV"&amp;TEXT(1263-3,"0000")&amp;"-"&amp;TEXT(TODAY(),"YYYYMMDD"))</f>
        <v/>
      </c>
      <c r="C1263" s="37" t="str">
        <f>IF(Agent07_Savings!A68="","",Agent07_Savings!B68)</f>
        <v/>
      </c>
      <c r="D1263" s="37" t="str">
        <f>IF(Agent07_Savings!A68="","",Agent07_Savings!G68)</f>
        <v/>
      </c>
      <c r="E1263" s="38" t="str">
        <f>IF(Agent07_Savings!A68="","",Agent07_Savings!D68)</f>
        <v/>
      </c>
      <c r="F1263" s="39" t="str">
        <f>IF(Agent07_Savings!A68="","",Agent07_Savings!E68)</f>
        <v/>
      </c>
      <c r="G1263" s="39" t="str">
        <f>IF(Agent07_Savings!A68="","",Agent07_Savings!F68)</f>
        <v/>
      </c>
      <c r="H1263" s="37" t="str">
        <f>IF(Agent07_Savings!A68="","",Agent07_Savings!I68)</f>
        <v/>
      </c>
      <c r="I1263" s="37" t="str">
        <f>IF(Agent07_Savings!A68="","",Agent07_Savings!J68)</f>
        <v/>
      </c>
      <c r="J1263" s="37" t="str">
        <f>IF(Agent07_Savings!A68="","",Agent07_Savings!K68)</f>
        <v/>
      </c>
      <c r="K1263" s="37" t="str">
        <f>IFERROR(IF(Agent07_Savings!A68="","",YEAR(Agent07_Savings!D68)),"")</f>
        <v/>
      </c>
    </row>
    <row r="1264" spans="1:11" ht="18" customHeight="1" x14ac:dyDescent="0.25">
      <c r="A1264" s="37" t="str">
        <f>IF(Agent07_Savings!A69="","",Agent07_Savings!A69)</f>
        <v/>
      </c>
      <c r="B1264" s="37" t="str">
        <f ca="1">IF(Agent07_Savings!A69="","","SV"&amp;TEXT(1264-3,"0000")&amp;"-"&amp;TEXT(TODAY(),"YYYYMMDD"))</f>
        <v/>
      </c>
      <c r="C1264" s="37" t="str">
        <f>IF(Agent07_Savings!A69="","",Agent07_Savings!B69)</f>
        <v/>
      </c>
      <c r="D1264" s="37" t="str">
        <f>IF(Agent07_Savings!A69="","",Agent07_Savings!G69)</f>
        <v/>
      </c>
      <c r="E1264" s="38" t="str">
        <f>IF(Agent07_Savings!A69="","",Agent07_Savings!D69)</f>
        <v/>
      </c>
      <c r="F1264" s="39" t="str">
        <f>IF(Agent07_Savings!A69="","",Agent07_Savings!E69)</f>
        <v/>
      </c>
      <c r="G1264" s="39" t="str">
        <f>IF(Agent07_Savings!A69="","",Agent07_Savings!F69)</f>
        <v/>
      </c>
      <c r="H1264" s="37" t="str">
        <f>IF(Agent07_Savings!A69="","",Agent07_Savings!I69)</f>
        <v/>
      </c>
      <c r="I1264" s="37" t="str">
        <f>IF(Agent07_Savings!A69="","",Agent07_Savings!J69)</f>
        <v/>
      </c>
      <c r="J1264" s="37" t="str">
        <f>IF(Agent07_Savings!A69="","",Agent07_Savings!K69)</f>
        <v/>
      </c>
      <c r="K1264" s="37" t="str">
        <f>IFERROR(IF(Agent07_Savings!A69="","",YEAR(Agent07_Savings!D69)),"")</f>
        <v/>
      </c>
    </row>
    <row r="1265" spans="1:11" ht="18" customHeight="1" x14ac:dyDescent="0.25">
      <c r="A1265" s="37" t="str">
        <f>IF(Agent07_Savings!A70="","",Agent07_Savings!A70)</f>
        <v/>
      </c>
      <c r="B1265" s="37" t="str">
        <f ca="1">IF(Agent07_Savings!A70="","","SV"&amp;TEXT(1265-3,"0000")&amp;"-"&amp;TEXT(TODAY(),"YYYYMMDD"))</f>
        <v/>
      </c>
      <c r="C1265" s="37" t="str">
        <f>IF(Agent07_Savings!A70="","",Agent07_Savings!B70)</f>
        <v/>
      </c>
      <c r="D1265" s="37" t="str">
        <f>IF(Agent07_Savings!A70="","",Agent07_Savings!G70)</f>
        <v/>
      </c>
      <c r="E1265" s="38" t="str">
        <f>IF(Agent07_Savings!A70="","",Agent07_Savings!D70)</f>
        <v/>
      </c>
      <c r="F1265" s="39" t="str">
        <f>IF(Agent07_Savings!A70="","",Agent07_Savings!E70)</f>
        <v/>
      </c>
      <c r="G1265" s="39" t="str">
        <f>IF(Agent07_Savings!A70="","",Agent07_Savings!F70)</f>
        <v/>
      </c>
      <c r="H1265" s="37" t="str">
        <f>IF(Agent07_Savings!A70="","",Agent07_Savings!I70)</f>
        <v/>
      </c>
      <c r="I1265" s="37" t="str">
        <f>IF(Agent07_Savings!A70="","",Agent07_Savings!J70)</f>
        <v/>
      </c>
      <c r="J1265" s="37" t="str">
        <f>IF(Agent07_Savings!A70="","",Agent07_Savings!K70)</f>
        <v/>
      </c>
      <c r="K1265" s="37" t="str">
        <f>IFERROR(IF(Agent07_Savings!A70="","",YEAR(Agent07_Savings!D70)),"")</f>
        <v/>
      </c>
    </row>
    <row r="1266" spans="1:11" ht="18" customHeight="1" x14ac:dyDescent="0.25">
      <c r="A1266" s="37" t="str">
        <f>IF(Agent07_Savings!A71="","",Agent07_Savings!A71)</f>
        <v/>
      </c>
      <c r="B1266" s="37" t="str">
        <f ca="1">IF(Agent07_Savings!A71="","","SV"&amp;TEXT(1266-3,"0000")&amp;"-"&amp;TEXT(TODAY(),"YYYYMMDD"))</f>
        <v/>
      </c>
      <c r="C1266" s="37" t="str">
        <f>IF(Agent07_Savings!A71="","",Agent07_Savings!B71)</f>
        <v/>
      </c>
      <c r="D1266" s="37" t="str">
        <f>IF(Agent07_Savings!A71="","",Agent07_Savings!G71)</f>
        <v/>
      </c>
      <c r="E1266" s="38" t="str">
        <f>IF(Agent07_Savings!A71="","",Agent07_Savings!D71)</f>
        <v/>
      </c>
      <c r="F1266" s="39" t="str">
        <f>IF(Agent07_Savings!A71="","",Agent07_Savings!E71)</f>
        <v/>
      </c>
      <c r="G1266" s="39" t="str">
        <f>IF(Agent07_Savings!A71="","",Agent07_Savings!F71)</f>
        <v/>
      </c>
      <c r="H1266" s="37" t="str">
        <f>IF(Agent07_Savings!A71="","",Agent07_Savings!I71)</f>
        <v/>
      </c>
      <c r="I1266" s="37" t="str">
        <f>IF(Agent07_Savings!A71="","",Agent07_Savings!J71)</f>
        <v/>
      </c>
      <c r="J1266" s="37" t="str">
        <f>IF(Agent07_Savings!A71="","",Agent07_Savings!K71)</f>
        <v/>
      </c>
      <c r="K1266" s="37" t="str">
        <f>IFERROR(IF(Agent07_Savings!A71="","",YEAR(Agent07_Savings!D71)),"")</f>
        <v/>
      </c>
    </row>
    <row r="1267" spans="1:11" ht="18" customHeight="1" x14ac:dyDescent="0.25">
      <c r="A1267" s="37" t="str">
        <f>IF(Agent07_Savings!A72="","",Agent07_Savings!A72)</f>
        <v/>
      </c>
      <c r="B1267" s="37" t="str">
        <f ca="1">IF(Agent07_Savings!A72="","","SV"&amp;TEXT(1267-3,"0000")&amp;"-"&amp;TEXT(TODAY(),"YYYYMMDD"))</f>
        <v/>
      </c>
      <c r="C1267" s="37" t="str">
        <f>IF(Agent07_Savings!A72="","",Agent07_Savings!B72)</f>
        <v/>
      </c>
      <c r="D1267" s="37" t="str">
        <f>IF(Agent07_Savings!A72="","",Agent07_Savings!G72)</f>
        <v/>
      </c>
      <c r="E1267" s="38" t="str">
        <f>IF(Agent07_Savings!A72="","",Agent07_Savings!D72)</f>
        <v/>
      </c>
      <c r="F1267" s="39" t="str">
        <f>IF(Agent07_Savings!A72="","",Agent07_Savings!E72)</f>
        <v/>
      </c>
      <c r="G1267" s="39" t="str">
        <f>IF(Agent07_Savings!A72="","",Agent07_Savings!F72)</f>
        <v/>
      </c>
      <c r="H1267" s="37" t="str">
        <f>IF(Agent07_Savings!A72="","",Agent07_Savings!I72)</f>
        <v/>
      </c>
      <c r="I1267" s="37" t="str">
        <f>IF(Agent07_Savings!A72="","",Agent07_Savings!J72)</f>
        <v/>
      </c>
      <c r="J1267" s="37" t="str">
        <f>IF(Agent07_Savings!A72="","",Agent07_Savings!K72)</f>
        <v/>
      </c>
      <c r="K1267" s="37" t="str">
        <f>IFERROR(IF(Agent07_Savings!A72="","",YEAR(Agent07_Savings!D72)),"")</f>
        <v/>
      </c>
    </row>
    <row r="1268" spans="1:11" ht="18" customHeight="1" x14ac:dyDescent="0.25">
      <c r="A1268" s="37" t="str">
        <f>IF(Agent07_Savings!A73="","",Agent07_Savings!A73)</f>
        <v/>
      </c>
      <c r="B1268" s="37" t="str">
        <f ca="1">IF(Agent07_Savings!A73="","","SV"&amp;TEXT(1268-3,"0000")&amp;"-"&amp;TEXT(TODAY(),"YYYYMMDD"))</f>
        <v/>
      </c>
      <c r="C1268" s="37" t="str">
        <f>IF(Agent07_Savings!A73="","",Agent07_Savings!B73)</f>
        <v/>
      </c>
      <c r="D1268" s="37" t="str">
        <f>IF(Agent07_Savings!A73="","",Agent07_Savings!G73)</f>
        <v/>
      </c>
      <c r="E1268" s="38" t="str">
        <f>IF(Agent07_Savings!A73="","",Agent07_Savings!D73)</f>
        <v/>
      </c>
      <c r="F1268" s="39" t="str">
        <f>IF(Agent07_Savings!A73="","",Agent07_Savings!E73)</f>
        <v/>
      </c>
      <c r="G1268" s="39" t="str">
        <f>IF(Agent07_Savings!A73="","",Agent07_Savings!F73)</f>
        <v/>
      </c>
      <c r="H1268" s="37" t="str">
        <f>IF(Agent07_Savings!A73="","",Agent07_Savings!I73)</f>
        <v/>
      </c>
      <c r="I1268" s="37" t="str">
        <f>IF(Agent07_Savings!A73="","",Agent07_Savings!J73)</f>
        <v/>
      </c>
      <c r="J1268" s="37" t="str">
        <f>IF(Agent07_Savings!A73="","",Agent07_Savings!K73)</f>
        <v/>
      </c>
      <c r="K1268" s="37" t="str">
        <f>IFERROR(IF(Agent07_Savings!A73="","",YEAR(Agent07_Savings!D73)),"")</f>
        <v/>
      </c>
    </row>
    <row r="1269" spans="1:11" ht="18" customHeight="1" x14ac:dyDescent="0.25">
      <c r="A1269" s="37" t="str">
        <f>IF(Agent07_Savings!A74="","",Agent07_Savings!A74)</f>
        <v/>
      </c>
      <c r="B1269" s="37" t="str">
        <f ca="1">IF(Agent07_Savings!A74="","","SV"&amp;TEXT(1269-3,"0000")&amp;"-"&amp;TEXT(TODAY(),"YYYYMMDD"))</f>
        <v/>
      </c>
      <c r="C1269" s="37" t="str">
        <f>IF(Agent07_Savings!A74="","",Agent07_Savings!B74)</f>
        <v/>
      </c>
      <c r="D1269" s="37" t="str">
        <f>IF(Agent07_Savings!A74="","",Agent07_Savings!G74)</f>
        <v/>
      </c>
      <c r="E1269" s="38" t="str">
        <f>IF(Agent07_Savings!A74="","",Agent07_Savings!D74)</f>
        <v/>
      </c>
      <c r="F1269" s="39" t="str">
        <f>IF(Agent07_Savings!A74="","",Agent07_Savings!E74)</f>
        <v/>
      </c>
      <c r="G1269" s="39" t="str">
        <f>IF(Agent07_Savings!A74="","",Agent07_Savings!F74)</f>
        <v/>
      </c>
      <c r="H1269" s="37" t="str">
        <f>IF(Agent07_Savings!A74="","",Agent07_Savings!I74)</f>
        <v/>
      </c>
      <c r="I1269" s="37" t="str">
        <f>IF(Agent07_Savings!A74="","",Agent07_Savings!J74)</f>
        <v/>
      </c>
      <c r="J1269" s="37" t="str">
        <f>IF(Agent07_Savings!A74="","",Agent07_Savings!K74)</f>
        <v/>
      </c>
      <c r="K1269" s="37" t="str">
        <f>IFERROR(IF(Agent07_Savings!A74="","",YEAR(Agent07_Savings!D74)),"")</f>
        <v/>
      </c>
    </row>
    <row r="1270" spans="1:11" ht="18" customHeight="1" x14ac:dyDescent="0.25">
      <c r="A1270" s="37" t="str">
        <f>IF(Agent07_Savings!A75="","",Agent07_Savings!A75)</f>
        <v/>
      </c>
      <c r="B1270" s="37" t="str">
        <f ca="1">IF(Agent07_Savings!A75="","","SV"&amp;TEXT(1270-3,"0000")&amp;"-"&amp;TEXT(TODAY(),"YYYYMMDD"))</f>
        <v/>
      </c>
      <c r="C1270" s="37" t="str">
        <f>IF(Agent07_Savings!A75="","",Agent07_Savings!B75)</f>
        <v/>
      </c>
      <c r="D1270" s="37" t="str">
        <f>IF(Agent07_Savings!A75="","",Agent07_Savings!G75)</f>
        <v/>
      </c>
      <c r="E1270" s="38" t="str">
        <f>IF(Agent07_Savings!A75="","",Agent07_Savings!D75)</f>
        <v/>
      </c>
      <c r="F1270" s="39" t="str">
        <f>IF(Agent07_Savings!A75="","",Agent07_Savings!E75)</f>
        <v/>
      </c>
      <c r="G1270" s="39" t="str">
        <f>IF(Agent07_Savings!A75="","",Agent07_Savings!F75)</f>
        <v/>
      </c>
      <c r="H1270" s="37" t="str">
        <f>IF(Agent07_Savings!A75="","",Agent07_Savings!I75)</f>
        <v/>
      </c>
      <c r="I1270" s="37" t="str">
        <f>IF(Agent07_Savings!A75="","",Agent07_Savings!J75)</f>
        <v/>
      </c>
      <c r="J1270" s="37" t="str">
        <f>IF(Agent07_Savings!A75="","",Agent07_Savings!K75)</f>
        <v/>
      </c>
      <c r="K1270" s="37" t="str">
        <f>IFERROR(IF(Agent07_Savings!A75="","",YEAR(Agent07_Savings!D75)),"")</f>
        <v/>
      </c>
    </row>
    <row r="1271" spans="1:11" ht="18" customHeight="1" x14ac:dyDescent="0.25">
      <c r="A1271" s="37" t="str">
        <f>IF(Agent07_Savings!A76="","",Agent07_Savings!A76)</f>
        <v/>
      </c>
      <c r="B1271" s="37" t="str">
        <f ca="1">IF(Agent07_Savings!A76="","","SV"&amp;TEXT(1271-3,"0000")&amp;"-"&amp;TEXT(TODAY(),"YYYYMMDD"))</f>
        <v/>
      </c>
      <c r="C1271" s="37" t="str">
        <f>IF(Agent07_Savings!A76="","",Agent07_Savings!B76)</f>
        <v/>
      </c>
      <c r="D1271" s="37" t="str">
        <f>IF(Agent07_Savings!A76="","",Agent07_Savings!G76)</f>
        <v/>
      </c>
      <c r="E1271" s="38" t="str">
        <f>IF(Agent07_Savings!A76="","",Agent07_Savings!D76)</f>
        <v/>
      </c>
      <c r="F1271" s="39" t="str">
        <f>IF(Agent07_Savings!A76="","",Agent07_Savings!E76)</f>
        <v/>
      </c>
      <c r="G1271" s="39" t="str">
        <f>IF(Agent07_Savings!A76="","",Agent07_Savings!F76)</f>
        <v/>
      </c>
      <c r="H1271" s="37" t="str">
        <f>IF(Agent07_Savings!A76="","",Agent07_Savings!I76)</f>
        <v/>
      </c>
      <c r="I1271" s="37" t="str">
        <f>IF(Agent07_Savings!A76="","",Agent07_Savings!J76)</f>
        <v/>
      </c>
      <c r="J1271" s="37" t="str">
        <f>IF(Agent07_Savings!A76="","",Agent07_Savings!K76)</f>
        <v/>
      </c>
      <c r="K1271" s="37" t="str">
        <f>IFERROR(IF(Agent07_Savings!A76="","",YEAR(Agent07_Savings!D76)),"")</f>
        <v/>
      </c>
    </row>
    <row r="1272" spans="1:11" ht="18" customHeight="1" x14ac:dyDescent="0.25">
      <c r="A1272" s="37" t="str">
        <f>IF(Agent07_Savings!A77="","",Agent07_Savings!A77)</f>
        <v/>
      </c>
      <c r="B1272" s="37" t="str">
        <f ca="1">IF(Agent07_Savings!A77="","","SV"&amp;TEXT(1272-3,"0000")&amp;"-"&amp;TEXT(TODAY(),"YYYYMMDD"))</f>
        <v/>
      </c>
      <c r="C1272" s="37" t="str">
        <f>IF(Agent07_Savings!A77="","",Agent07_Savings!B77)</f>
        <v/>
      </c>
      <c r="D1272" s="37" t="str">
        <f>IF(Agent07_Savings!A77="","",Agent07_Savings!G77)</f>
        <v/>
      </c>
      <c r="E1272" s="38" t="str">
        <f>IF(Agent07_Savings!A77="","",Agent07_Savings!D77)</f>
        <v/>
      </c>
      <c r="F1272" s="39" t="str">
        <f>IF(Agent07_Savings!A77="","",Agent07_Savings!E77)</f>
        <v/>
      </c>
      <c r="G1272" s="39" t="str">
        <f>IF(Agent07_Savings!A77="","",Agent07_Savings!F77)</f>
        <v/>
      </c>
      <c r="H1272" s="37" t="str">
        <f>IF(Agent07_Savings!A77="","",Agent07_Savings!I77)</f>
        <v/>
      </c>
      <c r="I1272" s="37" t="str">
        <f>IF(Agent07_Savings!A77="","",Agent07_Savings!J77)</f>
        <v/>
      </c>
      <c r="J1272" s="37" t="str">
        <f>IF(Agent07_Savings!A77="","",Agent07_Savings!K77)</f>
        <v/>
      </c>
      <c r="K1272" s="37" t="str">
        <f>IFERROR(IF(Agent07_Savings!A77="","",YEAR(Agent07_Savings!D77)),"")</f>
        <v/>
      </c>
    </row>
    <row r="1273" spans="1:11" ht="18" customHeight="1" x14ac:dyDescent="0.25">
      <c r="A1273" s="37" t="str">
        <f>IF(Agent07_Savings!A78="","",Agent07_Savings!A78)</f>
        <v/>
      </c>
      <c r="B1273" s="37" t="str">
        <f ca="1">IF(Agent07_Savings!A78="","","SV"&amp;TEXT(1273-3,"0000")&amp;"-"&amp;TEXT(TODAY(),"YYYYMMDD"))</f>
        <v/>
      </c>
      <c r="C1273" s="37" t="str">
        <f>IF(Agent07_Savings!A78="","",Agent07_Savings!B78)</f>
        <v/>
      </c>
      <c r="D1273" s="37" t="str">
        <f>IF(Agent07_Savings!A78="","",Agent07_Savings!G78)</f>
        <v/>
      </c>
      <c r="E1273" s="38" t="str">
        <f>IF(Agent07_Savings!A78="","",Agent07_Savings!D78)</f>
        <v/>
      </c>
      <c r="F1273" s="39" t="str">
        <f>IF(Agent07_Savings!A78="","",Agent07_Savings!E78)</f>
        <v/>
      </c>
      <c r="G1273" s="39" t="str">
        <f>IF(Agent07_Savings!A78="","",Agent07_Savings!F78)</f>
        <v/>
      </c>
      <c r="H1273" s="37" t="str">
        <f>IF(Agent07_Savings!A78="","",Agent07_Savings!I78)</f>
        <v/>
      </c>
      <c r="I1273" s="37" t="str">
        <f>IF(Agent07_Savings!A78="","",Agent07_Savings!J78)</f>
        <v/>
      </c>
      <c r="J1273" s="37" t="str">
        <f>IF(Agent07_Savings!A78="","",Agent07_Savings!K78)</f>
        <v/>
      </c>
      <c r="K1273" s="37" t="str">
        <f>IFERROR(IF(Agent07_Savings!A78="","",YEAR(Agent07_Savings!D78)),"")</f>
        <v/>
      </c>
    </row>
    <row r="1274" spans="1:11" ht="18" customHeight="1" x14ac:dyDescent="0.25">
      <c r="A1274" s="37" t="str">
        <f>IF(Agent07_Savings!A79="","",Agent07_Savings!A79)</f>
        <v/>
      </c>
      <c r="B1274" s="37" t="str">
        <f ca="1">IF(Agent07_Savings!A79="","","SV"&amp;TEXT(1274-3,"0000")&amp;"-"&amp;TEXT(TODAY(),"YYYYMMDD"))</f>
        <v/>
      </c>
      <c r="C1274" s="37" t="str">
        <f>IF(Agent07_Savings!A79="","",Agent07_Savings!B79)</f>
        <v/>
      </c>
      <c r="D1274" s="37" t="str">
        <f>IF(Agent07_Savings!A79="","",Agent07_Savings!G79)</f>
        <v/>
      </c>
      <c r="E1274" s="38" t="str">
        <f>IF(Agent07_Savings!A79="","",Agent07_Savings!D79)</f>
        <v/>
      </c>
      <c r="F1274" s="39" t="str">
        <f>IF(Agent07_Savings!A79="","",Agent07_Savings!E79)</f>
        <v/>
      </c>
      <c r="G1274" s="39" t="str">
        <f>IF(Agent07_Savings!A79="","",Agent07_Savings!F79)</f>
        <v/>
      </c>
      <c r="H1274" s="37" t="str">
        <f>IF(Agent07_Savings!A79="","",Agent07_Savings!I79)</f>
        <v/>
      </c>
      <c r="I1274" s="37" t="str">
        <f>IF(Agent07_Savings!A79="","",Agent07_Savings!J79)</f>
        <v/>
      </c>
      <c r="J1274" s="37" t="str">
        <f>IF(Agent07_Savings!A79="","",Agent07_Savings!K79)</f>
        <v/>
      </c>
      <c r="K1274" s="37" t="str">
        <f>IFERROR(IF(Agent07_Savings!A79="","",YEAR(Agent07_Savings!D79)),"")</f>
        <v/>
      </c>
    </row>
    <row r="1275" spans="1:11" ht="18" customHeight="1" x14ac:dyDescent="0.25">
      <c r="A1275" s="37" t="str">
        <f>IF(Agent07_Savings!A80="","",Agent07_Savings!A80)</f>
        <v/>
      </c>
      <c r="B1275" s="37" t="str">
        <f ca="1">IF(Agent07_Savings!A80="","","SV"&amp;TEXT(1275-3,"0000")&amp;"-"&amp;TEXT(TODAY(),"YYYYMMDD"))</f>
        <v/>
      </c>
      <c r="C1275" s="37" t="str">
        <f>IF(Agent07_Savings!A80="","",Agent07_Savings!B80)</f>
        <v/>
      </c>
      <c r="D1275" s="37" t="str">
        <f>IF(Agent07_Savings!A80="","",Agent07_Savings!G80)</f>
        <v/>
      </c>
      <c r="E1275" s="38" t="str">
        <f>IF(Agent07_Savings!A80="","",Agent07_Savings!D80)</f>
        <v/>
      </c>
      <c r="F1275" s="39" t="str">
        <f>IF(Agent07_Savings!A80="","",Agent07_Savings!E80)</f>
        <v/>
      </c>
      <c r="G1275" s="39" t="str">
        <f>IF(Agent07_Savings!A80="","",Agent07_Savings!F80)</f>
        <v/>
      </c>
      <c r="H1275" s="37" t="str">
        <f>IF(Agent07_Savings!A80="","",Agent07_Savings!I80)</f>
        <v/>
      </c>
      <c r="I1275" s="37" t="str">
        <f>IF(Agent07_Savings!A80="","",Agent07_Savings!J80)</f>
        <v/>
      </c>
      <c r="J1275" s="37" t="str">
        <f>IF(Agent07_Savings!A80="","",Agent07_Savings!K80)</f>
        <v/>
      </c>
      <c r="K1275" s="37" t="str">
        <f>IFERROR(IF(Agent07_Savings!A80="","",YEAR(Agent07_Savings!D80)),"")</f>
        <v/>
      </c>
    </row>
    <row r="1276" spans="1:11" ht="18" customHeight="1" x14ac:dyDescent="0.25">
      <c r="A1276" s="37" t="str">
        <f>IF(Agent07_Savings!A81="","",Agent07_Savings!A81)</f>
        <v/>
      </c>
      <c r="B1276" s="37" t="str">
        <f ca="1">IF(Agent07_Savings!A81="","","SV"&amp;TEXT(1276-3,"0000")&amp;"-"&amp;TEXT(TODAY(),"YYYYMMDD"))</f>
        <v/>
      </c>
      <c r="C1276" s="37" t="str">
        <f>IF(Agent07_Savings!A81="","",Agent07_Savings!B81)</f>
        <v/>
      </c>
      <c r="D1276" s="37" t="str">
        <f>IF(Agent07_Savings!A81="","",Agent07_Savings!G81)</f>
        <v/>
      </c>
      <c r="E1276" s="38" t="str">
        <f>IF(Agent07_Savings!A81="","",Agent07_Savings!D81)</f>
        <v/>
      </c>
      <c r="F1276" s="39" t="str">
        <f>IF(Agent07_Savings!A81="","",Agent07_Savings!E81)</f>
        <v/>
      </c>
      <c r="G1276" s="39" t="str">
        <f>IF(Agent07_Savings!A81="","",Agent07_Savings!F81)</f>
        <v/>
      </c>
      <c r="H1276" s="37" t="str">
        <f>IF(Agent07_Savings!A81="","",Agent07_Savings!I81)</f>
        <v/>
      </c>
      <c r="I1276" s="37" t="str">
        <f>IF(Agent07_Savings!A81="","",Agent07_Savings!J81)</f>
        <v/>
      </c>
      <c r="J1276" s="37" t="str">
        <f>IF(Agent07_Savings!A81="","",Agent07_Savings!K81)</f>
        <v/>
      </c>
      <c r="K1276" s="37" t="str">
        <f>IFERROR(IF(Agent07_Savings!A81="","",YEAR(Agent07_Savings!D81)),"")</f>
        <v/>
      </c>
    </row>
    <row r="1277" spans="1:11" ht="18" customHeight="1" x14ac:dyDescent="0.25">
      <c r="A1277" s="37" t="str">
        <f>IF(Agent07_Savings!A82="","",Agent07_Savings!A82)</f>
        <v/>
      </c>
      <c r="B1277" s="37" t="str">
        <f ca="1">IF(Agent07_Savings!A82="","","SV"&amp;TEXT(1277-3,"0000")&amp;"-"&amp;TEXT(TODAY(),"YYYYMMDD"))</f>
        <v/>
      </c>
      <c r="C1277" s="37" t="str">
        <f>IF(Agent07_Savings!A82="","",Agent07_Savings!B82)</f>
        <v/>
      </c>
      <c r="D1277" s="37" t="str">
        <f>IF(Agent07_Savings!A82="","",Agent07_Savings!G82)</f>
        <v/>
      </c>
      <c r="E1277" s="38" t="str">
        <f>IF(Agent07_Savings!A82="","",Agent07_Savings!D82)</f>
        <v/>
      </c>
      <c r="F1277" s="39" t="str">
        <f>IF(Agent07_Savings!A82="","",Agent07_Savings!E82)</f>
        <v/>
      </c>
      <c r="G1277" s="39" t="str">
        <f>IF(Agent07_Savings!A82="","",Agent07_Savings!F82)</f>
        <v/>
      </c>
      <c r="H1277" s="37" t="str">
        <f>IF(Agent07_Savings!A82="","",Agent07_Savings!I82)</f>
        <v/>
      </c>
      <c r="I1277" s="37" t="str">
        <f>IF(Agent07_Savings!A82="","",Agent07_Savings!J82)</f>
        <v/>
      </c>
      <c r="J1277" s="37" t="str">
        <f>IF(Agent07_Savings!A82="","",Agent07_Savings!K82)</f>
        <v/>
      </c>
      <c r="K1277" s="37" t="str">
        <f>IFERROR(IF(Agent07_Savings!A82="","",YEAR(Agent07_Savings!D82)),"")</f>
        <v/>
      </c>
    </row>
    <row r="1278" spans="1:11" ht="18" customHeight="1" x14ac:dyDescent="0.25">
      <c r="A1278" s="37" t="str">
        <f>IF(Agent07_Savings!A83="","",Agent07_Savings!A83)</f>
        <v/>
      </c>
      <c r="B1278" s="37" t="str">
        <f ca="1">IF(Agent07_Savings!A83="","","SV"&amp;TEXT(1278-3,"0000")&amp;"-"&amp;TEXT(TODAY(),"YYYYMMDD"))</f>
        <v/>
      </c>
      <c r="C1278" s="37" t="str">
        <f>IF(Agent07_Savings!A83="","",Agent07_Savings!B83)</f>
        <v/>
      </c>
      <c r="D1278" s="37" t="str">
        <f>IF(Agent07_Savings!A83="","",Agent07_Savings!G83)</f>
        <v/>
      </c>
      <c r="E1278" s="38" t="str">
        <f>IF(Agent07_Savings!A83="","",Agent07_Savings!D83)</f>
        <v/>
      </c>
      <c r="F1278" s="39" t="str">
        <f>IF(Agent07_Savings!A83="","",Agent07_Savings!E83)</f>
        <v/>
      </c>
      <c r="G1278" s="39" t="str">
        <f>IF(Agent07_Savings!A83="","",Agent07_Savings!F83)</f>
        <v/>
      </c>
      <c r="H1278" s="37" t="str">
        <f>IF(Agent07_Savings!A83="","",Agent07_Savings!I83)</f>
        <v/>
      </c>
      <c r="I1278" s="37" t="str">
        <f>IF(Agent07_Savings!A83="","",Agent07_Savings!J83)</f>
        <v/>
      </c>
      <c r="J1278" s="37" t="str">
        <f>IF(Agent07_Savings!A83="","",Agent07_Savings!K83)</f>
        <v/>
      </c>
      <c r="K1278" s="37" t="str">
        <f>IFERROR(IF(Agent07_Savings!A83="","",YEAR(Agent07_Savings!D83)),"")</f>
        <v/>
      </c>
    </row>
    <row r="1279" spans="1:11" ht="18" customHeight="1" x14ac:dyDescent="0.25">
      <c r="A1279" s="37" t="str">
        <f>IF(Agent07_Savings!A84="","",Agent07_Savings!A84)</f>
        <v/>
      </c>
      <c r="B1279" s="37" t="str">
        <f ca="1">IF(Agent07_Savings!A84="","","SV"&amp;TEXT(1279-3,"0000")&amp;"-"&amp;TEXT(TODAY(),"YYYYMMDD"))</f>
        <v/>
      </c>
      <c r="C1279" s="37" t="str">
        <f>IF(Agent07_Savings!A84="","",Agent07_Savings!B84)</f>
        <v/>
      </c>
      <c r="D1279" s="37" t="str">
        <f>IF(Agent07_Savings!A84="","",Agent07_Savings!G84)</f>
        <v/>
      </c>
      <c r="E1279" s="38" t="str">
        <f>IF(Agent07_Savings!A84="","",Agent07_Savings!D84)</f>
        <v/>
      </c>
      <c r="F1279" s="39" t="str">
        <f>IF(Agent07_Savings!A84="","",Agent07_Savings!E84)</f>
        <v/>
      </c>
      <c r="G1279" s="39" t="str">
        <f>IF(Agent07_Savings!A84="","",Agent07_Savings!F84)</f>
        <v/>
      </c>
      <c r="H1279" s="37" t="str">
        <f>IF(Agent07_Savings!A84="","",Agent07_Savings!I84)</f>
        <v/>
      </c>
      <c r="I1279" s="37" t="str">
        <f>IF(Agent07_Savings!A84="","",Agent07_Savings!J84)</f>
        <v/>
      </c>
      <c r="J1279" s="37" t="str">
        <f>IF(Agent07_Savings!A84="","",Agent07_Savings!K84)</f>
        <v/>
      </c>
      <c r="K1279" s="37" t="str">
        <f>IFERROR(IF(Agent07_Savings!A84="","",YEAR(Agent07_Savings!D84)),"")</f>
        <v/>
      </c>
    </row>
    <row r="1280" spans="1:11" ht="18" customHeight="1" x14ac:dyDescent="0.25">
      <c r="A1280" s="37" t="str">
        <f>IF(Agent07_Savings!A85="","",Agent07_Savings!A85)</f>
        <v/>
      </c>
      <c r="B1280" s="37" t="str">
        <f ca="1">IF(Agent07_Savings!A85="","","SV"&amp;TEXT(1280-3,"0000")&amp;"-"&amp;TEXT(TODAY(),"YYYYMMDD"))</f>
        <v/>
      </c>
      <c r="C1280" s="37" t="str">
        <f>IF(Agent07_Savings!A85="","",Agent07_Savings!B85)</f>
        <v/>
      </c>
      <c r="D1280" s="37" t="str">
        <f>IF(Agent07_Savings!A85="","",Agent07_Savings!G85)</f>
        <v/>
      </c>
      <c r="E1280" s="38" t="str">
        <f>IF(Agent07_Savings!A85="","",Agent07_Savings!D85)</f>
        <v/>
      </c>
      <c r="F1280" s="39" t="str">
        <f>IF(Agent07_Savings!A85="","",Agent07_Savings!E85)</f>
        <v/>
      </c>
      <c r="G1280" s="39" t="str">
        <f>IF(Agent07_Savings!A85="","",Agent07_Savings!F85)</f>
        <v/>
      </c>
      <c r="H1280" s="37" t="str">
        <f>IF(Agent07_Savings!A85="","",Agent07_Savings!I85)</f>
        <v/>
      </c>
      <c r="I1280" s="37" t="str">
        <f>IF(Agent07_Savings!A85="","",Agent07_Savings!J85)</f>
        <v/>
      </c>
      <c r="J1280" s="37" t="str">
        <f>IF(Agent07_Savings!A85="","",Agent07_Savings!K85)</f>
        <v/>
      </c>
      <c r="K1280" s="37" t="str">
        <f>IFERROR(IF(Agent07_Savings!A85="","",YEAR(Agent07_Savings!D85)),"")</f>
        <v/>
      </c>
    </row>
    <row r="1281" spans="1:11" ht="18" customHeight="1" x14ac:dyDescent="0.25">
      <c r="A1281" s="37" t="str">
        <f>IF(Agent07_Savings!A86="","",Agent07_Savings!A86)</f>
        <v/>
      </c>
      <c r="B1281" s="37" t="str">
        <f ca="1">IF(Agent07_Savings!A86="","","SV"&amp;TEXT(1281-3,"0000")&amp;"-"&amp;TEXT(TODAY(),"YYYYMMDD"))</f>
        <v/>
      </c>
      <c r="C1281" s="37" t="str">
        <f>IF(Agent07_Savings!A86="","",Agent07_Savings!B86)</f>
        <v/>
      </c>
      <c r="D1281" s="37" t="str">
        <f>IF(Agent07_Savings!A86="","",Agent07_Savings!G86)</f>
        <v/>
      </c>
      <c r="E1281" s="38" t="str">
        <f>IF(Agent07_Savings!A86="","",Agent07_Savings!D86)</f>
        <v/>
      </c>
      <c r="F1281" s="39" t="str">
        <f>IF(Agent07_Savings!A86="","",Agent07_Savings!E86)</f>
        <v/>
      </c>
      <c r="G1281" s="39" t="str">
        <f>IF(Agent07_Savings!A86="","",Agent07_Savings!F86)</f>
        <v/>
      </c>
      <c r="H1281" s="37" t="str">
        <f>IF(Agent07_Savings!A86="","",Agent07_Savings!I86)</f>
        <v/>
      </c>
      <c r="I1281" s="37" t="str">
        <f>IF(Agent07_Savings!A86="","",Agent07_Savings!J86)</f>
        <v/>
      </c>
      <c r="J1281" s="37" t="str">
        <f>IF(Agent07_Savings!A86="","",Agent07_Savings!K86)</f>
        <v/>
      </c>
      <c r="K1281" s="37" t="str">
        <f>IFERROR(IF(Agent07_Savings!A86="","",YEAR(Agent07_Savings!D86)),"")</f>
        <v/>
      </c>
    </row>
    <row r="1282" spans="1:11" ht="18" customHeight="1" x14ac:dyDescent="0.25">
      <c r="A1282" s="37" t="str">
        <f>IF(Agent07_Savings!A87="","",Agent07_Savings!A87)</f>
        <v/>
      </c>
      <c r="B1282" s="37" t="str">
        <f ca="1">IF(Agent07_Savings!A87="","","SV"&amp;TEXT(1282-3,"0000")&amp;"-"&amp;TEXT(TODAY(),"YYYYMMDD"))</f>
        <v/>
      </c>
      <c r="C1282" s="37" t="str">
        <f>IF(Agent07_Savings!A87="","",Agent07_Savings!B87)</f>
        <v/>
      </c>
      <c r="D1282" s="37" t="str">
        <f>IF(Agent07_Savings!A87="","",Agent07_Savings!G87)</f>
        <v/>
      </c>
      <c r="E1282" s="38" t="str">
        <f>IF(Agent07_Savings!A87="","",Agent07_Savings!D87)</f>
        <v/>
      </c>
      <c r="F1282" s="39" t="str">
        <f>IF(Agent07_Savings!A87="","",Agent07_Savings!E87)</f>
        <v/>
      </c>
      <c r="G1282" s="39" t="str">
        <f>IF(Agent07_Savings!A87="","",Agent07_Savings!F87)</f>
        <v/>
      </c>
      <c r="H1282" s="37" t="str">
        <f>IF(Agent07_Savings!A87="","",Agent07_Savings!I87)</f>
        <v/>
      </c>
      <c r="I1282" s="37" t="str">
        <f>IF(Agent07_Savings!A87="","",Agent07_Savings!J87)</f>
        <v/>
      </c>
      <c r="J1282" s="37" t="str">
        <f>IF(Agent07_Savings!A87="","",Agent07_Savings!K87)</f>
        <v/>
      </c>
      <c r="K1282" s="37" t="str">
        <f>IFERROR(IF(Agent07_Savings!A87="","",YEAR(Agent07_Savings!D87)),"")</f>
        <v/>
      </c>
    </row>
    <row r="1283" spans="1:11" ht="18" customHeight="1" x14ac:dyDescent="0.25">
      <c r="A1283" s="37" t="str">
        <f>IF(Agent07_Savings!A88="","",Agent07_Savings!A88)</f>
        <v/>
      </c>
      <c r="B1283" s="37" t="str">
        <f ca="1">IF(Agent07_Savings!A88="","","SV"&amp;TEXT(1283-3,"0000")&amp;"-"&amp;TEXT(TODAY(),"YYYYMMDD"))</f>
        <v/>
      </c>
      <c r="C1283" s="37" t="str">
        <f>IF(Agent07_Savings!A88="","",Agent07_Savings!B88)</f>
        <v/>
      </c>
      <c r="D1283" s="37" t="str">
        <f>IF(Agent07_Savings!A88="","",Agent07_Savings!G88)</f>
        <v/>
      </c>
      <c r="E1283" s="38" t="str">
        <f>IF(Agent07_Savings!A88="","",Agent07_Savings!D88)</f>
        <v/>
      </c>
      <c r="F1283" s="39" t="str">
        <f>IF(Agent07_Savings!A88="","",Agent07_Savings!E88)</f>
        <v/>
      </c>
      <c r="G1283" s="39" t="str">
        <f>IF(Agent07_Savings!A88="","",Agent07_Savings!F88)</f>
        <v/>
      </c>
      <c r="H1283" s="37" t="str">
        <f>IF(Agent07_Savings!A88="","",Agent07_Savings!I88)</f>
        <v/>
      </c>
      <c r="I1283" s="37" t="str">
        <f>IF(Agent07_Savings!A88="","",Agent07_Savings!J88)</f>
        <v/>
      </c>
      <c r="J1283" s="37" t="str">
        <f>IF(Agent07_Savings!A88="","",Agent07_Savings!K88)</f>
        <v/>
      </c>
      <c r="K1283" s="37" t="str">
        <f>IFERROR(IF(Agent07_Savings!A88="","",YEAR(Agent07_Savings!D88)),"")</f>
        <v/>
      </c>
    </row>
    <row r="1284" spans="1:11" ht="18" customHeight="1" x14ac:dyDescent="0.25">
      <c r="A1284" s="37" t="str">
        <f>IF(Agent07_Savings!A89="","",Agent07_Savings!A89)</f>
        <v/>
      </c>
      <c r="B1284" s="37" t="str">
        <f ca="1">IF(Agent07_Savings!A89="","","SV"&amp;TEXT(1284-3,"0000")&amp;"-"&amp;TEXT(TODAY(),"YYYYMMDD"))</f>
        <v/>
      </c>
      <c r="C1284" s="37" t="str">
        <f>IF(Agent07_Savings!A89="","",Agent07_Savings!B89)</f>
        <v/>
      </c>
      <c r="D1284" s="37" t="str">
        <f>IF(Agent07_Savings!A89="","",Agent07_Savings!G89)</f>
        <v/>
      </c>
      <c r="E1284" s="38" t="str">
        <f>IF(Agent07_Savings!A89="","",Agent07_Savings!D89)</f>
        <v/>
      </c>
      <c r="F1284" s="39" t="str">
        <f>IF(Agent07_Savings!A89="","",Agent07_Savings!E89)</f>
        <v/>
      </c>
      <c r="G1284" s="39" t="str">
        <f>IF(Agent07_Savings!A89="","",Agent07_Savings!F89)</f>
        <v/>
      </c>
      <c r="H1284" s="37" t="str">
        <f>IF(Agent07_Savings!A89="","",Agent07_Savings!I89)</f>
        <v/>
      </c>
      <c r="I1284" s="37" t="str">
        <f>IF(Agent07_Savings!A89="","",Agent07_Savings!J89)</f>
        <v/>
      </c>
      <c r="J1284" s="37" t="str">
        <f>IF(Agent07_Savings!A89="","",Agent07_Savings!K89)</f>
        <v/>
      </c>
      <c r="K1284" s="37" t="str">
        <f>IFERROR(IF(Agent07_Savings!A89="","",YEAR(Agent07_Savings!D89)),"")</f>
        <v/>
      </c>
    </row>
    <row r="1285" spans="1:11" ht="18" customHeight="1" x14ac:dyDescent="0.25">
      <c r="A1285" s="37" t="str">
        <f>IF(Agent07_Savings!A90="","",Agent07_Savings!A90)</f>
        <v/>
      </c>
      <c r="B1285" s="37" t="str">
        <f ca="1">IF(Agent07_Savings!A90="","","SV"&amp;TEXT(1285-3,"0000")&amp;"-"&amp;TEXT(TODAY(),"YYYYMMDD"))</f>
        <v/>
      </c>
      <c r="C1285" s="37" t="str">
        <f>IF(Agent07_Savings!A90="","",Agent07_Savings!B90)</f>
        <v/>
      </c>
      <c r="D1285" s="37" t="str">
        <f>IF(Agent07_Savings!A90="","",Agent07_Savings!G90)</f>
        <v/>
      </c>
      <c r="E1285" s="38" t="str">
        <f>IF(Agent07_Savings!A90="","",Agent07_Savings!D90)</f>
        <v/>
      </c>
      <c r="F1285" s="39" t="str">
        <f>IF(Agent07_Savings!A90="","",Agent07_Savings!E90)</f>
        <v/>
      </c>
      <c r="G1285" s="39" t="str">
        <f>IF(Agent07_Savings!A90="","",Agent07_Savings!F90)</f>
        <v/>
      </c>
      <c r="H1285" s="37" t="str">
        <f>IF(Agent07_Savings!A90="","",Agent07_Savings!I90)</f>
        <v/>
      </c>
      <c r="I1285" s="37" t="str">
        <f>IF(Agent07_Savings!A90="","",Agent07_Savings!J90)</f>
        <v/>
      </c>
      <c r="J1285" s="37" t="str">
        <f>IF(Agent07_Savings!A90="","",Agent07_Savings!K90)</f>
        <v/>
      </c>
      <c r="K1285" s="37" t="str">
        <f>IFERROR(IF(Agent07_Savings!A90="","",YEAR(Agent07_Savings!D90)),"")</f>
        <v/>
      </c>
    </row>
    <row r="1286" spans="1:11" ht="18" customHeight="1" x14ac:dyDescent="0.25">
      <c r="A1286" s="37" t="str">
        <f>IF(Agent07_Savings!A91="","",Agent07_Savings!A91)</f>
        <v/>
      </c>
      <c r="B1286" s="37" t="str">
        <f ca="1">IF(Agent07_Savings!A91="","","SV"&amp;TEXT(1286-3,"0000")&amp;"-"&amp;TEXT(TODAY(),"YYYYMMDD"))</f>
        <v/>
      </c>
      <c r="C1286" s="37" t="str">
        <f>IF(Agent07_Savings!A91="","",Agent07_Savings!B91)</f>
        <v/>
      </c>
      <c r="D1286" s="37" t="str">
        <f>IF(Agent07_Savings!A91="","",Agent07_Savings!G91)</f>
        <v/>
      </c>
      <c r="E1286" s="38" t="str">
        <f>IF(Agent07_Savings!A91="","",Agent07_Savings!D91)</f>
        <v/>
      </c>
      <c r="F1286" s="39" t="str">
        <f>IF(Agent07_Savings!A91="","",Agent07_Savings!E91)</f>
        <v/>
      </c>
      <c r="G1286" s="39" t="str">
        <f>IF(Agent07_Savings!A91="","",Agent07_Savings!F91)</f>
        <v/>
      </c>
      <c r="H1286" s="37" t="str">
        <f>IF(Agent07_Savings!A91="","",Agent07_Savings!I91)</f>
        <v/>
      </c>
      <c r="I1286" s="37" t="str">
        <f>IF(Agent07_Savings!A91="","",Agent07_Savings!J91)</f>
        <v/>
      </c>
      <c r="J1286" s="37" t="str">
        <f>IF(Agent07_Savings!A91="","",Agent07_Savings!K91)</f>
        <v/>
      </c>
      <c r="K1286" s="37" t="str">
        <f>IFERROR(IF(Agent07_Savings!A91="","",YEAR(Agent07_Savings!D91)),"")</f>
        <v/>
      </c>
    </row>
    <row r="1287" spans="1:11" ht="18" customHeight="1" x14ac:dyDescent="0.25">
      <c r="A1287" s="37" t="str">
        <f>IF(Agent07_Savings!A92="","",Agent07_Savings!A92)</f>
        <v/>
      </c>
      <c r="B1287" s="37" t="str">
        <f ca="1">IF(Agent07_Savings!A92="","","SV"&amp;TEXT(1287-3,"0000")&amp;"-"&amp;TEXT(TODAY(),"YYYYMMDD"))</f>
        <v/>
      </c>
      <c r="C1287" s="37" t="str">
        <f>IF(Agent07_Savings!A92="","",Agent07_Savings!B92)</f>
        <v/>
      </c>
      <c r="D1287" s="37" t="str">
        <f>IF(Agent07_Savings!A92="","",Agent07_Savings!G92)</f>
        <v/>
      </c>
      <c r="E1287" s="38" t="str">
        <f>IF(Agent07_Savings!A92="","",Agent07_Savings!D92)</f>
        <v/>
      </c>
      <c r="F1287" s="39" t="str">
        <f>IF(Agent07_Savings!A92="","",Agent07_Savings!E92)</f>
        <v/>
      </c>
      <c r="G1287" s="39" t="str">
        <f>IF(Agent07_Savings!A92="","",Agent07_Savings!F92)</f>
        <v/>
      </c>
      <c r="H1287" s="37" t="str">
        <f>IF(Agent07_Savings!A92="","",Agent07_Savings!I92)</f>
        <v/>
      </c>
      <c r="I1287" s="37" t="str">
        <f>IF(Agent07_Savings!A92="","",Agent07_Savings!J92)</f>
        <v/>
      </c>
      <c r="J1287" s="37" t="str">
        <f>IF(Agent07_Savings!A92="","",Agent07_Savings!K92)</f>
        <v/>
      </c>
      <c r="K1287" s="37" t="str">
        <f>IFERROR(IF(Agent07_Savings!A92="","",YEAR(Agent07_Savings!D92)),"")</f>
        <v/>
      </c>
    </row>
    <row r="1288" spans="1:11" ht="18" customHeight="1" x14ac:dyDescent="0.25">
      <c r="A1288" s="37" t="str">
        <f>IF(Agent07_Savings!A93="","",Agent07_Savings!A93)</f>
        <v/>
      </c>
      <c r="B1288" s="37" t="str">
        <f ca="1">IF(Agent07_Savings!A93="","","SV"&amp;TEXT(1288-3,"0000")&amp;"-"&amp;TEXT(TODAY(),"YYYYMMDD"))</f>
        <v/>
      </c>
      <c r="C1288" s="37" t="str">
        <f>IF(Agent07_Savings!A93="","",Agent07_Savings!B93)</f>
        <v/>
      </c>
      <c r="D1288" s="37" t="str">
        <f>IF(Agent07_Savings!A93="","",Agent07_Savings!G93)</f>
        <v/>
      </c>
      <c r="E1288" s="38" t="str">
        <f>IF(Agent07_Savings!A93="","",Agent07_Savings!D93)</f>
        <v/>
      </c>
      <c r="F1288" s="39" t="str">
        <f>IF(Agent07_Savings!A93="","",Agent07_Savings!E93)</f>
        <v/>
      </c>
      <c r="G1288" s="39" t="str">
        <f>IF(Agent07_Savings!A93="","",Agent07_Savings!F93)</f>
        <v/>
      </c>
      <c r="H1288" s="37" t="str">
        <f>IF(Agent07_Savings!A93="","",Agent07_Savings!I93)</f>
        <v/>
      </c>
      <c r="I1288" s="37" t="str">
        <f>IF(Agent07_Savings!A93="","",Agent07_Savings!J93)</f>
        <v/>
      </c>
      <c r="J1288" s="37" t="str">
        <f>IF(Agent07_Savings!A93="","",Agent07_Savings!K93)</f>
        <v/>
      </c>
      <c r="K1288" s="37" t="str">
        <f>IFERROR(IF(Agent07_Savings!A93="","",YEAR(Agent07_Savings!D93)),"")</f>
        <v/>
      </c>
    </row>
    <row r="1289" spans="1:11" ht="18" customHeight="1" x14ac:dyDescent="0.25">
      <c r="A1289" s="37" t="str">
        <f>IF(Agent07_Savings!A94="","",Agent07_Savings!A94)</f>
        <v/>
      </c>
      <c r="B1289" s="37" t="str">
        <f ca="1">IF(Agent07_Savings!A94="","","SV"&amp;TEXT(1289-3,"0000")&amp;"-"&amp;TEXT(TODAY(),"YYYYMMDD"))</f>
        <v/>
      </c>
      <c r="C1289" s="37" t="str">
        <f>IF(Agent07_Savings!A94="","",Agent07_Savings!B94)</f>
        <v/>
      </c>
      <c r="D1289" s="37" t="str">
        <f>IF(Agent07_Savings!A94="","",Agent07_Savings!G94)</f>
        <v/>
      </c>
      <c r="E1289" s="38" t="str">
        <f>IF(Agent07_Savings!A94="","",Agent07_Savings!D94)</f>
        <v/>
      </c>
      <c r="F1289" s="39" t="str">
        <f>IF(Agent07_Savings!A94="","",Agent07_Savings!E94)</f>
        <v/>
      </c>
      <c r="G1289" s="39" t="str">
        <f>IF(Agent07_Savings!A94="","",Agent07_Savings!F94)</f>
        <v/>
      </c>
      <c r="H1289" s="37" t="str">
        <f>IF(Agent07_Savings!A94="","",Agent07_Savings!I94)</f>
        <v/>
      </c>
      <c r="I1289" s="37" t="str">
        <f>IF(Agent07_Savings!A94="","",Agent07_Savings!J94)</f>
        <v/>
      </c>
      <c r="J1289" s="37" t="str">
        <f>IF(Agent07_Savings!A94="","",Agent07_Savings!K94)</f>
        <v/>
      </c>
      <c r="K1289" s="37" t="str">
        <f>IFERROR(IF(Agent07_Savings!A94="","",YEAR(Agent07_Savings!D94)),"")</f>
        <v/>
      </c>
    </row>
    <row r="1290" spans="1:11" ht="18" customHeight="1" x14ac:dyDescent="0.25">
      <c r="A1290" s="37" t="str">
        <f>IF(Agent07_Savings!A95="","",Agent07_Savings!A95)</f>
        <v/>
      </c>
      <c r="B1290" s="37" t="str">
        <f ca="1">IF(Agent07_Savings!A95="","","SV"&amp;TEXT(1290-3,"0000")&amp;"-"&amp;TEXT(TODAY(),"YYYYMMDD"))</f>
        <v/>
      </c>
      <c r="C1290" s="37" t="str">
        <f>IF(Agent07_Savings!A95="","",Agent07_Savings!B95)</f>
        <v/>
      </c>
      <c r="D1290" s="37" t="str">
        <f>IF(Agent07_Savings!A95="","",Agent07_Savings!G95)</f>
        <v/>
      </c>
      <c r="E1290" s="38" t="str">
        <f>IF(Agent07_Savings!A95="","",Agent07_Savings!D95)</f>
        <v/>
      </c>
      <c r="F1290" s="39" t="str">
        <f>IF(Agent07_Savings!A95="","",Agent07_Savings!E95)</f>
        <v/>
      </c>
      <c r="G1290" s="39" t="str">
        <f>IF(Agent07_Savings!A95="","",Agent07_Savings!F95)</f>
        <v/>
      </c>
      <c r="H1290" s="37" t="str">
        <f>IF(Agent07_Savings!A95="","",Agent07_Savings!I95)</f>
        <v/>
      </c>
      <c r="I1290" s="37" t="str">
        <f>IF(Agent07_Savings!A95="","",Agent07_Savings!J95)</f>
        <v/>
      </c>
      <c r="J1290" s="37" t="str">
        <f>IF(Agent07_Savings!A95="","",Agent07_Savings!K95)</f>
        <v/>
      </c>
      <c r="K1290" s="37" t="str">
        <f>IFERROR(IF(Agent07_Savings!A95="","",YEAR(Agent07_Savings!D95)),"")</f>
        <v/>
      </c>
    </row>
    <row r="1291" spans="1:11" ht="18" customHeight="1" x14ac:dyDescent="0.25">
      <c r="A1291" s="37" t="str">
        <f>IF(Agent07_Savings!A96="","",Agent07_Savings!A96)</f>
        <v/>
      </c>
      <c r="B1291" s="37" t="str">
        <f ca="1">IF(Agent07_Savings!A96="","","SV"&amp;TEXT(1291-3,"0000")&amp;"-"&amp;TEXT(TODAY(),"YYYYMMDD"))</f>
        <v/>
      </c>
      <c r="C1291" s="37" t="str">
        <f>IF(Agent07_Savings!A96="","",Agent07_Savings!B96)</f>
        <v/>
      </c>
      <c r="D1291" s="37" t="str">
        <f>IF(Agent07_Savings!A96="","",Agent07_Savings!G96)</f>
        <v/>
      </c>
      <c r="E1291" s="38" t="str">
        <f>IF(Agent07_Savings!A96="","",Agent07_Savings!D96)</f>
        <v/>
      </c>
      <c r="F1291" s="39" t="str">
        <f>IF(Agent07_Savings!A96="","",Agent07_Savings!E96)</f>
        <v/>
      </c>
      <c r="G1291" s="39" t="str">
        <f>IF(Agent07_Savings!A96="","",Agent07_Savings!F96)</f>
        <v/>
      </c>
      <c r="H1291" s="37" t="str">
        <f>IF(Agent07_Savings!A96="","",Agent07_Savings!I96)</f>
        <v/>
      </c>
      <c r="I1291" s="37" t="str">
        <f>IF(Agent07_Savings!A96="","",Agent07_Savings!J96)</f>
        <v/>
      </c>
      <c r="J1291" s="37" t="str">
        <f>IF(Agent07_Savings!A96="","",Agent07_Savings!K96)</f>
        <v/>
      </c>
      <c r="K1291" s="37" t="str">
        <f>IFERROR(IF(Agent07_Savings!A96="","",YEAR(Agent07_Savings!D96)),"")</f>
        <v/>
      </c>
    </row>
    <row r="1292" spans="1:11" ht="18" customHeight="1" x14ac:dyDescent="0.25">
      <c r="A1292" s="37" t="str">
        <f>IF(Agent07_Savings!A97="","",Agent07_Savings!A97)</f>
        <v/>
      </c>
      <c r="B1292" s="37" t="str">
        <f ca="1">IF(Agent07_Savings!A97="","","SV"&amp;TEXT(1292-3,"0000")&amp;"-"&amp;TEXT(TODAY(),"YYYYMMDD"))</f>
        <v/>
      </c>
      <c r="C1292" s="37" t="str">
        <f>IF(Agent07_Savings!A97="","",Agent07_Savings!B97)</f>
        <v/>
      </c>
      <c r="D1292" s="37" t="str">
        <f>IF(Agent07_Savings!A97="","",Agent07_Savings!G97)</f>
        <v/>
      </c>
      <c r="E1292" s="38" t="str">
        <f>IF(Agent07_Savings!A97="","",Agent07_Savings!D97)</f>
        <v/>
      </c>
      <c r="F1292" s="39" t="str">
        <f>IF(Agent07_Savings!A97="","",Agent07_Savings!E97)</f>
        <v/>
      </c>
      <c r="G1292" s="39" t="str">
        <f>IF(Agent07_Savings!A97="","",Agent07_Savings!F97)</f>
        <v/>
      </c>
      <c r="H1292" s="37" t="str">
        <f>IF(Agent07_Savings!A97="","",Agent07_Savings!I97)</f>
        <v/>
      </c>
      <c r="I1292" s="37" t="str">
        <f>IF(Agent07_Savings!A97="","",Agent07_Savings!J97)</f>
        <v/>
      </c>
      <c r="J1292" s="37" t="str">
        <f>IF(Agent07_Savings!A97="","",Agent07_Savings!K97)</f>
        <v/>
      </c>
      <c r="K1292" s="37" t="str">
        <f>IFERROR(IF(Agent07_Savings!A97="","",YEAR(Agent07_Savings!D97)),"")</f>
        <v/>
      </c>
    </row>
    <row r="1293" spans="1:11" ht="18" customHeight="1" x14ac:dyDescent="0.25">
      <c r="A1293" s="37" t="str">
        <f>IF(Agent07_Savings!A98="","",Agent07_Savings!A98)</f>
        <v/>
      </c>
      <c r="B1293" s="37" t="str">
        <f ca="1">IF(Agent07_Savings!A98="","","SV"&amp;TEXT(1293-3,"0000")&amp;"-"&amp;TEXT(TODAY(),"YYYYMMDD"))</f>
        <v/>
      </c>
      <c r="C1293" s="37" t="str">
        <f>IF(Agent07_Savings!A98="","",Agent07_Savings!B98)</f>
        <v/>
      </c>
      <c r="D1293" s="37" t="str">
        <f>IF(Agent07_Savings!A98="","",Agent07_Savings!G98)</f>
        <v/>
      </c>
      <c r="E1293" s="38" t="str">
        <f>IF(Agent07_Savings!A98="","",Agent07_Savings!D98)</f>
        <v/>
      </c>
      <c r="F1293" s="39" t="str">
        <f>IF(Agent07_Savings!A98="","",Agent07_Savings!E98)</f>
        <v/>
      </c>
      <c r="G1293" s="39" t="str">
        <f>IF(Agent07_Savings!A98="","",Agent07_Savings!F98)</f>
        <v/>
      </c>
      <c r="H1293" s="37" t="str">
        <f>IF(Agent07_Savings!A98="","",Agent07_Savings!I98)</f>
        <v/>
      </c>
      <c r="I1293" s="37" t="str">
        <f>IF(Agent07_Savings!A98="","",Agent07_Savings!J98)</f>
        <v/>
      </c>
      <c r="J1293" s="37" t="str">
        <f>IF(Agent07_Savings!A98="","",Agent07_Savings!K98)</f>
        <v/>
      </c>
      <c r="K1293" s="37" t="str">
        <f>IFERROR(IF(Agent07_Savings!A98="","",YEAR(Agent07_Savings!D98)),"")</f>
        <v/>
      </c>
    </row>
    <row r="1294" spans="1:11" ht="18" customHeight="1" x14ac:dyDescent="0.25">
      <c r="A1294" s="37" t="str">
        <f>IF(Agent07_Savings!A99="","",Agent07_Savings!A99)</f>
        <v/>
      </c>
      <c r="B1294" s="37" t="str">
        <f ca="1">IF(Agent07_Savings!A99="","","SV"&amp;TEXT(1294-3,"0000")&amp;"-"&amp;TEXT(TODAY(),"YYYYMMDD"))</f>
        <v/>
      </c>
      <c r="C1294" s="37" t="str">
        <f>IF(Agent07_Savings!A99="","",Agent07_Savings!B99)</f>
        <v/>
      </c>
      <c r="D1294" s="37" t="str">
        <f>IF(Agent07_Savings!A99="","",Agent07_Savings!G99)</f>
        <v/>
      </c>
      <c r="E1294" s="38" t="str">
        <f>IF(Agent07_Savings!A99="","",Agent07_Savings!D99)</f>
        <v/>
      </c>
      <c r="F1294" s="39" t="str">
        <f>IF(Agent07_Savings!A99="","",Agent07_Savings!E99)</f>
        <v/>
      </c>
      <c r="G1294" s="39" t="str">
        <f>IF(Agent07_Savings!A99="","",Agent07_Savings!F99)</f>
        <v/>
      </c>
      <c r="H1294" s="37" t="str">
        <f>IF(Agent07_Savings!A99="","",Agent07_Savings!I99)</f>
        <v/>
      </c>
      <c r="I1294" s="37" t="str">
        <f>IF(Agent07_Savings!A99="","",Agent07_Savings!J99)</f>
        <v/>
      </c>
      <c r="J1294" s="37" t="str">
        <f>IF(Agent07_Savings!A99="","",Agent07_Savings!K99)</f>
        <v/>
      </c>
      <c r="K1294" s="37" t="str">
        <f>IFERROR(IF(Agent07_Savings!A99="","",YEAR(Agent07_Savings!D99)),"")</f>
        <v/>
      </c>
    </row>
    <row r="1295" spans="1:11" ht="18" customHeight="1" x14ac:dyDescent="0.25">
      <c r="A1295" s="37" t="str">
        <f>IF(Agent07_Savings!A100="","",Agent07_Savings!A100)</f>
        <v/>
      </c>
      <c r="B1295" s="37" t="str">
        <f ca="1">IF(Agent07_Savings!A100="","","SV"&amp;TEXT(1295-3,"0000")&amp;"-"&amp;TEXT(TODAY(),"YYYYMMDD"))</f>
        <v/>
      </c>
      <c r="C1295" s="37" t="str">
        <f>IF(Agent07_Savings!A100="","",Agent07_Savings!B100)</f>
        <v/>
      </c>
      <c r="D1295" s="37" t="str">
        <f>IF(Agent07_Savings!A100="","",Agent07_Savings!G100)</f>
        <v/>
      </c>
      <c r="E1295" s="38" t="str">
        <f>IF(Agent07_Savings!A100="","",Agent07_Savings!D100)</f>
        <v/>
      </c>
      <c r="F1295" s="39" t="str">
        <f>IF(Agent07_Savings!A100="","",Agent07_Savings!E100)</f>
        <v/>
      </c>
      <c r="G1295" s="39" t="str">
        <f>IF(Agent07_Savings!A100="","",Agent07_Savings!F100)</f>
        <v/>
      </c>
      <c r="H1295" s="37" t="str">
        <f>IF(Agent07_Savings!A100="","",Agent07_Savings!I100)</f>
        <v/>
      </c>
      <c r="I1295" s="37" t="str">
        <f>IF(Agent07_Savings!A100="","",Agent07_Savings!J100)</f>
        <v/>
      </c>
      <c r="J1295" s="37" t="str">
        <f>IF(Agent07_Savings!A100="","",Agent07_Savings!K100)</f>
        <v/>
      </c>
      <c r="K1295" s="37" t="str">
        <f>IFERROR(IF(Agent07_Savings!A100="","",YEAR(Agent07_Savings!D100)),"")</f>
        <v/>
      </c>
    </row>
    <row r="1296" spans="1:11" ht="18" customHeight="1" x14ac:dyDescent="0.25">
      <c r="A1296" s="37" t="str">
        <f>IF(Agent07_Savings!A101="","",Agent07_Savings!A101)</f>
        <v/>
      </c>
      <c r="B1296" s="37" t="str">
        <f ca="1">IF(Agent07_Savings!A101="","","SV"&amp;TEXT(1296-3,"0000")&amp;"-"&amp;TEXT(TODAY(),"YYYYMMDD"))</f>
        <v/>
      </c>
      <c r="C1296" s="37" t="str">
        <f>IF(Agent07_Savings!A101="","",Agent07_Savings!B101)</f>
        <v/>
      </c>
      <c r="D1296" s="37" t="str">
        <f>IF(Agent07_Savings!A101="","",Agent07_Savings!G101)</f>
        <v/>
      </c>
      <c r="E1296" s="38" t="str">
        <f>IF(Agent07_Savings!A101="","",Agent07_Savings!D101)</f>
        <v/>
      </c>
      <c r="F1296" s="39" t="str">
        <f>IF(Agent07_Savings!A101="","",Agent07_Savings!E101)</f>
        <v/>
      </c>
      <c r="G1296" s="39" t="str">
        <f>IF(Agent07_Savings!A101="","",Agent07_Savings!F101)</f>
        <v/>
      </c>
      <c r="H1296" s="37" t="str">
        <f>IF(Agent07_Savings!A101="","",Agent07_Savings!I101)</f>
        <v/>
      </c>
      <c r="I1296" s="37" t="str">
        <f>IF(Agent07_Savings!A101="","",Agent07_Savings!J101)</f>
        <v/>
      </c>
      <c r="J1296" s="37" t="str">
        <f>IF(Agent07_Savings!A101="","",Agent07_Savings!K101)</f>
        <v/>
      </c>
      <c r="K1296" s="37" t="str">
        <f>IFERROR(IF(Agent07_Savings!A101="","",YEAR(Agent07_Savings!D101)),"")</f>
        <v/>
      </c>
    </row>
    <row r="1297" spans="1:11" ht="18" customHeight="1" x14ac:dyDescent="0.25">
      <c r="A1297" s="37" t="str">
        <f>IF(Agent07_Savings!A102="","",Agent07_Savings!A102)</f>
        <v/>
      </c>
      <c r="B1297" s="37" t="str">
        <f ca="1">IF(Agent07_Savings!A102="","","SV"&amp;TEXT(1297-3,"0000")&amp;"-"&amp;TEXT(TODAY(),"YYYYMMDD"))</f>
        <v/>
      </c>
      <c r="C1297" s="37" t="str">
        <f>IF(Agent07_Savings!A102="","",Agent07_Savings!B102)</f>
        <v/>
      </c>
      <c r="D1297" s="37" t="str">
        <f>IF(Agent07_Savings!A102="","",Agent07_Savings!G102)</f>
        <v/>
      </c>
      <c r="E1297" s="38" t="str">
        <f>IF(Agent07_Savings!A102="","",Agent07_Savings!D102)</f>
        <v/>
      </c>
      <c r="F1297" s="39" t="str">
        <f>IF(Agent07_Savings!A102="","",Agent07_Savings!E102)</f>
        <v/>
      </c>
      <c r="G1297" s="39" t="str">
        <f>IF(Agent07_Savings!A102="","",Agent07_Savings!F102)</f>
        <v/>
      </c>
      <c r="H1297" s="37" t="str">
        <f>IF(Agent07_Savings!A102="","",Agent07_Savings!I102)</f>
        <v/>
      </c>
      <c r="I1297" s="37" t="str">
        <f>IF(Agent07_Savings!A102="","",Agent07_Savings!J102)</f>
        <v/>
      </c>
      <c r="J1297" s="37" t="str">
        <f>IF(Agent07_Savings!A102="","",Agent07_Savings!K102)</f>
        <v/>
      </c>
      <c r="K1297" s="37" t="str">
        <f>IFERROR(IF(Agent07_Savings!A102="","",YEAR(Agent07_Savings!D102)),"")</f>
        <v/>
      </c>
    </row>
    <row r="1298" spans="1:11" ht="18" customHeight="1" x14ac:dyDescent="0.25">
      <c r="A1298" s="37" t="str">
        <f>IF(Agent07_Savings!A103="","",Agent07_Savings!A103)</f>
        <v/>
      </c>
      <c r="B1298" s="37" t="str">
        <f ca="1">IF(Agent07_Savings!A103="","","SV"&amp;TEXT(1298-3,"0000")&amp;"-"&amp;TEXT(TODAY(),"YYYYMMDD"))</f>
        <v/>
      </c>
      <c r="C1298" s="37" t="str">
        <f>IF(Agent07_Savings!A103="","",Agent07_Savings!B103)</f>
        <v/>
      </c>
      <c r="D1298" s="37" t="str">
        <f>IF(Agent07_Savings!A103="","",Agent07_Savings!G103)</f>
        <v/>
      </c>
      <c r="E1298" s="38" t="str">
        <f>IF(Agent07_Savings!A103="","",Agent07_Savings!D103)</f>
        <v/>
      </c>
      <c r="F1298" s="39" t="str">
        <f>IF(Agent07_Savings!A103="","",Agent07_Savings!E103)</f>
        <v/>
      </c>
      <c r="G1298" s="39" t="str">
        <f>IF(Agent07_Savings!A103="","",Agent07_Savings!F103)</f>
        <v/>
      </c>
      <c r="H1298" s="37" t="str">
        <f>IF(Agent07_Savings!A103="","",Agent07_Savings!I103)</f>
        <v/>
      </c>
      <c r="I1298" s="37" t="str">
        <f>IF(Agent07_Savings!A103="","",Agent07_Savings!J103)</f>
        <v/>
      </c>
      <c r="J1298" s="37" t="str">
        <f>IF(Agent07_Savings!A103="","",Agent07_Savings!K103)</f>
        <v/>
      </c>
      <c r="K1298" s="37" t="str">
        <f>IFERROR(IF(Agent07_Savings!A103="","",YEAR(Agent07_Savings!D103)),"")</f>
        <v/>
      </c>
    </row>
    <row r="1299" spans="1:11" ht="18" customHeight="1" x14ac:dyDescent="0.25">
      <c r="A1299" s="37" t="str">
        <f>IF(Agent07_Savings!A104="","",Agent07_Savings!A104)</f>
        <v/>
      </c>
      <c r="B1299" s="37" t="str">
        <f ca="1">IF(Agent07_Savings!A104="","","SV"&amp;TEXT(1299-3,"0000")&amp;"-"&amp;TEXT(TODAY(),"YYYYMMDD"))</f>
        <v/>
      </c>
      <c r="C1299" s="37" t="str">
        <f>IF(Agent07_Savings!A104="","",Agent07_Savings!B104)</f>
        <v/>
      </c>
      <c r="D1299" s="37" t="str">
        <f>IF(Agent07_Savings!A104="","",Agent07_Savings!G104)</f>
        <v/>
      </c>
      <c r="E1299" s="38" t="str">
        <f>IF(Agent07_Savings!A104="","",Agent07_Savings!D104)</f>
        <v/>
      </c>
      <c r="F1299" s="39" t="str">
        <f>IF(Agent07_Savings!A104="","",Agent07_Savings!E104)</f>
        <v/>
      </c>
      <c r="G1299" s="39" t="str">
        <f>IF(Agent07_Savings!A104="","",Agent07_Savings!F104)</f>
        <v/>
      </c>
      <c r="H1299" s="37" t="str">
        <f>IF(Agent07_Savings!A104="","",Agent07_Savings!I104)</f>
        <v/>
      </c>
      <c r="I1299" s="37" t="str">
        <f>IF(Agent07_Savings!A104="","",Agent07_Savings!J104)</f>
        <v/>
      </c>
      <c r="J1299" s="37" t="str">
        <f>IF(Agent07_Savings!A104="","",Agent07_Savings!K104)</f>
        <v/>
      </c>
      <c r="K1299" s="37" t="str">
        <f>IFERROR(IF(Agent07_Savings!A104="","",YEAR(Agent07_Savings!D104)),"")</f>
        <v/>
      </c>
    </row>
    <row r="1300" spans="1:11" ht="18" customHeight="1" x14ac:dyDescent="0.25">
      <c r="A1300" s="37" t="str">
        <f>IF(Agent07_Savings!A105="","",Agent07_Savings!A105)</f>
        <v/>
      </c>
      <c r="B1300" s="37" t="str">
        <f ca="1">IF(Agent07_Savings!A105="","","SV"&amp;TEXT(1300-3,"0000")&amp;"-"&amp;TEXT(TODAY(),"YYYYMMDD"))</f>
        <v/>
      </c>
      <c r="C1300" s="37" t="str">
        <f>IF(Agent07_Savings!A105="","",Agent07_Savings!B105)</f>
        <v/>
      </c>
      <c r="D1300" s="37" t="str">
        <f>IF(Agent07_Savings!A105="","",Agent07_Savings!G105)</f>
        <v/>
      </c>
      <c r="E1300" s="38" t="str">
        <f>IF(Agent07_Savings!A105="","",Agent07_Savings!D105)</f>
        <v/>
      </c>
      <c r="F1300" s="39" t="str">
        <f>IF(Agent07_Savings!A105="","",Agent07_Savings!E105)</f>
        <v/>
      </c>
      <c r="G1300" s="39" t="str">
        <f>IF(Agent07_Savings!A105="","",Agent07_Savings!F105)</f>
        <v/>
      </c>
      <c r="H1300" s="37" t="str">
        <f>IF(Agent07_Savings!A105="","",Agent07_Savings!I105)</f>
        <v/>
      </c>
      <c r="I1300" s="37" t="str">
        <f>IF(Agent07_Savings!A105="","",Agent07_Savings!J105)</f>
        <v/>
      </c>
      <c r="J1300" s="37" t="str">
        <f>IF(Agent07_Savings!A105="","",Agent07_Savings!K105)</f>
        <v/>
      </c>
      <c r="K1300" s="37" t="str">
        <f>IFERROR(IF(Agent07_Savings!A105="","",YEAR(Agent07_Savings!D105)),"")</f>
        <v/>
      </c>
    </row>
    <row r="1301" spans="1:11" ht="18" customHeight="1" x14ac:dyDescent="0.25">
      <c r="A1301" s="37" t="str">
        <f>IF(Agent07_Savings!A106="","",Agent07_Savings!A106)</f>
        <v/>
      </c>
      <c r="B1301" s="37" t="str">
        <f ca="1">IF(Agent07_Savings!A106="","","SV"&amp;TEXT(1301-3,"0000")&amp;"-"&amp;TEXT(TODAY(),"YYYYMMDD"))</f>
        <v/>
      </c>
      <c r="C1301" s="37" t="str">
        <f>IF(Agent07_Savings!A106="","",Agent07_Savings!B106)</f>
        <v/>
      </c>
      <c r="D1301" s="37" t="str">
        <f>IF(Agent07_Savings!A106="","",Agent07_Savings!G106)</f>
        <v/>
      </c>
      <c r="E1301" s="38" t="str">
        <f>IF(Agent07_Savings!A106="","",Agent07_Savings!D106)</f>
        <v/>
      </c>
      <c r="F1301" s="39" t="str">
        <f>IF(Agent07_Savings!A106="","",Agent07_Savings!E106)</f>
        <v/>
      </c>
      <c r="G1301" s="39" t="str">
        <f>IF(Agent07_Savings!A106="","",Agent07_Savings!F106)</f>
        <v/>
      </c>
      <c r="H1301" s="37" t="str">
        <f>IF(Agent07_Savings!A106="","",Agent07_Savings!I106)</f>
        <v/>
      </c>
      <c r="I1301" s="37" t="str">
        <f>IF(Agent07_Savings!A106="","",Agent07_Savings!J106)</f>
        <v/>
      </c>
      <c r="J1301" s="37" t="str">
        <f>IF(Agent07_Savings!A106="","",Agent07_Savings!K106)</f>
        <v/>
      </c>
      <c r="K1301" s="37" t="str">
        <f>IFERROR(IF(Agent07_Savings!A106="","",YEAR(Agent07_Savings!D106)),"")</f>
        <v/>
      </c>
    </row>
    <row r="1302" spans="1:11" ht="18" customHeight="1" x14ac:dyDescent="0.25">
      <c r="A1302" s="37" t="str">
        <f>IF(Agent07_Savings!A107="","",Agent07_Savings!A107)</f>
        <v/>
      </c>
      <c r="B1302" s="37" t="str">
        <f ca="1">IF(Agent07_Savings!A107="","","SV"&amp;TEXT(1302-3,"0000")&amp;"-"&amp;TEXT(TODAY(),"YYYYMMDD"))</f>
        <v/>
      </c>
      <c r="C1302" s="37" t="str">
        <f>IF(Agent07_Savings!A107="","",Agent07_Savings!B107)</f>
        <v/>
      </c>
      <c r="D1302" s="37" t="str">
        <f>IF(Agent07_Savings!A107="","",Agent07_Savings!G107)</f>
        <v/>
      </c>
      <c r="E1302" s="38" t="str">
        <f>IF(Agent07_Savings!A107="","",Agent07_Savings!D107)</f>
        <v/>
      </c>
      <c r="F1302" s="39" t="str">
        <f>IF(Agent07_Savings!A107="","",Agent07_Savings!E107)</f>
        <v/>
      </c>
      <c r="G1302" s="39" t="str">
        <f>IF(Agent07_Savings!A107="","",Agent07_Savings!F107)</f>
        <v/>
      </c>
      <c r="H1302" s="37" t="str">
        <f>IF(Agent07_Savings!A107="","",Agent07_Savings!I107)</f>
        <v/>
      </c>
      <c r="I1302" s="37" t="str">
        <f>IF(Agent07_Savings!A107="","",Agent07_Savings!J107)</f>
        <v/>
      </c>
      <c r="J1302" s="37" t="str">
        <f>IF(Agent07_Savings!A107="","",Agent07_Savings!K107)</f>
        <v/>
      </c>
      <c r="K1302" s="37" t="str">
        <f>IFERROR(IF(Agent07_Savings!A107="","",YEAR(Agent07_Savings!D107)),"")</f>
        <v/>
      </c>
    </row>
    <row r="1303" spans="1:11" ht="18" customHeight="1" x14ac:dyDescent="0.25">
      <c r="A1303" s="37" t="str">
        <f>IF(Agent07_Savings!A108="","",Agent07_Savings!A108)</f>
        <v/>
      </c>
      <c r="B1303" s="37" t="str">
        <f ca="1">IF(Agent07_Savings!A108="","","SV"&amp;TEXT(1303-3,"0000")&amp;"-"&amp;TEXT(TODAY(),"YYYYMMDD"))</f>
        <v/>
      </c>
      <c r="C1303" s="37" t="str">
        <f>IF(Agent07_Savings!A108="","",Agent07_Savings!B108)</f>
        <v/>
      </c>
      <c r="D1303" s="37" t="str">
        <f>IF(Agent07_Savings!A108="","",Agent07_Savings!G108)</f>
        <v/>
      </c>
      <c r="E1303" s="38" t="str">
        <f>IF(Agent07_Savings!A108="","",Agent07_Savings!D108)</f>
        <v/>
      </c>
      <c r="F1303" s="39" t="str">
        <f>IF(Agent07_Savings!A108="","",Agent07_Savings!E108)</f>
        <v/>
      </c>
      <c r="G1303" s="39" t="str">
        <f>IF(Agent07_Savings!A108="","",Agent07_Savings!F108)</f>
        <v/>
      </c>
      <c r="H1303" s="37" t="str">
        <f>IF(Agent07_Savings!A108="","",Agent07_Savings!I108)</f>
        <v/>
      </c>
      <c r="I1303" s="37" t="str">
        <f>IF(Agent07_Savings!A108="","",Agent07_Savings!J108)</f>
        <v/>
      </c>
      <c r="J1303" s="37" t="str">
        <f>IF(Agent07_Savings!A108="","",Agent07_Savings!K108)</f>
        <v/>
      </c>
      <c r="K1303" s="37" t="str">
        <f>IFERROR(IF(Agent07_Savings!A108="","",YEAR(Agent07_Savings!D108)),"")</f>
        <v/>
      </c>
    </row>
    <row r="1304" spans="1:11" ht="18" customHeight="1" x14ac:dyDescent="0.25">
      <c r="A1304" s="37" t="str">
        <f>IF(Agent07_Savings!A109="","",Agent07_Savings!A109)</f>
        <v/>
      </c>
      <c r="B1304" s="37" t="str">
        <f ca="1">IF(Agent07_Savings!A109="","","SV"&amp;TEXT(1304-3,"0000")&amp;"-"&amp;TEXT(TODAY(),"YYYYMMDD"))</f>
        <v/>
      </c>
      <c r="C1304" s="37" t="str">
        <f>IF(Agent07_Savings!A109="","",Agent07_Savings!B109)</f>
        <v/>
      </c>
      <c r="D1304" s="37" t="str">
        <f>IF(Agent07_Savings!A109="","",Agent07_Savings!G109)</f>
        <v/>
      </c>
      <c r="E1304" s="38" t="str">
        <f>IF(Agent07_Savings!A109="","",Agent07_Savings!D109)</f>
        <v/>
      </c>
      <c r="F1304" s="39" t="str">
        <f>IF(Agent07_Savings!A109="","",Agent07_Savings!E109)</f>
        <v/>
      </c>
      <c r="G1304" s="39" t="str">
        <f>IF(Agent07_Savings!A109="","",Agent07_Savings!F109)</f>
        <v/>
      </c>
      <c r="H1304" s="37" t="str">
        <f>IF(Agent07_Savings!A109="","",Agent07_Savings!I109)</f>
        <v/>
      </c>
      <c r="I1304" s="37" t="str">
        <f>IF(Agent07_Savings!A109="","",Agent07_Savings!J109)</f>
        <v/>
      </c>
      <c r="J1304" s="37" t="str">
        <f>IF(Agent07_Savings!A109="","",Agent07_Savings!K109)</f>
        <v/>
      </c>
      <c r="K1304" s="37" t="str">
        <f>IFERROR(IF(Agent07_Savings!A109="","",YEAR(Agent07_Savings!D109)),"")</f>
        <v/>
      </c>
    </row>
    <row r="1305" spans="1:11" ht="18" customHeight="1" x14ac:dyDescent="0.25">
      <c r="A1305" s="37" t="str">
        <f>IF(Agent07_Savings!A110="","",Agent07_Savings!A110)</f>
        <v/>
      </c>
      <c r="B1305" s="37" t="str">
        <f ca="1">IF(Agent07_Savings!A110="","","SV"&amp;TEXT(1305-3,"0000")&amp;"-"&amp;TEXT(TODAY(),"YYYYMMDD"))</f>
        <v/>
      </c>
      <c r="C1305" s="37" t="str">
        <f>IF(Agent07_Savings!A110="","",Agent07_Savings!B110)</f>
        <v/>
      </c>
      <c r="D1305" s="37" t="str">
        <f>IF(Agent07_Savings!A110="","",Agent07_Savings!G110)</f>
        <v/>
      </c>
      <c r="E1305" s="38" t="str">
        <f>IF(Agent07_Savings!A110="","",Agent07_Savings!D110)</f>
        <v/>
      </c>
      <c r="F1305" s="39" t="str">
        <f>IF(Agent07_Savings!A110="","",Agent07_Savings!E110)</f>
        <v/>
      </c>
      <c r="G1305" s="39" t="str">
        <f>IF(Agent07_Savings!A110="","",Agent07_Savings!F110)</f>
        <v/>
      </c>
      <c r="H1305" s="37" t="str">
        <f>IF(Agent07_Savings!A110="","",Agent07_Savings!I110)</f>
        <v/>
      </c>
      <c r="I1305" s="37" t="str">
        <f>IF(Agent07_Savings!A110="","",Agent07_Savings!J110)</f>
        <v/>
      </c>
      <c r="J1305" s="37" t="str">
        <f>IF(Agent07_Savings!A110="","",Agent07_Savings!K110)</f>
        <v/>
      </c>
      <c r="K1305" s="37" t="str">
        <f>IFERROR(IF(Agent07_Savings!A110="","",YEAR(Agent07_Savings!D110)),"")</f>
        <v/>
      </c>
    </row>
    <row r="1306" spans="1:11" ht="18" customHeight="1" x14ac:dyDescent="0.25">
      <c r="A1306" s="37" t="str">
        <f>IF(Agent07_Savings!A111="","",Agent07_Savings!A111)</f>
        <v/>
      </c>
      <c r="B1306" s="37" t="str">
        <f ca="1">IF(Agent07_Savings!A111="","","SV"&amp;TEXT(1306-3,"0000")&amp;"-"&amp;TEXT(TODAY(),"YYYYMMDD"))</f>
        <v/>
      </c>
      <c r="C1306" s="37" t="str">
        <f>IF(Agent07_Savings!A111="","",Agent07_Savings!B111)</f>
        <v/>
      </c>
      <c r="D1306" s="37" t="str">
        <f>IF(Agent07_Savings!A111="","",Agent07_Savings!G111)</f>
        <v/>
      </c>
      <c r="E1306" s="38" t="str">
        <f>IF(Agent07_Savings!A111="","",Agent07_Savings!D111)</f>
        <v/>
      </c>
      <c r="F1306" s="39" t="str">
        <f>IF(Agent07_Savings!A111="","",Agent07_Savings!E111)</f>
        <v/>
      </c>
      <c r="G1306" s="39" t="str">
        <f>IF(Agent07_Savings!A111="","",Agent07_Savings!F111)</f>
        <v/>
      </c>
      <c r="H1306" s="37" t="str">
        <f>IF(Agent07_Savings!A111="","",Agent07_Savings!I111)</f>
        <v/>
      </c>
      <c r="I1306" s="37" t="str">
        <f>IF(Agent07_Savings!A111="","",Agent07_Savings!J111)</f>
        <v/>
      </c>
      <c r="J1306" s="37" t="str">
        <f>IF(Agent07_Savings!A111="","",Agent07_Savings!K111)</f>
        <v/>
      </c>
      <c r="K1306" s="37" t="str">
        <f>IFERROR(IF(Agent07_Savings!A111="","",YEAR(Agent07_Savings!D111)),"")</f>
        <v/>
      </c>
    </row>
    <row r="1307" spans="1:11" ht="18" customHeight="1" x14ac:dyDescent="0.25">
      <c r="A1307" s="37" t="str">
        <f>IF(Agent07_Savings!A112="","",Agent07_Savings!A112)</f>
        <v/>
      </c>
      <c r="B1307" s="37" t="str">
        <f ca="1">IF(Agent07_Savings!A112="","","SV"&amp;TEXT(1307-3,"0000")&amp;"-"&amp;TEXT(TODAY(),"YYYYMMDD"))</f>
        <v/>
      </c>
      <c r="C1307" s="37" t="str">
        <f>IF(Agent07_Savings!A112="","",Agent07_Savings!B112)</f>
        <v/>
      </c>
      <c r="D1307" s="37" t="str">
        <f>IF(Agent07_Savings!A112="","",Agent07_Savings!G112)</f>
        <v/>
      </c>
      <c r="E1307" s="38" t="str">
        <f>IF(Agent07_Savings!A112="","",Agent07_Savings!D112)</f>
        <v/>
      </c>
      <c r="F1307" s="39" t="str">
        <f>IF(Agent07_Savings!A112="","",Agent07_Savings!E112)</f>
        <v/>
      </c>
      <c r="G1307" s="39" t="str">
        <f>IF(Agent07_Savings!A112="","",Agent07_Savings!F112)</f>
        <v/>
      </c>
      <c r="H1307" s="37" t="str">
        <f>IF(Agent07_Savings!A112="","",Agent07_Savings!I112)</f>
        <v/>
      </c>
      <c r="I1307" s="37" t="str">
        <f>IF(Agent07_Savings!A112="","",Agent07_Savings!J112)</f>
        <v/>
      </c>
      <c r="J1307" s="37" t="str">
        <f>IF(Agent07_Savings!A112="","",Agent07_Savings!K112)</f>
        <v/>
      </c>
      <c r="K1307" s="37" t="str">
        <f>IFERROR(IF(Agent07_Savings!A112="","",YEAR(Agent07_Savings!D112)),"")</f>
        <v/>
      </c>
    </row>
    <row r="1308" spans="1:11" ht="18" customHeight="1" x14ac:dyDescent="0.25">
      <c r="A1308" s="37" t="str">
        <f>IF(Agent07_Savings!A113="","",Agent07_Savings!A113)</f>
        <v/>
      </c>
      <c r="B1308" s="37" t="str">
        <f ca="1">IF(Agent07_Savings!A113="","","SV"&amp;TEXT(1308-3,"0000")&amp;"-"&amp;TEXT(TODAY(),"YYYYMMDD"))</f>
        <v/>
      </c>
      <c r="C1308" s="37" t="str">
        <f>IF(Agent07_Savings!A113="","",Agent07_Savings!B113)</f>
        <v/>
      </c>
      <c r="D1308" s="37" t="str">
        <f>IF(Agent07_Savings!A113="","",Agent07_Savings!G113)</f>
        <v/>
      </c>
      <c r="E1308" s="38" t="str">
        <f>IF(Agent07_Savings!A113="","",Agent07_Savings!D113)</f>
        <v/>
      </c>
      <c r="F1308" s="39" t="str">
        <f>IF(Agent07_Savings!A113="","",Agent07_Savings!E113)</f>
        <v/>
      </c>
      <c r="G1308" s="39" t="str">
        <f>IF(Agent07_Savings!A113="","",Agent07_Savings!F113)</f>
        <v/>
      </c>
      <c r="H1308" s="37" t="str">
        <f>IF(Agent07_Savings!A113="","",Agent07_Savings!I113)</f>
        <v/>
      </c>
      <c r="I1308" s="37" t="str">
        <f>IF(Agent07_Savings!A113="","",Agent07_Savings!J113)</f>
        <v/>
      </c>
      <c r="J1308" s="37" t="str">
        <f>IF(Agent07_Savings!A113="","",Agent07_Savings!K113)</f>
        <v/>
      </c>
      <c r="K1308" s="37" t="str">
        <f>IFERROR(IF(Agent07_Savings!A113="","",YEAR(Agent07_Savings!D113)),"")</f>
        <v/>
      </c>
    </row>
    <row r="1309" spans="1:11" ht="18" customHeight="1" x14ac:dyDescent="0.25">
      <c r="A1309" s="37" t="str">
        <f>IF(Agent07_Savings!A114="","",Agent07_Savings!A114)</f>
        <v/>
      </c>
      <c r="B1309" s="37" t="str">
        <f ca="1">IF(Agent07_Savings!A114="","","SV"&amp;TEXT(1309-3,"0000")&amp;"-"&amp;TEXT(TODAY(),"YYYYMMDD"))</f>
        <v/>
      </c>
      <c r="C1309" s="37" t="str">
        <f>IF(Agent07_Savings!A114="","",Agent07_Savings!B114)</f>
        <v/>
      </c>
      <c r="D1309" s="37" t="str">
        <f>IF(Agent07_Savings!A114="","",Agent07_Savings!G114)</f>
        <v/>
      </c>
      <c r="E1309" s="38" t="str">
        <f>IF(Agent07_Savings!A114="","",Agent07_Savings!D114)</f>
        <v/>
      </c>
      <c r="F1309" s="39" t="str">
        <f>IF(Agent07_Savings!A114="","",Agent07_Savings!E114)</f>
        <v/>
      </c>
      <c r="G1309" s="39" t="str">
        <f>IF(Agent07_Savings!A114="","",Agent07_Savings!F114)</f>
        <v/>
      </c>
      <c r="H1309" s="37" t="str">
        <f>IF(Agent07_Savings!A114="","",Agent07_Savings!I114)</f>
        <v/>
      </c>
      <c r="I1309" s="37" t="str">
        <f>IF(Agent07_Savings!A114="","",Agent07_Savings!J114)</f>
        <v/>
      </c>
      <c r="J1309" s="37" t="str">
        <f>IF(Agent07_Savings!A114="","",Agent07_Savings!K114)</f>
        <v/>
      </c>
      <c r="K1309" s="37" t="str">
        <f>IFERROR(IF(Agent07_Savings!A114="","",YEAR(Agent07_Savings!D114)),"")</f>
        <v/>
      </c>
    </row>
    <row r="1310" spans="1:11" ht="18" customHeight="1" x14ac:dyDescent="0.25">
      <c r="A1310" s="37" t="str">
        <f>IF(Agent07_Savings!A115="","",Agent07_Savings!A115)</f>
        <v/>
      </c>
      <c r="B1310" s="37" t="str">
        <f ca="1">IF(Agent07_Savings!A115="","","SV"&amp;TEXT(1310-3,"0000")&amp;"-"&amp;TEXT(TODAY(),"YYYYMMDD"))</f>
        <v/>
      </c>
      <c r="C1310" s="37" t="str">
        <f>IF(Agent07_Savings!A115="","",Agent07_Savings!B115)</f>
        <v/>
      </c>
      <c r="D1310" s="37" t="str">
        <f>IF(Agent07_Savings!A115="","",Agent07_Savings!G115)</f>
        <v/>
      </c>
      <c r="E1310" s="38" t="str">
        <f>IF(Agent07_Savings!A115="","",Agent07_Savings!D115)</f>
        <v/>
      </c>
      <c r="F1310" s="39" t="str">
        <f>IF(Agent07_Savings!A115="","",Agent07_Savings!E115)</f>
        <v/>
      </c>
      <c r="G1310" s="39" t="str">
        <f>IF(Agent07_Savings!A115="","",Agent07_Savings!F115)</f>
        <v/>
      </c>
      <c r="H1310" s="37" t="str">
        <f>IF(Agent07_Savings!A115="","",Agent07_Savings!I115)</f>
        <v/>
      </c>
      <c r="I1310" s="37" t="str">
        <f>IF(Agent07_Savings!A115="","",Agent07_Savings!J115)</f>
        <v/>
      </c>
      <c r="J1310" s="37" t="str">
        <f>IF(Agent07_Savings!A115="","",Agent07_Savings!K115)</f>
        <v/>
      </c>
      <c r="K1310" s="37" t="str">
        <f>IFERROR(IF(Agent07_Savings!A115="","",YEAR(Agent07_Savings!D115)),"")</f>
        <v/>
      </c>
    </row>
    <row r="1311" spans="1:11" ht="18" customHeight="1" x14ac:dyDescent="0.25">
      <c r="A1311" s="37" t="str">
        <f>IF(Agent07_Savings!A116="","",Agent07_Savings!A116)</f>
        <v/>
      </c>
      <c r="B1311" s="37" t="str">
        <f ca="1">IF(Agent07_Savings!A116="","","SV"&amp;TEXT(1311-3,"0000")&amp;"-"&amp;TEXT(TODAY(),"YYYYMMDD"))</f>
        <v/>
      </c>
      <c r="C1311" s="37" t="str">
        <f>IF(Agent07_Savings!A116="","",Agent07_Savings!B116)</f>
        <v/>
      </c>
      <c r="D1311" s="37" t="str">
        <f>IF(Agent07_Savings!A116="","",Agent07_Savings!G116)</f>
        <v/>
      </c>
      <c r="E1311" s="38" t="str">
        <f>IF(Agent07_Savings!A116="","",Agent07_Savings!D116)</f>
        <v/>
      </c>
      <c r="F1311" s="39" t="str">
        <f>IF(Agent07_Savings!A116="","",Agent07_Savings!E116)</f>
        <v/>
      </c>
      <c r="G1311" s="39" t="str">
        <f>IF(Agent07_Savings!A116="","",Agent07_Savings!F116)</f>
        <v/>
      </c>
      <c r="H1311" s="37" t="str">
        <f>IF(Agent07_Savings!A116="","",Agent07_Savings!I116)</f>
        <v/>
      </c>
      <c r="I1311" s="37" t="str">
        <f>IF(Agent07_Savings!A116="","",Agent07_Savings!J116)</f>
        <v/>
      </c>
      <c r="J1311" s="37" t="str">
        <f>IF(Agent07_Savings!A116="","",Agent07_Savings!K116)</f>
        <v/>
      </c>
      <c r="K1311" s="37" t="str">
        <f>IFERROR(IF(Agent07_Savings!A116="","",YEAR(Agent07_Savings!D116)),"")</f>
        <v/>
      </c>
    </row>
    <row r="1312" spans="1:11" ht="18" customHeight="1" x14ac:dyDescent="0.25">
      <c r="A1312" s="37" t="str">
        <f>IF(Agent07_Savings!A117="","",Agent07_Savings!A117)</f>
        <v/>
      </c>
      <c r="B1312" s="37" t="str">
        <f ca="1">IF(Agent07_Savings!A117="","","SV"&amp;TEXT(1312-3,"0000")&amp;"-"&amp;TEXT(TODAY(),"YYYYMMDD"))</f>
        <v/>
      </c>
      <c r="C1312" s="37" t="str">
        <f>IF(Agent07_Savings!A117="","",Agent07_Savings!B117)</f>
        <v/>
      </c>
      <c r="D1312" s="37" t="str">
        <f>IF(Agent07_Savings!A117="","",Agent07_Savings!G117)</f>
        <v/>
      </c>
      <c r="E1312" s="38" t="str">
        <f>IF(Agent07_Savings!A117="","",Agent07_Savings!D117)</f>
        <v/>
      </c>
      <c r="F1312" s="39" t="str">
        <f>IF(Agent07_Savings!A117="","",Agent07_Savings!E117)</f>
        <v/>
      </c>
      <c r="G1312" s="39" t="str">
        <f>IF(Agent07_Savings!A117="","",Agent07_Savings!F117)</f>
        <v/>
      </c>
      <c r="H1312" s="37" t="str">
        <f>IF(Agent07_Savings!A117="","",Agent07_Savings!I117)</f>
        <v/>
      </c>
      <c r="I1312" s="37" t="str">
        <f>IF(Agent07_Savings!A117="","",Agent07_Savings!J117)</f>
        <v/>
      </c>
      <c r="J1312" s="37" t="str">
        <f>IF(Agent07_Savings!A117="","",Agent07_Savings!K117)</f>
        <v/>
      </c>
      <c r="K1312" s="37" t="str">
        <f>IFERROR(IF(Agent07_Savings!A117="","",YEAR(Agent07_Savings!D117)),"")</f>
        <v/>
      </c>
    </row>
    <row r="1313" spans="1:11" ht="18" customHeight="1" x14ac:dyDescent="0.25">
      <c r="A1313" s="37" t="str">
        <f>IF(Agent07_Savings!A118="","",Agent07_Savings!A118)</f>
        <v/>
      </c>
      <c r="B1313" s="37" t="str">
        <f ca="1">IF(Agent07_Savings!A118="","","SV"&amp;TEXT(1313-3,"0000")&amp;"-"&amp;TEXT(TODAY(),"YYYYMMDD"))</f>
        <v/>
      </c>
      <c r="C1313" s="37" t="str">
        <f>IF(Agent07_Savings!A118="","",Agent07_Savings!B118)</f>
        <v/>
      </c>
      <c r="D1313" s="37" t="str">
        <f>IF(Agent07_Savings!A118="","",Agent07_Savings!G118)</f>
        <v/>
      </c>
      <c r="E1313" s="38" t="str">
        <f>IF(Agent07_Savings!A118="","",Agent07_Savings!D118)</f>
        <v/>
      </c>
      <c r="F1313" s="39" t="str">
        <f>IF(Agent07_Savings!A118="","",Agent07_Savings!E118)</f>
        <v/>
      </c>
      <c r="G1313" s="39" t="str">
        <f>IF(Agent07_Savings!A118="","",Agent07_Savings!F118)</f>
        <v/>
      </c>
      <c r="H1313" s="37" t="str">
        <f>IF(Agent07_Savings!A118="","",Agent07_Savings!I118)</f>
        <v/>
      </c>
      <c r="I1313" s="37" t="str">
        <f>IF(Agent07_Savings!A118="","",Agent07_Savings!J118)</f>
        <v/>
      </c>
      <c r="J1313" s="37" t="str">
        <f>IF(Agent07_Savings!A118="","",Agent07_Savings!K118)</f>
        <v/>
      </c>
      <c r="K1313" s="37" t="str">
        <f>IFERROR(IF(Agent07_Savings!A118="","",YEAR(Agent07_Savings!D118)),"")</f>
        <v/>
      </c>
    </row>
    <row r="1314" spans="1:11" ht="18" customHeight="1" x14ac:dyDescent="0.25">
      <c r="A1314" s="37" t="str">
        <f>IF(Agent07_Savings!A119="","",Agent07_Savings!A119)</f>
        <v/>
      </c>
      <c r="B1314" s="37" t="str">
        <f ca="1">IF(Agent07_Savings!A119="","","SV"&amp;TEXT(1314-3,"0000")&amp;"-"&amp;TEXT(TODAY(),"YYYYMMDD"))</f>
        <v/>
      </c>
      <c r="C1314" s="37" t="str">
        <f>IF(Agent07_Savings!A119="","",Agent07_Savings!B119)</f>
        <v/>
      </c>
      <c r="D1314" s="37" t="str">
        <f>IF(Agent07_Savings!A119="","",Agent07_Savings!G119)</f>
        <v/>
      </c>
      <c r="E1314" s="38" t="str">
        <f>IF(Agent07_Savings!A119="","",Agent07_Savings!D119)</f>
        <v/>
      </c>
      <c r="F1314" s="39" t="str">
        <f>IF(Agent07_Savings!A119="","",Agent07_Savings!E119)</f>
        <v/>
      </c>
      <c r="G1314" s="39" t="str">
        <f>IF(Agent07_Savings!A119="","",Agent07_Savings!F119)</f>
        <v/>
      </c>
      <c r="H1314" s="37" t="str">
        <f>IF(Agent07_Savings!A119="","",Agent07_Savings!I119)</f>
        <v/>
      </c>
      <c r="I1314" s="37" t="str">
        <f>IF(Agent07_Savings!A119="","",Agent07_Savings!J119)</f>
        <v/>
      </c>
      <c r="J1314" s="37" t="str">
        <f>IF(Agent07_Savings!A119="","",Agent07_Savings!K119)</f>
        <v/>
      </c>
      <c r="K1314" s="37" t="str">
        <f>IFERROR(IF(Agent07_Savings!A119="","",YEAR(Agent07_Savings!D119)),"")</f>
        <v/>
      </c>
    </row>
    <row r="1315" spans="1:11" ht="18" customHeight="1" x14ac:dyDescent="0.25">
      <c r="A1315" s="37" t="str">
        <f>IF(Agent07_Savings!A120="","",Agent07_Savings!A120)</f>
        <v/>
      </c>
      <c r="B1315" s="37" t="str">
        <f ca="1">IF(Agent07_Savings!A120="","","SV"&amp;TEXT(1315-3,"0000")&amp;"-"&amp;TEXT(TODAY(),"YYYYMMDD"))</f>
        <v/>
      </c>
      <c r="C1315" s="37" t="str">
        <f>IF(Agent07_Savings!A120="","",Agent07_Savings!B120)</f>
        <v/>
      </c>
      <c r="D1315" s="37" t="str">
        <f>IF(Agent07_Savings!A120="","",Agent07_Savings!G120)</f>
        <v/>
      </c>
      <c r="E1315" s="38" t="str">
        <f>IF(Agent07_Savings!A120="","",Agent07_Savings!D120)</f>
        <v/>
      </c>
      <c r="F1315" s="39" t="str">
        <f>IF(Agent07_Savings!A120="","",Agent07_Savings!E120)</f>
        <v/>
      </c>
      <c r="G1315" s="39" t="str">
        <f>IF(Agent07_Savings!A120="","",Agent07_Savings!F120)</f>
        <v/>
      </c>
      <c r="H1315" s="37" t="str">
        <f>IF(Agent07_Savings!A120="","",Agent07_Savings!I120)</f>
        <v/>
      </c>
      <c r="I1315" s="37" t="str">
        <f>IF(Agent07_Savings!A120="","",Agent07_Savings!J120)</f>
        <v/>
      </c>
      <c r="J1315" s="37" t="str">
        <f>IF(Agent07_Savings!A120="","",Agent07_Savings!K120)</f>
        <v/>
      </c>
      <c r="K1315" s="37" t="str">
        <f>IFERROR(IF(Agent07_Savings!A120="","",YEAR(Agent07_Savings!D120)),"")</f>
        <v/>
      </c>
    </row>
    <row r="1316" spans="1:11" ht="18" customHeight="1" x14ac:dyDescent="0.25">
      <c r="A1316" s="37" t="str">
        <f>IF(Agent07_Savings!A121="","",Agent07_Savings!A121)</f>
        <v/>
      </c>
      <c r="B1316" s="37" t="str">
        <f ca="1">IF(Agent07_Savings!A121="","","SV"&amp;TEXT(1316-3,"0000")&amp;"-"&amp;TEXT(TODAY(),"YYYYMMDD"))</f>
        <v/>
      </c>
      <c r="C1316" s="37" t="str">
        <f>IF(Agent07_Savings!A121="","",Agent07_Savings!B121)</f>
        <v/>
      </c>
      <c r="D1316" s="37" t="str">
        <f>IF(Agent07_Savings!A121="","",Agent07_Savings!G121)</f>
        <v/>
      </c>
      <c r="E1316" s="38" t="str">
        <f>IF(Agent07_Savings!A121="","",Agent07_Savings!D121)</f>
        <v/>
      </c>
      <c r="F1316" s="39" t="str">
        <f>IF(Agent07_Savings!A121="","",Agent07_Savings!E121)</f>
        <v/>
      </c>
      <c r="G1316" s="39" t="str">
        <f>IF(Agent07_Savings!A121="","",Agent07_Savings!F121)</f>
        <v/>
      </c>
      <c r="H1316" s="37" t="str">
        <f>IF(Agent07_Savings!A121="","",Agent07_Savings!I121)</f>
        <v/>
      </c>
      <c r="I1316" s="37" t="str">
        <f>IF(Agent07_Savings!A121="","",Agent07_Savings!J121)</f>
        <v/>
      </c>
      <c r="J1316" s="37" t="str">
        <f>IF(Agent07_Savings!A121="","",Agent07_Savings!K121)</f>
        <v/>
      </c>
      <c r="K1316" s="37" t="str">
        <f>IFERROR(IF(Agent07_Savings!A121="","",YEAR(Agent07_Savings!D121)),"")</f>
        <v/>
      </c>
    </row>
    <row r="1317" spans="1:11" ht="18" customHeight="1" x14ac:dyDescent="0.25">
      <c r="A1317" s="37" t="str">
        <f>IF(Agent07_Savings!A122="","",Agent07_Savings!A122)</f>
        <v/>
      </c>
      <c r="B1317" s="37" t="str">
        <f ca="1">IF(Agent07_Savings!A122="","","SV"&amp;TEXT(1317-3,"0000")&amp;"-"&amp;TEXT(TODAY(),"YYYYMMDD"))</f>
        <v/>
      </c>
      <c r="C1317" s="37" t="str">
        <f>IF(Agent07_Savings!A122="","",Agent07_Savings!B122)</f>
        <v/>
      </c>
      <c r="D1317" s="37" t="str">
        <f>IF(Agent07_Savings!A122="","",Agent07_Savings!G122)</f>
        <v/>
      </c>
      <c r="E1317" s="38" t="str">
        <f>IF(Agent07_Savings!A122="","",Agent07_Savings!D122)</f>
        <v/>
      </c>
      <c r="F1317" s="39" t="str">
        <f>IF(Agent07_Savings!A122="","",Agent07_Savings!E122)</f>
        <v/>
      </c>
      <c r="G1317" s="39" t="str">
        <f>IF(Agent07_Savings!A122="","",Agent07_Savings!F122)</f>
        <v/>
      </c>
      <c r="H1317" s="37" t="str">
        <f>IF(Agent07_Savings!A122="","",Agent07_Savings!I122)</f>
        <v/>
      </c>
      <c r="I1317" s="37" t="str">
        <f>IF(Agent07_Savings!A122="","",Agent07_Savings!J122)</f>
        <v/>
      </c>
      <c r="J1317" s="37" t="str">
        <f>IF(Agent07_Savings!A122="","",Agent07_Savings!K122)</f>
        <v/>
      </c>
      <c r="K1317" s="37" t="str">
        <f>IFERROR(IF(Agent07_Savings!A122="","",YEAR(Agent07_Savings!D122)),"")</f>
        <v/>
      </c>
    </row>
    <row r="1318" spans="1:11" ht="18" customHeight="1" x14ac:dyDescent="0.25">
      <c r="A1318" s="37" t="str">
        <f>IF(Agent07_Savings!A123="","",Agent07_Savings!A123)</f>
        <v/>
      </c>
      <c r="B1318" s="37" t="str">
        <f ca="1">IF(Agent07_Savings!A123="","","SV"&amp;TEXT(1318-3,"0000")&amp;"-"&amp;TEXT(TODAY(),"YYYYMMDD"))</f>
        <v/>
      </c>
      <c r="C1318" s="37" t="str">
        <f>IF(Agent07_Savings!A123="","",Agent07_Savings!B123)</f>
        <v/>
      </c>
      <c r="D1318" s="37" t="str">
        <f>IF(Agent07_Savings!A123="","",Agent07_Savings!G123)</f>
        <v/>
      </c>
      <c r="E1318" s="38" t="str">
        <f>IF(Agent07_Savings!A123="","",Agent07_Savings!D123)</f>
        <v/>
      </c>
      <c r="F1318" s="39" t="str">
        <f>IF(Agent07_Savings!A123="","",Agent07_Savings!E123)</f>
        <v/>
      </c>
      <c r="G1318" s="39" t="str">
        <f>IF(Agent07_Savings!A123="","",Agent07_Savings!F123)</f>
        <v/>
      </c>
      <c r="H1318" s="37" t="str">
        <f>IF(Agent07_Savings!A123="","",Agent07_Savings!I123)</f>
        <v/>
      </c>
      <c r="I1318" s="37" t="str">
        <f>IF(Agent07_Savings!A123="","",Agent07_Savings!J123)</f>
        <v/>
      </c>
      <c r="J1318" s="37" t="str">
        <f>IF(Agent07_Savings!A123="","",Agent07_Savings!K123)</f>
        <v/>
      </c>
      <c r="K1318" s="37" t="str">
        <f>IFERROR(IF(Agent07_Savings!A123="","",YEAR(Agent07_Savings!D123)),"")</f>
        <v/>
      </c>
    </row>
    <row r="1319" spans="1:11" ht="18" customHeight="1" x14ac:dyDescent="0.25">
      <c r="A1319" s="37" t="str">
        <f>IF(Agent07_Savings!A124="","",Agent07_Savings!A124)</f>
        <v/>
      </c>
      <c r="B1319" s="37" t="str">
        <f ca="1">IF(Agent07_Savings!A124="","","SV"&amp;TEXT(1319-3,"0000")&amp;"-"&amp;TEXT(TODAY(),"YYYYMMDD"))</f>
        <v/>
      </c>
      <c r="C1319" s="37" t="str">
        <f>IF(Agent07_Savings!A124="","",Agent07_Savings!B124)</f>
        <v/>
      </c>
      <c r="D1319" s="37" t="str">
        <f>IF(Agent07_Savings!A124="","",Agent07_Savings!G124)</f>
        <v/>
      </c>
      <c r="E1319" s="38" t="str">
        <f>IF(Agent07_Savings!A124="","",Agent07_Savings!D124)</f>
        <v/>
      </c>
      <c r="F1319" s="39" t="str">
        <f>IF(Agent07_Savings!A124="","",Agent07_Savings!E124)</f>
        <v/>
      </c>
      <c r="G1319" s="39" t="str">
        <f>IF(Agent07_Savings!A124="","",Agent07_Savings!F124)</f>
        <v/>
      </c>
      <c r="H1319" s="37" t="str">
        <f>IF(Agent07_Savings!A124="","",Agent07_Savings!I124)</f>
        <v/>
      </c>
      <c r="I1319" s="37" t="str">
        <f>IF(Agent07_Savings!A124="","",Agent07_Savings!J124)</f>
        <v/>
      </c>
      <c r="J1319" s="37" t="str">
        <f>IF(Agent07_Savings!A124="","",Agent07_Savings!K124)</f>
        <v/>
      </c>
      <c r="K1319" s="37" t="str">
        <f>IFERROR(IF(Agent07_Savings!A124="","",YEAR(Agent07_Savings!D124)),"")</f>
        <v/>
      </c>
    </row>
    <row r="1320" spans="1:11" ht="18" customHeight="1" x14ac:dyDescent="0.25">
      <c r="A1320" s="37" t="str">
        <f>IF(Agent07_Savings!A125="","",Agent07_Savings!A125)</f>
        <v/>
      </c>
      <c r="B1320" s="37" t="str">
        <f ca="1">IF(Agent07_Savings!A125="","","SV"&amp;TEXT(1320-3,"0000")&amp;"-"&amp;TEXT(TODAY(),"YYYYMMDD"))</f>
        <v/>
      </c>
      <c r="C1320" s="37" t="str">
        <f>IF(Agent07_Savings!A125="","",Agent07_Savings!B125)</f>
        <v/>
      </c>
      <c r="D1320" s="37" t="str">
        <f>IF(Agent07_Savings!A125="","",Agent07_Savings!G125)</f>
        <v/>
      </c>
      <c r="E1320" s="38" t="str">
        <f>IF(Agent07_Savings!A125="","",Agent07_Savings!D125)</f>
        <v/>
      </c>
      <c r="F1320" s="39" t="str">
        <f>IF(Agent07_Savings!A125="","",Agent07_Savings!E125)</f>
        <v/>
      </c>
      <c r="G1320" s="39" t="str">
        <f>IF(Agent07_Savings!A125="","",Agent07_Savings!F125)</f>
        <v/>
      </c>
      <c r="H1320" s="37" t="str">
        <f>IF(Agent07_Savings!A125="","",Agent07_Savings!I125)</f>
        <v/>
      </c>
      <c r="I1320" s="37" t="str">
        <f>IF(Agent07_Savings!A125="","",Agent07_Savings!J125)</f>
        <v/>
      </c>
      <c r="J1320" s="37" t="str">
        <f>IF(Agent07_Savings!A125="","",Agent07_Savings!K125)</f>
        <v/>
      </c>
      <c r="K1320" s="37" t="str">
        <f>IFERROR(IF(Agent07_Savings!A125="","",YEAR(Agent07_Savings!D125)),"")</f>
        <v/>
      </c>
    </row>
    <row r="1321" spans="1:11" ht="18" customHeight="1" x14ac:dyDescent="0.25">
      <c r="A1321" s="37" t="str">
        <f>IF(Agent07_Savings!A126="","",Agent07_Savings!A126)</f>
        <v/>
      </c>
      <c r="B1321" s="37" t="str">
        <f ca="1">IF(Agent07_Savings!A126="","","SV"&amp;TEXT(1321-3,"0000")&amp;"-"&amp;TEXT(TODAY(),"YYYYMMDD"))</f>
        <v/>
      </c>
      <c r="C1321" s="37" t="str">
        <f>IF(Agent07_Savings!A126="","",Agent07_Savings!B126)</f>
        <v/>
      </c>
      <c r="D1321" s="37" t="str">
        <f>IF(Agent07_Savings!A126="","",Agent07_Savings!G126)</f>
        <v/>
      </c>
      <c r="E1321" s="38" t="str">
        <f>IF(Agent07_Savings!A126="","",Agent07_Savings!D126)</f>
        <v/>
      </c>
      <c r="F1321" s="39" t="str">
        <f>IF(Agent07_Savings!A126="","",Agent07_Savings!E126)</f>
        <v/>
      </c>
      <c r="G1321" s="39" t="str">
        <f>IF(Agent07_Savings!A126="","",Agent07_Savings!F126)</f>
        <v/>
      </c>
      <c r="H1321" s="37" t="str">
        <f>IF(Agent07_Savings!A126="","",Agent07_Savings!I126)</f>
        <v/>
      </c>
      <c r="I1321" s="37" t="str">
        <f>IF(Agent07_Savings!A126="","",Agent07_Savings!J126)</f>
        <v/>
      </c>
      <c r="J1321" s="37" t="str">
        <f>IF(Agent07_Savings!A126="","",Agent07_Savings!K126)</f>
        <v/>
      </c>
      <c r="K1321" s="37" t="str">
        <f>IFERROR(IF(Agent07_Savings!A126="","",YEAR(Agent07_Savings!D126)),"")</f>
        <v/>
      </c>
    </row>
    <row r="1322" spans="1:11" ht="18" customHeight="1" x14ac:dyDescent="0.25">
      <c r="A1322" s="37" t="str">
        <f>IF(Agent07_Savings!A127="","",Agent07_Savings!A127)</f>
        <v/>
      </c>
      <c r="B1322" s="37" t="str">
        <f ca="1">IF(Agent07_Savings!A127="","","SV"&amp;TEXT(1322-3,"0000")&amp;"-"&amp;TEXT(TODAY(),"YYYYMMDD"))</f>
        <v/>
      </c>
      <c r="C1322" s="37" t="str">
        <f>IF(Agent07_Savings!A127="","",Agent07_Savings!B127)</f>
        <v/>
      </c>
      <c r="D1322" s="37" t="str">
        <f>IF(Agent07_Savings!A127="","",Agent07_Savings!G127)</f>
        <v/>
      </c>
      <c r="E1322" s="38" t="str">
        <f>IF(Agent07_Savings!A127="","",Agent07_Savings!D127)</f>
        <v/>
      </c>
      <c r="F1322" s="39" t="str">
        <f>IF(Agent07_Savings!A127="","",Agent07_Savings!E127)</f>
        <v/>
      </c>
      <c r="G1322" s="39" t="str">
        <f>IF(Agent07_Savings!A127="","",Agent07_Savings!F127)</f>
        <v/>
      </c>
      <c r="H1322" s="37" t="str">
        <f>IF(Agent07_Savings!A127="","",Agent07_Savings!I127)</f>
        <v/>
      </c>
      <c r="I1322" s="37" t="str">
        <f>IF(Agent07_Savings!A127="","",Agent07_Savings!J127)</f>
        <v/>
      </c>
      <c r="J1322" s="37" t="str">
        <f>IF(Agent07_Savings!A127="","",Agent07_Savings!K127)</f>
        <v/>
      </c>
      <c r="K1322" s="37" t="str">
        <f>IFERROR(IF(Agent07_Savings!A127="","",YEAR(Agent07_Savings!D127)),"")</f>
        <v/>
      </c>
    </row>
    <row r="1323" spans="1:11" ht="18" customHeight="1" x14ac:dyDescent="0.25">
      <c r="A1323" s="37" t="str">
        <f>IF(Agent07_Savings!A128="","",Agent07_Savings!A128)</f>
        <v/>
      </c>
      <c r="B1323" s="37" t="str">
        <f ca="1">IF(Agent07_Savings!A128="","","SV"&amp;TEXT(1323-3,"0000")&amp;"-"&amp;TEXT(TODAY(),"YYYYMMDD"))</f>
        <v/>
      </c>
      <c r="C1323" s="37" t="str">
        <f>IF(Agent07_Savings!A128="","",Agent07_Savings!B128)</f>
        <v/>
      </c>
      <c r="D1323" s="37" t="str">
        <f>IF(Agent07_Savings!A128="","",Agent07_Savings!G128)</f>
        <v/>
      </c>
      <c r="E1323" s="38" t="str">
        <f>IF(Agent07_Savings!A128="","",Agent07_Savings!D128)</f>
        <v/>
      </c>
      <c r="F1323" s="39" t="str">
        <f>IF(Agent07_Savings!A128="","",Agent07_Savings!E128)</f>
        <v/>
      </c>
      <c r="G1323" s="39" t="str">
        <f>IF(Agent07_Savings!A128="","",Agent07_Savings!F128)</f>
        <v/>
      </c>
      <c r="H1323" s="37" t="str">
        <f>IF(Agent07_Savings!A128="","",Agent07_Savings!I128)</f>
        <v/>
      </c>
      <c r="I1323" s="37" t="str">
        <f>IF(Agent07_Savings!A128="","",Agent07_Savings!J128)</f>
        <v/>
      </c>
      <c r="J1323" s="37" t="str">
        <f>IF(Agent07_Savings!A128="","",Agent07_Savings!K128)</f>
        <v/>
      </c>
      <c r="K1323" s="37" t="str">
        <f>IFERROR(IF(Agent07_Savings!A128="","",YEAR(Agent07_Savings!D128)),"")</f>
        <v/>
      </c>
    </row>
    <row r="1324" spans="1:11" ht="18" customHeight="1" x14ac:dyDescent="0.25">
      <c r="A1324" s="37" t="str">
        <f>IF(Agent07_Savings!A129="","",Agent07_Savings!A129)</f>
        <v/>
      </c>
      <c r="B1324" s="37" t="str">
        <f ca="1">IF(Agent07_Savings!A129="","","SV"&amp;TEXT(1324-3,"0000")&amp;"-"&amp;TEXT(TODAY(),"YYYYMMDD"))</f>
        <v/>
      </c>
      <c r="C1324" s="37" t="str">
        <f>IF(Agent07_Savings!A129="","",Agent07_Savings!B129)</f>
        <v/>
      </c>
      <c r="D1324" s="37" t="str">
        <f>IF(Agent07_Savings!A129="","",Agent07_Savings!G129)</f>
        <v/>
      </c>
      <c r="E1324" s="38" t="str">
        <f>IF(Agent07_Savings!A129="","",Agent07_Savings!D129)</f>
        <v/>
      </c>
      <c r="F1324" s="39" t="str">
        <f>IF(Agent07_Savings!A129="","",Agent07_Savings!E129)</f>
        <v/>
      </c>
      <c r="G1324" s="39" t="str">
        <f>IF(Agent07_Savings!A129="","",Agent07_Savings!F129)</f>
        <v/>
      </c>
      <c r="H1324" s="37" t="str">
        <f>IF(Agent07_Savings!A129="","",Agent07_Savings!I129)</f>
        <v/>
      </c>
      <c r="I1324" s="37" t="str">
        <f>IF(Agent07_Savings!A129="","",Agent07_Savings!J129)</f>
        <v/>
      </c>
      <c r="J1324" s="37" t="str">
        <f>IF(Agent07_Savings!A129="","",Agent07_Savings!K129)</f>
        <v/>
      </c>
      <c r="K1324" s="37" t="str">
        <f>IFERROR(IF(Agent07_Savings!A129="","",YEAR(Agent07_Savings!D129)),"")</f>
        <v/>
      </c>
    </row>
    <row r="1325" spans="1:11" ht="18" customHeight="1" x14ac:dyDescent="0.25">
      <c r="A1325" s="37" t="str">
        <f>IF(Agent07_Savings!A130="","",Agent07_Savings!A130)</f>
        <v/>
      </c>
      <c r="B1325" s="37" t="str">
        <f ca="1">IF(Agent07_Savings!A130="","","SV"&amp;TEXT(1325-3,"0000")&amp;"-"&amp;TEXT(TODAY(),"YYYYMMDD"))</f>
        <v/>
      </c>
      <c r="C1325" s="37" t="str">
        <f>IF(Agent07_Savings!A130="","",Agent07_Savings!B130)</f>
        <v/>
      </c>
      <c r="D1325" s="37" t="str">
        <f>IF(Agent07_Savings!A130="","",Agent07_Savings!G130)</f>
        <v/>
      </c>
      <c r="E1325" s="38" t="str">
        <f>IF(Agent07_Savings!A130="","",Agent07_Savings!D130)</f>
        <v/>
      </c>
      <c r="F1325" s="39" t="str">
        <f>IF(Agent07_Savings!A130="","",Agent07_Savings!E130)</f>
        <v/>
      </c>
      <c r="G1325" s="39" t="str">
        <f>IF(Agent07_Savings!A130="","",Agent07_Savings!F130)</f>
        <v/>
      </c>
      <c r="H1325" s="37" t="str">
        <f>IF(Agent07_Savings!A130="","",Agent07_Savings!I130)</f>
        <v/>
      </c>
      <c r="I1325" s="37" t="str">
        <f>IF(Agent07_Savings!A130="","",Agent07_Savings!J130)</f>
        <v/>
      </c>
      <c r="J1325" s="37" t="str">
        <f>IF(Agent07_Savings!A130="","",Agent07_Savings!K130)</f>
        <v/>
      </c>
      <c r="K1325" s="37" t="str">
        <f>IFERROR(IF(Agent07_Savings!A130="","",YEAR(Agent07_Savings!D130)),"")</f>
        <v/>
      </c>
    </row>
    <row r="1326" spans="1:11" ht="18" customHeight="1" x14ac:dyDescent="0.25">
      <c r="A1326" s="37" t="str">
        <f>IF(Agent07_Savings!A131="","",Agent07_Savings!A131)</f>
        <v/>
      </c>
      <c r="B1326" s="37" t="str">
        <f ca="1">IF(Agent07_Savings!A131="","","SV"&amp;TEXT(1326-3,"0000")&amp;"-"&amp;TEXT(TODAY(),"YYYYMMDD"))</f>
        <v/>
      </c>
      <c r="C1326" s="37" t="str">
        <f>IF(Agent07_Savings!A131="","",Agent07_Savings!B131)</f>
        <v/>
      </c>
      <c r="D1326" s="37" t="str">
        <f>IF(Agent07_Savings!A131="","",Agent07_Savings!G131)</f>
        <v/>
      </c>
      <c r="E1326" s="38" t="str">
        <f>IF(Agent07_Savings!A131="","",Agent07_Savings!D131)</f>
        <v/>
      </c>
      <c r="F1326" s="39" t="str">
        <f>IF(Agent07_Savings!A131="","",Agent07_Savings!E131)</f>
        <v/>
      </c>
      <c r="G1326" s="39" t="str">
        <f>IF(Agent07_Savings!A131="","",Agent07_Savings!F131)</f>
        <v/>
      </c>
      <c r="H1326" s="37" t="str">
        <f>IF(Agent07_Savings!A131="","",Agent07_Savings!I131)</f>
        <v/>
      </c>
      <c r="I1326" s="37" t="str">
        <f>IF(Agent07_Savings!A131="","",Agent07_Savings!J131)</f>
        <v/>
      </c>
      <c r="J1326" s="37" t="str">
        <f>IF(Agent07_Savings!A131="","",Agent07_Savings!K131)</f>
        <v/>
      </c>
      <c r="K1326" s="37" t="str">
        <f>IFERROR(IF(Agent07_Savings!A131="","",YEAR(Agent07_Savings!D131)),"")</f>
        <v/>
      </c>
    </row>
    <row r="1327" spans="1:11" ht="18" customHeight="1" x14ac:dyDescent="0.25">
      <c r="A1327" s="37" t="str">
        <f>IF(Agent07_Savings!A132="","",Agent07_Savings!A132)</f>
        <v/>
      </c>
      <c r="B1327" s="37" t="str">
        <f ca="1">IF(Agent07_Savings!A132="","","SV"&amp;TEXT(1327-3,"0000")&amp;"-"&amp;TEXT(TODAY(),"YYYYMMDD"))</f>
        <v/>
      </c>
      <c r="C1327" s="37" t="str">
        <f>IF(Agent07_Savings!A132="","",Agent07_Savings!B132)</f>
        <v/>
      </c>
      <c r="D1327" s="37" t="str">
        <f>IF(Agent07_Savings!A132="","",Agent07_Savings!G132)</f>
        <v/>
      </c>
      <c r="E1327" s="38" t="str">
        <f>IF(Agent07_Savings!A132="","",Agent07_Savings!D132)</f>
        <v/>
      </c>
      <c r="F1327" s="39" t="str">
        <f>IF(Agent07_Savings!A132="","",Agent07_Savings!E132)</f>
        <v/>
      </c>
      <c r="G1327" s="39" t="str">
        <f>IF(Agent07_Savings!A132="","",Agent07_Savings!F132)</f>
        <v/>
      </c>
      <c r="H1327" s="37" t="str">
        <f>IF(Agent07_Savings!A132="","",Agent07_Savings!I132)</f>
        <v/>
      </c>
      <c r="I1327" s="37" t="str">
        <f>IF(Agent07_Savings!A132="","",Agent07_Savings!J132)</f>
        <v/>
      </c>
      <c r="J1327" s="37" t="str">
        <f>IF(Agent07_Savings!A132="","",Agent07_Savings!K132)</f>
        <v/>
      </c>
      <c r="K1327" s="37" t="str">
        <f>IFERROR(IF(Agent07_Savings!A132="","",YEAR(Agent07_Savings!D132)),"")</f>
        <v/>
      </c>
    </row>
    <row r="1328" spans="1:11" ht="18" customHeight="1" x14ac:dyDescent="0.25">
      <c r="A1328" s="37" t="str">
        <f>IF(Agent07_Savings!A133="","",Agent07_Savings!A133)</f>
        <v/>
      </c>
      <c r="B1328" s="37" t="str">
        <f ca="1">IF(Agent07_Savings!A133="","","SV"&amp;TEXT(1328-3,"0000")&amp;"-"&amp;TEXT(TODAY(),"YYYYMMDD"))</f>
        <v/>
      </c>
      <c r="C1328" s="37" t="str">
        <f>IF(Agent07_Savings!A133="","",Agent07_Savings!B133)</f>
        <v/>
      </c>
      <c r="D1328" s="37" t="str">
        <f>IF(Agent07_Savings!A133="","",Agent07_Savings!G133)</f>
        <v/>
      </c>
      <c r="E1328" s="38" t="str">
        <f>IF(Agent07_Savings!A133="","",Agent07_Savings!D133)</f>
        <v/>
      </c>
      <c r="F1328" s="39" t="str">
        <f>IF(Agent07_Savings!A133="","",Agent07_Savings!E133)</f>
        <v/>
      </c>
      <c r="G1328" s="39" t="str">
        <f>IF(Agent07_Savings!A133="","",Agent07_Savings!F133)</f>
        <v/>
      </c>
      <c r="H1328" s="37" t="str">
        <f>IF(Agent07_Savings!A133="","",Agent07_Savings!I133)</f>
        <v/>
      </c>
      <c r="I1328" s="37" t="str">
        <f>IF(Agent07_Savings!A133="","",Agent07_Savings!J133)</f>
        <v/>
      </c>
      <c r="J1328" s="37" t="str">
        <f>IF(Agent07_Savings!A133="","",Agent07_Savings!K133)</f>
        <v/>
      </c>
      <c r="K1328" s="37" t="str">
        <f>IFERROR(IF(Agent07_Savings!A133="","",YEAR(Agent07_Savings!D133)),"")</f>
        <v/>
      </c>
    </row>
    <row r="1329" spans="1:11" ht="18" customHeight="1" x14ac:dyDescent="0.25">
      <c r="A1329" s="37" t="str">
        <f>IF(Agent07_Savings!A134="","",Agent07_Savings!A134)</f>
        <v/>
      </c>
      <c r="B1329" s="37" t="str">
        <f ca="1">IF(Agent07_Savings!A134="","","SV"&amp;TEXT(1329-3,"0000")&amp;"-"&amp;TEXT(TODAY(),"YYYYMMDD"))</f>
        <v/>
      </c>
      <c r="C1329" s="37" t="str">
        <f>IF(Agent07_Savings!A134="","",Agent07_Savings!B134)</f>
        <v/>
      </c>
      <c r="D1329" s="37" t="str">
        <f>IF(Agent07_Savings!A134="","",Agent07_Savings!G134)</f>
        <v/>
      </c>
      <c r="E1329" s="38" t="str">
        <f>IF(Agent07_Savings!A134="","",Agent07_Savings!D134)</f>
        <v/>
      </c>
      <c r="F1329" s="39" t="str">
        <f>IF(Agent07_Savings!A134="","",Agent07_Savings!E134)</f>
        <v/>
      </c>
      <c r="G1329" s="39" t="str">
        <f>IF(Agent07_Savings!A134="","",Agent07_Savings!F134)</f>
        <v/>
      </c>
      <c r="H1329" s="37" t="str">
        <f>IF(Agent07_Savings!A134="","",Agent07_Savings!I134)</f>
        <v/>
      </c>
      <c r="I1329" s="37" t="str">
        <f>IF(Agent07_Savings!A134="","",Agent07_Savings!J134)</f>
        <v/>
      </c>
      <c r="J1329" s="37" t="str">
        <f>IF(Agent07_Savings!A134="","",Agent07_Savings!K134)</f>
        <v/>
      </c>
      <c r="K1329" s="37" t="str">
        <f>IFERROR(IF(Agent07_Savings!A134="","",YEAR(Agent07_Savings!D134)),"")</f>
        <v/>
      </c>
    </row>
    <row r="1330" spans="1:11" ht="18" customHeight="1" x14ac:dyDescent="0.25">
      <c r="A1330" s="37" t="str">
        <f>IF(Agent07_Savings!A135="","",Agent07_Savings!A135)</f>
        <v/>
      </c>
      <c r="B1330" s="37" t="str">
        <f ca="1">IF(Agent07_Savings!A135="","","SV"&amp;TEXT(1330-3,"0000")&amp;"-"&amp;TEXT(TODAY(),"YYYYMMDD"))</f>
        <v/>
      </c>
      <c r="C1330" s="37" t="str">
        <f>IF(Agent07_Savings!A135="","",Agent07_Savings!B135)</f>
        <v/>
      </c>
      <c r="D1330" s="37" t="str">
        <f>IF(Agent07_Savings!A135="","",Agent07_Savings!G135)</f>
        <v/>
      </c>
      <c r="E1330" s="38" t="str">
        <f>IF(Agent07_Savings!A135="","",Agent07_Savings!D135)</f>
        <v/>
      </c>
      <c r="F1330" s="39" t="str">
        <f>IF(Agent07_Savings!A135="","",Agent07_Savings!E135)</f>
        <v/>
      </c>
      <c r="G1330" s="39" t="str">
        <f>IF(Agent07_Savings!A135="","",Agent07_Savings!F135)</f>
        <v/>
      </c>
      <c r="H1330" s="37" t="str">
        <f>IF(Agent07_Savings!A135="","",Agent07_Savings!I135)</f>
        <v/>
      </c>
      <c r="I1330" s="37" t="str">
        <f>IF(Agent07_Savings!A135="","",Agent07_Savings!J135)</f>
        <v/>
      </c>
      <c r="J1330" s="37" t="str">
        <f>IF(Agent07_Savings!A135="","",Agent07_Savings!K135)</f>
        <v/>
      </c>
      <c r="K1330" s="37" t="str">
        <f>IFERROR(IF(Agent07_Savings!A135="","",YEAR(Agent07_Savings!D135)),"")</f>
        <v/>
      </c>
    </row>
    <row r="1331" spans="1:11" ht="18" customHeight="1" x14ac:dyDescent="0.25">
      <c r="A1331" s="37" t="str">
        <f>IF(Agent07_Savings!A136="","",Agent07_Savings!A136)</f>
        <v/>
      </c>
      <c r="B1331" s="37" t="str">
        <f ca="1">IF(Agent07_Savings!A136="","","SV"&amp;TEXT(1331-3,"0000")&amp;"-"&amp;TEXT(TODAY(),"YYYYMMDD"))</f>
        <v/>
      </c>
      <c r="C1331" s="37" t="str">
        <f>IF(Agent07_Savings!A136="","",Agent07_Savings!B136)</f>
        <v/>
      </c>
      <c r="D1331" s="37" t="str">
        <f>IF(Agent07_Savings!A136="","",Agent07_Savings!G136)</f>
        <v/>
      </c>
      <c r="E1331" s="38" t="str">
        <f>IF(Agent07_Savings!A136="","",Agent07_Savings!D136)</f>
        <v/>
      </c>
      <c r="F1331" s="39" t="str">
        <f>IF(Agent07_Savings!A136="","",Agent07_Savings!E136)</f>
        <v/>
      </c>
      <c r="G1331" s="39" t="str">
        <f>IF(Agent07_Savings!A136="","",Agent07_Savings!F136)</f>
        <v/>
      </c>
      <c r="H1331" s="37" t="str">
        <f>IF(Agent07_Savings!A136="","",Agent07_Savings!I136)</f>
        <v/>
      </c>
      <c r="I1331" s="37" t="str">
        <f>IF(Agent07_Savings!A136="","",Agent07_Savings!J136)</f>
        <v/>
      </c>
      <c r="J1331" s="37" t="str">
        <f>IF(Agent07_Savings!A136="","",Agent07_Savings!K136)</f>
        <v/>
      </c>
      <c r="K1331" s="37" t="str">
        <f>IFERROR(IF(Agent07_Savings!A136="","",YEAR(Agent07_Savings!D136)),"")</f>
        <v/>
      </c>
    </row>
    <row r="1332" spans="1:11" ht="18" customHeight="1" x14ac:dyDescent="0.25">
      <c r="A1332" s="37" t="str">
        <f>IF(Agent07_Savings!A137="","",Agent07_Savings!A137)</f>
        <v/>
      </c>
      <c r="B1332" s="37" t="str">
        <f ca="1">IF(Agent07_Savings!A137="","","SV"&amp;TEXT(1332-3,"0000")&amp;"-"&amp;TEXT(TODAY(),"YYYYMMDD"))</f>
        <v/>
      </c>
      <c r="C1332" s="37" t="str">
        <f>IF(Agent07_Savings!A137="","",Agent07_Savings!B137)</f>
        <v/>
      </c>
      <c r="D1332" s="37" t="str">
        <f>IF(Agent07_Savings!A137="","",Agent07_Savings!G137)</f>
        <v/>
      </c>
      <c r="E1332" s="38" t="str">
        <f>IF(Agent07_Savings!A137="","",Agent07_Savings!D137)</f>
        <v/>
      </c>
      <c r="F1332" s="39" t="str">
        <f>IF(Agent07_Savings!A137="","",Agent07_Savings!E137)</f>
        <v/>
      </c>
      <c r="G1332" s="39" t="str">
        <f>IF(Agent07_Savings!A137="","",Agent07_Savings!F137)</f>
        <v/>
      </c>
      <c r="H1332" s="37" t="str">
        <f>IF(Agent07_Savings!A137="","",Agent07_Savings!I137)</f>
        <v/>
      </c>
      <c r="I1332" s="37" t="str">
        <f>IF(Agent07_Savings!A137="","",Agent07_Savings!J137)</f>
        <v/>
      </c>
      <c r="J1332" s="37" t="str">
        <f>IF(Agent07_Savings!A137="","",Agent07_Savings!K137)</f>
        <v/>
      </c>
      <c r="K1332" s="37" t="str">
        <f>IFERROR(IF(Agent07_Savings!A137="","",YEAR(Agent07_Savings!D137)),"")</f>
        <v/>
      </c>
    </row>
    <row r="1333" spans="1:11" ht="18" customHeight="1" x14ac:dyDescent="0.25">
      <c r="A1333" s="37" t="str">
        <f>IF(Agent07_Savings!A138="","",Agent07_Savings!A138)</f>
        <v/>
      </c>
      <c r="B1333" s="37" t="str">
        <f ca="1">IF(Agent07_Savings!A138="","","SV"&amp;TEXT(1333-3,"0000")&amp;"-"&amp;TEXT(TODAY(),"YYYYMMDD"))</f>
        <v/>
      </c>
      <c r="C1333" s="37" t="str">
        <f>IF(Agent07_Savings!A138="","",Agent07_Savings!B138)</f>
        <v/>
      </c>
      <c r="D1333" s="37" t="str">
        <f>IF(Agent07_Savings!A138="","",Agent07_Savings!G138)</f>
        <v/>
      </c>
      <c r="E1333" s="38" t="str">
        <f>IF(Agent07_Savings!A138="","",Agent07_Savings!D138)</f>
        <v/>
      </c>
      <c r="F1333" s="39" t="str">
        <f>IF(Agent07_Savings!A138="","",Agent07_Savings!E138)</f>
        <v/>
      </c>
      <c r="G1333" s="39" t="str">
        <f>IF(Agent07_Savings!A138="","",Agent07_Savings!F138)</f>
        <v/>
      </c>
      <c r="H1333" s="37" t="str">
        <f>IF(Agent07_Savings!A138="","",Agent07_Savings!I138)</f>
        <v/>
      </c>
      <c r="I1333" s="37" t="str">
        <f>IF(Agent07_Savings!A138="","",Agent07_Savings!J138)</f>
        <v/>
      </c>
      <c r="J1333" s="37" t="str">
        <f>IF(Agent07_Savings!A138="","",Agent07_Savings!K138)</f>
        <v/>
      </c>
      <c r="K1333" s="37" t="str">
        <f>IFERROR(IF(Agent07_Savings!A138="","",YEAR(Agent07_Savings!D138)),"")</f>
        <v/>
      </c>
    </row>
    <row r="1334" spans="1:11" ht="18" customHeight="1" x14ac:dyDescent="0.25">
      <c r="A1334" s="37" t="str">
        <f>IF(Agent07_Savings!A139="","",Agent07_Savings!A139)</f>
        <v/>
      </c>
      <c r="B1334" s="37" t="str">
        <f ca="1">IF(Agent07_Savings!A139="","","SV"&amp;TEXT(1334-3,"0000")&amp;"-"&amp;TEXT(TODAY(),"YYYYMMDD"))</f>
        <v/>
      </c>
      <c r="C1334" s="37" t="str">
        <f>IF(Agent07_Savings!A139="","",Agent07_Savings!B139)</f>
        <v/>
      </c>
      <c r="D1334" s="37" t="str">
        <f>IF(Agent07_Savings!A139="","",Agent07_Savings!G139)</f>
        <v/>
      </c>
      <c r="E1334" s="38" t="str">
        <f>IF(Agent07_Savings!A139="","",Agent07_Savings!D139)</f>
        <v/>
      </c>
      <c r="F1334" s="39" t="str">
        <f>IF(Agent07_Savings!A139="","",Agent07_Savings!E139)</f>
        <v/>
      </c>
      <c r="G1334" s="39" t="str">
        <f>IF(Agent07_Savings!A139="","",Agent07_Savings!F139)</f>
        <v/>
      </c>
      <c r="H1334" s="37" t="str">
        <f>IF(Agent07_Savings!A139="","",Agent07_Savings!I139)</f>
        <v/>
      </c>
      <c r="I1334" s="37" t="str">
        <f>IF(Agent07_Savings!A139="","",Agent07_Savings!J139)</f>
        <v/>
      </c>
      <c r="J1334" s="37" t="str">
        <f>IF(Agent07_Savings!A139="","",Agent07_Savings!K139)</f>
        <v/>
      </c>
      <c r="K1334" s="37" t="str">
        <f>IFERROR(IF(Agent07_Savings!A139="","",YEAR(Agent07_Savings!D139)),"")</f>
        <v/>
      </c>
    </row>
    <row r="1335" spans="1:11" ht="18" customHeight="1" x14ac:dyDescent="0.25">
      <c r="A1335" s="37" t="str">
        <f>IF(Agent07_Savings!A140="","",Agent07_Savings!A140)</f>
        <v/>
      </c>
      <c r="B1335" s="37" t="str">
        <f ca="1">IF(Agent07_Savings!A140="","","SV"&amp;TEXT(1335-3,"0000")&amp;"-"&amp;TEXT(TODAY(),"YYYYMMDD"))</f>
        <v/>
      </c>
      <c r="C1335" s="37" t="str">
        <f>IF(Agent07_Savings!A140="","",Agent07_Savings!B140)</f>
        <v/>
      </c>
      <c r="D1335" s="37" t="str">
        <f>IF(Agent07_Savings!A140="","",Agent07_Savings!G140)</f>
        <v/>
      </c>
      <c r="E1335" s="38" t="str">
        <f>IF(Agent07_Savings!A140="","",Agent07_Savings!D140)</f>
        <v/>
      </c>
      <c r="F1335" s="39" t="str">
        <f>IF(Agent07_Savings!A140="","",Agent07_Savings!E140)</f>
        <v/>
      </c>
      <c r="G1335" s="39" t="str">
        <f>IF(Agent07_Savings!A140="","",Agent07_Savings!F140)</f>
        <v/>
      </c>
      <c r="H1335" s="37" t="str">
        <f>IF(Agent07_Savings!A140="","",Agent07_Savings!I140)</f>
        <v/>
      </c>
      <c r="I1335" s="37" t="str">
        <f>IF(Agent07_Savings!A140="","",Agent07_Savings!J140)</f>
        <v/>
      </c>
      <c r="J1335" s="37" t="str">
        <f>IF(Agent07_Savings!A140="","",Agent07_Savings!K140)</f>
        <v/>
      </c>
      <c r="K1335" s="37" t="str">
        <f>IFERROR(IF(Agent07_Savings!A140="","",YEAR(Agent07_Savings!D140)),"")</f>
        <v/>
      </c>
    </row>
    <row r="1336" spans="1:11" ht="18" customHeight="1" x14ac:dyDescent="0.25">
      <c r="A1336" s="37" t="str">
        <f>IF(Agent07_Savings!A141="","",Agent07_Savings!A141)</f>
        <v/>
      </c>
      <c r="B1336" s="37" t="str">
        <f ca="1">IF(Agent07_Savings!A141="","","SV"&amp;TEXT(1336-3,"0000")&amp;"-"&amp;TEXT(TODAY(),"YYYYMMDD"))</f>
        <v/>
      </c>
      <c r="C1336" s="37" t="str">
        <f>IF(Agent07_Savings!A141="","",Agent07_Savings!B141)</f>
        <v/>
      </c>
      <c r="D1336" s="37" t="str">
        <f>IF(Agent07_Savings!A141="","",Agent07_Savings!G141)</f>
        <v/>
      </c>
      <c r="E1336" s="38" t="str">
        <f>IF(Agent07_Savings!A141="","",Agent07_Savings!D141)</f>
        <v/>
      </c>
      <c r="F1336" s="39" t="str">
        <f>IF(Agent07_Savings!A141="","",Agent07_Savings!E141)</f>
        <v/>
      </c>
      <c r="G1336" s="39" t="str">
        <f>IF(Agent07_Savings!A141="","",Agent07_Savings!F141)</f>
        <v/>
      </c>
      <c r="H1336" s="37" t="str">
        <f>IF(Agent07_Savings!A141="","",Agent07_Savings!I141)</f>
        <v/>
      </c>
      <c r="I1336" s="37" t="str">
        <f>IF(Agent07_Savings!A141="","",Agent07_Savings!J141)</f>
        <v/>
      </c>
      <c r="J1336" s="37" t="str">
        <f>IF(Agent07_Savings!A141="","",Agent07_Savings!K141)</f>
        <v/>
      </c>
      <c r="K1336" s="37" t="str">
        <f>IFERROR(IF(Agent07_Savings!A141="","",YEAR(Agent07_Savings!D141)),"")</f>
        <v/>
      </c>
    </row>
    <row r="1337" spans="1:11" ht="18" customHeight="1" x14ac:dyDescent="0.25">
      <c r="A1337" s="37" t="str">
        <f>IF(Agent07_Savings!A142="","",Agent07_Savings!A142)</f>
        <v/>
      </c>
      <c r="B1337" s="37" t="str">
        <f ca="1">IF(Agent07_Savings!A142="","","SV"&amp;TEXT(1337-3,"0000")&amp;"-"&amp;TEXT(TODAY(),"YYYYMMDD"))</f>
        <v/>
      </c>
      <c r="C1337" s="37" t="str">
        <f>IF(Agent07_Savings!A142="","",Agent07_Savings!B142)</f>
        <v/>
      </c>
      <c r="D1337" s="37" t="str">
        <f>IF(Agent07_Savings!A142="","",Agent07_Savings!G142)</f>
        <v/>
      </c>
      <c r="E1337" s="38" t="str">
        <f>IF(Agent07_Savings!A142="","",Agent07_Savings!D142)</f>
        <v/>
      </c>
      <c r="F1337" s="39" t="str">
        <f>IF(Agent07_Savings!A142="","",Agent07_Savings!E142)</f>
        <v/>
      </c>
      <c r="G1337" s="39" t="str">
        <f>IF(Agent07_Savings!A142="","",Agent07_Savings!F142)</f>
        <v/>
      </c>
      <c r="H1337" s="37" t="str">
        <f>IF(Agent07_Savings!A142="","",Agent07_Savings!I142)</f>
        <v/>
      </c>
      <c r="I1337" s="37" t="str">
        <f>IF(Agent07_Savings!A142="","",Agent07_Savings!J142)</f>
        <v/>
      </c>
      <c r="J1337" s="37" t="str">
        <f>IF(Agent07_Savings!A142="","",Agent07_Savings!K142)</f>
        <v/>
      </c>
      <c r="K1337" s="37" t="str">
        <f>IFERROR(IF(Agent07_Savings!A142="","",YEAR(Agent07_Savings!D142)),"")</f>
        <v/>
      </c>
    </row>
    <row r="1338" spans="1:11" ht="18" customHeight="1" x14ac:dyDescent="0.25">
      <c r="A1338" s="37" t="str">
        <f>IF(Agent07_Savings!A143="","",Agent07_Savings!A143)</f>
        <v/>
      </c>
      <c r="B1338" s="37" t="str">
        <f ca="1">IF(Agent07_Savings!A143="","","SV"&amp;TEXT(1338-3,"0000")&amp;"-"&amp;TEXT(TODAY(),"YYYYMMDD"))</f>
        <v/>
      </c>
      <c r="C1338" s="37" t="str">
        <f>IF(Agent07_Savings!A143="","",Agent07_Savings!B143)</f>
        <v/>
      </c>
      <c r="D1338" s="37" t="str">
        <f>IF(Agent07_Savings!A143="","",Agent07_Savings!G143)</f>
        <v/>
      </c>
      <c r="E1338" s="38" t="str">
        <f>IF(Agent07_Savings!A143="","",Agent07_Savings!D143)</f>
        <v/>
      </c>
      <c r="F1338" s="39" t="str">
        <f>IF(Agent07_Savings!A143="","",Agent07_Savings!E143)</f>
        <v/>
      </c>
      <c r="G1338" s="39" t="str">
        <f>IF(Agent07_Savings!A143="","",Agent07_Savings!F143)</f>
        <v/>
      </c>
      <c r="H1338" s="37" t="str">
        <f>IF(Agent07_Savings!A143="","",Agent07_Savings!I143)</f>
        <v/>
      </c>
      <c r="I1338" s="37" t="str">
        <f>IF(Agent07_Savings!A143="","",Agent07_Savings!J143)</f>
        <v/>
      </c>
      <c r="J1338" s="37" t="str">
        <f>IF(Agent07_Savings!A143="","",Agent07_Savings!K143)</f>
        <v/>
      </c>
      <c r="K1338" s="37" t="str">
        <f>IFERROR(IF(Agent07_Savings!A143="","",YEAR(Agent07_Savings!D143)),"")</f>
        <v/>
      </c>
    </row>
    <row r="1339" spans="1:11" ht="18" customHeight="1" x14ac:dyDescent="0.25">
      <c r="A1339" s="37" t="str">
        <f>IF(Agent07_Savings!A144="","",Agent07_Savings!A144)</f>
        <v/>
      </c>
      <c r="B1339" s="37" t="str">
        <f ca="1">IF(Agent07_Savings!A144="","","SV"&amp;TEXT(1339-3,"0000")&amp;"-"&amp;TEXT(TODAY(),"YYYYMMDD"))</f>
        <v/>
      </c>
      <c r="C1339" s="37" t="str">
        <f>IF(Agent07_Savings!A144="","",Agent07_Savings!B144)</f>
        <v/>
      </c>
      <c r="D1339" s="37" t="str">
        <f>IF(Agent07_Savings!A144="","",Agent07_Savings!G144)</f>
        <v/>
      </c>
      <c r="E1339" s="38" t="str">
        <f>IF(Agent07_Savings!A144="","",Agent07_Savings!D144)</f>
        <v/>
      </c>
      <c r="F1339" s="39" t="str">
        <f>IF(Agent07_Savings!A144="","",Agent07_Savings!E144)</f>
        <v/>
      </c>
      <c r="G1339" s="39" t="str">
        <f>IF(Agent07_Savings!A144="","",Agent07_Savings!F144)</f>
        <v/>
      </c>
      <c r="H1339" s="37" t="str">
        <f>IF(Agent07_Savings!A144="","",Agent07_Savings!I144)</f>
        <v/>
      </c>
      <c r="I1339" s="37" t="str">
        <f>IF(Agent07_Savings!A144="","",Agent07_Savings!J144)</f>
        <v/>
      </c>
      <c r="J1339" s="37" t="str">
        <f>IF(Agent07_Savings!A144="","",Agent07_Savings!K144)</f>
        <v/>
      </c>
      <c r="K1339" s="37" t="str">
        <f>IFERROR(IF(Agent07_Savings!A144="","",YEAR(Agent07_Savings!D144)),"")</f>
        <v/>
      </c>
    </row>
    <row r="1340" spans="1:11" ht="18" customHeight="1" x14ac:dyDescent="0.25">
      <c r="A1340" s="37" t="str">
        <f>IF(Agent07_Savings!A145="","",Agent07_Savings!A145)</f>
        <v/>
      </c>
      <c r="B1340" s="37" t="str">
        <f ca="1">IF(Agent07_Savings!A145="","","SV"&amp;TEXT(1340-3,"0000")&amp;"-"&amp;TEXT(TODAY(),"YYYYMMDD"))</f>
        <v/>
      </c>
      <c r="C1340" s="37" t="str">
        <f>IF(Agent07_Savings!A145="","",Agent07_Savings!B145)</f>
        <v/>
      </c>
      <c r="D1340" s="37" t="str">
        <f>IF(Agent07_Savings!A145="","",Agent07_Savings!G145)</f>
        <v/>
      </c>
      <c r="E1340" s="38" t="str">
        <f>IF(Agent07_Savings!A145="","",Agent07_Savings!D145)</f>
        <v/>
      </c>
      <c r="F1340" s="39" t="str">
        <f>IF(Agent07_Savings!A145="","",Agent07_Savings!E145)</f>
        <v/>
      </c>
      <c r="G1340" s="39" t="str">
        <f>IF(Agent07_Savings!A145="","",Agent07_Savings!F145)</f>
        <v/>
      </c>
      <c r="H1340" s="37" t="str">
        <f>IF(Agent07_Savings!A145="","",Agent07_Savings!I145)</f>
        <v/>
      </c>
      <c r="I1340" s="37" t="str">
        <f>IF(Agent07_Savings!A145="","",Agent07_Savings!J145)</f>
        <v/>
      </c>
      <c r="J1340" s="37" t="str">
        <f>IF(Agent07_Savings!A145="","",Agent07_Savings!K145)</f>
        <v/>
      </c>
      <c r="K1340" s="37" t="str">
        <f>IFERROR(IF(Agent07_Savings!A145="","",YEAR(Agent07_Savings!D145)),"")</f>
        <v/>
      </c>
    </row>
    <row r="1341" spans="1:11" ht="18" customHeight="1" x14ac:dyDescent="0.25">
      <c r="A1341" s="37" t="str">
        <f>IF(Agent07_Savings!A146="","",Agent07_Savings!A146)</f>
        <v/>
      </c>
      <c r="B1341" s="37" t="str">
        <f ca="1">IF(Agent07_Savings!A146="","","SV"&amp;TEXT(1341-3,"0000")&amp;"-"&amp;TEXT(TODAY(),"YYYYMMDD"))</f>
        <v/>
      </c>
      <c r="C1341" s="37" t="str">
        <f>IF(Agent07_Savings!A146="","",Agent07_Savings!B146)</f>
        <v/>
      </c>
      <c r="D1341" s="37" t="str">
        <f>IF(Agent07_Savings!A146="","",Agent07_Savings!G146)</f>
        <v/>
      </c>
      <c r="E1341" s="38" t="str">
        <f>IF(Agent07_Savings!A146="","",Agent07_Savings!D146)</f>
        <v/>
      </c>
      <c r="F1341" s="39" t="str">
        <f>IF(Agent07_Savings!A146="","",Agent07_Savings!E146)</f>
        <v/>
      </c>
      <c r="G1341" s="39" t="str">
        <f>IF(Agent07_Savings!A146="","",Agent07_Savings!F146)</f>
        <v/>
      </c>
      <c r="H1341" s="37" t="str">
        <f>IF(Agent07_Savings!A146="","",Agent07_Savings!I146)</f>
        <v/>
      </c>
      <c r="I1341" s="37" t="str">
        <f>IF(Agent07_Savings!A146="","",Agent07_Savings!J146)</f>
        <v/>
      </c>
      <c r="J1341" s="37" t="str">
        <f>IF(Agent07_Savings!A146="","",Agent07_Savings!K146)</f>
        <v/>
      </c>
      <c r="K1341" s="37" t="str">
        <f>IFERROR(IF(Agent07_Savings!A146="","",YEAR(Agent07_Savings!D146)),"")</f>
        <v/>
      </c>
    </row>
    <row r="1342" spans="1:11" ht="18" customHeight="1" x14ac:dyDescent="0.25">
      <c r="A1342" s="37" t="str">
        <f>IF(Agent07_Savings!A147="","",Agent07_Savings!A147)</f>
        <v/>
      </c>
      <c r="B1342" s="37" t="str">
        <f ca="1">IF(Agent07_Savings!A147="","","SV"&amp;TEXT(1342-3,"0000")&amp;"-"&amp;TEXT(TODAY(),"YYYYMMDD"))</f>
        <v/>
      </c>
      <c r="C1342" s="37" t="str">
        <f>IF(Agent07_Savings!A147="","",Agent07_Savings!B147)</f>
        <v/>
      </c>
      <c r="D1342" s="37" t="str">
        <f>IF(Agent07_Savings!A147="","",Agent07_Savings!G147)</f>
        <v/>
      </c>
      <c r="E1342" s="38" t="str">
        <f>IF(Agent07_Savings!A147="","",Agent07_Savings!D147)</f>
        <v/>
      </c>
      <c r="F1342" s="39" t="str">
        <f>IF(Agent07_Savings!A147="","",Agent07_Savings!E147)</f>
        <v/>
      </c>
      <c r="G1342" s="39" t="str">
        <f>IF(Agent07_Savings!A147="","",Agent07_Savings!F147)</f>
        <v/>
      </c>
      <c r="H1342" s="37" t="str">
        <f>IF(Agent07_Savings!A147="","",Agent07_Savings!I147)</f>
        <v/>
      </c>
      <c r="I1342" s="37" t="str">
        <f>IF(Agent07_Savings!A147="","",Agent07_Savings!J147)</f>
        <v/>
      </c>
      <c r="J1342" s="37" t="str">
        <f>IF(Agent07_Savings!A147="","",Agent07_Savings!K147)</f>
        <v/>
      </c>
      <c r="K1342" s="37" t="str">
        <f>IFERROR(IF(Agent07_Savings!A147="","",YEAR(Agent07_Savings!D147)),"")</f>
        <v/>
      </c>
    </row>
    <row r="1343" spans="1:11" ht="18" customHeight="1" x14ac:dyDescent="0.25">
      <c r="A1343" s="37" t="str">
        <f>IF(Agent07_Savings!A148="","",Agent07_Savings!A148)</f>
        <v/>
      </c>
      <c r="B1343" s="37" t="str">
        <f ca="1">IF(Agent07_Savings!A148="","","SV"&amp;TEXT(1343-3,"0000")&amp;"-"&amp;TEXT(TODAY(),"YYYYMMDD"))</f>
        <v/>
      </c>
      <c r="C1343" s="37" t="str">
        <f>IF(Agent07_Savings!A148="","",Agent07_Savings!B148)</f>
        <v/>
      </c>
      <c r="D1343" s="37" t="str">
        <f>IF(Agent07_Savings!A148="","",Agent07_Savings!G148)</f>
        <v/>
      </c>
      <c r="E1343" s="38" t="str">
        <f>IF(Agent07_Savings!A148="","",Agent07_Savings!D148)</f>
        <v/>
      </c>
      <c r="F1343" s="39" t="str">
        <f>IF(Agent07_Savings!A148="","",Agent07_Savings!E148)</f>
        <v/>
      </c>
      <c r="G1343" s="39" t="str">
        <f>IF(Agent07_Savings!A148="","",Agent07_Savings!F148)</f>
        <v/>
      </c>
      <c r="H1343" s="37" t="str">
        <f>IF(Agent07_Savings!A148="","",Agent07_Savings!I148)</f>
        <v/>
      </c>
      <c r="I1343" s="37" t="str">
        <f>IF(Agent07_Savings!A148="","",Agent07_Savings!J148)</f>
        <v/>
      </c>
      <c r="J1343" s="37" t="str">
        <f>IF(Agent07_Savings!A148="","",Agent07_Savings!K148)</f>
        <v/>
      </c>
      <c r="K1343" s="37" t="str">
        <f>IFERROR(IF(Agent07_Savings!A148="","",YEAR(Agent07_Savings!D148)),"")</f>
        <v/>
      </c>
    </row>
    <row r="1344" spans="1:11" ht="18" customHeight="1" x14ac:dyDescent="0.25">
      <c r="A1344" s="37" t="str">
        <f>IF(Agent07_Savings!A149="","",Agent07_Savings!A149)</f>
        <v/>
      </c>
      <c r="B1344" s="37" t="str">
        <f ca="1">IF(Agent07_Savings!A149="","","SV"&amp;TEXT(1344-3,"0000")&amp;"-"&amp;TEXT(TODAY(),"YYYYMMDD"))</f>
        <v/>
      </c>
      <c r="C1344" s="37" t="str">
        <f>IF(Agent07_Savings!A149="","",Agent07_Savings!B149)</f>
        <v/>
      </c>
      <c r="D1344" s="37" t="str">
        <f>IF(Agent07_Savings!A149="","",Agent07_Savings!G149)</f>
        <v/>
      </c>
      <c r="E1344" s="38" t="str">
        <f>IF(Agent07_Savings!A149="","",Agent07_Savings!D149)</f>
        <v/>
      </c>
      <c r="F1344" s="39" t="str">
        <f>IF(Agent07_Savings!A149="","",Agent07_Savings!E149)</f>
        <v/>
      </c>
      <c r="G1344" s="39" t="str">
        <f>IF(Agent07_Savings!A149="","",Agent07_Savings!F149)</f>
        <v/>
      </c>
      <c r="H1344" s="37" t="str">
        <f>IF(Agent07_Savings!A149="","",Agent07_Savings!I149)</f>
        <v/>
      </c>
      <c r="I1344" s="37" t="str">
        <f>IF(Agent07_Savings!A149="","",Agent07_Savings!J149)</f>
        <v/>
      </c>
      <c r="J1344" s="37" t="str">
        <f>IF(Agent07_Savings!A149="","",Agent07_Savings!K149)</f>
        <v/>
      </c>
      <c r="K1344" s="37" t="str">
        <f>IFERROR(IF(Agent07_Savings!A149="","",YEAR(Agent07_Savings!D149)),"")</f>
        <v/>
      </c>
    </row>
    <row r="1345" spans="1:11" ht="18" customHeight="1" x14ac:dyDescent="0.25">
      <c r="A1345" s="37" t="str">
        <f>IF(Agent07_Savings!A150="","",Agent07_Savings!A150)</f>
        <v/>
      </c>
      <c r="B1345" s="37" t="str">
        <f ca="1">IF(Agent07_Savings!A150="","","SV"&amp;TEXT(1345-3,"0000")&amp;"-"&amp;TEXT(TODAY(),"YYYYMMDD"))</f>
        <v/>
      </c>
      <c r="C1345" s="37" t="str">
        <f>IF(Agent07_Savings!A150="","",Agent07_Savings!B150)</f>
        <v/>
      </c>
      <c r="D1345" s="37" t="str">
        <f>IF(Agent07_Savings!A150="","",Agent07_Savings!G150)</f>
        <v/>
      </c>
      <c r="E1345" s="38" t="str">
        <f>IF(Agent07_Savings!A150="","",Agent07_Savings!D150)</f>
        <v/>
      </c>
      <c r="F1345" s="39" t="str">
        <f>IF(Agent07_Savings!A150="","",Agent07_Savings!E150)</f>
        <v/>
      </c>
      <c r="G1345" s="39" t="str">
        <f>IF(Agent07_Savings!A150="","",Agent07_Savings!F150)</f>
        <v/>
      </c>
      <c r="H1345" s="37" t="str">
        <f>IF(Agent07_Savings!A150="","",Agent07_Savings!I150)</f>
        <v/>
      </c>
      <c r="I1345" s="37" t="str">
        <f>IF(Agent07_Savings!A150="","",Agent07_Savings!J150)</f>
        <v/>
      </c>
      <c r="J1345" s="37" t="str">
        <f>IF(Agent07_Savings!A150="","",Agent07_Savings!K150)</f>
        <v/>
      </c>
      <c r="K1345" s="37" t="str">
        <f>IFERROR(IF(Agent07_Savings!A150="","",YEAR(Agent07_Savings!D150)),"")</f>
        <v/>
      </c>
    </row>
    <row r="1346" spans="1:11" ht="18" customHeight="1" x14ac:dyDescent="0.25">
      <c r="A1346" s="37" t="str">
        <f>IF(Agent07_Savings!A151="","",Agent07_Savings!A151)</f>
        <v/>
      </c>
      <c r="B1346" s="37" t="str">
        <f ca="1">IF(Agent07_Savings!A151="","","SV"&amp;TEXT(1346-3,"0000")&amp;"-"&amp;TEXT(TODAY(),"YYYYMMDD"))</f>
        <v/>
      </c>
      <c r="C1346" s="37" t="str">
        <f>IF(Agent07_Savings!A151="","",Agent07_Savings!B151)</f>
        <v/>
      </c>
      <c r="D1346" s="37" t="str">
        <f>IF(Agent07_Savings!A151="","",Agent07_Savings!G151)</f>
        <v/>
      </c>
      <c r="E1346" s="38" t="str">
        <f>IF(Agent07_Savings!A151="","",Agent07_Savings!D151)</f>
        <v/>
      </c>
      <c r="F1346" s="39" t="str">
        <f>IF(Agent07_Savings!A151="","",Agent07_Savings!E151)</f>
        <v/>
      </c>
      <c r="G1346" s="39" t="str">
        <f>IF(Agent07_Savings!A151="","",Agent07_Savings!F151)</f>
        <v/>
      </c>
      <c r="H1346" s="37" t="str">
        <f>IF(Agent07_Savings!A151="","",Agent07_Savings!I151)</f>
        <v/>
      </c>
      <c r="I1346" s="37" t="str">
        <f>IF(Agent07_Savings!A151="","",Agent07_Savings!J151)</f>
        <v/>
      </c>
      <c r="J1346" s="37" t="str">
        <f>IF(Agent07_Savings!A151="","",Agent07_Savings!K151)</f>
        <v/>
      </c>
      <c r="K1346" s="37" t="str">
        <f>IFERROR(IF(Agent07_Savings!A151="","",YEAR(Agent07_Savings!D151)),"")</f>
        <v/>
      </c>
    </row>
    <row r="1347" spans="1:11" ht="18" customHeight="1" x14ac:dyDescent="0.25">
      <c r="A1347" s="37" t="str">
        <f>IF(Agent07_Savings!A152="","",Agent07_Savings!A152)</f>
        <v/>
      </c>
      <c r="B1347" s="37" t="str">
        <f ca="1">IF(Agent07_Savings!A152="","","SV"&amp;TEXT(1347-3,"0000")&amp;"-"&amp;TEXT(TODAY(),"YYYYMMDD"))</f>
        <v/>
      </c>
      <c r="C1347" s="37" t="str">
        <f>IF(Agent07_Savings!A152="","",Agent07_Savings!B152)</f>
        <v/>
      </c>
      <c r="D1347" s="37" t="str">
        <f>IF(Agent07_Savings!A152="","",Agent07_Savings!G152)</f>
        <v/>
      </c>
      <c r="E1347" s="38" t="str">
        <f>IF(Agent07_Savings!A152="","",Agent07_Savings!D152)</f>
        <v/>
      </c>
      <c r="F1347" s="39" t="str">
        <f>IF(Agent07_Savings!A152="","",Agent07_Savings!E152)</f>
        <v/>
      </c>
      <c r="G1347" s="39" t="str">
        <f>IF(Agent07_Savings!A152="","",Agent07_Savings!F152)</f>
        <v/>
      </c>
      <c r="H1347" s="37" t="str">
        <f>IF(Agent07_Savings!A152="","",Agent07_Savings!I152)</f>
        <v/>
      </c>
      <c r="I1347" s="37" t="str">
        <f>IF(Agent07_Savings!A152="","",Agent07_Savings!J152)</f>
        <v/>
      </c>
      <c r="J1347" s="37" t="str">
        <f>IF(Agent07_Savings!A152="","",Agent07_Savings!K152)</f>
        <v/>
      </c>
      <c r="K1347" s="37" t="str">
        <f>IFERROR(IF(Agent07_Savings!A152="","",YEAR(Agent07_Savings!D152)),"")</f>
        <v/>
      </c>
    </row>
    <row r="1348" spans="1:11" ht="18" customHeight="1" x14ac:dyDescent="0.25">
      <c r="A1348" s="37" t="str">
        <f>IF(Agent07_Savings!A153="","",Agent07_Savings!A153)</f>
        <v/>
      </c>
      <c r="B1348" s="37" t="str">
        <f ca="1">IF(Agent07_Savings!A153="","","SV"&amp;TEXT(1348-3,"0000")&amp;"-"&amp;TEXT(TODAY(),"YYYYMMDD"))</f>
        <v/>
      </c>
      <c r="C1348" s="37" t="str">
        <f>IF(Agent07_Savings!A153="","",Agent07_Savings!B153)</f>
        <v/>
      </c>
      <c r="D1348" s="37" t="str">
        <f>IF(Agent07_Savings!A153="","",Agent07_Savings!G153)</f>
        <v/>
      </c>
      <c r="E1348" s="38" t="str">
        <f>IF(Agent07_Savings!A153="","",Agent07_Savings!D153)</f>
        <v/>
      </c>
      <c r="F1348" s="39" t="str">
        <f>IF(Agent07_Savings!A153="","",Agent07_Savings!E153)</f>
        <v/>
      </c>
      <c r="G1348" s="39" t="str">
        <f>IF(Agent07_Savings!A153="","",Agent07_Savings!F153)</f>
        <v/>
      </c>
      <c r="H1348" s="37" t="str">
        <f>IF(Agent07_Savings!A153="","",Agent07_Savings!I153)</f>
        <v/>
      </c>
      <c r="I1348" s="37" t="str">
        <f>IF(Agent07_Savings!A153="","",Agent07_Savings!J153)</f>
        <v/>
      </c>
      <c r="J1348" s="37" t="str">
        <f>IF(Agent07_Savings!A153="","",Agent07_Savings!K153)</f>
        <v/>
      </c>
      <c r="K1348" s="37" t="str">
        <f>IFERROR(IF(Agent07_Savings!A153="","",YEAR(Agent07_Savings!D153)),"")</f>
        <v/>
      </c>
    </row>
    <row r="1349" spans="1:11" ht="18" customHeight="1" x14ac:dyDescent="0.25">
      <c r="A1349" s="37" t="str">
        <f>IF(Agent07_Savings!A154="","",Agent07_Savings!A154)</f>
        <v/>
      </c>
      <c r="B1349" s="37" t="str">
        <f ca="1">IF(Agent07_Savings!A154="","","SV"&amp;TEXT(1349-3,"0000")&amp;"-"&amp;TEXT(TODAY(),"YYYYMMDD"))</f>
        <v/>
      </c>
      <c r="C1349" s="37" t="str">
        <f>IF(Agent07_Savings!A154="","",Agent07_Savings!B154)</f>
        <v/>
      </c>
      <c r="D1349" s="37" t="str">
        <f>IF(Agent07_Savings!A154="","",Agent07_Savings!G154)</f>
        <v/>
      </c>
      <c r="E1349" s="38" t="str">
        <f>IF(Agent07_Savings!A154="","",Agent07_Savings!D154)</f>
        <v/>
      </c>
      <c r="F1349" s="39" t="str">
        <f>IF(Agent07_Savings!A154="","",Agent07_Savings!E154)</f>
        <v/>
      </c>
      <c r="G1349" s="39" t="str">
        <f>IF(Agent07_Savings!A154="","",Agent07_Savings!F154)</f>
        <v/>
      </c>
      <c r="H1349" s="37" t="str">
        <f>IF(Agent07_Savings!A154="","",Agent07_Savings!I154)</f>
        <v/>
      </c>
      <c r="I1349" s="37" t="str">
        <f>IF(Agent07_Savings!A154="","",Agent07_Savings!J154)</f>
        <v/>
      </c>
      <c r="J1349" s="37" t="str">
        <f>IF(Agent07_Savings!A154="","",Agent07_Savings!K154)</f>
        <v/>
      </c>
      <c r="K1349" s="37" t="str">
        <f>IFERROR(IF(Agent07_Savings!A154="","",YEAR(Agent07_Savings!D154)),"")</f>
        <v/>
      </c>
    </row>
    <row r="1350" spans="1:11" ht="18" customHeight="1" x14ac:dyDescent="0.25">
      <c r="A1350" s="37" t="str">
        <f>IF(Agent07_Savings!A155="","",Agent07_Savings!A155)</f>
        <v/>
      </c>
      <c r="B1350" s="37" t="str">
        <f ca="1">IF(Agent07_Savings!A155="","","SV"&amp;TEXT(1350-3,"0000")&amp;"-"&amp;TEXT(TODAY(),"YYYYMMDD"))</f>
        <v/>
      </c>
      <c r="C1350" s="37" t="str">
        <f>IF(Agent07_Savings!A155="","",Agent07_Savings!B155)</f>
        <v/>
      </c>
      <c r="D1350" s="37" t="str">
        <f>IF(Agent07_Savings!A155="","",Agent07_Savings!G155)</f>
        <v/>
      </c>
      <c r="E1350" s="38" t="str">
        <f>IF(Agent07_Savings!A155="","",Agent07_Savings!D155)</f>
        <v/>
      </c>
      <c r="F1350" s="39" t="str">
        <f>IF(Agent07_Savings!A155="","",Agent07_Savings!E155)</f>
        <v/>
      </c>
      <c r="G1350" s="39" t="str">
        <f>IF(Agent07_Savings!A155="","",Agent07_Savings!F155)</f>
        <v/>
      </c>
      <c r="H1350" s="37" t="str">
        <f>IF(Agent07_Savings!A155="","",Agent07_Savings!I155)</f>
        <v/>
      </c>
      <c r="I1350" s="37" t="str">
        <f>IF(Agent07_Savings!A155="","",Agent07_Savings!J155)</f>
        <v/>
      </c>
      <c r="J1350" s="37" t="str">
        <f>IF(Agent07_Savings!A155="","",Agent07_Savings!K155)</f>
        <v/>
      </c>
      <c r="K1350" s="37" t="str">
        <f>IFERROR(IF(Agent07_Savings!A155="","",YEAR(Agent07_Savings!D155)),"")</f>
        <v/>
      </c>
    </row>
    <row r="1351" spans="1:11" ht="18" customHeight="1" x14ac:dyDescent="0.25">
      <c r="A1351" s="37" t="str">
        <f>IF(Agent07_Savings!A156="","",Agent07_Savings!A156)</f>
        <v/>
      </c>
      <c r="B1351" s="37" t="str">
        <f ca="1">IF(Agent07_Savings!A156="","","SV"&amp;TEXT(1351-3,"0000")&amp;"-"&amp;TEXT(TODAY(),"YYYYMMDD"))</f>
        <v/>
      </c>
      <c r="C1351" s="37" t="str">
        <f>IF(Agent07_Savings!A156="","",Agent07_Savings!B156)</f>
        <v/>
      </c>
      <c r="D1351" s="37" t="str">
        <f>IF(Agent07_Savings!A156="","",Agent07_Savings!G156)</f>
        <v/>
      </c>
      <c r="E1351" s="38" t="str">
        <f>IF(Agent07_Savings!A156="","",Agent07_Savings!D156)</f>
        <v/>
      </c>
      <c r="F1351" s="39" t="str">
        <f>IF(Agent07_Savings!A156="","",Agent07_Savings!E156)</f>
        <v/>
      </c>
      <c r="G1351" s="39" t="str">
        <f>IF(Agent07_Savings!A156="","",Agent07_Savings!F156)</f>
        <v/>
      </c>
      <c r="H1351" s="37" t="str">
        <f>IF(Agent07_Savings!A156="","",Agent07_Savings!I156)</f>
        <v/>
      </c>
      <c r="I1351" s="37" t="str">
        <f>IF(Agent07_Savings!A156="","",Agent07_Savings!J156)</f>
        <v/>
      </c>
      <c r="J1351" s="37" t="str">
        <f>IF(Agent07_Savings!A156="","",Agent07_Savings!K156)</f>
        <v/>
      </c>
      <c r="K1351" s="37" t="str">
        <f>IFERROR(IF(Agent07_Savings!A156="","",YEAR(Agent07_Savings!D156)),"")</f>
        <v/>
      </c>
    </row>
    <row r="1352" spans="1:11" ht="18" customHeight="1" x14ac:dyDescent="0.25">
      <c r="A1352" s="37" t="str">
        <f>IF(Agent07_Savings!A157="","",Agent07_Savings!A157)</f>
        <v/>
      </c>
      <c r="B1352" s="37" t="str">
        <f ca="1">IF(Agent07_Savings!A157="","","SV"&amp;TEXT(1352-3,"0000")&amp;"-"&amp;TEXT(TODAY(),"YYYYMMDD"))</f>
        <v/>
      </c>
      <c r="C1352" s="37" t="str">
        <f>IF(Agent07_Savings!A157="","",Agent07_Savings!B157)</f>
        <v/>
      </c>
      <c r="D1352" s="37" t="str">
        <f>IF(Agent07_Savings!A157="","",Agent07_Savings!G157)</f>
        <v/>
      </c>
      <c r="E1352" s="38" t="str">
        <f>IF(Agent07_Savings!A157="","",Agent07_Savings!D157)</f>
        <v/>
      </c>
      <c r="F1352" s="39" t="str">
        <f>IF(Agent07_Savings!A157="","",Agent07_Savings!E157)</f>
        <v/>
      </c>
      <c r="G1352" s="39" t="str">
        <f>IF(Agent07_Savings!A157="","",Agent07_Savings!F157)</f>
        <v/>
      </c>
      <c r="H1352" s="37" t="str">
        <f>IF(Agent07_Savings!A157="","",Agent07_Savings!I157)</f>
        <v/>
      </c>
      <c r="I1352" s="37" t="str">
        <f>IF(Agent07_Savings!A157="","",Agent07_Savings!J157)</f>
        <v/>
      </c>
      <c r="J1352" s="37" t="str">
        <f>IF(Agent07_Savings!A157="","",Agent07_Savings!K157)</f>
        <v/>
      </c>
      <c r="K1352" s="37" t="str">
        <f>IFERROR(IF(Agent07_Savings!A157="","",YEAR(Agent07_Savings!D157)),"")</f>
        <v/>
      </c>
    </row>
    <row r="1353" spans="1:11" ht="18" customHeight="1" x14ac:dyDescent="0.25">
      <c r="A1353" s="37" t="str">
        <f>IF(Agent07_Savings!A158="","",Agent07_Savings!A158)</f>
        <v/>
      </c>
      <c r="B1353" s="37" t="str">
        <f ca="1">IF(Agent07_Savings!A158="","","SV"&amp;TEXT(1353-3,"0000")&amp;"-"&amp;TEXT(TODAY(),"YYYYMMDD"))</f>
        <v/>
      </c>
      <c r="C1353" s="37" t="str">
        <f>IF(Agent07_Savings!A158="","",Agent07_Savings!B158)</f>
        <v/>
      </c>
      <c r="D1353" s="37" t="str">
        <f>IF(Agent07_Savings!A158="","",Agent07_Savings!G158)</f>
        <v/>
      </c>
      <c r="E1353" s="38" t="str">
        <f>IF(Agent07_Savings!A158="","",Agent07_Savings!D158)</f>
        <v/>
      </c>
      <c r="F1353" s="39" t="str">
        <f>IF(Agent07_Savings!A158="","",Agent07_Savings!E158)</f>
        <v/>
      </c>
      <c r="G1353" s="39" t="str">
        <f>IF(Agent07_Savings!A158="","",Agent07_Savings!F158)</f>
        <v/>
      </c>
      <c r="H1353" s="37" t="str">
        <f>IF(Agent07_Savings!A158="","",Agent07_Savings!I158)</f>
        <v/>
      </c>
      <c r="I1353" s="37" t="str">
        <f>IF(Agent07_Savings!A158="","",Agent07_Savings!J158)</f>
        <v/>
      </c>
      <c r="J1353" s="37" t="str">
        <f>IF(Agent07_Savings!A158="","",Agent07_Savings!K158)</f>
        <v/>
      </c>
      <c r="K1353" s="37" t="str">
        <f>IFERROR(IF(Agent07_Savings!A158="","",YEAR(Agent07_Savings!D158)),"")</f>
        <v/>
      </c>
    </row>
    <row r="1354" spans="1:11" ht="18" customHeight="1" x14ac:dyDescent="0.25">
      <c r="A1354" s="37" t="str">
        <f>IF(Agent07_Savings!A159="","",Agent07_Savings!A159)</f>
        <v/>
      </c>
      <c r="B1354" s="37" t="str">
        <f ca="1">IF(Agent07_Savings!A159="","","SV"&amp;TEXT(1354-3,"0000")&amp;"-"&amp;TEXT(TODAY(),"YYYYMMDD"))</f>
        <v/>
      </c>
      <c r="C1354" s="37" t="str">
        <f>IF(Agent07_Savings!A159="","",Agent07_Savings!B159)</f>
        <v/>
      </c>
      <c r="D1354" s="37" t="str">
        <f>IF(Agent07_Savings!A159="","",Agent07_Savings!G159)</f>
        <v/>
      </c>
      <c r="E1354" s="38" t="str">
        <f>IF(Agent07_Savings!A159="","",Agent07_Savings!D159)</f>
        <v/>
      </c>
      <c r="F1354" s="39" t="str">
        <f>IF(Agent07_Savings!A159="","",Agent07_Savings!E159)</f>
        <v/>
      </c>
      <c r="G1354" s="39" t="str">
        <f>IF(Agent07_Savings!A159="","",Agent07_Savings!F159)</f>
        <v/>
      </c>
      <c r="H1354" s="37" t="str">
        <f>IF(Agent07_Savings!A159="","",Agent07_Savings!I159)</f>
        <v/>
      </c>
      <c r="I1354" s="37" t="str">
        <f>IF(Agent07_Savings!A159="","",Agent07_Savings!J159)</f>
        <v/>
      </c>
      <c r="J1354" s="37" t="str">
        <f>IF(Agent07_Savings!A159="","",Agent07_Savings!K159)</f>
        <v/>
      </c>
      <c r="K1354" s="37" t="str">
        <f>IFERROR(IF(Agent07_Savings!A159="","",YEAR(Agent07_Savings!D159)),"")</f>
        <v/>
      </c>
    </row>
    <row r="1355" spans="1:11" ht="18" customHeight="1" x14ac:dyDescent="0.25">
      <c r="A1355" s="37" t="str">
        <f>IF(Agent07_Savings!A160="","",Agent07_Savings!A160)</f>
        <v/>
      </c>
      <c r="B1355" s="37" t="str">
        <f ca="1">IF(Agent07_Savings!A160="","","SV"&amp;TEXT(1355-3,"0000")&amp;"-"&amp;TEXT(TODAY(),"YYYYMMDD"))</f>
        <v/>
      </c>
      <c r="C1355" s="37" t="str">
        <f>IF(Agent07_Savings!A160="","",Agent07_Savings!B160)</f>
        <v/>
      </c>
      <c r="D1355" s="37" t="str">
        <f>IF(Agent07_Savings!A160="","",Agent07_Savings!G160)</f>
        <v/>
      </c>
      <c r="E1355" s="38" t="str">
        <f>IF(Agent07_Savings!A160="","",Agent07_Savings!D160)</f>
        <v/>
      </c>
      <c r="F1355" s="39" t="str">
        <f>IF(Agent07_Savings!A160="","",Agent07_Savings!E160)</f>
        <v/>
      </c>
      <c r="G1355" s="39" t="str">
        <f>IF(Agent07_Savings!A160="","",Agent07_Savings!F160)</f>
        <v/>
      </c>
      <c r="H1355" s="37" t="str">
        <f>IF(Agent07_Savings!A160="","",Agent07_Savings!I160)</f>
        <v/>
      </c>
      <c r="I1355" s="37" t="str">
        <f>IF(Agent07_Savings!A160="","",Agent07_Savings!J160)</f>
        <v/>
      </c>
      <c r="J1355" s="37" t="str">
        <f>IF(Agent07_Savings!A160="","",Agent07_Savings!K160)</f>
        <v/>
      </c>
      <c r="K1355" s="37" t="str">
        <f>IFERROR(IF(Agent07_Savings!A160="","",YEAR(Agent07_Savings!D160)),"")</f>
        <v/>
      </c>
    </row>
    <row r="1356" spans="1:11" ht="18" customHeight="1" x14ac:dyDescent="0.25">
      <c r="A1356" s="37" t="str">
        <f>IF(Agent07_Savings!A161="","",Agent07_Savings!A161)</f>
        <v/>
      </c>
      <c r="B1356" s="37" t="str">
        <f ca="1">IF(Agent07_Savings!A161="","","SV"&amp;TEXT(1356-3,"0000")&amp;"-"&amp;TEXT(TODAY(),"YYYYMMDD"))</f>
        <v/>
      </c>
      <c r="C1356" s="37" t="str">
        <f>IF(Agent07_Savings!A161="","",Agent07_Savings!B161)</f>
        <v/>
      </c>
      <c r="D1356" s="37" t="str">
        <f>IF(Agent07_Savings!A161="","",Agent07_Savings!G161)</f>
        <v/>
      </c>
      <c r="E1356" s="38" t="str">
        <f>IF(Agent07_Savings!A161="","",Agent07_Savings!D161)</f>
        <v/>
      </c>
      <c r="F1356" s="39" t="str">
        <f>IF(Agent07_Savings!A161="","",Agent07_Savings!E161)</f>
        <v/>
      </c>
      <c r="G1356" s="39" t="str">
        <f>IF(Agent07_Savings!A161="","",Agent07_Savings!F161)</f>
        <v/>
      </c>
      <c r="H1356" s="37" t="str">
        <f>IF(Agent07_Savings!A161="","",Agent07_Savings!I161)</f>
        <v/>
      </c>
      <c r="I1356" s="37" t="str">
        <f>IF(Agent07_Savings!A161="","",Agent07_Savings!J161)</f>
        <v/>
      </c>
      <c r="J1356" s="37" t="str">
        <f>IF(Agent07_Savings!A161="","",Agent07_Savings!K161)</f>
        <v/>
      </c>
      <c r="K1356" s="37" t="str">
        <f>IFERROR(IF(Agent07_Savings!A161="","",YEAR(Agent07_Savings!D161)),"")</f>
        <v/>
      </c>
    </row>
    <row r="1357" spans="1:11" ht="18" customHeight="1" x14ac:dyDescent="0.25">
      <c r="A1357" s="37" t="str">
        <f>IF(Agent07_Savings!A162="","",Agent07_Savings!A162)</f>
        <v/>
      </c>
      <c r="B1357" s="37" t="str">
        <f ca="1">IF(Agent07_Savings!A162="","","SV"&amp;TEXT(1357-3,"0000")&amp;"-"&amp;TEXT(TODAY(),"YYYYMMDD"))</f>
        <v/>
      </c>
      <c r="C1357" s="37" t="str">
        <f>IF(Agent07_Savings!A162="","",Agent07_Savings!B162)</f>
        <v/>
      </c>
      <c r="D1357" s="37" t="str">
        <f>IF(Agent07_Savings!A162="","",Agent07_Savings!G162)</f>
        <v/>
      </c>
      <c r="E1357" s="38" t="str">
        <f>IF(Agent07_Savings!A162="","",Agent07_Savings!D162)</f>
        <v/>
      </c>
      <c r="F1357" s="39" t="str">
        <f>IF(Agent07_Savings!A162="","",Agent07_Savings!E162)</f>
        <v/>
      </c>
      <c r="G1357" s="39" t="str">
        <f>IF(Agent07_Savings!A162="","",Agent07_Savings!F162)</f>
        <v/>
      </c>
      <c r="H1357" s="37" t="str">
        <f>IF(Agent07_Savings!A162="","",Agent07_Savings!I162)</f>
        <v/>
      </c>
      <c r="I1357" s="37" t="str">
        <f>IF(Agent07_Savings!A162="","",Agent07_Savings!J162)</f>
        <v/>
      </c>
      <c r="J1357" s="37" t="str">
        <f>IF(Agent07_Savings!A162="","",Agent07_Savings!K162)</f>
        <v/>
      </c>
      <c r="K1357" s="37" t="str">
        <f>IFERROR(IF(Agent07_Savings!A162="","",YEAR(Agent07_Savings!D162)),"")</f>
        <v/>
      </c>
    </row>
    <row r="1358" spans="1:11" ht="18" customHeight="1" x14ac:dyDescent="0.25">
      <c r="A1358" s="37" t="str">
        <f>IF(Agent07_Savings!A163="","",Agent07_Savings!A163)</f>
        <v/>
      </c>
      <c r="B1358" s="37" t="str">
        <f ca="1">IF(Agent07_Savings!A163="","","SV"&amp;TEXT(1358-3,"0000")&amp;"-"&amp;TEXT(TODAY(),"YYYYMMDD"))</f>
        <v/>
      </c>
      <c r="C1358" s="37" t="str">
        <f>IF(Agent07_Savings!A163="","",Agent07_Savings!B163)</f>
        <v/>
      </c>
      <c r="D1358" s="37" t="str">
        <f>IF(Agent07_Savings!A163="","",Agent07_Savings!G163)</f>
        <v/>
      </c>
      <c r="E1358" s="38" t="str">
        <f>IF(Agent07_Savings!A163="","",Agent07_Savings!D163)</f>
        <v/>
      </c>
      <c r="F1358" s="39" t="str">
        <f>IF(Agent07_Savings!A163="","",Agent07_Savings!E163)</f>
        <v/>
      </c>
      <c r="G1358" s="39" t="str">
        <f>IF(Agent07_Savings!A163="","",Agent07_Savings!F163)</f>
        <v/>
      </c>
      <c r="H1358" s="37" t="str">
        <f>IF(Agent07_Savings!A163="","",Agent07_Savings!I163)</f>
        <v/>
      </c>
      <c r="I1358" s="37" t="str">
        <f>IF(Agent07_Savings!A163="","",Agent07_Savings!J163)</f>
        <v/>
      </c>
      <c r="J1358" s="37" t="str">
        <f>IF(Agent07_Savings!A163="","",Agent07_Savings!K163)</f>
        <v/>
      </c>
      <c r="K1358" s="37" t="str">
        <f>IFERROR(IF(Agent07_Savings!A163="","",YEAR(Agent07_Savings!D163)),"")</f>
        <v/>
      </c>
    </row>
    <row r="1359" spans="1:11" ht="18" customHeight="1" x14ac:dyDescent="0.25">
      <c r="A1359" s="37" t="str">
        <f>IF(Agent07_Savings!A164="","",Agent07_Savings!A164)</f>
        <v/>
      </c>
      <c r="B1359" s="37" t="str">
        <f ca="1">IF(Agent07_Savings!A164="","","SV"&amp;TEXT(1359-3,"0000")&amp;"-"&amp;TEXT(TODAY(),"YYYYMMDD"))</f>
        <v/>
      </c>
      <c r="C1359" s="37" t="str">
        <f>IF(Agent07_Savings!A164="","",Agent07_Savings!B164)</f>
        <v/>
      </c>
      <c r="D1359" s="37" t="str">
        <f>IF(Agent07_Savings!A164="","",Agent07_Savings!G164)</f>
        <v/>
      </c>
      <c r="E1359" s="38" t="str">
        <f>IF(Agent07_Savings!A164="","",Agent07_Savings!D164)</f>
        <v/>
      </c>
      <c r="F1359" s="39" t="str">
        <f>IF(Agent07_Savings!A164="","",Agent07_Savings!E164)</f>
        <v/>
      </c>
      <c r="G1359" s="39" t="str">
        <f>IF(Agent07_Savings!A164="","",Agent07_Savings!F164)</f>
        <v/>
      </c>
      <c r="H1359" s="37" t="str">
        <f>IF(Agent07_Savings!A164="","",Agent07_Savings!I164)</f>
        <v/>
      </c>
      <c r="I1359" s="37" t="str">
        <f>IF(Agent07_Savings!A164="","",Agent07_Savings!J164)</f>
        <v/>
      </c>
      <c r="J1359" s="37" t="str">
        <f>IF(Agent07_Savings!A164="","",Agent07_Savings!K164)</f>
        <v/>
      </c>
      <c r="K1359" s="37" t="str">
        <f>IFERROR(IF(Agent07_Savings!A164="","",YEAR(Agent07_Savings!D164)),"")</f>
        <v/>
      </c>
    </row>
    <row r="1360" spans="1:11" ht="18" customHeight="1" x14ac:dyDescent="0.25">
      <c r="A1360" s="37" t="str">
        <f>IF(Agent07_Savings!A165="","",Agent07_Savings!A165)</f>
        <v/>
      </c>
      <c r="B1360" s="37" t="str">
        <f ca="1">IF(Agent07_Savings!A165="","","SV"&amp;TEXT(1360-3,"0000")&amp;"-"&amp;TEXT(TODAY(),"YYYYMMDD"))</f>
        <v/>
      </c>
      <c r="C1360" s="37" t="str">
        <f>IF(Agent07_Savings!A165="","",Agent07_Savings!B165)</f>
        <v/>
      </c>
      <c r="D1360" s="37" t="str">
        <f>IF(Agent07_Savings!A165="","",Agent07_Savings!G165)</f>
        <v/>
      </c>
      <c r="E1360" s="38" t="str">
        <f>IF(Agent07_Savings!A165="","",Agent07_Savings!D165)</f>
        <v/>
      </c>
      <c r="F1360" s="39" t="str">
        <f>IF(Agent07_Savings!A165="","",Agent07_Savings!E165)</f>
        <v/>
      </c>
      <c r="G1360" s="39" t="str">
        <f>IF(Agent07_Savings!A165="","",Agent07_Savings!F165)</f>
        <v/>
      </c>
      <c r="H1360" s="37" t="str">
        <f>IF(Agent07_Savings!A165="","",Agent07_Savings!I165)</f>
        <v/>
      </c>
      <c r="I1360" s="37" t="str">
        <f>IF(Agent07_Savings!A165="","",Agent07_Savings!J165)</f>
        <v/>
      </c>
      <c r="J1360" s="37" t="str">
        <f>IF(Agent07_Savings!A165="","",Agent07_Savings!K165)</f>
        <v/>
      </c>
      <c r="K1360" s="37" t="str">
        <f>IFERROR(IF(Agent07_Savings!A165="","",YEAR(Agent07_Savings!D165)),"")</f>
        <v/>
      </c>
    </row>
    <row r="1361" spans="1:11" ht="18" customHeight="1" x14ac:dyDescent="0.25">
      <c r="A1361" s="37" t="str">
        <f>IF(Agent07_Savings!A166="","",Agent07_Savings!A166)</f>
        <v/>
      </c>
      <c r="B1361" s="37" t="str">
        <f ca="1">IF(Agent07_Savings!A166="","","SV"&amp;TEXT(1361-3,"0000")&amp;"-"&amp;TEXT(TODAY(),"YYYYMMDD"))</f>
        <v/>
      </c>
      <c r="C1361" s="37" t="str">
        <f>IF(Agent07_Savings!A166="","",Agent07_Savings!B166)</f>
        <v/>
      </c>
      <c r="D1361" s="37" t="str">
        <f>IF(Agent07_Savings!A166="","",Agent07_Savings!G166)</f>
        <v/>
      </c>
      <c r="E1361" s="38" t="str">
        <f>IF(Agent07_Savings!A166="","",Agent07_Savings!D166)</f>
        <v/>
      </c>
      <c r="F1361" s="39" t="str">
        <f>IF(Agent07_Savings!A166="","",Agent07_Savings!E166)</f>
        <v/>
      </c>
      <c r="G1361" s="39" t="str">
        <f>IF(Agent07_Savings!A166="","",Agent07_Savings!F166)</f>
        <v/>
      </c>
      <c r="H1361" s="37" t="str">
        <f>IF(Agent07_Savings!A166="","",Agent07_Savings!I166)</f>
        <v/>
      </c>
      <c r="I1361" s="37" t="str">
        <f>IF(Agent07_Savings!A166="","",Agent07_Savings!J166)</f>
        <v/>
      </c>
      <c r="J1361" s="37" t="str">
        <f>IF(Agent07_Savings!A166="","",Agent07_Savings!K166)</f>
        <v/>
      </c>
      <c r="K1361" s="37" t="str">
        <f>IFERROR(IF(Agent07_Savings!A166="","",YEAR(Agent07_Savings!D166)),"")</f>
        <v/>
      </c>
    </row>
    <row r="1362" spans="1:11" ht="18" customHeight="1" x14ac:dyDescent="0.25">
      <c r="A1362" s="37" t="str">
        <f>IF(Agent07_Savings!A167="","",Agent07_Savings!A167)</f>
        <v/>
      </c>
      <c r="B1362" s="37" t="str">
        <f ca="1">IF(Agent07_Savings!A167="","","SV"&amp;TEXT(1362-3,"0000")&amp;"-"&amp;TEXT(TODAY(),"YYYYMMDD"))</f>
        <v/>
      </c>
      <c r="C1362" s="37" t="str">
        <f>IF(Agent07_Savings!A167="","",Agent07_Savings!B167)</f>
        <v/>
      </c>
      <c r="D1362" s="37" t="str">
        <f>IF(Agent07_Savings!A167="","",Agent07_Savings!G167)</f>
        <v/>
      </c>
      <c r="E1362" s="38" t="str">
        <f>IF(Agent07_Savings!A167="","",Agent07_Savings!D167)</f>
        <v/>
      </c>
      <c r="F1362" s="39" t="str">
        <f>IF(Agent07_Savings!A167="","",Agent07_Savings!E167)</f>
        <v/>
      </c>
      <c r="G1362" s="39" t="str">
        <f>IF(Agent07_Savings!A167="","",Agent07_Savings!F167)</f>
        <v/>
      </c>
      <c r="H1362" s="37" t="str">
        <f>IF(Agent07_Savings!A167="","",Agent07_Savings!I167)</f>
        <v/>
      </c>
      <c r="I1362" s="37" t="str">
        <f>IF(Agent07_Savings!A167="","",Agent07_Savings!J167)</f>
        <v/>
      </c>
      <c r="J1362" s="37" t="str">
        <f>IF(Agent07_Savings!A167="","",Agent07_Savings!K167)</f>
        <v/>
      </c>
      <c r="K1362" s="37" t="str">
        <f>IFERROR(IF(Agent07_Savings!A167="","",YEAR(Agent07_Savings!D167)),"")</f>
        <v/>
      </c>
    </row>
    <row r="1363" spans="1:11" ht="18" customHeight="1" x14ac:dyDescent="0.25">
      <c r="A1363" s="37" t="str">
        <f>IF(Agent07_Savings!A168="","",Agent07_Savings!A168)</f>
        <v/>
      </c>
      <c r="B1363" s="37" t="str">
        <f ca="1">IF(Agent07_Savings!A168="","","SV"&amp;TEXT(1363-3,"0000")&amp;"-"&amp;TEXT(TODAY(),"YYYYMMDD"))</f>
        <v/>
      </c>
      <c r="C1363" s="37" t="str">
        <f>IF(Agent07_Savings!A168="","",Agent07_Savings!B168)</f>
        <v/>
      </c>
      <c r="D1363" s="37" t="str">
        <f>IF(Agent07_Savings!A168="","",Agent07_Savings!G168)</f>
        <v/>
      </c>
      <c r="E1363" s="38" t="str">
        <f>IF(Agent07_Savings!A168="","",Agent07_Savings!D168)</f>
        <v/>
      </c>
      <c r="F1363" s="39" t="str">
        <f>IF(Agent07_Savings!A168="","",Agent07_Savings!E168)</f>
        <v/>
      </c>
      <c r="G1363" s="39" t="str">
        <f>IF(Agent07_Savings!A168="","",Agent07_Savings!F168)</f>
        <v/>
      </c>
      <c r="H1363" s="37" t="str">
        <f>IF(Agent07_Savings!A168="","",Agent07_Savings!I168)</f>
        <v/>
      </c>
      <c r="I1363" s="37" t="str">
        <f>IF(Agent07_Savings!A168="","",Agent07_Savings!J168)</f>
        <v/>
      </c>
      <c r="J1363" s="37" t="str">
        <f>IF(Agent07_Savings!A168="","",Agent07_Savings!K168)</f>
        <v/>
      </c>
      <c r="K1363" s="37" t="str">
        <f>IFERROR(IF(Agent07_Savings!A168="","",YEAR(Agent07_Savings!D168)),"")</f>
        <v/>
      </c>
    </row>
    <row r="1364" spans="1:11" ht="18" customHeight="1" x14ac:dyDescent="0.25">
      <c r="A1364" s="37" t="str">
        <f>IF(Agent07_Savings!A169="","",Agent07_Savings!A169)</f>
        <v/>
      </c>
      <c r="B1364" s="37" t="str">
        <f ca="1">IF(Agent07_Savings!A169="","","SV"&amp;TEXT(1364-3,"0000")&amp;"-"&amp;TEXT(TODAY(),"YYYYMMDD"))</f>
        <v/>
      </c>
      <c r="C1364" s="37" t="str">
        <f>IF(Agent07_Savings!A169="","",Agent07_Savings!B169)</f>
        <v/>
      </c>
      <c r="D1364" s="37" t="str">
        <f>IF(Agent07_Savings!A169="","",Agent07_Savings!G169)</f>
        <v/>
      </c>
      <c r="E1364" s="38" t="str">
        <f>IF(Agent07_Savings!A169="","",Agent07_Savings!D169)</f>
        <v/>
      </c>
      <c r="F1364" s="39" t="str">
        <f>IF(Agent07_Savings!A169="","",Agent07_Savings!E169)</f>
        <v/>
      </c>
      <c r="G1364" s="39" t="str">
        <f>IF(Agent07_Savings!A169="","",Agent07_Savings!F169)</f>
        <v/>
      </c>
      <c r="H1364" s="37" t="str">
        <f>IF(Agent07_Savings!A169="","",Agent07_Savings!I169)</f>
        <v/>
      </c>
      <c r="I1364" s="37" t="str">
        <f>IF(Agent07_Savings!A169="","",Agent07_Savings!J169)</f>
        <v/>
      </c>
      <c r="J1364" s="37" t="str">
        <f>IF(Agent07_Savings!A169="","",Agent07_Savings!K169)</f>
        <v/>
      </c>
      <c r="K1364" s="37" t="str">
        <f>IFERROR(IF(Agent07_Savings!A169="","",YEAR(Agent07_Savings!D169)),"")</f>
        <v/>
      </c>
    </row>
    <row r="1365" spans="1:11" ht="18" customHeight="1" x14ac:dyDescent="0.25">
      <c r="A1365" s="37" t="str">
        <f>IF(Agent07_Savings!A170="","",Agent07_Savings!A170)</f>
        <v/>
      </c>
      <c r="B1365" s="37" t="str">
        <f ca="1">IF(Agent07_Savings!A170="","","SV"&amp;TEXT(1365-3,"0000")&amp;"-"&amp;TEXT(TODAY(),"YYYYMMDD"))</f>
        <v/>
      </c>
      <c r="C1365" s="37" t="str">
        <f>IF(Agent07_Savings!A170="","",Agent07_Savings!B170)</f>
        <v/>
      </c>
      <c r="D1365" s="37" t="str">
        <f>IF(Agent07_Savings!A170="","",Agent07_Savings!G170)</f>
        <v/>
      </c>
      <c r="E1365" s="38" t="str">
        <f>IF(Agent07_Savings!A170="","",Agent07_Savings!D170)</f>
        <v/>
      </c>
      <c r="F1365" s="39" t="str">
        <f>IF(Agent07_Savings!A170="","",Agent07_Savings!E170)</f>
        <v/>
      </c>
      <c r="G1365" s="39" t="str">
        <f>IF(Agent07_Savings!A170="","",Agent07_Savings!F170)</f>
        <v/>
      </c>
      <c r="H1365" s="37" t="str">
        <f>IF(Agent07_Savings!A170="","",Agent07_Savings!I170)</f>
        <v/>
      </c>
      <c r="I1365" s="37" t="str">
        <f>IF(Agent07_Savings!A170="","",Agent07_Savings!J170)</f>
        <v/>
      </c>
      <c r="J1365" s="37" t="str">
        <f>IF(Agent07_Savings!A170="","",Agent07_Savings!K170)</f>
        <v/>
      </c>
      <c r="K1365" s="37" t="str">
        <f>IFERROR(IF(Agent07_Savings!A170="","",YEAR(Agent07_Savings!D170)),"")</f>
        <v/>
      </c>
    </row>
    <row r="1366" spans="1:11" ht="18" customHeight="1" x14ac:dyDescent="0.25">
      <c r="A1366" s="37" t="str">
        <f>IF(Agent07_Savings!A171="","",Agent07_Savings!A171)</f>
        <v/>
      </c>
      <c r="B1366" s="37" t="str">
        <f ca="1">IF(Agent07_Savings!A171="","","SV"&amp;TEXT(1366-3,"0000")&amp;"-"&amp;TEXT(TODAY(),"YYYYMMDD"))</f>
        <v/>
      </c>
      <c r="C1366" s="37" t="str">
        <f>IF(Agent07_Savings!A171="","",Agent07_Savings!B171)</f>
        <v/>
      </c>
      <c r="D1366" s="37" t="str">
        <f>IF(Agent07_Savings!A171="","",Agent07_Savings!G171)</f>
        <v/>
      </c>
      <c r="E1366" s="38" t="str">
        <f>IF(Agent07_Savings!A171="","",Agent07_Savings!D171)</f>
        <v/>
      </c>
      <c r="F1366" s="39" t="str">
        <f>IF(Agent07_Savings!A171="","",Agent07_Savings!E171)</f>
        <v/>
      </c>
      <c r="G1366" s="39" t="str">
        <f>IF(Agent07_Savings!A171="","",Agent07_Savings!F171)</f>
        <v/>
      </c>
      <c r="H1366" s="37" t="str">
        <f>IF(Agent07_Savings!A171="","",Agent07_Savings!I171)</f>
        <v/>
      </c>
      <c r="I1366" s="37" t="str">
        <f>IF(Agent07_Savings!A171="","",Agent07_Savings!J171)</f>
        <v/>
      </c>
      <c r="J1366" s="37" t="str">
        <f>IF(Agent07_Savings!A171="","",Agent07_Savings!K171)</f>
        <v/>
      </c>
      <c r="K1366" s="37" t="str">
        <f>IFERROR(IF(Agent07_Savings!A171="","",YEAR(Agent07_Savings!D171)),"")</f>
        <v/>
      </c>
    </row>
    <row r="1367" spans="1:11" ht="18" customHeight="1" x14ac:dyDescent="0.25">
      <c r="A1367" s="37" t="str">
        <f>IF(Agent07_Savings!A172="","",Agent07_Savings!A172)</f>
        <v/>
      </c>
      <c r="B1367" s="37" t="str">
        <f ca="1">IF(Agent07_Savings!A172="","","SV"&amp;TEXT(1367-3,"0000")&amp;"-"&amp;TEXT(TODAY(),"YYYYMMDD"))</f>
        <v/>
      </c>
      <c r="C1367" s="37" t="str">
        <f>IF(Agent07_Savings!A172="","",Agent07_Savings!B172)</f>
        <v/>
      </c>
      <c r="D1367" s="37" t="str">
        <f>IF(Agent07_Savings!A172="","",Agent07_Savings!G172)</f>
        <v/>
      </c>
      <c r="E1367" s="38" t="str">
        <f>IF(Agent07_Savings!A172="","",Agent07_Savings!D172)</f>
        <v/>
      </c>
      <c r="F1367" s="39" t="str">
        <f>IF(Agent07_Savings!A172="","",Agent07_Savings!E172)</f>
        <v/>
      </c>
      <c r="G1367" s="39" t="str">
        <f>IF(Agent07_Savings!A172="","",Agent07_Savings!F172)</f>
        <v/>
      </c>
      <c r="H1367" s="37" t="str">
        <f>IF(Agent07_Savings!A172="","",Agent07_Savings!I172)</f>
        <v/>
      </c>
      <c r="I1367" s="37" t="str">
        <f>IF(Agent07_Savings!A172="","",Agent07_Savings!J172)</f>
        <v/>
      </c>
      <c r="J1367" s="37" t="str">
        <f>IF(Agent07_Savings!A172="","",Agent07_Savings!K172)</f>
        <v/>
      </c>
      <c r="K1367" s="37" t="str">
        <f>IFERROR(IF(Agent07_Savings!A172="","",YEAR(Agent07_Savings!D172)),"")</f>
        <v/>
      </c>
    </row>
    <row r="1368" spans="1:11" ht="18" customHeight="1" x14ac:dyDescent="0.25">
      <c r="A1368" s="37" t="str">
        <f>IF(Agent07_Savings!A173="","",Agent07_Savings!A173)</f>
        <v/>
      </c>
      <c r="B1368" s="37" t="str">
        <f ca="1">IF(Agent07_Savings!A173="","","SV"&amp;TEXT(1368-3,"0000")&amp;"-"&amp;TEXT(TODAY(),"YYYYMMDD"))</f>
        <v/>
      </c>
      <c r="C1368" s="37" t="str">
        <f>IF(Agent07_Savings!A173="","",Agent07_Savings!B173)</f>
        <v/>
      </c>
      <c r="D1368" s="37" t="str">
        <f>IF(Agent07_Savings!A173="","",Agent07_Savings!G173)</f>
        <v/>
      </c>
      <c r="E1368" s="38" t="str">
        <f>IF(Agent07_Savings!A173="","",Agent07_Savings!D173)</f>
        <v/>
      </c>
      <c r="F1368" s="39" t="str">
        <f>IF(Agent07_Savings!A173="","",Agent07_Savings!E173)</f>
        <v/>
      </c>
      <c r="G1368" s="39" t="str">
        <f>IF(Agent07_Savings!A173="","",Agent07_Savings!F173)</f>
        <v/>
      </c>
      <c r="H1368" s="37" t="str">
        <f>IF(Agent07_Savings!A173="","",Agent07_Savings!I173)</f>
        <v/>
      </c>
      <c r="I1368" s="37" t="str">
        <f>IF(Agent07_Savings!A173="","",Agent07_Savings!J173)</f>
        <v/>
      </c>
      <c r="J1368" s="37" t="str">
        <f>IF(Agent07_Savings!A173="","",Agent07_Savings!K173)</f>
        <v/>
      </c>
      <c r="K1368" s="37" t="str">
        <f>IFERROR(IF(Agent07_Savings!A173="","",YEAR(Agent07_Savings!D173)),"")</f>
        <v/>
      </c>
    </row>
    <row r="1369" spans="1:11" ht="18" customHeight="1" x14ac:dyDescent="0.25">
      <c r="A1369" s="37" t="str">
        <f>IF(Agent07_Savings!A174="","",Agent07_Savings!A174)</f>
        <v/>
      </c>
      <c r="B1369" s="37" t="str">
        <f ca="1">IF(Agent07_Savings!A174="","","SV"&amp;TEXT(1369-3,"0000")&amp;"-"&amp;TEXT(TODAY(),"YYYYMMDD"))</f>
        <v/>
      </c>
      <c r="C1369" s="37" t="str">
        <f>IF(Agent07_Savings!A174="","",Agent07_Savings!B174)</f>
        <v/>
      </c>
      <c r="D1369" s="37" t="str">
        <f>IF(Agent07_Savings!A174="","",Agent07_Savings!G174)</f>
        <v/>
      </c>
      <c r="E1369" s="38" t="str">
        <f>IF(Agent07_Savings!A174="","",Agent07_Savings!D174)</f>
        <v/>
      </c>
      <c r="F1369" s="39" t="str">
        <f>IF(Agent07_Savings!A174="","",Agent07_Savings!E174)</f>
        <v/>
      </c>
      <c r="G1369" s="39" t="str">
        <f>IF(Agent07_Savings!A174="","",Agent07_Savings!F174)</f>
        <v/>
      </c>
      <c r="H1369" s="37" t="str">
        <f>IF(Agent07_Savings!A174="","",Agent07_Savings!I174)</f>
        <v/>
      </c>
      <c r="I1369" s="37" t="str">
        <f>IF(Agent07_Savings!A174="","",Agent07_Savings!J174)</f>
        <v/>
      </c>
      <c r="J1369" s="37" t="str">
        <f>IF(Agent07_Savings!A174="","",Agent07_Savings!K174)</f>
        <v/>
      </c>
      <c r="K1369" s="37" t="str">
        <f>IFERROR(IF(Agent07_Savings!A174="","",YEAR(Agent07_Savings!D174)),"")</f>
        <v/>
      </c>
    </row>
    <row r="1370" spans="1:11" ht="18" customHeight="1" x14ac:dyDescent="0.25">
      <c r="A1370" s="37" t="str">
        <f>IF(Agent07_Savings!A175="","",Agent07_Savings!A175)</f>
        <v/>
      </c>
      <c r="B1370" s="37" t="str">
        <f ca="1">IF(Agent07_Savings!A175="","","SV"&amp;TEXT(1370-3,"0000")&amp;"-"&amp;TEXT(TODAY(),"YYYYMMDD"))</f>
        <v/>
      </c>
      <c r="C1370" s="37" t="str">
        <f>IF(Agent07_Savings!A175="","",Agent07_Savings!B175)</f>
        <v/>
      </c>
      <c r="D1370" s="37" t="str">
        <f>IF(Agent07_Savings!A175="","",Agent07_Savings!G175)</f>
        <v/>
      </c>
      <c r="E1370" s="38" t="str">
        <f>IF(Agent07_Savings!A175="","",Agent07_Savings!D175)</f>
        <v/>
      </c>
      <c r="F1370" s="39" t="str">
        <f>IF(Agent07_Savings!A175="","",Agent07_Savings!E175)</f>
        <v/>
      </c>
      <c r="G1370" s="39" t="str">
        <f>IF(Agent07_Savings!A175="","",Agent07_Savings!F175)</f>
        <v/>
      </c>
      <c r="H1370" s="37" t="str">
        <f>IF(Agent07_Savings!A175="","",Agent07_Savings!I175)</f>
        <v/>
      </c>
      <c r="I1370" s="37" t="str">
        <f>IF(Agent07_Savings!A175="","",Agent07_Savings!J175)</f>
        <v/>
      </c>
      <c r="J1370" s="37" t="str">
        <f>IF(Agent07_Savings!A175="","",Agent07_Savings!K175)</f>
        <v/>
      </c>
      <c r="K1370" s="37" t="str">
        <f>IFERROR(IF(Agent07_Savings!A175="","",YEAR(Agent07_Savings!D175)),"")</f>
        <v/>
      </c>
    </row>
    <row r="1371" spans="1:11" ht="18" customHeight="1" x14ac:dyDescent="0.25">
      <c r="A1371" s="37" t="str">
        <f>IF(Agent07_Savings!A176="","",Agent07_Savings!A176)</f>
        <v/>
      </c>
      <c r="B1371" s="37" t="str">
        <f ca="1">IF(Agent07_Savings!A176="","","SV"&amp;TEXT(1371-3,"0000")&amp;"-"&amp;TEXT(TODAY(),"YYYYMMDD"))</f>
        <v/>
      </c>
      <c r="C1371" s="37" t="str">
        <f>IF(Agent07_Savings!A176="","",Agent07_Savings!B176)</f>
        <v/>
      </c>
      <c r="D1371" s="37" t="str">
        <f>IF(Agent07_Savings!A176="","",Agent07_Savings!G176)</f>
        <v/>
      </c>
      <c r="E1371" s="38" t="str">
        <f>IF(Agent07_Savings!A176="","",Agent07_Savings!D176)</f>
        <v/>
      </c>
      <c r="F1371" s="39" t="str">
        <f>IF(Agent07_Savings!A176="","",Agent07_Savings!E176)</f>
        <v/>
      </c>
      <c r="G1371" s="39" t="str">
        <f>IF(Agent07_Savings!A176="","",Agent07_Savings!F176)</f>
        <v/>
      </c>
      <c r="H1371" s="37" t="str">
        <f>IF(Agent07_Savings!A176="","",Agent07_Savings!I176)</f>
        <v/>
      </c>
      <c r="I1371" s="37" t="str">
        <f>IF(Agent07_Savings!A176="","",Agent07_Savings!J176)</f>
        <v/>
      </c>
      <c r="J1371" s="37" t="str">
        <f>IF(Agent07_Savings!A176="","",Agent07_Savings!K176)</f>
        <v/>
      </c>
      <c r="K1371" s="37" t="str">
        <f>IFERROR(IF(Agent07_Savings!A176="","",YEAR(Agent07_Savings!D176)),"")</f>
        <v/>
      </c>
    </row>
    <row r="1372" spans="1:11" ht="18" customHeight="1" x14ac:dyDescent="0.25">
      <c r="A1372" s="37" t="str">
        <f>IF(Agent07_Savings!A177="","",Agent07_Savings!A177)</f>
        <v/>
      </c>
      <c r="B1372" s="37" t="str">
        <f ca="1">IF(Agent07_Savings!A177="","","SV"&amp;TEXT(1372-3,"0000")&amp;"-"&amp;TEXT(TODAY(),"YYYYMMDD"))</f>
        <v/>
      </c>
      <c r="C1372" s="37" t="str">
        <f>IF(Agent07_Savings!A177="","",Agent07_Savings!B177)</f>
        <v/>
      </c>
      <c r="D1372" s="37" t="str">
        <f>IF(Agent07_Savings!A177="","",Agent07_Savings!G177)</f>
        <v/>
      </c>
      <c r="E1372" s="38" t="str">
        <f>IF(Agent07_Savings!A177="","",Agent07_Savings!D177)</f>
        <v/>
      </c>
      <c r="F1372" s="39" t="str">
        <f>IF(Agent07_Savings!A177="","",Agent07_Savings!E177)</f>
        <v/>
      </c>
      <c r="G1372" s="39" t="str">
        <f>IF(Agent07_Savings!A177="","",Agent07_Savings!F177)</f>
        <v/>
      </c>
      <c r="H1372" s="37" t="str">
        <f>IF(Agent07_Savings!A177="","",Agent07_Savings!I177)</f>
        <v/>
      </c>
      <c r="I1372" s="37" t="str">
        <f>IF(Agent07_Savings!A177="","",Agent07_Savings!J177)</f>
        <v/>
      </c>
      <c r="J1372" s="37" t="str">
        <f>IF(Agent07_Savings!A177="","",Agent07_Savings!K177)</f>
        <v/>
      </c>
      <c r="K1372" s="37" t="str">
        <f>IFERROR(IF(Agent07_Savings!A177="","",YEAR(Agent07_Savings!D177)),"")</f>
        <v/>
      </c>
    </row>
    <row r="1373" spans="1:11" ht="18" customHeight="1" x14ac:dyDescent="0.25">
      <c r="A1373" s="37" t="str">
        <f>IF(Agent07_Savings!A178="","",Agent07_Savings!A178)</f>
        <v/>
      </c>
      <c r="B1373" s="37" t="str">
        <f ca="1">IF(Agent07_Savings!A178="","","SV"&amp;TEXT(1373-3,"0000")&amp;"-"&amp;TEXT(TODAY(),"YYYYMMDD"))</f>
        <v/>
      </c>
      <c r="C1373" s="37" t="str">
        <f>IF(Agent07_Savings!A178="","",Agent07_Savings!B178)</f>
        <v/>
      </c>
      <c r="D1373" s="37" t="str">
        <f>IF(Agent07_Savings!A178="","",Agent07_Savings!G178)</f>
        <v/>
      </c>
      <c r="E1373" s="38" t="str">
        <f>IF(Agent07_Savings!A178="","",Agent07_Savings!D178)</f>
        <v/>
      </c>
      <c r="F1373" s="39" t="str">
        <f>IF(Agent07_Savings!A178="","",Agent07_Savings!E178)</f>
        <v/>
      </c>
      <c r="G1373" s="39" t="str">
        <f>IF(Agent07_Savings!A178="","",Agent07_Savings!F178)</f>
        <v/>
      </c>
      <c r="H1373" s="37" t="str">
        <f>IF(Agent07_Savings!A178="","",Agent07_Savings!I178)</f>
        <v/>
      </c>
      <c r="I1373" s="37" t="str">
        <f>IF(Agent07_Savings!A178="","",Agent07_Savings!J178)</f>
        <v/>
      </c>
      <c r="J1373" s="37" t="str">
        <f>IF(Agent07_Savings!A178="","",Agent07_Savings!K178)</f>
        <v/>
      </c>
      <c r="K1373" s="37" t="str">
        <f>IFERROR(IF(Agent07_Savings!A178="","",YEAR(Agent07_Savings!D178)),"")</f>
        <v/>
      </c>
    </row>
    <row r="1374" spans="1:11" ht="18" customHeight="1" x14ac:dyDescent="0.25">
      <c r="A1374" s="37" t="str">
        <f>IF(Agent07_Savings!A179="","",Agent07_Savings!A179)</f>
        <v/>
      </c>
      <c r="B1374" s="37" t="str">
        <f ca="1">IF(Agent07_Savings!A179="","","SV"&amp;TEXT(1374-3,"0000")&amp;"-"&amp;TEXT(TODAY(),"YYYYMMDD"))</f>
        <v/>
      </c>
      <c r="C1374" s="37" t="str">
        <f>IF(Agent07_Savings!A179="","",Agent07_Savings!B179)</f>
        <v/>
      </c>
      <c r="D1374" s="37" t="str">
        <f>IF(Agent07_Savings!A179="","",Agent07_Savings!G179)</f>
        <v/>
      </c>
      <c r="E1374" s="38" t="str">
        <f>IF(Agent07_Savings!A179="","",Agent07_Savings!D179)</f>
        <v/>
      </c>
      <c r="F1374" s="39" t="str">
        <f>IF(Agent07_Savings!A179="","",Agent07_Savings!E179)</f>
        <v/>
      </c>
      <c r="G1374" s="39" t="str">
        <f>IF(Agent07_Savings!A179="","",Agent07_Savings!F179)</f>
        <v/>
      </c>
      <c r="H1374" s="37" t="str">
        <f>IF(Agent07_Savings!A179="","",Agent07_Savings!I179)</f>
        <v/>
      </c>
      <c r="I1374" s="37" t="str">
        <f>IF(Agent07_Savings!A179="","",Agent07_Savings!J179)</f>
        <v/>
      </c>
      <c r="J1374" s="37" t="str">
        <f>IF(Agent07_Savings!A179="","",Agent07_Savings!K179)</f>
        <v/>
      </c>
      <c r="K1374" s="37" t="str">
        <f>IFERROR(IF(Agent07_Savings!A179="","",YEAR(Agent07_Savings!D179)),"")</f>
        <v/>
      </c>
    </row>
    <row r="1375" spans="1:11" ht="18" customHeight="1" x14ac:dyDescent="0.25">
      <c r="A1375" s="37" t="str">
        <f>IF(Agent07_Savings!A180="","",Agent07_Savings!A180)</f>
        <v/>
      </c>
      <c r="B1375" s="37" t="str">
        <f ca="1">IF(Agent07_Savings!A180="","","SV"&amp;TEXT(1375-3,"0000")&amp;"-"&amp;TEXT(TODAY(),"YYYYMMDD"))</f>
        <v/>
      </c>
      <c r="C1375" s="37" t="str">
        <f>IF(Agent07_Savings!A180="","",Agent07_Savings!B180)</f>
        <v/>
      </c>
      <c r="D1375" s="37" t="str">
        <f>IF(Agent07_Savings!A180="","",Agent07_Savings!G180)</f>
        <v/>
      </c>
      <c r="E1375" s="38" t="str">
        <f>IF(Agent07_Savings!A180="","",Agent07_Savings!D180)</f>
        <v/>
      </c>
      <c r="F1375" s="39" t="str">
        <f>IF(Agent07_Savings!A180="","",Agent07_Savings!E180)</f>
        <v/>
      </c>
      <c r="G1375" s="39" t="str">
        <f>IF(Agent07_Savings!A180="","",Agent07_Savings!F180)</f>
        <v/>
      </c>
      <c r="H1375" s="37" t="str">
        <f>IF(Agent07_Savings!A180="","",Agent07_Savings!I180)</f>
        <v/>
      </c>
      <c r="I1375" s="37" t="str">
        <f>IF(Agent07_Savings!A180="","",Agent07_Savings!J180)</f>
        <v/>
      </c>
      <c r="J1375" s="37" t="str">
        <f>IF(Agent07_Savings!A180="","",Agent07_Savings!K180)</f>
        <v/>
      </c>
      <c r="K1375" s="37" t="str">
        <f>IFERROR(IF(Agent07_Savings!A180="","",YEAR(Agent07_Savings!D180)),"")</f>
        <v/>
      </c>
    </row>
    <row r="1376" spans="1:11" ht="18" customHeight="1" x14ac:dyDescent="0.25">
      <c r="A1376" s="37" t="str">
        <f>IF(Agent07_Savings!A181="","",Agent07_Savings!A181)</f>
        <v/>
      </c>
      <c r="B1376" s="37" t="str">
        <f ca="1">IF(Agent07_Savings!A181="","","SV"&amp;TEXT(1376-3,"0000")&amp;"-"&amp;TEXT(TODAY(),"YYYYMMDD"))</f>
        <v/>
      </c>
      <c r="C1376" s="37" t="str">
        <f>IF(Agent07_Savings!A181="","",Agent07_Savings!B181)</f>
        <v/>
      </c>
      <c r="D1376" s="37" t="str">
        <f>IF(Agent07_Savings!A181="","",Agent07_Savings!G181)</f>
        <v/>
      </c>
      <c r="E1376" s="38" t="str">
        <f>IF(Agent07_Savings!A181="","",Agent07_Savings!D181)</f>
        <v/>
      </c>
      <c r="F1376" s="39" t="str">
        <f>IF(Agent07_Savings!A181="","",Agent07_Savings!E181)</f>
        <v/>
      </c>
      <c r="G1376" s="39" t="str">
        <f>IF(Agent07_Savings!A181="","",Agent07_Savings!F181)</f>
        <v/>
      </c>
      <c r="H1376" s="37" t="str">
        <f>IF(Agent07_Savings!A181="","",Agent07_Savings!I181)</f>
        <v/>
      </c>
      <c r="I1376" s="37" t="str">
        <f>IF(Agent07_Savings!A181="","",Agent07_Savings!J181)</f>
        <v/>
      </c>
      <c r="J1376" s="37" t="str">
        <f>IF(Agent07_Savings!A181="","",Agent07_Savings!K181)</f>
        <v/>
      </c>
      <c r="K1376" s="37" t="str">
        <f>IFERROR(IF(Agent07_Savings!A181="","",YEAR(Agent07_Savings!D181)),"")</f>
        <v/>
      </c>
    </row>
    <row r="1377" spans="1:11" ht="18" customHeight="1" x14ac:dyDescent="0.25">
      <c r="A1377" s="37" t="str">
        <f>IF(Agent07_Savings!A182="","",Agent07_Savings!A182)</f>
        <v/>
      </c>
      <c r="B1377" s="37" t="str">
        <f ca="1">IF(Agent07_Savings!A182="","","SV"&amp;TEXT(1377-3,"0000")&amp;"-"&amp;TEXT(TODAY(),"YYYYMMDD"))</f>
        <v/>
      </c>
      <c r="C1377" s="37" t="str">
        <f>IF(Agent07_Savings!A182="","",Agent07_Savings!B182)</f>
        <v/>
      </c>
      <c r="D1377" s="37" t="str">
        <f>IF(Agent07_Savings!A182="","",Agent07_Savings!G182)</f>
        <v/>
      </c>
      <c r="E1377" s="38" t="str">
        <f>IF(Agent07_Savings!A182="","",Agent07_Savings!D182)</f>
        <v/>
      </c>
      <c r="F1377" s="39" t="str">
        <f>IF(Agent07_Savings!A182="","",Agent07_Savings!E182)</f>
        <v/>
      </c>
      <c r="G1377" s="39" t="str">
        <f>IF(Agent07_Savings!A182="","",Agent07_Savings!F182)</f>
        <v/>
      </c>
      <c r="H1377" s="37" t="str">
        <f>IF(Agent07_Savings!A182="","",Agent07_Savings!I182)</f>
        <v/>
      </c>
      <c r="I1377" s="37" t="str">
        <f>IF(Agent07_Savings!A182="","",Agent07_Savings!J182)</f>
        <v/>
      </c>
      <c r="J1377" s="37" t="str">
        <f>IF(Agent07_Savings!A182="","",Agent07_Savings!K182)</f>
        <v/>
      </c>
      <c r="K1377" s="37" t="str">
        <f>IFERROR(IF(Agent07_Savings!A182="","",YEAR(Agent07_Savings!D182)),"")</f>
        <v/>
      </c>
    </row>
    <row r="1378" spans="1:11" ht="18" customHeight="1" x14ac:dyDescent="0.25">
      <c r="A1378" s="37" t="str">
        <f>IF(Agent07_Savings!A183="","",Agent07_Savings!A183)</f>
        <v/>
      </c>
      <c r="B1378" s="37" t="str">
        <f ca="1">IF(Agent07_Savings!A183="","","SV"&amp;TEXT(1378-3,"0000")&amp;"-"&amp;TEXT(TODAY(),"YYYYMMDD"))</f>
        <v/>
      </c>
      <c r="C1378" s="37" t="str">
        <f>IF(Agent07_Savings!A183="","",Agent07_Savings!B183)</f>
        <v/>
      </c>
      <c r="D1378" s="37" t="str">
        <f>IF(Agent07_Savings!A183="","",Agent07_Savings!G183)</f>
        <v/>
      </c>
      <c r="E1378" s="38" t="str">
        <f>IF(Agent07_Savings!A183="","",Agent07_Savings!D183)</f>
        <v/>
      </c>
      <c r="F1378" s="39" t="str">
        <f>IF(Agent07_Savings!A183="","",Agent07_Savings!E183)</f>
        <v/>
      </c>
      <c r="G1378" s="39" t="str">
        <f>IF(Agent07_Savings!A183="","",Agent07_Savings!F183)</f>
        <v/>
      </c>
      <c r="H1378" s="37" t="str">
        <f>IF(Agent07_Savings!A183="","",Agent07_Savings!I183)</f>
        <v/>
      </c>
      <c r="I1378" s="37" t="str">
        <f>IF(Agent07_Savings!A183="","",Agent07_Savings!J183)</f>
        <v/>
      </c>
      <c r="J1378" s="37" t="str">
        <f>IF(Agent07_Savings!A183="","",Agent07_Savings!K183)</f>
        <v/>
      </c>
      <c r="K1378" s="37" t="str">
        <f>IFERROR(IF(Agent07_Savings!A183="","",YEAR(Agent07_Savings!D183)),"")</f>
        <v/>
      </c>
    </row>
    <row r="1379" spans="1:11" ht="18" customHeight="1" x14ac:dyDescent="0.25">
      <c r="A1379" s="37" t="str">
        <f>IF(Agent07_Savings!A184="","",Agent07_Savings!A184)</f>
        <v/>
      </c>
      <c r="B1379" s="37" t="str">
        <f ca="1">IF(Agent07_Savings!A184="","","SV"&amp;TEXT(1379-3,"0000")&amp;"-"&amp;TEXT(TODAY(),"YYYYMMDD"))</f>
        <v/>
      </c>
      <c r="C1379" s="37" t="str">
        <f>IF(Agent07_Savings!A184="","",Agent07_Savings!B184)</f>
        <v/>
      </c>
      <c r="D1379" s="37" t="str">
        <f>IF(Agent07_Savings!A184="","",Agent07_Savings!G184)</f>
        <v/>
      </c>
      <c r="E1379" s="38" t="str">
        <f>IF(Agent07_Savings!A184="","",Agent07_Savings!D184)</f>
        <v/>
      </c>
      <c r="F1379" s="39" t="str">
        <f>IF(Agent07_Savings!A184="","",Agent07_Savings!E184)</f>
        <v/>
      </c>
      <c r="G1379" s="39" t="str">
        <f>IF(Agent07_Savings!A184="","",Agent07_Savings!F184)</f>
        <v/>
      </c>
      <c r="H1379" s="37" t="str">
        <f>IF(Agent07_Savings!A184="","",Agent07_Savings!I184)</f>
        <v/>
      </c>
      <c r="I1379" s="37" t="str">
        <f>IF(Agent07_Savings!A184="","",Agent07_Savings!J184)</f>
        <v/>
      </c>
      <c r="J1379" s="37" t="str">
        <f>IF(Agent07_Savings!A184="","",Agent07_Savings!K184)</f>
        <v/>
      </c>
      <c r="K1379" s="37" t="str">
        <f>IFERROR(IF(Agent07_Savings!A184="","",YEAR(Agent07_Savings!D184)),"")</f>
        <v/>
      </c>
    </row>
    <row r="1380" spans="1:11" ht="18" customHeight="1" x14ac:dyDescent="0.25">
      <c r="A1380" s="37" t="str">
        <f>IF(Agent07_Savings!A185="","",Agent07_Savings!A185)</f>
        <v/>
      </c>
      <c r="B1380" s="37" t="str">
        <f ca="1">IF(Agent07_Savings!A185="","","SV"&amp;TEXT(1380-3,"0000")&amp;"-"&amp;TEXT(TODAY(),"YYYYMMDD"))</f>
        <v/>
      </c>
      <c r="C1380" s="37" t="str">
        <f>IF(Agent07_Savings!A185="","",Agent07_Savings!B185)</f>
        <v/>
      </c>
      <c r="D1380" s="37" t="str">
        <f>IF(Agent07_Savings!A185="","",Agent07_Savings!G185)</f>
        <v/>
      </c>
      <c r="E1380" s="38" t="str">
        <f>IF(Agent07_Savings!A185="","",Agent07_Savings!D185)</f>
        <v/>
      </c>
      <c r="F1380" s="39" t="str">
        <f>IF(Agent07_Savings!A185="","",Agent07_Savings!E185)</f>
        <v/>
      </c>
      <c r="G1380" s="39" t="str">
        <f>IF(Agent07_Savings!A185="","",Agent07_Savings!F185)</f>
        <v/>
      </c>
      <c r="H1380" s="37" t="str">
        <f>IF(Agent07_Savings!A185="","",Agent07_Savings!I185)</f>
        <v/>
      </c>
      <c r="I1380" s="37" t="str">
        <f>IF(Agent07_Savings!A185="","",Agent07_Savings!J185)</f>
        <v/>
      </c>
      <c r="J1380" s="37" t="str">
        <f>IF(Agent07_Savings!A185="","",Agent07_Savings!K185)</f>
        <v/>
      </c>
      <c r="K1380" s="37" t="str">
        <f>IFERROR(IF(Agent07_Savings!A185="","",YEAR(Agent07_Savings!D185)),"")</f>
        <v/>
      </c>
    </row>
    <row r="1381" spans="1:11" ht="18" customHeight="1" x14ac:dyDescent="0.25">
      <c r="A1381" s="37" t="str">
        <f>IF(Agent07_Savings!A186="","",Agent07_Savings!A186)</f>
        <v/>
      </c>
      <c r="B1381" s="37" t="str">
        <f ca="1">IF(Agent07_Savings!A186="","","SV"&amp;TEXT(1381-3,"0000")&amp;"-"&amp;TEXT(TODAY(),"YYYYMMDD"))</f>
        <v/>
      </c>
      <c r="C1381" s="37" t="str">
        <f>IF(Agent07_Savings!A186="","",Agent07_Savings!B186)</f>
        <v/>
      </c>
      <c r="D1381" s="37" t="str">
        <f>IF(Agent07_Savings!A186="","",Agent07_Savings!G186)</f>
        <v/>
      </c>
      <c r="E1381" s="38" t="str">
        <f>IF(Agent07_Savings!A186="","",Agent07_Savings!D186)</f>
        <v/>
      </c>
      <c r="F1381" s="39" t="str">
        <f>IF(Agent07_Savings!A186="","",Agent07_Savings!E186)</f>
        <v/>
      </c>
      <c r="G1381" s="39" t="str">
        <f>IF(Agent07_Savings!A186="","",Agent07_Savings!F186)</f>
        <v/>
      </c>
      <c r="H1381" s="37" t="str">
        <f>IF(Agent07_Savings!A186="","",Agent07_Savings!I186)</f>
        <v/>
      </c>
      <c r="I1381" s="37" t="str">
        <f>IF(Agent07_Savings!A186="","",Agent07_Savings!J186)</f>
        <v/>
      </c>
      <c r="J1381" s="37" t="str">
        <f>IF(Agent07_Savings!A186="","",Agent07_Savings!K186)</f>
        <v/>
      </c>
      <c r="K1381" s="37" t="str">
        <f>IFERROR(IF(Agent07_Savings!A186="","",YEAR(Agent07_Savings!D186)),"")</f>
        <v/>
      </c>
    </row>
    <row r="1382" spans="1:11" ht="18" customHeight="1" x14ac:dyDescent="0.25">
      <c r="A1382" s="37" t="str">
        <f>IF(Agent07_Savings!A187="","",Agent07_Savings!A187)</f>
        <v/>
      </c>
      <c r="B1382" s="37" t="str">
        <f ca="1">IF(Agent07_Savings!A187="","","SV"&amp;TEXT(1382-3,"0000")&amp;"-"&amp;TEXT(TODAY(),"YYYYMMDD"))</f>
        <v/>
      </c>
      <c r="C1382" s="37" t="str">
        <f>IF(Agent07_Savings!A187="","",Agent07_Savings!B187)</f>
        <v/>
      </c>
      <c r="D1382" s="37" t="str">
        <f>IF(Agent07_Savings!A187="","",Agent07_Savings!G187)</f>
        <v/>
      </c>
      <c r="E1382" s="38" t="str">
        <f>IF(Agent07_Savings!A187="","",Agent07_Savings!D187)</f>
        <v/>
      </c>
      <c r="F1382" s="39" t="str">
        <f>IF(Agent07_Savings!A187="","",Agent07_Savings!E187)</f>
        <v/>
      </c>
      <c r="G1382" s="39" t="str">
        <f>IF(Agent07_Savings!A187="","",Agent07_Savings!F187)</f>
        <v/>
      </c>
      <c r="H1382" s="37" t="str">
        <f>IF(Agent07_Savings!A187="","",Agent07_Savings!I187)</f>
        <v/>
      </c>
      <c r="I1382" s="37" t="str">
        <f>IF(Agent07_Savings!A187="","",Agent07_Savings!J187)</f>
        <v/>
      </c>
      <c r="J1382" s="37" t="str">
        <f>IF(Agent07_Savings!A187="","",Agent07_Savings!K187)</f>
        <v/>
      </c>
      <c r="K1382" s="37" t="str">
        <f>IFERROR(IF(Agent07_Savings!A187="","",YEAR(Agent07_Savings!D187)),"")</f>
        <v/>
      </c>
    </row>
    <row r="1383" spans="1:11" ht="18" customHeight="1" x14ac:dyDescent="0.25">
      <c r="A1383" s="37" t="str">
        <f>IF(Agent07_Savings!A188="","",Agent07_Savings!A188)</f>
        <v/>
      </c>
      <c r="B1383" s="37" t="str">
        <f ca="1">IF(Agent07_Savings!A188="","","SV"&amp;TEXT(1383-3,"0000")&amp;"-"&amp;TEXT(TODAY(),"YYYYMMDD"))</f>
        <v/>
      </c>
      <c r="C1383" s="37" t="str">
        <f>IF(Agent07_Savings!A188="","",Agent07_Savings!B188)</f>
        <v/>
      </c>
      <c r="D1383" s="37" t="str">
        <f>IF(Agent07_Savings!A188="","",Agent07_Savings!G188)</f>
        <v/>
      </c>
      <c r="E1383" s="38" t="str">
        <f>IF(Agent07_Savings!A188="","",Agent07_Savings!D188)</f>
        <v/>
      </c>
      <c r="F1383" s="39" t="str">
        <f>IF(Agent07_Savings!A188="","",Agent07_Savings!E188)</f>
        <v/>
      </c>
      <c r="G1383" s="39" t="str">
        <f>IF(Agent07_Savings!A188="","",Agent07_Savings!F188)</f>
        <v/>
      </c>
      <c r="H1383" s="37" t="str">
        <f>IF(Agent07_Savings!A188="","",Agent07_Savings!I188)</f>
        <v/>
      </c>
      <c r="I1383" s="37" t="str">
        <f>IF(Agent07_Savings!A188="","",Agent07_Savings!J188)</f>
        <v/>
      </c>
      <c r="J1383" s="37" t="str">
        <f>IF(Agent07_Savings!A188="","",Agent07_Savings!K188)</f>
        <v/>
      </c>
      <c r="K1383" s="37" t="str">
        <f>IFERROR(IF(Agent07_Savings!A188="","",YEAR(Agent07_Savings!D188)),"")</f>
        <v/>
      </c>
    </row>
    <row r="1384" spans="1:11" ht="18" customHeight="1" x14ac:dyDescent="0.25">
      <c r="A1384" s="37" t="str">
        <f>IF(Agent07_Savings!A189="","",Agent07_Savings!A189)</f>
        <v/>
      </c>
      <c r="B1384" s="37" t="str">
        <f ca="1">IF(Agent07_Savings!A189="","","SV"&amp;TEXT(1384-3,"0000")&amp;"-"&amp;TEXT(TODAY(),"YYYYMMDD"))</f>
        <v/>
      </c>
      <c r="C1384" s="37" t="str">
        <f>IF(Agent07_Savings!A189="","",Agent07_Savings!B189)</f>
        <v/>
      </c>
      <c r="D1384" s="37" t="str">
        <f>IF(Agent07_Savings!A189="","",Agent07_Savings!G189)</f>
        <v/>
      </c>
      <c r="E1384" s="38" t="str">
        <f>IF(Agent07_Savings!A189="","",Agent07_Savings!D189)</f>
        <v/>
      </c>
      <c r="F1384" s="39" t="str">
        <f>IF(Agent07_Savings!A189="","",Agent07_Savings!E189)</f>
        <v/>
      </c>
      <c r="G1384" s="39" t="str">
        <f>IF(Agent07_Savings!A189="","",Agent07_Savings!F189)</f>
        <v/>
      </c>
      <c r="H1384" s="37" t="str">
        <f>IF(Agent07_Savings!A189="","",Agent07_Savings!I189)</f>
        <v/>
      </c>
      <c r="I1384" s="37" t="str">
        <f>IF(Agent07_Savings!A189="","",Agent07_Savings!J189)</f>
        <v/>
      </c>
      <c r="J1384" s="37" t="str">
        <f>IF(Agent07_Savings!A189="","",Agent07_Savings!K189)</f>
        <v/>
      </c>
      <c r="K1384" s="37" t="str">
        <f>IFERROR(IF(Agent07_Savings!A189="","",YEAR(Agent07_Savings!D189)),"")</f>
        <v/>
      </c>
    </row>
    <row r="1385" spans="1:11" ht="18" customHeight="1" x14ac:dyDescent="0.25">
      <c r="A1385" s="37" t="str">
        <f>IF(Agent07_Savings!A190="","",Agent07_Savings!A190)</f>
        <v/>
      </c>
      <c r="B1385" s="37" t="str">
        <f ca="1">IF(Agent07_Savings!A190="","","SV"&amp;TEXT(1385-3,"0000")&amp;"-"&amp;TEXT(TODAY(),"YYYYMMDD"))</f>
        <v/>
      </c>
      <c r="C1385" s="37" t="str">
        <f>IF(Agent07_Savings!A190="","",Agent07_Savings!B190)</f>
        <v/>
      </c>
      <c r="D1385" s="37" t="str">
        <f>IF(Agent07_Savings!A190="","",Agent07_Savings!G190)</f>
        <v/>
      </c>
      <c r="E1385" s="38" t="str">
        <f>IF(Agent07_Savings!A190="","",Agent07_Savings!D190)</f>
        <v/>
      </c>
      <c r="F1385" s="39" t="str">
        <f>IF(Agent07_Savings!A190="","",Agent07_Savings!E190)</f>
        <v/>
      </c>
      <c r="G1385" s="39" t="str">
        <f>IF(Agent07_Savings!A190="","",Agent07_Savings!F190)</f>
        <v/>
      </c>
      <c r="H1385" s="37" t="str">
        <f>IF(Agent07_Savings!A190="","",Agent07_Savings!I190)</f>
        <v/>
      </c>
      <c r="I1385" s="37" t="str">
        <f>IF(Agent07_Savings!A190="","",Agent07_Savings!J190)</f>
        <v/>
      </c>
      <c r="J1385" s="37" t="str">
        <f>IF(Agent07_Savings!A190="","",Agent07_Savings!K190)</f>
        <v/>
      </c>
      <c r="K1385" s="37" t="str">
        <f>IFERROR(IF(Agent07_Savings!A190="","",YEAR(Agent07_Savings!D190)),"")</f>
        <v/>
      </c>
    </row>
    <row r="1386" spans="1:11" ht="18" customHeight="1" x14ac:dyDescent="0.25">
      <c r="A1386" s="37" t="str">
        <f>IF(Agent07_Savings!A191="","",Agent07_Savings!A191)</f>
        <v/>
      </c>
      <c r="B1386" s="37" t="str">
        <f ca="1">IF(Agent07_Savings!A191="","","SV"&amp;TEXT(1386-3,"0000")&amp;"-"&amp;TEXT(TODAY(),"YYYYMMDD"))</f>
        <v/>
      </c>
      <c r="C1386" s="37" t="str">
        <f>IF(Agent07_Savings!A191="","",Agent07_Savings!B191)</f>
        <v/>
      </c>
      <c r="D1386" s="37" t="str">
        <f>IF(Agent07_Savings!A191="","",Agent07_Savings!G191)</f>
        <v/>
      </c>
      <c r="E1386" s="38" t="str">
        <f>IF(Agent07_Savings!A191="","",Agent07_Savings!D191)</f>
        <v/>
      </c>
      <c r="F1386" s="39" t="str">
        <f>IF(Agent07_Savings!A191="","",Agent07_Savings!E191)</f>
        <v/>
      </c>
      <c r="G1386" s="39" t="str">
        <f>IF(Agent07_Savings!A191="","",Agent07_Savings!F191)</f>
        <v/>
      </c>
      <c r="H1386" s="37" t="str">
        <f>IF(Agent07_Savings!A191="","",Agent07_Savings!I191)</f>
        <v/>
      </c>
      <c r="I1386" s="37" t="str">
        <f>IF(Agent07_Savings!A191="","",Agent07_Savings!J191)</f>
        <v/>
      </c>
      <c r="J1386" s="37" t="str">
        <f>IF(Agent07_Savings!A191="","",Agent07_Savings!K191)</f>
        <v/>
      </c>
      <c r="K1386" s="37" t="str">
        <f>IFERROR(IF(Agent07_Savings!A191="","",YEAR(Agent07_Savings!D191)),"")</f>
        <v/>
      </c>
    </row>
    <row r="1387" spans="1:11" ht="18" customHeight="1" x14ac:dyDescent="0.25">
      <c r="A1387" s="37" t="str">
        <f>IF(Agent07_Savings!A192="","",Agent07_Savings!A192)</f>
        <v/>
      </c>
      <c r="B1387" s="37" t="str">
        <f ca="1">IF(Agent07_Savings!A192="","","SV"&amp;TEXT(1387-3,"0000")&amp;"-"&amp;TEXT(TODAY(),"YYYYMMDD"))</f>
        <v/>
      </c>
      <c r="C1387" s="37" t="str">
        <f>IF(Agent07_Savings!A192="","",Agent07_Savings!B192)</f>
        <v/>
      </c>
      <c r="D1387" s="37" t="str">
        <f>IF(Agent07_Savings!A192="","",Agent07_Savings!G192)</f>
        <v/>
      </c>
      <c r="E1387" s="38" t="str">
        <f>IF(Agent07_Savings!A192="","",Agent07_Savings!D192)</f>
        <v/>
      </c>
      <c r="F1387" s="39" t="str">
        <f>IF(Agent07_Savings!A192="","",Agent07_Savings!E192)</f>
        <v/>
      </c>
      <c r="G1387" s="39" t="str">
        <f>IF(Agent07_Savings!A192="","",Agent07_Savings!F192)</f>
        <v/>
      </c>
      <c r="H1387" s="37" t="str">
        <f>IF(Agent07_Savings!A192="","",Agent07_Savings!I192)</f>
        <v/>
      </c>
      <c r="I1387" s="37" t="str">
        <f>IF(Agent07_Savings!A192="","",Agent07_Savings!J192)</f>
        <v/>
      </c>
      <c r="J1387" s="37" t="str">
        <f>IF(Agent07_Savings!A192="","",Agent07_Savings!K192)</f>
        <v/>
      </c>
      <c r="K1387" s="37" t="str">
        <f>IFERROR(IF(Agent07_Savings!A192="","",YEAR(Agent07_Savings!D192)),"")</f>
        <v/>
      </c>
    </row>
    <row r="1388" spans="1:11" ht="18" customHeight="1" x14ac:dyDescent="0.25">
      <c r="A1388" s="37" t="str">
        <f>IF(Agent07_Savings!A193="","",Agent07_Savings!A193)</f>
        <v/>
      </c>
      <c r="B1388" s="37" t="str">
        <f ca="1">IF(Agent07_Savings!A193="","","SV"&amp;TEXT(1388-3,"0000")&amp;"-"&amp;TEXT(TODAY(),"YYYYMMDD"))</f>
        <v/>
      </c>
      <c r="C1388" s="37" t="str">
        <f>IF(Agent07_Savings!A193="","",Agent07_Savings!B193)</f>
        <v/>
      </c>
      <c r="D1388" s="37" t="str">
        <f>IF(Agent07_Savings!A193="","",Agent07_Savings!G193)</f>
        <v/>
      </c>
      <c r="E1388" s="38" t="str">
        <f>IF(Agent07_Savings!A193="","",Agent07_Savings!D193)</f>
        <v/>
      </c>
      <c r="F1388" s="39" t="str">
        <f>IF(Agent07_Savings!A193="","",Agent07_Savings!E193)</f>
        <v/>
      </c>
      <c r="G1388" s="39" t="str">
        <f>IF(Agent07_Savings!A193="","",Agent07_Savings!F193)</f>
        <v/>
      </c>
      <c r="H1388" s="37" t="str">
        <f>IF(Agent07_Savings!A193="","",Agent07_Savings!I193)</f>
        <v/>
      </c>
      <c r="I1388" s="37" t="str">
        <f>IF(Agent07_Savings!A193="","",Agent07_Savings!J193)</f>
        <v/>
      </c>
      <c r="J1388" s="37" t="str">
        <f>IF(Agent07_Savings!A193="","",Agent07_Savings!K193)</f>
        <v/>
      </c>
      <c r="K1388" s="37" t="str">
        <f>IFERROR(IF(Agent07_Savings!A193="","",YEAR(Agent07_Savings!D193)),"")</f>
        <v/>
      </c>
    </row>
    <row r="1389" spans="1:11" ht="18" customHeight="1" x14ac:dyDescent="0.25">
      <c r="A1389" s="37" t="str">
        <f>IF(Agent07_Savings!A194="","",Agent07_Savings!A194)</f>
        <v/>
      </c>
      <c r="B1389" s="37" t="str">
        <f ca="1">IF(Agent07_Savings!A194="","","SV"&amp;TEXT(1389-3,"0000")&amp;"-"&amp;TEXT(TODAY(),"YYYYMMDD"))</f>
        <v/>
      </c>
      <c r="C1389" s="37" t="str">
        <f>IF(Agent07_Savings!A194="","",Agent07_Savings!B194)</f>
        <v/>
      </c>
      <c r="D1389" s="37" t="str">
        <f>IF(Agent07_Savings!A194="","",Agent07_Savings!G194)</f>
        <v/>
      </c>
      <c r="E1389" s="38" t="str">
        <f>IF(Agent07_Savings!A194="","",Agent07_Savings!D194)</f>
        <v/>
      </c>
      <c r="F1389" s="39" t="str">
        <f>IF(Agent07_Savings!A194="","",Agent07_Savings!E194)</f>
        <v/>
      </c>
      <c r="G1389" s="39" t="str">
        <f>IF(Agent07_Savings!A194="","",Agent07_Savings!F194)</f>
        <v/>
      </c>
      <c r="H1389" s="37" t="str">
        <f>IF(Agent07_Savings!A194="","",Agent07_Savings!I194)</f>
        <v/>
      </c>
      <c r="I1389" s="37" t="str">
        <f>IF(Agent07_Savings!A194="","",Agent07_Savings!J194)</f>
        <v/>
      </c>
      <c r="J1389" s="37" t="str">
        <f>IF(Agent07_Savings!A194="","",Agent07_Savings!K194)</f>
        <v/>
      </c>
      <c r="K1389" s="37" t="str">
        <f>IFERROR(IF(Agent07_Savings!A194="","",YEAR(Agent07_Savings!D194)),"")</f>
        <v/>
      </c>
    </row>
    <row r="1390" spans="1:11" ht="18" customHeight="1" x14ac:dyDescent="0.25">
      <c r="A1390" s="37" t="str">
        <f>IF(Agent07_Savings!A195="","",Agent07_Savings!A195)</f>
        <v/>
      </c>
      <c r="B1390" s="37" t="str">
        <f ca="1">IF(Agent07_Savings!A195="","","SV"&amp;TEXT(1390-3,"0000")&amp;"-"&amp;TEXT(TODAY(),"YYYYMMDD"))</f>
        <v/>
      </c>
      <c r="C1390" s="37" t="str">
        <f>IF(Agent07_Savings!A195="","",Agent07_Savings!B195)</f>
        <v/>
      </c>
      <c r="D1390" s="37" t="str">
        <f>IF(Agent07_Savings!A195="","",Agent07_Savings!G195)</f>
        <v/>
      </c>
      <c r="E1390" s="38" t="str">
        <f>IF(Agent07_Savings!A195="","",Agent07_Savings!D195)</f>
        <v/>
      </c>
      <c r="F1390" s="39" t="str">
        <f>IF(Agent07_Savings!A195="","",Agent07_Savings!E195)</f>
        <v/>
      </c>
      <c r="G1390" s="39" t="str">
        <f>IF(Agent07_Savings!A195="","",Agent07_Savings!F195)</f>
        <v/>
      </c>
      <c r="H1390" s="37" t="str">
        <f>IF(Agent07_Savings!A195="","",Agent07_Savings!I195)</f>
        <v/>
      </c>
      <c r="I1390" s="37" t="str">
        <f>IF(Agent07_Savings!A195="","",Agent07_Savings!J195)</f>
        <v/>
      </c>
      <c r="J1390" s="37" t="str">
        <f>IF(Agent07_Savings!A195="","",Agent07_Savings!K195)</f>
        <v/>
      </c>
      <c r="K1390" s="37" t="str">
        <f>IFERROR(IF(Agent07_Savings!A195="","",YEAR(Agent07_Savings!D195)),"")</f>
        <v/>
      </c>
    </row>
    <row r="1391" spans="1:11" ht="18" customHeight="1" x14ac:dyDescent="0.25">
      <c r="A1391" s="37" t="str">
        <f>IF(Agent07_Savings!A196="","",Agent07_Savings!A196)</f>
        <v/>
      </c>
      <c r="B1391" s="37" t="str">
        <f ca="1">IF(Agent07_Savings!A196="","","SV"&amp;TEXT(1391-3,"0000")&amp;"-"&amp;TEXT(TODAY(),"YYYYMMDD"))</f>
        <v/>
      </c>
      <c r="C1391" s="37" t="str">
        <f>IF(Agent07_Savings!A196="","",Agent07_Savings!B196)</f>
        <v/>
      </c>
      <c r="D1391" s="37" t="str">
        <f>IF(Agent07_Savings!A196="","",Agent07_Savings!G196)</f>
        <v/>
      </c>
      <c r="E1391" s="38" t="str">
        <f>IF(Agent07_Savings!A196="","",Agent07_Savings!D196)</f>
        <v/>
      </c>
      <c r="F1391" s="39" t="str">
        <f>IF(Agent07_Savings!A196="","",Agent07_Savings!E196)</f>
        <v/>
      </c>
      <c r="G1391" s="39" t="str">
        <f>IF(Agent07_Savings!A196="","",Agent07_Savings!F196)</f>
        <v/>
      </c>
      <c r="H1391" s="37" t="str">
        <f>IF(Agent07_Savings!A196="","",Agent07_Savings!I196)</f>
        <v/>
      </c>
      <c r="I1391" s="37" t="str">
        <f>IF(Agent07_Savings!A196="","",Agent07_Savings!J196)</f>
        <v/>
      </c>
      <c r="J1391" s="37" t="str">
        <f>IF(Agent07_Savings!A196="","",Agent07_Savings!K196)</f>
        <v/>
      </c>
      <c r="K1391" s="37" t="str">
        <f>IFERROR(IF(Agent07_Savings!A196="","",YEAR(Agent07_Savings!D196)),"")</f>
        <v/>
      </c>
    </row>
    <row r="1392" spans="1:11" ht="18" customHeight="1" x14ac:dyDescent="0.25">
      <c r="A1392" s="37" t="str">
        <f>IF(Agent07_Savings!A197="","",Agent07_Savings!A197)</f>
        <v/>
      </c>
      <c r="B1392" s="37" t="str">
        <f ca="1">IF(Agent07_Savings!A197="","","SV"&amp;TEXT(1392-3,"0000")&amp;"-"&amp;TEXT(TODAY(),"YYYYMMDD"))</f>
        <v/>
      </c>
      <c r="C1392" s="37" t="str">
        <f>IF(Agent07_Savings!A197="","",Agent07_Savings!B197)</f>
        <v/>
      </c>
      <c r="D1392" s="37" t="str">
        <f>IF(Agent07_Savings!A197="","",Agent07_Savings!G197)</f>
        <v/>
      </c>
      <c r="E1392" s="38" t="str">
        <f>IF(Agent07_Savings!A197="","",Agent07_Savings!D197)</f>
        <v/>
      </c>
      <c r="F1392" s="39" t="str">
        <f>IF(Agent07_Savings!A197="","",Agent07_Savings!E197)</f>
        <v/>
      </c>
      <c r="G1392" s="39" t="str">
        <f>IF(Agent07_Savings!A197="","",Agent07_Savings!F197)</f>
        <v/>
      </c>
      <c r="H1392" s="37" t="str">
        <f>IF(Agent07_Savings!A197="","",Agent07_Savings!I197)</f>
        <v/>
      </c>
      <c r="I1392" s="37" t="str">
        <f>IF(Agent07_Savings!A197="","",Agent07_Savings!J197)</f>
        <v/>
      </c>
      <c r="J1392" s="37" t="str">
        <f>IF(Agent07_Savings!A197="","",Agent07_Savings!K197)</f>
        <v/>
      </c>
      <c r="K1392" s="37" t="str">
        <f>IFERROR(IF(Agent07_Savings!A197="","",YEAR(Agent07_Savings!D197)),"")</f>
        <v/>
      </c>
    </row>
    <row r="1393" spans="1:11" ht="18" customHeight="1" x14ac:dyDescent="0.25">
      <c r="A1393" s="37" t="str">
        <f>IF(Agent07_Savings!A198="","",Agent07_Savings!A198)</f>
        <v/>
      </c>
      <c r="B1393" s="37" t="str">
        <f ca="1">IF(Agent07_Savings!A198="","","SV"&amp;TEXT(1393-3,"0000")&amp;"-"&amp;TEXT(TODAY(),"YYYYMMDD"))</f>
        <v/>
      </c>
      <c r="C1393" s="37" t="str">
        <f>IF(Agent07_Savings!A198="","",Agent07_Savings!B198)</f>
        <v/>
      </c>
      <c r="D1393" s="37" t="str">
        <f>IF(Agent07_Savings!A198="","",Agent07_Savings!G198)</f>
        <v/>
      </c>
      <c r="E1393" s="38" t="str">
        <f>IF(Agent07_Savings!A198="","",Agent07_Savings!D198)</f>
        <v/>
      </c>
      <c r="F1393" s="39" t="str">
        <f>IF(Agent07_Savings!A198="","",Agent07_Savings!E198)</f>
        <v/>
      </c>
      <c r="G1393" s="39" t="str">
        <f>IF(Agent07_Savings!A198="","",Agent07_Savings!F198)</f>
        <v/>
      </c>
      <c r="H1393" s="37" t="str">
        <f>IF(Agent07_Savings!A198="","",Agent07_Savings!I198)</f>
        <v/>
      </c>
      <c r="I1393" s="37" t="str">
        <f>IF(Agent07_Savings!A198="","",Agent07_Savings!J198)</f>
        <v/>
      </c>
      <c r="J1393" s="37" t="str">
        <f>IF(Agent07_Savings!A198="","",Agent07_Savings!K198)</f>
        <v/>
      </c>
      <c r="K1393" s="37" t="str">
        <f>IFERROR(IF(Agent07_Savings!A198="","",YEAR(Agent07_Savings!D198)),"")</f>
        <v/>
      </c>
    </row>
    <row r="1394" spans="1:11" ht="18" customHeight="1" x14ac:dyDescent="0.25">
      <c r="A1394" s="37" t="str">
        <f>IF(Agent07_Savings!A199="","",Agent07_Savings!A199)</f>
        <v/>
      </c>
      <c r="B1394" s="37" t="str">
        <f ca="1">IF(Agent07_Savings!A199="","","SV"&amp;TEXT(1394-3,"0000")&amp;"-"&amp;TEXT(TODAY(),"YYYYMMDD"))</f>
        <v/>
      </c>
      <c r="C1394" s="37" t="str">
        <f>IF(Agent07_Savings!A199="","",Agent07_Savings!B199)</f>
        <v/>
      </c>
      <c r="D1394" s="37" t="str">
        <f>IF(Agent07_Savings!A199="","",Agent07_Savings!G199)</f>
        <v/>
      </c>
      <c r="E1394" s="38" t="str">
        <f>IF(Agent07_Savings!A199="","",Agent07_Savings!D199)</f>
        <v/>
      </c>
      <c r="F1394" s="39" t="str">
        <f>IF(Agent07_Savings!A199="","",Agent07_Savings!E199)</f>
        <v/>
      </c>
      <c r="G1394" s="39" t="str">
        <f>IF(Agent07_Savings!A199="","",Agent07_Savings!F199)</f>
        <v/>
      </c>
      <c r="H1394" s="37" t="str">
        <f>IF(Agent07_Savings!A199="","",Agent07_Savings!I199)</f>
        <v/>
      </c>
      <c r="I1394" s="37" t="str">
        <f>IF(Agent07_Savings!A199="","",Agent07_Savings!J199)</f>
        <v/>
      </c>
      <c r="J1394" s="37" t="str">
        <f>IF(Agent07_Savings!A199="","",Agent07_Savings!K199)</f>
        <v/>
      </c>
      <c r="K1394" s="37" t="str">
        <f>IFERROR(IF(Agent07_Savings!A199="","",YEAR(Agent07_Savings!D199)),"")</f>
        <v/>
      </c>
    </row>
    <row r="1395" spans="1:11" ht="18" customHeight="1" x14ac:dyDescent="0.25">
      <c r="A1395" s="37" t="str">
        <f>IF(Agent07_Savings!A200="","",Agent07_Savings!A200)</f>
        <v/>
      </c>
      <c r="B1395" s="37" t="str">
        <f ca="1">IF(Agent07_Savings!A200="","","SV"&amp;TEXT(1395-3,"0000")&amp;"-"&amp;TEXT(TODAY(),"YYYYMMDD"))</f>
        <v/>
      </c>
      <c r="C1395" s="37" t="str">
        <f>IF(Agent07_Savings!A200="","",Agent07_Savings!B200)</f>
        <v/>
      </c>
      <c r="D1395" s="37" t="str">
        <f>IF(Agent07_Savings!A200="","",Agent07_Savings!G200)</f>
        <v/>
      </c>
      <c r="E1395" s="38" t="str">
        <f>IF(Agent07_Savings!A200="","",Agent07_Savings!D200)</f>
        <v/>
      </c>
      <c r="F1395" s="39" t="str">
        <f>IF(Agent07_Savings!A200="","",Agent07_Savings!E200)</f>
        <v/>
      </c>
      <c r="G1395" s="39" t="str">
        <f>IF(Agent07_Savings!A200="","",Agent07_Savings!F200)</f>
        <v/>
      </c>
      <c r="H1395" s="37" t="str">
        <f>IF(Agent07_Savings!A200="","",Agent07_Savings!I200)</f>
        <v/>
      </c>
      <c r="I1395" s="37" t="str">
        <f>IF(Agent07_Savings!A200="","",Agent07_Savings!J200)</f>
        <v/>
      </c>
      <c r="J1395" s="37" t="str">
        <f>IF(Agent07_Savings!A200="","",Agent07_Savings!K200)</f>
        <v/>
      </c>
      <c r="K1395" s="37" t="str">
        <f>IFERROR(IF(Agent07_Savings!A200="","",YEAR(Agent07_Savings!D200)),"")</f>
        <v/>
      </c>
    </row>
    <row r="1396" spans="1:11" ht="18" customHeight="1" x14ac:dyDescent="0.25">
      <c r="A1396" s="37" t="str">
        <f>IF(Agent07_Savings!A201="","",Agent07_Savings!A201)</f>
        <v/>
      </c>
      <c r="B1396" s="37" t="str">
        <f ca="1">IF(Agent07_Savings!A201="","","SV"&amp;TEXT(1396-3,"0000")&amp;"-"&amp;TEXT(TODAY(),"YYYYMMDD"))</f>
        <v/>
      </c>
      <c r="C1396" s="37" t="str">
        <f>IF(Agent07_Savings!A201="","",Agent07_Savings!B201)</f>
        <v/>
      </c>
      <c r="D1396" s="37" t="str">
        <f>IF(Agent07_Savings!A201="","",Agent07_Savings!G201)</f>
        <v/>
      </c>
      <c r="E1396" s="38" t="str">
        <f>IF(Agent07_Savings!A201="","",Agent07_Savings!D201)</f>
        <v/>
      </c>
      <c r="F1396" s="39" t="str">
        <f>IF(Agent07_Savings!A201="","",Agent07_Savings!E201)</f>
        <v/>
      </c>
      <c r="G1396" s="39" t="str">
        <f>IF(Agent07_Savings!A201="","",Agent07_Savings!F201)</f>
        <v/>
      </c>
      <c r="H1396" s="37" t="str">
        <f>IF(Agent07_Savings!A201="","",Agent07_Savings!I201)</f>
        <v/>
      </c>
      <c r="I1396" s="37" t="str">
        <f>IF(Agent07_Savings!A201="","",Agent07_Savings!J201)</f>
        <v/>
      </c>
      <c r="J1396" s="37" t="str">
        <f>IF(Agent07_Savings!A201="","",Agent07_Savings!K201)</f>
        <v/>
      </c>
      <c r="K1396" s="37" t="str">
        <f>IFERROR(IF(Agent07_Savings!A201="","",YEAR(Agent07_Savings!D201)),"")</f>
        <v/>
      </c>
    </row>
    <row r="1397" spans="1:11" ht="18" customHeight="1" x14ac:dyDescent="0.25">
      <c r="A1397" s="37" t="str">
        <f>IF(Agent07_Savings!A202="","",Agent07_Savings!A202)</f>
        <v/>
      </c>
      <c r="B1397" s="37" t="str">
        <f ca="1">IF(Agent07_Savings!A202="","","SV"&amp;TEXT(1397-3,"0000")&amp;"-"&amp;TEXT(TODAY(),"YYYYMMDD"))</f>
        <v/>
      </c>
      <c r="C1397" s="37" t="str">
        <f>IF(Agent07_Savings!A202="","",Agent07_Savings!B202)</f>
        <v/>
      </c>
      <c r="D1397" s="37" t="str">
        <f>IF(Agent07_Savings!A202="","",Agent07_Savings!G202)</f>
        <v/>
      </c>
      <c r="E1397" s="38" t="str">
        <f>IF(Agent07_Savings!A202="","",Agent07_Savings!D202)</f>
        <v/>
      </c>
      <c r="F1397" s="39" t="str">
        <f>IF(Agent07_Savings!A202="","",Agent07_Savings!E202)</f>
        <v/>
      </c>
      <c r="G1397" s="39" t="str">
        <f>IF(Agent07_Savings!A202="","",Agent07_Savings!F202)</f>
        <v/>
      </c>
      <c r="H1397" s="37" t="str">
        <f>IF(Agent07_Savings!A202="","",Agent07_Savings!I202)</f>
        <v/>
      </c>
      <c r="I1397" s="37" t="str">
        <f>IF(Agent07_Savings!A202="","",Agent07_Savings!J202)</f>
        <v/>
      </c>
      <c r="J1397" s="37" t="str">
        <f>IF(Agent07_Savings!A202="","",Agent07_Savings!K202)</f>
        <v/>
      </c>
      <c r="K1397" s="37" t="str">
        <f>IFERROR(IF(Agent07_Savings!A202="","",YEAR(Agent07_Savings!D202)),"")</f>
        <v/>
      </c>
    </row>
    <row r="1398" spans="1:11" ht="18" customHeight="1" x14ac:dyDescent="0.25">
      <c r="A1398" s="37" t="str">
        <f>IF(Agent07_Savings!A203="","",Agent07_Savings!A203)</f>
        <v/>
      </c>
      <c r="B1398" s="37" t="str">
        <f ca="1">IF(Agent07_Savings!A203="","","SV"&amp;TEXT(1398-3,"0000")&amp;"-"&amp;TEXT(TODAY(),"YYYYMMDD"))</f>
        <v/>
      </c>
      <c r="C1398" s="37" t="str">
        <f>IF(Agent07_Savings!A203="","",Agent07_Savings!B203)</f>
        <v/>
      </c>
      <c r="D1398" s="37" t="str">
        <f>IF(Agent07_Savings!A203="","",Agent07_Savings!G203)</f>
        <v/>
      </c>
      <c r="E1398" s="38" t="str">
        <f>IF(Agent07_Savings!A203="","",Agent07_Savings!D203)</f>
        <v/>
      </c>
      <c r="F1398" s="39" t="str">
        <f>IF(Agent07_Savings!A203="","",Agent07_Savings!E203)</f>
        <v/>
      </c>
      <c r="G1398" s="39" t="str">
        <f>IF(Agent07_Savings!A203="","",Agent07_Savings!F203)</f>
        <v/>
      </c>
      <c r="H1398" s="37" t="str">
        <f>IF(Agent07_Savings!A203="","",Agent07_Savings!I203)</f>
        <v/>
      </c>
      <c r="I1398" s="37" t="str">
        <f>IF(Agent07_Savings!A203="","",Agent07_Savings!J203)</f>
        <v/>
      </c>
      <c r="J1398" s="37" t="str">
        <f>IF(Agent07_Savings!A203="","",Agent07_Savings!K203)</f>
        <v/>
      </c>
      <c r="K1398" s="37" t="str">
        <f>IFERROR(IF(Agent07_Savings!A203="","",YEAR(Agent07_Savings!D203)),"")</f>
        <v/>
      </c>
    </row>
    <row r="1399" spans="1:11" ht="18" customHeight="1" x14ac:dyDescent="0.25">
      <c r="A1399" s="37" t="str">
        <f>IF(Agent07_Savings!A204="","",Agent07_Savings!A204)</f>
        <v/>
      </c>
      <c r="B1399" s="37" t="str">
        <f ca="1">IF(Agent07_Savings!A204="","","SV"&amp;TEXT(1399-3,"0000")&amp;"-"&amp;TEXT(TODAY(),"YYYYMMDD"))</f>
        <v/>
      </c>
      <c r="C1399" s="37" t="str">
        <f>IF(Agent07_Savings!A204="","",Agent07_Savings!B204)</f>
        <v/>
      </c>
      <c r="D1399" s="37" t="str">
        <f>IF(Agent07_Savings!A204="","",Agent07_Savings!G204)</f>
        <v/>
      </c>
      <c r="E1399" s="38" t="str">
        <f>IF(Agent07_Savings!A204="","",Agent07_Savings!D204)</f>
        <v/>
      </c>
      <c r="F1399" s="39" t="str">
        <f>IF(Agent07_Savings!A204="","",Agent07_Savings!E204)</f>
        <v/>
      </c>
      <c r="G1399" s="39" t="str">
        <f>IF(Agent07_Savings!A204="","",Agent07_Savings!F204)</f>
        <v/>
      </c>
      <c r="H1399" s="37" t="str">
        <f>IF(Agent07_Savings!A204="","",Agent07_Savings!I204)</f>
        <v/>
      </c>
      <c r="I1399" s="37" t="str">
        <f>IF(Agent07_Savings!A204="","",Agent07_Savings!J204)</f>
        <v/>
      </c>
      <c r="J1399" s="37" t="str">
        <f>IF(Agent07_Savings!A204="","",Agent07_Savings!K204)</f>
        <v/>
      </c>
      <c r="K1399" s="37" t="str">
        <f>IFERROR(IF(Agent07_Savings!A204="","",YEAR(Agent07_Savings!D204)),"")</f>
        <v/>
      </c>
    </row>
    <row r="1400" spans="1:11" ht="18" customHeight="1" x14ac:dyDescent="0.25">
      <c r="A1400" s="37" t="str">
        <f>IF(Agent07_Savings!A205="","",Agent07_Savings!A205)</f>
        <v/>
      </c>
      <c r="B1400" s="37" t="str">
        <f ca="1">IF(Agent07_Savings!A205="","","SV"&amp;TEXT(1400-3,"0000")&amp;"-"&amp;TEXT(TODAY(),"YYYYMMDD"))</f>
        <v/>
      </c>
      <c r="C1400" s="37" t="str">
        <f>IF(Agent07_Savings!A205="","",Agent07_Savings!B205)</f>
        <v/>
      </c>
      <c r="D1400" s="37" t="str">
        <f>IF(Agent07_Savings!A205="","",Agent07_Savings!G205)</f>
        <v/>
      </c>
      <c r="E1400" s="38" t="str">
        <f>IF(Agent07_Savings!A205="","",Agent07_Savings!D205)</f>
        <v/>
      </c>
      <c r="F1400" s="39" t="str">
        <f>IF(Agent07_Savings!A205="","",Agent07_Savings!E205)</f>
        <v/>
      </c>
      <c r="G1400" s="39" t="str">
        <f>IF(Agent07_Savings!A205="","",Agent07_Savings!F205)</f>
        <v/>
      </c>
      <c r="H1400" s="37" t="str">
        <f>IF(Agent07_Savings!A205="","",Agent07_Savings!I205)</f>
        <v/>
      </c>
      <c r="I1400" s="37" t="str">
        <f>IF(Agent07_Savings!A205="","",Agent07_Savings!J205)</f>
        <v/>
      </c>
      <c r="J1400" s="37" t="str">
        <f>IF(Agent07_Savings!A205="","",Agent07_Savings!K205)</f>
        <v/>
      </c>
      <c r="K1400" s="37" t="str">
        <f>IFERROR(IF(Agent07_Savings!A205="","",YEAR(Agent07_Savings!D205)),"")</f>
        <v/>
      </c>
    </row>
    <row r="1401" spans="1:11" ht="18" customHeight="1" x14ac:dyDescent="0.25">
      <c r="A1401" s="37" t="str">
        <f>IF(Agent07_Savings!A206="","",Agent07_Savings!A206)</f>
        <v/>
      </c>
      <c r="B1401" s="37" t="str">
        <f ca="1">IF(Agent07_Savings!A206="","","SV"&amp;TEXT(1401-3,"0000")&amp;"-"&amp;TEXT(TODAY(),"YYYYMMDD"))</f>
        <v/>
      </c>
      <c r="C1401" s="37" t="str">
        <f>IF(Agent07_Savings!A206="","",Agent07_Savings!B206)</f>
        <v/>
      </c>
      <c r="D1401" s="37" t="str">
        <f>IF(Agent07_Savings!A206="","",Agent07_Savings!G206)</f>
        <v/>
      </c>
      <c r="E1401" s="38" t="str">
        <f>IF(Agent07_Savings!A206="","",Agent07_Savings!D206)</f>
        <v/>
      </c>
      <c r="F1401" s="39" t="str">
        <f>IF(Agent07_Savings!A206="","",Agent07_Savings!E206)</f>
        <v/>
      </c>
      <c r="G1401" s="39" t="str">
        <f>IF(Agent07_Savings!A206="","",Agent07_Savings!F206)</f>
        <v/>
      </c>
      <c r="H1401" s="37" t="str">
        <f>IF(Agent07_Savings!A206="","",Agent07_Savings!I206)</f>
        <v/>
      </c>
      <c r="I1401" s="37" t="str">
        <f>IF(Agent07_Savings!A206="","",Agent07_Savings!J206)</f>
        <v/>
      </c>
      <c r="J1401" s="37" t="str">
        <f>IF(Agent07_Savings!A206="","",Agent07_Savings!K206)</f>
        <v/>
      </c>
      <c r="K1401" s="37" t="str">
        <f>IFERROR(IF(Agent07_Savings!A206="","",YEAR(Agent07_Savings!D206)),"")</f>
        <v/>
      </c>
    </row>
    <row r="1402" spans="1:11" ht="18" customHeight="1" x14ac:dyDescent="0.25">
      <c r="A1402" s="37" t="str">
        <f>IF(Agent07_Savings!A207="","",Agent07_Savings!A207)</f>
        <v/>
      </c>
      <c r="B1402" s="37" t="str">
        <f ca="1">IF(Agent07_Savings!A207="","","SV"&amp;TEXT(1402-3,"0000")&amp;"-"&amp;TEXT(TODAY(),"YYYYMMDD"))</f>
        <v/>
      </c>
      <c r="C1402" s="37" t="str">
        <f>IF(Agent07_Savings!A207="","",Agent07_Savings!B207)</f>
        <v/>
      </c>
      <c r="D1402" s="37" t="str">
        <f>IF(Agent07_Savings!A207="","",Agent07_Savings!G207)</f>
        <v/>
      </c>
      <c r="E1402" s="38" t="str">
        <f>IF(Agent07_Savings!A207="","",Agent07_Savings!D207)</f>
        <v/>
      </c>
      <c r="F1402" s="39" t="str">
        <f>IF(Agent07_Savings!A207="","",Agent07_Savings!E207)</f>
        <v/>
      </c>
      <c r="G1402" s="39" t="str">
        <f>IF(Agent07_Savings!A207="","",Agent07_Savings!F207)</f>
        <v/>
      </c>
      <c r="H1402" s="37" t="str">
        <f>IF(Agent07_Savings!A207="","",Agent07_Savings!I207)</f>
        <v/>
      </c>
      <c r="I1402" s="37" t="str">
        <f>IF(Agent07_Savings!A207="","",Agent07_Savings!J207)</f>
        <v/>
      </c>
      <c r="J1402" s="37" t="str">
        <f>IF(Agent07_Savings!A207="","",Agent07_Savings!K207)</f>
        <v/>
      </c>
      <c r="K1402" s="37" t="str">
        <f>IFERROR(IF(Agent07_Savings!A207="","",YEAR(Agent07_Savings!D207)),"")</f>
        <v/>
      </c>
    </row>
    <row r="1403" spans="1:11" ht="18" customHeight="1" x14ac:dyDescent="0.25">
      <c r="A1403" s="37" t="str">
        <f>IF(Agent07_Savings!A208="","",Agent07_Savings!A208)</f>
        <v/>
      </c>
      <c r="B1403" s="37" t="str">
        <f ca="1">IF(Agent07_Savings!A208="","","SV"&amp;TEXT(1403-3,"0000")&amp;"-"&amp;TEXT(TODAY(),"YYYYMMDD"))</f>
        <v/>
      </c>
      <c r="C1403" s="37" t="str">
        <f>IF(Agent07_Savings!A208="","",Agent07_Savings!B208)</f>
        <v/>
      </c>
      <c r="D1403" s="37" t="str">
        <f>IF(Agent07_Savings!A208="","",Agent07_Savings!G208)</f>
        <v/>
      </c>
      <c r="E1403" s="38" t="str">
        <f>IF(Agent07_Savings!A208="","",Agent07_Savings!D208)</f>
        <v/>
      </c>
      <c r="F1403" s="39" t="str">
        <f>IF(Agent07_Savings!A208="","",Agent07_Savings!E208)</f>
        <v/>
      </c>
      <c r="G1403" s="39" t="str">
        <f>IF(Agent07_Savings!A208="","",Agent07_Savings!F208)</f>
        <v/>
      </c>
      <c r="H1403" s="37" t="str">
        <f>IF(Agent07_Savings!A208="","",Agent07_Savings!I208)</f>
        <v/>
      </c>
      <c r="I1403" s="37" t="str">
        <f>IF(Agent07_Savings!A208="","",Agent07_Savings!J208)</f>
        <v/>
      </c>
      <c r="J1403" s="37" t="str">
        <f>IF(Agent07_Savings!A208="","",Agent07_Savings!K208)</f>
        <v/>
      </c>
      <c r="K1403" s="37" t="str">
        <f>IFERROR(IF(Agent07_Savings!A208="","",YEAR(Agent07_Savings!D208)),"")</f>
        <v/>
      </c>
    </row>
    <row r="1404" spans="1:11" ht="18" customHeight="1" x14ac:dyDescent="0.25">
      <c r="A1404" s="37" t="str">
        <f>IF(Agent08_Savings!A9="","",Agent08_Savings!A9)</f>
        <v/>
      </c>
      <c r="B1404" s="37" t="str">
        <f ca="1">IF(Agent08_Savings!A9="","","SV"&amp;TEXT(1404-3,"0000")&amp;"-"&amp;TEXT(TODAY(),"YYYYMMDD"))</f>
        <v/>
      </c>
      <c r="C1404" s="37" t="str">
        <f>IF(Agent08_Savings!A9="","",Agent08_Savings!B9)</f>
        <v/>
      </c>
      <c r="D1404" s="37" t="str">
        <f>IF(Agent08_Savings!A9="","",Agent08_Savings!G9)</f>
        <v/>
      </c>
      <c r="E1404" s="38" t="str">
        <f>IF(Agent08_Savings!A9="","",Agent08_Savings!D9)</f>
        <v/>
      </c>
      <c r="F1404" s="39" t="str">
        <f>IF(Agent08_Savings!A9="","",Agent08_Savings!E9)</f>
        <v/>
      </c>
      <c r="G1404" s="39" t="str">
        <f>IF(Agent08_Savings!A9="","",Agent08_Savings!F9)</f>
        <v/>
      </c>
      <c r="H1404" s="37" t="str">
        <f>IF(Agent08_Savings!A9="","",Agent08_Savings!I9)</f>
        <v/>
      </c>
      <c r="I1404" s="37" t="str">
        <f>IF(Agent08_Savings!A9="","",Agent08_Savings!J9)</f>
        <v/>
      </c>
      <c r="J1404" s="37" t="str">
        <f>IF(Agent08_Savings!A9="","",Agent08_Savings!K9)</f>
        <v/>
      </c>
      <c r="K1404" s="37" t="str">
        <f>IFERROR(IF(Agent08_Savings!A9="","",YEAR(Agent08_Savings!D9)),"")</f>
        <v/>
      </c>
    </row>
    <row r="1405" spans="1:11" ht="18" customHeight="1" x14ac:dyDescent="0.25">
      <c r="A1405" s="37" t="str">
        <f>IF(Agent08_Savings!A10="","",Agent08_Savings!A10)</f>
        <v/>
      </c>
      <c r="B1405" s="37" t="str">
        <f ca="1">IF(Agent08_Savings!A10="","","SV"&amp;TEXT(1405-3,"0000")&amp;"-"&amp;TEXT(TODAY(),"YYYYMMDD"))</f>
        <v/>
      </c>
      <c r="C1405" s="37" t="str">
        <f>IF(Agent08_Savings!A10="","",Agent08_Savings!B10)</f>
        <v/>
      </c>
      <c r="D1405" s="37" t="str">
        <f>IF(Agent08_Savings!A10="","",Agent08_Savings!G10)</f>
        <v/>
      </c>
      <c r="E1405" s="38" t="str">
        <f>IF(Agent08_Savings!A10="","",Agent08_Savings!D10)</f>
        <v/>
      </c>
      <c r="F1405" s="39" t="str">
        <f>IF(Agent08_Savings!A10="","",Agent08_Savings!E10)</f>
        <v/>
      </c>
      <c r="G1405" s="39" t="str">
        <f>IF(Agent08_Savings!A10="","",Agent08_Savings!F10)</f>
        <v/>
      </c>
      <c r="H1405" s="37" t="str">
        <f>IF(Agent08_Savings!A10="","",Agent08_Savings!I10)</f>
        <v/>
      </c>
      <c r="I1405" s="37" t="str">
        <f>IF(Agent08_Savings!A10="","",Agent08_Savings!J10)</f>
        <v/>
      </c>
      <c r="J1405" s="37" t="str">
        <f>IF(Agent08_Savings!A10="","",Agent08_Savings!K10)</f>
        <v/>
      </c>
      <c r="K1405" s="37" t="str">
        <f>IFERROR(IF(Agent08_Savings!A10="","",YEAR(Agent08_Savings!D10)),"")</f>
        <v/>
      </c>
    </row>
    <row r="1406" spans="1:11" ht="18" customHeight="1" x14ac:dyDescent="0.25">
      <c r="A1406" s="37" t="str">
        <f>IF(Agent08_Savings!A11="","",Agent08_Savings!A11)</f>
        <v/>
      </c>
      <c r="B1406" s="37" t="str">
        <f ca="1">IF(Agent08_Savings!A11="","","SV"&amp;TEXT(1406-3,"0000")&amp;"-"&amp;TEXT(TODAY(),"YYYYMMDD"))</f>
        <v/>
      </c>
      <c r="C1406" s="37" t="str">
        <f>IF(Agent08_Savings!A11="","",Agent08_Savings!B11)</f>
        <v/>
      </c>
      <c r="D1406" s="37" t="str">
        <f>IF(Agent08_Savings!A11="","",Agent08_Savings!G11)</f>
        <v/>
      </c>
      <c r="E1406" s="38" t="str">
        <f>IF(Agent08_Savings!A11="","",Agent08_Savings!D11)</f>
        <v/>
      </c>
      <c r="F1406" s="39" t="str">
        <f>IF(Agent08_Savings!A11="","",Agent08_Savings!E11)</f>
        <v/>
      </c>
      <c r="G1406" s="39" t="str">
        <f>IF(Agent08_Savings!A11="","",Agent08_Savings!F11)</f>
        <v/>
      </c>
      <c r="H1406" s="37" t="str">
        <f>IF(Agent08_Savings!A11="","",Agent08_Savings!I11)</f>
        <v/>
      </c>
      <c r="I1406" s="37" t="str">
        <f>IF(Agent08_Savings!A11="","",Agent08_Savings!J11)</f>
        <v/>
      </c>
      <c r="J1406" s="37" t="str">
        <f>IF(Agent08_Savings!A11="","",Agent08_Savings!K11)</f>
        <v/>
      </c>
      <c r="K1406" s="37" t="str">
        <f>IFERROR(IF(Agent08_Savings!A11="","",YEAR(Agent08_Savings!D11)),"")</f>
        <v/>
      </c>
    </row>
    <row r="1407" spans="1:11" ht="18" customHeight="1" x14ac:dyDescent="0.25">
      <c r="A1407" s="37" t="str">
        <f>IF(Agent08_Savings!A12="","",Agent08_Savings!A12)</f>
        <v/>
      </c>
      <c r="B1407" s="37" t="str">
        <f ca="1">IF(Agent08_Savings!A12="","","SV"&amp;TEXT(1407-3,"0000")&amp;"-"&amp;TEXT(TODAY(),"YYYYMMDD"))</f>
        <v/>
      </c>
      <c r="C1407" s="37" t="str">
        <f>IF(Agent08_Savings!A12="","",Agent08_Savings!B12)</f>
        <v/>
      </c>
      <c r="D1407" s="37" t="str">
        <f>IF(Agent08_Savings!A12="","",Agent08_Savings!G12)</f>
        <v/>
      </c>
      <c r="E1407" s="38" t="str">
        <f>IF(Agent08_Savings!A12="","",Agent08_Savings!D12)</f>
        <v/>
      </c>
      <c r="F1407" s="39" t="str">
        <f>IF(Agent08_Savings!A12="","",Agent08_Savings!E12)</f>
        <v/>
      </c>
      <c r="G1407" s="39" t="str">
        <f>IF(Agent08_Savings!A12="","",Agent08_Savings!F12)</f>
        <v/>
      </c>
      <c r="H1407" s="37" t="str">
        <f>IF(Agent08_Savings!A12="","",Agent08_Savings!I12)</f>
        <v/>
      </c>
      <c r="I1407" s="37" t="str">
        <f>IF(Agent08_Savings!A12="","",Agent08_Savings!J12)</f>
        <v/>
      </c>
      <c r="J1407" s="37" t="str">
        <f>IF(Agent08_Savings!A12="","",Agent08_Savings!K12)</f>
        <v/>
      </c>
      <c r="K1407" s="37" t="str">
        <f>IFERROR(IF(Agent08_Savings!A12="","",YEAR(Agent08_Savings!D12)),"")</f>
        <v/>
      </c>
    </row>
    <row r="1408" spans="1:11" ht="18" customHeight="1" x14ac:dyDescent="0.25">
      <c r="A1408" s="37" t="str">
        <f>IF(Agent08_Savings!A13="","",Agent08_Savings!A13)</f>
        <v/>
      </c>
      <c r="B1408" s="37" t="str">
        <f ca="1">IF(Agent08_Savings!A13="","","SV"&amp;TEXT(1408-3,"0000")&amp;"-"&amp;TEXT(TODAY(),"YYYYMMDD"))</f>
        <v/>
      </c>
      <c r="C1408" s="37" t="str">
        <f>IF(Agent08_Savings!A13="","",Agent08_Savings!B13)</f>
        <v/>
      </c>
      <c r="D1408" s="37" t="str">
        <f>IF(Agent08_Savings!A13="","",Agent08_Savings!G13)</f>
        <v/>
      </c>
      <c r="E1408" s="38" t="str">
        <f>IF(Agent08_Savings!A13="","",Agent08_Savings!D13)</f>
        <v/>
      </c>
      <c r="F1408" s="39" t="str">
        <f>IF(Agent08_Savings!A13="","",Agent08_Savings!E13)</f>
        <v/>
      </c>
      <c r="G1408" s="39" t="str">
        <f>IF(Agent08_Savings!A13="","",Agent08_Savings!F13)</f>
        <v/>
      </c>
      <c r="H1408" s="37" t="str">
        <f>IF(Agent08_Savings!A13="","",Agent08_Savings!I13)</f>
        <v/>
      </c>
      <c r="I1408" s="37" t="str">
        <f>IF(Agent08_Savings!A13="","",Agent08_Savings!J13)</f>
        <v/>
      </c>
      <c r="J1408" s="37" t="str">
        <f>IF(Agent08_Savings!A13="","",Agent08_Savings!K13)</f>
        <v/>
      </c>
      <c r="K1408" s="37" t="str">
        <f>IFERROR(IF(Agent08_Savings!A13="","",YEAR(Agent08_Savings!D13)),"")</f>
        <v/>
      </c>
    </row>
    <row r="1409" spans="1:11" ht="18" customHeight="1" x14ac:dyDescent="0.25">
      <c r="A1409" s="37" t="str">
        <f>IF(Agent08_Savings!A14="","",Agent08_Savings!A14)</f>
        <v/>
      </c>
      <c r="B1409" s="37" t="str">
        <f ca="1">IF(Agent08_Savings!A14="","","SV"&amp;TEXT(1409-3,"0000")&amp;"-"&amp;TEXT(TODAY(),"YYYYMMDD"))</f>
        <v/>
      </c>
      <c r="C1409" s="37" t="str">
        <f>IF(Agent08_Savings!A14="","",Agent08_Savings!B14)</f>
        <v/>
      </c>
      <c r="D1409" s="37" t="str">
        <f>IF(Agent08_Savings!A14="","",Agent08_Savings!G14)</f>
        <v/>
      </c>
      <c r="E1409" s="38" t="str">
        <f>IF(Agent08_Savings!A14="","",Agent08_Savings!D14)</f>
        <v/>
      </c>
      <c r="F1409" s="39" t="str">
        <f>IF(Agent08_Savings!A14="","",Agent08_Savings!E14)</f>
        <v/>
      </c>
      <c r="G1409" s="39" t="str">
        <f>IF(Agent08_Savings!A14="","",Agent08_Savings!F14)</f>
        <v/>
      </c>
      <c r="H1409" s="37" t="str">
        <f>IF(Agent08_Savings!A14="","",Agent08_Savings!I14)</f>
        <v/>
      </c>
      <c r="I1409" s="37" t="str">
        <f>IF(Agent08_Savings!A14="","",Agent08_Savings!J14)</f>
        <v/>
      </c>
      <c r="J1409" s="37" t="str">
        <f>IF(Agent08_Savings!A14="","",Agent08_Savings!K14)</f>
        <v/>
      </c>
      <c r="K1409" s="37" t="str">
        <f>IFERROR(IF(Agent08_Savings!A14="","",YEAR(Agent08_Savings!D14)),"")</f>
        <v/>
      </c>
    </row>
    <row r="1410" spans="1:11" ht="18" customHeight="1" x14ac:dyDescent="0.25">
      <c r="A1410" s="37" t="str">
        <f>IF(Agent08_Savings!A15="","",Agent08_Savings!A15)</f>
        <v/>
      </c>
      <c r="B1410" s="37" t="str">
        <f ca="1">IF(Agent08_Savings!A15="","","SV"&amp;TEXT(1410-3,"0000")&amp;"-"&amp;TEXT(TODAY(),"YYYYMMDD"))</f>
        <v/>
      </c>
      <c r="C1410" s="37" t="str">
        <f>IF(Agent08_Savings!A15="","",Agent08_Savings!B15)</f>
        <v/>
      </c>
      <c r="D1410" s="37" t="str">
        <f>IF(Agent08_Savings!A15="","",Agent08_Savings!G15)</f>
        <v/>
      </c>
      <c r="E1410" s="38" t="str">
        <f>IF(Agent08_Savings!A15="","",Agent08_Savings!D15)</f>
        <v/>
      </c>
      <c r="F1410" s="39" t="str">
        <f>IF(Agent08_Savings!A15="","",Agent08_Savings!E15)</f>
        <v/>
      </c>
      <c r="G1410" s="39" t="str">
        <f>IF(Agent08_Savings!A15="","",Agent08_Savings!F15)</f>
        <v/>
      </c>
      <c r="H1410" s="37" t="str">
        <f>IF(Agent08_Savings!A15="","",Agent08_Savings!I15)</f>
        <v/>
      </c>
      <c r="I1410" s="37" t="str">
        <f>IF(Agent08_Savings!A15="","",Agent08_Savings!J15)</f>
        <v/>
      </c>
      <c r="J1410" s="37" t="str">
        <f>IF(Agent08_Savings!A15="","",Agent08_Savings!K15)</f>
        <v/>
      </c>
      <c r="K1410" s="37" t="str">
        <f>IFERROR(IF(Agent08_Savings!A15="","",YEAR(Agent08_Savings!D15)),"")</f>
        <v/>
      </c>
    </row>
    <row r="1411" spans="1:11" ht="18" customHeight="1" x14ac:dyDescent="0.25">
      <c r="A1411" s="37" t="str">
        <f>IF(Agent08_Savings!A16="","",Agent08_Savings!A16)</f>
        <v/>
      </c>
      <c r="B1411" s="37" t="str">
        <f ca="1">IF(Agent08_Savings!A16="","","SV"&amp;TEXT(1411-3,"0000")&amp;"-"&amp;TEXT(TODAY(),"YYYYMMDD"))</f>
        <v/>
      </c>
      <c r="C1411" s="37" t="str">
        <f>IF(Agent08_Savings!A16="","",Agent08_Savings!B16)</f>
        <v/>
      </c>
      <c r="D1411" s="37" t="str">
        <f>IF(Agent08_Savings!A16="","",Agent08_Savings!G16)</f>
        <v/>
      </c>
      <c r="E1411" s="38" t="str">
        <f>IF(Agent08_Savings!A16="","",Agent08_Savings!D16)</f>
        <v/>
      </c>
      <c r="F1411" s="39" t="str">
        <f>IF(Agent08_Savings!A16="","",Agent08_Savings!E16)</f>
        <v/>
      </c>
      <c r="G1411" s="39" t="str">
        <f>IF(Agent08_Savings!A16="","",Agent08_Savings!F16)</f>
        <v/>
      </c>
      <c r="H1411" s="37" t="str">
        <f>IF(Agent08_Savings!A16="","",Agent08_Savings!I16)</f>
        <v/>
      </c>
      <c r="I1411" s="37" t="str">
        <f>IF(Agent08_Savings!A16="","",Agent08_Savings!J16)</f>
        <v/>
      </c>
      <c r="J1411" s="37" t="str">
        <f>IF(Agent08_Savings!A16="","",Agent08_Savings!K16)</f>
        <v/>
      </c>
      <c r="K1411" s="37" t="str">
        <f>IFERROR(IF(Agent08_Savings!A16="","",YEAR(Agent08_Savings!D16)),"")</f>
        <v/>
      </c>
    </row>
    <row r="1412" spans="1:11" ht="18" customHeight="1" x14ac:dyDescent="0.25">
      <c r="A1412" s="37" t="str">
        <f>IF(Agent08_Savings!A17="","",Agent08_Savings!A17)</f>
        <v/>
      </c>
      <c r="B1412" s="37" t="str">
        <f ca="1">IF(Agent08_Savings!A17="","","SV"&amp;TEXT(1412-3,"0000")&amp;"-"&amp;TEXT(TODAY(),"YYYYMMDD"))</f>
        <v/>
      </c>
      <c r="C1412" s="37" t="str">
        <f>IF(Agent08_Savings!A17="","",Agent08_Savings!B17)</f>
        <v/>
      </c>
      <c r="D1412" s="37" t="str">
        <f>IF(Agent08_Savings!A17="","",Agent08_Savings!G17)</f>
        <v/>
      </c>
      <c r="E1412" s="38" t="str">
        <f>IF(Agent08_Savings!A17="","",Agent08_Savings!D17)</f>
        <v/>
      </c>
      <c r="F1412" s="39" t="str">
        <f>IF(Agent08_Savings!A17="","",Agent08_Savings!E17)</f>
        <v/>
      </c>
      <c r="G1412" s="39" t="str">
        <f>IF(Agent08_Savings!A17="","",Agent08_Savings!F17)</f>
        <v/>
      </c>
      <c r="H1412" s="37" t="str">
        <f>IF(Agent08_Savings!A17="","",Agent08_Savings!I17)</f>
        <v/>
      </c>
      <c r="I1412" s="37" t="str">
        <f>IF(Agent08_Savings!A17="","",Agent08_Savings!J17)</f>
        <v/>
      </c>
      <c r="J1412" s="37" t="str">
        <f>IF(Agent08_Savings!A17="","",Agent08_Savings!K17)</f>
        <v/>
      </c>
      <c r="K1412" s="37" t="str">
        <f>IFERROR(IF(Agent08_Savings!A17="","",YEAR(Agent08_Savings!D17)),"")</f>
        <v/>
      </c>
    </row>
    <row r="1413" spans="1:11" ht="18" customHeight="1" x14ac:dyDescent="0.25">
      <c r="A1413" s="37" t="str">
        <f>IF(Agent08_Savings!A18="","",Agent08_Savings!A18)</f>
        <v/>
      </c>
      <c r="B1413" s="37" t="str">
        <f ca="1">IF(Agent08_Savings!A18="","","SV"&amp;TEXT(1413-3,"0000")&amp;"-"&amp;TEXT(TODAY(),"YYYYMMDD"))</f>
        <v/>
      </c>
      <c r="C1413" s="37" t="str">
        <f>IF(Agent08_Savings!A18="","",Agent08_Savings!B18)</f>
        <v/>
      </c>
      <c r="D1413" s="37" t="str">
        <f>IF(Agent08_Savings!A18="","",Agent08_Savings!G18)</f>
        <v/>
      </c>
      <c r="E1413" s="38" t="str">
        <f>IF(Agent08_Savings!A18="","",Agent08_Savings!D18)</f>
        <v/>
      </c>
      <c r="F1413" s="39" t="str">
        <f>IF(Agent08_Savings!A18="","",Agent08_Savings!E18)</f>
        <v/>
      </c>
      <c r="G1413" s="39" t="str">
        <f>IF(Agent08_Savings!A18="","",Agent08_Savings!F18)</f>
        <v/>
      </c>
      <c r="H1413" s="37" t="str">
        <f>IF(Agent08_Savings!A18="","",Agent08_Savings!I18)</f>
        <v/>
      </c>
      <c r="I1413" s="37" t="str">
        <f>IF(Agent08_Savings!A18="","",Agent08_Savings!J18)</f>
        <v/>
      </c>
      <c r="J1413" s="37" t="str">
        <f>IF(Agent08_Savings!A18="","",Agent08_Savings!K18)</f>
        <v/>
      </c>
      <c r="K1413" s="37" t="str">
        <f>IFERROR(IF(Agent08_Savings!A18="","",YEAR(Agent08_Savings!D18)),"")</f>
        <v/>
      </c>
    </row>
    <row r="1414" spans="1:11" ht="18" customHeight="1" x14ac:dyDescent="0.25">
      <c r="A1414" s="37" t="str">
        <f>IF(Agent08_Savings!A19="","",Agent08_Savings!A19)</f>
        <v/>
      </c>
      <c r="B1414" s="37" t="str">
        <f ca="1">IF(Agent08_Savings!A19="","","SV"&amp;TEXT(1414-3,"0000")&amp;"-"&amp;TEXT(TODAY(),"YYYYMMDD"))</f>
        <v/>
      </c>
      <c r="C1414" s="37" t="str">
        <f>IF(Agent08_Savings!A19="","",Agent08_Savings!B19)</f>
        <v/>
      </c>
      <c r="D1414" s="37" t="str">
        <f>IF(Agent08_Savings!A19="","",Agent08_Savings!G19)</f>
        <v/>
      </c>
      <c r="E1414" s="38" t="str">
        <f>IF(Agent08_Savings!A19="","",Agent08_Savings!D19)</f>
        <v/>
      </c>
      <c r="F1414" s="39" t="str">
        <f>IF(Agent08_Savings!A19="","",Agent08_Savings!E19)</f>
        <v/>
      </c>
      <c r="G1414" s="39" t="str">
        <f>IF(Agent08_Savings!A19="","",Agent08_Savings!F19)</f>
        <v/>
      </c>
      <c r="H1414" s="37" t="str">
        <f>IF(Agent08_Savings!A19="","",Agent08_Savings!I19)</f>
        <v/>
      </c>
      <c r="I1414" s="37" t="str">
        <f>IF(Agent08_Savings!A19="","",Agent08_Savings!J19)</f>
        <v/>
      </c>
      <c r="J1414" s="37" t="str">
        <f>IF(Agent08_Savings!A19="","",Agent08_Savings!K19)</f>
        <v/>
      </c>
      <c r="K1414" s="37" t="str">
        <f>IFERROR(IF(Agent08_Savings!A19="","",YEAR(Agent08_Savings!D19)),"")</f>
        <v/>
      </c>
    </row>
    <row r="1415" spans="1:11" ht="18" customHeight="1" x14ac:dyDescent="0.25">
      <c r="A1415" s="37" t="str">
        <f>IF(Agent08_Savings!A20="","",Agent08_Savings!A20)</f>
        <v/>
      </c>
      <c r="B1415" s="37" t="str">
        <f ca="1">IF(Agent08_Savings!A20="","","SV"&amp;TEXT(1415-3,"0000")&amp;"-"&amp;TEXT(TODAY(),"YYYYMMDD"))</f>
        <v/>
      </c>
      <c r="C1415" s="37" t="str">
        <f>IF(Agent08_Savings!A20="","",Agent08_Savings!B20)</f>
        <v/>
      </c>
      <c r="D1415" s="37" t="str">
        <f>IF(Agent08_Savings!A20="","",Agent08_Savings!G20)</f>
        <v/>
      </c>
      <c r="E1415" s="38" t="str">
        <f>IF(Agent08_Savings!A20="","",Agent08_Savings!D20)</f>
        <v/>
      </c>
      <c r="F1415" s="39" t="str">
        <f>IF(Agent08_Savings!A20="","",Agent08_Savings!E20)</f>
        <v/>
      </c>
      <c r="G1415" s="39" t="str">
        <f>IF(Agent08_Savings!A20="","",Agent08_Savings!F20)</f>
        <v/>
      </c>
      <c r="H1415" s="37" t="str">
        <f>IF(Agent08_Savings!A20="","",Agent08_Savings!I20)</f>
        <v/>
      </c>
      <c r="I1415" s="37" t="str">
        <f>IF(Agent08_Savings!A20="","",Agent08_Savings!J20)</f>
        <v/>
      </c>
      <c r="J1415" s="37" t="str">
        <f>IF(Agent08_Savings!A20="","",Agent08_Savings!K20)</f>
        <v/>
      </c>
      <c r="K1415" s="37" t="str">
        <f>IFERROR(IF(Agent08_Savings!A20="","",YEAR(Agent08_Savings!D20)),"")</f>
        <v/>
      </c>
    </row>
    <row r="1416" spans="1:11" ht="18" customHeight="1" x14ac:dyDescent="0.25">
      <c r="A1416" s="37" t="str">
        <f>IF(Agent08_Savings!A21="","",Agent08_Savings!A21)</f>
        <v/>
      </c>
      <c r="B1416" s="37" t="str">
        <f ca="1">IF(Agent08_Savings!A21="","","SV"&amp;TEXT(1416-3,"0000")&amp;"-"&amp;TEXT(TODAY(),"YYYYMMDD"))</f>
        <v/>
      </c>
      <c r="C1416" s="37" t="str">
        <f>IF(Agent08_Savings!A21="","",Agent08_Savings!B21)</f>
        <v/>
      </c>
      <c r="D1416" s="37" t="str">
        <f>IF(Agent08_Savings!A21="","",Agent08_Savings!G21)</f>
        <v/>
      </c>
      <c r="E1416" s="38" t="str">
        <f>IF(Agent08_Savings!A21="","",Agent08_Savings!D21)</f>
        <v/>
      </c>
      <c r="F1416" s="39" t="str">
        <f>IF(Agent08_Savings!A21="","",Agent08_Savings!E21)</f>
        <v/>
      </c>
      <c r="G1416" s="39" t="str">
        <f>IF(Agent08_Savings!A21="","",Agent08_Savings!F21)</f>
        <v/>
      </c>
      <c r="H1416" s="37" t="str">
        <f>IF(Agent08_Savings!A21="","",Agent08_Savings!I21)</f>
        <v/>
      </c>
      <c r="I1416" s="37" t="str">
        <f>IF(Agent08_Savings!A21="","",Agent08_Savings!J21)</f>
        <v/>
      </c>
      <c r="J1416" s="37" t="str">
        <f>IF(Agent08_Savings!A21="","",Agent08_Savings!K21)</f>
        <v/>
      </c>
      <c r="K1416" s="37" t="str">
        <f>IFERROR(IF(Agent08_Savings!A21="","",YEAR(Agent08_Savings!D21)),"")</f>
        <v/>
      </c>
    </row>
    <row r="1417" spans="1:11" ht="18" customHeight="1" x14ac:dyDescent="0.25">
      <c r="A1417" s="37" t="str">
        <f>IF(Agent08_Savings!A22="","",Agent08_Savings!A22)</f>
        <v/>
      </c>
      <c r="B1417" s="37" t="str">
        <f ca="1">IF(Agent08_Savings!A22="","","SV"&amp;TEXT(1417-3,"0000")&amp;"-"&amp;TEXT(TODAY(),"YYYYMMDD"))</f>
        <v/>
      </c>
      <c r="C1417" s="37" t="str">
        <f>IF(Agent08_Savings!A22="","",Agent08_Savings!B22)</f>
        <v/>
      </c>
      <c r="D1417" s="37" t="str">
        <f>IF(Agent08_Savings!A22="","",Agent08_Savings!G22)</f>
        <v/>
      </c>
      <c r="E1417" s="38" t="str">
        <f>IF(Agent08_Savings!A22="","",Agent08_Savings!D22)</f>
        <v/>
      </c>
      <c r="F1417" s="39" t="str">
        <f>IF(Agent08_Savings!A22="","",Agent08_Savings!E22)</f>
        <v/>
      </c>
      <c r="G1417" s="39" t="str">
        <f>IF(Agent08_Savings!A22="","",Agent08_Savings!F22)</f>
        <v/>
      </c>
      <c r="H1417" s="37" t="str">
        <f>IF(Agent08_Savings!A22="","",Agent08_Savings!I22)</f>
        <v/>
      </c>
      <c r="I1417" s="37" t="str">
        <f>IF(Agent08_Savings!A22="","",Agent08_Savings!J22)</f>
        <v/>
      </c>
      <c r="J1417" s="37" t="str">
        <f>IF(Agent08_Savings!A22="","",Agent08_Savings!K22)</f>
        <v/>
      </c>
      <c r="K1417" s="37" t="str">
        <f>IFERROR(IF(Agent08_Savings!A22="","",YEAR(Agent08_Savings!D22)),"")</f>
        <v/>
      </c>
    </row>
    <row r="1418" spans="1:11" ht="18" customHeight="1" x14ac:dyDescent="0.25">
      <c r="A1418" s="37" t="str">
        <f>IF(Agent08_Savings!A23="","",Agent08_Savings!A23)</f>
        <v/>
      </c>
      <c r="B1418" s="37" t="str">
        <f ca="1">IF(Agent08_Savings!A23="","","SV"&amp;TEXT(1418-3,"0000")&amp;"-"&amp;TEXT(TODAY(),"YYYYMMDD"))</f>
        <v/>
      </c>
      <c r="C1418" s="37" t="str">
        <f>IF(Agent08_Savings!A23="","",Agent08_Savings!B23)</f>
        <v/>
      </c>
      <c r="D1418" s="37" t="str">
        <f>IF(Agent08_Savings!A23="","",Agent08_Savings!G23)</f>
        <v/>
      </c>
      <c r="E1418" s="38" t="str">
        <f>IF(Agent08_Savings!A23="","",Agent08_Savings!D23)</f>
        <v/>
      </c>
      <c r="F1418" s="39" t="str">
        <f>IF(Agent08_Savings!A23="","",Agent08_Savings!E23)</f>
        <v/>
      </c>
      <c r="G1418" s="39" t="str">
        <f>IF(Agent08_Savings!A23="","",Agent08_Savings!F23)</f>
        <v/>
      </c>
      <c r="H1418" s="37" t="str">
        <f>IF(Agent08_Savings!A23="","",Agent08_Savings!I23)</f>
        <v/>
      </c>
      <c r="I1418" s="37" t="str">
        <f>IF(Agent08_Savings!A23="","",Agent08_Savings!J23)</f>
        <v/>
      </c>
      <c r="J1418" s="37" t="str">
        <f>IF(Agent08_Savings!A23="","",Agent08_Savings!K23)</f>
        <v/>
      </c>
      <c r="K1418" s="37" t="str">
        <f>IFERROR(IF(Agent08_Savings!A23="","",YEAR(Agent08_Savings!D23)),"")</f>
        <v/>
      </c>
    </row>
    <row r="1419" spans="1:11" ht="18" customHeight="1" x14ac:dyDescent="0.25">
      <c r="A1419" s="37" t="str">
        <f>IF(Agent08_Savings!A24="","",Agent08_Savings!A24)</f>
        <v/>
      </c>
      <c r="B1419" s="37" t="str">
        <f ca="1">IF(Agent08_Savings!A24="","","SV"&amp;TEXT(1419-3,"0000")&amp;"-"&amp;TEXT(TODAY(),"YYYYMMDD"))</f>
        <v/>
      </c>
      <c r="C1419" s="37" t="str">
        <f>IF(Agent08_Savings!A24="","",Agent08_Savings!B24)</f>
        <v/>
      </c>
      <c r="D1419" s="37" t="str">
        <f>IF(Agent08_Savings!A24="","",Agent08_Savings!G24)</f>
        <v/>
      </c>
      <c r="E1419" s="38" t="str">
        <f>IF(Agent08_Savings!A24="","",Agent08_Savings!D24)</f>
        <v/>
      </c>
      <c r="F1419" s="39" t="str">
        <f>IF(Agent08_Savings!A24="","",Agent08_Savings!E24)</f>
        <v/>
      </c>
      <c r="G1419" s="39" t="str">
        <f>IF(Agent08_Savings!A24="","",Agent08_Savings!F24)</f>
        <v/>
      </c>
      <c r="H1419" s="37" t="str">
        <f>IF(Agent08_Savings!A24="","",Agent08_Savings!I24)</f>
        <v/>
      </c>
      <c r="I1419" s="37" t="str">
        <f>IF(Agent08_Savings!A24="","",Agent08_Savings!J24)</f>
        <v/>
      </c>
      <c r="J1419" s="37" t="str">
        <f>IF(Agent08_Savings!A24="","",Agent08_Savings!K24)</f>
        <v/>
      </c>
      <c r="K1419" s="37" t="str">
        <f>IFERROR(IF(Agent08_Savings!A24="","",YEAR(Agent08_Savings!D24)),"")</f>
        <v/>
      </c>
    </row>
    <row r="1420" spans="1:11" ht="18" customHeight="1" x14ac:dyDescent="0.25">
      <c r="A1420" s="37" t="str">
        <f>IF(Agent08_Savings!A25="","",Agent08_Savings!A25)</f>
        <v/>
      </c>
      <c r="B1420" s="37" t="str">
        <f ca="1">IF(Agent08_Savings!A25="","","SV"&amp;TEXT(1420-3,"0000")&amp;"-"&amp;TEXT(TODAY(),"YYYYMMDD"))</f>
        <v/>
      </c>
      <c r="C1420" s="37" t="str">
        <f>IF(Agent08_Savings!A25="","",Agent08_Savings!B25)</f>
        <v/>
      </c>
      <c r="D1420" s="37" t="str">
        <f>IF(Agent08_Savings!A25="","",Agent08_Savings!G25)</f>
        <v/>
      </c>
      <c r="E1420" s="38" t="str">
        <f>IF(Agent08_Savings!A25="","",Agent08_Savings!D25)</f>
        <v/>
      </c>
      <c r="F1420" s="39" t="str">
        <f>IF(Agent08_Savings!A25="","",Agent08_Savings!E25)</f>
        <v/>
      </c>
      <c r="G1420" s="39" t="str">
        <f>IF(Agent08_Savings!A25="","",Agent08_Savings!F25)</f>
        <v/>
      </c>
      <c r="H1420" s="37" t="str">
        <f>IF(Agent08_Savings!A25="","",Agent08_Savings!I25)</f>
        <v/>
      </c>
      <c r="I1420" s="37" t="str">
        <f>IF(Agent08_Savings!A25="","",Agent08_Savings!J25)</f>
        <v/>
      </c>
      <c r="J1420" s="37" t="str">
        <f>IF(Agent08_Savings!A25="","",Agent08_Savings!K25)</f>
        <v/>
      </c>
      <c r="K1420" s="37" t="str">
        <f>IFERROR(IF(Agent08_Savings!A25="","",YEAR(Agent08_Savings!D25)),"")</f>
        <v/>
      </c>
    </row>
    <row r="1421" spans="1:11" ht="18" customHeight="1" x14ac:dyDescent="0.25">
      <c r="A1421" s="37" t="str">
        <f>IF(Agent08_Savings!A26="","",Agent08_Savings!A26)</f>
        <v/>
      </c>
      <c r="B1421" s="37" t="str">
        <f ca="1">IF(Agent08_Savings!A26="","","SV"&amp;TEXT(1421-3,"0000")&amp;"-"&amp;TEXT(TODAY(),"YYYYMMDD"))</f>
        <v/>
      </c>
      <c r="C1421" s="37" t="str">
        <f>IF(Agent08_Savings!A26="","",Agent08_Savings!B26)</f>
        <v/>
      </c>
      <c r="D1421" s="37" t="str">
        <f>IF(Agent08_Savings!A26="","",Agent08_Savings!G26)</f>
        <v/>
      </c>
      <c r="E1421" s="38" t="str">
        <f>IF(Agent08_Savings!A26="","",Agent08_Savings!D26)</f>
        <v/>
      </c>
      <c r="F1421" s="39" t="str">
        <f>IF(Agent08_Savings!A26="","",Agent08_Savings!E26)</f>
        <v/>
      </c>
      <c r="G1421" s="39" t="str">
        <f>IF(Agent08_Savings!A26="","",Agent08_Savings!F26)</f>
        <v/>
      </c>
      <c r="H1421" s="37" t="str">
        <f>IF(Agent08_Savings!A26="","",Agent08_Savings!I26)</f>
        <v/>
      </c>
      <c r="I1421" s="37" t="str">
        <f>IF(Agent08_Savings!A26="","",Agent08_Savings!J26)</f>
        <v/>
      </c>
      <c r="J1421" s="37" t="str">
        <f>IF(Agent08_Savings!A26="","",Agent08_Savings!K26)</f>
        <v/>
      </c>
      <c r="K1421" s="37" t="str">
        <f>IFERROR(IF(Agent08_Savings!A26="","",YEAR(Agent08_Savings!D26)),"")</f>
        <v/>
      </c>
    </row>
    <row r="1422" spans="1:11" ht="18" customHeight="1" x14ac:dyDescent="0.25">
      <c r="A1422" s="37" t="str">
        <f>IF(Agent08_Savings!A27="","",Agent08_Savings!A27)</f>
        <v/>
      </c>
      <c r="B1422" s="37" t="str">
        <f ca="1">IF(Agent08_Savings!A27="","","SV"&amp;TEXT(1422-3,"0000")&amp;"-"&amp;TEXT(TODAY(),"YYYYMMDD"))</f>
        <v/>
      </c>
      <c r="C1422" s="37" t="str">
        <f>IF(Agent08_Savings!A27="","",Agent08_Savings!B27)</f>
        <v/>
      </c>
      <c r="D1422" s="37" t="str">
        <f>IF(Agent08_Savings!A27="","",Agent08_Savings!G27)</f>
        <v/>
      </c>
      <c r="E1422" s="38" t="str">
        <f>IF(Agent08_Savings!A27="","",Agent08_Savings!D27)</f>
        <v/>
      </c>
      <c r="F1422" s="39" t="str">
        <f>IF(Agent08_Savings!A27="","",Agent08_Savings!E27)</f>
        <v/>
      </c>
      <c r="G1422" s="39" t="str">
        <f>IF(Agent08_Savings!A27="","",Agent08_Savings!F27)</f>
        <v/>
      </c>
      <c r="H1422" s="37" t="str">
        <f>IF(Agent08_Savings!A27="","",Agent08_Savings!I27)</f>
        <v/>
      </c>
      <c r="I1422" s="37" t="str">
        <f>IF(Agent08_Savings!A27="","",Agent08_Savings!J27)</f>
        <v/>
      </c>
      <c r="J1422" s="37" t="str">
        <f>IF(Agent08_Savings!A27="","",Agent08_Savings!K27)</f>
        <v/>
      </c>
      <c r="K1422" s="37" t="str">
        <f>IFERROR(IF(Agent08_Savings!A27="","",YEAR(Agent08_Savings!D27)),"")</f>
        <v/>
      </c>
    </row>
    <row r="1423" spans="1:11" ht="18" customHeight="1" x14ac:dyDescent="0.25">
      <c r="A1423" s="37" t="str">
        <f>IF(Agent08_Savings!A28="","",Agent08_Savings!A28)</f>
        <v/>
      </c>
      <c r="B1423" s="37" t="str">
        <f ca="1">IF(Agent08_Savings!A28="","","SV"&amp;TEXT(1423-3,"0000")&amp;"-"&amp;TEXT(TODAY(),"YYYYMMDD"))</f>
        <v/>
      </c>
      <c r="C1423" s="37" t="str">
        <f>IF(Agent08_Savings!A28="","",Agent08_Savings!B28)</f>
        <v/>
      </c>
      <c r="D1423" s="37" t="str">
        <f>IF(Agent08_Savings!A28="","",Agent08_Savings!G28)</f>
        <v/>
      </c>
      <c r="E1423" s="38" t="str">
        <f>IF(Agent08_Savings!A28="","",Agent08_Savings!D28)</f>
        <v/>
      </c>
      <c r="F1423" s="39" t="str">
        <f>IF(Agent08_Savings!A28="","",Agent08_Savings!E28)</f>
        <v/>
      </c>
      <c r="G1423" s="39" t="str">
        <f>IF(Agent08_Savings!A28="","",Agent08_Savings!F28)</f>
        <v/>
      </c>
      <c r="H1423" s="37" t="str">
        <f>IF(Agent08_Savings!A28="","",Agent08_Savings!I28)</f>
        <v/>
      </c>
      <c r="I1423" s="37" t="str">
        <f>IF(Agent08_Savings!A28="","",Agent08_Savings!J28)</f>
        <v/>
      </c>
      <c r="J1423" s="37" t="str">
        <f>IF(Agent08_Savings!A28="","",Agent08_Savings!K28)</f>
        <v/>
      </c>
      <c r="K1423" s="37" t="str">
        <f>IFERROR(IF(Agent08_Savings!A28="","",YEAR(Agent08_Savings!D28)),"")</f>
        <v/>
      </c>
    </row>
    <row r="1424" spans="1:11" ht="18" customHeight="1" x14ac:dyDescent="0.25">
      <c r="A1424" s="37" t="str">
        <f>IF(Agent08_Savings!A29="","",Agent08_Savings!A29)</f>
        <v/>
      </c>
      <c r="B1424" s="37" t="str">
        <f ca="1">IF(Agent08_Savings!A29="","","SV"&amp;TEXT(1424-3,"0000")&amp;"-"&amp;TEXT(TODAY(),"YYYYMMDD"))</f>
        <v/>
      </c>
      <c r="C1424" s="37" t="str">
        <f>IF(Agent08_Savings!A29="","",Agent08_Savings!B29)</f>
        <v/>
      </c>
      <c r="D1424" s="37" t="str">
        <f>IF(Agent08_Savings!A29="","",Agent08_Savings!G29)</f>
        <v/>
      </c>
      <c r="E1424" s="38" t="str">
        <f>IF(Agent08_Savings!A29="","",Agent08_Savings!D29)</f>
        <v/>
      </c>
      <c r="F1424" s="39" t="str">
        <f>IF(Agent08_Savings!A29="","",Agent08_Savings!E29)</f>
        <v/>
      </c>
      <c r="G1424" s="39" t="str">
        <f>IF(Agent08_Savings!A29="","",Agent08_Savings!F29)</f>
        <v/>
      </c>
      <c r="H1424" s="37" t="str">
        <f>IF(Agent08_Savings!A29="","",Agent08_Savings!I29)</f>
        <v/>
      </c>
      <c r="I1424" s="37" t="str">
        <f>IF(Agent08_Savings!A29="","",Agent08_Savings!J29)</f>
        <v/>
      </c>
      <c r="J1424" s="37" t="str">
        <f>IF(Agent08_Savings!A29="","",Agent08_Savings!K29)</f>
        <v/>
      </c>
      <c r="K1424" s="37" t="str">
        <f>IFERROR(IF(Agent08_Savings!A29="","",YEAR(Agent08_Savings!D29)),"")</f>
        <v/>
      </c>
    </row>
    <row r="1425" spans="1:11" ht="18" customHeight="1" x14ac:dyDescent="0.25">
      <c r="A1425" s="37" t="str">
        <f>IF(Agent08_Savings!A30="","",Agent08_Savings!A30)</f>
        <v/>
      </c>
      <c r="B1425" s="37" t="str">
        <f ca="1">IF(Agent08_Savings!A30="","","SV"&amp;TEXT(1425-3,"0000")&amp;"-"&amp;TEXT(TODAY(),"YYYYMMDD"))</f>
        <v/>
      </c>
      <c r="C1425" s="37" t="str">
        <f>IF(Agent08_Savings!A30="","",Agent08_Savings!B30)</f>
        <v/>
      </c>
      <c r="D1425" s="37" t="str">
        <f>IF(Agent08_Savings!A30="","",Agent08_Savings!G30)</f>
        <v/>
      </c>
      <c r="E1425" s="38" t="str">
        <f>IF(Agent08_Savings!A30="","",Agent08_Savings!D30)</f>
        <v/>
      </c>
      <c r="F1425" s="39" t="str">
        <f>IF(Agent08_Savings!A30="","",Agent08_Savings!E30)</f>
        <v/>
      </c>
      <c r="G1425" s="39" t="str">
        <f>IF(Agent08_Savings!A30="","",Agent08_Savings!F30)</f>
        <v/>
      </c>
      <c r="H1425" s="37" t="str">
        <f>IF(Agent08_Savings!A30="","",Agent08_Savings!I30)</f>
        <v/>
      </c>
      <c r="I1425" s="37" t="str">
        <f>IF(Agent08_Savings!A30="","",Agent08_Savings!J30)</f>
        <v/>
      </c>
      <c r="J1425" s="37" t="str">
        <f>IF(Agent08_Savings!A30="","",Agent08_Savings!K30)</f>
        <v/>
      </c>
      <c r="K1425" s="37" t="str">
        <f>IFERROR(IF(Agent08_Savings!A30="","",YEAR(Agent08_Savings!D30)),"")</f>
        <v/>
      </c>
    </row>
    <row r="1426" spans="1:11" ht="18" customHeight="1" x14ac:dyDescent="0.25">
      <c r="A1426" s="37" t="str">
        <f>IF(Agent08_Savings!A31="","",Agent08_Savings!A31)</f>
        <v/>
      </c>
      <c r="B1426" s="37" t="str">
        <f ca="1">IF(Agent08_Savings!A31="","","SV"&amp;TEXT(1426-3,"0000")&amp;"-"&amp;TEXT(TODAY(),"YYYYMMDD"))</f>
        <v/>
      </c>
      <c r="C1426" s="37" t="str">
        <f>IF(Agent08_Savings!A31="","",Agent08_Savings!B31)</f>
        <v/>
      </c>
      <c r="D1426" s="37" t="str">
        <f>IF(Agent08_Savings!A31="","",Agent08_Savings!G31)</f>
        <v/>
      </c>
      <c r="E1426" s="38" t="str">
        <f>IF(Agent08_Savings!A31="","",Agent08_Savings!D31)</f>
        <v/>
      </c>
      <c r="F1426" s="39" t="str">
        <f>IF(Agent08_Savings!A31="","",Agent08_Savings!E31)</f>
        <v/>
      </c>
      <c r="G1426" s="39" t="str">
        <f>IF(Agent08_Savings!A31="","",Agent08_Savings!F31)</f>
        <v/>
      </c>
      <c r="H1426" s="37" t="str">
        <f>IF(Agent08_Savings!A31="","",Agent08_Savings!I31)</f>
        <v/>
      </c>
      <c r="I1426" s="37" t="str">
        <f>IF(Agent08_Savings!A31="","",Agent08_Savings!J31)</f>
        <v/>
      </c>
      <c r="J1426" s="37" t="str">
        <f>IF(Agent08_Savings!A31="","",Agent08_Savings!K31)</f>
        <v/>
      </c>
      <c r="K1426" s="37" t="str">
        <f>IFERROR(IF(Agent08_Savings!A31="","",YEAR(Agent08_Savings!D31)),"")</f>
        <v/>
      </c>
    </row>
    <row r="1427" spans="1:11" ht="18" customHeight="1" x14ac:dyDescent="0.25">
      <c r="A1427" s="37" t="str">
        <f>IF(Agent08_Savings!A32="","",Agent08_Savings!A32)</f>
        <v/>
      </c>
      <c r="B1427" s="37" t="str">
        <f ca="1">IF(Agent08_Savings!A32="","","SV"&amp;TEXT(1427-3,"0000")&amp;"-"&amp;TEXT(TODAY(),"YYYYMMDD"))</f>
        <v/>
      </c>
      <c r="C1427" s="37" t="str">
        <f>IF(Agent08_Savings!A32="","",Agent08_Savings!B32)</f>
        <v/>
      </c>
      <c r="D1427" s="37" t="str">
        <f>IF(Agent08_Savings!A32="","",Agent08_Savings!G32)</f>
        <v/>
      </c>
      <c r="E1427" s="38" t="str">
        <f>IF(Agent08_Savings!A32="","",Agent08_Savings!D32)</f>
        <v/>
      </c>
      <c r="F1427" s="39" t="str">
        <f>IF(Agent08_Savings!A32="","",Agent08_Savings!E32)</f>
        <v/>
      </c>
      <c r="G1427" s="39" t="str">
        <f>IF(Agent08_Savings!A32="","",Agent08_Savings!F32)</f>
        <v/>
      </c>
      <c r="H1427" s="37" t="str">
        <f>IF(Agent08_Savings!A32="","",Agent08_Savings!I32)</f>
        <v/>
      </c>
      <c r="I1427" s="37" t="str">
        <f>IF(Agent08_Savings!A32="","",Agent08_Savings!J32)</f>
        <v/>
      </c>
      <c r="J1427" s="37" t="str">
        <f>IF(Agent08_Savings!A32="","",Agent08_Savings!K32)</f>
        <v/>
      </c>
      <c r="K1427" s="37" t="str">
        <f>IFERROR(IF(Agent08_Savings!A32="","",YEAR(Agent08_Savings!D32)),"")</f>
        <v/>
      </c>
    </row>
    <row r="1428" spans="1:11" ht="18" customHeight="1" x14ac:dyDescent="0.25">
      <c r="A1428" s="37" t="str">
        <f>IF(Agent08_Savings!A33="","",Agent08_Savings!A33)</f>
        <v/>
      </c>
      <c r="B1428" s="37" t="str">
        <f ca="1">IF(Agent08_Savings!A33="","","SV"&amp;TEXT(1428-3,"0000")&amp;"-"&amp;TEXT(TODAY(),"YYYYMMDD"))</f>
        <v/>
      </c>
      <c r="C1428" s="37" t="str">
        <f>IF(Agent08_Savings!A33="","",Agent08_Savings!B33)</f>
        <v/>
      </c>
      <c r="D1428" s="37" t="str">
        <f>IF(Agent08_Savings!A33="","",Agent08_Savings!G33)</f>
        <v/>
      </c>
      <c r="E1428" s="38" t="str">
        <f>IF(Agent08_Savings!A33="","",Agent08_Savings!D33)</f>
        <v/>
      </c>
      <c r="F1428" s="39" t="str">
        <f>IF(Agent08_Savings!A33="","",Agent08_Savings!E33)</f>
        <v/>
      </c>
      <c r="G1428" s="39" t="str">
        <f>IF(Agent08_Savings!A33="","",Agent08_Savings!F33)</f>
        <v/>
      </c>
      <c r="H1428" s="37" t="str">
        <f>IF(Agent08_Savings!A33="","",Agent08_Savings!I33)</f>
        <v/>
      </c>
      <c r="I1428" s="37" t="str">
        <f>IF(Agent08_Savings!A33="","",Agent08_Savings!J33)</f>
        <v/>
      </c>
      <c r="J1428" s="37" t="str">
        <f>IF(Agent08_Savings!A33="","",Agent08_Savings!K33)</f>
        <v/>
      </c>
      <c r="K1428" s="37" t="str">
        <f>IFERROR(IF(Agent08_Savings!A33="","",YEAR(Agent08_Savings!D33)),"")</f>
        <v/>
      </c>
    </row>
    <row r="1429" spans="1:11" ht="18" customHeight="1" x14ac:dyDescent="0.25">
      <c r="A1429" s="37" t="str">
        <f>IF(Agent08_Savings!A34="","",Agent08_Savings!A34)</f>
        <v/>
      </c>
      <c r="B1429" s="37" t="str">
        <f ca="1">IF(Agent08_Savings!A34="","","SV"&amp;TEXT(1429-3,"0000")&amp;"-"&amp;TEXT(TODAY(),"YYYYMMDD"))</f>
        <v/>
      </c>
      <c r="C1429" s="37" t="str">
        <f>IF(Agent08_Savings!A34="","",Agent08_Savings!B34)</f>
        <v/>
      </c>
      <c r="D1429" s="37" t="str">
        <f>IF(Agent08_Savings!A34="","",Agent08_Savings!G34)</f>
        <v/>
      </c>
      <c r="E1429" s="38" t="str">
        <f>IF(Agent08_Savings!A34="","",Agent08_Savings!D34)</f>
        <v/>
      </c>
      <c r="F1429" s="39" t="str">
        <f>IF(Agent08_Savings!A34="","",Agent08_Savings!E34)</f>
        <v/>
      </c>
      <c r="G1429" s="39" t="str">
        <f>IF(Agent08_Savings!A34="","",Agent08_Savings!F34)</f>
        <v/>
      </c>
      <c r="H1429" s="37" t="str">
        <f>IF(Agent08_Savings!A34="","",Agent08_Savings!I34)</f>
        <v/>
      </c>
      <c r="I1429" s="37" t="str">
        <f>IF(Agent08_Savings!A34="","",Agent08_Savings!J34)</f>
        <v/>
      </c>
      <c r="J1429" s="37" t="str">
        <f>IF(Agent08_Savings!A34="","",Agent08_Savings!K34)</f>
        <v/>
      </c>
      <c r="K1429" s="37" t="str">
        <f>IFERROR(IF(Agent08_Savings!A34="","",YEAR(Agent08_Savings!D34)),"")</f>
        <v/>
      </c>
    </row>
    <row r="1430" spans="1:11" ht="18" customHeight="1" x14ac:dyDescent="0.25">
      <c r="A1430" s="37" t="str">
        <f>IF(Agent08_Savings!A35="","",Agent08_Savings!A35)</f>
        <v/>
      </c>
      <c r="B1430" s="37" t="str">
        <f ca="1">IF(Agent08_Savings!A35="","","SV"&amp;TEXT(1430-3,"0000")&amp;"-"&amp;TEXT(TODAY(),"YYYYMMDD"))</f>
        <v/>
      </c>
      <c r="C1430" s="37" t="str">
        <f>IF(Agent08_Savings!A35="","",Agent08_Savings!B35)</f>
        <v/>
      </c>
      <c r="D1430" s="37" t="str">
        <f>IF(Agent08_Savings!A35="","",Agent08_Savings!G35)</f>
        <v/>
      </c>
      <c r="E1430" s="38" t="str">
        <f>IF(Agent08_Savings!A35="","",Agent08_Savings!D35)</f>
        <v/>
      </c>
      <c r="F1430" s="39" t="str">
        <f>IF(Agent08_Savings!A35="","",Agent08_Savings!E35)</f>
        <v/>
      </c>
      <c r="G1430" s="39" t="str">
        <f>IF(Agent08_Savings!A35="","",Agent08_Savings!F35)</f>
        <v/>
      </c>
      <c r="H1430" s="37" t="str">
        <f>IF(Agent08_Savings!A35="","",Agent08_Savings!I35)</f>
        <v/>
      </c>
      <c r="I1430" s="37" t="str">
        <f>IF(Agent08_Savings!A35="","",Agent08_Savings!J35)</f>
        <v/>
      </c>
      <c r="J1430" s="37" t="str">
        <f>IF(Agent08_Savings!A35="","",Agent08_Savings!K35)</f>
        <v/>
      </c>
      <c r="K1430" s="37" t="str">
        <f>IFERROR(IF(Agent08_Savings!A35="","",YEAR(Agent08_Savings!D35)),"")</f>
        <v/>
      </c>
    </row>
    <row r="1431" spans="1:11" ht="18" customHeight="1" x14ac:dyDescent="0.25">
      <c r="A1431" s="37" t="str">
        <f>IF(Agent08_Savings!A36="","",Agent08_Savings!A36)</f>
        <v/>
      </c>
      <c r="B1431" s="37" t="str">
        <f ca="1">IF(Agent08_Savings!A36="","","SV"&amp;TEXT(1431-3,"0000")&amp;"-"&amp;TEXT(TODAY(),"YYYYMMDD"))</f>
        <v/>
      </c>
      <c r="C1431" s="37" t="str">
        <f>IF(Agent08_Savings!A36="","",Agent08_Savings!B36)</f>
        <v/>
      </c>
      <c r="D1431" s="37" t="str">
        <f>IF(Agent08_Savings!A36="","",Agent08_Savings!G36)</f>
        <v/>
      </c>
      <c r="E1431" s="38" t="str">
        <f>IF(Agent08_Savings!A36="","",Agent08_Savings!D36)</f>
        <v/>
      </c>
      <c r="F1431" s="39" t="str">
        <f>IF(Agent08_Savings!A36="","",Agent08_Savings!E36)</f>
        <v/>
      </c>
      <c r="G1431" s="39" t="str">
        <f>IF(Agent08_Savings!A36="","",Agent08_Savings!F36)</f>
        <v/>
      </c>
      <c r="H1431" s="37" t="str">
        <f>IF(Agent08_Savings!A36="","",Agent08_Savings!I36)</f>
        <v/>
      </c>
      <c r="I1431" s="37" t="str">
        <f>IF(Agent08_Savings!A36="","",Agent08_Savings!J36)</f>
        <v/>
      </c>
      <c r="J1431" s="37" t="str">
        <f>IF(Agent08_Savings!A36="","",Agent08_Savings!K36)</f>
        <v/>
      </c>
      <c r="K1431" s="37" t="str">
        <f>IFERROR(IF(Agent08_Savings!A36="","",YEAR(Agent08_Savings!D36)),"")</f>
        <v/>
      </c>
    </row>
    <row r="1432" spans="1:11" ht="18" customHeight="1" x14ac:dyDescent="0.25">
      <c r="A1432" s="37" t="str">
        <f>IF(Agent08_Savings!A37="","",Agent08_Savings!A37)</f>
        <v/>
      </c>
      <c r="B1432" s="37" t="str">
        <f ca="1">IF(Agent08_Savings!A37="","","SV"&amp;TEXT(1432-3,"0000")&amp;"-"&amp;TEXT(TODAY(),"YYYYMMDD"))</f>
        <v/>
      </c>
      <c r="C1432" s="37" t="str">
        <f>IF(Agent08_Savings!A37="","",Agent08_Savings!B37)</f>
        <v/>
      </c>
      <c r="D1432" s="37" t="str">
        <f>IF(Agent08_Savings!A37="","",Agent08_Savings!G37)</f>
        <v/>
      </c>
      <c r="E1432" s="38" t="str">
        <f>IF(Agent08_Savings!A37="","",Agent08_Savings!D37)</f>
        <v/>
      </c>
      <c r="F1432" s="39" t="str">
        <f>IF(Agent08_Savings!A37="","",Agent08_Savings!E37)</f>
        <v/>
      </c>
      <c r="G1432" s="39" t="str">
        <f>IF(Agent08_Savings!A37="","",Agent08_Savings!F37)</f>
        <v/>
      </c>
      <c r="H1432" s="37" t="str">
        <f>IF(Agent08_Savings!A37="","",Agent08_Savings!I37)</f>
        <v/>
      </c>
      <c r="I1432" s="37" t="str">
        <f>IF(Agent08_Savings!A37="","",Agent08_Savings!J37)</f>
        <v/>
      </c>
      <c r="J1432" s="37" t="str">
        <f>IF(Agent08_Savings!A37="","",Agent08_Savings!K37)</f>
        <v/>
      </c>
      <c r="K1432" s="37" t="str">
        <f>IFERROR(IF(Agent08_Savings!A37="","",YEAR(Agent08_Savings!D37)),"")</f>
        <v/>
      </c>
    </row>
    <row r="1433" spans="1:11" ht="18" customHeight="1" x14ac:dyDescent="0.25">
      <c r="A1433" s="37" t="str">
        <f>IF(Agent08_Savings!A38="","",Agent08_Savings!A38)</f>
        <v/>
      </c>
      <c r="B1433" s="37" t="str">
        <f ca="1">IF(Agent08_Savings!A38="","","SV"&amp;TEXT(1433-3,"0000")&amp;"-"&amp;TEXT(TODAY(),"YYYYMMDD"))</f>
        <v/>
      </c>
      <c r="C1433" s="37" t="str">
        <f>IF(Agent08_Savings!A38="","",Agent08_Savings!B38)</f>
        <v/>
      </c>
      <c r="D1433" s="37" t="str">
        <f>IF(Agent08_Savings!A38="","",Agent08_Savings!G38)</f>
        <v/>
      </c>
      <c r="E1433" s="38" t="str">
        <f>IF(Agent08_Savings!A38="","",Agent08_Savings!D38)</f>
        <v/>
      </c>
      <c r="F1433" s="39" t="str">
        <f>IF(Agent08_Savings!A38="","",Agent08_Savings!E38)</f>
        <v/>
      </c>
      <c r="G1433" s="39" t="str">
        <f>IF(Agent08_Savings!A38="","",Agent08_Savings!F38)</f>
        <v/>
      </c>
      <c r="H1433" s="37" t="str">
        <f>IF(Agent08_Savings!A38="","",Agent08_Savings!I38)</f>
        <v/>
      </c>
      <c r="I1433" s="37" t="str">
        <f>IF(Agent08_Savings!A38="","",Agent08_Savings!J38)</f>
        <v/>
      </c>
      <c r="J1433" s="37" t="str">
        <f>IF(Agent08_Savings!A38="","",Agent08_Savings!K38)</f>
        <v/>
      </c>
      <c r="K1433" s="37" t="str">
        <f>IFERROR(IF(Agent08_Savings!A38="","",YEAR(Agent08_Savings!D38)),"")</f>
        <v/>
      </c>
    </row>
    <row r="1434" spans="1:11" ht="18" customHeight="1" x14ac:dyDescent="0.25">
      <c r="A1434" s="37" t="str">
        <f>IF(Agent08_Savings!A39="","",Agent08_Savings!A39)</f>
        <v/>
      </c>
      <c r="B1434" s="37" t="str">
        <f ca="1">IF(Agent08_Savings!A39="","","SV"&amp;TEXT(1434-3,"0000")&amp;"-"&amp;TEXT(TODAY(),"YYYYMMDD"))</f>
        <v/>
      </c>
      <c r="C1434" s="37" t="str">
        <f>IF(Agent08_Savings!A39="","",Agent08_Savings!B39)</f>
        <v/>
      </c>
      <c r="D1434" s="37" t="str">
        <f>IF(Agent08_Savings!A39="","",Agent08_Savings!G39)</f>
        <v/>
      </c>
      <c r="E1434" s="38" t="str">
        <f>IF(Agent08_Savings!A39="","",Agent08_Savings!D39)</f>
        <v/>
      </c>
      <c r="F1434" s="39" t="str">
        <f>IF(Agent08_Savings!A39="","",Agent08_Savings!E39)</f>
        <v/>
      </c>
      <c r="G1434" s="39" t="str">
        <f>IF(Agent08_Savings!A39="","",Agent08_Savings!F39)</f>
        <v/>
      </c>
      <c r="H1434" s="37" t="str">
        <f>IF(Agent08_Savings!A39="","",Agent08_Savings!I39)</f>
        <v/>
      </c>
      <c r="I1434" s="37" t="str">
        <f>IF(Agent08_Savings!A39="","",Agent08_Savings!J39)</f>
        <v/>
      </c>
      <c r="J1434" s="37" t="str">
        <f>IF(Agent08_Savings!A39="","",Agent08_Savings!K39)</f>
        <v/>
      </c>
      <c r="K1434" s="37" t="str">
        <f>IFERROR(IF(Agent08_Savings!A39="","",YEAR(Agent08_Savings!D39)),"")</f>
        <v/>
      </c>
    </row>
    <row r="1435" spans="1:11" ht="18" customHeight="1" x14ac:dyDescent="0.25">
      <c r="A1435" s="37" t="str">
        <f>IF(Agent08_Savings!A40="","",Agent08_Savings!A40)</f>
        <v/>
      </c>
      <c r="B1435" s="37" t="str">
        <f ca="1">IF(Agent08_Savings!A40="","","SV"&amp;TEXT(1435-3,"0000")&amp;"-"&amp;TEXT(TODAY(),"YYYYMMDD"))</f>
        <v/>
      </c>
      <c r="C1435" s="37" t="str">
        <f>IF(Agent08_Savings!A40="","",Agent08_Savings!B40)</f>
        <v/>
      </c>
      <c r="D1435" s="37" t="str">
        <f>IF(Agent08_Savings!A40="","",Agent08_Savings!G40)</f>
        <v/>
      </c>
      <c r="E1435" s="38" t="str">
        <f>IF(Agent08_Savings!A40="","",Agent08_Savings!D40)</f>
        <v/>
      </c>
      <c r="F1435" s="39" t="str">
        <f>IF(Agent08_Savings!A40="","",Agent08_Savings!E40)</f>
        <v/>
      </c>
      <c r="G1435" s="39" t="str">
        <f>IF(Agent08_Savings!A40="","",Agent08_Savings!F40)</f>
        <v/>
      </c>
      <c r="H1435" s="37" t="str">
        <f>IF(Agent08_Savings!A40="","",Agent08_Savings!I40)</f>
        <v/>
      </c>
      <c r="I1435" s="37" t="str">
        <f>IF(Agent08_Savings!A40="","",Agent08_Savings!J40)</f>
        <v/>
      </c>
      <c r="J1435" s="37" t="str">
        <f>IF(Agent08_Savings!A40="","",Agent08_Savings!K40)</f>
        <v/>
      </c>
      <c r="K1435" s="37" t="str">
        <f>IFERROR(IF(Agent08_Savings!A40="","",YEAR(Agent08_Savings!D40)),"")</f>
        <v/>
      </c>
    </row>
    <row r="1436" spans="1:11" ht="18" customHeight="1" x14ac:dyDescent="0.25">
      <c r="A1436" s="37" t="str">
        <f>IF(Agent08_Savings!A41="","",Agent08_Savings!A41)</f>
        <v/>
      </c>
      <c r="B1436" s="37" t="str">
        <f ca="1">IF(Agent08_Savings!A41="","","SV"&amp;TEXT(1436-3,"0000")&amp;"-"&amp;TEXT(TODAY(),"YYYYMMDD"))</f>
        <v/>
      </c>
      <c r="C1436" s="37" t="str">
        <f>IF(Agent08_Savings!A41="","",Agent08_Savings!B41)</f>
        <v/>
      </c>
      <c r="D1436" s="37" t="str">
        <f>IF(Agent08_Savings!A41="","",Agent08_Savings!G41)</f>
        <v/>
      </c>
      <c r="E1436" s="38" t="str">
        <f>IF(Agent08_Savings!A41="","",Agent08_Savings!D41)</f>
        <v/>
      </c>
      <c r="F1436" s="39" t="str">
        <f>IF(Agent08_Savings!A41="","",Agent08_Savings!E41)</f>
        <v/>
      </c>
      <c r="G1436" s="39" t="str">
        <f>IF(Agent08_Savings!A41="","",Agent08_Savings!F41)</f>
        <v/>
      </c>
      <c r="H1436" s="37" t="str">
        <f>IF(Agent08_Savings!A41="","",Agent08_Savings!I41)</f>
        <v/>
      </c>
      <c r="I1436" s="37" t="str">
        <f>IF(Agent08_Savings!A41="","",Agent08_Savings!J41)</f>
        <v/>
      </c>
      <c r="J1436" s="37" t="str">
        <f>IF(Agent08_Savings!A41="","",Agent08_Savings!K41)</f>
        <v/>
      </c>
      <c r="K1436" s="37" t="str">
        <f>IFERROR(IF(Agent08_Savings!A41="","",YEAR(Agent08_Savings!D41)),"")</f>
        <v/>
      </c>
    </row>
    <row r="1437" spans="1:11" ht="18" customHeight="1" x14ac:dyDescent="0.25">
      <c r="A1437" s="37" t="str">
        <f>IF(Agent08_Savings!A42="","",Agent08_Savings!A42)</f>
        <v/>
      </c>
      <c r="B1437" s="37" t="str">
        <f ca="1">IF(Agent08_Savings!A42="","","SV"&amp;TEXT(1437-3,"0000")&amp;"-"&amp;TEXT(TODAY(),"YYYYMMDD"))</f>
        <v/>
      </c>
      <c r="C1437" s="37" t="str">
        <f>IF(Agent08_Savings!A42="","",Agent08_Savings!B42)</f>
        <v/>
      </c>
      <c r="D1437" s="37" t="str">
        <f>IF(Agent08_Savings!A42="","",Agent08_Savings!G42)</f>
        <v/>
      </c>
      <c r="E1437" s="38" t="str">
        <f>IF(Agent08_Savings!A42="","",Agent08_Savings!D42)</f>
        <v/>
      </c>
      <c r="F1437" s="39" t="str">
        <f>IF(Agent08_Savings!A42="","",Agent08_Savings!E42)</f>
        <v/>
      </c>
      <c r="G1437" s="39" t="str">
        <f>IF(Agent08_Savings!A42="","",Agent08_Savings!F42)</f>
        <v/>
      </c>
      <c r="H1437" s="37" t="str">
        <f>IF(Agent08_Savings!A42="","",Agent08_Savings!I42)</f>
        <v/>
      </c>
      <c r="I1437" s="37" t="str">
        <f>IF(Agent08_Savings!A42="","",Agent08_Savings!J42)</f>
        <v/>
      </c>
      <c r="J1437" s="37" t="str">
        <f>IF(Agent08_Savings!A42="","",Agent08_Savings!K42)</f>
        <v/>
      </c>
      <c r="K1437" s="37" t="str">
        <f>IFERROR(IF(Agent08_Savings!A42="","",YEAR(Agent08_Savings!D42)),"")</f>
        <v/>
      </c>
    </row>
    <row r="1438" spans="1:11" ht="18" customHeight="1" x14ac:dyDescent="0.25">
      <c r="A1438" s="37" t="str">
        <f>IF(Agent08_Savings!A43="","",Agent08_Savings!A43)</f>
        <v/>
      </c>
      <c r="B1438" s="37" t="str">
        <f ca="1">IF(Agent08_Savings!A43="","","SV"&amp;TEXT(1438-3,"0000")&amp;"-"&amp;TEXT(TODAY(),"YYYYMMDD"))</f>
        <v/>
      </c>
      <c r="C1438" s="37" t="str">
        <f>IF(Agent08_Savings!A43="","",Agent08_Savings!B43)</f>
        <v/>
      </c>
      <c r="D1438" s="37" t="str">
        <f>IF(Agent08_Savings!A43="","",Agent08_Savings!G43)</f>
        <v/>
      </c>
      <c r="E1438" s="38" t="str">
        <f>IF(Agent08_Savings!A43="","",Agent08_Savings!D43)</f>
        <v/>
      </c>
      <c r="F1438" s="39" t="str">
        <f>IF(Agent08_Savings!A43="","",Agent08_Savings!E43)</f>
        <v/>
      </c>
      <c r="G1438" s="39" t="str">
        <f>IF(Agent08_Savings!A43="","",Agent08_Savings!F43)</f>
        <v/>
      </c>
      <c r="H1438" s="37" t="str">
        <f>IF(Agent08_Savings!A43="","",Agent08_Savings!I43)</f>
        <v/>
      </c>
      <c r="I1438" s="37" t="str">
        <f>IF(Agent08_Savings!A43="","",Agent08_Savings!J43)</f>
        <v/>
      </c>
      <c r="J1438" s="37" t="str">
        <f>IF(Agent08_Savings!A43="","",Agent08_Savings!K43)</f>
        <v/>
      </c>
      <c r="K1438" s="37" t="str">
        <f>IFERROR(IF(Agent08_Savings!A43="","",YEAR(Agent08_Savings!D43)),"")</f>
        <v/>
      </c>
    </row>
    <row r="1439" spans="1:11" ht="18" customHeight="1" x14ac:dyDescent="0.25">
      <c r="A1439" s="37" t="str">
        <f>IF(Agent08_Savings!A44="","",Agent08_Savings!A44)</f>
        <v/>
      </c>
      <c r="B1439" s="37" t="str">
        <f ca="1">IF(Agent08_Savings!A44="","","SV"&amp;TEXT(1439-3,"0000")&amp;"-"&amp;TEXT(TODAY(),"YYYYMMDD"))</f>
        <v/>
      </c>
      <c r="C1439" s="37" t="str">
        <f>IF(Agent08_Savings!A44="","",Agent08_Savings!B44)</f>
        <v/>
      </c>
      <c r="D1439" s="37" t="str">
        <f>IF(Agent08_Savings!A44="","",Agent08_Savings!G44)</f>
        <v/>
      </c>
      <c r="E1439" s="38" t="str">
        <f>IF(Agent08_Savings!A44="","",Agent08_Savings!D44)</f>
        <v/>
      </c>
      <c r="F1439" s="39" t="str">
        <f>IF(Agent08_Savings!A44="","",Agent08_Savings!E44)</f>
        <v/>
      </c>
      <c r="G1439" s="39" t="str">
        <f>IF(Agent08_Savings!A44="","",Agent08_Savings!F44)</f>
        <v/>
      </c>
      <c r="H1439" s="37" t="str">
        <f>IF(Agent08_Savings!A44="","",Agent08_Savings!I44)</f>
        <v/>
      </c>
      <c r="I1439" s="37" t="str">
        <f>IF(Agent08_Savings!A44="","",Agent08_Savings!J44)</f>
        <v/>
      </c>
      <c r="J1439" s="37" t="str">
        <f>IF(Agent08_Savings!A44="","",Agent08_Savings!K44)</f>
        <v/>
      </c>
      <c r="K1439" s="37" t="str">
        <f>IFERROR(IF(Agent08_Savings!A44="","",YEAR(Agent08_Savings!D44)),"")</f>
        <v/>
      </c>
    </row>
    <row r="1440" spans="1:11" ht="18" customHeight="1" x14ac:dyDescent="0.25">
      <c r="A1440" s="37" t="str">
        <f>IF(Agent08_Savings!A45="","",Agent08_Savings!A45)</f>
        <v/>
      </c>
      <c r="B1440" s="37" t="str">
        <f ca="1">IF(Agent08_Savings!A45="","","SV"&amp;TEXT(1440-3,"0000")&amp;"-"&amp;TEXT(TODAY(),"YYYYMMDD"))</f>
        <v/>
      </c>
      <c r="C1440" s="37" t="str">
        <f>IF(Agent08_Savings!A45="","",Agent08_Savings!B45)</f>
        <v/>
      </c>
      <c r="D1440" s="37" t="str">
        <f>IF(Agent08_Savings!A45="","",Agent08_Savings!G45)</f>
        <v/>
      </c>
      <c r="E1440" s="38" t="str">
        <f>IF(Agent08_Savings!A45="","",Agent08_Savings!D45)</f>
        <v/>
      </c>
      <c r="F1440" s="39" t="str">
        <f>IF(Agent08_Savings!A45="","",Agent08_Savings!E45)</f>
        <v/>
      </c>
      <c r="G1440" s="39" t="str">
        <f>IF(Agent08_Savings!A45="","",Agent08_Savings!F45)</f>
        <v/>
      </c>
      <c r="H1440" s="37" t="str">
        <f>IF(Agent08_Savings!A45="","",Agent08_Savings!I45)</f>
        <v/>
      </c>
      <c r="I1440" s="37" t="str">
        <f>IF(Agent08_Savings!A45="","",Agent08_Savings!J45)</f>
        <v/>
      </c>
      <c r="J1440" s="37" t="str">
        <f>IF(Agent08_Savings!A45="","",Agent08_Savings!K45)</f>
        <v/>
      </c>
      <c r="K1440" s="37" t="str">
        <f>IFERROR(IF(Agent08_Savings!A45="","",YEAR(Agent08_Savings!D45)),"")</f>
        <v/>
      </c>
    </row>
    <row r="1441" spans="1:11" ht="18" customHeight="1" x14ac:dyDescent="0.25">
      <c r="A1441" s="37" t="str">
        <f>IF(Agent08_Savings!A46="","",Agent08_Savings!A46)</f>
        <v/>
      </c>
      <c r="B1441" s="37" t="str">
        <f ca="1">IF(Agent08_Savings!A46="","","SV"&amp;TEXT(1441-3,"0000")&amp;"-"&amp;TEXT(TODAY(),"YYYYMMDD"))</f>
        <v/>
      </c>
      <c r="C1441" s="37" t="str">
        <f>IF(Agent08_Savings!A46="","",Agent08_Savings!B46)</f>
        <v/>
      </c>
      <c r="D1441" s="37" t="str">
        <f>IF(Agent08_Savings!A46="","",Agent08_Savings!G46)</f>
        <v/>
      </c>
      <c r="E1441" s="38" t="str">
        <f>IF(Agent08_Savings!A46="","",Agent08_Savings!D46)</f>
        <v/>
      </c>
      <c r="F1441" s="39" t="str">
        <f>IF(Agent08_Savings!A46="","",Agent08_Savings!E46)</f>
        <v/>
      </c>
      <c r="G1441" s="39" t="str">
        <f>IF(Agent08_Savings!A46="","",Agent08_Savings!F46)</f>
        <v/>
      </c>
      <c r="H1441" s="37" t="str">
        <f>IF(Agent08_Savings!A46="","",Agent08_Savings!I46)</f>
        <v/>
      </c>
      <c r="I1441" s="37" t="str">
        <f>IF(Agent08_Savings!A46="","",Agent08_Savings!J46)</f>
        <v/>
      </c>
      <c r="J1441" s="37" t="str">
        <f>IF(Agent08_Savings!A46="","",Agent08_Savings!K46)</f>
        <v/>
      </c>
      <c r="K1441" s="37" t="str">
        <f>IFERROR(IF(Agent08_Savings!A46="","",YEAR(Agent08_Savings!D46)),"")</f>
        <v/>
      </c>
    </row>
    <row r="1442" spans="1:11" ht="18" customHeight="1" x14ac:dyDescent="0.25">
      <c r="A1442" s="37" t="str">
        <f>IF(Agent08_Savings!A47="","",Agent08_Savings!A47)</f>
        <v/>
      </c>
      <c r="B1442" s="37" t="str">
        <f ca="1">IF(Agent08_Savings!A47="","","SV"&amp;TEXT(1442-3,"0000")&amp;"-"&amp;TEXT(TODAY(),"YYYYMMDD"))</f>
        <v/>
      </c>
      <c r="C1442" s="37" t="str">
        <f>IF(Agent08_Savings!A47="","",Agent08_Savings!B47)</f>
        <v/>
      </c>
      <c r="D1442" s="37" t="str">
        <f>IF(Agent08_Savings!A47="","",Agent08_Savings!G47)</f>
        <v/>
      </c>
      <c r="E1442" s="38" t="str">
        <f>IF(Agent08_Savings!A47="","",Agent08_Savings!D47)</f>
        <v/>
      </c>
      <c r="F1442" s="39" t="str">
        <f>IF(Agent08_Savings!A47="","",Agent08_Savings!E47)</f>
        <v/>
      </c>
      <c r="G1442" s="39" t="str">
        <f>IF(Agent08_Savings!A47="","",Agent08_Savings!F47)</f>
        <v/>
      </c>
      <c r="H1442" s="37" t="str">
        <f>IF(Agent08_Savings!A47="","",Agent08_Savings!I47)</f>
        <v/>
      </c>
      <c r="I1442" s="37" t="str">
        <f>IF(Agent08_Savings!A47="","",Agent08_Savings!J47)</f>
        <v/>
      </c>
      <c r="J1442" s="37" t="str">
        <f>IF(Agent08_Savings!A47="","",Agent08_Savings!K47)</f>
        <v/>
      </c>
      <c r="K1442" s="37" t="str">
        <f>IFERROR(IF(Agent08_Savings!A47="","",YEAR(Agent08_Savings!D47)),"")</f>
        <v/>
      </c>
    </row>
    <row r="1443" spans="1:11" ht="18" customHeight="1" x14ac:dyDescent="0.25">
      <c r="A1443" s="37" t="str">
        <f>IF(Agent08_Savings!A48="","",Agent08_Savings!A48)</f>
        <v/>
      </c>
      <c r="B1443" s="37" t="str">
        <f ca="1">IF(Agent08_Savings!A48="","","SV"&amp;TEXT(1443-3,"0000")&amp;"-"&amp;TEXT(TODAY(),"YYYYMMDD"))</f>
        <v/>
      </c>
      <c r="C1443" s="37" t="str">
        <f>IF(Agent08_Savings!A48="","",Agent08_Savings!B48)</f>
        <v/>
      </c>
      <c r="D1443" s="37" t="str">
        <f>IF(Agent08_Savings!A48="","",Agent08_Savings!G48)</f>
        <v/>
      </c>
      <c r="E1443" s="38" t="str">
        <f>IF(Agent08_Savings!A48="","",Agent08_Savings!D48)</f>
        <v/>
      </c>
      <c r="F1443" s="39" t="str">
        <f>IF(Agent08_Savings!A48="","",Agent08_Savings!E48)</f>
        <v/>
      </c>
      <c r="G1443" s="39" t="str">
        <f>IF(Agent08_Savings!A48="","",Agent08_Savings!F48)</f>
        <v/>
      </c>
      <c r="H1443" s="37" t="str">
        <f>IF(Agent08_Savings!A48="","",Agent08_Savings!I48)</f>
        <v/>
      </c>
      <c r="I1443" s="37" t="str">
        <f>IF(Agent08_Savings!A48="","",Agent08_Savings!J48)</f>
        <v/>
      </c>
      <c r="J1443" s="37" t="str">
        <f>IF(Agent08_Savings!A48="","",Agent08_Savings!K48)</f>
        <v/>
      </c>
      <c r="K1443" s="37" t="str">
        <f>IFERROR(IF(Agent08_Savings!A48="","",YEAR(Agent08_Savings!D48)),"")</f>
        <v/>
      </c>
    </row>
    <row r="1444" spans="1:11" ht="18" customHeight="1" x14ac:dyDescent="0.25">
      <c r="A1444" s="37" t="str">
        <f>IF(Agent08_Savings!A49="","",Agent08_Savings!A49)</f>
        <v/>
      </c>
      <c r="B1444" s="37" t="str">
        <f ca="1">IF(Agent08_Savings!A49="","","SV"&amp;TEXT(1444-3,"0000")&amp;"-"&amp;TEXT(TODAY(),"YYYYMMDD"))</f>
        <v/>
      </c>
      <c r="C1444" s="37" t="str">
        <f>IF(Agent08_Savings!A49="","",Agent08_Savings!B49)</f>
        <v/>
      </c>
      <c r="D1444" s="37" t="str">
        <f>IF(Agent08_Savings!A49="","",Agent08_Savings!G49)</f>
        <v/>
      </c>
      <c r="E1444" s="38" t="str">
        <f>IF(Agent08_Savings!A49="","",Agent08_Savings!D49)</f>
        <v/>
      </c>
      <c r="F1444" s="39" t="str">
        <f>IF(Agent08_Savings!A49="","",Agent08_Savings!E49)</f>
        <v/>
      </c>
      <c r="G1444" s="39" t="str">
        <f>IF(Agent08_Savings!A49="","",Agent08_Savings!F49)</f>
        <v/>
      </c>
      <c r="H1444" s="37" t="str">
        <f>IF(Agent08_Savings!A49="","",Agent08_Savings!I49)</f>
        <v/>
      </c>
      <c r="I1444" s="37" t="str">
        <f>IF(Agent08_Savings!A49="","",Agent08_Savings!J49)</f>
        <v/>
      </c>
      <c r="J1444" s="37" t="str">
        <f>IF(Agent08_Savings!A49="","",Agent08_Savings!K49)</f>
        <v/>
      </c>
      <c r="K1444" s="37" t="str">
        <f>IFERROR(IF(Agent08_Savings!A49="","",YEAR(Agent08_Savings!D49)),"")</f>
        <v/>
      </c>
    </row>
    <row r="1445" spans="1:11" ht="18" customHeight="1" x14ac:dyDescent="0.25">
      <c r="A1445" s="37" t="str">
        <f>IF(Agent08_Savings!A50="","",Agent08_Savings!A50)</f>
        <v/>
      </c>
      <c r="B1445" s="37" t="str">
        <f ca="1">IF(Agent08_Savings!A50="","","SV"&amp;TEXT(1445-3,"0000")&amp;"-"&amp;TEXT(TODAY(),"YYYYMMDD"))</f>
        <v/>
      </c>
      <c r="C1445" s="37" t="str">
        <f>IF(Agent08_Savings!A50="","",Agent08_Savings!B50)</f>
        <v/>
      </c>
      <c r="D1445" s="37" t="str">
        <f>IF(Agent08_Savings!A50="","",Agent08_Savings!G50)</f>
        <v/>
      </c>
      <c r="E1445" s="38" t="str">
        <f>IF(Agent08_Savings!A50="","",Agent08_Savings!D50)</f>
        <v/>
      </c>
      <c r="F1445" s="39" t="str">
        <f>IF(Agent08_Savings!A50="","",Agent08_Savings!E50)</f>
        <v/>
      </c>
      <c r="G1445" s="39" t="str">
        <f>IF(Agent08_Savings!A50="","",Agent08_Savings!F50)</f>
        <v/>
      </c>
      <c r="H1445" s="37" t="str">
        <f>IF(Agent08_Savings!A50="","",Agent08_Savings!I50)</f>
        <v/>
      </c>
      <c r="I1445" s="37" t="str">
        <f>IF(Agent08_Savings!A50="","",Agent08_Savings!J50)</f>
        <v/>
      </c>
      <c r="J1445" s="37" t="str">
        <f>IF(Agent08_Savings!A50="","",Agent08_Savings!K50)</f>
        <v/>
      </c>
      <c r="K1445" s="37" t="str">
        <f>IFERROR(IF(Agent08_Savings!A50="","",YEAR(Agent08_Savings!D50)),"")</f>
        <v/>
      </c>
    </row>
    <row r="1446" spans="1:11" ht="18" customHeight="1" x14ac:dyDescent="0.25">
      <c r="A1446" s="37" t="str">
        <f>IF(Agent08_Savings!A51="","",Agent08_Savings!A51)</f>
        <v/>
      </c>
      <c r="B1446" s="37" t="str">
        <f ca="1">IF(Agent08_Savings!A51="","","SV"&amp;TEXT(1446-3,"0000")&amp;"-"&amp;TEXT(TODAY(),"YYYYMMDD"))</f>
        <v/>
      </c>
      <c r="C1446" s="37" t="str">
        <f>IF(Agent08_Savings!A51="","",Agent08_Savings!B51)</f>
        <v/>
      </c>
      <c r="D1446" s="37" t="str">
        <f>IF(Agent08_Savings!A51="","",Agent08_Savings!G51)</f>
        <v/>
      </c>
      <c r="E1446" s="38" t="str">
        <f>IF(Agent08_Savings!A51="","",Agent08_Savings!D51)</f>
        <v/>
      </c>
      <c r="F1446" s="39" t="str">
        <f>IF(Agent08_Savings!A51="","",Agent08_Savings!E51)</f>
        <v/>
      </c>
      <c r="G1446" s="39" t="str">
        <f>IF(Agent08_Savings!A51="","",Agent08_Savings!F51)</f>
        <v/>
      </c>
      <c r="H1446" s="37" t="str">
        <f>IF(Agent08_Savings!A51="","",Agent08_Savings!I51)</f>
        <v/>
      </c>
      <c r="I1446" s="37" t="str">
        <f>IF(Agent08_Savings!A51="","",Agent08_Savings!J51)</f>
        <v/>
      </c>
      <c r="J1446" s="37" t="str">
        <f>IF(Agent08_Savings!A51="","",Agent08_Savings!K51)</f>
        <v/>
      </c>
      <c r="K1446" s="37" t="str">
        <f>IFERROR(IF(Agent08_Savings!A51="","",YEAR(Agent08_Savings!D51)),"")</f>
        <v/>
      </c>
    </row>
    <row r="1447" spans="1:11" ht="18" customHeight="1" x14ac:dyDescent="0.25">
      <c r="A1447" s="37" t="str">
        <f>IF(Agent08_Savings!A52="","",Agent08_Savings!A52)</f>
        <v/>
      </c>
      <c r="B1447" s="37" t="str">
        <f ca="1">IF(Agent08_Savings!A52="","","SV"&amp;TEXT(1447-3,"0000")&amp;"-"&amp;TEXT(TODAY(),"YYYYMMDD"))</f>
        <v/>
      </c>
      <c r="C1447" s="37" t="str">
        <f>IF(Agent08_Savings!A52="","",Agent08_Savings!B52)</f>
        <v/>
      </c>
      <c r="D1447" s="37" t="str">
        <f>IF(Agent08_Savings!A52="","",Agent08_Savings!G52)</f>
        <v/>
      </c>
      <c r="E1447" s="38" t="str">
        <f>IF(Agent08_Savings!A52="","",Agent08_Savings!D52)</f>
        <v/>
      </c>
      <c r="F1447" s="39" t="str">
        <f>IF(Agent08_Savings!A52="","",Agent08_Savings!E52)</f>
        <v/>
      </c>
      <c r="G1447" s="39" t="str">
        <f>IF(Agent08_Savings!A52="","",Agent08_Savings!F52)</f>
        <v/>
      </c>
      <c r="H1447" s="37" t="str">
        <f>IF(Agent08_Savings!A52="","",Agent08_Savings!I52)</f>
        <v/>
      </c>
      <c r="I1447" s="37" t="str">
        <f>IF(Agent08_Savings!A52="","",Agent08_Savings!J52)</f>
        <v/>
      </c>
      <c r="J1447" s="37" t="str">
        <f>IF(Agent08_Savings!A52="","",Agent08_Savings!K52)</f>
        <v/>
      </c>
      <c r="K1447" s="37" t="str">
        <f>IFERROR(IF(Agent08_Savings!A52="","",YEAR(Agent08_Savings!D52)),"")</f>
        <v/>
      </c>
    </row>
    <row r="1448" spans="1:11" ht="18" customHeight="1" x14ac:dyDescent="0.25">
      <c r="A1448" s="37" t="str">
        <f>IF(Agent08_Savings!A53="","",Agent08_Savings!A53)</f>
        <v/>
      </c>
      <c r="B1448" s="37" t="str">
        <f ca="1">IF(Agent08_Savings!A53="","","SV"&amp;TEXT(1448-3,"0000")&amp;"-"&amp;TEXT(TODAY(),"YYYYMMDD"))</f>
        <v/>
      </c>
      <c r="C1448" s="37" t="str">
        <f>IF(Agent08_Savings!A53="","",Agent08_Savings!B53)</f>
        <v/>
      </c>
      <c r="D1448" s="37" t="str">
        <f>IF(Agent08_Savings!A53="","",Agent08_Savings!G53)</f>
        <v/>
      </c>
      <c r="E1448" s="38" t="str">
        <f>IF(Agent08_Savings!A53="","",Agent08_Savings!D53)</f>
        <v/>
      </c>
      <c r="F1448" s="39" t="str">
        <f>IF(Agent08_Savings!A53="","",Agent08_Savings!E53)</f>
        <v/>
      </c>
      <c r="G1448" s="39" t="str">
        <f>IF(Agent08_Savings!A53="","",Agent08_Savings!F53)</f>
        <v/>
      </c>
      <c r="H1448" s="37" t="str">
        <f>IF(Agent08_Savings!A53="","",Agent08_Savings!I53)</f>
        <v/>
      </c>
      <c r="I1448" s="37" t="str">
        <f>IF(Agent08_Savings!A53="","",Agent08_Savings!J53)</f>
        <v/>
      </c>
      <c r="J1448" s="37" t="str">
        <f>IF(Agent08_Savings!A53="","",Agent08_Savings!K53)</f>
        <v/>
      </c>
      <c r="K1448" s="37" t="str">
        <f>IFERROR(IF(Agent08_Savings!A53="","",YEAR(Agent08_Savings!D53)),"")</f>
        <v/>
      </c>
    </row>
    <row r="1449" spans="1:11" ht="18" customHeight="1" x14ac:dyDescent="0.25">
      <c r="A1449" s="37" t="str">
        <f>IF(Agent08_Savings!A54="","",Agent08_Savings!A54)</f>
        <v/>
      </c>
      <c r="B1449" s="37" t="str">
        <f ca="1">IF(Agent08_Savings!A54="","","SV"&amp;TEXT(1449-3,"0000")&amp;"-"&amp;TEXT(TODAY(),"YYYYMMDD"))</f>
        <v/>
      </c>
      <c r="C1449" s="37" t="str">
        <f>IF(Agent08_Savings!A54="","",Agent08_Savings!B54)</f>
        <v/>
      </c>
      <c r="D1449" s="37" t="str">
        <f>IF(Agent08_Savings!A54="","",Agent08_Savings!G54)</f>
        <v/>
      </c>
      <c r="E1449" s="38" t="str">
        <f>IF(Agent08_Savings!A54="","",Agent08_Savings!D54)</f>
        <v/>
      </c>
      <c r="F1449" s="39" t="str">
        <f>IF(Agent08_Savings!A54="","",Agent08_Savings!E54)</f>
        <v/>
      </c>
      <c r="G1449" s="39" t="str">
        <f>IF(Agent08_Savings!A54="","",Agent08_Savings!F54)</f>
        <v/>
      </c>
      <c r="H1449" s="37" t="str">
        <f>IF(Agent08_Savings!A54="","",Agent08_Savings!I54)</f>
        <v/>
      </c>
      <c r="I1449" s="37" t="str">
        <f>IF(Agent08_Savings!A54="","",Agent08_Savings!J54)</f>
        <v/>
      </c>
      <c r="J1449" s="37" t="str">
        <f>IF(Agent08_Savings!A54="","",Agent08_Savings!K54)</f>
        <v/>
      </c>
      <c r="K1449" s="37" t="str">
        <f>IFERROR(IF(Agent08_Savings!A54="","",YEAR(Agent08_Savings!D54)),"")</f>
        <v/>
      </c>
    </row>
    <row r="1450" spans="1:11" ht="18" customHeight="1" x14ac:dyDescent="0.25">
      <c r="A1450" s="37" t="str">
        <f>IF(Agent08_Savings!A55="","",Agent08_Savings!A55)</f>
        <v/>
      </c>
      <c r="B1450" s="37" t="str">
        <f ca="1">IF(Agent08_Savings!A55="","","SV"&amp;TEXT(1450-3,"0000")&amp;"-"&amp;TEXT(TODAY(),"YYYYMMDD"))</f>
        <v/>
      </c>
      <c r="C1450" s="37" t="str">
        <f>IF(Agent08_Savings!A55="","",Agent08_Savings!B55)</f>
        <v/>
      </c>
      <c r="D1450" s="37" t="str">
        <f>IF(Agent08_Savings!A55="","",Agent08_Savings!G55)</f>
        <v/>
      </c>
      <c r="E1450" s="38" t="str">
        <f>IF(Agent08_Savings!A55="","",Agent08_Savings!D55)</f>
        <v/>
      </c>
      <c r="F1450" s="39" t="str">
        <f>IF(Agent08_Savings!A55="","",Agent08_Savings!E55)</f>
        <v/>
      </c>
      <c r="G1450" s="39" t="str">
        <f>IF(Agent08_Savings!A55="","",Agent08_Savings!F55)</f>
        <v/>
      </c>
      <c r="H1450" s="37" t="str">
        <f>IF(Agent08_Savings!A55="","",Agent08_Savings!I55)</f>
        <v/>
      </c>
      <c r="I1450" s="37" t="str">
        <f>IF(Agent08_Savings!A55="","",Agent08_Savings!J55)</f>
        <v/>
      </c>
      <c r="J1450" s="37" t="str">
        <f>IF(Agent08_Savings!A55="","",Agent08_Savings!K55)</f>
        <v/>
      </c>
      <c r="K1450" s="37" t="str">
        <f>IFERROR(IF(Agent08_Savings!A55="","",YEAR(Agent08_Savings!D55)),"")</f>
        <v/>
      </c>
    </row>
    <row r="1451" spans="1:11" ht="18" customHeight="1" x14ac:dyDescent="0.25">
      <c r="A1451" s="37" t="str">
        <f>IF(Agent08_Savings!A56="","",Agent08_Savings!A56)</f>
        <v/>
      </c>
      <c r="B1451" s="37" t="str">
        <f ca="1">IF(Agent08_Savings!A56="","","SV"&amp;TEXT(1451-3,"0000")&amp;"-"&amp;TEXT(TODAY(),"YYYYMMDD"))</f>
        <v/>
      </c>
      <c r="C1451" s="37" t="str">
        <f>IF(Agent08_Savings!A56="","",Agent08_Savings!B56)</f>
        <v/>
      </c>
      <c r="D1451" s="37" t="str">
        <f>IF(Agent08_Savings!A56="","",Agent08_Savings!G56)</f>
        <v/>
      </c>
      <c r="E1451" s="38" t="str">
        <f>IF(Agent08_Savings!A56="","",Agent08_Savings!D56)</f>
        <v/>
      </c>
      <c r="F1451" s="39" t="str">
        <f>IF(Agent08_Savings!A56="","",Agent08_Savings!E56)</f>
        <v/>
      </c>
      <c r="G1451" s="39" t="str">
        <f>IF(Agent08_Savings!A56="","",Agent08_Savings!F56)</f>
        <v/>
      </c>
      <c r="H1451" s="37" t="str">
        <f>IF(Agent08_Savings!A56="","",Agent08_Savings!I56)</f>
        <v/>
      </c>
      <c r="I1451" s="37" t="str">
        <f>IF(Agent08_Savings!A56="","",Agent08_Savings!J56)</f>
        <v/>
      </c>
      <c r="J1451" s="37" t="str">
        <f>IF(Agent08_Savings!A56="","",Agent08_Savings!K56)</f>
        <v/>
      </c>
      <c r="K1451" s="37" t="str">
        <f>IFERROR(IF(Agent08_Savings!A56="","",YEAR(Agent08_Savings!D56)),"")</f>
        <v/>
      </c>
    </row>
    <row r="1452" spans="1:11" ht="18" customHeight="1" x14ac:dyDescent="0.25">
      <c r="A1452" s="37" t="str">
        <f>IF(Agent08_Savings!A57="","",Agent08_Savings!A57)</f>
        <v/>
      </c>
      <c r="B1452" s="37" t="str">
        <f ca="1">IF(Agent08_Savings!A57="","","SV"&amp;TEXT(1452-3,"0000")&amp;"-"&amp;TEXT(TODAY(),"YYYYMMDD"))</f>
        <v/>
      </c>
      <c r="C1452" s="37" t="str">
        <f>IF(Agent08_Savings!A57="","",Agent08_Savings!B57)</f>
        <v/>
      </c>
      <c r="D1452" s="37" t="str">
        <f>IF(Agent08_Savings!A57="","",Agent08_Savings!G57)</f>
        <v/>
      </c>
      <c r="E1452" s="38" t="str">
        <f>IF(Agent08_Savings!A57="","",Agent08_Savings!D57)</f>
        <v/>
      </c>
      <c r="F1452" s="39" t="str">
        <f>IF(Agent08_Savings!A57="","",Agent08_Savings!E57)</f>
        <v/>
      </c>
      <c r="G1452" s="39" t="str">
        <f>IF(Agent08_Savings!A57="","",Agent08_Savings!F57)</f>
        <v/>
      </c>
      <c r="H1452" s="37" t="str">
        <f>IF(Agent08_Savings!A57="","",Agent08_Savings!I57)</f>
        <v/>
      </c>
      <c r="I1452" s="37" t="str">
        <f>IF(Agent08_Savings!A57="","",Agent08_Savings!J57)</f>
        <v/>
      </c>
      <c r="J1452" s="37" t="str">
        <f>IF(Agent08_Savings!A57="","",Agent08_Savings!K57)</f>
        <v/>
      </c>
      <c r="K1452" s="37" t="str">
        <f>IFERROR(IF(Agent08_Savings!A57="","",YEAR(Agent08_Savings!D57)),"")</f>
        <v/>
      </c>
    </row>
    <row r="1453" spans="1:11" ht="18" customHeight="1" x14ac:dyDescent="0.25">
      <c r="A1453" s="37" t="str">
        <f>IF(Agent08_Savings!A58="","",Agent08_Savings!A58)</f>
        <v/>
      </c>
      <c r="B1453" s="37" t="str">
        <f ca="1">IF(Agent08_Savings!A58="","","SV"&amp;TEXT(1453-3,"0000")&amp;"-"&amp;TEXT(TODAY(),"YYYYMMDD"))</f>
        <v/>
      </c>
      <c r="C1453" s="37" t="str">
        <f>IF(Agent08_Savings!A58="","",Agent08_Savings!B58)</f>
        <v/>
      </c>
      <c r="D1453" s="37" t="str">
        <f>IF(Agent08_Savings!A58="","",Agent08_Savings!G58)</f>
        <v/>
      </c>
      <c r="E1453" s="38" t="str">
        <f>IF(Agent08_Savings!A58="","",Agent08_Savings!D58)</f>
        <v/>
      </c>
      <c r="F1453" s="39" t="str">
        <f>IF(Agent08_Savings!A58="","",Agent08_Savings!E58)</f>
        <v/>
      </c>
      <c r="G1453" s="39" t="str">
        <f>IF(Agent08_Savings!A58="","",Agent08_Savings!F58)</f>
        <v/>
      </c>
      <c r="H1453" s="37" t="str">
        <f>IF(Agent08_Savings!A58="","",Agent08_Savings!I58)</f>
        <v/>
      </c>
      <c r="I1453" s="37" t="str">
        <f>IF(Agent08_Savings!A58="","",Agent08_Savings!J58)</f>
        <v/>
      </c>
      <c r="J1453" s="37" t="str">
        <f>IF(Agent08_Savings!A58="","",Agent08_Savings!K58)</f>
        <v/>
      </c>
      <c r="K1453" s="37" t="str">
        <f>IFERROR(IF(Agent08_Savings!A58="","",YEAR(Agent08_Savings!D58)),"")</f>
        <v/>
      </c>
    </row>
    <row r="1454" spans="1:11" ht="18" customHeight="1" x14ac:dyDescent="0.25">
      <c r="A1454" s="37" t="str">
        <f>IF(Agent08_Savings!A59="","",Agent08_Savings!A59)</f>
        <v/>
      </c>
      <c r="B1454" s="37" t="str">
        <f ca="1">IF(Agent08_Savings!A59="","","SV"&amp;TEXT(1454-3,"0000")&amp;"-"&amp;TEXT(TODAY(),"YYYYMMDD"))</f>
        <v/>
      </c>
      <c r="C1454" s="37" t="str">
        <f>IF(Agent08_Savings!A59="","",Agent08_Savings!B59)</f>
        <v/>
      </c>
      <c r="D1454" s="37" t="str">
        <f>IF(Agent08_Savings!A59="","",Agent08_Savings!G59)</f>
        <v/>
      </c>
      <c r="E1454" s="38" t="str">
        <f>IF(Agent08_Savings!A59="","",Agent08_Savings!D59)</f>
        <v/>
      </c>
      <c r="F1454" s="39" t="str">
        <f>IF(Agent08_Savings!A59="","",Agent08_Savings!E59)</f>
        <v/>
      </c>
      <c r="G1454" s="39" t="str">
        <f>IF(Agent08_Savings!A59="","",Agent08_Savings!F59)</f>
        <v/>
      </c>
      <c r="H1454" s="37" t="str">
        <f>IF(Agent08_Savings!A59="","",Agent08_Savings!I59)</f>
        <v/>
      </c>
      <c r="I1454" s="37" t="str">
        <f>IF(Agent08_Savings!A59="","",Agent08_Savings!J59)</f>
        <v/>
      </c>
      <c r="J1454" s="37" t="str">
        <f>IF(Agent08_Savings!A59="","",Agent08_Savings!K59)</f>
        <v/>
      </c>
      <c r="K1454" s="37" t="str">
        <f>IFERROR(IF(Agent08_Savings!A59="","",YEAR(Agent08_Savings!D59)),"")</f>
        <v/>
      </c>
    </row>
    <row r="1455" spans="1:11" ht="18" customHeight="1" x14ac:dyDescent="0.25">
      <c r="A1455" s="37" t="str">
        <f>IF(Agent08_Savings!A60="","",Agent08_Savings!A60)</f>
        <v/>
      </c>
      <c r="B1455" s="37" t="str">
        <f ca="1">IF(Agent08_Savings!A60="","","SV"&amp;TEXT(1455-3,"0000")&amp;"-"&amp;TEXT(TODAY(),"YYYYMMDD"))</f>
        <v/>
      </c>
      <c r="C1455" s="37" t="str">
        <f>IF(Agent08_Savings!A60="","",Agent08_Savings!B60)</f>
        <v/>
      </c>
      <c r="D1455" s="37" t="str">
        <f>IF(Agent08_Savings!A60="","",Agent08_Savings!G60)</f>
        <v/>
      </c>
      <c r="E1455" s="38" t="str">
        <f>IF(Agent08_Savings!A60="","",Agent08_Savings!D60)</f>
        <v/>
      </c>
      <c r="F1455" s="39" t="str">
        <f>IF(Agent08_Savings!A60="","",Agent08_Savings!E60)</f>
        <v/>
      </c>
      <c r="G1455" s="39" t="str">
        <f>IF(Agent08_Savings!A60="","",Agent08_Savings!F60)</f>
        <v/>
      </c>
      <c r="H1455" s="37" t="str">
        <f>IF(Agent08_Savings!A60="","",Agent08_Savings!I60)</f>
        <v/>
      </c>
      <c r="I1455" s="37" t="str">
        <f>IF(Agent08_Savings!A60="","",Agent08_Savings!J60)</f>
        <v/>
      </c>
      <c r="J1455" s="37" t="str">
        <f>IF(Agent08_Savings!A60="","",Agent08_Savings!K60)</f>
        <v/>
      </c>
      <c r="K1455" s="37" t="str">
        <f>IFERROR(IF(Agent08_Savings!A60="","",YEAR(Agent08_Savings!D60)),"")</f>
        <v/>
      </c>
    </row>
    <row r="1456" spans="1:11" ht="18" customHeight="1" x14ac:dyDescent="0.25">
      <c r="A1456" s="37" t="str">
        <f>IF(Agent08_Savings!A61="","",Agent08_Savings!A61)</f>
        <v/>
      </c>
      <c r="B1456" s="37" t="str">
        <f ca="1">IF(Agent08_Savings!A61="","","SV"&amp;TEXT(1456-3,"0000")&amp;"-"&amp;TEXT(TODAY(),"YYYYMMDD"))</f>
        <v/>
      </c>
      <c r="C1456" s="37" t="str">
        <f>IF(Agent08_Savings!A61="","",Agent08_Savings!B61)</f>
        <v/>
      </c>
      <c r="D1456" s="37" t="str">
        <f>IF(Agent08_Savings!A61="","",Agent08_Savings!G61)</f>
        <v/>
      </c>
      <c r="E1456" s="38" t="str">
        <f>IF(Agent08_Savings!A61="","",Agent08_Savings!D61)</f>
        <v/>
      </c>
      <c r="F1456" s="39" t="str">
        <f>IF(Agent08_Savings!A61="","",Agent08_Savings!E61)</f>
        <v/>
      </c>
      <c r="G1456" s="39" t="str">
        <f>IF(Agent08_Savings!A61="","",Agent08_Savings!F61)</f>
        <v/>
      </c>
      <c r="H1456" s="37" t="str">
        <f>IF(Agent08_Savings!A61="","",Agent08_Savings!I61)</f>
        <v/>
      </c>
      <c r="I1456" s="37" t="str">
        <f>IF(Agent08_Savings!A61="","",Agent08_Savings!J61)</f>
        <v/>
      </c>
      <c r="J1456" s="37" t="str">
        <f>IF(Agent08_Savings!A61="","",Agent08_Savings!K61)</f>
        <v/>
      </c>
      <c r="K1456" s="37" t="str">
        <f>IFERROR(IF(Agent08_Savings!A61="","",YEAR(Agent08_Savings!D61)),"")</f>
        <v/>
      </c>
    </row>
    <row r="1457" spans="1:11" ht="18" customHeight="1" x14ac:dyDescent="0.25">
      <c r="A1457" s="37" t="str">
        <f>IF(Agent08_Savings!A62="","",Agent08_Savings!A62)</f>
        <v/>
      </c>
      <c r="B1457" s="37" t="str">
        <f ca="1">IF(Agent08_Savings!A62="","","SV"&amp;TEXT(1457-3,"0000")&amp;"-"&amp;TEXT(TODAY(),"YYYYMMDD"))</f>
        <v/>
      </c>
      <c r="C1457" s="37" t="str">
        <f>IF(Agent08_Savings!A62="","",Agent08_Savings!B62)</f>
        <v/>
      </c>
      <c r="D1457" s="37" t="str">
        <f>IF(Agent08_Savings!A62="","",Agent08_Savings!G62)</f>
        <v/>
      </c>
      <c r="E1457" s="38" t="str">
        <f>IF(Agent08_Savings!A62="","",Agent08_Savings!D62)</f>
        <v/>
      </c>
      <c r="F1457" s="39" t="str">
        <f>IF(Agent08_Savings!A62="","",Agent08_Savings!E62)</f>
        <v/>
      </c>
      <c r="G1457" s="39" t="str">
        <f>IF(Agent08_Savings!A62="","",Agent08_Savings!F62)</f>
        <v/>
      </c>
      <c r="H1457" s="37" t="str">
        <f>IF(Agent08_Savings!A62="","",Agent08_Savings!I62)</f>
        <v/>
      </c>
      <c r="I1457" s="37" t="str">
        <f>IF(Agent08_Savings!A62="","",Agent08_Savings!J62)</f>
        <v/>
      </c>
      <c r="J1457" s="37" t="str">
        <f>IF(Agent08_Savings!A62="","",Agent08_Savings!K62)</f>
        <v/>
      </c>
      <c r="K1457" s="37" t="str">
        <f>IFERROR(IF(Agent08_Savings!A62="","",YEAR(Agent08_Savings!D62)),"")</f>
        <v/>
      </c>
    </row>
    <row r="1458" spans="1:11" ht="18" customHeight="1" x14ac:dyDescent="0.25">
      <c r="A1458" s="37" t="str">
        <f>IF(Agent08_Savings!A63="","",Agent08_Savings!A63)</f>
        <v/>
      </c>
      <c r="B1458" s="37" t="str">
        <f ca="1">IF(Agent08_Savings!A63="","","SV"&amp;TEXT(1458-3,"0000")&amp;"-"&amp;TEXT(TODAY(),"YYYYMMDD"))</f>
        <v/>
      </c>
      <c r="C1458" s="37" t="str">
        <f>IF(Agent08_Savings!A63="","",Agent08_Savings!B63)</f>
        <v/>
      </c>
      <c r="D1458" s="37" t="str">
        <f>IF(Agent08_Savings!A63="","",Agent08_Savings!G63)</f>
        <v/>
      </c>
      <c r="E1458" s="38" t="str">
        <f>IF(Agent08_Savings!A63="","",Agent08_Savings!D63)</f>
        <v/>
      </c>
      <c r="F1458" s="39" t="str">
        <f>IF(Agent08_Savings!A63="","",Agent08_Savings!E63)</f>
        <v/>
      </c>
      <c r="G1458" s="39" t="str">
        <f>IF(Agent08_Savings!A63="","",Agent08_Savings!F63)</f>
        <v/>
      </c>
      <c r="H1458" s="37" t="str">
        <f>IF(Agent08_Savings!A63="","",Agent08_Savings!I63)</f>
        <v/>
      </c>
      <c r="I1458" s="37" t="str">
        <f>IF(Agent08_Savings!A63="","",Agent08_Savings!J63)</f>
        <v/>
      </c>
      <c r="J1458" s="37" t="str">
        <f>IF(Agent08_Savings!A63="","",Agent08_Savings!K63)</f>
        <v/>
      </c>
      <c r="K1458" s="37" t="str">
        <f>IFERROR(IF(Agent08_Savings!A63="","",YEAR(Agent08_Savings!D63)),"")</f>
        <v/>
      </c>
    </row>
    <row r="1459" spans="1:11" ht="18" customHeight="1" x14ac:dyDescent="0.25">
      <c r="A1459" s="37" t="str">
        <f>IF(Agent08_Savings!A64="","",Agent08_Savings!A64)</f>
        <v/>
      </c>
      <c r="B1459" s="37" t="str">
        <f ca="1">IF(Agent08_Savings!A64="","","SV"&amp;TEXT(1459-3,"0000")&amp;"-"&amp;TEXT(TODAY(),"YYYYMMDD"))</f>
        <v/>
      </c>
      <c r="C1459" s="37" t="str">
        <f>IF(Agent08_Savings!A64="","",Agent08_Savings!B64)</f>
        <v/>
      </c>
      <c r="D1459" s="37" t="str">
        <f>IF(Agent08_Savings!A64="","",Agent08_Savings!G64)</f>
        <v/>
      </c>
      <c r="E1459" s="38" t="str">
        <f>IF(Agent08_Savings!A64="","",Agent08_Savings!D64)</f>
        <v/>
      </c>
      <c r="F1459" s="39" t="str">
        <f>IF(Agent08_Savings!A64="","",Agent08_Savings!E64)</f>
        <v/>
      </c>
      <c r="G1459" s="39" t="str">
        <f>IF(Agent08_Savings!A64="","",Agent08_Savings!F64)</f>
        <v/>
      </c>
      <c r="H1459" s="37" t="str">
        <f>IF(Agent08_Savings!A64="","",Agent08_Savings!I64)</f>
        <v/>
      </c>
      <c r="I1459" s="37" t="str">
        <f>IF(Agent08_Savings!A64="","",Agent08_Savings!J64)</f>
        <v/>
      </c>
      <c r="J1459" s="37" t="str">
        <f>IF(Agent08_Savings!A64="","",Agent08_Savings!K64)</f>
        <v/>
      </c>
      <c r="K1459" s="37" t="str">
        <f>IFERROR(IF(Agent08_Savings!A64="","",YEAR(Agent08_Savings!D64)),"")</f>
        <v/>
      </c>
    </row>
    <row r="1460" spans="1:11" ht="18" customHeight="1" x14ac:dyDescent="0.25">
      <c r="A1460" s="37" t="str">
        <f>IF(Agent08_Savings!A65="","",Agent08_Savings!A65)</f>
        <v/>
      </c>
      <c r="B1460" s="37" t="str">
        <f ca="1">IF(Agent08_Savings!A65="","","SV"&amp;TEXT(1460-3,"0000")&amp;"-"&amp;TEXT(TODAY(),"YYYYMMDD"))</f>
        <v/>
      </c>
      <c r="C1460" s="37" t="str">
        <f>IF(Agent08_Savings!A65="","",Agent08_Savings!B65)</f>
        <v/>
      </c>
      <c r="D1460" s="37" t="str">
        <f>IF(Agent08_Savings!A65="","",Agent08_Savings!G65)</f>
        <v/>
      </c>
      <c r="E1460" s="38" t="str">
        <f>IF(Agent08_Savings!A65="","",Agent08_Savings!D65)</f>
        <v/>
      </c>
      <c r="F1460" s="39" t="str">
        <f>IF(Agent08_Savings!A65="","",Agent08_Savings!E65)</f>
        <v/>
      </c>
      <c r="G1460" s="39" t="str">
        <f>IF(Agent08_Savings!A65="","",Agent08_Savings!F65)</f>
        <v/>
      </c>
      <c r="H1460" s="37" t="str">
        <f>IF(Agent08_Savings!A65="","",Agent08_Savings!I65)</f>
        <v/>
      </c>
      <c r="I1460" s="37" t="str">
        <f>IF(Agent08_Savings!A65="","",Agent08_Savings!J65)</f>
        <v/>
      </c>
      <c r="J1460" s="37" t="str">
        <f>IF(Agent08_Savings!A65="","",Agent08_Savings!K65)</f>
        <v/>
      </c>
      <c r="K1460" s="37" t="str">
        <f>IFERROR(IF(Agent08_Savings!A65="","",YEAR(Agent08_Savings!D65)),"")</f>
        <v/>
      </c>
    </row>
    <row r="1461" spans="1:11" ht="18" customHeight="1" x14ac:dyDescent="0.25">
      <c r="A1461" s="37" t="str">
        <f>IF(Agent08_Savings!A66="","",Agent08_Savings!A66)</f>
        <v/>
      </c>
      <c r="B1461" s="37" t="str">
        <f ca="1">IF(Agent08_Savings!A66="","","SV"&amp;TEXT(1461-3,"0000")&amp;"-"&amp;TEXT(TODAY(),"YYYYMMDD"))</f>
        <v/>
      </c>
      <c r="C1461" s="37" t="str">
        <f>IF(Agent08_Savings!A66="","",Agent08_Savings!B66)</f>
        <v/>
      </c>
      <c r="D1461" s="37" t="str">
        <f>IF(Agent08_Savings!A66="","",Agent08_Savings!G66)</f>
        <v/>
      </c>
      <c r="E1461" s="38" t="str">
        <f>IF(Agent08_Savings!A66="","",Agent08_Savings!D66)</f>
        <v/>
      </c>
      <c r="F1461" s="39" t="str">
        <f>IF(Agent08_Savings!A66="","",Agent08_Savings!E66)</f>
        <v/>
      </c>
      <c r="G1461" s="39" t="str">
        <f>IF(Agent08_Savings!A66="","",Agent08_Savings!F66)</f>
        <v/>
      </c>
      <c r="H1461" s="37" t="str">
        <f>IF(Agent08_Savings!A66="","",Agent08_Savings!I66)</f>
        <v/>
      </c>
      <c r="I1461" s="37" t="str">
        <f>IF(Agent08_Savings!A66="","",Agent08_Savings!J66)</f>
        <v/>
      </c>
      <c r="J1461" s="37" t="str">
        <f>IF(Agent08_Savings!A66="","",Agent08_Savings!K66)</f>
        <v/>
      </c>
      <c r="K1461" s="37" t="str">
        <f>IFERROR(IF(Agent08_Savings!A66="","",YEAR(Agent08_Savings!D66)),"")</f>
        <v/>
      </c>
    </row>
    <row r="1462" spans="1:11" ht="18" customHeight="1" x14ac:dyDescent="0.25">
      <c r="A1462" s="37" t="str">
        <f>IF(Agent08_Savings!A67="","",Agent08_Savings!A67)</f>
        <v/>
      </c>
      <c r="B1462" s="37" t="str">
        <f ca="1">IF(Agent08_Savings!A67="","","SV"&amp;TEXT(1462-3,"0000")&amp;"-"&amp;TEXT(TODAY(),"YYYYMMDD"))</f>
        <v/>
      </c>
      <c r="C1462" s="37" t="str">
        <f>IF(Agent08_Savings!A67="","",Agent08_Savings!B67)</f>
        <v/>
      </c>
      <c r="D1462" s="37" t="str">
        <f>IF(Agent08_Savings!A67="","",Agent08_Savings!G67)</f>
        <v/>
      </c>
      <c r="E1462" s="38" t="str">
        <f>IF(Agent08_Savings!A67="","",Agent08_Savings!D67)</f>
        <v/>
      </c>
      <c r="F1462" s="39" t="str">
        <f>IF(Agent08_Savings!A67="","",Agent08_Savings!E67)</f>
        <v/>
      </c>
      <c r="G1462" s="39" t="str">
        <f>IF(Agent08_Savings!A67="","",Agent08_Savings!F67)</f>
        <v/>
      </c>
      <c r="H1462" s="37" t="str">
        <f>IF(Agent08_Savings!A67="","",Agent08_Savings!I67)</f>
        <v/>
      </c>
      <c r="I1462" s="37" t="str">
        <f>IF(Agent08_Savings!A67="","",Agent08_Savings!J67)</f>
        <v/>
      </c>
      <c r="J1462" s="37" t="str">
        <f>IF(Agent08_Savings!A67="","",Agent08_Savings!K67)</f>
        <v/>
      </c>
      <c r="K1462" s="37" t="str">
        <f>IFERROR(IF(Agent08_Savings!A67="","",YEAR(Agent08_Savings!D67)),"")</f>
        <v/>
      </c>
    </row>
    <row r="1463" spans="1:11" ht="18" customHeight="1" x14ac:dyDescent="0.25">
      <c r="A1463" s="37" t="str">
        <f>IF(Agent08_Savings!A68="","",Agent08_Savings!A68)</f>
        <v/>
      </c>
      <c r="B1463" s="37" t="str">
        <f ca="1">IF(Agent08_Savings!A68="","","SV"&amp;TEXT(1463-3,"0000")&amp;"-"&amp;TEXT(TODAY(),"YYYYMMDD"))</f>
        <v/>
      </c>
      <c r="C1463" s="37" t="str">
        <f>IF(Agent08_Savings!A68="","",Agent08_Savings!B68)</f>
        <v/>
      </c>
      <c r="D1463" s="37" t="str">
        <f>IF(Agent08_Savings!A68="","",Agent08_Savings!G68)</f>
        <v/>
      </c>
      <c r="E1463" s="38" t="str">
        <f>IF(Agent08_Savings!A68="","",Agent08_Savings!D68)</f>
        <v/>
      </c>
      <c r="F1463" s="39" t="str">
        <f>IF(Agent08_Savings!A68="","",Agent08_Savings!E68)</f>
        <v/>
      </c>
      <c r="G1463" s="39" t="str">
        <f>IF(Agent08_Savings!A68="","",Agent08_Savings!F68)</f>
        <v/>
      </c>
      <c r="H1463" s="37" t="str">
        <f>IF(Agent08_Savings!A68="","",Agent08_Savings!I68)</f>
        <v/>
      </c>
      <c r="I1463" s="37" t="str">
        <f>IF(Agent08_Savings!A68="","",Agent08_Savings!J68)</f>
        <v/>
      </c>
      <c r="J1463" s="37" t="str">
        <f>IF(Agent08_Savings!A68="","",Agent08_Savings!K68)</f>
        <v/>
      </c>
      <c r="K1463" s="37" t="str">
        <f>IFERROR(IF(Agent08_Savings!A68="","",YEAR(Agent08_Savings!D68)),"")</f>
        <v/>
      </c>
    </row>
    <row r="1464" spans="1:11" ht="18" customHeight="1" x14ac:dyDescent="0.25">
      <c r="A1464" s="37" t="str">
        <f>IF(Agent08_Savings!A69="","",Agent08_Savings!A69)</f>
        <v/>
      </c>
      <c r="B1464" s="37" t="str">
        <f ca="1">IF(Agent08_Savings!A69="","","SV"&amp;TEXT(1464-3,"0000")&amp;"-"&amp;TEXT(TODAY(),"YYYYMMDD"))</f>
        <v/>
      </c>
      <c r="C1464" s="37" t="str">
        <f>IF(Agent08_Savings!A69="","",Agent08_Savings!B69)</f>
        <v/>
      </c>
      <c r="D1464" s="37" t="str">
        <f>IF(Agent08_Savings!A69="","",Agent08_Savings!G69)</f>
        <v/>
      </c>
      <c r="E1464" s="38" t="str">
        <f>IF(Agent08_Savings!A69="","",Agent08_Savings!D69)</f>
        <v/>
      </c>
      <c r="F1464" s="39" t="str">
        <f>IF(Agent08_Savings!A69="","",Agent08_Savings!E69)</f>
        <v/>
      </c>
      <c r="G1464" s="39" t="str">
        <f>IF(Agent08_Savings!A69="","",Agent08_Savings!F69)</f>
        <v/>
      </c>
      <c r="H1464" s="37" t="str">
        <f>IF(Agent08_Savings!A69="","",Agent08_Savings!I69)</f>
        <v/>
      </c>
      <c r="I1464" s="37" t="str">
        <f>IF(Agent08_Savings!A69="","",Agent08_Savings!J69)</f>
        <v/>
      </c>
      <c r="J1464" s="37" t="str">
        <f>IF(Agent08_Savings!A69="","",Agent08_Savings!K69)</f>
        <v/>
      </c>
      <c r="K1464" s="37" t="str">
        <f>IFERROR(IF(Agent08_Savings!A69="","",YEAR(Agent08_Savings!D69)),"")</f>
        <v/>
      </c>
    </row>
    <row r="1465" spans="1:11" ht="18" customHeight="1" x14ac:dyDescent="0.25">
      <c r="A1465" s="37" t="str">
        <f>IF(Agent08_Savings!A70="","",Agent08_Savings!A70)</f>
        <v/>
      </c>
      <c r="B1465" s="37" t="str">
        <f ca="1">IF(Agent08_Savings!A70="","","SV"&amp;TEXT(1465-3,"0000")&amp;"-"&amp;TEXT(TODAY(),"YYYYMMDD"))</f>
        <v/>
      </c>
      <c r="C1465" s="37" t="str">
        <f>IF(Agent08_Savings!A70="","",Agent08_Savings!B70)</f>
        <v/>
      </c>
      <c r="D1465" s="37" t="str">
        <f>IF(Agent08_Savings!A70="","",Agent08_Savings!G70)</f>
        <v/>
      </c>
      <c r="E1465" s="38" t="str">
        <f>IF(Agent08_Savings!A70="","",Agent08_Savings!D70)</f>
        <v/>
      </c>
      <c r="F1465" s="39" t="str">
        <f>IF(Agent08_Savings!A70="","",Agent08_Savings!E70)</f>
        <v/>
      </c>
      <c r="G1465" s="39" t="str">
        <f>IF(Agent08_Savings!A70="","",Agent08_Savings!F70)</f>
        <v/>
      </c>
      <c r="H1465" s="37" t="str">
        <f>IF(Agent08_Savings!A70="","",Agent08_Savings!I70)</f>
        <v/>
      </c>
      <c r="I1465" s="37" t="str">
        <f>IF(Agent08_Savings!A70="","",Agent08_Savings!J70)</f>
        <v/>
      </c>
      <c r="J1465" s="37" t="str">
        <f>IF(Agent08_Savings!A70="","",Agent08_Savings!K70)</f>
        <v/>
      </c>
      <c r="K1465" s="37" t="str">
        <f>IFERROR(IF(Agent08_Savings!A70="","",YEAR(Agent08_Savings!D70)),"")</f>
        <v/>
      </c>
    </row>
    <row r="1466" spans="1:11" ht="18" customHeight="1" x14ac:dyDescent="0.25">
      <c r="A1466" s="37" t="str">
        <f>IF(Agent08_Savings!A71="","",Agent08_Savings!A71)</f>
        <v/>
      </c>
      <c r="B1466" s="37" t="str">
        <f ca="1">IF(Agent08_Savings!A71="","","SV"&amp;TEXT(1466-3,"0000")&amp;"-"&amp;TEXT(TODAY(),"YYYYMMDD"))</f>
        <v/>
      </c>
      <c r="C1466" s="37" t="str">
        <f>IF(Agent08_Savings!A71="","",Agent08_Savings!B71)</f>
        <v/>
      </c>
      <c r="D1466" s="37" t="str">
        <f>IF(Agent08_Savings!A71="","",Agent08_Savings!G71)</f>
        <v/>
      </c>
      <c r="E1466" s="38" t="str">
        <f>IF(Agent08_Savings!A71="","",Agent08_Savings!D71)</f>
        <v/>
      </c>
      <c r="F1466" s="39" t="str">
        <f>IF(Agent08_Savings!A71="","",Agent08_Savings!E71)</f>
        <v/>
      </c>
      <c r="G1466" s="39" t="str">
        <f>IF(Agent08_Savings!A71="","",Agent08_Savings!F71)</f>
        <v/>
      </c>
      <c r="H1466" s="37" t="str">
        <f>IF(Agent08_Savings!A71="","",Agent08_Savings!I71)</f>
        <v/>
      </c>
      <c r="I1466" s="37" t="str">
        <f>IF(Agent08_Savings!A71="","",Agent08_Savings!J71)</f>
        <v/>
      </c>
      <c r="J1466" s="37" t="str">
        <f>IF(Agent08_Savings!A71="","",Agent08_Savings!K71)</f>
        <v/>
      </c>
      <c r="K1466" s="37" t="str">
        <f>IFERROR(IF(Agent08_Savings!A71="","",YEAR(Agent08_Savings!D71)),"")</f>
        <v/>
      </c>
    </row>
    <row r="1467" spans="1:11" ht="18" customHeight="1" x14ac:dyDescent="0.25">
      <c r="A1467" s="37" t="str">
        <f>IF(Agent08_Savings!A72="","",Agent08_Savings!A72)</f>
        <v/>
      </c>
      <c r="B1467" s="37" t="str">
        <f ca="1">IF(Agent08_Savings!A72="","","SV"&amp;TEXT(1467-3,"0000")&amp;"-"&amp;TEXT(TODAY(),"YYYYMMDD"))</f>
        <v/>
      </c>
      <c r="C1467" s="37" t="str">
        <f>IF(Agent08_Savings!A72="","",Agent08_Savings!B72)</f>
        <v/>
      </c>
      <c r="D1467" s="37" t="str">
        <f>IF(Agent08_Savings!A72="","",Agent08_Savings!G72)</f>
        <v/>
      </c>
      <c r="E1467" s="38" t="str">
        <f>IF(Agent08_Savings!A72="","",Agent08_Savings!D72)</f>
        <v/>
      </c>
      <c r="F1467" s="39" t="str">
        <f>IF(Agent08_Savings!A72="","",Agent08_Savings!E72)</f>
        <v/>
      </c>
      <c r="G1467" s="39" t="str">
        <f>IF(Agent08_Savings!A72="","",Agent08_Savings!F72)</f>
        <v/>
      </c>
      <c r="H1467" s="37" t="str">
        <f>IF(Agent08_Savings!A72="","",Agent08_Savings!I72)</f>
        <v/>
      </c>
      <c r="I1467" s="37" t="str">
        <f>IF(Agent08_Savings!A72="","",Agent08_Savings!J72)</f>
        <v/>
      </c>
      <c r="J1467" s="37" t="str">
        <f>IF(Agent08_Savings!A72="","",Agent08_Savings!K72)</f>
        <v/>
      </c>
      <c r="K1467" s="37" t="str">
        <f>IFERROR(IF(Agent08_Savings!A72="","",YEAR(Agent08_Savings!D72)),"")</f>
        <v/>
      </c>
    </row>
    <row r="1468" spans="1:11" ht="18" customHeight="1" x14ac:dyDescent="0.25">
      <c r="A1468" s="37" t="str">
        <f>IF(Agent08_Savings!A73="","",Agent08_Savings!A73)</f>
        <v/>
      </c>
      <c r="B1468" s="37" t="str">
        <f ca="1">IF(Agent08_Savings!A73="","","SV"&amp;TEXT(1468-3,"0000")&amp;"-"&amp;TEXT(TODAY(),"YYYYMMDD"))</f>
        <v/>
      </c>
      <c r="C1468" s="37" t="str">
        <f>IF(Agent08_Savings!A73="","",Agent08_Savings!B73)</f>
        <v/>
      </c>
      <c r="D1468" s="37" t="str">
        <f>IF(Agent08_Savings!A73="","",Agent08_Savings!G73)</f>
        <v/>
      </c>
      <c r="E1468" s="38" t="str">
        <f>IF(Agent08_Savings!A73="","",Agent08_Savings!D73)</f>
        <v/>
      </c>
      <c r="F1468" s="39" t="str">
        <f>IF(Agent08_Savings!A73="","",Agent08_Savings!E73)</f>
        <v/>
      </c>
      <c r="G1468" s="39" t="str">
        <f>IF(Agent08_Savings!A73="","",Agent08_Savings!F73)</f>
        <v/>
      </c>
      <c r="H1468" s="37" t="str">
        <f>IF(Agent08_Savings!A73="","",Agent08_Savings!I73)</f>
        <v/>
      </c>
      <c r="I1468" s="37" t="str">
        <f>IF(Agent08_Savings!A73="","",Agent08_Savings!J73)</f>
        <v/>
      </c>
      <c r="J1468" s="37" t="str">
        <f>IF(Agent08_Savings!A73="","",Agent08_Savings!K73)</f>
        <v/>
      </c>
      <c r="K1468" s="37" t="str">
        <f>IFERROR(IF(Agent08_Savings!A73="","",YEAR(Agent08_Savings!D73)),"")</f>
        <v/>
      </c>
    </row>
    <row r="1469" spans="1:11" ht="18" customHeight="1" x14ac:dyDescent="0.25">
      <c r="A1469" s="37" t="str">
        <f>IF(Agent08_Savings!A74="","",Agent08_Savings!A74)</f>
        <v/>
      </c>
      <c r="B1469" s="37" t="str">
        <f ca="1">IF(Agent08_Savings!A74="","","SV"&amp;TEXT(1469-3,"0000")&amp;"-"&amp;TEXT(TODAY(),"YYYYMMDD"))</f>
        <v/>
      </c>
      <c r="C1469" s="37" t="str">
        <f>IF(Agent08_Savings!A74="","",Agent08_Savings!B74)</f>
        <v/>
      </c>
      <c r="D1469" s="37" t="str">
        <f>IF(Agent08_Savings!A74="","",Agent08_Savings!G74)</f>
        <v/>
      </c>
      <c r="E1469" s="38" t="str">
        <f>IF(Agent08_Savings!A74="","",Agent08_Savings!D74)</f>
        <v/>
      </c>
      <c r="F1469" s="39" t="str">
        <f>IF(Agent08_Savings!A74="","",Agent08_Savings!E74)</f>
        <v/>
      </c>
      <c r="G1469" s="39" t="str">
        <f>IF(Agent08_Savings!A74="","",Agent08_Savings!F74)</f>
        <v/>
      </c>
      <c r="H1469" s="37" t="str">
        <f>IF(Agent08_Savings!A74="","",Agent08_Savings!I74)</f>
        <v/>
      </c>
      <c r="I1469" s="37" t="str">
        <f>IF(Agent08_Savings!A74="","",Agent08_Savings!J74)</f>
        <v/>
      </c>
      <c r="J1469" s="37" t="str">
        <f>IF(Agent08_Savings!A74="","",Agent08_Savings!K74)</f>
        <v/>
      </c>
      <c r="K1469" s="37" t="str">
        <f>IFERROR(IF(Agent08_Savings!A74="","",YEAR(Agent08_Savings!D74)),"")</f>
        <v/>
      </c>
    </row>
    <row r="1470" spans="1:11" ht="18" customHeight="1" x14ac:dyDescent="0.25">
      <c r="A1470" s="37" t="str">
        <f>IF(Agent08_Savings!A75="","",Agent08_Savings!A75)</f>
        <v/>
      </c>
      <c r="B1470" s="37" t="str">
        <f ca="1">IF(Agent08_Savings!A75="","","SV"&amp;TEXT(1470-3,"0000")&amp;"-"&amp;TEXT(TODAY(),"YYYYMMDD"))</f>
        <v/>
      </c>
      <c r="C1470" s="37" t="str">
        <f>IF(Agent08_Savings!A75="","",Agent08_Savings!B75)</f>
        <v/>
      </c>
      <c r="D1470" s="37" t="str">
        <f>IF(Agent08_Savings!A75="","",Agent08_Savings!G75)</f>
        <v/>
      </c>
      <c r="E1470" s="38" t="str">
        <f>IF(Agent08_Savings!A75="","",Agent08_Savings!D75)</f>
        <v/>
      </c>
      <c r="F1470" s="39" t="str">
        <f>IF(Agent08_Savings!A75="","",Agent08_Savings!E75)</f>
        <v/>
      </c>
      <c r="G1470" s="39" t="str">
        <f>IF(Agent08_Savings!A75="","",Agent08_Savings!F75)</f>
        <v/>
      </c>
      <c r="H1470" s="37" t="str">
        <f>IF(Agent08_Savings!A75="","",Agent08_Savings!I75)</f>
        <v/>
      </c>
      <c r="I1470" s="37" t="str">
        <f>IF(Agent08_Savings!A75="","",Agent08_Savings!J75)</f>
        <v/>
      </c>
      <c r="J1470" s="37" t="str">
        <f>IF(Agent08_Savings!A75="","",Agent08_Savings!K75)</f>
        <v/>
      </c>
      <c r="K1470" s="37" t="str">
        <f>IFERROR(IF(Agent08_Savings!A75="","",YEAR(Agent08_Savings!D75)),"")</f>
        <v/>
      </c>
    </row>
    <row r="1471" spans="1:11" ht="18" customHeight="1" x14ac:dyDescent="0.25">
      <c r="A1471" s="37" t="str">
        <f>IF(Agent08_Savings!A76="","",Agent08_Savings!A76)</f>
        <v/>
      </c>
      <c r="B1471" s="37" t="str">
        <f ca="1">IF(Agent08_Savings!A76="","","SV"&amp;TEXT(1471-3,"0000")&amp;"-"&amp;TEXT(TODAY(),"YYYYMMDD"))</f>
        <v/>
      </c>
      <c r="C1471" s="37" t="str">
        <f>IF(Agent08_Savings!A76="","",Agent08_Savings!B76)</f>
        <v/>
      </c>
      <c r="D1471" s="37" t="str">
        <f>IF(Agent08_Savings!A76="","",Agent08_Savings!G76)</f>
        <v/>
      </c>
      <c r="E1471" s="38" t="str">
        <f>IF(Agent08_Savings!A76="","",Agent08_Savings!D76)</f>
        <v/>
      </c>
      <c r="F1471" s="39" t="str">
        <f>IF(Agent08_Savings!A76="","",Agent08_Savings!E76)</f>
        <v/>
      </c>
      <c r="G1471" s="39" t="str">
        <f>IF(Agent08_Savings!A76="","",Agent08_Savings!F76)</f>
        <v/>
      </c>
      <c r="H1471" s="37" t="str">
        <f>IF(Agent08_Savings!A76="","",Agent08_Savings!I76)</f>
        <v/>
      </c>
      <c r="I1471" s="37" t="str">
        <f>IF(Agent08_Savings!A76="","",Agent08_Savings!J76)</f>
        <v/>
      </c>
      <c r="J1471" s="37" t="str">
        <f>IF(Agent08_Savings!A76="","",Agent08_Savings!K76)</f>
        <v/>
      </c>
      <c r="K1471" s="37" t="str">
        <f>IFERROR(IF(Agent08_Savings!A76="","",YEAR(Agent08_Savings!D76)),"")</f>
        <v/>
      </c>
    </row>
    <row r="1472" spans="1:11" ht="18" customHeight="1" x14ac:dyDescent="0.25">
      <c r="A1472" s="37" t="str">
        <f>IF(Agent08_Savings!A77="","",Agent08_Savings!A77)</f>
        <v/>
      </c>
      <c r="B1472" s="37" t="str">
        <f ca="1">IF(Agent08_Savings!A77="","","SV"&amp;TEXT(1472-3,"0000")&amp;"-"&amp;TEXT(TODAY(),"YYYYMMDD"))</f>
        <v/>
      </c>
      <c r="C1472" s="37" t="str">
        <f>IF(Agent08_Savings!A77="","",Agent08_Savings!B77)</f>
        <v/>
      </c>
      <c r="D1472" s="37" t="str">
        <f>IF(Agent08_Savings!A77="","",Agent08_Savings!G77)</f>
        <v/>
      </c>
      <c r="E1472" s="38" t="str">
        <f>IF(Agent08_Savings!A77="","",Agent08_Savings!D77)</f>
        <v/>
      </c>
      <c r="F1472" s="39" t="str">
        <f>IF(Agent08_Savings!A77="","",Agent08_Savings!E77)</f>
        <v/>
      </c>
      <c r="G1472" s="39" t="str">
        <f>IF(Agent08_Savings!A77="","",Agent08_Savings!F77)</f>
        <v/>
      </c>
      <c r="H1472" s="37" t="str">
        <f>IF(Agent08_Savings!A77="","",Agent08_Savings!I77)</f>
        <v/>
      </c>
      <c r="I1472" s="37" t="str">
        <f>IF(Agent08_Savings!A77="","",Agent08_Savings!J77)</f>
        <v/>
      </c>
      <c r="J1472" s="37" t="str">
        <f>IF(Agent08_Savings!A77="","",Agent08_Savings!K77)</f>
        <v/>
      </c>
      <c r="K1472" s="37" t="str">
        <f>IFERROR(IF(Agent08_Savings!A77="","",YEAR(Agent08_Savings!D77)),"")</f>
        <v/>
      </c>
    </row>
    <row r="1473" spans="1:11" ht="18" customHeight="1" x14ac:dyDescent="0.25">
      <c r="A1473" s="37" t="str">
        <f>IF(Agent08_Savings!A78="","",Agent08_Savings!A78)</f>
        <v/>
      </c>
      <c r="B1473" s="37" t="str">
        <f ca="1">IF(Agent08_Savings!A78="","","SV"&amp;TEXT(1473-3,"0000")&amp;"-"&amp;TEXT(TODAY(),"YYYYMMDD"))</f>
        <v/>
      </c>
      <c r="C1473" s="37" t="str">
        <f>IF(Agent08_Savings!A78="","",Agent08_Savings!B78)</f>
        <v/>
      </c>
      <c r="D1473" s="37" t="str">
        <f>IF(Agent08_Savings!A78="","",Agent08_Savings!G78)</f>
        <v/>
      </c>
      <c r="E1473" s="38" t="str">
        <f>IF(Agent08_Savings!A78="","",Agent08_Savings!D78)</f>
        <v/>
      </c>
      <c r="F1473" s="39" t="str">
        <f>IF(Agent08_Savings!A78="","",Agent08_Savings!E78)</f>
        <v/>
      </c>
      <c r="G1473" s="39" t="str">
        <f>IF(Agent08_Savings!A78="","",Agent08_Savings!F78)</f>
        <v/>
      </c>
      <c r="H1473" s="37" t="str">
        <f>IF(Agent08_Savings!A78="","",Agent08_Savings!I78)</f>
        <v/>
      </c>
      <c r="I1473" s="37" t="str">
        <f>IF(Agent08_Savings!A78="","",Agent08_Savings!J78)</f>
        <v/>
      </c>
      <c r="J1473" s="37" t="str">
        <f>IF(Agent08_Savings!A78="","",Agent08_Savings!K78)</f>
        <v/>
      </c>
      <c r="K1473" s="37" t="str">
        <f>IFERROR(IF(Agent08_Savings!A78="","",YEAR(Agent08_Savings!D78)),"")</f>
        <v/>
      </c>
    </row>
    <row r="1474" spans="1:11" ht="18" customHeight="1" x14ac:dyDescent="0.25">
      <c r="A1474" s="37" t="str">
        <f>IF(Agent08_Savings!A79="","",Agent08_Savings!A79)</f>
        <v/>
      </c>
      <c r="B1474" s="37" t="str">
        <f ca="1">IF(Agent08_Savings!A79="","","SV"&amp;TEXT(1474-3,"0000")&amp;"-"&amp;TEXT(TODAY(),"YYYYMMDD"))</f>
        <v/>
      </c>
      <c r="C1474" s="37" t="str">
        <f>IF(Agent08_Savings!A79="","",Agent08_Savings!B79)</f>
        <v/>
      </c>
      <c r="D1474" s="37" t="str">
        <f>IF(Agent08_Savings!A79="","",Agent08_Savings!G79)</f>
        <v/>
      </c>
      <c r="E1474" s="38" t="str">
        <f>IF(Agent08_Savings!A79="","",Agent08_Savings!D79)</f>
        <v/>
      </c>
      <c r="F1474" s="39" t="str">
        <f>IF(Agent08_Savings!A79="","",Agent08_Savings!E79)</f>
        <v/>
      </c>
      <c r="G1474" s="39" t="str">
        <f>IF(Agent08_Savings!A79="","",Agent08_Savings!F79)</f>
        <v/>
      </c>
      <c r="H1474" s="37" t="str">
        <f>IF(Agent08_Savings!A79="","",Agent08_Savings!I79)</f>
        <v/>
      </c>
      <c r="I1474" s="37" t="str">
        <f>IF(Agent08_Savings!A79="","",Agent08_Savings!J79)</f>
        <v/>
      </c>
      <c r="J1474" s="37" t="str">
        <f>IF(Agent08_Savings!A79="","",Agent08_Savings!K79)</f>
        <v/>
      </c>
      <c r="K1474" s="37" t="str">
        <f>IFERROR(IF(Agent08_Savings!A79="","",YEAR(Agent08_Savings!D79)),"")</f>
        <v/>
      </c>
    </row>
    <row r="1475" spans="1:11" ht="18" customHeight="1" x14ac:dyDescent="0.25">
      <c r="A1475" s="37" t="str">
        <f>IF(Agent08_Savings!A80="","",Agent08_Savings!A80)</f>
        <v/>
      </c>
      <c r="B1475" s="37" t="str">
        <f ca="1">IF(Agent08_Savings!A80="","","SV"&amp;TEXT(1475-3,"0000")&amp;"-"&amp;TEXT(TODAY(),"YYYYMMDD"))</f>
        <v/>
      </c>
      <c r="C1475" s="37" t="str">
        <f>IF(Agent08_Savings!A80="","",Agent08_Savings!B80)</f>
        <v/>
      </c>
      <c r="D1475" s="37" t="str">
        <f>IF(Agent08_Savings!A80="","",Agent08_Savings!G80)</f>
        <v/>
      </c>
      <c r="E1475" s="38" t="str">
        <f>IF(Agent08_Savings!A80="","",Agent08_Savings!D80)</f>
        <v/>
      </c>
      <c r="F1475" s="39" t="str">
        <f>IF(Agent08_Savings!A80="","",Agent08_Savings!E80)</f>
        <v/>
      </c>
      <c r="G1475" s="39" t="str">
        <f>IF(Agent08_Savings!A80="","",Agent08_Savings!F80)</f>
        <v/>
      </c>
      <c r="H1475" s="37" t="str">
        <f>IF(Agent08_Savings!A80="","",Agent08_Savings!I80)</f>
        <v/>
      </c>
      <c r="I1475" s="37" t="str">
        <f>IF(Agent08_Savings!A80="","",Agent08_Savings!J80)</f>
        <v/>
      </c>
      <c r="J1475" s="37" t="str">
        <f>IF(Agent08_Savings!A80="","",Agent08_Savings!K80)</f>
        <v/>
      </c>
      <c r="K1475" s="37" t="str">
        <f>IFERROR(IF(Agent08_Savings!A80="","",YEAR(Agent08_Savings!D80)),"")</f>
        <v/>
      </c>
    </row>
    <row r="1476" spans="1:11" ht="18" customHeight="1" x14ac:dyDescent="0.25">
      <c r="A1476" s="37" t="str">
        <f>IF(Agent08_Savings!A81="","",Agent08_Savings!A81)</f>
        <v/>
      </c>
      <c r="B1476" s="37" t="str">
        <f ca="1">IF(Agent08_Savings!A81="","","SV"&amp;TEXT(1476-3,"0000")&amp;"-"&amp;TEXT(TODAY(),"YYYYMMDD"))</f>
        <v/>
      </c>
      <c r="C1476" s="37" t="str">
        <f>IF(Agent08_Savings!A81="","",Agent08_Savings!B81)</f>
        <v/>
      </c>
      <c r="D1476" s="37" t="str">
        <f>IF(Agent08_Savings!A81="","",Agent08_Savings!G81)</f>
        <v/>
      </c>
      <c r="E1476" s="38" t="str">
        <f>IF(Agent08_Savings!A81="","",Agent08_Savings!D81)</f>
        <v/>
      </c>
      <c r="F1476" s="39" t="str">
        <f>IF(Agent08_Savings!A81="","",Agent08_Savings!E81)</f>
        <v/>
      </c>
      <c r="G1476" s="39" t="str">
        <f>IF(Agent08_Savings!A81="","",Agent08_Savings!F81)</f>
        <v/>
      </c>
      <c r="H1476" s="37" t="str">
        <f>IF(Agent08_Savings!A81="","",Agent08_Savings!I81)</f>
        <v/>
      </c>
      <c r="I1476" s="37" t="str">
        <f>IF(Agent08_Savings!A81="","",Agent08_Savings!J81)</f>
        <v/>
      </c>
      <c r="J1476" s="37" t="str">
        <f>IF(Agent08_Savings!A81="","",Agent08_Savings!K81)</f>
        <v/>
      </c>
      <c r="K1476" s="37" t="str">
        <f>IFERROR(IF(Agent08_Savings!A81="","",YEAR(Agent08_Savings!D81)),"")</f>
        <v/>
      </c>
    </row>
    <row r="1477" spans="1:11" ht="18" customHeight="1" x14ac:dyDescent="0.25">
      <c r="A1477" s="37" t="str">
        <f>IF(Agent08_Savings!A82="","",Agent08_Savings!A82)</f>
        <v/>
      </c>
      <c r="B1477" s="37" t="str">
        <f ca="1">IF(Agent08_Savings!A82="","","SV"&amp;TEXT(1477-3,"0000")&amp;"-"&amp;TEXT(TODAY(),"YYYYMMDD"))</f>
        <v/>
      </c>
      <c r="C1477" s="37" t="str">
        <f>IF(Agent08_Savings!A82="","",Agent08_Savings!B82)</f>
        <v/>
      </c>
      <c r="D1477" s="37" t="str">
        <f>IF(Agent08_Savings!A82="","",Agent08_Savings!G82)</f>
        <v/>
      </c>
      <c r="E1477" s="38" t="str">
        <f>IF(Agent08_Savings!A82="","",Agent08_Savings!D82)</f>
        <v/>
      </c>
      <c r="F1477" s="39" t="str">
        <f>IF(Agent08_Savings!A82="","",Agent08_Savings!E82)</f>
        <v/>
      </c>
      <c r="G1477" s="39" t="str">
        <f>IF(Agent08_Savings!A82="","",Agent08_Savings!F82)</f>
        <v/>
      </c>
      <c r="H1477" s="37" t="str">
        <f>IF(Agent08_Savings!A82="","",Agent08_Savings!I82)</f>
        <v/>
      </c>
      <c r="I1477" s="37" t="str">
        <f>IF(Agent08_Savings!A82="","",Agent08_Savings!J82)</f>
        <v/>
      </c>
      <c r="J1477" s="37" t="str">
        <f>IF(Agent08_Savings!A82="","",Agent08_Savings!K82)</f>
        <v/>
      </c>
      <c r="K1477" s="37" t="str">
        <f>IFERROR(IF(Agent08_Savings!A82="","",YEAR(Agent08_Savings!D82)),"")</f>
        <v/>
      </c>
    </row>
    <row r="1478" spans="1:11" ht="18" customHeight="1" x14ac:dyDescent="0.25">
      <c r="A1478" s="37" t="str">
        <f>IF(Agent08_Savings!A83="","",Agent08_Savings!A83)</f>
        <v/>
      </c>
      <c r="B1478" s="37" t="str">
        <f ca="1">IF(Agent08_Savings!A83="","","SV"&amp;TEXT(1478-3,"0000")&amp;"-"&amp;TEXT(TODAY(),"YYYYMMDD"))</f>
        <v/>
      </c>
      <c r="C1478" s="37" t="str">
        <f>IF(Agent08_Savings!A83="","",Agent08_Savings!B83)</f>
        <v/>
      </c>
      <c r="D1478" s="37" t="str">
        <f>IF(Agent08_Savings!A83="","",Agent08_Savings!G83)</f>
        <v/>
      </c>
      <c r="E1478" s="38" t="str">
        <f>IF(Agent08_Savings!A83="","",Agent08_Savings!D83)</f>
        <v/>
      </c>
      <c r="F1478" s="39" t="str">
        <f>IF(Agent08_Savings!A83="","",Agent08_Savings!E83)</f>
        <v/>
      </c>
      <c r="G1478" s="39" t="str">
        <f>IF(Agent08_Savings!A83="","",Agent08_Savings!F83)</f>
        <v/>
      </c>
      <c r="H1478" s="37" t="str">
        <f>IF(Agent08_Savings!A83="","",Agent08_Savings!I83)</f>
        <v/>
      </c>
      <c r="I1478" s="37" t="str">
        <f>IF(Agent08_Savings!A83="","",Agent08_Savings!J83)</f>
        <v/>
      </c>
      <c r="J1478" s="37" t="str">
        <f>IF(Agent08_Savings!A83="","",Agent08_Savings!K83)</f>
        <v/>
      </c>
      <c r="K1478" s="37" t="str">
        <f>IFERROR(IF(Agent08_Savings!A83="","",YEAR(Agent08_Savings!D83)),"")</f>
        <v/>
      </c>
    </row>
    <row r="1479" spans="1:11" ht="18" customHeight="1" x14ac:dyDescent="0.25">
      <c r="A1479" s="37" t="str">
        <f>IF(Agent08_Savings!A84="","",Agent08_Savings!A84)</f>
        <v/>
      </c>
      <c r="B1479" s="37" t="str">
        <f ca="1">IF(Agent08_Savings!A84="","","SV"&amp;TEXT(1479-3,"0000")&amp;"-"&amp;TEXT(TODAY(),"YYYYMMDD"))</f>
        <v/>
      </c>
      <c r="C1479" s="37" t="str">
        <f>IF(Agent08_Savings!A84="","",Agent08_Savings!B84)</f>
        <v/>
      </c>
      <c r="D1479" s="37" t="str">
        <f>IF(Agent08_Savings!A84="","",Agent08_Savings!G84)</f>
        <v/>
      </c>
      <c r="E1479" s="38" t="str">
        <f>IF(Agent08_Savings!A84="","",Agent08_Savings!D84)</f>
        <v/>
      </c>
      <c r="F1479" s="39" t="str">
        <f>IF(Agent08_Savings!A84="","",Agent08_Savings!E84)</f>
        <v/>
      </c>
      <c r="G1479" s="39" t="str">
        <f>IF(Agent08_Savings!A84="","",Agent08_Savings!F84)</f>
        <v/>
      </c>
      <c r="H1479" s="37" t="str">
        <f>IF(Agent08_Savings!A84="","",Agent08_Savings!I84)</f>
        <v/>
      </c>
      <c r="I1479" s="37" t="str">
        <f>IF(Agent08_Savings!A84="","",Agent08_Savings!J84)</f>
        <v/>
      </c>
      <c r="J1479" s="37" t="str">
        <f>IF(Agent08_Savings!A84="","",Agent08_Savings!K84)</f>
        <v/>
      </c>
      <c r="K1479" s="37" t="str">
        <f>IFERROR(IF(Agent08_Savings!A84="","",YEAR(Agent08_Savings!D84)),"")</f>
        <v/>
      </c>
    </row>
    <row r="1480" spans="1:11" ht="18" customHeight="1" x14ac:dyDescent="0.25">
      <c r="A1480" s="37" t="str">
        <f>IF(Agent08_Savings!A85="","",Agent08_Savings!A85)</f>
        <v/>
      </c>
      <c r="B1480" s="37" t="str">
        <f ca="1">IF(Agent08_Savings!A85="","","SV"&amp;TEXT(1480-3,"0000")&amp;"-"&amp;TEXT(TODAY(),"YYYYMMDD"))</f>
        <v/>
      </c>
      <c r="C1480" s="37" t="str">
        <f>IF(Agent08_Savings!A85="","",Agent08_Savings!B85)</f>
        <v/>
      </c>
      <c r="D1480" s="37" t="str">
        <f>IF(Agent08_Savings!A85="","",Agent08_Savings!G85)</f>
        <v/>
      </c>
      <c r="E1480" s="38" t="str">
        <f>IF(Agent08_Savings!A85="","",Agent08_Savings!D85)</f>
        <v/>
      </c>
      <c r="F1480" s="39" t="str">
        <f>IF(Agent08_Savings!A85="","",Agent08_Savings!E85)</f>
        <v/>
      </c>
      <c r="G1480" s="39" t="str">
        <f>IF(Agent08_Savings!A85="","",Agent08_Savings!F85)</f>
        <v/>
      </c>
      <c r="H1480" s="37" t="str">
        <f>IF(Agent08_Savings!A85="","",Agent08_Savings!I85)</f>
        <v/>
      </c>
      <c r="I1480" s="37" t="str">
        <f>IF(Agent08_Savings!A85="","",Agent08_Savings!J85)</f>
        <v/>
      </c>
      <c r="J1480" s="37" t="str">
        <f>IF(Agent08_Savings!A85="","",Agent08_Savings!K85)</f>
        <v/>
      </c>
      <c r="K1480" s="37" t="str">
        <f>IFERROR(IF(Agent08_Savings!A85="","",YEAR(Agent08_Savings!D85)),"")</f>
        <v/>
      </c>
    </row>
    <row r="1481" spans="1:11" ht="18" customHeight="1" x14ac:dyDescent="0.25">
      <c r="A1481" s="37" t="str">
        <f>IF(Agent08_Savings!A86="","",Agent08_Savings!A86)</f>
        <v/>
      </c>
      <c r="B1481" s="37" t="str">
        <f ca="1">IF(Agent08_Savings!A86="","","SV"&amp;TEXT(1481-3,"0000")&amp;"-"&amp;TEXT(TODAY(),"YYYYMMDD"))</f>
        <v/>
      </c>
      <c r="C1481" s="37" t="str">
        <f>IF(Agent08_Savings!A86="","",Agent08_Savings!B86)</f>
        <v/>
      </c>
      <c r="D1481" s="37" t="str">
        <f>IF(Agent08_Savings!A86="","",Agent08_Savings!G86)</f>
        <v/>
      </c>
      <c r="E1481" s="38" t="str">
        <f>IF(Agent08_Savings!A86="","",Agent08_Savings!D86)</f>
        <v/>
      </c>
      <c r="F1481" s="39" t="str">
        <f>IF(Agent08_Savings!A86="","",Agent08_Savings!E86)</f>
        <v/>
      </c>
      <c r="G1481" s="39" t="str">
        <f>IF(Agent08_Savings!A86="","",Agent08_Savings!F86)</f>
        <v/>
      </c>
      <c r="H1481" s="37" t="str">
        <f>IF(Agent08_Savings!A86="","",Agent08_Savings!I86)</f>
        <v/>
      </c>
      <c r="I1481" s="37" t="str">
        <f>IF(Agent08_Savings!A86="","",Agent08_Savings!J86)</f>
        <v/>
      </c>
      <c r="J1481" s="37" t="str">
        <f>IF(Agent08_Savings!A86="","",Agent08_Savings!K86)</f>
        <v/>
      </c>
      <c r="K1481" s="37" t="str">
        <f>IFERROR(IF(Agent08_Savings!A86="","",YEAR(Agent08_Savings!D86)),"")</f>
        <v/>
      </c>
    </row>
    <row r="1482" spans="1:11" ht="18" customHeight="1" x14ac:dyDescent="0.25">
      <c r="A1482" s="37" t="str">
        <f>IF(Agent08_Savings!A87="","",Agent08_Savings!A87)</f>
        <v/>
      </c>
      <c r="B1482" s="37" t="str">
        <f ca="1">IF(Agent08_Savings!A87="","","SV"&amp;TEXT(1482-3,"0000")&amp;"-"&amp;TEXT(TODAY(),"YYYYMMDD"))</f>
        <v/>
      </c>
      <c r="C1482" s="37" t="str">
        <f>IF(Agent08_Savings!A87="","",Agent08_Savings!B87)</f>
        <v/>
      </c>
      <c r="D1482" s="37" t="str">
        <f>IF(Agent08_Savings!A87="","",Agent08_Savings!G87)</f>
        <v/>
      </c>
      <c r="E1482" s="38" t="str">
        <f>IF(Agent08_Savings!A87="","",Agent08_Savings!D87)</f>
        <v/>
      </c>
      <c r="F1482" s="39" t="str">
        <f>IF(Agent08_Savings!A87="","",Agent08_Savings!E87)</f>
        <v/>
      </c>
      <c r="G1482" s="39" t="str">
        <f>IF(Agent08_Savings!A87="","",Agent08_Savings!F87)</f>
        <v/>
      </c>
      <c r="H1482" s="37" t="str">
        <f>IF(Agent08_Savings!A87="","",Agent08_Savings!I87)</f>
        <v/>
      </c>
      <c r="I1482" s="37" t="str">
        <f>IF(Agent08_Savings!A87="","",Agent08_Savings!J87)</f>
        <v/>
      </c>
      <c r="J1482" s="37" t="str">
        <f>IF(Agent08_Savings!A87="","",Agent08_Savings!K87)</f>
        <v/>
      </c>
      <c r="K1482" s="37" t="str">
        <f>IFERROR(IF(Agent08_Savings!A87="","",YEAR(Agent08_Savings!D87)),"")</f>
        <v/>
      </c>
    </row>
    <row r="1483" spans="1:11" ht="18" customHeight="1" x14ac:dyDescent="0.25">
      <c r="A1483" s="37" t="str">
        <f>IF(Agent08_Savings!A88="","",Agent08_Savings!A88)</f>
        <v/>
      </c>
      <c r="B1483" s="37" t="str">
        <f ca="1">IF(Agent08_Savings!A88="","","SV"&amp;TEXT(1483-3,"0000")&amp;"-"&amp;TEXT(TODAY(),"YYYYMMDD"))</f>
        <v/>
      </c>
      <c r="C1483" s="37" t="str">
        <f>IF(Agent08_Savings!A88="","",Agent08_Savings!B88)</f>
        <v/>
      </c>
      <c r="D1483" s="37" t="str">
        <f>IF(Agent08_Savings!A88="","",Agent08_Savings!G88)</f>
        <v/>
      </c>
      <c r="E1483" s="38" t="str">
        <f>IF(Agent08_Savings!A88="","",Agent08_Savings!D88)</f>
        <v/>
      </c>
      <c r="F1483" s="39" t="str">
        <f>IF(Agent08_Savings!A88="","",Agent08_Savings!E88)</f>
        <v/>
      </c>
      <c r="G1483" s="39" t="str">
        <f>IF(Agent08_Savings!A88="","",Agent08_Savings!F88)</f>
        <v/>
      </c>
      <c r="H1483" s="37" t="str">
        <f>IF(Agent08_Savings!A88="","",Agent08_Savings!I88)</f>
        <v/>
      </c>
      <c r="I1483" s="37" t="str">
        <f>IF(Agent08_Savings!A88="","",Agent08_Savings!J88)</f>
        <v/>
      </c>
      <c r="J1483" s="37" t="str">
        <f>IF(Agent08_Savings!A88="","",Agent08_Savings!K88)</f>
        <v/>
      </c>
      <c r="K1483" s="37" t="str">
        <f>IFERROR(IF(Agent08_Savings!A88="","",YEAR(Agent08_Savings!D88)),"")</f>
        <v/>
      </c>
    </row>
    <row r="1484" spans="1:11" ht="18" customHeight="1" x14ac:dyDescent="0.25">
      <c r="A1484" s="37" t="str">
        <f>IF(Agent08_Savings!A89="","",Agent08_Savings!A89)</f>
        <v/>
      </c>
      <c r="B1484" s="37" t="str">
        <f ca="1">IF(Agent08_Savings!A89="","","SV"&amp;TEXT(1484-3,"0000")&amp;"-"&amp;TEXT(TODAY(),"YYYYMMDD"))</f>
        <v/>
      </c>
      <c r="C1484" s="37" t="str">
        <f>IF(Agent08_Savings!A89="","",Agent08_Savings!B89)</f>
        <v/>
      </c>
      <c r="D1484" s="37" t="str">
        <f>IF(Agent08_Savings!A89="","",Agent08_Savings!G89)</f>
        <v/>
      </c>
      <c r="E1484" s="38" t="str">
        <f>IF(Agent08_Savings!A89="","",Agent08_Savings!D89)</f>
        <v/>
      </c>
      <c r="F1484" s="39" t="str">
        <f>IF(Agent08_Savings!A89="","",Agent08_Savings!E89)</f>
        <v/>
      </c>
      <c r="G1484" s="39" t="str">
        <f>IF(Agent08_Savings!A89="","",Agent08_Savings!F89)</f>
        <v/>
      </c>
      <c r="H1484" s="37" t="str">
        <f>IF(Agent08_Savings!A89="","",Agent08_Savings!I89)</f>
        <v/>
      </c>
      <c r="I1484" s="37" t="str">
        <f>IF(Agent08_Savings!A89="","",Agent08_Savings!J89)</f>
        <v/>
      </c>
      <c r="J1484" s="37" t="str">
        <f>IF(Agent08_Savings!A89="","",Agent08_Savings!K89)</f>
        <v/>
      </c>
      <c r="K1484" s="37" t="str">
        <f>IFERROR(IF(Agent08_Savings!A89="","",YEAR(Agent08_Savings!D89)),"")</f>
        <v/>
      </c>
    </row>
    <row r="1485" spans="1:11" ht="18" customHeight="1" x14ac:dyDescent="0.25">
      <c r="A1485" s="37" t="str">
        <f>IF(Agent08_Savings!A90="","",Agent08_Savings!A90)</f>
        <v/>
      </c>
      <c r="B1485" s="37" t="str">
        <f ca="1">IF(Agent08_Savings!A90="","","SV"&amp;TEXT(1485-3,"0000")&amp;"-"&amp;TEXT(TODAY(),"YYYYMMDD"))</f>
        <v/>
      </c>
      <c r="C1485" s="37" t="str">
        <f>IF(Agent08_Savings!A90="","",Agent08_Savings!B90)</f>
        <v/>
      </c>
      <c r="D1485" s="37" t="str">
        <f>IF(Agent08_Savings!A90="","",Agent08_Savings!G90)</f>
        <v/>
      </c>
      <c r="E1485" s="38" t="str">
        <f>IF(Agent08_Savings!A90="","",Agent08_Savings!D90)</f>
        <v/>
      </c>
      <c r="F1485" s="39" t="str">
        <f>IF(Agent08_Savings!A90="","",Agent08_Savings!E90)</f>
        <v/>
      </c>
      <c r="G1485" s="39" t="str">
        <f>IF(Agent08_Savings!A90="","",Agent08_Savings!F90)</f>
        <v/>
      </c>
      <c r="H1485" s="37" t="str">
        <f>IF(Agent08_Savings!A90="","",Agent08_Savings!I90)</f>
        <v/>
      </c>
      <c r="I1485" s="37" t="str">
        <f>IF(Agent08_Savings!A90="","",Agent08_Savings!J90)</f>
        <v/>
      </c>
      <c r="J1485" s="37" t="str">
        <f>IF(Agent08_Savings!A90="","",Agent08_Savings!K90)</f>
        <v/>
      </c>
      <c r="K1485" s="37" t="str">
        <f>IFERROR(IF(Agent08_Savings!A90="","",YEAR(Agent08_Savings!D90)),"")</f>
        <v/>
      </c>
    </row>
    <row r="1486" spans="1:11" ht="18" customHeight="1" x14ac:dyDescent="0.25">
      <c r="A1486" s="37" t="str">
        <f>IF(Agent08_Savings!A91="","",Agent08_Savings!A91)</f>
        <v/>
      </c>
      <c r="B1486" s="37" t="str">
        <f ca="1">IF(Agent08_Savings!A91="","","SV"&amp;TEXT(1486-3,"0000")&amp;"-"&amp;TEXT(TODAY(),"YYYYMMDD"))</f>
        <v/>
      </c>
      <c r="C1486" s="37" t="str">
        <f>IF(Agent08_Savings!A91="","",Agent08_Savings!B91)</f>
        <v/>
      </c>
      <c r="D1486" s="37" t="str">
        <f>IF(Agent08_Savings!A91="","",Agent08_Savings!G91)</f>
        <v/>
      </c>
      <c r="E1486" s="38" t="str">
        <f>IF(Agent08_Savings!A91="","",Agent08_Savings!D91)</f>
        <v/>
      </c>
      <c r="F1486" s="39" t="str">
        <f>IF(Agent08_Savings!A91="","",Agent08_Savings!E91)</f>
        <v/>
      </c>
      <c r="G1486" s="39" t="str">
        <f>IF(Agent08_Savings!A91="","",Agent08_Savings!F91)</f>
        <v/>
      </c>
      <c r="H1486" s="37" t="str">
        <f>IF(Agent08_Savings!A91="","",Agent08_Savings!I91)</f>
        <v/>
      </c>
      <c r="I1486" s="37" t="str">
        <f>IF(Agent08_Savings!A91="","",Agent08_Savings!J91)</f>
        <v/>
      </c>
      <c r="J1486" s="37" t="str">
        <f>IF(Agent08_Savings!A91="","",Agent08_Savings!K91)</f>
        <v/>
      </c>
      <c r="K1486" s="37" t="str">
        <f>IFERROR(IF(Agent08_Savings!A91="","",YEAR(Agent08_Savings!D91)),"")</f>
        <v/>
      </c>
    </row>
    <row r="1487" spans="1:11" ht="18" customHeight="1" x14ac:dyDescent="0.25">
      <c r="A1487" s="37" t="str">
        <f>IF(Agent08_Savings!A92="","",Agent08_Savings!A92)</f>
        <v/>
      </c>
      <c r="B1487" s="37" t="str">
        <f ca="1">IF(Agent08_Savings!A92="","","SV"&amp;TEXT(1487-3,"0000")&amp;"-"&amp;TEXT(TODAY(),"YYYYMMDD"))</f>
        <v/>
      </c>
      <c r="C1487" s="37" t="str">
        <f>IF(Agent08_Savings!A92="","",Agent08_Savings!B92)</f>
        <v/>
      </c>
      <c r="D1487" s="37" t="str">
        <f>IF(Agent08_Savings!A92="","",Agent08_Savings!G92)</f>
        <v/>
      </c>
      <c r="E1487" s="38" t="str">
        <f>IF(Agent08_Savings!A92="","",Agent08_Savings!D92)</f>
        <v/>
      </c>
      <c r="F1487" s="39" t="str">
        <f>IF(Agent08_Savings!A92="","",Agent08_Savings!E92)</f>
        <v/>
      </c>
      <c r="G1487" s="39" t="str">
        <f>IF(Agent08_Savings!A92="","",Agent08_Savings!F92)</f>
        <v/>
      </c>
      <c r="H1487" s="37" t="str">
        <f>IF(Agent08_Savings!A92="","",Agent08_Savings!I92)</f>
        <v/>
      </c>
      <c r="I1487" s="37" t="str">
        <f>IF(Agent08_Savings!A92="","",Agent08_Savings!J92)</f>
        <v/>
      </c>
      <c r="J1487" s="37" t="str">
        <f>IF(Agent08_Savings!A92="","",Agent08_Savings!K92)</f>
        <v/>
      </c>
      <c r="K1487" s="37" t="str">
        <f>IFERROR(IF(Agent08_Savings!A92="","",YEAR(Agent08_Savings!D92)),"")</f>
        <v/>
      </c>
    </row>
    <row r="1488" spans="1:11" ht="18" customHeight="1" x14ac:dyDescent="0.25">
      <c r="A1488" s="37" t="str">
        <f>IF(Agent08_Savings!A93="","",Agent08_Savings!A93)</f>
        <v/>
      </c>
      <c r="B1488" s="37" t="str">
        <f ca="1">IF(Agent08_Savings!A93="","","SV"&amp;TEXT(1488-3,"0000")&amp;"-"&amp;TEXT(TODAY(),"YYYYMMDD"))</f>
        <v/>
      </c>
      <c r="C1488" s="37" t="str">
        <f>IF(Agent08_Savings!A93="","",Agent08_Savings!B93)</f>
        <v/>
      </c>
      <c r="D1488" s="37" t="str">
        <f>IF(Agent08_Savings!A93="","",Agent08_Savings!G93)</f>
        <v/>
      </c>
      <c r="E1488" s="38" t="str">
        <f>IF(Agent08_Savings!A93="","",Agent08_Savings!D93)</f>
        <v/>
      </c>
      <c r="F1488" s="39" t="str">
        <f>IF(Agent08_Savings!A93="","",Agent08_Savings!E93)</f>
        <v/>
      </c>
      <c r="G1488" s="39" t="str">
        <f>IF(Agent08_Savings!A93="","",Agent08_Savings!F93)</f>
        <v/>
      </c>
      <c r="H1488" s="37" t="str">
        <f>IF(Agent08_Savings!A93="","",Agent08_Savings!I93)</f>
        <v/>
      </c>
      <c r="I1488" s="37" t="str">
        <f>IF(Agent08_Savings!A93="","",Agent08_Savings!J93)</f>
        <v/>
      </c>
      <c r="J1488" s="37" t="str">
        <f>IF(Agent08_Savings!A93="","",Agent08_Savings!K93)</f>
        <v/>
      </c>
      <c r="K1488" s="37" t="str">
        <f>IFERROR(IF(Agent08_Savings!A93="","",YEAR(Agent08_Savings!D93)),"")</f>
        <v/>
      </c>
    </row>
    <row r="1489" spans="1:11" ht="18" customHeight="1" x14ac:dyDescent="0.25">
      <c r="A1489" s="37" t="str">
        <f>IF(Agent08_Savings!A94="","",Agent08_Savings!A94)</f>
        <v/>
      </c>
      <c r="B1489" s="37" t="str">
        <f ca="1">IF(Agent08_Savings!A94="","","SV"&amp;TEXT(1489-3,"0000")&amp;"-"&amp;TEXT(TODAY(),"YYYYMMDD"))</f>
        <v/>
      </c>
      <c r="C1489" s="37" t="str">
        <f>IF(Agent08_Savings!A94="","",Agent08_Savings!B94)</f>
        <v/>
      </c>
      <c r="D1489" s="37" t="str">
        <f>IF(Agent08_Savings!A94="","",Agent08_Savings!G94)</f>
        <v/>
      </c>
      <c r="E1489" s="38" t="str">
        <f>IF(Agent08_Savings!A94="","",Agent08_Savings!D94)</f>
        <v/>
      </c>
      <c r="F1489" s="39" t="str">
        <f>IF(Agent08_Savings!A94="","",Agent08_Savings!E94)</f>
        <v/>
      </c>
      <c r="G1489" s="39" t="str">
        <f>IF(Agent08_Savings!A94="","",Agent08_Savings!F94)</f>
        <v/>
      </c>
      <c r="H1489" s="37" t="str">
        <f>IF(Agent08_Savings!A94="","",Agent08_Savings!I94)</f>
        <v/>
      </c>
      <c r="I1489" s="37" t="str">
        <f>IF(Agent08_Savings!A94="","",Agent08_Savings!J94)</f>
        <v/>
      </c>
      <c r="J1489" s="37" t="str">
        <f>IF(Agent08_Savings!A94="","",Agent08_Savings!K94)</f>
        <v/>
      </c>
      <c r="K1489" s="37" t="str">
        <f>IFERROR(IF(Agent08_Savings!A94="","",YEAR(Agent08_Savings!D94)),"")</f>
        <v/>
      </c>
    </row>
    <row r="1490" spans="1:11" ht="18" customHeight="1" x14ac:dyDescent="0.25">
      <c r="A1490" s="37" t="str">
        <f>IF(Agent08_Savings!A95="","",Agent08_Savings!A95)</f>
        <v/>
      </c>
      <c r="B1490" s="37" t="str">
        <f ca="1">IF(Agent08_Savings!A95="","","SV"&amp;TEXT(1490-3,"0000")&amp;"-"&amp;TEXT(TODAY(),"YYYYMMDD"))</f>
        <v/>
      </c>
      <c r="C1490" s="37" t="str">
        <f>IF(Agent08_Savings!A95="","",Agent08_Savings!B95)</f>
        <v/>
      </c>
      <c r="D1490" s="37" t="str">
        <f>IF(Agent08_Savings!A95="","",Agent08_Savings!G95)</f>
        <v/>
      </c>
      <c r="E1490" s="38" t="str">
        <f>IF(Agent08_Savings!A95="","",Agent08_Savings!D95)</f>
        <v/>
      </c>
      <c r="F1490" s="39" t="str">
        <f>IF(Agent08_Savings!A95="","",Agent08_Savings!E95)</f>
        <v/>
      </c>
      <c r="G1490" s="39" t="str">
        <f>IF(Agent08_Savings!A95="","",Agent08_Savings!F95)</f>
        <v/>
      </c>
      <c r="H1490" s="37" t="str">
        <f>IF(Agent08_Savings!A95="","",Agent08_Savings!I95)</f>
        <v/>
      </c>
      <c r="I1490" s="37" t="str">
        <f>IF(Agent08_Savings!A95="","",Agent08_Savings!J95)</f>
        <v/>
      </c>
      <c r="J1490" s="37" t="str">
        <f>IF(Agent08_Savings!A95="","",Agent08_Savings!K95)</f>
        <v/>
      </c>
      <c r="K1490" s="37" t="str">
        <f>IFERROR(IF(Agent08_Savings!A95="","",YEAR(Agent08_Savings!D95)),"")</f>
        <v/>
      </c>
    </row>
    <row r="1491" spans="1:11" ht="18" customHeight="1" x14ac:dyDescent="0.25">
      <c r="A1491" s="37" t="str">
        <f>IF(Agent08_Savings!A96="","",Agent08_Savings!A96)</f>
        <v/>
      </c>
      <c r="B1491" s="37" t="str">
        <f ca="1">IF(Agent08_Savings!A96="","","SV"&amp;TEXT(1491-3,"0000")&amp;"-"&amp;TEXT(TODAY(),"YYYYMMDD"))</f>
        <v/>
      </c>
      <c r="C1491" s="37" t="str">
        <f>IF(Agent08_Savings!A96="","",Agent08_Savings!B96)</f>
        <v/>
      </c>
      <c r="D1491" s="37" t="str">
        <f>IF(Agent08_Savings!A96="","",Agent08_Savings!G96)</f>
        <v/>
      </c>
      <c r="E1491" s="38" t="str">
        <f>IF(Agent08_Savings!A96="","",Agent08_Savings!D96)</f>
        <v/>
      </c>
      <c r="F1491" s="39" t="str">
        <f>IF(Agent08_Savings!A96="","",Agent08_Savings!E96)</f>
        <v/>
      </c>
      <c r="G1491" s="39" t="str">
        <f>IF(Agent08_Savings!A96="","",Agent08_Savings!F96)</f>
        <v/>
      </c>
      <c r="H1491" s="37" t="str">
        <f>IF(Agent08_Savings!A96="","",Agent08_Savings!I96)</f>
        <v/>
      </c>
      <c r="I1491" s="37" t="str">
        <f>IF(Agent08_Savings!A96="","",Agent08_Savings!J96)</f>
        <v/>
      </c>
      <c r="J1491" s="37" t="str">
        <f>IF(Agent08_Savings!A96="","",Agent08_Savings!K96)</f>
        <v/>
      </c>
      <c r="K1491" s="37" t="str">
        <f>IFERROR(IF(Agent08_Savings!A96="","",YEAR(Agent08_Savings!D96)),"")</f>
        <v/>
      </c>
    </row>
    <row r="1492" spans="1:11" ht="18" customHeight="1" x14ac:dyDescent="0.25">
      <c r="A1492" s="37" t="str">
        <f>IF(Agent08_Savings!A97="","",Agent08_Savings!A97)</f>
        <v/>
      </c>
      <c r="B1492" s="37" t="str">
        <f ca="1">IF(Agent08_Savings!A97="","","SV"&amp;TEXT(1492-3,"0000")&amp;"-"&amp;TEXT(TODAY(),"YYYYMMDD"))</f>
        <v/>
      </c>
      <c r="C1492" s="37" t="str">
        <f>IF(Agent08_Savings!A97="","",Agent08_Savings!B97)</f>
        <v/>
      </c>
      <c r="D1492" s="37" t="str">
        <f>IF(Agent08_Savings!A97="","",Agent08_Savings!G97)</f>
        <v/>
      </c>
      <c r="E1492" s="38" t="str">
        <f>IF(Agent08_Savings!A97="","",Agent08_Savings!D97)</f>
        <v/>
      </c>
      <c r="F1492" s="39" t="str">
        <f>IF(Agent08_Savings!A97="","",Agent08_Savings!E97)</f>
        <v/>
      </c>
      <c r="G1492" s="39" t="str">
        <f>IF(Agent08_Savings!A97="","",Agent08_Savings!F97)</f>
        <v/>
      </c>
      <c r="H1492" s="37" t="str">
        <f>IF(Agent08_Savings!A97="","",Agent08_Savings!I97)</f>
        <v/>
      </c>
      <c r="I1492" s="37" t="str">
        <f>IF(Agent08_Savings!A97="","",Agent08_Savings!J97)</f>
        <v/>
      </c>
      <c r="J1492" s="37" t="str">
        <f>IF(Agent08_Savings!A97="","",Agent08_Savings!K97)</f>
        <v/>
      </c>
      <c r="K1492" s="37" t="str">
        <f>IFERROR(IF(Agent08_Savings!A97="","",YEAR(Agent08_Savings!D97)),"")</f>
        <v/>
      </c>
    </row>
    <row r="1493" spans="1:11" ht="18" customHeight="1" x14ac:dyDescent="0.25">
      <c r="A1493" s="37" t="str">
        <f>IF(Agent08_Savings!A98="","",Agent08_Savings!A98)</f>
        <v/>
      </c>
      <c r="B1493" s="37" t="str">
        <f ca="1">IF(Agent08_Savings!A98="","","SV"&amp;TEXT(1493-3,"0000")&amp;"-"&amp;TEXT(TODAY(),"YYYYMMDD"))</f>
        <v/>
      </c>
      <c r="C1493" s="37" t="str">
        <f>IF(Agent08_Savings!A98="","",Agent08_Savings!B98)</f>
        <v/>
      </c>
      <c r="D1493" s="37" t="str">
        <f>IF(Agent08_Savings!A98="","",Agent08_Savings!G98)</f>
        <v/>
      </c>
      <c r="E1493" s="38" t="str">
        <f>IF(Agent08_Savings!A98="","",Agent08_Savings!D98)</f>
        <v/>
      </c>
      <c r="F1493" s="39" t="str">
        <f>IF(Agent08_Savings!A98="","",Agent08_Savings!E98)</f>
        <v/>
      </c>
      <c r="G1493" s="39" t="str">
        <f>IF(Agent08_Savings!A98="","",Agent08_Savings!F98)</f>
        <v/>
      </c>
      <c r="H1493" s="37" t="str">
        <f>IF(Agent08_Savings!A98="","",Agent08_Savings!I98)</f>
        <v/>
      </c>
      <c r="I1493" s="37" t="str">
        <f>IF(Agent08_Savings!A98="","",Agent08_Savings!J98)</f>
        <v/>
      </c>
      <c r="J1493" s="37" t="str">
        <f>IF(Agent08_Savings!A98="","",Agent08_Savings!K98)</f>
        <v/>
      </c>
      <c r="K1493" s="37" t="str">
        <f>IFERROR(IF(Agent08_Savings!A98="","",YEAR(Agent08_Savings!D98)),"")</f>
        <v/>
      </c>
    </row>
    <row r="1494" spans="1:11" ht="18" customHeight="1" x14ac:dyDescent="0.25">
      <c r="A1494" s="37" t="str">
        <f>IF(Agent08_Savings!A99="","",Agent08_Savings!A99)</f>
        <v/>
      </c>
      <c r="B1494" s="37" t="str">
        <f ca="1">IF(Agent08_Savings!A99="","","SV"&amp;TEXT(1494-3,"0000")&amp;"-"&amp;TEXT(TODAY(),"YYYYMMDD"))</f>
        <v/>
      </c>
      <c r="C1494" s="37" t="str">
        <f>IF(Agent08_Savings!A99="","",Agent08_Savings!B99)</f>
        <v/>
      </c>
      <c r="D1494" s="37" t="str">
        <f>IF(Agent08_Savings!A99="","",Agent08_Savings!G99)</f>
        <v/>
      </c>
      <c r="E1494" s="38" t="str">
        <f>IF(Agent08_Savings!A99="","",Agent08_Savings!D99)</f>
        <v/>
      </c>
      <c r="F1494" s="39" t="str">
        <f>IF(Agent08_Savings!A99="","",Agent08_Savings!E99)</f>
        <v/>
      </c>
      <c r="G1494" s="39" t="str">
        <f>IF(Agent08_Savings!A99="","",Agent08_Savings!F99)</f>
        <v/>
      </c>
      <c r="H1494" s="37" t="str">
        <f>IF(Agent08_Savings!A99="","",Agent08_Savings!I99)</f>
        <v/>
      </c>
      <c r="I1494" s="37" t="str">
        <f>IF(Agent08_Savings!A99="","",Agent08_Savings!J99)</f>
        <v/>
      </c>
      <c r="J1494" s="37" t="str">
        <f>IF(Agent08_Savings!A99="","",Agent08_Savings!K99)</f>
        <v/>
      </c>
      <c r="K1494" s="37" t="str">
        <f>IFERROR(IF(Agent08_Savings!A99="","",YEAR(Agent08_Savings!D99)),"")</f>
        <v/>
      </c>
    </row>
    <row r="1495" spans="1:11" ht="18" customHeight="1" x14ac:dyDescent="0.25">
      <c r="A1495" s="37" t="str">
        <f>IF(Agent08_Savings!A100="","",Agent08_Savings!A100)</f>
        <v/>
      </c>
      <c r="B1495" s="37" t="str">
        <f ca="1">IF(Agent08_Savings!A100="","","SV"&amp;TEXT(1495-3,"0000")&amp;"-"&amp;TEXT(TODAY(),"YYYYMMDD"))</f>
        <v/>
      </c>
      <c r="C1495" s="37" t="str">
        <f>IF(Agent08_Savings!A100="","",Agent08_Savings!B100)</f>
        <v/>
      </c>
      <c r="D1495" s="37" t="str">
        <f>IF(Agent08_Savings!A100="","",Agent08_Savings!G100)</f>
        <v/>
      </c>
      <c r="E1495" s="38" t="str">
        <f>IF(Agent08_Savings!A100="","",Agent08_Savings!D100)</f>
        <v/>
      </c>
      <c r="F1495" s="39" t="str">
        <f>IF(Agent08_Savings!A100="","",Agent08_Savings!E100)</f>
        <v/>
      </c>
      <c r="G1495" s="39" t="str">
        <f>IF(Agent08_Savings!A100="","",Agent08_Savings!F100)</f>
        <v/>
      </c>
      <c r="H1495" s="37" t="str">
        <f>IF(Agent08_Savings!A100="","",Agent08_Savings!I100)</f>
        <v/>
      </c>
      <c r="I1495" s="37" t="str">
        <f>IF(Agent08_Savings!A100="","",Agent08_Savings!J100)</f>
        <v/>
      </c>
      <c r="J1495" s="37" t="str">
        <f>IF(Agent08_Savings!A100="","",Agent08_Savings!K100)</f>
        <v/>
      </c>
      <c r="K1495" s="37" t="str">
        <f>IFERROR(IF(Agent08_Savings!A100="","",YEAR(Agent08_Savings!D100)),"")</f>
        <v/>
      </c>
    </row>
    <row r="1496" spans="1:11" ht="18" customHeight="1" x14ac:dyDescent="0.25">
      <c r="A1496" s="37" t="str">
        <f>IF(Agent08_Savings!A101="","",Agent08_Savings!A101)</f>
        <v/>
      </c>
      <c r="B1496" s="37" t="str">
        <f ca="1">IF(Agent08_Savings!A101="","","SV"&amp;TEXT(1496-3,"0000")&amp;"-"&amp;TEXT(TODAY(),"YYYYMMDD"))</f>
        <v/>
      </c>
      <c r="C1496" s="37" t="str">
        <f>IF(Agent08_Savings!A101="","",Agent08_Savings!B101)</f>
        <v/>
      </c>
      <c r="D1496" s="37" t="str">
        <f>IF(Agent08_Savings!A101="","",Agent08_Savings!G101)</f>
        <v/>
      </c>
      <c r="E1496" s="38" t="str">
        <f>IF(Agent08_Savings!A101="","",Agent08_Savings!D101)</f>
        <v/>
      </c>
      <c r="F1496" s="39" t="str">
        <f>IF(Agent08_Savings!A101="","",Agent08_Savings!E101)</f>
        <v/>
      </c>
      <c r="G1496" s="39" t="str">
        <f>IF(Agent08_Savings!A101="","",Agent08_Savings!F101)</f>
        <v/>
      </c>
      <c r="H1496" s="37" t="str">
        <f>IF(Agent08_Savings!A101="","",Agent08_Savings!I101)</f>
        <v/>
      </c>
      <c r="I1496" s="37" t="str">
        <f>IF(Agent08_Savings!A101="","",Agent08_Savings!J101)</f>
        <v/>
      </c>
      <c r="J1496" s="37" t="str">
        <f>IF(Agent08_Savings!A101="","",Agent08_Savings!K101)</f>
        <v/>
      </c>
      <c r="K1496" s="37" t="str">
        <f>IFERROR(IF(Agent08_Savings!A101="","",YEAR(Agent08_Savings!D101)),"")</f>
        <v/>
      </c>
    </row>
    <row r="1497" spans="1:11" ht="18" customHeight="1" x14ac:dyDescent="0.25">
      <c r="A1497" s="37" t="str">
        <f>IF(Agent08_Savings!A102="","",Agent08_Savings!A102)</f>
        <v/>
      </c>
      <c r="B1497" s="37" t="str">
        <f ca="1">IF(Agent08_Savings!A102="","","SV"&amp;TEXT(1497-3,"0000")&amp;"-"&amp;TEXT(TODAY(),"YYYYMMDD"))</f>
        <v/>
      </c>
      <c r="C1497" s="37" t="str">
        <f>IF(Agent08_Savings!A102="","",Agent08_Savings!B102)</f>
        <v/>
      </c>
      <c r="D1497" s="37" t="str">
        <f>IF(Agent08_Savings!A102="","",Agent08_Savings!G102)</f>
        <v/>
      </c>
      <c r="E1497" s="38" t="str">
        <f>IF(Agent08_Savings!A102="","",Agent08_Savings!D102)</f>
        <v/>
      </c>
      <c r="F1497" s="39" t="str">
        <f>IF(Agent08_Savings!A102="","",Agent08_Savings!E102)</f>
        <v/>
      </c>
      <c r="G1497" s="39" t="str">
        <f>IF(Agent08_Savings!A102="","",Agent08_Savings!F102)</f>
        <v/>
      </c>
      <c r="H1497" s="37" t="str">
        <f>IF(Agent08_Savings!A102="","",Agent08_Savings!I102)</f>
        <v/>
      </c>
      <c r="I1497" s="37" t="str">
        <f>IF(Agent08_Savings!A102="","",Agent08_Savings!J102)</f>
        <v/>
      </c>
      <c r="J1497" s="37" t="str">
        <f>IF(Agent08_Savings!A102="","",Agent08_Savings!K102)</f>
        <v/>
      </c>
      <c r="K1497" s="37" t="str">
        <f>IFERROR(IF(Agent08_Savings!A102="","",YEAR(Agent08_Savings!D102)),"")</f>
        <v/>
      </c>
    </row>
    <row r="1498" spans="1:11" ht="18" customHeight="1" x14ac:dyDescent="0.25">
      <c r="A1498" s="37" t="str">
        <f>IF(Agent08_Savings!A103="","",Agent08_Savings!A103)</f>
        <v/>
      </c>
      <c r="B1498" s="37" t="str">
        <f ca="1">IF(Agent08_Savings!A103="","","SV"&amp;TEXT(1498-3,"0000")&amp;"-"&amp;TEXT(TODAY(),"YYYYMMDD"))</f>
        <v/>
      </c>
      <c r="C1498" s="37" t="str">
        <f>IF(Agent08_Savings!A103="","",Agent08_Savings!B103)</f>
        <v/>
      </c>
      <c r="D1498" s="37" t="str">
        <f>IF(Agent08_Savings!A103="","",Agent08_Savings!G103)</f>
        <v/>
      </c>
      <c r="E1498" s="38" t="str">
        <f>IF(Agent08_Savings!A103="","",Agent08_Savings!D103)</f>
        <v/>
      </c>
      <c r="F1498" s="39" t="str">
        <f>IF(Agent08_Savings!A103="","",Agent08_Savings!E103)</f>
        <v/>
      </c>
      <c r="G1498" s="39" t="str">
        <f>IF(Agent08_Savings!A103="","",Agent08_Savings!F103)</f>
        <v/>
      </c>
      <c r="H1498" s="37" t="str">
        <f>IF(Agent08_Savings!A103="","",Agent08_Savings!I103)</f>
        <v/>
      </c>
      <c r="I1498" s="37" t="str">
        <f>IF(Agent08_Savings!A103="","",Agent08_Savings!J103)</f>
        <v/>
      </c>
      <c r="J1498" s="37" t="str">
        <f>IF(Agent08_Savings!A103="","",Agent08_Savings!K103)</f>
        <v/>
      </c>
      <c r="K1498" s="37" t="str">
        <f>IFERROR(IF(Agent08_Savings!A103="","",YEAR(Agent08_Savings!D103)),"")</f>
        <v/>
      </c>
    </row>
    <row r="1499" spans="1:11" ht="18" customHeight="1" x14ac:dyDescent="0.25">
      <c r="A1499" s="37" t="str">
        <f>IF(Agent08_Savings!A104="","",Agent08_Savings!A104)</f>
        <v/>
      </c>
      <c r="B1499" s="37" t="str">
        <f ca="1">IF(Agent08_Savings!A104="","","SV"&amp;TEXT(1499-3,"0000")&amp;"-"&amp;TEXT(TODAY(),"YYYYMMDD"))</f>
        <v/>
      </c>
      <c r="C1499" s="37" t="str">
        <f>IF(Agent08_Savings!A104="","",Agent08_Savings!B104)</f>
        <v/>
      </c>
      <c r="D1499" s="37" t="str">
        <f>IF(Agent08_Savings!A104="","",Agent08_Savings!G104)</f>
        <v/>
      </c>
      <c r="E1499" s="38" t="str">
        <f>IF(Agent08_Savings!A104="","",Agent08_Savings!D104)</f>
        <v/>
      </c>
      <c r="F1499" s="39" t="str">
        <f>IF(Agent08_Savings!A104="","",Agent08_Savings!E104)</f>
        <v/>
      </c>
      <c r="G1499" s="39" t="str">
        <f>IF(Agent08_Savings!A104="","",Agent08_Savings!F104)</f>
        <v/>
      </c>
      <c r="H1499" s="37" t="str">
        <f>IF(Agent08_Savings!A104="","",Agent08_Savings!I104)</f>
        <v/>
      </c>
      <c r="I1499" s="37" t="str">
        <f>IF(Agent08_Savings!A104="","",Agent08_Savings!J104)</f>
        <v/>
      </c>
      <c r="J1499" s="37" t="str">
        <f>IF(Agent08_Savings!A104="","",Agent08_Savings!K104)</f>
        <v/>
      </c>
      <c r="K1499" s="37" t="str">
        <f>IFERROR(IF(Agent08_Savings!A104="","",YEAR(Agent08_Savings!D104)),"")</f>
        <v/>
      </c>
    </row>
    <row r="1500" spans="1:11" ht="18" customHeight="1" x14ac:dyDescent="0.25">
      <c r="A1500" s="37" t="str">
        <f>IF(Agent08_Savings!A105="","",Agent08_Savings!A105)</f>
        <v/>
      </c>
      <c r="B1500" s="37" t="str">
        <f ca="1">IF(Agent08_Savings!A105="","","SV"&amp;TEXT(1500-3,"0000")&amp;"-"&amp;TEXT(TODAY(),"YYYYMMDD"))</f>
        <v/>
      </c>
      <c r="C1500" s="37" t="str">
        <f>IF(Agent08_Savings!A105="","",Agent08_Savings!B105)</f>
        <v/>
      </c>
      <c r="D1500" s="37" t="str">
        <f>IF(Agent08_Savings!A105="","",Agent08_Savings!G105)</f>
        <v/>
      </c>
      <c r="E1500" s="38" t="str">
        <f>IF(Agent08_Savings!A105="","",Agent08_Savings!D105)</f>
        <v/>
      </c>
      <c r="F1500" s="39" t="str">
        <f>IF(Agent08_Savings!A105="","",Agent08_Savings!E105)</f>
        <v/>
      </c>
      <c r="G1500" s="39" t="str">
        <f>IF(Agent08_Savings!A105="","",Agent08_Savings!F105)</f>
        <v/>
      </c>
      <c r="H1500" s="37" t="str">
        <f>IF(Agent08_Savings!A105="","",Agent08_Savings!I105)</f>
        <v/>
      </c>
      <c r="I1500" s="37" t="str">
        <f>IF(Agent08_Savings!A105="","",Agent08_Savings!J105)</f>
        <v/>
      </c>
      <c r="J1500" s="37" t="str">
        <f>IF(Agent08_Savings!A105="","",Agent08_Savings!K105)</f>
        <v/>
      </c>
      <c r="K1500" s="37" t="str">
        <f>IFERROR(IF(Agent08_Savings!A105="","",YEAR(Agent08_Savings!D105)),"")</f>
        <v/>
      </c>
    </row>
    <row r="1501" spans="1:11" ht="18" customHeight="1" x14ac:dyDescent="0.25">
      <c r="A1501" s="37" t="str">
        <f>IF(Agent08_Savings!A106="","",Agent08_Savings!A106)</f>
        <v/>
      </c>
      <c r="B1501" s="37" t="str">
        <f ca="1">IF(Agent08_Savings!A106="","","SV"&amp;TEXT(1501-3,"0000")&amp;"-"&amp;TEXT(TODAY(),"YYYYMMDD"))</f>
        <v/>
      </c>
      <c r="C1501" s="37" t="str">
        <f>IF(Agent08_Savings!A106="","",Agent08_Savings!B106)</f>
        <v/>
      </c>
      <c r="D1501" s="37" t="str">
        <f>IF(Agent08_Savings!A106="","",Agent08_Savings!G106)</f>
        <v/>
      </c>
      <c r="E1501" s="38" t="str">
        <f>IF(Agent08_Savings!A106="","",Agent08_Savings!D106)</f>
        <v/>
      </c>
      <c r="F1501" s="39" t="str">
        <f>IF(Agent08_Savings!A106="","",Agent08_Savings!E106)</f>
        <v/>
      </c>
      <c r="G1501" s="39" t="str">
        <f>IF(Agent08_Savings!A106="","",Agent08_Savings!F106)</f>
        <v/>
      </c>
      <c r="H1501" s="37" t="str">
        <f>IF(Agent08_Savings!A106="","",Agent08_Savings!I106)</f>
        <v/>
      </c>
      <c r="I1501" s="37" t="str">
        <f>IF(Agent08_Savings!A106="","",Agent08_Savings!J106)</f>
        <v/>
      </c>
      <c r="J1501" s="37" t="str">
        <f>IF(Agent08_Savings!A106="","",Agent08_Savings!K106)</f>
        <v/>
      </c>
      <c r="K1501" s="37" t="str">
        <f>IFERROR(IF(Agent08_Savings!A106="","",YEAR(Agent08_Savings!D106)),"")</f>
        <v/>
      </c>
    </row>
    <row r="1502" spans="1:11" ht="18" customHeight="1" x14ac:dyDescent="0.25">
      <c r="A1502" s="37" t="str">
        <f>IF(Agent08_Savings!A107="","",Agent08_Savings!A107)</f>
        <v/>
      </c>
      <c r="B1502" s="37" t="str">
        <f ca="1">IF(Agent08_Savings!A107="","","SV"&amp;TEXT(1502-3,"0000")&amp;"-"&amp;TEXT(TODAY(),"YYYYMMDD"))</f>
        <v/>
      </c>
      <c r="C1502" s="37" t="str">
        <f>IF(Agent08_Savings!A107="","",Agent08_Savings!B107)</f>
        <v/>
      </c>
      <c r="D1502" s="37" t="str">
        <f>IF(Agent08_Savings!A107="","",Agent08_Savings!G107)</f>
        <v/>
      </c>
      <c r="E1502" s="38" t="str">
        <f>IF(Agent08_Savings!A107="","",Agent08_Savings!D107)</f>
        <v/>
      </c>
      <c r="F1502" s="39" t="str">
        <f>IF(Agent08_Savings!A107="","",Agent08_Savings!E107)</f>
        <v/>
      </c>
      <c r="G1502" s="39" t="str">
        <f>IF(Agent08_Savings!A107="","",Agent08_Savings!F107)</f>
        <v/>
      </c>
      <c r="H1502" s="37" t="str">
        <f>IF(Agent08_Savings!A107="","",Agent08_Savings!I107)</f>
        <v/>
      </c>
      <c r="I1502" s="37" t="str">
        <f>IF(Agent08_Savings!A107="","",Agent08_Savings!J107)</f>
        <v/>
      </c>
      <c r="J1502" s="37" t="str">
        <f>IF(Agent08_Savings!A107="","",Agent08_Savings!K107)</f>
        <v/>
      </c>
      <c r="K1502" s="37" t="str">
        <f>IFERROR(IF(Agent08_Savings!A107="","",YEAR(Agent08_Savings!D107)),"")</f>
        <v/>
      </c>
    </row>
    <row r="1503" spans="1:11" ht="18" customHeight="1" x14ac:dyDescent="0.25">
      <c r="A1503" s="37" t="str">
        <f>IF(Agent08_Savings!A108="","",Agent08_Savings!A108)</f>
        <v/>
      </c>
      <c r="B1503" s="37" t="str">
        <f ca="1">IF(Agent08_Savings!A108="","","SV"&amp;TEXT(1503-3,"0000")&amp;"-"&amp;TEXT(TODAY(),"YYYYMMDD"))</f>
        <v/>
      </c>
      <c r="C1503" s="37" t="str">
        <f>IF(Agent08_Savings!A108="","",Agent08_Savings!B108)</f>
        <v/>
      </c>
      <c r="D1503" s="37" t="str">
        <f>IF(Agent08_Savings!A108="","",Agent08_Savings!G108)</f>
        <v/>
      </c>
      <c r="E1503" s="38" t="str">
        <f>IF(Agent08_Savings!A108="","",Agent08_Savings!D108)</f>
        <v/>
      </c>
      <c r="F1503" s="39" t="str">
        <f>IF(Agent08_Savings!A108="","",Agent08_Savings!E108)</f>
        <v/>
      </c>
      <c r="G1503" s="39" t="str">
        <f>IF(Agent08_Savings!A108="","",Agent08_Savings!F108)</f>
        <v/>
      </c>
      <c r="H1503" s="37" t="str">
        <f>IF(Agent08_Savings!A108="","",Agent08_Savings!I108)</f>
        <v/>
      </c>
      <c r="I1503" s="37" t="str">
        <f>IF(Agent08_Savings!A108="","",Agent08_Savings!J108)</f>
        <v/>
      </c>
      <c r="J1503" s="37" t="str">
        <f>IF(Agent08_Savings!A108="","",Agent08_Savings!K108)</f>
        <v/>
      </c>
      <c r="K1503" s="37" t="str">
        <f>IFERROR(IF(Agent08_Savings!A108="","",YEAR(Agent08_Savings!D108)),"")</f>
        <v/>
      </c>
    </row>
    <row r="1504" spans="1:11" ht="18" customHeight="1" x14ac:dyDescent="0.25">
      <c r="A1504" s="37" t="str">
        <f>IF(Agent08_Savings!A109="","",Agent08_Savings!A109)</f>
        <v/>
      </c>
      <c r="B1504" s="37" t="str">
        <f ca="1">IF(Agent08_Savings!A109="","","SV"&amp;TEXT(1504-3,"0000")&amp;"-"&amp;TEXT(TODAY(),"YYYYMMDD"))</f>
        <v/>
      </c>
      <c r="C1504" s="37" t="str">
        <f>IF(Agent08_Savings!A109="","",Agent08_Savings!B109)</f>
        <v/>
      </c>
      <c r="D1504" s="37" t="str">
        <f>IF(Agent08_Savings!A109="","",Agent08_Savings!G109)</f>
        <v/>
      </c>
      <c r="E1504" s="38" t="str">
        <f>IF(Agent08_Savings!A109="","",Agent08_Savings!D109)</f>
        <v/>
      </c>
      <c r="F1504" s="39" t="str">
        <f>IF(Agent08_Savings!A109="","",Agent08_Savings!E109)</f>
        <v/>
      </c>
      <c r="G1504" s="39" t="str">
        <f>IF(Agent08_Savings!A109="","",Agent08_Savings!F109)</f>
        <v/>
      </c>
      <c r="H1504" s="37" t="str">
        <f>IF(Agent08_Savings!A109="","",Agent08_Savings!I109)</f>
        <v/>
      </c>
      <c r="I1504" s="37" t="str">
        <f>IF(Agent08_Savings!A109="","",Agent08_Savings!J109)</f>
        <v/>
      </c>
      <c r="J1504" s="37" t="str">
        <f>IF(Agent08_Savings!A109="","",Agent08_Savings!K109)</f>
        <v/>
      </c>
      <c r="K1504" s="37" t="str">
        <f>IFERROR(IF(Agent08_Savings!A109="","",YEAR(Agent08_Savings!D109)),"")</f>
        <v/>
      </c>
    </row>
    <row r="1505" spans="1:11" ht="18" customHeight="1" x14ac:dyDescent="0.25">
      <c r="A1505" s="37" t="str">
        <f>IF(Agent08_Savings!A110="","",Agent08_Savings!A110)</f>
        <v/>
      </c>
      <c r="B1505" s="37" t="str">
        <f ca="1">IF(Agent08_Savings!A110="","","SV"&amp;TEXT(1505-3,"0000")&amp;"-"&amp;TEXT(TODAY(),"YYYYMMDD"))</f>
        <v/>
      </c>
      <c r="C1505" s="37" t="str">
        <f>IF(Agent08_Savings!A110="","",Agent08_Savings!B110)</f>
        <v/>
      </c>
      <c r="D1505" s="37" t="str">
        <f>IF(Agent08_Savings!A110="","",Agent08_Savings!G110)</f>
        <v/>
      </c>
      <c r="E1505" s="38" t="str">
        <f>IF(Agent08_Savings!A110="","",Agent08_Savings!D110)</f>
        <v/>
      </c>
      <c r="F1505" s="39" t="str">
        <f>IF(Agent08_Savings!A110="","",Agent08_Savings!E110)</f>
        <v/>
      </c>
      <c r="G1505" s="39" t="str">
        <f>IF(Agent08_Savings!A110="","",Agent08_Savings!F110)</f>
        <v/>
      </c>
      <c r="H1505" s="37" t="str">
        <f>IF(Agent08_Savings!A110="","",Agent08_Savings!I110)</f>
        <v/>
      </c>
      <c r="I1505" s="37" t="str">
        <f>IF(Agent08_Savings!A110="","",Agent08_Savings!J110)</f>
        <v/>
      </c>
      <c r="J1505" s="37" t="str">
        <f>IF(Agent08_Savings!A110="","",Agent08_Savings!K110)</f>
        <v/>
      </c>
      <c r="K1505" s="37" t="str">
        <f>IFERROR(IF(Agent08_Savings!A110="","",YEAR(Agent08_Savings!D110)),"")</f>
        <v/>
      </c>
    </row>
    <row r="1506" spans="1:11" ht="18" customHeight="1" x14ac:dyDescent="0.25">
      <c r="A1506" s="37" t="str">
        <f>IF(Agent08_Savings!A111="","",Agent08_Savings!A111)</f>
        <v/>
      </c>
      <c r="B1506" s="37" t="str">
        <f ca="1">IF(Agent08_Savings!A111="","","SV"&amp;TEXT(1506-3,"0000")&amp;"-"&amp;TEXT(TODAY(),"YYYYMMDD"))</f>
        <v/>
      </c>
      <c r="C1506" s="37" t="str">
        <f>IF(Agent08_Savings!A111="","",Agent08_Savings!B111)</f>
        <v/>
      </c>
      <c r="D1506" s="37" t="str">
        <f>IF(Agent08_Savings!A111="","",Agent08_Savings!G111)</f>
        <v/>
      </c>
      <c r="E1506" s="38" t="str">
        <f>IF(Agent08_Savings!A111="","",Agent08_Savings!D111)</f>
        <v/>
      </c>
      <c r="F1506" s="39" t="str">
        <f>IF(Agent08_Savings!A111="","",Agent08_Savings!E111)</f>
        <v/>
      </c>
      <c r="G1506" s="39" t="str">
        <f>IF(Agent08_Savings!A111="","",Agent08_Savings!F111)</f>
        <v/>
      </c>
      <c r="H1506" s="37" t="str">
        <f>IF(Agent08_Savings!A111="","",Agent08_Savings!I111)</f>
        <v/>
      </c>
      <c r="I1506" s="37" t="str">
        <f>IF(Agent08_Savings!A111="","",Agent08_Savings!J111)</f>
        <v/>
      </c>
      <c r="J1506" s="37" t="str">
        <f>IF(Agent08_Savings!A111="","",Agent08_Savings!K111)</f>
        <v/>
      </c>
      <c r="K1506" s="37" t="str">
        <f>IFERROR(IF(Agent08_Savings!A111="","",YEAR(Agent08_Savings!D111)),"")</f>
        <v/>
      </c>
    </row>
    <row r="1507" spans="1:11" ht="18" customHeight="1" x14ac:dyDescent="0.25">
      <c r="A1507" s="37" t="str">
        <f>IF(Agent08_Savings!A112="","",Agent08_Savings!A112)</f>
        <v/>
      </c>
      <c r="B1507" s="37" t="str">
        <f ca="1">IF(Agent08_Savings!A112="","","SV"&amp;TEXT(1507-3,"0000")&amp;"-"&amp;TEXT(TODAY(),"YYYYMMDD"))</f>
        <v/>
      </c>
      <c r="C1507" s="37" t="str">
        <f>IF(Agent08_Savings!A112="","",Agent08_Savings!B112)</f>
        <v/>
      </c>
      <c r="D1507" s="37" t="str">
        <f>IF(Agent08_Savings!A112="","",Agent08_Savings!G112)</f>
        <v/>
      </c>
      <c r="E1507" s="38" t="str">
        <f>IF(Agent08_Savings!A112="","",Agent08_Savings!D112)</f>
        <v/>
      </c>
      <c r="F1507" s="39" t="str">
        <f>IF(Agent08_Savings!A112="","",Agent08_Savings!E112)</f>
        <v/>
      </c>
      <c r="G1507" s="39" t="str">
        <f>IF(Agent08_Savings!A112="","",Agent08_Savings!F112)</f>
        <v/>
      </c>
      <c r="H1507" s="37" t="str">
        <f>IF(Agent08_Savings!A112="","",Agent08_Savings!I112)</f>
        <v/>
      </c>
      <c r="I1507" s="37" t="str">
        <f>IF(Agent08_Savings!A112="","",Agent08_Savings!J112)</f>
        <v/>
      </c>
      <c r="J1507" s="37" t="str">
        <f>IF(Agent08_Savings!A112="","",Agent08_Savings!K112)</f>
        <v/>
      </c>
      <c r="K1507" s="37" t="str">
        <f>IFERROR(IF(Agent08_Savings!A112="","",YEAR(Agent08_Savings!D112)),"")</f>
        <v/>
      </c>
    </row>
    <row r="1508" spans="1:11" ht="18" customHeight="1" x14ac:dyDescent="0.25">
      <c r="A1508" s="37" t="str">
        <f>IF(Agent08_Savings!A113="","",Agent08_Savings!A113)</f>
        <v/>
      </c>
      <c r="B1508" s="37" t="str">
        <f ca="1">IF(Agent08_Savings!A113="","","SV"&amp;TEXT(1508-3,"0000")&amp;"-"&amp;TEXT(TODAY(),"YYYYMMDD"))</f>
        <v/>
      </c>
      <c r="C1508" s="37" t="str">
        <f>IF(Agent08_Savings!A113="","",Agent08_Savings!B113)</f>
        <v/>
      </c>
      <c r="D1508" s="37" t="str">
        <f>IF(Agent08_Savings!A113="","",Agent08_Savings!G113)</f>
        <v/>
      </c>
      <c r="E1508" s="38" t="str">
        <f>IF(Agent08_Savings!A113="","",Agent08_Savings!D113)</f>
        <v/>
      </c>
      <c r="F1508" s="39" t="str">
        <f>IF(Agent08_Savings!A113="","",Agent08_Savings!E113)</f>
        <v/>
      </c>
      <c r="G1508" s="39" t="str">
        <f>IF(Agent08_Savings!A113="","",Agent08_Savings!F113)</f>
        <v/>
      </c>
      <c r="H1508" s="37" t="str">
        <f>IF(Agent08_Savings!A113="","",Agent08_Savings!I113)</f>
        <v/>
      </c>
      <c r="I1508" s="37" t="str">
        <f>IF(Agent08_Savings!A113="","",Agent08_Savings!J113)</f>
        <v/>
      </c>
      <c r="J1508" s="37" t="str">
        <f>IF(Agent08_Savings!A113="","",Agent08_Savings!K113)</f>
        <v/>
      </c>
      <c r="K1508" s="37" t="str">
        <f>IFERROR(IF(Agent08_Savings!A113="","",YEAR(Agent08_Savings!D113)),"")</f>
        <v/>
      </c>
    </row>
    <row r="1509" spans="1:11" ht="18" customHeight="1" x14ac:dyDescent="0.25">
      <c r="A1509" s="37" t="str">
        <f>IF(Agent08_Savings!A114="","",Agent08_Savings!A114)</f>
        <v/>
      </c>
      <c r="B1509" s="37" t="str">
        <f ca="1">IF(Agent08_Savings!A114="","","SV"&amp;TEXT(1509-3,"0000")&amp;"-"&amp;TEXT(TODAY(),"YYYYMMDD"))</f>
        <v/>
      </c>
      <c r="C1509" s="37" t="str">
        <f>IF(Agent08_Savings!A114="","",Agent08_Savings!B114)</f>
        <v/>
      </c>
      <c r="D1509" s="37" t="str">
        <f>IF(Agent08_Savings!A114="","",Agent08_Savings!G114)</f>
        <v/>
      </c>
      <c r="E1509" s="38" t="str">
        <f>IF(Agent08_Savings!A114="","",Agent08_Savings!D114)</f>
        <v/>
      </c>
      <c r="F1509" s="39" t="str">
        <f>IF(Agent08_Savings!A114="","",Agent08_Savings!E114)</f>
        <v/>
      </c>
      <c r="G1509" s="39" t="str">
        <f>IF(Agent08_Savings!A114="","",Agent08_Savings!F114)</f>
        <v/>
      </c>
      <c r="H1509" s="37" t="str">
        <f>IF(Agent08_Savings!A114="","",Agent08_Savings!I114)</f>
        <v/>
      </c>
      <c r="I1509" s="37" t="str">
        <f>IF(Agent08_Savings!A114="","",Agent08_Savings!J114)</f>
        <v/>
      </c>
      <c r="J1509" s="37" t="str">
        <f>IF(Agent08_Savings!A114="","",Agent08_Savings!K114)</f>
        <v/>
      </c>
      <c r="K1509" s="37" t="str">
        <f>IFERROR(IF(Agent08_Savings!A114="","",YEAR(Agent08_Savings!D114)),"")</f>
        <v/>
      </c>
    </row>
    <row r="1510" spans="1:11" ht="18" customHeight="1" x14ac:dyDescent="0.25">
      <c r="A1510" s="37" t="str">
        <f>IF(Agent08_Savings!A115="","",Agent08_Savings!A115)</f>
        <v/>
      </c>
      <c r="B1510" s="37" t="str">
        <f ca="1">IF(Agent08_Savings!A115="","","SV"&amp;TEXT(1510-3,"0000")&amp;"-"&amp;TEXT(TODAY(),"YYYYMMDD"))</f>
        <v/>
      </c>
      <c r="C1510" s="37" t="str">
        <f>IF(Agent08_Savings!A115="","",Agent08_Savings!B115)</f>
        <v/>
      </c>
      <c r="D1510" s="37" t="str">
        <f>IF(Agent08_Savings!A115="","",Agent08_Savings!G115)</f>
        <v/>
      </c>
      <c r="E1510" s="38" t="str">
        <f>IF(Agent08_Savings!A115="","",Agent08_Savings!D115)</f>
        <v/>
      </c>
      <c r="F1510" s="39" t="str">
        <f>IF(Agent08_Savings!A115="","",Agent08_Savings!E115)</f>
        <v/>
      </c>
      <c r="G1510" s="39" t="str">
        <f>IF(Agent08_Savings!A115="","",Agent08_Savings!F115)</f>
        <v/>
      </c>
      <c r="H1510" s="37" t="str">
        <f>IF(Agent08_Savings!A115="","",Agent08_Savings!I115)</f>
        <v/>
      </c>
      <c r="I1510" s="37" t="str">
        <f>IF(Agent08_Savings!A115="","",Agent08_Savings!J115)</f>
        <v/>
      </c>
      <c r="J1510" s="37" t="str">
        <f>IF(Agent08_Savings!A115="","",Agent08_Savings!K115)</f>
        <v/>
      </c>
      <c r="K1510" s="37" t="str">
        <f>IFERROR(IF(Agent08_Savings!A115="","",YEAR(Agent08_Savings!D115)),"")</f>
        <v/>
      </c>
    </row>
    <row r="1511" spans="1:11" ht="18" customHeight="1" x14ac:dyDescent="0.25">
      <c r="A1511" s="37" t="str">
        <f>IF(Agent08_Savings!A116="","",Agent08_Savings!A116)</f>
        <v/>
      </c>
      <c r="B1511" s="37" t="str">
        <f ca="1">IF(Agent08_Savings!A116="","","SV"&amp;TEXT(1511-3,"0000")&amp;"-"&amp;TEXT(TODAY(),"YYYYMMDD"))</f>
        <v/>
      </c>
      <c r="C1511" s="37" t="str">
        <f>IF(Agent08_Savings!A116="","",Agent08_Savings!B116)</f>
        <v/>
      </c>
      <c r="D1511" s="37" t="str">
        <f>IF(Agent08_Savings!A116="","",Agent08_Savings!G116)</f>
        <v/>
      </c>
      <c r="E1511" s="38" t="str">
        <f>IF(Agent08_Savings!A116="","",Agent08_Savings!D116)</f>
        <v/>
      </c>
      <c r="F1511" s="39" t="str">
        <f>IF(Agent08_Savings!A116="","",Agent08_Savings!E116)</f>
        <v/>
      </c>
      <c r="G1511" s="39" t="str">
        <f>IF(Agent08_Savings!A116="","",Agent08_Savings!F116)</f>
        <v/>
      </c>
      <c r="H1511" s="37" t="str">
        <f>IF(Agent08_Savings!A116="","",Agent08_Savings!I116)</f>
        <v/>
      </c>
      <c r="I1511" s="37" t="str">
        <f>IF(Agent08_Savings!A116="","",Agent08_Savings!J116)</f>
        <v/>
      </c>
      <c r="J1511" s="37" t="str">
        <f>IF(Agent08_Savings!A116="","",Agent08_Savings!K116)</f>
        <v/>
      </c>
      <c r="K1511" s="37" t="str">
        <f>IFERROR(IF(Agent08_Savings!A116="","",YEAR(Agent08_Savings!D116)),"")</f>
        <v/>
      </c>
    </row>
    <row r="1512" spans="1:11" ht="18" customHeight="1" x14ac:dyDescent="0.25">
      <c r="A1512" s="37" t="str">
        <f>IF(Agent08_Savings!A117="","",Agent08_Savings!A117)</f>
        <v/>
      </c>
      <c r="B1512" s="37" t="str">
        <f ca="1">IF(Agent08_Savings!A117="","","SV"&amp;TEXT(1512-3,"0000")&amp;"-"&amp;TEXT(TODAY(),"YYYYMMDD"))</f>
        <v/>
      </c>
      <c r="C1512" s="37" t="str">
        <f>IF(Agent08_Savings!A117="","",Agent08_Savings!B117)</f>
        <v/>
      </c>
      <c r="D1512" s="37" t="str">
        <f>IF(Agent08_Savings!A117="","",Agent08_Savings!G117)</f>
        <v/>
      </c>
      <c r="E1512" s="38" t="str">
        <f>IF(Agent08_Savings!A117="","",Agent08_Savings!D117)</f>
        <v/>
      </c>
      <c r="F1512" s="39" t="str">
        <f>IF(Agent08_Savings!A117="","",Agent08_Savings!E117)</f>
        <v/>
      </c>
      <c r="G1512" s="39" t="str">
        <f>IF(Agent08_Savings!A117="","",Agent08_Savings!F117)</f>
        <v/>
      </c>
      <c r="H1512" s="37" t="str">
        <f>IF(Agent08_Savings!A117="","",Agent08_Savings!I117)</f>
        <v/>
      </c>
      <c r="I1512" s="37" t="str">
        <f>IF(Agent08_Savings!A117="","",Agent08_Savings!J117)</f>
        <v/>
      </c>
      <c r="J1512" s="37" t="str">
        <f>IF(Agent08_Savings!A117="","",Agent08_Savings!K117)</f>
        <v/>
      </c>
      <c r="K1512" s="37" t="str">
        <f>IFERROR(IF(Agent08_Savings!A117="","",YEAR(Agent08_Savings!D117)),"")</f>
        <v/>
      </c>
    </row>
    <row r="1513" spans="1:11" ht="18" customHeight="1" x14ac:dyDescent="0.25">
      <c r="A1513" s="37" t="str">
        <f>IF(Agent08_Savings!A118="","",Agent08_Savings!A118)</f>
        <v/>
      </c>
      <c r="B1513" s="37" t="str">
        <f ca="1">IF(Agent08_Savings!A118="","","SV"&amp;TEXT(1513-3,"0000")&amp;"-"&amp;TEXT(TODAY(),"YYYYMMDD"))</f>
        <v/>
      </c>
      <c r="C1513" s="37" t="str">
        <f>IF(Agent08_Savings!A118="","",Agent08_Savings!B118)</f>
        <v/>
      </c>
      <c r="D1513" s="37" t="str">
        <f>IF(Agent08_Savings!A118="","",Agent08_Savings!G118)</f>
        <v/>
      </c>
      <c r="E1513" s="38" t="str">
        <f>IF(Agent08_Savings!A118="","",Agent08_Savings!D118)</f>
        <v/>
      </c>
      <c r="F1513" s="39" t="str">
        <f>IF(Agent08_Savings!A118="","",Agent08_Savings!E118)</f>
        <v/>
      </c>
      <c r="G1513" s="39" t="str">
        <f>IF(Agent08_Savings!A118="","",Agent08_Savings!F118)</f>
        <v/>
      </c>
      <c r="H1513" s="37" t="str">
        <f>IF(Agent08_Savings!A118="","",Agent08_Savings!I118)</f>
        <v/>
      </c>
      <c r="I1513" s="37" t="str">
        <f>IF(Agent08_Savings!A118="","",Agent08_Savings!J118)</f>
        <v/>
      </c>
      <c r="J1513" s="37" t="str">
        <f>IF(Agent08_Savings!A118="","",Agent08_Savings!K118)</f>
        <v/>
      </c>
      <c r="K1513" s="37" t="str">
        <f>IFERROR(IF(Agent08_Savings!A118="","",YEAR(Agent08_Savings!D118)),"")</f>
        <v/>
      </c>
    </row>
    <row r="1514" spans="1:11" ht="18" customHeight="1" x14ac:dyDescent="0.25">
      <c r="A1514" s="37" t="str">
        <f>IF(Agent08_Savings!A119="","",Agent08_Savings!A119)</f>
        <v/>
      </c>
      <c r="B1514" s="37" t="str">
        <f ca="1">IF(Agent08_Savings!A119="","","SV"&amp;TEXT(1514-3,"0000")&amp;"-"&amp;TEXT(TODAY(),"YYYYMMDD"))</f>
        <v/>
      </c>
      <c r="C1514" s="37" t="str">
        <f>IF(Agent08_Savings!A119="","",Agent08_Savings!B119)</f>
        <v/>
      </c>
      <c r="D1514" s="37" t="str">
        <f>IF(Agent08_Savings!A119="","",Agent08_Savings!G119)</f>
        <v/>
      </c>
      <c r="E1514" s="38" t="str">
        <f>IF(Agent08_Savings!A119="","",Agent08_Savings!D119)</f>
        <v/>
      </c>
      <c r="F1514" s="39" t="str">
        <f>IF(Agent08_Savings!A119="","",Agent08_Savings!E119)</f>
        <v/>
      </c>
      <c r="G1514" s="39" t="str">
        <f>IF(Agent08_Savings!A119="","",Agent08_Savings!F119)</f>
        <v/>
      </c>
      <c r="H1514" s="37" t="str">
        <f>IF(Agent08_Savings!A119="","",Agent08_Savings!I119)</f>
        <v/>
      </c>
      <c r="I1514" s="37" t="str">
        <f>IF(Agent08_Savings!A119="","",Agent08_Savings!J119)</f>
        <v/>
      </c>
      <c r="J1514" s="37" t="str">
        <f>IF(Agent08_Savings!A119="","",Agent08_Savings!K119)</f>
        <v/>
      </c>
      <c r="K1514" s="37" t="str">
        <f>IFERROR(IF(Agent08_Savings!A119="","",YEAR(Agent08_Savings!D119)),"")</f>
        <v/>
      </c>
    </row>
    <row r="1515" spans="1:11" ht="18" customHeight="1" x14ac:dyDescent="0.25">
      <c r="A1515" s="37" t="str">
        <f>IF(Agent08_Savings!A120="","",Agent08_Savings!A120)</f>
        <v/>
      </c>
      <c r="B1515" s="37" t="str">
        <f ca="1">IF(Agent08_Savings!A120="","","SV"&amp;TEXT(1515-3,"0000")&amp;"-"&amp;TEXT(TODAY(),"YYYYMMDD"))</f>
        <v/>
      </c>
      <c r="C1515" s="37" t="str">
        <f>IF(Agent08_Savings!A120="","",Agent08_Savings!B120)</f>
        <v/>
      </c>
      <c r="D1515" s="37" t="str">
        <f>IF(Agent08_Savings!A120="","",Agent08_Savings!G120)</f>
        <v/>
      </c>
      <c r="E1515" s="38" t="str">
        <f>IF(Agent08_Savings!A120="","",Agent08_Savings!D120)</f>
        <v/>
      </c>
      <c r="F1515" s="39" t="str">
        <f>IF(Agent08_Savings!A120="","",Agent08_Savings!E120)</f>
        <v/>
      </c>
      <c r="G1515" s="39" t="str">
        <f>IF(Agent08_Savings!A120="","",Agent08_Savings!F120)</f>
        <v/>
      </c>
      <c r="H1515" s="37" t="str">
        <f>IF(Agent08_Savings!A120="","",Agent08_Savings!I120)</f>
        <v/>
      </c>
      <c r="I1515" s="37" t="str">
        <f>IF(Agent08_Savings!A120="","",Agent08_Savings!J120)</f>
        <v/>
      </c>
      <c r="J1515" s="37" t="str">
        <f>IF(Agent08_Savings!A120="","",Agent08_Savings!K120)</f>
        <v/>
      </c>
      <c r="K1515" s="37" t="str">
        <f>IFERROR(IF(Agent08_Savings!A120="","",YEAR(Agent08_Savings!D120)),"")</f>
        <v/>
      </c>
    </row>
    <row r="1516" spans="1:11" ht="18" customHeight="1" x14ac:dyDescent="0.25">
      <c r="A1516" s="37" t="str">
        <f>IF(Agent08_Savings!A121="","",Agent08_Savings!A121)</f>
        <v/>
      </c>
      <c r="B1516" s="37" t="str">
        <f ca="1">IF(Agent08_Savings!A121="","","SV"&amp;TEXT(1516-3,"0000")&amp;"-"&amp;TEXT(TODAY(),"YYYYMMDD"))</f>
        <v/>
      </c>
      <c r="C1516" s="37" t="str">
        <f>IF(Agent08_Savings!A121="","",Agent08_Savings!B121)</f>
        <v/>
      </c>
      <c r="D1516" s="37" t="str">
        <f>IF(Agent08_Savings!A121="","",Agent08_Savings!G121)</f>
        <v/>
      </c>
      <c r="E1516" s="38" t="str">
        <f>IF(Agent08_Savings!A121="","",Agent08_Savings!D121)</f>
        <v/>
      </c>
      <c r="F1516" s="39" t="str">
        <f>IF(Agent08_Savings!A121="","",Agent08_Savings!E121)</f>
        <v/>
      </c>
      <c r="G1516" s="39" t="str">
        <f>IF(Agent08_Savings!A121="","",Agent08_Savings!F121)</f>
        <v/>
      </c>
      <c r="H1516" s="37" t="str">
        <f>IF(Agent08_Savings!A121="","",Agent08_Savings!I121)</f>
        <v/>
      </c>
      <c r="I1516" s="37" t="str">
        <f>IF(Agent08_Savings!A121="","",Agent08_Savings!J121)</f>
        <v/>
      </c>
      <c r="J1516" s="37" t="str">
        <f>IF(Agent08_Savings!A121="","",Agent08_Savings!K121)</f>
        <v/>
      </c>
      <c r="K1516" s="37" t="str">
        <f>IFERROR(IF(Agent08_Savings!A121="","",YEAR(Agent08_Savings!D121)),"")</f>
        <v/>
      </c>
    </row>
    <row r="1517" spans="1:11" ht="18" customHeight="1" x14ac:dyDescent="0.25">
      <c r="A1517" s="37" t="str">
        <f>IF(Agent08_Savings!A122="","",Agent08_Savings!A122)</f>
        <v/>
      </c>
      <c r="B1517" s="37" t="str">
        <f ca="1">IF(Agent08_Savings!A122="","","SV"&amp;TEXT(1517-3,"0000")&amp;"-"&amp;TEXT(TODAY(),"YYYYMMDD"))</f>
        <v/>
      </c>
      <c r="C1517" s="37" t="str">
        <f>IF(Agent08_Savings!A122="","",Agent08_Savings!B122)</f>
        <v/>
      </c>
      <c r="D1517" s="37" t="str">
        <f>IF(Agent08_Savings!A122="","",Agent08_Savings!G122)</f>
        <v/>
      </c>
      <c r="E1517" s="38" t="str">
        <f>IF(Agent08_Savings!A122="","",Agent08_Savings!D122)</f>
        <v/>
      </c>
      <c r="F1517" s="39" t="str">
        <f>IF(Agent08_Savings!A122="","",Agent08_Savings!E122)</f>
        <v/>
      </c>
      <c r="G1517" s="39" t="str">
        <f>IF(Agent08_Savings!A122="","",Agent08_Savings!F122)</f>
        <v/>
      </c>
      <c r="H1517" s="37" t="str">
        <f>IF(Agent08_Savings!A122="","",Agent08_Savings!I122)</f>
        <v/>
      </c>
      <c r="I1517" s="37" t="str">
        <f>IF(Agent08_Savings!A122="","",Agent08_Savings!J122)</f>
        <v/>
      </c>
      <c r="J1517" s="37" t="str">
        <f>IF(Agent08_Savings!A122="","",Agent08_Savings!K122)</f>
        <v/>
      </c>
      <c r="K1517" s="37" t="str">
        <f>IFERROR(IF(Agent08_Savings!A122="","",YEAR(Agent08_Savings!D122)),"")</f>
        <v/>
      </c>
    </row>
    <row r="1518" spans="1:11" ht="18" customHeight="1" x14ac:dyDescent="0.25">
      <c r="A1518" s="37" t="str">
        <f>IF(Agent08_Savings!A123="","",Agent08_Savings!A123)</f>
        <v/>
      </c>
      <c r="B1518" s="37" t="str">
        <f ca="1">IF(Agent08_Savings!A123="","","SV"&amp;TEXT(1518-3,"0000")&amp;"-"&amp;TEXT(TODAY(),"YYYYMMDD"))</f>
        <v/>
      </c>
      <c r="C1518" s="37" t="str">
        <f>IF(Agent08_Savings!A123="","",Agent08_Savings!B123)</f>
        <v/>
      </c>
      <c r="D1518" s="37" t="str">
        <f>IF(Agent08_Savings!A123="","",Agent08_Savings!G123)</f>
        <v/>
      </c>
      <c r="E1518" s="38" t="str">
        <f>IF(Agent08_Savings!A123="","",Agent08_Savings!D123)</f>
        <v/>
      </c>
      <c r="F1518" s="39" t="str">
        <f>IF(Agent08_Savings!A123="","",Agent08_Savings!E123)</f>
        <v/>
      </c>
      <c r="G1518" s="39" t="str">
        <f>IF(Agent08_Savings!A123="","",Agent08_Savings!F123)</f>
        <v/>
      </c>
      <c r="H1518" s="37" t="str">
        <f>IF(Agent08_Savings!A123="","",Agent08_Savings!I123)</f>
        <v/>
      </c>
      <c r="I1518" s="37" t="str">
        <f>IF(Agent08_Savings!A123="","",Agent08_Savings!J123)</f>
        <v/>
      </c>
      <c r="J1518" s="37" t="str">
        <f>IF(Agent08_Savings!A123="","",Agent08_Savings!K123)</f>
        <v/>
      </c>
      <c r="K1518" s="37" t="str">
        <f>IFERROR(IF(Agent08_Savings!A123="","",YEAR(Agent08_Savings!D123)),"")</f>
        <v/>
      </c>
    </row>
    <row r="1519" spans="1:11" ht="18" customHeight="1" x14ac:dyDescent="0.25">
      <c r="A1519" s="37" t="str">
        <f>IF(Agent08_Savings!A124="","",Agent08_Savings!A124)</f>
        <v/>
      </c>
      <c r="B1519" s="37" t="str">
        <f ca="1">IF(Agent08_Savings!A124="","","SV"&amp;TEXT(1519-3,"0000")&amp;"-"&amp;TEXT(TODAY(),"YYYYMMDD"))</f>
        <v/>
      </c>
      <c r="C1519" s="37" t="str">
        <f>IF(Agent08_Savings!A124="","",Agent08_Savings!B124)</f>
        <v/>
      </c>
      <c r="D1519" s="37" t="str">
        <f>IF(Agent08_Savings!A124="","",Agent08_Savings!G124)</f>
        <v/>
      </c>
      <c r="E1519" s="38" t="str">
        <f>IF(Agent08_Savings!A124="","",Agent08_Savings!D124)</f>
        <v/>
      </c>
      <c r="F1519" s="39" t="str">
        <f>IF(Agent08_Savings!A124="","",Agent08_Savings!E124)</f>
        <v/>
      </c>
      <c r="G1519" s="39" t="str">
        <f>IF(Agent08_Savings!A124="","",Agent08_Savings!F124)</f>
        <v/>
      </c>
      <c r="H1519" s="37" t="str">
        <f>IF(Agent08_Savings!A124="","",Agent08_Savings!I124)</f>
        <v/>
      </c>
      <c r="I1519" s="37" t="str">
        <f>IF(Agent08_Savings!A124="","",Agent08_Savings!J124)</f>
        <v/>
      </c>
      <c r="J1519" s="37" t="str">
        <f>IF(Agent08_Savings!A124="","",Agent08_Savings!K124)</f>
        <v/>
      </c>
      <c r="K1519" s="37" t="str">
        <f>IFERROR(IF(Agent08_Savings!A124="","",YEAR(Agent08_Savings!D124)),"")</f>
        <v/>
      </c>
    </row>
    <row r="1520" spans="1:11" ht="18" customHeight="1" x14ac:dyDescent="0.25">
      <c r="A1520" s="37" t="str">
        <f>IF(Agent08_Savings!A125="","",Agent08_Savings!A125)</f>
        <v/>
      </c>
      <c r="B1520" s="37" t="str">
        <f ca="1">IF(Agent08_Savings!A125="","","SV"&amp;TEXT(1520-3,"0000")&amp;"-"&amp;TEXT(TODAY(),"YYYYMMDD"))</f>
        <v/>
      </c>
      <c r="C1520" s="37" t="str">
        <f>IF(Agent08_Savings!A125="","",Agent08_Savings!B125)</f>
        <v/>
      </c>
      <c r="D1520" s="37" t="str">
        <f>IF(Agent08_Savings!A125="","",Agent08_Savings!G125)</f>
        <v/>
      </c>
      <c r="E1520" s="38" t="str">
        <f>IF(Agent08_Savings!A125="","",Agent08_Savings!D125)</f>
        <v/>
      </c>
      <c r="F1520" s="39" t="str">
        <f>IF(Agent08_Savings!A125="","",Agent08_Savings!E125)</f>
        <v/>
      </c>
      <c r="G1520" s="39" t="str">
        <f>IF(Agent08_Savings!A125="","",Agent08_Savings!F125)</f>
        <v/>
      </c>
      <c r="H1520" s="37" t="str">
        <f>IF(Agent08_Savings!A125="","",Agent08_Savings!I125)</f>
        <v/>
      </c>
      <c r="I1520" s="37" t="str">
        <f>IF(Agent08_Savings!A125="","",Agent08_Savings!J125)</f>
        <v/>
      </c>
      <c r="J1520" s="37" t="str">
        <f>IF(Agent08_Savings!A125="","",Agent08_Savings!K125)</f>
        <v/>
      </c>
      <c r="K1520" s="37" t="str">
        <f>IFERROR(IF(Agent08_Savings!A125="","",YEAR(Agent08_Savings!D125)),"")</f>
        <v/>
      </c>
    </row>
    <row r="1521" spans="1:11" ht="18" customHeight="1" x14ac:dyDescent="0.25">
      <c r="A1521" s="37" t="str">
        <f>IF(Agent08_Savings!A126="","",Agent08_Savings!A126)</f>
        <v/>
      </c>
      <c r="B1521" s="37" t="str">
        <f ca="1">IF(Agent08_Savings!A126="","","SV"&amp;TEXT(1521-3,"0000")&amp;"-"&amp;TEXT(TODAY(),"YYYYMMDD"))</f>
        <v/>
      </c>
      <c r="C1521" s="37" t="str">
        <f>IF(Agent08_Savings!A126="","",Agent08_Savings!B126)</f>
        <v/>
      </c>
      <c r="D1521" s="37" t="str">
        <f>IF(Agent08_Savings!A126="","",Agent08_Savings!G126)</f>
        <v/>
      </c>
      <c r="E1521" s="38" t="str">
        <f>IF(Agent08_Savings!A126="","",Agent08_Savings!D126)</f>
        <v/>
      </c>
      <c r="F1521" s="39" t="str">
        <f>IF(Agent08_Savings!A126="","",Agent08_Savings!E126)</f>
        <v/>
      </c>
      <c r="G1521" s="39" t="str">
        <f>IF(Agent08_Savings!A126="","",Agent08_Savings!F126)</f>
        <v/>
      </c>
      <c r="H1521" s="37" t="str">
        <f>IF(Agent08_Savings!A126="","",Agent08_Savings!I126)</f>
        <v/>
      </c>
      <c r="I1521" s="37" t="str">
        <f>IF(Agent08_Savings!A126="","",Agent08_Savings!J126)</f>
        <v/>
      </c>
      <c r="J1521" s="37" t="str">
        <f>IF(Agent08_Savings!A126="","",Agent08_Savings!K126)</f>
        <v/>
      </c>
      <c r="K1521" s="37" t="str">
        <f>IFERROR(IF(Agent08_Savings!A126="","",YEAR(Agent08_Savings!D126)),"")</f>
        <v/>
      </c>
    </row>
    <row r="1522" spans="1:11" ht="18" customHeight="1" x14ac:dyDescent="0.25">
      <c r="A1522" s="37" t="str">
        <f>IF(Agent08_Savings!A127="","",Agent08_Savings!A127)</f>
        <v/>
      </c>
      <c r="B1522" s="37" t="str">
        <f ca="1">IF(Agent08_Savings!A127="","","SV"&amp;TEXT(1522-3,"0000")&amp;"-"&amp;TEXT(TODAY(),"YYYYMMDD"))</f>
        <v/>
      </c>
      <c r="C1522" s="37" t="str">
        <f>IF(Agent08_Savings!A127="","",Agent08_Savings!B127)</f>
        <v/>
      </c>
      <c r="D1522" s="37" t="str">
        <f>IF(Agent08_Savings!A127="","",Agent08_Savings!G127)</f>
        <v/>
      </c>
      <c r="E1522" s="38" t="str">
        <f>IF(Agent08_Savings!A127="","",Agent08_Savings!D127)</f>
        <v/>
      </c>
      <c r="F1522" s="39" t="str">
        <f>IF(Agent08_Savings!A127="","",Agent08_Savings!E127)</f>
        <v/>
      </c>
      <c r="G1522" s="39" t="str">
        <f>IF(Agent08_Savings!A127="","",Agent08_Savings!F127)</f>
        <v/>
      </c>
      <c r="H1522" s="37" t="str">
        <f>IF(Agent08_Savings!A127="","",Agent08_Savings!I127)</f>
        <v/>
      </c>
      <c r="I1522" s="37" t="str">
        <f>IF(Agent08_Savings!A127="","",Agent08_Savings!J127)</f>
        <v/>
      </c>
      <c r="J1522" s="37" t="str">
        <f>IF(Agent08_Savings!A127="","",Agent08_Savings!K127)</f>
        <v/>
      </c>
      <c r="K1522" s="37" t="str">
        <f>IFERROR(IF(Agent08_Savings!A127="","",YEAR(Agent08_Savings!D127)),"")</f>
        <v/>
      </c>
    </row>
    <row r="1523" spans="1:11" ht="18" customHeight="1" x14ac:dyDescent="0.25">
      <c r="A1523" s="37" t="str">
        <f>IF(Agent08_Savings!A128="","",Agent08_Savings!A128)</f>
        <v/>
      </c>
      <c r="B1523" s="37" t="str">
        <f ca="1">IF(Agent08_Savings!A128="","","SV"&amp;TEXT(1523-3,"0000")&amp;"-"&amp;TEXT(TODAY(),"YYYYMMDD"))</f>
        <v/>
      </c>
      <c r="C1523" s="37" t="str">
        <f>IF(Agent08_Savings!A128="","",Agent08_Savings!B128)</f>
        <v/>
      </c>
      <c r="D1523" s="37" t="str">
        <f>IF(Agent08_Savings!A128="","",Agent08_Savings!G128)</f>
        <v/>
      </c>
      <c r="E1523" s="38" t="str">
        <f>IF(Agent08_Savings!A128="","",Agent08_Savings!D128)</f>
        <v/>
      </c>
      <c r="F1523" s="39" t="str">
        <f>IF(Agent08_Savings!A128="","",Agent08_Savings!E128)</f>
        <v/>
      </c>
      <c r="G1523" s="39" t="str">
        <f>IF(Agent08_Savings!A128="","",Agent08_Savings!F128)</f>
        <v/>
      </c>
      <c r="H1523" s="37" t="str">
        <f>IF(Agent08_Savings!A128="","",Agent08_Savings!I128)</f>
        <v/>
      </c>
      <c r="I1523" s="37" t="str">
        <f>IF(Agent08_Savings!A128="","",Agent08_Savings!J128)</f>
        <v/>
      </c>
      <c r="J1523" s="37" t="str">
        <f>IF(Agent08_Savings!A128="","",Agent08_Savings!K128)</f>
        <v/>
      </c>
      <c r="K1523" s="37" t="str">
        <f>IFERROR(IF(Agent08_Savings!A128="","",YEAR(Agent08_Savings!D128)),"")</f>
        <v/>
      </c>
    </row>
    <row r="1524" spans="1:11" ht="18" customHeight="1" x14ac:dyDescent="0.25">
      <c r="A1524" s="37" t="str">
        <f>IF(Agent08_Savings!A129="","",Agent08_Savings!A129)</f>
        <v/>
      </c>
      <c r="B1524" s="37" t="str">
        <f ca="1">IF(Agent08_Savings!A129="","","SV"&amp;TEXT(1524-3,"0000")&amp;"-"&amp;TEXT(TODAY(),"YYYYMMDD"))</f>
        <v/>
      </c>
      <c r="C1524" s="37" t="str">
        <f>IF(Agent08_Savings!A129="","",Agent08_Savings!B129)</f>
        <v/>
      </c>
      <c r="D1524" s="37" t="str">
        <f>IF(Agent08_Savings!A129="","",Agent08_Savings!G129)</f>
        <v/>
      </c>
      <c r="E1524" s="38" t="str">
        <f>IF(Agent08_Savings!A129="","",Agent08_Savings!D129)</f>
        <v/>
      </c>
      <c r="F1524" s="39" t="str">
        <f>IF(Agent08_Savings!A129="","",Agent08_Savings!E129)</f>
        <v/>
      </c>
      <c r="G1524" s="39" t="str">
        <f>IF(Agent08_Savings!A129="","",Agent08_Savings!F129)</f>
        <v/>
      </c>
      <c r="H1524" s="37" t="str">
        <f>IF(Agent08_Savings!A129="","",Agent08_Savings!I129)</f>
        <v/>
      </c>
      <c r="I1524" s="37" t="str">
        <f>IF(Agent08_Savings!A129="","",Agent08_Savings!J129)</f>
        <v/>
      </c>
      <c r="J1524" s="37" t="str">
        <f>IF(Agent08_Savings!A129="","",Agent08_Savings!K129)</f>
        <v/>
      </c>
      <c r="K1524" s="37" t="str">
        <f>IFERROR(IF(Agent08_Savings!A129="","",YEAR(Agent08_Savings!D129)),"")</f>
        <v/>
      </c>
    </row>
    <row r="1525" spans="1:11" ht="18" customHeight="1" x14ac:dyDescent="0.25">
      <c r="A1525" s="37" t="str">
        <f>IF(Agent08_Savings!A130="","",Agent08_Savings!A130)</f>
        <v/>
      </c>
      <c r="B1525" s="37" t="str">
        <f ca="1">IF(Agent08_Savings!A130="","","SV"&amp;TEXT(1525-3,"0000")&amp;"-"&amp;TEXT(TODAY(),"YYYYMMDD"))</f>
        <v/>
      </c>
      <c r="C1525" s="37" t="str">
        <f>IF(Agent08_Savings!A130="","",Agent08_Savings!B130)</f>
        <v/>
      </c>
      <c r="D1525" s="37" t="str">
        <f>IF(Agent08_Savings!A130="","",Agent08_Savings!G130)</f>
        <v/>
      </c>
      <c r="E1525" s="38" t="str">
        <f>IF(Agent08_Savings!A130="","",Agent08_Savings!D130)</f>
        <v/>
      </c>
      <c r="F1525" s="39" t="str">
        <f>IF(Agent08_Savings!A130="","",Agent08_Savings!E130)</f>
        <v/>
      </c>
      <c r="G1525" s="39" t="str">
        <f>IF(Agent08_Savings!A130="","",Agent08_Savings!F130)</f>
        <v/>
      </c>
      <c r="H1525" s="37" t="str">
        <f>IF(Agent08_Savings!A130="","",Agent08_Savings!I130)</f>
        <v/>
      </c>
      <c r="I1525" s="37" t="str">
        <f>IF(Agent08_Savings!A130="","",Agent08_Savings!J130)</f>
        <v/>
      </c>
      <c r="J1525" s="37" t="str">
        <f>IF(Agent08_Savings!A130="","",Agent08_Savings!K130)</f>
        <v/>
      </c>
      <c r="K1525" s="37" t="str">
        <f>IFERROR(IF(Agent08_Savings!A130="","",YEAR(Agent08_Savings!D130)),"")</f>
        <v/>
      </c>
    </row>
    <row r="1526" spans="1:11" ht="18" customHeight="1" x14ac:dyDescent="0.25">
      <c r="A1526" s="37" t="str">
        <f>IF(Agent08_Savings!A131="","",Agent08_Savings!A131)</f>
        <v/>
      </c>
      <c r="B1526" s="37" t="str">
        <f ca="1">IF(Agent08_Savings!A131="","","SV"&amp;TEXT(1526-3,"0000")&amp;"-"&amp;TEXT(TODAY(),"YYYYMMDD"))</f>
        <v/>
      </c>
      <c r="C1526" s="37" t="str">
        <f>IF(Agent08_Savings!A131="","",Agent08_Savings!B131)</f>
        <v/>
      </c>
      <c r="D1526" s="37" t="str">
        <f>IF(Agent08_Savings!A131="","",Agent08_Savings!G131)</f>
        <v/>
      </c>
      <c r="E1526" s="38" t="str">
        <f>IF(Agent08_Savings!A131="","",Agent08_Savings!D131)</f>
        <v/>
      </c>
      <c r="F1526" s="39" t="str">
        <f>IF(Agent08_Savings!A131="","",Agent08_Savings!E131)</f>
        <v/>
      </c>
      <c r="G1526" s="39" t="str">
        <f>IF(Agent08_Savings!A131="","",Agent08_Savings!F131)</f>
        <v/>
      </c>
      <c r="H1526" s="37" t="str">
        <f>IF(Agent08_Savings!A131="","",Agent08_Savings!I131)</f>
        <v/>
      </c>
      <c r="I1526" s="37" t="str">
        <f>IF(Agent08_Savings!A131="","",Agent08_Savings!J131)</f>
        <v/>
      </c>
      <c r="J1526" s="37" t="str">
        <f>IF(Agent08_Savings!A131="","",Agent08_Savings!K131)</f>
        <v/>
      </c>
      <c r="K1526" s="37" t="str">
        <f>IFERROR(IF(Agent08_Savings!A131="","",YEAR(Agent08_Savings!D131)),"")</f>
        <v/>
      </c>
    </row>
    <row r="1527" spans="1:11" ht="18" customHeight="1" x14ac:dyDescent="0.25">
      <c r="A1527" s="37" t="str">
        <f>IF(Agent08_Savings!A132="","",Agent08_Savings!A132)</f>
        <v/>
      </c>
      <c r="B1527" s="37" t="str">
        <f ca="1">IF(Agent08_Savings!A132="","","SV"&amp;TEXT(1527-3,"0000")&amp;"-"&amp;TEXT(TODAY(),"YYYYMMDD"))</f>
        <v/>
      </c>
      <c r="C1527" s="37" t="str">
        <f>IF(Agent08_Savings!A132="","",Agent08_Savings!B132)</f>
        <v/>
      </c>
      <c r="D1527" s="37" t="str">
        <f>IF(Agent08_Savings!A132="","",Agent08_Savings!G132)</f>
        <v/>
      </c>
      <c r="E1527" s="38" t="str">
        <f>IF(Agent08_Savings!A132="","",Agent08_Savings!D132)</f>
        <v/>
      </c>
      <c r="F1527" s="39" t="str">
        <f>IF(Agent08_Savings!A132="","",Agent08_Savings!E132)</f>
        <v/>
      </c>
      <c r="G1527" s="39" t="str">
        <f>IF(Agent08_Savings!A132="","",Agent08_Savings!F132)</f>
        <v/>
      </c>
      <c r="H1527" s="37" t="str">
        <f>IF(Agent08_Savings!A132="","",Agent08_Savings!I132)</f>
        <v/>
      </c>
      <c r="I1527" s="37" t="str">
        <f>IF(Agent08_Savings!A132="","",Agent08_Savings!J132)</f>
        <v/>
      </c>
      <c r="J1527" s="37" t="str">
        <f>IF(Agent08_Savings!A132="","",Agent08_Savings!K132)</f>
        <v/>
      </c>
      <c r="K1527" s="37" t="str">
        <f>IFERROR(IF(Agent08_Savings!A132="","",YEAR(Agent08_Savings!D132)),"")</f>
        <v/>
      </c>
    </row>
    <row r="1528" spans="1:11" ht="18" customHeight="1" x14ac:dyDescent="0.25">
      <c r="A1528" s="37" t="str">
        <f>IF(Agent08_Savings!A133="","",Agent08_Savings!A133)</f>
        <v/>
      </c>
      <c r="B1528" s="37" t="str">
        <f ca="1">IF(Agent08_Savings!A133="","","SV"&amp;TEXT(1528-3,"0000")&amp;"-"&amp;TEXT(TODAY(),"YYYYMMDD"))</f>
        <v/>
      </c>
      <c r="C1528" s="37" t="str">
        <f>IF(Agent08_Savings!A133="","",Agent08_Savings!B133)</f>
        <v/>
      </c>
      <c r="D1528" s="37" t="str">
        <f>IF(Agent08_Savings!A133="","",Agent08_Savings!G133)</f>
        <v/>
      </c>
      <c r="E1528" s="38" t="str">
        <f>IF(Agent08_Savings!A133="","",Agent08_Savings!D133)</f>
        <v/>
      </c>
      <c r="F1528" s="39" t="str">
        <f>IF(Agent08_Savings!A133="","",Agent08_Savings!E133)</f>
        <v/>
      </c>
      <c r="G1528" s="39" t="str">
        <f>IF(Agent08_Savings!A133="","",Agent08_Savings!F133)</f>
        <v/>
      </c>
      <c r="H1528" s="37" t="str">
        <f>IF(Agent08_Savings!A133="","",Agent08_Savings!I133)</f>
        <v/>
      </c>
      <c r="I1528" s="37" t="str">
        <f>IF(Agent08_Savings!A133="","",Agent08_Savings!J133)</f>
        <v/>
      </c>
      <c r="J1528" s="37" t="str">
        <f>IF(Agent08_Savings!A133="","",Agent08_Savings!K133)</f>
        <v/>
      </c>
      <c r="K1528" s="37" t="str">
        <f>IFERROR(IF(Agent08_Savings!A133="","",YEAR(Agent08_Savings!D133)),"")</f>
        <v/>
      </c>
    </row>
    <row r="1529" spans="1:11" ht="18" customHeight="1" x14ac:dyDescent="0.25">
      <c r="A1529" s="37" t="str">
        <f>IF(Agent08_Savings!A134="","",Agent08_Savings!A134)</f>
        <v/>
      </c>
      <c r="B1529" s="37" t="str">
        <f ca="1">IF(Agent08_Savings!A134="","","SV"&amp;TEXT(1529-3,"0000")&amp;"-"&amp;TEXT(TODAY(),"YYYYMMDD"))</f>
        <v/>
      </c>
      <c r="C1529" s="37" t="str">
        <f>IF(Agent08_Savings!A134="","",Agent08_Savings!B134)</f>
        <v/>
      </c>
      <c r="D1529" s="37" t="str">
        <f>IF(Agent08_Savings!A134="","",Agent08_Savings!G134)</f>
        <v/>
      </c>
      <c r="E1529" s="38" t="str">
        <f>IF(Agent08_Savings!A134="","",Agent08_Savings!D134)</f>
        <v/>
      </c>
      <c r="F1529" s="39" t="str">
        <f>IF(Agent08_Savings!A134="","",Agent08_Savings!E134)</f>
        <v/>
      </c>
      <c r="G1529" s="39" t="str">
        <f>IF(Agent08_Savings!A134="","",Agent08_Savings!F134)</f>
        <v/>
      </c>
      <c r="H1529" s="37" t="str">
        <f>IF(Agent08_Savings!A134="","",Agent08_Savings!I134)</f>
        <v/>
      </c>
      <c r="I1529" s="37" t="str">
        <f>IF(Agent08_Savings!A134="","",Agent08_Savings!J134)</f>
        <v/>
      </c>
      <c r="J1529" s="37" t="str">
        <f>IF(Agent08_Savings!A134="","",Agent08_Savings!K134)</f>
        <v/>
      </c>
      <c r="K1529" s="37" t="str">
        <f>IFERROR(IF(Agent08_Savings!A134="","",YEAR(Agent08_Savings!D134)),"")</f>
        <v/>
      </c>
    </row>
    <row r="1530" spans="1:11" ht="18" customHeight="1" x14ac:dyDescent="0.25">
      <c r="A1530" s="37" t="str">
        <f>IF(Agent08_Savings!A135="","",Agent08_Savings!A135)</f>
        <v/>
      </c>
      <c r="B1530" s="37" t="str">
        <f ca="1">IF(Agent08_Savings!A135="","","SV"&amp;TEXT(1530-3,"0000")&amp;"-"&amp;TEXT(TODAY(),"YYYYMMDD"))</f>
        <v/>
      </c>
      <c r="C1530" s="37" t="str">
        <f>IF(Agent08_Savings!A135="","",Agent08_Savings!B135)</f>
        <v/>
      </c>
      <c r="D1530" s="37" t="str">
        <f>IF(Agent08_Savings!A135="","",Agent08_Savings!G135)</f>
        <v/>
      </c>
      <c r="E1530" s="38" t="str">
        <f>IF(Agent08_Savings!A135="","",Agent08_Savings!D135)</f>
        <v/>
      </c>
      <c r="F1530" s="39" t="str">
        <f>IF(Agent08_Savings!A135="","",Agent08_Savings!E135)</f>
        <v/>
      </c>
      <c r="G1530" s="39" t="str">
        <f>IF(Agent08_Savings!A135="","",Agent08_Savings!F135)</f>
        <v/>
      </c>
      <c r="H1530" s="37" t="str">
        <f>IF(Agent08_Savings!A135="","",Agent08_Savings!I135)</f>
        <v/>
      </c>
      <c r="I1530" s="37" t="str">
        <f>IF(Agent08_Savings!A135="","",Agent08_Savings!J135)</f>
        <v/>
      </c>
      <c r="J1530" s="37" t="str">
        <f>IF(Agent08_Savings!A135="","",Agent08_Savings!K135)</f>
        <v/>
      </c>
      <c r="K1530" s="37" t="str">
        <f>IFERROR(IF(Agent08_Savings!A135="","",YEAR(Agent08_Savings!D135)),"")</f>
        <v/>
      </c>
    </row>
    <row r="1531" spans="1:11" ht="18" customHeight="1" x14ac:dyDescent="0.25">
      <c r="A1531" s="37" t="str">
        <f>IF(Agent08_Savings!A136="","",Agent08_Savings!A136)</f>
        <v/>
      </c>
      <c r="B1531" s="37" t="str">
        <f ca="1">IF(Agent08_Savings!A136="","","SV"&amp;TEXT(1531-3,"0000")&amp;"-"&amp;TEXT(TODAY(),"YYYYMMDD"))</f>
        <v/>
      </c>
      <c r="C1531" s="37" t="str">
        <f>IF(Agent08_Savings!A136="","",Agent08_Savings!B136)</f>
        <v/>
      </c>
      <c r="D1531" s="37" t="str">
        <f>IF(Agent08_Savings!A136="","",Agent08_Savings!G136)</f>
        <v/>
      </c>
      <c r="E1531" s="38" t="str">
        <f>IF(Agent08_Savings!A136="","",Agent08_Savings!D136)</f>
        <v/>
      </c>
      <c r="F1531" s="39" t="str">
        <f>IF(Agent08_Savings!A136="","",Agent08_Savings!E136)</f>
        <v/>
      </c>
      <c r="G1531" s="39" t="str">
        <f>IF(Agent08_Savings!A136="","",Agent08_Savings!F136)</f>
        <v/>
      </c>
      <c r="H1531" s="37" t="str">
        <f>IF(Agent08_Savings!A136="","",Agent08_Savings!I136)</f>
        <v/>
      </c>
      <c r="I1531" s="37" t="str">
        <f>IF(Agent08_Savings!A136="","",Agent08_Savings!J136)</f>
        <v/>
      </c>
      <c r="J1531" s="37" t="str">
        <f>IF(Agent08_Savings!A136="","",Agent08_Savings!K136)</f>
        <v/>
      </c>
      <c r="K1531" s="37" t="str">
        <f>IFERROR(IF(Agent08_Savings!A136="","",YEAR(Agent08_Savings!D136)),"")</f>
        <v/>
      </c>
    </row>
    <row r="1532" spans="1:11" ht="18" customHeight="1" x14ac:dyDescent="0.25">
      <c r="A1532" s="37" t="str">
        <f>IF(Agent08_Savings!A137="","",Agent08_Savings!A137)</f>
        <v/>
      </c>
      <c r="B1532" s="37" t="str">
        <f ca="1">IF(Agent08_Savings!A137="","","SV"&amp;TEXT(1532-3,"0000")&amp;"-"&amp;TEXT(TODAY(),"YYYYMMDD"))</f>
        <v/>
      </c>
      <c r="C1532" s="37" t="str">
        <f>IF(Agent08_Savings!A137="","",Agent08_Savings!B137)</f>
        <v/>
      </c>
      <c r="D1532" s="37" t="str">
        <f>IF(Agent08_Savings!A137="","",Agent08_Savings!G137)</f>
        <v/>
      </c>
      <c r="E1532" s="38" t="str">
        <f>IF(Agent08_Savings!A137="","",Agent08_Savings!D137)</f>
        <v/>
      </c>
      <c r="F1532" s="39" t="str">
        <f>IF(Agent08_Savings!A137="","",Agent08_Savings!E137)</f>
        <v/>
      </c>
      <c r="G1532" s="39" t="str">
        <f>IF(Agent08_Savings!A137="","",Agent08_Savings!F137)</f>
        <v/>
      </c>
      <c r="H1532" s="37" t="str">
        <f>IF(Agent08_Savings!A137="","",Agent08_Savings!I137)</f>
        <v/>
      </c>
      <c r="I1532" s="37" t="str">
        <f>IF(Agent08_Savings!A137="","",Agent08_Savings!J137)</f>
        <v/>
      </c>
      <c r="J1532" s="37" t="str">
        <f>IF(Agent08_Savings!A137="","",Agent08_Savings!K137)</f>
        <v/>
      </c>
      <c r="K1532" s="37" t="str">
        <f>IFERROR(IF(Agent08_Savings!A137="","",YEAR(Agent08_Savings!D137)),"")</f>
        <v/>
      </c>
    </row>
    <row r="1533" spans="1:11" ht="18" customHeight="1" x14ac:dyDescent="0.25">
      <c r="A1533" s="37" t="str">
        <f>IF(Agent08_Savings!A138="","",Agent08_Savings!A138)</f>
        <v/>
      </c>
      <c r="B1533" s="37" t="str">
        <f ca="1">IF(Agent08_Savings!A138="","","SV"&amp;TEXT(1533-3,"0000")&amp;"-"&amp;TEXT(TODAY(),"YYYYMMDD"))</f>
        <v/>
      </c>
      <c r="C1533" s="37" t="str">
        <f>IF(Agent08_Savings!A138="","",Agent08_Savings!B138)</f>
        <v/>
      </c>
      <c r="D1533" s="37" t="str">
        <f>IF(Agent08_Savings!A138="","",Agent08_Savings!G138)</f>
        <v/>
      </c>
      <c r="E1533" s="38" t="str">
        <f>IF(Agent08_Savings!A138="","",Agent08_Savings!D138)</f>
        <v/>
      </c>
      <c r="F1533" s="39" t="str">
        <f>IF(Agent08_Savings!A138="","",Agent08_Savings!E138)</f>
        <v/>
      </c>
      <c r="G1533" s="39" t="str">
        <f>IF(Agent08_Savings!A138="","",Agent08_Savings!F138)</f>
        <v/>
      </c>
      <c r="H1533" s="37" t="str">
        <f>IF(Agent08_Savings!A138="","",Agent08_Savings!I138)</f>
        <v/>
      </c>
      <c r="I1533" s="37" t="str">
        <f>IF(Agent08_Savings!A138="","",Agent08_Savings!J138)</f>
        <v/>
      </c>
      <c r="J1533" s="37" t="str">
        <f>IF(Agent08_Savings!A138="","",Agent08_Savings!K138)</f>
        <v/>
      </c>
      <c r="K1533" s="37" t="str">
        <f>IFERROR(IF(Agent08_Savings!A138="","",YEAR(Agent08_Savings!D138)),"")</f>
        <v/>
      </c>
    </row>
    <row r="1534" spans="1:11" ht="18" customHeight="1" x14ac:dyDescent="0.25">
      <c r="A1534" s="37" t="str">
        <f>IF(Agent08_Savings!A139="","",Agent08_Savings!A139)</f>
        <v/>
      </c>
      <c r="B1534" s="37" t="str">
        <f ca="1">IF(Agent08_Savings!A139="","","SV"&amp;TEXT(1534-3,"0000")&amp;"-"&amp;TEXT(TODAY(),"YYYYMMDD"))</f>
        <v/>
      </c>
      <c r="C1534" s="37" t="str">
        <f>IF(Agent08_Savings!A139="","",Agent08_Savings!B139)</f>
        <v/>
      </c>
      <c r="D1534" s="37" t="str">
        <f>IF(Agent08_Savings!A139="","",Agent08_Savings!G139)</f>
        <v/>
      </c>
      <c r="E1534" s="38" t="str">
        <f>IF(Agent08_Savings!A139="","",Agent08_Savings!D139)</f>
        <v/>
      </c>
      <c r="F1534" s="39" t="str">
        <f>IF(Agent08_Savings!A139="","",Agent08_Savings!E139)</f>
        <v/>
      </c>
      <c r="G1534" s="39" t="str">
        <f>IF(Agent08_Savings!A139="","",Agent08_Savings!F139)</f>
        <v/>
      </c>
      <c r="H1534" s="37" t="str">
        <f>IF(Agent08_Savings!A139="","",Agent08_Savings!I139)</f>
        <v/>
      </c>
      <c r="I1534" s="37" t="str">
        <f>IF(Agent08_Savings!A139="","",Agent08_Savings!J139)</f>
        <v/>
      </c>
      <c r="J1534" s="37" t="str">
        <f>IF(Agent08_Savings!A139="","",Agent08_Savings!K139)</f>
        <v/>
      </c>
      <c r="K1534" s="37" t="str">
        <f>IFERROR(IF(Agent08_Savings!A139="","",YEAR(Agent08_Savings!D139)),"")</f>
        <v/>
      </c>
    </row>
    <row r="1535" spans="1:11" ht="18" customHeight="1" x14ac:dyDescent="0.25">
      <c r="A1535" s="37" t="str">
        <f>IF(Agent08_Savings!A140="","",Agent08_Savings!A140)</f>
        <v/>
      </c>
      <c r="B1535" s="37" t="str">
        <f ca="1">IF(Agent08_Savings!A140="","","SV"&amp;TEXT(1535-3,"0000")&amp;"-"&amp;TEXT(TODAY(),"YYYYMMDD"))</f>
        <v/>
      </c>
      <c r="C1535" s="37" t="str">
        <f>IF(Agent08_Savings!A140="","",Agent08_Savings!B140)</f>
        <v/>
      </c>
      <c r="D1535" s="37" t="str">
        <f>IF(Agent08_Savings!A140="","",Agent08_Savings!G140)</f>
        <v/>
      </c>
      <c r="E1535" s="38" t="str">
        <f>IF(Agent08_Savings!A140="","",Agent08_Savings!D140)</f>
        <v/>
      </c>
      <c r="F1535" s="39" t="str">
        <f>IF(Agent08_Savings!A140="","",Agent08_Savings!E140)</f>
        <v/>
      </c>
      <c r="G1535" s="39" t="str">
        <f>IF(Agent08_Savings!A140="","",Agent08_Savings!F140)</f>
        <v/>
      </c>
      <c r="H1535" s="37" t="str">
        <f>IF(Agent08_Savings!A140="","",Agent08_Savings!I140)</f>
        <v/>
      </c>
      <c r="I1535" s="37" t="str">
        <f>IF(Agent08_Savings!A140="","",Agent08_Savings!J140)</f>
        <v/>
      </c>
      <c r="J1535" s="37" t="str">
        <f>IF(Agent08_Savings!A140="","",Agent08_Savings!K140)</f>
        <v/>
      </c>
      <c r="K1535" s="37" t="str">
        <f>IFERROR(IF(Agent08_Savings!A140="","",YEAR(Agent08_Savings!D140)),"")</f>
        <v/>
      </c>
    </row>
    <row r="1536" spans="1:11" ht="18" customHeight="1" x14ac:dyDescent="0.25">
      <c r="A1536" s="37" t="str">
        <f>IF(Agent08_Savings!A141="","",Agent08_Savings!A141)</f>
        <v/>
      </c>
      <c r="B1536" s="37" t="str">
        <f ca="1">IF(Agent08_Savings!A141="","","SV"&amp;TEXT(1536-3,"0000")&amp;"-"&amp;TEXT(TODAY(),"YYYYMMDD"))</f>
        <v/>
      </c>
      <c r="C1536" s="37" t="str">
        <f>IF(Agent08_Savings!A141="","",Agent08_Savings!B141)</f>
        <v/>
      </c>
      <c r="D1536" s="37" t="str">
        <f>IF(Agent08_Savings!A141="","",Agent08_Savings!G141)</f>
        <v/>
      </c>
      <c r="E1536" s="38" t="str">
        <f>IF(Agent08_Savings!A141="","",Agent08_Savings!D141)</f>
        <v/>
      </c>
      <c r="F1536" s="39" t="str">
        <f>IF(Agent08_Savings!A141="","",Agent08_Savings!E141)</f>
        <v/>
      </c>
      <c r="G1536" s="39" t="str">
        <f>IF(Agent08_Savings!A141="","",Agent08_Savings!F141)</f>
        <v/>
      </c>
      <c r="H1536" s="37" t="str">
        <f>IF(Agent08_Savings!A141="","",Agent08_Savings!I141)</f>
        <v/>
      </c>
      <c r="I1536" s="37" t="str">
        <f>IF(Agent08_Savings!A141="","",Agent08_Savings!J141)</f>
        <v/>
      </c>
      <c r="J1536" s="37" t="str">
        <f>IF(Agent08_Savings!A141="","",Agent08_Savings!K141)</f>
        <v/>
      </c>
      <c r="K1536" s="37" t="str">
        <f>IFERROR(IF(Agent08_Savings!A141="","",YEAR(Agent08_Savings!D141)),"")</f>
        <v/>
      </c>
    </row>
    <row r="1537" spans="1:11" ht="18" customHeight="1" x14ac:dyDescent="0.25">
      <c r="A1537" s="37" t="str">
        <f>IF(Agent08_Savings!A142="","",Agent08_Savings!A142)</f>
        <v/>
      </c>
      <c r="B1537" s="37" t="str">
        <f ca="1">IF(Agent08_Savings!A142="","","SV"&amp;TEXT(1537-3,"0000")&amp;"-"&amp;TEXT(TODAY(),"YYYYMMDD"))</f>
        <v/>
      </c>
      <c r="C1537" s="37" t="str">
        <f>IF(Agent08_Savings!A142="","",Agent08_Savings!B142)</f>
        <v/>
      </c>
      <c r="D1537" s="37" t="str">
        <f>IF(Agent08_Savings!A142="","",Agent08_Savings!G142)</f>
        <v/>
      </c>
      <c r="E1537" s="38" t="str">
        <f>IF(Agent08_Savings!A142="","",Agent08_Savings!D142)</f>
        <v/>
      </c>
      <c r="F1537" s="39" t="str">
        <f>IF(Agent08_Savings!A142="","",Agent08_Savings!E142)</f>
        <v/>
      </c>
      <c r="G1537" s="39" t="str">
        <f>IF(Agent08_Savings!A142="","",Agent08_Savings!F142)</f>
        <v/>
      </c>
      <c r="H1537" s="37" t="str">
        <f>IF(Agent08_Savings!A142="","",Agent08_Savings!I142)</f>
        <v/>
      </c>
      <c r="I1537" s="37" t="str">
        <f>IF(Agent08_Savings!A142="","",Agent08_Savings!J142)</f>
        <v/>
      </c>
      <c r="J1537" s="37" t="str">
        <f>IF(Agent08_Savings!A142="","",Agent08_Savings!K142)</f>
        <v/>
      </c>
      <c r="K1537" s="37" t="str">
        <f>IFERROR(IF(Agent08_Savings!A142="","",YEAR(Agent08_Savings!D142)),"")</f>
        <v/>
      </c>
    </row>
    <row r="1538" spans="1:11" ht="18" customHeight="1" x14ac:dyDescent="0.25">
      <c r="A1538" s="37" t="str">
        <f>IF(Agent08_Savings!A143="","",Agent08_Savings!A143)</f>
        <v/>
      </c>
      <c r="B1538" s="37" t="str">
        <f ca="1">IF(Agent08_Savings!A143="","","SV"&amp;TEXT(1538-3,"0000")&amp;"-"&amp;TEXT(TODAY(),"YYYYMMDD"))</f>
        <v/>
      </c>
      <c r="C1538" s="37" t="str">
        <f>IF(Agent08_Savings!A143="","",Agent08_Savings!B143)</f>
        <v/>
      </c>
      <c r="D1538" s="37" t="str">
        <f>IF(Agent08_Savings!A143="","",Agent08_Savings!G143)</f>
        <v/>
      </c>
      <c r="E1538" s="38" t="str">
        <f>IF(Agent08_Savings!A143="","",Agent08_Savings!D143)</f>
        <v/>
      </c>
      <c r="F1538" s="39" t="str">
        <f>IF(Agent08_Savings!A143="","",Agent08_Savings!E143)</f>
        <v/>
      </c>
      <c r="G1538" s="39" t="str">
        <f>IF(Agent08_Savings!A143="","",Agent08_Savings!F143)</f>
        <v/>
      </c>
      <c r="H1538" s="37" t="str">
        <f>IF(Agent08_Savings!A143="","",Agent08_Savings!I143)</f>
        <v/>
      </c>
      <c r="I1538" s="37" t="str">
        <f>IF(Agent08_Savings!A143="","",Agent08_Savings!J143)</f>
        <v/>
      </c>
      <c r="J1538" s="37" t="str">
        <f>IF(Agent08_Savings!A143="","",Agent08_Savings!K143)</f>
        <v/>
      </c>
      <c r="K1538" s="37" t="str">
        <f>IFERROR(IF(Agent08_Savings!A143="","",YEAR(Agent08_Savings!D143)),"")</f>
        <v/>
      </c>
    </row>
    <row r="1539" spans="1:11" ht="18" customHeight="1" x14ac:dyDescent="0.25">
      <c r="A1539" s="37" t="str">
        <f>IF(Agent08_Savings!A144="","",Agent08_Savings!A144)</f>
        <v/>
      </c>
      <c r="B1539" s="37" t="str">
        <f ca="1">IF(Agent08_Savings!A144="","","SV"&amp;TEXT(1539-3,"0000")&amp;"-"&amp;TEXT(TODAY(),"YYYYMMDD"))</f>
        <v/>
      </c>
      <c r="C1539" s="37" t="str">
        <f>IF(Agent08_Savings!A144="","",Agent08_Savings!B144)</f>
        <v/>
      </c>
      <c r="D1539" s="37" t="str">
        <f>IF(Agent08_Savings!A144="","",Agent08_Savings!G144)</f>
        <v/>
      </c>
      <c r="E1539" s="38" t="str">
        <f>IF(Agent08_Savings!A144="","",Agent08_Savings!D144)</f>
        <v/>
      </c>
      <c r="F1539" s="39" t="str">
        <f>IF(Agent08_Savings!A144="","",Agent08_Savings!E144)</f>
        <v/>
      </c>
      <c r="G1539" s="39" t="str">
        <f>IF(Agent08_Savings!A144="","",Agent08_Savings!F144)</f>
        <v/>
      </c>
      <c r="H1539" s="37" t="str">
        <f>IF(Agent08_Savings!A144="","",Agent08_Savings!I144)</f>
        <v/>
      </c>
      <c r="I1539" s="37" t="str">
        <f>IF(Agent08_Savings!A144="","",Agent08_Savings!J144)</f>
        <v/>
      </c>
      <c r="J1539" s="37" t="str">
        <f>IF(Agent08_Savings!A144="","",Agent08_Savings!K144)</f>
        <v/>
      </c>
      <c r="K1539" s="37" t="str">
        <f>IFERROR(IF(Agent08_Savings!A144="","",YEAR(Agent08_Savings!D144)),"")</f>
        <v/>
      </c>
    </row>
    <row r="1540" spans="1:11" ht="18" customHeight="1" x14ac:dyDescent="0.25">
      <c r="A1540" s="37" t="str">
        <f>IF(Agent08_Savings!A145="","",Agent08_Savings!A145)</f>
        <v/>
      </c>
      <c r="B1540" s="37" t="str">
        <f ca="1">IF(Agent08_Savings!A145="","","SV"&amp;TEXT(1540-3,"0000")&amp;"-"&amp;TEXT(TODAY(),"YYYYMMDD"))</f>
        <v/>
      </c>
      <c r="C1540" s="37" t="str">
        <f>IF(Agent08_Savings!A145="","",Agent08_Savings!B145)</f>
        <v/>
      </c>
      <c r="D1540" s="37" t="str">
        <f>IF(Agent08_Savings!A145="","",Agent08_Savings!G145)</f>
        <v/>
      </c>
      <c r="E1540" s="38" t="str">
        <f>IF(Agent08_Savings!A145="","",Agent08_Savings!D145)</f>
        <v/>
      </c>
      <c r="F1540" s="39" t="str">
        <f>IF(Agent08_Savings!A145="","",Agent08_Savings!E145)</f>
        <v/>
      </c>
      <c r="G1540" s="39" t="str">
        <f>IF(Agent08_Savings!A145="","",Agent08_Savings!F145)</f>
        <v/>
      </c>
      <c r="H1540" s="37" t="str">
        <f>IF(Agent08_Savings!A145="","",Agent08_Savings!I145)</f>
        <v/>
      </c>
      <c r="I1540" s="37" t="str">
        <f>IF(Agent08_Savings!A145="","",Agent08_Savings!J145)</f>
        <v/>
      </c>
      <c r="J1540" s="37" t="str">
        <f>IF(Agent08_Savings!A145="","",Agent08_Savings!K145)</f>
        <v/>
      </c>
      <c r="K1540" s="37" t="str">
        <f>IFERROR(IF(Agent08_Savings!A145="","",YEAR(Agent08_Savings!D145)),"")</f>
        <v/>
      </c>
    </row>
    <row r="1541" spans="1:11" ht="18" customHeight="1" x14ac:dyDescent="0.25">
      <c r="A1541" s="37" t="str">
        <f>IF(Agent08_Savings!A146="","",Agent08_Savings!A146)</f>
        <v/>
      </c>
      <c r="B1541" s="37" t="str">
        <f ca="1">IF(Agent08_Savings!A146="","","SV"&amp;TEXT(1541-3,"0000")&amp;"-"&amp;TEXT(TODAY(),"YYYYMMDD"))</f>
        <v/>
      </c>
      <c r="C1541" s="37" t="str">
        <f>IF(Agent08_Savings!A146="","",Agent08_Savings!B146)</f>
        <v/>
      </c>
      <c r="D1541" s="37" t="str">
        <f>IF(Agent08_Savings!A146="","",Agent08_Savings!G146)</f>
        <v/>
      </c>
      <c r="E1541" s="38" t="str">
        <f>IF(Agent08_Savings!A146="","",Agent08_Savings!D146)</f>
        <v/>
      </c>
      <c r="F1541" s="39" t="str">
        <f>IF(Agent08_Savings!A146="","",Agent08_Savings!E146)</f>
        <v/>
      </c>
      <c r="G1541" s="39" t="str">
        <f>IF(Agent08_Savings!A146="","",Agent08_Savings!F146)</f>
        <v/>
      </c>
      <c r="H1541" s="37" t="str">
        <f>IF(Agent08_Savings!A146="","",Agent08_Savings!I146)</f>
        <v/>
      </c>
      <c r="I1541" s="37" t="str">
        <f>IF(Agent08_Savings!A146="","",Agent08_Savings!J146)</f>
        <v/>
      </c>
      <c r="J1541" s="37" t="str">
        <f>IF(Agent08_Savings!A146="","",Agent08_Savings!K146)</f>
        <v/>
      </c>
      <c r="K1541" s="37" t="str">
        <f>IFERROR(IF(Agent08_Savings!A146="","",YEAR(Agent08_Savings!D146)),"")</f>
        <v/>
      </c>
    </row>
    <row r="1542" spans="1:11" ht="18" customHeight="1" x14ac:dyDescent="0.25">
      <c r="A1542" s="37" t="str">
        <f>IF(Agent08_Savings!A147="","",Agent08_Savings!A147)</f>
        <v/>
      </c>
      <c r="B1542" s="37" t="str">
        <f ca="1">IF(Agent08_Savings!A147="","","SV"&amp;TEXT(1542-3,"0000")&amp;"-"&amp;TEXT(TODAY(),"YYYYMMDD"))</f>
        <v/>
      </c>
      <c r="C1542" s="37" t="str">
        <f>IF(Agent08_Savings!A147="","",Agent08_Savings!B147)</f>
        <v/>
      </c>
      <c r="D1542" s="37" t="str">
        <f>IF(Agent08_Savings!A147="","",Agent08_Savings!G147)</f>
        <v/>
      </c>
      <c r="E1542" s="38" t="str">
        <f>IF(Agent08_Savings!A147="","",Agent08_Savings!D147)</f>
        <v/>
      </c>
      <c r="F1542" s="39" t="str">
        <f>IF(Agent08_Savings!A147="","",Agent08_Savings!E147)</f>
        <v/>
      </c>
      <c r="G1542" s="39" t="str">
        <f>IF(Agent08_Savings!A147="","",Agent08_Savings!F147)</f>
        <v/>
      </c>
      <c r="H1542" s="37" t="str">
        <f>IF(Agent08_Savings!A147="","",Agent08_Savings!I147)</f>
        <v/>
      </c>
      <c r="I1542" s="37" t="str">
        <f>IF(Agent08_Savings!A147="","",Agent08_Savings!J147)</f>
        <v/>
      </c>
      <c r="J1542" s="37" t="str">
        <f>IF(Agent08_Savings!A147="","",Agent08_Savings!K147)</f>
        <v/>
      </c>
      <c r="K1542" s="37" t="str">
        <f>IFERROR(IF(Agent08_Savings!A147="","",YEAR(Agent08_Savings!D147)),"")</f>
        <v/>
      </c>
    </row>
    <row r="1543" spans="1:11" ht="18" customHeight="1" x14ac:dyDescent="0.25">
      <c r="A1543" s="37" t="str">
        <f>IF(Agent08_Savings!A148="","",Agent08_Savings!A148)</f>
        <v/>
      </c>
      <c r="B1543" s="37" t="str">
        <f ca="1">IF(Agent08_Savings!A148="","","SV"&amp;TEXT(1543-3,"0000")&amp;"-"&amp;TEXT(TODAY(),"YYYYMMDD"))</f>
        <v/>
      </c>
      <c r="C1543" s="37" t="str">
        <f>IF(Agent08_Savings!A148="","",Agent08_Savings!B148)</f>
        <v/>
      </c>
      <c r="D1543" s="37" t="str">
        <f>IF(Agent08_Savings!A148="","",Agent08_Savings!G148)</f>
        <v/>
      </c>
      <c r="E1543" s="38" t="str">
        <f>IF(Agent08_Savings!A148="","",Agent08_Savings!D148)</f>
        <v/>
      </c>
      <c r="F1543" s="39" t="str">
        <f>IF(Agent08_Savings!A148="","",Agent08_Savings!E148)</f>
        <v/>
      </c>
      <c r="G1543" s="39" t="str">
        <f>IF(Agent08_Savings!A148="","",Agent08_Savings!F148)</f>
        <v/>
      </c>
      <c r="H1543" s="37" t="str">
        <f>IF(Agent08_Savings!A148="","",Agent08_Savings!I148)</f>
        <v/>
      </c>
      <c r="I1543" s="37" t="str">
        <f>IF(Agent08_Savings!A148="","",Agent08_Savings!J148)</f>
        <v/>
      </c>
      <c r="J1543" s="37" t="str">
        <f>IF(Agent08_Savings!A148="","",Agent08_Savings!K148)</f>
        <v/>
      </c>
      <c r="K1543" s="37" t="str">
        <f>IFERROR(IF(Agent08_Savings!A148="","",YEAR(Agent08_Savings!D148)),"")</f>
        <v/>
      </c>
    </row>
    <row r="1544" spans="1:11" ht="18" customHeight="1" x14ac:dyDescent="0.25">
      <c r="A1544" s="37" t="str">
        <f>IF(Agent08_Savings!A149="","",Agent08_Savings!A149)</f>
        <v/>
      </c>
      <c r="B1544" s="37" t="str">
        <f ca="1">IF(Agent08_Savings!A149="","","SV"&amp;TEXT(1544-3,"0000")&amp;"-"&amp;TEXT(TODAY(),"YYYYMMDD"))</f>
        <v/>
      </c>
      <c r="C1544" s="37" t="str">
        <f>IF(Agent08_Savings!A149="","",Agent08_Savings!B149)</f>
        <v/>
      </c>
      <c r="D1544" s="37" t="str">
        <f>IF(Agent08_Savings!A149="","",Agent08_Savings!G149)</f>
        <v/>
      </c>
      <c r="E1544" s="38" t="str">
        <f>IF(Agent08_Savings!A149="","",Agent08_Savings!D149)</f>
        <v/>
      </c>
      <c r="F1544" s="39" t="str">
        <f>IF(Agent08_Savings!A149="","",Agent08_Savings!E149)</f>
        <v/>
      </c>
      <c r="G1544" s="39" t="str">
        <f>IF(Agent08_Savings!A149="","",Agent08_Savings!F149)</f>
        <v/>
      </c>
      <c r="H1544" s="37" t="str">
        <f>IF(Agent08_Savings!A149="","",Agent08_Savings!I149)</f>
        <v/>
      </c>
      <c r="I1544" s="37" t="str">
        <f>IF(Agent08_Savings!A149="","",Agent08_Savings!J149)</f>
        <v/>
      </c>
      <c r="J1544" s="37" t="str">
        <f>IF(Agent08_Savings!A149="","",Agent08_Savings!K149)</f>
        <v/>
      </c>
      <c r="K1544" s="37" t="str">
        <f>IFERROR(IF(Agent08_Savings!A149="","",YEAR(Agent08_Savings!D149)),"")</f>
        <v/>
      </c>
    </row>
    <row r="1545" spans="1:11" ht="18" customHeight="1" x14ac:dyDescent="0.25">
      <c r="A1545" s="37" t="str">
        <f>IF(Agent08_Savings!A150="","",Agent08_Savings!A150)</f>
        <v/>
      </c>
      <c r="B1545" s="37" t="str">
        <f ca="1">IF(Agent08_Savings!A150="","","SV"&amp;TEXT(1545-3,"0000")&amp;"-"&amp;TEXT(TODAY(),"YYYYMMDD"))</f>
        <v/>
      </c>
      <c r="C1545" s="37" t="str">
        <f>IF(Agent08_Savings!A150="","",Agent08_Savings!B150)</f>
        <v/>
      </c>
      <c r="D1545" s="37" t="str">
        <f>IF(Agent08_Savings!A150="","",Agent08_Savings!G150)</f>
        <v/>
      </c>
      <c r="E1545" s="38" t="str">
        <f>IF(Agent08_Savings!A150="","",Agent08_Savings!D150)</f>
        <v/>
      </c>
      <c r="F1545" s="39" t="str">
        <f>IF(Agent08_Savings!A150="","",Agent08_Savings!E150)</f>
        <v/>
      </c>
      <c r="G1545" s="39" t="str">
        <f>IF(Agent08_Savings!A150="","",Agent08_Savings!F150)</f>
        <v/>
      </c>
      <c r="H1545" s="37" t="str">
        <f>IF(Agent08_Savings!A150="","",Agent08_Savings!I150)</f>
        <v/>
      </c>
      <c r="I1545" s="37" t="str">
        <f>IF(Agent08_Savings!A150="","",Agent08_Savings!J150)</f>
        <v/>
      </c>
      <c r="J1545" s="37" t="str">
        <f>IF(Agent08_Savings!A150="","",Agent08_Savings!K150)</f>
        <v/>
      </c>
      <c r="K1545" s="37" t="str">
        <f>IFERROR(IF(Agent08_Savings!A150="","",YEAR(Agent08_Savings!D150)),"")</f>
        <v/>
      </c>
    </row>
    <row r="1546" spans="1:11" ht="18" customHeight="1" x14ac:dyDescent="0.25">
      <c r="A1546" s="37" t="str">
        <f>IF(Agent08_Savings!A151="","",Agent08_Savings!A151)</f>
        <v/>
      </c>
      <c r="B1546" s="37" t="str">
        <f ca="1">IF(Agent08_Savings!A151="","","SV"&amp;TEXT(1546-3,"0000")&amp;"-"&amp;TEXT(TODAY(),"YYYYMMDD"))</f>
        <v/>
      </c>
      <c r="C1546" s="37" t="str">
        <f>IF(Agent08_Savings!A151="","",Agent08_Savings!B151)</f>
        <v/>
      </c>
      <c r="D1546" s="37" t="str">
        <f>IF(Agent08_Savings!A151="","",Agent08_Savings!G151)</f>
        <v/>
      </c>
      <c r="E1546" s="38" t="str">
        <f>IF(Agent08_Savings!A151="","",Agent08_Savings!D151)</f>
        <v/>
      </c>
      <c r="F1546" s="39" t="str">
        <f>IF(Agent08_Savings!A151="","",Agent08_Savings!E151)</f>
        <v/>
      </c>
      <c r="G1546" s="39" t="str">
        <f>IF(Agent08_Savings!A151="","",Agent08_Savings!F151)</f>
        <v/>
      </c>
      <c r="H1546" s="37" t="str">
        <f>IF(Agent08_Savings!A151="","",Agent08_Savings!I151)</f>
        <v/>
      </c>
      <c r="I1546" s="37" t="str">
        <f>IF(Agent08_Savings!A151="","",Agent08_Savings!J151)</f>
        <v/>
      </c>
      <c r="J1546" s="37" t="str">
        <f>IF(Agent08_Savings!A151="","",Agent08_Savings!K151)</f>
        <v/>
      </c>
      <c r="K1546" s="37" t="str">
        <f>IFERROR(IF(Agent08_Savings!A151="","",YEAR(Agent08_Savings!D151)),"")</f>
        <v/>
      </c>
    </row>
    <row r="1547" spans="1:11" ht="18" customHeight="1" x14ac:dyDescent="0.25">
      <c r="A1547" s="37" t="str">
        <f>IF(Agent08_Savings!A152="","",Agent08_Savings!A152)</f>
        <v/>
      </c>
      <c r="B1547" s="37" t="str">
        <f ca="1">IF(Agent08_Savings!A152="","","SV"&amp;TEXT(1547-3,"0000")&amp;"-"&amp;TEXT(TODAY(),"YYYYMMDD"))</f>
        <v/>
      </c>
      <c r="C1547" s="37" t="str">
        <f>IF(Agent08_Savings!A152="","",Agent08_Savings!B152)</f>
        <v/>
      </c>
      <c r="D1547" s="37" t="str">
        <f>IF(Agent08_Savings!A152="","",Agent08_Savings!G152)</f>
        <v/>
      </c>
      <c r="E1547" s="38" t="str">
        <f>IF(Agent08_Savings!A152="","",Agent08_Savings!D152)</f>
        <v/>
      </c>
      <c r="F1547" s="39" t="str">
        <f>IF(Agent08_Savings!A152="","",Agent08_Savings!E152)</f>
        <v/>
      </c>
      <c r="G1547" s="39" t="str">
        <f>IF(Agent08_Savings!A152="","",Agent08_Savings!F152)</f>
        <v/>
      </c>
      <c r="H1547" s="37" t="str">
        <f>IF(Agent08_Savings!A152="","",Agent08_Savings!I152)</f>
        <v/>
      </c>
      <c r="I1547" s="37" t="str">
        <f>IF(Agent08_Savings!A152="","",Agent08_Savings!J152)</f>
        <v/>
      </c>
      <c r="J1547" s="37" t="str">
        <f>IF(Agent08_Savings!A152="","",Agent08_Savings!K152)</f>
        <v/>
      </c>
      <c r="K1547" s="37" t="str">
        <f>IFERROR(IF(Agent08_Savings!A152="","",YEAR(Agent08_Savings!D152)),"")</f>
        <v/>
      </c>
    </row>
    <row r="1548" spans="1:11" ht="18" customHeight="1" x14ac:dyDescent="0.25">
      <c r="A1548" s="37" t="str">
        <f>IF(Agent08_Savings!A153="","",Agent08_Savings!A153)</f>
        <v/>
      </c>
      <c r="B1548" s="37" t="str">
        <f ca="1">IF(Agent08_Savings!A153="","","SV"&amp;TEXT(1548-3,"0000")&amp;"-"&amp;TEXT(TODAY(),"YYYYMMDD"))</f>
        <v/>
      </c>
      <c r="C1548" s="37" t="str">
        <f>IF(Agent08_Savings!A153="","",Agent08_Savings!B153)</f>
        <v/>
      </c>
      <c r="D1548" s="37" t="str">
        <f>IF(Agent08_Savings!A153="","",Agent08_Savings!G153)</f>
        <v/>
      </c>
      <c r="E1548" s="38" t="str">
        <f>IF(Agent08_Savings!A153="","",Agent08_Savings!D153)</f>
        <v/>
      </c>
      <c r="F1548" s="39" t="str">
        <f>IF(Agent08_Savings!A153="","",Agent08_Savings!E153)</f>
        <v/>
      </c>
      <c r="G1548" s="39" t="str">
        <f>IF(Agent08_Savings!A153="","",Agent08_Savings!F153)</f>
        <v/>
      </c>
      <c r="H1548" s="37" t="str">
        <f>IF(Agent08_Savings!A153="","",Agent08_Savings!I153)</f>
        <v/>
      </c>
      <c r="I1548" s="37" t="str">
        <f>IF(Agent08_Savings!A153="","",Agent08_Savings!J153)</f>
        <v/>
      </c>
      <c r="J1548" s="37" t="str">
        <f>IF(Agent08_Savings!A153="","",Agent08_Savings!K153)</f>
        <v/>
      </c>
      <c r="K1548" s="37" t="str">
        <f>IFERROR(IF(Agent08_Savings!A153="","",YEAR(Agent08_Savings!D153)),"")</f>
        <v/>
      </c>
    </row>
    <row r="1549" spans="1:11" ht="18" customHeight="1" x14ac:dyDescent="0.25">
      <c r="A1549" s="37" t="str">
        <f>IF(Agent08_Savings!A154="","",Agent08_Savings!A154)</f>
        <v/>
      </c>
      <c r="B1549" s="37" t="str">
        <f ca="1">IF(Agent08_Savings!A154="","","SV"&amp;TEXT(1549-3,"0000")&amp;"-"&amp;TEXT(TODAY(),"YYYYMMDD"))</f>
        <v/>
      </c>
      <c r="C1549" s="37" t="str">
        <f>IF(Agent08_Savings!A154="","",Agent08_Savings!B154)</f>
        <v/>
      </c>
      <c r="D1549" s="37" t="str">
        <f>IF(Agent08_Savings!A154="","",Agent08_Savings!G154)</f>
        <v/>
      </c>
      <c r="E1549" s="38" t="str">
        <f>IF(Agent08_Savings!A154="","",Agent08_Savings!D154)</f>
        <v/>
      </c>
      <c r="F1549" s="39" t="str">
        <f>IF(Agent08_Savings!A154="","",Agent08_Savings!E154)</f>
        <v/>
      </c>
      <c r="G1549" s="39" t="str">
        <f>IF(Agent08_Savings!A154="","",Agent08_Savings!F154)</f>
        <v/>
      </c>
      <c r="H1549" s="37" t="str">
        <f>IF(Agent08_Savings!A154="","",Agent08_Savings!I154)</f>
        <v/>
      </c>
      <c r="I1549" s="37" t="str">
        <f>IF(Agent08_Savings!A154="","",Agent08_Savings!J154)</f>
        <v/>
      </c>
      <c r="J1549" s="37" t="str">
        <f>IF(Agent08_Savings!A154="","",Agent08_Savings!K154)</f>
        <v/>
      </c>
      <c r="K1549" s="37" t="str">
        <f>IFERROR(IF(Agent08_Savings!A154="","",YEAR(Agent08_Savings!D154)),"")</f>
        <v/>
      </c>
    </row>
    <row r="1550" spans="1:11" ht="18" customHeight="1" x14ac:dyDescent="0.25">
      <c r="A1550" s="37" t="str">
        <f>IF(Agent08_Savings!A155="","",Agent08_Savings!A155)</f>
        <v/>
      </c>
      <c r="B1550" s="37" t="str">
        <f ca="1">IF(Agent08_Savings!A155="","","SV"&amp;TEXT(1550-3,"0000")&amp;"-"&amp;TEXT(TODAY(),"YYYYMMDD"))</f>
        <v/>
      </c>
      <c r="C1550" s="37" t="str">
        <f>IF(Agent08_Savings!A155="","",Agent08_Savings!B155)</f>
        <v/>
      </c>
      <c r="D1550" s="37" t="str">
        <f>IF(Agent08_Savings!A155="","",Agent08_Savings!G155)</f>
        <v/>
      </c>
      <c r="E1550" s="38" t="str">
        <f>IF(Agent08_Savings!A155="","",Agent08_Savings!D155)</f>
        <v/>
      </c>
      <c r="F1550" s="39" t="str">
        <f>IF(Agent08_Savings!A155="","",Agent08_Savings!E155)</f>
        <v/>
      </c>
      <c r="G1550" s="39" t="str">
        <f>IF(Agent08_Savings!A155="","",Agent08_Savings!F155)</f>
        <v/>
      </c>
      <c r="H1550" s="37" t="str">
        <f>IF(Agent08_Savings!A155="","",Agent08_Savings!I155)</f>
        <v/>
      </c>
      <c r="I1550" s="37" t="str">
        <f>IF(Agent08_Savings!A155="","",Agent08_Savings!J155)</f>
        <v/>
      </c>
      <c r="J1550" s="37" t="str">
        <f>IF(Agent08_Savings!A155="","",Agent08_Savings!K155)</f>
        <v/>
      </c>
      <c r="K1550" s="37" t="str">
        <f>IFERROR(IF(Agent08_Savings!A155="","",YEAR(Agent08_Savings!D155)),"")</f>
        <v/>
      </c>
    </row>
    <row r="1551" spans="1:11" ht="18" customHeight="1" x14ac:dyDescent="0.25">
      <c r="A1551" s="37" t="str">
        <f>IF(Agent08_Savings!A156="","",Agent08_Savings!A156)</f>
        <v/>
      </c>
      <c r="B1551" s="37" t="str">
        <f ca="1">IF(Agent08_Savings!A156="","","SV"&amp;TEXT(1551-3,"0000")&amp;"-"&amp;TEXT(TODAY(),"YYYYMMDD"))</f>
        <v/>
      </c>
      <c r="C1551" s="37" t="str">
        <f>IF(Agent08_Savings!A156="","",Agent08_Savings!B156)</f>
        <v/>
      </c>
      <c r="D1551" s="37" t="str">
        <f>IF(Agent08_Savings!A156="","",Agent08_Savings!G156)</f>
        <v/>
      </c>
      <c r="E1551" s="38" t="str">
        <f>IF(Agent08_Savings!A156="","",Agent08_Savings!D156)</f>
        <v/>
      </c>
      <c r="F1551" s="39" t="str">
        <f>IF(Agent08_Savings!A156="","",Agent08_Savings!E156)</f>
        <v/>
      </c>
      <c r="G1551" s="39" t="str">
        <f>IF(Agent08_Savings!A156="","",Agent08_Savings!F156)</f>
        <v/>
      </c>
      <c r="H1551" s="37" t="str">
        <f>IF(Agent08_Savings!A156="","",Agent08_Savings!I156)</f>
        <v/>
      </c>
      <c r="I1551" s="37" t="str">
        <f>IF(Agent08_Savings!A156="","",Agent08_Savings!J156)</f>
        <v/>
      </c>
      <c r="J1551" s="37" t="str">
        <f>IF(Agent08_Savings!A156="","",Agent08_Savings!K156)</f>
        <v/>
      </c>
      <c r="K1551" s="37" t="str">
        <f>IFERROR(IF(Agent08_Savings!A156="","",YEAR(Agent08_Savings!D156)),"")</f>
        <v/>
      </c>
    </row>
    <row r="1552" spans="1:11" ht="18" customHeight="1" x14ac:dyDescent="0.25">
      <c r="A1552" s="37" t="str">
        <f>IF(Agent08_Savings!A157="","",Agent08_Savings!A157)</f>
        <v/>
      </c>
      <c r="B1552" s="37" t="str">
        <f ca="1">IF(Agent08_Savings!A157="","","SV"&amp;TEXT(1552-3,"0000")&amp;"-"&amp;TEXT(TODAY(),"YYYYMMDD"))</f>
        <v/>
      </c>
      <c r="C1552" s="37" t="str">
        <f>IF(Agent08_Savings!A157="","",Agent08_Savings!B157)</f>
        <v/>
      </c>
      <c r="D1552" s="37" t="str">
        <f>IF(Agent08_Savings!A157="","",Agent08_Savings!G157)</f>
        <v/>
      </c>
      <c r="E1552" s="38" t="str">
        <f>IF(Agent08_Savings!A157="","",Agent08_Savings!D157)</f>
        <v/>
      </c>
      <c r="F1552" s="39" t="str">
        <f>IF(Agent08_Savings!A157="","",Agent08_Savings!E157)</f>
        <v/>
      </c>
      <c r="G1552" s="39" t="str">
        <f>IF(Agent08_Savings!A157="","",Agent08_Savings!F157)</f>
        <v/>
      </c>
      <c r="H1552" s="37" t="str">
        <f>IF(Agent08_Savings!A157="","",Agent08_Savings!I157)</f>
        <v/>
      </c>
      <c r="I1552" s="37" t="str">
        <f>IF(Agent08_Savings!A157="","",Agent08_Savings!J157)</f>
        <v/>
      </c>
      <c r="J1552" s="37" t="str">
        <f>IF(Agent08_Savings!A157="","",Agent08_Savings!K157)</f>
        <v/>
      </c>
      <c r="K1552" s="37" t="str">
        <f>IFERROR(IF(Agent08_Savings!A157="","",YEAR(Agent08_Savings!D157)),"")</f>
        <v/>
      </c>
    </row>
    <row r="1553" spans="1:11" ht="18" customHeight="1" x14ac:dyDescent="0.25">
      <c r="A1553" s="37" t="str">
        <f>IF(Agent08_Savings!A158="","",Agent08_Savings!A158)</f>
        <v/>
      </c>
      <c r="B1553" s="37" t="str">
        <f ca="1">IF(Agent08_Savings!A158="","","SV"&amp;TEXT(1553-3,"0000")&amp;"-"&amp;TEXT(TODAY(),"YYYYMMDD"))</f>
        <v/>
      </c>
      <c r="C1553" s="37" t="str">
        <f>IF(Agent08_Savings!A158="","",Agent08_Savings!B158)</f>
        <v/>
      </c>
      <c r="D1553" s="37" t="str">
        <f>IF(Agent08_Savings!A158="","",Agent08_Savings!G158)</f>
        <v/>
      </c>
      <c r="E1553" s="38" t="str">
        <f>IF(Agent08_Savings!A158="","",Agent08_Savings!D158)</f>
        <v/>
      </c>
      <c r="F1553" s="39" t="str">
        <f>IF(Agent08_Savings!A158="","",Agent08_Savings!E158)</f>
        <v/>
      </c>
      <c r="G1553" s="39" t="str">
        <f>IF(Agent08_Savings!A158="","",Agent08_Savings!F158)</f>
        <v/>
      </c>
      <c r="H1553" s="37" t="str">
        <f>IF(Agent08_Savings!A158="","",Agent08_Savings!I158)</f>
        <v/>
      </c>
      <c r="I1553" s="37" t="str">
        <f>IF(Agent08_Savings!A158="","",Agent08_Savings!J158)</f>
        <v/>
      </c>
      <c r="J1553" s="37" t="str">
        <f>IF(Agent08_Savings!A158="","",Agent08_Savings!K158)</f>
        <v/>
      </c>
      <c r="K1553" s="37" t="str">
        <f>IFERROR(IF(Agent08_Savings!A158="","",YEAR(Agent08_Savings!D158)),"")</f>
        <v/>
      </c>
    </row>
    <row r="1554" spans="1:11" ht="18" customHeight="1" x14ac:dyDescent="0.25">
      <c r="A1554" s="37" t="str">
        <f>IF(Agent08_Savings!A159="","",Agent08_Savings!A159)</f>
        <v/>
      </c>
      <c r="B1554" s="37" t="str">
        <f ca="1">IF(Agent08_Savings!A159="","","SV"&amp;TEXT(1554-3,"0000")&amp;"-"&amp;TEXT(TODAY(),"YYYYMMDD"))</f>
        <v/>
      </c>
      <c r="C1554" s="37" t="str">
        <f>IF(Agent08_Savings!A159="","",Agent08_Savings!B159)</f>
        <v/>
      </c>
      <c r="D1554" s="37" t="str">
        <f>IF(Agent08_Savings!A159="","",Agent08_Savings!G159)</f>
        <v/>
      </c>
      <c r="E1554" s="38" t="str">
        <f>IF(Agent08_Savings!A159="","",Agent08_Savings!D159)</f>
        <v/>
      </c>
      <c r="F1554" s="39" t="str">
        <f>IF(Agent08_Savings!A159="","",Agent08_Savings!E159)</f>
        <v/>
      </c>
      <c r="G1554" s="39" t="str">
        <f>IF(Agent08_Savings!A159="","",Agent08_Savings!F159)</f>
        <v/>
      </c>
      <c r="H1554" s="37" t="str">
        <f>IF(Agent08_Savings!A159="","",Agent08_Savings!I159)</f>
        <v/>
      </c>
      <c r="I1554" s="37" t="str">
        <f>IF(Agent08_Savings!A159="","",Agent08_Savings!J159)</f>
        <v/>
      </c>
      <c r="J1554" s="37" t="str">
        <f>IF(Agent08_Savings!A159="","",Agent08_Savings!K159)</f>
        <v/>
      </c>
      <c r="K1554" s="37" t="str">
        <f>IFERROR(IF(Agent08_Savings!A159="","",YEAR(Agent08_Savings!D159)),"")</f>
        <v/>
      </c>
    </row>
    <row r="1555" spans="1:11" ht="18" customHeight="1" x14ac:dyDescent="0.25">
      <c r="A1555" s="37" t="str">
        <f>IF(Agent08_Savings!A160="","",Agent08_Savings!A160)</f>
        <v/>
      </c>
      <c r="B1555" s="37" t="str">
        <f ca="1">IF(Agent08_Savings!A160="","","SV"&amp;TEXT(1555-3,"0000")&amp;"-"&amp;TEXT(TODAY(),"YYYYMMDD"))</f>
        <v/>
      </c>
      <c r="C1555" s="37" t="str">
        <f>IF(Agent08_Savings!A160="","",Agent08_Savings!B160)</f>
        <v/>
      </c>
      <c r="D1555" s="37" t="str">
        <f>IF(Agent08_Savings!A160="","",Agent08_Savings!G160)</f>
        <v/>
      </c>
      <c r="E1555" s="38" t="str">
        <f>IF(Agent08_Savings!A160="","",Agent08_Savings!D160)</f>
        <v/>
      </c>
      <c r="F1555" s="39" t="str">
        <f>IF(Agent08_Savings!A160="","",Agent08_Savings!E160)</f>
        <v/>
      </c>
      <c r="G1555" s="39" t="str">
        <f>IF(Agent08_Savings!A160="","",Agent08_Savings!F160)</f>
        <v/>
      </c>
      <c r="H1555" s="37" t="str">
        <f>IF(Agent08_Savings!A160="","",Agent08_Savings!I160)</f>
        <v/>
      </c>
      <c r="I1555" s="37" t="str">
        <f>IF(Agent08_Savings!A160="","",Agent08_Savings!J160)</f>
        <v/>
      </c>
      <c r="J1555" s="37" t="str">
        <f>IF(Agent08_Savings!A160="","",Agent08_Savings!K160)</f>
        <v/>
      </c>
      <c r="K1555" s="37" t="str">
        <f>IFERROR(IF(Agent08_Savings!A160="","",YEAR(Agent08_Savings!D160)),"")</f>
        <v/>
      </c>
    </row>
    <row r="1556" spans="1:11" ht="18" customHeight="1" x14ac:dyDescent="0.25">
      <c r="A1556" s="37" t="str">
        <f>IF(Agent08_Savings!A161="","",Agent08_Savings!A161)</f>
        <v/>
      </c>
      <c r="B1556" s="37" t="str">
        <f ca="1">IF(Agent08_Savings!A161="","","SV"&amp;TEXT(1556-3,"0000")&amp;"-"&amp;TEXT(TODAY(),"YYYYMMDD"))</f>
        <v/>
      </c>
      <c r="C1556" s="37" t="str">
        <f>IF(Agent08_Savings!A161="","",Agent08_Savings!B161)</f>
        <v/>
      </c>
      <c r="D1556" s="37" t="str">
        <f>IF(Agent08_Savings!A161="","",Agent08_Savings!G161)</f>
        <v/>
      </c>
      <c r="E1556" s="38" t="str">
        <f>IF(Agent08_Savings!A161="","",Agent08_Savings!D161)</f>
        <v/>
      </c>
      <c r="F1556" s="39" t="str">
        <f>IF(Agent08_Savings!A161="","",Agent08_Savings!E161)</f>
        <v/>
      </c>
      <c r="G1556" s="39" t="str">
        <f>IF(Agent08_Savings!A161="","",Agent08_Savings!F161)</f>
        <v/>
      </c>
      <c r="H1556" s="37" t="str">
        <f>IF(Agent08_Savings!A161="","",Agent08_Savings!I161)</f>
        <v/>
      </c>
      <c r="I1556" s="37" t="str">
        <f>IF(Agent08_Savings!A161="","",Agent08_Savings!J161)</f>
        <v/>
      </c>
      <c r="J1556" s="37" t="str">
        <f>IF(Agent08_Savings!A161="","",Agent08_Savings!K161)</f>
        <v/>
      </c>
      <c r="K1556" s="37" t="str">
        <f>IFERROR(IF(Agent08_Savings!A161="","",YEAR(Agent08_Savings!D161)),"")</f>
        <v/>
      </c>
    </row>
    <row r="1557" spans="1:11" ht="18" customHeight="1" x14ac:dyDescent="0.25">
      <c r="A1557" s="37" t="str">
        <f>IF(Agent08_Savings!A162="","",Agent08_Savings!A162)</f>
        <v/>
      </c>
      <c r="B1557" s="37" t="str">
        <f ca="1">IF(Agent08_Savings!A162="","","SV"&amp;TEXT(1557-3,"0000")&amp;"-"&amp;TEXT(TODAY(),"YYYYMMDD"))</f>
        <v/>
      </c>
      <c r="C1557" s="37" t="str">
        <f>IF(Agent08_Savings!A162="","",Agent08_Savings!B162)</f>
        <v/>
      </c>
      <c r="D1557" s="37" t="str">
        <f>IF(Agent08_Savings!A162="","",Agent08_Savings!G162)</f>
        <v/>
      </c>
      <c r="E1557" s="38" t="str">
        <f>IF(Agent08_Savings!A162="","",Agent08_Savings!D162)</f>
        <v/>
      </c>
      <c r="F1557" s="39" t="str">
        <f>IF(Agent08_Savings!A162="","",Agent08_Savings!E162)</f>
        <v/>
      </c>
      <c r="G1557" s="39" t="str">
        <f>IF(Agent08_Savings!A162="","",Agent08_Savings!F162)</f>
        <v/>
      </c>
      <c r="H1557" s="37" t="str">
        <f>IF(Agent08_Savings!A162="","",Agent08_Savings!I162)</f>
        <v/>
      </c>
      <c r="I1557" s="37" t="str">
        <f>IF(Agent08_Savings!A162="","",Agent08_Savings!J162)</f>
        <v/>
      </c>
      <c r="J1557" s="37" t="str">
        <f>IF(Agent08_Savings!A162="","",Agent08_Savings!K162)</f>
        <v/>
      </c>
      <c r="K1557" s="37" t="str">
        <f>IFERROR(IF(Agent08_Savings!A162="","",YEAR(Agent08_Savings!D162)),"")</f>
        <v/>
      </c>
    </row>
    <row r="1558" spans="1:11" ht="18" customHeight="1" x14ac:dyDescent="0.25">
      <c r="A1558" s="37" t="str">
        <f>IF(Agent08_Savings!A163="","",Agent08_Savings!A163)</f>
        <v/>
      </c>
      <c r="B1558" s="37" t="str">
        <f ca="1">IF(Agent08_Savings!A163="","","SV"&amp;TEXT(1558-3,"0000")&amp;"-"&amp;TEXT(TODAY(),"YYYYMMDD"))</f>
        <v/>
      </c>
      <c r="C1558" s="37" t="str">
        <f>IF(Agent08_Savings!A163="","",Agent08_Savings!B163)</f>
        <v/>
      </c>
      <c r="D1558" s="37" t="str">
        <f>IF(Agent08_Savings!A163="","",Agent08_Savings!G163)</f>
        <v/>
      </c>
      <c r="E1558" s="38" t="str">
        <f>IF(Agent08_Savings!A163="","",Agent08_Savings!D163)</f>
        <v/>
      </c>
      <c r="F1558" s="39" t="str">
        <f>IF(Agent08_Savings!A163="","",Agent08_Savings!E163)</f>
        <v/>
      </c>
      <c r="G1558" s="39" t="str">
        <f>IF(Agent08_Savings!A163="","",Agent08_Savings!F163)</f>
        <v/>
      </c>
      <c r="H1558" s="37" t="str">
        <f>IF(Agent08_Savings!A163="","",Agent08_Savings!I163)</f>
        <v/>
      </c>
      <c r="I1558" s="37" t="str">
        <f>IF(Agent08_Savings!A163="","",Agent08_Savings!J163)</f>
        <v/>
      </c>
      <c r="J1558" s="37" t="str">
        <f>IF(Agent08_Savings!A163="","",Agent08_Savings!K163)</f>
        <v/>
      </c>
      <c r="K1558" s="37" t="str">
        <f>IFERROR(IF(Agent08_Savings!A163="","",YEAR(Agent08_Savings!D163)),"")</f>
        <v/>
      </c>
    </row>
    <row r="1559" spans="1:11" ht="18" customHeight="1" x14ac:dyDescent="0.25">
      <c r="A1559" s="37" t="str">
        <f>IF(Agent08_Savings!A164="","",Agent08_Savings!A164)</f>
        <v/>
      </c>
      <c r="B1559" s="37" t="str">
        <f ca="1">IF(Agent08_Savings!A164="","","SV"&amp;TEXT(1559-3,"0000")&amp;"-"&amp;TEXT(TODAY(),"YYYYMMDD"))</f>
        <v/>
      </c>
      <c r="C1559" s="37" t="str">
        <f>IF(Agent08_Savings!A164="","",Agent08_Savings!B164)</f>
        <v/>
      </c>
      <c r="D1559" s="37" t="str">
        <f>IF(Agent08_Savings!A164="","",Agent08_Savings!G164)</f>
        <v/>
      </c>
      <c r="E1559" s="38" t="str">
        <f>IF(Agent08_Savings!A164="","",Agent08_Savings!D164)</f>
        <v/>
      </c>
      <c r="F1559" s="39" t="str">
        <f>IF(Agent08_Savings!A164="","",Agent08_Savings!E164)</f>
        <v/>
      </c>
      <c r="G1559" s="39" t="str">
        <f>IF(Agent08_Savings!A164="","",Agent08_Savings!F164)</f>
        <v/>
      </c>
      <c r="H1559" s="37" t="str">
        <f>IF(Agent08_Savings!A164="","",Agent08_Savings!I164)</f>
        <v/>
      </c>
      <c r="I1559" s="37" t="str">
        <f>IF(Agent08_Savings!A164="","",Agent08_Savings!J164)</f>
        <v/>
      </c>
      <c r="J1559" s="37" t="str">
        <f>IF(Agent08_Savings!A164="","",Agent08_Savings!K164)</f>
        <v/>
      </c>
      <c r="K1559" s="37" t="str">
        <f>IFERROR(IF(Agent08_Savings!A164="","",YEAR(Agent08_Savings!D164)),"")</f>
        <v/>
      </c>
    </row>
    <row r="1560" spans="1:11" ht="18" customHeight="1" x14ac:dyDescent="0.25">
      <c r="A1560" s="37" t="str">
        <f>IF(Agent08_Savings!A165="","",Agent08_Savings!A165)</f>
        <v/>
      </c>
      <c r="B1560" s="37" t="str">
        <f ca="1">IF(Agent08_Savings!A165="","","SV"&amp;TEXT(1560-3,"0000")&amp;"-"&amp;TEXT(TODAY(),"YYYYMMDD"))</f>
        <v/>
      </c>
      <c r="C1560" s="37" t="str">
        <f>IF(Agent08_Savings!A165="","",Agent08_Savings!B165)</f>
        <v/>
      </c>
      <c r="D1560" s="37" t="str">
        <f>IF(Agent08_Savings!A165="","",Agent08_Savings!G165)</f>
        <v/>
      </c>
      <c r="E1560" s="38" t="str">
        <f>IF(Agent08_Savings!A165="","",Agent08_Savings!D165)</f>
        <v/>
      </c>
      <c r="F1560" s="39" t="str">
        <f>IF(Agent08_Savings!A165="","",Agent08_Savings!E165)</f>
        <v/>
      </c>
      <c r="G1560" s="39" t="str">
        <f>IF(Agent08_Savings!A165="","",Agent08_Savings!F165)</f>
        <v/>
      </c>
      <c r="H1560" s="37" t="str">
        <f>IF(Agent08_Savings!A165="","",Agent08_Savings!I165)</f>
        <v/>
      </c>
      <c r="I1560" s="37" t="str">
        <f>IF(Agent08_Savings!A165="","",Agent08_Savings!J165)</f>
        <v/>
      </c>
      <c r="J1560" s="37" t="str">
        <f>IF(Agent08_Savings!A165="","",Agent08_Savings!K165)</f>
        <v/>
      </c>
      <c r="K1560" s="37" t="str">
        <f>IFERROR(IF(Agent08_Savings!A165="","",YEAR(Agent08_Savings!D165)),"")</f>
        <v/>
      </c>
    </row>
    <row r="1561" spans="1:11" ht="18" customHeight="1" x14ac:dyDescent="0.25">
      <c r="A1561" s="37" t="str">
        <f>IF(Agent08_Savings!A166="","",Agent08_Savings!A166)</f>
        <v/>
      </c>
      <c r="B1561" s="37" t="str">
        <f ca="1">IF(Agent08_Savings!A166="","","SV"&amp;TEXT(1561-3,"0000")&amp;"-"&amp;TEXT(TODAY(),"YYYYMMDD"))</f>
        <v/>
      </c>
      <c r="C1561" s="37" t="str">
        <f>IF(Agent08_Savings!A166="","",Agent08_Savings!B166)</f>
        <v/>
      </c>
      <c r="D1561" s="37" t="str">
        <f>IF(Agent08_Savings!A166="","",Agent08_Savings!G166)</f>
        <v/>
      </c>
      <c r="E1561" s="38" t="str">
        <f>IF(Agent08_Savings!A166="","",Agent08_Savings!D166)</f>
        <v/>
      </c>
      <c r="F1561" s="39" t="str">
        <f>IF(Agent08_Savings!A166="","",Agent08_Savings!E166)</f>
        <v/>
      </c>
      <c r="G1561" s="39" t="str">
        <f>IF(Agent08_Savings!A166="","",Agent08_Savings!F166)</f>
        <v/>
      </c>
      <c r="H1561" s="37" t="str">
        <f>IF(Agent08_Savings!A166="","",Agent08_Savings!I166)</f>
        <v/>
      </c>
      <c r="I1561" s="37" t="str">
        <f>IF(Agent08_Savings!A166="","",Agent08_Savings!J166)</f>
        <v/>
      </c>
      <c r="J1561" s="37" t="str">
        <f>IF(Agent08_Savings!A166="","",Agent08_Savings!K166)</f>
        <v/>
      </c>
      <c r="K1561" s="37" t="str">
        <f>IFERROR(IF(Agent08_Savings!A166="","",YEAR(Agent08_Savings!D166)),"")</f>
        <v/>
      </c>
    </row>
    <row r="1562" spans="1:11" ht="18" customHeight="1" x14ac:dyDescent="0.25">
      <c r="A1562" s="37" t="str">
        <f>IF(Agent08_Savings!A167="","",Agent08_Savings!A167)</f>
        <v/>
      </c>
      <c r="B1562" s="37" t="str">
        <f ca="1">IF(Agent08_Savings!A167="","","SV"&amp;TEXT(1562-3,"0000")&amp;"-"&amp;TEXT(TODAY(),"YYYYMMDD"))</f>
        <v/>
      </c>
      <c r="C1562" s="37" t="str">
        <f>IF(Agent08_Savings!A167="","",Agent08_Savings!B167)</f>
        <v/>
      </c>
      <c r="D1562" s="37" t="str">
        <f>IF(Agent08_Savings!A167="","",Agent08_Savings!G167)</f>
        <v/>
      </c>
      <c r="E1562" s="38" t="str">
        <f>IF(Agent08_Savings!A167="","",Agent08_Savings!D167)</f>
        <v/>
      </c>
      <c r="F1562" s="39" t="str">
        <f>IF(Agent08_Savings!A167="","",Agent08_Savings!E167)</f>
        <v/>
      </c>
      <c r="G1562" s="39" t="str">
        <f>IF(Agent08_Savings!A167="","",Agent08_Savings!F167)</f>
        <v/>
      </c>
      <c r="H1562" s="37" t="str">
        <f>IF(Agent08_Savings!A167="","",Agent08_Savings!I167)</f>
        <v/>
      </c>
      <c r="I1562" s="37" t="str">
        <f>IF(Agent08_Savings!A167="","",Agent08_Savings!J167)</f>
        <v/>
      </c>
      <c r="J1562" s="37" t="str">
        <f>IF(Agent08_Savings!A167="","",Agent08_Savings!K167)</f>
        <v/>
      </c>
      <c r="K1562" s="37" t="str">
        <f>IFERROR(IF(Agent08_Savings!A167="","",YEAR(Agent08_Savings!D167)),"")</f>
        <v/>
      </c>
    </row>
    <row r="1563" spans="1:11" ht="18" customHeight="1" x14ac:dyDescent="0.25">
      <c r="A1563" s="37" t="str">
        <f>IF(Agent08_Savings!A168="","",Agent08_Savings!A168)</f>
        <v/>
      </c>
      <c r="B1563" s="37" t="str">
        <f ca="1">IF(Agent08_Savings!A168="","","SV"&amp;TEXT(1563-3,"0000")&amp;"-"&amp;TEXT(TODAY(),"YYYYMMDD"))</f>
        <v/>
      </c>
      <c r="C1563" s="37" t="str">
        <f>IF(Agent08_Savings!A168="","",Agent08_Savings!B168)</f>
        <v/>
      </c>
      <c r="D1563" s="37" t="str">
        <f>IF(Agent08_Savings!A168="","",Agent08_Savings!G168)</f>
        <v/>
      </c>
      <c r="E1563" s="38" t="str">
        <f>IF(Agent08_Savings!A168="","",Agent08_Savings!D168)</f>
        <v/>
      </c>
      <c r="F1563" s="39" t="str">
        <f>IF(Agent08_Savings!A168="","",Agent08_Savings!E168)</f>
        <v/>
      </c>
      <c r="G1563" s="39" t="str">
        <f>IF(Agent08_Savings!A168="","",Agent08_Savings!F168)</f>
        <v/>
      </c>
      <c r="H1563" s="37" t="str">
        <f>IF(Agent08_Savings!A168="","",Agent08_Savings!I168)</f>
        <v/>
      </c>
      <c r="I1563" s="37" t="str">
        <f>IF(Agent08_Savings!A168="","",Agent08_Savings!J168)</f>
        <v/>
      </c>
      <c r="J1563" s="37" t="str">
        <f>IF(Agent08_Savings!A168="","",Agent08_Savings!K168)</f>
        <v/>
      </c>
      <c r="K1563" s="37" t="str">
        <f>IFERROR(IF(Agent08_Savings!A168="","",YEAR(Agent08_Savings!D168)),"")</f>
        <v/>
      </c>
    </row>
    <row r="1564" spans="1:11" ht="18" customHeight="1" x14ac:dyDescent="0.25">
      <c r="A1564" s="37" t="str">
        <f>IF(Agent08_Savings!A169="","",Agent08_Savings!A169)</f>
        <v/>
      </c>
      <c r="B1564" s="37" t="str">
        <f ca="1">IF(Agent08_Savings!A169="","","SV"&amp;TEXT(1564-3,"0000")&amp;"-"&amp;TEXT(TODAY(),"YYYYMMDD"))</f>
        <v/>
      </c>
      <c r="C1564" s="37" t="str">
        <f>IF(Agent08_Savings!A169="","",Agent08_Savings!B169)</f>
        <v/>
      </c>
      <c r="D1564" s="37" t="str">
        <f>IF(Agent08_Savings!A169="","",Agent08_Savings!G169)</f>
        <v/>
      </c>
      <c r="E1564" s="38" t="str">
        <f>IF(Agent08_Savings!A169="","",Agent08_Savings!D169)</f>
        <v/>
      </c>
      <c r="F1564" s="39" t="str">
        <f>IF(Agent08_Savings!A169="","",Agent08_Savings!E169)</f>
        <v/>
      </c>
      <c r="G1564" s="39" t="str">
        <f>IF(Agent08_Savings!A169="","",Agent08_Savings!F169)</f>
        <v/>
      </c>
      <c r="H1564" s="37" t="str">
        <f>IF(Agent08_Savings!A169="","",Agent08_Savings!I169)</f>
        <v/>
      </c>
      <c r="I1564" s="37" t="str">
        <f>IF(Agent08_Savings!A169="","",Agent08_Savings!J169)</f>
        <v/>
      </c>
      <c r="J1564" s="37" t="str">
        <f>IF(Agent08_Savings!A169="","",Agent08_Savings!K169)</f>
        <v/>
      </c>
      <c r="K1564" s="37" t="str">
        <f>IFERROR(IF(Agent08_Savings!A169="","",YEAR(Agent08_Savings!D169)),"")</f>
        <v/>
      </c>
    </row>
    <row r="1565" spans="1:11" ht="18" customHeight="1" x14ac:dyDescent="0.25">
      <c r="A1565" s="37" t="str">
        <f>IF(Agent08_Savings!A170="","",Agent08_Savings!A170)</f>
        <v/>
      </c>
      <c r="B1565" s="37" t="str">
        <f ca="1">IF(Agent08_Savings!A170="","","SV"&amp;TEXT(1565-3,"0000")&amp;"-"&amp;TEXT(TODAY(),"YYYYMMDD"))</f>
        <v/>
      </c>
      <c r="C1565" s="37" t="str">
        <f>IF(Agent08_Savings!A170="","",Agent08_Savings!B170)</f>
        <v/>
      </c>
      <c r="D1565" s="37" t="str">
        <f>IF(Agent08_Savings!A170="","",Agent08_Savings!G170)</f>
        <v/>
      </c>
      <c r="E1565" s="38" t="str">
        <f>IF(Agent08_Savings!A170="","",Agent08_Savings!D170)</f>
        <v/>
      </c>
      <c r="F1565" s="39" t="str">
        <f>IF(Agent08_Savings!A170="","",Agent08_Savings!E170)</f>
        <v/>
      </c>
      <c r="G1565" s="39" t="str">
        <f>IF(Agent08_Savings!A170="","",Agent08_Savings!F170)</f>
        <v/>
      </c>
      <c r="H1565" s="37" t="str">
        <f>IF(Agent08_Savings!A170="","",Agent08_Savings!I170)</f>
        <v/>
      </c>
      <c r="I1565" s="37" t="str">
        <f>IF(Agent08_Savings!A170="","",Agent08_Savings!J170)</f>
        <v/>
      </c>
      <c r="J1565" s="37" t="str">
        <f>IF(Agent08_Savings!A170="","",Agent08_Savings!K170)</f>
        <v/>
      </c>
      <c r="K1565" s="37" t="str">
        <f>IFERROR(IF(Agent08_Savings!A170="","",YEAR(Agent08_Savings!D170)),"")</f>
        <v/>
      </c>
    </row>
    <row r="1566" spans="1:11" ht="18" customHeight="1" x14ac:dyDescent="0.25">
      <c r="A1566" s="37" t="str">
        <f>IF(Agent08_Savings!A171="","",Agent08_Savings!A171)</f>
        <v/>
      </c>
      <c r="B1566" s="37" t="str">
        <f ca="1">IF(Agent08_Savings!A171="","","SV"&amp;TEXT(1566-3,"0000")&amp;"-"&amp;TEXT(TODAY(),"YYYYMMDD"))</f>
        <v/>
      </c>
      <c r="C1566" s="37" t="str">
        <f>IF(Agent08_Savings!A171="","",Agent08_Savings!B171)</f>
        <v/>
      </c>
      <c r="D1566" s="37" t="str">
        <f>IF(Agent08_Savings!A171="","",Agent08_Savings!G171)</f>
        <v/>
      </c>
      <c r="E1566" s="38" t="str">
        <f>IF(Agent08_Savings!A171="","",Agent08_Savings!D171)</f>
        <v/>
      </c>
      <c r="F1566" s="39" t="str">
        <f>IF(Agent08_Savings!A171="","",Agent08_Savings!E171)</f>
        <v/>
      </c>
      <c r="G1566" s="39" t="str">
        <f>IF(Agent08_Savings!A171="","",Agent08_Savings!F171)</f>
        <v/>
      </c>
      <c r="H1566" s="37" t="str">
        <f>IF(Agent08_Savings!A171="","",Agent08_Savings!I171)</f>
        <v/>
      </c>
      <c r="I1566" s="37" t="str">
        <f>IF(Agent08_Savings!A171="","",Agent08_Savings!J171)</f>
        <v/>
      </c>
      <c r="J1566" s="37" t="str">
        <f>IF(Agent08_Savings!A171="","",Agent08_Savings!K171)</f>
        <v/>
      </c>
      <c r="K1566" s="37" t="str">
        <f>IFERROR(IF(Agent08_Savings!A171="","",YEAR(Agent08_Savings!D171)),"")</f>
        <v/>
      </c>
    </row>
    <row r="1567" spans="1:11" ht="18" customHeight="1" x14ac:dyDescent="0.25">
      <c r="A1567" s="37" t="str">
        <f>IF(Agent08_Savings!A172="","",Agent08_Savings!A172)</f>
        <v/>
      </c>
      <c r="B1567" s="37" t="str">
        <f ca="1">IF(Agent08_Savings!A172="","","SV"&amp;TEXT(1567-3,"0000")&amp;"-"&amp;TEXT(TODAY(),"YYYYMMDD"))</f>
        <v/>
      </c>
      <c r="C1567" s="37" t="str">
        <f>IF(Agent08_Savings!A172="","",Agent08_Savings!B172)</f>
        <v/>
      </c>
      <c r="D1567" s="37" t="str">
        <f>IF(Agent08_Savings!A172="","",Agent08_Savings!G172)</f>
        <v/>
      </c>
      <c r="E1567" s="38" t="str">
        <f>IF(Agent08_Savings!A172="","",Agent08_Savings!D172)</f>
        <v/>
      </c>
      <c r="F1567" s="39" t="str">
        <f>IF(Agent08_Savings!A172="","",Agent08_Savings!E172)</f>
        <v/>
      </c>
      <c r="G1567" s="39" t="str">
        <f>IF(Agent08_Savings!A172="","",Agent08_Savings!F172)</f>
        <v/>
      </c>
      <c r="H1567" s="37" t="str">
        <f>IF(Agent08_Savings!A172="","",Agent08_Savings!I172)</f>
        <v/>
      </c>
      <c r="I1567" s="37" t="str">
        <f>IF(Agent08_Savings!A172="","",Agent08_Savings!J172)</f>
        <v/>
      </c>
      <c r="J1567" s="37" t="str">
        <f>IF(Agent08_Savings!A172="","",Agent08_Savings!K172)</f>
        <v/>
      </c>
      <c r="K1567" s="37" t="str">
        <f>IFERROR(IF(Agent08_Savings!A172="","",YEAR(Agent08_Savings!D172)),"")</f>
        <v/>
      </c>
    </row>
    <row r="1568" spans="1:11" ht="18" customHeight="1" x14ac:dyDescent="0.25">
      <c r="A1568" s="37" t="str">
        <f>IF(Agent08_Savings!A173="","",Agent08_Savings!A173)</f>
        <v/>
      </c>
      <c r="B1568" s="37" t="str">
        <f ca="1">IF(Agent08_Savings!A173="","","SV"&amp;TEXT(1568-3,"0000")&amp;"-"&amp;TEXT(TODAY(),"YYYYMMDD"))</f>
        <v/>
      </c>
      <c r="C1568" s="37" t="str">
        <f>IF(Agent08_Savings!A173="","",Agent08_Savings!B173)</f>
        <v/>
      </c>
      <c r="D1568" s="37" t="str">
        <f>IF(Agent08_Savings!A173="","",Agent08_Savings!G173)</f>
        <v/>
      </c>
      <c r="E1568" s="38" t="str">
        <f>IF(Agent08_Savings!A173="","",Agent08_Savings!D173)</f>
        <v/>
      </c>
      <c r="F1568" s="39" t="str">
        <f>IF(Agent08_Savings!A173="","",Agent08_Savings!E173)</f>
        <v/>
      </c>
      <c r="G1568" s="39" t="str">
        <f>IF(Agent08_Savings!A173="","",Agent08_Savings!F173)</f>
        <v/>
      </c>
      <c r="H1568" s="37" t="str">
        <f>IF(Agent08_Savings!A173="","",Agent08_Savings!I173)</f>
        <v/>
      </c>
      <c r="I1568" s="37" t="str">
        <f>IF(Agent08_Savings!A173="","",Agent08_Savings!J173)</f>
        <v/>
      </c>
      <c r="J1568" s="37" t="str">
        <f>IF(Agent08_Savings!A173="","",Agent08_Savings!K173)</f>
        <v/>
      </c>
      <c r="K1568" s="37" t="str">
        <f>IFERROR(IF(Agent08_Savings!A173="","",YEAR(Agent08_Savings!D173)),"")</f>
        <v/>
      </c>
    </row>
    <row r="1569" spans="1:11" ht="18" customHeight="1" x14ac:dyDescent="0.25">
      <c r="A1569" s="37" t="str">
        <f>IF(Agent08_Savings!A174="","",Agent08_Savings!A174)</f>
        <v/>
      </c>
      <c r="B1569" s="37" t="str">
        <f ca="1">IF(Agent08_Savings!A174="","","SV"&amp;TEXT(1569-3,"0000")&amp;"-"&amp;TEXT(TODAY(),"YYYYMMDD"))</f>
        <v/>
      </c>
      <c r="C1569" s="37" t="str">
        <f>IF(Agent08_Savings!A174="","",Agent08_Savings!B174)</f>
        <v/>
      </c>
      <c r="D1569" s="37" t="str">
        <f>IF(Agent08_Savings!A174="","",Agent08_Savings!G174)</f>
        <v/>
      </c>
      <c r="E1569" s="38" t="str">
        <f>IF(Agent08_Savings!A174="","",Agent08_Savings!D174)</f>
        <v/>
      </c>
      <c r="F1569" s="39" t="str">
        <f>IF(Agent08_Savings!A174="","",Agent08_Savings!E174)</f>
        <v/>
      </c>
      <c r="G1569" s="39" t="str">
        <f>IF(Agent08_Savings!A174="","",Agent08_Savings!F174)</f>
        <v/>
      </c>
      <c r="H1569" s="37" t="str">
        <f>IF(Agent08_Savings!A174="","",Agent08_Savings!I174)</f>
        <v/>
      </c>
      <c r="I1569" s="37" t="str">
        <f>IF(Agent08_Savings!A174="","",Agent08_Savings!J174)</f>
        <v/>
      </c>
      <c r="J1569" s="37" t="str">
        <f>IF(Agent08_Savings!A174="","",Agent08_Savings!K174)</f>
        <v/>
      </c>
      <c r="K1569" s="37" t="str">
        <f>IFERROR(IF(Agent08_Savings!A174="","",YEAR(Agent08_Savings!D174)),"")</f>
        <v/>
      </c>
    </row>
    <row r="1570" spans="1:11" ht="18" customHeight="1" x14ac:dyDescent="0.25">
      <c r="A1570" s="37" t="str">
        <f>IF(Agent08_Savings!A175="","",Agent08_Savings!A175)</f>
        <v/>
      </c>
      <c r="B1570" s="37" t="str">
        <f ca="1">IF(Agent08_Savings!A175="","","SV"&amp;TEXT(1570-3,"0000")&amp;"-"&amp;TEXT(TODAY(),"YYYYMMDD"))</f>
        <v/>
      </c>
      <c r="C1570" s="37" t="str">
        <f>IF(Agent08_Savings!A175="","",Agent08_Savings!B175)</f>
        <v/>
      </c>
      <c r="D1570" s="37" t="str">
        <f>IF(Agent08_Savings!A175="","",Agent08_Savings!G175)</f>
        <v/>
      </c>
      <c r="E1570" s="38" t="str">
        <f>IF(Agent08_Savings!A175="","",Agent08_Savings!D175)</f>
        <v/>
      </c>
      <c r="F1570" s="39" t="str">
        <f>IF(Agent08_Savings!A175="","",Agent08_Savings!E175)</f>
        <v/>
      </c>
      <c r="G1570" s="39" t="str">
        <f>IF(Agent08_Savings!A175="","",Agent08_Savings!F175)</f>
        <v/>
      </c>
      <c r="H1570" s="37" t="str">
        <f>IF(Agent08_Savings!A175="","",Agent08_Savings!I175)</f>
        <v/>
      </c>
      <c r="I1570" s="37" t="str">
        <f>IF(Agent08_Savings!A175="","",Agent08_Savings!J175)</f>
        <v/>
      </c>
      <c r="J1570" s="37" t="str">
        <f>IF(Agent08_Savings!A175="","",Agent08_Savings!K175)</f>
        <v/>
      </c>
      <c r="K1570" s="37" t="str">
        <f>IFERROR(IF(Agent08_Savings!A175="","",YEAR(Agent08_Savings!D175)),"")</f>
        <v/>
      </c>
    </row>
    <row r="1571" spans="1:11" ht="18" customHeight="1" x14ac:dyDescent="0.25">
      <c r="A1571" s="37" t="str">
        <f>IF(Agent08_Savings!A176="","",Agent08_Savings!A176)</f>
        <v/>
      </c>
      <c r="B1571" s="37" t="str">
        <f ca="1">IF(Agent08_Savings!A176="","","SV"&amp;TEXT(1571-3,"0000")&amp;"-"&amp;TEXT(TODAY(),"YYYYMMDD"))</f>
        <v/>
      </c>
      <c r="C1571" s="37" t="str">
        <f>IF(Agent08_Savings!A176="","",Agent08_Savings!B176)</f>
        <v/>
      </c>
      <c r="D1571" s="37" t="str">
        <f>IF(Agent08_Savings!A176="","",Agent08_Savings!G176)</f>
        <v/>
      </c>
      <c r="E1571" s="38" t="str">
        <f>IF(Agent08_Savings!A176="","",Agent08_Savings!D176)</f>
        <v/>
      </c>
      <c r="F1571" s="39" t="str">
        <f>IF(Agent08_Savings!A176="","",Agent08_Savings!E176)</f>
        <v/>
      </c>
      <c r="G1571" s="39" t="str">
        <f>IF(Agent08_Savings!A176="","",Agent08_Savings!F176)</f>
        <v/>
      </c>
      <c r="H1571" s="37" t="str">
        <f>IF(Agent08_Savings!A176="","",Agent08_Savings!I176)</f>
        <v/>
      </c>
      <c r="I1571" s="37" t="str">
        <f>IF(Agent08_Savings!A176="","",Agent08_Savings!J176)</f>
        <v/>
      </c>
      <c r="J1571" s="37" t="str">
        <f>IF(Agent08_Savings!A176="","",Agent08_Savings!K176)</f>
        <v/>
      </c>
      <c r="K1571" s="37" t="str">
        <f>IFERROR(IF(Agent08_Savings!A176="","",YEAR(Agent08_Savings!D176)),"")</f>
        <v/>
      </c>
    </row>
    <row r="1572" spans="1:11" ht="18" customHeight="1" x14ac:dyDescent="0.25">
      <c r="A1572" s="37" t="str">
        <f>IF(Agent08_Savings!A177="","",Agent08_Savings!A177)</f>
        <v/>
      </c>
      <c r="B1572" s="37" t="str">
        <f ca="1">IF(Agent08_Savings!A177="","","SV"&amp;TEXT(1572-3,"0000")&amp;"-"&amp;TEXT(TODAY(),"YYYYMMDD"))</f>
        <v/>
      </c>
      <c r="C1572" s="37" t="str">
        <f>IF(Agent08_Savings!A177="","",Agent08_Savings!B177)</f>
        <v/>
      </c>
      <c r="D1572" s="37" t="str">
        <f>IF(Agent08_Savings!A177="","",Agent08_Savings!G177)</f>
        <v/>
      </c>
      <c r="E1572" s="38" t="str">
        <f>IF(Agent08_Savings!A177="","",Agent08_Savings!D177)</f>
        <v/>
      </c>
      <c r="F1572" s="39" t="str">
        <f>IF(Agent08_Savings!A177="","",Agent08_Savings!E177)</f>
        <v/>
      </c>
      <c r="G1572" s="39" t="str">
        <f>IF(Agent08_Savings!A177="","",Agent08_Savings!F177)</f>
        <v/>
      </c>
      <c r="H1572" s="37" t="str">
        <f>IF(Agent08_Savings!A177="","",Agent08_Savings!I177)</f>
        <v/>
      </c>
      <c r="I1572" s="37" t="str">
        <f>IF(Agent08_Savings!A177="","",Agent08_Savings!J177)</f>
        <v/>
      </c>
      <c r="J1572" s="37" t="str">
        <f>IF(Agent08_Savings!A177="","",Agent08_Savings!K177)</f>
        <v/>
      </c>
      <c r="K1572" s="37" t="str">
        <f>IFERROR(IF(Agent08_Savings!A177="","",YEAR(Agent08_Savings!D177)),"")</f>
        <v/>
      </c>
    </row>
    <row r="1573" spans="1:11" ht="18" customHeight="1" x14ac:dyDescent="0.25">
      <c r="A1573" s="37" t="str">
        <f>IF(Agent08_Savings!A178="","",Agent08_Savings!A178)</f>
        <v/>
      </c>
      <c r="B1573" s="37" t="str">
        <f ca="1">IF(Agent08_Savings!A178="","","SV"&amp;TEXT(1573-3,"0000")&amp;"-"&amp;TEXT(TODAY(),"YYYYMMDD"))</f>
        <v/>
      </c>
      <c r="C1573" s="37" t="str">
        <f>IF(Agent08_Savings!A178="","",Agent08_Savings!B178)</f>
        <v/>
      </c>
      <c r="D1573" s="37" t="str">
        <f>IF(Agent08_Savings!A178="","",Agent08_Savings!G178)</f>
        <v/>
      </c>
      <c r="E1573" s="38" t="str">
        <f>IF(Agent08_Savings!A178="","",Agent08_Savings!D178)</f>
        <v/>
      </c>
      <c r="F1573" s="39" t="str">
        <f>IF(Agent08_Savings!A178="","",Agent08_Savings!E178)</f>
        <v/>
      </c>
      <c r="G1573" s="39" t="str">
        <f>IF(Agent08_Savings!A178="","",Agent08_Savings!F178)</f>
        <v/>
      </c>
      <c r="H1573" s="37" t="str">
        <f>IF(Agent08_Savings!A178="","",Agent08_Savings!I178)</f>
        <v/>
      </c>
      <c r="I1573" s="37" t="str">
        <f>IF(Agent08_Savings!A178="","",Agent08_Savings!J178)</f>
        <v/>
      </c>
      <c r="J1573" s="37" t="str">
        <f>IF(Agent08_Savings!A178="","",Agent08_Savings!K178)</f>
        <v/>
      </c>
      <c r="K1573" s="37" t="str">
        <f>IFERROR(IF(Agent08_Savings!A178="","",YEAR(Agent08_Savings!D178)),"")</f>
        <v/>
      </c>
    </row>
    <row r="1574" spans="1:11" ht="18" customHeight="1" x14ac:dyDescent="0.25">
      <c r="A1574" s="37" t="str">
        <f>IF(Agent08_Savings!A179="","",Agent08_Savings!A179)</f>
        <v/>
      </c>
      <c r="B1574" s="37" t="str">
        <f ca="1">IF(Agent08_Savings!A179="","","SV"&amp;TEXT(1574-3,"0000")&amp;"-"&amp;TEXT(TODAY(),"YYYYMMDD"))</f>
        <v/>
      </c>
      <c r="C1574" s="37" t="str">
        <f>IF(Agent08_Savings!A179="","",Agent08_Savings!B179)</f>
        <v/>
      </c>
      <c r="D1574" s="37" t="str">
        <f>IF(Agent08_Savings!A179="","",Agent08_Savings!G179)</f>
        <v/>
      </c>
      <c r="E1574" s="38" t="str">
        <f>IF(Agent08_Savings!A179="","",Agent08_Savings!D179)</f>
        <v/>
      </c>
      <c r="F1574" s="39" t="str">
        <f>IF(Agent08_Savings!A179="","",Agent08_Savings!E179)</f>
        <v/>
      </c>
      <c r="G1574" s="39" t="str">
        <f>IF(Agent08_Savings!A179="","",Agent08_Savings!F179)</f>
        <v/>
      </c>
      <c r="H1574" s="37" t="str">
        <f>IF(Agent08_Savings!A179="","",Agent08_Savings!I179)</f>
        <v/>
      </c>
      <c r="I1574" s="37" t="str">
        <f>IF(Agent08_Savings!A179="","",Agent08_Savings!J179)</f>
        <v/>
      </c>
      <c r="J1574" s="37" t="str">
        <f>IF(Agent08_Savings!A179="","",Agent08_Savings!K179)</f>
        <v/>
      </c>
      <c r="K1574" s="37" t="str">
        <f>IFERROR(IF(Agent08_Savings!A179="","",YEAR(Agent08_Savings!D179)),"")</f>
        <v/>
      </c>
    </row>
    <row r="1575" spans="1:11" ht="18" customHeight="1" x14ac:dyDescent="0.25">
      <c r="A1575" s="37" t="str">
        <f>IF(Agent08_Savings!A180="","",Agent08_Savings!A180)</f>
        <v/>
      </c>
      <c r="B1575" s="37" t="str">
        <f ca="1">IF(Agent08_Savings!A180="","","SV"&amp;TEXT(1575-3,"0000")&amp;"-"&amp;TEXT(TODAY(),"YYYYMMDD"))</f>
        <v/>
      </c>
      <c r="C1575" s="37" t="str">
        <f>IF(Agent08_Savings!A180="","",Agent08_Savings!B180)</f>
        <v/>
      </c>
      <c r="D1575" s="37" t="str">
        <f>IF(Agent08_Savings!A180="","",Agent08_Savings!G180)</f>
        <v/>
      </c>
      <c r="E1575" s="38" t="str">
        <f>IF(Agent08_Savings!A180="","",Agent08_Savings!D180)</f>
        <v/>
      </c>
      <c r="F1575" s="39" t="str">
        <f>IF(Agent08_Savings!A180="","",Agent08_Savings!E180)</f>
        <v/>
      </c>
      <c r="G1575" s="39" t="str">
        <f>IF(Agent08_Savings!A180="","",Agent08_Savings!F180)</f>
        <v/>
      </c>
      <c r="H1575" s="37" t="str">
        <f>IF(Agent08_Savings!A180="","",Agent08_Savings!I180)</f>
        <v/>
      </c>
      <c r="I1575" s="37" t="str">
        <f>IF(Agent08_Savings!A180="","",Agent08_Savings!J180)</f>
        <v/>
      </c>
      <c r="J1575" s="37" t="str">
        <f>IF(Agent08_Savings!A180="","",Agent08_Savings!K180)</f>
        <v/>
      </c>
      <c r="K1575" s="37" t="str">
        <f>IFERROR(IF(Agent08_Savings!A180="","",YEAR(Agent08_Savings!D180)),"")</f>
        <v/>
      </c>
    </row>
    <row r="1576" spans="1:11" ht="18" customHeight="1" x14ac:dyDescent="0.25">
      <c r="A1576" s="37" t="str">
        <f>IF(Agent08_Savings!A181="","",Agent08_Savings!A181)</f>
        <v/>
      </c>
      <c r="B1576" s="37" t="str">
        <f ca="1">IF(Agent08_Savings!A181="","","SV"&amp;TEXT(1576-3,"0000")&amp;"-"&amp;TEXT(TODAY(),"YYYYMMDD"))</f>
        <v/>
      </c>
      <c r="C1576" s="37" t="str">
        <f>IF(Agent08_Savings!A181="","",Agent08_Savings!B181)</f>
        <v/>
      </c>
      <c r="D1576" s="37" t="str">
        <f>IF(Agent08_Savings!A181="","",Agent08_Savings!G181)</f>
        <v/>
      </c>
      <c r="E1576" s="38" t="str">
        <f>IF(Agent08_Savings!A181="","",Agent08_Savings!D181)</f>
        <v/>
      </c>
      <c r="F1576" s="39" t="str">
        <f>IF(Agent08_Savings!A181="","",Agent08_Savings!E181)</f>
        <v/>
      </c>
      <c r="G1576" s="39" t="str">
        <f>IF(Agent08_Savings!A181="","",Agent08_Savings!F181)</f>
        <v/>
      </c>
      <c r="H1576" s="37" t="str">
        <f>IF(Agent08_Savings!A181="","",Agent08_Savings!I181)</f>
        <v/>
      </c>
      <c r="I1576" s="37" t="str">
        <f>IF(Agent08_Savings!A181="","",Agent08_Savings!J181)</f>
        <v/>
      </c>
      <c r="J1576" s="37" t="str">
        <f>IF(Agent08_Savings!A181="","",Agent08_Savings!K181)</f>
        <v/>
      </c>
      <c r="K1576" s="37" t="str">
        <f>IFERROR(IF(Agent08_Savings!A181="","",YEAR(Agent08_Savings!D181)),"")</f>
        <v/>
      </c>
    </row>
    <row r="1577" spans="1:11" ht="18" customHeight="1" x14ac:dyDescent="0.25">
      <c r="A1577" s="37" t="str">
        <f>IF(Agent08_Savings!A182="","",Agent08_Savings!A182)</f>
        <v/>
      </c>
      <c r="B1577" s="37" t="str">
        <f ca="1">IF(Agent08_Savings!A182="","","SV"&amp;TEXT(1577-3,"0000")&amp;"-"&amp;TEXT(TODAY(),"YYYYMMDD"))</f>
        <v/>
      </c>
      <c r="C1577" s="37" t="str">
        <f>IF(Agent08_Savings!A182="","",Agent08_Savings!B182)</f>
        <v/>
      </c>
      <c r="D1577" s="37" t="str">
        <f>IF(Agent08_Savings!A182="","",Agent08_Savings!G182)</f>
        <v/>
      </c>
      <c r="E1577" s="38" t="str">
        <f>IF(Agent08_Savings!A182="","",Agent08_Savings!D182)</f>
        <v/>
      </c>
      <c r="F1577" s="39" t="str">
        <f>IF(Agent08_Savings!A182="","",Agent08_Savings!E182)</f>
        <v/>
      </c>
      <c r="G1577" s="39" t="str">
        <f>IF(Agent08_Savings!A182="","",Agent08_Savings!F182)</f>
        <v/>
      </c>
      <c r="H1577" s="37" t="str">
        <f>IF(Agent08_Savings!A182="","",Agent08_Savings!I182)</f>
        <v/>
      </c>
      <c r="I1577" s="37" t="str">
        <f>IF(Agent08_Savings!A182="","",Agent08_Savings!J182)</f>
        <v/>
      </c>
      <c r="J1577" s="37" t="str">
        <f>IF(Agent08_Savings!A182="","",Agent08_Savings!K182)</f>
        <v/>
      </c>
      <c r="K1577" s="37" t="str">
        <f>IFERROR(IF(Agent08_Savings!A182="","",YEAR(Agent08_Savings!D182)),"")</f>
        <v/>
      </c>
    </row>
    <row r="1578" spans="1:11" ht="18" customHeight="1" x14ac:dyDescent="0.25">
      <c r="A1578" s="37" t="str">
        <f>IF(Agent08_Savings!A183="","",Agent08_Savings!A183)</f>
        <v/>
      </c>
      <c r="B1578" s="37" t="str">
        <f ca="1">IF(Agent08_Savings!A183="","","SV"&amp;TEXT(1578-3,"0000")&amp;"-"&amp;TEXT(TODAY(),"YYYYMMDD"))</f>
        <v/>
      </c>
      <c r="C1578" s="37" t="str">
        <f>IF(Agent08_Savings!A183="","",Agent08_Savings!B183)</f>
        <v/>
      </c>
      <c r="D1578" s="37" t="str">
        <f>IF(Agent08_Savings!A183="","",Agent08_Savings!G183)</f>
        <v/>
      </c>
      <c r="E1578" s="38" t="str">
        <f>IF(Agent08_Savings!A183="","",Agent08_Savings!D183)</f>
        <v/>
      </c>
      <c r="F1578" s="39" t="str">
        <f>IF(Agent08_Savings!A183="","",Agent08_Savings!E183)</f>
        <v/>
      </c>
      <c r="G1578" s="39" t="str">
        <f>IF(Agent08_Savings!A183="","",Agent08_Savings!F183)</f>
        <v/>
      </c>
      <c r="H1578" s="37" t="str">
        <f>IF(Agent08_Savings!A183="","",Agent08_Savings!I183)</f>
        <v/>
      </c>
      <c r="I1578" s="37" t="str">
        <f>IF(Agent08_Savings!A183="","",Agent08_Savings!J183)</f>
        <v/>
      </c>
      <c r="J1578" s="37" t="str">
        <f>IF(Agent08_Savings!A183="","",Agent08_Savings!K183)</f>
        <v/>
      </c>
      <c r="K1578" s="37" t="str">
        <f>IFERROR(IF(Agent08_Savings!A183="","",YEAR(Agent08_Savings!D183)),"")</f>
        <v/>
      </c>
    </row>
    <row r="1579" spans="1:11" ht="18" customHeight="1" x14ac:dyDescent="0.25">
      <c r="A1579" s="37" t="str">
        <f>IF(Agent08_Savings!A184="","",Agent08_Savings!A184)</f>
        <v/>
      </c>
      <c r="B1579" s="37" t="str">
        <f ca="1">IF(Agent08_Savings!A184="","","SV"&amp;TEXT(1579-3,"0000")&amp;"-"&amp;TEXT(TODAY(),"YYYYMMDD"))</f>
        <v/>
      </c>
      <c r="C1579" s="37" t="str">
        <f>IF(Agent08_Savings!A184="","",Agent08_Savings!B184)</f>
        <v/>
      </c>
      <c r="D1579" s="37" t="str">
        <f>IF(Agent08_Savings!A184="","",Agent08_Savings!G184)</f>
        <v/>
      </c>
      <c r="E1579" s="38" t="str">
        <f>IF(Agent08_Savings!A184="","",Agent08_Savings!D184)</f>
        <v/>
      </c>
      <c r="F1579" s="39" t="str">
        <f>IF(Agent08_Savings!A184="","",Agent08_Savings!E184)</f>
        <v/>
      </c>
      <c r="G1579" s="39" t="str">
        <f>IF(Agent08_Savings!A184="","",Agent08_Savings!F184)</f>
        <v/>
      </c>
      <c r="H1579" s="37" t="str">
        <f>IF(Agent08_Savings!A184="","",Agent08_Savings!I184)</f>
        <v/>
      </c>
      <c r="I1579" s="37" t="str">
        <f>IF(Agent08_Savings!A184="","",Agent08_Savings!J184)</f>
        <v/>
      </c>
      <c r="J1579" s="37" t="str">
        <f>IF(Agent08_Savings!A184="","",Agent08_Savings!K184)</f>
        <v/>
      </c>
      <c r="K1579" s="37" t="str">
        <f>IFERROR(IF(Agent08_Savings!A184="","",YEAR(Agent08_Savings!D184)),"")</f>
        <v/>
      </c>
    </row>
    <row r="1580" spans="1:11" ht="18" customHeight="1" x14ac:dyDescent="0.25">
      <c r="A1580" s="37" t="str">
        <f>IF(Agent08_Savings!A185="","",Agent08_Savings!A185)</f>
        <v/>
      </c>
      <c r="B1580" s="37" t="str">
        <f ca="1">IF(Agent08_Savings!A185="","","SV"&amp;TEXT(1580-3,"0000")&amp;"-"&amp;TEXT(TODAY(),"YYYYMMDD"))</f>
        <v/>
      </c>
      <c r="C1580" s="37" t="str">
        <f>IF(Agent08_Savings!A185="","",Agent08_Savings!B185)</f>
        <v/>
      </c>
      <c r="D1580" s="37" t="str">
        <f>IF(Agent08_Savings!A185="","",Agent08_Savings!G185)</f>
        <v/>
      </c>
      <c r="E1580" s="38" t="str">
        <f>IF(Agent08_Savings!A185="","",Agent08_Savings!D185)</f>
        <v/>
      </c>
      <c r="F1580" s="39" t="str">
        <f>IF(Agent08_Savings!A185="","",Agent08_Savings!E185)</f>
        <v/>
      </c>
      <c r="G1580" s="39" t="str">
        <f>IF(Agent08_Savings!A185="","",Agent08_Savings!F185)</f>
        <v/>
      </c>
      <c r="H1580" s="37" t="str">
        <f>IF(Agent08_Savings!A185="","",Agent08_Savings!I185)</f>
        <v/>
      </c>
      <c r="I1580" s="37" t="str">
        <f>IF(Agent08_Savings!A185="","",Agent08_Savings!J185)</f>
        <v/>
      </c>
      <c r="J1580" s="37" t="str">
        <f>IF(Agent08_Savings!A185="","",Agent08_Savings!K185)</f>
        <v/>
      </c>
      <c r="K1580" s="37" t="str">
        <f>IFERROR(IF(Agent08_Savings!A185="","",YEAR(Agent08_Savings!D185)),"")</f>
        <v/>
      </c>
    </row>
    <row r="1581" spans="1:11" ht="18" customHeight="1" x14ac:dyDescent="0.25">
      <c r="A1581" s="37" t="str">
        <f>IF(Agent08_Savings!A186="","",Agent08_Savings!A186)</f>
        <v/>
      </c>
      <c r="B1581" s="37" t="str">
        <f ca="1">IF(Agent08_Savings!A186="","","SV"&amp;TEXT(1581-3,"0000")&amp;"-"&amp;TEXT(TODAY(),"YYYYMMDD"))</f>
        <v/>
      </c>
      <c r="C1581" s="37" t="str">
        <f>IF(Agent08_Savings!A186="","",Agent08_Savings!B186)</f>
        <v/>
      </c>
      <c r="D1581" s="37" t="str">
        <f>IF(Agent08_Savings!A186="","",Agent08_Savings!G186)</f>
        <v/>
      </c>
      <c r="E1581" s="38" t="str">
        <f>IF(Agent08_Savings!A186="","",Agent08_Savings!D186)</f>
        <v/>
      </c>
      <c r="F1581" s="39" t="str">
        <f>IF(Agent08_Savings!A186="","",Agent08_Savings!E186)</f>
        <v/>
      </c>
      <c r="G1581" s="39" t="str">
        <f>IF(Agent08_Savings!A186="","",Agent08_Savings!F186)</f>
        <v/>
      </c>
      <c r="H1581" s="37" t="str">
        <f>IF(Agent08_Savings!A186="","",Agent08_Savings!I186)</f>
        <v/>
      </c>
      <c r="I1581" s="37" t="str">
        <f>IF(Agent08_Savings!A186="","",Agent08_Savings!J186)</f>
        <v/>
      </c>
      <c r="J1581" s="37" t="str">
        <f>IF(Agent08_Savings!A186="","",Agent08_Savings!K186)</f>
        <v/>
      </c>
      <c r="K1581" s="37" t="str">
        <f>IFERROR(IF(Agent08_Savings!A186="","",YEAR(Agent08_Savings!D186)),"")</f>
        <v/>
      </c>
    </row>
    <row r="1582" spans="1:11" ht="18" customHeight="1" x14ac:dyDescent="0.25">
      <c r="A1582" s="37" t="str">
        <f>IF(Agent08_Savings!A187="","",Agent08_Savings!A187)</f>
        <v/>
      </c>
      <c r="B1582" s="37" t="str">
        <f ca="1">IF(Agent08_Savings!A187="","","SV"&amp;TEXT(1582-3,"0000")&amp;"-"&amp;TEXT(TODAY(),"YYYYMMDD"))</f>
        <v/>
      </c>
      <c r="C1582" s="37" t="str">
        <f>IF(Agent08_Savings!A187="","",Agent08_Savings!B187)</f>
        <v/>
      </c>
      <c r="D1582" s="37" t="str">
        <f>IF(Agent08_Savings!A187="","",Agent08_Savings!G187)</f>
        <v/>
      </c>
      <c r="E1582" s="38" t="str">
        <f>IF(Agent08_Savings!A187="","",Agent08_Savings!D187)</f>
        <v/>
      </c>
      <c r="F1582" s="39" t="str">
        <f>IF(Agent08_Savings!A187="","",Agent08_Savings!E187)</f>
        <v/>
      </c>
      <c r="G1582" s="39" t="str">
        <f>IF(Agent08_Savings!A187="","",Agent08_Savings!F187)</f>
        <v/>
      </c>
      <c r="H1582" s="37" t="str">
        <f>IF(Agent08_Savings!A187="","",Agent08_Savings!I187)</f>
        <v/>
      </c>
      <c r="I1582" s="37" t="str">
        <f>IF(Agent08_Savings!A187="","",Agent08_Savings!J187)</f>
        <v/>
      </c>
      <c r="J1582" s="37" t="str">
        <f>IF(Agent08_Savings!A187="","",Agent08_Savings!K187)</f>
        <v/>
      </c>
      <c r="K1582" s="37" t="str">
        <f>IFERROR(IF(Agent08_Savings!A187="","",YEAR(Agent08_Savings!D187)),"")</f>
        <v/>
      </c>
    </row>
    <row r="1583" spans="1:11" ht="18" customHeight="1" x14ac:dyDescent="0.25">
      <c r="A1583" s="37" t="str">
        <f>IF(Agent08_Savings!A188="","",Agent08_Savings!A188)</f>
        <v/>
      </c>
      <c r="B1583" s="37" t="str">
        <f ca="1">IF(Agent08_Savings!A188="","","SV"&amp;TEXT(1583-3,"0000")&amp;"-"&amp;TEXT(TODAY(),"YYYYMMDD"))</f>
        <v/>
      </c>
      <c r="C1583" s="37" t="str">
        <f>IF(Agent08_Savings!A188="","",Agent08_Savings!B188)</f>
        <v/>
      </c>
      <c r="D1583" s="37" t="str">
        <f>IF(Agent08_Savings!A188="","",Agent08_Savings!G188)</f>
        <v/>
      </c>
      <c r="E1583" s="38" t="str">
        <f>IF(Agent08_Savings!A188="","",Agent08_Savings!D188)</f>
        <v/>
      </c>
      <c r="F1583" s="39" t="str">
        <f>IF(Agent08_Savings!A188="","",Agent08_Savings!E188)</f>
        <v/>
      </c>
      <c r="G1583" s="39" t="str">
        <f>IF(Agent08_Savings!A188="","",Agent08_Savings!F188)</f>
        <v/>
      </c>
      <c r="H1583" s="37" t="str">
        <f>IF(Agent08_Savings!A188="","",Agent08_Savings!I188)</f>
        <v/>
      </c>
      <c r="I1583" s="37" t="str">
        <f>IF(Agent08_Savings!A188="","",Agent08_Savings!J188)</f>
        <v/>
      </c>
      <c r="J1583" s="37" t="str">
        <f>IF(Agent08_Savings!A188="","",Agent08_Savings!K188)</f>
        <v/>
      </c>
      <c r="K1583" s="37" t="str">
        <f>IFERROR(IF(Agent08_Savings!A188="","",YEAR(Agent08_Savings!D188)),"")</f>
        <v/>
      </c>
    </row>
    <row r="1584" spans="1:11" ht="18" customHeight="1" x14ac:dyDescent="0.25">
      <c r="A1584" s="37" t="str">
        <f>IF(Agent08_Savings!A189="","",Agent08_Savings!A189)</f>
        <v/>
      </c>
      <c r="B1584" s="37" t="str">
        <f ca="1">IF(Agent08_Savings!A189="","","SV"&amp;TEXT(1584-3,"0000")&amp;"-"&amp;TEXT(TODAY(),"YYYYMMDD"))</f>
        <v/>
      </c>
      <c r="C1584" s="37" t="str">
        <f>IF(Agent08_Savings!A189="","",Agent08_Savings!B189)</f>
        <v/>
      </c>
      <c r="D1584" s="37" t="str">
        <f>IF(Agent08_Savings!A189="","",Agent08_Savings!G189)</f>
        <v/>
      </c>
      <c r="E1584" s="38" t="str">
        <f>IF(Agent08_Savings!A189="","",Agent08_Savings!D189)</f>
        <v/>
      </c>
      <c r="F1584" s="39" t="str">
        <f>IF(Agent08_Savings!A189="","",Agent08_Savings!E189)</f>
        <v/>
      </c>
      <c r="G1584" s="39" t="str">
        <f>IF(Agent08_Savings!A189="","",Agent08_Savings!F189)</f>
        <v/>
      </c>
      <c r="H1584" s="37" t="str">
        <f>IF(Agent08_Savings!A189="","",Agent08_Savings!I189)</f>
        <v/>
      </c>
      <c r="I1584" s="37" t="str">
        <f>IF(Agent08_Savings!A189="","",Agent08_Savings!J189)</f>
        <v/>
      </c>
      <c r="J1584" s="37" t="str">
        <f>IF(Agent08_Savings!A189="","",Agent08_Savings!K189)</f>
        <v/>
      </c>
      <c r="K1584" s="37" t="str">
        <f>IFERROR(IF(Agent08_Savings!A189="","",YEAR(Agent08_Savings!D189)),"")</f>
        <v/>
      </c>
    </row>
    <row r="1585" spans="1:11" ht="18" customHeight="1" x14ac:dyDescent="0.25">
      <c r="A1585" s="37" t="str">
        <f>IF(Agent08_Savings!A190="","",Agent08_Savings!A190)</f>
        <v/>
      </c>
      <c r="B1585" s="37" t="str">
        <f ca="1">IF(Agent08_Savings!A190="","","SV"&amp;TEXT(1585-3,"0000")&amp;"-"&amp;TEXT(TODAY(),"YYYYMMDD"))</f>
        <v/>
      </c>
      <c r="C1585" s="37" t="str">
        <f>IF(Agent08_Savings!A190="","",Agent08_Savings!B190)</f>
        <v/>
      </c>
      <c r="D1585" s="37" t="str">
        <f>IF(Agent08_Savings!A190="","",Agent08_Savings!G190)</f>
        <v/>
      </c>
      <c r="E1585" s="38" t="str">
        <f>IF(Agent08_Savings!A190="","",Agent08_Savings!D190)</f>
        <v/>
      </c>
      <c r="F1585" s="39" t="str">
        <f>IF(Agent08_Savings!A190="","",Agent08_Savings!E190)</f>
        <v/>
      </c>
      <c r="G1585" s="39" t="str">
        <f>IF(Agent08_Savings!A190="","",Agent08_Savings!F190)</f>
        <v/>
      </c>
      <c r="H1585" s="37" t="str">
        <f>IF(Agent08_Savings!A190="","",Agent08_Savings!I190)</f>
        <v/>
      </c>
      <c r="I1585" s="37" t="str">
        <f>IF(Agent08_Savings!A190="","",Agent08_Savings!J190)</f>
        <v/>
      </c>
      <c r="J1585" s="37" t="str">
        <f>IF(Agent08_Savings!A190="","",Agent08_Savings!K190)</f>
        <v/>
      </c>
      <c r="K1585" s="37" t="str">
        <f>IFERROR(IF(Agent08_Savings!A190="","",YEAR(Agent08_Savings!D190)),"")</f>
        <v/>
      </c>
    </row>
    <row r="1586" spans="1:11" ht="18" customHeight="1" x14ac:dyDescent="0.25">
      <c r="A1586" s="37" t="str">
        <f>IF(Agent08_Savings!A191="","",Agent08_Savings!A191)</f>
        <v/>
      </c>
      <c r="B1586" s="37" t="str">
        <f ca="1">IF(Agent08_Savings!A191="","","SV"&amp;TEXT(1586-3,"0000")&amp;"-"&amp;TEXT(TODAY(),"YYYYMMDD"))</f>
        <v/>
      </c>
      <c r="C1586" s="37" t="str">
        <f>IF(Agent08_Savings!A191="","",Agent08_Savings!B191)</f>
        <v/>
      </c>
      <c r="D1586" s="37" t="str">
        <f>IF(Agent08_Savings!A191="","",Agent08_Savings!G191)</f>
        <v/>
      </c>
      <c r="E1586" s="38" t="str">
        <f>IF(Agent08_Savings!A191="","",Agent08_Savings!D191)</f>
        <v/>
      </c>
      <c r="F1586" s="39" t="str">
        <f>IF(Agent08_Savings!A191="","",Agent08_Savings!E191)</f>
        <v/>
      </c>
      <c r="G1586" s="39" t="str">
        <f>IF(Agent08_Savings!A191="","",Agent08_Savings!F191)</f>
        <v/>
      </c>
      <c r="H1586" s="37" t="str">
        <f>IF(Agent08_Savings!A191="","",Agent08_Savings!I191)</f>
        <v/>
      </c>
      <c r="I1586" s="37" t="str">
        <f>IF(Agent08_Savings!A191="","",Agent08_Savings!J191)</f>
        <v/>
      </c>
      <c r="J1586" s="37" t="str">
        <f>IF(Agent08_Savings!A191="","",Agent08_Savings!K191)</f>
        <v/>
      </c>
      <c r="K1586" s="37" t="str">
        <f>IFERROR(IF(Agent08_Savings!A191="","",YEAR(Agent08_Savings!D191)),"")</f>
        <v/>
      </c>
    </row>
    <row r="1587" spans="1:11" ht="18" customHeight="1" x14ac:dyDescent="0.25">
      <c r="A1587" s="37" t="str">
        <f>IF(Agent08_Savings!A192="","",Agent08_Savings!A192)</f>
        <v/>
      </c>
      <c r="B1587" s="37" t="str">
        <f ca="1">IF(Agent08_Savings!A192="","","SV"&amp;TEXT(1587-3,"0000")&amp;"-"&amp;TEXT(TODAY(),"YYYYMMDD"))</f>
        <v/>
      </c>
      <c r="C1587" s="37" t="str">
        <f>IF(Agent08_Savings!A192="","",Agent08_Savings!B192)</f>
        <v/>
      </c>
      <c r="D1587" s="37" t="str">
        <f>IF(Agent08_Savings!A192="","",Agent08_Savings!G192)</f>
        <v/>
      </c>
      <c r="E1587" s="38" t="str">
        <f>IF(Agent08_Savings!A192="","",Agent08_Savings!D192)</f>
        <v/>
      </c>
      <c r="F1587" s="39" t="str">
        <f>IF(Agent08_Savings!A192="","",Agent08_Savings!E192)</f>
        <v/>
      </c>
      <c r="G1587" s="39" t="str">
        <f>IF(Agent08_Savings!A192="","",Agent08_Savings!F192)</f>
        <v/>
      </c>
      <c r="H1587" s="37" t="str">
        <f>IF(Agent08_Savings!A192="","",Agent08_Savings!I192)</f>
        <v/>
      </c>
      <c r="I1587" s="37" t="str">
        <f>IF(Agent08_Savings!A192="","",Agent08_Savings!J192)</f>
        <v/>
      </c>
      <c r="J1587" s="37" t="str">
        <f>IF(Agent08_Savings!A192="","",Agent08_Savings!K192)</f>
        <v/>
      </c>
      <c r="K1587" s="37" t="str">
        <f>IFERROR(IF(Agent08_Savings!A192="","",YEAR(Agent08_Savings!D192)),"")</f>
        <v/>
      </c>
    </row>
    <row r="1588" spans="1:11" ht="18" customHeight="1" x14ac:dyDescent="0.25">
      <c r="A1588" s="37" t="str">
        <f>IF(Agent08_Savings!A193="","",Agent08_Savings!A193)</f>
        <v/>
      </c>
      <c r="B1588" s="37" t="str">
        <f ca="1">IF(Agent08_Savings!A193="","","SV"&amp;TEXT(1588-3,"0000")&amp;"-"&amp;TEXT(TODAY(),"YYYYMMDD"))</f>
        <v/>
      </c>
      <c r="C1588" s="37" t="str">
        <f>IF(Agent08_Savings!A193="","",Agent08_Savings!B193)</f>
        <v/>
      </c>
      <c r="D1588" s="37" t="str">
        <f>IF(Agent08_Savings!A193="","",Agent08_Savings!G193)</f>
        <v/>
      </c>
      <c r="E1588" s="38" t="str">
        <f>IF(Agent08_Savings!A193="","",Agent08_Savings!D193)</f>
        <v/>
      </c>
      <c r="F1588" s="39" t="str">
        <f>IF(Agent08_Savings!A193="","",Agent08_Savings!E193)</f>
        <v/>
      </c>
      <c r="G1588" s="39" t="str">
        <f>IF(Agent08_Savings!A193="","",Agent08_Savings!F193)</f>
        <v/>
      </c>
      <c r="H1588" s="37" t="str">
        <f>IF(Agent08_Savings!A193="","",Agent08_Savings!I193)</f>
        <v/>
      </c>
      <c r="I1588" s="37" t="str">
        <f>IF(Agent08_Savings!A193="","",Agent08_Savings!J193)</f>
        <v/>
      </c>
      <c r="J1588" s="37" t="str">
        <f>IF(Agent08_Savings!A193="","",Agent08_Savings!K193)</f>
        <v/>
      </c>
      <c r="K1588" s="37" t="str">
        <f>IFERROR(IF(Agent08_Savings!A193="","",YEAR(Agent08_Savings!D193)),"")</f>
        <v/>
      </c>
    </row>
    <row r="1589" spans="1:11" ht="18" customHeight="1" x14ac:dyDescent="0.25">
      <c r="A1589" s="37" t="str">
        <f>IF(Agent08_Savings!A194="","",Agent08_Savings!A194)</f>
        <v/>
      </c>
      <c r="B1589" s="37" t="str">
        <f ca="1">IF(Agent08_Savings!A194="","","SV"&amp;TEXT(1589-3,"0000")&amp;"-"&amp;TEXT(TODAY(),"YYYYMMDD"))</f>
        <v/>
      </c>
      <c r="C1589" s="37" t="str">
        <f>IF(Agent08_Savings!A194="","",Agent08_Savings!B194)</f>
        <v/>
      </c>
      <c r="D1589" s="37" t="str">
        <f>IF(Agent08_Savings!A194="","",Agent08_Savings!G194)</f>
        <v/>
      </c>
      <c r="E1589" s="38" t="str">
        <f>IF(Agent08_Savings!A194="","",Agent08_Savings!D194)</f>
        <v/>
      </c>
      <c r="F1589" s="39" t="str">
        <f>IF(Agent08_Savings!A194="","",Agent08_Savings!E194)</f>
        <v/>
      </c>
      <c r="G1589" s="39" t="str">
        <f>IF(Agent08_Savings!A194="","",Agent08_Savings!F194)</f>
        <v/>
      </c>
      <c r="H1589" s="37" t="str">
        <f>IF(Agent08_Savings!A194="","",Agent08_Savings!I194)</f>
        <v/>
      </c>
      <c r="I1589" s="37" t="str">
        <f>IF(Agent08_Savings!A194="","",Agent08_Savings!J194)</f>
        <v/>
      </c>
      <c r="J1589" s="37" t="str">
        <f>IF(Agent08_Savings!A194="","",Agent08_Savings!K194)</f>
        <v/>
      </c>
      <c r="K1589" s="37" t="str">
        <f>IFERROR(IF(Agent08_Savings!A194="","",YEAR(Agent08_Savings!D194)),"")</f>
        <v/>
      </c>
    </row>
    <row r="1590" spans="1:11" ht="18" customHeight="1" x14ac:dyDescent="0.25">
      <c r="A1590" s="37" t="str">
        <f>IF(Agent08_Savings!A195="","",Agent08_Savings!A195)</f>
        <v/>
      </c>
      <c r="B1590" s="37" t="str">
        <f ca="1">IF(Agent08_Savings!A195="","","SV"&amp;TEXT(1590-3,"0000")&amp;"-"&amp;TEXT(TODAY(),"YYYYMMDD"))</f>
        <v/>
      </c>
      <c r="C1590" s="37" t="str">
        <f>IF(Agent08_Savings!A195="","",Agent08_Savings!B195)</f>
        <v/>
      </c>
      <c r="D1590" s="37" t="str">
        <f>IF(Agent08_Savings!A195="","",Agent08_Savings!G195)</f>
        <v/>
      </c>
      <c r="E1590" s="38" t="str">
        <f>IF(Agent08_Savings!A195="","",Agent08_Savings!D195)</f>
        <v/>
      </c>
      <c r="F1590" s="39" t="str">
        <f>IF(Agent08_Savings!A195="","",Agent08_Savings!E195)</f>
        <v/>
      </c>
      <c r="G1590" s="39" t="str">
        <f>IF(Agent08_Savings!A195="","",Agent08_Savings!F195)</f>
        <v/>
      </c>
      <c r="H1590" s="37" t="str">
        <f>IF(Agent08_Savings!A195="","",Agent08_Savings!I195)</f>
        <v/>
      </c>
      <c r="I1590" s="37" t="str">
        <f>IF(Agent08_Savings!A195="","",Agent08_Savings!J195)</f>
        <v/>
      </c>
      <c r="J1590" s="37" t="str">
        <f>IF(Agent08_Savings!A195="","",Agent08_Savings!K195)</f>
        <v/>
      </c>
      <c r="K1590" s="37" t="str">
        <f>IFERROR(IF(Agent08_Savings!A195="","",YEAR(Agent08_Savings!D195)),"")</f>
        <v/>
      </c>
    </row>
    <row r="1591" spans="1:11" ht="18" customHeight="1" x14ac:dyDescent="0.25">
      <c r="A1591" s="37" t="str">
        <f>IF(Agent08_Savings!A196="","",Agent08_Savings!A196)</f>
        <v/>
      </c>
      <c r="B1591" s="37" t="str">
        <f ca="1">IF(Agent08_Savings!A196="","","SV"&amp;TEXT(1591-3,"0000")&amp;"-"&amp;TEXT(TODAY(),"YYYYMMDD"))</f>
        <v/>
      </c>
      <c r="C1591" s="37" t="str">
        <f>IF(Agent08_Savings!A196="","",Agent08_Savings!B196)</f>
        <v/>
      </c>
      <c r="D1591" s="37" t="str">
        <f>IF(Agent08_Savings!A196="","",Agent08_Savings!G196)</f>
        <v/>
      </c>
      <c r="E1591" s="38" t="str">
        <f>IF(Agent08_Savings!A196="","",Agent08_Savings!D196)</f>
        <v/>
      </c>
      <c r="F1591" s="39" t="str">
        <f>IF(Agent08_Savings!A196="","",Agent08_Savings!E196)</f>
        <v/>
      </c>
      <c r="G1591" s="39" t="str">
        <f>IF(Agent08_Savings!A196="","",Agent08_Savings!F196)</f>
        <v/>
      </c>
      <c r="H1591" s="37" t="str">
        <f>IF(Agent08_Savings!A196="","",Agent08_Savings!I196)</f>
        <v/>
      </c>
      <c r="I1591" s="37" t="str">
        <f>IF(Agent08_Savings!A196="","",Agent08_Savings!J196)</f>
        <v/>
      </c>
      <c r="J1591" s="37" t="str">
        <f>IF(Agent08_Savings!A196="","",Agent08_Savings!K196)</f>
        <v/>
      </c>
      <c r="K1591" s="37" t="str">
        <f>IFERROR(IF(Agent08_Savings!A196="","",YEAR(Agent08_Savings!D196)),"")</f>
        <v/>
      </c>
    </row>
    <row r="1592" spans="1:11" ht="18" customHeight="1" x14ac:dyDescent="0.25">
      <c r="A1592" s="37" t="str">
        <f>IF(Agent08_Savings!A197="","",Agent08_Savings!A197)</f>
        <v/>
      </c>
      <c r="B1592" s="37" t="str">
        <f ca="1">IF(Agent08_Savings!A197="","","SV"&amp;TEXT(1592-3,"0000")&amp;"-"&amp;TEXT(TODAY(),"YYYYMMDD"))</f>
        <v/>
      </c>
      <c r="C1592" s="37" t="str">
        <f>IF(Agent08_Savings!A197="","",Agent08_Savings!B197)</f>
        <v/>
      </c>
      <c r="D1592" s="37" t="str">
        <f>IF(Agent08_Savings!A197="","",Agent08_Savings!G197)</f>
        <v/>
      </c>
      <c r="E1592" s="38" t="str">
        <f>IF(Agent08_Savings!A197="","",Agent08_Savings!D197)</f>
        <v/>
      </c>
      <c r="F1592" s="39" t="str">
        <f>IF(Agent08_Savings!A197="","",Agent08_Savings!E197)</f>
        <v/>
      </c>
      <c r="G1592" s="39" t="str">
        <f>IF(Agent08_Savings!A197="","",Agent08_Savings!F197)</f>
        <v/>
      </c>
      <c r="H1592" s="37" t="str">
        <f>IF(Agent08_Savings!A197="","",Agent08_Savings!I197)</f>
        <v/>
      </c>
      <c r="I1592" s="37" t="str">
        <f>IF(Agent08_Savings!A197="","",Agent08_Savings!J197)</f>
        <v/>
      </c>
      <c r="J1592" s="37" t="str">
        <f>IF(Agent08_Savings!A197="","",Agent08_Savings!K197)</f>
        <v/>
      </c>
      <c r="K1592" s="37" t="str">
        <f>IFERROR(IF(Agent08_Savings!A197="","",YEAR(Agent08_Savings!D197)),"")</f>
        <v/>
      </c>
    </row>
    <row r="1593" spans="1:11" ht="18" customHeight="1" x14ac:dyDescent="0.25">
      <c r="A1593" s="37" t="str">
        <f>IF(Agent08_Savings!A198="","",Agent08_Savings!A198)</f>
        <v/>
      </c>
      <c r="B1593" s="37" t="str">
        <f ca="1">IF(Agent08_Savings!A198="","","SV"&amp;TEXT(1593-3,"0000")&amp;"-"&amp;TEXT(TODAY(),"YYYYMMDD"))</f>
        <v/>
      </c>
      <c r="C1593" s="37" t="str">
        <f>IF(Agent08_Savings!A198="","",Agent08_Savings!B198)</f>
        <v/>
      </c>
      <c r="D1593" s="37" t="str">
        <f>IF(Agent08_Savings!A198="","",Agent08_Savings!G198)</f>
        <v/>
      </c>
      <c r="E1593" s="38" t="str">
        <f>IF(Agent08_Savings!A198="","",Agent08_Savings!D198)</f>
        <v/>
      </c>
      <c r="F1593" s="39" t="str">
        <f>IF(Agent08_Savings!A198="","",Agent08_Savings!E198)</f>
        <v/>
      </c>
      <c r="G1593" s="39" t="str">
        <f>IF(Agent08_Savings!A198="","",Agent08_Savings!F198)</f>
        <v/>
      </c>
      <c r="H1593" s="37" t="str">
        <f>IF(Agent08_Savings!A198="","",Agent08_Savings!I198)</f>
        <v/>
      </c>
      <c r="I1593" s="37" t="str">
        <f>IF(Agent08_Savings!A198="","",Agent08_Savings!J198)</f>
        <v/>
      </c>
      <c r="J1593" s="37" t="str">
        <f>IF(Agent08_Savings!A198="","",Agent08_Savings!K198)</f>
        <v/>
      </c>
      <c r="K1593" s="37" t="str">
        <f>IFERROR(IF(Agent08_Savings!A198="","",YEAR(Agent08_Savings!D198)),"")</f>
        <v/>
      </c>
    </row>
    <row r="1594" spans="1:11" ht="18" customHeight="1" x14ac:dyDescent="0.25">
      <c r="A1594" s="37" t="str">
        <f>IF(Agent08_Savings!A199="","",Agent08_Savings!A199)</f>
        <v/>
      </c>
      <c r="B1594" s="37" t="str">
        <f ca="1">IF(Agent08_Savings!A199="","","SV"&amp;TEXT(1594-3,"0000")&amp;"-"&amp;TEXT(TODAY(),"YYYYMMDD"))</f>
        <v/>
      </c>
      <c r="C1594" s="37" t="str">
        <f>IF(Agent08_Savings!A199="","",Agent08_Savings!B199)</f>
        <v/>
      </c>
      <c r="D1594" s="37" t="str">
        <f>IF(Agent08_Savings!A199="","",Agent08_Savings!G199)</f>
        <v/>
      </c>
      <c r="E1594" s="38" t="str">
        <f>IF(Agent08_Savings!A199="","",Agent08_Savings!D199)</f>
        <v/>
      </c>
      <c r="F1594" s="39" t="str">
        <f>IF(Agent08_Savings!A199="","",Agent08_Savings!E199)</f>
        <v/>
      </c>
      <c r="G1594" s="39" t="str">
        <f>IF(Agent08_Savings!A199="","",Agent08_Savings!F199)</f>
        <v/>
      </c>
      <c r="H1594" s="37" t="str">
        <f>IF(Agent08_Savings!A199="","",Agent08_Savings!I199)</f>
        <v/>
      </c>
      <c r="I1594" s="37" t="str">
        <f>IF(Agent08_Savings!A199="","",Agent08_Savings!J199)</f>
        <v/>
      </c>
      <c r="J1594" s="37" t="str">
        <f>IF(Agent08_Savings!A199="","",Agent08_Savings!K199)</f>
        <v/>
      </c>
      <c r="K1594" s="37" t="str">
        <f>IFERROR(IF(Agent08_Savings!A199="","",YEAR(Agent08_Savings!D199)),"")</f>
        <v/>
      </c>
    </row>
    <row r="1595" spans="1:11" ht="18" customHeight="1" x14ac:dyDescent="0.25">
      <c r="A1595" s="37" t="str">
        <f>IF(Agent08_Savings!A200="","",Agent08_Savings!A200)</f>
        <v/>
      </c>
      <c r="B1595" s="37" t="str">
        <f ca="1">IF(Agent08_Savings!A200="","","SV"&amp;TEXT(1595-3,"0000")&amp;"-"&amp;TEXT(TODAY(),"YYYYMMDD"))</f>
        <v/>
      </c>
      <c r="C1595" s="37" t="str">
        <f>IF(Agent08_Savings!A200="","",Agent08_Savings!B200)</f>
        <v/>
      </c>
      <c r="D1595" s="37" t="str">
        <f>IF(Agent08_Savings!A200="","",Agent08_Savings!G200)</f>
        <v/>
      </c>
      <c r="E1595" s="38" t="str">
        <f>IF(Agent08_Savings!A200="","",Agent08_Savings!D200)</f>
        <v/>
      </c>
      <c r="F1595" s="39" t="str">
        <f>IF(Agent08_Savings!A200="","",Agent08_Savings!E200)</f>
        <v/>
      </c>
      <c r="G1595" s="39" t="str">
        <f>IF(Agent08_Savings!A200="","",Agent08_Savings!F200)</f>
        <v/>
      </c>
      <c r="H1595" s="37" t="str">
        <f>IF(Agent08_Savings!A200="","",Agent08_Savings!I200)</f>
        <v/>
      </c>
      <c r="I1595" s="37" t="str">
        <f>IF(Agent08_Savings!A200="","",Agent08_Savings!J200)</f>
        <v/>
      </c>
      <c r="J1595" s="37" t="str">
        <f>IF(Agent08_Savings!A200="","",Agent08_Savings!K200)</f>
        <v/>
      </c>
      <c r="K1595" s="37" t="str">
        <f>IFERROR(IF(Agent08_Savings!A200="","",YEAR(Agent08_Savings!D200)),"")</f>
        <v/>
      </c>
    </row>
    <row r="1596" spans="1:11" ht="18" customHeight="1" x14ac:dyDescent="0.25">
      <c r="A1596" s="37" t="str">
        <f>IF(Agent08_Savings!A201="","",Agent08_Savings!A201)</f>
        <v/>
      </c>
      <c r="B1596" s="37" t="str">
        <f ca="1">IF(Agent08_Savings!A201="","","SV"&amp;TEXT(1596-3,"0000")&amp;"-"&amp;TEXT(TODAY(),"YYYYMMDD"))</f>
        <v/>
      </c>
      <c r="C1596" s="37" t="str">
        <f>IF(Agent08_Savings!A201="","",Agent08_Savings!B201)</f>
        <v/>
      </c>
      <c r="D1596" s="37" t="str">
        <f>IF(Agent08_Savings!A201="","",Agent08_Savings!G201)</f>
        <v/>
      </c>
      <c r="E1596" s="38" t="str">
        <f>IF(Agent08_Savings!A201="","",Agent08_Savings!D201)</f>
        <v/>
      </c>
      <c r="F1596" s="39" t="str">
        <f>IF(Agent08_Savings!A201="","",Agent08_Savings!E201)</f>
        <v/>
      </c>
      <c r="G1596" s="39" t="str">
        <f>IF(Agent08_Savings!A201="","",Agent08_Savings!F201)</f>
        <v/>
      </c>
      <c r="H1596" s="37" t="str">
        <f>IF(Agent08_Savings!A201="","",Agent08_Savings!I201)</f>
        <v/>
      </c>
      <c r="I1596" s="37" t="str">
        <f>IF(Agent08_Savings!A201="","",Agent08_Savings!J201)</f>
        <v/>
      </c>
      <c r="J1596" s="37" t="str">
        <f>IF(Agent08_Savings!A201="","",Agent08_Savings!K201)</f>
        <v/>
      </c>
      <c r="K1596" s="37" t="str">
        <f>IFERROR(IF(Agent08_Savings!A201="","",YEAR(Agent08_Savings!D201)),"")</f>
        <v/>
      </c>
    </row>
    <row r="1597" spans="1:11" ht="18" customHeight="1" x14ac:dyDescent="0.25">
      <c r="A1597" s="37" t="str">
        <f>IF(Agent08_Savings!A202="","",Agent08_Savings!A202)</f>
        <v/>
      </c>
      <c r="B1597" s="37" t="str">
        <f ca="1">IF(Agent08_Savings!A202="","","SV"&amp;TEXT(1597-3,"0000")&amp;"-"&amp;TEXT(TODAY(),"YYYYMMDD"))</f>
        <v/>
      </c>
      <c r="C1597" s="37" t="str">
        <f>IF(Agent08_Savings!A202="","",Agent08_Savings!B202)</f>
        <v/>
      </c>
      <c r="D1597" s="37" t="str">
        <f>IF(Agent08_Savings!A202="","",Agent08_Savings!G202)</f>
        <v/>
      </c>
      <c r="E1597" s="38" t="str">
        <f>IF(Agent08_Savings!A202="","",Agent08_Savings!D202)</f>
        <v/>
      </c>
      <c r="F1597" s="39" t="str">
        <f>IF(Agent08_Savings!A202="","",Agent08_Savings!E202)</f>
        <v/>
      </c>
      <c r="G1597" s="39" t="str">
        <f>IF(Agent08_Savings!A202="","",Agent08_Savings!F202)</f>
        <v/>
      </c>
      <c r="H1597" s="37" t="str">
        <f>IF(Agent08_Savings!A202="","",Agent08_Savings!I202)</f>
        <v/>
      </c>
      <c r="I1597" s="37" t="str">
        <f>IF(Agent08_Savings!A202="","",Agent08_Savings!J202)</f>
        <v/>
      </c>
      <c r="J1597" s="37" t="str">
        <f>IF(Agent08_Savings!A202="","",Agent08_Savings!K202)</f>
        <v/>
      </c>
      <c r="K1597" s="37" t="str">
        <f>IFERROR(IF(Agent08_Savings!A202="","",YEAR(Agent08_Savings!D202)),"")</f>
        <v/>
      </c>
    </row>
    <row r="1598" spans="1:11" ht="18" customHeight="1" x14ac:dyDescent="0.25">
      <c r="A1598" s="37" t="str">
        <f>IF(Agent08_Savings!A203="","",Agent08_Savings!A203)</f>
        <v/>
      </c>
      <c r="B1598" s="37" t="str">
        <f ca="1">IF(Agent08_Savings!A203="","","SV"&amp;TEXT(1598-3,"0000")&amp;"-"&amp;TEXT(TODAY(),"YYYYMMDD"))</f>
        <v/>
      </c>
      <c r="C1598" s="37" t="str">
        <f>IF(Agent08_Savings!A203="","",Agent08_Savings!B203)</f>
        <v/>
      </c>
      <c r="D1598" s="37" t="str">
        <f>IF(Agent08_Savings!A203="","",Agent08_Savings!G203)</f>
        <v/>
      </c>
      <c r="E1598" s="38" t="str">
        <f>IF(Agent08_Savings!A203="","",Agent08_Savings!D203)</f>
        <v/>
      </c>
      <c r="F1598" s="39" t="str">
        <f>IF(Agent08_Savings!A203="","",Agent08_Savings!E203)</f>
        <v/>
      </c>
      <c r="G1598" s="39" t="str">
        <f>IF(Agent08_Savings!A203="","",Agent08_Savings!F203)</f>
        <v/>
      </c>
      <c r="H1598" s="37" t="str">
        <f>IF(Agent08_Savings!A203="","",Agent08_Savings!I203)</f>
        <v/>
      </c>
      <c r="I1598" s="37" t="str">
        <f>IF(Agent08_Savings!A203="","",Agent08_Savings!J203)</f>
        <v/>
      </c>
      <c r="J1598" s="37" t="str">
        <f>IF(Agent08_Savings!A203="","",Agent08_Savings!K203)</f>
        <v/>
      </c>
      <c r="K1598" s="37" t="str">
        <f>IFERROR(IF(Agent08_Savings!A203="","",YEAR(Agent08_Savings!D203)),"")</f>
        <v/>
      </c>
    </row>
    <row r="1599" spans="1:11" ht="18" customHeight="1" x14ac:dyDescent="0.25">
      <c r="A1599" s="37" t="str">
        <f>IF(Agent08_Savings!A204="","",Agent08_Savings!A204)</f>
        <v/>
      </c>
      <c r="B1599" s="37" t="str">
        <f ca="1">IF(Agent08_Savings!A204="","","SV"&amp;TEXT(1599-3,"0000")&amp;"-"&amp;TEXT(TODAY(),"YYYYMMDD"))</f>
        <v/>
      </c>
      <c r="C1599" s="37" t="str">
        <f>IF(Agent08_Savings!A204="","",Agent08_Savings!B204)</f>
        <v/>
      </c>
      <c r="D1599" s="37" t="str">
        <f>IF(Agent08_Savings!A204="","",Agent08_Savings!G204)</f>
        <v/>
      </c>
      <c r="E1599" s="38" t="str">
        <f>IF(Agent08_Savings!A204="","",Agent08_Savings!D204)</f>
        <v/>
      </c>
      <c r="F1599" s="39" t="str">
        <f>IF(Agent08_Savings!A204="","",Agent08_Savings!E204)</f>
        <v/>
      </c>
      <c r="G1599" s="39" t="str">
        <f>IF(Agent08_Savings!A204="","",Agent08_Savings!F204)</f>
        <v/>
      </c>
      <c r="H1599" s="37" t="str">
        <f>IF(Agent08_Savings!A204="","",Agent08_Savings!I204)</f>
        <v/>
      </c>
      <c r="I1599" s="37" t="str">
        <f>IF(Agent08_Savings!A204="","",Agent08_Savings!J204)</f>
        <v/>
      </c>
      <c r="J1599" s="37" t="str">
        <f>IF(Agent08_Savings!A204="","",Agent08_Savings!K204)</f>
        <v/>
      </c>
      <c r="K1599" s="37" t="str">
        <f>IFERROR(IF(Agent08_Savings!A204="","",YEAR(Agent08_Savings!D204)),"")</f>
        <v/>
      </c>
    </row>
    <row r="1600" spans="1:11" ht="18" customHeight="1" x14ac:dyDescent="0.25">
      <c r="A1600" s="37" t="str">
        <f>IF(Agent08_Savings!A205="","",Agent08_Savings!A205)</f>
        <v/>
      </c>
      <c r="B1600" s="37" t="str">
        <f ca="1">IF(Agent08_Savings!A205="","","SV"&amp;TEXT(1600-3,"0000")&amp;"-"&amp;TEXT(TODAY(),"YYYYMMDD"))</f>
        <v/>
      </c>
      <c r="C1600" s="37" t="str">
        <f>IF(Agent08_Savings!A205="","",Agent08_Savings!B205)</f>
        <v/>
      </c>
      <c r="D1600" s="37" t="str">
        <f>IF(Agent08_Savings!A205="","",Agent08_Savings!G205)</f>
        <v/>
      </c>
      <c r="E1600" s="38" t="str">
        <f>IF(Agent08_Savings!A205="","",Agent08_Savings!D205)</f>
        <v/>
      </c>
      <c r="F1600" s="39" t="str">
        <f>IF(Agent08_Savings!A205="","",Agent08_Savings!E205)</f>
        <v/>
      </c>
      <c r="G1600" s="39" t="str">
        <f>IF(Agent08_Savings!A205="","",Agent08_Savings!F205)</f>
        <v/>
      </c>
      <c r="H1600" s="37" t="str">
        <f>IF(Agent08_Savings!A205="","",Agent08_Savings!I205)</f>
        <v/>
      </c>
      <c r="I1600" s="37" t="str">
        <f>IF(Agent08_Savings!A205="","",Agent08_Savings!J205)</f>
        <v/>
      </c>
      <c r="J1600" s="37" t="str">
        <f>IF(Agent08_Savings!A205="","",Agent08_Savings!K205)</f>
        <v/>
      </c>
      <c r="K1600" s="37" t="str">
        <f>IFERROR(IF(Agent08_Savings!A205="","",YEAR(Agent08_Savings!D205)),"")</f>
        <v/>
      </c>
    </row>
    <row r="1601" spans="1:11" ht="18" customHeight="1" x14ac:dyDescent="0.25">
      <c r="A1601" s="37" t="str">
        <f>IF(Agent08_Savings!A206="","",Agent08_Savings!A206)</f>
        <v/>
      </c>
      <c r="B1601" s="37" t="str">
        <f ca="1">IF(Agent08_Savings!A206="","","SV"&amp;TEXT(1601-3,"0000")&amp;"-"&amp;TEXT(TODAY(),"YYYYMMDD"))</f>
        <v/>
      </c>
      <c r="C1601" s="37" t="str">
        <f>IF(Agent08_Savings!A206="","",Agent08_Savings!B206)</f>
        <v/>
      </c>
      <c r="D1601" s="37" t="str">
        <f>IF(Agent08_Savings!A206="","",Agent08_Savings!G206)</f>
        <v/>
      </c>
      <c r="E1601" s="38" t="str">
        <f>IF(Agent08_Savings!A206="","",Agent08_Savings!D206)</f>
        <v/>
      </c>
      <c r="F1601" s="39" t="str">
        <f>IF(Agent08_Savings!A206="","",Agent08_Savings!E206)</f>
        <v/>
      </c>
      <c r="G1601" s="39" t="str">
        <f>IF(Agent08_Savings!A206="","",Agent08_Savings!F206)</f>
        <v/>
      </c>
      <c r="H1601" s="37" t="str">
        <f>IF(Agent08_Savings!A206="","",Agent08_Savings!I206)</f>
        <v/>
      </c>
      <c r="I1601" s="37" t="str">
        <f>IF(Agent08_Savings!A206="","",Agent08_Savings!J206)</f>
        <v/>
      </c>
      <c r="J1601" s="37" t="str">
        <f>IF(Agent08_Savings!A206="","",Agent08_Savings!K206)</f>
        <v/>
      </c>
      <c r="K1601" s="37" t="str">
        <f>IFERROR(IF(Agent08_Savings!A206="","",YEAR(Agent08_Savings!D206)),"")</f>
        <v/>
      </c>
    </row>
    <row r="1602" spans="1:11" ht="18" customHeight="1" x14ac:dyDescent="0.25">
      <c r="A1602" s="37" t="str">
        <f>IF(Agent08_Savings!A207="","",Agent08_Savings!A207)</f>
        <v/>
      </c>
      <c r="B1602" s="37" t="str">
        <f ca="1">IF(Agent08_Savings!A207="","","SV"&amp;TEXT(1602-3,"0000")&amp;"-"&amp;TEXT(TODAY(),"YYYYMMDD"))</f>
        <v/>
      </c>
      <c r="C1602" s="37" t="str">
        <f>IF(Agent08_Savings!A207="","",Agent08_Savings!B207)</f>
        <v/>
      </c>
      <c r="D1602" s="37" t="str">
        <f>IF(Agent08_Savings!A207="","",Agent08_Savings!G207)</f>
        <v/>
      </c>
      <c r="E1602" s="38" t="str">
        <f>IF(Agent08_Savings!A207="","",Agent08_Savings!D207)</f>
        <v/>
      </c>
      <c r="F1602" s="39" t="str">
        <f>IF(Agent08_Savings!A207="","",Agent08_Savings!E207)</f>
        <v/>
      </c>
      <c r="G1602" s="39" t="str">
        <f>IF(Agent08_Savings!A207="","",Agent08_Savings!F207)</f>
        <v/>
      </c>
      <c r="H1602" s="37" t="str">
        <f>IF(Agent08_Savings!A207="","",Agent08_Savings!I207)</f>
        <v/>
      </c>
      <c r="I1602" s="37" t="str">
        <f>IF(Agent08_Savings!A207="","",Agent08_Savings!J207)</f>
        <v/>
      </c>
      <c r="J1602" s="37" t="str">
        <f>IF(Agent08_Savings!A207="","",Agent08_Savings!K207)</f>
        <v/>
      </c>
      <c r="K1602" s="37" t="str">
        <f>IFERROR(IF(Agent08_Savings!A207="","",YEAR(Agent08_Savings!D207)),"")</f>
        <v/>
      </c>
    </row>
    <row r="1603" spans="1:11" ht="18" customHeight="1" x14ac:dyDescent="0.25">
      <c r="A1603" s="37" t="str">
        <f>IF(Agent08_Savings!A208="","",Agent08_Savings!A208)</f>
        <v/>
      </c>
      <c r="B1603" s="37" t="str">
        <f ca="1">IF(Agent08_Savings!A208="","","SV"&amp;TEXT(1603-3,"0000")&amp;"-"&amp;TEXT(TODAY(),"YYYYMMDD"))</f>
        <v/>
      </c>
      <c r="C1603" s="37" t="str">
        <f>IF(Agent08_Savings!A208="","",Agent08_Savings!B208)</f>
        <v/>
      </c>
      <c r="D1603" s="37" t="str">
        <f>IF(Agent08_Savings!A208="","",Agent08_Savings!G208)</f>
        <v/>
      </c>
      <c r="E1603" s="38" t="str">
        <f>IF(Agent08_Savings!A208="","",Agent08_Savings!D208)</f>
        <v/>
      </c>
      <c r="F1603" s="39" t="str">
        <f>IF(Agent08_Savings!A208="","",Agent08_Savings!E208)</f>
        <v/>
      </c>
      <c r="G1603" s="39" t="str">
        <f>IF(Agent08_Savings!A208="","",Agent08_Savings!F208)</f>
        <v/>
      </c>
      <c r="H1603" s="37" t="str">
        <f>IF(Agent08_Savings!A208="","",Agent08_Savings!I208)</f>
        <v/>
      </c>
      <c r="I1603" s="37" t="str">
        <f>IF(Agent08_Savings!A208="","",Agent08_Savings!J208)</f>
        <v/>
      </c>
      <c r="J1603" s="37" t="str">
        <f>IF(Agent08_Savings!A208="","",Agent08_Savings!K208)</f>
        <v/>
      </c>
      <c r="K1603" s="37" t="str">
        <f>IFERROR(IF(Agent08_Savings!A208="","",YEAR(Agent08_Savings!D208)),"")</f>
        <v/>
      </c>
    </row>
    <row r="1604" spans="1:11" ht="18" customHeight="1" x14ac:dyDescent="0.25">
      <c r="A1604" s="37" t="str">
        <f>IF(Agent09_Savings!A9="","",Agent09_Savings!A9)</f>
        <v/>
      </c>
      <c r="B1604" s="37" t="str">
        <f ca="1">IF(Agent09_Savings!A9="","","SV"&amp;TEXT(1604-3,"0000")&amp;"-"&amp;TEXT(TODAY(),"YYYYMMDD"))</f>
        <v/>
      </c>
      <c r="C1604" s="37" t="str">
        <f>IF(Agent09_Savings!A9="","",Agent09_Savings!B9)</f>
        <v/>
      </c>
      <c r="D1604" s="37" t="str">
        <f>IF(Agent09_Savings!A9="","",Agent09_Savings!G9)</f>
        <v/>
      </c>
      <c r="E1604" s="38" t="str">
        <f>IF(Agent09_Savings!A9="","",Agent09_Savings!D9)</f>
        <v/>
      </c>
      <c r="F1604" s="39" t="str">
        <f>IF(Agent09_Savings!A9="","",Agent09_Savings!E9)</f>
        <v/>
      </c>
      <c r="G1604" s="39" t="str">
        <f>IF(Agent09_Savings!A9="","",Agent09_Savings!F9)</f>
        <v/>
      </c>
      <c r="H1604" s="37" t="str">
        <f>IF(Agent09_Savings!A9="","",Agent09_Savings!I9)</f>
        <v/>
      </c>
      <c r="I1604" s="37" t="str">
        <f>IF(Agent09_Savings!A9="","",Agent09_Savings!J9)</f>
        <v/>
      </c>
      <c r="J1604" s="37" t="str">
        <f>IF(Agent09_Savings!A9="","",Agent09_Savings!K9)</f>
        <v/>
      </c>
      <c r="K1604" s="37" t="str">
        <f>IFERROR(IF(Agent09_Savings!A9="","",YEAR(Agent09_Savings!D9)),"")</f>
        <v/>
      </c>
    </row>
    <row r="1605" spans="1:11" ht="18" customHeight="1" x14ac:dyDescent="0.25">
      <c r="A1605" s="37" t="str">
        <f>IF(Agent09_Savings!A10="","",Agent09_Savings!A10)</f>
        <v/>
      </c>
      <c r="B1605" s="37" t="str">
        <f ca="1">IF(Agent09_Savings!A10="","","SV"&amp;TEXT(1605-3,"0000")&amp;"-"&amp;TEXT(TODAY(),"YYYYMMDD"))</f>
        <v/>
      </c>
      <c r="C1605" s="37" t="str">
        <f>IF(Agent09_Savings!A10="","",Agent09_Savings!B10)</f>
        <v/>
      </c>
      <c r="D1605" s="37" t="str">
        <f>IF(Agent09_Savings!A10="","",Agent09_Savings!G10)</f>
        <v/>
      </c>
      <c r="E1605" s="38" t="str">
        <f>IF(Agent09_Savings!A10="","",Agent09_Savings!D10)</f>
        <v/>
      </c>
      <c r="F1605" s="39" t="str">
        <f>IF(Agent09_Savings!A10="","",Agent09_Savings!E10)</f>
        <v/>
      </c>
      <c r="G1605" s="39" t="str">
        <f>IF(Agent09_Savings!A10="","",Agent09_Savings!F10)</f>
        <v/>
      </c>
      <c r="H1605" s="37" t="str">
        <f>IF(Agent09_Savings!A10="","",Agent09_Savings!I10)</f>
        <v/>
      </c>
      <c r="I1605" s="37" t="str">
        <f>IF(Agent09_Savings!A10="","",Agent09_Savings!J10)</f>
        <v/>
      </c>
      <c r="J1605" s="37" t="str">
        <f>IF(Agent09_Savings!A10="","",Agent09_Savings!K10)</f>
        <v/>
      </c>
      <c r="K1605" s="37" t="str">
        <f>IFERROR(IF(Agent09_Savings!A10="","",YEAR(Agent09_Savings!D10)),"")</f>
        <v/>
      </c>
    </row>
    <row r="1606" spans="1:11" ht="18" customHeight="1" x14ac:dyDescent="0.25">
      <c r="A1606" s="37" t="str">
        <f>IF(Agent09_Savings!A11="","",Agent09_Savings!A11)</f>
        <v/>
      </c>
      <c r="B1606" s="37" t="str">
        <f ca="1">IF(Agent09_Savings!A11="","","SV"&amp;TEXT(1606-3,"0000")&amp;"-"&amp;TEXT(TODAY(),"YYYYMMDD"))</f>
        <v/>
      </c>
      <c r="C1606" s="37" t="str">
        <f>IF(Agent09_Savings!A11="","",Agent09_Savings!B11)</f>
        <v/>
      </c>
      <c r="D1606" s="37" t="str">
        <f>IF(Agent09_Savings!A11="","",Agent09_Savings!G11)</f>
        <v/>
      </c>
      <c r="E1606" s="38" t="str">
        <f>IF(Agent09_Savings!A11="","",Agent09_Savings!D11)</f>
        <v/>
      </c>
      <c r="F1606" s="39" t="str">
        <f>IF(Agent09_Savings!A11="","",Agent09_Savings!E11)</f>
        <v/>
      </c>
      <c r="G1606" s="39" t="str">
        <f>IF(Agent09_Savings!A11="","",Agent09_Savings!F11)</f>
        <v/>
      </c>
      <c r="H1606" s="37" t="str">
        <f>IF(Agent09_Savings!A11="","",Agent09_Savings!I11)</f>
        <v/>
      </c>
      <c r="I1606" s="37" t="str">
        <f>IF(Agent09_Savings!A11="","",Agent09_Savings!J11)</f>
        <v/>
      </c>
      <c r="J1606" s="37" t="str">
        <f>IF(Agent09_Savings!A11="","",Agent09_Savings!K11)</f>
        <v/>
      </c>
      <c r="K1606" s="37" t="str">
        <f>IFERROR(IF(Agent09_Savings!A11="","",YEAR(Agent09_Savings!D11)),"")</f>
        <v/>
      </c>
    </row>
    <row r="1607" spans="1:11" ht="18" customHeight="1" x14ac:dyDescent="0.25">
      <c r="A1607" s="37" t="str">
        <f>IF(Agent09_Savings!A12="","",Agent09_Savings!A12)</f>
        <v/>
      </c>
      <c r="B1607" s="37" t="str">
        <f ca="1">IF(Agent09_Savings!A12="","","SV"&amp;TEXT(1607-3,"0000")&amp;"-"&amp;TEXT(TODAY(),"YYYYMMDD"))</f>
        <v/>
      </c>
      <c r="C1607" s="37" t="str">
        <f>IF(Agent09_Savings!A12="","",Agent09_Savings!B12)</f>
        <v/>
      </c>
      <c r="D1607" s="37" t="str">
        <f>IF(Agent09_Savings!A12="","",Agent09_Savings!G12)</f>
        <v/>
      </c>
      <c r="E1607" s="38" t="str">
        <f>IF(Agent09_Savings!A12="","",Agent09_Savings!D12)</f>
        <v/>
      </c>
      <c r="F1607" s="39" t="str">
        <f>IF(Agent09_Savings!A12="","",Agent09_Savings!E12)</f>
        <v/>
      </c>
      <c r="G1607" s="39" t="str">
        <f>IF(Agent09_Savings!A12="","",Agent09_Savings!F12)</f>
        <v/>
      </c>
      <c r="H1607" s="37" t="str">
        <f>IF(Agent09_Savings!A12="","",Agent09_Savings!I12)</f>
        <v/>
      </c>
      <c r="I1607" s="37" t="str">
        <f>IF(Agent09_Savings!A12="","",Agent09_Savings!J12)</f>
        <v/>
      </c>
      <c r="J1607" s="37" t="str">
        <f>IF(Agent09_Savings!A12="","",Agent09_Savings!K12)</f>
        <v/>
      </c>
      <c r="K1607" s="37" t="str">
        <f>IFERROR(IF(Agent09_Savings!A12="","",YEAR(Agent09_Savings!D12)),"")</f>
        <v/>
      </c>
    </row>
    <row r="1608" spans="1:11" ht="18" customHeight="1" x14ac:dyDescent="0.25">
      <c r="A1608" s="37" t="str">
        <f>IF(Agent09_Savings!A13="","",Agent09_Savings!A13)</f>
        <v/>
      </c>
      <c r="B1608" s="37" t="str">
        <f ca="1">IF(Agent09_Savings!A13="","","SV"&amp;TEXT(1608-3,"0000")&amp;"-"&amp;TEXT(TODAY(),"YYYYMMDD"))</f>
        <v/>
      </c>
      <c r="C1608" s="37" t="str">
        <f>IF(Agent09_Savings!A13="","",Agent09_Savings!B13)</f>
        <v/>
      </c>
      <c r="D1608" s="37" t="str">
        <f>IF(Agent09_Savings!A13="","",Agent09_Savings!G13)</f>
        <v/>
      </c>
      <c r="E1608" s="38" t="str">
        <f>IF(Agent09_Savings!A13="","",Agent09_Savings!D13)</f>
        <v/>
      </c>
      <c r="F1608" s="39" t="str">
        <f>IF(Agent09_Savings!A13="","",Agent09_Savings!E13)</f>
        <v/>
      </c>
      <c r="G1608" s="39" t="str">
        <f>IF(Agent09_Savings!A13="","",Agent09_Savings!F13)</f>
        <v/>
      </c>
      <c r="H1608" s="37" t="str">
        <f>IF(Agent09_Savings!A13="","",Agent09_Savings!I13)</f>
        <v/>
      </c>
      <c r="I1608" s="37" t="str">
        <f>IF(Agent09_Savings!A13="","",Agent09_Savings!J13)</f>
        <v/>
      </c>
      <c r="J1608" s="37" t="str">
        <f>IF(Agent09_Savings!A13="","",Agent09_Savings!K13)</f>
        <v/>
      </c>
      <c r="K1608" s="37" t="str">
        <f>IFERROR(IF(Agent09_Savings!A13="","",YEAR(Agent09_Savings!D13)),"")</f>
        <v/>
      </c>
    </row>
    <row r="1609" spans="1:11" ht="18" customHeight="1" x14ac:dyDescent="0.25">
      <c r="A1609" s="37" t="str">
        <f>IF(Agent09_Savings!A14="","",Agent09_Savings!A14)</f>
        <v/>
      </c>
      <c r="B1609" s="37" t="str">
        <f ca="1">IF(Agent09_Savings!A14="","","SV"&amp;TEXT(1609-3,"0000")&amp;"-"&amp;TEXT(TODAY(),"YYYYMMDD"))</f>
        <v/>
      </c>
      <c r="C1609" s="37" t="str">
        <f>IF(Agent09_Savings!A14="","",Agent09_Savings!B14)</f>
        <v/>
      </c>
      <c r="D1609" s="37" t="str">
        <f>IF(Agent09_Savings!A14="","",Agent09_Savings!G14)</f>
        <v/>
      </c>
      <c r="E1609" s="38" t="str">
        <f>IF(Agent09_Savings!A14="","",Agent09_Savings!D14)</f>
        <v/>
      </c>
      <c r="F1609" s="39" t="str">
        <f>IF(Agent09_Savings!A14="","",Agent09_Savings!E14)</f>
        <v/>
      </c>
      <c r="G1609" s="39" t="str">
        <f>IF(Agent09_Savings!A14="","",Agent09_Savings!F14)</f>
        <v/>
      </c>
      <c r="H1609" s="37" t="str">
        <f>IF(Agent09_Savings!A14="","",Agent09_Savings!I14)</f>
        <v/>
      </c>
      <c r="I1609" s="37" t="str">
        <f>IF(Agent09_Savings!A14="","",Agent09_Savings!J14)</f>
        <v/>
      </c>
      <c r="J1609" s="37" t="str">
        <f>IF(Agent09_Savings!A14="","",Agent09_Savings!K14)</f>
        <v/>
      </c>
      <c r="K1609" s="37" t="str">
        <f>IFERROR(IF(Agent09_Savings!A14="","",YEAR(Agent09_Savings!D14)),"")</f>
        <v/>
      </c>
    </row>
    <row r="1610" spans="1:11" ht="18" customHeight="1" x14ac:dyDescent="0.25">
      <c r="A1610" s="37" t="str">
        <f>IF(Agent09_Savings!A15="","",Agent09_Savings!A15)</f>
        <v/>
      </c>
      <c r="B1610" s="37" t="str">
        <f ca="1">IF(Agent09_Savings!A15="","","SV"&amp;TEXT(1610-3,"0000")&amp;"-"&amp;TEXT(TODAY(),"YYYYMMDD"))</f>
        <v/>
      </c>
      <c r="C1610" s="37" t="str">
        <f>IF(Agent09_Savings!A15="","",Agent09_Savings!B15)</f>
        <v/>
      </c>
      <c r="D1610" s="37" t="str">
        <f>IF(Agent09_Savings!A15="","",Agent09_Savings!G15)</f>
        <v/>
      </c>
      <c r="E1610" s="38" t="str">
        <f>IF(Agent09_Savings!A15="","",Agent09_Savings!D15)</f>
        <v/>
      </c>
      <c r="F1610" s="39" t="str">
        <f>IF(Agent09_Savings!A15="","",Agent09_Savings!E15)</f>
        <v/>
      </c>
      <c r="G1610" s="39" t="str">
        <f>IF(Agent09_Savings!A15="","",Agent09_Savings!F15)</f>
        <v/>
      </c>
      <c r="H1610" s="37" t="str">
        <f>IF(Agent09_Savings!A15="","",Agent09_Savings!I15)</f>
        <v/>
      </c>
      <c r="I1610" s="37" t="str">
        <f>IF(Agent09_Savings!A15="","",Agent09_Savings!J15)</f>
        <v/>
      </c>
      <c r="J1610" s="37" t="str">
        <f>IF(Agent09_Savings!A15="","",Agent09_Savings!K15)</f>
        <v/>
      </c>
      <c r="K1610" s="37" t="str">
        <f>IFERROR(IF(Agent09_Savings!A15="","",YEAR(Agent09_Savings!D15)),"")</f>
        <v/>
      </c>
    </row>
    <row r="1611" spans="1:11" ht="18" customHeight="1" x14ac:dyDescent="0.25">
      <c r="A1611" s="37" t="str">
        <f>IF(Agent09_Savings!A16="","",Agent09_Savings!A16)</f>
        <v/>
      </c>
      <c r="B1611" s="37" t="str">
        <f ca="1">IF(Agent09_Savings!A16="","","SV"&amp;TEXT(1611-3,"0000")&amp;"-"&amp;TEXT(TODAY(),"YYYYMMDD"))</f>
        <v/>
      </c>
      <c r="C1611" s="37" t="str">
        <f>IF(Agent09_Savings!A16="","",Agent09_Savings!B16)</f>
        <v/>
      </c>
      <c r="D1611" s="37" t="str">
        <f>IF(Agent09_Savings!A16="","",Agent09_Savings!G16)</f>
        <v/>
      </c>
      <c r="E1611" s="38" t="str">
        <f>IF(Agent09_Savings!A16="","",Agent09_Savings!D16)</f>
        <v/>
      </c>
      <c r="F1611" s="39" t="str">
        <f>IF(Agent09_Savings!A16="","",Agent09_Savings!E16)</f>
        <v/>
      </c>
      <c r="G1611" s="39" t="str">
        <f>IF(Agent09_Savings!A16="","",Agent09_Savings!F16)</f>
        <v/>
      </c>
      <c r="H1611" s="37" t="str">
        <f>IF(Agent09_Savings!A16="","",Agent09_Savings!I16)</f>
        <v/>
      </c>
      <c r="I1611" s="37" t="str">
        <f>IF(Agent09_Savings!A16="","",Agent09_Savings!J16)</f>
        <v/>
      </c>
      <c r="J1611" s="37" t="str">
        <f>IF(Agent09_Savings!A16="","",Agent09_Savings!K16)</f>
        <v/>
      </c>
      <c r="K1611" s="37" t="str">
        <f>IFERROR(IF(Agent09_Savings!A16="","",YEAR(Agent09_Savings!D16)),"")</f>
        <v/>
      </c>
    </row>
    <row r="1612" spans="1:11" ht="18" customHeight="1" x14ac:dyDescent="0.25">
      <c r="A1612" s="37" t="str">
        <f>IF(Agent09_Savings!A17="","",Agent09_Savings!A17)</f>
        <v/>
      </c>
      <c r="B1612" s="37" t="str">
        <f ca="1">IF(Agent09_Savings!A17="","","SV"&amp;TEXT(1612-3,"0000")&amp;"-"&amp;TEXT(TODAY(),"YYYYMMDD"))</f>
        <v/>
      </c>
      <c r="C1612" s="37" t="str">
        <f>IF(Agent09_Savings!A17="","",Agent09_Savings!B17)</f>
        <v/>
      </c>
      <c r="D1612" s="37" t="str">
        <f>IF(Agent09_Savings!A17="","",Agent09_Savings!G17)</f>
        <v/>
      </c>
      <c r="E1612" s="38" t="str">
        <f>IF(Agent09_Savings!A17="","",Agent09_Savings!D17)</f>
        <v/>
      </c>
      <c r="F1612" s="39" t="str">
        <f>IF(Agent09_Savings!A17="","",Agent09_Savings!E17)</f>
        <v/>
      </c>
      <c r="G1612" s="39" t="str">
        <f>IF(Agent09_Savings!A17="","",Agent09_Savings!F17)</f>
        <v/>
      </c>
      <c r="H1612" s="37" t="str">
        <f>IF(Agent09_Savings!A17="","",Agent09_Savings!I17)</f>
        <v/>
      </c>
      <c r="I1612" s="37" t="str">
        <f>IF(Agent09_Savings!A17="","",Agent09_Savings!J17)</f>
        <v/>
      </c>
      <c r="J1612" s="37" t="str">
        <f>IF(Agent09_Savings!A17="","",Agent09_Savings!K17)</f>
        <v/>
      </c>
      <c r="K1612" s="37" t="str">
        <f>IFERROR(IF(Agent09_Savings!A17="","",YEAR(Agent09_Savings!D17)),"")</f>
        <v/>
      </c>
    </row>
    <row r="1613" spans="1:11" ht="18" customHeight="1" x14ac:dyDescent="0.25">
      <c r="A1613" s="37" t="str">
        <f>IF(Agent09_Savings!A18="","",Agent09_Savings!A18)</f>
        <v/>
      </c>
      <c r="B1613" s="37" t="str">
        <f ca="1">IF(Agent09_Savings!A18="","","SV"&amp;TEXT(1613-3,"0000")&amp;"-"&amp;TEXT(TODAY(),"YYYYMMDD"))</f>
        <v/>
      </c>
      <c r="C1613" s="37" t="str">
        <f>IF(Agent09_Savings!A18="","",Agent09_Savings!B18)</f>
        <v/>
      </c>
      <c r="D1613" s="37" t="str">
        <f>IF(Agent09_Savings!A18="","",Agent09_Savings!G18)</f>
        <v/>
      </c>
      <c r="E1613" s="38" t="str">
        <f>IF(Agent09_Savings!A18="","",Agent09_Savings!D18)</f>
        <v/>
      </c>
      <c r="F1613" s="39" t="str">
        <f>IF(Agent09_Savings!A18="","",Agent09_Savings!E18)</f>
        <v/>
      </c>
      <c r="G1613" s="39" t="str">
        <f>IF(Agent09_Savings!A18="","",Agent09_Savings!F18)</f>
        <v/>
      </c>
      <c r="H1613" s="37" t="str">
        <f>IF(Agent09_Savings!A18="","",Agent09_Savings!I18)</f>
        <v/>
      </c>
      <c r="I1613" s="37" t="str">
        <f>IF(Agent09_Savings!A18="","",Agent09_Savings!J18)</f>
        <v/>
      </c>
      <c r="J1613" s="37" t="str">
        <f>IF(Agent09_Savings!A18="","",Agent09_Savings!K18)</f>
        <v/>
      </c>
      <c r="K1613" s="37" t="str">
        <f>IFERROR(IF(Agent09_Savings!A18="","",YEAR(Agent09_Savings!D18)),"")</f>
        <v/>
      </c>
    </row>
    <row r="1614" spans="1:11" ht="18" customHeight="1" x14ac:dyDescent="0.25">
      <c r="A1614" s="37" t="str">
        <f>IF(Agent09_Savings!A19="","",Agent09_Savings!A19)</f>
        <v/>
      </c>
      <c r="B1614" s="37" t="str">
        <f ca="1">IF(Agent09_Savings!A19="","","SV"&amp;TEXT(1614-3,"0000")&amp;"-"&amp;TEXT(TODAY(),"YYYYMMDD"))</f>
        <v/>
      </c>
      <c r="C1614" s="37" t="str">
        <f>IF(Agent09_Savings!A19="","",Agent09_Savings!B19)</f>
        <v/>
      </c>
      <c r="D1614" s="37" t="str">
        <f>IF(Agent09_Savings!A19="","",Agent09_Savings!G19)</f>
        <v/>
      </c>
      <c r="E1614" s="38" t="str">
        <f>IF(Agent09_Savings!A19="","",Agent09_Savings!D19)</f>
        <v/>
      </c>
      <c r="F1614" s="39" t="str">
        <f>IF(Agent09_Savings!A19="","",Agent09_Savings!E19)</f>
        <v/>
      </c>
      <c r="G1614" s="39" t="str">
        <f>IF(Agent09_Savings!A19="","",Agent09_Savings!F19)</f>
        <v/>
      </c>
      <c r="H1614" s="37" t="str">
        <f>IF(Agent09_Savings!A19="","",Agent09_Savings!I19)</f>
        <v/>
      </c>
      <c r="I1614" s="37" t="str">
        <f>IF(Agent09_Savings!A19="","",Agent09_Savings!J19)</f>
        <v/>
      </c>
      <c r="J1614" s="37" t="str">
        <f>IF(Agent09_Savings!A19="","",Agent09_Savings!K19)</f>
        <v/>
      </c>
      <c r="K1614" s="37" t="str">
        <f>IFERROR(IF(Agent09_Savings!A19="","",YEAR(Agent09_Savings!D19)),"")</f>
        <v/>
      </c>
    </row>
    <row r="1615" spans="1:11" ht="18" customHeight="1" x14ac:dyDescent="0.25">
      <c r="A1615" s="37" t="str">
        <f>IF(Agent09_Savings!A20="","",Agent09_Savings!A20)</f>
        <v/>
      </c>
      <c r="B1615" s="37" t="str">
        <f ca="1">IF(Agent09_Savings!A20="","","SV"&amp;TEXT(1615-3,"0000")&amp;"-"&amp;TEXT(TODAY(),"YYYYMMDD"))</f>
        <v/>
      </c>
      <c r="C1615" s="37" t="str">
        <f>IF(Agent09_Savings!A20="","",Agent09_Savings!B20)</f>
        <v/>
      </c>
      <c r="D1615" s="37" t="str">
        <f>IF(Agent09_Savings!A20="","",Agent09_Savings!G20)</f>
        <v/>
      </c>
      <c r="E1615" s="38" t="str">
        <f>IF(Agent09_Savings!A20="","",Agent09_Savings!D20)</f>
        <v/>
      </c>
      <c r="F1615" s="39" t="str">
        <f>IF(Agent09_Savings!A20="","",Agent09_Savings!E20)</f>
        <v/>
      </c>
      <c r="G1615" s="39" t="str">
        <f>IF(Agent09_Savings!A20="","",Agent09_Savings!F20)</f>
        <v/>
      </c>
      <c r="H1615" s="37" t="str">
        <f>IF(Agent09_Savings!A20="","",Agent09_Savings!I20)</f>
        <v/>
      </c>
      <c r="I1615" s="37" t="str">
        <f>IF(Agent09_Savings!A20="","",Agent09_Savings!J20)</f>
        <v/>
      </c>
      <c r="J1615" s="37" t="str">
        <f>IF(Agent09_Savings!A20="","",Agent09_Savings!K20)</f>
        <v/>
      </c>
      <c r="K1615" s="37" t="str">
        <f>IFERROR(IF(Agent09_Savings!A20="","",YEAR(Agent09_Savings!D20)),"")</f>
        <v/>
      </c>
    </row>
    <row r="1616" spans="1:11" ht="18" customHeight="1" x14ac:dyDescent="0.25">
      <c r="A1616" s="37" t="str">
        <f>IF(Agent09_Savings!A21="","",Agent09_Savings!A21)</f>
        <v/>
      </c>
      <c r="B1616" s="37" t="str">
        <f ca="1">IF(Agent09_Savings!A21="","","SV"&amp;TEXT(1616-3,"0000")&amp;"-"&amp;TEXT(TODAY(),"YYYYMMDD"))</f>
        <v/>
      </c>
      <c r="C1616" s="37" t="str">
        <f>IF(Agent09_Savings!A21="","",Agent09_Savings!B21)</f>
        <v/>
      </c>
      <c r="D1616" s="37" t="str">
        <f>IF(Agent09_Savings!A21="","",Agent09_Savings!G21)</f>
        <v/>
      </c>
      <c r="E1616" s="38" t="str">
        <f>IF(Agent09_Savings!A21="","",Agent09_Savings!D21)</f>
        <v/>
      </c>
      <c r="F1616" s="39" t="str">
        <f>IF(Agent09_Savings!A21="","",Agent09_Savings!E21)</f>
        <v/>
      </c>
      <c r="G1616" s="39" t="str">
        <f>IF(Agent09_Savings!A21="","",Agent09_Savings!F21)</f>
        <v/>
      </c>
      <c r="H1616" s="37" t="str">
        <f>IF(Agent09_Savings!A21="","",Agent09_Savings!I21)</f>
        <v/>
      </c>
      <c r="I1616" s="37" t="str">
        <f>IF(Agent09_Savings!A21="","",Agent09_Savings!J21)</f>
        <v/>
      </c>
      <c r="J1616" s="37" t="str">
        <f>IF(Agent09_Savings!A21="","",Agent09_Savings!K21)</f>
        <v/>
      </c>
      <c r="K1616" s="37" t="str">
        <f>IFERROR(IF(Agent09_Savings!A21="","",YEAR(Agent09_Savings!D21)),"")</f>
        <v/>
      </c>
    </row>
    <row r="1617" spans="1:11" ht="18" customHeight="1" x14ac:dyDescent="0.25">
      <c r="A1617" s="37" t="str">
        <f>IF(Agent09_Savings!A22="","",Agent09_Savings!A22)</f>
        <v/>
      </c>
      <c r="B1617" s="37" t="str">
        <f ca="1">IF(Agent09_Savings!A22="","","SV"&amp;TEXT(1617-3,"0000")&amp;"-"&amp;TEXT(TODAY(),"YYYYMMDD"))</f>
        <v/>
      </c>
      <c r="C1617" s="37" t="str">
        <f>IF(Agent09_Savings!A22="","",Agent09_Savings!B22)</f>
        <v/>
      </c>
      <c r="D1617" s="37" t="str">
        <f>IF(Agent09_Savings!A22="","",Agent09_Savings!G22)</f>
        <v/>
      </c>
      <c r="E1617" s="38" t="str">
        <f>IF(Agent09_Savings!A22="","",Agent09_Savings!D22)</f>
        <v/>
      </c>
      <c r="F1617" s="39" t="str">
        <f>IF(Agent09_Savings!A22="","",Agent09_Savings!E22)</f>
        <v/>
      </c>
      <c r="G1617" s="39" t="str">
        <f>IF(Agent09_Savings!A22="","",Agent09_Savings!F22)</f>
        <v/>
      </c>
      <c r="H1617" s="37" t="str">
        <f>IF(Agent09_Savings!A22="","",Agent09_Savings!I22)</f>
        <v/>
      </c>
      <c r="I1617" s="37" t="str">
        <f>IF(Agent09_Savings!A22="","",Agent09_Savings!J22)</f>
        <v/>
      </c>
      <c r="J1617" s="37" t="str">
        <f>IF(Agent09_Savings!A22="","",Agent09_Savings!K22)</f>
        <v/>
      </c>
      <c r="K1617" s="37" t="str">
        <f>IFERROR(IF(Agent09_Savings!A22="","",YEAR(Agent09_Savings!D22)),"")</f>
        <v/>
      </c>
    </row>
    <row r="1618" spans="1:11" ht="18" customHeight="1" x14ac:dyDescent="0.25">
      <c r="A1618" s="37" t="str">
        <f>IF(Agent09_Savings!A23="","",Agent09_Savings!A23)</f>
        <v/>
      </c>
      <c r="B1618" s="37" t="str">
        <f ca="1">IF(Agent09_Savings!A23="","","SV"&amp;TEXT(1618-3,"0000")&amp;"-"&amp;TEXT(TODAY(),"YYYYMMDD"))</f>
        <v/>
      </c>
      <c r="C1618" s="37" t="str">
        <f>IF(Agent09_Savings!A23="","",Agent09_Savings!B23)</f>
        <v/>
      </c>
      <c r="D1618" s="37" t="str">
        <f>IF(Agent09_Savings!A23="","",Agent09_Savings!G23)</f>
        <v/>
      </c>
      <c r="E1618" s="38" t="str">
        <f>IF(Agent09_Savings!A23="","",Agent09_Savings!D23)</f>
        <v/>
      </c>
      <c r="F1618" s="39" t="str">
        <f>IF(Agent09_Savings!A23="","",Agent09_Savings!E23)</f>
        <v/>
      </c>
      <c r="G1618" s="39" t="str">
        <f>IF(Agent09_Savings!A23="","",Agent09_Savings!F23)</f>
        <v/>
      </c>
      <c r="H1618" s="37" t="str">
        <f>IF(Agent09_Savings!A23="","",Agent09_Savings!I23)</f>
        <v/>
      </c>
      <c r="I1618" s="37" t="str">
        <f>IF(Agent09_Savings!A23="","",Agent09_Savings!J23)</f>
        <v/>
      </c>
      <c r="J1618" s="37" t="str">
        <f>IF(Agent09_Savings!A23="","",Agent09_Savings!K23)</f>
        <v/>
      </c>
      <c r="K1618" s="37" t="str">
        <f>IFERROR(IF(Agent09_Savings!A23="","",YEAR(Agent09_Savings!D23)),"")</f>
        <v/>
      </c>
    </row>
    <row r="1619" spans="1:11" ht="18" customHeight="1" x14ac:dyDescent="0.25">
      <c r="A1619" s="37" t="str">
        <f>IF(Agent09_Savings!A24="","",Agent09_Savings!A24)</f>
        <v/>
      </c>
      <c r="B1619" s="37" t="str">
        <f ca="1">IF(Agent09_Savings!A24="","","SV"&amp;TEXT(1619-3,"0000")&amp;"-"&amp;TEXT(TODAY(),"YYYYMMDD"))</f>
        <v/>
      </c>
      <c r="C1619" s="37" t="str">
        <f>IF(Agent09_Savings!A24="","",Agent09_Savings!B24)</f>
        <v/>
      </c>
      <c r="D1619" s="37" t="str">
        <f>IF(Agent09_Savings!A24="","",Agent09_Savings!G24)</f>
        <v/>
      </c>
      <c r="E1619" s="38" t="str">
        <f>IF(Agent09_Savings!A24="","",Agent09_Savings!D24)</f>
        <v/>
      </c>
      <c r="F1619" s="39" t="str">
        <f>IF(Agent09_Savings!A24="","",Agent09_Savings!E24)</f>
        <v/>
      </c>
      <c r="G1619" s="39" t="str">
        <f>IF(Agent09_Savings!A24="","",Agent09_Savings!F24)</f>
        <v/>
      </c>
      <c r="H1619" s="37" t="str">
        <f>IF(Agent09_Savings!A24="","",Agent09_Savings!I24)</f>
        <v/>
      </c>
      <c r="I1619" s="37" t="str">
        <f>IF(Agent09_Savings!A24="","",Agent09_Savings!J24)</f>
        <v/>
      </c>
      <c r="J1619" s="37" t="str">
        <f>IF(Agent09_Savings!A24="","",Agent09_Savings!K24)</f>
        <v/>
      </c>
      <c r="K1619" s="37" t="str">
        <f>IFERROR(IF(Agent09_Savings!A24="","",YEAR(Agent09_Savings!D24)),"")</f>
        <v/>
      </c>
    </row>
    <row r="1620" spans="1:11" ht="18" customHeight="1" x14ac:dyDescent="0.25">
      <c r="A1620" s="37" t="str">
        <f>IF(Agent09_Savings!A25="","",Agent09_Savings!A25)</f>
        <v/>
      </c>
      <c r="B1620" s="37" t="str">
        <f ca="1">IF(Agent09_Savings!A25="","","SV"&amp;TEXT(1620-3,"0000")&amp;"-"&amp;TEXT(TODAY(),"YYYYMMDD"))</f>
        <v/>
      </c>
      <c r="C1620" s="37" t="str">
        <f>IF(Agent09_Savings!A25="","",Agent09_Savings!B25)</f>
        <v/>
      </c>
      <c r="D1620" s="37" t="str">
        <f>IF(Agent09_Savings!A25="","",Agent09_Savings!G25)</f>
        <v/>
      </c>
      <c r="E1620" s="38" t="str">
        <f>IF(Agent09_Savings!A25="","",Agent09_Savings!D25)</f>
        <v/>
      </c>
      <c r="F1620" s="39" t="str">
        <f>IF(Agent09_Savings!A25="","",Agent09_Savings!E25)</f>
        <v/>
      </c>
      <c r="G1620" s="39" t="str">
        <f>IF(Agent09_Savings!A25="","",Agent09_Savings!F25)</f>
        <v/>
      </c>
      <c r="H1620" s="37" t="str">
        <f>IF(Agent09_Savings!A25="","",Agent09_Savings!I25)</f>
        <v/>
      </c>
      <c r="I1620" s="37" t="str">
        <f>IF(Agent09_Savings!A25="","",Agent09_Savings!J25)</f>
        <v/>
      </c>
      <c r="J1620" s="37" t="str">
        <f>IF(Agent09_Savings!A25="","",Agent09_Savings!K25)</f>
        <v/>
      </c>
      <c r="K1620" s="37" t="str">
        <f>IFERROR(IF(Agent09_Savings!A25="","",YEAR(Agent09_Savings!D25)),"")</f>
        <v/>
      </c>
    </row>
    <row r="1621" spans="1:11" ht="18" customHeight="1" x14ac:dyDescent="0.25">
      <c r="A1621" s="37" t="str">
        <f>IF(Agent09_Savings!A26="","",Agent09_Savings!A26)</f>
        <v/>
      </c>
      <c r="B1621" s="37" t="str">
        <f ca="1">IF(Agent09_Savings!A26="","","SV"&amp;TEXT(1621-3,"0000")&amp;"-"&amp;TEXT(TODAY(),"YYYYMMDD"))</f>
        <v/>
      </c>
      <c r="C1621" s="37" t="str">
        <f>IF(Agent09_Savings!A26="","",Agent09_Savings!B26)</f>
        <v/>
      </c>
      <c r="D1621" s="37" t="str">
        <f>IF(Agent09_Savings!A26="","",Agent09_Savings!G26)</f>
        <v/>
      </c>
      <c r="E1621" s="38" t="str">
        <f>IF(Agent09_Savings!A26="","",Agent09_Savings!D26)</f>
        <v/>
      </c>
      <c r="F1621" s="39" t="str">
        <f>IF(Agent09_Savings!A26="","",Agent09_Savings!E26)</f>
        <v/>
      </c>
      <c r="G1621" s="39" t="str">
        <f>IF(Agent09_Savings!A26="","",Agent09_Savings!F26)</f>
        <v/>
      </c>
      <c r="H1621" s="37" t="str">
        <f>IF(Agent09_Savings!A26="","",Agent09_Savings!I26)</f>
        <v/>
      </c>
      <c r="I1621" s="37" t="str">
        <f>IF(Agent09_Savings!A26="","",Agent09_Savings!J26)</f>
        <v/>
      </c>
      <c r="J1621" s="37" t="str">
        <f>IF(Agent09_Savings!A26="","",Agent09_Savings!K26)</f>
        <v/>
      </c>
      <c r="K1621" s="37" t="str">
        <f>IFERROR(IF(Agent09_Savings!A26="","",YEAR(Agent09_Savings!D26)),"")</f>
        <v/>
      </c>
    </row>
    <row r="1622" spans="1:11" ht="18" customHeight="1" x14ac:dyDescent="0.25">
      <c r="A1622" s="37" t="str">
        <f>IF(Agent09_Savings!A27="","",Agent09_Savings!A27)</f>
        <v/>
      </c>
      <c r="B1622" s="37" t="str">
        <f ca="1">IF(Agent09_Savings!A27="","","SV"&amp;TEXT(1622-3,"0000")&amp;"-"&amp;TEXT(TODAY(),"YYYYMMDD"))</f>
        <v/>
      </c>
      <c r="C1622" s="37" t="str">
        <f>IF(Agent09_Savings!A27="","",Agent09_Savings!B27)</f>
        <v/>
      </c>
      <c r="D1622" s="37" t="str">
        <f>IF(Agent09_Savings!A27="","",Agent09_Savings!G27)</f>
        <v/>
      </c>
      <c r="E1622" s="38" t="str">
        <f>IF(Agent09_Savings!A27="","",Agent09_Savings!D27)</f>
        <v/>
      </c>
      <c r="F1622" s="39" t="str">
        <f>IF(Agent09_Savings!A27="","",Agent09_Savings!E27)</f>
        <v/>
      </c>
      <c r="G1622" s="39" t="str">
        <f>IF(Agent09_Savings!A27="","",Agent09_Savings!F27)</f>
        <v/>
      </c>
      <c r="H1622" s="37" t="str">
        <f>IF(Agent09_Savings!A27="","",Agent09_Savings!I27)</f>
        <v/>
      </c>
      <c r="I1622" s="37" t="str">
        <f>IF(Agent09_Savings!A27="","",Agent09_Savings!J27)</f>
        <v/>
      </c>
      <c r="J1622" s="37" t="str">
        <f>IF(Agent09_Savings!A27="","",Agent09_Savings!K27)</f>
        <v/>
      </c>
      <c r="K1622" s="37" t="str">
        <f>IFERROR(IF(Agent09_Savings!A27="","",YEAR(Agent09_Savings!D27)),"")</f>
        <v/>
      </c>
    </row>
    <row r="1623" spans="1:11" ht="18" customHeight="1" x14ac:dyDescent="0.25">
      <c r="A1623" s="37" t="str">
        <f>IF(Agent09_Savings!A28="","",Agent09_Savings!A28)</f>
        <v/>
      </c>
      <c r="B1623" s="37" t="str">
        <f ca="1">IF(Agent09_Savings!A28="","","SV"&amp;TEXT(1623-3,"0000")&amp;"-"&amp;TEXT(TODAY(),"YYYYMMDD"))</f>
        <v/>
      </c>
      <c r="C1623" s="37" t="str">
        <f>IF(Agent09_Savings!A28="","",Agent09_Savings!B28)</f>
        <v/>
      </c>
      <c r="D1623" s="37" t="str">
        <f>IF(Agent09_Savings!A28="","",Agent09_Savings!G28)</f>
        <v/>
      </c>
      <c r="E1623" s="38" t="str">
        <f>IF(Agent09_Savings!A28="","",Agent09_Savings!D28)</f>
        <v/>
      </c>
      <c r="F1623" s="39" t="str">
        <f>IF(Agent09_Savings!A28="","",Agent09_Savings!E28)</f>
        <v/>
      </c>
      <c r="G1623" s="39" t="str">
        <f>IF(Agent09_Savings!A28="","",Agent09_Savings!F28)</f>
        <v/>
      </c>
      <c r="H1623" s="37" t="str">
        <f>IF(Agent09_Savings!A28="","",Agent09_Savings!I28)</f>
        <v/>
      </c>
      <c r="I1623" s="37" t="str">
        <f>IF(Agent09_Savings!A28="","",Agent09_Savings!J28)</f>
        <v/>
      </c>
      <c r="J1623" s="37" t="str">
        <f>IF(Agent09_Savings!A28="","",Agent09_Savings!K28)</f>
        <v/>
      </c>
      <c r="K1623" s="37" t="str">
        <f>IFERROR(IF(Agent09_Savings!A28="","",YEAR(Agent09_Savings!D28)),"")</f>
        <v/>
      </c>
    </row>
    <row r="1624" spans="1:11" ht="18" customHeight="1" x14ac:dyDescent="0.25">
      <c r="A1624" s="37" t="str">
        <f>IF(Agent09_Savings!A29="","",Agent09_Savings!A29)</f>
        <v/>
      </c>
      <c r="B1624" s="37" t="str">
        <f ca="1">IF(Agent09_Savings!A29="","","SV"&amp;TEXT(1624-3,"0000")&amp;"-"&amp;TEXT(TODAY(),"YYYYMMDD"))</f>
        <v/>
      </c>
      <c r="C1624" s="37" t="str">
        <f>IF(Agent09_Savings!A29="","",Agent09_Savings!B29)</f>
        <v/>
      </c>
      <c r="D1624" s="37" t="str">
        <f>IF(Agent09_Savings!A29="","",Agent09_Savings!G29)</f>
        <v/>
      </c>
      <c r="E1624" s="38" t="str">
        <f>IF(Agent09_Savings!A29="","",Agent09_Savings!D29)</f>
        <v/>
      </c>
      <c r="F1624" s="39" t="str">
        <f>IF(Agent09_Savings!A29="","",Agent09_Savings!E29)</f>
        <v/>
      </c>
      <c r="G1624" s="39" t="str">
        <f>IF(Agent09_Savings!A29="","",Agent09_Savings!F29)</f>
        <v/>
      </c>
      <c r="H1624" s="37" t="str">
        <f>IF(Agent09_Savings!A29="","",Agent09_Savings!I29)</f>
        <v/>
      </c>
      <c r="I1624" s="37" t="str">
        <f>IF(Agent09_Savings!A29="","",Agent09_Savings!J29)</f>
        <v/>
      </c>
      <c r="J1624" s="37" t="str">
        <f>IF(Agent09_Savings!A29="","",Agent09_Savings!K29)</f>
        <v/>
      </c>
      <c r="K1624" s="37" t="str">
        <f>IFERROR(IF(Agent09_Savings!A29="","",YEAR(Agent09_Savings!D29)),"")</f>
        <v/>
      </c>
    </row>
    <row r="1625" spans="1:11" ht="18" customHeight="1" x14ac:dyDescent="0.25">
      <c r="A1625" s="37" t="str">
        <f>IF(Agent09_Savings!A30="","",Agent09_Savings!A30)</f>
        <v/>
      </c>
      <c r="B1625" s="37" t="str">
        <f ca="1">IF(Agent09_Savings!A30="","","SV"&amp;TEXT(1625-3,"0000")&amp;"-"&amp;TEXT(TODAY(),"YYYYMMDD"))</f>
        <v/>
      </c>
      <c r="C1625" s="37" t="str">
        <f>IF(Agent09_Savings!A30="","",Agent09_Savings!B30)</f>
        <v/>
      </c>
      <c r="D1625" s="37" t="str">
        <f>IF(Agent09_Savings!A30="","",Agent09_Savings!G30)</f>
        <v/>
      </c>
      <c r="E1625" s="38" t="str">
        <f>IF(Agent09_Savings!A30="","",Agent09_Savings!D30)</f>
        <v/>
      </c>
      <c r="F1625" s="39" t="str">
        <f>IF(Agent09_Savings!A30="","",Agent09_Savings!E30)</f>
        <v/>
      </c>
      <c r="G1625" s="39" t="str">
        <f>IF(Agent09_Savings!A30="","",Agent09_Savings!F30)</f>
        <v/>
      </c>
      <c r="H1625" s="37" t="str">
        <f>IF(Agent09_Savings!A30="","",Agent09_Savings!I30)</f>
        <v/>
      </c>
      <c r="I1625" s="37" t="str">
        <f>IF(Agent09_Savings!A30="","",Agent09_Savings!J30)</f>
        <v/>
      </c>
      <c r="J1625" s="37" t="str">
        <f>IF(Agent09_Savings!A30="","",Agent09_Savings!K30)</f>
        <v/>
      </c>
      <c r="K1625" s="37" t="str">
        <f>IFERROR(IF(Agent09_Savings!A30="","",YEAR(Agent09_Savings!D30)),"")</f>
        <v/>
      </c>
    </row>
    <row r="1626" spans="1:11" ht="18" customHeight="1" x14ac:dyDescent="0.25">
      <c r="A1626" s="37" t="str">
        <f>IF(Agent09_Savings!A31="","",Agent09_Savings!A31)</f>
        <v/>
      </c>
      <c r="B1626" s="37" t="str">
        <f ca="1">IF(Agent09_Savings!A31="","","SV"&amp;TEXT(1626-3,"0000")&amp;"-"&amp;TEXT(TODAY(),"YYYYMMDD"))</f>
        <v/>
      </c>
      <c r="C1626" s="37" t="str">
        <f>IF(Agent09_Savings!A31="","",Agent09_Savings!B31)</f>
        <v/>
      </c>
      <c r="D1626" s="37" t="str">
        <f>IF(Agent09_Savings!A31="","",Agent09_Savings!G31)</f>
        <v/>
      </c>
      <c r="E1626" s="38" t="str">
        <f>IF(Agent09_Savings!A31="","",Agent09_Savings!D31)</f>
        <v/>
      </c>
      <c r="F1626" s="39" t="str">
        <f>IF(Agent09_Savings!A31="","",Agent09_Savings!E31)</f>
        <v/>
      </c>
      <c r="G1626" s="39" t="str">
        <f>IF(Agent09_Savings!A31="","",Agent09_Savings!F31)</f>
        <v/>
      </c>
      <c r="H1626" s="37" t="str">
        <f>IF(Agent09_Savings!A31="","",Agent09_Savings!I31)</f>
        <v/>
      </c>
      <c r="I1626" s="37" t="str">
        <f>IF(Agent09_Savings!A31="","",Agent09_Savings!J31)</f>
        <v/>
      </c>
      <c r="J1626" s="37" t="str">
        <f>IF(Agent09_Savings!A31="","",Agent09_Savings!K31)</f>
        <v/>
      </c>
      <c r="K1626" s="37" t="str">
        <f>IFERROR(IF(Agent09_Savings!A31="","",YEAR(Agent09_Savings!D31)),"")</f>
        <v/>
      </c>
    </row>
    <row r="1627" spans="1:11" ht="18" customHeight="1" x14ac:dyDescent="0.25">
      <c r="A1627" s="37" t="str">
        <f>IF(Agent09_Savings!A32="","",Agent09_Savings!A32)</f>
        <v/>
      </c>
      <c r="B1627" s="37" t="str">
        <f ca="1">IF(Agent09_Savings!A32="","","SV"&amp;TEXT(1627-3,"0000")&amp;"-"&amp;TEXT(TODAY(),"YYYYMMDD"))</f>
        <v/>
      </c>
      <c r="C1627" s="37" t="str">
        <f>IF(Agent09_Savings!A32="","",Agent09_Savings!B32)</f>
        <v/>
      </c>
      <c r="D1627" s="37" t="str">
        <f>IF(Agent09_Savings!A32="","",Agent09_Savings!G32)</f>
        <v/>
      </c>
      <c r="E1627" s="38" t="str">
        <f>IF(Agent09_Savings!A32="","",Agent09_Savings!D32)</f>
        <v/>
      </c>
      <c r="F1627" s="39" t="str">
        <f>IF(Agent09_Savings!A32="","",Agent09_Savings!E32)</f>
        <v/>
      </c>
      <c r="G1627" s="39" t="str">
        <f>IF(Agent09_Savings!A32="","",Agent09_Savings!F32)</f>
        <v/>
      </c>
      <c r="H1627" s="37" t="str">
        <f>IF(Agent09_Savings!A32="","",Agent09_Savings!I32)</f>
        <v/>
      </c>
      <c r="I1627" s="37" t="str">
        <f>IF(Agent09_Savings!A32="","",Agent09_Savings!J32)</f>
        <v/>
      </c>
      <c r="J1627" s="37" t="str">
        <f>IF(Agent09_Savings!A32="","",Agent09_Savings!K32)</f>
        <v/>
      </c>
      <c r="K1627" s="37" t="str">
        <f>IFERROR(IF(Agent09_Savings!A32="","",YEAR(Agent09_Savings!D32)),"")</f>
        <v/>
      </c>
    </row>
    <row r="1628" spans="1:11" ht="18" customHeight="1" x14ac:dyDescent="0.25">
      <c r="A1628" s="37" t="str">
        <f>IF(Agent09_Savings!A33="","",Agent09_Savings!A33)</f>
        <v/>
      </c>
      <c r="B1628" s="37" t="str">
        <f ca="1">IF(Agent09_Savings!A33="","","SV"&amp;TEXT(1628-3,"0000")&amp;"-"&amp;TEXT(TODAY(),"YYYYMMDD"))</f>
        <v/>
      </c>
      <c r="C1628" s="37" t="str">
        <f>IF(Agent09_Savings!A33="","",Agent09_Savings!B33)</f>
        <v/>
      </c>
      <c r="D1628" s="37" t="str">
        <f>IF(Agent09_Savings!A33="","",Agent09_Savings!G33)</f>
        <v/>
      </c>
      <c r="E1628" s="38" t="str">
        <f>IF(Agent09_Savings!A33="","",Agent09_Savings!D33)</f>
        <v/>
      </c>
      <c r="F1628" s="39" t="str">
        <f>IF(Agent09_Savings!A33="","",Agent09_Savings!E33)</f>
        <v/>
      </c>
      <c r="G1628" s="39" t="str">
        <f>IF(Agent09_Savings!A33="","",Agent09_Savings!F33)</f>
        <v/>
      </c>
      <c r="H1628" s="37" t="str">
        <f>IF(Agent09_Savings!A33="","",Agent09_Savings!I33)</f>
        <v/>
      </c>
      <c r="I1628" s="37" t="str">
        <f>IF(Agent09_Savings!A33="","",Agent09_Savings!J33)</f>
        <v/>
      </c>
      <c r="J1628" s="37" t="str">
        <f>IF(Agent09_Savings!A33="","",Agent09_Savings!K33)</f>
        <v/>
      </c>
      <c r="K1628" s="37" t="str">
        <f>IFERROR(IF(Agent09_Savings!A33="","",YEAR(Agent09_Savings!D33)),"")</f>
        <v/>
      </c>
    </row>
    <row r="1629" spans="1:11" ht="18" customHeight="1" x14ac:dyDescent="0.25">
      <c r="A1629" s="37" t="str">
        <f>IF(Agent09_Savings!A34="","",Agent09_Savings!A34)</f>
        <v/>
      </c>
      <c r="B1629" s="37" t="str">
        <f ca="1">IF(Agent09_Savings!A34="","","SV"&amp;TEXT(1629-3,"0000")&amp;"-"&amp;TEXT(TODAY(),"YYYYMMDD"))</f>
        <v/>
      </c>
      <c r="C1629" s="37" t="str">
        <f>IF(Agent09_Savings!A34="","",Agent09_Savings!B34)</f>
        <v/>
      </c>
      <c r="D1629" s="37" t="str">
        <f>IF(Agent09_Savings!A34="","",Agent09_Savings!G34)</f>
        <v/>
      </c>
      <c r="E1629" s="38" t="str">
        <f>IF(Agent09_Savings!A34="","",Agent09_Savings!D34)</f>
        <v/>
      </c>
      <c r="F1629" s="39" t="str">
        <f>IF(Agent09_Savings!A34="","",Agent09_Savings!E34)</f>
        <v/>
      </c>
      <c r="G1629" s="39" t="str">
        <f>IF(Agent09_Savings!A34="","",Agent09_Savings!F34)</f>
        <v/>
      </c>
      <c r="H1629" s="37" t="str">
        <f>IF(Agent09_Savings!A34="","",Agent09_Savings!I34)</f>
        <v/>
      </c>
      <c r="I1629" s="37" t="str">
        <f>IF(Agent09_Savings!A34="","",Agent09_Savings!J34)</f>
        <v/>
      </c>
      <c r="J1629" s="37" t="str">
        <f>IF(Agent09_Savings!A34="","",Agent09_Savings!K34)</f>
        <v/>
      </c>
      <c r="K1629" s="37" t="str">
        <f>IFERROR(IF(Agent09_Savings!A34="","",YEAR(Agent09_Savings!D34)),"")</f>
        <v/>
      </c>
    </row>
    <row r="1630" spans="1:11" ht="18" customHeight="1" x14ac:dyDescent="0.25">
      <c r="A1630" s="37" t="str">
        <f>IF(Agent09_Savings!A35="","",Agent09_Savings!A35)</f>
        <v/>
      </c>
      <c r="B1630" s="37" t="str">
        <f ca="1">IF(Agent09_Savings!A35="","","SV"&amp;TEXT(1630-3,"0000")&amp;"-"&amp;TEXT(TODAY(),"YYYYMMDD"))</f>
        <v/>
      </c>
      <c r="C1630" s="37" t="str">
        <f>IF(Agent09_Savings!A35="","",Agent09_Savings!B35)</f>
        <v/>
      </c>
      <c r="D1630" s="37" t="str">
        <f>IF(Agent09_Savings!A35="","",Agent09_Savings!G35)</f>
        <v/>
      </c>
      <c r="E1630" s="38" t="str">
        <f>IF(Agent09_Savings!A35="","",Agent09_Savings!D35)</f>
        <v/>
      </c>
      <c r="F1630" s="39" t="str">
        <f>IF(Agent09_Savings!A35="","",Agent09_Savings!E35)</f>
        <v/>
      </c>
      <c r="G1630" s="39" t="str">
        <f>IF(Agent09_Savings!A35="","",Agent09_Savings!F35)</f>
        <v/>
      </c>
      <c r="H1630" s="37" t="str">
        <f>IF(Agent09_Savings!A35="","",Agent09_Savings!I35)</f>
        <v/>
      </c>
      <c r="I1630" s="37" t="str">
        <f>IF(Agent09_Savings!A35="","",Agent09_Savings!J35)</f>
        <v/>
      </c>
      <c r="J1630" s="37" t="str">
        <f>IF(Agent09_Savings!A35="","",Agent09_Savings!K35)</f>
        <v/>
      </c>
      <c r="K1630" s="37" t="str">
        <f>IFERROR(IF(Agent09_Savings!A35="","",YEAR(Agent09_Savings!D35)),"")</f>
        <v/>
      </c>
    </row>
    <row r="1631" spans="1:11" ht="18" customHeight="1" x14ac:dyDescent="0.25">
      <c r="A1631" s="37" t="str">
        <f>IF(Agent09_Savings!A36="","",Agent09_Savings!A36)</f>
        <v/>
      </c>
      <c r="B1631" s="37" t="str">
        <f ca="1">IF(Agent09_Savings!A36="","","SV"&amp;TEXT(1631-3,"0000")&amp;"-"&amp;TEXT(TODAY(),"YYYYMMDD"))</f>
        <v/>
      </c>
      <c r="C1631" s="37" t="str">
        <f>IF(Agent09_Savings!A36="","",Agent09_Savings!B36)</f>
        <v/>
      </c>
      <c r="D1631" s="37" t="str">
        <f>IF(Agent09_Savings!A36="","",Agent09_Savings!G36)</f>
        <v/>
      </c>
      <c r="E1631" s="38" t="str">
        <f>IF(Agent09_Savings!A36="","",Agent09_Savings!D36)</f>
        <v/>
      </c>
      <c r="F1631" s="39" t="str">
        <f>IF(Agent09_Savings!A36="","",Agent09_Savings!E36)</f>
        <v/>
      </c>
      <c r="G1631" s="39" t="str">
        <f>IF(Agent09_Savings!A36="","",Agent09_Savings!F36)</f>
        <v/>
      </c>
      <c r="H1631" s="37" t="str">
        <f>IF(Agent09_Savings!A36="","",Agent09_Savings!I36)</f>
        <v/>
      </c>
      <c r="I1631" s="37" t="str">
        <f>IF(Agent09_Savings!A36="","",Agent09_Savings!J36)</f>
        <v/>
      </c>
      <c r="J1631" s="37" t="str">
        <f>IF(Agent09_Savings!A36="","",Agent09_Savings!K36)</f>
        <v/>
      </c>
      <c r="K1631" s="37" t="str">
        <f>IFERROR(IF(Agent09_Savings!A36="","",YEAR(Agent09_Savings!D36)),"")</f>
        <v/>
      </c>
    </row>
    <row r="1632" spans="1:11" ht="18" customHeight="1" x14ac:dyDescent="0.25">
      <c r="A1632" s="37" t="str">
        <f>IF(Agent09_Savings!A37="","",Agent09_Savings!A37)</f>
        <v/>
      </c>
      <c r="B1632" s="37" t="str">
        <f ca="1">IF(Agent09_Savings!A37="","","SV"&amp;TEXT(1632-3,"0000")&amp;"-"&amp;TEXT(TODAY(),"YYYYMMDD"))</f>
        <v/>
      </c>
      <c r="C1632" s="37" t="str">
        <f>IF(Agent09_Savings!A37="","",Agent09_Savings!B37)</f>
        <v/>
      </c>
      <c r="D1632" s="37" t="str">
        <f>IF(Agent09_Savings!A37="","",Agent09_Savings!G37)</f>
        <v/>
      </c>
      <c r="E1632" s="38" t="str">
        <f>IF(Agent09_Savings!A37="","",Agent09_Savings!D37)</f>
        <v/>
      </c>
      <c r="F1632" s="39" t="str">
        <f>IF(Agent09_Savings!A37="","",Agent09_Savings!E37)</f>
        <v/>
      </c>
      <c r="G1632" s="39" t="str">
        <f>IF(Agent09_Savings!A37="","",Agent09_Savings!F37)</f>
        <v/>
      </c>
      <c r="H1632" s="37" t="str">
        <f>IF(Agent09_Savings!A37="","",Agent09_Savings!I37)</f>
        <v/>
      </c>
      <c r="I1632" s="37" t="str">
        <f>IF(Agent09_Savings!A37="","",Agent09_Savings!J37)</f>
        <v/>
      </c>
      <c r="J1632" s="37" t="str">
        <f>IF(Agent09_Savings!A37="","",Agent09_Savings!K37)</f>
        <v/>
      </c>
      <c r="K1632" s="37" t="str">
        <f>IFERROR(IF(Agent09_Savings!A37="","",YEAR(Agent09_Savings!D37)),"")</f>
        <v/>
      </c>
    </row>
    <row r="1633" spans="1:11" ht="18" customHeight="1" x14ac:dyDescent="0.25">
      <c r="A1633" s="37" t="str">
        <f>IF(Agent09_Savings!A38="","",Agent09_Savings!A38)</f>
        <v/>
      </c>
      <c r="B1633" s="37" t="str">
        <f ca="1">IF(Agent09_Savings!A38="","","SV"&amp;TEXT(1633-3,"0000")&amp;"-"&amp;TEXT(TODAY(),"YYYYMMDD"))</f>
        <v/>
      </c>
      <c r="C1633" s="37" t="str">
        <f>IF(Agent09_Savings!A38="","",Agent09_Savings!B38)</f>
        <v/>
      </c>
      <c r="D1633" s="37" t="str">
        <f>IF(Agent09_Savings!A38="","",Agent09_Savings!G38)</f>
        <v/>
      </c>
      <c r="E1633" s="38" t="str">
        <f>IF(Agent09_Savings!A38="","",Agent09_Savings!D38)</f>
        <v/>
      </c>
      <c r="F1633" s="39" t="str">
        <f>IF(Agent09_Savings!A38="","",Agent09_Savings!E38)</f>
        <v/>
      </c>
      <c r="G1633" s="39" t="str">
        <f>IF(Agent09_Savings!A38="","",Agent09_Savings!F38)</f>
        <v/>
      </c>
      <c r="H1633" s="37" t="str">
        <f>IF(Agent09_Savings!A38="","",Agent09_Savings!I38)</f>
        <v/>
      </c>
      <c r="I1633" s="37" t="str">
        <f>IF(Agent09_Savings!A38="","",Agent09_Savings!J38)</f>
        <v/>
      </c>
      <c r="J1633" s="37" t="str">
        <f>IF(Agent09_Savings!A38="","",Agent09_Savings!K38)</f>
        <v/>
      </c>
      <c r="K1633" s="37" t="str">
        <f>IFERROR(IF(Agent09_Savings!A38="","",YEAR(Agent09_Savings!D38)),"")</f>
        <v/>
      </c>
    </row>
    <row r="1634" spans="1:11" ht="18" customHeight="1" x14ac:dyDescent="0.25">
      <c r="A1634" s="37" t="str">
        <f>IF(Agent09_Savings!A39="","",Agent09_Savings!A39)</f>
        <v/>
      </c>
      <c r="B1634" s="37" t="str">
        <f ca="1">IF(Agent09_Savings!A39="","","SV"&amp;TEXT(1634-3,"0000")&amp;"-"&amp;TEXT(TODAY(),"YYYYMMDD"))</f>
        <v/>
      </c>
      <c r="C1634" s="37" t="str">
        <f>IF(Agent09_Savings!A39="","",Agent09_Savings!B39)</f>
        <v/>
      </c>
      <c r="D1634" s="37" t="str">
        <f>IF(Agent09_Savings!A39="","",Agent09_Savings!G39)</f>
        <v/>
      </c>
      <c r="E1634" s="38" t="str">
        <f>IF(Agent09_Savings!A39="","",Agent09_Savings!D39)</f>
        <v/>
      </c>
      <c r="F1634" s="39" t="str">
        <f>IF(Agent09_Savings!A39="","",Agent09_Savings!E39)</f>
        <v/>
      </c>
      <c r="G1634" s="39" t="str">
        <f>IF(Agent09_Savings!A39="","",Agent09_Savings!F39)</f>
        <v/>
      </c>
      <c r="H1634" s="37" t="str">
        <f>IF(Agent09_Savings!A39="","",Agent09_Savings!I39)</f>
        <v/>
      </c>
      <c r="I1634" s="37" t="str">
        <f>IF(Agent09_Savings!A39="","",Agent09_Savings!J39)</f>
        <v/>
      </c>
      <c r="J1634" s="37" t="str">
        <f>IF(Agent09_Savings!A39="","",Agent09_Savings!K39)</f>
        <v/>
      </c>
      <c r="K1634" s="37" t="str">
        <f>IFERROR(IF(Agent09_Savings!A39="","",YEAR(Agent09_Savings!D39)),"")</f>
        <v/>
      </c>
    </row>
    <row r="1635" spans="1:11" ht="18" customHeight="1" x14ac:dyDescent="0.25">
      <c r="A1635" s="37" t="str">
        <f>IF(Agent09_Savings!A40="","",Agent09_Savings!A40)</f>
        <v/>
      </c>
      <c r="B1635" s="37" t="str">
        <f ca="1">IF(Agent09_Savings!A40="","","SV"&amp;TEXT(1635-3,"0000")&amp;"-"&amp;TEXT(TODAY(),"YYYYMMDD"))</f>
        <v/>
      </c>
      <c r="C1635" s="37" t="str">
        <f>IF(Agent09_Savings!A40="","",Agent09_Savings!B40)</f>
        <v/>
      </c>
      <c r="D1635" s="37" t="str">
        <f>IF(Agent09_Savings!A40="","",Agent09_Savings!G40)</f>
        <v/>
      </c>
      <c r="E1635" s="38" t="str">
        <f>IF(Agent09_Savings!A40="","",Agent09_Savings!D40)</f>
        <v/>
      </c>
      <c r="F1635" s="39" t="str">
        <f>IF(Agent09_Savings!A40="","",Agent09_Savings!E40)</f>
        <v/>
      </c>
      <c r="G1635" s="39" t="str">
        <f>IF(Agent09_Savings!A40="","",Agent09_Savings!F40)</f>
        <v/>
      </c>
      <c r="H1635" s="37" t="str">
        <f>IF(Agent09_Savings!A40="","",Agent09_Savings!I40)</f>
        <v/>
      </c>
      <c r="I1635" s="37" t="str">
        <f>IF(Agent09_Savings!A40="","",Agent09_Savings!J40)</f>
        <v/>
      </c>
      <c r="J1635" s="37" t="str">
        <f>IF(Agent09_Savings!A40="","",Agent09_Savings!K40)</f>
        <v/>
      </c>
      <c r="K1635" s="37" t="str">
        <f>IFERROR(IF(Agent09_Savings!A40="","",YEAR(Agent09_Savings!D40)),"")</f>
        <v/>
      </c>
    </row>
    <row r="1636" spans="1:11" ht="18" customHeight="1" x14ac:dyDescent="0.25">
      <c r="A1636" s="37" t="str">
        <f>IF(Agent09_Savings!A41="","",Agent09_Savings!A41)</f>
        <v/>
      </c>
      <c r="B1636" s="37" t="str">
        <f ca="1">IF(Agent09_Savings!A41="","","SV"&amp;TEXT(1636-3,"0000")&amp;"-"&amp;TEXT(TODAY(),"YYYYMMDD"))</f>
        <v/>
      </c>
      <c r="C1636" s="37" t="str">
        <f>IF(Agent09_Savings!A41="","",Agent09_Savings!B41)</f>
        <v/>
      </c>
      <c r="D1636" s="37" t="str">
        <f>IF(Agent09_Savings!A41="","",Agent09_Savings!G41)</f>
        <v/>
      </c>
      <c r="E1636" s="38" t="str">
        <f>IF(Agent09_Savings!A41="","",Agent09_Savings!D41)</f>
        <v/>
      </c>
      <c r="F1636" s="39" t="str">
        <f>IF(Agent09_Savings!A41="","",Agent09_Savings!E41)</f>
        <v/>
      </c>
      <c r="G1636" s="39" t="str">
        <f>IF(Agent09_Savings!A41="","",Agent09_Savings!F41)</f>
        <v/>
      </c>
      <c r="H1636" s="37" t="str">
        <f>IF(Agent09_Savings!A41="","",Agent09_Savings!I41)</f>
        <v/>
      </c>
      <c r="I1636" s="37" t="str">
        <f>IF(Agent09_Savings!A41="","",Agent09_Savings!J41)</f>
        <v/>
      </c>
      <c r="J1636" s="37" t="str">
        <f>IF(Agent09_Savings!A41="","",Agent09_Savings!K41)</f>
        <v/>
      </c>
      <c r="K1636" s="37" t="str">
        <f>IFERROR(IF(Agent09_Savings!A41="","",YEAR(Agent09_Savings!D41)),"")</f>
        <v/>
      </c>
    </row>
    <row r="1637" spans="1:11" ht="18" customHeight="1" x14ac:dyDescent="0.25">
      <c r="A1637" s="37" t="str">
        <f>IF(Agent09_Savings!A42="","",Agent09_Savings!A42)</f>
        <v/>
      </c>
      <c r="B1637" s="37" t="str">
        <f ca="1">IF(Agent09_Savings!A42="","","SV"&amp;TEXT(1637-3,"0000")&amp;"-"&amp;TEXT(TODAY(),"YYYYMMDD"))</f>
        <v/>
      </c>
      <c r="C1637" s="37" t="str">
        <f>IF(Agent09_Savings!A42="","",Agent09_Savings!B42)</f>
        <v/>
      </c>
      <c r="D1637" s="37" t="str">
        <f>IF(Agent09_Savings!A42="","",Agent09_Savings!G42)</f>
        <v/>
      </c>
      <c r="E1637" s="38" t="str">
        <f>IF(Agent09_Savings!A42="","",Agent09_Savings!D42)</f>
        <v/>
      </c>
      <c r="F1637" s="39" t="str">
        <f>IF(Agent09_Savings!A42="","",Agent09_Savings!E42)</f>
        <v/>
      </c>
      <c r="G1637" s="39" t="str">
        <f>IF(Agent09_Savings!A42="","",Agent09_Savings!F42)</f>
        <v/>
      </c>
      <c r="H1637" s="37" t="str">
        <f>IF(Agent09_Savings!A42="","",Agent09_Savings!I42)</f>
        <v/>
      </c>
      <c r="I1637" s="37" t="str">
        <f>IF(Agent09_Savings!A42="","",Agent09_Savings!J42)</f>
        <v/>
      </c>
      <c r="J1637" s="37" t="str">
        <f>IF(Agent09_Savings!A42="","",Agent09_Savings!K42)</f>
        <v/>
      </c>
      <c r="K1637" s="37" t="str">
        <f>IFERROR(IF(Agent09_Savings!A42="","",YEAR(Agent09_Savings!D42)),"")</f>
        <v/>
      </c>
    </row>
    <row r="1638" spans="1:11" ht="18" customHeight="1" x14ac:dyDescent="0.25">
      <c r="A1638" s="37" t="str">
        <f>IF(Agent09_Savings!A43="","",Agent09_Savings!A43)</f>
        <v/>
      </c>
      <c r="B1638" s="37" t="str">
        <f ca="1">IF(Agent09_Savings!A43="","","SV"&amp;TEXT(1638-3,"0000")&amp;"-"&amp;TEXT(TODAY(),"YYYYMMDD"))</f>
        <v/>
      </c>
      <c r="C1638" s="37" t="str">
        <f>IF(Agent09_Savings!A43="","",Agent09_Savings!B43)</f>
        <v/>
      </c>
      <c r="D1638" s="37" t="str">
        <f>IF(Agent09_Savings!A43="","",Agent09_Savings!G43)</f>
        <v/>
      </c>
      <c r="E1638" s="38" t="str">
        <f>IF(Agent09_Savings!A43="","",Agent09_Savings!D43)</f>
        <v/>
      </c>
      <c r="F1638" s="39" t="str">
        <f>IF(Agent09_Savings!A43="","",Agent09_Savings!E43)</f>
        <v/>
      </c>
      <c r="G1638" s="39" t="str">
        <f>IF(Agent09_Savings!A43="","",Agent09_Savings!F43)</f>
        <v/>
      </c>
      <c r="H1638" s="37" t="str">
        <f>IF(Agent09_Savings!A43="","",Agent09_Savings!I43)</f>
        <v/>
      </c>
      <c r="I1638" s="37" t="str">
        <f>IF(Agent09_Savings!A43="","",Agent09_Savings!J43)</f>
        <v/>
      </c>
      <c r="J1638" s="37" t="str">
        <f>IF(Agent09_Savings!A43="","",Agent09_Savings!K43)</f>
        <v/>
      </c>
      <c r="K1638" s="37" t="str">
        <f>IFERROR(IF(Agent09_Savings!A43="","",YEAR(Agent09_Savings!D43)),"")</f>
        <v/>
      </c>
    </row>
    <row r="1639" spans="1:11" ht="18" customHeight="1" x14ac:dyDescent="0.25">
      <c r="A1639" s="37" t="str">
        <f>IF(Agent09_Savings!A44="","",Agent09_Savings!A44)</f>
        <v/>
      </c>
      <c r="B1639" s="37" t="str">
        <f ca="1">IF(Agent09_Savings!A44="","","SV"&amp;TEXT(1639-3,"0000")&amp;"-"&amp;TEXT(TODAY(),"YYYYMMDD"))</f>
        <v/>
      </c>
      <c r="C1639" s="37" t="str">
        <f>IF(Agent09_Savings!A44="","",Agent09_Savings!B44)</f>
        <v/>
      </c>
      <c r="D1639" s="37" t="str">
        <f>IF(Agent09_Savings!A44="","",Agent09_Savings!G44)</f>
        <v/>
      </c>
      <c r="E1639" s="38" t="str">
        <f>IF(Agent09_Savings!A44="","",Agent09_Savings!D44)</f>
        <v/>
      </c>
      <c r="F1639" s="39" t="str">
        <f>IF(Agent09_Savings!A44="","",Agent09_Savings!E44)</f>
        <v/>
      </c>
      <c r="G1639" s="39" t="str">
        <f>IF(Agent09_Savings!A44="","",Agent09_Savings!F44)</f>
        <v/>
      </c>
      <c r="H1639" s="37" t="str">
        <f>IF(Agent09_Savings!A44="","",Agent09_Savings!I44)</f>
        <v/>
      </c>
      <c r="I1639" s="37" t="str">
        <f>IF(Agent09_Savings!A44="","",Agent09_Savings!J44)</f>
        <v/>
      </c>
      <c r="J1639" s="37" t="str">
        <f>IF(Agent09_Savings!A44="","",Agent09_Savings!K44)</f>
        <v/>
      </c>
      <c r="K1639" s="37" t="str">
        <f>IFERROR(IF(Agent09_Savings!A44="","",YEAR(Agent09_Savings!D44)),"")</f>
        <v/>
      </c>
    </row>
    <row r="1640" spans="1:11" ht="18" customHeight="1" x14ac:dyDescent="0.25">
      <c r="A1640" s="37" t="str">
        <f>IF(Agent09_Savings!A45="","",Agent09_Savings!A45)</f>
        <v/>
      </c>
      <c r="B1640" s="37" t="str">
        <f ca="1">IF(Agent09_Savings!A45="","","SV"&amp;TEXT(1640-3,"0000")&amp;"-"&amp;TEXT(TODAY(),"YYYYMMDD"))</f>
        <v/>
      </c>
      <c r="C1640" s="37" t="str">
        <f>IF(Agent09_Savings!A45="","",Agent09_Savings!B45)</f>
        <v/>
      </c>
      <c r="D1640" s="37" t="str">
        <f>IF(Agent09_Savings!A45="","",Agent09_Savings!G45)</f>
        <v/>
      </c>
      <c r="E1640" s="38" t="str">
        <f>IF(Agent09_Savings!A45="","",Agent09_Savings!D45)</f>
        <v/>
      </c>
      <c r="F1640" s="39" t="str">
        <f>IF(Agent09_Savings!A45="","",Agent09_Savings!E45)</f>
        <v/>
      </c>
      <c r="G1640" s="39" t="str">
        <f>IF(Agent09_Savings!A45="","",Agent09_Savings!F45)</f>
        <v/>
      </c>
      <c r="H1640" s="37" t="str">
        <f>IF(Agent09_Savings!A45="","",Agent09_Savings!I45)</f>
        <v/>
      </c>
      <c r="I1640" s="37" t="str">
        <f>IF(Agent09_Savings!A45="","",Agent09_Savings!J45)</f>
        <v/>
      </c>
      <c r="J1640" s="37" t="str">
        <f>IF(Agent09_Savings!A45="","",Agent09_Savings!K45)</f>
        <v/>
      </c>
      <c r="K1640" s="37" t="str">
        <f>IFERROR(IF(Agent09_Savings!A45="","",YEAR(Agent09_Savings!D45)),"")</f>
        <v/>
      </c>
    </row>
    <row r="1641" spans="1:11" ht="18" customHeight="1" x14ac:dyDescent="0.25">
      <c r="A1641" s="37" t="str">
        <f>IF(Agent09_Savings!A46="","",Agent09_Savings!A46)</f>
        <v/>
      </c>
      <c r="B1641" s="37" t="str">
        <f ca="1">IF(Agent09_Savings!A46="","","SV"&amp;TEXT(1641-3,"0000")&amp;"-"&amp;TEXT(TODAY(),"YYYYMMDD"))</f>
        <v/>
      </c>
      <c r="C1641" s="37" t="str">
        <f>IF(Agent09_Savings!A46="","",Agent09_Savings!B46)</f>
        <v/>
      </c>
      <c r="D1641" s="37" t="str">
        <f>IF(Agent09_Savings!A46="","",Agent09_Savings!G46)</f>
        <v/>
      </c>
      <c r="E1641" s="38" t="str">
        <f>IF(Agent09_Savings!A46="","",Agent09_Savings!D46)</f>
        <v/>
      </c>
      <c r="F1641" s="39" t="str">
        <f>IF(Agent09_Savings!A46="","",Agent09_Savings!E46)</f>
        <v/>
      </c>
      <c r="G1641" s="39" t="str">
        <f>IF(Agent09_Savings!A46="","",Agent09_Savings!F46)</f>
        <v/>
      </c>
      <c r="H1641" s="37" t="str">
        <f>IF(Agent09_Savings!A46="","",Agent09_Savings!I46)</f>
        <v/>
      </c>
      <c r="I1641" s="37" t="str">
        <f>IF(Agent09_Savings!A46="","",Agent09_Savings!J46)</f>
        <v/>
      </c>
      <c r="J1641" s="37" t="str">
        <f>IF(Agent09_Savings!A46="","",Agent09_Savings!K46)</f>
        <v/>
      </c>
      <c r="K1641" s="37" t="str">
        <f>IFERROR(IF(Agent09_Savings!A46="","",YEAR(Agent09_Savings!D46)),"")</f>
        <v/>
      </c>
    </row>
    <row r="1642" spans="1:11" ht="18" customHeight="1" x14ac:dyDescent="0.25">
      <c r="A1642" s="37" t="str">
        <f>IF(Agent09_Savings!A47="","",Agent09_Savings!A47)</f>
        <v/>
      </c>
      <c r="B1642" s="37" t="str">
        <f ca="1">IF(Agent09_Savings!A47="","","SV"&amp;TEXT(1642-3,"0000")&amp;"-"&amp;TEXT(TODAY(),"YYYYMMDD"))</f>
        <v/>
      </c>
      <c r="C1642" s="37" t="str">
        <f>IF(Agent09_Savings!A47="","",Agent09_Savings!B47)</f>
        <v/>
      </c>
      <c r="D1642" s="37" t="str">
        <f>IF(Agent09_Savings!A47="","",Agent09_Savings!G47)</f>
        <v/>
      </c>
      <c r="E1642" s="38" t="str">
        <f>IF(Agent09_Savings!A47="","",Agent09_Savings!D47)</f>
        <v/>
      </c>
      <c r="F1642" s="39" t="str">
        <f>IF(Agent09_Savings!A47="","",Agent09_Savings!E47)</f>
        <v/>
      </c>
      <c r="G1642" s="39" t="str">
        <f>IF(Agent09_Savings!A47="","",Agent09_Savings!F47)</f>
        <v/>
      </c>
      <c r="H1642" s="37" t="str">
        <f>IF(Agent09_Savings!A47="","",Agent09_Savings!I47)</f>
        <v/>
      </c>
      <c r="I1642" s="37" t="str">
        <f>IF(Agent09_Savings!A47="","",Agent09_Savings!J47)</f>
        <v/>
      </c>
      <c r="J1642" s="37" t="str">
        <f>IF(Agent09_Savings!A47="","",Agent09_Savings!K47)</f>
        <v/>
      </c>
      <c r="K1642" s="37" t="str">
        <f>IFERROR(IF(Agent09_Savings!A47="","",YEAR(Agent09_Savings!D47)),"")</f>
        <v/>
      </c>
    </row>
    <row r="1643" spans="1:11" ht="18" customHeight="1" x14ac:dyDescent="0.25">
      <c r="A1643" s="37" t="str">
        <f>IF(Agent09_Savings!A48="","",Agent09_Savings!A48)</f>
        <v/>
      </c>
      <c r="B1643" s="37" t="str">
        <f ca="1">IF(Agent09_Savings!A48="","","SV"&amp;TEXT(1643-3,"0000")&amp;"-"&amp;TEXT(TODAY(),"YYYYMMDD"))</f>
        <v/>
      </c>
      <c r="C1643" s="37" t="str">
        <f>IF(Agent09_Savings!A48="","",Agent09_Savings!B48)</f>
        <v/>
      </c>
      <c r="D1643" s="37" t="str">
        <f>IF(Agent09_Savings!A48="","",Agent09_Savings!G48)</f>
        <v/>
      </c>
      <c r="E1643" s="38" t="str">
        <f>IF(Agent09_Savings!A48="","",Agent09_Savings!D48)</f>
        <v/>
      </c>
      <c r="F1643" s="39" t="str">
        <f>IF(Agent09_Savings!A48="","",Agent09_Savings!E48)</f>
        <v/>
      </c>
      <c r="G1643" s="39" t="str">
        <f>IF(Agent09_Savings!A48="","",Agent09_Savings!F48)</f>
        <v/>
      </c>
      <c r="H1643" s="37" t="str">
        <f>IF(Agent09_Savings!A48="","",Agent09_Savings!I48)</f>
        <v/>
      </c>
      <c r="I1643" s="37" t="str">
        <f>IF(Agent09_Savings!A48="","",Agent09_Savings!J48)</f>
        <v/>
      </c>
      <c r="J1643" s="37" t="str">
        <f>IF(Agent09_Savings!A48="","",Agent09_Savings!K48)</f>
        <v/>
      </c>
      <c r="K1643" s="37" t="str">
        <f>IFERROR(IF(Agent09_Savings!A48="","",YEAR(Agent09_Savings!D48)),"")</f>
        <v/>
      </c>
    </row>
    <row r="1644" spans="1:11" ht="18" customHeight="1" x14ac:dyDescent="0.25">
      <c r="A1644" s="37" t="str">
        <f>IF(Agent09_Savings!A49="","",Agent09_Savings!A49)</f>
        <v/>
      </c>
      <c r="B1644" s="37" t="str">
        <f ca="1">IF(Agent09_Savings!A49="","","SV"&amp;TEXT(1644-3,"0000")&amp;"-"&amp;TEXT(TODAY(),"YYYYMMDD"))</f>
        <v/>
      </c>
      <c r="C1644" s="37" t="str">
        <f>IF(Agent09_Savings!A49="","",Agent09_Savings!B49)</f>
        <v/>
      </c>
      <c r="D1644" s="37" t="str">
        <f>IF(Agent09_Savings!A49="","",Agent09_Savings!G49)</f>
        <v/>
      </c>
      <c r="E1644" s="38" t="str">
        <f>IF(Agent09_Savings!A49="","",Agent09_Savings!D49)</f>
        <v/>
      </c>
      <c r="F1644" s="39" t="str">
        <f>IF(Agent09_Savings!A49="","",Agent09_Savings!E49)</f>
        <v/>
      </c>
      <c r="G1644" s="39" t="str">
        <f>IF(Agent09_Savings!A49="","",Agent09_Savings!F49)</f>
        <v/>
      </c>
      <c r="H1644" s="37" t="str">
        <f>IF(Agent09_Savings!A49="","",Agent09_Savings!I49)</f>
        <v/>
      </c>
      <c r="I1644" s="37" t="str">
        <f>IF(Agent09_Savings!A49="","",Agent09_Savings!J49)</f>
        <v/>
      </c>
      <c r="J1644" s="37" t="str">
        <f>IF(Agent09_Savings!A49="","",Agent09_Savings!K49)</f>
        <v/>
      </c>
      <c r="K1644" s="37" t="str">
        <f>IFERROR(IF(Agent09_Savings!A49="","",YEAR(Agent09_Savings!D49)),"")</f>
        <v/>
      </c>
    </row>
    <row r="1645" spans="1:11" ht="18" customHeight="1" x14ac:dyDescent="0.25">
      <c r="A1645" s="37" t="str">
        <f>IF(Agent09_Savings!A50="","",Agent09_Savings!A50)</f>
        <v/>
      </c>
      <c r="B1645" s="37" t="str">
        <f ca="1">IF(Agent09_Savings!A50="","","SV"&amp;TEXT(1645-3,"0000")&amp;"-"&amp;TEXT(TODAY(),"YYYYMMDD"))</f>
        <v/>
      </c>
      <c r="C1645" s="37" t="str">
        <f>IF(Agent09_Savings!A50="","",Agent09_Savings!B50)</f>
        <v/>
      </c>
      <c r="D1645" s="37" t="str">
        <f>IF(Agent09_Savings!A50="","",Agent09_Savings!G50)</f>
        <v/>
      </c>
      <c r="E1645" s="38" t="str">
        <f>IF(Agent09_Savings!A50="","",Agent09_Savings!D50)</f>
        <v/>
      </c>
      <c r="F1645" s="39" t="str">
        <f>IF(Agent09_Savings!A50="","",Agent09_Savings!E50)</f>
        <v/>
      </c>
      <c r="G1645" s="39" t="str">
        <f>IF(Agent09_Savings!A50="","",Agent09_Savings!F50)</f>
        <v/>
      </c>
      <c r="H1645" s="37" t="str">
        <f>IF(Agent09_Savings!A50="","",Agent09_Savings!I50)</f>
        <v/>
      </c>
      <c r="I1645" s="37" t="str">
        <f>IF(Agent09_Savings!A50="","",Agent09_Savings!J50)</f>
        <v/>
      </c>
      <c r="J1645" s="37" t="str">
        <f>IF(Agent09_Savings!A50="","",Agent09_Savings!K50)</f>
        <v/>
      </c>
      <c r="K1645" s="37" t="str">
        <f>IFERROR(IF(Agent09_Savings!A50="","",YEAR(Agent09_Savings!D50)),"")</f>
        <v/>
      </c>
    </row>
    <row r="1646" spans="1:11" ht="18" customHeight="1" x14ac:dyDescent="0.25">
      <c r="A1646" s="37" t="str">
        <f>IF(Agent09_Savings!A51="","",Agent09_Savings!A51)</f>
        <v/>
      </c>
      <c r="B1646" s="37" t="str">
        <f ca="1">IF(Agent09_Savings!A51="","","SV"&amp;TEXT(1646-3,"0000")&amp;"-"&amp;TEXT(TODAY(),"YYYYMMDD"))</f>
        <v/>
      </c>
      <c r="C1646" s="37" t="str">
        <f>IF(Agent09_Savings!A51="","",Agent09_Savings!B51)</f>
        <v/>
      </c>
      <c r="D1646" s="37" t="str">
        <f>IF(Agent09_Savings!A51="","",Agent09_Savings!G51)</f>
        <v/>
      </c>
      <c r="E1646" s="38" t="str">
        <f>IF(Agent09_Savings!A51="","",Agent09_Savings!D51)</f>
        <v/>
      </c>
      <c r="F1646" s="39" t="str">
        <f>IF(Agent09_Savings!A51="","",Agent09_Savings!E51)</f>
        <v/>
      </c>
      <c r="G1646" s="39" t="str">
        <f>IF(Agent09_Savings!A51="","",Agent09_Savings!F51)</f>
        <v/>
      </c>
      <c r="H1646" s="37" t="str">
        <f>IF(Agent09_Savings!A51="","",Agent09_Savings!I51)</f>
        <v/>
      </c>
      <c r="I1646" s="37" t="str">
        <f>IF(Agent09_Savings!A51="","",Agent09_Savings!J51)</f>
        <v/>
      </c>
      <c r="J1646" s="37" t="str">
        <f>IF(Agent09_Savings!A51="","",Agent09_Savings!K51)</f>
        <v/>
      </c>
      <c r="K1646" s="37" t="str">
        <f>IFERROR(IF(Agent09_Savings!A51="","",YEAR(Agent09_Savings!D51)),"")</f>
        <v/>
      </c>
    </row>
    <row r="1647" spans="1:11" ht="18" customHeight="1" x14ac:dyDescent="0.25">
      <c r="A1647" s="37" t="str">
        <f>IF(Agent09_Savings!A52="","",Agent09_Savings!A52)</f>
        <v/>
      </c>
      <c r="B1647" s="37" t="str">
        <f ca="1">IF(Agent09_Savings!A52="","","SV"&amp;TEXT(1647-3,"0000")&amp;"-"&amp;TEXT(TODAY(),"YYYYMMDD"))</f>
        <v/>
      </c>
      <c r="C1647" s="37" t="str">
        <f>IF(Agent09_Savings!A52="","",Agent09_Savings!B52)</f>
        <v/>
      </c>
      <c r="D1647" s="37" t="str">
        <f>IF(Agent09_Savings!A52="","",Agent09_Savings!G52)</f>
        <v/>
      </c>
      <c r="E1647" s="38" t="str">
        <f>IF(Agent09_Savings!A52="","",Agent09_Savings!D52)</f>
        <v/>
      </c>
      <c r="F1647" s="39" t="str">
        <f>IF(Agent09_Savings!A52="","",Agent09_Savings!E52)</f>
        <v/>
      </c>
      <c r="G1647" s="39" t="str">
        <f>IF(Agent09_Savings!A52="","",Agent09_Savings!F52)</f>
        <v/>
      </c>
      <c r="H1647" s="37" t="str">
        <f>IF(Agent09_Savings!A52="","",Agent09_Savings!I52)</f>
        <v/>
      </c>
      <c r="I1647" s="37" t="str">
        <f>IF(Agent09_Savings!A52="","",Agent09_Savings!J52)</f>
        <v/>
      </c>
      <c r="J1647" s="37" t="str">
        <f>IF(Agent09_Savings!A52="","",Agent09_Savings!K52)</f>
        <v/>
      </c>
      <c r="K1647" s="37" t="str">
        <f>IFERROR(IF(Agent09_Savings!A52="","",YEAR(Agent09_Savings!D52)),"")</f>
        <v/>
      </c>
    </row>
    <row r="1648" spans="1:11" ht="18" customHeight="1" x14ac:dyDescent="0.25">
      <c r="A1648" s="37" t="str">
        <f>IF(Agent09_Savings!A53="","",Agent09_Savings!A53)</f>
        <v/>
      </c>
      <c r="B1648" s="37" t="str">
        <f ca="1">IF(Agent09_Savings!A53="","","SV"&amp;TEXT(1648-3,"0000")&amp;"-"&amp;TEXT(TODAY(),"YYYYMMDD"))</f>
        <v/>
      </c>
      <c r="C1648" s="37" t="str">
        <f>IF(Agent09_Savings!A53="","",Agent09_Savings!B53)</f>
        <v/>
      </c>
      <c r="D1648" s="37" t="str">
        <f>IF(Agent09_Savings!A53="","",Agent09_Savings!G53)</f>
        <v/>
      </c>
      <c r="E1648" s="38" t="str">
        <f>IF(Agent09_Savings!A53="","",Agent09_Savings!D53)</f>
        <v/>
      </c>
      <c r="F1648" s="39" t="str">
        <f>IF(Agent09_Savings!A53="","",Agent09_Savings!E53)</f>
        <v/>
      </c>
      <c r="G1648" s="39" t="str">
        <f>IF(Agent09_Savings!A53="","",Agent09_Savings!F53)</f>
        <v/>
      </c>
      <c r="H1648" s="37" t="str">
        <f>IF(Agent09_Savings!A53="","",Agent09_Savings!I53)</f>
        <v/>
      </c>
      <c r="I1648" s="37" t="str">
        <f>IF(Agent09_Savings!A53="","",Agent09_Savings!J53)</f>
        <v/>
      </c>
      <c r="J1648" s="37" t="str">
        <f>IF(Agent09_Savings!A53="","",Agent09_Savings!K53)</f>
        <v/>
      </c>
      <c r="K1648" s="37" t="str">
        <f>IFERROR(IF(Agent09_Savings!A53="","",YEAR(Agent09_Savings!D53)),"")</f>
        <v/>
      </c>
    </row>
    <row r="1649" spans="1:11" ht="18" customHeight="1" x14ac:dyDescent="0.25">
      <c r="A1649" s="37" t="str">
        <f>IF(Agent09_Savings!A54="","",Agent09_Savings!A54)</f>
        <v/>
      </c>
      <c r="B1649" s="37" t="str">
        <f ca="1">IF(Agent09_Savings!A54="","","SV"&amp;TEXT(1649-3,"0000")&amp;"-"&amp;TEXT(TODAY(),"YYYYMMDD"))</f>
        <v/>
      </c>
      <c r="C1649" s="37" t="str">
        <f>IF(Agent09_Savings!A54="","",Agent09_Savings!B54)</f>
        <v/>
      </c>
      <c r="D1649" s="37" t="str">
        <f>IF(Agent09_Savings!A54="","",Agent09_Savings!G54)</f>
        <v/>
      </c>
      <c r="E1649" s="38" t="str">
        <f>IF(Agent09_Savings!A54="","",Agent09_Savings!D54)</f>
        <v/>
      </c>
      <c r="F1649" s="39" t="str">
        <f>IF(Agent09_Savings!A54="","",Agent09_Savings!E54)</f>
        <v/>
      </c>
      <c r="G1649" s="39" t="str">
        <f>IF(Agent09_Savings!A54="","",Agent09_Savings!F54)</f>
        <v/>
      </c>
      <c r="H1649" s="37" t="str">
        <f>IF(Agent09_Savings!A54="","",Agent09_Savings!I54)</f>
        <v/>
      </c>
      <c r="I1649" s="37" t="str">
        <f>IF(Agent09_Savings!A54="","",Agent09_Savings!J54)</f>
        <v/>
      </c>
      <c r="J1649" s="37" t="str">
        <f>IF(Agent09_Savings!A54="","",Agent09_Savings!K54)</f>
        <v/>
      </c>
      <c r="K1649" s="37" t="str">
        <f>IFERROR(IF(Agent09_Savings!A54="","",YEAR(Agent09_Savings!D54)),"")</f>
        <v/>
      </c>
    </row>
    <row r="1650" spans="1:11" ht="18" customHeight="1" x14ac:dyDescent="0.25">
      <c r="A1650" s="37" t="str">
        <f>IF(Agent09_Savings!A55="","",Agent09_Savings!A55)</f>
        <v/>
      </c>
      <c r="B1650" s="37" t="str">
        <f ca="1">IF(Agent09_Savings!A55="","","SV"&amp;TEXT(1650-3,"0000")&amp;"-"&amp;TEXT(TODAY(),"YYYYMMDD"))</f>
        <v/>
      </c>
      <c r="C1650" s="37" t="str">
        <f>IF(Agent09_Savings!A55="","",Agent09_Savings!B55)</f>
        <v/>
      </c>
      <c r="D1650" s="37" t="str">
        <f>IF(Agent09_Savings!A55="","",Agent09_Savings!G55)</f>
        <v/>
      </c>
      <c r="E1650" s="38" t="str">
        <f>IF(Agent09_Savings!A55="","",Agent09_Savings!D55)</f>
        <v/>
      </c>
      <c r="F1650" s="39" t="str">
        <f>IF(Agent09_Savings!A55="","",Agent09_Savings!E55)</f>
        <v/>
      </c>
      <c r="G1650" s="39" t="str">
        <f>IF(Agent09_Savings!A55="","",Agent09_Savings!F55)</f>
        <v/>
      </c>
      <c r="H1650" s="37" t="str">
        <f>IF(Agent09_Savings!A55="","",Agent09_Savings!I55)</f>
        <v/>
      </c>
      <c r="I1650" s="37" t="str">
        <f>IF(Agent09_Savings!A55="","",Agent09_Savings!J55)</f>
        <v/>
      </c>
      <c r="J1650" s="37" t="str">
        <f>IF(Agent09_Savings!A55="","",Agent09_Savings!K55)</f>
        <v/>
      </c>
      <c r="K1650" s="37" t="str">
        <f>IFERROR(IF(Agent09_Savings!A55="","",YEAR(Agent09_Savings!D55)),"")</f>
        <v/>
      </c>
    </row>
    <row r="1651" spans="1:11" ht="18" customHeight="1" x14ac:dyDescent="0.25">
      <c r="A1651" s="37" t="str">
        <f>IF(Agent09_Savings!A56="","",Agent09_Savings!A56)</f>
        <v/>
      </c>
      <c r="B1651" s="37" t="str">
        <f ca="1">IF(Agent09_Savings!A56="","","SV"&amp;TEXT(1651-3,"0000")&amp;"-"&amp;TEXT(TODAY(),"YYYYMMDD"))</f>
        <v/>
      </c>
      <c r="C1651" s="37" t="str">
        <f>IF(Agent09_Savings!A56="","",Agent09_Savings!B56)</f>
        <v/>
      </c>
      <c r="D1651" s="37" t="str">
        <f>IF(Agent09_Savings!A56="","",Agent09_Savings!G56)</f>
        <v/>
      </c>
      <c r="E1651" s="38" t="str">
        <f>IF(Agent09_Savings!A56="","",Agent09_Savings!D56)</f>
        <v/>
      </c>
      <c r="F1651" s="39" t="str">
        <f>IF(Agent09_Savings!A56="","",Agent09_Savings!E56)</f>
        <v/>
      </c>
      <c r="G1651" s="39" t="str">
        <f>IF(Agent09_Savings!A56="","",Agent09_Savings!F56)</f>
        <v/>
      </c>
      <c r="H1651" s="37" t="str">
        <f>IF(Agent09_Savings!A56="","",Agent09_Savings!I56)</f>
        <v/>
      </c>
      <c r="I1651" s="37" t="str">
        <f>IF(Agent09_Savings!A56="","",Agent09_Savings!J56)</f>
        <v/>
      </c>
      <c r="J1651" s="37" t="str">
        <f>IF(Agent09_Savings!A56="","",Agent09_Savings!K56)</f>
        <v/>
      </c>
      <c r="K1651" s="37" t="str">
        <f>IFERROR(IF(Agent09_Savings!A56="","",YEAR(Agent09_Savings!D56)),"")</f>
        <v/>
      </c>
    </row>
    <row r="1652" spans="1:11" ht="18" customHeight="1" x14ac:dyDescent="0.25">
      <c r="A1652" s="37" t="str">
        <f>IF(Agent09_Savings!A57="","",Agent09_Savings!A57)</f>
        <v/>
      </c>
      <c r="B1652" s="37" t="str">
        <f ca="1">IF(Agent09_Savings!A57="","","SV"&amp;TEXT(1652-3,"0000")&amp;"-"&amp;TEXT(TODAY(),"YYYYMMDD"))</f>
        <v/>
      </c>
      <c r="C1652" s="37" t="str">
        <f>IF(Agent09_Savings!A57="","",Agent09_Savings!B57)</f>
        <v/>
      </c>
      <c r="D1652" s="37" t="str">
        <f>IF(Agent09_Savings!A57="","",Agent09_Savings!G57)</f>
        <v/>
      </c>
      <c r="E1652" s="38" t="str">
        <f>IF(Agent09_Savings!A57="","",Agent09_Savings!D57)</f>
        <v/>
      </c>
      <c r="F1652" s="39" t="str">
        <f>IF(Agent09_Savings!A57="","",Agent09_Savings!E57)</f>
        <v/>
      </c>
      <c r="G1652" s="39" t="str">
        <f>IF(Agent09_Savings!A57="","",Agent09_Savings!F57)</f>
        <v/>
      </c>
      <c r="H1652" s="37" t="str">
        <f>IF(Agent09_Savings!A57="","",Agent09_Savings!I57)</f>
        <v/>
      </c>
      <c r="I1652" s="37" t="str">
        <f>IF(Agent09_Savings!A57="","",Agent09_Savings!J57)</f>
        <v/>
      </c>
      <c r="J1652" s="37" t="str">
        <f>IF(Agent09_Savings!A57="","",Agent09_Savings!K57)</f>
        <v/>
      </c>
      <c r="K1652" s="37" t="str">
        <f>IFERROR(IF(Agent09_Savings!A57="","",YEAR(Agent09_Savings!D57)),"")</f>
        <v/>
      </c>
    </row>
    <row r="1653" spans="1:11" ht="18" customHeight="1" x14ac:dyDescent="0.25">
      <c r="A1653" s="37" t="str">
        <f>IF(Agent09_Savings!A58="","",Agent09_Savings!A58)</f>
        <v/>
      </c>
      <c r="B1653" s="37" t="str">
        <f ca="1">IF(Agent09_Savings!A58="","","SV"&amp;TEXT(1653-3,"0000")&amp;"-"&amp;TEXT(TODAY(),"YYYYMMDD"))</f>
        <v/>
      </c>
      <c r="C1653" s="37" t="str">
        <f>IF(Agent09_Savings!A58="","",Agent09_Savings!B58)</f>
        <v/>
      </c>
      <c r="D1653" s="37" t="str">
        <f>IF(Agent09_Savings!A58="","",Agent09_Savings!G58)</f>
        <v/>
      </c>
      <c r="E1653" s="38" t="str">
        <f>IF(Agent09_Savings!A58="","",Agent09_Savings!D58)</f>
        <v/>
      </c>
      <c r="F1653" s="39" t="str">
        <f>IF(Agent09_Savings!A58="","",Agent09_Savings!E58)</f>
        <v/>
      </c>
      <c r="G1653" s="39" t="str">
        <f>IF(Agent09_Savings!A58="","",Agent09_Savings!F58)</f>
        <v/>
      </c>
      <c r="H1653" s="37" t="str">
        <f>IF(Agent09_Savings!A58="","",Agent09_Savings!I58)</f>
        <v/>
      </c>
      <c r="I1653" s="37" t="str">
        <f>IF(Agent09_Savings!A58="","",Agent09_Savings!J58)</f>
        <v/>
      </c>
      <c r="J1653" s="37" t="str">
        <f>IF(Agent09_Savings!A58="","",Agent09_Savings!K58)</f>
        <v/>
      </c>
      <c r="K1653" s="37" t="str">
        <f>IFERROR(IF(Agent09_Savings!A58="","",YEAR(Agent09_Savings!D58)),"")</f>
        <v/>
      </c>
    </row>
    <row r="1654" spans="1:11" ht="18" customHeight="1" x14ac:dyDescent="0.25">
      <c r="A1654" s="37" t="str">
        <f>IF(Agent09_Savings!A59="","",Agent09_Savings!A59)</f>
        <v/>
      </c>
      <c r="B1654" s="37" t="str">
        <f ca="1">IF(Agent09_Savings!A59="","","SV"&amp;TEXT(1654-3,"0000")&amp;"-"&amp;TEXT(TODAY(),"YYYYMMDD"))</f>
        <v/>
      </c>
      <c r="C1654" s="37" t="str">
        <f>IF(Agent09_Savings!A59="","",Agent09_Savings!B59)</f>
        <v/>
      </c>
      <c r="D1654" s="37" t="str">
        <f>IF(Agent09_Savings!A59="","",Agent09_Savings!G59)</f>
        <v/>
      </c>
      <c r="E1654" s="38" t="str">
        <f>IF(Agent09_Savings!A59="","",Agent09_Savings!D59)</f>
        <v/>
      </c>
      <c r="F1654" s="39" t="str">
        <f>IF(Agent09_Savings!A59="","",Agent09_Savings!E59)</f>
        <v/>
      </c>
      <c r="G1654" s="39" t="str">
        <f>IF(Agent09_Savings!A59="","",Agent09_Savings!F59)</f>
        <v/>
      </c>
      <c r="H1654" s="37" t="str">
        <f>IF(Agent09_Savings!A59="","",Agent09_Savings!I59)</f>
        <v/>
      </c>
      <c r="I1654" s="37" t="str">
        <f>IF(Agent09_Savings!A59="","",Agent09_Savings!J59)</f>
        <v/>
      </c>
      <c r="J1654" s="37" t="str">
        <f>IF(Agent09_Savings!A59="","",Agent09_Savings!K59)</f>
        <v/>
      </c>
      <c r="K1654" s="37" t="str">
        <f>IFERROR(IF(Agent09_Savings!A59="","",YEAR(Agent09_Savings!D59)),"")</f>
        <v/>
      </c>
    </row>
    <row r="1655" spans="1:11" ht="18" customHeight="1" x14ac:dyDescent="0.25">
      <c r="A1655" s="37" t="str">
        <f>IF(Agent09_Savings!A60="","",Agent09_Savings!A60)</f>
        <v/>
      </c>
      <c r="B1655" s="37" t="str">
        <f ca="1">IF(Agent09_Savings!A60="","","SV"&amp;TEXT(1655-3,"0000")&amp;"-"&amp;TEXT(TODAY(),"YYYYMMDD"))</f>
        <v/>
      </c>
      <c r="C1655" s="37" t="str">
        <f>IF(Agent09_Savings!A60="","",Agent09_Savings!B60)</f>
        <v/>
      </c>
      <c r="D1655" s="37" t="str">
        <f>IF(Agent09_Savings!A60="","",Agent09_Savings!G60)</f>
        <v/>
      </c>
      <c r="E1655" s="38" t="str">
        <f>IF(Agent09_Savings!A60="","",Agent09_Savings!D60)</f>
        <v/>
      </c>
      <c r="F1655" s="39" t="str">
        <f>IF(Agent09_Savings!A60="","",Agent09_Savings!E60)</f>
        <v/>
      </c>
      <c r="G1655" s="39" t="str">
        <f>IF(Agent09_Savings!A60="","",Agent09_Savings!F60)</f>
        <v/>
      </c>
      <c r="H1655" s="37" t="str">
        <f>IF(Agent09_Savings!A60="","",Agent09_Savings!I60)</f>
        <v/>
      </c>
      <c r="I1655" s="37" t="str">
        <f>IF(Agent09_Savings!A60="","",Agent09_Savings!J60)</f>
        <v/>
      </c>
      <c r="J1655" s="37" t="str">
        <f>IF(Agent09_Savings!A60="","",Agent09_Savings!K60)</f>
        <v/>
      </c>
      <c r="K1655" s="37" t="str">
        <f>IFERROR(IF(Agent09_Savings!A60="","",YEAR(Agent09_Savings!D60)),"")</f>
        <v/>
      </c>
    </row>
    <row r="1656" spans="1:11" ht="18" customHeight="1" x14ac:dyDescent="0.25">
      <c r="A1656" s="37" t="str">
        <f>IF(Agent09_Savings!A61="","",Agent09_Savings!A61)</f>
        <v/>
      </c>
      <c r="B1656" s="37" t="str">
        <f ca="1">IF(Agent09_Savings!A61="","","SV"&amp;TEXT(1656-3,"0000")&amp;"-"&amp;TEXT(TODAY(),"YYYYMMDD"))</f>
        <v/>
      </c>
      <c r="C1656" s="37" t="str">
        <f>IF(Agent09_Savings!A61="","",Agent09_Savings!B61)</f>
        <v/>
      </c>
      <c r="D1656" s="37" t="str">
        <f>IF(Agent09_Savings!A61="","",Agent09_Savings!G61)</f>
        <v/>
      </c>
      <c r="E1656" s="38" t="str">
        <f>IF(Agent09_Savings!A61="","",Agent09_Savings!D61)</f>
        <v/>
      </c>
      <c r="F1656" s="39" t="str">
        <f>IF(Agent09_Savings!A61="","",Agent09_Savings!E61)</f>
        <v/>
      </c>
      <c r="G1656" s="39" t="str">
        <f>IF(Agent09_Savings!A61="","",Agent09_Savings!F61)</f>
        <v/>
      </c>
      <c r="H1656" s="37" t="str">
        <f>IF(Agent09_Savings!A61="","",Agent09_Savings!I61)</f>
        <v/>
      </c>
      <c r="I1656" s="37" t="str">
        <f>IF(Agent09_Savings!A61="","",Agent09_Savings!J61)</f>
        <v/>
      </c>
      <c r="J1656" s="37" t="str">
        <f>IF(Agent09_Savings!A61="","",Agent09_Savings!K61)</f>
        <v/>
      </c>
      <c r="K1656" s="37" t="str">
        <f>IFERROR(IF(Agent09_Savings!A61="","",YEAR(Agent09_Savings!D61)),"")</f>
        <v/>
      </c>
    </row>
    <row r="1657" spans="1:11" ht="18" customHeight="1" x14ac:dyDescent="0.25">
      <c r="A1657" s="37" t="str">
        <f>IF(Agent09_Savings!A62="","",Agent09_Savings!A62)</f>
        <v/>
      </c>
      <c r="B1657" s="37" t="str">
        <f ca="1">IF(Agent09_Savings!A62="","","SV"&amp;TEXT(1657-3,"0000")&amp;"-"&amp;TEXT(TODAY(),"YYYYMMDD"))</f>
        <v/>
      </c>
      <c r="C1657" s="37" t="str">
        <f>IF(Agent09_Savings!A62="","",Agent09_Savings!B62)</f>
        <v/>
      </c>
      <c r="D1657" s="37" t="str">
        <f>IF(Agent09_Savings!A62="","",Agent09_Savings!G62)</f>
        <v/>
      </c>
      <c r="E1657" s="38" t="str">
        <f>IF(Agent09_Savings!A62="","",Agent09_Savings!D62)</f>
        <v/>
      </c>
      <c r="F1657" s="39" t="str">
        <f>IF(Agent09_Savings!A62="","",Agent09_Savings!E62)</f>
        <v/>
      </c>
      <c r="G1657" s="39" t="str">
        <f>IF(Agent09_Savings!A62="","",Agent09_Savings!F62)</f>
        <v/>
      </c>
      <c r="H1657" s="37" t="str">
        <f>IF(Agent09_Savings!A62="","",Agent09_Savings!I62)</f>
        <v/>
      </c>
      <c r="I1657" s="37" t="str">
        <f>IF(Agent09_Savings!A62="","",Agent09_Savings!J62)</f>
        <v/>
      </c>
      <c r="J1657" s="37" t="str">
        <f>IF(Agent09_Savings!A62="","",Agent09_Savings!K62)</f>
        <v/>
      </c>
      <c r="K1657" s="37" t="str">
        <f>IFERROR(IF(Agent09_Savings!A62="","",YEAR(Agent09_Savings!D62)),"")</f>
        <v/>
      </c>
    </row>
    <row r="1658" spans="1:11" ht="18" customHeight="1" x14ac:dyDescent="0.25">
      <c r="A1658" s="37" t="str">
        <f>IF(Agent09_Savings!A63="","",Agent09_Savings!A63)</f>
        <v/>
      </c>
      <c r="B1658" s="37" t="str">
        <f ca="1">IF(Agent09_Savings!A63="","","SV"&amp;TEXT(1658-3,"0000")&amp;"-"&amp;TEXT(TODAY(),"YYYYMMDD"))</f>
        <v/>
      </c>
      <c r="C1658" s="37" t="str">
        <f>IF(Agent09_Savings!A63="","",Agent09_Savings!B63)</f>
        <v/>
      </c>
      <c r="D1658" s="37" t="str">
        <f>IF(Agent09_Savings!A63="","",Agent09_Savings!G63)</f>
        <v/>
      </c>
      <c r="E1658" s="38" t="str">
        <f>IF(Agent09_Savings!A63="","",Agent09_Savings!D63)</f>
        <v/>
      </c>
      <c r="F1658" s="39" t="str">
        <f>IF(Agent09_Savings!A63="","",Agent09_Savings!E63)</f>
        <v/>
      </c>
      <c r="G1658" s="39" t="str">
        <f>IF(Agent09_Savings!A63="","",Agent09_Savings!F63)</f>
        <v/>
      </c>
      <c r="H1658" s="37" t="str">
        <f>IF(Agent09_Savings!A63="","",Agent09_Savings!I63)</f>
        <v/>
      </c>
      <c r="I1658" s="37" t="str">
        <f>IF(Agent09_Savings!A63="","",Agent09_Savings!J63)</f>
        <v/>
      </c>
      <c r="J1658" s="37" t="str">
        <f>IF(Agent09_Savings!A63="","",Agent09_Savings!K63)</f>
        <v/>
      </c>
      <c r="K1658" s="37" t="str">
        <f>IFERROR(IF(Agent09_Savings!A63="","",YEAR(Agent09_Savings!D63)),"")</f>
        <v/>
      </c>
    </row>
    <row r="1659" spans="1:11" ht="18" customHeight="1" x14ac:dyDescent="0.25">
      <c r="A1659" s="37" t="str">
        <f>IF(Agent09_Savings!A64="","",Agent09_Savings!A64)</f>
        <v/>
      </c>
      <c r="B1659" s="37" t="str">
        <f ca="1">IF(Agent09_Savings!A64="","","SV"&amp;TEXT(1659-3,"0000")&amp;"-"&amp;TEXT(TODAY(),"YYYYMMDD"))</f>
        <v/>
      </c>
      <c r="C1659" s="37" t="str">
        <f>IF(Agent09_Savings!A64="","",Agent09_Savings!B64)</f>
        <v/>
      </c>
      <c r="D1659" s="37" t="str">
        <f>IF(Agent09_Savings!A64="","",Agent09_Savings!G64)</f>
        <v/>
      </c>
      <c r="E1659" s="38" t="str">
        <f>IF(Agent09_Savings!A64="","",Agent09_Savings!D64)</f>
        <v/>
      </c>
      <c r="F1659" s="39" t="str">
        <f>IF(Agent09_Savings!A64="","",Agent09_Savings!E64)</f>
        <v/>
      </c>
      <c r="G1659" s="39" t="str">
        <f>IF(Agent09_Savings!A64="","",Agent09_Savings!F64)</f>
        <v/>
      </c>
      <c r="H1659" s="37" t="str">
        <f>IF(Agent09_Savings!A64="","",Agent09_Savings!I64)</f>
        <v/>
      </c>
      <c r="I1659" s="37" t="str">
        <f>IF(Agent09_Savings!A64="","",Agent09_Savings!J64)</f>
        <v/>
      </c>
      <c r="J1659" s="37" t="str">
        <f>IF(Agent09_Savings!A64="","",Agent09_Savings!K64)</f>
        <v/>
      </c>
      <c r="K1659" s="37" t="str">
        <f>IFERROR(IF(Agent09_Savings!A64="","",YEAR(Agent09_Savings!D64)),"")</f>
        <v/>
      </c>
    </row>
    <row r="1660" spans="1:11" ht="18" customHeight="1" x14ac:dyDescent="0.25">
      <c r="A1660" s="37" t="str">
        <f>IF(Agent09_Savings!A65="","",Agent09_Savings!A65)</f>
        <v/>
      </c>
      <c r="B1660" s="37" t="str">
        <f ca="1">IF(Agent09_Savings!A65="","","SV"&amp;TEXT(1660-3,"0000")&amp;"-"&amp;TEXT(TODAY(),"YYYYMMDD"))</f>
        <v/>
      </c>
      <c r="C1660" s="37" t="str">
        <f>IF(Agent09_Savings!A65="","",Agent09_Savings!B65)</f>
        <v/>
      </c>
      <c r="D1660" s="37" t="str">
        <f>IF(Agent09_Savings!A65="","",Agent09_Savings!G65)</f>
        <v/>
      </c>
      <c r="E1660" s="38" t="str">
        <f>IF(Agent09_Savings!A65="","",Agent09_Savings!D65)</f>
        <v/>
      </c>
      <c r="F1660" s="39" t="str">
        <f>IF(Agent09_Savings!A65="","",Agent09_Savings!E65)</f>
        <v/>
      </c>
      <c r="G1660" s="39" t="str">
        <f>IF(Agent09_Savings!A65="","",Agent09_Savings!F65)</f>
        <v/>
      </c>
      <c r="H1660" s="37" t="str">
        <f>IF(Agent09_Savings!A65="","",Agent09_Savings!I65)</f>
        <v/>
      </c>
      <c r="I1660" s="37" t="str">
        <f>IF(Agent09_Savings!A65="","",Agent09_Savings!J65)</f>
        <v/>
      </c>
      <c r="J1660" s="37" t="str">
        <f>IF(Agent09_Savings!A65="","",Agent09_Savings!K65)</f>
        <v/>
      </c>
      <c r="K1660" s="37" t="str">
        <f>IFERROR(IF(Agent09_Savings!A65="","",YEAR(Agent09_Savings!D65)),"")</f>
        <v/>
      </c>
    </row>
    <row r="1661" spans="1:11" ht="18" customHeight="1" x14ac:dyDescent="0.25">
      <c r="A1661" s="37" t="str">
        <f>IF(Agent09_Savings!A66="","",Agent09_Savings!A66)</f>
        <v/>
      </c>
      <c r="B1661" s="37" t="str">
        <f ca="1">IF(Agent09_Savings!A66="","","SV"&amp;TEXT(1661-3,"0000")&amp;"-"&amp;TEXT(TODAY(),"YYYYMMDD"))</f>
        <v/>
      </c>
      <c r="C1661" s="37" t="str">
        <f>IF(Agent09_Savings!A66="","",Agent09_Savings!B66)</f>
        <v/>
      </c>
      <c r="D1661" s="37" t="str">
        <f>IF(Agent09_Savings!A66="","",Agent09_Savings!G66)</f>
        <v/>
      </c>
      <c r="E1661" s="38" t="str">
        <f>IF(Agent09_Savings!A66="","",Agent09_Savings!D66)</f>
        <v/>
      </c>
      <c r="F1661" s="39" t="str">
        <f>IF(Agent09_Savings!A66="","",Agent09_Savings!E66)</f>
        <v/>
      </c>
      <c r="G1661" s="39" t="str">
        <f>IF(Agent09_Savings!A66="","",Agent09_Savings!F66)</f>
        <v/>
      </c>
      <c r="H1661" s="37" t="str">
        <f>IF(Agent09_Savings!A66="","",Agent09_Savings!I66)</f>
        <v/>
      </c>
      <c r="I1661" s="37" t="str">
        <f>IF(Agent09_Savings!A66="","",Agent09_Savings!J66)</f>
        <v/>
      </c>
      <c r="J1661" s="37" t="str">
        <f>IF(Agent09_Savings!A66="","",Agent09_Savings!K66)</f>
        <v/>
      </c>
      <c r="K1661" s="37" t="str">
        <f>IFERROR(IF(Agent09_Savings!A66="","",YEAR(Agent09_Savings!D66)),"")</f>
        <v/>
      </c>
    </row>
    <row r="1662" spans="1:11" ht="18" customHeight="1" x14ac:dyDescent="0.25">
      <c r="A1662" s="37" t="str">
        <f>IF(Agent09_Savings!A67="","",Agent09_Savings!A67)</f>
        <v/>
      </c>
      <c r="B1662" s="37" t="str">
        <f ca="1">IF(Agent09_Savings!A67="","","SV"&amp;TEXT(1662-3,"0000")&amp;"-"&amp;TEXT(TODAY(),"YYYYMMDD"))</f>
        <v/>
      </c>
      <c r="C1662" s="37" t="str">
        <f>IF(Agent09_Savings!A67="","",Agent09_Savings!B67)</f>
        <v/>
      </c>
      <c r="D1662" s="37" t="str">
        <f>IF(Agent09_Savings!A67="","",Agent09_Savings!G67)</f>
        <v/>
      </c>
      <c r="E1662" s="38" t="str">
        <f>IF(Agent09_Savings!A67="","",Agent09_Savings!D67)</f>
        <v/>
      </c>
      <c r="F1662" s="39" t="str">
        <f>IF(Agent09_Savings!A67="","",Agent09_Savings!E67)</f>
        <v/>
      </c>
      <c r="G1662" s="39" t="str">
        <f>IF(Agent09_Savings!A67="","",Agent09_Savings!F67)</f>
        <v/>
      </c>
      <c r="H1662" s="37" t="str">
        <f>IF(Agent09_Savings!A67="","",Agent09_Savings!I67)</f>
        <v/>
      </c>
      <c r="I1662" s="37" t="str">
        <f>IF(Agent09_Savings!A67="","",Agent09_Savings!J67)</f>
        <v/>
      </c>
      <c r="J1662" s="37" t="str">
        <f>IF(Agent09_Savings!A67="","",Agent09_Savings!K67)</f>
        <v/>
      </c>
      <c r="K1662" s="37" t="str">
        <f>IFERROR(IF(Agent09_Savings!A67="","",YEAR(Agent09_Savings!D67)),"")</f>
        <v/>
      </c>
    </row>
    <row r="1663" spans="1:11" ht="18" customHeight="1" x14ac:dyDescent="0.25">
      <c r="A1663" s="37" t="str">
        <f>IF(Agent09_Savings!A68="","",Agent09_Savings!A68)</f>
        <v/>
      </c>
      <c r="B1663" s="37" t="str">
        <f ca="1">IF(Agent09_Savings!A68="","","SV"&amp;TEXT(1663-3,"0000")&amp;"-"&amp;TEXT(TODAY(),"YYYYMMDD"))</f>
        <v/>
      </c>
      <c r="C1663" s="37" t="str">
        <f>IF(Agent09_Savings!A68="","",Agent09_Savings!B68)</f>
        <v/>
      </c>
      <c r="D1663" s="37" t="str">
        <f>IF(Agent09_Savings!A68="","",Agent09_Savings!G68)</f>
        <v/>
      </c>
      <c r="E1663" s="38" t="str">
        <f>IF(Agent09_Savings!A68="","",Agent09_Savings!D68)</f>
        <v/>
      </c>
      <c r="F1663" s="39" t="str">
        <f>IF(Agent09_Savings!A68="","",Agent09_Savings!E68)</f>
        <v/>
      </c>
      <c r="G1663" s="39" t="str">
        <f>IF(Agent09_Savings!A68="","",Agent09_Savings!F68)</f>
        <v/>
      </c>
      <c r="H1663" s="37" t="str">
        <f>IF(Agent09_Savings!A68="","",Agent09_Savings!I68)</f>
        <v/>
      </c>
      <c r="I1663" s="37" t="str">
        <f>IF(Agent09_Savings!A68="","",Agent09_Savings!J68)</f>
        <v/>
      </c>
      <c r="J1663" s="37" t="str">
        <f>IF(Agent09_Savings!A68="","",Agent09_Savings!K68)</f>
        <v/>
      </c>
      <c r="K1663" s="37" t="str">
        <f>IFERROR(IF(Agent09_Savings!A68="","",YEAR(Agent09_Savings!D68)),"")</f>
        <v/>
      </c>
    </row>
    <row r="1664" spans="1:11" ht="18" customHeight="1" x14ac:dyDescent="0.25">
      <c r="A1664" s="37" t="str">
        <f>IF(Agent09_Savings!A69="","",Agent09_Savings!A69)</f>
        <v/>
      </c>
      <c r="B1664" s="37" t="str">
        <f ca="1">IF(Agent09_Savings!A69="","","SV"&amp;TEXT(1664-3,"0000")&amp;"-"&amp;TEXT(TODAY(),"YYYYMMDD"))</f>
        <v/>
      </c>
      <c r="C1664" s="37" t="str">
        <f>IF(Agent09_Savings!A69="","",Agent09_Savings!B69)</f>
        <v/>
      </c>
      <c r="D1664" s="37" t="str">
        <f>IF(Agent09_Savings!A69="","",Agent09_Savings!G69)</f>
        <v/>
      </c>
      <c r="E1664" s="38" t="str">
        <f>IF(Agent09_Savings!A69="","",Agent09_Savings!D69)</f>
        <v/>
      </c>
      <c r="F1664" s="39" t="str">
        <f>IF(Agent09_Savings!A69="","",Agent09_Savings!E69)</f>
        <v/>
      </c>
      <c r="G1664" s="39" t="str">
        <f>IF(Agent09_Savings!A69="","",Agent09_Savings!F69)</f>
        <v/>
      </c>
      <c r="H1664" s="37" t="str">
        <f>IF(Agent09_Savings!A69="","",Agent09_Savings!I69)</f>
        <v/>
      </c>
      <c r="I1664" s="37" t="str">
        <f>IF(Agent09_Savings!A69="","",Agent09_Savings!J69)</f>
        <v/>
      </c>
      <c r="J1664" s="37" t="str">
        <f>IF(Agent09_Savings!A69="","",Agent09_Savings!K69)</f>
        <v/>
      </c>
      <c r="K1664" s="37" t="str">
        <f>IFERROR(IF(Agent09_Savings!A69="","",YEAR(Agent09_Savings!D69)),"")</f>
        <v/>
      </c>
    </row>
    <row r="1665" spans="1:11" ht="18" customHeight="1" x14ac:dyDescent="0.25">
      <c r="A1665" s="37" t="str">
        <f>IF(Agent09_Savings!A70="","",Agent09_Savings!A70)</f>
        <v/>
      </c>
      <c r="B1665" s="37" t="str">
        <f ca="1">IF(Agent09_Savings!A70="","","SV"&amp;TEXT(1665-3,"0000")&amp;"-"&amp;TEXT(TODAY(),"YYYYMMDD"))</f>
        <v/>
      </c>
      <c r="C1665" s="37" t="str">
        <f>IF(Agent09_Savings!A70="","",Agent09_Savings!B70)</f>
        <v/>
      </c>
      <c r="D1665" s="37" t="str">
        <f>IF(Agent09_Savings!A70="","",Agent09_Savings!G70)</f>
        <v/>
      </c>
      <c r="E1665" s="38" t="str">
        <f>IF(Agent09_Savings!A70="","",Agent09_Savings!D70)</f>
        <v/>
      </c>
      <c r="F1665" s="39" t="str">
        <f>IF(Agent09_Savings!A70="","",Agent09_Savings!E70)</f>
        <v/>
      </c>
      <c r="G1665" s="39" t="str">
        <f>IF(Agent09_Savings!A70="","",Agent09_Savings!F70)</f>
        <v/>
      </c>
      <c r="H1665" s="37" t="str">
        <f>IF(Agent09_Savings!A70="","",Agent09_Savings!I70)</f>
        <v/>
      </c>
      <c r="I1665" s="37" t="str">
        <f>IF(Agent09_Savings!A70="","",Agent09_Savings!J70)</f>
        <v/>
      </c>
      <c r="J1665" s="37" t="str">
        <f>IF(Agent09_Savings!A70="","",Agent09_Savings!K70)</f>
        <v/>
      </c>
      <c r="K1665" s="37" t="str">
        <f>IFERROR(IF(Agent09_Savings!A70="","",YEAR(Agent09_Savings!D70)),"")</f>
        <v/>
      </c>
    </row>
    <row r="1666" spans="1:11" ht="18" customHeight="1" x14ac:dyDescent="0.25">
      <c r="A1666" s="37" t="str">
        <f>IF(Agent09_Savings!A71="","",Agent09_Savings!A71)</f>
        <v/>
      </c>
      <c r="B1666" s="37" t="str">
        <f ca="1">IF(Agent09_Savings!A71="","","SV"&amp;TEXT(1666-3,"0000")&amp;"-"&amp;TEXT(TODAY(),"YYYYMMDD"))</f>
        <v/>
      </c>
      <c r="C1666" s="37" t="str">
        <f>IF(Agent09_Savings!A71="","",Agent09_Savings!B71)</f>
        <v/>
      </c>
      <c r="D1666" s="37" t="str">
        <f>IF(Agent09_Savings!A71="","",Agent09_Savings!G71)</f>
        <v/>
      </c>
      <c r="E1666" s="38" t="str">
        <f>IF(Agent09_Savings!A71="","",Agent09_Savings!D71)</f>
        <v/>
      </c>
      <c r="F1666" s="39" t="str">
        <f>IF(Agent09_Savings!A71="","",Agent09_Savings!E71)</f>
        <v/>
      </c>
      <c r="G1666" s="39" t="str">
        <f>IF(Agent09_Savings!A71="","",Agent09_Savings!F71)</f>
        <v/>
      </c>
      <c r="H1666" s="37" t="str">
        <f>IF(Agent09_Savings!A71="","",Agent09_Savings!I71)</f>
        <v/>
      </c>
      <c r="I1666" s="37" t="str">
        <f>IF(Agent09_Savings!A71="","",Agent09_Savings!J71)</f>
        <v/>
      </c>
      <c r="J1666" s="37" t="str">
        <f>IF(Agent09_Savings!A71="","",Agent09_Savings!K71)</f>
        <v/>
      </c>
      <c r="K1666" s="37" t="str">
        <f>IFERROR(IF(Agent09_Savings!A71="","",YEAR(Agent09_Savings!D71)),"")</f>
        <v/>
      </c>
    </row>
    <row r="1667" spans="1:11" ht="18" customHeight="1" x14ac:dyDescent="0.25">
      <c r="A1667" s="37" t="str">
        <f>IF(Agent09_Savings!A72="","",Agent09_Savings!A72)</f>
        <v/>
      </c>
      <c r="B1667" s="37" t="str">
        <f ca="1">IF(Agent09_Savings!A72="","","SV"&amp;TEXT(1667-3,"0000")&amp;"-"&amp;TEXT(TODAY(),"YYYYMMDD"))</f>
        <v/>
      </c>
      <c r="C1667" s="37" t="str">
        <f>IF(Agent09_Savings!A72="","",Agent09_Savings!B72)</f>
        <v/>
      </c>
      <c r="D1667" s="37" t="str">
        <f>IF(Agent09_Savings!A72="","",Agent09_Savings!G72)</f>
        <v/>
      </c>
      <c r="E1667" s="38" t="str">
        <f>IF(Agent09_Savings!A72="","",Agent09_Savings!D72)</f>
        <v/>
      </c>
      <c r="F1667" s="39" t="str">
        <f>IF(Agent09_Savings!A72="","",Agent09_Savings!E72)</f>
        <v/>
      </c>
      <c r="G1667" s="39" t="str">
        <f>IF(Agent09_Savings!A72="","",Agent09_Savings!F72)</f>
        <v/>
      </c>
      <c r="H1667" s="37" t="str">
        <f>IF(Agent09_Savings!A72="","",Agent09_Savings!I72)</f>
        <v/>
      </c>
      <c r="I1667" s="37" t="str">
        <f>IF(Agent09_Savings!A72="","",Agent09_Savings!J72)</f>
        <v/>
      </c>
      <c r="J1667" s="37" t="str">
        <f>IF(Agent09_Savings!A72="","",Agent09_Savings!K72)</f>
        <v/>
      </c>
      <c r="K1667" s="37" t="str">
        <f>IFERROR(IF(Agent09_Savings!A72="","",YEAR(Agent09_Savings!D72)),"")</f>
        <v/>
      </c>
    </row>
    <row r="1668" spans="1:11" ht="18" customHeight="1" x14ac:dyDescent="0.25">
      <c r="A1668" s="37" t="str">
        <f>IF(Agent09_Savings!A73="","",Agent09_Savings!A73)</f>
        <v/>
      </c>
      <c r="B1668" s="37" t="str">
        <f ca="1">IF(Agent09_Savings!A73="","","SV"&amp;TEXT(1668-3,"0000")&amp;"-"&amp;TEXT(TODAY(),"YYYYMMDD"))</f>
        <v/>
      </c>
      <c r="C1668" s="37" t="str">
        <f>IF(Agent09_Savings!A73="","",Agent09_Savings!B73)</f>
        <v/>
      </c>
      <c r="D1668" s="37" t="str">
        <f>IF(Agent09_Savings!A73="","",Agent09_Savings!G73)</f>
        <v/>
      </c>
      <c r="E1668" s="38" t="str">
        <f>IF(Agent09_Savings!A73="","",Agent09_Savings!D73)</f>
        <v/>
      </c>
      <c r="F1668" s="39" t="str">
        <f>IF(Agent09_Savings!A73="","",Agent09_Savings!E73)</f>
        <v/>
      </c>
      <c r="G1668" s="39" t="str">
        <f>IF(Agent09_Savings!A73="","",Agent09_Savings!F73)</f>
        <v/>
      </c>
      <c r="H1668" s="37" t="str">
        <f>IF(Agent09_Savings!A73="","",Agent09_Savings!I73)</f>
        <v/>
      </c>
      <c r="I1668" s="37" t="str">
        <f>IF(Agent09_Savings!A73="","",Agent09_Savings!J73)</f>
        <v/>
      </c>
      <c r="J1668" s="37" t="str">
        <f>IF(Agent09_Savings!A73="","",Agent09_Savings!K73)</f>
        <v/>
      </c>
      <c r="K1668" s="37" t="str">
        <f>IFERROR(IF(Agent09_Savings!A73="","",YEAR(Agent09_Savings!D73)),"")</f>
        <v/>
      </c>
    </row>
    <row r="1669" spans="1:11" ht="18" customHeight="1" x14ac:dyDescent="0.25">
      <c r="A1669" s="37" t="str">
        <f>IF(Agent09_Savings!A74="","",Agent09_Savings!A74)</f>
        <v/>
      </c>
      <c r="B1669" s="37" t="str">
        <f ca="1">IF(Agent09_Savings!A74="","","SV"&amp;TEXT(1669-3,"0000")&amp;"-"&amp;TEXT(TODAY(),"YYYYMMDD"))</f>
        <v/>
      </c>
      <c r="C1669" s="37" t="str">
        <f>IF(Agent09_Savings!A74="","",Agent09_Savings!B74)</f>
        <v/>
      </c>
      <c r="D1669" s="37" t="str">
        <f>IF(Agent09_Savings!A74="","",Agent09_Savings!G74)</f>
        <v/>
      </c>
      <c r="E1669" s="38" t="str">
        <f>IF(Agent09_Savings!A74="","",Agent09_Savings!D74)</f>
        <v/>
      </c>
      <c r="F1669" s="39" t="str">
        <f>IF(Agent09_Savings!A74="","",Agent09_Savings!E74)</f>
        <v/>
      </c>
      <c r="G1669" s="39" t="str">
        <f>IF(Agent09_Savings!A74="","",Agent09_Savings!F74)</f>
        <v/>
      </c>
      <c r="H1669" s="37" t="str">
        <f>IF(Agent09_Savings!A74="","",Agent09_Savings!I74)</f>
        <v/>
      </c>
      <c r="I1669" s="37" t="str">
        <f>IF(Agent09_Savings!A74="","",Agent09_Savings!J74)</f>
        <v/>
      </c>
      <c r="J1669" s="37" t="str">
        <f>IF(Agent09_Savings!A74="","",Agent09_Savings!K74)</f>
        <v/>
      </c>
      <c r="K1669" s="37" t="str">
        <f>IFERROR(IF(Agent09_Savings!A74="","",YEAR(Agent09_Savings!D74)),"")</f>
        <v/>
      </c>
    </row>
    <row r="1670" spans="1:11" ht="18" customHeight="1" x14ac:dyDescent="0.25">
      <c r="A1670" s="37" t="str">
        <f>IF(Agent09_Savings!A75="","",Agent09_Savings!A75)</f>
        <v/>
      </c>
      <c r="B1670" s="37" t="str">
        <f ca="1">IF(Agent09_Savings!A75="","","SV"&amp;TEXT(1670-3,"0000")&amp;"-"&amp;TEXT(TODAY(),"YYYYMMDD"))</f>
        <v/>
      </c>
      <c r="C1670" s="37" t="str">
        <f>IF(Agent09_Savings!A75="","",Agent09_Savings!B75)</f>
        <v/>
      </c>
      <c r="D1670" s="37" t="str">
        <f>IF(Agent09_Savings!A75="","",Agent09_Savings!G75)</f>
        <v/>
      </c>
      <c r="E1670" s="38" t="str">
        <f>IF(Agent09_Savings!A75="","",Agent09_Savings!D75)</f>
        <v/>
      </c>
      <c r="F1670" s="39" t="str">
        <f>IF(Agent09_Savings!A75="","",Agent09_Savings!E75)</f>
        <v/>
      </c>
      <c r="G1670" s="39" t="str">
        <f>IF(Agent09_Savings!A75="","",Agent09_Savings!F75)</f>
        <v/>
      </c>
      <c r="H1670" s="37" t="str">
        <f>IF(Agent09_Savings!A75="","",Agent09_Savings!I75)</f>
        <v/>
      </c>
      <c r="I1670" s="37" t="str">
        <f>IF(Agent09_Savings!A75="","",Agent09_Savings!J75)</f>
        <v/>
      </c>
      <c r="J1670" s="37" t="str">
        <f>IF(Agent09_Savings!A75="","",Agent09_Savings!K75)</f>
        <v/>
      </c>
      <c r="K1670" s="37" t="str">
        <f>IFERROR(IF(Agent09_Savings!A75="","",YEAR(Agent09_Savings!D75)),"")</f>
        <v/>
      </c>
    </row>
    <row r="1671" spans="1:11" ht="18" customHeight="1" x14ac:dyDescent="0.25">
      <c r="A1671" s="37" t="str">
        <f>IF(Agent09_Savings!A76="","",Agent09_Savings!A76)</f>
        <v/>
      </c>
      <c r="B1671" s="37" t="str">
        <f ca="1">IF(Agent09_Savings!A76="","","SV"&amp;TEXT(1671-3,"0000")&amp;"-"&amp;TEXT(TODAY(),"YYYYMMDD"))</f>
        <v/>
      </c>
      <c r="C1671" s="37" t="str">
        <f>IF(Agent09_Savings!A76="","",Agent09_Savings!B76)</f>
        <v/>
      </c>
      <c r="D1671" s="37" t="str">
        <f>IF(Agent09_Savings!A76="","",Agent09_Savings!G76)</f>
        <v/>
      </c>
      <c r="E1671" s="38" t="str">
        <f>IF(Agent09_Savings!A76="","",Agent09_Savings!D76)</f>
        <v/>
      </c>
      <c r="F1671" s="39" t="str">
        <f>IF(Agent09_Savings!A76="","",Agent09_Savings!E76)</f>
        <v/>
      </c>
      <c r="G1671" s="39" t="str">
        <f>IF(Agent09_Savings!A76="","",Agent09_Savings!F76)</f>
        <v/>
      </c>
      <c r="H1671" s="37" t="str">
        <f>IF(Agent09_Savings!A76="","",Agent09_Savings!I76)</f>
        <v/>
      </c>
      <c r="I1671" s="37" t="str">
        <f>IF(Agent09_Savings!A76="","",Agent09_Savings!J76)</f>
        <v/>
      </c>
      <c r="J1671" s="37" t="str">
        <f>IF(Agent09_Savings!A76="","",Agent09_Savings!K76)</f>
        <v/>
      </c>
      <c r="K1671" s="37" t="str">
        <f>IFERROR(IF(Agent09_Savings!A76="","",YEAR(Agent09_Savings!D76)),"")</f>
        <v/>
      </c>
    </row>
    <row r="1672" spans="1:11" ht="18" customHeight="1" x14ac:dyDescent="0.25">
      <c r="A1672" s="37" t="str">
        <f>IF(Agent09_Savings!A77="","",Agent09_Savings!A77)</f>
        <v/>
      </c>
      <c r="B1672" s="37" t="str">
        <f ca="1">IF(Agent09_Savings!A77="","","SV"&amp;TEXT(1672-3,"0000")&amp;"-"&amp;TEXT(TODAY(),"YYYYMMDD"))</f>
        <v/>
      </c>
      <c r="C1672" s="37" t="str">
        <f>IF(Agent09_Savings!A77="","",Agent09_Savings!B77)</f>
        <v/>
      </c>
      <c r="D1672" s="37" t="str">
        <f>IF(Agent09_Savings!A77="","",Agent09_Savings!G77)</f>
        <v/>
      </c>
      <c r="E1672" s="38" t="str">
        <f>IF(Agent09_Savings!A77="","",Agent09_Savings!D77)</f>
        <v/>
      </c>
      <c r="F1672" s="39" t="str">
        <f>IF(Agent09_Savings!A77="","",Agent09_Savings!E77)</f>
        <v/>
      </c>
      <c r="G1672" s="39" t="str">
        <f>IF(Agent09_Savings!A77="","",Agent09_Savings!F77)</f>
        <v/>
      </c>
      <c r="H1672" s="37" t="str">
        <f>IF(Agent09_Savings!A77="","",Agent09_Savings!I77)</f>
        <v/>
      </c>
      <c r="I1672" s="37" t="str">
        <f>IF(Agent09_Savings!A77="","",Agent09_Savings!J77)</f>
        <v/>
      </c>
      <c r="J1672" s="37" t="str">
        <f>IF(Agent09_Savings!A77="","",Agent09_Savings!K77)</f>
        <v/>
      </c>
      <c r="K1672" s="37" t="str">
        <f>IFERROR(IF(Agent09_Savings!A77="","",YEAR(Agent09_Savings!D77)),"")</f>
        <v/>
      </c>
    </row>
    <row r="1673" spans="1:11" ht="18" customHeight="1" x14ac:dyDescent="0.25">
      <c r="A1673" s="37" t="str">
        <f>IF(Agent09_Savings!A78="","",Agent09_Savings!A78)</f>
        <v/>
      </c>
      <c r="B1673" s="37" t="str">
        <f ca="1">IF(Agent09_Savings!A78="","","SV"&amp;TEXT(1673-3,"0000")&amp;"-"&amp;TEXT(TODAY(),"YYYYMMDD"))</f>
        <v/>
      </c>
      <c r="C1673" s="37" t="str">
        <f>IF(Agent09_Savings!A78="","",Agent09_Savings!B78)</f>
        <v/>
      </c>
      <c r="D1673" s="37" t="str">
        <f>IF(Agent09_Savings!A78="","",Agent09_Savings!G78)</f>
        <v/>
      </c>
      <c r="E1673" s="38" t="str">
        <f>IF(Agent09_Savings!A78="","",Agent09_Savings!D78)</f>
        <v/>
      </c>
      <c r="F1673" s="39" t="str">
        <f>IF(Agent09_Savings!A78="","",Agent09_Savings!E78)</f>
        <v/>
      </c>
      <c r="G1673" s="39" t="str">
        <f>IF(Agent09_Savings!A78="","",Agent09_Savings!F78)</f>
        <v/>
      </c>
      <c r="H1673" s="37" t="str">
        <f>IF(Agent09_Savings!A78="","",Agent09_Savings!I78)</f>
        <v/>
      </c>
      <c r="I1673" s="37" t="str">
        <f>IF(Agent09_Savings!A78="","",Agent09_Savings!J78)</f>
        <v/>
      </c>
      <c r="J1673" s="37" t="str">
        <f>IF(Agent09_Savings!A78="","",Agent09_Savings!K78)</f>
        <v/>
      </c>
      <c r="K1673" s="37" t="str">
        <f>IFERROR(IF(Agent09_Savings!A78="","",YEAR(Agent09_Savings!D78)),"")</f>
        <v/>
      </c>
    </row>
    <row r="1674" spans="1:11" ht="18" customHeight="1" x14ac:dyDescent="0.25">
      <c r="A1674" s="37" t="str">
        <f>IF(Agent09_Savings!A79="","",Agent09_Savings!A79)</f>
        <v/>
      </c>
      <c r="B1674" s="37" t="str">
        <f ca="1">IF(Agent09_Savings!A79="","","SV"&amp;TEXT(1674-3,"0000")&amp;"-"&amp;TEXT(TODAY(),"YYYYMMDD"))</f>
        <v/>
      </c>
      <c r="C1674" s="37" t="str">
        <f>IF(Agent09_Savings!A79="","",Agent09_Savings!B79)</f>
        <v/>
      </c>
      <c r="D1674" s="37" t="str">
        <f>IF(Agent09_Savings!A79="","",Agent09_Savings!G79)</f>
        <v/>
      </c>
      <c r="E1674" s="38" t="str">
        <f>IF(Agent09_Savings!A79="","",Agent09_Savings!D79)</f>
        <v/>
      </c>
      <c r="F1674" s="39" t="str">
        <f>IF(Agent09_Savings!A79="","",Agent09_Savings!E79)</f>
        <v/>
      </c>
      <c r="G1674" s="39" t="str">
        <f>IF(Agent09_Savings!A79="","",Agent09_Savings!F79)</f>
        <v/>
      </c>
      <c r="H1674" s="37" t="str">
        <f>IF(Agent09_Savings!A79="","",Agent09_Savings!I79)</f>
        <v/>
      </c>
      <c r="I1674" s="37" t="str">
        <f>IF(Agent09_Savings!A79="","",Agent09_Savings!J79)</f>
        <v/>
      </c>
      <c r="J1674" s="37" t="str">
        <f>IF(Agent09_Savings!A79="","",Agent09_Savings!K79)</f>
        <v/>
      </c>
      <c r="K1674" s="37" t="str">
        <f>IFERROR(IF(Agent09_Savings!A79="","",YEAR(Agent09_Savings!D79)),"")</f>
        <v/>
      </c>
    </row>
    <row r="1675" spans="1:11" ht="18" customHeight="1" x14ac:dyDescent="0.25">
      <c r="A1675" s="37" t="str">
        <f>IF(Agent09_Savings!A80="","",Agent09_Savings!A80)</f>
        <v/>
      </c>
      <c r="B1675" s="37" t="str">
        <f ca="1">IF(Agent09_Savings!A80="","","SV"&amp;TEXT(1675-3,"0000")&amp;"-"&amp;TEXT(TODAY(),"YYYYMMDD"))</f>
        <v/>
      </c>
      <c r="C1675" s="37" t="str">
        <f>IF(Agent09_Savings!A80="","",Agent09_Savings!B80)</f>
        <v/>
      </c>
      <c r="D1675" s="37" t="str">
        <f>IF(Agent09_Savings!A80="","",Agent09_Savings!G80)</f>
        <v/>
      </c>
      <c r="E1675" s="38" t="str">
        <f>IF(Agent09_Savings!A80="","",Agent09_Savings!D80)</f>
        <v/>
      </c>
      <c r="F1675" s="39" t="str">
        <f>IF(Agent09_Savings!A80="","",Agent09_Savings!E80)</f>
        <v/>
      </c>
      <c r="G1675" s="39" t="str">
        <f>IF(Agent09_Savings!A80="","",Agent09_Savings!F80)</f>
        <v/>
      </c>
      <c r="H1675" s="37" t="str">
        <f>IF(Agent09_Savings!A80="","",Agent09_Savings!I80)</f>
        <v/>
      </c>
      <c r="I1675" s="37" t="str">
        <f>IF(Agent09_Savings!A80="","",Agent09_Savings!J80)</f>
        <v/>
      </c>
      <c r="J1675" s="37" t="str">
        <f>IF(Agent09_Savings!A80="","",Agent09_Savings!K80)</f>
        <v/>
      </c>
      <c r="K1675" s="37" t="str">
        <f>IFERROR(IF(Agent09_Savings!A80="","",YEAR(Agent09_Savings!D80)),"")</f>
        <v/>
      </c>
    </row>
    <row r="1676" spans="1:11" ht="18" customHeight="1" x14ac:dyDescent="0.25">
      <c r="A1676" s="37" t="str">
        <f>IF(Agent09_Savings!A81="","",Agent09_Savings!A81)</f>
        <v/>
      </c>
      <c r="B1676" s="37" t="str">
        <f ca="1">IF(Agent09_Savings!A81="","","SV"&amp;TEXT(1676-3,"0000")&amp;"-"&amp;TEXT(TODAY(),"YYYYMMDD"))</f>
        <v/>
      </c>
      <c r="C1676" s="37" t="str">
        <f>IF(Agent09_Savings!A81="","",Agent09_Savings!B81)</f>
        <v/>
      </c>
      <c r="D1676" s="37" t="str">
        <f>IF(Agent09_Savings!A81="","",Agent09_Savings!G81)</f>
        <v/>
      </c>
      <c r="E1676" s="38" t="str">
        <f>IF(Agent09_Savings!A81="","",Agent09_Savings!D81)</f>
        <v/>
      </c>
      <c r="F1676" s="39" t="str">
        <f>IF(Agent09_Savings!A81="","",Agent09_Savings!E81)</f>
        <v/>
      </c>
      <c r="G1676" s="39" t="str">
        <f>IF(Agent09_Savings!A81="","",Agent09_Savings!F81)</f>
        <v/>
      </c>
      <c r="H1676" s="37" t="str">
        <f>IF(Agent09_Savings!A81="","",Agent09_Savings!I81)</f>
        <v/>
      </c>
      <c r="I1676" s="37" t="str">
        <f>IF(Agent09_Savings!A81="","",Agent09_Savings!J81)</f>
        <v/>
      </c>
      <c r="J1676" s="37" t="str">
        <f>IF(Agent09_Savings!A81="","",Agent09_Savings!K81)</f>
        <v/>
      </c>
      <c r="K1676" s="37" t="str">
        <f>IFERROR(IF(Agent09_Savings!A81="","",YEAR(Agent09_Savings!D81)),"")</f>
        <v/>
      </c>
    </row>
    <row r="1677" spans="1:11" ht="18" customHeight="1" x14ac:dyDescent="0.25">
      <c r="A1677" s="37" t="str">
        <f>IF(Agent09_Savings!A82="","",Agent09_Savings!A82)</f>
        <v/>
      </c>
      <c r="B1677" s="37" t="str">
        <f ca="1">IF(Agent09_Savings!A82="","","SV"&amp;TEXT(1677-3,"0000")&amp;"-"&amp;TEXT(TODAY(),"YYYYMMDD"))</f>
        <v/>
      </c>
      <c r="C1677" s="37" t="str">
        <f>IF(Agent09_Savings!A82="","",Agent09_Savings!B82)</f>
        <v/>
      </c>
      <c r="D1677" s="37" t="str">
        <f>IF(Agent09_Savings!A82="","",Agent09_Savings!G82)</f>
        <v/>
      </c>
      <c r="E1677" s="38" t="str">
        <f>IF(Agent09_Savings!A82="","",Agent09_Savings!D82)</f>
        <v/>
      </c>
      <c r="F1677" s="39" t="str">
        <f>IF(Agent09_Savings!A82="","",Agent09_Savings!E82)</f>
        <v/>
      </c>
      <c r="G1677" s="39" t="str">
        <f>IF(Agent09_Savings!A82="","",Agent09_Savings!F82)</f>
        <v/>
      </c>
      <c r="H1677" s="37" t="str">
        <f>IF(Agent09_Savings!A82="","",Agent09_Savings!I82)</f>
        <v/>
      </c>
      <c r="I1677" s="37" t="str">
        <f>IF(Agent09_Savings!A82="","",Agent09_Savings!J82)</f>
        <v/>
      </c>
      <c r="J1677" s="37" t="str">
        <f>IF(Agent09_Savings!A82="","",Agent09_Savings!K82)</f>
        <v/>
      </c>
      <c r="K1677" s="37" t="str">
        <f>IFERROR(IF(Agent09_Savings!A82="","",YEAR(Agent09_Savings!D82)),"")</f>
        <v/>
      </c>
    </row>
    <row r="1678" spans="1:11" ht="18" customHeight="1" x14ac:dyDescent="0.25">
      <c r="A1678" s="37" t="str">
        <f>IF(Agent09_Savings!A83="","",Agent09_Savings!A83)</f>
        <v/>
      </c>
      <c r="B1678" s="37" t="str">
        <f ca="1">IF(Agent09_Savings!A83="","","SV"&amp;TEXT(1678-3,"0000")&amp;"-"&amp;TEXT(TODAY(),"YYYYMMDD"))</f>
        <v/>
      </c>
      <c r="C1678" s="37" t="str">
        <f>IF(Agent09_Savings!A83="","",Agent09_Savings!B83)</f>
        <v/>
      </c>
      <c r="D1678" s="37" t="str">
        <f>IF(Agent09_Savings!A83="","",Agent09_Savings!G83)</f>
        <v/>
      </c>
      <c r="E1678" s="38" t="str">
        <f>IF(Agent09_Savings!A83="","",Agent09_Savings!D83)</f>
        <v/>
      </c>
      <c r="F1678" s="39" t="str">
        <f>IF(Agent09_Savings!A83="","",Agent09_Savings!E83)</f>
        <v/>
      </c>
      <c r="G1678" s="39" t="str">
        <f>IF(Agent09_Savings!A83="","",Agent09_Savings!F83)</f>
        <v/>
      </c>
      <c r="H1678" s="37" t="str">
        <f>IF(Agent09_Savings!A83="","",Agent09_Savings!I83)</f>
        <v/>
      </c>
      <c r="I1678" s="37" t="str">
        <f>IF(Agent09_Savings!A83="","",Agent09_Savings!J83)</f>
        <v/>
      </c>
      <c r="J1678" s="37" t="str">
        <f>IF(Agent09_Savings!A83="","",Agent09_Savings!K83)</f>
        <v/>
      </c>
      <c r="K1678" s="37" t="str">
        <f>IFERROR(IF(Agent09_Savings!A83="","",YEAR(Agent09_Savings!D83)),"")</f>
        <v/>
      </c>
    </row>
    <row r="1679" spans="1:11" ht="18" customHeight="1" x14ac:dyDescent="0.25">
      <c r="A1679" s="37" t="str">
        <f>IF(Agent09_Savings!A84="","",Agent09_Savings!A84)</f>
        <v/>
      </c>
      <c r="B1679" s="37" t="str">
        <f ca="1">IF(Agent09_Savings!A84="","","SV"&amp;TEXT(1679-3,"0000")&amp;"-"&amp;TEXT(TODAY(),"YYYYMMDD"))</f>
        <v/>
      </c>
      <c r="C1679" s="37" t="str">
        <f>IF(Agent09_Savings!A84="","",Agent09_Savings!B84)</f>
        <v/>
      </c>
      <c r="D1679" s="37" t="str">
        <f>IF(Agent09_Savings!A84="","",Agent09_Savings!G84)</f>
        <v/>
      </c>
      <c r="E1679" s="38" t="str">
        <f>IF(Agent09_Savings!A84="","",Agent09_Savings!D84)</f>
        <v/>
      </c>
      <c r="F1679" s="39" t="str">
        <f>IF(Agent09_Savings!A84="","",Agent09_Savings!E84)</f>
        <v/>
      </c>
      <c r="G1679" s="39" t="str">
        <f>IF(Agent09_Savings!A84="","",Agent09_Savings!F84)</f>
        <v/>
      </c>
      <c r="H1679" s="37" t="str">
        <f>IF(Agent09_Savings!A84="","",Agent09_Savings!I84)</f>
        <v/>
      </c>
      <c r="I1679" s="37" t="str">
        <f>IF(Agent09_Savings!A84="","",Agent09_Savings!J84)</f>
        <v/>
      </c>
      <c r="J1679" s="37" t="str">
        <f>IF(Agent09_Savings!A84="","",Agent09_Savings!K84)</f>
        <v/>
      </c>
      <c r="K1679" s="37" t="str">
        <f>IFERROR(IF(Agent09_Savings!A84="","",YEAR(Agent09_Savings!D84)),"")</f>
        <v/>
      </c>
    </row>
    <row r="1680" spans="1:11" ht="18" customHeight="1" x14ac:dyDescent="0.25">
      <c r="A1680" s="37" t="str">
        <f>IF(Agent09_Savings!A85="","",Agent09_Savings!A85)</f>
        <v/>
      </c>
      <c r="B1680" s="37" t="str">
        <f ca="1">IF(Agent09_Savings!A85="","","SV"&amp;TEXT(1680-3,"0000")&amp;"-"&amp;TEXT(TODAY(),"YYYYMMDD"))</f>
        <v/>
      </c>
      <c r="C1680" s="37" t="str">
        <f>IF(Agent09_Savings!A85="","",Agent09_Savings!B85)</f>
        <v/>
      </c>
      <c r="D1680" s="37" t="str">
        <f>IF(Agent09_Savings!A85="","",Agent09_Savings!G85)</f>
        <v/>
      </c>
      <c r="E1680" s="38" t="str">
        <f>IF(Agent09_Savings!A85="","",Agent09_Savings!D85)</f>
        <v/>
      </c>
      <c r="F1680" s="39" t="str">
        <f>IF(Agent09_Savings!A85="","",Agent09_Savings!E85)</f>
        <v/>
      </c>
      <c r="G1680" s="39" t="str">
        <f>IF(Agent09_Savings!A85="","",Agent09_Savings!F85)</f>
        <v/>
      </c>
      <c r="H1680" s="37" t="str">
        <f>IF(Agent09_Savings!A85="","",Agent09_Savings!I85)</f>
        <v/>
      </c>
      <c r="I1680" s="37" t="str">
        <f>IF(Agent09_Savings!A85="","",Agent09_Savings!J85)</f>
        <v/>
      </c>
      <c r="J1680" s="37" t="str">
        <f>IF(Agent09_Savings!A85="","",Agent09_Savings!K85)</f>
        <v/>
      </c>
      <c r="K1680" s="37" t="str">
        <f>IFERROR(IF(Agent09_Savings!A85="","",YEAR(Agent09_Savings!D85)),"")</f>
        <v/>
      </c>
    </row>
    <row r="1681" spans="1:11" ht="18" customHeight="1" x14ac:dyDescent="0.25">
      <c r="A1681" s="37" t="str">
        <f>IF(Agent09_Savings!A86="","",Agent09_Savings!A86)</f>
        <v/>
      </c>
      <c r="B1681" s="37" t="str">
        <f ca="1">IF(Agent09_Savings!A86="","","SV"&amp;TEXT(1681-3,"0000")&amp;"-"&amp;TEXT(TODAY(),"YYYYMMDD"))</f>
        <v/>
      </c>
      <c r="C1681" s="37" t="str">
        <f>IF(Agent09_Savings!A86="","",Agent09_Savings!B86)</f>
        <v/>
      </c>
      <c r="D1681" s="37" t="str">
        <f>IF(Agent09_Savings!A86="","",Agent09_Savings!G86)</f>
        <v/>
      </c>
      <c r="E1681" s="38" t="str">
        <f>IF(Agent09_Savings!A86="","",Agent09_Savings!D86)</f>
        <v/>
      </c>
      <c r="F1681" s="39" t="str">
        <f>IF(Agent09_Savings!A86="","",Agent09_Savings!E86)</f>
        <v/>
      </c>
      <c r="G1681" s="39" t="str">
        <f>IF(Agent09_Savings!A86="","",Agent09_Savings!F86)</f>
        <v/>
      </c>
      <c r="H1681" s="37" t="str">
        <f>IF(Agent09_Savings!A86="","",Agent09_Savings!I86)</f>
        <v/>
      </c>
      <c r="I1681" s="37" t="str">
        <f>IF(Agent09_Savings!A86="","",Agent09_Savings!J86)</f>
        <v/>
      </c>
      <c r="J1681" s="37" t="str">
        <f>IF(Agent09_Savings!A86="","",Agent09_Savings!K86)</f>
        <v/>
      </c>
      <c r="K1681" s="37" t="str">
        <f>IFERROR(IF(Agent09_Savings!A86="","",YEAR(Agent09_Savings!D86)),"")</f>
        <v/>
      </c>
    </row>
    <row r="1682" spans="1:11" ht="18" customHeight="1" x14ac:dyDescent="0.25">
      <c r="A1682" s="37" t="str">
        <f>IF(Agent09_Savings!A87="","",Agent09_Savings!A87)</f>
        <v/>
      </c>
      <c r="B1682" s="37" t="str">
        <f ca="1">IF(Agent09_Savings!A87="","","SV"&amp;TEXT(1682-3,"0000")&amp;"-"&amp;TEXT(TODAY(),"YYYYMMDD"))</f>
        <v/>
      </c>
      <c r="C1682" s="37" t="str">
        <f>IF(Agent09_Savings!A87="","",Agent09_Savings!B87)</f>
        <v/>
      </c>
      <c r="D1682" s="37" t="str">
        <f>IF(Agent09_Savings!A87="","",Agent09_Savings!G87)</f>
        <v/>
      </c>
      <c r="E1682" s="38" t="str">
        <f>IF(Agent09_Savings!A87="","",Agent09_Savings!D87)</f>
        <v/>
      </c>
      <c r="F1682" s="39" t="str">
        <f>IF(Agent09_Savings!A87="","",Agent09_Savings!E87)</f>
        <v/>
      </c>
      <c r="G1682" s="39" t="str">
        <f>IF(Agent09_Savings!A87="","",Agent09_Savings!F87)</f>
        <v/>
      </c>
      <c r="H1682" s="37" t="str">
        <f>IF(Agent09_Savings!A87="","",Agent09_Savings!I87)</f>
        <v/>
      </c>
      <c r="I1682" s="37" t="str">
        <f>IF(Agent09_Savings!A87="","",Agent09_Savings!J87)</f>
        <v/>
      </c>
      <c r="J1682" s="37" t="str">
        <f>IF(Agent09_Savings!A87="","",Agent09_Savings!K87)</f>
        <v/>
      </c>
      <c r="K1682" s="37" t="str">
        <f>IFERROR(IF(Agent09_Savings!A87="","",YEAR(Agent09_Savings!D87)),"")</f>
        <v/>
      </c>
    </row>
    <row r="1683" spans="1:11" ht="18" customHeight="1" x14ac:dyDescent="0.25">
      <c r="A1683" s="37" t="str">
        <f>IF(Agent09_Savings!A88="","",Agent09_Savings!A88)</f>
        <v/>
      </c>
      <c r="B1683" s="37" t="str">
        <f ca="1">IF(Agent09_Savings!A88="","","SV"&amp;TEXT(1683-3,"0000")&amp;"-"&amp;TEXT(TODAY(),"YYYYMMDD"))</f>
        <v/>
      </c>
      <c r="C1683" s="37" t="str">
        <f>IF(Agent09_Savings!A88="","",Agent09_Savings!B88)</f>
        <v/>
      </c>
      <c r="D1683" s="37" t="str">
        <f>IF(Agent09_Savings!A88="","",Agent09_Savings!G88)</f>
        <v/>
      </c>
      <c r="E1683" s="38" t="str">
        <f>IF(Agent09_Savings!A88="","",Agent09_Savings!D88)</f>
        <v/>
      </c>
      <c r="F1683" s="39" t="str">
        <f>IF(Agent09_Savings!A88="","",Agent09_Savings!E88)</f>
        <v/>
      </c>
      <c r="G1683" s="39" t="str">
        <f>IF(Agent09_Savings!A88="","",Agent09_Savings!F88)</f>
        <v/>
      </c>
      <c r="H1683" s="37" t="str">
        <f>IF(Agent09_Savings!A88="","",Agent09_Savings!I88)</f>
        <v/>
      </c>
      <c r="I1683" s="37" t="str">
        <f>IF(Agent09_Savings!A88="","",Agent09_Savings!J88)</f>
        <v/>
      </c>
      <c r="J1683" s="37" t="str">
        <f>IF(Agent09_Savings!A88="","",Agent09_Savings!K88)</f>
        <v/>
      </c>
      <c r="K1683" s="37" t="str">
        <f>IFERROR(IF(Agent09_Savings!A88="","",YEAR(Agent09_Savings!D88)),"")</f>
        <v/>
      </c>
    </row>
    <row r="1684" spans="1:11" ht="18" customHeight="1" x14ac:dyDescent="0.25">
      <c r="A1684" s="37" t="str">
        <f>IF(Agent09_Savings!A89="","",Agent09_Savings!A89)</f>
        <v/>
      </c>
      <c r="B1684" s="37" t="str">
        <f ca="1">IF(Agent09_Savings!A89="","","SV"&amp;TEXT(1684-3,"0000")&amp;"-"&amp;TEXT(TODAY(),"YYYYMMDD"))</f>
        <v/>
      </c>
      <c r="C1684" s="37" t="str">
        <f>IF(Agent09_Savings!A89="","",Agent09_Savings!B89)</f>
        <v/>
      </c>
      <c r="D1684" s="37" t="str">
        <f>IF(Agent09_Savings!A89="","",Agent09_Savings!G89)</f>
        <v/>
      </c>
      <c r="E1684" s="38" t="str">
        <f>IF(Agent09_Savings!A89="","",Agent09_Savings!D89)</f>
        <v/>
      </c>
      <c r="F1684" s="39" t="str">
        <f>IF(Agent09_Savings!A89="","",Agent09_Savings!E89)</f>
        <v/>
      </c>
      <c r="G1684" s="39" t="str">
        <f>IF(Agent09_Savings!A89="","",Agent09_Savings!F89)</f>
        <v/>
      </c>
      <c r="H1684" s="37" t="str">
        <f>IF(Agent09_Savings!A89="","",Agent09_Savings!I89)</f>
        <v/>
      </c>
      <c r="I1684" s="37" t="str">
        <f>IF(Agent09_Savings!A89="","",Agent09_Savings!J89)</f>
        <v/>
      </c>
      <c r="J1684" s="37" t="str">
        <f>IF(Agent09_Savings!A89="","",Agent09_Savings!K89)</f>
        <v/>
      </c>
      <c r="K1684" s="37" t="str">
        <f>IFERROR(IF(Agent09_Savings!A89="","",YEAR(Agent09_Savings!D89)),"")</f>
        <v/>
      </c>
    </row>
    <row r="1685" spans="1:11" ht="18" customHeight="1" x14ac:dyDescent="0.25">
      <c r="A1685" s="37" t="str">
        <f>IF(Agent09_Savings!A90="","",Agent09_Savings!A90)</f>
        <v/>
      </c>
      <c r="B1685" s="37" t="str">
        <f ca="1">IF(Agent09_Savings!A90="","","SV"&amp;TEXT(1685-3,"0000")&amp;"-"&amp;TEXT(TODAY(),"YYYYMMDD"))</f>
        <v/>
      </c>
      <c r="C1685" s="37" t="str">
        <f>IF(Agent09_Savings!A90="","",Agent09_Savings!B90)</f>
        <v/>
      </c>
      <c r="D1685" s="37" t="str">
        <f>IF(Agent09_Savings!A90="","",Agent09_Savings!G90)</f>
        <v/>
      </c>
      <c r="E1685" s="38" t="str">
        <f>IF(Agent09_Savings!A90="","",Agent09_Savings!D90)</f>
        <v/>
      </c>
      <c r="F1685" s="39" t="str">
        <f>IF(Agent09_Savings!A90="","",Agent09_Savings!E90)</f>
        <v/>
      </c>
      <c r="G1685" s="39" t="str">
        <f>IF(Agent09_Savings!A90="","",Agent09_Savings!F90)</f>
        <v/>
      </c>
      <c r="H1685" s="37" t="str">
        <f>IF(Agent09_Savings!A90="","",Agent09_Savings!I90)</f>
        <v/>
      </c>
      <c r="I1685" s="37" t="str">
        <f>IF(Agent09_Savings!A90="","",Agent09_Savings!J90)</f>
        <v/>
      </c>
      <c r="J1685" s="37" t="str">
        <f>IF(Agent09_Savings!A90="","",Agent09_Savings!K90)</f>
        <v/>
      </c>
      <c r="K1685" s="37" t="str">
        <f>IFERROR(IF(Agent09_Savings!A90="","",YEAR(Agent09_Savings!D90)),"")</f>
        <v/>
      </c>
    </row>
    <row r="1686" spans="1:11" ht="18" customHeight="1" x14ac:dyDescent="0.25">
      <c r="A1686" s="37" t="str">
        <f>IF(Agent09_Savings!A91="","",Agent09_Savings!A91)</f>
        <v/>
      </c>
      <c r="B1686" s="37" t="str">
        <f ca="1">IF(Agent09_Savings!A91="","","SV"&amp;TEXT(1686-3,"0000")&amp;"-"&amp;TEXT(TODAY(),"YYYYMMDD"))</f>
        <v/>
      </c>
      <c r="C1686" s="37" t="str">
        <f>IF(Agent09_Savings!A91="","",Agent09_Savings!B91)</f>
        <v/>
      </c>
      <c r="D1686" s="37" t="str">
        <f>IF(Agent09_Savings!A91="","",Agent09_Savings!G91)</f>
        <v/>
      </c>
      <c r="E1686" s="38" t="str">
        <f>IF(Agent09_Savings!A91="","",Agent09_Savings!D91)</f>
        <v/>
      </c>
      <c r="F1686" s="39" t="str">
        <f>IF(Agent09_Savings!A91="","",Agent09_Savings!E91)</f>
        <v/>
      </c>
      <c r="G1686" s="39" t="str">
        <f>IF(Agent09_Savings!A91="","",Agent09_Savings!F91)</f>
        <v/>
      </c>
      <c r="H1686" s="37" t="str">
        <f>IF(Agent09_Savings!A91="","",Agent09_Savings!I91)</f>
        <v/>
      </c>
      <c r="I1686" s="37" t="str">
        <f>IF(Agent09_Savings!A91="","",Agent09_Savings!J91)</f>
        <v/>
      </c>
      <c r="J1686" s="37" t="str">
        <f>IF(Agent09_Savings!A91="","",Agent09_Savings!K91)</f>
        <v/>
      </c>
      <c r="K1686" s="37" t="str">
        <f>IFERROR(IF(Agent09_Savings!A91="","",YEAR(Agent09_Savings!D91)),"")</f>
        <v/>
      </c>
    </row>
    <row r="1687" spans="1:11" ht="18" customHeight="1" x14ac:dyDescent="0.25">
      <c r="A1687" s="37" t="str">
        <f>IF(Agent09_Savings!A92="","",Agent09_Savings!A92)</f>
        <v/>
      </c>
      <c r="B1687" s="37" t="str">
        <f ca="1">IF(Agent09_Savings!A92="","","SV"&amp;TEXT(1687-3,"0000")&amp;"-"&amp;TEXT(TODAY(),"YYYYMMDD"))</f>
        <v/>
      </c>
      <c r="C1687" s="37" t="str">
        <f>IF(Agent09_Savings!A92="","",Agent09_Savings!B92)</f>
        <v/>
      </c>
      <c r="D1687" s="37" t="str">
        <f>IF(Agent09_Savings!A92="","",Agent09_Savings!G92)</f>
        <v/>
      </c>
      <c r="E1687" s="38" t="str">
        <f>IF(Agent09_Savings!A92="","",Agent09_Savings!D92)</f>
        <v/>
      </c>
      <c r="F1687" s="39" t="str">
        <f>IF(Agent09_Savings!A92="","",Agent09_Savings!E92)</f>
        <v/>
      </c>
      <c r="G1687" s="39" t="str">
        <f>IF(Agent09_Savings!A92="","",Agent09_Savings!F92)</f>
        <v/>
      </c>
      <c r="H1687" s="37" t="str">
        <f>IF(Agent09_Savings!A92="","",Agent09_Savings!I92)</f>
        <v/>
      </c>
      <c r="I1687" s="37" t="str">
        <f>IF(Agent09_Savings!A92="","",Agent09_Savings!J92)</f>
        <v/>
      </c>
      <c r="J1687" s="37" t="str">
        <f>IF(Agent09_Savings!A92="","",Agent09_Savings!K92)</f>
        <v/>
      </c>
      <c r="K1687" s="37" t="str">
        <f>IFERROR(IF(Agent09_Savings!A92="","",YEAR(Agent09_Savings!D92)),"")</f>
        <v/>
      </c>
    </row>
    <row r="1688" spans="1:11" ht="18" customHeight="1" x14ac:dyDescent="0.25">
      <c r="A1688" s="37" t="str">
        <f>IF(Agent09_Savings!A93="","",Agent09_Savings!A93)</f>
        <v/>
      </c>
      <c r="B1688" s="37" t="str">
        <f ca="1">IF(Agent09_Savings!A93="","","SV"&amp;TEXT(1688-3,"0000")&amp;"-"&amp;TEXT(TODAY(),"YYYYMMDD"))</f>
        <v/>
      </c>
      <c r="C1688" s="37" t="str">
        <f>IF(Agent09_Savings!A93="","",Agent09_Savings!B93)</f>
        <v/>
      </c>
      <c r="D1688" s="37" t="str">
        <f>IF(Agent09_Savings!A93="","",Agent09_Savings!G93)</f>
        <v/>
      </c>
      <c r="E1688" s="38" t="str">
        <f>IF(Agent09_Savings!A93="","",Agent09_Savings!D93)</f>
        <v/>
      </c>
      <c r="F1688" s="39" t="str">
        <f>IF(Agent09_Savings!A93="","",Agent09_Savings!E93)</f>
        <v/>
      </c>
      <c r="G1688" s="39" t="str">
        <f>IF(Agent09_Savings!A93="","",Agent09_Savings!F93)</f>
        <v/>
      </c>
      <c r="H1688" s="37" t="str">
        <f>IF(Agent09_Savings!A93="","",Agent09_Savings!I93)</f>
        <v/>
      </c>
      <c r="I1688" s="37" t="str">
        <f>IF(Agent09_Savings!A93="","",Agent09_Savings!J93)</f>
        <v/>
      </c>
      <c r="J1688" s="37" t="str">
        <f>IF(Agent09_Savings!A93="","",Agent09_Savings!K93)</f>
        <v/>
      </c>
      <c r="K1688" s="37" t="str">
        <f>IFERROR(IF(Agent09_Savings!A93="","",YEAR(Agent09_Savings!D93)),"")</f>
        <v/>
      </c>
    </row>
    <row r="1689" spans="1:11" ht="18" customHeight="1" x14ac:dyDescent="0.25">
      <c r="A1689" s="37" t="str">
        <f>IF(Agent09_Savings!A94="","",Agent09_Savings!A94)</f>
        <v/>
      </c>
      <c r="B1689" s="37" t="str">
        <f ca="1">IF(Agent09_Savings!A94="","","SV"&amp;TEXT(1689-3,"0000")&amp;"-"&amp;TEXT(TODAY(),"YYYYMMDD"))</f>
        <v/>
      </c>
      <c r="C1689" s="37" t="str">
        <f>IF(Agent09_Savings!A94="","",Agent09_Savings!B94)</f>
        <v/>
      </c>
      <c r="D1689" s="37" t="str">
        <f>IF(Agent09_Savings!A94="","",Agent09_Savings!G94)</f>
        <v/>
      </c>
      <c r="E1689" s="38" t="str">
        <f>IF(Agent09_Savings!A94="","",Agent09_Savings!D94)</f>
        <v/>
      </c>
      <c r="F1689" s="39" t="str">
        <f>IF(Agent09_Savings!A94="","",Agent09_Savings!E94)</f>
        <v/>
      </c>
      <c r="G1689" s="39" t="str">
        <f>IF(Agent09_Savings!A94="","",Agent09_Savings!F94)</f>
        <v/>
      </c>
      <c r="H1689" s="37" t="str">
        <f>IF(Agent09_Savings!A94="","",Agent09_Savings!I94)</f>
        <v/>
      </c>
      <c r="I1689" s="37" t="str">
        <f>IF(Agent09_Savings!A94="","",Agent09_Savings!J94)</f>
        <v/>
      </c>
      <c r="J1689" s="37" t="str">
        <f>IF(Agent09_Savings!A94="","",Agent09_Savings!K94)</f>
        <v/>
      </c>
      <c r="K1689" s="37" t="str">
        <f>IFERROR(IF(Agent09_Savings!A94="","",YEAR(Agent09_Savings!D94)),"")</f>
        <v/>
      </c>
    </row>
    <row r="1690" spans="1:11" ht="18" customHeight="1" x14ac:dyDescent="0.25">
      <c r="A1690" s="37" t="str">
        <f>IF(Agent09_Savings!A95="","",Agent09_Savings!A95)</f>
        <v/>
      </c>
      <c r="B1690" s="37" t="str">
        <f ca="1">IF(Agent09_Savings!A95="","","SV"&amp;TEXT(1690-3,"0000")&amp;"-"&amp;TEXT(TODAY(),"YYYYMMDD"))</f>
        <v/>
      </c>
      <c r="C1690" s="37" t="str">
        <f>IF(Agent09_Savings!A95="","",Agent09_Savings!B95)</f>
        <v/>
      </c>
      <c r="D1690" s="37" t="str">
        <f>IF(Agent09_Savings!A95="","",Agent09_Savings!G95)</f>
        <v/>
      </c>
      <c r="E1690" s="38" t="str">
        <f>IF(Agent09_Savings!A95="","",Agent09_Savings!D95)</f>
        <v/>
      </c>
      <c r="F1690" s="39" t="str">
        <f>IF(Agent09_Savings!A95="","",Agent09_Savings!E95)</f>
        <v/>
      </c>
      <c r="G1690" s="39" t="str">
        <f>IF(Agent09_Savings!A95="","",Agent09_Savings!F95)</f>
        <v/>
      </c>
      <c r="H1690" s="37" t="str">
        <f>IF(Agent09_Savings!A95="","",Agent09_Savings!I95)</f>
        <v/>
      </c>
      <c r="I1690" s="37" t="str">
        <f>IF(Agent09_Savings!A95="","",Agent09_Savings!J95)</f>
        <v/>
      </c>
      <c r="J1690" s="37" t="str">
        <f>IF(Agent09_Savings!A95="","",Agent09_Savings!K95)</f>
        <v/>
      </c>
      <c r="K1690" s="37" t="str">
        <f>IFERROR(IF(Agent09_Savings!A95="","",YEAR(Agent09_Savings!D95)),"")</f>
        <v/>
      </c>
    </row>
    <row r="1691" spans="1:11" ht="18" customHeight="1" x14ac:dyDescent="0.25">
      <c r="A1691" s="37" t="str">
        <f>IF(Agent09_Savings!A96="","",Agent09_Savings!A96)</f>
        <v/>
      </c>
      <c r="B1691" s="37" t="str">
        <f ca="1">IF(Agent09_Savings!A96="","","SV"&amp;TEXT(1691-3,"0000")&amp;"-"&amp;TEXT(TODAY(),"YYYYMMDD"))</f>
        <v/>
      </c>
      <c r="C1691" s="37" t="str">
        <f>IF(Agent09_Savings!A96="","",Agent09_Savings!B96)</f>
        <v/>
      </c>
      <c r="D1691" s="37" t="str">
        <f>IF(Agent09_Savings!A96="","",Agent09_Savings!G96)</f>
        <v/>
      </c>
      <c r="E1691" s="38" t="str">
        <f>IF(Agent09_Savings!A96="","",Agent09_Savings!D96)</f>
        <v/>
      </c>
      <c r="F1691" s="39" t="str">
        <f>IF(Agent09_Savings!A96="","",Agent09_Savings!E96)</f>
        <v/>
      </c>
      <c r="G1691" s="39" t="str">
        <f>IF(Agent09_Savings!A96="","",Agent09_Savings!F96)</f>
        <v/>
      </c>
      <c r="H1691" s="37" t="str">
        <f>IF(Agent09_Savings!A96="","",Agent09_Savings!I96)</f>
        <v/>
      </c>
      <c r="I1691" s="37" t="str">
        <f>IF(Agent09_Savings!A96="","",Agent09_Savings!J96)</f>
        <v/>
      </c>
      <c r="J1691" s="37" t="str">
        <f>IF(Agent09_Savings!A96="","",Agent09_Savings!K96)</f>
        <v/>
      </c>
      <c r="K1691" s="37" t="str">
        <f>IFERROR(IF(Agent09_Savings!A96="","",YEAR(Agent09_Savings!D96)),"")</f>
        <v/>
      </c>
    </row>
    <row r="1692" spans="1:11" ht="18" customHeight="1" x14ac:dyDescent="0.25">
      <c r="A1692" s="37" t="str">
        <f>IF(Agent09_Savings!A97="","",Agent09_Savings!A97)</f>
        <v/>
      </c>
      <c r="B1692" s="37" t="str">
        <f ca="1">IF(Agent09_Savings!A97="","","SV"&amp;TEXT(1692-3,"0000")&amp;"-"&amp;TEXT(TODAY(),"YYYYMMDD"))</f>
        <v/>
      </c>
      <c r="C1692" s="37" t="str">
        <f>IF(Agent09_Savings!A97="","",Agent09_Savings!B97)</f>
        <v/>
      </c>
      <c r="D1692" s="37" t="str">
        <f>IF(Agent09_Savings!A97="","",Agent09_Savings!G97)</f>
        <v/>
      </c>
      <c r="E1692" s="38" t="str">
        <f>IF(Agent09_Savings!A97="","",Agent09_Savings!D97)</f>
        <v/>
      </c>
      <c r="F1692" s="39" t="str">
        <f>IF(Agent09_Savings!A97="","",Agent09_Savings!E97)</f>
        <v/>
      </c>
      <c r="G1692" s="39" t="str">
        <f>IF(Agent09_Savings!A97="","",Agent09_Savings!F97)</f>
        <v/>
      </c>
      <c r="H1692" s="37" t="str">
        <f>IF(Agent09_Savings!A97="","",Agent09_Savings!I97)</f>
        <v/>
      </c>
      <c r="I1692" s="37" t="str">
        <f>IF(Agent09_Savings!A97="","",Agent09_Savings!J97)</f>
        <v/>
      </c>
      <c r="J1692" s="37" t="str">
        <f>IF(Agent09_Savings!A97="","",Agent09_Savings!K97)</f>
        <v/>
      </c>
      <c r="K1692" s="37" t="str">
        <f>IFERROR(IF(Agent09_Savings!A97="","",YEAR(Agent09_Savings!D97)),"")</f>
        <v/>
      </c>
    </row>
    <row r="1693" spans="1:11" ht="18" customHeight="1" x14ac:dyDescent="0.25">
      <c r="A1693" s="37" t="str">
        <f>IF(Agent09_Savings!A98="","",Agent09_Savings!A98)</f>
        <v/>
      </c>
      <c r="B1693" s="37" t="str">
        <f ca="1">IF(Agent09_Savings!A98="","","SV"&amp;TEXT(1693-3,"0000")&amp;"-"&amp;TEXT(TODAY(),"YYYYMMDD"))</f>
        <v/>
      </c>
      <c r="C1693" s="37" t="str">
        <f>IF(Agent09_Savings!A98="","",Agent09_Savings!B98)</f>
        <v/>
      </c>
      <c r="D1693" s="37" t="str">
        <f>IF(Agent09_Savings!A98="","",Agent09_Savings!G98)</f>
        <v/>
      </c>
      <c r="E1693" s="38" t="str">
        <f>IF(Agent09_Savings!A98="","",Agent09_Savings!D98)</f>
        <v/>
      </c>
      <c r="F1693" s="39" t="str">
        <f>IF(Agent09_Savings!A98="","",Agent09_Savings!E98)</f>
        <v/>
      </c>
      <c r="G1693" s="39" t="str">
        <f>IF(Agent09_Savings!A98="","",Agent09_Savings!F98)</f>
        <v/>
      </c>
      <c r="H1693" s="37" t="str">
        <f>IF(Agent09_Savings!A98="","",Agent09_Savings!I98)</f>
        <v/>
      </c>
      <c r="I1693" s="37" t="str">
        <f>IF(Agent09_Savings!A98="","",Agent09_Savings!J98)</f>
        <v/>
      </c>
      <c r="J1693" s="37" t="str">
        <f>IF(Agent09_Savings!A98="","",Agent09_Savings!K98)</f>
        <v/>
      </c>
      <c r="K1693" s="37" t="str">
        <f>IFERROR(IF(Agent09_Savings!A98="","",YEAR(Agent09_Savings!D98)),"")</f>
        <v/>
      </c>
    </row>
    <row r="1694" spans="1:11" ht="18" customHeight="1" x14ac:dyDescent="0.25">
      <c r="A1694" s="37" t="str">
        <f>IF(Agent09_Savings!A99="","",Agent09_Savings!A99)</f>
        <v/>
      </c>
      <c r="B1694" s="37" t="str">
        <f ca="1">IF(Agent09_Savings!A99="","","SV"&amp;TEXT(1694-3,"0000")&amp;"-"&amp;TEXT(TODAY(),"YYYYMMDD"))</f>
        <v/>
      </c>
      <c r="C1694" s="37" t="str">
        <f>IF(Agent09_Savings!A99="","",Agent09_Savings!B99)</f>
        <v/>
      </c>
      <c r="D1694" s="37" t="str">
        <f>IF(Agent09_Savings!A99="","",Agent09_Savings!G99)</f>
        <v/>
      </c>
      <c r="E1694" s="38" t="str">
        <f>IF(Agent09_Savings!A99="","",Agent09_Savings!D99)</f>
        <v/>
      </c>
      <c r="F1694" s="39" t="str">
        <f>IF(Agent09_Savings!A99="","",Agent09_Savings!E99)</f>
        <v/>
      </c>
      <c r="G1694" s="39" t="str">
        <f>IF(Agent09_Savings!A99="","",Agent09_Savings!F99)</f>
        <v/>
      </c>
      <c r="H1694" s="37" t="str">
        <f>IF(Agent09_Savings!A99="","",Agent09_Savings!I99)</f>
        <v/>
      </c>
      <c r="I1694" s="37" t="str">
        <f>IF(Agent09_Savings!A99="","",Agent09_Savings!J99)</f>
        <v/>
      </c>
      <c r="J1694" s="37" t="str">
        <f>IF(Agent09_Savings!A99="","",Agent09_Savings!K99)</f>
        <v/>
      </c>
      <c r="K1694" s="37" t="str">
        <f>IFERROR(IF(Agent09_Savings!A99="","",YEAR(Agent09_Savings!D99)),"")</f>
        <v/>
      </c>
    </row>
    <row r="1695" spans="1:11" ht="18" customHeight="1" x14ac:dyDescent="0.25">
      <c r="A1695" s="37" t="str">
        <f>IF(Agent09_Savings!A100="","",Agent09_Savings!A100)</f>
        <v/>
      </c>
      <c r="B1695" s="37" t="str">
        <f ca="1">IF(Agent09_Savings!A100="","","SV"&amp;TEXT(1695-3,"0000")&amp;"-"&amp;TEXT(TODAY(),"YYYYMMDD"))</f>
        <v/>
      </c>
      <c r="C1695" s="37" t="str">
        <f>IF(Agent09_Savings!A100="","",Agent09_Savings!B100)</f>
        <v/>
      </c>
      <c r="D1695" s="37" t="str">
        <f>IF(Agent09_Savings!A100="","",Agent09_Savings!G100)</f>
        <v/>
      </c>
      <c r="E1695" s="38" t="str">
        <f>IF(Agent09_Savings!A100="","",Agent09_Savings!D100)</f>
        <v/>
      </c>
      <c r="F1695" s="39" t="str">
        <f>IF(Agent09_Savings!A100="","",Agent09_Savings!E100)</f>
        <v/>
      </c>
      <c r="G1695" s="39" t="str">
        <f>IF(Agent09_Savings!A100="","",Agent09_Savings!F100)</f>
        <v/>
      </c>
      <c r="H1695" s="37" t="str">
        <f>IF(Agent09_Savings!A100="","",Agent09_Savings!I100)</f>
        <v/>
      </c>
      <c r="I1695" s="37" t="str">
        <f>IF(Agent09_Savings!A100="","",Agent09_Savings!J100)</f>
        <v/>
      </c>
      <c r="J1695" s="37" t="str">
        <f>IF(Agent09_Savings!A100="","",Agent09_Savings!K100)</f>
        <v/>
      </c>
      <c r="K1695" s="37" t="str">
        <f>IFERROR(IF(Agent09_Savings!A100="","",YEAR(Agent09_Savings!D100)),"")</f>
        <v/>
      </c>
    </row>
    <row r="1696" spans="1:11" ht="18" customHeight="1" x14ac:dyDescent="0.25">
      <c r="A1696" s="37" t="str">
        <f>IF(Agent09_Savings!A101="","",Agent09_Savings!A101)</f>
        <v/>
      </c>
      <c r="B1696" s="37" t="str">
        <f ca="1">IF(Agent09_Savings!A101="","","SV"&amp;TEXT(1696-3,"0000")&amp;"-"&amp;TEXT(TODAY(),"YYYYMMDD"))</f>
        <v/>
      </c>
      <c r="C1696" s="37" t="str">
        <f>IF(Agent09_Savings!A101="","",Agent09_Savings!B101)</f>
        <v/>
      </c>
      <c r="D1696" s="37" t="str">
        <f>IF(Agent09_Savings!A101="","",Agent09_Savings!G101)</f>
        <v/>
      </c>
      <c r="E1696" s="38" t="str">
        <f>IF(Agent09_Savings!A101="","",Agent09_Savings!D101)</f>
        <v/>
      </c>
      <c r="F1696" s="39" t="str">
        <f>IF(Agent09_Savings!A101="","",Agent09_Savings!E101)</f>
        <v/>
      </c>
      <c r="G1696" s="39" t="str">
        <f>IF(Agent09_Savings!A101="","",Agent09_Savings!F101)</f>
        <v/>
      </c>
      <c r="H1696" s="37" t="str">
        <f>IF(Agent09_Savings!A101="","",Agent09_Savings!I101)</f>
        <v/>
      </c>
      <c r="I1696" s="37" t="str">
        <f>IF(Agent09_Savings!A101="","",Agent09_Savings!J101)</f>
        <v/>
      </c>
      <c r="J1696" s="37" t="str">
        <f>IF(Agent09_Savings!A101="","",Agent09_Savings!K101)</f>
        <v/>
      </c>
      <c r="K1696" s="37" t="str">
        <f>IFERROR(IF(Agent09_Savings!A101="","",YEAR(Agent09_Savings!D101)),"")</f>
        <v/>
      </c>
    </row>
    <row r="1697" spans="1:11" ht="18" customHeight="1" x14ac:dyDescent="0.25">
      <c r="A1697" s="37" t="str">
        <f>IF(Agent09_Savings!A102="","",Agent09_Savings!A102)</f>
        <v/>
      </c>
      <c r="B1697" s="37" t="str">
        <f ca="1">IF(Agent09_Savings!A102="","","SV"&amp;TEXT(1697-3,"0000")&amp;"-"&amp;TEXT(TODAY(),"YYYYMMDD"))</f>
        <v/>
      </c>
      <c r="C1697" s="37" t="str">
        <f>IF(Agent09_Savings!A102="","",Agent09_Savings!B102)</f>
        <v/>
      </c>
      <c r="D1697" s="37" t="str">
        <f>IF(Agent09_Savings!A102="","",Agent09_Savings!G102)</f>
        <v/>
      </c>
      <c r="E1697" s="38" t="str">
        <f>IF(Agent09_Savings!A102="","",Agent09_Savings!D102)</f>
        <v/>
      </c>
      <c r="F1697" s="39" t="str">
        <f>IF(Agent09_Savings!A102="","",Agent09_Savings!E102)</f>
        <v/>
      </c>
      <c r="G1697" s="39" t="str">
        <f>IF(Agent09_Savings!A102="","",Agent09_Savings!F102)</f>
        <v/>
      </c>
      <c r="H1697" s="37" t="str">
        <f>IF(Agent09_Savings!A102="","",Agent09_Savings!I102)</f>
        <v/>
      </c>
      <c r="I1697" s="37" t="str">
        <f>IF(Agent09_Savings!A102="","",Agent09_Savings!J102)</f>
        <v/>
      </c>
      <c r="J1697" s="37" t="str">
        <f>IF(Agent09_Savings!A102="","",Agent09_Savings!K102)</f>
        <v/>
      </c>
      <c r="K1697" s="37" t="str">
        <f>IFERROR(IF(Agent09_Savings!A102="","",YEAR(Agent09_Savings!D102)),"")</f>
        <v/>
      </c>
    </row>
    <row r="1698" spans="1:11" ht="18" customHeight="1" x14ac:dyDescent="0.25">
      <c r="A1698" s="37" t="str">
        <f>IF(Agent09_Savings!A103="","",Agent09_Savings!A103)</f>
        <v/>
      </c>
      <c r="B1698" s="37" t="str">
        <f ca="1">IF(Agent09_Savings!A103="","","SV"&amp;TEXT(1698-3,"0000")&amp;"-"&amp;TEXT(TODAY(),"YYYYMMDD"))</f>
        <v/>
      </c>
      <c r="C1698" s="37" t="str">
        <f>IF(Agent09_Savings!A103="","",Agent09_Savings!B103)</f>
        <v/>
      </c>
      <c r="D1698" s="37" t="str">
        <f>IF(Agent09_Savings!A103="","",Agent09_Savings!G103)</f>
        <v/>
      </c>
      <c r="E1698" s="38" t="str">
        <f>IF(Agent09_Savings!A103="","",Agent09_Savings!D103)</f>
        <v/>
      </c>
      <c r="F1698" s="39" t="str">
        <f>IF(Agent09_Savings!A103="","",Agent09_Savings!E103)</f>
        <v/>
      </c>
      <c r="G1698" s="39" t="str">
        <f>IF(Agent09_Savings!A103="","",Agent09_Savings!F103)</f>
        <v/>
      </c>
      <c r="H1698" s="37" t="str">
        <f>IF(Agent09_Savings!A103="","",Agent09_Savings!I103)</f>
        <v/>
      </c>
      <c r="I1698" s="37" t="str">
        <f>IF(Agent09_Savings!A103="","",Agent09_Savings!J103)</f>
        <v/>
      </c>
      <c r="J1698" s="37" t="str">
        <f>IF(Agent09_Savings!A103="","",Agent09_Savings!K103)</f>
        <v/>
      </c>
      <c r="K1698" s="37" t="str">
        <f>IFERROR(IF(Agent09_Savings!A103="","",YEAR(Agent09_Savings!D103)),"")</f>
        <v/>
      </c>
    </row>
    <row r="1699" spans="1:11" ht="18" customHeight="1" x14ac:dyDescent="0.25">
      <c r="A1699" s="37" t="str">
        <f>IF(Agent09_Savings!A104="","",Agent09_Savings!A104)</f>
        <v/>
      </c>
      <c r="B1699" s="37" t="str">
        <f ca="1">IF(Agent09_Savings!A104="","","SV"&amp;TEXT(1699-3,"0000")&amp;"-"&amp;TEXT(TODAY(),"YYYYMMDD"))</f>
        <v/>
      </c>
      <c r="C1699" s="37" t="str">
        <f>IF(Agent09_Savings!A104="","",Agent09_Savings!B104)</f>
        <v/>
      </c>
      <c r="D1699" s="37" t="str">
        <f>IF(Agent09_Savings!A104="","",Agent09_Savings!G104)</f>
        <v/>
      </c>
      <c r="E1699" s="38" t="str">
        <f>IF(Agent09_Savings!A104="","",Agent09_Savings!D104)</f>
        <v/>
      </c>
      <c r="F1699" s="39" t="str">
        <f>IF(Agent09_Savings!A104="","",Agent09_Savings!E104)</f>
        <v/>
      </c>
      <c r="G1699" s="39" t="str">
        <f>IF(Agent09_Savings!A104="","",Agent09_Savings!F104)</f>
        <v/>
      </c>
      <c r="H1699" s="37" t="str">
        <f>IF(Agent09_Savings!A104="","",Agent09_Savings!I104)</f>
        <v/>
      </c>
      <c r="I1699" s="37" t="str">
        <f>IF(Agent09_Savings!A104="","",Agent09_Savings!J104)</f>
        <v/>
      </c>
      <c r="J1699" s="37" t="str">
        <f>IF(Agent09_Savings!A104="","",Agent09_Savings!K104)</f>
        <v/>
      </c>
      <c r="K1699" s="37" t="str">
        <f>IFERROR(IF(Agent09_Savings!A104="","",YEAR(Agent09_Savings!D104)),"")</f>
        <v/>
      </c>
    </row>
    <row r="1700" spans="1:11" ht="18" customHeight="1" x14ac:dyDescent="0.25">
      <c r="A1700" s="37" t="str">
        <f>IF(Agent09_Savings!A105="","",Agent09_Savings!A105)</f>
        <v/>
      </c>
      <c r="B1700" s="37" t="str">
        <f ca="1">IF(Agent09_Savings!A105="","","SV"&amp;TEXT(1700-3,"0000")&amp;"-"&amp;TEXT(TODAY(),"YYYYMMDD"))</f>
        <v/>
      </c>
      <c r="C1700" s="37" t="str">
        <f>IF(Agent09_Savings!A105="","",Agent09_Savings!B105)</f>
        <v/>
      </c>
      <c r="D1700" s="37" t="str">
        <f>IF(Agent09_Savings!A105="","",Agent09_Savings!G105)</f>
        <v/>
      </c>
      <c r="E1700" s="38" t="str">
        <f>IF(Agent09_Savings!A105="","",Agent09_Savings!D105)</f>
        <v/>
      </c>
      <c r="F1700" s="39" t="str">
        <f>IF(Agent09_Savings!A105="","",Agent09_Savings!E105)</f>
        <v/>
      </c>
      <c r="G1700" s="39" t="str">
        <f>IF(Agent09_Savings!A105="","",Agent09_Savings!F105)</f>
        <v/>
      </c>
      <c r="H1700" s="37" t="str">
        <f>IF(Agent09_Savings!A105="","",Agent09_Savings!I105)</f>
        <v/>
      </c>
      <c r="I1700" s="37" t="str">
        <f>IF(Agent09_Savings!A105="","",Agent09_Savings!J105)</f>
        <v/>
      </c>
      <c r="J1700" s="37" t="str">
        <f>IF(Agent09_Savings!A105="","",Agent09_Savings!K105)</f>
        <v/>
      </c>
      <c r="K1700" s="37" t="str">
        <f>IFERROR(IF(Agent09_Savings!A105="","",YEAR(Agent09_Savings!D105)),"")</f>
        <v/>
      </c>
    </row>
    <row r="1701" spans="1:11" ht="18" customHeight="1" x14ac:dyDescent="0.25">
      <c r="A1701" s="37" t="str">
        <f>IF(Agent09_Savings!A106="","",Agent09_Savings!A106)</f>
        <v/>
      </c>
      <c r="B1701" s="37" t="str">
        <f ca="1">IF(Agent09_Savings!A106="","","SV"&amp;TEXT(1701-3,"0000")&amp;"-"&amp;TEXT(TODAY(),"YYYYMMDD"))</f>
        <v/>
      </c>
      <c r="C1701" s="37" t="str">
        <f>IF(Agent09_Savings!A106="","",Agent09_Savings!B106)</f>
        <v/>
      </c>
      <c r="D1701" s="37" t="str">
        <f>IF(Agent09_Savings!A106="","",Agent09_Savings!G106)</f>
        <v/>
      </c>
      <c r="E1701" s="38" t="str">
        <f>IF(Agent09_Savings!A106="","",Agent09_Savings!D106)</f>
        <v/>
      </c>
      <c r="F1701" s="39" t="str">
        <f>IF(Agent09_Savings!A106="","",Agent09_Savings!E106)</f>
        <v/>
      </c>
      <c r="G1701" s="39" t="str">
        <f>IF(Agent09_Savings!A106="","",Agent09_Savings!F106)</f>
        <v/>
      </c>
      <c r="H1701" s="37" t="str">
        <f>IF(Agent09_Savings!A106="","",Agent09_Savings!I106)</f>
        <v/>
      </c>
      <c r="I1701" s="37" t="str">
        <f>IF(Agent09_Savings!A106="","",Agent09_Savings!J106)</f>
        <v/>
      </c>
      <c r="J1701" s="37" t="str">
        <f>IF(Agent09_Savings!A106="","",Agent09_Savings!K106)</f>
        <v/>
      </c>
      <c r="K1701" s="37" t="str">
        <f>IFERROR(IF(Agent09_Savings!A106="","",YEAR(Agent09_Savings!D106)),"")</f>
        <v/>
      </c>
    </row>
    <row r="1702" spans="1:11" ht="18" customHeight="1" x14ac:dyDescent="0.25">
      <c r="A1702" s="37" t="str">
        <f>IF(Agent09_Savings!A107="","",Agent09_Savings!A107)</f>
        <v/>
      </c>
      <c r="B1702" s="37" t="str">
        <f ca="1">IF(Agent09_Savings!A107="","","SV"&amp;TEXT(1702-3,"0000")&amp;"-"&amp;TEXT(TODAY(),"YYYYMMDD"))</f>
        <v/>
      </c>
      <c r="C1702" s="37" t="str">
        <f>IF(Agent09_Savings!A107="","",Agent09_Savings!B107)</f>
        <v/>
      </c>
      <c r="D1702" s="37" t="str">
        <f>IF(Agent09_Savings!A107="","",Agent09_Savings!G107)</f>
        <v/>
      </c>
      <c r="E1702" s="38" t="str">
        <f>IF(Agent09_Savings!A107="","",Agent09_Savings!D107)</f>
        <v/>
      </c>
      <c r="F1702" s="39" t="str">
        <f>IF(Agent09_Savings!A107="","",Agent09_Savings!E107)</f>
        <v/>
      </c>
      <c r="G1702" s="39" t="str">
        <f>IF(Agent09_Savings!A107="","",Agent09_Savings!F107)</f>
        <v/>
      </c>
      <c r="H1702" s="37" t="str">
        <f>IF(Agent09_Savings!A107="","",Agent09_Savings!I107)</f>
        <v/>
      </c>
      <c r="I1702" s="37" t="str">
        <f>IF(Agent09_Savings!A107="","",Agent09_Savings!J107)</f>
        <v/>
      </c>
      <c r="J1702" s="37" t="str">
        <f>IF(Agent09_Savings!A107="","",Agent09_Savings!K107)</f>
        <v/>
      </c>
      <c r="K1702" s="37" t="str">
        <f>IFERROR(IF(Agent09_Savings!A107="","",YEAR(Agent09_Savings!D107)),"")</f>
        <v/>
      </c>
    </row>
    <row r="1703" spans="1:11" ht="18" customHeight="1" x14ac:dyDescent="0.25">
      <c r="A1703" s="37" t="str">
        <f>IF(Agent09_Savings!A108="","",Agent09_Savings!A108)</f>
        <v/>
      </c>
      <c r="B1703" s="37" t="str">
        <f ca="1">IF(Agent09_Savings!A108="","","SV"&amp;TEXT(1703-3,"0000")&amp;"-"&amp;TEXT(TODAY(),"YYYYMMDD"))</f>
        <v/>
      </c>
      <c r="C1703" s="37" t="str">
        <f>IF(Agent09_Savings!A108="","",Agent09_Savings!B108)</f>
        <v/>
      </c>
      <c r="D1703" s="37" t="str">
        <f>IF(Agent09_Savings!A108="","",Agent09_Savings!G108)</f>
        <v/>
      </c>
      <c r="E1703" s="38" t="str">
        <f>IF(Agent09_Savings!A108="","",Agent09_Savings!D108)</f>
        <v/>
      </c>
      <c r="F1703" s="39" t="str">
        <f>IF(Agent09_Savings!A108="","",Agent09_Savings!E108)</f>
        <v/>
      </c>
      <c r="G1703" s="39" t="str">
        <f>IF(Agent09_Savings!A108="","",Agent09_Savings!F108)</f>
        <v/>
      </c>
      <c r="H1703" s="37" t="str">
        <f>IF(Agent09_Savings!A108="","",Agent09_Savings!I108)</f>
        <v/>
      </c>
      <c r="I1703" s="37" t="str">
        <f>IF(Agent09_Savings!A108="","",Agent09_Savings!J108)</f>
        <v/>
      </c>
      <c r="J1703" s="37" t="str">
        <f>IF(Agent09_Savings!A108="","",Agent09_Savings!K108)</f>
        <v/>
      </c>
      <c r="K1703" s="37" t="str">
        <f>IFERROR(IF(Agent09_Savings!A108="","",YEAR(Agent09_Savings!D108)),"")</f>
        <v/>
      </c>
    </row>
    <row r="1704" spans="1:11" ht="18" customHeight="1" x14ac:dyDescent="0.25">
      <c r="A1704" s="37" t="str">
        <f>IF(Agent09_Savings!A109="","",Agent09_Savings!A109)</f>
        <v/>
      </c>
      <c r="B1704" s="37" t="str">
        <f ca="1">IF(Agent09_Savings!A109="","","SV"&amp;TEXT(1704-3,"0000")&amp;"-"&amp;TEXT(TODAY(),"YYYYMMDD"))</f>
        <v/>
      </c>
      <c r="C1704" s="37" t="str">
        <f>IF(Agent09_Savings!A109="","",Agent09_Savings!B109)</f>
        <v/>
      </c>
      <c r="D1704" s="37" t="str">
        <f>IF(Agent09_Savings!A109="","",Agent09_Savings!G109)</f>
        <v/>
      </c>
      <c r="E1704" s="38" t="str">
        <f>IF(Agent09_Savings!A109="","",Agent09_Savings!D109)</f>
        <v/>
      </c>
      <c r="F1704" s="39" t="str">
        <f>IF(Agent09_Savings!A109="","",Agent09_Savings!E109)</f>
        <v/>
      </c>
      <c r="G1704" s="39" t="str">
        <f>IF(Agent09_Savings!A109="","",Agent09_Savings!F109)</f>
        <v/>
      </c>
      <c r="H1704" s="37" t="str">
        <f>IF(Agent09_Savings!A109="","",Agent09_Savings!I109)</f>
        <v/>
      </c>
      <c r="I1704" s="37" t="str">
        <f>IF(Agent09_Savings!A109="","",Agent09_Savings!J109)</f>
        <v/>
      </c>
      <c r="J1704" s="37" t="str">
        <f>IF(Agent09_Savings!A109="","",Agent09_Savings!K109)</f>
        <v/>
      </c>
      <c r="K1704" s="37" t="str">
        <f>IFERROR(IF(Agent09_Savings!A109="","",YEAR(Agent09_Savings!D109)),"")</f>
        <v/>
      </c>
    </row>
    <row r="1705" spans="1:11" ht="18" customHeight="1" x14ac:dyDescent="0.25">
      <c r="A1705" s="37" t="str">
        <f>IF(Agent09_Savings!A110="","",Agent09_Savings!A110)</f>
        <v/>
      </c>
      <c r="B1705" s="37" t="str">
        <f ca="1">IF(Agent09_Savings!A110="","","SV"&amp;TEXT(1705-3,"0000")&amp;"-"&amp;TEXT(TODAY(),"YYYYMMDD"))</f>
        <v/>
      </c>
      <c r="C1705" s="37" t="str">
        <f>IF(Agent09_Savings!A110="","",Agent09_Savings!B110)</f>
        <v/>
      </c>
      <c r="D1705" s="37" t="str">
        <f>IF(Agent09_Savings!A110="","",Agent09_Savings!G110)</f>
        <v/>
      </c>
      <c r="E1705" s="38" t="str">
        <f>IF(Agent09_Savings!A110="","",Agent09_Savings!D110)</f>
        <v/>
      </c>
      <c r="F1705" s="39" t="str">
        <f>IF(Agent09_Savings!A110="","",Agent09_Savings!E110)</f>
        <v/>
      </c>
      <c r="G1705" s="39" t="str">
        <f>IF(Agent09_Savings!A110="","",Agent09_Savings!F110)</f>
        <v/>
      </c>
      <c r="H1705" s="37" t="str">
        <f>IF(Agent09_Savings!A110="","",Agent09_Savings!I110)</f>
        <v/>
      </c>
      <c r="I1705" s="37" t="str">
        <f>IF(Agent09_Savings!A110="","",Agent09_Savings!J110)</f>
        <v/>
      </c>
      <c r="J1705" s="37" t="str">
        <f>IF(Agent09_Savings!A110="","",Agent09_Savings!K110)</f>
        <v/>
      </c>
      <c r="K1705" s="37" t="str">
        <f>IFERROR(IF(Agent09_Savings!A110="","",YEAR(Agent09_Savings!D110)),"")</f>
        <v/>
      </c>
    </row>
    <row r="1706" spans="1:11" ht="18" customHeight="1" x14ac:dyDescent="0.25">
      <c r="A1706" s="37" t="str">
        <f>IF(Agent09_Savings!A111="","",Agent09_Savings!A111)</f>
        <v/>
      </c>
      <c r="B1706" s="37" t="str">
        <f ca="1">IF(Agent09_Savings!A111="","","SV"&amp;TEXT(1706-3,"0000")&amp;"-"&amp;TEXT(TODAY(),"YYYYMMDD"))</f>
        <v/>
      </c>
      <c r="C1706" s="37" t="str">
        <f>IF(Agent09_Savings!A111="","",Agent09_Savings!B111)</f>
        <v/>
      </c>
      <c r="D1706" s="37" t="str">
        <f>IF(Agent09_Savings!A111="","",Agent09_Savings!G111)</f>
        <v/>
      </c>
      <c r="E1706" s="38" t="str">
        <f>IF(Agent09_Savings!A111="","",Agent09_Savings!D111)</f>
        <v/>
      </c>
      <c r="F1706" s="39" t="str">
        <f>IF(Agent09_Savings!A111="","",Agent09_Savings!E111)</f>
        <v/>
      </c>
      <c r="G1706" s="39" t="str">
        <f>IF(Agent09_Savings!A111="","",Agent09_Savings!F111)</f>
        <v/>
      </c>
      <c r="H1706" s="37" t="str">
        <f>IF(Agent09_Savings!A111="","",Agent09_Savings!I111)</f>
        <v/>
      </c>
      <c r="I1706" s="37" t="str">
        <f>IF(Agent09_Savings!A111="","",Agent09_Savings!J111)</f>
        <v/>
      </c>
      <c r="J1706" s="37" t="str">
        <f>IF(Agent09_Savings!A111="","",Agent09_Savings!K111)</f>
        <v/>
      </c>
      <c r="K1706" s="37" t="str">
        <f>IFERROR(IF(Agent09_Savings!A111="","",YEAR(Agent09_Savings!D111)),"")</f>
        <v/>
      </c>
    </row>
    <row r="1707" spans="1:11" ht="18" customHeight="1" x14ac:dyDescent="0.25">
      <c r="A1707" s="37" t="str">
        <f>IF(Agent09_Savings!A112="","",Agent09_Savings!A112)</f>
        <v/>
      </c>
      <c r="B1707" s="37" t="str">
        <f ca="1">IF(Agent09_Savings!A112="","","SV"&amp;TEXT(1707-3,"0000")&amp;"-"&amp;TEXT(TODAY(),"YYYYMMDD"))</f>
        <v/>
      </c>
      <c r="C1707" s="37" t="str">
        <f>IF(Agent09_Savings!A112="","",Agent09_Savings!B112)</f>
        <v/>
      </c>
      <c r="D1707" s="37" t="str">
        <f>IF(Agent09_Savings!A112="","",Agent09_Savings!G112)</f>
        <v/>
      </c>
      <c r="E1707" s="38" t="str">
        <f>IF(Agent09_Savings!A112="","",Agent09_Savings!D112)</f>
        <v/>
      </c>
      <c r="F1707" s="39" t="str">
        <f>IF(Agent09_Savings!A112="","",Agent09_Savings!E112)</f>
        <v/>
      </c>
      <c r="G1707" s="39" t="str">
        <f>IF(Agent09_Savings!A112="","",Agent09_Savings!F112)</f>
        <v/>
      </c>
      <c r="H1707" s="37" t="str">
        <f>IF(Agent09_Savings!A112="","",Agent09_Savings!I112)</f>
        <v/>
      </c>
      <c r="I1707" s="37" t="str">
        <f>IF(Agent09_Savings!A112="","",Agent09_Savings!J112)</f>
        <v/>
      </c>
      <c r="J1707" s="37" t="str">
        <f>IF(Agent09_Savings!A112="","",Agent09_Savings!K112)</f>
        <v/>
      </c>
      <c r="K1707" s="37" t="str">
        <f>IFERROR(IF(Agent09_Savings!A112="","",YEAR(Agent09_Savings!D112)),"")</f>
        <v/>
      </c>
    </row>
    <row r="1708" spans="1:11" ht="18" customHeight="1" x14ac:dyDescent="0.25">
      <c r="A1708" s="37" t="str">
        <f>IF(Agent09_Savings!A113="","",Agent09_Savings!A113)</f>
        <v/>
      </c>
      <c r="B1708" s="37" t="str">
        <f ca="1">IF(Agent09_Savings!A113="","","SV"&amp;TEXT(1708-3,"0000")&amp;"-"&amp;TEXT(TODAY(),"YYYYMMDD"))</f>
        <v/>
      </c>
      <c r="C1708" s="37" t="str">
        <f>IF(Agent09_Savings!A113="","",Agent09_Savings!B113)</f>
        <v/>
      </c>
      <c r="D1708" s="37" t="str">
        <f>IF(Agent09_Savings!A113="","",Agent09_Savings!G113)</f>
        <v/>
      </c>
      <c r="E1708" s="38" t="str">
        <f>IF(Agent09_Savings!A113="","",Agent09_Savings!D113)</f>
        <v/>
      </c>
      <c r="F1708" s="39" t="str">
        <f>IF(Agent09_Savings!A113="","",Agent09_Savings!E113)</f>
        <v/>
      </c>
      <c r="G1708" s="39" t="str">
        <f>IF(Agent09_Savings!A113="","",Agent09_Savings!F113)</f>
        <v/>
      </c>
      <c r="H1708" s="37" t="str">
        <f>IF(Agent09_Savings!A113="","",Agent09_Savings!I113)</f>
        <v/>
      </c>
      <c r="I1708" s="37" t="str">
        <f>IF(Agent09_Savings!A113="","",Agent09_Savings!J113)</f>
        <v/>
      </c>
      <c r="J1708" s="37" t="str">
        <f>IF(Agent09_Savings!A113="","",Agent09_Savings!K113)</f>
        <v/>
      </c>
      <c r="K1708" s="37" t="str">
        <f>IFERROR(IF(Agent09_Savings!A113="","",YEAR(Agent09_Savings!D113)),"")</f>
        <v/>
      </c>
    </row>
    <row r="1709" spans="1:11" ht="18" customHeight="1" x14ac:dyDescent="0.25">
      <c r="A1709" s="37" t="str">
        <f>IF(Agent09_Savings!A114="","",Agent09_Savings!A114)</f>
        <v/>
      </c>
      <c r="B1709" s="37" t="str">
        <f ca="1">IF(Agent09_Savings!A114="","","SV"&amp;TEXT(1709-3,"0000")&amp;"-"&amp;TEXT(TODAY(),"YYYYMMDD"))</f>
        <v/>
      </c>
      <c r="C1709" s="37" t="str">
        <f>IF(Agent09_Savings!A114="","",Agent09_Savings!B114)</f>
        <v/>
      </c>
      <c r="D1709" s="37" t="str">
        <f>IF(Agent09_Savings!A114="","",Agent09_Savings!G114)</f>
        <v/>
      </c>
      <c r="E1709" s="38" t="str">
        <f>IF(Agent09_Savings!A114="","",Agent09_Savings!D114)</f>
        <v/>
      </c>
      <c r="F1709" s="39" t="str">
        <f>IF(Agent09_Savings!A114="","",Agent09_Savings!E114)</f>
        <v/>
      </c>
      <c r="G1709" s="39" t="str">
        <f>IF(Agent09_Savings!A114="","",Agent09_Savings!F114)</f>
        <v/>
      </c>
      <c r="H1709" s="37" t="str">
        <f>IF(Agent09_Savings!A114="","",Agent09_Savings!I114)</f>
        <v/>
      </c>
      <c r="I1709" s="37" t="str">
        <f>IF(Agent09_Savings!A114="","",Agent09_Savings!J114)</f>
        <v/>
      </c>
      <c r="J1709" s="37" t="str">
        <f>IF(Agent09_Savings!A114="","",Agent09_Savings!K114)</f>
        <v/>
      </c>
      <c r="K1709" s="37" t="str">
        <f>IFERROR(IF(Agent09_Savings!A114="","",YEAR(Agent09_Savings!D114)),"")</f>
        <v/>
      </c>
    </row>
    <row r="1710" spans="1:11" ht="18" customHeight="1" x14ac:dyDescent="0.25">
      <c r="A1710" s="37" t="str">
        <f>IF(Agent09_Savings!A115="","",Agent09_Savings!A115)</f>
        <v/>
      </c>
      <c r="B1710" s="37" t="str">
        <f ca="1">IF(Agent09_Savings!A115="","","SV"&amp;TEXT(1710-3,"0000")&amp;"-"&amp;TEXT(TODAY(),"YYYYMMDD"))</f>
        <v/>
      </c>
      <c r="C1710" s="37" t="str">
        <f>IF(Agent09_Savings!A115="","",Agent09_Savings!B115)</f>
        <v/>
      </c>
      <c r="D1710" s="37" t="str">
        <f>IF(Agent09_Savings!A115="","",Agent09_Savings!G115)</f>
        <v/>
      </c>
      <c r="E1710" s="38" t="str">
        <f>IF(Agent09_Savings!A115="","",Agent09_Savings!D115)</f>
        <v/>
      </c>
      <c r="F1710" s="39" t="str">
        <f>IF(Agent09_Savings!A115="","",Agent09_Savings!E115)</f>
        <v/>
      </c>
      <c r="G1710" s="39" t="str">
        <f>IF(Agent09_Savings!A115="","",Agent09_Savings!F115)</f>
        <v/>
      </c>
      <c r="H1710" s="37" t="str">
        <f>IF(Agent09_Savings!A115="","",Agent09_Savings!I115)</f>
        <v/>
      </c>
      <c r="I1710" s="37" t="str">
        <f>IF(Agent09_Savings!A115="","",Agent09_Savings!J115)</f>
        <v/>
      </c>
      <c r="J1710" s="37" t="str">
        <f>IF(Agent09_Savings!A115="","",Agent09_Savings!K115)</f>
        <v/>
      </c>
      <c r="K1710" s="37" t="str">
        <f>IFERROR(IF(Agent09_Savings!A115="","",YEAR(Agent09_Savings!D115)),"")</f>
        <v/>
      </c>
    </row>
    <row r="1711" spans="1:11" ht="18" customHeight="1" x14ac:dyDescent="0.25">
      <c r="A1711" s="37" t="str">
        <f>IF(Agent09_Savings!A116="","",Agent09_Savings!A116)</f>
        <v/>
      </c>
      <c r="B1711" s="37" t="str">
        <f ca="1">IF(Agent09_Savings!A116="","","SV"&amp;TEXT(1711-3,"0000")&amp;"-"&amp;TEXT(TODAY(),"YYYYMMDD"))</f>
        <v/>
      </c>
      <c r="C1711" s="37" t="str">
        <f>IF(Agent09_Savings!A116="","",Agent09_Savings!B116)</f>
        <v/>
      </c>
      <c r="D1711" s="37" t="str">
        <f>IF(Agent09_Savings!A116="","",Agent09_Savings!G116)</f>
        <v/>
      </c>
      <c r="E1711" s="38" t="str">
        <f>IF(Agent09_Savings!A116="","",Agent09_Savings!D116)</f>
        <v/>
      </c>
      <c r="F1711" s="39" t="str">
        <f>IF(Agent09_Savings!A116="","",Agent09_Savings!E116)</f>
        <v/>
      </c>
      <c r="G1711" s="39" t="str">
        <f>IF(Agent09_Savings!A116="","",Agent09_Savings!F116)</f>
        <v/>
      </c>
      <c r="H1711" s="37" t="str">
        <f>IF(Agent09_Savings!A116="","",Agent09_Savings!I116)</f>
        <v/>
      </c>
      <c r="I1711" s="37" t="str">
        <f>IF(Agent09_Savings!A116="","",Agent09_Savings!J116)</f>
        <v/>
      </c>
      <c r="J1711" s="37" t="str">
        <f>IF(Agent09_Savings!A116="","",Agent09_Savings!K116)</f>
        <v/>
      </c>
      <c r="K1711" s="37" t="str">
        <f>IFERROR(IF(Agent09_Savings!A116="","",YEAR(Agent09_Savings!D116)),"")</f>
        <v/>
      </c>
    </row>
    <row r="1712" spans="1:11" ht="18" customHeight="1" x14ac:dyDescent="0.25">
      <c r="A1712" s="37" t="str">
        <f>IF(Agent09_Savings!A117="","",Agent09_Savings!A117)</f>
        <v/>
      </c>
      <c r="B1712" s="37" t="str">
        <f ca="1">IF(Agent09_Savings!A117="","","SV"&amp;TEXT(1712-3,"0000")&amp;"-"&amp;TEXT(TODAY(),"YYYYMMDD"))</f>
        <v/>
      </c>
      <c r="C1712" s="37" t="str">
        <f>IF(Agent09_Savings!A117="","",Agent09_Savings!B117)</f>
        <v/>
      </c>
      <c r="D1712" s="37" t="str">
        <f>IF(Agent09_Savings!A117="","",Agent09_Savings!G117)</f>
        <v/>
      </c>
      <c r="E1712" s="38" t="str">
        <f>IF(Agent09_Savings!A117="","",Agent09_Savings!D117)</f>
        <v/>
      </c>
      <c r="F1712" s="39" t="str">
        <f>IF(Agent09_Savings!A117="","",Agent09_Savings!E117)</f>
        <v/>
      </c>
      <c r="G1712" s="39" t="str">
        <f>IF(Agent09_Savings!A117="","",Agent09_Savings!F117)</f>
        <v/>
      </c>
      <c r="H1712" s="37" t="str">
        <f>IF(Agent09_Savings!A117="","",Agent09_Savings!I117)</f>
        <v/>
      </c>
      <c r="I1712" s="37" t="str">
        <f>IF(Agent09_Savings!A117="","",Agent09_Savings!J117)</f>
        <v/>
      </c>
      <c r="J1712" s="37" t="str">
        <f>IF(Agent09_Savings!A117="","",Agent09_Savings!K117)</f>
        <v/>
      </c>
      <c r="K1712" s="37" t="str">
        <f>IFERROR(IF(Agent09_Savings!A117="","",YEAR(Agent09_Savings!D117)),"")</f>
        <v/>
      </c>
    </row>
    <row r="1713" spans="1:11" ht="18" customHeight="1" x14ac:dyDescent="0.25">
      <c r="A1713" s="37" t="str">
        <f>IF(Agent09_Savings!A118="","",Agent09_Savings!A118)</f>
        <v/>
      </c>
      <c r="B1713" s="37" t="str">
        <f ca="1">IF(Agent09_Savings!A118="","","SV"&amp;TEXT(1713-3,"0000")&amp;"-"&amp;TEXT(TODAY(),"YYYYMMDD"))</f>
        <v/>
      </c>
      <c r="C1713" s="37" t="str">
        <f>IF(Agent09_Savings!A118="","",Agent09_Savings!B118)</f>
        <v/>
      </c>
      <c r="D1713" s="37" t="str">
        <f>IF(Agent09_Savings!A118="","",Agent09_Savings!G118)</f>
        <v/>
      </c>
      <c r="E1713" s="38" t="str">
        <f>IF(Agent09_Savings!A118="","",Agent09_Savings!D118)</f>
        <v/>
      </c>
      <c r="F1713" s="39" t="str">
        <f>IF(Agent09_Savings!A118="","",Agent09_Savings!E118)</f>
        <v/>
      </c>
      <c r="G1713" s="39" t="str">
        <f>IF(Agent09_Savings!A118="","",Agent09_Savings!F118)</f>
        <v/>
      </c>
      <c r="H1713" s="37" t="str">
        <f>IF(Agent09_Savings!A118="","",Agent09_Savings!I118)</f>
        <v/>
      </c>
      <c r="I1713" s="37" t="str">
        <f>IF(Agent09_Savings!A118="","",Agent09_Savings!J118)</f>
        <v/>
      </c>
      <c r="J1713" s="37" t="str">
        <f>IF(Agent09_Savings!A118="","",Agent09_Savings!K118)</f>
        <v/>
      </c>
      <c r="K1713" s="37" t="str">
        <f>IFERROR(IF(Agent09_Savings!A118="","",YEAR(Agent09_Savings!D118)),"")</f>
        <v/>
      </c>
    </row>
    <row r="1714" spans="1:11" ht="18" customHeight="1" x14ac:dyDescent="0.25">
      <c r="A1714" s="37" t="str">
        <f>IF(Agent09_Savings!A119="","",Agent09_Savings!A119)</f>
        <v/>
      </c>
      <c r="B1714" s="37" t="str">
        <f ca="1">IF(Agent09_Savings!A119="","","SV"&amp;TEXT(1714-3,"0000")&amp;"-"&amp;TEXT(TODAY(),"YYYYMMDD"))</f>
        <v/>
      </c>
      <c r="C1714" s="37" t="str">
        <f>IF(Agent09_Savings!A119="","",Agent09_Savings!B119)</f>
        <v/>
      </c>
      <c r="D1714" s="37" t="str">
        <f>IF(Agent09_Savings!A119="","",Agent09_Savings!G119)</f>
        <v/>
      </c>
      <c r="E1714" s="38" t="str">
        <f>IF(Agent09_Savings!A119="","",Agent09_Savings!D119)</f>
        <v/>
      </c>
      <c r="F1714" s="39" t="str">
        <f>IF(Agent09_Savings!A119="","",Agent09_Savings!E119)</f>
        <v/>
      </c>
      <c r="G1714" s="39" t="str">
        <f>IF(Agent09_Savings!A119="","",Agent09_Savings!F119)</f>
        <v/>
      </c>
      <c r="H1714" s="37" t="str">
        <f>IF(Agent09_Savings!A119="","",Agent09_Savings!I119)</f>
        <v/>
      </c>
      <c r="I1714" s="37" t="str">
        <f>IF(Agent09_Savings!A119="","",Agent09_Savings!J119)</f>
        <v/>
      </c>
      <c r="J1714" s="37" t="str">
        <f>IF(Agent09_Savings!A119="","",Agent09_Savings!K119)</f>
        <v/>
      </c>
      <c r="K1714" s="37" t="str">
        <f>IFERROR(IF(Agent09_Savings!A119="","",YEAR(Agent09_Savings!D119)),"")</f>
        <v/>
      </c>
    </row>
    <row r="1715" spans="1:11" ht="18" customHeight="1" x14ac:dyDescent="0.25">
      <c r="A1715" s="37" t="str">
        <f>IF(Agent09_Savings!A120="","",Agent09_Savings!A120)</f>
        <v/>
      </c>
      <c r="B1715" s="37" t="str">
        <f ca="1">IF(Agent09_Savings!A120="","","SV"&amp;TEXT(1715-3,"0000")&amp;"-"&amp;TEXT(TODAY(),"YYYYMMDD"))</f>
        <v/>
      </c>
      <c r="C1715" s="37" t="str">
        <f>IF(Agent09_Savings!A120="","",Agent09_Savings!B120)</f>
        <v/>
      </c>
      <c r="D1715" s="37" t="str">
        <f>IF(Agent09_Savings!A120="","",Agent09_Savings!G120)</f>
        <v/>
      </c>
      <c r="E1715" s="38" t="str">
        <f>IF(Agent09_Savings!A120="","",Agent09_Savings!D120)</f>
        <v/>
      </c>
      <c r="F1715" s="39" t="str">
        <f>IF(Agent09_Savings!A120="","",Agent09_Savings!E120)</f>
        <v/>
      </c>
      <c r="G1715" s="39" t="str">
        <f>IF(Agent09_Savings!A120="","",Agent09_Savings!F120)</f>
        <v/>
      </c>
      <c r="H1715" s="37" t="str">
        <f>IF(Agent09_Savings!A120="","",Agent09_Savings!I120)</f>
        <v/>
      </c>
      <c r="I1715" s="37" t="str">
        <f>IF(Agent09_Savings!A120="","",Agent09_Savings!J120)</f>
        <v/>
      </c>
      <c r="J1715" s="37" t="str">
        <f>IF(Agent09_Savings!A120="","",Agent09_Savings!K120)</f>
        <v/>
      </c>
      <c r="K1715" s="37" t="str">
        <f>IFERROR(IF(Agent09_Savings!A120="","",YEAR(Agent09_Savings!D120)),"")</f>
        <v/>
      </c>
    </row>
    <row r="1716" spans="1:11" ht="18" customHeight="1" x14ac:dyDescent="0.25">
      <c r="A1716" s="37" t="str">
        <f>IF(Agent09_Savings!A121="","",Agent09_Savings!A121)</f>
        <v/>
      </c>
      <c r="B1716" s="37" t="str">
        <f ca="1">IF(Agent09_Savings!A121="","","SV"&amp;TEXT(1716-3,"0000")&amp;"-"&amp;TEXT(TODAY(),"YYYYMMDD"))</f>
        <v/>
      </c>
      <c r="C1716" s="37" t="str">
        <f>IF(Agent09_Savings!A121="","",Agent09_Savings!B121)</f>
        <v/>
      </c>
      <c r="D1716" s="37" t="str">
        <f>IF(Agent09_Savings!A121="","",Agent09_Savings!G121)</f>
        <v/>
      </c>
      <c r="E1716" s="38" t="str">
        <f>IF(Agent09_Savings!A121="","",Agent09_Savings!D121)</f>
        <v/>
      </c>
      <c r="F1716" s="39" t="str">
        <f>IF(Agent09_Savings!A121="","",Agent09_Savings!E121)</f>
        <v/>
      </c>
      <c r="G1716" s="39" t="str">
        <f>IF(Agent09_Savings!A121="","",Agent09_Savings!F121)</f>
        <v/>
      </c>
      <c r="H1716" s="37" t="str">
        <f>IF(Agent09_Savings!A121="","",Agent09_Savings!I121)</f>
        <v/>
      </c>
      <c r="I1716" s="37" t="str">
        <f>IF(Agent09_Savings!A121="","",Agent09_Savings!J121)</f>
        <v/>
      </c>
      <c r="J1716" s="37" t="str">
        <f>IF(Agent09_Savings!A121="","",Agent09_Savings!K121)</f>
        <v/>
      </c>
      <c r="K1716" s="37" t="str">
        <f>IFERROR(IF(Agent09_Savings!A121="","",YEAR(Agent09_Savings!D121)),"")</f>
        <v/>
      </c>
    </row>
    <row r="1717" spans="1:11" ht="18" customHeight="1" x14ac:dyDescent="0.25">
      <c r="A1717" s="37" t="str">
        <f>IF(Agent09_Savings!A122="","",Agent09_Savings!A122)</f>
        <v/>
      </c>
      <c r="B1717" s="37" t="str">
        <f ca="1">IF(Agent09_Savings!A122="","","SV"&amp;TEXT(1717-3,"0000")&amp;"-"&amp;TEXT(TODAY(),"YYYYMMDD"))</f>
        <v/>
      </c>
      <c r="C1717" s="37" t="str">
        <f>IF(Agent09_Savings!A122="","",Agent09_Savings!B122)</f>
        <v/>
      </c>
      <c r="D1717" s="37" t="str">
        <f>IF(Agent09_Savings!A122="","",Agent09_Savings!G122)</f>
        <v/>
      </c>
      <c r="E1717" s="38" t="str">
        <f>IF(Agent09_Savings!A122="","",Agent09_Savings!D122)</f>
        <v/>
      </c>
      <c r="F1717" s="39" t="str">
        <f>IF(Agent09_Savings!A122="","",Agent09_Savings!E122)</f>
        <v/>
      </c>
      <c r="G1717" s="39" t="str">
        <f>IF(Agent09_Savings!A122="","",Agent09_Savings!F122)</f>
        <v/>
      </c>
      <c r="H1717" s="37" t="str">
        <f>IF(Agent09_Savings!A122="","",Agent09_Savings!I122)</f>
        <v/>
      </c>
      <c r="I1717" s="37" t="str">
        <f>IF(Agent09_Savings!A122="","",Agent09_Savings!J122)</f>
        <v/>
      </c>
      <c r="J1717" s="37" t="str">
        <f>IF(Agent09_Savings!A122="","",Agent09_Savings!K122)</f>
        <v/>
      </c>
      <c r="K1717" s="37" t="str">
        <f>IFERROR(IF(Agent09_Savings!A122="","",YEAR(Agent09_Savings!D122)),"")</f>
        <v/>
      </c>
    </row>
    <row r="1718" spans="1:11" ht="18" customHeight="1" x14ac:dyDescent="0.25">
      <c r="A1718" s="37" t="str">
        <f>IF(Agent09_Savings!A123="","",Agent09_Savings!A123)</f>
        <v/>
      </c>
      <c r="B1718" s="37" t="str">
        <f ca="1">IF(Agent09_Savings!A123="","","SV"&amp;TEXT(1718-3,"0000")&amp;"-"&amp;TEXT(TODAY(),"YYYYMMDD"))</f>
        <v/>
      </c>
      <c r="C1718" s="37" t="str">
        <f>IF(Agent09_Savings!A123="","",Agent09_Savings!B123)</f>
        <v/>
      </c>
      <c r="D1718" s="37" t="str">
        <f>IF(Agent09_Savings!A123="","",Agent09_Savings!G123)</f>
        <v/>
      </c>
      <c r="E1718" s="38" t="str">
        <f>IF(Agent09_Savings!A123="","",Agent09_Savings!D123)</f>
        <v/>
      </c>
      <c r="F1718" s="39" t="str">
        <f>IF(Agent09_Savings!A123="","",Agent09_Savings!E123)</f>
        <v/>
      </c>
      <c r="G1718" s="39" t="str">
        <f>IF(Agent09_Savings!A123="","",Agent09_Savings!F123)</f>
        <v/>
      </c>
      <c r="H1718" s="37" t="str">
        <f>IF(Agent09_Savings!A123="","",Agent09_Savings!I123)</f>
        <v/>
      </c>
      <c r="I1718" s="37" t="str">
        <f>IF(Agent09_Savings!A123="","",Agent09_Savings!J123)</f>
        <v/>
      </c>
      <c r="J1718" s="37" t="str">
        <f>IF(Agent09_Savings!A123="","",Agent09_Savings!K123)</f>
        <v/>
      </c>
      <c r="K1718" s="37" t="str">
        <f>IFERROR(IF(Agent09_Savings!A123="","",YEAR(Agent09_Savings!D123)),"")</f>
        <v/>
      </c>
    </row>
    <row r="1719" spans="1:11" ht="18" customHeight="1" x14ac:dyDescent="0.25">
      <c r="A1719" s="37" t="str">
        <f>IF(Agent09_Savings!A124="","",Agent09_Savings!A124)</f>
        <v/>
      </c>
      <c r="B1719" s="37" t="str">
        <f ca="1">IF(Agent09_Savings!A124="","","SV"&amp;TEXT(1719-3,"0000")&amp;"-"&amp;TEXT(TODAY(),"YYYYMMDD"))</f>
        <v/>
      </c>
      <c r="C1719" s="37" t="str">
        <f>IF(Agent09_Savings!A124="","",Agent09_Savings!B124)</f>
        <v/>
      </c>
      <c r="D1719" s="37" t="str">
        <f>IF(Agent09_Savings!A124="","",Agent09_Savings!G124)</f>
        <v/>
      </c>
      <c r="E1719" s="38" t="str">
        <f>IF(Agent09_Savings!A124="","",Agent09_Savings!D124)</f>
        <v/>
      </c>
      <c r="F1719" s="39" t="str">
        <f>IF(Agent09_Savings!A124="","",Agent09_Savings!E124)</f>
        <v/>
      </c>
      <c r="G1719" s="39" t="str">
        <f>IF(Agent09_Savings!A124="","",Agent09_Savings!F124)</f>
        <v/>
      </c>
      <c r="H1719" s="37" t="str">
        <f>IF(Agent09_Savings!A124="","",Agent09_Savings!I124)</f>
        <v/>
      </c>
      <c r="I1719" s="37" t="str">
        <f>IF(Agent09_Savings!A124="","",Agent09_Savings!J124)</f>
        <v/>
      </c>
      <c r="J1719" s="37" t="str">
        <f>IF(Agent09_Savings!A124="","",Agent09_Savings!K124)</f>
        <v/>
      </c>
      <c r="K1719" s="37" t="str">
        <f>IFERROR(IF(Agent09_Savings!A124="","",YEAR(Agent09_Savings!D124)),"")</f>
        <v/>
      </c>
    </row>
    <row r="1720" spans="1:11" ht="18" customHeight="1" x14ac:dyDescent="0.25">
      <c r="A1720" s="37" t="str">
        <f>IF(Agent09_Savings!A125="","",Agent09_Savings!A125)</f>
        <v/>
      </c>
      <c r="B1720" s="37" t="str">
        <f ca="1">IF(Agent09_Savings!A125="","","SV"&amp;TEXT(1720-3,"0000")&amp;"-"&amp;TEXT(TODAY(),"YYYYMMDD"))</f>
        <v/>
      </c>
      <c r="C1720" s="37" t="str">
        <f>IF(Agent09_Savings!A125="","",Agent09_Savings!B125)</f>
        <v/>
      </c>
      <c r="D1720" s="37" t="str">
        <f>IF(Agent09_Savings!A125="","",Agent09_Savings!G125)</f>
        <v/>
      </c>
      <c r="E1720" s="38" t="str">
        <f>IF(Agent09_Savings!A125="","",Agent09_Savings!D125)</f>
        <v/>
      </c>
      <c r="F1720" s="39" t="str">
        <f>IF(Agent09_Savings!A125="","",Agent09_Savings!E125)</f>
        <v/>
      </c>
      <c r="G1720" s="39" t="str">
        <f>IF(Agent09_Savings!A125="","",Agent09_Savings!F125)</f>
        <v/>
      </c>
      <c r="H1720" s="37" t="str">
        <f>IF(Agent09_Savings!A125="","",Agent09_Savings!I125)</f>
        <v/>
      </c>
      <c r="I1720" s="37" t="str">
        <f>IF(Agent09_Savings!A125="","",Agent09_Savings!J125)</f>
        <v/>
      </c>
      <c r="J1720" s="37" t="str">
        <f>IF(Agent09_Savings!A125="","",Agent09_Savings!K125)</f>
        <v/>
      </c>
      <c r="K1720" s="37" t="str">
        <f>IFERROR(IF(Agent09_Savings!A125="","",YEAR(Agent09_Savings!D125)),"")</f>
        <v/>
      </c>
    </row>
    <row r="1721" spans="1:11" ht="18" customHeight="1" x14ac:dyDescent="0.25">
      <c r="A1721" s="37" t="str">
        <f>IF(Agent09_Savings!A126="","",Agent09_Savings!A126)</f>
        <v/>
      </c>
      <c r="B1721" s="37" t="str">
        <f ca="1">IF(Agent09_Savings!A126="","","SV"&amp;TEXT(1721-3,"0000")&amp;"-"&amp;TEXT(TODAY(),"YYYYMMDD"))</f>
        <v/>
      </c>
      <c r="C1721" s="37" t="str">
        <f>IF(Agent09_Savings!A126="","",Agent09_Savings!B126)</f>
        <v/>
      </c>
      <c r="D1721" s="37" t="str">
        <f>IF(Agent09_Savings!A126="","",Agent09_Savings!G126)</f>
        <v/>
      </c>
      <c r="E1721" s="38" t="str">
        <f>IF(Agent09_Savings!A126="","",Agent09_Savings!D126)</f>
        <v/>
      </c>
      <c r="F1721" s="39" t="str">
        <f>IF(Agent09_Savings!A126="","",Agent09_Savings!E126)</f>
        <v/>
      </c>
      <c r="G1721" s="39" t="str">
        <f>IF(Agent09_Savings!A126="","",Agent09_Savings!F126)</f>
        <v/>
      </c>
      <c r="H1721" s="37" t="str">
        <f>IF(Agent09_Savings!A126="","",Agent09_Savings!I126)</f>
        <v/>
      </c>
      <c r="I1721" s="37" t="str">
        <f>IF(Agent09_Savings!A126="","",Agent09_Savings!J126)</f>
        <v/>
      </c>
      <c r="J1721" s="37" t="str">
        <f>IF(Agent09_Savings!A126="","",Agent09_Savings!K126)</f>
        <v/>
      </c>
      <c r="K1721" s="37" t="str">
        <f>IFERROR(IF(Agent09_Savings!A126="","",YEAR(Agent09_Savings!D126)),"")</f>
        <v/>
      </c>
    </row>
    <row r="1722" spans="1:11" ht="18" customHeight="1" x14ac:dyDescent="0.25">
      <c r="A1722" s="37" t="str">
        <f>IF(Agent09_Savings!A127="","",Agent09_Savings!A127)</f>
        <v/>
      </c>
      <c r="B1722" s="37" t="str">
        <f ca="1">IF(Agent09_Savings!A127="","","SV"&amp;TEXT(1722-3,"0000")&amp;"-"&amp;TEXT(TODAY(),"YYYYMMDD"))</f>
        <v/>
      </c>
      <c r="C1722" s="37" t="str">
        <f>IF(Agent09_Savings!A127="","",Agent09_Savings!B127)</f>
        <v/>
      </c>
      <c r="D1722" s="37" t="str">
        <f>IF(Agent09_Savings!A127="","",Agent09_Savings!G127)</f>
        <v/>
      </c>
      <c r="E1722" s="38" t="str">
        <f>IF(Agent09_Savings!A127="","",Agent09_Savings!D127)</f>
        <v/>
      </c>
      <c r="F1722" s="39" t="str">
        <f>IF(Agent09_Savings!A127="","",Agent09_Savings!E127)</f>
        <v/>
      </c>
      <c r="G1722" s="39" t="str">
        <f>IF(Agent09_Savings!A127="","",Agent09_Savings!F127)</f>
        <v/>
      </c>
      <c r="H1722" s="37" t="str">
        <f>IF(Agent09_Savings!A127="","",Agent09_Savings!I127)</f>
        <v/>
      </c>
      <c r="I1722" s="37" t="str">
        <f>IF(Agent09_Savings!A127="","",Agent09_Savings!J127)</f>
        <v/>
      </c>
      <c r="J1722" s="37" t="str">
        <f>IF(Agent09_Savings!A127="","",Agent09_Savings!K127)</f>
        <v/>
      </c>
      <c r="K1722" s="37" t="str">
        <f>IFERROR(IF(Agent09_Savings!A127="","",YEAR(Agent09_Savings!D127)),"")</f>
        <v/>
      </c>
    </row>
    <row r="1723" spans="1:11" ht="18" customHeight="1" x14ac:dyDescent="0.25">
      <c r="A1723" s="37" t="str">
        <f>IF(Agent09_Savings!A128="","",Agent09_Savings!A128)</f>
        <v/>
      </c>
      <c r="B1723" s="37" t="str">
        <f ca="1">IF(Agent09_Savings!A128="","","SV"&amp;TEXT(1723-3,"0000")&amp;"-"&amp;TEXT(TODAY(),"YYYYMMDD"))</f>
        <v/>
      </c>
      <c r="C1723" s="37" t="str">
        <f>IF(Agent09_Savings!A128="","",Agent09_Savings!B128)</f>
        <v/>
      </c>
      <c r="D1723" s="37" t="str">
        <f>IF(Agent09_Savings!A128="","",Agent09_Savings!G128)</f>
        <v/>
      </c>
      <c r="E1723" s="38" t="str">
        <f>IF(Agent09_Savings!A128="","",Agent09_Savings!D128)</f>
        <v/>
      </c>
      <c r="F1723" s="39" t="str">
        <f>IF(Agent09_Savings!A128="","",Agent09_Savings!E128)</f>
        <v/>
      </c>
      <c r="G1723" s="39" t="str">
        <f>IF(Agent09_Savings!A128="","",Agent09_Savings!F128)</f>
        <v/>
      </c>
      <c r="H1723" s="37" t="str">
        <f>IF(Agent09_Savings!A128="","",Agent09_Savings!I128)</f>
        <v/>
      </c>
      <c r="I1723" s="37" t="str">
        <f>IF(Agent09_Savings!A128="","",Agent09_Savings!J128)</f>
        <v/>
      </c>
      <c r="J1723" s="37" t="str">
        <f>IF(Agent09_Savings!A128="","",Agent09_Savings!K128)</f>
        <v/>
      </c>
      <c r="K1723" s="37" t="str">
        <f>IFERROR(IF(Agent09_Savings!A128="","",YEAR(Agent09_Savings!D128)),"")</f>
        <v/>
      </c>
    </row>
    <row r="1724" spans="1:11" ht="18" customHeight="1" x14ac:dyDescent="0.25">
      <c r="A1724" s="37" t="str">
        <f>IF(Agent09_Savings!A129="","",Agent09_Savings!A129)</f>
        <v/>
      </c>
      <c r="B1724" s="37" t="str">
        <f ca="1">IF(Agent09_Savings!A129="","","SV"&amp;TEXT(1724-3,"0000")&amp;"-"&amp;TEXT(TODAY(),"YYYYMMDD"))</f>
        <v/>
      </c>
      <c r="C1724" s="37" t="str">
        <f>IF(Agent09_Savings!A129="","",Agent09_Savings!B129)</f>
        <v/>
      </c>
      <c r="D1724" s="37" t="str">
        <f>IF(Agent09_Savings!A129="","",Agent09_Savings!G129)</f>
        <v/>
      </c>
      <c r="E1724" s="38" t="str">
        <f>IF(Agent09_Savings!A129="","",Agent09_Savings!D129)</f>
        <v/>
      </c>
      <c r="F1724" s="39" t="str">
        <f>IF(Agent09_Savings!A129="","",Agent09_Savings!E129)</f>
        <v/>
      </c>
      <c r="G1724" s="39" t="str">
        <f>IF(Agent09_Savings!A129="","",Agent09_Savings!F129)</f>
        <v/>
      </c>
      <c r="H1724" s="37" t="str">
        <f>IF(Agent09_Savings!A129="","",Agent09_Savings!I129)</f>
        <v/>
      </c>
      <c r="I1724" s="37" t="str">
        <f>IF(Agent09_Savings!A129="","",Agent09_Savings!J129)</f>
        <v/>
      </c>
      <c r="J1724" s="37" t="str">
        <f>IF(Agent09_Savings!A129="","",Agent09_Savings!K129)</f>
        <v/>
      </c>
      <c r="K1724" s="37" t="str">
        <f>IFERROR(IF(Agent09_Savings!A129="","",YEAR(Agent09_Savings!D129)),"")</f>
        <v/>
      </c>
    </row>
    <row r="1725" spans="1:11" ht="18" customHeight="1" x14ac:dyDescent="0.25">
      <c r="A1725" s="37" t="str">
        <f>IF(Agent09_Savings!A130="","",Agent09_Savings!A130)</f>
        <v/>
      </c>
      <c r="B1725" s="37" t="str">
        <f ca="1">IF(Agent09_Savings!A130="","","SV"&amp;TEXT(1725-3,"0000")&amp;"-"&amp;TEXT(TODAY(),"YYYYMMDD"))</f>
        <v/>
      </c>
      <c r="C1725" s="37" t="str">
        <f>IF(Agent09_Savings!A130="","",Agent09_Savings!B130)</f>
        <v/>
      </c>
      <c r="D1725" s="37" t="str">
        <f>IF(Agent09_Savings!A130="","",Agent09_Savings!G130)</f>
        <v/>
      </c>
      <c r="E1725" s="38" t="str">
        <f>IF(Agent09_Savings!A130="","",Agent09_Savings!D130)</f>
        <v/>
      </c>
      <c r="F1725" s="39" t="str">
        <f>IF(Agent09_Savings!A130="","",Agent09_Savings!E130)</f>
        <v/>
      </c>
      <c r="G1725" s="39" t="str">
        <f>IF(Agent09_Savings!A130="","",Agent09_Savings!F130)</f>
        <v/>
      </c>
      <c r="H1725" s="37" t="str">
        <f>IF(Agent09_Savings!A130="","",Agent09_Savings!I130)</f>
        <v/>
      </c>
      <c r="I1725" s="37" t="str">
        <f>IF(Agent09_Savings!A130="","",Agent09_Savings!J130)</f>
        <v/>
      </c>
      <c r="J1725" s="37" t="str">
        <f>IF(Agent09_Savings!A130="","",Agent09_Savings!K130)</f>
        <v/>
      </c>
      <c r="K1725" s="37" t="str">
        <f>IFERROR(IF(Agent09_Savings!A130="","",YEAR(Agent09_Savings!D130)),"")</f>
        <v/>
      </c>
    </row>
    <row r="1726" spans="1:11" ht="18" customHeight="1" x14ac:dyDescent="0.25">
      <c r="A1726" s="37" t="str">
        <f>IF(Agent09_Savings!A131="","",Agent09_Savings!A131)</f>
        <v/>
      </c>
      <c r="B1726" s="37" t="str">
        <f ca="1">IF(Agent09_Savings!A131="","","SV"&amp;TEXT(1726-3,"0000")&amp;"-"&amp;TEXT(TODAY(),"YYYYMMDD"))</f>
        <v/>
      </c>
      <c r="C1726" s="37" t="str">
        <f>IF(Agent09_Savings!A131="","",Agent09_Savings!B131)</f>
        <v/>
      </c>
      <c r="D1726" s="37" t="str">
        <f>IF(Agent09_Savings!A131="","",Agent09_Savings!G131)</f>
        <v/>
      </c>
      <c r="E1726" s="38" t="str">
        <f>IF(Agent09_Savings!A131="","",Agent09_Savings!D131)</f>
        <v/>
      </c>
      <c r="F1726" s="39" t="str">
        <f>IF(Agent09_Savings!A131="","",Agent09_Savings!E131)</f>
        <v/>
      </c>
      <c r="G1726" s="39" t="str">
        <f>IF(Agent09_Savings!A131="","",Agent09_Savings!F131)</f>
        <v/>
      </c>
      <c r="H1726" s="37" t="str">
        <f>IF(Agent09_Savings!A131="","",Agent09_Savings!I131)</f>
        <v/>
      </c>
      <c r="I1726" s="37" t="str">
        <f>IF(Agent09_Savings!A131="","",Agent09_Savings!J131)</f>
        <v/>
      </c>
      <c r="J1726" s="37" t="str">
        <f>IF(Agent09_Savings!A131="","",Agent09_Savings!K131)</f>
        <v/>
      </c>
      <c r="K1726" s="37" t="str">
        <f>IFERROR(IF(Agent09_Savings!A131="","",YEAR(Agent09_Savings!D131)),"")</f>
        <v/>
      </c>
    </row>
    <row r="1727" spans="1:11" ht="18" customHeight="1" x14ac:dyDescent="0.25">
      <c r="A1727" s="37" t="str">
        <f>IF(Agent09_Savings!A132="","",Agent09_Savings!A132)</f>
        <v/>
      </c>
      <c r="B1727" s="37" t="str">
        <f ca="1">IF(Agent09_Savings!A132="","","SV"&amp;TEXT(1727-3,"0000")&amp;"-"&amp;TEXT(TODAY(),"YYYYMMDD"))</f>
        <v/>
      </c>
      <c r="C1727" s="37" t="str">
        <f>IF(Agent09_Savings!A132="","",Agent09_Savings!B132)</f>
        <v/>
      </c>
      <c r="D1727" s="37" t="str">
        <f>IF(Agent09_Savings!A132="","",Agent09_Savings!G132)</f>
        <v/>
      </c>
      <c r="E1727" s="38" t="str">
        <f>IF(Agent09_Savings!A132="","",Agent09_Savings!D132)</f>
        <v/>
      </c>
      <c r="F1727" s="39" t="str">
        <f>IF(Agent09_Savings!A132="","",Agent09_Savings!E132)</f>
        <v/>
      </c>
      <c r="G1727" s="39" t="str">
        <f>IF(Agent09_Savings!A132="","",Agent09_Savings!F132)</f>
        <v/>
      </c>
      <c r="H1727" s="37" t="str">
        <f>IF(Agent09_Savings!A132="","",Agent09_Savings!I132)</f>
        <v/>
      </c>
      <c r="I1727" s="37" t="str">
        <f>IF(Agent09_Savings!A132="","",Agent09_Savings!J132)</f>
        <v/>
      </c>
      <c r="J1727" s="37" t="str">
        <f>IF(Agent09_Savings!A132="","",Agent09_Savings!K132)</f>
        <v/>
      </c>
      <c r="K1727" s="37" t="str">
        <f>IFERROR(IF(Agent09_Savings!A132="","",YEAR(Agent09_Savings!D132)),"")</f>
        <v/>
      </c>
    </row>
    <row r="1728" spans="1:11" ht="18" customHeight="1" x14ac:dyDescent="0.25">
      <c r="A1728" s="37" t="str">
        <f>IF(Agent09_Savings!A133="","",Agent09_Savings!A133)</f>
        <v/>
      </c>
      <c r="B1728" s="37" t="str">
        <f ca="1">IF(Agent09_Savings!A133="","","SV"&amp;TEXT(1728-3,"0000")&amp;"-"&amp;TEXT(TODAY(),"YYYYMMDD"))</f>
        <v/>
      </c>
      <c r="C1728" s="37" t="str">
        <f>IF(Agent09_Savings!A133="","",Agent09_Savings!B133)</f>
        <v/>
      </c>
      <c r="D1728" s="37" t="str">
        <f>IF(Agent09_Savings!A133="","",Agent09_Savings!G133)</f>
        <v/>
      </c>
      <c r="E1728" s="38" t="str">
        <f>IF(Agent09_Savings!A133="","",Agent09_Savings!D133)</f>
        <v/>
      </c>
      <c r="F1728" s="39" t="str">
        <f>IF(Agent09_Savings!A133="","",Agent09_Savings!E133)</f>
        <v/>
      </c>
      <c r="G1728" s="39" t="str">
        <f>IF(Agent09_Savings!A133="","",Agent09_Savings!F133)</f>
        <v/>
      </c>
      <c r="H1728" s="37" t="str">
        <f>IF(Agent09_Savings!A133="","",Agent09_Savings!I133)</f>
        <v/>
      </c>
      <c r="I1728" s="37" t="str">
        <f>IF(Agent09_Savings!A133="","",Agent09_Savings!J133)</f>
        <v/>
      </c>
      <c r="J1728" s="37" t="str">
        <f>IF(Agent09_Savings!A133="","",Agent09_Savings!K133)</f>
        <v/>
      </c>
      <c r="K1728" s="37" t="str">
        <f>IFERROR(IF(Agent09_Savings!A133="","",YEAR(Agent09_Savings!D133)),"")</f>
        <v/>
      </c>
    </row>
    <row r="1729" spans="1:11" ht="18" customHeight="1" x14ac:dyDescent="0.25">
      <c r="A1729" s="37" t="str">
        <f>IF(Agent09_Savings!A134="","",Agent09_Savings!A134)</f>
        <v/>
      </c>
      <c r="B1729" s="37" t="str">
        <f ca="1">IF(Agent09_Savings!A134="","","SV"&amp;TEXT(1729-3,"0000")&amp;"-"&amp;TEXT(TODAY(),"YYYYMMDD"))</f>
        <v/>
      </c>
      <c r="C1729" s="37" t="str">
        <f>IF(Agent09_Savings!A134="","",Agent09_Savings!B134)</f>
        <v/>
      </c>
      <c r="D1729" s="37" t="str">
        <f>IF(Agent09_Savings!A134="","",Agent09_Savings!G134)</f>
        <v/>
      </c>
      <c r="E1729" s="38" t="str">
        <f>IF(Agent09_Savings!A134="","",Agent09_Savings!D134)</f>
        <v/>
      </c>
      <c r="F1729" s="39" t="str">
        <f>IF(Agent09_Savings!A134="","",Agent09_Savings!E134)</f>
        <v/>
      </c>
      <c r="G1729" s="39" t="str">
        <f>IF(Agent09_Savings!A134="","",Agent09_Savings!F134)</f>
        <v/>
      </c>
      <c r="H1729" s="37" t="str">
        <f>IF(Agent09_Savings!A134="","",Agent09_Savings!I134)</f>
        <v/>
      </c>
      <c r="I1729" s="37" t="str">
        <f>IF(Agent09_Savings!A134="","",Agent09_Savings!J134)</f>
        <v/>
      </c>
      <c r="J1729" s="37" t="str">
        <f>IF(Agent09_Savings!A134="","",Agent09_Savings!K134)</f>
        <v/>
      </c>
      <c r="K1729" s="37" t="str">
        <f>IFERROR(IF(Agent09_Savings!A134="","",YEAR(Agent09_Savings!D134)),"")</f>
        <v/>
      </c>
    </row>
    <row r="1730" spans="1:11" ht="18" customHeight="1" x14ac:dyDescent="0.25">
      <c r="A1730" s="37" t="str">
        <f>IF(Agent09_Savings!A135="","",Agent09_Savings!A135)</f>
        <v/>
      </c>
      <c r="B1730" s="37" t="str">
        <f ca="1">IF(Agent09_Savings!A135="","","SV"&amp;TEXT(1730-3,"0000")&amp;"-"&amp;TEXT(TODAY(),"YYYYMMDD"))</f>
        <v/>
      </c>
      <c r="C1730" s="37" t="str">
        <f>IF(Agent09_Savings!A135="","",Agent09_Savings!B135)</f>
        <v/>
      </c>
      <c r="D1730" s="37" t="str">
        <f>IF(Agent09_Savings!A135="","",Agent09_Savings!G135)</f>
        <v/>
      </c>
      <c r="E1730" s="38" t="str">
        <f>IF(Agent09_Savings!A135="","",Agent09_Savings!D135)</f>
        <v/>
      </c>
      <c r="F1730" s="39" t="str">
        <f>IF(Agent09_Savings!A135="","",Agent09_Savings!E135)</f>
        <v/>
      </c>
      <c r="G1730" s="39" t="str">
        <f>IF(Agent09_Savings!A135="","",Agent09_Savings!F135)</f>
        <v/>
      </c>
      <c r="H1730" s="37" t="str">
        <f>IF(Agent09_Savings!A135="","",Agent09_Savings!I135)</f>
        <v/>
      </c>
      <c r="I1730" s="37" t="str">
        <f>IF(Agent09_Savings!A135="","",Agent09_Savings!J135)</f>
        <v/>
      </c>
      <c r="J1730" s="37" t="str">
        <f>IF(Agent09_Savings!A135="","",Agent09_Savings!K135)</f>
        <v/>
      </c>
      <c r="K1730" s="37" t="str">
        <f>IFERROR(IF(Agent09_Savings!A135="","",YEAR(Agent09_Savings!D135)),"")</f>
        <v/>
      </c>
    </row>
    <row r="1731" spans="1:11" ht="18" customHeight="1" x14ac:dyDescent="0.25">
      <c r="A1731" s="37" t="str">
        <f>IF(Agent09_Savings!A136="","",Agent09_Savings!A136)</f>
        <v/>
      </c>
      <c r="B1731" s="37" t="str">
        <f ca="1">IF(Agent09_Savings!A136="","","SV"&amp;TEXT(1731-3,"0000")&amp;"-"&amp;TEXT(TODAY(),"YYYYMMDD"))</f>
        <v/>
      </c>
      <c r="C1731" s="37" t="str">
        <f>IF(Agent09_Savings!A136="","",Agent09_Savings!B136)</f>
        <v/>
      </c>
      <c r="D1731" s="37" t="str">
        <f>IF(Agent09_Savings!A136="","",Agent09_Savings!G136)</f>
        <v/>
      </c>
      <c r="E1731" s="38" t="str">
        <f>IF(Agent09_Savings!A136="","",Agent09_Savings!D136)</f>
        <v/>
      </c>
      <c r="F1731" s="39" t="str">
        <f>IF(Agent09_Savings!A136="","",Agent09_Savings!E136)</f>
        <v/>
      </c>
      <c r="G1731" s="39" t="str">
        <f>IF(Agent09_Savings!A136="","",Agent09_Savings!F136)</f>
        <v/>
      </c>
      <c r="H1731" s="37" t="str">
        <f>IF(Agent09_Savings!A136="","",Agent09_Savings!I136)</f>
        <v/>
      </c>
      <c r="I1731" s="37" t="str">
        <f>IF(Agent09_Savings!A136="","",Agent09_Savings!J136)</f>
        <v/>
      </c>
      <c r="J1731" s="37" t="str">
        <f>IF(Agent09_Savings!A136="","",Agent09_Savings!K136)</f>
        <v/>
      </c>
      <c r="K1731" s="37" t="str">
        <f>IFERROR(IF(Agent09_Savings!A136="","",YEAR(Agent09_Savings!D136)),"")</f>
        <v/>
      </c>
    </row>
    <row r="1732" spans="1:11" ht="18" customHeight="1" x14ac:dyDescent="0.25">
      <c r="A1732" s="37" t="str">
        <f>IF(Agent09_Savings!A137="","",Agent09_Savings!A137)</f>
        <v/>
      </c>
      <c r="B1732" s="37" t="str">
        <f ca="1">IF(Agent09_Savings!A137="","","SV"&amp;TEXT(1732-3,"0000")&amp;"-"&amp;TEXT(TODAY(),"YYYYMMDD"))</f>
        <v/>
      </c>
      <c r="C1732" s="37" t="str">
        <f>IF(Agent09_Savings!A137="","",Agent09_Savings!B137)</f>
        <v/>
      </c>
      <c r="D1732" s="37" t="str">
        <f>IF(Agent09_Savings!A137="","",Agent09_Savings!G137)</f>
        <v/>
      </c>
      <c r="E1732" s="38" t="str">
        <f>IF(Agent09_Savings!A137="","",Agent09_Savings!D137)</f>
        <v/>
      </c>
      <c r="F1732" s="39" t="str">
        <f>IF(Agent09_Savings!A137="","",Agent09_Savings!E137)</f>
        <v/>
      </c>
      <c r="G1732" s="39" t="str">
        <f>IF(Agent09_Savings!A137="","",Agent09_Savings!F137)</f>
        <v/>
      </c>
      <c r="H1732" s="37" t="str">
        <f>IF(Agent09_Savings!A137="","",Agent09_Savings!I137)</f>
        <v/>
      </c>
      <c r="I1732" s="37" t="str">
        <f>IF(Agent09_Savings!A137="","",Agent09_Savings!J137)</f>
        <v/>
      </c>
      <c r="J1732" s="37" t="str">
        <f>IF(Agent09_Savings!A137="","",Agent09_Savings!K137)</f>
        <v/>
      </c>
      <c r="K1732" s="37" t="str">
        <f>IFERROR(IF(Agent09_Savings!A137="","",YEAR(Agent09_Savings!D137)),"")</f>
        <v/>
      </c>
    </row>
    <row r="1733" spans="1:11" ht="18" customHeight="1" x14ac:dyDescent="0.25">
      <c r="A1733" s="37" t="str">
        <f>IF(Agent09_Savings!A138="","",Agent09_Savings!A138)</f>
        <v/>
      </c>
      <c r="B1733" s="37" t="str">
        <f ca="1">IF(Agent09_Savings!A138="","","SV"&amp;TEXT(1733-3,"0000")&amp;"-"&amp;TEXT(TODAY(),"YYYYMMDD"))</f>
        <v/>
      </c>
      <c r="C1733" s="37" t="str">
        <f>IF(Agent09_Savings!A138="","",Agent09_Savings!B138)</f>
        <v/>
      </c>
      <c r="D1733" s="37" t="str">
        <f>IF(Agent09_Savings!A138="","",Agent09_Savings!G138)</f>
        <v/>
      </c>
      <c r="E1733" s="38" t="str">
        <f>IF(Agent09_Savings!A138="","",Agent09_Savings!D138)</f>
        <v/>
      </c>
      <c r="F1733" s="39" t="str">
        <f>IF(Agent09_Savings!A138="","",Agent09_Savings!E138)</f>
        <v/>
      </c>
      <c r="G1733" s="39" t="str">
        <f>IF(Agent09_Savings!A138="","",Agent09_Savings!F138)</f>
        <v/>
      </c>
      <c r="H1733" s="37" t="str">
        <f>IF(Agent09_Savings!A138="","",Agent09_Savings!I138)</f>
        <v/>
      </c>
      <c r="I1733" s="37" t="str">
        <f>IF(Agent09_Savings!A138="","",Agent09_Savings!J138)</f>
        <v/>
      </c>
      <c r="J1733" s="37" t="str">
        <f>IF(Agent09_Savings!A138="","",Agent09_Savings!K138)</f>
        <v/>
      </c>
      <c r="K1733" s="37" t="str">
        <f>IFERROR(IF(Agent09_Savings!A138="","",YEAR(Agent09_Savings!D138)),"")</f>
        <v/>
      </c>
    </row>
    <row r="1734" spans="1:11" ht="18" customHeight="1" x14ac:dyDescent="0.25">
      <c r="A1734" s="37" t="str">
        <f>IF(Agent09_Savings!A139="","",Agent09_Savings!A139)</f>
        <v/>
      </c>
      <c r="B1734" s="37" t="str">
        <f ca="1">IF(Agent09_Savings!A139="","","SV"&amp;TEXT(1734-3,"0000")&amp;"-"&amp;TEXT(TODAY(),"YYYYMMDD"))</f>
        <v/>
      </c>
      <c r="C1734" s="37" t="str">
        <f>IF(Agent09_Savings!A139="","",Agent09_Savings!B139)</f>
        <v/>
      </c>
      <c r="D1734" s="37" t="str">
        <f>IF(Agent09_Savings!A139="","",Agent09_Savings!G139)</f>
        <v/>
      </c>
      <c r="E1734" s="38" t="str">
        <f>IF(Agent09_Savings!A139="","",Agent09_Savings!D139)</f>
        <v/>
      </c>
      <c r="F1734" s="39" t="str">
        <f>IF(Agent09_Savings!A139="","",Agent09_Savings!E139)</f>
        <v/>
      </c>
      <c r="G1734" s="39" t="str">
        <f>IF(Agent09_Savings!A139="","",Agent09_Savings!F139)</f>
        <v/>
      </c>
      <c r="H1734" s="37" t="str">
        <f>IF(Agent09_Savings!A139="","",Agent09_Savings!I139)</f>
        <v/>
      </c>
      <c r="I1734" s="37" t="str">
        <f>IF(Agent09_Savings!A139="","",Agent09_Savings!J139)</f>
        <v/>
      </c>
      <c r="J1734" s="37" t="str">
        <f>IF(Agent09_Savings!A139="","",Agent09_Savings!K139)</f>
        <v/>
      </c>
      <c r="K1734" s="37" t="str">
        <f>IFERROR(IF(Agent09_Savings!A139="","",YEAR(Agent09_Savings!D139)),"")</f>
        <v/>
      </c>
    </row>
    <row r="1735" spans="1:11" ht="18" customHeight="1" x14ac:dyDescent="0.25">
      <c r="A1735" s="37" t="str">
        <f>IF(Agent09_Savings!A140="","",Agent09_Savings!A140)</f>
        <v/>
      </c>
      <c r="B1735" s="37" t="str">
        <f ca="1">IF(Agent09_Savings!A140="","","SV"&amp;TEXT(1735-3,"0000")&amp;"-"&amp;TEXT(TODAY(),"YYYYMMDD"))</f>
        <v/>
      </c>
      <c r="C1735" s="37" t="str">
        <f>IF(Agent09_Savings!A140="","",Agent09_Savings!B140)</f>
        <v/>
      </c>
      <c r="D1735" s="37" t="str">
        <f>IF(Agent09_Savings!A140="","",Agent09_Savings!G140)</f>
        <v/>
      </c>
      <c r="E1735" s="38" t="str">
        <f>IF(Agent09_Savings!A140="","",Agent09_Savings!D140)</f>
        <v/>
      </c>
      <c r="F1735" s="39" t="str">
        <f>IF(Agent09_Savings!A140="","",Agent09_Savings!E140)</f>
        <v/>
      </c>
      <c r="G1735" s="39" t="str">
        <f>IF(Agent09_Savings!A140="","",Agent09_Savings!F140)</f>
        <v/>
      </c>
      <c r="H1735" s="37" t="str">
        <f>IF(Agent09_Savings!A140="","",Agent09_Savings!I140)</f>
        <v/>
      </c>
      <c r="I1735" s="37" t="str">
        <f>IF(Agent09_Savings!A140="","",Agent09_Savings!J140)</f>
        <v/>
      </c>
      <c r="J1735" s="37" t="str">
        <f>IF(Agent09_Savings!A140="","",Agent09_Savings!K140)</f>
        <v/>
      </c>
      <c r="K1735" s="37" t="str">
        <f>IFERROR(IF(Agent09_Savings!A140="","",YEAR(Agent09_Savings!D140)),"")</f>
        <v/>
      </c>
    </row>
    <row r="1736" spans="1:11" ht="18" customHeight="1" x14ac:dyDescent="0.25">
      <c r="A1736" s="37" t="str">
        <f>IF(Agent09_Savings!A141="","",Agent09_Savings!A141)</f>
        <v/>
      </c>
      <c r="B1736" s="37" t="str">
        <f ca="1">IF(Agent09_Savings!A141="","","SV"&amp;TEXT(1736-3,"0000")&amp;"-"&amp;TEXT(TODAY(),"YYYYMMDD"))</f>
        <v/>
      </c>
      <c r="C1736" s="37" t="str">
        <f>IF(Agent09_Savings!A141="","",Agent09_Savings!B141)</f>
        <v/>
      </c>
      <c r="D1736" s="37" t="str">
        <f>IF(Agent09_Savings!A141="","",Agent09_Savings!G141)</f>
        <v/>
      </c>
      <c r="E1736" s="38" t="str">
        <f>IF(Agent09_Savings!A141="","",Agent09_Savings!D141)</f>
        <v/>
      </c>
      <c r="F1736" s="39" t="str">
        <f>IF(Agent09_Savings!A141="","",Agent09_Savings!E141)</f>
        <v/>
      </c>
      <c r="G1736" s="39" t="str">
        <f>IF(Agent09_Savings!A141="","",Agent09_Savings!F141)</f>
        <v/>
      </c>
      <c r="H1736" s="37" t="str">
        <f>IF(Agent09_Savings!A141="","",Agent09_Savings!I141)</f>
        <v/>
      </c>
      <c r="I1736" s="37" t="str">
        <f>IF(Agent09_Savings!A141="","",Agent09_Savings!J141)</f>
        <v/>
      </c>
      <c r="J1736" s="37" t="str">
        <f>IF(Agent09_Savings!A141="","",Agent09_Savings!K141)</f>
        <v/>
      </c>
      <c r="K1736" s="37" t="str">
        <f>IFERROR(IF(Agent09_Savings!A141="","",YEAR(Agent09_Savings!D141)),"")</f>
        <v/>
      </c>
    </row>
    <row r="1737" spans="1:11" ht="18" customHeight="1" x14ac:dyDescent="0.25">
      <c r="A1737" s="37" t="str">
        <f>IF(Agent09_Savings!A142="","",Agent09_Savings!A142)</f>
        <v/>
      </c>
      <c r="B1737" s="37" t="str">
        <f ca="1">IF(Agent09_Savings!A142="","","SV"&amp;TEXT(1737-3,"0000")&amp;"-"&amp;TEXT(TODAY(),"YYYYMMDD"))</f>
        <v/>
      </c>
      <c r="C1737" s="37" t="str">
        <f>IF(Agent09_Savings!A142="","",Agent09_Savings!B142)</f>
        <v/>
      </c>
      <c r="D1737" s="37" t="str">
        <f>IF(Agent09_Savings!A142="","",Agent09_Savings!G142)</f>
        <v/>
      </c>
      <c r="E1737" s="38" t="str">
        <f>IF(Agent09_Savings!A142="","",Agent09_Savings!D142)</f>
        <v/>
      </c>
      <c r="F1737" s="39" t="str">
        <f>IF(Agent09_Savings!A142="","",Agent09_Savings!E142)</f>
        <v/>
      </c>
      <c r="G1737" s="39" t="str">
        <f>IF(Agent09_Savings!A142="","",Agent09_Savings!F142)</f>
        <v/>
      </c>
      <c r="H1737" s="37" t="str">
        <f>IF(Agent09_Savings!A142="","",Agent09_Savings!I142)</f>
        <v/>
      </c>
      <c r="I1737" s="37" t="str">
        <f>IF(Agent09_Savings!A142="","",Agent09_Savings!J142)</f>
        <v/>
      </c>
      <c r="J1737" s="37" t="str">
        <f>IF(Agent09_Savings!A142="","",Agent09_Savings!K142)</f>
        <v/>
      </c>
      <c r="K1737" s="37" t="str">
        <f>IFERROR(IF(Agent09_Savings!A142="","",YEAR(Agent09_Savings!D142)),"")</f>
        <v/>
      </c>
    </row>
    <row r="1738" spans="1:11" ht="18" customHeight="1" x14ac:dyDescent="0.25">
      <c r="A1738" s="37" t="str">
        <f>IF(Agent09_Savings!A143="","",Agent09_Savings!A143)</f>
        <v/>
      </c>
      <c r="B1738" s="37" t="str">
        <f ca="1">IF(Agent09_Savings!A143="","","SV"&amp;TEXT(1738-3,"0000")&amp;"-"&amp;TEXT(TODAY(),"YYYYMMDD"))</f>
        <v/>
      </c>
      <c r="C1738" s="37" t="str">
        <f>IF(Agent09_Savings!A143="","",Agent09_Savings!B143)</f>
        <v/>
      </c>
      <c r="D1738" s="37" t="str">
        <f>IF(Agent09_Savings!A143="","",Agent09_Savings!G143)</f>
        <v/>
      </c>
      <c r="E1738" s="38" t="str">
        <f>IF(Agent09_Savings!A143="","",Agent09_Savings!D143)</f>
        <v/>
      </c>
      <c r="F1738" s="39" t="str">
        <f>IF(Agent09_Savings!A143="","",Agent09_Savings!E143)</f>
        <v/>
      </c>
      <c r="G1738" s="39" t="str">
        <f>IF(Agent09_Savings!A143="","",Agent09_Savings!F143)</f>
        <v/>
      </c>
      <c r="H1738" s="37" t="str">
        <f>IF(Agent09_Savings!A143="","",Agent09_Savings!I143)</f>
        <v/>
      </c>
      <c r="I1738" s="37" t="str">
        <f>IF(Agent09_Savings!A143="","",Agent09_Savings!J143)</f>
        <v/>
      </c>
      <c r="J1738" s="37" t="str">
        <f>IF(Agent09_Savings!A143="","",Agent09_Savings!K143)</f>
        <v/>
      </c>
      <c r="K1738" s="37" t="str">
        <f>IFERROR(IF(Agent09_Savings!A143="","",YEAR(Agent09_Savings!D143)),"")</f>
        <v/>
      </c>
    </row>
    <row r="1739" spans="1:11" ht="18" customHeight="1" x14ac:dyDescent="0.25">
      <c r="A1739" s="37" t="str">
        <f>IF(Agent09_Savings!A144="","",Agent09_Savings!A144)</f>
        <v/>
      </c>
      <c r="B1739" s="37" t="str">
        <f ca="1">IF(Agent09_Savings!A144="","","SV"&amp;TEXT(1739-3,"0000")&amp;"-"&amp;TEXT(TODAY(),"YYYYMMDD"))</f>
        <v/>
      </c>
      <c r="C1739" s="37" t="str">
        <f>IF(Agent09_Savings!A144="","",Agent09_Savings!B144)</f>
        <v/>
      </c>
      <c r="D1739" s="37" t="str">
        <f>IF(Agent09_Savings!A144="","",Agent09_Savings!G144)</f>
        <v/>
      </c>
      <c r="E1739" s="38" t="str">
        <f>IF(Agent09_Savings!A144="","",Agent09_Savings!D144)</f>
        <v/>
      </c>
      <c r="F1739" s="39" t="str">
        <f>IF(Agent09_Savings!A144="","",Agent09_Savings!E144)</f>
        <v/>
      </c>
      <c r="G1739" s="39" t="str">
        <f>IF(Agent09_Savings!A144="","",Agent09_Savings!F144)</f>
        <v/>
      </c>
      <c r="H1739" s="37" t="str">
        <f>IF(Agent09_Savings!A144="","",Agent09_Savings!I144)</f>
        <v/>
      </c>
      <c r="I1739" s="37" t="str">
        <f>IF(Agent09_Savings!A144="","",Agent09_Savings!J144)</f>
        <v/>
      </c>
      <c r="J1739" s="37" t="str">
        <f>IF(Agent09_Savings!A144="","",Agent09_Savings!K144)</f>
        <v/>
      </c>
      <c r="K1739" s="37" t="str">
        <f>IFERROR(IF(Agent09_Savings!A144="","",YEAR(Agent09_Savings!D144)),"")</f>
        <v/>
      </c>
    </row>
    <row r="1740" spans="1:11" ht="18" customHeight="1" x14ac:dyDescent="0.25">
      <c r="A1740" s="37" t="str">
        <f>IF(Agent09_Savings!A145="","",Agent09_Savings!A145)</f>
        <v/>
      </c>
      <c r="B1740" s="37" t="str">
        <f ca="1">IF(Agent09_Savings!A145="","","SV"&amp;TEXT(1740-3,"0000")&amp;"-"&amp;TEXT(TODAY(),"YYYYMMDD"))</f>
        <v/>
      </c>
      <c r="C1740" s="37" t="str">
        <f>IF(Agent09_Savings!A145="","",Agent09_Savings!B145)</f>
        <v/>
      </c>
      <c r="D1740" s="37" t="str">
        <f>IF(Agent09_Savings!A145="","",Agent09_Savings!G145)</f>
        <v/>
      </c>
      <c r="E1740" s="38" t="str">
        <f>IF(Agent09_Savings!A145="","",Agent09_Savings!D145)</f>
        <v/>
      </c>
      <c r="F1740" s="39" t="str">
        <f>IF(Agent09_Savings!A145="","",Agent09_Savings!E145)</f>
        <v/>
      </c>
      <c r="G1740" s="39" t="str">
        <f>IF(Agent09_Savings!A145="","",Agent09_Savings!F145)</f>
        <v/>
      </c>
      <c r="H1740" s="37" t="str">
        <f>IF(Agent09_Savings!A145="","",Agent09_Savings!I145)</f>
        <v/>
      </c>
      <c r="I1740" s="37" t="str">
        <f>IF(Agent09_Savings!A145="","",Agent09_Savings!J145)</f>
        <v/>
      </c>
      <c r="J1740" s="37" t="str">
        <f>IF(Agent09_Savings!A145="","",Agent09_Savings!K145)</f>
        <v/>
      </c>
      <c r="K1740" s="37" t="str">
        <f>IFERROR(IF(Agent09_Savings!A145="","",YEAR(Agent09_Savings!D145)),"")</f>
        <v/>
      </c>
    </row>
    <row r="1741" spans="1:11" ht="18" customHeight="1" x14ac:dyDescent="0.25">
      <c r="A1741" s="37" t="str">
        <f>IF(Agent09_Savings!A146="","",Agent09_Savings!A146)</f>
        <v/>
      </c>
      <c r="B1741" s="37" t="str">
        <f ca="1">IF(Agent09_Savings!A146="","","SV"&amp;TEXT(1741-3,"0000")&amp;"-"&amp;TEXT(TODAY(),"YYYYMMDD"))</f>
        <v/>
      </c>
      <c r="C1741" s="37" t="str">
        <f>IF(Agent09_Savings!A146="","",Agent09_Savings!B146)</f>
        <v/>
      </c>
      <c r="D1741" s="37" t="str">
        <f>IF(Agent09_Savings!A146="","",Agent09_Savings!G146)</f>
        <v/>
      </c>
      <c r="E1741" s="38" t="str">
        <f>IF(Agent09_Savings!A146="","",Agent09_Savings!D146)</f>
        <v/>
      </c>
      <c r="F1741" s="39" t="str">
        <f>IF(Agent09_Savings!A146="","",Agent09_Savings!E146)</f>
        <v/>
      </c>
      <c r="G1741" s="39" t="str">
        <f>IF(Agent09_Savings!A146="","",Agent09_Savings!F146)</f>
        <v/>
      </c>
      <c r="H1741" s="37" t="str">
        <f>IF(Agent09_Savings!A146="","",Agent09_Savings!I146)</f>
        <v/>
      </c>
      <c r="I1741" s="37" t="str">
        <f>IF(Agent09_Savings!A146="","",Agent09_Savings!J146)</f>
        <v/>
      </c>
      <c r="J1741" s="37" t="str">
        <f>IF(Agent09_Savings!A146="","",Agent09_Savings!K146)</f>
        <v/>
      </c>
      <c r="K1741" s="37" t="str">
        <f>IFERROR(IF(Agent09_Savings!A146="","",YEAR(Agent09_Savings!D146)),"")</f>
        <v/>
      </c>
    </row>
    <row r="1742" spans="1:11" ht="18" customHeight="1" x14ac:dyDescent="0.25">
      <c r="A1742" s="37" t="str">
        <f>IF(Agent09_Savings!A147="","",Agent09_Savings!A147)</f>
        <v/>
      </c>
      <c r="B1742" s="37" t="str">
        <f ca="1">IF(Agent09_Savings!A147="","","SV"&amp;TEXT(1742-3,"0000")&amp;"-"&amp;TEXT(TODAY(),"YYYYMMDD"))</f>
        <v/>
      </c>
      <c r="C1742" s="37" t="str">
        <f>IF(Agent09_Savings!A147="","",Agent09_Savings!B147)</f>
        <v/>
      </c>
      <c r="D1742" s="37" t="str">
        <f>IF(Agent09_Savings!A147="","",Agent09_Savings!G147)</f>
        <v/>
      </c>
      <c r="E1742" s="38" t="str">
        <f>IF(Agent09_Savings!A147="","",Agent09_Savings!D147)</f>
        <v/>
      </c>
      <c r="F1742" s="39" t="str">
        <f>IF(Agent09_Savings!A147="","",Agent09_Savings!E147)</f>
        <v/>
      </c>
      <c r="G1742" s="39" t="str">
        <f>IF(Agent09_Savings!A147="","",Agent09_Savings!F147)</f>
        <v/>
      </c>
      <c r="H1742" s="37" t="str">
        <f>IF(Agent09_Savings!A147="","",Agent09_Savings!I147)</f>
        <v/>
      </c>
      <c r="I1742" s="37" t="str">
        <f>IF(Agent09_Savings!A147="","",Agent09_Savings!J147)</f>
        <v/>
      </c>
      <c r="J1742" s="37" t="str">
        <f>IF(Agent09_Savings!A147="","",Agent09_Savings!K147)</f>
        <v/>
      </c>
      <c r="K1742" s="37" t="str">
        <f>IFERROR(IF(Agent09_Savings!A147="","",YEAR(Agent09_Savings!D147)),"")</f>
        <v/>
      </c>
    </row>
    <row r="1743" spans="1:11" ht="18" customHeight="1" x14ac:dyDescent="0.25">
      <c r="A1743" s="37" t="str">
        <f>IF(Agent09_Savings!A148="","",Agent09_Savings!A148)</f>
        <v/>
      </c>
      <c r="B1743" s="37" t="str">
        <f ca="1">IF(Agent09_Savings!A148="","","SV"&amp;TEXT(1743-3,"0000")&amp;"-"&amp;TEXT(TODAY(),"YYYYMMDD"))</f>
        <v/>
      </c>
      <c r="C1743" s="37" t="str">
        <f>IF(Agent09_Savings!A148="","",Agent09_Savings!B148)</f>
        <v/>
      </c>
      <c r="D1743" s="37" t="str">
        <f>IF(Agent09_Savings!A148="","",Agent09_Savings!G148)</f>
        <v/>
      </c>
      <c r="E1743" s="38" t="str">
        <f>IF(Agent09_Savings!A148="","",Agent09_Savings!D148)</f>
        <v/>
      </c>
      <c r="F1743" s="39" t="str">
        <f>IF(Agent09_Savings!A148="","",Agent09_Savings!E148)</f>
        <v/>
      </c>
      <c r="G1743" s="39" t="str">
        <f>IF(Agent09_Savings!A148="","",Agent09_Savings!F148)</f>
        <v/>
      </c>
      <c r="H1743" s="37" t="str">
        <f>IF(Agent09_Savings!A148="","",Agent09_Savings!I148)</f>
        <v/>
      </c>
      <c r="I1743" s="37" t="str">
        <f>IF(Agent09_Savings!A148="","",Agent09_Savings!J148)</f>
        <v/>
      </c>
      <c r="J1743" s="37" t="str">
        <f>IF(Agent09_Savings!A148="","",Agent09_Savings!K148)</f>
        <v/>
      </c>
      <c r="K1743" s="37" t="str">
        <f>IFERROR(IF(Agent09_Savings!A148="","",YEAR(Agent09_Savings!D148)),"")</f>
        <v/>
      </c>
    </row>
    <row r="1744" spans="1:11" ht="18" customHeight="1" x14ac:dyDescent="0.25">
      <c r="A1744" s="37" t="str">
        <f>IF(Agent09_Savings!A149="","",Agent09_Savings!A149)</f>
        <v/>
      </c>
      <c r="B1744" s="37" t="str">
        <f ca="1">IF(Agent09_Savings!A149="","","SV"&amp;TEXT(1744-3,"0000")&amp;"-"&amp;TEXT(TODAY(),"YYYYMMDD"))</f>
        <v/>
      </c>
      <c r="C1744" s="37" t="str">
        <f>IF(Agent09_Savings!A149="","",Agent09_Savings!B149)</f>
        <v/>
      </c>
      <c r="D1744" s="37" t="str">
        <f>IF(Agent09_Savings!A149="","",Agent09_Savings!G149)</f>
        <v/>
      </c>
      <c r="E1744" s="38" t="str">
        <f>IF(Agent09_Savings!A149="","",Agent09_Savings!D149)</f>
        <v/>
      </c>
      <c r="F1744" s="39" t="str">
        <f>IF(Agent09_Savings!A149="","",Agent09_Savings!E149)</f>
        <v/>
      </c>
      <c r="G1744" s="39" t="str">
        <f>IF(Agent09_Savings!A149="","",Agent09_Savings!F149)</f>
        <v/>
      </c>
      <c r="H1744" s="37" t="str">
        <f>IF(Agent09_Savings!A149="","",Agent09_Savings!I149)</f>
        <v/>
      </c>
      <c r="I1744" s="37" t="str">
        <f>IF(Agent09_Savings!A149="","",Agent09_Savings!J149)</f>
        <v/>
      </c>
      <c r="J1744" s="37" t="str">
        <f>IF(Agent09_Savings!A149="","",Agent09_Savings!K149)</f>
        <v/>
      </c>
      <c r="K1744" s="37" t="str">
        <f>IFERROR(IF(Agent09_Savings!A149="","",YEAR(Agent09_Savings!D149)),"")</f>
        <v/>
      </c>
    </row>
    <row r="1745" spans="1:11" ht="18" customHeight="1" x14ac:dyDescent="0.25">
      <c r="A1745" s="37" t="str">
        <f>IF(Agent09_Savings!A150="","",Agent09_Savings!A150)</f>
        <v/>
      </c>
      <c r="B1745" s="37" t="str">
        <f ca="1">IF(Agent09_Savings!A150="","","SV"&amp;TEXT(1745-3,"0000")&amp;"-"&amp;TEXT(TODAY(),"YYYYMMDD"))</f>
        <v/>
      </c>
      <c r="C1745" s="37" t="str">
        <f>IF(Agent09_Savings!A150="","",Agent09_Savings!B150)</f>
        <v/>
      </c>
      <c r="D1745" s="37" t="str">
        <f>IF(Agent09_Savings!A150="","",Agent09_Savings!G150)</f>
        <v/>
      </c>
      <c r="E1745" s="38" t="str">
        <f>IF(Agent09_Savings!A150="","",Agent09_Savings!D150)</f>
        <v/>
      </c>
      <c r="F1745" s="39" t="str">
        <f>IF(Agent09_Savings!A150="","",Agent09_Savings!E150)</f>
        <v/>
      </c>
      <c r="G1745" s="39" t="str">
        <f>IF(Agent09_Savings!A150="","",Agent09_Savings!F150)</f>
        <v/>
      </c>
      <c r="H1745" s="37" t="str">
        <f>IF(Agent09_Savings!A150="","",Agent09_Savings!I150)</f>
        <v/>
      </c>
      <c r="I1745" s="37" t="str">
        <f>IF(Agent09_Savings!A150="","",Agent09_Savings!J150)</f>
        <v/>
      </c>
      <c r="J1745" s="37" t="str">
        <f>IF(Agent09_Savings!A150="","",Agent09_Savings!K150)</f>
        <v/>
      </c>
      <c r="K1745" s="37" t="str">
        <f>IFERROR(IF(Agent09_Savings!A150="","",YEAR(Agent09_Savings!D150)),"")</f>
        <v/>
      </c>
    </row>
    <row r="1746" spans="1:11" ht="18" customHeight="1" x14ac:dyDescent="0.25">
      <c r="A1746" s="37" t="str">
        <f>IF(Agent09_Savings!A151="","",Agent09_Savings!A151)</f>
        <v/>
      </c>
      <c r="B1746" s="37" t="str">
        <f ca="1">IF(Agent09_Savings!A151="","","SV"&amp;TEXT(1746-3,"0000")&amp;"-"&amp;TEXT(TODAY(),"YYYYMMDD"))</f>
        <v/>
      </c>
      <c r="C1746" s="37" t="str">
        <f>IF(Agent09_Savings!A151="","",Agent09_Savings!B151)</f>
        <v/>
      </c>
      <c r="D1746" s="37" t="str">
        <f>IF(Agent09_Savings!A151="","",Agent09_Savings!G151)</f>
        <v/>
      </c>
      <c r="E1746" s="38" t="str">
        <f>IF(Agent09_Savings!A151="","",Agent09_Savings!D151)</f>
        <v/>
      </c>
      <c r="F1746" s="39" t="str">
        <f>IF(Agent09_Savings!A151="","",Agent09_Savings!E151)</f>
        <v/>
      </c>
      <c r="G1746" s="39" t="str">
        <f>IF(Agent09_Savings!A151="","",Agent09_Savings!F151)</f>
        <v/>
      </c>
      <c r="H1746" s="37" t="str">
        <f>IF(Agent09_Savings!A151="","",Agent09_Savings!I151)</f>
        <v/>
      </c>
      <c r="I1746" s="37" t="str">
        <f>IF(Agent09_Savings!A151="","",Agent09_Savings!J151)</f>
        <v/>
      </c>
      <c r="J1746" s="37" t="str">
        <f>IF(Agent09_Savings!A151="","",Agent09_Savings!K151)</f>
        <v/>
      </c>
      <c r="K1746" s="37" t="str">
        <f>IFERROR(IF(Agent09_Savings!A151="","",YEAR(Agent09_Savings!D151)),"")</f>
        <v/>
      </c>
    </row>
    <row r="1747" spans="1:11" ht="18" customHeight="1" x14ac:dyDescent="0.25">
      <c r="A1747" s="37" t="str">
        <f>IF(Agent09_Savings!A152="","",Agent09_Savings!A152)</f>
        <v/>
      </c>
      <c r="B1747" s="37" t="str">
        <f ca="1">IF(Agent09_Savings!A152="","","SV"&amp;TEXT(1747-3,"0000")&amp;"-"&amp;TEXT(TODAY(),"YYYYMMDD"))</f>
        <v/>
      </c>
      <c r="C1747" s="37" t="str">
        <f>IF(Agent09_Savings!A152="","",Agent09_Savings!B152)</f>
        <v/>
      </c>
      <c r="D1747" s="37" t="str">
        <f>IF(Agent09_Savings!A152="","",Agent09_Savings!G152)</f>
        <v/>
      </c>
      <c r="E1747" s="38" t="str">
        <f>IF(Agent09_Savings!A152="","",Agent09_Savings!D152)</f>
        <v/>
      </c>
      <c r="F1747" s="39" t="str">
        <f>IF(Agent09_Savings!A152="","",Agent09_Savings!E152)</f>
        <v/>
      </c>
      <c r="G1747" s="39" t="str">
        <f>IF(Agent09_Savings!A152="","",Agent09_Savings!F152)</f>
        <v/>
      </c>
      <c r="H1747" s="37" t="str">
        <f>IF(Agent09_Savings!A152="","",Agent09_Savings!I152)</f>
        <v/>
      </c>
      <c r="I1747" s="37" t="str">
        <f>IF(Agent09_Savings!A152="","",Agent09_Savings!J152)</f>
        <v/>
      </c>
      <c r="J1747" s="37" t="str">
        <f>IF(Agent09_Savings!A152="","",Agent09_Savings!K152)</f>
        <v/>
      </c>
      <c r="K1747" s="37" t="str">
        <f>IFERROR(IF(Agent09_Savings!A152="","",YEAR(Agent09_Savings!D152)),"")</f>
        <v/>
      </c>
    </row>
    <row r="1748" spans="1:11" ht="18" customHeight="1" x14ac:dyDescent="0.25">
      <c r="A1748" s="37" t="str">
        <f>IF(Agent09_Savings!A153="","",Agent09_Savings!A153)</f>
        <v/>
      </c>
      <c r="B1748" s="37" t="str">
        <f ca="1">IF(Agent09_Savings!A153="","","SV"&amp;TEXT(1748-3,"0000")&amp;"-"&amp;TEXT(TODAY(),"YYYYMMDD"))</f>
        <v/>
      </c>
      <c r="C1748" s="37" t="str">
        <f>IF(Agent09_Savings!A153="","",Agent09_Savings!B153)</f>
        <v/>
      </c>
      <c r="D1748" s="37" t="str">
        <f>IF(Agent09_Savings!A153="","",Agent09_Savings!G153)</f>
        <v/>
      </c>
      <c r="E1748" s="38" t="str">
        <f>IF(Agent09_Savings!A153="","",Agent09_Savings!D153)</f>
        <v/>
      </c>
      <c r="F1748" s="39" t="str">
        <f>IF(Agent09_Savings!A153="","",Agent09_Savings!E153)</f>
        <v/>
      </c>
      <c r="G1748" s="39" t="str">
        <f>IF(Agent09_Savings!A153="","",Agent09_Savings!F153)</f>
        <v/>
      </c>
      <c r="H1748" s="37" t="str">
        <f>IF(Agent09_Savings!A153="","",Agent09_Savings!I153)</f>
        <v/>
      </c>
      <c r="I1748" s="37" t="str">
        <f>IF(Agent09_Savings!A153="","",Agent09_Savings!J153)</f>
        <v/>
      </c>
      <c r="J1748" s="37" t="str">
        <f>IF(Agent09_Savings!A153="","",Agent09_Savings!K153)</f>
        <v/>
      </c>
      <c r="K1748" s="37" t="str">
        <f>IFERROR(IF(Agent09_Savings!A153="","",YEAR(Agent09_Savings!D153)),"")</f>
        <v/>
      </c>
    </row>
    <row r="1749" spans="1:11" ht="18" customHeight="1" x14ac:dyDescent="0.25">
      <c r="A1749" s="37" t="str">
        <f>IF(Agent09_Savings!A154="","",Agent09_Savings!A154)</f>
        <v/>
      </c>
      <c r="B1749" s="37" t="str">
        <f ca="1">IF(Agent09_Savings!A154="","","SV"&amp;TEXT(1749-3,"0000")&amp;"-"&amp;TEXT(TODAY(),"YYYYMMDD"))</f>
        <v/>
      </c>
      <c r="C1749" s="37" t="str">
        <f>IF(Agent09_Savings!A154="","",Agent09_Savings!B154)</f>
        <v/>
      </c>
      <c r="D1749" s="37" t="str">
        <f>IF(Agent09_Savings!A154="","",Agent09_Savings!G154)</f>
        <v/>
      </c>
      <c r="E1749" s="38" t="str">
        <f>IF(Agent09_Savings!A154="","",Agent09_Savings!D154)</f>
        <v/>
      </c>
      <c r="F1749" s="39" t="str">
        <f>IF(Agent09_Savings!A154="","",Agent09_Savings!E154)</f>
        <v/>
      </c>
      <c r="G1749" s="39" t="str">
        <f>IF(Agent09_Savings!A154="","",Agent09_Savings!F154)</f>
        <v/>
      </c>
      <c r="H1749" s="37" t="str">
        <f>IF(Agent09_Savings!A154="","",Agent09_Savings!I154)</f>
        <v/>
      </c>
      <c r="I1749" s="37" t="str">
        <f>IF(Agent09_Savings!A154="","",Agent09_Savings!J154)</f>
        <v/>
      </c>
      <c r="J1749" s="37" t="str">
        <f>IF(Agent09_Savings!A154="","",Agent09_Savings!K154)</f>
        <v/>
      </c>
      <c r="K1749" s="37" t="str">
        <f>IFERROR(IF(Agent09_Savings!A154="","",YEAR(Agent09_Savings!D154)),"")</f>
        <v/>
      </c>
    </row>
    <row r="1750" spans="1:11" ht="18" customHeight="1" x14ac:dyDescent="0.25">
      <c r="A1750" s="37" t="str">
        <f>IF(Agent09_Savings!A155="","",Agent09_Savings!A155)</f>
        <v/>
      </c>
      <c r="B1750" s="37" t="str">
        <f ca="1">IF(Agent09_Savings!A155="","","SV"&amp;TEXT(1750-3,"0000")&amp;"-"&amp;TEXT(TODAY(),"YYYYMMDD"))</f>
        <v/>
      </c>
      <c r="C1750" s="37" t="str">
        <f>IF(Agent09_Savings!A155="","",Agent09_Savings!B155)</f>
        <v/>
      </c>
      <c r="D1750" s="37" t="str">
        <f>IF(Agent09_Savings!A155="","",Agent09_Savings!G155)</f>
        <v/>
      </c>
      <c r="E1750" s="38" t="str">
        <f>IF(Agent09_Savings!A155="","",Agent09_Savings!D155)</f>
        <v/>
      </c>
      <c r="F1750" s="39" t="str">
        <f>IF(Agent09_Savings!A155="","",Agent09_Savings!E155)</f>
        <v/>
      </c>
      <c r="G1750" s="39" t="str">
        <f>IF(Agent09_Savings!A155="","",Agent09_Savings!F155)</f>
        <v/>
      </c>
      <c r="H1750" s="37" t="str">
        <f>IF(Agent09_Savings!A155="","",Agent09_Savings!I155)</f>
        <v/>
      </c>
      <c r="I1750" s="37" t="str">
        <f>IF(Agent09_Savings!A155="","",Agent09_Savings!J155)</f>
        <v/>
      </c>
      <c r="J1750" s="37" t="str">
        <f>IF(Agent09_Savings!A155="","",Agent09_Savings!K155)</f>
        <v/>
      </c>
      <c r="K1750" s="37" t="str">
        <f>IFERROR(IF(Agent09_Savings!A155="","",YEAR(Agent09_Savings!D155)),"")</f>
        <v/>
      </c>
    </row>
    <row r="1751" spans="1:11" ht="18" customHeight="1" x14ac:dyDescent="0.25">
      <c r="A1751" s="37" t="str">
        <f>IF(Agent09_Savings!A156="","",Agent09_Savings!A156)</f>
        <v/>
      </c>
      <c r="B1751" s="37" t="str">
        <f ca="1">IF(Agent09_Savings!A156="","","SV"&amp;TEXT(1751-3,"0000")&amp;"-"&amp;TEXT(TODAY(),"YYYYMMDD"))</f>
        <v/>
      </c>
      <c r="C1751" s="37" t="str">
        <f>IF(Agent09_Savings!A156="","",Agent09_Savings!B156)</f>
        <v/>
      </c>
      <c r="D1751" s="37" t="str">
        <f>IF(Agent09_Savings!A156="","",Agent09_Savings!G156)</f>
        <v/>
      </c>
      <c r="E1751" s="38" t="str">
        <f>IF(Agent09_Savings!A156="","",Agent09_Savings!D156)</f>
        <v/>
      </c>
      <c r="F1751" s="39" t="str">
        <f>IF(Agent09_Savings!A156="","",Agent09_Savings!E156)</f>
        <v/>
      </c>
      <c r="G1751" s="39" t="str">
        <f>IF(Agent09_Savings!A156="","",Agent09_Savings!F156)</f>
        <v/>
      </c>
      <c r="H1751" s="37" t="str">
        <f>IF(Agent09_Savings!A156="","",Agent09_Savings!I156)</f>
        <v/>
      </c>
      <c r="I1751" s="37" t="str">
        <f>IF(Agent09_Savings!A156="","",Agent09_Savings!J156)</f>
        <v/>
      </c>
      <c r="J1751" s="37" t="str">
        <f>IF(Agent09_Savings!A156="","",Agent09_Savings!K156)</f>
        <v/>
      </c>
      <c r="K1751" s="37" t="str">
        <f>IFERROR(IF(Agent09_Savings!A156="","",YEAR(Agent09_Savings!D156)),"")</f>
        <v/>
      </c>
    </row>
    <row r="1752" spans="1:11" ht="18" customHeight="1" x14ac:dyDescent="0.25">
      <c r="A1752" s="37" t="str">
        <f>IF(Agent09_Savings!A157="","",Agent09_Savings!A157)</f>
        <v/>
      </c>
      <c r="B1752" s="37" t="str">
        <f ca="1">IF(Agent09_Savings!A157="","","SV"&amp;TEXT(1752-3,"0000")&amp;"-"&amp;TEXT(TODAY(),"YYYYMMDD"))</f>
        <v/>
      </c>
      <c r="C1752" s="37" t="str">
        <f>IF(Agent09_Savings!A157="","",Agent09_Savings!B157)</f>
        <v/>
      </c>
      <c r="D1752" s="37" t="str">
        <f>IF(Agent09_Savings!A157="","",Agent09_Savings!G157)</f>
        <v/>
      </c>
      <c r="E1752" s="38" t="str">
        <f>IF(Agent09_Savings!A157="","",Agent09_Savings!D157)</f>
        <v/>
      </c>
      <c r="F1752" s="39" t="str">
        <f>IF(Agent09_Savings!A157="","",Agent09_Savings!E157)</f>
        <v/>
      </c>
      <c r="G1752" s="39" t="str">
        <f>IF(Agent09_Savings!A157="","",Agent09_Savings!F157)</f>
        <v/>
      </c>
      <c r="H1752" s="37" t="str">
        <f>IF(Agent09_Savings!A157="","",Agent09_Savings!I157)</f>
        <v/>
      </c>
      <c r="I1752" s="37" t="str">
        <f>IF(Agent09_Savings!A157="","",Agent09_Savings!J157)</f>
        <v/>
      </c>
      <c r="J1752" s="37" t="str">
        <f>IF(Agent09_Savings!A157="","",Agent09_Savings!K157)</f>
        <v/>
      </c>
      <c r="K1752" s="37" t="str">
        <f>IFERROR(IF(Agent09_Savings!A157="","",YEAR(Agent09_Savings!D157)),"")</f>
        <v/>
      </c>
    </row>
    <row r="1753" spans="1:11" ht="18" customHeight="1" x14ac:dyDescent="0.25">
      <c r="A1753" s="37" t="str">
        <f>IF(Agent09_Savings!A158="","",Agent09_Savings!A158)</f>
        <v/>
      </c>
      <c r="B1753" s="37" t="str">
        <f ca="1">IF(Agent09_Savings!A158="","","SV"&amp;TEXT(1753-3,"0000")&amp;"-"&amp;TEXT(TODAY(),"YYYYMMDD"))</f>
        <v/>
      </c>
      <c r="C1753" s="37" t="str">
        <f>IF(Agent09_Savings!A158="","",Agent09_Savings!B158)</f>
        <v/>
      </c>
      <c r="D1753" s="37" t="str">
        <f>IF(Agent09_Savings!A158="","",Agent09_Savings!G158)</f>
        <v/>
      </c>
      <c r="E1753" s="38" t="str">
        <f>IF(Agent09_Savings!A158="","",Agent09_Savings!D158)</f>
        <v/>
      </c>
      <c r="F1753" s="39" t="str">
        <f>IF(Agent09_Savings!A158="","",Agent09_Savings!E158)</f>
        <v/>
      </c>
      <c r="G1753" s="39" t="str">
        <f>IF(Agent09_Savings!A158="","",Agent09_Savings!F158)</f>
        <v/>
      </c>
      <c r="H1753" s="37" t="str">
        <f>IF(Agent09_Savings!A158="","",Agent09_Savings!I158)</f>
        <v/>
      </c>
      <c r="I1753" s="37" t="str">
        <f>IF(Agent09_Savings!A158="","",Agent09_Savings!J158)</f>
        <v/>
      </c>
      <c r="J1753" s="37" t="str">
        <f>IF(Agent09_Savings!A158="","",Agent09_Savings!K158)</f>
        <v/>
      </c>
      <c r="K1753" s="37" t="str">
        <f>IFERROR(IF(Agent09_Savings!A158="","",YEAR(Agent09_Savings!D158)),"")</f>
        <v/>
      </c>
    </row>
    <row r="1754" spans="1:11" ht="18" customHeight="1" x14ac:dyDescent="0.25">
      <c r="A1754" s="37" t="str">
        <f>IF(Agent09_Savings!A159="","",Agent09_Savings!A159)</f>
        <v/>
      </c>
      <c r="B1754" s="37" t="str">
        <f ca="1">IF(Agent09_Savings!A159="","","SV"&amp;TEXT(1754-3,"0000")&amp;"-"&amp;TEXT(TODAY(),"YYYYMMDD"))</f>
        <v/>
      </c>
      <c r="C1754" s="37" t="str">
        <f>IF(Agent09_Savings!A159="","",Agent09_Savings!B159)</f>
        <v/>
      </c>
      <c r="D1754" s="37" t="str">
        <f>IF(Agent09_Savings!A159="","",Agent09_Savings!G159)</f>
        <v/>
      </c>
      <c r="E1754" s="38" t="str">
        <f>IF(Agent09_Savings!A159="","",Agent09_Savings!D159)</f>
        <v/>
      </c>
      <c r="F1754" s="39" t="str">
        <f>IF(Agent09_Savings!A159="","",Agent09_Savings!E159)</f>
        <v/>
      </c>
      <c r="G1754" s="39" t="str">
        <f>IF(Agent09_Savings!A159="","",Agent09_Savings!F159)</f>
        <v/>
      </c>
      <c r="H1754" s="37" t="str">
        <f>IF(Agent09_Savings!A159="","",Agent09_Savings!I159)</f>
        <v/>
      </c>
      <c r="I1754" s="37" t="str">
        <f>IF(Agent09_Savings!A159="","",Agent09_Savings!J159)</f>
        <v/>
      </c>
      <c r="J1754" s="37" t="str">
        <f>IF(Agent09_Savings!A159="","",Agent09_Savings!K159)</f>
        <v/>
      </c>
      <c r="K1754" s="37" t="str">
        <f>IFERROR(IF(Agent09_Savings!A159="","",YEAR(Agent09_Savings!D159)),"")</f>
        <v/>
      </c>
    </row>
    <row r="1755" spans="1:11" ht="18" customHeight="1" x14ac:dyDescent="0.25">
      <c r="A1755" s="37" t="str">
        <f>IF(Agent09_Savings!A160="","",Agent09_Savings!A160)</f>
        <v/>
      </c>
      <c r="B1755" s="37" t="str">
        <f ca="1">IF(Agent09_Savings!A160="","","SV"&amp;TEXT(1755-3,"0000")&amp;"-"&amp;TEXT(TODAY(),"YYYYMMDD"))</f>
        <v/>
      </c>
      <c r="C1755" s="37" t="str">
        <f>IF(Agent09_Savings!A160="","",Agent09_Savings!B160)</f>
        <v/>
      </c>
      <c r="D1755" s="37" t="str">
        <f>IF(Agent09_Savings!A160="","",Agent09_Savings!G160)</f>
        <v/>
      </c>
      <c r="E1755" s="38" t="str">
        <f>IF(Agent09_Savings!A160="","",Agent09_Savings!D160)</f>
        <v/>
      </c>
      <c r="F1755" s="39" t="str">
        <f>IF(Agent09_Savings!A160="","",Agent09_Savings!E160)</f>
        <v/>
      </c>
      <c r="G1755" s="39" t="str">
        <f>IF(Agent09_Savings!A160="","",Agent09_Savings!F160)</f>
        <v/>
      </c>
      <c r="H1755" s="37" t="str">
        <f>IF(Agent09_Savings!A160="","",Agent09_Savings!I160)</f>
        <v/>
      </c>
      <c r="I1755" s="37" t="str">
        <f>IF(Agent09_Savings!A160="","",Agent09_Savings!J160)</f>
        <v/>
      </c>
      <c r="J1755" s="37" t="str">
        <f>IF(Agent09_Savings!A160="","",Agent09_Savings!K160)</f>
        <v/>
      </c>
      <c r="K1755" s="37" t="str">
        <f>IFERROR(IF(Agent09_Savings!A160="","",YEAR(Agent09_Savings!D160)),"")</f>
        <v/>
      </c>
    </row>
    <row r="1756" spans="1:11" ht="18" customHeight="1" x14ac:dyDescent="0.25">
      <c r="A1756" s="37" t="str">
        <f>IF(Agent09_Savings!A161="","",Agent09_Savings!A161)</f>
        <v/>
      </c>
      <c r="B1756" s="37" t="str">
        <f ca="1">IF(Agent09_Savings!A161="","","SV"&amp;TEXT(1756-3,"0000")&amp;"-"&amp;TEXT(TODAY(),"YYYYMMDD"))</f>
        <v/>
      </c>
      <c r="C1756" s="37" t="str">
        <f>IF(Agent09_Savings!A161="","",Agent09_Savings!B161)</f>
        <v/>
      </c>
      <c r="D1756" s="37" t="str">
        <f>IF(Agent09_Savings!A161="","",Agent09_Savings!G161)</f>
        <v/>
      </c>
      <c r="E1756" s="38" t="str">
        <f>IF(Agent09_Savings!A161="","",Agent09_Savings!D161)</f>
        <v/>
      </c>
      <c r="F1756" s="39" t="str">
        <f>IF(Agent09_Savings!A161="","",Agent09_Savings!E161)</f>
        <v/>
      </c>
      <c r="G1756" s="39" t="str">
        <f>IF(Agent09_Savings!A161="","",Agent09_Savings!F161)</f>
        <v/>
      </c>
      <c r="H1756" s="37" t="str">
        <f>IF(Agent09_Savings!A161="","",Agent09_Savings!I161)</f>
        <v/>
      </c>
      <c r="I1756" s="37" t="str">
        <f>IF(Agent09_Savings!A161="","",Agent09_Savings!J161)</f>
        <v/>
      </c>
      <c r="J1756" s="37" t="str">
        <f>IF(Agent09_Savings!A161="","",Agent09_Savings!K161)</f>
        <v/>
      </c>
      <c r="K1756" s="37" t="str">
        <f>IFERROR(IF(Agent09_Savings!A161="","",YEAR(Agent09_Savings!D161)),"")</f>
        <v/>
      </c>
    </row>
    <row r="1757" spans="1:11" ht="18" customHeight="1" x14ac:dyDescent="0.25">
      <c r="A1757" s="37" t="str">
        <f>IF(Agent09_Savings!A162="","",Agent09_Savings!A162)</f>
        <v/>
      </c>
      <c r="B1757" s="37" t="str">
        <f ca="1">IF(Agent09_Savings!A162="","","SV"&amp;TEXT(1757-3,"0000")&amp;"-"&amp;TEXT(TODAY(),"YYYYMMDD"))</f>
        <v/>
      </c>
      <c r="C1757" s="37" t="str">
        <f>IF(Agent09_Savings!A162="","",Agent09_Savings!B162)</f>
        <v/>
      </c>
      <c r="D1757" s="37" t="str">
        <f>IF(Agent09_Savings!A162="","",Agent09_Savings!G162)</f>
        <v/>
      </c>
      <c r="E1757" s="38" t="str">
        <f>IF(Agent09_Savings!A162="","",Agent09_Savings!D162)</f>
        <v/>
      </c>
      <c r="F1757" s="39" t="str">
        <f>IF(Agent09_Savings!A162="","",Agent09_Savings!E162)</f>
        <v/>
      </c>
      <c r="G1757" s="39" t="str">
        <f>IF(Agent09_Savings!A162="","",Agent09_Savings!F162)</f>
        <v/>
      </c>
      <c r="H1757" s="37" t="str">
        <f>IF(Agent09_Savings!A162="","",Agent09_Savings!I162)</f>
        <v/>
      </c>
      <c r="I1757" s="37" t="str">
        <f>IF(Agent09_Savings!A162="","",Agent09_Savings!J162)</f>
        <v/>
      </c>
      <c r="J1757" s="37" t="str">
        <f>IF(Agent09_Savings!A162="","",Agent09_Savings!K162)</f>
        <v/>
      </c>
      <c r="K1757" s="37" t="str">
        <f>IFERROR(IF(Agent09_Savings!A162="","",YEAR(Agent09_Savings!D162)),"")</f>
        <v/>
      </c>
    </row>
    <row r="1758" spans="1:11" ht="18" customHeight="1" x14ac:dyDescent="0.25">
      <c r="A1758" s="37" t="str">
        <f>IF(Agent09_Savings!A163="","",Agent09_Savings!A163)</f>
        <v/>
      </c>
      <c r="B1758" s="37" t="str">
        <f ca="1">IF(Agent09_Savings!A163="","","SV"&amp;TEXT(1758-3,"0000")&amp;"-"&amp;TEXT(TODAY(),"YYYYMMDD"))</f>
        <v/>
      </c>
      <c r="C1758" s="37" t="str">
        <f>IF(Agent09_Savings!A163="","",Agent09_Savings!B163)</f>
        <v/>
      </c>
      <c r="D1758" s="37" t="str">
        <f>IF(Agent09_Savings!A163="","",Agent09_Savings!G163)</f>
        <v/>
      </c>
      <c r="E1758" s="38" t="str">
        <f>IF(Agent09_Savings!A163="","",Agent09_Savings!D163)</f>
        <v/>
      </c>
      <c r="F1758" s="39" t="str">
        <f>IF(Agent09_Savings!A163="","",Agent09_Savings!E163)</f>
        <v/>
      </c>
      <c r="G1758" s="39" t="str">
        <f>IF(Agent09_Savings!A163="","",Agent09_Savings!F163)</f>
        <v/>
      </c>
      <c r="H1758" s="37" t="str">
        <f>IF(Agent09_Savings!A163="","",Agent09_Savings!I163)</f>
        <v/>
      </c>
      <c r="I1758" s="37" t="str">
        <f>IF(Agent09_Savings!A163="","",Agent09_Savings!J163)</f>
        <v/>
      </c>
      <c r="J1758" s="37" t="str">
        <f>IF(Agent09_Savings!A163="","",Agent09_Savings!K163)</f>
        <v/>
      </c>
      <c r="K1758" s="37" t="str">
        <f>IFERROR(IF(Agent09_Savings!A163="","",YEAR(Agent09_Savings!D163)),"")</f>
        <v/>
      </c>
    </row>
    <row r="1759" spans="1:11" ht="18" customHeight="1" x14ac:dyDescent="0.25">
      <c r="A1759" s="37" t="str">
        <f>IF(Agent09_Savings!A164="","",Agent09_Savings!A164)</f>
        <v/>
      </c>
      <c r="B1759" s="37" t="str">
        <f ca="1">IF(Agent09_Savings!A164="","","SV"&amp;TEXT(1759-3,"0000")&amp;"-"&amp;TEXT(TODAY(),"YYYYMMDD"))</f>
        <v/>
      </c>
      <c r="C1759" s="37" t="str">
        <f>IF(Agent09_Savings!A164="","",Agent09_Savings!B164)</f>
        <v/>
      </c>
      <c r="D1759" s="37" t="str">
        <f>IF(Agent09_Savings!A164="","",Agent09_Savings!G164)</f>
        <v/>
      </c>
      <c r="E1759" s="38" t="str">
        <f>IF(Agent09_Savings!A164="","",Agent09_Savings!D164)</f>
        <v/>
      </c>
      <c r="F1759" s="39" t="str">
        <f>IF(Agent09_Savings!A164="","",Agent09_Savings!E164)</f>
        <v/>
      </c>
      <c r="G1759" s="39" t="str">
        <f>IF(Agent09_Savings!A164="","",Agent09_Savings!F164)</f>
        <v/>
      </c>
      <c r="H1759" s="37" t="str">
        <f>IF(Agent09_Savings!A164="","",Agent09_Savings!I164)</f>
        <v/>
      </c>
      <c r="I1759" s="37" t="str">
        <f>IF(Agent09_Savings!A164="","",Agent09_Savings!J164)</f>
        <v/>
      </c>
      <c r="J1759" s="37" t="str">
        <f>IF(Agent09_Savings!A164="","",Agent09_Savings!K164)</f>
        <v/>
      </c>
      <c r="K1759" s="37" t="str">
        <f>IFERROR(IF(Agent09_Savings!A164="","",YEAR(Agent09_Savings!D164)),"")</f>
        <v/>
      </c>
    </row>
    <row r="1760" spans="1:11" ht="18" customHeight="1" x14ac:dyDescent="0.25">
      <c r="A1760" s="37" t="str">
        <f>IF(Agent09_Savings!A165="","",Agent09_Savings!A165)</f>
        <v/>
      </c>
      <c r="B1760" s="37" t="str">
        <f ca="1">IF(Agent09_Savings!A165="","","SV"&amp;TEXT(1760-3,"0000")&amp;"-"&amp;TEXT(TODAY(),"YYYYMMDD"))</f>
        <v/>
      </c>
      <c r="C1760" s="37" t="str">
        <f>IF(Agent09_Savings!A165="","",Agent09_Savings!B165)</f>
        <v/>
      </c>
      <c r="D1760" s="37" t="str">
        <f>IF(Agent09_Savings!A165="","",Agent09_Savings!G165)</f>
        <v/>
      </c>
      <c r="E1760" s="38" t="str">
        <f>IF(Agent09_Savings!A165="","",Agent09_Savings!D165)</f>
        <v/>
      </c>
      <c r="F1760" s="39" t="str">
        <f>IF(Agent09_Savings!A165="","",Agent09_Savings!E165)</f>
        <v/>
      </c>
      <c r="G1760" s="39" t="str">
        <f>IF(Agent09_Savings!A165="","",Agent09_Savings!F165)</f>
        <v/>
      </c>
      <c r="H1760" s="37" t="str">
        <f>IF(Agent09_Savings!A165="","",Agent09_Savings!I165)</f>
        <v/>
      </c>
      <c r="I1760" s="37" t="str">
        <f>IF(Agent09_Savings!A165="","",Agent09_Savings!J165)</f>
        <v/>
      </c>
      <c r="J1760" s="37" t="str">
        <f>IF(Agent09_Savings!A165="","",Agent09_Savings!K165)</f>
        <v/>
      </c>
      <c r="K1760" s="37" t="str">
        <f>IFERROR(IF(Agent09_Savings!A165="","",YEAR(Agent09_Savings!D165)),"")</f>
        <v/>
      </c>
    </row>
    <row r="1761" spans="1:11" ht="18" customHeight="1" x14ac:dyDescent="0.25">
      <c r="A1761" s="37" t="str">
        <f>IF(Agent09_Savings!A166="","",Agent09_Savings!A166)</f>
        <v/>
      </c>
      <c r="B1761" s="37" t="str">
        <f ca="1">IF(Agent09_Savings!A166="","","SV"&amp;TEXT(1761-3,"0000")&amp;"-"&amp;TEXT(TODAY(),"YYYYMMDD"))</f>
        <v/>
      </c>
      <c r="C1761" s="37" t="str">
        <f>IF(Agent09_Savings!A166="","",Agent09_Savings!B166)</f>
        <v/>
      </c>
      <c r="D1761" s="37" t="str">
        <f>IF(Agent09_Savings!A166="","",Agent09_Savings!G166)</f>
        <v/>
      </c>
      <c r="E1761" s="38" t="str">
        <f>IF(Agent09_Savings!A166="","",Agent09_Savings!D166)</f>
        <v/>
      </c>
      <c r="F1761" s="39" t="str">
        <f>IF(Agent09_Savings!A166="","",Agent09_Savings!E166)</f>
        <v/>
      </c>
      <c r="G1761" s="39" t="str">
        <f>IF(Agent09_Savings!A166="","",Agent09_Savings!F166)</f>
        <v/>
      </c>
      <c r="H1761" s="37" t="str">
        <f>IF(Agent09_Savings!A166="","",Agent09_Savings!I166)</f>
        <v/>
      </c>
      <c r="I1761" s="37" t="str">
        <f>IF(Agent09_Savings!A166="","",Agent09_Savings!J166)</f>
        <v/>
      </c>
      <c r="J1761" s="37" t="str">
        <f>IF(Agent09_Savings!A166="","",Agent09_Savings!K166)</f>
        <v/>
      </c>
      <c r="K1761" s="37" t="str">
        <f>IFERROR(IF(Agent09_Savings!A166="","",YEAR(Agent09_Savings!D166)),"")</f>
        <v/>
      </c>
    </row>
    <row r="1762" spans="1:11" ht="18" customHeight="1" x14ac:dyDescent="0.25">
      <c r="A1762" s="37" t="str">
        <f>IF(Agent09_Savings!A167="","",Agent09_Savings!A167)</f>
        <v/>
      </c>
      <c r="B1762" s="37" t="str">
        <f ca="1">IF(Agent09_Savings!A167="","","SV"&amp;TEXT(1762-3,"0000")&amp;"-"&amp;TEXT(TODAY(),"YYYYMMDD"))</f>
        <v/>
      </c>
      <c r="C1762" s="37" t="str">
        <f>IF(Agent09_Savings!A167="","",Agent09_Savings!B167)</f>
        <v/>
      </c>
      <c r="D1762" s="37" t="str">
        <f>IF(Agent09_Savings!A167="","",Agent09_Savings!G167)</f>
        <v/>
      </c>
      <c r="E1762" s="38" t="str">
        <f>IF(Agent09_Savings!A167="","",Agent09_Savings!D167)</f>
        <v/>
      </c>
      <c r="F1762" s="39" t="str">
        <f>IF(Agent09_Savings!A167="","",Agent09_Savings!E167)</f>
        <v/>
      </c>
      <c r="G1762" s="39" t="str">
        <f>IF(Agent09_Savings!A167="","",Agent09_Savings!F167)</f>
        <v/>
      </c>
      <c r="H1762" s="37" t="str">
        <f>IF(Agent09_Savings!A167="","",Agent09_Savings!I167)</f>
        <v/>
      </c>
      <c r="I1762" s="37" t="str">
        <f>IF(Agent09_Savings!A167="","",Agent09_Savings!J167)</f>
        <v/>
      </c>
      <c r="J1762" s="37" t="str">
        <f>IF(Agent09_Savings!A167="","",Agent09_Savings!K167)</f>
        <v/>
      </c>
      <c r="K1762" s="37" t="str">
        <f>IFERROR(IF(Agent09_Savings!A167="","",YEAR(Agent09_Savings!D167)),"")</f>
        <v/>
      </c>
    </row>
    <row r="1763" spans="1:11" ht="18" customHeight="1" x14ac:dyDescent="0.25">
      <c r="A1763" s="37" t="str">
        <f>IF(Agent09_Savings!A168="","",Agent09_Savings!A168)</f>
        <v/>
      </c>
      <c r="B1763" s="37" t="str">
        <f ca="1">IF(Agent09_Savings!A168="","","SV"&amp;TEXT(1763-3,"0000")&amp;"-"&amp;TEXT(TODAY(),"YYYYMMDD"))</f>
        <v/>
      </c>
      <c r="C1763" s="37" t="str">
        <f>IF(Agent09_Savings!A168="","",Agent09_Savings!B168)</f>
        <v/>
      </c>
      <c r="D1763" s="37" t="str">
        <f>IF(Agent09_Savings!A168="","",Agent09_Savings!G168)</f>
        <v/>
      </c>
      <c r="E1763" s="38" t="str">
        <f>IF(Agent09_Savings!A168="","",Agent09_Savings!D168)</f>
        <v/>
      </c>
      <c r="F1763" s="39" t="str">
        <f>IF(Agent09_Savings!A168="","",Agent09_Savings!E168)</f>
        <v/>
      </c>
      <c r="G1763" s="39" t="str">
        <f>IF(Agent09_Savings!A168="","",Agent09_Savings!F168)</f>
        <v/>
      </c>
      <c r="H1763" s="37" t="str">
        <f>IF(Agent09_Savings!A168="","",Agent09_Savings!I168)</f>
        <v/>
      </c>
      <c r="I1763" s="37" t="str">
        <f>IF(Agent09_Savings!A168="","",Agent09_Savings!J168)</f>
        <v/>
      </c>
      <c r="J1763" s="37" t="str">
        <f>IF(Agent09_Savings!A168="","",Agent09_Savings!K168)</f>
        <v/>
      </c>
      <c r="K1763" s="37" t="str">
        <f>IFERROR(IF(Agent09_Savings!A168="","",YEAR(Agent09_Savings!D168)),"")</f>
        <v/>
      </c>
    </row>
    <row r="1764" spans="1:11" ht="18" customHeight="1" x14ac:dyDescent="0.25">
      <c r="A1764" s="37" t="str">
        <f>IF(Agent09_Savings!A169="","",Agent09_Savings!A169)</f>
        <v/>
      </c>
      <c r="B1764" s="37" t="str">
        <f ca="1">IF(Agent09_Savings!A169="","","SV"&amp;TEXT(1764-3,"0000")&amp;"-"&amp;TEXT(TODAY(),"YYYYMMDD"))</f>
        <v/>
      </c>
      <c r="C1764" s="37" t="str">
        <f>IF(Agent09_Savings!A169="","",Agent09_Savings!B169)</f>
        <v/>
      </c>
      <c r="D1764" s="37" t="str">
        <f>IF(Agent09_Savings!A169="","",Agent09_Savings!G169)</f>
        <v/>
      </c>
      <c r="E1764" s="38" t="str">
        <f>IF(Agent09_Savings!A169="","",Agent09_Savings!D169)</f>
        <v/>
      </c>
      <c r="F1764" s="39" t="str">
        <f>IF(Agent09_Savings!A169="","",Agent09_Savings!E169)</f>
        <v/>
      </c>
      <c r="G1764" s="39" t="str">
        <f>IF(Agent09_Savings!A169="","",Agent09_Savings!F169)</f>
        <v/>
      </c>
      <c r="H1764" s="37" t="str">
        <f>IF(Agent09_Savings!A169="","",Agent09_Savings!I169)</f>
        <v/>
      </c>
      <c r="I1764" s="37" t="str">
        <f>IF(Agent09_Savings!A169="","",Agent09_Savings!J169)</f>
        <v/>
      </c>
      <c r="J1764" s="37" t="str">
        <f>IF(Agent09_Savings!A169="","",Agent09_Savings!K169)</f>
        <v/>
      </c>
      <c r="K1764" s="37" t="str">
        <f>IFERROR(IF(Agent09_Savings!A169="","",YEAR(Agent09_Savings!D169)),"")</f>
        <v/>
      </c>
    </row>
    <row r="1765" spans="1:11" ht="18" customHeight="1" x14ac:dyDescent="0.25">
      <c r="A1765" s="37" t="str">
        <f>IF(Agent09_Savings!A170="","",Agent09_Savings!A170)</f>
        <v/>
      </c>
      <c r="B1765" s="37" t="str">
        <f ca="1">IF(Agent09_Savings!A170="","","SV"&amp;TEXT(1765-3,"0000")&amp;"-"&amp;TEXT(TODAY(),"YYYYMMDD"))</f>
        <v/>
      </c>
      <c r="C1765" s="37" t="str">
        <f>IF(Agent09_Savings!A170="","",Agent09_Savings!B170)</f>
        <v/>
      </c>
      <c r="D1765" s="37" t="str">
        <f>IF(Agent09_Savings!A170="","",Agent09_Savings!G170)</f>
        <v/>
      </c>
      <c r="E1765" s="38" t="str">
        <f>IF(Agent09_Savings!A170="","",Agent09_Savings!D170)</f>
        <v/>
      </c>
      <c r="F1765" s="39" t="str">
        <f>IF(Agent09_Savings!A170="","",Agent09_Savings!E170)</f>
        <v/>
      </c>
      <c r="G1765" s="39" t="str">
        <f>IF(Agent09_Savings!A170="","",Agent09_Savings!F170)</f>
        <v/>
      </c>
      <c r="H1765" s="37" t="str">
        <f>IF(Agent09_Savings!A170="","",Agent09_Savings!I170)</f>
        <v/>
      </c>
      <c r="I1765" s="37" t="str">
        <f>IF(Agent09_Savings!A170="","",Agent09_Savings!J170)</f>
        <v/>
      </c>
      <c r="J1765" s="37" t="str">
        <f>IF(Agent09_Savings!A170="","",Agent09_Savings!K170)</f>
        <v/>
      </c>
      <c r="K1765" s="37" t="str">
        <f>IFERROR(IF(Agent09_Savings!A170="","",YEAR(Agent09_Savings!D170)),"")</f>
        <v/>
      </c>
    </row>
    <row r="1766" spans="1:11" ht="18" customHeight="1" x14ac:dyDescent="0.25">
      <c r="A1766" s="37" t="str">
        <f>IF(Agent09_Savings!A171="","",Agent09_Savings!A171)</f>
        <v/>
      </c>
      <c r="B1766" s="37" t="str">
        <f ca="1">IF(Agent09_Savings!A171="","","SV"&amp;TEXT(1766-3,"0000")&amp;"-"&amp;TEXT(TODAY(),"YYYYMMDD"))</f>
        <v/>
      </c>
      <c r="C1766" s="37" t="str">
        <f>IF(Agent09_Savings!A171="","",Agent09_Savings!B171)</f>
        <v/>
      </c>
      <c r="D1766" s="37" t="str">
        <f>IF(Agent09_Savings!A171="","",Agent09_Savings!G171)</f>
        <v/>
      </c>
      <c r="E1766" s="38" t="str">
        <f>IF(Agent09_Savings!A171="","",Agent09_Savings!D171)</f>
        <v/>
      </c>
      <c r="F1766" s="39" t="str">
        <f>IF(Agent09_Savings!A171="","",Agent09_Savings!E171)</f>
        <v/>
      </c>
      <c r="G1766" s="39" t="str">
        <f>IF(Agent09_Savings!A171="","",Agent09_Savings!F171)</f>
        <v/>
      </c>
      <c r="H1766" s="37" t="str">
        <f>IF(Agent09_Savings!A171="","",Agent09_Savings!I171)</f>
        <v/>
      </c>
      <c r="I1766" s="37" t="str">
        <f>IF(Agent09_Savings!A171="","",Agent09_Savings!J171)</f>
        <v/>
      </c>
      <c r="J1766" s="37" t="str">
        <f>IF(Agent09_Savings!A171="","",Agent09_Savings!K171)</f>
        <v/>
      </c>
      <c r="K1766" s="37" t="str">
        <f>IFERROR(IF(Agent09_Savings!A171="","",YEAR(Agent09_Savings!D171)),"")</f>
        <v/>
      </c>
    </row>
    <row r="1767" spans="1:11" ht="18" customHeight="1" x14ac:dyDescent="0.25">
      <c r="A1767" s="37" t="str">
        <f>IF(Agent09_Savings!A172="","",Agent09_Savings!A172)</f>
        <v/>
      </c>
      <c r="B1767" s="37" t="str">
        <f ca="1">IF(Agent09_Savings!A172="","","SV"&amp;TEXT(1767-3,"0000")&amp;"-"&amp;TEXT(TODAY(),"YYYYMMDD"))</f>
        <v/>
      </c>
      <c r="C1767" s="37" t="str">
        <f>IF(Agent09_Savings!A172="","",Agent09_Savings!B172)</f>
        <v/>
      </c>
      <c r="D1767" s="37" t="str">
        <f>IF(Agent09_Savings!A172="","",Agent09_Savings!G172)</f>
        <v/>
      </c>
      <c r="E1767" s="38" t="str">
        <f>IF(Agent09_Savings!A172="","",Agent09_Savings!D172)</f>
        <v/>
      </c>
      <c r="F1767" s="39" t="str">
        <f>IF(Agent09_Savings!A172="","",Agent09_Savings!E172)</f>
        <v/>
      </c>
      <c r="G1767" s="39" t="str">
        <f>IF(Agent09_Savings!A172="","",Agent09_Savings!F172)</f>
        <v/>
      </c>
      <c r="H1767" s="37" t="str">
        <f>IF(Agent09_Savings!A172="","",Agent09_Savings!I172)</f>
        <v/>
      </c>
      <c r="I1767" s="37" t="str">
        <f>IF(Agent09_Savings!A172="","",Agent09_Savings!J172)</f>
        <v/>
      </c>
      <c r="J1767" s="37" t="str">
        <f>IF(Agent09_Savings!A172="","",Agent09_Savings!K172)</f>
        <v/>
      </c>
      <c r="K1767" s="37" t="str">
        <f>IFERROR(IF(Agent09_Savings!A172="","",YEAR(Agent09_Savings!D172)),"")</f>
        <v/>
      </c>
    </row>
    <row r="1768" spans="1:11" ht="18" customHeight="1" x14ac:dyDescent="0.25">
      <c r="A1768" s="37" t="str">
        <f>IF(Agent09_Savings!A173="","",Agent09_Savings!A173)</f>
        <v/>
      </c>
      <c r="B1768" s="37" t="str">
        <f ca="1">IF(Agent09_Savings!A173="","","SV"&amp;TEXT(1768-3,"0000")&amp;"-"&amp;TEXT(TODAY(),"YYYYMMDD"))</f>
        <v/>
      </c>
      <c r="C1768" s="37" t="str">
        <f>IF(Agent09_Savings!A173="","",Agent09_Savings!B173)</f>
        <v/>
      </c>
      <c r="D1768" s="37" t="str">
        <f>IF(Agent09_Savings!A173="","",Agent09_Savings!G173)</f>
        <v/>
      </c>
      <c r="E1768" s="38" t="str">
        <f>IF(Agent09_Savings!A173="","",Agent09_Savings!D173)</f>
        <v/>
      </c>
      <c r="F1768" s="39" t="str">
        <f>IF(Agent09_Savings!A173="","",Agent09_Savings!E173)</f>
        <v/>
      </c>
      <c r="G1768" s="39" t="str">
        <f>IF(Agent09_Savings!A173="","",Agent09_Savings!F173)</f>
        <v/>
      </c>
      <c r="H1768" s="37" t="str">
        <f>IF(Agent09_Savings!A173="","",Agent09_Savings!I173)</f>
        <v/>
      </c>
      <c r="I1768" s="37" t="str">
        <f>IF(Agent09_Savings!A173="","",Agent09_Savings!J173)</f>
        <v/>
      </c>
      <c r="J1768" s="37" t="str">
        <f>IF(Agent09_Savings!A173="","",Agent09_Savings!K173)</f>
        <v/>
      </c>
      <c r="K1768" s="37" t="str">
        <f>IFERROR(IF(Agent09_Savings!A173="","",YEAR(Agent09_Savings!D173)),"")</f>
        <v/>
      </c>
    </row>
    <row r="1769" spans="1:11" ht="18" customHeight="1" x14ac:dyDescent="0.25">
      <c r="A1769" s="37" t="str">
        <f>IF(Agent09_Savings!A174="","",Agent09_Savings!A174)</f>
        <v/>
      </c>
      <c r="B1769" s="37" t="str">
        <f ca="1">IF(Agent09_Savings!A174="","","SV"&amp;TEXT(1769-3,"0000")&amp;"-"&amp;TEXT(TODAY(),"YYYYMMDD"))</f>
        <v/>
      </c>
      <c r="C1769" s="37" t="str">
        <f>IF(Agent09_Savings!A174="","",Agent09_Savings!B174)</f>
        <v/>
      </c>
      <c r="D1769" s="37" t="str">
        <f>IF(Agent09_Savings!A174="","",Agent09_Savings!G174)</f>
        <v/>
      </c>
      <c r="E1769" s="38" t="str">
        <f>IF(Agent09_Savings!A174="","",Agent09_Savings!D174)</f>
        <v/>
      </c>
      <c r="F1769" s="39" t="str">
        <f>IF(Agent09_Savings!A174="","",Agent09_Savings!E174)</f>
        <v/>
      </c>
      <c r="G1769" s="39" t="str">
        <f>IF(Agent09_Savings!A174="","",Agent09_Savings!F174)</f>
        <v/>
      </c>
      <c r="H1769" s="37" t="str">
        <f>IF(Agent09_Savings!A174="","",Agent09_Savings!I174)</f>
        <v/>
      </c>
      <c r="I1769" s="37" t="str">
        <f>IF(Agent09_Savings!A174="","",Agent09_Savings!J174)</f>
        <v/>
      </c>
      <c r="J1769" s="37" t="str">
        <f>IF(Agent09_Savings!A174="","",Agent09_Savings!K174)</f>
        <v/>
      </c>
      <c r="K1769" s="37" t="str">
        <f>IFERROR(IF(Agent09_Savings!A174="","",YEAR(Agent09_Savings!D174)),"")</f>
        <v/>
      </c>
    </row>
    <row r="1770" spans="1:11" ht="18" customHeight="1" x14ac:dyDescent="0.25">
      <c r="A1770" s="37" t="str">
        <f>IF(Agent09_Savings!A175="","",Agent09_Savings!A175)</f>
        <v/>
      </c>
      <c r="B1770" s="37" t="str">
        <f ca="1">IF(Agent09_Savings!A175="","","SV"&amp;TEXT(1770-3,"0000")&amp;"-"&amp;TEXT(TODAY(),"YYYYMMDD"))</f>
        <v/>
      </c>
      <c r="C1770" s="37" t="str">
        <f>IF(Agent09_Savings!A175="","",Agent09_Savings!B175)</f>
        <v/>
      </c>
      <c r="D1770" s="37" t="str">
        <f>IF(Agent09_Savings!A175="","",Agent09_Savings!G175)</f>
        <v/>
      </c>
      <c r="E1770" s="38" t="str">
        <f>IF(Agent09_Savings!A175="","",Agent09_Savings!D175)</f>
        <v/>
      </c>
      <c r="F1770" s="39" t="str">
        <f>IF(Agent09_Savings!A175="","",Agent09_Savings!E175)</f>
        <v/>
      </c>
      <c r="G1770" s="39" t="str">
        <f>IF(Agent09_Savings!A175="","",Agent09_Savings!F175)</f>
        <v/>
      </c>
      <c r="H1770" s="37" t="str">
        <f>IF(Agent09_Savings!A175="","",Agent09_Savings!I175)</f>
        <v/>
      </c>
      <c r="I1770" s="37" t="str">
        <f>IF(Agent09_Savings!A175="","",Agent09_Savings!J175)</f>
        <v/>
      </c>
      <c r="J1770" s="37" t="str">
        <f>IF(Agent09_Savings!A175="","",Agent09_Savings!K175)</f>
        <v/>
      </c>
      <c r="K1770" s="37" t="str">
        <f>IFERROR(IF(Agent09_Savings!A175="","",YEAR(Agent09_Savings!D175)),"")</f>
        <v/>
      </c>
    </row>
    <row r="1771" spans="1:11" ht="18" customHeight="1" x14ac:dyDescent="0.25">
      <c r="A1771" s="37" t="str">
        <f>IF(Agent09_Savings!A176="","",Agent09_Savings!A176)</f>
        <v/>
      </c>
      <c r="B1771" s="37" t="str">
        <f ca="1">IF(Agent09_Savings!A176="","","SV"&amp;TEXT(1771-3,"0000")&amp;"-"&amp;TEXT(TODAY(),"YYYYMMDD"))</f>
        <v/>
      </c>
      <c r="C1771" s="37" t="str">
        <f>IF(Agent09_Savings!A176="","",Agent09_Savings!B176)</f>
        <v/>
      </c>
      <c r="D1771" s="37" t="str">
        <f>IF(Agent09_Savings!A176="","",Agent09_Savings!G176)</f>
        <v/>
      </c>
      <c r="E1771" s="38" t="str">
        <f>IF(Agent09_Savings!A176="","",Agent09_Savings!D176)</f>
        <v/>
      </c>
      <c r="F1771" s="39" t="str">
        <f>IF(Agent09_Savings!A176="","",Agent09_Savings!E176)</f>
        <v/>
      </c>
      <c r="G1771" s="39" t="str">
        <f>IF(Agent09_Savings!A176="","",Agent09_Savings!F176)</f>
        <v/>
      </c>
      <c r="H1771" s="37" t="str">
        <f>IF(Agent09_Savings!A176="","",Agent09_Savings!I176)</f>
        <v/>
      </c>
      <c r="I1771" s="37" t="str">
        <f>IF(Agent09_Savings!A176="","",Agent09_Savings!J176)</f>
        <v/>
      </c>
      <c r="J1771" s="37" t="str">
        <f>IF(Agent09_Savings!A176="","",Agent09_Savings!K176)</f>
        <v/>
      </c>
      <c r="K1771" s="37" t="str">
        <f>IFERROR(IF(Agent09_Savings!A176="","",YEAR(Agent09_Savings!D176)),"")</f>
        <v/>
      </c>
    </row>
    <row r="1772" spans="1:11" ht="18" customHeight="1" x14ac:dyDescent="0.25">
      <c r="A1772" s="37" t="str">
        <f>IF(Agent09_Savings!A177="","",Agent09_Savings!A177)</f>
        <v/>
      </c>
      <c r="B1772" s="37" t="str">
        <f ca="1">IF(Agent09_Savings!A177="","","SV"&amp;TEXT(1772-3,"0000")&amp;"-"&amp;TEXT(TODAY(),"YYYYMMDD"))</f>
        <v/>
      </c>
      <c r="C1772" s="37" t="str">
        <f>IF(Agent09_Savings!A177="","",Agent09_Savings!B177)</f>
        <v/>
      </c>
      <c r="D1772" s="37" t="str">
        <f>IF(Agent09_Savings!A177="","",Agent09_Savings!G177)</f>
        <v/>
      </c>
      <c r="E1772" s="38" t="str">
        <f>IF(Agent09_Savings!A177="","",Agent09_Savings!D177)</f>
        <v/>
      </c>
      <c r="F1772" s="39" t="str">
        <f>IF(Agent09_Savings!A177="","",Agent09_Savings!E177)</f>
        <v/>
      </c>
      <c r="G1772" s="39" t="str">
        <f>IF(Agent09_Savings!A177="","",Agent09_Savings!F177)</f>
        <v/>
      </c>
      <c r="H1772" s="37" t="str">
        <f>IF(Agent09_Savings!A177="","",Agent09_Savings!I177)</f>
        <v/>
      </c>
      <c r="I1772" s="37" t="str">
        <f>IF(Agent09_Savings!A177="","",Agent09_Savings!J177)</f>
        <v/>
      </c>
      <c r="J1772" s="37" t="str">
        <f>IF(Agent09_Savings!A177="","",Agent09_Savings!K177)</f>
        <v/>
      </c>
      <c r="K1772" s="37" t="str">
        <f>IFERROR(IF(Agent09_Savings!A177="","",YEAR(Agent09_Savings!D177)),"")</f>
        <v/>
      </c>
    </row>
    <row r="1773" spans="1:11" ht="18" customHeight="1" x14ac:dyDescent="0.25">
      <c r="A1773" s="37" t="str">
        <f>IF(Agent09_Savings!A178="","",Agent09_Savings!A178)</f>
        <v/>
      </c>
      <c r="B1773" s="37" t="str">
        <f ca="1">IF(Agent09_Savings!A178="","","SV"&amp;TEXT(1773-3,"0000")&amp;"-"&amp;TEXT(TODAY(),"YYYYMMDD"))</f>
        <v/>
      </c>
      <c r="C1773" s="37" t="str">
        <f>IF(Agent09_Savings!A178="","",Agent09_Savings!B178)</f>
        <v/>
      </c>
      <c r="D1773" s="37" t="str">
        <f>IF(Agent09_Savings!A178="","",Agent09_Savings!G178)</f>
        <v/>
      </c>
      <c r="E1773" s="38" t="str">
        <f>IF(Agent09_Savings!A178="","",Agent09_Savings!D178)</f>
        <v/>
      </c>
      <c r="F1773" s="39" t="str">
        <f>IF(Agent09_Savings!A178="","",Agent09_Savings!E178)</f>
        <v/>
      </c>
      <c r="G1773" s="39" t="str">
        <f>IF(Agent09_Savings!A178="","",Agent09_Savings!F178)</f>
        <v/>
      </c>
      <c r="H1773" s="37" t="str">
        <f>IF(Agent09_Savings!A178="","",Agent09_Savings!I178)</f>
        <v/>
      </c>
      <c r="I1773" s="37" t="str">
        <f>IF(Agent09_Savings!A178="","",Agent09_Savings!J178)</f>
        <v/>
      </c>
      <c r="J1773" s="37" t="str">
        <f>IF(Agent09_Savings!A178="","",Agent09_Savings!K178)</f>
        <v/>
      </c>
      <c r="K1773" s="37" t="str">
        <f>IFERROR(IF(Agent09_Savings!A178="","",YEAR(Agent09_Savings!D178)),"")</f>
        <v/>
      </c>
    </row>
    <row r="1774" spans="1:11" ht="18" customHeight="1" x14ac:dyDescent="0.25">
      <c r="A1774" s="37" t="str">
        <f>IF(Agent09_Savings!A179="","",Agent09_Savings!A179)</f>
        <v/>
      </c>
      <c r="B1774" s="37" t="str">
        <f ca="1">IF(Agent09_Savings!A179="","","SV"&amp;TEXT(1774-3,"0000")&amp;"-"&amp;TEXT(TODAY(),"YYYYMMDD"))</f>
        <v/>
      </c>
      <c r="C1774" s="37" t="str">
        <f>IF(Agent09_Savings!A179="","",Agent09_Savings!B179)</f>
        <v/>
      </c>
      <c r="D1774" s="37" t="str">
        <f>IF(Agent09_Savings!A179="","",Agent09_Savings!G179)</f>
        <v/>
      </c>
      <c r="E1774" s="38" t="str">
        <f>IF(Agent09_Savings!A179="","",Agent09_Savings!D179)</f>
        <v/>
      </c>
      <c r="F1774" s="39" t="str">
        <f>IF(Agent09_Savings!A179="","",Agent09_Savings!E179)</f>
        <v/>
      </c>
      <c r="G1774" s="39" t="str">
        <f>IF(Agent09_Savings!A179="","",Agent09_Savings!F179)</f>
        <v/>
      </c>
      <c r="H1774" s="37" t="str">
        <f>IF(Agent09_Savings!A179="","",Agent09_Savings!I179)</f>
        <v/>
      </c>
      <c r="I1774" s="37" t="str">
        <f>IF(Agent09_Savings!A179="","",Agent09_Savings!J179)</f>
        <v/>
      </c>
      <c r="J1774" s="37" t="str">
        <f>IF(Agent09_Savings!A179="","",Agent09_Savings!K179)</f>
        <v/>
      </c>
      <c r="K1774" s="37" t="str">
        <f>IFERROR(IF(Agent09_Savings!A179="","",YEAR(Agent09_Savings!D179)),"")</f>
        <v/>
      </c>
    </row>
    <row r="1775" spans="1:11" ht="18" customHeight="1" x14ac:dyDescent="0.25">
      <c r="A1775" s="37" t="str">
        <f>IF(Agent09_Savings!A180="","",Agent09_Savings!A180)</f>
        <v/>
      </c>
      <c r="B1775" s="37" t="str">
        <f ca="1">IF(Agent09_Savings!A180="","","SV"&amp;TEXT(1775-3,"0000")&amp;"-"&amp;TEXT(TODAY(),"YYYYMMDD"))</f>
        <v/>
      </c>
      <c r="C1775" s="37" t="str">
        <f>IF(Agent09_Savings!A180="","",Agent09_Savings!B180)</f>
        <v/>
      </c>
      <c r="D1775" s="37" t="str">
        <f>IF(Agent09_Savings!A180="","",Agent09_Savings!G180)</f>
        <v/>
      </c>
      <c r="E1775" s="38" t="str">
        <f>IF(Agent09_Savings!A180="","",Agent09_Savings!D180)</f>
        <v/>
      </c>
      <c r="F1775" s="39" t="str">
        <f>IF(Agent09_Savings!A180="","",Agent09_Savings!E180)</f>
        <v/>
      </c>
      <c r="G1775" s="39" t="str">
        <f>IF(Agent09_Savings!A180="","",Agent09_Savings!F180)</f>
        <v/>
      </c>
      <c r="H1775" s="37" t="str">
        <f>IF(Agent09_Savings!A180="","",Agent09_Savings!I180)</f>
        <v/>
      </c>
      <c r="I1775" s="37" t="str">
        <f>IF(Agent09_Savings!A180="","",Agent09_Savings!J180)</f>
        <v/>
      </c>
      <c r="J1775" s="37" t="str">
        <f>IF(Agent09_Savings!A180="","",Agent09_Savings!K180)</f>
        <v/>
      </c>
      <c r="K1775" s="37" t="str">
        <f>IFERROR(IF(Agent09_Savings!A180="","",YEAR(Agent09_Savings!D180)),"")</f>
        <v/>
      </c>
    </row>
    <row r="1776" spans="1:11" ht="18" customHeight="1" x14ac:dyDescent="0.25">
      <c r="A1776" s="37" t="str">
        <f>IF(Agent09_Savings!A181="","",Agent09_Savings!A181)</f>
        <v/>
      </c>
      <c r="B1776" s="37" t="str">
        <f ca="1">IF(Agent09_Savings!A181="","","SV"&amp;TEXT(1776-3,"0000")&amp;"-"&amp;TEXT(TODAY(),"YYYYMMDD"))</f>
        <v/>
      </c>
      <c r="C1776" s="37" t="str">
        <f>IF(Agent09_Savings!A181="","",Agent09_Savings!B181)</f>
        <v/>
      </c>
      <c r="D1776" s="37" t="str">
        <f>IF(Agent09_Savings!A181="","",Agent09_Savings!G181)</f>
        <v/>
      </c>
      <c r="E1776" s="38" t="str">
        <f>IF(Agent09_Savings!A181="","",Agent09_Savings!D181)</f>
        <v/>
      </c>
      <c r="F1776" s="39" t="str">
        <f>IF(Agent09_Savings!A181="","",Agent09_Savings!E181)</f>
        <v/>
      </c>
      <c r="G1776" s="39" t="str">
        <f>IF(Agent09_Savings!A181="","",Agent09_Savings!F181)</f>
        <v/>
      </c>
      <c r="H1776" s="37" t="str">
        <f>IF(Agent09_Savings!A181="","",Agent09_Savings!I181)</f>
        <v/>
      </c>
      <c r="I1776" s="37" t="str">
        <f>IF(Agent09_Savings!A181="","",Agent09_Savings!J181)</f>
        <v/>
      </c>
      <c r="J1776" s="37" t="str">
        <f>IF(Agent09_Savings!A181="","",Agent09_Savings!K181)</f>
        <v/>
      </c>
      <c r="K1776" s="37" t="str">
        <f>IFERROR(IF(Agent09_Savings!A181="","",YEAR(Agent09_Savings!D181)),"")</f>
        <v/>
      </c>
    </row>
    <row r="1777" spans="1:11" ht="18" customHeight="1" x14ac:dyDescent="0.25">
      <c r="A1777" s="37" t="str">
        <f>IF(Agent09_Savings!A182="","",Agent09_Savings!A182)</f>
        <v/>
      </c>
      <c r="B1777" s="37" t="str">
        <f ca="1">IF(Agent09_Savings!A182="","","SV"&amp;TEXT(1777-3,"0000")&amp;"-"&amp;TEXT(TODAY(),"YYYYMMDD"))</f>
        <v/>
      </c>
      <c r="C1777" s="37" t="str">
        <f>IF(Agent09_Savings!A182="","",Agent09_Savings!B182)</f>
        <v/>
      </c>
      <c r="D1777" s="37" t="str">
        <f>IF(Agent09_Savings!A182="","",Agent09_Savings!G182)</f>
        <v/>
      </c>
      <c r="E1777" s="38" t="str">
        <f>IF(Agent09_Savings!A182="","",Agent09_Savings!D182)</f>
        <v/>
      </c>
      <c r="F1777" s="39" t="str">
        <f>IF(Agent09_Savings!A182="","",Agent09_Savings!E182)</f>
        <v/>
      </c>
      <c r="G1777" s="39" t="str">
        <f>IF(Agent09_Savings!A182="","",Agent09_Savings!F182)</f>
        <v/>
      </c>
      <c r="H1777" s="37" t="str">
        <f>IF(Agent09_Savings!A182="","",Agent09_Savings!I182)</f>
        <v/>
      </c>
      <c r="I1777" s="37" t="str">
        <f>IF(Agent09_Savings!A182="","",Agent09_Savings!J182)</f>
        <v/>
      </c>
      <c r="J1777" s="37" t="str">
        <f>IF(Agent09_Savings!A182="","",Agent09_Savings!K182)</f>
        <v/>
      </c>
      <c r="K1777" s="37" t="str">
        <f>IFERROR(IF(Agent09_Savings!A182="","",YEAR(Agent09_Savings!D182)),"")</f>
        <v/>
      </c>
    </row>
    <row r="1778" spans="1:11" ht="18" customHeight="1" x14ac:dyDescent="0.25">
      <c r="A1778" s="37" t="str">
        <f>IF(Agent09_Savings!A183="","",Agent09_Savings!A183)</f>
        <v/>
      </c>
      <c r="B1778" s="37" t="str">
        <f ca="1">IF(Agent09_Savings!A183="","","SV"&amp;TEXT(1778-3,"0000")&amp;"-"&amp;TEXT(TODAY(),"YYYYMMDD"))</f>
        <v/>
      </c>
      <c r="C1778" s="37" t="str">
        <f>IF(Agent09_Savings!A183="","",Agent09_Savings!B183)</f>
        <v/>
      </c>
      <c r="D1778" s="37" t="str">
        <f>IF(Agent09_Savings!A183="","",Agent09_Savings!G183)</f>
        <v/>
      </c>
      <c r="E1778" s="38" t="str">
        <f>IF(Agent09_Savings!A183="","",Agent09_Savings!D183)</f>
        <v/>
      </c>
      <c r="F1778" s="39" t="str">
        <f>IF(Agent09_Savings!A183="","",Agent09_Savings!E183)</f>
        <v/>
      </c>
      <c r="G1778" s="39" t="str">
        <f>IF(Agent09_Savings!A183="","",Agent09_Savings!F183)</f>
        <v/>
      </c>
      <c r="H1778" s="37" t="str">
        <f>IF(Agent09_Savings!A183="","",Agent09_Savings!I183)</f>
        <v/>
      </c>
      <c r="I1778" s="37" t="str">
        <f>IF(Agent09_Savings!A183="","",Agent09_Savings!J183)</f>
        <v/>
      </c>
      <c r="J1778" s="37" t="str">
        <f>IF(Agent09_Savings!A183="","",Agent09_Savings!K183)</f>
        <v/>
      </c>
      <c r="K1778" s="37" t="str">
        <f>IFERROR(IF(Agent09_Savings!A183="","",YEAR(Agent09_Savings!D183)),"")</f>
        <v/>
      </c>
    </row>
    <row r="1779" spans="1:11" ht="18" customHeight="1" x14ac:dyDescent="0.25">
      <c r="A1779" s="37" t="str">
        <f>IF(Agent09_Savings!A184="","",Agent09_Savings!A184)</f>
        <v/>
      </c>
      <c r="B1779" s="37" t="str">
        <f ca="1">IF(Agent09_Savings!A184="","","SV"&amp;TEXT(1779-3,"0000")&amp;"-"&amp;TEXT(TODAY(),"YYYYMMDD"))</f>
        <v/>
      </c>
      <c r="C1779" s="37" t="str">
        <f>IF(Agent09_Savings!A184="","",Agent09_Savings!B184)</f>
        <v/>
      </c>
      <c r="D1779" s="37" t="str">
        <f>IF(Agent09_Savings!A184="","",Agent09_Savings!G184)</f>
        <v/>
      </c>
      <c r="E1779" s="38" t="str">
        <f>IF(Agent09_Savings!A184="","",Agent09_Savings!D184)</f>
        <v/>
      </c>
      <c r="F1779" s="39" t="str">
        <f>IF(Agent09_Savings!A184="","",Agent09_Savings!E184)</f>
        <v/>
      </c>
      <c r="G1779" s="39" t="str">
        <f>IF(Agent09_Savings!A184="","",Agent09_Savings!F184)</f>
        <v/>
      </c>
      <c r="H1779" s="37" t="str">
        <f>IF(Agent09_Savings!A184="","",Agent09_Savings!I184)</f>
        <v/>
      </c>
      <c r="I1779" s="37" t="str">
        <f>IF(Agent09_Savings!A184="","",Agent09_Savings!J184)</f>
        <v/>
      </c>
      <c r="J1779" s="37" t="str">
        <f>IF(Agent09_Savings!A184="","",Agent09_Savings!K184)</f>
        <v/>
      </c>
      <c r="K1779" s="37" t="str">
        <f>IFERROR(IF(Agent09_Savings!A184="","",YEAR(Agent09_Savings!D184)),"")</f>
        <v/>
      </c>
    </row>
    <row r="1780" spans="1:11" ht="18" customHeight="1" x14ac:dyDescent="0.25">
      <c r="A1780" s="37" t="str">
        <f>IF(Agent09_Savings!A185="","",Agent09_Savings!A185)</f>
        <v/>
      </c>
      <c r="B1780" s="37" t="str">
        <f ca="1">IF(Agent09_Savings!A185="","","SV"&amp;TEXT(1780-3,"0000")&amp;"-"&amp;TEXT(TODAY(),"YYYYMMDD"))</f>
        <v/>
      </c>
      <c r="C1780" s="37" t="str">
        <f>IF(Agent09_Savings!A185="","",Agent09_Savings!B185)</f>
        <v/>
      </c>
      <c r="D1780" s="37" t="str">
        <f>IF(Agent09_Savings!A185="","",Agent09_Savings!G185)</f>
        <v/>
      </c>
      <c r="E1780" s="38" t="str">
        <f>IF(Agent09_Savings!A185="","",Agent09_Savings!D185)</f>
        <v/>
      </c>
      <c r="F1780" s="39" t="str">
        <f>IF(Agent09_Savings!A185="","",Agent09_Savings!E185)</f>
        <v/>
      </c>
      <c r="G1780" s="39" t="str">
        <f>IF(Agent09_Savings!A185="","",Agent09_Savings!F185)</f>
        <v/>
      </c>
      <c r="H1780" s="37" t="str">
        <f>IF(Agent09_Savings!A185="","",Agent09_Savings!I185)</f>
        <v/>
      </c>
      <c r="I1780" s="37" t="str">
        <f>IF(Agent09_Savings!A185="","",Agent09_Savings!J185)</f>
        <v/>
      </c>
      <c r="J1780" s="37" t="str">
        <f>IF(Agent09_Savings!A185="","",Agent09_Savings!K185)</f>
        <v/>
      </c>
      <c r="K1780" s="37" t="str">
        <f>IFERROR(IF(Agent09_Savings!A185="","",YEAR(Agent09_Savings!D185)),"")</f>
        <v/>
      </c>
    </row>
    <row r="1781" spans="1:11" ht="18" customHeight="1" x14ac:dyDescent="0.25">
      <c r="A1781" s="37" t="str">
        <f>IF(Agent09_Savings!A186="","",Agent09_Savings!A186)</f>
        <v/>
      </c>
      <c r="B1781" s="37" t="str">
        <f ca="1">IF(Agent09_Savings!A186="","","SV"&amp;TEXT(1781-3,"0000")&amp;"-"&amp;TEXT(TODAY(),"YYYYMMDD"))</f>
        <v/>
      </c>
      <c r="C1781" s="37" t="str">
        <f>IF(Agent09_Savings!A186="","",Agent09_Savings!B186)</f>
        <v/>
      </c>
      <c r="D1781" s="37" t="str">
        <f>IF(Agent09_Savings!A186="","",Agent09_Savings!G186)</f>
        <v/>
      </c>
      <c r="E1781" s="38" t="str">
        <f>IF(Agent09_Savings!A186="","",Agent09_Savings!D186)</f>
        <v/>
      </c>
      <c r="F1781" s="39" t="str">
        <f>IF(Agent09_Savings!A186="","",Agent09_Savings!E186)</f>
        <v/>
      </c>
      <c r="G1781" s="39" t="str">
        <f>IF(Agent09_Savings!A186="","",Agent09_Savings!F186)</f>
        <v/>
      </c>
      <c r="H1781" s="37" t="str">
        <f>IF(Agent09_Savings!A186="","",Agent09_Savings!I186)</f>
        <v/>
      </c>
      <c r="I1781" s="37" t="str">
        <f>IF(Agent09_Savings!A186="","",Agent09_Savings!J186)</f>
        <v/>
      </c>
      <c r="J1781" s="37" t="str">
        <f>IF(Agent09_Savings!A186="","",Agent09_Savings!K186)</f>
        <v/>
      </c>
      <c r="K1781" s="37" t="str">
        <f>IFERROR(IF(Agent09_Savings!A186="","",YEAR(Agent09_Savings!D186)),"")</f>
        <v/>
      </c>
    </row>
    <row r="1782" spans="1:11" ht="18" customHeight="1" x14ac:dyDescent="0.25">
      <c r="A1782" s="37" t="str">
        <f>IF(Agent09_Savings!A187="","",Agent09_Savings!A187)</f>
        <v/>
      </c>
      <c r="B1782" s="37" t="str">
        <f ca="1">IF(Agent09_Savings!A187="","","SV"&amp;TEXT(1782-3,"0000")&amp;"-"&amp;TEXT(TODAY(),"YYYYMMDD"))</f>
        <v/>
      </c>
      <c r="C1782" s="37" t="str">
        <f>IF(Agent09_Savings!A187="","",Agent09_Savings!B187)</f>
        <v/>
      </c>
      <c r="D1782" s="37" t="str">
        <f>IF(Agent09_Savings!A187="","",Agent09_Savings!G187)</f>
        <v/>
      </c>
      <c r="E1782" s="38" t="str">
        <f>IF(Agent09_Savings!A187="","",Agent09_Savings!D187)</f>
        <v/>
      </c>
      <c r="F1782" s="39" t="str">
        <f>IF(Agent09_Savings!A187="","",Agent09_Savings!E187)</f>
        <v/>
      </c>
      <c r="G1782" s="39" t="str">
        <f>IF(Agent09_Savings!A187="","",Agent09_Savings!F187)</f>
        <v/>
      </c>
      <c r="H1782" s="37" t="str">
        <f>IF(Agent09_Savings!A187="","",Agent09_Savings!I187)</f>
        <v/>
      </c>
      <c r="I1782" s="37" t="str">
        <f>IF(Agent09_Savings!A187="","",Agent09_Savings!J187)</f>
        <v/>
      </c>
      <c r="J1782" s="37" t="str">
        <f>IF(Agent09_Savings!A187="","",Agent09_Savings!K187)</f>
        <v/>
      </c>
      <c r="K1782" s="37" t="str">
        <f>IFERROR(IF(Agent09_Savings!A187="","",YEAR(Agent09_Savings!D187)),"")</f>
        <v/>
      </c>
    </row>
    <row r="1783" spans="1:11" ht="18" customHeight="1" x14ac:dyDescent="0.25">
      <c r="A1783" s="37" t="str">
        <f>IF(Agent09_Savings!A188="","",Agent09_Savings!A188)</f>
        <v/>
      </c>
      <c r="B1783" s="37" t="str">
        <f ca="1">IF(Agent09_Savings!A188="","","SV"&amp;TEXT(1783-3,"0000")&amp;"-"&amp;TEXT(TODAY(),"YYYYMMDD"))</f>
        <v/>
      </c>
      <c r="C1783" s="37" t="str">
        <f>IF(Agent09_Savings!A188="","",Agent09_Savings!B188)</f>
        <v/>
      </c>
      <c r="D1783" s="37" t="str">
        <f>IF(Agent09_Savings!A188="","",Agent09_Savings!G188)</f>
        <v/>
      </c>
      <c r="E1783" s="38" t="str">
        <f>IF(Agent09_Savings!A188="","",Agent09_Savings!D188)</f>
        <v/>
      </c>
      <c r="F1783" s="39" t="str">
        <f>IF(Agent09_Savings!A188="","",Agent09_Savings!E188)</f>
        <v/>
      </c>
      <c r="G1783" s="39" t="str">
        <f>IF(Agent09_Savings!A188="","",Agent09_Savings!F188)</f>
        <v/>
      </c>
      <c r="H1783" s="37" t="str">
        <f>IF(Agent09_Savings!A188="","",Agent09_Savings!I188)</f>
        <v/>
      </c>
      <c r="I1783" s="37" t="str">
        <f>IF(Agent09_Savings!A188="","",Agent09_Savings!J188)</f>
        <v/>
      </c>
      <c r="J1783" s="37" t="str">
        <f>IF(Agent09_Savings!A188="","",Agent09_Savings!K188)</f>
        <v/>
      </c>
      <c r="K1783" s="37" t="str">
        <f>IFERROR(IF(Agent09_Savings!A188="","",YEAR(Agent09_Savings!D188)),"")</f>
        <v/>
      </c>
    </row>
    <row r="1784" spans="1:11" ht="18" customHeight="1" x14ac:dyDescent="0.25">
      <c r="A1784" s="37" t="str">
        <f>IF(Agent09_Savings!A189="","",Agent09_Savings!A189)</f>
        <v/>
      </c>
      <c r="B1784" s="37" t="str">
        <f ca="1">IF(Agent09_Savings!A189="","","SV"&amp;TEXT(1784-3,"0000")&amp;"-"&amp;TEXT(TODAY(),"YYYYMMDD"))</f>
        <v/>
      </c>
      <c r="C1784" s="37" t="str">
        <f>IF(Agent09_Savings!A189="","",Agent09_Savings!B189)</f>
        <v/>
      </c>
      <c r="D1784" s="37" t="str">
        <f>IF(Agent09_Savings!A189="","",Agent09_Savings!G189)</f>
        <v/>
      </c>
      <c r="E1784" s="38" t="str">
        <f>IF(Agent09_Savings!A189="","",Agent09_Savings!D189)</f>
        <v/>
      </c>
      <c r="F1784" s="39" t="str">
        <f>IF(Agent09_Savings!A189="","",Agent09_Savings!E189)</f>
        <v/>
      </c>
      <c r="G1784" s="39" t="str">
        <f>IF(Agent09_Savings!A189="","",Agent09_Savings!F189)</f>
        <v/>
      </c>
      <c r="H1784" s="37" t="str">
        <f>IF(Agent09_Savings!A189="","",Agent09_Savings!I189)</f>
        <v/>
      </c>
      <c r="I1784" s="37" t="str">
        <f>IF(Agent09_Savings!A189="","",Agent09_Savings!J189)</f>
        <v/>
      </c>
      <c r="J1784" s="37" t="str">
        <f>IF(Agent09_Savings!A189="","",Agent09_Savings!K189)</f>
        <v/>
      </c>
      <c r="K1784" s="37" t="str">
        <f>IFERROR(IF(Agent09_Savings!A189="","",YEAR(Agent09_Savings!D189)),"")</f>
        <v/>
      </c>
    </row>
    <row r="1785" spans="1:11" ht="18" customHeight="1" x14ac:dyDescent="0.25">
      <c r="A1785" s="37" t="str">
        <f>IF(Agent09_Savings!A190="","",Agent09_Savings!A190)</f>
        <v/>
      </c>
      <c r="B1785" s="37" t="str">
        <f ca="1">IF(Agent09_Savings!A190="","","SV"&amp;TEXT(1785-3,"0000")&amp;"-"&amp;TEXT(TODAY(),"YYYYMMDD"))</f>
        <v/>
      </c>
      <c r="C1785" s="37" t="str">
        <f>IF(Agent09_Savings!A190="","",Agent09_Savings!B190)</f>
        <v/>
      </c>
      <c r="D1785" s="37" t="str">
        <f>IF(Agent09_Savings!A190="","",Agent09_Savings!G190)</f>
        <v/>
      </c>
      <c r="E1785" s="38" t="str">
        <f>IF(Agent09_Savings!A190="","",Agent09_Savings!D190)</f>
        <v/>
      </c>
      <c r="F1785" s="39" t="str">
        <f>IF(Agent09_Savings!A190="","",Agent09_Savings!E190)</f>
        <v/>
      </c>
      <c r="G1785" s="39" t="str">
        <f>IF(Agent09_Savings!A190="","",Agent09_Savings!F190)</f>
        <v/>
      </c>
      <c r="H1785" s="37" t="str">
        <f>IF(Agent09_Savings!A190="","",Agent09_Savings!I190)</f>
        <v/>
      </c>
      <c r="I1785" s="37" t="str">
        <f>IF(Agent09_Savings!A190="","",Agent09_Savings!J190)</f>
        <v/>
      </c>
      <c r="J1785" s="37" t="str">
        <f>IF(Agent09_Savings!A190="","",Agent09_Savings!K190)</f>
        <v/>
      </c>
      <c r="K1785" s="37" t="str">
        <f>IFERROR(IF(Agent09_Savings!A190="","",YEAR(Agent09_Savings!D190)),"")</f>
        <v/>
      </c>
    </row>
    <row r="1786" spans="1:11" ht="18" customHeight="1" x14ac:dyDescent="0.25">
      <c r="A1786" s="37" t="str">
        <f>IF(Agent09_Savings!A191="","",Agent09_Savings!A191)</f>
        <v/>
      </c>
      <c r="B1786" s="37" t="str">
        <f ca="1">IF(Agent09_Savings!A191="","","SV"&amp;TEXT(1786-3,"0000")&amp;"-"&amp;TEXT(TODAY(),"YYYYMMDD"))</f>
        <v/>
      </c>
      <c r="C1786" s="37" t="str">
        <f>IF(Agent09_Savings!A191="","",Agent09_Savings!B191)</f>
        <v/>
      </c>
      <c r="D1786" s="37" t="str">
        <f>IF(Agent09_Savings!A191="","",Agent09_Savings!G191)</f>
        <v/>
      </c>
      <c r="E1786" s="38" t="str">
        <f>IF(Agent09_Savings!A191="","",Agent09_Savings!D191)</f>
        <v/>
      </c>
      <c r="F1786" s="39" t="str">
        <f>IF(Agent09_Savings!A191="","",Agent09_Savings!E191)</f>
        <v/>
      </c>
      <c r="G1786" s="39" t="str">
        <f>IF(Agent09_Savings!A191="","",Agent09_Savings!F191)</f>
        <v/>
      </c>
      <c r="H1786" s="37" t="str">
        <f>IF(Agent09_Savings!A191="","",Agent09_Savings!I191)</f>
        <v/>
      </c>
      <c r="I1786" s="37" t="str">
        <f>IF(Agent09_Savings!A191="","",Agent09_Savings!J191)</f>
        <v/>
      </c>
      <c r="J1786" s="37" t="str">
        <f>IF(Agent09_Savings!A191="","",Agent09_Savings!K191)</f>
        <v/>
      </c>
      <c r="K1786" s="37" t="str">
        <f>IFERROR(IF(Agent09_Savings!A191="","",YEAR(Agent09_Savings!D191)),"")</f>
        <v/>
      </c>
    </row>
    <row r="1787" spans="1:11" ht="18" customHeight="1" x14ac:dyDescent="0.25">
      <c r="A1787" s="37" t="str">
        <f>IF(Agent09_Savings!A192="","",Agent09_Savings!A192)</f>
        <v/>
      </c>
      <c r="B1787" s="37" t="str">
        <f ca="1">IF(Agent09_Savings!A192="","","SV"&amp;TEXT(1787-3,"0000")&amp;"-"&amp;TEXT(TODAY(),"YYYYMMDD"))</f>
        <v/>
      </c>
      <c r="C1787" s="37" t="str">
        <f>IF(Agent09_Savings!A192="","",Agent09_Savings!B192)</f>
        <v/>
      </c>
      <c r="D1787" s="37" t="str">
        <f>IF(Agent09_Savings!A192="","",Agent09_Savings!G192)</f>
        <v/>
      </c>
      <c r="E1787" s="38" t="str">
        <f>IF(Agent09_Savings!A192="","",Agent09_Savings!D192)</f>
        <v/>
      </c>
      <c r="F1787" s="39" t="str">
        <f>IF(Agent09_Savings!A192="","",Agent09_Savings!E192)</f>
        <v/>
      </c>
      <c r="G1787" s="39" t="str">
        <f>IF(Agent09_Savings!A192="","",Agent09_Savings!F192)</f>
        <v/>
      </c>
      <c r="H1787" s="37" t="str">
        <f>IF(Agent09_Savings!A192="","",Agent09_Savings!I192)</f>
        <v/>
      </c>
      <c r="I1787" s="37" t="str">
        <f>IF(Agent09_Savings!A192="","",Agent09_Savings!J192)</f>
        <v/>
      </c>
      <c r="J1787" s="37" t="str">
        <f>IF(Agent09_Savings!A192="","",Agent09_Savings!K192)</f>
        <v/>
      </c>
      <c r="K1787" s="37" t="str">
        <f>IFERROR(IF(Agent09_Savings!A192="","",YEAR(Agent09_Savings!D192)),"")</f>
        <v/>
      </c>
    </row>
    <row r="1788" spans="1:11" ht="18" customHeight="1" x14ac:dyDescent="0.25">
      <c r="A1788" s="37" t="str">
        <f>IF(Agent09_Savings!A193="","",Agent09_Savings!A193)</f>
        <v/>
      </c>
      <c r="B1788" s="37" t="str">
        <f ca="1">IF(Agent09_Savings!A193="","","SV"&amp;TEXT(1788-3,"0000")&amp;"-"&amp;TEXT(TODAY(),"YYYYMMDD"))</f>
        <v/>
      </c>
      <c r="C1788" s="37" t="str">
        <f>IF(Agent09_Savings!A193="","",Agent09_Savings!B193)</f>
        <v/>
      </c>
      <c r="D1788" s="37" t="str">
        <f>IF(Agent09_Savings!A193="","",Agent09_Savings!G193)</f>
        <v/>
      </c>
      <c r="E1788" s="38" t="str">
        <f>IF(Agent09_Savings!A193="","",Agent09_Savings!D193)</f>
        <v/>
      </c>
      <c r="F1788" s="39" t="str">
        <f>IF(Agent09_Savings!A193="","",Agent09_Savings!E193)</f>
        <v/>
      </c>
      <c r="G1788" s="39" t="str">
        <f>IF(Agent09_Savings!A193="","",Agent09_Savings!F193)</f>
        <v/>
      </c>
      <c r="H1788" s="37" t="str">
        <f>IF(Agent09_Savings!A193="","",Agent09_Savings!I193)</f>
        <v/>
      </c>
      <c r="I1788" s="37" t="str">
        <f>IF(Agent09_Savings!A193="","",Agent09_Savings!J193)</f>
        <v/>
      </c>
      <c r="J1788" s="37" t="str">
        <f>IF(Agent09_Savings!A193="","",Agent09_Savings!K193)</f>
        <v/>
      </c>
      <c r="K1788" s="37" t="str">
        <f>IFERROR(IF(Agent09_Savings!A193="","",YEAR(Agent09_Savings!D193)),"")</f>
        <v/>
      </c>
    </row>
    <row r="1789" spans="1:11" ht="18" customHeight="1" x14ac:dyDescent="0.25">
      <c r="A1789" s="37" t="str">
        <f>IF(Agent09_Savings!A194="","",Agent09_Savings!A194)</f>
        <v/>
      </c>
      <c r="B1789" s="37" t="str">
        <f ca="1">IF(Agent09_Savings!A194="","","SV"&amp;TEXT(1789-3,"0000")&amp;"-"&amp;TEXT(TODAY(),"YYYYMMDD"))</f>
        <v/>
      </c>
      <c r="C1789" s="37" t="str">
        <f>IF(Agent09_Savings!A194="","",Agent09_Savings!B194)</f>
        <v/>
      </c>
      <c r="D1789" s="37" t="str">
        <f>IF(Agent09_Savings!A194="","",Agent09_Savings!G194)</f>
        <v/>
      </c>
      <c r="E1789" s="38" t="str">
        <f>IF(Agent09_Savings!A194="","",Agent09_Savings!D194)</f>
        <v/>
      </c>
      <c r="F1789" s="39" t="str">
        <f>IF(Agent09_Savings!A194="","",Agent09_Savings!E194)</f>
        <v/>
      </c>
      <c r="G1789" s="39" t="str">
        <f>IF(Agent09_Savings!A194="","",Agent09_Savings!F194)</f>
        <v/>
      </c>
      <c r="H1789" s="37" t="str">
        <f>IF(Agent09_Savings!A194="","",Agent09_Savings!I194)</f>
        <v/>
      </c>
      <c r="I1789" s="37" t="str">
        <f>IF(Agent09_Savings!A194="","",Agent09_Savings!J194)</f>
        <v/>
      </c>
      <c r="J1789" s="37" t="str">
        <f>IF(Agent09_Savings!A194="","",Agent09_Savings!K194)</f>
        <v/>
      </c>
      <c r="K1789" s="37" t="str">
        <f>IFERROR(IF(Agent09_Savings!A194="","",YEAR(Agent09_Savings!D194)),"")</f>
        <v/>
      </c>
    </row>
    <row r="1790" spans="1:11" ht="18" customHeight="1" x14ac:dyDescent="0.25">
      <c r="A1790" s="37" t="str">
        <f>IF(Agent09_Savings!A195="","",Agent09_Savings!A195)</f>
        <v/>
      </c>
      <c r="B1790" s="37" t="str">
        <f ca="1">IF(Agent09_Savings!A195="","","SV"&amp;TEXT(1790-3,"0000")&amp;"-"&amp;TEXT(TODAY(),"YYYYMMDD"))</f>
        <v/>
      </c>
      <c r="C1790" s="37" t="str">
        <f>IF(Agent09_Savings!A195="","",Agent09_Savings!B195)</f>
        <v/>
      </c>
      <c r="D1790" s="37" t="str">
        <f>IF(Agent09_Savings!A195="","",Agent09_Savings!G195)</f>
        <v/>
      </c>
      <c r="E1790" s="38" t="str">
        <f>IF(Agent09_Savings!A195="","",Agent09_Savings!D195)</f>
        <v/>
      </c>
      <c r="F1790" s="39" t="str">
        <f>IF(Agent09_Savings!A195="","",Agent09_Savings!E195)</f>
        <v/>
      </c>
      <c r="G1790" s="39" t="str">
        <f>IF(Agent09_Savings!A195="","",Agent09_Savings!F195)</f>
        <v/>
      </c>
      <c r="H1790" s="37" t="str">
        <f>IF(Agent09_Savings!A195="","",Agent09_Savings!I195)</f>
        <v/>
      </c>
      <c r="I1790" s="37" t="str">
        <f>IF(Agent09_Savings!A195="","",Agent09_Savings!J195)</f>
        <v/>
      </c>
      <c r="J1790" s="37" t="str">
        <f>IF(Agent09_Savings!A195="","",Agent09_Savings!K195)</f>
        <v/>
      </c>
      <c r="K1790" s="37" t="str">
        <f>IFERROR(IF(Agent09_Savings!A195="","",YEAR(Agent09_Savings!D195)),"")</f>
        <v/>
      </c>
    </row>
    <row r="1791" spans="1:11" ht="18" customHeight="1" x14ac:dyDescent="0.25">
      <c r="A1791" s="37" t="str">
        <f>IF(Agent09_Savings!A196="","",Agent09_Savings!A196)</f>
        <v/>
      </c>
      <c r="B1791" s="37" t="str">
        <f ca="1">IF(Agent09_Savings!A196="","","SV"&amp;TEXT(1791-3,"0000")&amp;"-"&amp;TEXT(TODAY(),"YYYYMMDD"))</f>
        <v/>
      </c>
      <c r="C1791" s="37" t="str">
        <f>IF(Agent09_Savings!A196="","",Agent09_Savings!B196)</f>
        <v/>
      </c>
      <c r="D1791" s="37" t="str">
        <f>IF(Agent09_Savings!A196="","",Agent09_Savings!G196)</f>
        <v/>
      </c>
      <c r="E1791" s="38" t="str">
        <f>IF(Agent09_Savings!A196="","",Agent09_Savings!D196)</f>
        <v/>
      </c>
      <c r="F1791" s="39" t="str">
        <f>IF(Agent09_Savings!A196="","",Agent09_Savings!E196)</f>
        <v/>
      </c>
      <c r="G1791" s="39" t="str">
        <f>IF(Agent09_Savings!A196="","",Agent09_Savings!F196)</f>
        <v/>
      </c>
      <c r="H1791" s="37" t="str">
        <f>IF(Agent09_Savings!A196="","",Agent09_Savings!I196)</f>
        <v/>
      </c>
      <c r="I1791" s="37" t="str">
        <f>IF(Agent09_Savings!A196="","",Agent09_Savings!J196)</f>
        <v/>
      </c>
      <c r="J1791" s="37" t="str">
        <f>IF(Agent09_Savings!A196="","",Agent09_Savings!K196)</f>
        <v/>
      </c>
      <c r="K1791" s="37" t="str">
        <f>IFERROR(IF(Agent09_Savings!A196="","",YEAR(Agent09_Savings!D196)),"")</f>
        <v/>
      </c>
    </row>
    <row r="1792" spans="1:11" ht="18" customHeight="1" x14ac:dyDescent="0.25">
      <c r="A1792" s="37" t="str">
        <f>IF(Agent09_Savings!A197="","",Agent09_Savings!A197)</f>
        <v/>
      </c>
      <c r="B1792" s="37" t="str">
        <f ca="1">IF(Agent09_Savings!A197="","","SV"&amp;TEXT(1792-3,"0000")&amp;"-"&amp;TEXT(TODAY(),"YYYYMMDD"))</f>
        <v/>
      </c>
      <c r="C1792" s="37" t="str">
        <f>IF(Agent09_Savings!A197="","",Agent09_Savings!B197)</f>
        <v/>
      </c>
      <c r="D1792" s="37" t="str">
        <f>IF(Agent09_Savings!A197="","",Agent09_Savings!G197)</f>
        <v/>
      </c>
      <c r="E1792" s="38" t="str">
        <f>IF(Agent09_Savings!A197="","",Agent09_Savings!D197)</f>
        <v/>
      </c>
      <c r="F1792" s="39" t="str">
        <f>IF(Agent09_Savings!A197="","",Agent09_Savings!E197)</f>
        <v/>
      </c>
      <c r="G1792" s="39" t="str">
        <f>IF(Agent09_Savings!A197="","",Agent09_Savings!F197)</f>
        <v/>
      </c>
      <c r="H1792" s="37" t="str">
        <f>IF(Agent09_Savings!A197="","",Agent09_Savings!I197)</f>
        <v/>
      </c>
      <c r="I1792" s="37" t="str">
        <f>IF(Agent09_Savings!A197="","",Agent09_Savings!J197)</f>
        <v/>
      </c>
      <c r="J1792" s="37" t="str">
        <f>IF(Agent09_Savings!A197="","",Agent09_Savings!K197)</f>
        <v/>
      </c>
      <c r="K1792" s="37" t="str">
        <f>IFERROR(IF(Agent09_Savings!A197="","",YEAR(Agent09_Savings!D197)),"")</f>
        <v/>
      </c>
    </row>
    <row r="1793" spans="1:11" ht="18" customHeight="1" x14ac:dyDescent="0.25">
      <c r="A1793" s="37" t="str">
        <f>IF(Agent09_Savings!A198="","",Agent09_Savings!A198)</f>
        <v/>
      </c>
      <c r="B1793" s="37" t="str">
        <f ca="1">IF(Agent09_Savings!A198="","","SV"&amp;TEXT(1793-3,"0000")&amp;"-"&amp;TEXT(TODAY(),"YYYYMMDD"))</f>
        <v/>
      </c>
      <c r="C1793" s="37" t="str">
        <f>IF(Agent09_Savings!A198="","",Agent09_Savings!B198)</f>
        <v/>
      </c>
      <c r="D1793" s="37" t="str">
        <f>IF(Agent09_Savings!A198="","",Agent09_Savings!G198)</f>
        <v/>
      </c>
      <c r="E1793" s="38" t="str">
        <f>IF(Agent09_Savings!A198="","",Agent09_Savings!D198)</f>
        <v/>
      </c>
      <c r="F1793" s="39" t="str">
        <f>IF(Agent09_Savings!A198="","",Agent09_Savings!E198)</f>
        <v/>
      </c>
      <c r="G1793" s="39" t="str">
        <f>IF(Agent09_Savings!A198="","",Agent09_Savings!F198)</f>
        <v/>
      </c>
      <c r="H1793" s="37" t="str">
        <f>IF(Agent09_Savings!A198="","",Agent09_Savings!I198)</f>
        <v/>
      </c>
      <c r="I1793" s="37" t="str">
        <f>IF(Agent09_Savings!A198="","",Agent09_Savings!J198)</f>
        <v/>
      </c>
      <c r="J1793" s="37" t="str">
        <f>IF(Agent09_Savings!A198="","",Agent09_Savings!K198)</f>
        <v/>
      </c>
      <c r="K1793" s="37" t="str">
        <f>IFERROR(IF(Agent09_Savings!A198="","",YEAR(Agent09_Savings!D198)),"")</f>
        <v/>
      </c>
    </row>
    <row r="1794" spans="1:11" ht="18" customHeight="1" x14ac:dyDescent="0.25">
      <c r="A1794" s="37" t="str">
        <f>IF(Agent09_Savings!A199="","",Agent09_Savings!A199)</f>
        <v/>
      </c>
      <c r="B1794" s="37" t="str">
        <f ca="1">IF(Agent09_Savings!A199="","","SV"&amp;TEXT(1794-3,"0000")&amp;"-"&amp;TEXT(TODAY(),"YYYYMMDD"))</f>
        <v/>
      </c>
      <c r="C1794" s="37" t="str">
        <f>IF(Agent09_Savings!A199="","",Agent09_Savings!B199)</f>
        <v/>
      </c>
      <c r="D1794" s="37" t="str">
        <f>IF(Agent09_Savings!A199="","",Agent09_Savings!G199)</f>
        <v/>
      </c>
      <c r="E1794" s="38" t="str">
        <f>IF(Agent09_Savings!A199="","",Agent09_Savings!D199)</f>
        <v/>
      </c>
      <c r="F1794" s="39" t="str">
        <f>IF(Agent09_Savings!A199="","",Agent09_Savings!E199)</f>
        <v/>
      </c>
      <c r="G1794" s="39" t="str">
        <f>IF(Agent09_Savings!A199="","",Agent09_Savings!F199)</f>
        <v/>
      </c>
      <c r="H1794" s="37" t="str">
        <f>IF(Agent09_Savings!A199="","",Agent09_Savings!I199)</f>
        <v/>
      </c>
      <c r="I1794" s="37" t="str">
        <f>IF(Agent09_Savings!A199="","",Agent09_Savings!J199)</f>
        <v/>
      </c>
      <c r="J1794" s="37" t="str">
        <f>IF(Agent09_Savings!A199="","",Agent09_Savings!K199)</f>
        <v/>
      </c>
      <c r="K1794" s="37" t="str">
        <f>IFERROR(IF(Agent09_Savings!A199="","",YEAR(Agent09_Savings!D199)),"")</f>
        <v/>
      </c>
    </row>
    <row r="1795" spans="1:11" ht="18" customHeight="1" x14ac:dyDescent="0.25">
      <c r="A1795" s="37" t="str">
        <f>IF(Agent09_Savings!A200="","",Agent09_Savings!A200)</f>
        <v/>
      </c>
      <c r="B1795" s="37" t="str">
        <f ca="1">IF(Agent09_Savings!A200="","","SV"&amp;TEXT(1795-3,"0000")&amp;"-"&amp;TEXT(TODAY(),"YYYYMMDD"))</f>
        <v/>
      </c>
      <c r="C1795" s="37" t="str">
        <f>IF(Agent09_Savings!A200="","",Agent09_Savings!B200)</f>
        <v/>
      </c>
      <c r="D1795" s="37" t="str">
        <f>IF(Agent09_Savings!A200="","",Agent09_Savings!G200)</f>
        <v/>
      </c>
      <c r="E1795" s="38" t="str">
        <f>IF(Agent09_Savings!A200="","",Agent09_Savings!D200)</f>
        <v/>
      </c>
      <c r="F1795" s="39" t="str">
        <f>IF(Agent09_Savings!A200="","",Agent09_Savings!E200)</f>
        <v/>
      </c>
      <c r="G1795" s="39" t="str">
        <f>IF(Agent09_Savings!A200="","",Agent09_Savings!F200)</f>
        <v/>
      </c>
      <c r="H1795" s="37" t="str">
        <f>IF(Agent09_Savings!A200="","",Agent09_Savings!I200)</f>
        <v/>
      </c>
      <c r="I1795" s="37" t="str">
        <f>IF(Agent09_Savings!A200="","",Agent09_Savings!J200)</f>
        <v/>
      </c>
      <c r="J1795" s="37" t="str">
        <f>IF(Agent09_Savings!A200="","",Agent09_Savings!K200)</f>
        <v/>
      </c>
      <c r="K1795" s="37" t="str">
        <f>IFERROR(IF(Agent09_Savings!A200="","",YEAR(Agent09_Savings!D200)),"")</f>
        <v/>
      </c>
    </row>
    <row r="1796" spans="1:11" ht="18" customHeight="1" x14ac:dyDescent="0.25">
      <c r="A1796" s="37" t="str">
        <f>IF(Agent09_Savings!A201="","",Agent09_Savings!A201)</f>
        <v/>
      </c>
      <c r="B1796" s="37" t="str">
        <f ca="1">IF(Agent09_Savings!A201="","","SV"&amp;TEXT(1796-3,"0000")&amp;"-"&amp;TEXT(TODAY(),"YYYYMMDD"))</f>
        <v/>
      </c>
      <c r="C1796" s="37" t="str">
        <f>IF(Agent09_Savings!A201="","",Agent09_Savings!B201)</f>
        <v/>
      </c>
      <c r="D1796" s="37" t="str">
        <f>IF(Agent09_Savings!A201="","",Agent09_Savings!G201)</f>
        <v/>
      </c>
      <c r="E1796" s="38" t="str">
        <f>IF(Agent09_Savings!A201="","",Agent09_Savings!D201)</f>
        <v/>
      </c>
      <c r="F1796" s="39" t="str">
        <f>IF(Agent09_Savings!A201="","",Agent09_Savings!E201)</f>
        <v/>
      </c>
      <c r="G1796" s="39" t="str">
        <f>IF(Agent09_Savings!A201="","",Agent09_Savings!F201)</f>
        <v/>
      </c>
      <c r="H1796" s="37" t="str">
        <f>IF(Agent09_Savings!A201="","",Agent09_Savings!I201)</f>
        <v/>
      </c>
      <c r="I1796" s="37" t="str">
        <f>IF(Agent09_Savings!A201="","",Agent09_Savings!J201)</f>
        <v/>
      </c>
      <c r="J1796" s="37" t="str">
        <f>IF(Agent09_Savings!A201="","",Agent09_Savings!K201)</f>
        <v/>
      </c>
      <c r="K1796" s="37" t="str">
        <f>IFERROR(IF(Agent09_Savings!A201="","",YEAR(Agent09_Savings!D201)),"")</f>
        <v/>
      </c>
    </row>
    <row r="1797" spans="1:11" ht="18" customHeight="1" x14ac:dyDescent="0.25">
      <c r="A1797" s="37" t="str">
        <f>IF(Agent09_Savings!A202="","",Agent09_Savings!A202)</f>
        <v/>
      </c>
      <c r="B1797" s="37" t="str">
        <f ca="1">IF(Agent09_Savings!A202="","","SV"&amp;TEXT(1797-3,"0000")&amp;"-"&amp;TEXT(TODAY(),"YYYYMMDD"))</f>
        <v/>
      </c>
      <c r="C1797" s="37" t="str">
        <f>IF(Agent09_Savings!A202="","",Agent09_Savings!B202)</f>
        <v/>
      </c>
      <c r="D1797" s="37" t="str">
        <f>IF(Agent09_Savings!A202="","",Agent09_Savings!G202)</f>
        <v/>
      </c>
      <c r="E1797" s="38" t="str">
        <f>IF(Agent09_Savings!A202="","",Agent09_Savings!D202)</f>
        <v/>
      </c>
      <c r="F1797" s="39" t="str">
        <f>IF(Agent09_Savings!A202="","",Agent09_Savings!E202)</f>
        <v/>
      </c>
      <c r="G1797" s="39" t="str">
        <f>IF(Agent09_Savings!A202="","",Agent09_Savings!F202)</f>
        <v/>
      </c>
      <c r="H1797" s="37" t="str">
        <f>IF(Agent09_Savings!A202="","",Agent09_Savings!I202)</f>
        <v/>
      </c>
      <c r="I1797" s="37" t="str">
        <f>IF(Agent09_Savings!A202="","",Agent09_Savings!J202)</f>
        <v/>
      </c>
      <c r="J1797" s="37" t="str">
        <f>IF(Agent09_Savings!A202="","",Agent09_Savings!K202)</f>
        <v/>
      </c>
      <c r="K1797" s="37" t="str">
        <f>IFERROR(IF(Agent09_Savings!A202="","",YEAR(Agent09_Savings!D202)),"")</f>
        <v/>
      </c>
    </row>
    <row r="1798" spans="1:11" ht="18" customHeight="1" x14ac:dyDescent="0.25">
      <c r="A1798" s="37" t="str">
        <f>IF(Agent09_Savings!A203="","",Agent09_Savings!A203)</f>
        <v/>
      </c>
      <c r="B1798" s="37" t="str">
        <f ca="1">IF(Agent09_Savings!A203="","","SV"&amp;TEXT(1798-3,"0000")&amp;"-"&amp;TEXT(TODAY(),"YYYYMMDD"))</f>
        <v/>
      </c>
      <c r="C1798" s="37" t="str">
        <f>IF(Agent09_Savings!A203="","",Agent09_Savings!B203)</f>
        <v/>
      </c>
      <c r="D1798" s="37" t="str">
        <f>IF(Agent09_Savings!A203="","",Agent09_Savings!G203)</f>
        <v/>
      </c>
      <c r="E1798" s="38" t="str">
        <f>IF(Agent09_Savings!A203="","",Agent09_Savings!D203)</f>
        <v/>
      </c>
      <c r="F1798" s="39" t="str">
        <f>IF(Agent09_Savings!A203="","",Agent09_Savings!E203)</f>
        <v/>
      </c>
      <c r="G1798" s="39" t="str">
        <f>IF(Agent09_Savings!A203="","",Agent09_Savings!F203)</f>
        <v/>
      </c>
      <c r="H1798" s="37" t="str">
        <f>IF(Agent09_Savings!A203="","",Agent09_Savings!I203)</f>
        <v/>
      </c>
      <c r="I1798" s="37" t="str">
        <f>IF(Agent09_Savings!A203="","",Agent09_Savings!J203)</f>
        <v/>
      </c>
      <c r="J1798" s="37" t="str">
        <f>IF(Agent09_Savings!A203="","",Agent09_Savings!K203)</f>
        <v/>
      </c>
      <c r="K1798" s="37" t="str">
        <f>IFERROR(IF(Agent09_Savings!A203="","",YEAR(Agent09_Savings!D203)),"")</f>
        <v/>
      </c>
    </row>
    <row r="1799" spans="1:11" ht="18" customHeight="1" x14ac:dyDescent="0.25">
      <c r="A1799" s="37" t="str">
        <f>IF(Agent09_Savings!A204="","",Agent09_Savings!A204)</f>
        <v/>
      </c>
      <c r="B1799" s="37" t="str">
        <f ca="1">IF(Agent09_Savings!A204="","","SV"&amp;TEXT(1799-3,"0000")&amp;"-"&amp;TEXT(TODAY(),"YYYYMMDD"))</f>
        <v/>
      </c>
      <c r="C1799" s="37" t="str">
        <f>IF(Agent09_Savings!A204="","",Agent09_Savings!B204)</f>
        <v/>
      </c>
      <c r="D1799" s="37" t="str">
        <f>IF(Agent09_Savings!A204="","",Agent09_Savings!G204)</f>
        <v/>
      </c>
      <c r="E1799" s="38" t="str">
        <f>IF(Agent09_Savings!A204="","",Agent09_Savings!D204)</f>
        <v/>
      </c>
      <c r="F1799" s="39" t="str">
        <f>IF(Agent09_Savings!A204="","",Agent09_Savings!E204)</f>
        <v/>
      </c>
      <c r="G1799" s="39" t="str">
        <f>IF(Agent09_Savings!A204="","",Agent09_Savings!F204)</f>
        <v/>
      </c>
      <c r="H1799" s="37" t="str">
        <f>IF(Agent09_Savings!A204="","",Agent09_Savings!I204)</f>
        <v/>
      </c>
      <c r="I1799" s="37" t="str">
        <f>IF(Agent09_Savings!A204="","",Agent09_Savings!J204)</f>
        <v/>
      </c>
      <c r="J1799" s="37" t="str">
        <f>IF(Agent09_Savings!A204="","",Agent09_Savings!K204)</f>
        <v/>
      </c>
      <c r="K1799" s="37" t="str">
        <f>IFERROR(IF(Agent09_Savings!A204="","",YEAR(Agent09_Savings!D204)),"")</f>
        <v/>
      </c>
    </row>
    <row r="1800" spans="1:11" ht="18" customHeight="1" x14ac:dyDescent="0.25">
      <c r="A1800" s="37" t="str">
        <f>IF(Agent09_Savings!A205="","",Agent09_Savings!A205)</f>
        <v/>
      </c>
      <c r="B1800" s="37" t="str">
        <f ca="1">IF(Agent09_Savings!A205="","","SV"&amp;TEXT(1800-3,"0000")&amp;"-"&amp;TEXT(TODAY(),"YYYYMMDD"))</f>
        <v/>
      </c>
      <c r="C1800" s="37" t="str">
        <f>IF(Agent09_Savings!A205="","",Agent09_Savings!B205)</f>
        <v/>
      </c>
      <c r="D1800" s="37" t="str">
        <f>IF(Agent09_Savings!A205="","",Agent09_Savings!G205)</f>
        <v/>
      </c>
      <c r="E1800" s="38" t="str">
        <f>IF(Agent09_Savings!A205="","",Agent09_Savings!D205)</f>
        <v/>
      </c>
      <c r="F1800" s="39" t="str">
        <f>IF(Agent09_Savings!A205="","",Agent09_Savings!E205)</f>
        <v/>
      </c>
      <c r="G1800" s="39" t="str">
        <f>IF(Agent09_Savings!A205="","",Agent09_Savings!F205)</f>
        <v/>
      </c>
      <c r="H1800" s="37" t="str">
        <f>IF(Agent09_Savings!A205="","",Agent09_Savings!I205)</f>
        <v/>
      </c>
      <c r="I1800" s="37" t="str">
        <f>IF(Agent09_Savings!A205="","",Agent09_Savings!J205)</f>
        <v/>
      </c>
      <c r="J1800" s="37" t="str">
        <f>IF(Agent09_Savings!A205="","",Agent09_Savings!K205)</f>
        <v/>
      </c>
      <c r="K1800" s="37" t="str">
        <f>IFERROR(IF(Agent09_Savings!A205="","",YEAR(Agent09_Savings!D205)),"")</f>
        <v/>
      </c>
    </row>
    <row r="1801" spans="1:11" ht="18" customHeight="1" x14ac:dyDescent="0.25">
      <c r="A1801" s="37" t="str">
        <f>IF(Agent09_Savings!A206="","",Agent09_Savings!A206)</f>
        <v/>
      </c>
      <c r="B1801" s="37" t="str">
        <f ca="1">IF(Agent09_Savings!A206="","","SV"&amp;TEXT(1801-3,"0000")&amp;"-"&amp;TEXT(TODAY(),"YYYYMMDD"))</f>
        <v/>
      </c>
      <c r="C1801" s="37" t="str">
        <f>IF(Agent09_Savings!A206="","",Agent09_Savings!B206)</f>
        <v/>
      </c>
      <c r="D1801" s="37" t="str">
        <f>IF(Agent09_Savings!A206="","",Agent09_Savings!G206)</f>
        <v/>
      </c>
      <c r="E1801" s="38" t="str">
        <f>IF(Agent09_Savings!A206="","",Agent09_Savings!D206)</f>
        <v/>
      </c>
      <c r="F1801" s="39" t="str">
        <f>IF(Agent09_Savings!A206="","",Agent09_Savings!E206)</f>
        <v/>
      </c>
      <c r="G1801" s="39" t="str">
        <f>IF(Agent09_Savings!A206="","",Agent09_Savings!F206)</f>
        <v/>
      </c>
      <c r="H1801" s="37" t="str">
        <f>IF(Agent09_Savings!A206="","",Agent09_Savings!I206)</f>
        <v/>
      </c>
      <c r="I1801" s="37" t="str">
        <f>IF(Agent09_Savings!A206="","",Agent09_Savings!J206)</f>
        <v/>
      </c>
      <c r="J1801" s="37" t="str">
        <f>IF(Agent09_Savings!A206="","",Agent09_Savings!K206)</f>
        <v/>
      </c>
      <c r="K1801" s="37" t="str">
        <f>IFERROR(IF(Agent09_Savings!A206="","",YEAR(Agent09_Savings!D206)),"")</f>
        <v/>
      </c>
    </row>
    <row r="1802" spans="1:11" ht="18" customHeight="1" x14ac:dyDescent="0.25">
      <c r="A1802" s="37" t="str">
        <f>IF(Agent09_Savings!A207="","",Agent09_Savings!A207)</f>
        <v/>
      </c>
      <c r="B1802" s="37" t="str">
        <f ca="1">IF(Agent09_Savings!A207="","","SV"&amp;TEXT(1802-3,"0000")&amp;"-"&amp;TEXT(TODAY(),"YYYYMMDD"))</f>
        <v/>
      </c>
      <c r="C1802" s="37" t="str">
        <f>IF(Agent09_Savings!A207="","",Agent09_Savings!B207)</f>
        <v/>
      </c>
      <c r="D1802" s="37" t="str">
        <f>IF(Agent09_Savings!A207="","",Agent09_Savings!G207)</f>
        <v/>
      </c>
      <c r="E1802" s="38" t="str">
        <f>IF(Agent09_Savings!A207="","",Agent09_Savings!D207)</f>
        <v/>
      </c>
      <c r="F1802" s="39" t="str">
        <f>IF(Agent09_Savings!A207="","",Agent09_Savings!E207)</f>
        <v/>
      </c>
      <c r="G1802" s="39" t="str">
        <f>IF(Agent09_Savings!A207="","",Agent09_Savings!F207)</f>
        <v/>
      </c>
      <c r="H1802" s="37" t="str">
        <f>IF(Agent09_Savings!A207="","",Agent09_Savings!I207)</f>
        <v/>
      </c>
      <c r="I1802" s="37" t="str">
        <f>IF(Agent09_Savings!A207="","",Agent09_Savings!J207)</f>
        <v/>
      </c>
      <c r="J1802" s="37" t="str">
        <f>IF(Agent09_Savings!A207="","",Agent09_Savings!K207)</f>
        <v/>
      </c>
      <c r="K1802" s="37" t="str">
        <f>IFERROR(IF(Agent09_Savings!A207="","",YEAR(Agent09_Savings!D207)),"")</f>
        <v/>
      </c>
    </row>
    <row r="1803" spans="1:11" ht="18" customHeight="1" x14ac:dyDescent="0.25">
      <c r="A1803" s="37" t="str">
        <f>IF(Agent09_Savings!A208="","",Agent09_Savings!A208)</f>
        <v/>
      </c>
      <c r="B1803" s="37" t="str">
        <f ca="1">IF(Agent09_Savings!A208="","","SV"&amp;TEXT(1803-3,"0000")&amp;"-"&amp;TEXT(TODAY(),"YYYYMMDD"))</f>
        <v/>
      </c>
      <c r="C1803" s="37" t="str">
        <f>IF(Agent09_Savings!A208="","",Agent09_Savings!B208)</f>
        <v/>
      </c>
      <c r="D1803" s="37" t="str">
        <f>IF(Agent09_Savings!A208="","",Agent09_Savings!G208)</f>
        <v/>
      </c>
      <c r="E1803" s="38" t="str">
        <f>IF(Agent09_Savings!A208="","",Agent09_Savings!D208)</f>
        <v/>
      </c>
      <c r="F1803" s="39" t="str">
        <f>IF(Agent09_Savings!A208="","",Agent09_Savings!E208)</f>
        <v/>
      </c>
      <c r="G1803" s="39" t="str">
        <f>IF(Agent09_Savings!A208="","",Agent09_Savings!F208)</f>
        <v/>
      </c>
      <c r="H1803" s="37" t="str">
        <f>IF(Agent09_Savings!A208="","",Agent09_Savings!I208)</f>
        <v/>
      </c>
      <c r="I1803" s="37" t="str">
        <f>IF(Agent09_Savings!A208="","",Agent09_Savings!J208)</f>
        <v/>
      </c>
      <c r="J1803" s="37" t="str">
        <f>IF(Agent09_Savings!A208="","",Agent09_Savings!K208)</f>
        <v/>
      </c>
      <c r="K1803" s="37" t="str">
        <f>IFERROR(IF(Agent09_Savings!A208="","",YEAR(Agent09_Savings!D208)),"")</f>
        <v/>
      </c>
    </row>
    <row r="1804" spans="1:11" ht="18" customHeight="1" x14ac:dyDescent="0.25">
      <c r="A1804" s="37" t="str">
        <f>IF(Agent10_Savings!A9="","",Agent10_Savings!A9)</f>
        <v/>
      </c>
      <c r="B1804" s="37" t="str">
        <f ca="1">IF(Agent10_Savings!A9="","","SV"&amp;TEXT(1804-3,"0000")&amp;"-"&amp;TEXT(TODAY(),"YYYYMMDD"))</f>
        <v/>
      </c>
      <c r="C1804" s="37" t="str">
        <f>IF(Agent10_Savings!A9="","",Agent10_Savings!B9)</f>
        <v/>
      </c>
      <c r="D1804" s="37" t="str">
        <f>IF(Agent10_Savings!A9="","",Agent10_Savings!G9)</f>
        <v/>
      </c>
      <c r="E1804" s="38" t="str">
        <f>IF(Agent10_Savings!A9="","",Agent10_Savings!D9)</f>
        <v/>
      </c>
      <c r="F1804" s="39" t="str">
        <f>IF(Agent10_Savings!A9="","",Agent10_Savings!E9)</f>
        <v/>
      </c>
      <c r="G1804" s="39" t="str">
        <f>IF(Agent10_Savings!A9="","",Agent10_Savings!F9)</f>
        <v/>
      </c>
      <c r="H1804" s="37" t="str">
        <f>IF(Agent10_Savings!A9="","",Agent10_Savings!I9)</f>
        <v/>
      </c>
      <c r="I1804" s="37" t="str">
        <f>IF(Agent10_Savings!A9="","",Agent10_Savings!J9)</f>
        <v/>
      </c>
      <c r="J1804" s="37" t="str">
        <f>IF(Agent10_Savings!A9="","",Agent10_Savings!K9)</f>
        <v/>
      </c>
      <c r="K1804" s="37" t="str">
        <f>IFERROR(IF(Agent10_Savings!A9="","",YEAR(Agent10_Savings!D9)),"")</f>
        <v/>
      </c>
    </row>
    <row r="1805" spans="1:11" ht="18" customHeight="1" x14ac:dyDescent="0.25">
      <c r="A1805" s="37" t="str">
        <f>IF(Agent10_Savings!A10="","",Agent10_Savings!A10)</f>
        <v/>
      </c>
      <c r="B1805" s="37" t="str">
        <f ca="1">IF(Agent10_Savings!A10="","","SV"&amp;TEXT(1805-3,"0000")&amp;"-"&amp;TEXT(TODAY(),"YYYYMMDD"))</f>
        <v/>
      </c>
      <c r="C1805" s="37" t="str">
        <f>IF(Agent10_Savings!A10="","",Agent10_Savings!B10)</f>
        <v/>
      </c>
      <c r="D1805" s="37" t="str">
        <f>IF(Agent10_Savings!A10="","",Agent10_Savings!G10)</f>
        <v/>
      </c>
      <c r="E1805" s="38" t="str">
        <f>IF(Agent10_Savings!A10="","",Agent10_Savings!D10)</f>
        <v/>
      </c>
      <c r="F1805" s="39" t="str">
        <f>IF(Agent10_Savings!A10="","",Agent10_Savings!E10)</f>
        <v/>
      </c>
      <c r="G1805" s="39" t="str">
        <f>IF(Agent10_Savings!A10="","",Agent10_Savings!F10)</f>
        <v/>
      </c>
      <c r="H1805" s="37" t="str">
        <f>IF(Agent10_Savings!A10="","",Agent10_Savings!I10)</f>
        <v/>
      </c>
      <c r="I1805" s="37" t="str">
        <f>IF(Agent10_Savings!A10="","",Agent10_Savings!J10)</f>
        <v/>
      </c>
      <c r="J1805" s="37" t="str">
        <f>IF(Agent10_Savings!A10="","",Agent10_Savings!K10)</f>
        <v/>
      </c>
      <c r="K1805" s="37" t="str">
        <f>IFERROR(IF(Agent10_Savings!A10="","",YEAR(Agent10_Savings!D10)),"")</f>
        <v/>
      </c>
    </row>
    <row r="1806" spans="1:11" ht="18" customHeight="1" x14ac:dyDescent="0.25">
      <c r="A1806" s="37" t="str">
        <f>IF(Agent10_Savings!A11="","",Agent10_Savings!A11)</f>
        <v/>
      </c>
      <c r="B1806" s="37" t="str">
        <f ca="1">IF(Agent10_Savings!A11="","","SV"&amp;TEXT(1806-3,"0000")&amp;"-"&amp;TEXT(TODAY(),"YYYYMMDD"))</f>
        <v/>
      </c>
      <c r="C1806" s="37" t="str">
        <f>IF(Agent10_Savings!A11="","",Agent10_Savings!B11)</f>
        <v/>
      </c>
      <c r="D1806" s="37" t="str">
        <f>IF(Agent10_Savings!A11="","",Agent10_Savings!G11)</f>
        <v/>
      </c>
      <c r="E1806" s="38" t="str">
        <f>IF(Agent10_Savings!A11="","",Agent10_Savings!D11)</f>
        <v/>
      </c>
      <c r="F1806" s="39" t="str">
        <f>IF(Agent10_Savings!A11="","",Agent10_Savings!E11)</f>
        <v/>
      </c>
      <c r="G1806" s="39" t="str">
        <f>IF(Agent10_Savings!A11="","",Agent10_Savings!F11)</f>
        <v/>
      </c>
      <c r="H1806" s="37" t="str">
        <f>IF(Agent10_Savings!A11="","",Agent10_Savings!I11)</f>
        <v/>
      </c>
      <c r="I1806" s="37" t="str">
        <f>IF(Agent10_Savings!A11="","",Agent10_Savings!J11)</f>
        <v/>
      </c>
      <c r="J1806" s="37" t="str">
        <f>IF(Agent10_Savings!A11="","",Agent10_Savings!K11)</f>
        <v/>
      </c>
      <c r="K1806" s="37" t="str">
        <f>IFERROR(IF(Agent10_Savings!A11="","",YEAR(Agent10_Savings!D11)),"")</f>
        <v/>
      </c>
    </row>
    <row r="1807" spans="1:11" ht="18" customHeight="1" x14ac:dyDescent="0.25">
      <c r="A1807" s="37" t="str">
        <f>IF(Agent10_Savings!A12="","",Agent10_Savings!A12)</f>
        <v/>
      </c>
      <c r="B1807" s="37" t="str">
        <f ca="1">IF(Agent10_Savings!A12="","","SV"&amp;TEXT(1807-3,"0000")&amp;"-"&amp;TEXT(TODAY(),"YYYYMMDD"))</f>
        <v/>
      </c>
      <c r="C1807" s="37" t="str">
        <f>IF(Agent10_Savings!A12="","",Agent10_Savings!B12)</f>
        <v/>
      </c>
      <c r="D1807" s="37" t="str">
        <f>IF(Agent10_Savings!A12="","",Agent10_Savings!G12)</f>
        <v/>
      </c>
      <c r="E1807" s="38" t="str">
        <f>IF(Agent10_Savings!A12="","",Agent10_Savings!D12)</f>
        <v/>
      </c>
      <c r="F1807" s="39" t="str">
        <f>IF(Agent10_Savings!A12="","",Agent10_Savings!E12)</f>
        <v/>
      </c>
      <c r="G1807" s="39" t="str">
        <f>IF(Agent10_Savings!A12="","",Agent10_Savings!F12)</f>
        <v/>
      </c>
      <c r="H1807" s="37" t="str">
        <f>IF(Agent10_Savings!A12="","",Agent10_Savings!I12)</f>
        <v/>
      </c>
      <c r="I1807" s="37" t="str">
        <f>IF(Agent10_Savings!A12="","",Agent10_Savings!J12)</f>
        <v/>
      </c>
      <c r="J1807" s="37" t="str">
        <f>IF(Agent10_Savings!A12="","",Agent10_Savings!K12)</f>
        <v/>
      </c>
      <c r="K1807" s="37" t="str">
        <f>IFERROR(IF(Agent10_Savings!A12="","",YEAR(Agent10_Savings!D12)),"")</f>
        <v/>
      </c>
    </row>
    <row r="1808" spans="1:11" ht="18" customHeight="1" x14ac:dyDescent="0.25">
      <c r="A1808" s="37" t="str">
        <f>IF(Agent10_Savings!A13="","",Agent10_Savings!A13)</f>
        <v/>
      </c>
      <c r="B1808" s="37" t="str">
        <f ca="1">IF(Agent10_Savings!A13="","","SV"&amp;TEXT(1808-3,"0000")&amp;"-"&amp;TEXT(TODAY(),"YYYYMMDD"))</f>
        <v/>
      </c>
      <c r="C1808" s="37" t="str">
        <f>IF(Agent10_Savings!A13="","",Agent10_Savings!B13)</f>
        <v/>
      </c>
      <c r="D1808" s="37" t="str">
        <f>IF(Agent10_Savings!A13="","",Agent10_Savings!G13)</f>
        <v/>
      </c>
      <c r="E1808" s="38" t="str">
        <f>IF(Agent10_Savings!A13="","",Agent10_Savings!D13)</f>
        <v/>
      </c>
      <c r="F1808" s="39" t="str">
        <f>IF(Agent10_Savings!A13="","",Agent10_Savings!E13)</f>
        <v/>
      </c>
      <c r="G1808" s="39" t="str">
        <f>IF(Agent10_Savings!A13="","",Agent10_Savings!F13)</f>
        <v/>
      </c>
      <c r="H1808" s="37" t="str">
        <f>IF(Agent10_Savings!A13="","",Agent10_Savings!I13)</f>
        <v/>
      </c>
      <c r="I1808" s="37" t="str">
        <f>IF(Agent10_Savings!A13="","",Agent10_Savings!J13)</f>
        <v/>
      </c>
      <c r="J1808" s="37" t="str">
        <f>IF(Agent10_Savings!A13="","",Agent10_Savings!K13)</f>
        <v/>
      </c>
      <c r="K1808" s="37" t="str">
        <f>IFERROR(IF(Agent10_Savings!A13="","",YEAR(Agent10_Savings!D13)),"")</f>
        <v/>
      </c>
    </row>
    <row r="1809" spans="1:11" ht="18" customHeight="1" x14ac:dyDescent="0.25">
      <c r="A1809" s="37" t="str">
        <f>IF(Agent10_Savings!A14="","",Agent10_Savings!A14)</f>
        <v/>
      </c>
      <c r="B1809" s="37" t="str">
        <f ca="1">IF(Agent10_Savings!A14="","","SV"&amp;TEXT(1809-3,"0000")&amp;"-"&amp;TEXT(TODAY(),"YYYYMMDD"))</f>
        <v/>
      </c>
      <c r="C1809" s="37" t="str">
        <f>IF(Agent10_Savings!A14="","",Agent10_Savings!B14)</f>
        <v/>
      </c>
      <c r="D1809" s="37" t="str">
        <f>IF(Agent10_Savings!A14="","",Agent10_Savings!G14)</f>
        <v/>
      </c>
      <c r="E1809" s="38" t="str">
        <f>IF(Agent10_Savings!A14="","",Agent10_Savings!D14)</f>
        <v/>
      </c>
      <c r="F1809" s="39" t="str">
        <f>IF(Agent10_Savings!A14="","",Agent10_Savings!E14)</f>
        <v/>
      </c>
      <c r="G1809" s="39" t="str">
        <f>IF(Agent10_Savings!A14="","",Agent10_Savings!F14)</f>
        <v/>
      </c>
      <c r="H1809" s="37" t="str">
        <f>IF(Agent10_Savings!A14="","",Agent10_Savings!I14)</f>
        <v/>
      </c>
      <c r="I1809" s="37" t="str">
        <f>IF(Agent10_Savings!A14="","",Agent10_Savings!J14)</f>
        <v/>
      </c>
      <c r="J1809" s="37" t="str">
        <f>IF(Agent10_Savings!A14="","",Agent10_Savings!K14)</f>
        <v/>
      </c>
      <c r="K1809" s="37" t="str">
        <f>IFERROR(IF(Agent10_Savings!A14="","",YEAR(Agent10_Savings!D14)),"")</f>
        <v/>
      </c>
    </row>
    <row r="1810" spans="1:11" ht="18" customHeight="1" x14ac:dyDescent="0.25">
      <c r="A1810" s="37" t="str">
        <f>IF(Agent10_Savings!A15="","",Agent10_Savings!A15)</f>
        <v/>
      </c>
      <c r="B1810" s="37" t="str">
        <f ca="1">IF(Agent10_Savings!A15="","","SV"&amp;TEXT(1810-3,"0000")&amp;"-"&amp;TEXT(TODAY(),"YYYYMMDD"))</f>
        <v/>
      </c>
      <c r="C1810" s="37" t="str">
        <f>IF(Agent10_Savings!A15="","",Agent10_Savings!B15)</f>
        <v/>
      </c>
      <c r="D1810" s="37" t="str">
        <f>IF(Agent10_Savings!A15="","",Agent10_Savings!G15)</f>
        <v/>
      </c>
      <c r="E1810" s="38" t="str">
        <f>IF(Agent10_Savings!A15="","",Agent10_Savings!D15)</f>
        <v/>
      </c>
      <c r="F1810" s="39" t="str">
        <f>IF(Agent10_Savings!A15="","",Agent10_Savings!E15)</f>
        <v/>
      </c>
      <c r="G1810" s="39" t="str">
        <f>IF(Agent10_Savings!A15="","",Agent10_Savings!F15)</f>
        <v/>
      </c>
      <c r="H1810" s="37" t="str">
        <f>IF(Agent10_Savings!A15="","",Agent10_Savings!I15)</f>
        <v/>
      </c>
      <c r="I1810" s="37" t="str">
        <f>IF(Agent10_Savings!A15="","",Agent10_Savings!J15)</f>
        <v/>
      </c>
      <c r="J1810" s="37" t="str">
        <f>IF(Agent10_Savings!A15="","",Agent10_Savings!K15)</f>
        <v/>
      </c>
      <c r="K1810" s="37" t="str">
        <f>IFERROR(IF(Agent10_Savings!A15="","",YEAR(Agent10_Savings!D15)),"")</f>
        <v/>
      </c>
    </row>
    <row r="1811" spans="1:11" ht="18" customHeight="1" x14ac:dyDescent="0.25">
      <c r="A1811" s="37" t="str">
        <f>IF(Agent10_Savings!A16="","",Agent10_Savings!A16)</f>
        <v/>
      </c>
      <c r="B1811" s="37" t="str">
        <f ca="1">IF(Agent10_Savings!A16="","","SV"&amp;TEXT(1811-3,"0000")&amp;"-"&amp;TEXT(TODAY(),"YYYYMMDD"))</f>
        <v/>
      </c>
      <c r="C1811" s="37" t="str">
        <f>IF(Agent10_Savings!A16="","",Agent10_Savings!B16)</f>
        <v/>
      </c>
      <c r="D1811" s="37" t="str">
        <f>IF(Agent10_Savings!A16="","",Agent10_Savings!G16)</f>
        <v/>
      </c>
      <c r="E1811" s="38" t="str">
        <f>IF(Agent10_Savings!A16="","",Agent10_Savings!D16)</f>
        <v/>
      </c>
      <c r="F1811" s="39" t="str">
        <f>IF(Agent10_Savings!A16="","",Agent10_Savings!E16)</f>
        <v/>
      </c>
      <c r="G1811" s="39" t="str">
        <f>IF(Agent10_Savings!A16="","",Agent10_Savings!F16)</f>
        <v/>
      </c>
      <c r="H1811" s="37" t="str">
        <f>IF(Agent10_Savings!A16="","",Agent10_Savings!I16)</f>
        <v/>
      </c>
      <c r="I1811" s="37" t="str">
        <f>IF(Agent10_Savings!A16="","",Agent10_Savings!J16)</f>
        <v/>
      </c>
      <c r="J1811" s="37" t="str">
        <f>IF(Agent10_Savings!A16="","",Agent10_Savings!K16)</f>
        <v/>
      </c>
      <c r="K1811" s="37" t="str">
        <f>IFERROR(IF(Agent10_Savings!A16="","",YEAR(Agent10_Savings!D16)),"")</f>
        <v/>
      </c>
    </row>
    <row r="1812" spans="1:11" ht="18" customHeight="1" x14ac:dyDescent="0.25">
      <c r="A1812" s="37" t="str">
        <f>IF(Agent10_Savings!A17="","",Agent10_Savings!A17)</f>
        <v/>
      </c>
      <c r="B1812" s="37" t="str">
        <f ca="1">IF(Agent10_Savings!A17="","","SV"&amp;TEXT(1812-3,"0000")&amp;"-"&amp;TEXT(TODAY(),"YYYYMMDD"))</f>
        <v/>
      </c>
      <c r="C1812" s="37" t="str">
        <f>IF(Agent10_Savings!A17="","",Agent10_Savings!B17)</f>
        <v/>
      </c>
      <c r="D1812" s="37" t="str">
        <f>IF(Agent10_Savings!A17="","",Agent10_Savings!G17)</f>
        <v/>
      </c>
      <c r="E1812" s="38" t="str">
        <f>IF(Agent10_Savings!A17="","",Agent10_Savings!D17)</f>
        <v/>
      </c>
      <c r="F1812" s="39" t="str">
        <f>IF(Agent10_Savings!A17="","",Agent10_Savings!E17)</f>
        <v/>
      </c>
      <c r="G1812" s="39" t="str">
        <f>IF(Agent10_Savings!A17="","",Agent10_Savings!F17)</f>
        <v/>
      </c>
      <c r="H1812" s="37" t="str">
        <f>IF(Agent10_Savings!A17="","",Agent10_Savings!I17)</f>
        <v/>
      </c>
      <c r="I1812" s="37" t="str">
        <f>IF(Agent10_Savings!A17="","",Agent10_Savings!J17)</f>
        <v/>
      </c>
      <c r="J1812" s="37" t="str">
        <f>IF(Agent10_Savings!A17="","",Agent10_Savings!K17)</f>
        <v/>
      </c>
      <c r="K1812" s="37" t="str">
        <f>IFERROR(IF(Agent10_Savings!A17="","",YEAR(Agent10_Savings!D17)),"")</f>
        <v/>
      </c>
    </row>
    <row r="1813" spans="1:11" ht="18" customHeight="1" x14ac:dyDescent="0.25">
      <c r="A1813" s="37" t="str">
        <f>IF(Agent10_Savings!A18="","",Agent10_Savings!A18)</f>
        <v/>
      </c>
      <c r="B1813" s="37" t="str">
        <f ca="1">IF(Agent10_Savings!A18="","","SV"&amp;TEXT(1813-3,"0000")&amp;"-"&amp;TEXT(TODAY(),"YYYYMMDD"))</f>
        <v/>
      </c>
      <c r="C1813" s="37" t="str">
        <f>IF(Agent10_Savings!A18="","",Agent10_Savings!B18)</f>
        <v/>
      </c>
      <c r="D1813" s="37" t="str">
        <f>IF(Agent10_Savings!A18="","",Agent10_Savings!G18)</f>
        <v/>
      </c>
      <c r="E1813" s="38" t="str">
        <f>IF(Agent10_Savings!A18="","",Agent10_Savings!D18)</f>
        <v/>
      </c>
      <c r="F1813" s="39" t="str">
        <f>IF(Agent10_Savings!A18="","",Agent10_Savings!E18)</f>
        <v/>
      </c>
      <c r="G1813" s="39" t="str">
        <f>IF(Agent10_Savings!A18="","",Agent10_Savings!F18)</f>
        <v/>
      </c>
      <c r="H1813" s="37" t="str">
        <f>IF(Agent10_Savings!A18="","",Agent10_Savings!I18)</f>
        <v/>
      </c>
      <c r="I1813" s="37" t="str">
        <f>IF(Agent10_Savings!A18="","",Agent10_Savings!J18)</f>
        <v/>
      </c>
      <c r="J1813" s="37" t="str">
        <f>IF(Agent10_Savings!A18="","",Agent10_Savings!K18)</f>
        <v/>
      </c>
      <c r="K1813" s="37" t="str">
        <f>IFERROR(IF(Agent10_Savings!A18="","",YEAR(Agent10_Savings!D18)),"")</f>
        <v/>
      </c>
    </row>
    <row r="1814" spans="1:11" ht="18" customHeight="1" x14ac:dyDescent="0.25">
      <c r="A1814" s="37" t="str">
        <f>IF(Agent10_Savings!A19="","",Agent10_Savings!A19)</f>
        <v/>
      </c>
      <c r="B1814" s="37" t="str">
        <f ca="1">IF(Agent10_Savings!A19="","","SV"&amp;TEXT(1814-3,"0000")&amp;"-"&amp;TEXT(TODAY(),"YYYYMMDD"))</f>
        <v/>
      </c>
      <c r="C1814" s="37" t="str">
        <f>IF(Agent10_Savings!A19="","",Agent10_Savings!B19)</f>
        <v/>
      </c>
      <c r="D1814" s="37" t="str">
        <f>IF(Agent10_Savings!A19="","",Agent10_Savings!G19)</f>
        <v/>
      </c>
      <c r="E1814" s="38" t="str">
        <f>IF(Agent10_Savings!A19="","",Agent10_Savings!D19)</f>
        <v/>
      </c>
      <c r="F1814" s="39" t="str">
        <f>IF(Agent10_Savings!A19="","",Agent10_Savings!E19)</f>
        <v/>
      </c>
      <c r="G1814" s="39" t="str">
        <f>IF(Agent10_Savings!A19="","",Agent10_Savings!F19)</f>
        <v/>
      </c>
      <c r="H1814" s="37" t="str">
        <f>IF(Agent10_Savings!A19="","",Agent10_Savings!I19)</f>
        <v/>
      </c>
      <c r="I1814" s="37" t="str">
        <f>IF(Agent10_Savings!A19="","",Agent10_Savings!J19)</f>
        <v/>
      </c>
      <c r="J1814" s="37" t="str">
        <f>IF(Agent10_Savings!A19="","",Agent10_Savings!K19)</f>
        <v/>
      </c>
      <c r="K1814" s="37" t="str">
        <f>IFERROR(IF(Agent10_Savings!A19="","",YEAR(Agent10_Savings!D19)),"")</f>
        <v/>
      </c>
    </row>
    <row r="1815" spans="1:11" ht="18" customHeight="1" x14ac:dyDescent="0.25">
      <c r="A1815" s="37" t="str">
        <f>IF(Agent10_Savings!A20="","",Agent10_Savings!A20)</f>
        <v/>
      </c>
      <c r="B1815" s="37" t="str">
        <f ca="1">IF(Agent10_Savings!A20="","","SV"&amp;TEXT(1815-3,"0000")&amp;"-"&amp;TEXT(TODAY(),"YYYYMMDD"))</f>
        <v/>
      </c>
      <c r="C1815" s="37" t="str">
        <f>IF(Agent10_Savings!A20="","",Agent10_Savings!B20)</f>
        <v/>
      </c>
      <c r="D1815" s="37" t="str">
        <f>IF(Agent10_Savings!A20="","",Agent10_Savings!G20)</f>
        <v/>
      </c>
      <c r="E1815" s="38" t="str">
        <f>IF(Agent10_Savings!A20="","",Agent10_Savings!D20)</f>
        <v/>
      </c>
      <c r="F1815" s="39" t="str">
        <f>IF(Agent10_Savings!A20="","",Agent10_Savings!E20)</f>
        <v/>
      </c>
      <c r="G1815" s="39" t="str">
        <f>IF(Agent10_Savings!A20="","",Agent10_Savings!F20)</f>
        <v/>
      </c>
      <c r="H1815" s="37" t="str">
        <f>IF(Agent10_Savings!A20="","",Agent10_Savings!I20)</f>
        <v/>
      </c>
      <c r="I1815" s="37" t="str">
        <f>IF(Agent10_Savings!A20="","",Agent10_Savings!J20)</f>
        <v/>
      </c>
      <c r="J1815" s="37" t="str">
        <f>IF(Agent10_Savings!A20="","",Agent10_Savings!K20)</f>
        <v/>
      </c>
      <c r="K1815" s="37" t="str">
        <f>IFERROR(IF(Agent10_Savings!A20="","",YEAR(Agent10_Savings!D20)),"")</f>
        <v/>
      </c>
    </row>
    <row r="1816" spans="1:11" ht="18" customHeight="1" x14ac:dyDescent="0.25">
      <c r="A1816" s="37" t="str">
        <f>IF(Agent10_Savings!A21="","",Agent10_Savings!A21)</f>
        <v/>
      </c>
      <c r="B1816" s="37" t="str">
        <f ca="1">IF(Agent10_Savings!A21="","","SV"&amp;TEXT(1816-3,"0000")&amp;"-"&amp;TEXT(TODAY(),"YYYYMMDD"))</f>
        <v/>
      </c>
      <c r="C1816" s="37" t="str">
        <f>IF(Agent10_Savings!A21="","",Agent10_Savings!B21)</f>
        <v/>
      </c>
      <c r="D1816" s="37" t="str">
        <f>IF(Agent10_Savings!A21="","",Agent10_Savings!G21)</f>
        <v/>
      </c>
      <c r="E1816" s="38" t="str">
        <f>IF(Agent10_Savings!A21="","",Agent10_Savings!D21)</f>
        <v/>
      </c>
      <c r="F1816" s="39" t="str">
        <f>IF(Agent10_Savings!A21="","",Agent10_Savings!E21)</f>
        <v/>
      </c>
      <c r="G1816" s="39" t="str">
        <f>IF(Agent10_Savings!A21="","",Agent10_Savings!F21)</f>
        <v/>
      </c>
      <c r="H1816" s="37" t="str">
        <f>IF(Agent10_Savings!A21="","",Agent10_Savings!I21)</f>
        <v/>
      </c>
      <c r="I1816" s="37" t="str">
        <f>IF(Agent10_Savings!A21="","",Agent10_Savings!J21)</f>
        <v/>
      </c>
      <c r="J1816" s="37" t="str">
        <f>IF(Agent10_Savings!A21="","",Agent10_Savings!K21)</f>
        <v/>
      </c>
      <c r="K1816" s="37" t="str">
        <f>IFERROR(IF(Agent10_Savings!A21="","",YEAR(Agent10_Savings!D21)),"")</f>
        <v/>
      </c>
    </row>
    <row r="1817" spans="1:11" ht="18" customHeight="1" x14ac:dyDescent="0.25">
      <c r="A1817" s="37" t="str">
        <f>IF(Agent10_Savings!A22="","",Agent10_Savings!A22)</f>
        <v/>
      </c>
      <c r="B1817" s="37" t="str">
        <f ca="1">IF(Agent10_Savings!A22="","","SV"&amp;TEXT(1817-3,"0000")&amp;"-"&amp;TEXT(TODAY(),"YYYYMMDD"))</f>
        <v/>
      </c>
      <c r="C1817" s="37" t="str">
        <f>IF(Agent10_Savings!A22="","",Agent10_Savings!B22)</f>
        <v/>
      </c>
      <c r="D1817" s="37" t="str">
        <f>IF(Agent10_Savings!A22="","",Agent10_Savings!G22)</f>
        <v/>
      </c>
      <c r="E1817" s="38" t="str">
        <f>IF(Agent10_Savings!A22="","",Agent10_Savings!D22)</f>
        <v/>
      </c>
      <c r="F1817" s="39" t="str">
        <f>IF(Agent10_Savings!A22="","",Agent10_Savings!E22)</f>
        <v/>
      </c>
      <c r="G1817" s="39" t="str">
        <f>IF(Agent10_Savings!A22="","",Agent10_Savings!F22)</f>
        <v/>
      </c>
      <c r="H1817" s="37" t="str">
        <f>IF(Agent10_Savings!A22="","",Agent10_Savings!I22)</f>
        <v/>
      </c>
      <c r="I1817" s="37" t="str">
        <f>IF(Agent10_Savings!A22="","",Agent10_Savings!J22)</f>
        <v/>
      </c>
      <c r="J1817" s="37" t="str">
        <f>IF(Agent10_Savings!A22="","",Agent10_Savings!K22)</f>
        <v/>
      </c>
      <c r="K1817" s="37" t="str">
        <f>IFERROR(IF(Agent10_Savings!A22="","",YEAR(Agent10_Savings!D22)),"")</f>
        <v/>
      </c>
    </row>
    <row r="1818" spans="1:11" ht="18" customHeight="1" x14ac:dyDescent="0.25">
      <c r="A1818" s="37" t="str">
        <f>IF(Agent10_Savings!A23="","",Agent10_Savings!A23)</f>
        <v/>
      </c>
      <c r="B1818" s="37" t="str">
        <f ca="1">IF(Agent10_Savings!A23="","","SV"&amp;TEXT(1818-3,"0000")&amp;"-"&amp;TEXT(TODAY(),"YYYYMMDD"))</f>
        <v/>
      </c>
      <c r="C1818" s="37" t="str">
        <f>IF(Agent10_Savings!A23="","",Agent10_Savings!B23)</f>
        <v/>
      </c>
      <c r="D1818" s="37" t="str">
        <f>IF(Agent10_Savings!A23="","",Agent10_Savings!G23)</f>
        <v/>
      </c>
      <c r="E1818" s="38" t="str">
        <f>IF(Agent10_Savings!A23="","",Agent10_Savings!D23)</f>
        <v/>
      </c>
      <c r="F1818" s="39" t="str">
        <f>IF(Agent10_Savings!A23="","",Agent10_Savings!E23)</f>
        <v/>
      </c>
      <c r="G1818" s="39" t="str">
        <f>IF(Agent10_Savings!A23="","",Agent10_Savings!F23)</f>
        <v/>
      </c>
      <c r="H1818" s="37" t="str">
        <f>IF(Agent10_Savings!A23="","",Agent10_Savings!I23)</f>
        <v/>
      </c>
      <c r="I1818" s="37" t="str">
        <f>IF(Agent10_Savings!A23="","",Agent10_Savings!J23)</f>
        <v/>
      </c>
      <c r="J1818" s="37" t="str">
        <f>IF(Agent10_Savings!A23="","",Agent10_Savings!K23)</f>
        <v/>
      </c>
      <c r="K1818" s="37" t="str">
        <f>IFERROR(IF(Agent10_Savings!A23="","",YEAR(Agent10_Savings!D23)),"")</f>
        <v/>
      </c>
    </row>
    <row r="1819" spans="1:11" ht="18" customHeight="1" x14ac:dyDescent="0.25">
      <c r="A1819" s="37" t="str">
        <f>IF(Agent10_Savings!A24="","",Agent10_Savings!A24)</f>
        <v/>
      </c>
      <c r="B1819" s="37" t="str">
        <f ca="1">IF(Agent10_Savings!A24="","","SV"&amp;TEXT(1819-3,"0000")&amp;"-"&amp;TEXT(TODAY(),"YYYYMMDD"))</f>
        <v/>
      </c>
      <c r="C1819" s="37" t="str">
        <f>IF(Agent10_Savings!A24="","",Agent10_Savings!B24)</f>
        <v/>
      </c>
      <c r="D1819" s="37" t="str">
        <f>IF(Agent10_Savings!A24="","",Agent10_Savings!G24)</f>
        <v/>
      </c>
      <c r="E1819" s="38" t="str">
        <f>IF(Agent10_Savings!A24="","",Agent10_Savings!D24)</f>
        <v/>
      </c>
      <c r="F1819" s="39" t="str">
        <f>IF(Agent10_Savings!A24="","",Agent10_Savings!E24)</f>
        <v/>
      </c>
      <c r="G1819" s="39" t="str">
        <f>IF(Agent10_Savings!A24="","",Agent10_Savings!F24)</f>
        <v/>
      </c>
      <c r="H1819" s="37" t="str">
        <f>IF(Agent10_Savings!A24="","",Agent10_Savings!I24)</f>
        <v/>
      </c>
      <c r="I1819" s="37" t="str">
        <f>IF(Agent10_Savings!A24="","",Agent10_Savings!J24)</f>
        <v/>
      </c>
      <c r="J1819" s="37" t="str">
        <f>IF(Agent10_Savings!A24="","",Agent10_Savings!K24)</f>
        <v/>
      </c>
      <c r="K1819" s="37" t="str">
        <f>IFERROR(IF(Agent10_Savings!A24="","",YEAR(Agent10_Savings!D24)),"")</f>
        <v/>
      </c>
    </row>
    <row r="1820" spans="1:11" ht="18" customHeight="1" x14ac:dyDescent="0.25">
      <c r="A1820" s="37" t="str">
        <f>IF(Agent10_Savings!A25="","",Agent10_Savings!A25)</f>
        <v/>
      </c>
      <c r="B1820" s="37" t="str">
        <f ca="1">IF(Agent10_Savings!A25="","","SV"&amp;TEXT(1820-3,"0000")&amp;"-"&amp;TEXT(TODAY(),"YYYYMMDD"))</f>
        <v/>
      </c>
      <c r="C1820" s="37" t="str">
        <f>IF(Agent10_Savings!A25="","",Agent10_Savings!B25)</f>
        <v/>
      </c>
      <c r="D1820" s="37" t="str">
        <f>IF(Agent10_Savings!A25="","",Agent10_Savings!G25)</f>
        <v/>
      </c>
      <c r="E1820" s="38" t="str">
        <f>IF(Agent10_Savings!A25="","",Agent10_Savings!D25)</f>
        <v/>
      </c>
      <c r="F1820" s="39" t="str">
        <f>IF(Agent10_Savings!A25="","",Agent10_Savings!E25)</f>
        <v/>
      </c>
      <c r="G1820" s="39" t="str">
        <f>IF(Agent10_Savings!A25="","",Agent10_Savings!F25)</f>
        <v/>
      </c>
      <c r="H1820" s="37" t="str">
        <f>IF(Agent10_Savings!A25="","",Agent10_Savings!I25)</f>
        <v/>
      </c>
      <c r="I1820" s="37" t="str">
        <f>IF(Agent10_Savings!A25="","",Agent10_Savings!J25)</f>
        <v/>
      </c>
      <c r="J1820" s="37" t="str">
        <f>IF(Agent10_Savings!A25="","",Agent10_Savings!K25)</f>
        <v/>
      </c>
      <c r="K1820" s="37" t="str">
        <f>IFERROR(IF(Agent10_Savings!A25="","",YEAR(Agent10_Savings!D25)),"")</f>
        <v/>
      </c>
    </row>
    <row r="1821" spans="1:11" ht="18" customHeight="1" x14ac:dyDescent="0.25">
      <c r="A1821" s="37" t="str">
        <f>IF(Agent10_Savings!A26="","",Agent10_Savings!A26)</f>
        <v/>
      </c>
      <c r="B1821" s="37" t="str">
        <f ca="1">IF(Agent10_Savings!A26="","","SV"&amp;TEXT(1821-3,"0000")&amp;"-"&amp;TEXT(TODAY(),"YYYYMMDD"))</f>
        <v/>
      </c>
      <c r="C1821" s="37" t="str">
        <f>IF(Agent10_Savings!A26="","",Agent10_Savings!B26)</f>
        <v/>
      </c>
      <c r="D1821" s="37" t="str">
        <f>IF(Agent10_Savings!A26="","",Agent10_Savings!G26)</f>
        <v/>
      </c>
      <c r="E1821" s="38" t="str">
        <f>IF(Agent10_Savings!A26="","",Agent10_Savings!D26)</f>
        <v/>
      </c>
      <c r="F1821" s="39" t="str">
        <f>IF(Agent10_Savings!A26="","",Agent10_Savings!E26)</f>
        <v/>
      </c>
      <c r="G1821" s="39" t="str">
        <f>IF(Agent10_Savings!A26="","",Agent10_Savings!F26)</f>
        <v/>
      </c>
      <c r="H1821" s="37" t="str">
        <f>IF(Agent10_Savings!A26="","",Agent10_Savings!I26)</f>
        <v/>
      </c>
      <c r="I1821" s="37" t="str">
        <f>IF(Agent10_Savings!A26="","",Agent10_Savings!J26)</f>
        <v/>
      </c>
      <c r="J1821" s="37" t="str">
        <f>IF(Agent10_Savings!A26="","",Agent10_Savings!K26)</f>
        <v/>
      </c>
      <c r="K1821" s="37" t="str">
        <f>IFERROR(IF(Agent10_Savings!A26="","",YEAR(Agent10_Savings!D26)),"")</f>
        <v/>
      </c>
    </row>
    <row r="1822" spans="1:11" ht="18" customHeight="1" x14ac:dyDescent="0.25">
      <c r="A1822" s="37" t="str">
        <f>IF(Agent10_Savings!A27="","",Agent10_Savings!A27)</f>
        <v/>
      </c>
      <c r="B1822" s="37" t="str">
        <f ca="1">IF(Agent10_Savings!A27="","","SV"&amp;TEXT(1822-3,"0000")&amp;"-"&amp;TEXT(TODAY(),"YYYYMMDD"))</f>
        <v/>
      </c>
      <c r="C1822" s="37" t="str">
        <f>IF(Agent10_Savings!A27="","",Agent10_Savings!B27)</f>
        <v/>
      </c>
      <c r="D1822" s="37" t="str">
        <f>IF(Agent10_Savings!A27="","",Agent10_Savings!G27)</f>
        <v/>
      </c>
      <c r="E1822" s="38" t="str">
        <f>IF(Agent10_Savings!A27="","",Agent10_Savings!D27)</f>
        <v/>
      </c>
      <c r="F1822" s="39" t="str">
        <f>IF(Agent10_Savings!A27="","",Agent10_Savings!E27)</f>
        <v/>
      </c>
      <c r="G1822" s="39" t="str">
        <f>IF(Agent10_Savings!A27="","",Agent10_Savings!F27)</f>
        <v/>
      </c>
      <c r="H1822" s="37" t="str">
        <f>IF(Agent10_Savings!A27="","",Agent10_Savings!I27)</f>
        <v/>
      </c>
      <c r="I1822" s="37" t="str">
        <f>IF(Agent10_Savings!A27="","",Agent10_Savings!J27)</f>
        <v/>
      </c>
      <c r="J1822" s="37" t="str">
        <f>IF(Agent10_Savings!A27="","",Agent10_Savings!K27)</f>
        <v/>
      </c>
      <c r="K1822" s="37" t="str">
        <f>IFERROR(IF(Agent10_Savings!A27="","",YEAR(Agent10_Savings!D27)),"")</f>
        <v/>
      </c>
    </row>
    <row r="1823" spans="1:11" ht="18" customHeight="1" x14ac:dyDescent="0.25">
      <c r="A1823" s="37" t="str">
        <f>IF(Agent10_Savings!A28="","",Agent10_Savings!A28)</f>
        <v/>
      </c>
      <c r="B1823" s="37" t="str">
        <f ca="1">IF(Agent10_Savings!A28="","","SV"&amp;TEXT(1823-3,"0000")&amp;"-"&amp;TEXT(TODAY(),"YYYYMMDD"))</f>
        <v/>
      </c>
      <c r="C1823" s="37" t="str">
        <f>IF(Agent10_Savings!A28="","",Agent10_Savings!B28)</f>
        <v/>
      </c>
      <c r="D1823" s="37" t="str">
        <f>IF(Agent10_Savings!A28="","",Agent10_Savings!G28)</f>
        <v/>
      </c>
      <c r="E1823" s="38" t="str">
        <f>IF(Agent10_Savings!A28="","",Agent10_Savings!D28)</f>
        <v/>
      </c>
      <c r="F1823" s="39" t="str">
        <f>IF(Agent10_Savings!A28="","",Agent10_Savings!E28)</f>
        <v/>
      </c>
      <c r="G1823" s="39" t="str">
        <f>IF(Agent10_Savings!A28="","",Agent10_Savings!F28)</f>
        <v/>
      </c>
      <c r="H1823" s="37" t="str">
        <f>IF(Agent10_Savings!A28="","",Agent10_Savings!I28)</f>
        <v/>
      </c>
      <c r="I1823" s="37" t="str">
        <f>IF(Agent10_Savings!A28="","",Agent10_Savings!J28)</f>
        <v/>
      </c>
      <c r="J1823" s="37" t="str">
        <f>IF(Agent10_Savings!A28="","",Agent10_Savings!K28)</f>
        <v/>
      </c>
      <c r="K1823" s="37" t="str">
        <f>IFERROR(IF(Agent10_Savings!A28="","",YEAR(Agent10_Savings!D28)),"")</f>
        <v/>
      </c>
    </row>
    <row r="1824" spans="1:11" ht="18" customHeight="1" x14ac:dyDescent="0.25">
      <c r="A1824" s="37" t="str">
        <f>IF(Agent10_Savings!A29="","",Agent10_Savings!A29)</f>
        <v/>
      </c>
      <c r="B1824" s="37" t="str">
        <f ca="1">IF(Agent10_Savings!A29="","","SV"&amp;TEXT(1824-3,"0000")&amp;"-"&amp;TEXT(TODAY(),"YYYYMMDD"))</f>
        <v/>
      </c>
      <c r="C1824" s="37" t="str">
        <f>IF(Agent10_Savings!A29="","",Agent10_Savings!B29)</f>
        <v/>
      </c>
      <c r="D1824" s="37" t="str">
        <f>IF(Agent10_Savings!A29="","",Agent10_Savings!G29)</f>
        <v/>
      </c>
      <c r="E1824" s="38" t="str">
        <f>IF(Agent10_Savings!A29="","",Agent10_Savings!D29)</f>
        <v/>
      </c>
      <c r="F1824" s="39" t="str">
        <f>IF(Agent10_Savings!A29="","",Agent10_Savings!E29)</f>
        <v/>
      </c>
      <c r="G1824" s="39" t="str">
        <f>IF(Agent10_Savings!A29="","",Agent10_Savings!F29)</f>
        <v/>
      </c>
      <c r="H1824" s="37" t="str">
        <f>IF(Agent10_Savings!A29="","",Agent10_Savings!I29)</f>
        <v/>
      </c>
      <c r="I1824" s="37" t="str">
        <f>IF(Agent10_Savings!A29="","",Agent10_Savings!J29)</f>
        <v/>
      </c>
      <c r="J1824" s="37" t="str">
        <f>IF(Agent10_Savings!A29="","",Agent10_Savings!K29)</f>
        <v/>
      </c>
      <c r="K1824" s="37" t="str">
        <f>IFERROR(IF(Agent10_Savings!A29="","",YEAR(Agent10_Savings!D29)),"")</f>
        <v/>
      </c>
    </row>
    <row r="1825" spans="1:11" ht="18" customHeight="1" x14ac:dyDescent="0.25">
      <c r="A1825" s="37" t="str">
        <f>IF(Agent10_Savings!A30="","",Agent10_Savings!A30)</f>
        <v/>
      </c>
      <c r="B1825" s="37" t="str">
        <f ca="1">IF(Agent10_Savings!A30="","","SV"&amp;TEXT(1825-3,"0000")&amp;"-"&amp;TEXT(TODAY(),"YYYYMMDD"))</f>
        <v/>
      </c>
      <c r="C1825" s="37" t="str">
        <f>IF(Agent10_Savings!A30="","",Agent10_Savings!B30)</f>
        <v/>
      </c>
      <c r="D1825" s="37" t="str">
        <f>IF(Agent10_Savings!A30="","",Agent10_Savings!G30)</f>
        <v/>
      </c>
      <c r="E1825" s="38" t="str">
        <f>IF(Agent10_Savings!A30="","",Agent10_Savings!D30)</f>
        <v/>
      </c>
      <c r="F1825" s="39" t="str">
        <f>IF(Agent10_Savings!A30="","",Agent10_Savings!E30)</f>
        <v/>
      </c>
      <c r="G1825" s="39" t="str">
        <f>IF(Agent10_Savings!A30="","",Agent10_Savings!F30)</f>
        <v/>
      </c>
      <c r="H1825" s="37" t="str">
        <f>IF(Agent10_Savings!A30="","",Agent10_Savings!I30)</f>
        <v/>
      </c>
      <c r="I1825" s="37" t="str">
        <f>IF(Agent10_Savings!A30="","",Agent10_Savings!J30)</f>
        <v/>
      </c>
      <c r="J1825" s="37" t="str">
        <f>IF(Agent10_Savings!A30="","",Agent10_Savings!K30)</f>
        <v/>
      </c>
      <c r="K1825" s="37" t="str">
        <f>IFERROR(IF(Agent10_Savings!A30="","",YEAR(Agent10_Savings!D30)),"")</f>
        <v/>
      </c>
    </row>
    <row r="1826" spans="1:11" ht="18" customHeight="1" x14ac:dyDescent="0.25">
      <c r="A1826" s="37" t="str">
        <f>IF(Agent10_Savings!A31="","",Agent10_Savings!A31)</f>
        <v/>
      </c>
      <c r="B1826" s="37" t="str">
        <f ca="1">IF(Agent10_Savings!A31="","","SV"&amp;TEXT(1826-3,"0000")&amp;"-"&amp;TEXT(TODAY(),"YYYYMMDD"))</f>
        <v/>
      </c>
      <c r="C1826" s="37" t="str">
        <f>IF(Agent10_Savings!A31="","",Agent10_Savings!B31)</f>
        <v/>
      </c>
      <c r="D1826" s="37" t="str">
        <f>IF(Agent10_Savings!A31="","",Agent10_Savings!G31)</f>
        <v/>
      </c>
      <c r="E1826" s="38" t="str">
        <f>IF(Agent10_Savings!A31="","",Agent10_Savings!D31)</f>
        <v/>
      </c>
      <c r="F1826" s="39" t="str">
        <f>IF(Agent10_Savings!A31="","",Agent10_Savings!E31)</f>
        <v/>
      </c>
      <c r="G1826" s="39" t="str">
        <f>IF(Agent10_Savings!A31="","",Agent10_Savings!F31)</f>
        <v/>
      </c>
      <c r="H1826" s="37" t="str">
        <f>IF(Agent10_Savings!A31="","",Agent10_Savings!I31)</f>
        <v/>
      </c>
      <c r="I1826" s="37" t="str">
        <f>IF(Agent10_Savings!A31="","",Agent10_Savings!J31)</f>
        <v/>
      </c>
      <c r="J1826" s="37" t="str">
        <f>IF(Agent10_Savings!A31="","",Agent10_Savings!K31)</f>
        <v/>
      </c>
      <c r="K1826" s="37" t="str">
        <f>IFERROR(IF(Agent10_Savings!A31="","",YEAR(Agent10_Savings!D31)),"")</f>
        <v/>
      </c>
    </row>
    <row r="1827" spans="1:11" ht="18" customHeight="1" x14ac:dyDescent="0.25">
      <c r="A1827" s="37" t="str">
        <f>IF(Agent10_Savings!A32="","",Agent10_Savings!A32)</f>
        <v/>
      </c>
      <c r="B1827" s="37" t="str">
        <f ca="1">IF(Agent10_Savings!A32="","","SV"&amp;TEXT(1827-3,"0000")&amp;"-"&amp;TEXT(TODAY(),"YYYYMMDD"))</f>
        <v/>
      </c>
      <c r="C1827" s="37" t="str">
        <f>IF(Agent10_Savings!A32="","",Agent10_Savings!B32)</f>
        <v/>
      </c>
      <c r="D1827" s="37" t="str">
        <f>IF(Agent10_Savings!A32="","",Agent10_Savings!G32)</f>
        <v/>
      </c>
      <c r="E1827" s="38" t="str">
        <f>IF(Agent10_Savings!A32="","",Agent10_Savings!D32)</f>
        <v/>
      </c>
      <c r="F1827" s="39" t="str">
        <f>IF(Agent10_Savings!A32="","",Agent10_Savings!E32)</f>
        <v/>
      </c>
      <c r="G1827" s="39" t="str">
        <f>IF(Agent10_Savings!A32="","",Agent10_Savings!F32)</f>
        <v/>
      </c>
      <c r="H1827" s="37" t="str">
        <f>IF(Agent10_Savings!A32="","",Agent10_Savings!I32)</f>
        <v/>
      </c>
      <c r="I1827" s="37" t="str">
        <f>IF(Agent10_Savings!A32="","",Agent10_Savings!J32)</f>
        <v/>
      </c>
      <c r="J1827" s="37" t="str">
        <f>IF(Agent10_Savings!A32="","",Agent10_Savings!K32)</f>
        <v/>
      </c>
      <c r="K1827" s="37" t="str">
        <f>IFERROR(IF(Agent10_Savings!A32="","",YEAR(Agent10_Savings!D32)),"")</f>
        <v/>
      </c>
    </row>
    <row r="1828" spans="1:11" ht="18" customHeight="1" x14ac:dyDescent="0.25">
      <c r="A1828" s="37" t="str">
        <f>IF(Agent10_Savings!A33="","",Agent10_Savings!A33)</f>
        <v/>
      </c>
      <c r="B1828" s="37" t="str">
        <f ca="1">IF(Agent10_Savings!A33="","","SV"&amp;TEXT(1828-3,"0000")&amp;"-"&amp;TEXT(TODAY(),"YYYYMMDD"))</f>
        <v/>
      </c>
      <c r="C1828" s="37" t="str">
        <f>IF(Agent10_Savings!A33="","",Agent10_Savings!B33)</f>
        <v/>
      </c>
      <c r="D1828" s="37" t="str">
        <f>IF(Agent10_Savings!A33="","",Agent10_Savings!G33)</f>
        <v/>
      </c>
      <c r="E1828" s="38" t="str">
        <f>IF(Agent10_Savings!A33="","",Agent10_Savings!D33)</f>
        <v/>
      </c>
      <c r="F1828" s="39" t="str">
        <f>IF(Agent10_Savings!A33="","",Agent10_Savings!E33)</f>
        <v/>
      </c>
      <c r="G1828" s="39" t="str">
        <f>IF(Agent10_Savings!A33="","",Agent10_Savings!F33)</f>
        <v/>
      </c>
      <c r="H1828" s="37" t="str">
        <f>IF(Agent10_Savings!A33="","",Agent10_Savings!I33)</f>
        <v/>
      </c>
      <c r="I1828" s="37" t="str">
        <f>IF(Agent10_Savings!A33="","",Agent10_Savings!J33)</f>
        <v/>
      </c>
      <c r="J1828" s="37" t="str">
        <f>IF(Agent10_Savings!A33="","",Agent10_Savings!K33)</f>
        <v/>
      </c>
      <c r="K1828" s="37" t="str">
        <f>IFERROR(IF(Agent10_Savings!A33="","",YEAR(Agent10_Savings!D33)),"")</f>
        <v/>
      </c>
    </row>
    <row r="1829" spans="1:11" ht="18" customHeight="1" x14ac:dyDescent="0.25">
      <c r="A1829" s="37" t="str">
        <f>IF(Agent10_Savings!A34="","",Agent10_Savings!A34)</f>
        <v/>
      </c>
      <c r="B1829" s="37" t="str">
        <f ca="1">IF(Agent10_Savings!A34="","","SV"&amp;TEXT(1829-3,"0000")&amp;"-"&amp;TEXT(TODAY(),"YYYYMMDD"))</f>
        <v/>
      </c>
      <c r="C1829" s="37" t="str">
        <f>IF(Agent10_Savings!A34="","",Agent10_Savings!B34)</f>
        <v/>
      </c>
      <c r="D1829" s="37" t="str">
        <f>IF(Agent10_Savings!A34="","",Agent10_Savings!G34)</f>
        <v/>
      </c>
      <c r="E1829" s="38" t="str">
        <f>IF(Agent10_Savings!A34="","",Agent10_Savings!D34)</f>
        <v/>
      </c>
      <c r="F1829" s="39" t="str">
        <f>IF(Agent10_Savings!A34="","",Agent10_Savings!E34)</f>
        <v/>
      </c>
      <c r="G1829" s="39" t="str">
        <f>IF(Agent10_Savings!A34="","",Agent10_Savings!F34)</f>
        <v/>
      </c>
      <c r="H1829" s="37" t="str">
        <f>IF(Agent10_Savings!A34="","",Agent10_Savings!I34)</f>
        <v/>
      </c>
      <c r="I1829" s="37" t="str">
        <f>IF(Agent10_Savings!A34="","",Agent10_Savings!J34)</f>
        <v/>
      </c>
      <c r="J1829" s="37" t="str">
        <f>IF(Agent10_Savings!A34="","",Agent10_Savings!K34)</f>
        <v/>
      </c>
      <c r="K1829" s="37" t="str">
        <f>IFERROR(IF(Agent10_Savings!A34="","",YEAR(Agent10_Savings!D34)),"")</f>
        <v/>
      </c>
    </row>
    <row r="1830" spans="1:11" ht="18" customHeight="1" x14ac:dyDescent="0.25">
      <c r="A1830" s="37" t="str">
        <f>IF(Agent10_Savings!A35="","",Agent10_Savings!A35)</f>
        <v/>
      </c>
      <c r="B1830" s="37" t="str">
        <f ca="1">IF(Agent10_Savings!A35="","","SV"&amp;TEXT(1830-3,"0000")&amp;"-"&amp;TEXT(TODAY(),"YYYYMMDD"))</f>
        <v/>
      </c>
      <c r="C1830" s="37" t="str">
        <f>IF(Agent10_Savings!A35="","",Agent10_Savings!B35)</f>
        <v/>
      </c>
      <c r="D1830" s="37" t="str">
        <f>IF(Agent10_Savings!A35="","",Agent10_Savings!G35)</f>
        <v/>
      </c>
      <c r="E1830" s="38" t="str">
        <f>IF(Agent10_Savings!A35="","",Agent10_Savings!D35)</f>
        <v/>
      </c>
      <c r="F1830" s="39" t="str">
        <f>IF(Agent10_Savings!A35="","",Agent10_Savings!E35)</f>
        <v/>
      </c>
      <c r="G1830" s="39" t="str">
        <f>IF(Agent10_Savings!A35="","",Agent10_Savings!F35)</f>
        <v/>
      </c>
      <c r="H1830" s="37" t="str">
        <f>IF(Agent10_Savings!A35="","",Agent10_Savings!I35)</f>
        <v/>
      </c>
      <c r="I1830" s="37" t="str">
        <f>IF(Agent10_Savings!A35="","",Agent10_Savings!J35)</f>
        <v/>
      </c>
      <c r="J1830" s="37" t="str">
        <f>IF(Agent10_Savings!A35="","",Agent10_Savings!K35)</f>
        <v/>
      </c>
      <c r="K1830" s="37" t="str">
        <f>IFERROR(IF(Agent10_Savings!A35="","",YEAR(Agent10_Savings!D35)),"")</f>
        <v/>
      </c>
    </row>
    <row r="1831" spans="1:11" ht="18" customHeight="1" x14ac:dyDescent="0.25">
      <c r="A1831" s="37" t="str">
        <f>IF(Agent10_Savings!A36="","",Agent10_Savings!A36)</f>
        <v/>
      </c>
      <c r="B1831" s="37" t="str">
        <f ca="1">IF(Agent10_Savings!A36="","","SV"&amp;TEXT(1831-3,"0000")&amp;"-"&amp;TEXT(TODAY(),"YYYYMMDD"))</f>
        <v/>
      </c>
      <c r="C1831" s="37" t="str">
        <f>IF(Agent10_Savings!A36="","",Agent10_Savings!B36)</f>
        <v/>
      </c>
      <c r="D1831" s="37" t="str">
        <f>IF(Agent10_Savings!A36="","",Agent10_Savings!G36)</f>
        <v/>
      </c>
      <c r="E1831" s="38" t="str">
        <f>IF(Agent10_Savings!A36="","",Agent10_Savings!D36)</f>
        <v/>
      </c>
      <c r="F1831" s="39" t="str">
        <f>IF(Agent10_Savings!A36="","",Agent10_Savings!E36)</f>
        <v/>
      </c>
      <c r="G1831" s="39" t="str">
        <f>IF(Agent10_Savings!A36="","",Agent10_Savings!F36)</f>
        <v/>
      </c>
      <c r="H1831" s="37" t="str">
        <f>IF(Agent10_Savings!A36="","",Agent10_Savings!I36)</f>
        <v/>
      </c>
      <c r="I1831" s="37" t="str">
        <f>IF(Agent10_Savings!A36="","",Agent10_Savings!J36)</f>
        <v/>
      </c>
      <c r="J1831" s="37" t="str">
        <f>IF(Agent10_Savings!A36="","",Agent10_Savings!K36)</f>
        <v/>
      </c>
      <c r="K1831" s="37" t="str">
        <f>IFERROR(IF(Agent10_Savings!A36="","",YEAR(Agent10_Savings!D36)),"")</f>
        <v/>
      </c>
    </row>
    <row r="1832" spans="1:11" ht="18" customHeight="1" x14ac:dyDescent="0.25">
      <c r="A1832" s="37" t="str">
        <f>IF(Agent10_Savings!A37="","",Agent10_Savings!A37)</f>
        <v/>
      </c>
      <c r="B1832" s="37" t="str">
        <f ca="1">IF(Agent10_Savings!A37="","","SV"&amp;TEXT(1832-3,"0000")&amp;"-"&amp;TEXT(TODAY(),"YYYYMMDD"))</f>
        <v/>
      </c>
      <c r="C1832" s="37" t="str">
        <f>IF(Agent10_Savings!A37="","",Agent10_Savings!B37)</f>
        <v/>
      </c>
      <c r="D1832" s="37" t="str">
        <f>IF(Agent10_Savings!A37="","",Agent10_Savings!G37)</f>
        <v/>
      </c>
      <c r="E1832" s="38" t="str">
        <f>IF(Agent10_Savings!A37="","",Agent10_Savings!D37)</f>
        <v/>
      </c>
      <c r="F1832" s="39" t="str">
        <f>IF(Agent10_Savings!A37="","",Agent10_Savings!E37)</f>
        <v/>
      </c>
      <c r="G1832" s="39" t="str">
        <f>IF(Agent10_Savings!A37="","",Agent10_Savings!F37)</f>
        <v/>
      </c>
      <c r="H1832" s="37" t="str">
        <f>IF(Agent10_Savings!A37="","",Agent10_Savings!I37)</f>
        <v/>
      </c>
      <c r="I1832" s="37" t="str">
        <f>IF(Agent10_Savings!A37="","",Agent10_Savings!J37)</f>
        <v/>
      </c>
      <c r="J1832" s="37" t="str">
        <f>IF(Agent10_Savings!A37="","",Agent10_Savings!K37)</f>
        <v/>
      </c>
      <c r="K1832" s="37" t="str">
        <f>IFERROR(IF(Agent10_Savings!A37="","",YEAR(Agent10_Savings!D37)),"")</f>
        <v/>
      </c>
    </row>
    <row r="1833" spans="1:11" ht="18" customHeight="1" x14ac:dyDescent="0.25">
      <c r="A1833" s="37" t="str">
        <f>IF(Agent10_Savings!A38="","",Agent10_Savings!A38)</f>
        <v/>
      </c>
      <c r="B1833" s="37" t="str">
        <f ca="1">IF(Agent10_Savings!A38="","","SV"&amp;TEXT(1833-3,"0000")&amp;"-"&amp;TEXT(TODAY(),"YYYYMMDD"))</f>
        <v/>
      </c>
      <c r="C1833" s="37" t="str">
        <f>IF(Agent10_Savings!A38="","",Agent10_Savings!B38)</f>
        <v/>
      </c>
      <c r="D1833" s="37" t="str">
        <f>IF(Agent10_Savings!A38="","",Agent10_Savings!G38)</f>
        <v/>
      </c>
      <c r="E1833" s="38" t="str">
        <f>IF(Agent10_Savings!A38="","",Agent10_Savings!D38)</f>
        <v/>
      </c>
      <c r="F1833" s="39" t="str">
        <f>IF(Agent10_Savings!A38="","",Agent10_Savings!E38)</f>
        <v/>
      </c>
      <c r="G1833" s="39" t="str">
        <f>IF(Agent10_Savings!A38="","",Agent10_Savings!F38)</f>
        <v/>
      </c>
      <c r="H1833" s="37" t="str">
        <f>IF(Agent10_Savings!A38="","",Agent10_Savings!I38)</f>
        <v/>
      </c>
      <c r="I1833" s="37" t="str">
        <f>IF(Agent10_Savings!A38="","",Agent10_Savings!J38)</f>
        <v/>
      </c>
      <c r="J1833" s="37" t="str">
        <f>IF(Agent10_Savings!A38="","",Agent10_Savings!K38)</f>
        <v/>
      </c>
      <c r="K1833" s="37" t="str">
        <f>IFERROR(IF(Agent10_Savings!A38="","",YEAR(Agent10_Savings!D38)),"")</f>
        <v/>
      </c>
    </row>
    <row r="1834" spans="1:11" ht="18" customHeight="1" x14ac:dyDescent="0.25">
      <c r="A1834" s="37" t="str">
        <f>IF(Agent10_Savings!A39="","",Agent10_Savings!A39)</f>
        <v/>
      </c>
      <c r="B1834" s="37" t="str">
        <f ca="1">IF(Agent10_Savings!A39="","","SV"&amp;TEXT(1834-3,"0000")&amp;"-"&amp;TEXT(TODAY(),"YYYYMMDD"))</f>
        <v/>
      </c>
      <c r="C1834" s="37" t="str">
        <f>IF(Agent10_Savings!A39="","",Agent10_Savings!B39)</f>
        <v/>
      </c>
      <c r="D1834" s="37" t="str">
        <f>IF(Agent10_Savings!A39="","",Agent10_Savings!G39)</f>
        <v/>
      </c>
      <c r="E1834" s="38" t="str">
        <f>IF(Agent10_Savings!A39="","",Agent10_Savings!D39)</f>
        <v/>
      </c>
      <c r="F1834" s="39" t="str">
        <f>IF(Agent10_Savings!A39="","",Agent10_Savings!E39)</f>
        <v/>
      </c>
      <c r="G1834" s="39" t="str">
        <f>IF(Agent10_Savings!A39="","",Agent10_Savings!F39)</f>
        <v/>
      </c>
      <c r="H1834" s="37" t="str">
        <f>IF(Agent10_Savings!A39="","",Agent10_Savings!I39)</f>
        <v/>
      </c>
      <c r="I1834" s="37" t="str">
        <f>IF(Agent10_Savings!A39="","",Agent10_Savings!J39)</f>
        <v/>
      </c>
      <c r="J1834" s="37" t="str">
        <f>IF(Agent10_Savings!A39="","",Agent10_Savings!K39)</f>
        <v/>
      </c>
      <c r="K1834" s="37" t="str">
        <f>IFERROR(IF(Agent10_Savings!A39="","",YEAR(Agent10_Savings!D39)),"")</f>
        <v/>
      </c>
    </row>
    <row r="1835" spans="1:11" ht="18" customHeight="1" x14ac:dyDescent="0.25">
      <c r="A1835" s="37" t="str">
        <f>IF(Agent10_Savings!A40="","",Agent10_Savings!A40)</f>
        <v/>
      </c>
      <c r="B1835" s="37" t="str">
        <f ca="1">IF(Agent10_Savings!A40="","","SV"&amp;TEXT(1835-3,"0000")&amp;"-"&amp;TEXT(TODAY(),"YYYYMMDD"))</f>
        <v/>
      </c>
      <c r="C1835" s="37" t="str">
        <f>IF(Agent10_Savings!A40="","",Agent10_Savings!B40)</f>
        <v/>
      </c>
      <c r="D1835" s="37" t="str">
        <f>IF(Agent10_Savings!A40="","",Agent10_Savings!G40)</f>
        <v/>
      </c>
      <c r="E1835" s="38" t="str">
        <f>IF(Agent10_Savings!A40="","",Agent10_Savings!D40)</f>
        <v/>
      </c>
      <c r="F1835" s="39" t="str">
        <f>IF(Agent10_Savings!A40="","",Agent10_Savings!E40)</f>
        <v/>
      </c>
      <c r="G1835" s="39" t="str">
        <f>IF(Agent10_Savings!A40="","",Agent10_Savings!F40)</f>
        <v/>
      </c>
      <c r="H1835" s="37" t="str">
        <f>IF(Agent10_Savings!A40="","",Agent10_Savings!I40)</f>
        <v/>
      </c>
      <c r="I1835" s="37" t="str">
        <f>IF(Agent10_Savings!A40="","",Agent10_Savings!J40)</f>
        <v/>
      </c>
      <c r="J1835" s="37" t="str">
        <f>IF(Agent10_Savings!A40="","",Agent10_Savings!K40)</f>
        <v/>
      </c>
      <c r="K1835" s="37" t="str">
        <f>IFERROR(IF(Agent10_Savings!A40="","",YEAR(Agent10_Savings!D40)),"")</f>
        <v/>
      </c>
    </row>
    <row r="1836" spans="1:11" ht="18" customHeight="1" x14ac:dyDescent="0.25">
      <c r="A1836" s="37" t="str">
        <f>IF(Agent10_Savings!A41="","",Agent10_Savings!A41)</f>
        <v/>
      </c>
      <c r="B1836" s="37" t="str">
        <f ca="1">IF(Agent10_Savings!A41="","","SV"&amp;TEXT(1836-3,"0000")&amp;"-"&amp;TEXT(TODAY(),"YYYYMMDD"))</f>
        <v/>
      </c>
      <c r="C1836" s="37" t="str">
        <f>IF(Agent10_Savings!A41="","",Agent10_Savings!B41)</f>
        <v/>
      </c>
      <c r="D1836" s="37" t="str">
        <f>IF(Agent10_Savings!A41="","",Agent10_Savings!G41)</f>
        <v/>
      </c>
      <c r="E1836" s="38" t="str">
        <f>IF(Agent10_Savings!A41="","",Agent10_Savings!D41)</f>
        <v/>
      </c>
      <c r="F1836" s="39" t="str">
        <f>IF(Agent10_Savings!A41="","",Agent10_Savings!E41)</f>
        <v/>
      </c>
      <c r="G1836" s="39" t="str">
        <f>IF(Agent10_Savings!A41="","",Agent10_Savings!F41)</f>
        <v/>
      </c>
      <c r="H1836" s="37" t="str">
        <f>IF(Agent10_Savings!A41="","",Agent10_Savings!I41)</f>
        <v/>
      </c>
      <c r="I1836" s="37" t="str">
        <f>IF(Agent10_Savings!A41="","",Agent10_Savings!J41)</f>
        <v/>
      </c>
      <c r="J1836" s="37" t="str">
        <f>IF(Agent10_Savings!A41="","",Agent10_Savings!K41)</f>
        <v/>
      </c>
      <c r="K1836" s="37" t="str">
        <f>IFERROR(IF(Agent10_Savings!A41="","",YEAR(Agent10_Savings!D41)),"")</f>
        <v/>
      </c>
    </row>
    <row r="1837" spans="1:11" ht="18" customHeight="1" x14ac:dyDescent="0.25">
      <c r="A1837" s="37" t="str">
        <f>IF(Agent10_Savings!A42="","",Agent10_Savings!A42)</f>
        <v/>
      </c>
      <c r="B1837" s="37" t="str">
        <f ca="1">IF(Agent10_Savings!A42="","","SV"&amp;TEXT(1837-3,"0000")&amp;"-"&amp;TEXT(TODAY(),"YYYYMMDD"))</f>
        <v/>
      </c>
      <c r="C1837" s="37" t="str">
        <f>IF(Agent10_Savings!A42="","",Agent10_Savings!B42)</f>
        <v/>
      </c>
      <c r="D1837" s="37" t="str">
        <f>IF(Agent10_Savings!A42="","",Agent10_Savings!G42)</f>
        <v/>
      </c>
      <c r="E1837" s="38" t="str">
        <f>IF(Agent10_Savings!A42="","",Agent10_Savings!D42)</f>
        <v/>
      </c>
      <c r="F1837" s="39" t="str">
        <f>IF(Agent10_Savings!A42="","",Agent10_Savings!E42)</f>
        <v/>
      </c>
      <c r="G1837" s="39" t="str">
        <f>IF(Agent10_Savings!A42="","",Agent10_Savings!F42)</f>
        <v/>
      </c>
      <c r="H1837" s="37" t="str">
        <f>IF(Agent10_Savings!A42="","",Agent10_Savings!I42)</f>
        <v/>
      </c>
      <c r="I1837" s="37" t="str">
        <f>IF(Agent10_Savings!A42="","",Agent10_Savings!J42)</f>
        <v/>
      </c>
      <c r="J1837" s="37" t="str">
        <f>IF(Agent10_Savings!A42="","",Agent10_Savings!K42)</f>
        <v/>
      </c>
      <c r="K1837" s="37" t="str">
        <f>IFERROR(IF(Agent10_Savings!A42="","",YEAR(Agent10_Savings!D42)),"")</f>
        <v/>
      </c>
    </row>
    <row r="1838" spans="1:11" ht="18" customHeight="1" x14ac:dyDescent="0.25">
      <c r="A1838" s="37" t="str">
        <f>IF(Agent10_Savings!A43="","",Agent10_Savings!A43)</f>
        <v/>
      </c>
      <c r="B1838" s="37" t="str">
        <f ca="1">IF(Agent10_Savings!A43="","","SV"&amp;TEXT(1838-3,"0000")&amp;"-"&amp;TEXT(TODAY(),"YYYYMMDD"))</f>
        <v/>
      </c>
      <c r="C1838" s="37" t="str">
        <f>IF(Agent10_Savings!A43="","",Agent10_Savings!B43)</f>
        <v/>
      </c>
      <c r="D1838" s="37" t="str">
        <f>IF(Agent10_Savings!A43="","",Agent10_Savings!G43)</f>
        <v/>
      </c>
      <c r="E1838" s="38" t="str">
        <f>IF(Agent10_Savings!A43="","",Agent10_Savings!D43)</f>
        <v/>
      </c>
      <c r="F1838" s="39" t="str">
        <f>IF(Agent10_Savings!A43="","",Agent10_Savings!E43)</f>
        <v/>
      </c>
      <c r="G1838" s="39" t="str">
        <f>IF(Agent10_Savings!A43="","",Agent10_Savings!F43)</f>
        <v/>
      </c>
      <c r="H1838" s="37" t="str">
        <f>IF(Agent10_Savings!A43="","",Agent10_Savings!I43)</f>
        <v/>
      </c>
      <c r="I1838" s="37" t="str">
        <f>IF(Agent10_Savings!A43="","",Agent10_Savings!J43)</f>
        <v/>
      </c>
      <c r="J1838" s="37" t="str">
        <f>IF(Agent10_Savings!A43="","",Agent10_Savings!K43)</f>
        <v/>
      </c>
      <c r="K1838" s="37" t="str">
        <f>IFERROR(IF(Agent10_Savings!A43="","",YEAR(Agent10_Savings!D43)),"")</f>
        <v/>
      </c>
    </row>
    <row r="1839" spans="1:11" ht="18" customHeight="1" x14ac:dyDescent="0.25">
      <c r="A1839" s="37" t="str">
        <f>IF(Agent10_Savings!A44="","",Agent10_Savings!A44)</f>
        <v/>
      </c>
      <c r="B1839" s="37" t="str">
        <f ca="1">IF(Agent10_Savings!A44="","","SV"&amp;TEXT(1839-3,"0000")&amp;"-"&amp;TEXT(TODAY(),"YYYYMMDD"))</f>
        <v/>
      </c>
      <c r="C1839" s="37" t="str">
        <f>IF(Agent10_Savings!A44="","",Agent10_Savings!B44)</f>
        <v/>
      </c>
      <c r="D1839" s="37" t="str">
        <f>IF(Agent10_Savings!A44="","",Agent10_Savings!G44)</f>
        <v/>
      </c>
      <c r="E1839" s="38" t="str">
        <f>IF(Agent10_Savings!A44="","",Agent10_Savings!D44)</f>
        <v/>
      </c>
      <c r="F1839" s="39" t="str">
        <f>IF(Agent10_Savings!A44="","",Agent10_Savings!E44)</f>
        <v/>
      </c>
      <c r="G1839" s="39" t="str">
        <f>IF(Agent10_Savings!A44="","",Agent10_Savings!F44)</f>
        <v/>
      </c>
      <c r="H1839" s="37" t="str">
        <f>IF(Agent10_Savings!A44="","",Agent10_Savings!I44)</f>
        <v/>
      </c>
      <c r="I1839" s="37" t="str">
        <f>IF(Agent10_Savings!A44="","",Agent10_Savings!J44)</f>
        <v/>
      </c>
      <c r="J1839" s="37" t="str">
        <f>IF(Agent10_Savings!A44="","",Agent10_Savings!K44)</f>
        <v/>
      </c>
      <c r="K1839" s="37" t="str">
        <f>IFERROR(IF(Agent10_Savings!A44="","",YEAR(Agent10_Savings!D44)),"")</f>
        <v/>
      </c>
    </row>
    <row r="1840" spans="1:11" ht="18" customHeight="1" x14ac:dyDescent="0.25">
      <c r="A1840" s="37" t="str">
        <f>IF(Agent10_Savings!A45="","",Agent10_Savings!A45)</f>
        <v/>
      </c>
      <c r="B1840" s="37" t="str">
        <f ca="1">IF(Agent10_Savings!A45="","","SV"&amp;TEXT(1840-3,"0000")&amp;"-"&amp;TEXT(TODAY(),"YYYYMMDD"))</f>
        <v/>
      </c>
      <c r="C1840" s="37" t="str">
        <f>IF(Agent10_Savings!A45="","",Agent10_Savings!B45)</f>
        <v/>
      </c>
      <c r="D1840" s="37" t="str">
        <f>IF(Agent10_Savings!A45="","",Agent10_Savings!G45)</f>
        <v/>
      </c>
      <c r="E1840" s="38" t="str">
        <f>IF(Agent10_Savings!A45="","",Agent10_Savings!D45)</f>
        <v/>
      </c>
      <c r="F1840" s="39" t="str">
        <f>IF(Agent10_Savings!A45="","",Agent10_Savings!E45)</f>
        <v/>
      </c>
      <c r="G1840" s="39" t="str">
        <f>IF(Agent10_Savings!A45="","",Agent10_Savings!F45)</f>
        <v/>
      </c>
      <c r="H1840" s="37" t="str">
        <f>IF(Agent10_Savings!A45="","",Agent10_Savings!I45)</f>
        <v/>
      </c>
      <c r="I1840" s="37" t="str">
        <f>IF(Agent10_Savings!A45="","",Agent10_Savings!J45)</f>
        <v/>
      </c>
      <c r="J1840" s="37" t="str">
        <f>IF(Agent10_Savings!A45="","",Agent10_Savings!K45)</f>
        <v/>
      </c>
      <c r="K1840" s="37" t="str">
        <f>IFERROR(IF(Agent10_Savings!A45="","",YEAR(Agent10_Savings!D45)),"")</f>
        <v/>
      </c>
    </row>
    <row r="1841" spans="1:11" ht="18" customHeight="1" x14ac:dyDescent="0.25">
      <c r="A1841" s="37" t="str">
        <f>IF(Agent10_Savings!A46="","",Agent10_Savings!A46)</f>
        <v/>
      </c>
      <c r="B1841" s="37" t="str">
        <f ca="1">IF(Agent10_Savings!A46="","","SV"&amp;TEXT(1841-3,"0000")&amp;"-"&amp;TEXT(TODAY(),"YYYYMMDD"))</f>
        <v/>
      </c>
      <c r="C1841" s="37" t="str">
        <f>IF(Agent10_Savings!A46="","",Agent10_Savings!B46)</f>
        <v/>
      </c>
      <c r="D1841" s="37" t="str">
        <f>IF(Agent10_Savings!A46="","",Agent10_Savings!G46)</f>
        <v/>
      </c>
      <c r="E1841" s="38" t="str">
        <f>IF(Agent10_Savings!A46="","",Agent10_Savings!D46)</f>
        <v/>
      </c>
      <c r="F1841" s="39" t="str">
        <f>IF(Agent10_Savings!A46="","",Agent10_Savings!E46)</f>
        <v/>
      </c>
      <c r="G1841" s="39" t="str">
        <f>IF(Agent10_Savings!A46="","",Agent10_Savings!F46)</f>
        <v/>
      </c>
      <c r="H1841" s="37" t="str">
        <f>IF(Agent10_Savings!A46="","",Agent10_Savings!I46)</f>
        <v/>
      </c>
      <c r="I1841" s="37" t="str">
        <f>IF(Agent10_Savings!A46="","",Agent10_Savings!J46)</f>
        <v/>
      </c>
      <c r="J1841" s="37" t="str">
        <f>IF(Agent10_Savings!A46="","",Agent10_Savings!K46)</f>
        <v/>
      </c>
      <c r="K1841" s="37" t="str">
        <f>IFERROR(IF(Agent10_Savings!A46="","",YEAR(Agent10_Savings!D46)),"")</f>
        <v/>
      </c>
    </row>
    <row r="1842" spans="1:11" ht="18" customHeight="1" x14ac:dyDescent="0.25">
      <c r="A1842" s="37" t="str">
        <f>IF(Agent10_Savings!A47="","",Agent10_Savings!A47)</f>
        <v/>
      </c>
      <c r="B1842" s="37" t="str">
        <f ca="1">IF(Agent10_Savings!A47="","","SV"&amp;TEXT(1842-3,"0000")&amp;"-"&amp;TEXT(TODAY(),"YYYYMMDD"))</f>
        <v/>
      </c>
      <c r="C1842" s="37" t="str">
        <f>IF(Agent10_Savings!A47="","",Agent10_Savings!B47)</f>
        <v/>
      </c>
      <c r="D1842" s="37" t="str">
        <f>IF(Agent10_Savings!A47="","",Agent10_Savings!G47)</f>
        <v/>
      </c>
      <c r="E1842" s="38" t="str">
        <f>IF(Agent10_Savings!A47="","",Agent10_Savings!D47)</f>
        <v/>
      </c>
      <c r="F1842" s="39" t="str">
        <f>IF(Agent10_Savings!A47="","",Agent10_Savings!E47)</f>
        <v/>
      </c>
      <c r="G1842" s="39" t="str">
        <f>IF(Agent10_Savings!A47="","",Agent10_Savings!F47)</f>
        <v/>
      </c>
      <c r="H1842" s="37" t="str">
        <f>IF(Agent10_Savings!A47="","",Agent10_Savings!I47)</f>
        <v/>
      </c>
      <c r="I1842" s="37" t="str">
        <f>IF(Agent10_Savings!A47="","",Agent10_Savings!J47)</f>
        <v/>
      </c>
      <c r="J1842" s="37" t="str">
        <f>IF(Agent10_Savings!A47="","",Agent10_Savings!K47)</f>
        <v/>
      </c>
      <c r="K1842" s="37" t="str">
        <f>IFERROR(IF(Agent10_Savings!A47="","",YEAR(Agent10_Savings!D47)),"")</f>
        <v/>
      </c>
    </row>
    <row r="1843" spans="1:11" ht="18" customHeight="1" x14ac:dyDescent="0.25">
      <c r="A1843" s="37" t="str">
        <f>IF(Agent10_Savings!A48="","",Agent10_Savings!A48)</f>
        <v/>
      </c>
      <c r="B1843" s="37" t="str">
        <f ca="1">IF(Agent10_Savings!A48="","","SV"&amp;TEXT(1843-3,"0000")&amp;"-"&amp;TEXT(TODAY(),"YYYYMMDD"))</f>
        <v/>
      </c>
      <c r="C1843" s="37" t="str">
        <f>IF(Agent10_Savings!A48="","",Agent10_Savings!B48)</f>
        <v/>
      </c>
      <c r="D1843" s="37" t="str">
        <f>IF(Agent10_Savings!A48="","",Agent10_Savings!G48)</f>
        <v/>
      </c>
      <c r="E1843" s="38" t="str">
        <f>IF(Agent10_Savings!A48="","",Agent10_Savings!D48)</f>
        <v/>
      </c>
      <c r="F1843" s="39" t="str">
        <f>IF(Agent10_Savings!A48="","",Agent10_Savings!E48)</f>
        <v/>
      </c>
      <c r="G1843" s="39" t="str">
        <f>IF(Agent10_Savings!A48="","",Agent10_Savings!F48)</f>
        <v/>
      </c>
      <c r="H1843" s="37" t="str">
        <f>IF(Agent10_Savings!A48="","",Agent10_Savings!I48)</f>
        <v/>
      </c>
      <c r="I1843" s="37" t="str">
        <f>IF(Agent10_Savings!A48="","",Agent10_Savings!J48)</f>
        <v/>
      </c>
      <c r="J1843" s="37" t="str">
        <f>IF(Agent10_Savings!A48="","",Agent10_Savings!K48)</f>
        <v/>
      </c>
      <c r="K1843" s="37" t="str">
        <f>IFERROR(IF(Agent10_Savings!A48="","",YEAR(Agent10_Savings!D48)),"")</f>
        <v/>
      </c>
    </row>
    <row r="1844" spans="1:11" ht="18" customHeight="1" x14ac:dyDescent="0.25">
      <c r="A1844" s="37" t="str">
        <f>IF(Agent10_Savings!A49="","",Agent10_Savings!A49)</f>
        <v/>
      </c>
      <c r="B1844" s="37" t="str">
        <f ca="1">IF(Agent10_Savings!A49="","","SV"&amp;TEXT(1844-3,"0000")&amp;"-"&amp;TEXT(TODAY(),"YYYYMMDD"))</f>
        <v/>
      </c>
      <c r="C1844" s="37" t="str">
        <f>IF(Agent10_Savings!A49="","",Agent10_Savings!B49)</f>
        <v/>
      </c>
      <c r="D1844" s="37" t="str">
        <f>IF(Agent10_Savings!A49="","",Agent10_Savings!G49)</f>
        <v/>
      </c>
      <c r="E1844" s="38" t="str">
        <f>IF(Agent10_Savings!A49="","",Agent10_Savings!D49)</f>
        <v/>
      </c>
      <c r="F1844" s="39" t="str">
        <f>IF(Agent10_Savings!A49="","",Agent10_Savings!E49)</f>
        <v/>
      </c>
      <c r="G1844" s="39" t="str">
        <f>IF(Agent10_Savings!A49="","",Agent10_Savings!F49)</f>
        <v/>
      </c>
      <c r="H1844" s="37" t="str">
        <f>IF(Agent10_Savings!A49="","",Agent10_Savings!I49)</f>
        <v/>
      </c>
      <c r="I1844" s="37" t="str">
        <f>IF(Agent10_Savings!A49="","",Agent10_Savings!J49)</f>
        <v/>
      </c>
      <c r="J1844" s="37" t="str">
        <f>IF(Agent10_Savings!A49="","",Agent10_Savings!K49)</f>
        <v/>
      </c>
      <c r="K1844" s="37" t="str">
        <f>IFERROR(IF(Agent10_Savings!A49="","",YEAR(Agent10_Savings!D49)),"")</f>
        <v/>
      </c>
    </row>
    <row r="1845" spans="1:11" ht="18" customHeight="1" x14ac:dyDescent="0.25">
      <c r="A1845" s="37" t="str">
        <f>IF(Agent10_Savings!A50="","",Agent10_Savings!A50)</f>
        <v/>
      </c>
      <c r="B1845" s="37" t="str">
        <f ca="1">IF(Agent10_Savings!A50="","","SV"&amp;TEXT(1845-3,"0000")&amp;"-"&amp;TEXT(TODAY(),"YYYYMMDD"))</f>
        <v/>
      </c>
      <c r="C1845" s="37" t="str">
        <f>IF(Agent10_Savings!A50="","",Agent10_Savings!B50)</f>
        <v/>
      </c>
      <c r="D1845" s="37" t="str">
        <f>IF(Agent10_Savings!A50="","",Agent10_Savings!G50)</f>
        <v/>
      </c>
      <c r="E1845" s="38" t="str">
        <f>IF(Agent10_Savings!A50="","",Agent10_Savings!D50)</f>
        <v/>
      </c>
      <c r="F1845" s="39" t="str">
        <f>IF(Agent10_Savings!A50="","",Agent10_Savings!E50)</f>
        <v/>
      </c>
      <c r="G1845" s="39" t="str">
        <f>IF(Agent10_Savings!A50="","",Agent10_Savings!F50)</f>
        <v/>
      </c>
      <c r="H1845" s="37" t="str">
        <f>IF(Agent10_Savings!A50="","",Agent10_Savings!I50)</f>
        <v/>
      </c>
      <c r="I1845" s="37" t="str">
        <f>IF(Agent10_Savings!A50="","",Agent10_Savings!J50)</f>
        <v/>
      </c>
      <c r="J1845" s="37" t="str">
        <f>IF(Agent10_Savings!A50="","",Agent10_Savings!K50)</f>
        <v/>
      </c>
      <c r="K1845" s="37" t="str">
        <f>IFERROR(IF(Agent10_Savings!A50="","",YEAR(Agent10_Savings!D50)),"")</f>
        <v/>
      </c>
    </row>
    <row r="1846" spans="1:11" ht="18" customHeight="1" x14ac:dyDescent="0.25">
      <c r="A1846" s="37" t="str">
        <f>IF(Agent10_Savings!A51="","",Agent10_Savings!A51)</f>
        <v/>
      </c>
      <c r="B1846" s="37" t="str">
        <f ca="1">IF(Agent10_Savings!A51="","","SV"&amp;TEXT(1846-3,"0000")&amp;"-"&amp;TEXT(TODAY(),"YYYYMMDD"))</f>
        <v/>
      </c>
      <c r="C1846" s="37" t="str">
        <f>IF(Agent10_Savings!A51="","",Agent10_Savings!B51)</f>
        <v/>
      </c>
      <c r="D1846" s="37" t="str">
        <f>IF(Agent10_Savings!A51="","",Agent10_Savings!G51)</f>
        <v/>
      </c>
      <c r="E1846" s="38" t="str">
        <f>IF(Agent10_Savings!A51="","",Agent10_Savings!D51)</f>
        <v/>
      </c>
      <c r="F1846" s="39" t="str">
        <f>IF(Agent10_Savings!A51="","",Agent10_Savings!E51)</f>
        <v/>
      </c>
      <c r="G1846" s="39" t="str">
        <f>IF(Agent10_Savings!A51="","",Agent10_Savings!F51)</f>
        <v/>
      </c>
      <c r="H1846" s="37" t="str">
        <f>IF(Agent10_Savings!A51="","",Agent10_Savings!I51)</f>
        <v/>
      </c>
      <c r="I1846" s="37" t="str">
        <f>IF(Agent10_Savings!A51="","",Agent10_Savings!J51)</f>
        <v/>
      </c>
      <c r="J1846" s="37" t="str">
        <f>IF(Agent10_Savings!A51="","",Agent10_Savings!K51)</f>
        <v/>
      </c>
      <c r="K1846" s="37" t="str">
        <f>IFERROR(IF(Agent10_Savings!A51="","",YEAR(Agent10_Savings!D51)),"")</f>
        <v/>
      </c>
    </row>
    <row r="1847" spans="1:11" ht="18" customHeight="1" x14ac:dyDescent="0.25">
      <c r="A1847" s="37" t="str">
        <f>IF(Agent10_Savings!A52="","",Agent10_Savings!A52)</f>
        <v/>
      </c>
      <c r="B1847" s="37" t="str">
        <f ca="1">IF(Agent10_Savings!A52="","","SV"&amp;TEXT(1847-3,"0000")&amp;"-"&amp;TEXT(TODAY(),"YYYYMMDD"))</f>
        <v/>
      </c>
      <c r="C1847" s="37" t="str">
        <f>IF(Agent10_Savings!A52="","",Agent10_Savings!B52)</f>
        <v/>
      </c>
      <c r="D1847" s="37" t="str">
        <f>IF(Agent10_Savings!A52="","",Agent10_Savings!G52)</f>
        <v/>
      </c>
      <c r="E1847" s="38" t="str">
        <f>IF(Agent10_Savings!A52="","",Agent10_Savings!D52)</f>
        <v/>
      </c>
      <c r="F1847" s="39" t="str">
        <f>IF(Agent10_Savings!A52="","",Agent10_Savings!E52)</f>
        <v/>
      </c>
      <c r="G1847" s="39" t="str">
        <f>IF(Agent10_Savings!A52="","",Agent10_Savings!F52)</f>
        <v/>
      </c>
      <c r="H1847" s="37" t="str">
        <f>IF(Agent10_Savings!A52="","",Agent10_Savings!I52)</f>
        <v/>
      </c>
      <c r="I1847" s="37" t="str">
        <f>IF(Agent10_Savings!A52="","",Agent10_Savings!J52)</f>
        <v/>
      </c>
      <c r="J1847" s="37" t="str">
        <f>IF(Agent10_Savings!A52="","",Agent10_Savings!K52)</f>
        <v/>
      </c>
      <c r="K1847" s="37" t="str">
        <f>IFERROR(IF(Agent10_Savings!A52="","",YEAR(Agent10_Savings!D52)),"")</f>
        <v/>
      </c>
    </row>
    <row r="1848" spans="1:11" ht="18" customHeight="1" x14ac:dyDescent="0.25">
      <c r="A1848" s="37" t="str">
        <f>IF(Agent10_Savings!A53="","",Agent10_Savings!A53)</f>
        <v/>
      </c>
      <c r="B1848" s="37" t="str">
        <f ca="1">IF(Agent10_Savings!A53="","","SV"&amp;TEXT(1848-3,"0000")&amp;"-"&amp;TEXT(TODAY(),"YYYYMMDD"))</f>
        <v/>
      </c>
      <c r="C1848" s="37" t="str">
        <f>IF(Agent10_Savings!A53="","",Agent10_Savings!B53)</f>
        <v/>
      </c>
      <c r="D1848" s="37" t="str">
        <f>IF(Agent10_Savings!A53="","",Agent10_Savings!G53)</f>
        <v/>
      </c>
      <c r="E1848" s="38" t="str">
        <f>IF(Agent10_Savings!A53="","",Agent10_Savings!D53)</f>
        <v/>
      </c>
      <c r="F1848" s="39" t="str">
        <f>IF(Agent10_Savings!A53="","",Agent10_Savings!E53)</f>
        <v/>
      </c>
      <c r="G1848" s="39" t="str">
        <f>IF(Agent10_Savings!A53="","",Agent10_Savings!F53)</f>
        <v/>
      </c>
      <c r="H1848" s="37" t="str">
        <f>IF(Agent10_Savings!A53="","",Agent10_Savings!I53)</f>
        <v/>
      </c>
      <c r="I1848" s="37" t="str">
        <f>IF(Agent10_Savings!A53="","",Agent10_Savings!J53)</f>
        <v/>
      </c>
      <c r="J1848" s="37" t="str">
        <f>IF(Agent10_Savings!A53="","",Agent10_Savings!K53)</f>
        <v/>
      </c>
      <c r="K1848" s="37" t="str">
        <f>IFERROR(IF(Agent10_Savings!A53="","",YEAR(Agent10_Savings!D53)),"")</f>
        <v/>
      </c>
    </row>
    <row r="1849" spans="1:11" ht="18" customHeight="1" x14ac:dyDescent="0.25">
      <c r="A1849" s="37" t="str">
        <f>IF(Agent10_Savings!A54="","",Agent10_Savings!A54)</f>
        <v/>
      </c>
      <c r="B1849" s="37" t="str">
        <f ca="1">IF(Agent10_Savings!A54="","","SV"&amp;TEXT(1849-3,"0000")&amp;"-"&amp;TEXT(TODAY(),"YYYYMMDD"))</f>
        <v/>
      </c>
      <c r="C1849" s="37" t="str">
        <f>IF(Agent10_Savings!A54="","",Agent10_Savings!B54)</f>
        <v/>
      </c>
      <c r="D1849" s="37" t="str">
        <f>IF(Agent10_Savings!A54="","",Agent10_Savings!G54)</f>
        <v/>
      </c>
      <c r="E1849" s="38" t="str">
        <f>IF(Agent10_Savings!A54="","",Agent10_Savings!D54)</f>
        <v/>
      </c>
      <c r="F1849" s="39" t="str">
        <f>IF(Agent10_Savings!A54="","",Agent10_Savings!E54)</f>
        <v/>
      </c>
      <c r="G1849" s="39" t="str">
        <f>IF(Agent10_Savings!A54="","",Agent10_Savings!F54)</f>
        <v/>
      </c>
      <c r="H1849" s="37" t="str">
        <f>IF(Agent10_Savings!A54="","",Agent10_Savings!I54)</f>
        <v/>
      </c>
      <c r="I1849" s="37" t="str">
        <f>IF(Agent10_Savings!A54="","",Agent10_Savings!J54)</f>
        <v/>
      </c>
      <c r="J1849" s="37" t="str">
        <f>IF(Agent10_Savings!A54="","",Agent10_Savings!K54)</f>
        <v/>
      </c>
      <c r="K1849" s="37" t="str">
        <f>IFERROR(IF(Agent10_Savings!A54="","",YEAR(Agent10_Savings!D54)),"")</f>
        <v/>
      </c>
    </row>
    <row r="1850" spans="1:11" ht="18" customHeight="1" x14ac:dyDescent="0.25">
      <c r="A1850" s="37" t="str">
        <f>IF(Agent10_Savings!A55="","",Agent10_Savings!A55)</f>
        <v/>
      </c>
      <c r="B1850" s="37" t="str">
        <f ca="1">IF(Agent10_Savings!A55="","","SV"&amp;TEXT(1850-3,"0000")&amp;"-"&amp;TEXT(TODAY(),"YYYYMMDD"))</f>
        <v/>
      </c>
      <c r="C1850" s="37" t="str">
        <f>IF(Agent10_Savings!A55="","",Agent10_Savings!B55)</f>
        <v/>
      </c>
      <c r="D1850" s="37" t="str">
        <f>IF(Agent10_Savings!A55="","",Agent10_Savings!G55)</f>
        <v/>
      </c>
      <c r="E1850" s="38" t="str">
        <f>IF(Agent10_Savings!A55="","",Agent10_Savings!D55)</f>
        <v/>
      </c>
      <c r="F1850" s="39" t="str">
        <f>IF(Agent10_Savings!A55="","",Agent10_Savings!E55)</f>
        <v/>
      </c>
      <c r="G1850" s="39" t="str">
        <f>IF(Agent10_Savings!A55="","",Agent10_Savings!F55)</f>
        <v/>
      </c>
      <c r="H1850" s="37" t="str">
        <f>IF(Agent10_Savings!A55="","",Agent10_Savings!I55)</f>
        <v/>
      </c>
      <c r="I1850" s="37" t="str">
        <f>IF(Agent10_Savings!A55="","",Agent10_Savings!J55)</f>
        <v/>
      </c>
      <c r="J1850" s="37" t="str">
        <f>IF(Agent10_Savings!A55="","",Agent10_Savings!K55)</f>
        <v/>
      </c>
      <c r="K1850" s="37" t="str">
        <f>IFERROR(IF(Agent10_Savings!A55="","",YEAR(Agent10_Savings!D55)),"")</f>
        <v/>
      </c>
    </row>
    <row r="1851" spans="1:11" ht="18" customHeight="1" x14ac:dyDescent="0.25">
      <c r="A1851" s="37" t="str">
        <f>IF(Agent10_Savings!A56="","",Agent10_Savings!A56)</f>
        <v/>
      </c>
      <c r="B1851" s="37" t="str">
        <f ca="1">IF(Agent10_Savings!A56="","","SV"&amp;TEXT(1851-3,"0000")&amp;"-"&amp;TEXT(TODAY(),"YYYYMMDD"))</f>
        <v/>
      </c>
      <c r="C1851" s="37" t="str">
        <f>IF(Agent10_Savings!A56="","",Agent10_Savings!B56)</f>
        <v/>
      </c>
      <c r="D1851" s="37" t="str">
        <f>IF(Agent10_Savings!A56="","",Agent10_Savings!G56)</f>
        <v/>
      </c>
      <c r="E1851" s="38" t="str">
        <f>IF(Agent10_Savings!A56="","",Agent10_Savings!D56)</f>
        <v/>
      </c>
      <c r="F1851" s="39" t="str">
        <f>IF(Agent10_Savings!A56="","",Agent10_Savings!E56)</f>
        <v/>
      </c>
      <c r="G1851" s="39" t="str">
        <f>IF(Agent10_Savings!A56="","",Agent10_Savings!F56)</f>
        <v/>
      </c>
      <c r="H1851" s="37" t="str">
        <f>IF(Agent10_Savings!A56="","",Agent10_Savings!I56)</f>
        <v/>
      </c>
      <c r="I1851" s="37" t="str">
        <f>IF(Agent10_Savings!A56="","",Agent10_Savings!J56)</f>
        <v/>
      </c>
      <c r="J1851" s="37" t="str">
        <f>IF(Agent10_Savings!A56="","",Agent10_Savings!K56)</f>
        <v/>
      </c>
      <c r="K1851" s="37" t="str">
        <f>IFERROR(IF(Agent10_Savings!A56="","",YEAR(Agent10_Savings!D56)),"")</f>
        <v/>
      </c>
    </row>
    <row r="1852" spans="1:11" ht="18" customHeight="1" x14ac:dyDescent="0.25">
      <c r="A1852" s="37" t="str">
        <f>IF(Agent10_Savings!A57="","",Agent10_Savings!A57)</f>
        <v/>
      </c>
      <c r="B1852" s="37" t="str">
        <f ca="1">IF(Agent10_Savings!A57="","","SV"&amp;TEXT(1852-3,"0000")&amp;"-"&amp;TEXT(TODAY(),"YYYYMMDD"))</f>
        <v/>
      </c>
      <c r="C1852" s="37" t="str">
        <f>IF(Agent10_Savings!A57="","",Agent10_Savings!B57)</f>
        <v/>
      </c>
      <c r="D1852" s="37" t="str">
        <f>IF(Agent10_Savings!A57="","",Agent10_Savings!G57)</f>
        <v/>
      </c>
      <c r="E1852" s="38" t="str">
        <f>IF(Agent10_Savings!A57="","",Agent10_Savings!D57)</f>
        <v/>
      </c>
      <c r="F1852" s="39" t="str">
        <f>IF(Agent10_Savings!A57="","",Agent10_Savings!E57)</f>
        <v/>
      </c>
      <c r="G1852" s="39" t="str">
        <f>IF(Agent10_Savings!A57="","",Agent10_Savings!F57)</f>
        <v/>
      </c>
      <c r="H1852" s="37" t="str">
        <f>IF(Agent10_Savings!A57="","",Agent10_Savings!I57)</f>
        <v/>
      </c>
      <c r="I1852" s="37" t="str">
        <f>IF(Agent10_Savings!A57="","",Agent10_Savings!J57)</f>
        <v/>
      </c>
      <c r="J1852" s="37" t="str">
        <f>IF(Agent10_Savings!A57="","",Agent10_Savings!K57)</f>
        <v/>
      </c>
      <c r="K1852" s="37" t="str">
        <f>IFERROR(IF(Agent10_Savings!A57="","",YEAR(Agent10_Savings!D57)),"")</f>
        <v/>
      </c>
    </row>
    <row r="1853" spans="1:11" ht="18" customHeight="1" x14ac:dyDescent="0.25">
      <c r="A1853" s="37" t="str">
        <f>IF(Agent10_Savings!A58="","",Agent10_Savings!A58)</f>
        <v/>
      </c>
      <c r="B1853" s="37" t="str">
        <f ca="1">IF(Agent10_Savings!A58="","","SV"&amp;TEXT(1853-3,"0000")&amp;"-"&amp;TEXT(TODAY(),"YYYYMMDD"))</f>
        <v/>
      </c>
      <c r="C1853" s="37" t="str">
        <f>IF(Agent10_Savings!A58="","",Agent10_Savings!B58)</f>
        <v/>
      </c>
      <c r="D1853" s="37" t="str">
        <f>IF(Agent10_Savings!A58="","",Agent10_Savings!G58)</f>
        <v/>
      </c>
      <c r="E1853" s="38" t="str">
        <f>IF(Agent10_Savings!A58="","",Agent10_Savings!D58)</f>
        <v/>
      </c>
      <c r="F1853" s="39" t="str">
        <f>IF(Agent10_Savings!A58="","",Agent10_Savings!E58)</f>
        <v/>
      </c>
      <c r="G1853" s="39" t="str">
        <f>IF(Agent10_Savings!A58="","",Agent10_Savings!F58)</f>
        <v/>
      </c>
      <c r="H1853" s="37" t="str">
        <f>IF(Agent10_Savings!A58="","",Agent10_Savings!I58)</f>
        <v/>
      </c>
      <c r="I1853" s="37" t="str">
        <f>IF(Agent10_Savings!A58="","",Agent10_Savings!J58)</f>
        <v/>
      </c>
      <c r="J1853" s="37" t="str">
        <f>IF(Agent10_Savings!A58="","",Agent10_Savings!K58)</f>
        <v/>
      </c>
      <c r="K1853" s="37" t="str">
        <f>IFERROR(IF(Agent10_Savings!A58="","",YEAR(Agent10_Savings!D58)),"")</f>
        <v/>
      </c>
    </row>
    <row r="1854" spans="1:11" ht="18" customHeight="1" x14ac:dyDescent="0.25">
      <c r="A1854" s="37" t="str">
        <f>IF(Agent10_Savings!A59="","",Agent10_Savings!A59)</f>
        <v/>
      </c>
      <c r="B1854" s="37" t="str">
        <f ca="1">IF(Agent10_Savings!A59="","","SV"&amp;TEXT(1854-3,"0000")&amp;"-"&amp;TEXT(TODAY(),"YYYYMMDD"))</f>
        <v/>
      </c>
      <c r="C1854" s="37" t="str">
        <f>IF(Agent10_Savings!A59="","",Agent10_Savings!B59)</f>
        <v/>
      </c>
      <c r="D1854" s="37" t="str">
        <f>IF(Agent10_Savings!A59="","",Agent10_Savings!G59)</f>
        <v/>
      </c>
      <c r="E1854" s="38" t="str">
        <f>IF(Agent10_Savings!A59="","",Agent10_Savings!D59)</f>
        <v/>
      </c>
      <c r="F1854" s="39" t="str">
        <f>IF(Agent10_Savings!A59="","",Agent10_Savings!E59)</f>
        <v/>
      </c>
      <c r="G1854" s="39" t="str">
        <f>IF(Agent10_Savings!A59="","",Agent10_Savings!F59)</f>
        <v/>
      </c>
      <c r="H1854" s="37" t="str">
        <f>IF(Agent10_Savings!A59="","",Agent10_Savings!I59)</f>
        <v/>
      </c>
      <c r="I1854" s="37" t="str">
        <f>IF(Agent10_Savings!A59="","",Agent10_Savings!J59)</f>
        <v/>
      </c>
      <c r="J1854" s="37" t="str">
        <f>IF(Agent10_Savings!A59="","",Agent10_Savings!K59)</f>
        <v/>
      </c>
      <c r="K1854" s="37" t="str">
        <f>IFERROR(IF(Agent10_Savings!A59="","",YEAR(Agent10_Savings!D59)),"")</f>
        <v/>
      </c>
    </row>
    <row r="1855" spans="1:11" ht="18" customHeight="1" x14ac:dyDescent="0.25">
      <c r="A1855" s="37" t="str">
        <f>IF(Agent10_Savings!A60="","",Agent10_Savings!A60)</f>
        <v/>
      </c>
      <c r="B1855" s="37" t="str">
        <f ca="1">IF(Agent10_Savings!A60="","","SV"&amp;TEXT(1855-3,"0000")&amp;"-"&amp;TEXT(TODAY(),"YYYYMMDD"))</f>
        <v/>
      </c>
      <c r="C1855" s="37" t="str">
        <f>IF(Agent10_Savings!A60="","",Agent10_Savings!B60)</f>
        <v/>
      </c>
      <c r="D1855" s="37" t="str">
        <f>IF(Agent10_Savings!A60="","",Agent10_Savings!G60)</f>
        <v/>
      </c>
      <c r="E1855" s="38" t="str">
        <f>IF(Agent10_Savings!A60="","",Agent10_Savings!D60)</f>
        <v/>
      </c>
      <c r="F1855" s="39" t="str">
        <f>IF(Agent10_Savings!A60="","",Agent10_Savings!E60)</f>
        <v/>
      </c>
      <c r="G1855" s="39" t="str">
        <f>IF(Agent10_Savings!A60="","",Agent10_Savings!F60)</f>
        <v/>
      </c>
      <c r="H1855" s="37" t="str">
        <f>IF(Agent10_Savings!A60="","",Agent10_Savings!I60)</f>
        <v/>
      </c>
      <c r="I1855" s="37" t="str">
        <f>IF(Agent10_Savings!A60="","",Agent10_Savings!J60)</f>
        <v/>
      </c>
      <c r="J1855" s="37" t="str">
        <f>IF(Agent10_Savings!A60="","",Agent10_Savings!K60)</f>
        <v/>
      </c>
      <c r="K1855" s="37" t="str">
        <f>IFERROR(IF(Agent10_Savings!A60="","",YEAR(Agent10_Savings!D60)),"")</f>
        <v/>
      </c>
    </row>
    <row r="1856" spans="1:11" ht="18" customHeight="1" x14ac:dyDescent="0.25">
      <c r="A1856" s="37" t="str">
        <f>IF(Agent10_Savings!A61="","",Agent10_Savings!A61)</f>
        <v/>
      </c>
      <c r="B1856" s="37" t="str">
        <f ca="1">IF(Agent10_Savings!A61="","","SV"&amp;TEXT(1856-3,"0000")&amp;"-"&amp;TEXT(TODAY(),"YYYYMMDD"))</f>
        <v/>
      </c>
      <c r="C1856" s="37" t="str">
        <f>IF(Agent10_Savings!A61="","",Agent10_Savings!B61)</f>
        <v/>
      </c>
      <c r="D1856" s="37" t="str">
        <f>IF(Agent10_Savings!A61="","",Agent10_Savings!G61)</f>
        <v/>
      </c>
      <c r="E1856" s="38" t="str">
        <f>IF(Agent10_Savings!A61="","",Agent10_Savings!D61)</f>
        <v/>
      </c>
      <c r="F1856" s="39" t="str">
        <f>IF(Agent10_Savings!A61="","",Agent10_Savings!E61)</f>
        <v/>
      </c>
      <c r="G1856" s="39" t="str">
        <f>IF(Agent10_Savings!A61="","",Agent10_Savings!F61)</f>
        <v/>
      </c>
      <c r="H1856" s="37" t="str">
        <f>IF(Agent10_Savings!A61="","",Agent10_Savings!I61)</f>
        <v/>
      </c>
      <c r="I1856" s="37" t="str">
        <f>IF(Agent10_Savings!A61="","",Agent10_Savings!J61)</f>
        <v/>
      </c>
      <c r="J1856" s="37" t="str">
        <f>IF(Agent10_Savings!A61="","",Agent10_Savings!K61)</f>
        <v/>
      </c>
      <c r="K1856" s="37" t="str">
        <f>IFERROR(IF(Agent10_Savings!A61="","",YEAR(Agent10_Savings!D61)),"")</f>
        <v/>
      </c>
    </row>
    <row r="1857" spans="1:11" ht="18" customHeight="1" x14ac:dyDescent="0.25">
      <c r="A1857" s="37" t="str">
        <f>IF(Agent10_Savings!A62="","",Agent10_Savings!A62)</f>
        <v/>
      </c>
      <c r="B1857" s="37" t="str">
        <f ca="1">IF(Agent10_Savings!A62="","","SV"&amp;TEXT(1857-3,"0000")&amp;"-"&amp;TEXT(TODAY(),"YYYYMMDD"))</f>
        <v/>
      </c>
      <c r="C1857" s="37" t="str">
        <f>IF(Agent10_Savings!A62="","",Agent10_Savings!B62)</f>
        <v/>
      </c>
      <c r="D1857" s="37" t="str">
        <f>IF(Agent10_Savings!A62="","",Agent10_Savings!G62)</f>
        <v/>
      </c>
      <c r="E1857" s="38" t="str">
        <f>IF(Agent10_Savings!A62="","",Agent10_Savings!D62)</f>
        <v/>
      </c>
      <c r="F1857" s="39" t="str">
        <f>IF(Agent10_Savings!A62="","",Agent10_Savings!E62)</f>
        <v/>
      </c>
      <c r="G1857" s="39" t="str">
        <f>IF(Agent10_Savings!A62="","",Agent10_Savings!F62)</f>
        <v/>
      </c>
      <c r="H1857" s="37" t="str">
        <f>IF(Agent10_Savings!A62="","",Agent10_Savings!I62)</f>
        <v/>
      </c>
      <c r="I1857" s="37" t="str">
        <f>IF(Agent10_Savings!A62="","",Agent10_Savings!J62)</f>
        <v/>
      </c>
      <c r="J1857" s="37" t="str">
        <f>IF(Agent10_Savings!A62="","",Agent10_Savings!K62)</f>
        <v/>
      </c>
      <c r="K1857" s="37" t="str">
        <f>IFERROR(IF(Agent10_Savings!A62="","",YEAR(Agent10_Savings!D62)),"")</f>
        <v/>
      </c>
    </row>
    <row r="1858" spans="1:11" ht="18" customHeight="1" x14ac:dyDescent="0.25">
      <c r="A1858" s="37" t="str">
        <f>IF(Agent10_Savings!A63="","",Agent10_Savings!A63)</f>
        <v/>
      </c>
      <c r="B1858" s="37" t="str">
        <f ca="1">IF(Agent10_Savings!A63="","","SV"&amp;TEXT(1858-3,"0000")&amp;"-"&amp;TEXT(TODAY(),"YYYYMMDD"))</f>
        <v/>
      </c>
      <c r="C1858" s="37" t="str">
        <f>IF(Agent10_Savings!A63="","",Agent10_Savings!B63)</f>
        <v/>
      </c>
      <c r="D1858" s="37" t="str">
        <f>IF(Agent10_Savings!A63="","",Agent10_Savings!G63)</f>
        <v/>
      </c>
      <c r="E1858" s="38" t="str">
        <f>IF(Agent10_Savings!A63="","",Agent10_Savings!D63)</f>
        <v/>
      </c>
      <c r="F1858" s="39" t="str">
        <f>IF(Agent10_Savings!A63="","",Agent10_Savings!E63)</f>
        <v/>
      </c>
      <c r="G1858" s="39" t="str">
        <f>IF(Agent10_Savings!A63="","",Agent10_Savings!F63)</f>
        <v/>
      </c>
      <c r="H1858" s="37" t="str">
        <f>IF(Agent10_Savings!A63="","",Agent10_Savings!I63)</f>
        <v/>
      </c>
      <c r="I1858" s="37" t="str">
        <f>IF(Agent10_Savings!A63="","",Agent10_Savings!J63)</f>
        <v/>
      </c>
      <c r="J1858" s="37" t="str">
        <f>IF(Agent10_Savings!A63="","",Agent10_Savings!K63)</f>
        <v/>
      </c>
      <c r="K1858" s="37" t="str">
        <f>IFERROR(IF(Agent10_Savings!A63="","",YEAR(Agent10_Savings!D63)),"")</f>
        <v/>
      </c>
    </row>
    <row r="1859" spans="1:11" ht="18" customHeight="1" x14ac:dyDescent="0.25">
      <c r="A1859" s="37" t="str">
        <f>IF(Agent10_Savings!A64="","",Agent10_Savings!A64)</f>
        <v/>
      </c>
      <c r="B1859" s="37" t="str">
        <f ca="1">IF(Agent10_Savings!A64="","","SV"&amp;TEXT(1859-3,"0000")&amp;"-"&amp;TEXT(TODAY(),"YYYYMMDD"))</f>
        <v/>
      </c>
      <c r="C1859" s="37" t="str">
        <f>IF(Agent10_Savings!A64="","",Agent10_Savings!B64)</f>
        <v/>
      </c>
      <c r="D1859" s="37" t="str">
        <f>IF(Agent10_Savings!A64="","",Agent10_Savings!G64)</f>
        <v/>
      </c>
      <c r="E1859" s="38" t="str">
        <f>IF(Agent10_Savings!A64="","",Agent10_Savings!D64)</f>
        <v/>
      </c>
      <c r="F1859" s="39" t="str">
        <f>IF(Agent10_Savings!A64="","",Agent10_Savings!E64)</f>
        <v/>
      </c>
      <c r="G1859" s="39" t="str">
        <f>IF(Agent10_Savings!A64="","",Agent10_Savings!F64)</f>
        <v/>
      </c>
      <c r="H1859" s="37" t="str">
        <f>IF(Agent10_Savings!A64="","",Agent10_Savings!I64)</f>
        <v/>
      </c>
      <c r="I1859" s="37" t="str">
        <f>IF(Agent10_Savings!A64="","",Agent10_Savings!J64)</f>
        <v/>
      </c>
      <c r="J1859" s="37" t="str">
        <f>IF(Agent10_Savings!A64="","",Agent10_Savings!K64)</f>
        <v/>
      </c>
      <c r="K1859" s="37" t="str">
        <f>IFERROR(IF(Agent10_Savings!A64="","",YEAR(Agent10_Savings!D64)),"")</f>
        <v/>
      </c>
    </row>
    <row r="1860" spans="1:11" ht="18" customHeight="1" x14ac:dyDescent="0.25">
      <c r="A1860" s="37" t="str">
        <f>IF(Agent10_Savings!A65="","",Agent10_Savings!A65)</f>
        <v/>
      </c>
      <c r="B1860" s="37" t="str">
        <f ca="1">IF(Agent10_Savings!A65="","","SV"&amp;TEXT(1860-3,"0000")&amp;"-"&amp;TEXT(TODAY(),"YYYYMMDD"))</f>
        <v/>
      </c>
      <c r="C1860" s="37" t="str">
        <f>IF(Agent10_Savings!A65="","",Agent10_Savings!B65)</f>
        <v/>
      </c>
      <c r="D1860" s="37" t="str">
        <f>IF(Agent10_Savings!A65="","",Agent10_Savings!G65)</f>
        <v/>
      </c>
      <c r="E1860" s="38" t="str">
        <f>IF(Agent10_Savings!A65="","",Agent10_Savings!D65)</f>
        <v/>
      </c>
      <c r="F1860" s="39" t="str">
        <f>IF(Agent10_Savings!A65="","",Agent10_Savings!E65)</f>
        <v/>
      </c>
      <c r="G1860" s="39" t="str">
        <f>IF(Agent10_Savings!A65="","",Agent10_Savings!F65)</f>
        <v/>
      </c>
      <c r="H1860" s="37" t="str">
        <f>IF(Agent10_Savings!A65="","",Agent10_Savings!I65)</f>
        <v/>
      </c>
      <c r="I1860" s="37" t="str">
        <f>IF(Agent10_Savings!A65="","",Agent10_Savings!J65)</f>
        <v/>
      </c>
      <c r="J1860" s="37" t="str">
        <f>IF(Agent10_Savings!A65="","",Agent10_Savings!K65)</f>
        <v/>
      </c>
      <c r="K1860" s="37" t="str">
        <f>IFERROR(IF(Agent10_Savings!A65="","",YEAR(Agent10_Savings!D65)),"")</f>
        <v/>
      </c>
    </row>
    <row r="1861" spans="1:11" ht="18" customHeight="1" x14ac:dyDescent="0.25">
      <c r="A1861" s="37" t="str">
        <f>IF(Agent10_Savings!A66="","",Agent10_Savings!A66)</f>
        <v/>
      </c>
      <c r="B1861" s="37" t="str">
        <f ca="1">IF(Agent10_Savings!A66="","","SV"&amp;TEXT(1861-3,"0000")&amp;"-"&amp;TEXT(TODAY(),"YYYYMMDD"))</f>
        <v/>
      </c>
      <c r="C1861" s="37" t="str">
        <f>IF(Agent10_Savings!A66="","",Agent10_Savings!B66)</f>
        <v/>
      </c>
      <c r="D1861" s="37" t="str">
        <f>IF(Agent10_Savings!A66="","",Agent10_Savings!G66)</f>
        <v/>
      </c>
      <c r="E1861" s="38" t="str">
        <f>IF(Agent10_Savings!A66="","",Agent10_Savings!D66)</f>
        <v/>
      </c>
      <c r="F1861" s="39" t="str">
        <f>IF(Agent10_Savings!A66="","",Agent10_Savings!E66)</f>
        <v/>
      </c>
      <c r="G1861" s="39" t="str">
        <f>IF(Agent10_Savings!A66="","",Agent10_Savings!F66)</f>
        <v/>
      </c>
      <c r="H1861" s="37" t="str">
        <f>IF(Agent10_Savings!A66="","",Agent10_Savings!I66)</f>
        <v/>
      </c>
      <c r="I1861" s="37" t="str">
        <f>IF(Agent10_Savings!A66="","",Agent10_Savings!J66)</f>
        <v/>
      </c>
      <c r="J1861" s="37" t="str">
        <f>IF(Agent10_Savings!A66="","",Agent10_Savings!K66)</f>
        <v/>
      </c>
      <c r="K1861" s="37" t="str">
        <f>IFERROR(IF(Agent10_Savings!A66="","",YEAR(Agent10_Savings!D66)),"")</f>
        <v/>
      </c>
    </row>
    <row r="1862" spans="1:11" ht="18" customHeight="1" x14ac:dyDescent="0.25">
      <c r="A1862" s="37" t="str">
        <f>IF(Agent10_Savings!A67="","",Agent10_Savings!A67)</f>
        <v/>
      </c>
      <c r="B1862" s="37" t="str">
        <f ca="1">IF(Agent10_Savings!A67="","","SV"&amp;TEXT(1862-3,"0000")&amp;"-"&amp;TEXT(TODAY(),"YYYYMMDD"))</f>
        <v/>
      </c>
      <c r="C1862" s="37" t="str">
        <f>IF(Agent10_Savings!A67="","",Agent10_Savings!B67)</f>
        <v/>
      </c>
      <c r="D1862" s="37" t="str">
        <f>IF(Agent10_Savings!A67="","",Agent10_Savings!G67)</f>
        <v/>
      </c>
      <c r="E1862" s="38" t="str">
        <f>IF(Agent10_Savings!A67="","",Agent10_Savings!D67)</f>
        <v/>
      </c>
      <c r="F1862" s="39" t="str">
        <f>IF(Agent10_Savings!A67="","",Agent10_Savings!E67)</f>
        <v/>
      </c>
      <c r="G1862" s="39" t="str">
        <f>IF(Agent10_Savings!A67="","",Agent10_Savings!F67)</f>
        <v/>
      </c>
      <c r="H1862" s="37" t="str">
        <f>IF(Agent10_Savings!A67="","",Agent10_Savings!I67)</f>
        <v/>
      </c>
      <c r="I1862" s="37" t="str">
        <f>IF(Agent10_Savings!A67="","",Agent10_Savings!J67)</f>
        <v/>
      </c>
      <c r="J1862" s="37" t="str">
        <f>IF(Agent10_Savings!A67="","",Agent10_Savings!K67)</f>
        <v/>
      </c>
      <c r="K1862" s="37" t="str">
        <f>IFERROR(IF(Agent10_Savings!A67="","",YEAR(Agent10_Savings!D67)),"")</f>
        <v/>
      </c>
    </row>
    <row r="1863" spans="1:11" ht="18" customHeight="1" x14ac:dyDescent="0.25">
      <c r="A1863" s="37" t="str">
        <f>IF(Agent10_Savings!A68="","",Agent10_Savings!A68)</f>
        <v/>
      </c>
      <c r="B1863" s="37" t="str">
        <f ca="1">IF(Agent10_Savings!A68="","","SV"&amp;TEXT(1863-3,"0000")&amp;"-"&amp;TEXT(TODAY(),"YYYYMMDD"))</f>
        <v/>
      </c>
      <c r="C1863" s="37" t="str">
        <f>IF(Agent10_Savings!A68="","",Agent10_Savings!B68)</f>
        <v/>
      </c>
      <c r="D1863" s="37" t="str">
        <f>IF(Agent10_Savings!A68="","",Agent10_Savings!G68)</f>
        <v/>
      </c>
      <c r="E1863" s="38" t="str">
        <f>IF(Agent10_Savings!A68="","",Agent10_Savings!D68)</f>
        <v/>
      </c>
      <c r="F1863" s="39" t="str">
        <f>IF(Agent10_Savings!A68="","",Agent10_Savings!E68)</f>
        <v/>
      </c>
      <c r="G1863" s="39" t="str">
        <f>IF(Agent10_Savings!A68="","",Agent10_Savings!F68)</f>
        <v/>
      </c>
      <c r="H1863" s="37" t="str">
        <f>IF(Agent10_Savings!A68="","",Agent10_Savings!I68)</f>
        <v/>
      </c>
      <c r="I1863" s="37" t="str">
        <f>IF(Agent10_Savings!A68="","",Agent10_Savings!J68)</f>
        <v/>
      </c>
      <c r="J1863" s="37" t="str">
        <f>IF(Agent10_Savings!A68="","",Agent10_Savings!K68)</f>
        <v/>
      </c>
      <c r="K1863" s="37" t="str">
        <f>IFERROR(IF(Agent10_Savings!A68="","",YEAR(Agent10_Savings!D68)),"")</f>
        <v/>
      </c>
    </row>
    <row r="1864" spans="1:11" ht="18" customHeight="1" x14ac:dyDescent="0.25">
      <c r="A1864" s="37" t="str">
        <f>IF(Agent10_Savings!A69="","",Agent10_Savings!A69)</f>
        <v/>
      </c>
      <c r="B1864" s="37" t="str">
        <f ca="1">IF(Agent10_Savings!A69="","","SV"&amp;TEXT(1864-3,"0000")&amp;"-"&amp;TEXT(TODAY(),"YYYYMMDD"))</f>
        <v/>
      </c>
      <c r="C1864" s="37" t="str">
        <f>IF(Agent10_Savings!A69="","",Agent10_Savings!B69)</f>
        <v/>
      </c>
      <c r="D1864" s="37" t="str">
        <f>IF(Agent10_Savings!A69="","",Agent10_Savings!G69)</f>
        <v/>
      </c>
      <c r="E1864" s="38" t="str">
        <f>IF(Agent10_Savings!A69="","",Agent10_Savings!D69)</f>
        <v/>
      </c>
      <c r="F1864" s="39" t="str">
        <f>IF(Agent10_Savings!A69="","",Agent10_Savings!E69)</f>
        <v/>
      </c>
      <c r="G1864" s="39" t="str">
        <f>IF(Agent10_Savings!A69="","",Agent10_Savings!F69)</f>
        <v/>
      </c>
      <c r="H1864" s="37" t="str">
        <f>IF(Agent10_Savings!A69="","",Agent10_Savings!I69)</f>
        <v/>
      </c>
      <c r="I1864" s="37" t="str">
        <f>IF(Agent10_Savings!A69="","",Agent10_Savings!J69)</f>
        <v/>
      </c>
      <c r="J1864" s="37" t="str">
        <f>IF(Agent10_Savings!A69="","",Agent10_Savings!K69)</f>
        <v/>
      </c>
      <c r="K1864" s="37" t="str">
        <f>IFERROR(IF(Agent10_Savings!A69="","",YEAR(Agent10_Savings!D69)),"")</f>
        <v/>
      </c>
    </row>
    <row r="1865" spans="1:11" ht="18" customHeight="1" x14ac:dyDescent="0.25">
      <c r="A1865" s="37" t="str">
        <f>IF(Agent10_Savings!A70="","",Agent10_Savings!A70)</f>
        <v/>
      </c>
      <c r="B1865" s="37" t="str">
        <f ca="1">IF(Agent10_Savings!A70="","","SV"&amp;TEXT(1865-3,"0000")&amp;"-"&amp;TEXT(TODAY(),"YYYYMMDD"))</f>
        <v/>
      </c>
      <c r="C1865" s="37" t="str">
        <f>IF(Agent10_Savings!A70="","",Agent10_Savings!B70)</f>
        <v/>
      </c>
      <c r="D1865" s="37" t="str">
        <f>IF(Agent10_Savings!A70="","",Agent10_Savings!G70)</f>
        <v/>
      </c>
      <c r="E1865" s="38" t="str">
        <f>IF(Agent10_Savings!A70="","",Agent10_Savings!D70)</f>
        <v/>
      </c>
      <c r="F1865" s="39" t="str">
        <f>IF(Agent10_Savings!A70="","",Agent10_Savings!E70)</f>
        <v/>
      </c>
      <c r="G1865" s="39" t="str">
        <f>IF(Agent10_Savings!A70="","",Agent10_Savings!F70)</f>
        <v/>
      </c>
      <c r="H1865" s="37" t="str">
        <f>IF(Agent10_Savings!A70="","",Agent10_Savings!I70)</f>
        <v/>
      </c>
      <c r="I1865" s="37" t="str">
        <f>IF(Agent10_Savings!A70="","",Agent10_Savings!J70)</f>
        <v/>
      </c>
      <c r="J1865" s="37" t="str">
        <f>IF(Agent10_Savings!A70="","",Agent10_Savings!K70)</f>
        <v/>
      </c>
      <c r="K1865" s="37" t="str">
        <f>IFERROR(IF(Agent10_Savings!A70="","",YEAR(Agent10_Savings!D70)),"")</f>
        <v/>
      </c>
    </row>
    <row r="1866" spans="1:11" ht="18" customHeight="1" x14ac:dyDescent="0.25">
      <c r="A1866" s="37" t="str">
        <f>IF(Agent10_Savings!A71="","",Agent10_Savings!A71)</f>
        <v/>
      </c>
      <c r="B1866" s="37" t="str">
        <f ca="1">IF(Agent10_Savings!A71="","","SV"&amp;TEXT(1866-3,"0000")&amp;"-"&amp;TEXT(TODAY(),"YYYYMMDD"))</f>
        <v/>
      </c>
      <c r="C1866" s="37" t="str">
        <f>IF(Agent10_Savings!A71="","",Agent10_Savings!B71)</f>
        <v/>
      </c>
      <c r="D1866" s="37" t="str">
        <f>IF(Agent10_Savings!A71="","",Agent10_Savings!G71)</f>
        <v/>
      </c>
      <c r="E1866" s="38" t="str">
        <f>IF(Agent10_Savings!A71="","",Agent10_Savings!D71)</f>
        <v/>
      </c>
      <c r="F1866" s="39" t="str">
        <f>IF(Agent10_Savings!A71="","",Agent10_Savings!E71)</f>
        <v/>
      </c>
      <c r="G1866" s="39" t="str">
        <f>IF(Agent10_Savings!A71="","",Agent10_Savings!F71)</f>
        <v/>
      </c>
      <c r="H1866" s="37" t="str">
        <f>IF(Agent10_Savings!A71="","",Agent10_Savings!I71)</f>
        <v/>
      </c>
      <c r="I1866" s="37" t="str">
        <f>IF(Agent10_Savings!A71="","",Agent10_Savings!J71)</f>
        <v/>
      </c>
      <c r="J1866" s="37" t="str">
        <f>IF(Agent10_Savings!A71="","",Agent10_Savings!K71)</f>
        <v/>
      </c>
      <c r="K1866" s="37" t="str">
        <f>IFERROR(IF(Agent10_Savings!A71="","",YEAR(Agent10_Savings!D71)),"")</f>
        <v/>
      </c>
    </row>
    <row r="1867" spans="1:11" ht="18" customHeight="1" x14ac:dyDescent="0.25">
      <c r="A1867" s="37" t="str">
        <f>IF(Agent10_Savings!A72="","",Agent10_Savings!A72)</f>
        <v/>
      </c>
      <c r="B1867" s="37" t="str">
        <f ca="1">IF(Agent10_Savings!A72="","","SV"&amp;TEXT(1867-3,"0000")&amp;"-"&amp;TEXT(TODAY(),"YYYYMMDD"))</f>
        <v/>
      </c>
      <c r="C1867" s="37" t="str">
        <f>IF(Agent10_Savings!A72="","",Agent10_Savings!B72)</f>
        <v/>
      </c>
      <c r="D1867" s="37" t="str">
        <f>IF(Agent10_Savings!A72="","",Agent10_Savings!G72)</f>
        <v/>
      </c>
      <c r="E1867" s="38" t="str">
        <f>IF(Agent10_Savings!A72="","",Agent10_Savings!D72)</f>
        <v/>
      </c>
      <c r="F1867" s="39" t="str">
        <f>IF(Agent10_Savings!A72="","",Agent10_Savings!E72)</f>
        <v/>
      </c>
      <c r="G1867" s="39" t="str">
        <f>IF(Agent10_Savings!A72="","",Agent10_Savings!F72)</f>
        <v/>
      </c>
      <c r="H1867" s="37" t="str">
        <f>IF(Agent10_Savings!A72="","",Agent10_Savings!I72)</f>
        <v/>
      </c>
      <c r="I1867" s="37" t="str">
        <f>IF(Agent10_Savings!A72="","",Agent10_Savings!J72)</f>
        <v/>
      </c>
      <c r="J1867" s="37" t="str">
        <f>IF(Agent10_Savings!A72="","",Agent10_Savings!K72)</f>
        <v/>
      </c>
      <c r="K1867" s="37" t="str">
        <f>IFERROR(IF(Agent10_Savings!A72="","",YEAR(Agent10_Savings!D72)),"")</f>
        <v/>
      </c>
    </row>
    <row r="1868" spans="1:11" ht="18" customHeight="1" x14ac:dyDescent="0.25">
      <c r="A1868" s="37" t="str">
        <f>IF(Agent10_Savings!A73="","",Agent10_Savings!A73)</f>
        <v/>
      </c>
      <c r="B1868" s="37" t="str">
        <f ca="1">IF(Agent10_Savings!A73="","","SV"&amp;TEXT(1868-3,"0000")&amp;"-"&amp;TEXT(TODAY(),"YYYYMMDD"))</f>
        <v/>
      </c>
      <c r="C1868" s="37" t="str">
        <f>IF(Agent10_Savings!A73="","",Agent10_Savings!B73)</f>
        <v/>
      </c>
      <c r="D1868" s="37" t="str">
        <f>IF(Agent10_Savings!A73="","",Agent10_Savings!G73)</f>
        <v/>
      </c>
      <c r="E1868" s="38" t="str">
        <f>IF(Agent10_Savings!A73="","",Agent10_Savings!D73)</f>
        <v/>
      </c>
      <c r="F1868" s="39" t="str">
        <f>IF(Agent10_Savings!A73="","",Agent10_Savings!E73)</f>
        <v/>
      </c>
      <c r="G1868" s="39" t="str">
        <f>IF(Agent10_Savings!A73="","",Agent10_Savings!F73)</f>
        <v/>
      </c>
      <c r="H1868" s="37" t="str">
        <f>IF(Agent10_Savings!A73="","",Agent10_Savings!I73)</f>
        <v/>
      </c>
      <c r="I1868" s="37" t="str">
        <f>IF(Agent10_Savings!A73="","",Agent10_Savings!J73)</f>
        <v/>
      </c>
      <c r="J1868" s="37" t="str">
        <f>IF(Agent10_Savings!A73="","",Agent10_Savings!K73)</f>
        <v/>
      </c>
      <c r="K1868" s="37" t="str">
        <f>IFERROR(IF(Agent10_Savings!A73="","",YEAR(Agent10_Savings!D73)),"")</f>
        <v/>
      </c>
    </row>
    <row r="1869" spans="1:11" ht="18" customHeight="1" x14ac:dyDescent="0.25">
      <c r="A1869" s="37" t="str">
        <f>IF(Agent10_Savings!A74="","",Agent10_Savings!A74)</f>
        <v/>
      </c>
      <c r="B1869" s="37" t="str">
        <f ca="1">IF(Agent10_Savings!A74="","","SV"&amp;TEXT(1869-3,"0000")&amp;"-"&amp;TEXT(TODAY(),"YYYYMMDD"))</f>
        <v/>
      </c>
      <c r="C1869" s="37" t="str">
        <f>IF(Agent10_Savings!A74="","",Agent10_Savings!B74)</f>
        <v/>
      </c>
      <c r="D1869" s="37" t="str">
        <f>IF(Agent10_Savings!A74="","",Agent10_Savings!G74)</f>
        <v/>
      </c>
      <c r="E1869" s="38" t="str">
        <f>IF(Agent10_Savings!A74="","",Agent10_Savings!D74)</f>
        <v/>
      </c>
      <c r="F1869" s="39" t="str">
        <f>IF(Agent10_Savings!A74="","",Agent10_Savings!E74)</f>
        <v/>
      </c>
      <c r="G1869" s="39" t="str">
        <f>IF(Agent10_Savings!A74="","",Agent10_Savings!F74)</f>
        <v/>
      </c>
      <c r="H1869" s="37" t="str">
        <f>IF(Agent10_Savings!A74="","",Agent10_Savings!I74)</f>
        <v/>
      </c>
      <c r="I1869" s="37" t="str">
        <f>IF(Agent10_Savings!A74="","",Agent10_Savings!J74)</f>
        <v/>
      </c>
      <c r="J1869" s="37" t="str">
        <f>IF(Agent10_Savings!A74="","",Agent10_Savings!K74)</f>
        <v/>
      </c>
      <c r="K1869" s="37" t="str">
        <f>IFERROR(IF(Agent10_Savings!A74="","",YEAR(Agent10_Savings!D74)),"")</f>
        <v/>
      </c>
    </row>
    <row r="1870" spans="1:11" ht="18" customHeight="1" x14ac:dyDescent="0.25">
      <c r="A1870" s="37" t="str">
        <f>IF(Agent10_Savings!A75="","",Agent10_Savings!A75)</f>
        <v/>
      </c>
      <c r="B1870" s="37" t="str">
        <f ca="1">IF(Agent10_Savings!A75="","","SV"&amp;TEXT(1870-3,"0000")&amp;"-"&amp;TEXT(TODAY(),"YYYYMMDD"))</f>
        <v/>
      </c>
      <c r="C1870" s="37" t="str">
        <f>IF(Agent10_Savings!A75="","",Agent10_Savings!B75)</f>
        <v/>
      </c>
      <c r="D1870" s="37" t="str">
        <f>IF(Agent10_Savings!A75="","",Agent10_Savings!G75)</f>
        <v/>
      </c>
      <c r="E1870" s="38" t="str">
        <f>IF(Agent10_Savings!A75="","",Agent10_Savings!D75)</f>
        <v/>
      </c>
      <c r="F1870" s="39" t="str">
        <f>IF(Agent10_Savings!A75="","",Agent10_Savings!E75)</f>
        <v/>
      </c>
      <c r="G1870" s="39" t="str">
        <f>IF(Agent10_Savings!A75="","",Agent10_Savings!F75)</f>
        <v/>
      </c>
      <c r="H1870" s="37" t="str">
        <f>IF(Agent10_Savings!A75="","",Agent10_Savings!I75)</f>
        <v/>
      </c>
      <c r="I1870" s="37" t="str">
        <f>IF(Agent10_Savings!A75="","",Agent10_Savings!J75)</f>
        <v/>
      </c>
      <c r="J1870" s="37" t="str">
        <f>IF(Agent10_Savings!A75="","",Agent10_Savings!K75)</f>
        <v/>
      </c>
      <c r="K1870" s="37" t="str">
        <f>IFERROR(IF(Agent10_Savings!A75="","",YEAR(Agent10_Savings!D75)),"")</f>
        <v/>
      </c>
    </row>
    <row r="1871" spans="1:11" ht="18" customHeight="1" x14ac:dyDescent="0.25">
      <c r="A1871" s="37" t="str">
        <f>IF(Agent10_Savings!A76="","",Agent10_Savings!A76)</f>
        <v/>
      </c>
      <c r="B1871" s="37" t="str">
        <f ca="1">IF(Agent10_Savings!A76="","","SV"&amp;TEXT(1871-3,"0000")&amp;"-"&amp;TEXT(TODAY(),"YYYYMMDD"))</f>
        <v/>
      </c>
      <c r="C1871" s="37" t="str">
        <f>IF(Agent10_Savings!A76="","",Agent10_Savings!B76)</f>
        <v/>
      </c>
      <c r="D1871" s="37" t="str">
        <f>IF(Agent10_Savings!A76="","",Agent10_Savings!G76)</f>
        <v/>
      </c>
      <c r="E1871" s="38" t="str">
        <f>IF(Agent10_Savings!A76="","",Agent10_Savings!D76)</f>
        <v/>
      </c>
      <c r="F1871" s="39" t="str">
        <f>IF(Agent10_Savings!A76="","",Agent10_Savings!E76)</f>
        <v/>
      </c>
      <c r="G1871" s="39" t="str">
        <f>IF(Agent10_Savings!A76="","",Agent10_Savings!F76)</f>
        <v/>
      </c>
      <c r="H1871" s="37" t="str">
        <f>IF(Agent10_Savings!A76="","",Agent10_Savings!I76)</f>
        <v/>
      </c>
      <c r="I1871" s="37" t="str">
        <f>IF(Agent10_Savings!A76="","",Agent10_Savings!J76)</f>
        <v/>
      </c>
      <c r="J1871" s="37" t="str">
        <f>IF(Agent10_Savings!A76="","",Agent10_Savings!K76)</f>
        <v/>
      </c>
      <c r="K1871" s="37" t="str">
        <f>IFERROR(IF(Agent10_Savings!A76="","",YEAR(Agent10_Savings!D76)),"")</f>
        <v/>
      </c>
    </row>
    <row r="1872" spans="1:11" ht="18" customHeight="1" x14ac:dyDescent="0.25">
      <c r="A1872" s="37" t="str">
        <f>IF(Agent10_Savings!A77="","",Agent10_Savings!A77)</f>
        <v/>
      </c>
      <c r="B1872" s="37" t="str">
        <f ca="1">IF(Agent10_Savings!A77="","","SV"&amp;TEXT(1872-3,"0000")&amp;"-"&amp;TEXT(TODAY(),"YYYYMMDD"))</f>
        <v/>
      </c>
      <c r="C1872" s="37" t="str">
        <f>IF(Agent10_Savings!A77="","",Agent10_Savings!B77)</f>
        <v/>
      </c>
      <c r="D1872" s="37" t="str">
        <f>IF(Agent10_Savings!A77="","",Agent10_Savings!G77)</f>
        <v/>
      </c>
      <c r="E1872" s="38" t="str">
        <f>IF(Agent10_Savings!A77="","",Agent10_Savings!D77)</f>
        <v/>
      </c>
      <c r="F1872" s="39" t="str">
        <f>IF(Agent10_Savings!A77="","",Agent10_Savings!E77)</f>
        <v/>
      </c>
      <c r="G1872" s="39" t="str">
        <f>IF(Agent10_Savings!A77="","",Agent10_Savings!F77)</f>
        <v/>
      </c>
      <c r="H1872" s="37" t="str">
        <f>IF(Agent10_Savings!A77="","",Agent10_Savings!I77)</f>
        <v/>
      </c>
      <c r="I1872" s="37" t="str">
        <f>IF(Agent10_Savings!A77="","",Agent10_Savings!J77)</f>
        <v/>
      </c>
      <c r="J1872" s="37" t="str">
        <f>IF(Agent10_Savings!A77="","",Agent10_Savings!K77)</f>
        <v/>
      </c>
      <c r="K1872" s="37" t="str">
        <f>IFERROR(IF(Agent10_Savings!A77="","",YEAR(Agent10_Savings!D77)),"")</f>
        <v/>
      </c>
    </row>
    <row r="1873" spans="1:11" ht="18" customHeight="1" x14ac:dyDescent="0.25">
      <c r="A1873" s="37" t="str">
        <f>IF(Agent10_Savings!A78="","",Agent10_Savings!A78)</f>
        <v/>
      </c>
      <c r="B1873" s="37" t="str">
        <f ca="1">IF(Agent10_Savings!A78="","","SV"&amp;TEXT(1873-3,"0000")&amp;"-"&amp;TEXT(TODAY(),"YYYYMMDD"))</f>
        <v/>
      </c>
      <c r="C1873" s="37" t="str">
        <f>IF(Agent10_Savings!A78="","",Agent10_Savings!B78)</f>
        <v/>
      </c>
      <c r="D1873" s="37" t="str">
        <f>IF(Agent10_Savings!A78="","",Agent10_Savings!G78)</f>
        <v/>
      </c>
      <c r="E1873" s="38" t="str">
        <f>IF(Agent10_Savings!A78="","",Agent10_Savings!D78)</f>
        <v/>
      </c>
      <c r="F1873" s="39" t="str">
        <f>IF(Agent10_Savings!A78="","",Agent10_Savings!E78)</f>
        <v/>
      </c>
      <c r="G1873" s="39" t="str">
        <f>IF(Agent10_Savings!A78="","",Agent10_Savings!F78)</f>
        <v/>
      </c>
      <c r="H1873" s="37" t="str">
        <f>IF(Agent10_Savings!A78="","",Agent10_Savings!I78)</f>
        <v/>
      </c>
      <c r="I1873" s="37" t="str">
        <f>IF(Agent10_Savings!A78="","",Agent10_Savings!J78)</f>
        <v/>
      </c>
      <c r="J1873" s="37" t="str">
        <f>IF(Agent10_Savings!A78="","",Agent10_Savings!K78)</f>
        <v/>
      </c>
      <c r="K1873" s="37" t="str">
        <f>IFERROR(IF(Agent10_Savings!A78="","",YEAR(Agent10_Savings!D78)),"")</f>
        <v/>
      </c>
    </row>
    <row r="1874" spans="1:11" ht="18" customHeight="1" x14ac:dyDescent="0.25">
      <c r="A1874" s="37" t="str">
        <f>IF(Agent10_Savings!A79="","",Agent10_Savings!A79)</f>
        <v/>
      </c>
      <c r="B1874" s="37" t="str">
        <f ca="1">IF(Agent10_Savings!A79="","","SV"&amp;TEXT(1874-3,"0000")&amp;"-"&amp;TEXT(TODAY(),"YYYYMMDD"))</f>
        <v/>
      </c>
      <c r="C1874" s="37" t="str">
        <f>IF(Agent10_Savings!A79="","",Agent10_Savings!B79)</f>
        <v/>
      </c>
      <c r="D1874" s="37" t="str">
        <f>IF(Agent10_Savings!A79="","",Agent10_Savings!G79)</f>
        <v/>
      </c>
      <c r="E1874" s="38" t="str">
        <f>IF(Agent10_Savings!A79="","",Agent10_Savings!D79)</f>
        <v/>
      </c>
      <c r="F1874" s="39" t="str">
        <f>IF(Agent10_Savings!A79="","",Agent10_Savings!E79)</f>
        <v/>
      </c>
      <c r="G1874" s="39" t="str">
        <f>IF(Agent10_Savings!A79="","",Agent10_Savings!F79)</f>
        <v/>
      </c>
      <c r="H1874" s="37" t="str">
        <f>IF(Agent10_Savings!A79="","",Agent10_Savings!I79)</f>
        <v/>
      </c>
      <c r="I1874" s="37" t="str">
        <f>IF(Agent10_Savings!A79="","",Agent10_Savings!J79)</f>
        <v/>
      </c>
      <c r="J1874" s="37" t="str">
        <f>IF(Agent10_Savings!A79="","",Agent10_Savings!K79)</f>
        <v/>
      </c>
      <c r="K1874" s="37" t="str">
        <f>IFERROR(IF(Agent10_Savings!A79="","",YEAR(Agent10_Savings!D79)),"")</f>
        <v/>
      </c>
    </row>
    <row r="1875" spans="1:11" ht="18" customHeight="1" x14ac:dyDescent="0.25">
      <c r="A1875" s="37" t="str">
        <f>IF(Agent10_Savings!A80="","",Agent10_Savings!A80)</f>
        <v/>
      </c>
      <c r="B1875" s="37" t="str">
        <f ca="1">IF(Agent10_Savings!A80="","","SV"&amp;TEXT(1875-3,"0000")&amp;"-"&amp;TEXT(TODAY(),"YYYYMMDD"))</f>
        <v/>
      </c>
      <c r="C1875" s="37" t="str">
        <f>IF(Agent10_Savings!A80="","",Agent10_Savings!B80)</f>
        <v/>
      </c>
      <c r="D1875" s="37" t="str">
        <f>IF(Agent10_Savings!A80="","",Agent10_Savings!G80)</f>
        <v/>
      </c>
      <c r="E1875" s="38" t="str">
        <f>IF(Agent10_Savings!A80="","",Agent10_Savings!D80)</f>
        <v/>
      </c>
      <c r="F1875" s="39" t="str">
        <f>IF(Agent10_Savings!A80="","",Agent10_Savings!E80)</f>
        <v/>
      </c>
      <c r="G1875" s="39" t="str">
        <f>IF(Agent10_Savings!A80="","",Agent10_Savings!F80)</f>
        <v/>
      </c>
      <c r="H1875" s="37" t="str">
        <f>IF(Agent10_Savings!A80="","",Agent10_Savings!I80)</f>
        <v/>
      </c>
      <c r="I1875" s="37" t="str">
        <f>IF(Agent10_Savings!A80="","",Agent10_Savings!J80)</f>
        <v/>
      </c>
      <c r="J1875" s="37" t="str">
        <f>IF(Agent10_Savings!A80="","",Agent10_Savings!K80)</f>
        <v/>
      </c>
      <c r="K1875" s="37" t="str">
        <f>IFERROR(IF(Agent10_Savings!A80="","",YEAR(Agent10_Savings!D80)),"")</f>
        <v/>
      </c>
    </row>
    <row r="1876" spans="1:11" ht="18" customHeight="1" x14ac:dyDescent="0.25">
      <c r="A1876" s="37" t="str">
        <f>IF(Agent10_Savings!A81="","",Agent10_Savings!A81)</f>
        <v/>
      </c>
      <c r="B1876" s="37" t="str">
        <f ca="1">IF(Agent10_Savings!A81="","","SV"&amp;TEXT(1876-3,"0000")&amp;"-"&amp;TEXT(TODAY(),"YYYYMMDD"))</f>
        <v/>
      </c>
      <c r="C1876" s="37" t="str">
        <f>IF(Agent10_Savings!A81="","",Agent10_Savings!B81)</f>
        <v/>
      </c>
      <c r="D1876" s="37" t="str">
        <f>IF(Agent10_Savings!A81="","",Agent10_Savings!G81)</f>
        <v/>
      </c>
      <c r="E1876" s="38" t="str">
        <f>IF(Agent10_Savings!A81="","",Agent10_Savings!D81)</f>
        <v/>
      </c>
      <c r="F1876" s="39" t="str">
        <f>IF(Agent10_Savings!A81="","",Agent10_Savings!E81)</f>
        <v/>
      </c>
      <c r="G1876" s="39" t="str">
        <f>IF(Agent10_Savings!A81="","",Agent10_Savings!F81)</f>
        <v/>
      </c>
      <c r="H1876" s="37" t="str">
        <f>IF(Agent10_Savings!A81="","",Agent10_Savings!I81)</f>
        <v/>
      </c>
      <c r="I1876" s="37" t="str">
        <f>IF(Agent10_Savings!A81="","",Agent10_Savings!J81)</f>
        <v/>
      </c>
      <c r="J1876" s="37" t="str">
        <f>IF(Agent10_Savings!A81="","",Agent10_Savings!K81)</f>
        <v/>
      </c>
      <c r="K1876" s="37" t="str">
        <f>IFERROR(IF(Agent10_Savings!A81="","",YEAR(Agent10_Savings!D81)),"")</f>
        <v/>
      </c>
    </row>
    <row r="1877" spans="1:11" ht="18" customHeight="1" x14ac:dyDescent="0.25">
      <c r="A1877" s="37" t="str">
        <f>IF(Agent10_Savings!A82="","",Agent10_Savings!A82)</f>
        <v/>
      </c>
      <c r="B1877" s="37" t="str">
        <f ca="1">IF(Agent10_Savings!A82="","","SV"&amp;TEXT(1877-3,"0000")&amp;"-"&amp;TEXT(TODAY(),"YYYYMMDD"))</f>
        <v/>
      </c>
      <c r="C1877" s="37" t="str">
        <f>IF(Agent10_Savings!A82="","",Agent10_Savings!B82)</f>
        <v/>
      </c>
      <c r="D1877" s="37" t="str">
        <f>IF(Agent10_Savings!A82="","",Agent10_Savings!G82)</f>
        <v/>
      </c>
      <c r="E1877" s="38" t="str">
        <f>IF(Agent10_Savings!A82="","",Agent10_Savings!D82)</f>
        <v/>
      </c>
      <c r="F1877" s="39" t="str">
        <f>IF(Agent10_Savings!A82="","",Agent10_Savings!E82)</f>
        <v/>
      </c>
      <c r="G1877" s="39" t="str">
        <f>IF(Agent10_Savings!A82="","",Agent10_Savings!F82)</f>
        <v/>
      </c>
      <c r="H1877" s="37" t="str">
        <f>IF(Agent10_Savings!A82="","",Agent10_Savings!I82)</f>
        <v/>
      </c>
      <c r="I1877" s="37" t="str">
        <f>IF(Agent10_Savings!A82="","",Agent10_Savings!J82)</f>
        <v/>
      </c>
      <c r="J1877" s="37" t="str">
        <f>IF(Agent10_Savings!A82="","",Agent10_Savings!K82)</f>
        <v/>
      </c>
      <c r="K1877" s="37" t="str">
        <f>IFERROR(IF(Agent10_Savings!A82="","",YEAR(Agent10_Savings!D82)),"")</f>
        <v/>
      </c>
    </row>
    <row r="1878" spans="1:11" ht="18" customHeight="1" x14ac:dyDescent="0.25">
      <c r="A1878" s="37" t="str">
        <f>IF(Agent10_Savings!A83="","",Agent10_Savings!A83)</f>
        <v/>
      </c>
      <c r="B1878" s="37" t="str">
        <f ca="1">IF(Agent10_Savings!A83="","","SV"&amp;TEXT(1878-3,"0000")&amp;"-"&amp;TEXT(TODAY(),"YYYYMMDD"))</f>
        <v/>
      </c>
      <c r="C1878" s="37" t="str">
        <f>IF(Agent10_Savings!A83="","",Agent10_Savings!B83)</f>
        <v/>
      </c>
      <c r="D1878" s="37" t="str">
        <f>IF(Agent10_Savings!A83="","",Agent10_Savings!G83)</f>
        <v/>
      </c>
      <c r="E1878" s="38" t="str">
        <f>IF(Agent10_Savings!A83="","",Agent10_Savings!D83)</f>
        <v/>
      </c>
      <c r="F1878" s="39" t="str">
        <f>IF(Agent10_Savings!A83="","",Agent10_Savings!E83)</f>
        <v/>
      </c>
      <c r="G1878" s="39" t="str">
        <f>IF(Agent10_Savings!A83="","",Agent10_Savings!F83)</f>
        <v/>
      </c>
      <c r="H1878" s="37" t="str">
        <f>IF(Agent10_Savings!A83="","",Agent10_Savings!I83)</f>
        <v/>
      </c>
      <c r="I1878" s="37" t="str">
        <f>IF(Agent10_Savings!A83="","",Agent10_Savings!J83)</f>
        <v/>
      </c>
      <c r="J1878" s="37" t="str">
        <f>IF(Agent10_Savings!A83="","",Agent10_Savings!K83)</f>
        <v/>
      </c>
      <c r="K1878" s="37" t="str">
        <f>IFERROR(IF(Agent10_Savings!A83="","",YEAR(Agent10_Savings!D83)),"")</f>
        <v/>
      </c>
    </row>
    <row r="1879" spans="1:11" ht="18" customHeight="1" x14ac:dyDescent="0.25">
      <c r="A1879" s="37" t="str">
        <f>IF(Agent10_Savings!A84="","",Agent10_Savings!A84)</f>
        <v/>
      </c>
      <c r="B1879" s="37" t="str">
        <f ca="1">IF(Agent10_Savings!A84="","","SV"&amp;TEXT(1879-3,"0000")&amp;"-"&amp;TEXT(TODAY(),"YYYYMMDD"))</f>
        <v/>
      </c>
      <c r="C1879" s="37" t="str">
        <f>IF(Agent10_Savings!A84="","",Agent10_Savings!B84)</f>
        <v/>
      </c>
      <c r="D1879" s="37" t="str">
        <f>IF(Agent10_Savings!A84="","",Agent10_Savings!G84)</f>
        <v/>
      </c>
      <c r="E1879" s="38" t="str">
        <f>IF(Agent10_Savings!A84="","",Agent10_Savings!D84)</f>
        <v/>
      </c>
      <c r="F1879" s="39" t="str">
        <f>IF(Agent10_Savings!A84="","",Agent10_Savings!E84)</f>
        <v/>
      </c>
      <c r="G1879" s="39" t="str">
        <f>IF(Agent10_Savings!A84="","",Agent10_Savings!F84)</f>
        <v/>
      </c>
      <c r="H1879" s="37" t="str">
        <f>IF(Agent10_Savings!A84="","",Agent10_Savings!I84)</f>
        <v/>
      </c>
      <c r="I1879" s="37" t="str">
        <f>IF(Agent10_Savings!A84="","",Agent10_Savings!J84)</f>
        <v/>
      </c>
      <c r="J1879" s="37" t="str">
        <f>IF(Agent10_Savings!A84="","",Agent10_Savings!K84)</f>
        <v/>
      </c>
      <c r="K1879" s="37" t="str">
        <f>IFERROR(IF(Agent10_Savings!A84="","",YEAR(Agent10_Savings!D84)),"")</f>
        <v/>
      </c>
    </row>
    <row r="1880" spans="1:11" ht="18" customHeight="1" x14ac:dyDescent="0.25">
      <c r="A1880" s="37" t="str">
        <f>IF(Agent10_Savings!A85="","",Agent10_Savings!A85)</f>
        <v/>
      </c>
      <c r="B1880" s="37" t="str">
        <f ca="1">IF(Agent10_Savings!A85="","","SV"&amp;TEXT(1880-3,"0000")&amp;"-"&amp;TEXT(TODAY(),"YYYYMMDD"))</f>
        <v/>
      </c>
      <c r="C1880" s="37" t="str">
        <f>IF(Agent10_Savings!A85="","",Agent10_Savings!B85)</f>
        <v/>
      </c>
      <c r="D1880" s="37" t="str">
        <f>IF(Agent10_Savings!A85="","",Agent10_Savings!G85)</f>
        <v/>
      </c>
      <c r="E1880" s="38" t="str">
        <f>IF(Agent10_Savings!A85="","",Agent10_Savings!D85)</f>
        <v/>
      </c>
      <c r="F1880" s="39" t="str">
        <f>IF(Agent10_Savings!A85="","",Agent10_Savings!E85)</f>
        <v/>
      </c>
      <c r="G1880" s="39" t="str">
        <f>IF(Agent10_Savings!A85="","",Agent10_Savings!F85)</f>
        <v/>
      </c>
      <c r="H1880" s="37" t="str">
        <f>IF(Agent10_Savings!A85="","",Agent10_Savings!I85)</f>
        <v/>
      </c>
      <c r="I1880" s="37" t="str">
        <f>IF(Agent10_Savings!A85="","",Agent10_Savings!J85)</f>
        <v/>
      </c>
      <c r="J1880" s="37" t="str">
        <f>IF(Agent10_Savings!A85="","",Agent10_Savings!K85)</f>
        <v/>
      </c>
      <c r="K1880" s="37" t="str">
        <f>IFERROR(IF(Agent10_Savings!A85="","",YEAR(Agent10_Savings!D85)),"")</f>
        <v/>
      </c>
    </row>
    <row r="1881" spans="1:11" ht="18" customHeight="1" x14ac:dyDescent="0.25">
      <c r="A1881" s="37" t="str">
        <f>IF(Agent10_Savings!A86="","",Agent10_Savings!A86)</f>
        <v/>
      </c>
      <c r="B1881" s="37" t="str">
        <f ca="1">IF(Agent10_Savings!A86="","","SV"&amp;TEXT(1881-3,"0000")&amp;"-"&amp;TEXT(TODAY(),"YYYYMMDD"))</f>
        <v/>
      </c>
      <c r="C1881" s="37" t="str">
        <f>IF(Agent10_Savings!A86="","",Agent10_Savings!B86)</f>
        <v/>
      </c>
      <c r="D1881" s="37" t="str">
        <f>IF(Agent10_Savings!A86="","",Agent10_Savings!G86)</f>
        <v/>
      </c>
      <c r="E1881" s="38" t="str">
        <f>IF(Agent10_Savings!A86="","",Agent10_Savings!D86)</f>
        <v/>
      </c>
      <c r="F1881" s="39" t="str">
        <f>IF(Agent10_Savings!A86="","",Agent10_Savings!E86)</f>
        <v/>
      </c>
      <c r="G1881" s="39" t="str">
        <f>IF(Agent10_Savings!A86="","",Agent10_Savings!F86)</f>
        <v/>
      </c>
      <c r="H1881" s="37" t="str">
        <f>IF(Agent10_Savings!A86="","",Agent10_Savings!I86)</f>
        <v/>
      </c>
      <c r="I1881" s="37" t="str">
        <f>IF(Agent10_Savings!A86="","",Agent10_Savings!J86)</f>
        <v/>
      </c>
      <c r="J1881" s="37" t="str">
        <f>IF(Agent10_Savings!A86="","",Agent10_Savings!K86)</f>
        <v/>
      </c>
      <c r="K1881" s="37" t="str">
        <f>IFERROR(IF(Agent10_Savings!A86="","",YEAR(Agent10_Savings!D86)),"")</f>
        <v/>
      </c>
    </row>
    <row r="1882" spans="1:11" ht="18" customHeight="1" x14ac:dyDescent="0.25">
      <c r="A1882" s="37" t="str">
        <f>IF(Agent10_Savings!A87="","",Agent10_Savings!A87)</f>
        <v/>
      </c>
      <c r="B1882" s="37" t="str">
        <f ca="1">IF(Agent10_Savings!A87="","","SV"&amp;TEXT(1882-3,"0000")&amp;"-"&amp;TEXT(TODAY(),"YYYYMMDD"))</f>
        <v/>
      </c>
      <c r="C1882" s="37" t="str">
        <f>IF(Agent10_Savings!A87="","",Agent10_Savings!B87)</f>
        <v/>
      </c>
      <c r="D1882" s="37" t="str">
        <f>IF(Agent10_Savings!A87="","",Agent10_Savings!G87)</f>
        <v/>
      </c>
      <c r="E1882" s="38" t="str">
        <f>IF(Agent10_Savings!A87="","",Agent10_Savings!D87)</f>
        <v/>
      </c>
      <c r="F1882" s="39" t="str">
        <f>IF(Agent10_Savings!A87="","",Agent10_Savings!E87)</f>
        <v/>
      </c>
      <c r="G1882" s="39" t="str">
        <f>IF(Agent10_Savings!A87="","",Agent10_Savings!F87)</f>
        <v/>
      </c>
      <c r="H1882" s="37" t="str">
        <f>IF(Agent10_Savings!A87="","",Agent10_Savings!I87)</f>
        <v/>
      </c>
      <c r="I1882" s="37" t="str">
        <f>IF(Agent10_Savings!A87="","",Agent10_Savings!J87)</f>
        <v/>
      </c>
      <c r="J1882" s="37" t="str">
        <f>IF(Agent10_Savings!A87="","",Agent10_Savings!K87)</f>
        <v/>
      </c>
      <c r="K1882" s="37" t="str">
        <f>IFERROR(IF(Agent10_Savings!A87="","",YEAR(Agent10_Savings!D87)),"")</f>
        <v/>
      </c>
    </row>
    <row r="1883" spans="1:11" ht="18" customHeight="1" x14ac:dyDescent="0.25">
      <c r="A1883" s="37" t="str">
        <f>IF(Agent10_Savings!A88="","",Agent10_Savings!A88)</f>
        <v/>
      </c>
      <c r="B1883" s="37" t="str">
        <f ca="1">IF(Agent10_Savings!A88="","","SV"&amp;TEXT(1883-3,"0000")&amp;"-"&amp;TEXT(TODAY(),"YYYYMMDD"))</f>
        <v/>
      </c>
      <c r="C1883" s="37" t="str">
        <f>IF(Agent10_Savings!A88="","",Agent10_Savings!B88)</f>
        <v/>
      </c>
      <c r="D1883" s="37" t="str">
        <f>IF(Agent10_Savings!A88="","",Agent10_Savings!G88)</f>
        <v/>
      </c>
      <c r="E1883" s="38" t="str">
        <f>IF(Agent10_Savings!A88="","",Agent10_Savings!D88)</f>
        <v/>
      </c>
      <c r="F1883" s="39" t="str">
        <f>IF(Agent10_Savings!A88="","",Agent10_Savings!E88)</f>
        <v/>
      </c>
      <c r="G1883" s="39" t="str">
        <f>IF(Agent10_Savings!A88="","",Agent10_Savings!F88)</f>
        <v/>
      </c>
      <c r="H1883" s="37" t="str">
        <f>IF(Agent10_Savings!A88="","",Agent10_Savings!I88)</f>
        <v/>
      </c>
      <c r="I1883" s="37" t="str">
        <f>IF(Agent10_Savings!A88="","",Agent10_Savings!J88)</f>
        <v/>
      </c>
      <c r="J1883" s="37" t="str">
        <f>IF(Agent10_Savings!A88="","",Agent10_Savings!K88)</f>
        <v/>
      </c>
      <c r="K1883" s="37" t="str">
        <f>IFERROR(IF(Agent10_Savings!A88="","",YEAR(Agent10_Savings!D88)),"")</f>
        <v/>
      </c>
    </row>
    <row r="1884" spans="1:11" ht="18" customHeight="1" x14ac:dyDescent="0.25">
      <c r="A1884" s="37" t="str">
        <f>IF(Agent10_Savings!A89="","",Agent10_Savings!A89)</f>
        <v/>
      </c>
      <c r="B1884" s="37" t="str">
        <f ca="1">IF(Agent10_Savings!A89="","","SV"&amp;TEXT(1884-3,"0000")&amp;"-"&amp;TEXT(TODAY(),"YYYYMMDD"))</f>
        <v/>
      </c>
      <c r="C1884" s="37" t="str">
        <f>IF(Agent10_Savings!A89="","",Agent10_Savings!B89)</f>
        <v/>
      </c>
      <c r="D1884" s="37" t="str">
        <f>IF(Agent10_Savings!A89="","",Agent10_Savings!G89)</f>
        <v/>
      </c>
      <c r="E1884" s="38" t="str">
        <f>IF(Agent10_Savings!A89="","",Agent10_Savings!D89)</f>
        <v/>
      </c>
      <c r="F1884" s="39" t="str">
        <f>IF(Agent10_Savings!A89="","",Agent10_Savings!E89)</f>
        <v/>
      </c>
      <c r="G1884" s="39" t="str">
        <f>IF(Agent10_Savings!A89="","",Agent10_Savings!F89)</f>
        <v/>
      </c>
      <c r="H1884" s="37" t="str">
        <f>IF(Agent10_Savings!A89="","",Agent10_Savings!I89)</f>
        <v/>
      </c>
      <c r="I1884" s="37" t="str">
        <f>IF(Agent10_Savings!A89="","",Agent10_Savings!J89)</f>
        <v/>
      </c>
      <c r="J1884" s="37" t="str">
        <f>IF(Agent10_Savings!A89="","",Agent10_Savings!K89)</f>
        <v/>
      </c>
      <c r="K1884" s="37" t="str">
        <f>IFERROR(IF(Agent10_Savings!A89="","",YEAR(Agent10_Savings!D89)),"")</f>
        <v/>
      </c>
    </row>
    <row r="1885" spans="1:11" ht="18" customHeight="1" x14ac:dyDescent="0.25">
      <c r="A1885" s="37" t="str">
        <f>IF(Agent10_Savings!A90="","",Agent10_Savings!A90)</f>
        <v/>
      </c>
      <c r="B1885" s="37" t="str">
        <f ca="1">IF(Agent10_Savings!A90="","","SV"&amp;TEXT(1885-3,"0000")&amp;"-"&amp;TEXT(TODAY(),"YYYYMMDD"))</f>
        <v/>
      </c>
      <c r="C1885" s="37" t="str">
        <f>IF(Agent10_Savings!A90="","",Agent10_Savings!B90)</f>
        <v/>
      </c>
      <c r="D1885" s="37" t="str">
        <f>IF(Agent10_Savings!A90="","",Agent10_Savings!G90)</f>
        <v/>
      </c>
      <c r="E1885" s="38" t="str">
        <f>IF(Agent10_Savings!A90="","",Agent10_Savings!D90)</f>
        <v/>
      </c>
      <c r="F1885" s="39" t="str">
        <f>IF(Agent10_Savings!A90="","",Agent10_Savings!E90)</f>
        <v/>
      </c>
      <c r="G1885" s="39" t="str">
        <f>IF(Agent10_Savings!A90="","",Agent10_Savings!F90)</f>
        <v/>
      </c>
      <c r="H1885" s="37" t="str">
        <f>IF(Agent10_Savings!A90="","",Agent10_Savings!I90)</f>
        <v/>
      </c>
      <c r="I1885" s="37" t="str">
        <f>IF(Agent10_Savings!A90="","",Agent10_Savings!J90)</f>
        <v/>
      </c>
      <c r="J1885" s="37" t="str">
        <f>IF(Agent10_Savings!A90="","",Agent10_Savings!K90)</f>
        <v/>
      </c>
      <c r="K1885" s="37" t="str">
        <f>IFERROR(IF(Agent10_Savings!A90="","",YEAR(Agent10_Savings!D90)),"")</f>
        <v/>
      </c>
    </row>
    <row r="1886" spans="1:11" ht="18" customHeight="1" x14ac:dyDescent="0.25">
      <c r="A1886" s="37" t="str">
        <f>IF(Agent10_Savings!A91="","",Agent10_Savings!A91)</f>
        <v/>
      </c>
      <c r="B1886" s="37" t="str">
        <f ca="1">IF(Agent10_Savings!A91="","","SV"&amp;TEXT(1886-3,"0000")&amp;"-"&amp;TEXT(TODAY(),"YYYYMMDD"))</f>
        <v/>
      </c>
      <c r="C1886" s="37" t="str">
        <f>IF(Agent10_Savings!A91="","",Agent10_Savings!B91)</f>
        <v/>
      </c>
      <c r="D1886" s="37" t="str">
        <f>IF(Agent10_Savings!A91="","",Agent10_Savings!G91)</f>
        <v/>
      </c>
      <c r="E1886" s="38" t="str">
        <f>IF(Agent10_Savings!A91="","",Agent10_Savings!D91)</f>
        <v/>
      </c>
      <c r="F1886" s="39" t="str">
        <f>IF(Agent10_Savings!A91="","",Agent10_Savings!E91)</f>
        <v/>
      </c>
      <c r="G1886" s="39" t="str">
        <f>IF(Agent10_Savings!A91="","",Agent10_Savings!F91)</f>
        <v/>
      </c>
      <c r="H1886" s="37" t="str">
        <f>IF(Agent10_Savings!A91="","",Agent10_Savings!I91)</f>
        <v/>
      </c>
      <c r="I1886" s="37" t="str">
        <f>IF(Agent10_Savings!A91="","",Agent10_Savings!J91)</f>
        <v/>
      </c>
      <c r="J1886" s="37" t="str">
        <f>IF(Agent10_Savings!A91="","",Agent10_Savings!K91)</f>
        <v/>
      </c>
      <c r="K1886" s="37" t="str">
        <f>IFERROR(IF(Agent10_Savings!A91="","",YEAR(Agent10_Savings!D91)),"")</f>
        <v/>
      </c>
    </row>
    <row r="1887" spans="1:11" ht="18" customHeight="1" x14ac:dyDescent="0.25">
      <c r="A1887" s="37" t="str">
        <f>IF(Agent10_Savings!A92="","",Agent10_Savings!A92)</f>
        <v/>
      </c>
      <c r="B1887" s="37" t="str">
        <f ca="1">IF(Agent10_Savings!A92="","","SV"&amp;TEXT(1887-3,"0000")&amp;"-"&amp;TEXT(TODAY(),"YYYYMMDD"))</f>
        <v/>
      </c>
      <c r="C1887" s="37" t="str">
        <f>IF(Agent10_Savings!A92="","",Agent10_Savings!B92)</f>
        <v/>
      </c>
      <c r="D1887" s="37" t="str">
        <f>IF(Agent10_Savings!A92="","",Agent10_Savings!G92)</f>
        <v/>
      </c>
      <c r="E1887" s="38" t="str">
        <f>IF(Agent10_Savings!A92="","",Agent10_Savings!D92)</f>
        <v/>
      </c>
      <c r="F1887" s="39" t="str">
        <f>IF(Agent10_Savings!A92="","",Agent10_Savings!E92)</f>
        <v/>
      </c>
      <c r="G1887" s="39" t="str">
        <f>IF(Agent10_Savings!A92="","",Agent10_Savings!F92)</f>
        <v/>
      </c>
      <c r="H1887" s="37" t="str">
        <f>IF(Agent10_Savings!A92="","",Agent10_Savings!I92)</f>
        <v/>
      </c>
      <c r="I1887" s="37" t="str">
        <f>IF(Agent10_Savings!A92="","",Agent10_Savings!J92)</f>
        <v/>
      </c>
      <c r="J1887" s="37" t="str">
        <f>IF(Agent10_Savings!A92="","",Agent10_Savings!K92)</f>
        <v/>
      </c>
      <c r="K1887" s="37" t="str">
        <f>IFERROR(IF(Agent10_Savings!A92="","",YEAR(Agent10_Savings!D92)),"")</f>
        <v/>
      </c>
    </row>
    <row r="1888" spans="1:11" ht="18" customHeight="1" x14ac:dyDescent="0.25">
      <c r="A1888" s="37" t="str">
        <f>IF(Agent10_Savings!A93="","",Agent10_Savings!A93)</f>
        <v/>
      </c>
      <c r="B1888" s="37" t="str">
        <f ca="1">IF(Agent10_Savings!A93="","","SV"&amp;TEXT(1888-3,"0000")&amp;"-"&amp;TEXT(TODAY(),"YYYYMMDD"))</f>
        <v/>
      </c>
      <c r="C1888" s="37" t="str">
        <f>IF(Agent10_Savings!A93="","",Agent10_Savings!B93)</f>
        <v/>
      </c>
      <c r="D1888" s="37" t="str">
        <f>IF(Agent10_Savings!A93="","",Agent10_Savings!G93)</f>
        <v/>
      </c>
      <c r="E1888" s="38" t="str">
        <f>IF(Agent10_Savings!A93="","",Agent10_Savings!D93)</f>
        <v/>
      </c>
      <c r="F1888" s="39" t="str">
        <f>IF(Agent10_Savings!A93="","",Agent10_Savings!E93)</f>
        <v/>
      </c>
      <c r="G1888" s="39" t="str">
        <f>IF(Agent10_Savings!A93="","",Agent10_Savings!F93)</f>
        <v/>
      </c>
      <c r="H1888" s="37" t="str">
        <f>IF(Agent10_Savings!A93="","",Agent10_Savings!I93)</f>
        <v/>
      </c>
      <c r="I1888" s="37" t="str">
        <f>IF(Agent10_Savings!A93="","",Agent10_Savings!J93)</f>
        <v/>
      </c>
      <c r="J1888" s="37" t="str">
        <f>IF(Agent10_Savings!A93="","",Agent10_Savings!K93)</f>
        <v/>
      </c>
      <c r="K1888" s="37" t="str">
        <f>IFERROR(IF(Agent10_Savings!A93="","",YEAR(Agent10_Savings!D93)),"")</f>
        <v/>
      </c>
    </row>
    <row r="1889" spans="1:11" ht="18" customHeight="1" x14ac:dyDescent="0.25">
      <c r="A1889" s="37" t="str">
        <f>IF(Agent10_Savings!A94="","",Agent10_Savings!A94)</f>
        <v/>
      </c>
      <c r="B1889" s="37" t="str">
        <f ca="1">IF(Agent10_Savings!A94="","","SV"&amp;TEXT(1889-3,"0000")&amp;"-"&amp;TEXT(TODAY(),"YYYYMMDD"))</f>
        <v/>
      </c>
      <c r="C1889" s="37" t="str">
        <f>IF(Agent10_Savings!A94="","",Agent10_Savings!B94)</f>
        <v/>
      </c>
      <c r="D1889" s="37" t="str">
        <f>IF(Agent10_Savings!A94="","",Agent10_Savings!G94)</f>
        <v/>
      </c>
      <c r="E1889" s="38" t="str">
        <f>IF(Agent10_Savings!A94="","",Agent10_Savings!D94)</f>
        <v/>
      </c>
      <c r="F1889" s="39" t="str">
        <f>IF(Agent10_Savings!A94="","",Agent10_Savings!E94)</f>
        <v/>
      </c>
      <c r="G1889" s="39" t="str">
        <f>IF(Agent10_Savings!A94="","",Agent10_Savings!F94)</f>
        <v/>
      </c>
      <c r="H1889" s="37" t="str">
        <f>IF(Agent10_Savings!A94="","",Agent10_Savings!I94)</f>
        <v/>
      </c>
      <c r="I1889" s="37" t="str">
        <f>IF(Agent10_Savings!A94="","",Agent10_Savings!J94)</f>
        <v/>
      </c>
      <c r="J1889" s="37" t="str">
        <f>IF(Agent10_Savings!A94="","",Agent10_Savings!K94)</f>
        <v/>
      </c>
      <c r="K1889" s="37" t="str">
        <f>IFERROR(IF(Agent10_Savings!A94="","",YEAR(Agent10_Savings!D94)),"")</f>
        <v/>
      </c>
    </row>
    <row r="1890" spans="1:11" ht="18" customHeight="1" x14ac:dyDescent="0.25">
      <c r="A1890" s="37" t="str">
        <f>IF(Agent10_Savings!A95="","",Agent10_Savings!A95)</f>
        <v/>
      </c>
      <c r="B1890" s="37" t="str">
        <f ca="1">IF(Agent10_Savings!A95="","","SV"&amp;TEXT(1890-3,"0000")&amp;"-"&amp;TEXT(TODAY(),"YYYYMMDD"))</f>
        <v/>
      </c>
      <c r="C1890" s="37" t="str">
        <f>IF(Agent10_Savings!A95="","",Agent10_Savings!B95)</f>
        <v/>
      </c>
      <c r="D1890" s="37" t="str">
        <f>IF(Agent10_Savings!A95="","",Agent10_Savings!G95)</f>
        <v/>
      </c>
      <c r="E1890" s="38" t="str">
        <f>IF(Agent10_Savings!A95="","",Agent10_Savings!D95)</f>
        <v/>
      </c>
      <c r="F1890" s="39" t="str">
        <f>IF(Agent10_Savings!A95="","",Agent10_Savings!E95)</f>
        <v/>
      </c>
      <c r="G1890" s="39" t="str">
        <f>IF(Agent10_Savings!A95="","",Agent10_Savings!F95)</f>
        <v/>
      </c>
      <c r="H1890" s="37" t="str">
        <f>IF(Agent10_Savings!A95="","",Agent10_Savings!I95)</f>
        <v/>
      </c>
      <c r="I1890" s="37" t="str">
        <f>IF(Agent10_Savings!A95="","",Agent10_Savings!J95)</f>
        <v/>
      </c>
      <c r="J1890" s="37" t="str">
        <f>IF(Agent10_Savings!A95="","",Agent10_Savings!K95)</f>
        <v/>
      </c>
      <c r="K1890" s="37" t="str">
        <f>IFERROR(IF(Agent10_Savings!A95="","",YEAR(Agent10_Savings!D95)),"")</f>
        <v/>
      </c>
    </row>
    <row r="1891" spans="1:11" ht="18" customHeight="1" x14ac:dyDescent="0.25">
      <c r="A1891" s="37" t="str">
        <f>IF(Agent10_Savings!A96="","",Agent10_Savings!A96)</f>
        <v/>
      </c>
      <c r="B1891" s="37" t="str">
        <f ca="1">IF(Agent10_Savings!A96="","","SV"&amp;TEXT(1891-3,"0000")&amp;"-"&amp;TEXT(TODAY(),"YYYYMMDD"))</f>
        <v/>
      </c>
      <c r="C1891" s="37" t="str">
        <f>IF(Agent10_Savings!A96="","",Agent10_Savings!B96)</f>
        <v/>
      </c>
      <c r="D1891" s="37" t="str">
        <f>IF(Agent10_Savings!A96="","",Agent10_Savings!G96)</f>
        <v/>
      </c>
      <c r="E1891" s="38" t="str">
        <f>IF(Agent10_Savings!A96="","",Agent10_Savings!D96)</f>
        <v/>
      </c>
      <c r="F1891" s="39" t="str">
        <f>IF(Agent10_Savings!A96="","",Agent10_Savings!E96)</f>
        <v/>
      </c>
      <c r="G1891" s="39" t="str">
        <f>IF(Agent10_Savings!A96="","",Agent10_Savings!F96)</f>
        <v/>
      </c>
      <c r="H1891" s="37" t="str">
        <f>IF(Agent10_Savings!A96="","",Agent10_Savings!I96)</f>
        <v/>
      </c>
      <c r="I1891" s="37" t="str">
        <f>IF(Agent10_Savings!A96="","",Agent10_Savings!J96)</f>
        <v/>
      </c>
      <c r="J1891" s="37" t="str">
        <f>IF(Agent10_Savings!A96="","",Agent10_Savings!K96)</f>
        <v/>
      </c>
      <c r="K1891" s="37" t="str">
        <f>IFERROR(IF(Agent10_Savings!A96="","",YEAR(Agent10_Savings!D96)),"")</f>
        <v/>
      </c>
    </row>
    <row r="1892" spans="1:11" ht="18" customHeight="1" x14ac:dyDescent="0.25">
      <c r="A1892" s="37" t="str">
        <f>IF(Agent10_Savings!A97="","",Agent10_Savings!A97)</f>
        <v/>
      </c>
      <c r="B1892" s="37" t="str">
        <f ca="1">IF(Agent10_Savings!A97="","","SV"&amp;TEXT(1892-3,"0000")&amp;"-"&amp;TEXT(TODAY(),"YYYYMMDD"))</f>
        <v/>
      </c>
      <c r="C1892" s="37" t="str">
        <f>IF(Agent10_Savings!A97="","",Agent10_Savings!B97)</f>
        <v/>
      </c>
      <c r="D1892" s="37" t="str">
        <f>IF(Agent10_Savings!A97="","",Agent10_Savings!G97)</f>
        <v/>
      </c>
      <c r="E1892" s="38" t="str">
        <f>IF(Agent10_Savings!A97="","",Agent10_Savings!D97)</f>
        <v/>
      </c>
      <c r="F1892" s="39" t="str">
        <f>IF(Agent10_Savings!A97="","",Agent10_Savings!E97)</f>
        <v/>
      </c>
      <c r="G1892" s="39" t="str">
        <f>IF(Agent10_Savings!A97="","",Agent10_Savings!F97)</f>
        <v/>
      </c>
      <c r="H1892" s="37" t="str">
        <f>IF(Agent10_Savings!A97="","",Agent10_Savings!I97)</f>
        <v/>
      </c>
      <c r="I1892" s="37" t="str">
        <f>IF(Agent10_Savings!A97="","",Agent10_Savings!J97)</f>
        <v/>
      </c>
      <c r="J1892" s="37" t="str">
        <f>IF(Agent10_Savings!A97="","",Agent10_Savings!K97)</f>
        <v/>
      </c>
      <c r="K1892" s="37" t="str">
        <f>IFERROR(IF(Agent10_Savings!A97="","",YEAR(Agent10_Savings!D97)),"")</f>
        <v/>
      </c>
    </row>
    <row r="1893" spans="1:11" ht="18" customHeight="1" x14ac:dyDescent="0.25">
      <c r="A1893" s="37" t="str">
        <f>IF(Agent10_Savings!A98="","",Agent10_Savings!A98)</f>
        <v/>
      </c>
      <c r="B1893" s="37" t="str">
        <f ca="1">IF(Agent10_Savings!A98="","","SV"&amp;TEXT(1893-3,"0000")&amp;"-"&amp;TEXT(TODAY(),"YYYYMMDD"))</f>
        <v/>
      </c>
      <c r="C1893" s="37" t="str">
        <f>IF(Agent10_Savings!A98="","",Agent10_Savings!B98)</f>
        <v/>
      </c>
      <c r="D1893" s="37" t="str">
        <f>IF(Agent10_Savings!A98="","",Agent10_Savings!G98)</f>
        <v/>
      </c>
      <c r="E1893" s="38" t="str">
        <f>IF(Agent10_Savings!A98="","",Agent10_Savings!D98)</f>
        <v/>
      </c>
      <c r="F1893" s="39" t="str">
        <f>IF(Agent10_Savings!A98="","",Agent10_Savings!E98)</f>
        <v/>
      </c>
      <c r="G1893" s="39" t="str">
        <f>IF(Agent10_Savings!A98="","",Agent10_Savings!F98)</f>
        <v/>
      </c>
      <c r="H1893" s="37" t="str">
        <f>IF(Agent10_Savings!A98="","",Agent10_Savings!I98)</f>
        <v/>
      </c>
      <c r="I1893" s="37" t="str">
        <f>IF(Agent10_Savings!A98="","",Agent10_Savings!J98)</f>
        <v/>
      </c>
      <c r="J1893" s="37" t="str">
        <f>IF(Agent10_Savings!A98="","",Agent10_Savings!K98)</f>
        <v/>
      </c>
      <c r="K1893" s="37" t="str">
        <f>IFERROR(IF(Agent10_Savings!A98="","",YEAR(Agent10_Savings!D98)),"")</f>
        <v/>
      </c>
    </row>
    <row r="1894" spans="1:11" ht="18" customHeight="1" x14ac:dyDescent="0.25">
      <c r="A1894" s="37" t="str">
        <f>IF(Agent10_Savings!A99="","",Agent10_Savings!A99)</f>
        <v/>
      </c>
      <c r="B1894" s="37" t="str">
        <f ca="1">IF(Agent10_Savings!A99="","","SV"&amp;TEXT(1894-3,"0000")&amp;"-"&amp;TEXT(TODAY(),"YYYYMMDD"))</f>
        <v/>
      </c>
      <c r="C1894" s="37" t="str">
        <f>IF(Agent10_Savings!A99="","",Agent10_Savings!B99)</f>
        <v/>
      </c>
      <c r="D1894" s="37" t="str">
        <f>IF(Agent10_Savings!A99="","",Agent10_Savings!G99)</f>
        <v/>
      </c>
      <c r="E1894" s="38" t="str">
        <f>IF(Agent10_Savings!A99="","",Agent10_Savings!D99)</f>
        <v/>
      </c>
      <c r="F1894" s="39" t="str">
        <f>IF(Agent10_Savings!A99="","",Agent10_Savings!E99)</f>
        <v/>
      </c>
      <c r="G1894" s="39" t="str">
        <f>IF(Agent10_Savings!A99="","",Agent10_Savings!F99)</f>
        <v/>
      </c>
      <c r="H1894" s="37" t="str">
        <f>IF(Agent10_Savings!A99="","",Agent10_Savings!I99)</f>
        <v/>
      </c>
      <c r="I1894" s="37" t="str">
        <f>IF(Agent10_Savings!A99="","",Agent10_Savings!J99)</f>
        <v/>
      </c>
      <c r="J1894" s="37" t="str">
        <f>IF(Agent10_Savings!A99="","",Agent10_Savings!K99)</f>
        <v/>
      </c>
      <c r="K1894" s="37" t="str">
        <f>IFERROR(IF(Agent10_Savings!A99="","",YEAR(Agent10_Savings!D99)),"")</f>
        <v/>
      </c>
    </row>
    <row r="1895" spans="1:11" ht="18" customHeight="1" x14ac:dyDescent="0.25">
      <c r="A1895" s="37" t="str">
        <f>IF(Agent10_Savings!A100="","",Agent10_Savings!A100)</f>
        <v/>
      </c>
      <c r="B1895" s="37" t="str">
        <f ca="1">IF(Agent10_Savings!A100="","","SV"&amp;TEXT(1895-3,"0000")&amp;"-"&amp;TEXT(TODAY(),"YYYYMMDD"))</f>
        <v/>
      </c>
      <c r="C1895" s="37" t="str">
        <f>IF(Agent10_Savings!A100="","",Agent10_Savings!B100)</f>
        <v/>
      </c>
      <c r="D1895" s="37" t="str">
        <f>IF(Agent10_Savings!A100="","",Agent10_Savings!G100)</f>
        <v/>
      </c>
      <c r="E1895" s="38" t="str">
        <f>IF(Agent10_Savings!A100="","",Agent10_Savings!D100)</f>
        <v/>
      </c>
      <c r="F1895" s="39" t="str">
        <f>IF(Agent10_Savings!A100="","",Agent10_Savings!E100)</f>
        <v/>
      </c>
      <c r="G1895" s="39" t="str">
        <f>IF(Agent10_Savings!A100="","",Agent10_Savings!F100)</f>
        <v/>
      </c>
      <c r="H1895" s="37" t="str">
        <f>IF(Agent10_Savings!A100="","",Agent10_Savings!I100)</f>
        <v/>
      </c>
      <c r="I1895" s="37" t="str">
        <f>IF(Agent10_Savings!A100="","",Agent10_Savings!J100)</f>
        <v/>
      </c>
      <c r="J1895" s="37" t="str">
        <f>IF(Agent10_Savings!A100="","",Agent10_Savings!K100)</f>
        <v/>
      </c>
      <c r="K1895" s="37" t="str">
        <f>IFERROR(IF(Agent10_Savings!A100="","",YEAR(Agent10_Savings!D100)),"")</f>
        <v/>
      </c>
    </row>
    <row r="1896" spans="1:11" ht="18" customHeight="1" x14ac:dyDescent="0.25">
      <c r="A1896" s="37" t="str">
        <f>IF(Agent10_Savings!A101="","",Agent10_Savings!A101)</f>
        <v/>
      </c>
      <c r="B1896" s="37" t="str">
        <f ca="1">IF(Agent10_Savings!A101="","","SV"&amp;TEXT(1896-3,"0000")&amp;"-"&amp;TEXT(TODAY(),"YYYYMMDD"))</f>
        <v/>
      </c>
      <c r="C1896" s="37" t="str">
        <f>IF(Agent10_Savings!A101="","",Agent10_Savings!B101)</f>
        <v/>
      </c>
      <c r="D1896" s="37" t="str">
        <f>IF(Agent10_Savings!A101="","",Agent10_Savings!G101)</f>
        <v/>
      </c>
      <c r="E1896" s="38" t="str">
        <f>IF(Agent10_Savings!A101="","",Agent10_Savings!D101)</f>
        <v/>
      </c>
      <c r="F1896" s="39" t="str">
        <f>IF(Agent10_Savings!A101="","",Agent10_Savings!E101)</f>
        <v/>
      </c>
      <c r="G1896" s="39" t="str">
        <f>IF(Agent10_Savings!A101="","",Agent10_Savings!F101)</f>
        <v/>
      </c>
      <c r="H1896" s="37" t="str">
        <f>IF(Agent10_Savings!A101="","",Agent10_Savings!I101)</f>
        <v/>
      </c>
      <c r="I1896" s="37" t="str">
        <f>IF(Agent10_Savings!A101="","",Agent10_Savings!J101)</f>
        <v/>
      </c>
      <c r="J1896" s="37" t="str">
        <f>IF(Agent10_Savings!A101="","",Agent10_Savings!K101)</f>
        <v/>
      </c>
      <c r="K1896" s="37" t="str">
        <f>IFERROR(IF(Agent10_Savings!A101="","",YEAR(Agent10_Savings!D101)),"")</f>
        <v/>
      </c>
    </row>
    <row r="1897" spans="1:11" ht="18" customHeight="1" x14ac:dyDescent="0.25">
      <c r="A1897" s="37" t="str">
        <f>IF(Agent10_Savings!A102="","",Agent10_Savings!A102)</f>
        <v/>
      </c>
      <c r="B1897" s="37" t="str">
        <f ca="1">IF(Agent10_Savings!A102="","","SV"&amp;TEXT(1897-3,"0000")&amp;"-"&amp;TEXT(TODAY(),"YYYYMMDD"))</f>
        <v/>
      </c>
      <c r="C1897" s="37" t="str">
        <f>IF(Agent10_Savings!A102="","",Agent10_Savings!B102)</f>
        <v/>
      </c>
      <c r="D1897" s="37" t="str">
        <f>IF(Agent10_Savings!A102="","",Agent10_Savings!G102)</f>
        <v/>
      </c>
      <c r="E1897" s="38" t="str">
        <f>IF(Agent10_Savings!A102="","",Agent10_Savings!D102)</f>
        <v/>
      </c>
      <c r="F1897" s="39" t="str">
        <f>IF(Agent10_Savings!A102="","",Agent10_Savings!E102)</f>
        <v/>
      </c>
      <c r="G1897" s="39" t="str">
        <f>IF(Agent10_Savings!A102="","",Agent10_Savings!F102)</f>
        <v/>
      </c>
      <c r="H1897" s="37" t="str">
        <f>IF(Agent10_Savings!A102="","",Agent10_Savings!I102)</f>
        <v/>
      </c>
      <c r="I1897" s="37" t="str">
        <f>IF(Agent10_Savings!A102="","",Agent10_Savings!J102)</f>
        <v/>
      </c>
      <c r="J1897" s="37" t="str">
        <f>IF(Agent10_Savings!A102="","",Agent10_Savings!K102)</f>
        <v/>
      </c>
      <c r="K1897" s="37" t="str">
        <f>IFERROR(IF(Agent10_Savings!A102="","",YEAR(Agent10_Savings!D102)),"")</f>
        <v/>
      </c>
    </row>
    <row r="1898" spans="1:11" ht="18" customHeight="1" x14ac:dyDescent="0.25">
      <c r="A1898" s="37" t="str">
        <f>IF(Agent10_Savings!A103="","",Agent10_Savings!A103)</f>
        <v/>
      </c>
      <c r="B1898" s="37" t="str">
        <f ca="1">IF(Agent10_Savings!A103="","","SV"&amp;TEXT(1898-3,"0000")&amp;"-"&amp;TEXT(TODAY(),"YYYYMMDD"))</f>
        <v/>
      </c>
      <c r="C1898" s="37" t="str">
        <f>IF(Agent10_Savings!A103="","",Agent10_Savings!B103)</f>
        <v/>
      </c>
      <c r="D1898" s="37" t="str">
        <f>IF(Agent10_Savings!A103="","",Agent10_Savings!G103)</f>
        <v/>
      </c>
      <c r="E1898" s="38" t="str">
        <f>IF(Agent10_Savings!A103="","",Agent10_Savings!D103)</f>
        <v/>
      </c>
      <c r="F1898" s="39" t="str">
        <f>IF(Agent10_Savings!A103="","",Agent10_Savings!E103)</f>
        <v/>
      </c>
      <c r="G1898" s="39" t="str">
        <f>IF(Agent10_Savings!A103="","",Agent10_Savings!F103)</f>
        <v/>
      </c>
      <c r="H1898" s="37" t="str">
        <f>IF(Agent10_Savings!A103="","",Agent10_Savings!I103)</f>
        <v/>
      </c>
      <c r="I1898" s="37" t="str">
        <f>IF(Agent10_Savings!A103="","",Agent10_Savings!J103)</f>
        <v/>
      </c>
      <c r="J1898" s="37" t="str">
        <f>IF(Agent10_Savings!A103="","",Agent10_Savings!K103)</f>
        <v/>
      </c>
      <c r="K1898" s="37" t="str">
        <f>IFERROR(IF(Agent10_Savings!A103="","",YEAR(Agent10_Savings!D103)),"")</f>
        <v/>
      </c>
    </row>
    <row r="1899" spans="1:11" ht="18" customHeight="1" x14ac:dyDescent="0.25">
      <c r="A1899" s="37" t="str">
        <f>IF(Agent10_Savings!A104="","",Agent10_Savings!A104)</f>
        <v/>
      </c>
      <c r="B1899" s="37" t="str">
        <f ca="1">IF(Agent10_Savings!A104="","","SV"&amp;TEXT(1899-3,"0000")&amp;"-"&amp;TEXT(TODAY(),"YYYYMMDD"))</f>
        <v/>
      </c>
      <c r="C1899" s="37" t="str">
        <f>IF(Agent10_Savings!A104="","",Agent10_Savings!B104)</f>
        <v/>
      </c>
      <c r="D1899" s="37" t="str">
        <f>IF(Agent10_Savings!A104="","",Agent10_Savings!G104)</f>
        <v/>
      </c>
      <c r="E1899" s="38" t="str">
        <f>IF(Agent10_Savings!A104="","",Agent10_Savings!D104)</f>
        <v/>
      </c>
      <c r="F1899" s="39" t="str">
        <f>IF(Agent10_Savings!A104="","",Agent10_Savings!E104)</f>
        <v/>
      </c>
      <c r="G1899" s="39" t="str">
        <f>IF(Agent10_Savings!A104="","",Agent10_Savings!F104)</f>
        <v/>
      </c>
      <c r="H1899" s="37" t="str">
        <f>IF(Agent10_Savings!A104="","",Agent10_Savings!I104)</f>
        <v/>
      </c>
      <c r="I1899" s="37" t="str">
        <f>IF(Agent10_Savings!A104="","",Agent10_Savings!J104)</f>
        <v/>
      </c>
      <c r="J1899" s="37" t="str">
        <f>IF(Agent10_Savings!A104="","",Agent10_Savings!K104)</f>
        <v/>
      </c>
      <c r="K1899" s="37" t="str">
        <f>IFERROR(IF(Agent10_Savings!A104="","",YEAR(Agent10_Savings!D104)),"")</f>
        <v/>
      </c>
    </row>
    <row r="1900" spans="1:11" ht="18" customHeight="1" x14ac:dyDescent="0.25">
      <c r="A1900" s="37" t="str">
        <f>IF(Agent10_Savings!A105="","",Agent10_Savings!A105)</f>
        <v/>
      </c>
      <c r="B1900" s="37" t="str">
        <f ca="1">IF(Agent10_Savings!A105="","","SV"&amp;TEXT(1900-3,"0000")&amp;"-"&amp;TEXT(TODAY(),"YYYYMMDD"))</f>
        <v/>
      </c>
      <c r="C1900" s="37" t="str">
        <f>IF(Agent10_Savings!A105="","",Agent10_Savings!B105)</f>
        <v/>
      </c>
      <c r="D1900" s="37" t="str">
        <f>IF(Agent10_Savings!A105="","",Agent10_Savings!G105)</f>
        <v/>
      </c>
      <c r="E1900" s="38" t="str">
        <f>IF(Agent10_Savings!A105="","",Agent10_Savings!D105)</f>
        <v/>
      </c>
      <c r="F1900" s="39" t="str">
        <f>IF(Agent10_Savings!A105="","",Agent10_Savings!E105)</f>
        <v/>
      </c>
      <c r="G1900" s="39" t="str">
        <f>IF(Agent10_Savings!A105="","",Agent10_Savings!F105)</f>
        <v/>
      </c>
      <c r="H1900" s="37" t="str">
        <f>IF(Agent10_Savings!A105="","",Agent10_Savings!I105)</f>
        <v/>
      </c>
      <c r="I1900" s="37" t="str">
        <f>IF(Agent10_Savings!A105="","",Agent10_Savings!J105)</f>
        <v/>
      </c>
      <c r="J1900" s="37" t="str">
        <f>IF(Agent10_Savings!A105="","",Agent10_Savings!K105)</f>
        <v/>
      </c>
      <c r="K1900" s="37" t="str">
        <f>IFERROR(IF(Agent10_Savings!A105="","",YEAR(Agent10_Savings!D105)),"")</f>
        <v/>
      </c>
    </row>
    <row r="1901" spans="1:11" ht="18" customHeight="1" x14ac:dyDescent="0.25">
      <c r="A1901" s="37" t="str">
        <f>IF(Agent10_Savings!A106="","",Agent10_Savings!A106)</f>
        <v/>
      </c>
      <c r="B1901" s="37" t="str">
        <f ca="1">IF(Agent10_Savings!A106="","","SV"&amp;TEXT(1901-3,"0000")&amp;"-"&amp;TEXT(TODAY(),"YYYYMMDD"))</f>
        <v/>
      </c>
      <c r="C1901" s="37" t="str">
        <f>IF(Agent10_Savings!A106="","",Agent10_Savings!B106)</f>
        <v/>
      </c>
      <c r="D1901" s="37" t="str">
        <f>IF(Agent10_Savings!A106="","",Agent10_Savings!G106)</f>
        <v/>
      </c>
      <c r="E1901" s="38" t="str">
        <f>IF(Agent10_Savings!A106="","",Agent10_Savings!D106)</f>
        <v/>
      </c>
      <c r="F1901" s="39" t="str">
        <f>IF(Agent10_Savings!A106="","",Agent10_Savings!E106)</f>
        <v/>
      </c>
      <c r="G1901" s="39" t="str">
        <f>IF(Agent10_Savings!A106="","",Agent10_Savings!F106)</f>
        <v/>
      </c>
      <c r="H1901" s="37" t="str">
        <f>IF(Agent10_Savings!A106="","",Agent10_Savings!I106)</f>
        <v/>
      </c>
      <c r="I1901" s="37" t="str">
        <f>IF(Agent10_Savings!A106="","",Agent10_Savings!J106)</f>
        <v/>
      </c>
      <c r="J1901" s="37" t="str">
        <f>IF(Agent10_Savings!A106="","",Agent10_Savings!K106)</f>
        <v/>
      </c>
      <c r="K1901" s="37" t="str">
        <f>IFERROR(IF(Agent10_Savings!A106="","",YEAR(Agent10_Savings!D106)),"")</f>
        <v/>
      </c>
    </row>
    <row r="1902" spans="1:11" ht="18" customHeight="1" x14ac:dyDescent="0.25">
      <c r="A1902" s="37" t="str">
        <f>IF(Agent10_Savings!A107="","",Agent10_Savings!A107)</f>
        <v/>
      </c>
      <c r="B1902" s="37" t="str">
        <f ca="1">IF(Agent10_Savings!A107="","","SV"&amp;TEXT(1902-3,"0000")&amp;"-"&amp;TEXT(TODAY(),"YYYYMMDD"))</f>
        <v/>
      </c>
      <c r="C1902" s="37" t="str">
        <f>IF(Agent10_Savings!A107="","",Agent10_Savings!B107)</f>
        <v/>
      </c>
      <c r="D1902" s="37" t="str">
        <f>IF(Agent10_Savings!A107="","",Agent10_Savings!G107)</f>
        <v/>
      </c>
      <c r="E1902" s="38" t="str">
        <f>IF(Agent10_Savings!A107="","",Agent10_Savings!D107)</f>
        <v/>
      </c>
      <c r="F1902" s="39" t="str">
        <f>IF(Agent10_Savings!A107="","",Agent10_Savings!E107)</f>
        <v/>
      </c>
      <c r="G1902" s="39" t="str">
        <f>IF(Agent10_Savings!A107="","",Agent10_Savings!F107)</f>
        <v/>
      </c>
      <c r="H1902" s="37" t="str">
        <f>IF(Agent10_Savings!A107="","",Agent10_Savings!I107)</f>
        <v/>
      </c>
      <c r="I1902" s="37" t="str">
        <f>IF(Agent10_Savings!A107="","",Agent10_Savings!J107)</f>
        <v/>
      </c>
      <c r="J1902" s="37" t="str">
        <f>IF(Agent10_Savings!A107="","",Agent10_Savings!K107)</f>
        <v/>
      </c>
      <c r="K1902" s="37" t="str">
        <f>IFERROR(IF(Agent10_Savings!A107="","",YEAR(Agent10_Savings!D107)),"")</f>
        <v/>
      </c>
    </row>
    <row r="1903" spans="1:11" ht="18" customHeight="1" x14ac:dyDescent="0.25">
      <c r="A1903" s="37" t="str">
        <f>IF(Agent10_Savings!A108="","",Agent10_Savings!A108)</f>
        <v/>
      </c>
      <c r="B1903" s="37" t="str">
        <f ca="1">IF(Agent10_Savings!A108="","","SV"&amp;TEXT(1903-3,"0000")&amp;"-"&amp;TEXT(TODAY(),"YYYYMMDD"))</f>
        <v/>
      </c>
      <c r="C1903" s="37" t="str">
        <f>IF(Agent10_Savings!A108="","",Agent10_Savings!B108)</f>
        <v/>
      </c>
      <c r="D1903" s="37" t="str">
        <f>IF(Agent10_Savings!A108="","",Agent10_Savings!G108)</f>
        <v/>
      </c>
      <c r="E1903" s="38" t="str">
        <f>IF(Agent10_Savings!A108="","",Agent10_Savings!D108)</f>
        <v/>
      </c>
      <c r="F1903" s="39" t="str">
        <f>IF(Agent10_Savings!A108="","",Agent10_Savings!E108)</f>
        <v/>
      </c>
      <c r="G1903" s="39" t="str">
        <f>IF(Agent10_Savings!A108="","",Agent10_Savings!F108)</f>
        <v/>
      </c>
      <c r="H1903" s="37" t="str">
        <f>IF(Agent10_Savings!A108="","",Agent10_Savings!I108)</f>
        <v/>
      </c>
      <c r="I1903" s="37" t="str">
        <f>IF(Agent10_Savings!A108="","",Agent10_Savings!J108)</f>
        <v/>
      </c>
      <c r="J1903" s="37" t="str">
        <f>IF(Agent10_Savings!A108="","",Agent10_Savings!K108)</f>
        <v/>
      </c>
      <c r="K1903" s="37" t="str">
        <f>IFERROR(IF(Agent10_Savings!A108="","",YEAR(Agent10_Savings!D108)),"")</f>
        <v/>
      </c>
    </row>
    <row r="1904" spans="1:11" ht="18" customHeight="1" x14ac:dyDescent="0.25">
      <c r="A1904" s="37" t="str">
        <f>IF(Agent10_Savings!A109="","",Agent10_Savings!A109)</f>
        <v/>
      </c>
      <c r="B1904" s="37" t="str">
        <f ca="1">IF(Agent10_Savings!A109="","","SV"&amp;TEXT(1904-3,"0000")&amp;"-"&amp;TEXT(TODAY(),"YYYYMMDD"))</f>
        <v/>
      </c>
      <c r="C1904" s="37" t="str">
        <f>IF(Agent10_Savings!A109="","",Agent10_Savings!B109)</f>
        <v/>
      </c>
      <c r="D1904" s="37" t="str">
        <f>IF(Agent10_Savings!A109="","",Agent10_Savings!G109)</f>
        <v/>
      </c>
      <c r="E1904" s="38" t="str">
        <f>IF(Agent10_Savings!A109="","",Agent10_Savings!D109)</f>
        <v/>
      </c>
      <c r="F1904" s="39" t="str">
        <f>IF(Agent10_Savings!A109="","",Agent10_Savings!E109)</f>
        <v/>
      </c>
      <c r="G1904" s="39" t="str">
        <f>IF(Agent10_Savings!A109="","",Agent10_Savings!F109)</f>
        <v/>
      </c>
      <c r="H1904" s="37" t="str">
        <f>IF(Agent10_Savings!A109="","",Agent10_Savings!I109)</f>
        <v/>
      </c>
      <c r="I1904" s="37" t="str">
        <f>IF(Agent10_Savings!A109="","",Agent10_Savings!J109)</f>
        <v/>
      </c>
      <c r="J1904" s="37" t="str">
        <f>IF(Agent10_Savings!A109="","",Agent10_Savings!K109)</f>
        <v/>
      </c>
      <c r="K1904" s="37" t="str">
        <f>IFERROR(IF(Agent10_Savings!A109="","",YEAR(Agent10_Savings!D109)),"")</f>
        <v/>
      </c>
    </row>
    <row r="1905" spans="1:11" ht="18" customHeight="1" x14ac:dyDescent="0.25">
      <c r="A1905" s="37" t="str">
        <f>IF(Agent10_Savings!A110="","",Agent10_Savings!A110)</f>
        <v/>
      </c>
      <c r="B1905" s="37" t="str">
        <f ca="1">IF(Agent10_Savings!A110="","","SV"&amp;TEXT(1905-3,"0000")&amp;"-"&amp;TEXT(TODAY(),"YYYYMMDD"))</f>
        <v/>
      </c>
      <c r="C1905" s="37" t="str">
        <f>IF(Agent10_Savings!A110="","",Agent10_Savings!B110)</f>
        <v/>
      </c>
      <c r="D1905" s="37" t="str">
        <f>IF(Agent10_Savings!A110="","",Agent10_Savings!G110)</f>
        <v/>
      </c>
      <c r="E1905" s="38" t="str">
        <f>IF(Agent10_Savings!A110="","",Agent10_Savings!D110)</f>
        <v/>
      </c>
      <c r="F1905" s="39" t="str">
        <f>IF(Agent10_Savings!A110="","",Agent10_Savings!E110)</f>
        <v/>
      </c>
      <c r="G1905" s="39" t="str">
        <f>IF(Agent10_Savings!A110="","",Agent10_Savings!F110)</f>
        <v/>
      </c>
      <c r="H1905" s="37" t="str">
        <f>IF(Agent10_Savings!A110="","",Agent10_Savings!I110)</f>
        <v/>
      </c>
      <c r="I1905" s="37" t="str">
        <f>IF(Agent10_Savings!A110="","",Agent10_Savings!J110)</f>
        <v/>
      </c>
      <c r="J1905" s="37" t="str">
        <f>IF(Agent10_Savings!A110="","",Agent10_Savings!K110)</f>
        <v/>
      </c>
      <c r="K1905" s="37" t="str">
        <f>IFERROR(IF(Agent10_Savings!A110="","",YEAR(Agent10_Savings!D110)),"")</f>
        <v/>
      </c>
    </row>
    <row r="1906" spans="1:11" ht="18" customHeight="1" x14ac:dyDescent="0.25">
      <c r="A1906" s="37" t="str">
        <f>IF(Agent10_Savings!A111="","",Agent10_Savings!A111)</f>
        <v/>
      </c>
      <c r="B1906" s="37" t="str">
        <f ca="1">IF(Agent10_Savings!A111="","","SV"&amp;TEXT(1906-3,"0000")&amp;"-"&amp;TEXT(TODAY(),"YYYYMMDD"))</f>
        <v/>
      </c>
      <c r="C1906" s="37" t="str">
        <f>IF(Agent10_Savings!A111="","",Agent10_Savings!B111)</f>
        <v/>
      </c>
      <c r="D1906" s="37" t="str">
        <f>IF(Agent10_Savings!A111="","",Agent10_Savings!G111)</f>
        <v/>
      </c>
      <c r="E1906" s="38" t="str">
        <f>IF(Agent10_Savings!A111="","",Agent10_Savings!D111)</f>
        <v/>
      </c>
      <c r="F1906" s="39" t="str">
        <f>IF(Agent10_Savings!A111="","",Agent10_Savings!E111)</f>
        <v/>
      </c>
      <c r="G1906" s="39" t="str">
        <f>IF(Agent10_Savings!A111="","",Agent10_Savings!F111)</f>
        <v/>
      </c>
      <c r="H1906" s="37" t="str">
        <f>IF(Agent10_Savings!A111="","",Agent10_Savings!I111)</f>
        <v/>
      </c>
      <c r="I1906" s="37" t="str">
        <f>IF(Agent10_Savings!A111="","",Agent10_Savings!J111)</f>
        <v/>
      </c>
      <c r="J1906" s="37" t="str">
        <f>IF(Agent10_Savings!A111="","",Agent10_Savings!K111)</f>
        <v/>
      </c>
      <c r="K1906" s="37" t="str">
        <f>IFERROR(IF(Agent10_Savings!A111="","",YEAR(Agent10_Savings!D111)),"")</f>
        <v/>
      </c>
    </row>
    <row r="1907" spans="1:11" ht="18" customHeight="1" x14ac:dyDescent="0.25">
      <c r="A1907" s="37" t="str">
        <f>IF(Agent10_Savings!A112="","",Agent10_Savings!A112)</f>
        <v/>
      </c>
      <c r="B1907" s="37" t="str">
        <f ca="1">IF(Agent10_Savings!A112="","","SV"&amp;TEXT(1907-3,"0000")&amp;"-"&amp;TEXT(TODAY(),"YYYYMMDD"))</f>
        <v/>
      </c>
      <c r="C1907" s="37" t="str">
        <f>IF(Agent10_Savings!A112="","",Agent10_Savings!B112)</f>
        <v/>
      </c>
      <c r="D1907" s="37" t="str">
        <f>IF(Agent10_Savings!A112="","",Agent10_Savings!G112)</f>
        <v/>
      </c>
      <c r="E1907" s="38" t="str">
        <f>IF(Agent10_Savings!A112="","",Agent10_Savings!D112)</f>
        <v/>
      </c>
      <c r="F1907" s="39" t="str">
        <f>IF(Agent10_Savings!A112="","",Agent10_Savings!E112)</f>
        <v/>
      </c>
      <c r="G1907" s="39" t="str">
        <f>IF(Agent10_Savings!A112="","",Agent10_Savings!F112)</f>
        <v/>
      </c>
      <c r="H1907" s="37" t="str">
        <f>IF(Agent10_Savings!A112="","",Agent10_Savings!I112)</f>
        <v/>
      </c>
      <c r="I1907" s="37" t="str">
        <f>IF(Agent10_Savings!A112="","",Agent10_Savings!J112)</f>
        <v/>
      </c>
      <c r="J1907" s="37" t="str">
        <f>IF(Agent10_Savings!A112="","",Agent10_Savings!K112)</f>
        <v/>
      </c>
      <c r="K1907" s="37" t="str">
        <f>IFERROR(IF(Agent10_Savings!A112="","",YEAR(Agent10_Savings!D112)),"")</f>
        <v/>
      </c>
    </row>
    <row r="1908" spans="1:11" ht="18" customHeight="1" x14ac:dyDescent="0.25">
      <c r="A1908" s="37" t="str">
        <f>IF(Agent10_Savings!A113="","",Agent10_Savings!A113)</f>
        <v/>
      </c>
      <c r="B1908" s="37" t="str">
        <f ca="1">IF(Agent10_Savings!A113="","","SV"&amp;TEXT(1908-3,"0000")&amp;"-"&amp;TEXT(TODAY(),"YYYYMMDD"))</f>
        <v/>
      </c>
      <c r="C1908" s="37" t="str">
        <f>IF(Agent10_Savings!A113="","",Agent10_Savings!B113)</f>
        <v/>
      </c>
      <c r="D1908" s="37" t="str">
        <f>IF(Agent10_Savings!A113="","",Agent10_Savings!G113)</f>
        <v/>
      </c>
      <c r="E1908" s="38" t="str">
        <f>IF(Agent10_Savings!A113="","",Agent10_Savings!D113)</f>
        <v/>
      </c>
      <c r="F1908" s="39" t="str">
        <f>IF(Agent10_Savings!A113="","",Agent10_Savings!E113)</f>
        <v/>
      </c>
      <c r="G1908" s="39" t="str">
        <f>IF(Agent10_Savings!A113="","",Agent10_Savings!F113)</f>
        <v/>
      </c>
      <c r="H1908" s="37" t="str">
        <f>IF(Agent10_Savings!A113="","",Agent10_Savings!I113)</f>
        <v/>
      </c>
      <c r="I1908" s="37" t="str">
        <f>IF(Agent10_Savings!A113="","",Agent10_Savings!J113)</f>
        <v/>
      </c>
      <c r="J1908" s="37" t="str">
        <f>IF(Agent10_Savings!A113="","",Agent10_Savings!K113)</f>
        <v/>
      </c>
      <c r="K1908" s="37" t="str">
        <f>IFERROR(IF(Agent10_Savings!A113="","",YEAR(Agent10_Savings!D113)),"")</f>
        <v/>
      </c>
    </row>
    <row r="1909" spans="1:11" ht="18" customHeight="1" x14ac:dyDescent="0.25">
      <c r="A1909" s="37" t="str">
        <f>IF(Agent10_Savings!A114="","",Agent10_Savings!A114)</f>
        <v/>
      </c>
      <c r="B1909" s="37" t="str">
        <f ca="1">IF(Agent10_Savings!A114="","","SV"&amp;TEXT(1909-3,"0000")&amp;"-"&amp;TEXT(TODAY(),"YYYYMMDD"))</f>
        <v/>
      </c>
      <c r="C1909" s="37" t="str">
        <f>IF(Agent10_Savings!A114="","",Agent10_Savings!B114)</f>
        <v/>
      </c>
      <c r="D1909" s="37" t="str">
        <f>IF(Agent10_Savings!A114="","",Agent10_Savings!G114)</f>
        <v/>
      </c>
      <c r="E1909" s="38" t="str">
        <f>IF(Agent10_Savings!A114="","",Agent10_Savings!D114)</f>
        <v/>
      </c>
      <c r="F1909" s="39" t="str">
        <f>IF(Agent10_Savings!A114="","",Agent10_Savings!E114)</f>
        <v/>
      </c>
      <c r="G1909" s="39" t="str">
        <f>IF(Agent10_Savings!A114="","",Agent10_Savings!F114)</f>
        <v/>
      </c>
      <c r="H1909" s="37" t="str">
        <f>IF(Agent10_Savings!A114="","",Agent10_Savings!I114)</f>
        <v/>
      </c>
      <c r="I1909" s="37" t="str">
        <f>IF(Agent10_Savings!A114="","",Agent10_Savings!J114)</f>
        <v/>
      </c>
      <c r="J1909" s="37" t="str">
        <f>IF(Agent10_Savings!A114="","",Agent10_Savings!K114)</f>
        <v/>
      </c>
      <c r="K1909" s="37" t="str">
        <f>IFERROR(IF(Agent10_Savings!A114="","",YEAR(Agent10_Savings!D114)),"")</f>
        <v/>
      </c>
    </row>
    <row r="1910" spans="1:11" ht="18" customHeight="1" x14ac:dyDescent="0.25">
      <c r="A1910" s="37" t="str">
        <f>IF(Agent10_Savings!A115="","",Agent10_Savings!A115)</f>
        <v/>
      </c>
      <c r="B1910" s="37" t="str">
        <f ca="1">IF(Agent10_Savings!A115="","","SV"&amp;TEXT(1910-3,"0000")&amp;"-"&amp;TEXT(TODAY(),"YYYYMMDD"))</f>
        <v/>
      </c>
      <c r="C1910" s="37" t="str">
        <f>IF(Agent10_Savings!A115="","",Agent10_Savings!B115)</f>
        <v/>
      </c>
      <c r="D1910" s="37" t="str">
        <f>IF(Agent10_Savings!A115="","",Agent10_Savings!G115)</f>
        <v/>
      </c>
      <c r="E1910" s="38" t="str">
        <f>IF(Agent10_Savings!A115="","",Agent10_Savings!D115)</f>
        <v/>
      </c>
      <c r="F1910" s="39" t="str">
        <f>IF(Agent10_Savings!A115="","",Agent10_Savings!E115)</f>
        <v/>
      </c>
      <c r="G1910" s="39" t="str">
        <f>IF(Agent10_Savings!A115="","",Agent10_Savings!F115)</f>
        <v/>
      </c>
      <c r="H1910" s="37" t="str">
        <f>IF(Agent10_Savings!A115="","",Agent10_Savings!I115)</f>
        <v/>
      </c>
      <c r="I1910" s="37" t="str">
        <f>IF(Agent10_Savings!A115="","",Agent10_Savings!J115)</f>
        <v/>
      </c>
      <c r="J1910" s="37" t="str">
        <f>IF(Agent10_Savings!A115="","",Agent10_Savings!K115)</f>
        <v/>
      </c>
      <c r="K1910" s="37" t="str">
        <f>IFERROR(IF(Agent10_Savings!A115="","",YEAR(Agent10_Savings!D115)),"")</f>
        <v/>
      </c>
    </row>
    <row r="1911" spans="1:11" ht="18" customHeight="1" x14ac:dyDescent="0.25">
      <c r="A1911" s="37" t="str">
        <f>IF(Agent10_Savings!A116="","",Agent10_Savings!A116)</f>
        <v/>
      </c>
      <c r="B1911" s="37" t="str">
        <f ca="1">IF(Agent10_Savings!A116="","","SV"&amp;TEXT(1911-3,"0000")&amp;"-"&amp;TEXT(TODAY(),"YYYYMMDD"))</f>
        <v/>
      </c>
      <c r="C1911" s="37" t="str">
        <f>IF(Agent10_Savings!A116="","",Agent10_Savings!B116)</f>
        <v/>
      </c>
      <c r="D1911" s="37" t="str">
        <f>IF(Agent10_Savings!A116="","",Agent10_Savings!G116)</f>
        <v/>
      </c>
      <c r="E1911" s="38" t="str">
        <f>IF(Agent10_Savings!A116="","",Agent10_Savings!D116)</f>
        <v/>
      </c>
      <c r="F1911" s="39" t="str">
        <f>IF(Agent10_Savings!A116="","",Agent10_Savings!E116)</f>
        <v/>
      </c>
      <c r="G1911" s="39" t="str">
        <f>IF(Agent10_Savings!A116="","",Agent10_Savings!F116)</f>
        <v/>
      </c>
      <c r="H1911" s="37" t="str">
        <f>IF(Agent10_Savings!A116="","",Agent10_Savings!I116)</f>
        <v/>
      </c>
      <c r="I1911" s="37" t="str">
        <f>IF(Agent10_Savings!A116="","",Agent10_Savings!J116)</f>
        <v/>
      </c>
      <c r="J1911" s="37" t="str">
        <f>IF(Agent10_Savings!A116="","",Agent10_Savings!K116)</f>
        <v/>
      </c>
      <c r="K1911" s="37" t="str">
        <f>IFERROR(IF(Agent10_Savings!A116="","",YEAR(Agent10_Savings!D116)),"")</f>
        <v/>
      </c>
    </row>
    <row r="1912" spans="1:11" ht="18" customHeight="1" x14ac:dyDescent="0.25">
      <c r="A1912" s="37" t="str">
        <f>IF(Agent10_Savings!A117="","",Agent10_Savings!A117)</f>
        <v/>
      </c>
      <c r="B1912" s="37" t="str">
        <f ca="1">IF(Agent10_Savings!A117="","","SV"&amp;TEXT(1912-3,"0000")&amp;"-"&amp;TEXT(TODAY(),"YYYYMMDD"))</f>
        <v/>
      </c>
      <c r="C1912" s="37" t="str">
        <f>IF(Agent10_Savings!A117="","",Agent10_Savings!B117)</f>
        <v/>
      </c>
      <c r="D1912" s="37" t="str">
        <f>IF(Agent10_Savings!A117="","",Agent10_Savings!G117)</f>
        <v/>
      </c>
      <c r="E1912" s="38" t="str">
        <f>IF(Agent10_Savings!A117="","",Agent10_Savings!D117)</f>
        <v/>
      </c>
      <c r="F1912" s="39" t="str">
        <f>IF(Agent10_Savings!A117="","",Agent10_Savings!E117)</f>
        <v/>
      </c>
      <c r="G1912" s="39" t="str">
        <f>IF(Agent10_Savings!A117="","",Agent10_Savings!F117)</f>
        <v/>
      </c>
      <c r="H1912" s="37" t="str">
        <f>IF(Agent10_Savings!A117="","",Agent10_Savings!I117)</f>
        <v/>
      </c>
      <c r="I1912" s="37" t="str">
        <f>IF(Agent10_Savings!A117="","",Agent10_Savings!J117)</f>
        <v/>
      </c>
      <c r="J1912" s="37" t="str">
        <f>IF(Agent10_Savings!A117="","",Agent10_Savings!K117)</f>
        <v/>
      </c>
      <c r="K1912" s="37" t="str">
        <f>IFERROR(IF(Agent10_Savings!A117="","",YEAR(Agent10_Savings!D117)),"")</f>
        <v/>
      </c>
    </row>
    <row r="1913" spans="1:11" ht="18" customHeight="1" x14ac:dyDescent="0.25">
      <c r="A1913" s="37" t="str">
        <f>IF(Agent10_Savings!A118="","",Agent10_Savings!A118)</f>
        <v/>
      </c>
      <c r="B1913" s="37" t="str">
        <f ca="1">IF(Agent10_Savings!A118="","","SV"&amp;TEXT(1913-3,"0000")&amp;"-"&amp;TEXT(TODAY(),"YYYYMMDD"))</f>
        <v/>
      </c>
      <c r="C1913" s="37" t="str">
        <f>IF(Agent10_Savings!A118="","",Agent10_Savings!B118)</f>
        <v/>
      </c>
      <c r="D1913" s="37" t="str">
        <f>IF(Agent10_Savings!A118="","",Agent10_Savings!G118)</f>
        <v/>
      </c>
      <c r="E1913" s="38" t="str">
        <f>IF(Agent10_Savings!A118="","",Agent10_Savings!D118)</f>
        <v/>
      </c>
      <c r="F1913" s="39" t="str">
        <f>IF(Agent10_Savings!A118="","",Agent10_Savings!E118)</f>
        <v/>
      </c>
      <c r="G1913" s="39" t="str">
        <f>IF(Agent10_Savings!A118="","",Agent10_Savings!F118)</f>
        <v/>
      </c>
      <c r="H1913" s="37" t="str">
        <f>IF(Agent10_Savings!A118="","",Agent10_Savings!I118)</f>
        <v/>
      </c>
      <c r="I1913" s="37" t="str">
        <f>IF(Agent10_Savings!A118="","",Agent10_Savings!J118)</f>
        <v/>
      </c>
      <c r="J1913" s="37" t="str">
        <f>IF(Agent10_Savings!A118="","",Agent10_Savings!K118)</f>
        <v/>
      </c>
      <c r="K1913" s="37" t="str">
        <f>IFERROR(IF(Agent10_Savings!A118="","",YEAR(Agent10_Savings!D118)),"")</f>
        <v/>
      </c>
    </row>
    <row r="1914" spans="1:11" ht="18" customHeight="1" x14ac:dyDescent="0.25">
      <c r="A1914" s="37" t="str">
        <f>IF(Agent10_Savings!A119="","",Agent10_Savings!A119)</f>
        <v/>
      </c>
      <c r="B1914" s="37" t="str">
        <f ca="1">IF(Agent10_Savings!A119="","","SV"&amp;TEXT(1914-3,"0000")&amp;"-"&amp;TEXT(TODAY(),"YYYYMMDD"))</f>
        <v/>
      </c>
      <c r="C1914" s="37" t="str">
        <f>IF(Agent10_Savings!A119="","",Agent10_Savings!B119)</f>
        <v/>
      </c>
      <c r="D1914" s="37" t="str">
        <f>IF(Agent10_Savings!A119="","",Agent10_Savings!G119)</f>
        <v/>
      </c>
      <c r="E1914" s="38" t="str">
        <f>IF(Agent10_Savings!A119="","",Agent10_Savings!D119)</f>
        <v/>
      </c>
      <c r="F1914" s="39" t="str">
        <f>IF(Agent10_Savings!A119="","",Agent10_Savings!E119)</f>
        <v/>
      </c>
      <c r="G1914" s="39" t="str">
        <f>IF(Agent10_Savings!A119="","",Agent10_Savings!F119)</f>
        <v/>
      </c>
      <c r="H1914" s="37" t="str">
        <f>IF(Agent10_Savings!A119="","",Agent10_Savings!I119)</f>
        <v/>
      </c>
      <c r="I1914" s="37" t="str">
        <f>IF(Agent10_Savings!A119="","",Agent10_Savings!J119)</f>
        <v/>
      </c>
      <c r="J1914" s="37" t="str">
        <f>IF(Agent10_Savings!A119="","",Agent10_Savings!K119)</f>
        <v/>
      </c>
      <c r="K1914" s="37" t="str">
        <f>IFERROR(IF(Agent10_Savings!A119="","",YEAR(Agent10_Savings!D119)),"")</f>
        <v/>
      </c>
    </row>
    <row r="1915" spans="1:11" ht="18" customHeight="1" x14ac:dyDescent="0.25">
      <c r="A1915" s="37" t="str">
        <f>IF(Agent10_Savings!A120="","",Agent10_Savings!A120)</f>
        <v/>
      </c>
      <c r="B1915" s="37" t="str">
        <f ca="1">IF(Agent10_Savings!A120="","","SV"&amp;TEXT(1915-3,"0000")&amp;"-"&amp;TEXT(TODAY(),"YYYYMMDD"))</f>
        <v/>
      </c>
      <c r="C1915" s="37" t="str">
        <f>IF(Agent10_Savings!A120="","",Agent10_Savings!B120)</f>
        <v/>
      </c>
      <c r="D1915" s="37" t="str">
        <f>IF(Agent10_Savings!A120="","",Agent10_Savings!G120)</f>
        <v/>
      </c>
      <c r="E1915" s="38" t="str">
        <f>IF(Agent10_Savings!A120="","",Agent10_Savings!D120)</f>
        <v/>
      </c>
      <c r="F1915" s="39" t="str">
        <f>IF(Agent10_Savings!A120="","",Agent10_Savings!E120)</f>
        <v/>
      </c>
      <c r="G1915" s="39" t="str">
        <f>IF(Agent10_Savings!A120="","",Agent10_Savings!F120)</f>
        <v/>
      </c>
      <c r="H1915" s="37" t="str">
        <f>IF(Agent10_Savings!A120="","",Agent10_Savings!I120)</f>
        <v/>
      </c>
      <c r="I1915" s="37" t="str">
        <f>IF(Agent10_Savings!A120="","",Agent10_Savings!J120)</f>
        <v/>
      </c>
      <c r="J1915" s="37" t="str">
        <f>IF(Agent10_Savings!A120="","",Agent10_Savings!K120)</f>
        <v/>
      </c>
      <c r="K1915" s="37" t="str">
        <f>IFERROR(IF(Agent10_Savings!A120="","",YEAR(Agent10_Savings!D120)),"")</f>
        <v/>
      </c>
    </row>
    <row r="1916" spans="1:11" ht="18" customHeight="1" x14ac:dyDescent="0.25">
      <c r="A1916" s="37" t="str">
        <f>IF(Agent10_Savings!A121="","",Agent10_Savings!A121)</f>
        <v/>
      </c>
      <c r="B1916" s="37" t="str">
        <f ca="1">IF(Agent10_Savings!A121="","","SV"&amp;TEXT(1916-3,"0000")&amp;"-"&amp;TEXT(TODAY(),"YYYYMMDD"))</f>
        <v/>
      </c>
      <c r="C1916" s="37" t="str">
        <f>IF(Agent10_Savings!A121="","",Agent10_Savings!B121)</f>
        <v/>
      </c>
      <c r="D1916" s="37" t="str">
        <f>IF(Agent10_Savings!A121="","",Agent10_Savings!G121)</f>
        <v/>
      </c>
      <c r="E1916" s="38" t="str">
        <f>IF(Agent10_Savings!A121="","",Agent10_Savings!D121)</f>
        <v/>
      </c>
      <c r="F1916" s="39" t="str">
        <f>IF(Agent10_Savings!A121="","",Agent10_Savings!E121)</f>
        <v/>
      </c>
      <c r="G1916" s="39" t="str">
        <f>IF(Agent10_Savings!A121="","",Agent10_Savings!F121)</f>
        <v/>
      </c>
      <c r="H1916" s="37" t="str">
        <f>IF(Agent10_Savings!A121="","",Agent10_Savings!I121)</f>
        <v/>
      </c>
      <c r="I1916" s="37" t="str">
        <f>IF(Agent10_Savings!A121="","",Agent10_Savings!J121)</f>
        <v/>
      </c>
      <c r="J1916" s="37" t="str">
        <f>IF(Agent10_Savings!A121="","",Agent10_Savings!K121)</f>
        <v/>
      </c>
      <c r="K1916" s="37" t="str">
        <f>IFERROR(IF(Agent10_Savings!A121="","",YEAR(Agent10_Savings!D121)),"")</f>
        <v/>
      </c>
    </row>
    <row r="1917" spans="1:11" ht="18" customHeight="1" x14ac:dyDescent="0.25">
      <c r="A1917" s="37" t="str">
        <f>IF(Agent10_Savings!A122="","",Agent10_Savings!A122)</f>
        <v/>
      </c>
      <c r="B1917" s="37" t="str">
        <f ca="1">IF(Agent10_Savings!A122="","","SV"&amp;TEXT(1917-3,"0000")&amp;"-"&amp;TEXT(TODAY(),"YYYYMMDD"))</f>
        <v/>
      </c>
      <c r="C1917" s="37" t="str">
        <f>IF(Agent10_Savings!A122="","",Agent10_Savings!B122)</f>
        <v/>
      </c>
      <c r="D1917" s="37" t="str">
        <f>IF(Agent10_Savings!A122="","",Agent10_Savings!G122)</f>
        <v/>
      </c>
      <c r="E1917" s="38" t="str">
        <f>IF(Agent10_Savings!A122="","",Agent10_Savings!D122)</f>
        <v/>
      </c>
      <c r="F1917" s="39" t="str">
        <f>IF(Agent10_Savings!A122="","",Agent10_Savings!E122)</f>
        <v/>
      </c>
      <c r="G1917" s="39" t="str">
        <f>IF(Agent10_Savings!A122="","",Agent10_Savings!F122)</f>
        <v/>
      </c>
      <c r="H1917" s="37" t="str">
        <f>IF(Agent10_Savings!A122="","",Agent10_Savings!I122)</f>
        <v/>
      </c>
      <c r="I1917" s="37" t="str">
        <f>IF(Agent10_Savings!A122="","",Agent10_Savings!J122)</f>
        <v/>
      </c>
      <c r="J1917" s="37" t="str">
        <f>IF(Agent10_Savings!A122="","",Agent10_Savings!K122)</f>
        <v/>
      </c>
      <c r="K1917" s="37" t="str">
        <f>IFERROR(IF(Agent10_Savings!A122="","",YEAR(Agent10_Savings!D122)),"")</f>
        <v/>
      </c>
    </row>
    <row r="1918" spans="1:11" ht="18" customHeight="1" x14ac:dyDescent="0.25">
      <c r="A1918" s="37" t="str">
        <f>IF(Agent10_Savings!A123="","",Agent10_Savings!A123)</f>
        <v/>
      </c>
      <c r="B1918" s="37" t="str">
        <f ca="1">IF(Agent10_Savings!A123="","","SV"&amp;TEXT(1918-3,"0000")&amp;"-"&amp;TEXT(TODAY(),"YYYYMMDD"))</f>
        <v/>
      </c>
      <c r="C1918" s="37" t="str">
        <f>IF(Agent10_Savings!A123="","",Agent10_Savings!B123)</f>
        <v/>
      </c>
      <c r="D1918" s="37" t="str">
        <f>IF(Agent10_Savings!A123="","",Agent10_Savings!G123)</f>
        <v/>
      </c>
      <c r="E1918" s="38" t="str">
        <f>IF(Agent10_Savings!A123="","",Agent10_Savings!D123)</f>
        <v/>
      </c>
      <c r="F1918" s="39" t="str">
        <f>IF(Agent10_Savings!A123="","",Agent10_Savings!E123)</f>
        <v/>
      </c>
      <c r="G1918" s="39" t="str">
        <f>IF(Agent10_Savings!A123="","",Agent10_Savings!F123)</f>
        <v/>
      </c>
      <c r="H1918" s="37" t="str">
        <f>IF(Agent10_Savings!A123="","",Agent10_Savings!I123)</f>
        <v/>
      </c>
      <c r="I1918" s="37" t="str">
        <f>IF(Agent10_Savings!A123="","",Agent10_Savings!J123)</f>
        <v/>
      </c>
      <c r="J1918" s="37" t="str">
        <f>IF(Agent10_Savings!A123="","",Agent10_Savings!K123)</f>
        <v/>
      </c>
      <c r="K1918" s="37" t="str">
        <f>IFERROR(IF(Agent10_Savings!A123="","",YEAR(Agent10_Savings!D123)),"")</f>
        <v/>
      </c>
    </row>
    <row r="1919" spans="1:11" ht="18" customHeight="1" x14ac:dyDescent="0.25">
      <c r="A1919" s="37" t="str">
        <f>IF(Agent10_Savings!A124="","",Agent10_Savings!A124)</f>
        <v/>
      </c>
      <c r="B1919" s="37" t="str">
        <f ca="1">IF(Agent10_Savings!A124="","","SV"&amp;TEXT(1919-3,"0000")&amp;"-"&amp;TEXT(TODAY(),"YYYYMMDD"))</f>
        <v/>
      </c>
      <c r="C1919" s="37" t="str">
        <f>IF(Agent10_Savings!A124="","",Agent10_Savings!B124)</f>
        <v/>
      </c>
      <c r="D1919" s="37" t="str">
        <f>IF(Agent10_Savings!A124="","",Agent10_Savings!G124)</f>
        <v/>
      </c>
      <c r="E1919" s="38" t="str">
        <f>IF(Agent10_Savings!A124="","",Agent10_Savings!D124)</f>
        <v/>
      </c>
      <c r="F1919" s="39" t="str">
        <f>IF(Agent10_Savings!A124="","",Agent10_Savings!E124)</f>
        <v/>
      </c>
      <c r="G1919" s="39" t="str">
        <f>IF(Agent10_Savings!A124="","",Agent10_Savings!F124)</f>
        <v/>
      </c>
      <c r="H1919" s="37" t="str">
        <f>IF(Agent10_Savings!A124="","",Agent10_Savings!I124)</f>
        <v/>
      </c>
      <c r="I1919" s="37" t="str">
        <f>IF(Agent10_Savings!A124="","",Agent10_Savings!J124)</f>
        <v/>
      </c>
      <c r="J1919" s="37" t="str">
        <f>IF(Agent10_Savings!A124="","",Agent10_Savings!K124)</f>
        <v/>
      </c>
      <c r="K1919" s="37" t="str">
        <f>IFERROR(IF(Agent10_Savings!A124="","",YEAR(Agent10_Savings!D124)),"")</f>
        <v/>
      </c>
    </row>
    <row r="1920" spans="1:11" ht="18" customHeight="1" x14ac:dyDescent="0.25">
      <c r="A1920" s="37" t="str">
        <f>IF(Agent10_Savings!A125="","",Agent10_Savings!A125)</f>
        <v/>
      </c>
      <c r="B1920" s="37" t="str">
        <f ca="1">IF(Agent10_Savings!A125="","","SV"&amp;TEXT(1920-3,"0000")&amp;"-"&amp;TEXT(TODAY(),"YYYYMMDD"))</f>
        <v/>
      </c>
      <c r="C1920" s="37" t="str">
        <f>IF(Agent10_Savings!A125="","",Agent10_Savings!B125)</f>
        <v/>
      </c>
      <c r="D1920" s="37" t="str">
        <f>IF(Agent10_Savings!A125="","",Agent10_Savings!G125)</f>
        <v/>
      </c>
      <c r="E1920" s="38" t="str">
        <f>IF(Agent10_Savings!A125="","",Agent10_Savings!D125)</f>
        <v/>
      </c>
      <c r="F1920" s="39" t="str">
        <f>IF(Agent10_Savings!A125="","",Agent10_Savings!E125)</f>
        <v/>
      </c>
      <c r="G1920" s="39" t="str">
        <f>IF(Agent10_Savings!A125="","",Agent10_Savings!F125)</f>
        <v/>
      </c>
      <c r="H1920" s="37" t="str">
        <f>IF(Agent10_Savings!A125="","",Agent10_Savings!I125)</f>
        <v/>
      </c>
      <c r="I1920" s="37" t="str">
        <f>IF(Agent10_Savings!A125="","",Agent10_Savings!J125)</f>
        <v/>
      </c>
      <c r="J1920" s="37" t="str">
        <f>IF(Agent10_Savings!A125="","",Agent10_Savings!K125)</f>
        <v/>
      </c>
      <c r="K1920" s="37" t="str">
        <f>IFERROR(IF(Agent10_Savings!A125="","",YEAR(Agent10_Savings!D125)),"")</f>
        <v/>
      </c>
    </row>
    <row r="1921" spans="1:11" ht="18" customHeight="1" x14ac:dyDescent="0.25">
      <c r="A1921" s="37" t="str">
        <f>IF(Agent10_Savings!A126="","",Agent10_Savings!A126)</f>
        <v/>
      </c>
      <c r="B1921" s="37" t="str">
        <f ca="1">IF(Agent10_Savings!A126="","","SV"&amp;TEXT(1921-3,"0000")&amp;"-"&amp;TEXT(TODAY(),"YYYYMMDD"))</f>
        <v/>
      </c>
      <c r="C1921" s="37" t="str">
        <f>IF(Agent10_Savings!A126="","",Agent10_Savings!B126)</f>
        <v/>
      </c>
      <c r="D1921" s="37" t="str">
        <f>IF(Agent10_Savings!A126="","",Agent10_Savings!G126)</f>
        <v/>
      </c>
      <c r="E1921" s="38" t="str">
        <f>IF(Agent10_Savings!A126="","",Agent10_Savings!D126)</f>
        <v/>
      </c>
      <c r="F1921" s="39" t="str">
        <f>IF(Agent10_Savings!A126="","",Agent10_Savings!E126)</f>
        <v/>
      </c>
      <c r="G1921" s="39" t="str">
        <f>IF(Agent10_Savings!A126="","",Agent10_Savings!F126)</f>
        <v/>
      </c>
      <c r="H1921" s="37" t="str">
        <f>IF(Agent10_Savings!A126="","",Agent10_Savings!I126)</f>
        <v/>
      </c>
      <c r="I1921" s="37" t="str">
        <f>IF(Agent10_Savings!A126="","",Agent10_Savings!J126)</f>
        <v/>
      </c>
      <c r="J1921" s="37" t="str">
        <f>IF(Agent10_Savings!A126="","",Agent10_Savings!K126)</f>
        <v/>
      </c>
      <c r="K1921" s="37" t="str">
        <f>IFERROR(IF(Agent10_Savings!A126="","",YEAR(Agent10_Savings!D126)),"")</f>
        <v/>
      </c>
    </row>
    <row r="1922" spans="1:11" ht="18" customHeight="1" x14ac:dyDescent="0.25">
      <c r="A1922" s="37" t="str">
        <f>IF(Agent10_Savings!A127="","",Agent10_Savings!A127)</f>
        <v/>
      </c>
      <c r="B1922" s="37" t="str">
        <f ca="1">IF(Agent10_Savings!A127="","","SV"&amp;TEXT(1922-3,"0000")&amp;"-"&amp;TEXT(TODAY(),"YYYYMMDD"))</f>
        <v/>
      </c>
      <c r="C1922" s="37" t="str">
        <f>IF(Agent10_Savings!A127="","",Agent10_Savings!B127)</f>
        <v/>
      </c>
      <c r="D1922" s="37" t="str">
        <f>IF(Agent10_Savings!A127="","",Agent10_Savings!G127)</f>
        <v/>
      </c>
      <c r="E1922" s="38" t="str">
        <f>IF(Agent10_Savings!A127="","",Agent10_Savings!D127)</f>
        <v/>
      </c>
      <c r="F1922" s="39" t="str">
        <f>IF(Agent10_Savings!A127="","",Agent10_Savings!E127)</f>
        <v/>
      </c>
      <c r="G1922" s="39" t="str">
        <f>IF(Agent10_Savings!A127="","",Agent10_Savings!F127)</f>
        <v/>
      </c>
      <c r="H1922" s="37" t="str">
        <f>IF(Agent10_Savings!A127="","",Agent10_Savings!I127)</f>
        <v/>
      </c>
      <c r="I1922" s="37" t="str">
        <f>IF(Agent10_Savings!A127="","",Agent10_Savings!J127)</f>
        <v/>
      </c>
      <c r="J1922" s="37" t="str">
        <f>IF(Agent10_Savings!A127="","",Agent10_Savings!K127)</f>
        <v/>
      </c>
      <c r="K1922" s="37" t="str">
        <f>IFERROR(IF(Agent10_Savings!A127="","",YEAR(Agent10_Savings!D127)),"")</f>
        <v/>
      </c>
    </row>
    <row r="1923" spans="1:11" ht="18" customHeight="1" x14ac:dyDescent="0.25">
      <c r="A1923" s="37" t="str">
        <f>IF(Agent10_Savings!A128="","",Agent10_Savings!A128)</f>
        <v/>
      </c>
      <c r="B1923" s="37" t="str">
        <f ca="1">IF(Agent10_Savings!A128="","","SV"&amp;TEXT(1923-3,"0000")&amp;"-"&amp;TEXT(TODAY(),"YYYYMMDD"))</f>
        <v/>
      </c>
      <c r="C1923" s="37" t="str">
        <f>IF(Agent10_Savings!A128="","",Agent10_Savings!B128)</f>
        <v/>
      </c>
      <c r="D1923" s="37" t="str">
        <f>IF(Agent10_Savings!A128="","",Agent10_Savings!G128)</f>
        <v/>
      </c>
      <c r="E1923" s="38" t="str">
        <f>IF(Agent10_Savings!A128="","",Agent10_Savings!D128)</f>
        <v/>
      </c>
      <c r="F1923" s="39" t="str">
        <f>IF(Agent10_Savings!A128="","",Agent10_Savings!E128)</f>
        <v/>
      </c>
      <c r="G1923" s="39" t="str">
        <f>IF(Agent10_Savings!A128="","",Agent10_Savings!F128)</f>
        <v/>
      </c>
      <c r="H1923" s="37" t="str">
        <f>IF(Agent10_Savings!A128="","",Agent10_Savings!I128)</f>
        <v/>
      </c>
      <c r="I1923" s="37" t="str">
        <f>IF(Agent10_Savings!A128="","",Agent10_Savings!J128)</f>
        <v/>
      </c>
      <c r="J1923" s="37" t="str">
        <f>IF(Agent10_Savings!A128="","",Agent10_Savings!K128)</f>
        <v/>
      </c>
      <c r="K1923" s="37" t="str">
        <f>IFERROR(IF(Agent10_Savings!A128="","",YEAR(Agent10_Savings!D128)),"")</f>
        <v/>
      </c>
    </row>
    <row r="1924" spans="1:11" ht="18" customHeight="1" x14ac:dyDescent="0.25">
      <c r="A1924" s="37" t="str">
        <f>IF(Agent10_Savings!A129="","",Agent10_Savings!A129)</f>
        <v/>
      </c>
      <c r="B1924" s="37" t="str">
        <f ca="1">IF(Agent10_Savings!A129="","","SV"&amp;TEXT(1924-3,"0000")&amp;"-"&amp;TEXT(TODAY(),"YYYYMMDD"))</f>
        <v/>
      </c>
      <c r="C1924" s="37" t="str">
        <f>IF(Agent10_Savings!A129="","",Agent10_Savings!B129)</f>
        <v/>
      </c>
      <c r="D1924" s="37" t="str">
        <f>IF(Agent10_Savings!A129="","",Agent10_Savings!G129)</f>
        <v/>
      </c>
      <c r="E1924" s="38" t="str">
        <f>IF(Agent10_Savings!A129="","",Agent10_Savings!D129)</f>
        <v/>
      </c>
      <c r="F1924" s="39" t="str">
        <f>IF(Agent10_Savings!A129="","",Agent10_Savings!E129)</f>
        <v/>
      </c>
      <c r="G1924" s="39" t="str">
        <f>IF(Agent10_Savings!A129="","",Agent10_Savings!F129)</f>
        <v/>
      </c>
      <c r="H1924" s="37" t="str">
        <f>IF(Agent10_Savings!A129="","",Agent10_Savings!I129)</f>
        <v/>
      </c>
      <c r="I1924" s="37" t="str">
        <f>IF(Agent10_Savings!A129="","",Agent10_Savings!J129)</f>
        <v/>
      </c>
      <c r="J1924" s="37" t="str">
        <f>IF(Agent10_Savings!A129="","",Agent10_Savings!K129)</f>
        <v/>
      </c>
      <c r="K1924" s="37" t="str">
        <f>IFERROR(IF(Agent10_Savings!A129="","",YEAR(Agent10_Savings!D129)),"")</f>
        <v/>
      </c>
    </row>
    <row r="1925" spans="1:11" ht="18" customHeight="1" x14ac:dyDescent="0.25">
      <c r="A1925" s="37" t="str">
        <f>IF(Agent10_Savings!A130="","",Agent10_Savings!A130)</f>
        <v/>
      </c>
      <c r="B1925" s="37" t="str">
        <f ca="1">IF(Agent10_Savings!A130="","","SV"&amp;TEXT(1925-3,"0000")&amp;"-"&amp;TEXT(TODAY(),"YYYYMMDD"))</f>
        <v/>
      </c>
      <c r="C1925" s="37" t="str">
        <f>IF(Agent10_Savings!A130="","",Agent10_Savings!B130)</f>
        <v/>
      </c>
      <c r="D1925" s="37" t="str">
        <f>IF(Agent10_Savings!A130="","",Agent10_Savings!G130)</f>
        <v/>
      </c>
      <c r="E1925" s="38" t="str">
        <f>IF(Agent10_Savings!A130="","",Agent10_Savings!D130)</f>
        <v/>
      </c>
      <c r="F1925" s="39" t="str">
        <f>IF(Agent10_Savings!A130="","",Agent10_Savings!E130)</f>
        <v/>
      </c>
      <c r="G1925" s="39" t="str">
        <f>IF(Agent10_Savings!A130="","",Agent10_Savings!F130)</f>
        <v/>
      </c>
      <c r="H1925" s="37" t="str">
        <f>IF(Agent10_Savings!A130="","",Agent10_Savings!I130)</f>
        <v/>
      </c>
      <c r="I1925" s="37" t="str">
        <f>IF(Agent10_Savings!A130="","",Agent10_Savings!J130)</f>
        <v/>
      </c>
      <c r="J1925" s="37" t="str">
        <f>IF(Agent10_Savings!A130="","",Agent10_Savings!K130)</f>
        <v/>
      </c>
      <c r="K1925" s="37" t="str">
        <f>IFERROR(IF(Agent10_Savings!A130="","",YEAR(Agent10_Savings!D130)),"")</f>
        <v/>
      </c>
    </row>
    <row r="1926" spans="1:11" ht="18" customHeight="1" x14ac:dyDescent="0.25">
      <c r="A1926" s="37" t="str">
        <f>IF(Agent10_Savings!A131="","",Agent10_Savings!A131)</f>
        <v/>
      </c>
      <c r="B1926" s="37" t="str">
        <f ca="1">IF(Agent10_Savings!A131="","","SV"&amp;TEXT(1926-3,"0000")&amp;"-"&amp;TEXT(TODAY(),"YYYYMMDD"))</f>
        <v/>
      </c>
      <c r="C1926" s="37" t="str">
        <f>IF(Agent10_Savings!A131="","",Agent10_Savings!B131)</f>
        <v/>
      </c>
      <c r="D1926" s="37" t="str">
        <f>IF(Agent10_Savings!A131="","",Agent10_Savings!G131)</f>
        <v/>
      </c>
      <c r="E1926" s="38" t="str">
        <f>IF(Agent10_Savings!A131="","",Agent10_Savings!D131)</f>
        <v/>
      </c>
      <c r="F1926" s="39" t="str">
        <f>IF(Agent10_Savings!A131="","",Agent10_Savings!E131)</f>
        <v/>
      </c>
      <c r="G1926" s="39" t="str">
        <f>IF(Agent10_Savings!A131="","",Agent10_Savings!F131)</f>
        <v/>
      </c>
      <c r="H1926" s="37" t="str">
        <f>IF(Agent10_Savings!A131="","",Agent10_Savings!I131)</f>
        <v/>
      </c>
      <c r="I1926" s="37" t="str">
        <f>IF(Agent10_Savings!A131="","",Agent10_Savings!J131)</f>
        <v/>
      </c>
      <c r="J1926" s="37" t="str">
        <f>IF(Agent10_Savings!A131="","",Agent10_Savings!K131)</f>
        <v/>
      </c>
      <c r="K1926" s="37" t="str">
        <f>IFERROR(IF(Agent10_Savings!A131="","",YEAR(Agent10_Savings!D131)),"")</f>
        <v/>
      </c>
    </row>
    <row r="1927" spans="1:11" ht="18" customHeight="1" x14ac:dyDescent="0.25">
      <c r="A1927" s="37" t="str">
        <f>IF(Agent10_Savings!A132="","",Agent10_Savings!A132)</f>
        <v/>
      </c>
      <c r="B1927" s="37" t="str">
        <f ca="1">IF(Agent10_Savings!A132="","","SV"&amp;TEXT(1927-3,"0000")&amp;"-"&amp;TEXT(TODAY(),"YYYYMMDD"))</f>
        <v/>
      </c>
      <c r="C1927" s="37" t="str">
        <f>IF(Agent10_Savings!A132="","",Agent10_Savings!B132)</f>
        <v/>
      </c>
      <c r="D1927" s="37" t="str">
        <f>IF(Agent10_Savings!A132="","",Agent10_Savings!G132)</f>
        <v/>
      </c>
      <c r="E1927" s="38" t="str">
        <f>IF(Agent10_Savings!A132="","",Agent10_Savings!D132)</f>
        <v/>
      </c>
      <c r="F1927" s="39" t="str">
        <f>IF(Agent10_Savings!A132="","",Agent10_Savings!E132)</f>
        <v/>
      </c>
      <c r="G1927" s="39" t="str">
        <f>IF(Agent10_Savings!A132="","",Agent10_Savings!F132)</f>
        <v/>
      </c>
      <c r="H1927" s="37" t="str">
        <f>IF(Agent10_Savings!A132="","",Agent10_Savings!I132)</f>
        <v/>
      </c>
      <c r="I1927" s="37" t="str">
        <f>IF(Agent10_Savings!A132="","",Agent10_Savings!J132)</f>
        <v/>
      </c>
      <c r="J1927" s="37" t="str">
        <f>IF(Agent10_Savings!A132="","",Agent10_Savings!K132)</f>
        <v/>
      </c>
      <c r="K1927" s="37" t="str">
        <f>IFERROR(IF(Agent10_Savings!A132="","",YEAR(Agent10_Savings!D132)),"")</f>
        <v/>
      </c>
    </row>
    <row r="1928" spans="1:11" ht="18" customHeight="1" x14ac:dyDescent="0.25">
      <c r="A1928" s="37" t="str">
        <f>IF(Agent10_Savings!A133="","",Agent10_Savings!A133)</f>
        <v/>
      </c>
      <c r="B1928" s="37" t="str">
        <f ca="1">IF(Agent10_Savings!A133="","","SV"&amp;TEXT(1928-3,"0000")&amp;"-"&amp;TEXT(TODAY(),"YYYYMMDD"))</f>
        <v/>
      </c>
      <c r="C1928" s="37" t="str">
        <f>IF(Agent10_Savings!A133="","",Agent10_Savings!B133)</f>
        <v/>
      </c>
      <c r="D1928" s="37" t="str">
        <f>IF(Agent10_Savings!A133="","",Agent10_Savings!G133)</f>
        <v/>
      </c>
      <c r="E1928" s="38" t="str">
        <f>IF(Agent10_Savings!A133="","",Agent10_Savings!D133)</f>
        <v/>
      </c>
      <c r="F1928" s="39" t="str">
        <f>IF(Agent10_Savings!A133="","",Agent10_Savings!E133)</f>
        <v/>
      </c>
      <c r="G1928" s="39" t="str">
        <f>IF(Agent10_Savings!A133="","",Agent10_Savings!F133)</f>
        <v/>
      </c>
      <c r="H1928" s="37" t="str">
        <f>IF(Agent10_Savings!A133="","",Agent10_Savings!I133)</f>
        <v/>
      </c>
      <c r="I1928" s="37" t="str">
        <f>IF(Agent10_Savings!A133="","",Agent10_Savings!J133)</f>
        <v/>
      </c>
      <c r="J1928" s="37" t="str">
        <f>IF(Agent10_Savings!A133="","",Agent10_Savings!K133)</f>
        <v/>
      </c>
      <c r="K1928" s="37" t="str">
        <f>IFERROR(IF(Agent10_Savings!A133="","",YEAR(Agent10_Savings!D133)),"")</f>
        <v/>
      </c>
    </row>
    <row r="1929" spans="1:11" ht="18" customHeight="1" x14ac:dyDescent="0.25">
      <c r="A1929" s="37" t="str">
        <f>IF(Agent10_Savings!A134="","",Agent10_Savings!A134)</f>
        <v/>
      </c>
      <c r="B1929" s="37" t="str">
        <f ca="1">IF(Agent10_Savings!A134="","","SV"&amp;TEXT(1929-3,"0000")&amp;"-"&amp;TEXT(TODAY(),"YYYYMMDD"))</f>
        <v/>
      </c>
      <c r="C1929" s="37" t="str">
        <f>IF(Agent10_Savings!A134="","",Agent10_Savings!B134)</f>
        <v/>
      </c>
      <c r="D1929" s="37" t="str">
        <f>IF(Agent10_Savings!A134="","",Agent10_Savings!G134)</f>
        <v/>
      </c>
      <c r="E1929" s="38" t="str">
        <f>IF(Agent10_Savings!A134="","",Agent10_Savings!D134)</f>
        <v/>
      </c>
      <c r="F1929" s="39" t="str">
        <f>IF(Agent10_Savings!A134="","",Agent10_Savings!E134)</f>
        <v/>
      </c>
      <c r="G1929" s="39" t="str">
        <f>IF(Agent10_Savings!A134="","",Agent10_Savings!F134)</f>
        <v/>
      </c>
      <c r="H1929" s="37" t="str">
        <f>IF(Agent10_Savings!A134="","",Agent10_Savings!I134)</f>
        <v/>
      </c>
      <c r="I1929" s="37" t="str">
        <f>IF(Agent10_Savings!A134="","",Agent10_Savings!J134)</f>
        <v/>
      </c>
      <c r="J1929" s="37" t="str">
        <f>IF(Agent10_Savings!A134="","",Agent10_Savings!K134)</f>
        <v/>
      </c>
      <c r="K1929" s="37" t="str">
        <f>IFERROR(IF(Agent10_Savings!A134="","",YEAR(Agent10_Savings!D134)),"")</f>
        <v/>
      </c>
    </row>
    <row r="1930" spans="1:11" ht="18" customHeight="1" x14ac:dyDescent="0.25">
      <c r="A1930" s="37" t="str">
        <f>IF(Agent10_Savings!A135="","",Agent10_Savings!A135)</f>
        <v/>
      </c>
      <c r="B1930" s="37" t="str">
        <f ca="1">IF(Agent10_Savings!A135="","","SV"&amp;TEXT(1930-3,"0000")&amp;"-"&amp;TEXT(TODAY(),"YYYYMMDD"))</f>
        <v/>
      </c>
      <c r="C1930" s="37" t="str">
        <f>IF(Agent10_Savings!A135="","",Agent10_Savings!B135)</f>
        <v/>
      </c>
      <c r="D1930" s="37" t="str">
        <f>IF(Agent10_Savings!A135="","",Agent10_Savings!G135)</f>
        <v/>
      </c>
      <c r="E1930" s="38" t="str">
        <f>IF(Agent10_Savings!A135="","",Agent10_Savings!D135)</f>
        <v/>
      </c>
      <c r="F1930" s="39" t="str">
        <f>IF(Agent10_Savings!A135="","",Agent10_Savings!E135)</f>
        <v/>
      </c>
      <c r="G1930" s="39" t="str">
        <f>IF(Agent10_Savings!A135="","",Agent10_Savings!F135)</f>
        <v/>
      </c>
      <c r="H1930" s="37" t="str">
        <f>IF(Agent10_Savings!A135="","",Agent10_Savings!I135)</f>
        <v/>
      </c>
      <c r="I1930" s="37" t="str">
        <f>IF(Agent10_Savings!A135="","",Agent10_Savings!J135)</f>
        <v/>
      </c>
      <c r="J1930" s="37" t="str">
        <f>IF(Agent10_Savings!A135="","",Agent10_Savings!K135)</f>
        <v/>
      </c>
      <c r="K1930" s="37" t="str">
        <f>IFERROR(IF(Agent10_Savings!A135="","",YEAR(Agent10_Savings!D135)),"")</f>
        <v/>
      </c>
    </row>
    <row r="1931" spans="1:11" ht="18" customHeight="1" x14ac:dyDescent="0.25">
      <c r="A1931" s="37" t="str">
        <f>IF(Agent10_Savings!A136="","",Agent10_Savings!A136)</f>
        <v/>
      </c>
      <c r="B1931" s="37" t="str">
        <f ca="1">IF(Agent10_Savings!A136="","","SV"&amp;TEXT(1931-3,"0000")&amp;"-"&amp;TEXT(TODAY(),"YYYYMMDD"))</f>
        <v/>
      </c>
      <c r="C1931" s="37" t="str">
        <f>IF(Agent10_Savings!A136="","",Agent10_Savings!B136)</f>
        <v/>
      </c>
      <c r="D1931" s="37" t="str">
        <f>IF(Agent10_Savings!A136="","",Agent10_Savings!G136)</f>
        <v/>
      </c>
      <c r="E1931" s="38" t="str">
        <f>IF(Agent10_Savings!A136="","",Agent10_Savings!D136)</f>
        <v/>
      </c>
      <c r="F1931" s="39" t="str">
        <f>IF(Agent10_Savings!A136="","",Agent10_Savings!E136)</f>
        <v/>
      </c>
      <c r="G1931" s="39" t="str">
        <f>IF(Agent10_Savings!A136="","",Agent10_Savings!F136)</f>
        <v/>
      </c>
      <c r="H1931" s="37" t="str">
        <f>IF(Agent10_Savings!A136="","",Agent10_Savings!I136)</f>
        <v/>
      </c>
      <c r="I1931" s="37" t="str">
        <f>IF(Agent10_Savings!A136="","",Agent10_Savings!J136)</f>
        <v/>
      </c>
      <c r="J1931" s="37" t="str">
        <f>IF(Agent10_Savings!A136="","",Agent10_Savings!K136)</f>
        <v/>
      </c>
      <c r="K1931" s="37" t="str">
        <f>IFERROR(IF(Agent10_Savings!A136="","",YEAR(Agent10_Savings!D136)),"")</f>
        <v/>
      </c>
    </row>
    <row r="1932" spans="1:11" ht="18" customHeight="1" x14ac:dyDescent="0.25">
      <c r="A1932" s="37" t="str">
        <f>IF(Agent10_Savings!A137="","",Agent10_Savings!A137)</f>
        <v/>
      </c>
      <c r="B1932" s="37" t="str">
        <f ca="1">IF(Agent10_Savings!A137="","","SV"&amp;TEXT(1932-3,"0000")&amp;"-"&amp;TEXT(TODAY(),"YYYYMMDD"))</f>
        <v/>
      </c>
      <c r="C1932" s="37" t="str">
        <f>IF(Agent10_Savings!A137="","",Agent10_Savings!B137)</f>
        <v/>
      </c>
      <c r="D1932" s="37" t="str">
        <f>IF(Agent10_Savings!A137="","",Agent10_Savings!G137)</f>
        <v/>
      </c>
      <c r="E1932" s="38" t="str">
        <f>IF(Agent10_Savings!A137="","",Agent10_Savings!D137)</f>
        <v/>
      </c>
      <c r="F1932" s="39" t="str">
        <f>IF(Agent10_Savings!A137="","",Agent10_Savings!E137)</f>
        <v/>
      </c>
      <c r="G1932" s="39" t="str">
        <f>IF(Agent10_Savings!A137="","",Agent10_Savings!F137)</f>
        <v/>
      </c>
      <c r="H1932" s="37" t="str">
        <f>IF(Agent10_Savings!A137="","",Agent10_Savings!I137)</f>
        <v/>
      </c>
      <c r="I1932" s="37" t="str">
        <f>IF(Agent10_Savings!A137="","",Agent10_Savings!J137)</f>
        <v/>
      </c>
      <c r="J1932" s="37" t="str">
        <f>IF(Agent10_Savings!A137="","",Agent10_Savings!K137)</f>
        <v/>
      </c>
      <c r="K1932" s="37" t="str">
        <f>IFERROR(IF(Agent10_Savings!A137="","",YEAR(Agent10_Savings!D137)),"")</f>
        <v/>
      </c>
    </row>
    <row r="1933" spans="1:11" ht="18" customHeight="1" x14ac:dyDescent="0.25">
      <c r="A1933" s="37" t="str">
        <f>IF(Agent10_Savings!A138="","",Agent10_Savings!A138)</f>
        <v/>
      </c>
      <c r="B1933" s="37" t="str">
        <f ca="1">IF(Agent10_Savings!A138="","","SV"&amp;TEXT(1933-3,"0000")&amp;"-"&amp;TEXT(TODAY(),"YYYYMMDD"))</f>
        <v/>
      </c>
      <c r="C1933" s="37" t="str">
        <f>IF(Agent10_Savings!A138="","",Agent10_Savings!B138)</f>
        <v/>
      </c>
      <c r="D1933" s="37" t="str">
        <f>IF(Agent10_Savings!A138="","",Agent10_Savings!G138)</f>
        <v/>
      </c>
      <c r="E1933" s="38" t="str">
        <f>IF(Agent10_Savings!A138="","",Agent10_Savings!D138)</f>
        <v/>
      </c>
      <c r="F1933" s="39" t="str">
        <f>IF(Agent10_Savings!A138="","",Agent10_Savings!E138)</f>
        <v/>
      </c>
      <c r="G1933" s="39" t="str">
        <f>IF(Agent10_Savings!A138="","",Agent10_Savings!F138)</f>
        <v/>
      </c>
      <c r="H1933" s="37" t="str">
        <f>IF(Agent10_Savings!A138="","",Agent10_Savings!I138)</f>
        <v/>
      </c>
      <c r="I1933" s="37" t="str">
        <f>IF(Agent10_Savings!A138="","",Agent10_Savings!J138)</f>
        <v/>
      </c>
      <c r="J1933" s="37" t="str">
        <f>IF(Agent10_Savings!A138="","",Agent10_Savings!K138)</f>
        <v/>
      </c>
      <c r="K1933" s="37" t="str">
        <f>IFERROR(IF(Agent10_Savings!A138="","",YEAR(Agent10_Savings!D138)),"")</f>
        <v/>
      </c>
    </row>
    <row r="1934" spans="1:11" ht="18" customHeight="1" x14ac:dyDescent="0.25">
      <c r="A1934" s="37" t="str">
        <f>IF(Agent10_Savings!A139="","",Agent10_Savings!A139)</f>
        <v/>
      </c>
      <c r="B1934" s="37" t="str">
        <f ca="1">IF(Agent10_Savings!A139="","","SV"&amp;TEXT(1934-3,"0000")&amp;"-"&amp;TEXT(TODAY(),"YYYYMMDD"))</f>
        <v/>
      </c>
      <c r="C1934" s="37" t="str">
        <f>IF(Agent10_Savings!A139="","",Agent10_Savings!B139)</f>
        <v/>
      </c>
      <c r="D1934" s="37" t="str">
        <f>IF(Agent10_Savings!A139="","",Agent10_Savings!G139)</f>
        <v/>
      </c>
      <c r="E1934" s="38" t="str">
        <f>IF(Agent10_Savings!A139="","",Agent10_Savings!D139)</f>
        <v/>
      </c>
      <c r="F1934" s="39" t="str">
        <f>IF(Agent10_Savings!A139="","",Agent10_Savings!E139)</f>
        <v/>
      </c>
      <c r="G1934" s="39" t="str">
        <f>IF(Agent10_Savings!A139="","",Agent10_Savings!F139)</f>
        <v/>
      </c>
      <c r="H1934" s="37" t="str">
        <f>IF(Agent10_Savings!A139="","",Agent10_Savings!I139)</f>
        <v/>
      </c>
      <c r="I1934" s="37" t="str">
        <f>IF(Agent10_Savings!A139="","",Agent10_Savings!J139)</f>
        <v/>
      </c>
      <c r="J1934" s="37" t="str">
        <f>IF(Agent10_Savings!A139="","",Agent10_Savings!K139)</f>
        <v/>
      </c>
      <c r="K1934" s="37" t="str">
        <f>IFERROR(IF(Agent10_Savings!A139="","",YEAR(Agent10_Savings!D139)),"")</f>
        <v/>
      </c>
    </row>
    <row r="1935" spans="1:11" ht="18" customHeight="1" x14ac:dyDescent="0.25">
      <c r="A1935" s="37" t="str">
        <f>IF(Agent10_Savings!A140="","",Agent10_Savings!A140)</f>
        <v/>
      </c>
      <c r="B1935" s="37" t="str">
        <f ca="1">IF(Agent10_Savings!A140="","","SV"&amp;TEXT(1935-3,"0000")&amp;"-"&amp;TEXT(TODAY(),"YYYYMMDD"))</f>
        <v/>
      </c>
      <c r="C1935" s="37" t="str">
        <f>IF(Agent10_Savings!A140="","",Agent10_Savings!B140)</f>
        <v/>
      </c>
      <c r="D1935" s="37" t="str">
        <f>IF(Agent10_Savings!A140="","",Agent10_Savings!G140)</f>
        <v/>
      </c>
      <c r="E1935" s="38" t="str">
        <f>IF(Agent10_Savings!A140="","",Agent10_Savings!D140)</f>
        <v/>
      </c>
      <c r="F1935" s="39" t="str">
        <f>IF(Agent10_Savings!A140="","",Agent10_Savings!E140)</f>
        <v/>
      </c>
      <c r="G1935" s="39" t="str">
        <f>IF(Agent10_Savings!A140="","",Agent10_Savings!F140)</f>
        <v/>
      </c>
      <c r="H1935" s="37" t="str">
        <f>IF(Agent10_Savings!A140="","",Agent10_Savings!I140)</f>
        <v/>
      </c>
      <c r="I1935" s="37" t="str">
        <f>IF(Agent10_Savings!A140="","",Agent10_Savings!J140)</f>
        <v/>
      </c>
      <c r="J1935" s="37" t="str">
        <f>IF(Agent10_Savings!A140="","",Agent10_Savings!K140)</f>
        <v/>
      </c>
      <c r="K1935" s="37" t="str">
        <f>IFERROR(IF(Agent10_Savings!A140="","",YEAR(Agent10_Savings!D140)),"")</f>
        <v/>
      </c>
    </row>
    <row r="1936" spans="1:11" ht="18" customHeight="1" x14ac:dyDescent="0.25">
      <c r="A1936" s="37" t="str">
        <f>IF(Agent10_Savings!A141="","",Agent10_Savings!A141)</f>
        <v/>
      </c>
      <c r="B1936" s="37" t="str">
        <f ca="1">IF(Agent10_Savings!A141="","","SV"&amp;TEXT(1936-3,"0000")&amp;"-"&amp;TEXT(TODAY(),"YYYYMMDD"))</f>
        <v/>
      </c>
      <c r="C1936" s="37" t="str">
        <f>IF(Agent10_Savings!A141="","",Agent10_Savings!B141)</f>
        <v/>
      </c>
      <c r="D1936" s="37" t="str">
        <f>IF(Agent10_Savings!A141="","",Agent10_Savings!G141)</f>
        <v/>
      </c>
      <c r="E1936" s="38" t="str">
        <f>IF(Agent10_Savings!A141="","",Agent10_Savings!D141)</f>
        <v/>
      </c>
      <c r="F1936" s="39" t="str">
        <f>IF(Agent10_Savings!A141="","",Agent10_Savings!E141)</f>
        <v/>
      </c>
      <c r="G1936" s="39" t="str">
        <f>IF(Agent10_Savings!A141="","",Agent10_Savings!F141)</f>
        <v/>
      </c>
      <c r="H1936" s="37" t="str">
        <f>IF(Agent10_Savings!A141="","",Agent10_Savings!I141)</f>
        <v/>
      </c>
      <c r="I1936" s="37" t="str">
        <f>IF(Agent10_Savings!A141="","",Agent10_Savings!J141)</f>
        <v/>
      </c>
      <c r="J1936" s="37" t="str">
        <f>IF(Agent10_Savings!A141="","",Agent10_Savings!K141)</f>
        <v/>
      </c>
      <c r="K1936" s="37" t="str">
        <f>IFERROR(IF(Agent10_Savings!A141="","",YEAR(Agent10_Savings!D141)),"")</f>
        <v/>
      </c>
    </row>
    <row r="1937" spans="1:11" ht="18" customHeight="1" x14ac:dyDescent="0.25">
      <c r="A1937" s="37" t="str">
        <f>IF(Agent10_Savings!A142="","",Agent10_Savings!A142)</f>
        <v/>
      </c>
      <c r="B1937" s="37" t="str">
        <f ca="1">IF(Agent10_Savings!A142="","","SV"&amp;TEXT(1937-3,"0000")&amp;"-"&amp;TEXT(TODAY(),"YYYYMMDD"))</f>
        <v/>
      </c>
      <c r="C1937" s="37" t="str">
        <f>IF(Agent10_Savings!A142="","",Agent10_Savings!B142)</f>
        <v/>
      </c>
      <c r="D1937" s="37" t="str">
        <f>IF(Agent10_Savings!A142="","",Agent10_Savings!G142)</f>
        <v/>
      </c>
      <c r="E1937" s="38" t="str">
        <f>IF(Agent10_Savings!A142="","",Agent10_Savings!D142)</f>
        <v/>
      </c>
      <c r="F1937" s="39" t="str">
        <f>IF(Agent10_Savings!A142="","",Agent10_Savings!E142)</f>
        <v/>
      </c>
      <c r="G1937" s="39" t="str">
        <f>IF(Agent10_Savings!A142="","",Agent10_Savings!F142)</f>
        <v/>
      </c>
      <c r="H1937" s="37" t="str">
        <f>IF(Agent10_Savings!A142="","",Agent10_Savings!I142)</f>
        <v/>
      </c>
      <c r="I1937" s="37" t="str">
        <f>IF(Agent10_Savings!A142="","",Agent10_Savings!J142)</f>
        <v/>
      </c>
      <c r="J1937" s="37" t="str">
        <f>IF(Agent10_Savings!A142="","",Agent10_Savings!K142)</f>
        <v/>
      </c>
      <c r="K1937" s="37" t="str">
        <f>IFERROR(IF(Agent10_Savings!A142="","",YEAR(Agent10_Savings!D142)),"")</f>
        <v/>
      </c>
    </row>
    <row r="1938" spans="1:11" ht="18" customHeight="1" x14ac:dyDescent="0.25">
      <c r="A1938" s="37" t="str">
        <f>IF(Agent10_Savings!A143="","",Agent10_Savings!A143)</f>
        <v/>
      </c>
      <c r="B1938" s="37" t="str">
        <f ca="1">IF(Agent10_Savings!A143="","","SV"&amp;TEXT(1938-3,"0000")&amp;"-"&amp;TEXT(TODAY(),"YYYYMMDD"))</f>
        <v/>
      </c>
      <c r="C1938" s="37" t="str">
        <f>IF(Agent10_Savings!A143="","",Agent10_Savings!B143)</f>
        <v/>
      </c>
      <c r="D1938" s="37" t="str">
        <f>IF(Agent10_Savings!A143="","",Agent10_Savings!G143)</f>
        <v/>
      </c>
      <c r="E1938" s="38" t="str">
        <f>IF(Agent10_Savings!A143="","",Agent10_Savings!D143)</f>
        <v/>
      </c>
      <c r="F1938" s="39" t="str">
        <f>IF(Agent10_Savings!A143="","",Agent10_Savings!E143)</f>
        <v/>
      </c>
      <c r="G1938" s="39" t="str">
        <f>IF(Agent10_Savings!A143="","",Agent10_Savings!F143)</f>
        <v/>
      </c>
      <c r="H1938" s="37" t="str">
        <f>IF(Agent10_Savings!A143="","",Agent10_Savings!I143)</f>
        <v/>
      </c>
      <c r="I1938" s="37" t="str">
        <f>IF(Agent10_Savings!A143="","",Agent10_Savings!J143)</f>
        <v/>
      </c>
      <c r="J1938" s="37" t="str">
        <f>IF(Agent10_Savings!A143="","",Agent10_Savings!K143)</f>
        <v/>
      </c>
      <c r="K1938" s="37" t="str">
        <f>IFERROR(IF(Agent10_Savings!A143="","",YEAR(Agent10_Savings!D143)),"")</f>
        <v/>
      </c>
    </row>
    <row r="1939" spans="1:11" ht="18" customHeight="1" x14ac:dyDescent="0.25">
      <c r="A1939" s="37" t="str">
        <f>IF(Agent10_Savings!A144="","",Agent10_Savings!A144)</f>
        <v/>
      </c>
      <c r="B1939" s="37" t="str">
        <f ca="1">IF(Agent10_Savings!A144="","","SV"&amp;TEXT(1939-3,"0000")&amp;"-"&amp;TEXT(TODAY(),"YYYYMMDD"))</f>
        <v/>
      </c>
      <c r="C1939" s="37" t="str">
        <f>IF(Agent10_Savings!A144="","",Agent10_Savings!B144)</f>
        <v/>
      </c>
      <c r="D1939" s="37" t="str">
        <f>IF(Agent10_Savings!A144="","",Agent10_Savings!G144)</f>
        <v/>
      </c>
      <c r="E1939" s="38" t="str">
        <f>IF(Agent10_Savings!A144="","",Agent10_Savings!D144)</f>
        <v/>
      </c>
      <c r="F1939" s="39" t="str">
        <f>IF(Agent10_Savings!A144="","",Agent10_Savings!E144)</f>
        <v/>
      </c>
      <c r="G1939" s="39" t="str">
        <f>IF(Agent10_Savings!A144="","",Agent10_Savings!F144)</f>
        <v/>
      </c>
      <c r="H1939" s="37" t="str">
        <f>IF(Agent10_Savings!A144="","",Agent10_Savings!I144)</f>
        <v/>
      </c>
      <c r="I1939" s="37" t="str">
        <f>IF(Agent10_Savings!A144="","",Agent10_Savings!J144)</f>
        <v/>
      </c>
      <c r="J1939" s="37" t="str">
        <f>IF(Agent10_Savings!A144="","",Agent10_Savings!K144)</f>
        <v/>
      </c>
      <c r="K1939" s="37" t="str">
        <f>IFERROR(IF(Agent10_Savings!A144="","",YEAR(Agent10_Savings!D144)),"")</f>
        <v/>
      </c>
    </row>
    <row r="1940" spans="1:11" ht="18" customHeight="1" x14ac:dyDescent="0.25">
      <c r="A1940" s="37" t="str">
        <f>IF(Agent10_Savings!A145="","",Agent10_Savings!A145)</f>
        <v/>
      </c>
      <c r="B1940" s="37" t="str">
        <f ca="1">IF(Agent10_Savings!A145="","","SV"&amp;TEXT(1940-3,"0000")&amp;"-"&amp;TEXT(TODAY(),"YYYYMMDD"))</f>
        <v/>
      </c>
      <c r="C1940" s="37" t="str">
        <f>IF(Agent10_Savings!A145="","",Agent10_Savings!B145)</f>
        <v/>
      </c>
      <c r="D1940" s="37" t="str">
        <f>IF(Agent10_Savings!A145="","",Agent10_Savings!G145)</f>
        <v/>
      </c>
      <c r="E1940" s="38" t="str">
        <f>IF(Agent10_Savings!A145="","",Agent10_Savings!D145)</f>
        <v/>
      </c>
      <c r="F1940" s="39" t="str">
        <f>IF(Agent10_Savings!A145="","",Agent10_Savings!E145)</f>
        <v/>
      </c>
      <c r="G1940" s="39" t="str">
        <f>IF(Agent10_Savings!A145="","",Agent10_Savings!F145)</f>
        <v/>
      </c>
      <c r="H1940" s="37" t="str">
        <f>IF(Agent10_Savings!A145="","",Agent10_Savings!I145)</f>
        <v/>
      </c>
      <c r="I1940" s="37" t="str">
        <f>IF(Agent10_Savings!A145="","",Agent10_Savings!J145)</f>
        <v/>
      </c>
      <c r="J1940" s="37" t="str">
        <f>IF(Agent10_Savings!A145="","",Agent10_Savings!K145)</f>
        <v/>
      </c>
      <c r="K1940" s="37" t="str">
        <f>IFERROR(IF(Agent10_Savings!A145="","",YEAR(Agent10_Savings!D145)),"")</f>
        <v/>
      </c>
    </row>
    <row r="1941" spans="1:11" ht="18" customHeight="1" x14ac:dyDescent="0.25">
      <c r="A1941" s="37" t="str">
        <f>IF(Agent10_Savings!A146="","",Agent10_Savings!A146)</f>
        <v/>
      </c>
      <c r="B1941" s="37" t="str">
        <f ca="1">IF(Agent10_Savings!A146="","","SV"&amp;TEXT(1941-3,"0000")&amp;"-"&amp;TEXT(TODAY(),"YYYYMMDD"))</f>
        <v/>
      </c>
      <c r="C1941" s="37" t="str">
        <f>IF(Agent10_Savings!A146="","",Agent10_Savings!B146)</f>
        <v/>
      </c>
      <c r="D1941" s="37" t="str">
        <f>IF(Agent10_Savings!A146="","",Agent10_Savings!G146)</f>
        <v/>
      </c>
      <c r="E1941" s="38" t="str">
        <f>IF(Agent10_Savings!A146="","",Agent10_Savings!D146)</f>
        <v/>
      </c>
      <c r="F1941" s="39" t="str">
        <f>IF(Agent10_Savings!A146="","",Agent10_Savings!E146)</f>
        <v/>
      </c>
      <c r="G1941" s="39" t="str">
        <f>IF(Agent10_Savings!A146="","",Agent10_Savings!F146)</f>
        <v/>
      </c>
      <c r="H1941" s="37" t="str">
        <f>IF(Agent10_Savings!A146="","",Agent10_Savings!I146)</f>
        <v/>
      </c>
      <c r="I1941" s="37" t="str">
        <f>IF(Agent10_Savings!A146="","",Agent10_Savings!J146)</f>
        <v/>
      </c>
      <c r="J1941" s="37" t="str">
        <f>IF(Agent10_Savings!A146="","",Agent10_Savings!K146)</f>
        <v/>
      </c>
      <c r="K1941" s="37" t="str">
        <f>IFERROR(IF(Agent10_Savings!A146="","",YEAR(Agent10_Savings!D146)),"")</f>
        <v/>
      </c>
    </row>
    <row r="1942" spans="1:11" ht="18" customHeight="1" x14ac:dyDescent="0.25">
      <c r="A1942" s="37" t="str">
        <f>IF(Agent10_Savings!A147="","",Agent10_Savings!A147)</f>
        <v/>
      </c>
      <c r="B1942" s="37" t="str">
        <f ca="1">IF(Agent10_Savings!A147="","","SV"&amp;TEXT(1942-3,"0000")&amp;"-"&amp;TEXT(TODAY(),"YYYYMMDD"))</f>
        <v/>
      </c>
      <c r="C1942" s="37" t="str">
        <f>IF(Agent10_Savings!A147="","",Agent10_Savings!B147)</f>
        <v/>
      </c>
      <c r="D1942" s="37" t="str">
        <f>IF(Agent10_Savings!A147="","",Agent10_Savings!G147)</f>
        <v/>
      </c>
      <c r="E1942" s="38" t="str">
        <f>IF(Agent10_Savings!A147="","",Agent10_Savings!D147)</f>
        <v/>
      </c>
      <c r="F1942" s="39" t="str">
        <f>IF(Agent10_Savings!A147="","",Agent10_Savings!E147)</f>
        <v/>
      </c>
      <c r="G1942" s="39" t="str">
        <f>IF(Agent10_Savings!A147="","",Agent10_Savings!F147)</f>
        <v/>
      </c>
      <c r="H1942" s="37" t="str">
        <f>IF(Agent10_Savings!A147="","",Agent10_Savings!I147)</f>
        <v/>
      </c>
      <c r="I1942" s="37" t="str">
        <f>IF(Agent10_Savings!A147="","",Agent10_Savings!J147)</f>
        <v/>
      </c>
      <c r="J1942" s="37" t="str">
        <f>IF(Agent10_Savings!A147="","",Agent10_Savings!K147)</f>
        <v/>
      </c>
      <c r="K1942" s="37" t="str">
        <f>IFERROR(IF(Agent10_Savings!A147="","",YEAR(Agent10_Savings!D147)),"")</f>
        <v/>
      </c>
    </row>
    <row r="1943" spans="1:11" ht="18" customHeight="1" x14ac:dyDescent="0.25">
      <c r="A1943" s="37" t="str">
        <f>IF(Agent10_Savings!A148="","",Agent10_Savings!A148)</f>
        <v/>
      </c>
      <c r="B1943" s="37" t="str">
        <f ca="1">IF(Agent10_Savings!A148="","","SV"&amp;TEXT(1943-3,"0000")&amp;"-"&amp;TEXT(TODAY(),"YYYYMMDD"))</f>
        <v/>
      </c>
      <c r="C1943" s="37" t="str">
        <f>IF(Agent10_Savings!A148="","",Agent10_Savings!B148)</f>
        <v/>
      </c>
      <c r="D1943" s="37" t="str">
        <f>IF(Agent10_Savings!A148="","",Agent10_Savings!G148)</f>
        <v/>
      </c>
      <c r="E1943" s="38" t="str">
        <f>IF(Agent10_Savings!A148="","",Agent10_Savings!D148)</f>
        <v/>
      </c>
      <c r="F1943" s="39" t="str">
        <f>IF(Agent10_Savings!A148="","",Agent10_Savings!E148)</f>
        <v/>
      </c>
      <c r="G1943" s="39" t="str">
        <f>IF(Agent10_Savings!A148="","",Agent10_Savings!F148)</f>
        <v/>
      </c>
      <c r="H1943" s="37" t="str">
        <f>IF(Agent10_Savings!A148="","",Agent10_Savings!I148)</f>
        <v/>
      </c>
      <c r="I1943" s="37" t="str">
        <f>IF(Agent10_Savings!A148="","",Agent10_Savings!J148)</f>
        <v/>
      </c>
      <c r="J1943" s="37" t="str">
        <f>IF(Agent10_Savings!A148="","",Agent10_Savings!K148)</f>
        <v/>
      </c>
      <c r="K1943" s="37" t="str">
        <f>IFERROR(IF(Agent10_Savings!A148="","",YEAR(Agent10_Savings!D148)),"")</f>
        <v/>
      </c>
    </row>
    <row r="1944" spans="1:11" ht="18" customHeight="1" x14ac:dyDescent="0.25">
      <c r="A1944" s="37" t="str">
        <f>IF(Agent10_Savings!A149="","",Agent10_Savings!A149)</f>
        <v/>
      </c>
      <c r="B1944" s="37" t="str">
        <f ca="1">IF(Agent10_Savings!A149="","","SV"&amp;TEXT(1944-3,"0000")&amp;"-"&amp;TEXT(TODAY(),"YYYYMMDD"))</f>
        <v/>
      </c>
      <c r="C1944" s="37" t="str">
        <f>IF(Agent10_Savings!A149="","",Agent10_Savings!B149)</f>
        <v/>
      </c>
      <c r="D1944" s="37" t="str">
        <f>IF(Agent10_Savings!A149="","",Agent10_Savings!G149)</f>
        <v/>
      </c>
      <c r="E1944" s="38" t="str">
        <f>IF(Agent10_Savings!A149="","",Agent10_Savings!D149)</f>
        <v/>
      </c>
      <c r="F1944" s="39" t="str">
        <f>IF(Agent10_Savings!A149="","",Agent10_Savings!E149)</f>
        <v/>
      </c>
      <c r="G1944" s="39" t="str">
        <f>IF(Agent10_Savings!A149="","",Agent10_Savings!F149)</f>
        <v/>
      </c>
      <c r="H1944" s="37" t="str">
        <f>IF(Agent10_Savings!A149="","",Agent10_Savings!I149)</f>
        <v/>
      </c>
      <c r="I1944" s="37" t="str">
        <f>IF(Agent10_Savings!A149="","",Agent10_Savings!J149)</f>
        <v/>
      </c>
      <c r="J1944" s="37" t="str">
        <f>IF(Agent10_Savings!A149="","",Agent10_Savings!K149)</f>
        <v/>
      </c>
      <c r="K1944" s="37" t="str">
        <f>IFERROR(IF(Agent10_Savings!A149="","",YEAR(Agent10_Savings!D149)),"")</f>
        <v/>
      </c>
    </row>
    <row r="1945" spans="1:11" ht="18" customHeight="1" x14ac:dyDescent="0.25">
      <c r="A1945" s="37" t="str">
        <f>IF(Agent10_Savings!A150="","",Agent10_Savings!A150)</f>
        <v/>
      </c>
      <c r="B1945" s="37" t="str">
        <f ca="1">IF(Agent10_Savings!A150="","","SV"&amp;TEXT(1945-3,"0000")&amp;"-"&amp;TEXT(TODAY(),"YYYYMMDD"))</f>
        <v/>
      </c>
      <c r="C1945" s="37" t="str">
        <f>IF(Agent10_Savings!A150="","",Agent10_Savings!B150)</f>
        <v/>
      </c>
      <c r="D1945" s="37" t="str">
        <f>IF(Agent10_Savings!A150="","",Agent10_Savings!G150)</f>
        <v/>
      </c>
      <c r="E1945" s="38" t="str">
        <f>IF(Agent10_Savings!A150="","",Agent10_Savings!D150)</f>
        <v/>
      </c>
      <c r="F1945" s="39" t="str">
        <f>IF(Agent10_Savings!A150="","",Agent10_Savings!E150)</f>
        <v/>
      </c>
      <c r="G1945" s="39" t="str">
        <f>IF(Agent10_Savings!A150="","",Agent10_Savings!F150)</f>
        <v/>
      </c>
      <c r="H1945" s="37" t="str">
        <f>IF(Agent10_Savings!A150="","",Agent10_Savings!I150)</f>
        <v/>
      </c>
      <c r="I1945" s="37" t="str">
        <f>IF(Agent10_Savings!A150="","",Agent10_Savings!J150)</f>
        <v/>
      </c>
      <c r="J1945" s="37" t="str">
        <f>IF(Agent10_Savings!A150="","",Agent10_Savings!K150)</f>
        <v/>
      </c>
      <c r="K1945" s="37" t="str">
        <f>IFERROR(IF(Agent10_Savings!A150="","",YEAR(Agent10_Savings!D150)),"")</f>
        <v/>
      </c>
    </row>
    <row r="1946" spans="1:11" ht="18" customHeight="1" x14ac:dyDescent="0.25">
      <c r="A1946" s="37" t="str">
        <f>IF(Agent10_Savings!A151="","",Agent10_Savings!A151)</f>
        <v/>
      </c>
      <c r="B1946" s="37" t="str">
        <f ca="1">IF(Agent10_Savings!A151="","","SV"&amp;TEXT(1946-3,"0000")&amp;"-"&amp;TEXT(TODAY(),"YYYYMMDD"))</f>
        <v/>
      </c>
      <c r="C1946" s="37" t="str">
        <f>IF(Agent10_Savings!A151="","",Agent10_Savings!B151)</f>
        <v/>
      </c>
      <c r="D1946" s="37" t="str">
        <f>IF(Agent10_Savings!A151="","",Agent10_Savings!G151)</f>
        <v/>
      </c>
      <c r="E1946" s="38" t="str">
        <f>IF(Agent10_Savings!A151="","",Agent10_Savings!D151)</f>
        <v/>
      </c>
      <c r="F1946" s="39" t="str">
        <f>IF(Agent10_Savings!A151="","",Agent10_Savings!E151)</f>
        <v/>
      </c>
      <c r="G1946" s="39" t="str">
        <f>IF(Agent10_Savings!A151="","",Agent10_Savings!F151)</f>
        <v/>
      </c>
      <c r="H1946" s="37" t="str">
        <f>IF(Agent10_Savings!A151="","",Agent10_Savings!I151)</f>
        <v/>
      </c>
      <c r="I1946" s="37" t="str">
        <f>IF(Agent10_Savings!A151="","",Agent10_Savings!J151)</f>
        <v/>
      </c>
      <c r="J1946" s="37" t="str">
        <f>IF(Agent10_Savings!A151="","",Agent10_Savings!K151)</f>
        <v/>
      </c>
      <c r="K1946" s="37" t="str">
        <f>IFERROR(IF(Agent10_Savings!A151="","",YEAR(Agent10_Savings!D151)),"")</f>
        <v/>
      </c>
    </row>
    <row r="1947" spans="1:11" ht="18" customHeight="1" x14ac:dyDescent="0.25">
      <c r="A1947" s="37" t="str">
        <f>IF(Agent10_Savings!A152="","",Agent10_Savings!A152)</f>
        <v/>
      </c>
      <c r="B1947" s="37" t="str">
        <f ca="1">IF(Agent10_Savings!A152="","","SV"&amp;TEXT(1947-3,"0000")&amp;"-"&amp;TEXT(TODAY(),"YYYYMMDD"))</f>
        <v/>
      </c>
      <c r="C1947" s="37" t="str">
        <f>IF(Agent10_Savings!A152="","",Agent10_Savings!B152)</f>
        <v/>
      </c>
      <c r="D1947" s="37" t="str">
        <f>IF(Agent10_Savings!A152="","",Agent10_Savings!G152)</f>
        <v/>
      </c>
      <c r="E1947" s="38" t="str">
        <f>IF(Agent10_Savings!A152="","",Agent10_Savings!D152)</f>
        <v/>
      </c>
      <c r="F1947" s="39" t="str">
        <f>IF(Agent10_Savings!A152="","",Agent10_Savings!E152)</f>
        <v/>
      </c>
      <c r="G1947" s="39" t="str">
        <f>IF(Agent10_Savings!A152="","",Agent10_Savings!F152)</f>
        <v/>
      </c>
      <c r="H1947" s="37" t="str">
        <f>IF(Agent10_Savings!A152="","",Agent10_Savings!I152)</f>
        <v/>
      </c>
      <c r="I1947" s="37" t="str">
        <f>IF(Agent10_Savings!A152="","",Agent10_Savings!J152)</f>
        <v/>
      </c>
      <c r="J1947" s="37" t="str">
        <f>IF(Agent10_Savings!A152="","",Agent10_Savings!K152)</f>
        <v/>
      </c>
      <c r="K1947" s="37" t="str">
        <f>IFERROR(IF(Agent10_Savings!A152="","",YEAR(Agent10_Savings!D152)),"")</f>
        <v/>
      </c>
    </row>
    <row r="1948" spans="1:11" ht="18" customHeight="1" x14ac:dyDescent="0.25">
      <c r="A1948" s="37" t="str">
        <f>IF(Agent10_Savings!A153="","",Agent10_Savings!A153)</f>
        <v/>
      </c>
      <c r="B1948" s="37" t="str">
        <f ca="1">IF(Agent10_Savings!A153="","","SV"&amp;TEXT(1948-3,"0000")&amp;"-"&amp;TEXT(TODAY(),"YYYYMMDD"))</f>
        <v/>
      </c>
      <c r="C1948" s="37" t="str">
        <f>IF(Agent10_Savings!A153="","",Agent10_Savings!B153)</f>
        <v/>
      </c>
      <c r="D1948" s="37" t="str">
        <f>IF(Agent10_Savings!A153="","",Agent10_Savings!G153)</f>
        <v/>
      </c>
      <c r="E1948" s="38" t="str">
        <f>IF(Agent10_Savings!A153="","",Agent10_Savings!D153)</f>
        <v/>
      </c>
      <c r="F1948" s="39" t="str">
        <f>IF(Agent10_Savings!A153="","",Agent10_Savings!E153)</f>
        <v/>
      </c>
      <c r="G1948" s="39" t="str">
        <f>IF(Agent10_Savings!A153="","",Agent10_Savings!F153)</f>
        <v/>
      </c>
      <c r="H1948" s="37" t="str">
        <f>IF(Agent10_Savings!A153="","",Agent10_Savings!I153)</f>
        <v/>
      </c>
      <c r="I1948" s="37" t="str">
        <f>IF(Agent10_Savings!A153="","",Agent10_Savings!J153)</f>
        <v/>
      </c>
      <c r="J1948" s="37" t="str">
        <f>IF(Agent10_Savings!A153="","",Agent10_Savings!K153)</f>
        <v/>
      </c>
      <c r="K1948" s="37" t="str">
        <f>IFERROR(IF(Agent10_Savings!A153="","",YEAR(Agent10_Savings!D153)),"")</f>
        <v/>
      </c>
    </row>
    <row r="1949" spans="1:11" ht="18" customHeight="1" x14ac:dyDescent="0.25">
      <c r="A1949" s="37" t="str">
        <f>IF(Agent10_Savings!A154="","",Agent10_Savings!A154)</f>
        <v/>
      </c>
      <c r="B1949" s="37" t="str">
        <f ca="1">IF(Agent10_Savings!A154="","","SV"&amp;TEXT(1949-3,"0000")&amp;"-"&amp;TEXT(TODAY(),"YYYYMMDD"))</f>
        <v/>
      </c>
      <c r="C1949" s="37" t="str">
        <f>IF(Agent10_Savings!A154="","",Agent10_Savings!B154)</f>
        <v/>
      </c>
      <c r="D1949" s="37" t="str">
        <f>IF(Agent10_Savings!A154="","",Agent10_Savings!G154)</f>
        <v/>
      </c>
      <c r="E1949" s="38" t="str">
        <f>IF(Agent10_Savings!A154="","",Agent10_Savings!D154)</f>
        <v/>
      </c>
      <c r="F1949" s="39" t="str">
        <f>IF(Agent10_Savings!A154="","",Agent10_Savings!E154)</f>
        <v/>
      </c>
      <c r="G1949" s="39" t="str">
        <f>IF(Agent10_Savings!A154="","",Agent10_Savings!F154)</f>
        <v/>
      </c>
      <c r="H1949" s="37" t="str">
        <f>IF(Agent10_Savings!A154="","",Agent10_Savings!I154)</f>
        <v/>
      </c>
      <c r="I1949" s="37" t="str">
        <f>IF(Agent10_Savings!A154="","",Agent10_Savings!J154)</f>
        <v/>
      </c>
      <c r="J1949" s="37" t="str">
        <f>IF(Agent10_Savings!A154="","",Agent10_Savings!K154)</f>
        <v/>
      </c>
      <c r="K1949" s="37" t="str">
        <f>IFERROR(IF(Agent10_Savings!A154="","",YEAR(Agent10_Savings!D154)),"")</f>
        <v/>
      </c>
    </row>
    <row r="1950" spans="1:11" ht="18" customHeight="1" x14ac:dyDescent="0.25">
      <c r="A1950" s="37" t="str">
        <f>IF(Agent10_Savings!A155="","",Agent10_Savings!A155)</f>
        <v/>
      </c>
      <c r="B1950" s="37" t="str">
        <f ca="1">IF(Agent10_Savings!A155="","","SV"&amp;TEXT(1950-3,"0000")&amp;"-"&amp;TEXT(TODAY(),"YYYYMMDD"))</f>
        <v/>
      </c>
      <c r="C1950" s="37" t="str">
        <f>IF(Agent10_Savings!A155="","",Agent10_Savings!B155)</f>
        <v/>
      </c>
      <c r="D1950" s="37" t="str">
        <f>IF(Agent10_Savings!A155="","",Agent10_Savings!G155)</f>
        <v/>
      </c>
      <c r="E1950" s="38" t="str">
        <f>IF(Agent10_Savings!A155="","",Agent10_Savings!D155)</f>
        <v/>
      </c>
      <c r="F1950" s="39" t="str">
        <f>IF(Agent10_Savings!A155="","",Agent10_Savings!E155)</f>
        <v/>
      </c>
      <c r="G1950" s="39" t="str">
        <f>IF(Agent10_Savings!A155="","",Agent10_Savings!F155)</f>
        <v/>
      </c>
      <c r="H1950" s="37" t="str">
        <f>IF(Agent10_Savings!A155="","",Agent10_Savings!I155)</f>
        <v/>
      </c>
      <c r="I1950" s="37" t="str">
        <f>IF(Agent10_Savings!A155="","",Agent10_Savings!J155)</f>
        <v/>
      </c>
      <c r="J1950" s="37" t="str">
        <f>IF(Agent10_Savings!A155="","",Agent10_Savings!K155)</f>
        <v/>
      </c>
      <c r="K1950" s="37" t="str">
        <f>IFERROR(IF(Agent10_Savings!A155="","",YEAR(Agent10_Savings!D155)),"")</f>
        <v/>
      </c>
    </row>
    <row r="1951" spans="1:11" ht="18" customHeight="1" x14ac:dyDescent="0.25">
      <c r="A1951" s="37" t="str">
        <f>IF(Agent10_Savings!A156="","",Agent10_Savings!A156)</f>
        <v/>
      </c>
      <c r="B1951" s="37" t="str">
        <f ca="1">IF(Agent10_Savings!A156="","","SV"&amp;TEXT(1951-3,"0000")&amp;"-"&amp;TEXT(TODAY(),"YYYYMMDD"))</f>
        <v/>
      </c>
      <c r="C1951" s="37" t="str">
        <f>IF(Agent10_Savings!A156="","",Agent10_Savings!B156)</f>
        <v/>
      </c>
      <c r="D1951" s="37" t="str">
        <f>IF(Agent10_Savings!A156="","",Agent10_Savings!G156)</f>
        <v/>
      </c>
      <c r="E1951" s="38" t="str">
        <f>IF(Agent10_Savings!A156="","",Agent10_Savings!D156)</f>
        <v/>
      </c>
      <c r="F1951" s="39" t="str">
        <f>IF(Agent10_Savings!A156="","",Agent10_Savings!E156)</f>
        <v/>
      </c>
      <c r="G1951" s="39" t="str">
        <f>IF(Agent10_Savings!A156="","",Agent10_Savings!F156)</f>
        <v/>
      </c>
      <c r="H1951" s="37" t="str">
        <f>IF(Agent10_Savings!A156="","",Agent10_Savings!I156)</f>
        <v/>
      </c>
      <c r="I1951" s="37" t="str">
        <f>IF(Agent10_Savings!A156="","",Agent10_Savings!J156)</f>
        <v/>
      </c>
      <c r="J1951" s="37" t="str">
        <f>IF(Agent10_Savings!A156="","",Agent10_Savings!K156)</f>
        <v/>
      </c>
      <c r="K1951" s="37" t="str">
        <f>IFERROR(IF(Agent10_Savings!A156="","",YEAR(Agent10_Savings!D156)),"")</f>
        <v/>
      </c>
    </row>
    <row r="1952" spans="1:11" ht="18" customHeight="1" x14ac:dyDescent="0.25">
      <c r="A1952" s="37" t="str">
        <f>IF(Agent10_Savings!A157="","",Agent10_Savings!A157)</f>
        <v/>
      </c>
      <c r="B1952" s="37" t="str">
        <f ca="1">IF(Agent10_Savings!A157="","","SV"&amp;TEXT(1952-3,"0000")&amp;"-"&amp;TEXT(TODAY(),"YYYYMMDD"))</f>
        <v/>
      </c>
      <c r="C1952" s="37" t="str">
        <f>IF(Agent10_Savings!A157="","",Agent10_Savings!B157)</f>
        <v/>
      </c>
      <c r="D1952" s="37" t="str">
        <f>IF(Agent10_Savings!A157="","",Agent10_Savings!G157)</f>
        <v/>
      </c>
      <c r="E1952" s="38" t="str">
        <f>IF(Agent10_Savings!A157="","",Agent10_Savings!D157)</f>
        <v/>
      </c>
      <c r="F1952" s="39" t="str">
        <f>IF(Agent10_Savings!A157="","",Agent10_Savings!E157)</f>
        <v/>
      </c>
      <c r="G1952" s="39" t="str">
        <f>IF(Agent10_Savings!A157="","",Agent10_Savings!F157)</f>
        <v/>
      </c>
      <c r="H1952" s="37" t="str">
        <f>IF(Agent10_Savings!A157="","",Agent10_Savings!I157)</f>
        <v/>
      </c>
      <c r="I1952" s="37" t="str">
        <f>IF(Agent10_Savings!A157="","",Agent10_Savings!J157)</f>
        <v/>
      </c>
      <c r="J1952" s="37" t="str">
        <f>IF(Agent10_Savings!A157="","",Agent10_Savings!K157)</f>
        <v/>
      </c>
      <c r="K1952" s="37" t="str">
        <f>IFERROR(IF(Agent10_Savings!A157="","",YEAR(Agent10_Savings!D157)),"")</f>
        <v/>
      </c>
    </row>
    <row r="1953" spans="1:11" ht="18" customHeight="1" x14ac:dyDescent="0.25">
      <c r="A1953" s="37" t="str">
        <f>IF(Agent10_Savings!A158="","",Agent10_Savings!A158)</f>
        <v/>
      </c>
      <c r="B1953" s="37" t="str">
        <f ca="1">IF(Agent10_Savings!A158="","","SV"&amp;TEXT(1953-3,"0000")&amp;"-"&amp;TEXT(TODAY(),"YYYYMMDD"))</f>
        <v/>
      </c>
      <c r="C1953" s="37" t="str">
        <f>IF(Agent10_Savings!A158="","",Agent10_Savings!B158)</f>
        <v/>
      </c>
      <c r="D1953" s="37" t="str">
        <f>IF(Agent10_Savings!A158="","",Agent10_Savings!G158)</f>
        <v/>
      </c>
      <c r="E1953" s="38" t="str">
        <f>IF(Agent10_Savings!A158="","",Agent10_Savings!D158)</f>
        <v/>
      </c>
      <c r="F1953" s="39" t="str">
        <f>IF(Agent10_Savings!A158="","",Agent10_Savings!E158)</f>
        <v/>
      </c>
      <c r="G1953" s="39" t="str">
        <f>IF(Agent10_Savings!A158="","",Agent10_Savings!F158)</f>
        <v/>
      </c>
      <c r="H1953" s="37" t="str">
        <f>IF(Agent10_Savings!A158="","",Agent10_Savings!I158)</f>
        <v/>
      </c>
      <c r="I1953" s="37" t="str">
        <f>IF(Agent10_Savings!A158="","",Agent10_Savings!J158)</f>
        <v/>
      </c>
      <c r="J1953" s="37" t="str">
        <f>IF(Agent10_Savings!A158="","",Agent10_Savings!K158)</f>
        <v/>
      </c>
      <c r="K1953" s="37" t="str">
        <f>IFERROR(IF(Agent10_Savings!A158="","",YEAR(Agent10_Savings!D158)),"")</f>
        <v/>
      </c>
    </row>
    <row r="1954" spans="1:11" ht="18" customHeight="1" x14ac:dyDescent="0.25">
      <c r="A1954" s="37" t="str">
        <f>IF(Agent10_Savings!A159="","",Agent10_Savings!A159)</f>
        <v/>
      </c>
      <c r="B1954" s="37" t="str">
        <f ca="1">IF(Agent10_Savings!A159="","","SV"&amp;TEXT(1954-3,"0000")&amp;"-"&amp;TEXT(TODAY(),"YYYYMMDD"))</f>
        <v/>
      </c>
      <c r="C1954" s="37" t="str">
        <f>IF(Agent10_Savings!A159="","",Agent10_Savings!B159)</f>
        <v/>
      </c>
      <c r="D1954" s="37" t="str">
        <f>IF(Agent10_Savings!A159="","",Agent10_Savings!G159)</f>
        <v/>
      </c>
      <c r="E1954" s="38" t="str">
        <f>IF(Agent10_Savings!A159="","",Agent10_Savings!D159)</f>
        <v/>
      </c>
      <c r="F1954" s="39" t="str">
        <f>IF(Agent10_Savings!A159="","",Agent10_Savings!E159)</f>
        <v/>
      </c>
      <c r="G1954" s="39" t="str">
        <f>IF(Agent10_Savings!A159="","",Agent10_Savings!F159)</f>
        <v/>
      </c>
      <c r="H1954" s="37" t="str">
        <f>IF(Agent10_Savings!A159="","",Agent10_Savings!I159)</f>
        <v/>
      </c>
      <c r="I1954" s="37" t="str">
        <f>IF(Agent10_Savings!A159="","",Agent10_Savings!J159)</f>
        <v/>
      </c>
      <c r="J1954" s="37" t="str">
        <f>IF(Agent10_Savings!A159="","",Agent10_Savings!K159)</f>
        <v/>
      </c>
      <c r="K1954" s="37" t="str">
        <f>IFERROR(IF(Agent10_Savings!A159="","",YEAR(Agent10_Savings!D159)),"")</f>
        <v/>
      </c>
    </row>
    <row r="1955" spans="1:11" ht="18" customHeight="1" x14ac:dyDescent="0.25">
      <c r="A1955" s="37" t="str">
        <f>IF(Agent10_Savings!A160="","",Agent10_Savings!A160)</f>
        <v/>
      </c>
      <c r="B1955" s="37" t="str">
        <f ca="1">IF(Agent10_Savings!A160="","","SV"&amp;TEXT(1955-3,"0000")&amp;"-"&amp;TEXT(TODAY(),"YYYYMMDD"))</f>
        <v/>
      </c>
      <c r="C1955" s="37" t="str">
        <f>IF(Agent10_Savings!A160="","",Agent10_Savings!B160)</f>
        <v/>
      </c>
      <c r="D1955" s="37" t="str">
        <f>IF(Agent10_Savings!A160="","",Agent10_Savings!G160)</f>
        <v/>
      </c>
      <c r="E1955" s="38" t="str">
        <f>IF(Agent10_Savings!A160="","",Agent10_Savings!D160)</f>
        <v/>
      </c>
      <c r="F1955" s="39" t="str">
        <f>IF(Agent10_Savings!A160="","",Agent10_Savings!E160)</f>
        <v/>
      </c>
      <c r="G1955" s="39" t="str">
        <f>IF(Agent10_Savings!A160="","",Agent10_Savings!F160)</f>
        <v/>
      </c>
      <c r="H1955" s="37" t="str">
        <f>IF(Agent10_Savings!A160="","",Agent10_Savings!I160)</f>
        <v/>
      </c>
      <c r="I1955" s="37" t="str">
        <f>IF(Agent10_Savings!A160="","",Agent10_Savings!J160)</f>
        <v/>
      </c>
      <c r="J1955" s="37" t="str">
        <f>IF(Agent10_Savings!A160="","",Agent10_Savings!K160)</f>
        <v/>
      </c>
      <c r="K1955" s="37" t="str">
        <f>IFERROR(IF(Agent10_Savings!A160="","",YEAR(Agent10_Savings!D160)),"")</f>
        <v/>
      </c>
    </row>
    <row r="1956" spans="1:11" ht="18" customHeight="1" x14ac:dyDescent="0.25">
      <c r="A1956" s="37" t="str">
        <f>IF(Agent10_Savings!A161="","",Agent10_Savings!A161)</f>
        <v/>
      </c>
      <c r="B1956" s="37" t="str">
        <f ca="1">IF(Agent10_Savings!A161="","","SV"&amp;TEXT(1956-3,"0000")&amp;"-"&amp;TEXT(TODAY(),"YYYYMMDD"))</f>
        <v/>
      </c>
      <c r="C1956" s="37" t="str">
        <f>IF(Agent10_Savings!A161="","",Agent10_Savings!B161)</f>
        <v/>
      </c>
      <c r="D1956" s="37" t="str">
        <f>IF(Agent10_Savings!A161="","",Agent10_Savings!G161)</f>
        <v/>
      </c>
      <c r="E1956" s="38" t="str">
        <f>IF(Agent10_Savings!A161="","",Agent10_Savings!D161)</f>
        <v/>
      </c>
      <c r="F1956" s="39" t="str">
        <f>IF(Agent10_Savings!A161="","",Agent10_Savings!E161)</f>
        <v/>
      </c>
      <c r="G1956" s="39" t="str">
        <f>IF(Agent10_Savings!A161="","",Agent10_Savings!F161)</f>
        <v/>
      </c>
      <c r="H1956" s="37" t="str">
        <f>IF(Agent10_Savings!A161="","",Agent10_Savings!I161)</f>
        <v/>
      </c>
      <c r="I1956" s="37" t="str">
        <f>IF(Agent10_Savings!A161="","",Agent10_Savings!J161)</f>
        <v/>
      </c>
      <c r="J1956" s="37" t="str">
        <f>IF(Agent10_Savings!A161="","",Agent10_Savings!K161)</f>
        <v/>
      </c>
      <c r="K1956" s="37" t="str">
        <f>IFERROR(IF(Agent10_Savings!A161="","",YEAR(Agent10_Savings!D161)),"")</f>
        <v/>
      </c>
    </row>
    <row r="1957" spans="1:11" ht="18" customHeight="1" x14ac:dyDescent="0.25">
      <c r="A1957" s="37" t="str">
        <f>IF(Agent10_Savings!A162="","",Agent10_Savings!A162)</f>
        <v/>
      </c>
      <c r="B1957" s="37" t="str">
        <f ca="1">IF(Agent10_Savings!A162="","","SV"&amp;TEXT(1957-3,"0000")&amp;"-"&amp;TEXT(TODAY(),"YYYYMMDD"))</f>
        <v/>
      </c>
      <c r="C1957" s="37" t="str">
        <f>IF(Agent10_Savings!A162="","",Agent10_Savings!B162)</f>
        <v/>
      </c>
      <c r="D1957" s="37" t="str">
        <f>IF(Agent10_Savings!A162="","",Agent10_Savings!G162)</f>
        <v/>
      </c>
      <c r="E1957" s="38" t="str">
        <f>IF(Agent10_Savings!A162="","",Agent10_Savings!D162)</f>
        <v/>
      </c>
      <c r="F1957" s="39" t="str">
        <f>IF(Agent10_Savings!A162="","",Agent10_Savings!E162)</f>
        <v/>
      </c>
      <c r="G1957" s="39" t="str">
        <f>IF(Agent10_Savings!A162="","",Agent10_Savings!F162)</f>
        <v/>
      </c>
      <c r="H1957" s="37" t="str">
        <f>IF(Agent10_Savings!A162="","",Agent10_Savings!I162)</f>
        <v/>
      </c>
      <c r="I1957" s="37" t="str">
        <f>IF(Agent10_Savings!A162="","",Agent10_Savings!J162)</f>
        <v/>
      </c>
      <c r="J1957" s="37" t="str">
        <f>IF(Agent10_Savings!A162="","",Agent10_Savings!K162)</f>
        <v/>
      </c>
      <c r="K1957" s="37" t="str">
        <f>IFERROR(IF(Agent10_Savings!A162="","",YEAR(Agent10_Savings!D162)),"")</f>
        <v/>
      </c>
    </row>
    <row r="1958" spans="1:11" ht="18" customHeight="1" x14ac:dyDescent="0.25">
      <c r="A1958" s="37" t="str">
        <f>IF(Agent10_Savings!A163="","",Agent10_Savings!A163)</f>
        <v/>
      </c>
      <c r="B1958" s="37" t="str">
        <f ca="1">IF(Agent10_Savings!A163="","","SV"&amp;TEXT(1958-3,"0000")&amp;"-"&amp;TEXT(TODAY(),"YYYYMMDD"))</f>
        <v/>
      </c>
      <c r="C1958" s="37" t="str">
        <f>IF(Agent10_Savings!A163="","",Agent10_Savings!B163)</f>
        <v/>
      </c>
      <c r="D1958" s="37" t="str">
        <f>IF(Agent10_Savings!A163="","",Agent10_Savings!G163)</f>
        <v/>
      </c>
      <c r="E1958" s="38" t="str">
        <f>IF(Agent10_Savings!A163="","",Agent10_Savings!D163)</f>
        <v/>
      </c>
      <c r="F1958" s="39" t="str">
        <f>IF(Agent10_Savings!A163="","",Agent10_Savings!E163)</f>
        <v/>
      </c>
      <c r="G1958" s="39" t="str">
        <f>IF(Agent10_Savings!A163="","",Agent10_Savings!F163)</f>
        <v/>
      </c>
      <c r="H1958" s="37" t="str">
        <f>IF(Agent10_Savings!A163="","",Agent10_Savings!I163)</f>
        <v/>
      </c>
      <c r="I1958" s="37" t="str">
        <f>IF(Agent10_Savings!A163="","",Agent10_Savings!J163)</f>
        <v/>
      </c>
      <c r="J1958" s="37" t="str">
        <f>IF(Agent10_Savings!A163="","",Agent10_Savings!K163)</f>
        <v/>
      </c>
      <c r="K1958" s="37" t="str">
        <f>IFERROR(IF(Agent10_Savings!A163="","",YEAR(Agent10_Savings!D163)),"")</f>
        <v/>
      </c>
    </row>
    <row r="1959" spans="1:11" ht="18" customHeight="1" x14ac:dyDescent="0.25">
      <c r="A1959" s="37" t="str">
        <f>IF(Agent10_Savings!A164="","",Agent10_Savings!A164)</f>
        <v/>
      </c>
      <c r="B1959" s="37" t="str">
        <f ca="1">IF(Agent10_Savings!A164="","","SV"&amp;TEXT(1959-3,"0000")&amp;"-"&amp;TEXT(TODAY(),"YYYYMMDD"))</f>
        <v/>
      </c>
      <c r="C1959" s="37" t="str">
        <f>IF(Agent10_Savings!A164="","",Agent10_Savings!B164)</f>
        <v/>
      </c>
      <c r="D1959" s="37" t="str">
        <f>IF(Agent10_Savings!A164="","",Agent10_Savings!G164)</f>
        <v/>
      </c>
      <c r="E1959" s="38" t="str">
        <f>IF(Agent10_Savings!A164="","",Agent10_Savings!D164)</f>
        <v/>
      </c>
      <c r="F1959" s="39" t="str">
        <f>IF(Agent10_Savings!A164="","",Agent10_Savings!E164)</f>
        <v/>
      </c>
      <c r="G1959" s="39" t="str">
        <f>IF(Agent10_Savings!A164="","",Agent10_Savings!F164)</f>
        <v/>
      </c>
      <c r="H1959" s="37" t="str">
        <f>IF(Agent10_Savings!A164="","",Agent10_Savings!I164)</f>
        <v/>
      </c>
      <c r="I1959" s="37" t="str">
        <f>IF(Agent10_Savings!A164="","",Agent10_Savings!J164)</f>
        <v/>
      </c>
      <c r="J1959" s="37" t="str">
        <f>IF(Agent10_Savings!A164="","",Agent10_Savings!K164)</f>
        <v/>
      </c>
      <c r="K1959" s="37" t="str">
        <f>IFERROR(IF(Agent10_Savings!A164="","",YEAR(Agent10_Savings!D164)),"")</f>
        <v/>
      </c>
    </row>
    <row r="1960" spans="1:11" ht="18" customHeight="1" x14ac:dyDescent="0.25">
      <c r="A1960" s="37" t="str">
        <f>IF(Agent10_Savings!A165="","",Agent10_Savings!A165)</f>
        <v/>
      </c>
      <c r="B1960" s="37" t="str">
        <f ca="1">IF(Agent10_Savings!A165="","","SV"&amp;TEXT(1960-3,"0000")&amp;"-"&amp;TEXT(TODAY(),"YYYYMMDD"))</f>
        <v/>
      </c>
      <c r="C1960" s="37" t="str">
        <f>IF(Agent10_Savings!A165="","",Agent10_Savings!B165)</f>
        <v/>
      </c>
      <c r="D1960" s="37" t="str">
        <f>IF(Agent10_Savings!A165="","",Agent10_Savings!G165)</f>
        <v/>
      </c>
      <c r="E1960" s="38" t="str">
        <f>IF(Agent10_Savings!A165="","",Agent10_Savings!D165)</f>
        <v/>
      </c>
      <c r="F1960" s="39" t="str">
        <f>IF(Agent10_Savings!A165="","",Agent10_Savings!E165)</f>
        <v/>
      </c>
      <c r="G1960" s="39" t="str">
        <f>IF(Agent10_Savings!A165="","",Agent10_Savings!F165)</f>
        <v/>
      </c>
      <c r="H1960" s="37" t="str">
        <f>IF(Agent10_Savings!A165="","",Agent10_Savings!I165)</f>
        <v/>
      </c>
      <c r="I1960" s="37" t="str">
        <f>IF(Agent10_Savings!A165="","",Agent10_Savings!J165)</f>
        <v/>
      </c>
      <c r="J1960" s="37" t="str">
        <f>IF(Agent10_Savings!A165="","",Agent10_Savings!K165)</f>
        <v/>
      </c>
      <c r="K1960" s="37" t="str">
        <f>IFERROR(IF(Agent10_Savings!A165="","",YEAR(Agent10_Savings!D165)),"")</f>
        <v/>
      </c>
    </row>
    <row r="1961" spans="1:11" ht="18" customHeight="1" x14ac:dyDescent="0.25">
      <c r="A1961" s="37" t="str">
        <f>IF(Agent10_Savings!A166="","",Agent10_Savings!A166)</f>
        <v/>
      </c>
      <c r="B1961" s="37" t="str">
        <f ca="1">IF(Agent10_Savings!A166="","","SV"&amp;TEXT(1961-3,"0000")&amp;"-"&amp;TEXT(TODAY(),"YYYYMMDD"))</f>
        <v/>
      </c>
      <c r="C1961" s="37" t="str">
        <f>IF(Agent10_Savings!A166="","",Agent10_Savings!B166)</f>
        <v/>
      </c>
      <c r="D1961" s="37" t="str">
        <f>IF(Agent10_Savings!A166="","",Agent10_Savings!G166)</f>
        <v/>
      </c>
      <c r="E1961" s="38" t="str">
        <f>IF(Agent10_Savings!A166="","",Agent10_Savings!D166)</f>
        <v/>
      </c>
      <c r="F1961" s="39" t="str">
        <f>IF(Agent10_Savings!A166="","",Agent10_Savings!E166)</f>
        <v/>
      </c>
      <c r="G1961" s="39" t="str">
        <f>IF(Agent10_Savings!A166="","",Agent10_Savings!F166)</f>
        <v/>
      </c>
      <c r="H1961" s="37" t="str">
        <f>IF(Agent10_Savings!A166="","",Agent10_Savings!I166)</f>
        <v/>
      </c>
      <c r="I1961" s="37" t="str">
        <f>IF(Agent10_Savings!A166="","",Agent10_Savings!J166)</f>
        <v/>
      </c>
      <c r="J1961" s="37" t="str">
        <f>IF(Agent10_Savings!A166="","",Agent10_Savings!K166)</f>
        <v/>
      </c>
      <c r="K1961" s="37" t="str">
        <f>IFERROR(IF(Agent10_Savings!A166="","",YEAR(Agent10_Savings!D166)),"")</f>
        <v/>
      </c>
    </row>
    <row r="1962" spans="1:11" ht="18" customHeight="1" x14ac:dyDescent="0.25">
      <c r="A1962" s="37" t="str">
        <f>IF(Agent10_Savings!A167="","",Agent10_Savings!A167)</f>
        <v/>
      </c>
      <c r="B1962" s="37" t="str">
        <f ca="1">IF(Agent10_Savings!A167="","","SV"&amp;TEXT(1962-3,"0000")&amp;"-"&amp;TEXT(TODAY(),"YYYYMMDD"))</f>
        <v/>
      </c>
      <c r="C1962" s="37" t="str">
        <f>IF(Agent10_Savings!A167="","",Agent10_Savings!B167)</f>
        <v/>
      </c>
      <c r="D1962" s="37" t="str">
        <f>IF(Agent10_Savings!A167="","",Agent10_Savings!G167)</f>
        <v/>
      </c>
      <c r="E1962" s="38" t="str">
        <f>IF(Agent10_Savings!A167="","",Agent10_Savings!D167)</f>
        <v/>
      </c>
      <c r="F1962" s="39" t="str">
        <f>IF(Agent10_Savings!A167="","",Agent10_Savings!E167)</f>
        <v/>
      </c>
      <c r="G1962" s="39" t="str">
        <f>IF(Agent10_Savings!A167="","",Agent10_Savings!F167)</f>
        <v/>
      </c>
      <c r="H1962" s="37" t="str">
        <f>IF(Agent10_Savings!A167="","",Agent10_Savings!I167)</f>
        <v/>
      </c>
      <c r="I1962" s="37" t="str">
        <f>IF(Agent10_Savings!A167="","",Agent10_Savings!J167)</f>
        <v/>
      </c>
      <c r="J1962" s="37" t="str">
        <f>IF(Agent10_Savings!A167="","",Agent10_Savings!K167)</f>
        <v/>
      </c>
      <c r="K1962" s="37" t="str">
        <f>IFERROR(IF(Agent10_Savings!A167="","",YEAR(Agent10_Savings!D167)),"")</f>
        <v/>
      </c>
    </row>
    <row r="1963" spans="1:11" ht="18" customHeight="1" x14ac:dyDescent="0.25">
      <c r="A1963" s="37" t="str">
        <f>IF(Agent10_Savings!A168="","",Agent10_Savings!A168)</f>
        <v/>
      </c>
      <c r="B1963" s="37" t="str">
        <f ca="1">IF(Agent10_Savings!A168="","","SV"&amp;TEXT(1963-3,"0000")&amp;"-"&amp;TEXT(TODAY(),"YYYYMMDD"))</f>
        <v/>
      </c>
      <c r="C1963" s="37" t="str">
        <f>IF(Agent10_Savings!A168="","",Agent10_Savings!B168)</f>
        <v/>
      </c>
      <c r="D1963" s="37" t="str">
        <f>IF(Agent10_Savings!A168="","",Agent10_Savings!G168)</f>
        <v/>
      </c>
      <c r="E1963" s="38" t="str">
        <f>IF(Agent10_Savings!A168="","",Agent10_Savings!D168)</f>
        <v/>
      </c>
      <c r="F1963" s="39" t="str">
        <f>IF(Agent10_Savings!A168="","",Agent10_Savings!E168)</f>
        <v/>
      </c>
      <c r="G1963" s="39" t="str">
        <f>IF(Agent10_Savings!A168="","",Agent10_Savings!F168)</f>
        <v/>
      </c>
      <c r="H1963" s="37" t="str">
        <f>IF(Agent10_Savings!A168="","",Agent10_Savings!I168)</f>
        <v/>
      </c>
      <c r="I1963" s="37" t="str">
        <f>IF(Agent10_Savings!A168="","",Agent10_Savings!J168)</f>
        <v/>
      </c>
      <c r="J1963" s="37" t="str">
        <f>IF(Agent10_Savings!A168="","",Agent10_Savings!K168)</f>
        <v/>
      </c>
      <c r="K1963" s="37" t="str">
        <f>IFERROR(IF(Agent10_Savings!A168="","",YEAR(Agent10_Savings!D168)),"")</f>
        <v/>
      </c>
    </row>
    <row r="1964" spans="1:11" ht="18" customHeight="1" x14ac:dyDescent="0.25">
      <c r="A1964" s="37" t="str">
        <f>IF(Agent10_Savings!A169="","",Agent10_Savings!A169)</f>
        <v/>
      </c>
      <c r="B1964" s="37" t="str">
        <f ca="1">IF(Agent10_Savings!A169="","","SV"&amp;TEXT(1964-3,"0000")&amp;"-"&amp;TEXT(TODAY(),"YYYYMMDD"))</f>
        <v/>
      </c>
      <c r="C1964" s="37" t="str">
        <f>IF(Agent10_Savings!A169="","",Agent10_Savings!B169)</f>
        <v/>
      </c>
      <c r="D1964" s="37" t="str">
        <f>IF(Agent10_Savings!A169="","",Agent10_Savings!G169)</f>
        <v/>
      </c>
      <c r="E1964" s="38" t="str">
        <f>IF(Agent10_Savings!A169="","",Agent10_Savings!D169)</f>
        <v/>
      </c>
      <c r="F1964" s="39" t="str">
        <f>IF(Agent10_Savings!A169="","",Agent10_Savings!E169)</f>
        <v/>
      </c>
      <c r="G1964" s="39" t="str">
        <f>IF(Agent10_Savings!A169="","",Agent10_Savings!F169)</f>
        <v/>
      </c>
      <c r="H1964" s="37" t="str">
        <f>IF(Agent10_Savings!A169="","",Agent10_Savings!I169)</f>
        <v/>
      </c>
      <c r="I1964" s="37" t="str">
        <f>IF(Agent10_Savings!A169="","",Agent10_Savings!J169)</f>
        <v/>
      </c>
      <c r="J1964" s="37" t="str">
        <f>IF(Agent10_Savings!A169="","",Agent10_Savings!K169)</f>
        <v/>
      </c>
      <c r="K1964" s="37" t="str">
        <f>IFERROR(IF(Agent10_Savings!A169="","",YEAR(Agent10_Savings!D169)),"")</f>
        <v/>
      </c>
    </row>
    <row r="1965" spans="1:11" ht="18" customHeight="1" x14ac:dyDescent="0.25">
      <c r="A1965" s="37" t="str">
        <f>IF(Agent10_Savings!A170="","",Agent10_Savings!A170)</f>
        <v/>
      </c>
      <c r="B1965" s="37" t="str">
        <f ca="1">IF(Agent10_Savings!A170="","","SV"&amp;TEXT(1965-3,"0000")&amp;"-"&amp;TEXT(TODAY(),"YYYYMMDD"))</f>
        <v/>
      </c>
      <c r="C1965" s="37" t="str">
        <f>IF(Agent10_Savings!A170="","",Agent10_Savings!B170)</f>
        <v/>
      </c>
      <c r="D1965" s="37" t="str">
        <f>IF(Agent10_Savings!A170="","",Agent10_Savings!G170)</f>
        <v/>
      </c>
      <c r="E1965" s="38" t="str">
        <f>IF(Agent10_Savings!A170="","",Agent10_Savings!D170)</f>
        <v/>
      </c>
      <c r="F1965" s="39" t="str">
        <f>IF(Agent10_Savings!A170="","",Agent10_Savings!E170)</f>
        <v/>
      </c>
      <c r="G1965" s="39" t="str">
        <f>IF(Agent10_Savings!A170="","",Agent10_Savings!F170)</f>
        <v/>
      </c>
      <c r="H1965" s="37" t="str">
        <f>IF(Agent10_Savings!A170="","",Agent10_Savings!I170)</f>
        <v/>
      </c>
      <c r="I1965" s="37" t="str">
        <f>IF(Agent10_Savings!A170="","",Agent10_Savings!J170)</f>
        <v/>
      </c>
      <c r="J1965" s="37" t="str">
        <f>IF(Agent10_Savings!A170="","",Agent10_Savings!K170)</f>
        <v/>
      </c>
      <c r="K1965" s="37" t="str">
        <f>IFERROR(IF(Agent10_Savings!A170="","",YEAR(Agent10_Savings!D170)),"")</f>
        <v/>
      </c>
    </row>
    <row r="1966" spans="1:11" ht="18" customHeight="1" x14ac:dyDescent="0.25">
      <c r="A1966" s="37" t="str">
        <f>IF(Agent10_Savings!A171="","",Agent10_Savings!A171)</f>
        <v/>
      </c>
      <c r="B1966" s="37" t="str">
        <f ca="1">IF(Agent10_Savings!A171="","","SV"&amp;TEXT(1966-3,"0000")&amp;"-"&amp;TEXT(TODAY(),"YYYYMMDD"))</f>
        <v/>
      </c>
      <c r="C1966" s="37" t="str">
        <f>IF(Agent10_Savings!A171="","",Agent10_Savings!B171)</f>
        <v/>
      </c>
      <c r="D1966" s="37" t="str">
        <f>IF(Agent10_Savings!A171="","",Agent10_Savings!G171)</f>
        <v/>
      </c>
      <c r="E1966" s="38" t="str">
        <f>IF(Agent10_Savings!A171="","",Agent10_Savings!D171)</f>
        <v/>
      </c>
      <c r="F1966" s="39" t="str">
        <f>IF(Agent10_Savings!A171="","",Agent10_Savings!E171)</f>
        <v/>
      </c>
      <c r="G1966" s="39" t="str">
        <f>IF(Agent10_Savings!A171="","",Agent10_Savings!F171)</f>
        <v/>
      </c>
      <c r="H1966" s="37" t="str">
        <f>IF(Agent10_Savings!A171="","",Agent10_Savings!I171)</f>
        <v/>
      </c>
      <c r="I1966" s="37" t="str">
        <f>IF(Agent10_Savings!A171="","",Agent10_Savings!J171)</f>
        <v/>
      </c>
      <c r="J1966" s="37" t="str">
        <f>IF(Agent10_Savings!A171="","",Agent10_Savings!K171)</f>
        <v/>
      </c>
      <c r="K1966" s="37" t="str">
        <f>IFERROR(IF(Agent10_Savings!A171="","",YEAR(Agent10_Savings!D171)),"")</f>
        <v/>
      </c>
    </row>
    <row r="1967" spans="1:11" ht="18" customHeight="1" x14ac:dyDescent="0.25">
      <c r="A1967" s="37" t="str">
        <f>IF(Agent10_Savings!A172="","",Agent10_Savings!A172)</f>
        <v/>
      </c>
      <c r="B1967" s="37" t="str">
        <f ca="1">IF(Agent10_Savings!A172="","","SV"&amp;TEXT(1967-3,"0000")&amp;"-"&amp;TEXT(TODAY(),"YYYYMMDD"))</f>
        <v/>
      </c>
      <c r="C1967" s="37" t="str">
        <f>IF(Agent10_Savings!A172="","",Agent10_Savings!B172)</f>
        <v/>
      </c>
      <c r="D1967" s="37" t="str">
        <f>IF(Agent10_Savings!A172="","",Agent10_Savings!G172)</f>
        <v/>
      </c>
      <c r="E1967" s="38" t="str">
        <f>IF(Agent10_Savings!A172="","",Agent10_Savings!D172)</f>
        <v/>
      </c>
      <c r="F1967" s="39" t="str">
        <f>IF(Agent10_Savings!A172="","",Agent10_Savings!E172)</f>
        <v/>
      </c>
      <c r="G1967" s="39" t="str">
        <f>IF(Agent10_Savings!A172="","",Agent10_Savings!F172)</f>
        <v/>
      </c>
      <c r="H1967" s="37" t="str">
        <f>IF(Agent10_Savings!A172="","",Agent10_Savings!I172)</f>
        <v/>
      </c>
      <c r="I1967" s="37" t="str">
        <f>IF(Agent10_Savings!A172="","",Agent10_Savings!J172)</f>
        <v/>
      </c>
      <c r="J1967" s="37" t="str">
        <f>IF(Agent10_Savings!A172="","",Agent10_Savings!K172)</f>
        <v/>
      </c>
      <c r="K1967" s="37" t="str">
        <f>IFERROR(IF(Agent10_Savings!A172="","",YEAR(Agent10_Savings!D172)),"")</f>
        <v/>
      </c>
    </row>
    <row r="1968" spans="1:11" ht="18" customHeight="1" x14ac:dyDescent="0.25">
      <c r="A1968" s="37" t="str">
        <f>IF(Agent10_Savings!A173="","",Agent10_Savings!A173)</f>
        <v/>
      </c>
      <c r="B1968" s="37" t="str">
        <f ca="1">IF(Agent10_Savings!A173="","","SV"&amp;TEXT(1968-3,"0000")&amp;"-"&amp;TEXT(TODAY(),"YYYYMMDD"))</f>
        <v/>
      </c>
      <c r="C1968" s="37" t="str">
        <f>IF(Agent10_Savings!A173="","",Agent10_Savings!B173)</f>
        <v/>
      </c>
      <c r="D1968" s="37" t="str">
        <f>IF(Agent10_Savings!A173="","",Agent10_Savings!G173)</f>
        <v/>
      </c>
      <c r="E1968" s="38" t="str">
        <f>IF(Agent10_Savings!A173="","",Agent10_Savings!D173)</f>
        <v/>
      </c>
      <c r="F1968" s="39" t="str">
        <f>IF(Agent10_Savings!A173="","",Agent10_Savings!E173)</f>
        <v/>
      </c>
      <c r="G1968" s="39" t="str">
        <f>IF(Agent10_Savings!A173="","",Agent10_Savings!F173)</f>
        <v/>
      </c>
      <c r="H1968" s="37" t="str">
        <f>IF(Agent10_Savings!A173="","",Agent10_Savings!I173)</f>
        <v/>
      </c>
      <c r="I1968" s="37" t="str">
        <f>IF(Agent10_Savings!A173="","",Agent10_Savings!J173)</f>
        <v/>
      </c>
      <c r="J1968" s="37" t="str">
        <f>IF(Agent10_Savings!A173="","",Agent10_Savings!K173)</f>
        <v/>
      </c>
      <c r="K1968" s="37" t="str">
        <f>IFERROR(IF(Agent10_Savings!A173="","",YEAR(Agent10_Savings!D173)),"")</f>
        <v/>
      </c>
    </row>
    <row r="1969" spans="1:11" ht="18" customHeight="1" x14ac:dyDescent="0.25">
      <c r="A1969" s="37" t="str">
        <f>IF(Agent10_Savings!A174="","",Agent10_Savings!A174)</f>
        <v/>
      </c>
      <c r="B1969" s="37" t="str">
        <f ca="1">IF(Agent10_Savings!A174="","","SV"&amp;TEXT(1969-3,"0000")&amp;"-"&amp;TEXT(TODAY(),"YYYYMMDD"))</f>
        <v/>
      </c>
      <c r="C1969" s="37" t="str">
        <f>IF(Agent10_Savings!A174="","",Agent10_Savings!B174)</f>
        <v/>
      </c>
      <c r="D1969" s="37" t="str">
        <f>IF(Agent10_Savings!A174="","",Agent10_Savings!G174)</f>
        <v/>
      </c>
      <c r="E1969" s="38" t="str">
        <f>IF(Agent10_Savings!A174="","",Agent10_Savings!D174)</f>
        <v/>
      </c>
      <c r="F1969" s="39" t="str">
        <f>IF(Agent10_Savings!A174="","",Agent10_Savings!E174)</f>
        <v/>
      </c>
      <c r="G1969" s="39" t="str">
        <f>IF(Agent10_Savings!A174="","",Agent10_Savings!F174)</f>
        <v/>
      </c>
      <c r="H1969" s="37" t="str">
        <f>IF(Agent10_Savings!A174="","",Agent10_Savings!I174)</f>
        <v/>
      </c>
      <c r="I1969" s="37" t="str">
        <f>IF(Agent10_Savings!A174="","",Agent10_Savings!J174)</f>
        <v/>
      </c>
      <c r="J1969" s="37" t="str">
        <f>IF(Agent10_Savings!A174="","",Agent10_Savings!K174)</f>
        <v/>
      </c>
      <c r="K1969" s="37" t="str">
        <f>IFERROR(IF(Agent10_Savings!A174="","",YEAR(Agent10_Savings!D174)),"")</f>
        <v/>
      </c>
    </row>
    <row r="1970" spans="1:11" ht="18" customHeight="1" x14ac:dyDescent="0.25">
      <c r="A1970" s="37" t="str">
        <f>IF(Agent10_Savings!A175="","",Agent10_Savings!A175)</f>
        <v/>
      </c>
      <c r="B1970" s="37" t="str">
        <f ca="1">IF(Agent10_Savings!A175="","","SV"&amp;TEXT(1970-3,"0000")&amp;"-"&amp;TEXT(TODAY(),"YYYYMMDD"))</f>
        <v/>
      </c>
      <c r="C1970" s="37" t="str">
        <f>IF(Agent10_Savings!A175="","",Agent10_Savings!B175)</f>
        <v/>
      </c>
      <c r="D1970" s="37" t="str">
        <f>IF(Agent10_Savings!A175="","",Agent10_Savings!G175)</f>
        <v/>
      </c>
      <c r="E1970" s="38" t="str">
        <f>IF(Agent10_Savings!A175="","",Agent10_Savings!D175)</f>
        <v/>
      </c>
      <c r="F1970" s="39" t="str">
        <f>IF(Agent10_Savings!A175="","",Agent10_Savings!E175)</f>
        <v/>
      </c>
      <c r="G1970" s="39" t="str">
        <f>IF(Agent10_Savings!A175="","",Agent10_Savings!F175)</f>
        <v/>
      </c>
      <c r="H1970" s="37" t="str">
        <f>IF(Agent10_Savings!A175="","",Agent10_Savings!I175)</f>
        <v/>
      </c>
      <c r="I1970" s="37" t="str">
        <f>IF(Agent10_Savings!A175="","",Agent10_Savings!J175)</f>
        <v/>
      </c>
      <c r="J1970" s="37" t="str">
        <f>IF(Agent10_Savings!A175="","",Agent10_Savings!K175)</f>
        <v/>
      </c>
      <c r="K1970" s="37" t="str">
        <f>IFERROR(IF(Agent10_Savings!A175="","",YEAR(Agent10_Savings!D175)),"")</f>
        <v/>
      </c>
    </row>
    <row r="1971" spans="1:11" ht="18" customHeight="1" x14ac:dyDescent="0.25">
      <c r="A1971" s="37" t="str">
        <f>IF(Agent10_Savings!A176="","",Agent10_Savings!A176)</f>
        <v/>
      </c>
      <c r="B1971" s="37" t="str">
        <f ca="1">IF(Agent10_Savings!A176="","","SV"&amp;TEXT(1971-3,"0000")&amp;"-"&amp;TEXT(TODAY(),"YYYYMMDD"))</f>
        <v/>
      </c>
      <c r="C1971" s="37" t="str">
        <f>IF(Agent10_Savings!A176="","",Agent10_Savings!B176)</f>
        <v/>
      </c>
      <c r="D1971" s="37" t="str">
        <f>IF(Agent10_Savings!A176="","",Agent10_Savings!G176)</f>
        <v/>
      </c>
      <c r="E1971" s="38" t="str">
        <f>IF(Agent10_Savings!A176="","",Agent10_Savings!D176)</f>
        <v/>
      </c>
      <c r="F1971" s="39" t="str">
        <f>IF(Agent10_Savings!A176="","",Agent10_Savings!E176)</f>
        <v/>
      </c>
      <c r="G1971" s="39" t="str">
        <f>IF(Agent10_Savings!A176="","",Agent10_Savings!F176)</f>
        <v/>
      </c>
      <c r="H1971" s="37" t="str">
        <f>IF(Agent10_Savings!A176="","",Agent10_Savings!I176)</f>
        <v/>
      </c>
      <c r="I1971" s="37" t="str">
        <f>IF(Agent10_Savings!A176="","",Agent10_Savings!J176)</f>
        <v/>
      </c>
      <c r="J1971" s="37" t="str">
        <f>IF(Agent10_Savings!A176="","",Agent10_Savings!K176)</f>
        <v/>
      </c>
      <c r="K1971" s="37" t="str">
        <f>IFERROR(IF(Agent10_Savings!A176="","",YEAR(Agent10_Savings!D176)),"")</f>
        <v/>
      </c>
    </row>
    <row r="1972" spans="1:11" ht="18" customHeight="1" x14ac:dyDescent="0.25">
      <c r="A1972" s="37" t="str">
        <f>IF(Agent10_Savings!A177="","",Agent10_Savings!A177)</f>
        <v/>
      </c>
      <c r="B1972" s="37" t="str">
        <f ca="1">IF(Agent10_Savings!A177="","","SV"&amp;TEXT(1972-3,"0000")&amp;"-"&amp;TEXT(TODAY(),"YYYYMMDD"))</f>
        <v/>
      </c>
      <c r="C1972" s="37" t="str">
        <f>IF(Agent10_Savings!A177="","",Agent10_Savings!B177)</f>
        <v/>
      </c>
      <c r="D1972" s="37" t="str">
        <f>IF(Agent10_Savings!A177="","",Agent10_Savings!G177)</f>
        <v/>
      </c>
      <c r="E1972" s="38" t="str">
        <f>IF(Agent10_Savings!A177="","",Agent10_Savings!D177)</f>
        <v/>
      </c>
      <c r="F1972" s="39" t="str">
        <f>IF(Agent10_Savings!A177="","",Agent10_Savings!E177)</f>
        <v/>
      </c>
      <c r="G1972" s="39" t="str">
        <f>IF(Agent10_Savings!A177="","",Agent10_Savings!F177)</f>
        <v/>
      </c>
      <c r="H1972" s="37" t="str">
        <f>IF(Agent10_Savings!A177="","",Agent10_Savings!I177)</f>
        <v/>
      </c>
      <c r="I1972" s="37" t="str">
        <f>IF(Agent10_Savings!A177="","",Agent10_Savings!J177)</f>
        <v/>
      </c>
      <c r="J1972" s="37" t="str">
        <f>IF(Agent10_Savings!A177="","",Agent10_Savings!K177)</f>
        <v/>
      </c>
      <c r="K1972" s="37" t="str">
        <f>IFERROR(IF(Agent10_Savings!A177="","",YEAR(Agent10_Savings!D177)),"")</f>
        <v/>
      </c>
    </row>
    <row r="1973" spans="1:11" ht="18" customHeight="1" x14ac:dyDescent="0.25">
      <c r="A1973" s="37" t="str">
        <f>IF(Agent10_Savings!A178="","",Agent10_Savings!A178)</f>
        <v/>
      </c>
      <c r="B1973" s="37" t="str">
        <f ca="1">IF(Agent10_Savings!A178="","","SV"&amp;TEXT(1973-3,"0000")&amp;"-"&amp;TEXT(TODAY(),"YYYYMMDD"))</f>
        <v/>
      </c>
      <c r="C1973" s="37" t="str">
        <f>IF(Agent10_Savings!A178="","",Agent10_Savings!B178)</f>
        <v/>
      </c>
      <c r="D1973" s="37" t="str">
        <f>IF(Agent10_Savings!A178="","",Agent10_Savings!G178)</f>
        <v/>
      </c>
      <c r="E1973" s="38" t="str">
        <f>IF(Agent10_Savings!A178="","",Agent10_Savings!D178)</f>
        <v/>
      </c>
      <c r="F1973" s="39" t="str">
        <f>IF(Agent10_Savings!A178="","",Agent10_Savings!E178)</f>
        <v/>
      </c>
      <c r="G1973" s="39" t="str">
        <f>IF(Agent10_Savings!A178="","",Agent10_Savings!F178)</f>
        <v/>
      </c>
      <c r="H1973" s="37" t="str">
        <f>IF(Agent10_Savings!A178="","",Agent10_Savings!I178)</f>
        <v/>
      </c>
      <c r="I1973" s="37" t="str">
        <f>IF(Agent10_Savings!A178="","",Agent10_Savings!J178)</f>
        <v/>
      </c>
      <c r="J1973" s="37" t="str">
        <f>IF(Agent10_Savings!A178="","",Agent10_Savings!K178)</f>
        <v/>
      </c>
      <c r="K1973" s="37" t="str">
        <f>IFERROR(IF(Agent10_Savings!A178="","",YEAR(Agent10_Savings!D178)),"")</f>
        <v/>
      </c>
    </row>
    <row r="1974" spans="1:11" ht="18" customHeight="1" x14ac:dyDescent="0.25">
      <c r="A1974" s="37" t="str">
        <f>IF(Agent10_Savings!A179="","",Agent10_Savings!A179)</f>
        <v/>
      </c>
      <c r="B1974" s="37" t="str">
        <f ca="1">IF(Agent10_Savings!A179="","","SV"&amp;TEXT(1974-3,"0000")&amp;"-"&amp;TEXT(TODAY(),"YYYYMMDD"))</f>
        <v/>
      </c>
      <c r="C1974" s="37" t="str">
        <f>IF(Agent10_Savings!A179="","",Agent10_Savings!B179)</f>
        <v/>
      </c>
      <c r="D1974" s="37" t="str">
        <f>IF(Agent10_Savings!A179="","",Agent10_Savings!G179)</f>
        <v/>
      </c>
      <c r="E1974" s="38" t="str">
        <f>IF(Agent10_Savings!A179="","",Agent10_Savings!D179)</f>
        <v/>
      </c>
      <c r="F1974" s="39" t="str">
        <f>IF(Agent10_Savings!A179="","",Agent10_Savings!E179)</f>
        <v/>
      </c>
      <c r="G1974" s="39" t="str">
        <f>IF(Agent10_Savings!A179="","",Agent10_Savings!F179)</f>
        <v/>
      </c>
      <c r="H1974" s="37" t="str">
        <f>IF(Agent10_Savings!A179="","",Agent10_Savings!I179)</f>
        <v/>
      </c>
      <c r="I1974" s="37" t="str">
        <f>IF(Agent10_Savings!A179="","",Agent10_Savings!J179)</f>
        <v/>
      </c>
      <c r="J1974" s="37" t="str">
        <f>IF(Agent10_Savings!A179="","",Agent10_Savings!K179)</f>
        <v/>
      </c>
      <c r="K1974" s="37" t="str">
        <f>IFERROR(IF(Agent10_Savings!A179="","",YEAR(Agent10_Savings!D179)),"")</f>
        <v/>
      </c>
    </row>
    <row r="1975" spans="1:11" ht="18" customHeight="1" x14ac:dyDescent="0.25">
      <c r="A1975" s="37" t="str">
        <f>IF(Agent10_Savings!A180="","",Agent10_Savings!A180)</f>
        <v/>
      </c>
      <c r="B1975" s="37" t="str">
        <f ca="1">IF(Agent10_Savings!A180="","","SV"&amp;TEXT(1975-3,"0000")&amp;"-"&amp;TEXT(TODAY(),"YYYYMMDD"))</f>
        <v/>
      </c>
      <c r="C1975" s="37" t="str">
        <f>IF(Agent10_Savings!A180="","",Agent10_Savings!B180)</f>
        <v/>
      </c>
      <c r="D1975" s="37" t="str">
        <f>IF(Agent10_Savings!A180="","",Agent10_Savings!G180)</f>
        <v/>
      </c>
      <c r="E1975" s="38" t="str">
        <f>IF(Agent10_Savings!A180="","",Agent10_Savings!D180)</f>
        <v/>
      </c>
      <c r="F1975" s="39" t="str">
        <f>IF(Agent10_Savings!A180="","",Agent10_Savings!E180)</f>
        <v/>
      </c>
      <c r="G1975" s="39" t="str">
        <f>IF(Agent10_Savings!A180="","",Agent10_Savings!F180)</f>
        <v/>
      </c>
      <c r="H1975" s="37" t="str">
        <f>IF(Agent10_Savings!A180="","",Agent10_Savings!I180)</f>
        <v/>
      </c>
      <c r="I1975" s="37" t="str">
        <f>IF(Agent10_Savings!A180="","",Agent10_Savings!J180)</f>
        <v/>
      </c>
      <c r="J1975" s="37" t="str">
        <f>IF(Agent10_Savings!A180="","",Agent10_Savings!K180)</f>
        <v/>
      </c>
      <c r="K1975" s="37" t="str">
        <f>IFERROR(IF(Agent10_Savings!A180="","",YEAR(Agent10_Savings!D180)),"")</f>
        <v/>
      </c>
    </row>
    <row r="1976" spans="1:11" ht="18" customHeight="1" x14ac:dyDescent="0.25">
      <c r="A1976" s="37" t="str">
        <f>IF(Agent10_Savings!A181="","",Agent10_Savings!A181)</f>
        <v/>
      </c>
      <c r="B1976" s="37" t="str">
        <f ca="1">IF(Agent10_Savings!A181="","","SV"&amp;TEXT(1976-3,"0000")&amp;"-"&amp;TEXT(TODAY(),"YYYYMMDD"))</f>
        <v/>
      </c>
      <c r="C1976" s="37" t="str">
        <f>IF(Agent10_Savings!A181="","",Agent10_Savings!B181)</f>
        <v/>
      </c>
      <c r="D1976" s="37" t="str">
        <f>IF(Agent10_Savings!A181="","",Agent10_Savings!G181)</f>
        <v/>
      </c>
      <c r="E1976" s="38" t="str">
        <f>IF(Agent10_Savings!A181="","",Agent10_Savings!D181)</f>
        <v/>
      </c>
      <c r="F1976" s="39" t="str">
        <f>IF(Agent10_Savings!A181="","",Agent10_Savings!E181)</f>
        <v/>
      </c>
      <c r="G1976" s="39" t="str">
        <f>IF(Agent10_Savings!A181="","",Agent10_Savings!F181)</f>
        <v/>
      </c>
      <c r="H1976" s="37" t="str">
        <f>IF(Agent10_Savings!A181="","",Agent10_Savings!I181)</f>
        <v/>
      </c>
      <c r="I1976" s="37" t="str">
        <f>IF(Agent10_Savings!A181="","",Agent10_Savings!J181)</f>
        <v/>
      </c>
      <c r="J1976" s="37" t="str">
        <f>IF(Agent10_Savings!A181="","",Agent10_Savings!K181)</f>
        <v/>
      </c>
      <c r="K1976" s="37" t="str">
        <f>IFERROR(IF(Agent10_Savings!A181="","",YEAR(Agent10_Savings!D181)),"")</f>
        <v/>
      </c>
    </row>
    <row r="1977" spans="1:11" ht="18" customHeight="1" x14ac:dyDescent="0.25">
      <c r="A1977" s="37" t="str">
        <f>IF(Agent10_Savings!A182="","",Agent10_Savings!A182)</f>
        <v/>
      </c>
      <c r="B1977" s="37" t="str">
        <f ca="1">IF(Agent10_Savings!A182="","","SV"&amp;TEXT(1977-3,"0000")&amp;"-"&amp;TEXT(TODAY(),"YYYYMMDD"))</f>
        <v/>
      </c>
      <c r="C1977" s="37" t="str">
        <f>IF(Agent10_Savings!A182="","",Agent10_Savings!B182)</f>
        <v/>
      </c>
      <c r="D1977" s="37" t="str">
        <f>IF(Agent10_Savings!A182="","",Agent10_Savings!G182)</f>
        <v/>
      </c>
      <c r="E1977" s="38" t="str">
        <f>IF(Agent10_Savings!A182="","",Agent10_Savings!D182)</f>
        <v/>
      </c>
      <c r="F1977" s="39" t="str">
        <f>IF(Agent10_Savings!A182="","",Agent10_Savings!E182)</f>
        <v/>
      </c>
      <c r="G1977" s="39" t="str">
        <f>IF(Agent10_Savings!A182="","",Agent10_Savings!F182)</f>
        <v/>
      </c>
      <c r="H1977" s="37" t="str">
        <f>IF(Agent10_Savings!A182="","",Agent10_Savings!I182)</f>
        <v/>
      </c>
      <c r="I1977" s="37" t="str">
        <f>IF(Agent10_Savings!A182="","",Agent10_Savings!J182)</f>
        <v/>
      </c>
      <c r="J1977" s="37" t="str">
        <f>IF(Agent10_Savings!A182="","",Agent10_Savings!K182)</f>
        <v/>
      </c>
      <c r="K1977" s="37" t="str">
        <f>IFERROR(IF(Agent10_Savings!A182="","",YEAR(Agent10_Savings!D182)),"")</f>
        <v/>
      </c>
    </row>
    <row r="1978" spans="1:11" ht="18" customHeight="1" x14ac:dyDescent="0.25">
      <c r="A1978" s="37" t="str">
        <f>IF(Agent10_Savings!A183="","",Agent10_Savings!A183)</f>
        <v/>
      </c>
      <c r="B1978" s="37" t="str">
        <f ca="1">IF(Agent10_Savings!A183="","","SV"&amp;TEXT(1978-3,"0000")&amp;"-"&amp;TEXT(TODAY(),"YYYYMMDD"))</f>
        <v/>
      </c>
      <c r="C1978" s="37" t="str">
        <f>IF(Agent10_Savings!A183="","",Agent10_Savings!B183)</f>
        <v/>
      </c>
      <c r="D1978" s="37" t="str">
        <f>IF(Agent10_Savings!A183="","",Agent10_Savings!G183)</f>
        <v/>
      </c>
      <c r="E1978" s="38" t="str">
        <f>IF(Agent10_Savings!A183="","",Agent10_Savings!D183)</f>
        <v/>
      </c>
      <c r="F1978" s="39" t="str">
        <f>IF(Agent10_Savings!A183="","",Agent10_Savings!E183)</f>
        <v/>
      </c>
      <c r="G1978" s="39" t="str">
        <f>IF(Agent10_Savings!A183="","",Agent10_Savings!F183)</f>
        <v/>
      </c>
      <c r="H1978" s="37" t="str">
        <f>IF(Agent10_Savings!A183="","",Agent10_Savings!I183)</f>
        <v/>
      </c>
      <c r="I1978" s="37" t="str">
        <f>IF(Agent10_Savings!A183="","",Agent10_Savings!J183)</f>
        <v/>
      </c>
      <c r="J1978" s="37" t="str">
        <f>IF(Agent10_Savings!A183="","",Agent10_Savings!K183)</f>
        <v/>
      </c>
      <c r="K1978" s="37" t="str">
        <f>IFERROR(IF(Agent10_Savings!A183="","",YEAR(Agent10_Savings!D183)),"")</f>
        <v/>
      </c>
    </row>
    <row r="1979" spans="1:11" ht="18" customHeight="1" x14ac:dyDescent="0.25">
      <c r="A1979" s="37" t="str">
        <f>IF(Agent10_Savings!A184="","",Agent10_Savings!A184)</f>
        <v/>
      </c>
      <c r="B1979" s="37" t="str">
        <f ca="1">IF(Agent10_Savings!A184="","","SV"&amp;TEXT(1979-3,"0000")&amp;"-"&amp;TEXT(TODAY(),"YYYYMMDD"))</f>
        <v/>
      </c>
      <c r="C1979" s="37" t="str">
        <f>IF(Agent10_Savings!A184="","",Agent10_Savings!B184)</f>
        <v/>
      </c>
      <c r="D1979" s="37" t="str">
        <f>IF(Agent10_Savings!A184="","",Agent10_Savings!G184)</f>
        <v/>
      </c>
      <c r="E1979" s="38" t="str">
        <f>IF(Agent10_Savings!A184="","",Agent10_Savings!D184)</f>
        <v/>
      </c>
      <c r="F1979" s="39" t="str">
        <f>IF(Agent10_Savings!A184="","",Agent10_Savings!E184)</f>
        <v/>
      </c>
      <c r="G1979" s="39" t="str">
        <f>IF(Agent10_Savings!A184="","",Agent10_Savings!F184)</f>
        <v/>
      </c>
      <c r="H1979" s="37" t="str">
        <f>IF(Agent10_Savings!A184="","",Agent10_Savings!I184)</f>
        <v/>
      </c>
      <c r="I1979" s="37" t="str">
        <f>IF(Agent10_Savings!A184="","",Agent10_Savings!J184)</f>
        <v/>
      </c>
      <c r="J1979" s="37" t="str">
        <f>IF(Agent10_Savings!A184="","",Agent10_Savings!K184)</f>
        <v/>
      </c>
      <c r="K1979" s="37" t="str">
        <f>IFERROR(IF(Agent10_Savings!A184="","",YEAR(Agent10_Savings!D184)),"")</f>
        <v/>
      </c>
    </row>
    <row r="1980" spans="1:11" ht="18" customHeight="1" x14ac:dyDescent="0.25">
      <c r="A1980" s="37" t="str">
        <f>IF(Agent10_Savings!A185="","",Agent10_Savings!A185)</f>
        <v/>
      </c>
      <c r="B1980" s="37" t="str">
        <f ca="1">IF(Agent10_Savings!A185="","","SV"&amp;TEXT(1980-3,"0000")&amp;"-"&amp;TEXT(TODAY(),"YYYYMMDD"))</f>
        <v/>
      </c>
      <c r="C1980" s="37" t="str">
        <f>IF(Agent10_Savings!A185="","",Agent10_Savings!B185)</f>
        <v/>
      </c>
      <c r="D1980" s="37" t="str">
        <f>IF(Agent10_Savings!A185="","",Agent10_Savings!G185)</f>
        <v/>
      </c>
      <c r="E1980" s="38" t="str">
        <f>IF(Agent10_Savings!A185="","",Agent10_Savings!D185)</f>
        <v/>
      </c>
      <c r="F1980" s="39" t="str">
        <f>IF(Agent10_Savings!A185="","",Agent10_Savings!E185)</f>
        <v/>
      </c>
      <c r="G1980" s="39" t="str">
        <f>IF(Agent10_Savings!A185="","",Agent10_Savings!F185)</f>
        <v/>
      </c>
      <c r="H1980" s="37" t="str">
        <f>IF(Agent10_Savings!A185="","",Agent10_Savings!I185)</f>
        <v/>
      </c>
      <c r="I1980" s="37" t="str">
        <f>IF(Agent10_Savings!A185="","",Agent10_Savings!J185)</f>
        <v/>
      </c>
      <c r="J1980" s="37" t="str">
        <f>IF(Agent10_Savings!A185="","",Agent10_Savings!K185)</f>
        <v/>
      </c>
      <c r="K1980" s="37" t="str">
        <f>IFERROR(IF(Agent10_Savings!A185="","",YEAR(Agent10_Savings!D185)),"")</f>
        <v/>
      </c>
    </row>
    <row r="1981" spans="1:11" ht="18" customHeight="1" x14ac:dyDescent="0.25">
      <c r="A1981" s="37" t="str">
        <f>IF(Agent10_Savings!A186="","",Agent10_Savings!A186)</f>
        <v/>
      </c>
      <c r="B1981" s="37" t="str">
        <f ca="1">IF(Agent10_Savings!A186="","","SV"&amp;TEXT(1981-3,"0000")&amp;"-"&amp;TEXT(TODAY(),"YYYYMMDD"))</f>
        <v/>
      </c>
      <c r="C1981" s="37" t="str">
        <f>IF(Agent10_Savings!A186="","",Agent10_Savings!B186)</f>
        <v/>
      </c>
      <c r="D1981" s="37" t="str">
        <f>IF(Agent10_Savings!A186="","",Agent10_Savings!G186)</f>
        <v/>
      </c>
      <c r="E1981" s="38" t="str">
        <f>IF(Agent10_Savings!A186="","",Agent10_Savings!D186)</f>
        <v/>
      </c>
      <c r="F1981" s="39" t="str">
        <f>IF(Agent10_Savings!A186="","",Agent10_Savings!E186)</f>
        <v/>
      </c>
      <c r="G1981" s="39" t="str">
        <f>IF(Agent10_Savings!A186="","",Agent10_Savings!F186)</f>
        <v/>
      </c>
      <c r="H1981" s="37" t="str">
        <f>IF(Agent10_Savings!A186="","",Agent10_Savings!I186)</f>
        <v/>
      </c>
      <c r="I1981" s="37" t="str">
        <f>IF(Agent10_Savings!A186="","",Agent10_Savings!J186)</f>
        <v/>
      </c>
      <c r="J1981" s="37" t="str">
        <f>IF(Agent10_Savings!A186="","",Agent10_Savings!K186)</f>
        <v/>
      </c>
      <c r="K1981" s="37" t="str">
        <f>IFERROR(IF(Agent10_Savings!A186="","",YEAR(Agent10_Savings!D186)),"")</f>
        <v/>
      </c>
    </row>
    <row r="1982" spans="1:11" ht="18" customHeight="1" x14ac:dyDescent="0.25">
      <c r="A1982" s="37" t="str">
        <f>IF(Agent10_Savings!A187="","",Agent10_Savings!A187)</f>
        <v/>
      </c>
      <c r="B1982" s="37" t="str">
        <f ca="1">IF(Agent10_Savings!A187="","","SV"&amp;TEXT(1982-3,"0000")&amp;"-"&amp;TEXT(TODAY(),"YYYYMMDD"))</f>
        <v/>
      </c>
      <c r="C1982" s="37" t="str">
        <f>IF(Agent10_Savings!A187="","",Agent10_Savings!B187)</f>
        <v/>
      </c>
      <c r="D1982" s="37" t="str">
        <f>IF(Agent10_Savings!A187="","",Agent10_Savings!G187)</f>
        <v/>
      </c>
      <c r="E1982" s="38" t="str">
        <f>IF(Agent10_Savings!A187="","",Agent10_Savings!D187)</f>
        <v/>
      </c>
      <c r="F1982" s="39" t="str">
        <f>IF(Agent10_Savings!A187="","",Agent10_Savings!E187)</f>
        <v/>
      </c>
      <c r="G1982" s="39" t="str">
        <f>IF(Agent10_Savings!A187="","",Agent10_Savings!F187)</f>
        <v/>
      </c>
      <c r="H1982" s="37" t="str">
        <f>IF(Agent10_Savings!A187="","",Agent10_Savings!I187)</f>
        <v/>
      </c>
      <c r="I1982" s="37" t="str">
        <f>IF(Agent10_Savings!A187="","",Agent10_Savings!J187)</f>
        <v/>
      </c>
      <c r="J1982" s="37" t="str">
        <f>IF(Agent10_Savings!A187="","",Agent10_Savings!K187)</f>
        <v/>
      </c>
      <c r="K1982" s="37" t="str">
        <f>IFERROR(IF(Agent10_Savings!A187="","",YEAR(Agent10_Savings!D187)),"")</f>
        <v/>
      </c>
    </row>
    <row r="1983" spans="1:11" ht="18" customHeight="1" x14ac:dyDescent="0.25">
      <c r="A1983" s="37" t="str">
        <f>IF(Agent10_Savings!A188="","",Agent10_Savings!A188)</f>
        <v/>
      </c>
      <c r="B1983" s="37" t="str">
        <f ca="1">IF(Agent10_Savings!A188="","","SV"&amp;TEXT(1983-3,"0000")&amp;"-"&amp;TEXT(TODAY(),"YYYYMMDD"))</f>
        <v/>
      </c>
      <c r="C1983" s="37" t="str">
        <f>IF(Agent10_Savings!A188="","",Agent10_Savings!B188)</f>
        <v/>
      </c>
      <c r="D1983" s="37" t="str">
        <f>IF(Agent10_Savings!A188="","",Agent10_Savings!G188)</f>
        <v/>
      </c>
      <c r="E1983" s="38" t="str">
        <f>IF(Agent10_Savings!A188="","",Agent10_Savings!D188)</f>
        <v/>
      </c>
      <c r="F1983" s="39" t="str">
        <f>IF(Agent10_Savings!A188="","",Agent10_Savings!E188)</f>
        <v/>
      </c>
      <c r="G1983" s="39" t="str">
        <f>IF(Agent10_Savings!A188="","",Agent10_Savings!F188)</f>
        <v/>
      </c>
      <c r="H1983" s="37" t="str">
        <f>IF(Agent10_Savings!A188="","",Agent10_Savings!I188)</f>
        <v/>
      </c>
      <c r="I1983" s="37" t="str">
        <f>IF(Agent10_Savings!A188="","",Agent10_Savings!J188)</f>
        <v/>
      </c>
      <c r="J1983" s="37" t="str">
        <f>IF(Agent10_Savings!A188="","",Agent10_Savings!K188)</f>
        <v/>
      </c>
      <c r="K1983" s="37" t="str">
        <f>IFERROR(IF(Agent10_Savings!A188="","",YEAR(Agent10_Savings!D188)),"")</f>
        <v/>
      </c>
    </row>
    <row r="1984" spans="1:11" ht="18" customHeight="1" x14ac:dyDescent="0.25">
      <c r="A1984" s="37" t="str">
        <f>IF(Agent10_Savings!A189="","",Agent10_Savings!A189)</f>
        <v/>
      </c>
      <c r="B1984" s="37" t="str">
        <f ca="1">IF(Agent10_Savings!A189="","","SV"&amp;TEXT(1984-3,"0000")&amp;"-"&amp;TEXT(TODAY(),"YYYYMMDD"))</f>
        <v/>
      </c>
      <c r="C1984" s="37" t="str">
        <f>IF(Agent10_Savings!A189="","",Agent10_Savings!B189)</f>
        <v/>
      </c>
      <c r="D1984" s="37" t="str">
        <f>IF(Agent10_Savings!A189="","",Agent10_Savings!G189)</f>
        <v/>
      </c>
      <c r="E1984" s="38" t="str">
        <f>IF(Agent10_Savings!A189="","",Agent10_Savings!D189)</f>
        <v/>
      </c>
      <c r="F1984" s="39" t="str">
        <f>IF(Agent10_Savings!A189="","",Agent10_Savings!E189)</f>
        <v/>
      </c>
      <c r="G1984" s="39" t="str">
        <f>IF(Agent10_Savings!A189="","",Agent10_Savings!F189)</f>
        <v/>
      </c>
      <c r="H1984" s="37" t="str">
        <f>IF(Agent10_Savings!A189="","",Agent10_Savings!I189)</f>
        <v/>
      </c>
      <c r="I1984" s="37" t="str">
        <f>IF(Agent10_Savings!A189="","",Agent10_Savings!J189)</f>
        <v/>
      </c>
      <c r="J1984" s="37" t="str">
        <f>IF(Agent10_Savings!A189="","",Agent10_Savings!K189)</f>
        <v/>
      </c>
      <c r="K1984" s="37" t="str">
        <f>IFERROR(IF(Agent10_Savings!A189="","",YEAR(Agent10_Savings!D189)),"")</f>
        <v/>
      </c>
    </row>
    <row r="1985" spans="1:11" ht="18" customHeight="1" x14ac:dyDescent="0.25">
      <c r="A1985" s="37" t="str">
        <f>IF(Agent10_Savings!A190="","",Agent10_Savings!A190)</f>
        <v/>
      </c>
      <c r="B1985" s="37" t="str">
        <f ca="1">IF(Agent10_Savings!A190="","","SV"&amp;TEXT(1985-3,"0000")&amp;"-"&amp;TEXT(TODAY(),"YYYYMMDD"))</f>
        <v/>
      </c>
      <c r="C1985" s="37" t="str">
        <f>IF(Agent10_Savings!A190="","",Agent10_Savings!B190)</f>
        <v/>
      </c>
      <c r="D1985" s="37" t="str">
        <f>IF(Agent10_Savings!A190="","",Agent10_Savings!G190)</f>
        <v/>
      </c>
      <c r="E1985" s="38" t="str">
        <f>IF(Agent10_Savings!A190="","",Agent10_Savings!D190)</f>
        <v/>
      </c>
      <c r="F1985" s="39" t="str">
        <f>IF(Agent10_Savings!A190="","",Agent10_Savings!E190)</f>
        <v/>
      </c>
      <c r="G1985" s="39" t="str">
        <f>IF(Agent10_Savings!A190="","",Agent10_Savings!F190)</f>
        <v/>
      </c>
      <c r="H1985" s="37" t="str">
        <f>IF(Agent10_Savings!A190="","",Agent10_Savings!I190)</f>
        <v/>
      </c>
      <c r="I1985" s="37" t="str">
        <f>IF(Agent10_Savings!A190="","",Agent10_Savings!J190)</f>
        <v/>
      </c>
      <c r="J1985" s="37" t="str">
        <f>IF(Agent10_Savings!A190="","",Agent10_Savings!K190)</f>
        <v/>
      </c>
      <c r="K1985" s="37" t="str">
        <f>IFERROR(IF(Agent10_Savings!A190="","",YEAR(Agent10_Savings!D190)),"")</f>
        <v/>
      </c>
    </row>
    <row r="1986" spans="1:11" ht="18" customHeight="1" x14ac:dyDescent="0.25">
      <c r="A1986" s="37" t="str">
        <f>IF(Agent10_Savings!A191="","",Agent10_Savings!A191)</f>
        <v/>
      </c>
      <c r="B1986" s="37" t="str">
        <f ca="1">IF(Agent10_Savings!A191="","","SV"&amp;TEXT(1986-3,"0000")&amp;"-"&amp;TEXT(TODAY(),"YYYYMMDD"))</f>
        <v/>
      </c>
      <c r="C1986" s="37" t="str">
        <f>IF(Agent10_Savings!A191="","",Agent10_Savings!B191)</f>
        <v/>
      </c>
      <c r="D1986" s="37" t="str">
        <f>IF(Agent10_Savings!A191="","",Agent10_Savings!G191)</f>
        <v/>
      </c>
      <c r="E1986" s="38" t="str">
        <f>IF(Agent10_Savings!A191="","",Agent10_Savings!D191)</f>
        <v/>
      </c>
      <c r="F1986" s="39" t="str">
        <f>IF(Agent10_Savings!A191="","",Agent10_Savings!E191)</f>
        <v/>
      </c>
      <c r="G1986" s="39" t="str">
        <f>IF(Agent10_Savings!A191="","",Agent10_Savings!F191)</f>
        <v/>
      </c>
      <c r="H1986" s="37" t="str">
        <f>IF(Agent10_Savings!A191="","",Agent10_Savings!I191)</f>
        <v/>
      </c>
      <c r="I1986" s="37" t="str">
        <f>IF(Agent10_Savings!A191="","",Agent10_Savings!J191)</f>
        <v/>
      </c>
      <c r="J1986" s="37" t="str">
        <f>IF(Agent10_Savings!A191="","",Agent10_Savings!K191)</f>
        <v/>
      </c>
      <c r="K1986" s="37" t="str">
        <f>IFERROR(IF(Agent10_Savings!A191="","",YEAR(Agent10_Savings!D191)),"")</f>
        <v/>
      </c>
    </row>
    <row r="1987" spans="1:11" ht="18" customHeight="1" x14ac:dyDescent="0.25">
      <c r="A1987" s="37" t="str">
        <f>IF(Agent10_Savings!A192="","",Agent10_Savings!A192)</f>
        <v/>
      </c>
      <c r="B1987" s="37" t="str">
        <f ca="1">IF(Agent10_Savings!A192="","","SV"&amp;TEXT(1987-3,"0000")&amp;"-"&amp;TEXT(TODAY(),"YYYYMMDD"))</f>
        <v/>
      </c>
      <c r="C1987" s="37" t="str">
        <f>IF(Agent10_Savings!A192="","",Agent10_Savings!B192)</f>
        <v/>
      </c>
      <c r="D1987" s="37" t="str">
        <f>IF(Agent10_Savings!A192="","",Agent10_Savings!G192)</f>
        <v/>
      </c>
      <c r="E1987" s="38" t="str">
        <f>IF(Agent10_Savings!A192="","",Agent10_Savings!D192)</f>
        <v/>
      </c>
      <c r="F1987" s="39" t="str">
        <f>IF(Agent10_Savings!A192="","",Agent10_Savings!E192)</f>
        <v/>
      </c>
      <c r="G1987" s="39" t="str">
        <f>IF(Agent10_Savings!A192="","",Agent10_Savings!F192)</f>
        <v/>
      </c>
      <c r="H1987" s="37" t="str">
        <f>IF(Agent10_Savings!A192="","",Agent10_Savings!I192)</f>
        <v/>
      </c>
      <c r="I1987" s="37" t="str">
        <f>IF(Agent10_Savings!A192="","",Agent10_Savings!J192)</f>
        <v/>
      </c>
      <c r="J1987" s="37" t="str">
        <f>IF(Agent10_Savings!A192="","",Agent10_Savings!K192)</f>
        <v/>
      </c>
      <c r="K1987" s="37" t="str">
        <f>IFERROR(IF(Agent10_Savings!A192="","",YEAR(Agent10_Savings!D192)),"")</f>
        <v/>
      </c>
    </row>
    <row r="1988" spans="1:11" ht="18" customHeight="1" x14ac:dyDescent="0.25">
      <c r="A1988" s="37" t="str">
        <f>IF(Agent10_Savings!A193="","",Agent10_Savings!A193)</f>
        <v/>
      </c>
      <c r="B1988" s="37" t="str">
        <f ca="1">IF(Agent10_Savings!A193="","","SV"&amp;TEXT(1988-3,"0000")&amp;"-"&amp;TEXT(TODAY(),"YYYYMMDD"))</f>
        <v/>
      </c>
      <c r="C1988" s="37" t="str">
        <f>IF(Agent10_Savings!A193="","",Agent10_Savings!B193)</f>
        <v/>
      </c>
      <c r="D1988" s="37" t="str">
        <f>IF(Agent10_Savings!A193="","",Agent10_Savings!G193)</f>
        <v/>
      </c>
      <c r="E1988" s="38" t="str">
        <f>IF(Agent10_Savings!A193="","",Agent10_Savings!D193)</f>
        <v/>
      </c>
      <c r="F1988" s="39" t="str">
        <f>IF(Agent10_Savings!A193="","",Agent10_Savings!E193)</f>
        <v/>
      </c>
      <c r="G1988" s="39" t="str">
        <f>IF(Agent10_Savings!A193="","",Agent10_Savings!F193)</f>
        <v/>
      </c>
      <c r="H1988" s="37" t="str">
        <f>IF(Agent10_Savings!A193="","",Agent10_Savings!I193)</f>
        <v/>
      </c>
      <c r="I1988" s="37" t="str">
        <f>IF(Agent10_Savings!A193="","",Agent10_Savings!J193)</f>
        <v/>
      </c>
      <c r="J1988" s="37" t="str">
        <f>IF(Agent10_Savings!A193="","",Agent10_Savings!K193)</f>
        <v/>
      </c>
      <c r="K1988" s="37" t="str">
        <f>IFERROR(IF(Agent10_Savings!A193="","",YEAR(Agent10_Savings!D193)),"")</f>
        <v/>
      </c>
    </row>
    <row r="1989" spans="1:11" ht="18" customHeight="1" x14ac:dyDescent="0.25">
      <c r="A1989" s="37" t="str">
        <f>IF(Agent10_Savings!A194="","",Agent10_Savings!A194)</f>
        <v/>
      </c>
      <c r="B1989" s="37" t="str">
        <f ca="1">IF(Agent10_Savings!A194="","","SV"&amp;TEXT(1989-3,"0000")&amp;"-"&amp;TEXT(TODAY(),"YYYYMMDD"))</f>
        <v/>
      </c>
      <c r="C1989" s="37" t="str">
        <f>IF(Agent10_Savings!A194="","",Agent10_Savings!B194)</f>
        <v/>
      </c>
      <c r="D1989" s="37" t="str">
        <f>IF(Agent10_Savings!A194="","",Agent10_Savings!G194)</f>
        <v/>
      </c>
      <c r="E1989" s="38" t="str">
        <f>IF(Agent10_Savings!A194="","",Agent10_Savings!D194)</f>
        <v/>
      </c>
      <c r="F1989" s="39" t="str">
        <f>IF(Agent10_Savings!A194="","",Agent10_Savings!E194)</f>
        <v/>
      </c>
      <c r="G1989" s="39" t="str">
        <f>IF(Agent10_Savings!A194="","",Agent10_Savings!F194)</f>
        <v/>
      </c>
      <c r="H1989" s="37" t="str">
        <f>IF(Agent10_Savings!A194="","",Agent10_Savings!I194)</f>
        <v/>
      </c>
      <c r="I1989" s="37" t="str">
        <f>IF(Agent10_Savings!A194="","",Agent10_Savings!J194)</f>
        <v/>
      </c>
      <c r="J1989" s="37" t="str">
        <f>IF(Agent10_Savings!A194="","",Agent10_Savings!K194)</f>
        <v/>
      </c>
      <c r="K1989" s="37" t="str">
        <f>IFERROR(IF(Agent10_Savings!A194="","",YEAR(Agent10_Savings!D194)),"")</f>
        <v/>
      </c>
    </row>
    <row r="1990" spans="1:11" ht="18" customHeight="1" x14ac:dyDescent="0.25">
      <c r="A1990" s="37" t="str">
        <f>IF(Agent10_Savings!A195="","",Agent10_Savings!A195)</f>
        <v/>
      </c>
      <c r="B1990" s="37" t="str">
        <f ca="1">IF(Agent10_Savings!A195="","","SV"&amp;TEXT(1990-3,"0000")&amp;"-"&amp;TEXT(TODAY(),"YYYYMMDD"))</f>
        <v/>
      </c>
      <c r="C1990" s="37" t="str">
        <f>IF(Agent10_Savings!A195="","",Agent10_Savings!B195)</f>
        <v/>
      </c>
      <c r="D1990" s="37" t="str">
        <f>IF(Agent10_Savings!A195="","",Agent10_Savings!G195)</f>
        <v/>
      </c>
      <c r="E1990" s="38" t="str">
        <f>IF(Agent10_Savings!A195="","",Agent10_Savings!D195)</f>
        <v/>
      </c>
      <c r="F1990" s="39" t="str">
        <f>IF(Agent10_Savings!A195="","",Agent10_Savings!E195)</f>
        <v/>
      </c>
      <c r="G1990" s="39" t="str">
        <f>IF(Agent10_Savings!A195="","",Agent10_Savings!F195)</f>
        <v/>
      </c>
      <c r="H1990" s="37" t="str">
        <f>IF(Agent10_Savings!A195="","",Agent10_Savings!I195)</f>
        <v/>
      </c>
      <c r="I1990" s="37" t="str">
        <f>IF(Agent10_Savings!A195="","",Agent10_Savings!J195)</f>
        <v/>
      </c>
      <c r="J1990" s="37" t="str">
        <f>IF(Agent10_Savings!A195="","",Agent10_Savings!K195)</f>
        <v/>
      </c>
      <c r="K1990" s="37" t="str">
        <f>IFERROR(IF(Agent10_Savings!A195="","",YEAR(Agent10_Savings!D195)),"")</f>
        <v/>
      </c>
    </row>
    <row r="1991" spans="1:11" ht="18" customHeight="1" x14ac:dyDescent="0.25">
      <c r="A1991" s="37" t="str">
        <f>IF(Agent10_Savings!A196="","",Agent10_Savings!A196)</f>
        <v/>
      </c>
      <c r="B1991" s="37" t="str">
        <f ca="1">IF(Agent10_Savings!A196="","","SV"&amp;TEXT(1991-3,"0000")&amp;"-"&amp;TEXT(TODAY(),"YYYYMMDD"))</f>
        <v/>
      </c>
      <c r="C1991" s="37" t="str">
        <f>IF(Agent10_Savings!A196="","",Agent10_Savings!B196)</f>
        <v/>
      </c>
      <c r="D1991" s="37" t="str">
        <f>IF(Agent10_Savings!A196="","",Agent10_Savings!G196)</f>
        <v/>
      </c>
      <c r="E1991" s="38" t="str">
        <f>IF(Agent10_Savings!A196="","",Agent10_Savings!D196)</f>
        <v/>
      </c>
      <c r="F1991" s="39" t="str">
        <f>IF(Agent10_Savings!A196="","",Agent10_Savings!E196)</f>
        <v/>
      </c>
      <c r="G1991" s="39" t="str">
        <f>IF(Agent10_Savings!A196="","",Agent10_Savings!F196)</f>
        <v/>
      </c>
      <c r="H1991" s="37" t="str">
        <f>IF(Agent10_Savings!A196="","",Agent10_Savings!I196)</f>
        <v/>
      </c>
      <c r="I1991" s="37" t="str">
        <f>IF(Agent10_Savings!A196="","",Agent10_Savings!J196)</f>
        <v/>
      </c>
      <c r="J1991" s="37" t="str">
        <f>IF(Agent10_Savings!A196="","",Agent10_Savings!K196)</f>
        <v/>
      </c>
      <c r="K1991" s="37" t="str">
        <f>IFERROR(IF(Agent10_Savings!A196="","",YEAR(Agent10_Savings!D196)),"")</f>
        <v/>
      </c>
    </row>
    <row r="1992" spans="1:11" ht="18" customHeight="1" x14ac:dyDescent="0.25">
      <c r="A1992" s="37" t="str">
        <f>IF(Agent10_Savings!A197="","",Agent10_Savings!A197)</f>
        <v/>
      </c>
      <c r="B1992" s="37" t="str">
        <f ca="1">IF(Agent10_Savings!A197="","","SV"&amp;TEXT(1992-3,"0000")&amp;"-"&amp;TEXT(TODAY(),"YYYYMMDD"))</f>
        <v/>
      </c>
      <c r="C1992" s="37" t="str">
        <f>IF(Agent10_Savings!A197="","",Agent10_Savings!B197)</f>
        <v/>
      </c>
      <c r="D1992" s="37" t="str">
        <f>IF(Agent10_Savings!A197="","",Agent10_Savings!G197)</f>
        <v/>
      </c>
      <c r="E1992" s="38" t="str">
        <f>IF(Agent10_Savings!A197="","",Agent10_Savings!D197)</f>
        <v/>
      </c>
      <c r="F1992" s="39" t="str">
        <f>IF(Agent10_Savings!A197="","",Agent10_Savings!E197)</f>
        <v/>
      </c>
      <c r="G1992" s="39" t="str">
        <f>IF(Agent10_Savings!A197="","",Agent10_Savings!F197)</f>
        <v/>
      </c>
      <c r="H1992" s="37" t="str">
        <f>IF(Agent10_Savings!A197="","",Agent10_Savings!I197)</f>
        <v/>
      </c>
      <c r="I1992" s="37" t="str">
        <f>IF(Agent10_Savings!A197="","",Agent10_Savings!J197)</f>
        <v/>
      </c>
      <c r="J1992" s="37" t="str">
        <f>IF(Agent10_Savings!A197="","",Agent10_Savings!K197)</f>
        <v/>
      </c>
      <c r="K1992" s="37" t="str">
        <f>IFERROR(IF(Agent10_Savings!A197="","",YEAR(Agent10_Savings!D197)),"")</f>
        <v/>
      </c>
    </row>
    <row r="1993" spans="1:11" ht="18" customHeight="1" x14ac:dyDescent="0.25">
      <c r="A1993" s="37" t="str">
        <f>IF(Agent10_Savings!A198="","",Agent10_Savings!A198)</f>
        <v/>
      </c>
      <c r="B1993" s="37" t="str">
        <f ca="1">IF(Agent10_Savings!A198="","","SV"&amp;TEXT(1993-3,"0000")&amp;"-"&amp;TEXT(TODAY(),"YYYYMMDD"))</f>
        <v/>
      </c>
      <c r="C1993" s="37" t="str">
        <f>IF(Agent10_Savings!A198="","",Agent10_Savings!B198)</f>
        <v/>
      </c>
      <c r="D1993" s="37" t="str">
        <f>IF(Agent10_Savings!A198="","",Agent10_Savings!G198)</f>
        <v/>
      </c>
      <c r="E1993" s="38" t="str">
        <f>IF(Agent10_Savings!A198="","",Agent10_Savings!D198)</f>
        <v/>
      </c>
      <c r="F1993" s="39" t="str">
        <f>IF(Agent10_Savings!A198="","",Agent10_Savings!E198)</f>
        <v/>
      </c>
      <c r="G1993" s="39" t="str">
        <f>IF(Agent10_Savings!A198="","",Agent10_Savings!F198)</f>
        <v/>
      </c>
      <c r="H1993" s="37" t="str">
        <f>IF(Agent10_Savings!A198="","",Agent10_Savings!I198)</f>
        <v/>
      </c>
      <c r="I1993" s="37" t="str">
        <f>IF(Agent10_Savings!A198="","",Agent10_Savings!J198)</f>
        <v/>
      </c>
      <c r="J1993" s="37" t="str">
        <f>IF(Agent10_Savings!A198="","",Agent10_Savings!K198)</f>
        <v/>
      </c>
      <c r="K1993" s="37" t="str">
        <f>IFERROR(IF(Agent10_Savings!A198="","",YEAR(Agent10_Savings!D198)),"")</f>
        <v/>
      </c>
    </row>
    <row r="1994" spans="1:11" ht="18" customHeight="1" x14ac:dyDescent="0.25">
      <c r="A1994" s="37" t="str">
        <f>IF(Agent10_Savings!A199="","",Agent10_Savings!A199)</f>
        <v/>
      </c>
      <c r="B1994" s="37" t="str">
        <f ca="1">IF(Agent10_Savings!A199="","","SV"&amp;TEXT(1994-3,"0000")&amp;"-"&amp;TEXT(TODAY(),"YYYYMMDD"))</f>
        <v/>
      </c>
      <c r="C1994" s="37" t="str">
        <f>IF(Agent10_Savings!A199="","",Agent10_Savings!B199)</f>
        <v/>
      </c>
      <c r="D1994" s="37" t="str">
        <f>IF(Agent10_Savings!A199="","",Agent10_Savings!G199)</f>
        <v/>
      </c>
      <c r="E1994" s="38" t="str">
        <f>IF(Agent10_Savings!A199="","",Agent10_Savings!D199)</f>
        <v/>
      </c>
      <c r="F1994" s="39" t="str">
        <f>IF(Agent10_Savings!A199="","",Agent10_Savings!E199)</f>
        <v/>
      </c>
      <c r="G1994" s="39" t="str">
        <f>IF(Agent10_Savings!A199="","",Agent10_Savings!F199)</f>
        <v/>
      </c>
      <c r="H1994" s="37" t="str">
        <f>IF(Agent10_Savings!A199="","",Agent10_Savings!I199)</f>
        <v/>
      </c>
      <c r="I1994" s="37" t="str">
        <f>IF(Agent10_Savings!A199="","",Agent10_Savings!J199)</f>
        <v/>
      </c>
      <c r="J1994" s="37" t="str">
        <f>IF(Agent10_Savings!A199="","",Agent10_Savings!K199)</f>
        <v/>
      </c>
      <c r="K1994" s="37" t="str">
        <f>IFERROR(IF(Agent10_Savings!A199="","",YEAR(Agent10_Savings!D199)),"")</f>
        <v/>
      </c>
    </row>
    <row r="1995" spans="1:11" ht="18" customHeight="1" x14ac:dyDescent="0.25">
      <c r="A1995" s="37" t="str">
        <f>IF(Agent10_Savings!A200="","",Agent10_Savings!A200)</f>
        <v/>
      </c>
      <c r="B1995" s="37" t="str">
        <f ca="1">IF(Agent10_Savings!A200="","","SV"&amp;TEXT(1995-3,"0000")&amp;"-"&amp;TEXT(TODAY(),"YYYYMMDD"))</f>
        <v/>
      </c>
      <c r="C1995" s="37" t="str">
        <f>IF(Agent10_Savings!A200="","",Agent10_Savings!B200)</f>
        <v/>
      </c>
      <c r="D1995" s="37" t="str">
        <f>IF(Agent10_Savings!A200="","",Agent10_Savings!G200)</f>
        <v/>
      </c>
      <c r="E1995" s="38" t="str">
        <f>IF(Agent10_Savings!A200="","",Agent10_Savings!D200)</f>
        <v/>
      </c>
      <c r="F1995" s="39" t="str">
        <f>IF(Agent10_Savings!A200="","",Agent10_Savings!E200)</f>
        <v/>
      </c>
      <c r="G1995" s="39" t="str">
        <f>IF(Agent10_Savings!A200="","",Agent10_Savings!F200)</f>
        <v/>
      </c>
      <c r="H1995" s="37" t="str">
        <f>IF(Agent10_Savings!A200="","",Agent10_Savings!I200)</f>
        <v/>
      </c>
      <c r="I1995" s="37" t="str">
        <f>IF(Agent10_Savings!A200="","",Agent10_Savings!J200)</f>
        <v/>
      </c>
      <c r="J1995" s="37" t="str">
        <f>IF(Agent10_Savings!A200="","",Agent10_Savings!K200)</f>
        <v/>
      </c>
      <c r="K1995" s="37" t="str">
        <f>IFERROR(IF(Agent10_Savings!A200="","",YEAR(Agent10_Savings!D200)),"")</f>
        <v/>
      </c>
    </row>
    <row r="1996" spans="1:11" ht="18" customHeight="1" x14ac:dyDescent="0.25">
      <c r="A1996" s="37" t="str">
        <f>IF(Agent10_Savings!A201="","",Agent10_Savings!A201)</f>
        <v/>
      </c>
      <c r="B1996" s="37" t="str">
        <f ca="1">IF(Agent10_Savings!A201="","","SV"&amp;TEXT(1996-3,"0000")&amp;"-"&amp;TEXT(TODAY(),"YYYYMMDD"))</f>
        <v/>
      </c>
      <c r="C1996" s="37" t="str">
        <f>IF(Agent10_Savings!A201="","",Agent10_Savings!B201)</f>
        <v/>
      </c>
      <c r="D1996" s="37" t="str">
        <f>IF(Agent10_Savings!A201="","",Agent10_Savings!G201)</f>
        <v/>
      </c>
      <c r="E1996" s="38" t="str">
        <f>IF(Agent10_Savings!A201="","",Agent10_Savings!D201)</f>
        <v/>
      </c>
      <c r="F1996" s="39" t="str">
        <f>IF(Agent10_Savings!A201="","",Agent10_Savings!E201)</f>
        <v/>
      </c>
      <c r="G1996" s="39" t="str">
        <f>IF(Agent10_Savings!A201="","",Agent10_Savings!F201)</f>
        <v/>
      </c>
      <c r="H1996" s="37" t="str">
        <f>IF(Agent10_Savings!A201="","",Agent10_Savings!I201)</f>
        <v/>
      </c>
      <c r="I1996" s="37" t="str">
        <f>IF(Agent10_Savings!A201="","",Agent10_Savings!J201)</f>
        <v/>
      </c>
      <c r="J1996" s="37" t="str">
        <f>IF(Agent10_Savings!A201="","",Agent10_Savings!K201)</f>
        <v/>
      </c>
      <c r="K1996" s="37" t="str">
        <f>IFERROR(IF(Agent10_Savings!A201="","",YEAR(Agent10_Savings!D201)),"")</f>
        <v/>
      </c>
    </row>
    <row r="1997" spans="1:11" ht="18" customHeight="1" x14ac:dyDescent="0.25">
      <c r="A1997" s="37" t="str">
        <f>IF(Agent10_Savings!A202="","",Agent10_Savings!A202)</f>
        <v/>
      </c>
      <c r="B1997" s="37" t="str">
        <f ca="1">IF(Agent10_Savings!A202="","","SV"&amp;TEXT(1997-3,"0000")&amp;"-"&amp;TEXT(TODAY(),"YYYYMMDD"))</f>
        <v/>
      </c>
      <c r="C1997" s="37" t="str">
        <f>IF(Agent10_Savings!A202="","",Agent10_Savings!B202)</f>
        <v/>
      </c>
      <c r="D1997" s="37" t="str">
        <f>IF(Agent10_Savings!A202="","",Agent10_Savings!G202)</f>
        <v/>
      </c>
      <c r="E1997" s="38" t="str">
        <f>IF(Agent10_Savings!A202="","",Agent10_Savings!D202)</f>
        <v/>
      </c>
      <c r="F1997" s="39" t="str">
        <f>IF(Agent10_Savings!A202="","",Agent10_Savings!E202)</f>
        <v/>
      </c>
      <c r="G1997" s="39" t="str">
        <f>IF(Agent10_Savings!A202="","",Agent10_Savings!F202)</f>
        <v/>
      </c>
      <c r="H1997" s="37" t="str">
        <f>IF(Agent10_Savings!A202="","",Agent10_Savings!I202)</f>
        <v/>
      </c>
      <c r="I1997" s="37" t="str">
        <f>IF(Agent10_Savings!A202="","",Agent10_Savings!J202)</f>
        <v/>
      </c>
      <c r="J1997" s="37" t="str">
        <f>IF(Agent10_Savings!A202="","",Agent10_Savings!K202)</f>
        <v/>
      </c>
      <c r="K1997" s="37" t="str">
        <f>IFERROR(IF(Agent10_Savings!A202="","",YEAR(Agent10_Savings!D202)),"")</f>
        <v/>
      </c>
    </row>
    <row r="1998" spans="1:11" ht="18" customHeight="1" x14ac:dyDescent="0.25">
      <c r="A1998" s="37" t="str">
        <f>IF(Agent10_Savings!A203="","",Agent10_Savings!A203)</f>
        <v/>
      </c>
      <c r="B1998" s="37" t="str">
        <f ca="1">IF(Agent10_Savings!A203="","","SV"&amp;TEXT(1998-3,"0000")&amp;"-"&amp;TEXT(TODAY(),"YYYYMMDD"))</f>
        <v/>
      </c>
      <c r="C1998" s="37" t="str">
        <f>IF(Agent10_Savings!A203="","",Agent10_Savings!B203)</f>
        <v/>
      </c>
      <c r="D1998" s="37" t="str">
        <f>IF(Agent10_Savings!A203="","",Agent10_Savings!G203)</f>
        <v/>
      </c>
      <c r="E1998" s="38" t="str">
        <f>IF(Agent10_Savings!A203="","",Agent10_Savings!D203)</f>
        <v/>
      </c>
      <c r="F1998" s="39" t="str">
        <f>IF(Agent10_Savings!A203="","",Agent10_Savings!E203)</f>
        <v/>
      </c>
      <c r="G1998" s="39" t="str">
        <f>IF(Agent10_Savings!A203="","",Agent10_Savings!F203)</f>
        <v/>
      </c>
      <c r="H1998" s="37" t="str">
        <f>IF(Agent10_Savings!A203="","",Agent10_Savings!I203)</f>
        <v/>
      </c>
      <c r="I1998" s="37" t="str">
        <f>IF(Agent10_Savings!A203="","",Agent10_Savings!J203)</f>
        <v/>
      </c>
      <c r="J1998" s="37" t="str">
        <f>IF(Agent10_Savings!A203="","",Agent10_Savings!K203)</f>
        <v/>
      </c>
      <c r="K1998" s="37" t="str">
        <f>IFERROR(IF(Agent10_Savings!A203="","",YEAR(Agent10_Savings!D203)),"")</f>
        <v/>
      </c>
    </row>
    <row r="1999" spans="1:11" ht="18" customHeight="1" x14ac:dyDescent="0.25">
      <c r="A1999" s="37" t="str">
        <f>IF(Agent10_Savings!A204="","",Agent10_Savings!A204)</f>
        <v/>
      </c>
      <c r="B1999" s="37" t="str">
        <f ca="1">IF(Agent10_Savings!A204="","","SV"&amp;TEXT(1999-3,"0000")&amp;"-"&amp;TEXT(TODAY(),"YYYYMMDD"))</f>
        <v/>
      </c>
      <c r="C1999" s="37" t="str">
        <f>IF(Agent10_Savings!A204="","",Agent10_Savings!B204)</f>
        <v/>
      </c>
      <c r="D1999" s="37" t="str">
        <f>IF(Agent10_Savings!A204="","",Agent10_Savings!G204)</f>
        <v/>
      </c>
      <c r="E1999" s="38" t="str">
        <f>IF(Agent10_Savings!A204="","",Agent10_Savings!D204)</f>
        <v/>
      </c>
      <c r="F1999" s="39" t="str">
        <f>IF(Agent10_Savings!A204="","",Agent10_Savings!E204)</f>
        <v/>
      </c>
      <c r="G1999" s="39" t="str">
        <f>IF(Agent10_Savings!A204="","",Agent10_Savings!F204)</f>
        <v/>
      </c>
      <c r="H1999" s="37" t="str">
        <f>IF(Agent10_Savings!A204="","",Agent10_Savings!I204)</f>
        <v/>
      </c>
      <c r="I1999" s="37" t="str">
        <f>IF(Agent10_Savings!A204="","",Agent10_Savings!J204)</f>
        <v/>
      </c>
      <c r="J1999" s="37" t="str">
        <f>IF(Agent10_Savings!A204="","",Agent10_Savings!K204)</f>
        <v/>
      </c>
      <c r="K1999" s="37" t="str">
        <f>IFERROR(IF(Agent10_Savings!A204="","",YEAR(Agent10_Savings!D204)),"")</f>
        <v/>
      </c>
    </row>
    <row r="2000" spans="1:11" ht="18" customHeight="1" x14ac:dyDescent="0.25">
      <c r="A2000" s="37" t="str">
        <f>IF(Agent10_Savings!A205="","",Agent10_Savings!A205)</f>
        <v/>
      </c>
      <c r="B2000" s="37" t="str">
        <f ca="1">IF(Agent10_Savings!A205="","","SV"&amp;TEXT(2000-3,"0000")&amp;"-"&amp;TEXT(TODAY(),"YYYYMMDD"))</f>
        <v/>
      </c>
      <c r="C2000" s="37" t="str">
        <f>IF(Agent10_Savings!A205="","",Agent10_Savings!B205)</f>
        <v/>
      </c>
      <c r="D2000" s="37" t="str">
        <f>IF(Agent10_Savings!A205="","",Agent10_Savings!G205)</f>
        <v/>
      </c>
      <c r="E2000" s="38" t="str">
        <f>IF(Agent10_Savings!A205="","",Agent10_Savings!D205)</f>
        <v/>
      </c>
      <c r="F2000" s="39" t="str">
        <f>IF(Agent10_Savings!A205="","",Agent10_Savings!E205)</f>
        <v/>
      </c>
      <c r="G2000" s="39" t="str">
        <f>IF(Agent10_Savings!A205="","",Agent10_Savings!F205)</f>
        <v/>
      </c>
      <c r="H2000" s="37" t="str">
        <f>IF(Agent10_Savings!A205="","",Agent10_Savings!I205)</f>
        <v/>
      </c>
      <c r="I2000" s="37" t="str">
        <f>IF(Agent10_Savings!A205="","",Agent10_Savings!J205)</f>
        <v/>
      </c>
      <c r="J2000" s="37" t="str">
        <f>IF(Agent10_Savings!A205="","",Agent10_Savings!K205)</f>
        <v/>
      </c>
      <c r="K2000" s="37" t="str">
        <f>IFERROR(IF(Agent10_Savings!A205="","",YEAR(Agent10_Savings!D205)),"")</f>
        <v/>
      </c>
    </row>
    <row r="2001" spans="1:11" ht="18" customHeight="1" x14ac:dyDescent="0.25">
      <c r="A2001" s="37" t="str">
        <f>IF(Agent10_Savings!A206="","",Agent10_Savings!A206)</f>
        <v/>
      </c>
      <c r="B2001" s="37" t="str">
        <f ca="1">IF(Agent10_Savings!A206="","","SV"&amp;TEXT(2001-3,"0000")&amp;"-"&amp;TEXT(TODAY(),"YYYYMMDD"))</f>
        <v/>
      </c>
      <c r="C2001" s="37" t="str">
        <f>IF(Agent10_Savings!A206="","",Agent10_Savings!B206)</f>
        <v/>
      </c>
      <c r="D2001" s="37" t="str">
        <f>IF(Agent10_Savings!A206="","",Agent10_Savings!G206)</f>
        <v/>
      </c>
      <c r="E2001" s="38" t="str">
        <f>IF(Agent10_Savings!A206="","",Agent10_Savings!D206)</f>
        <v/>
      </c>
      <c r="F2001" s="39" t="str">
        <f>IF(Agent10_Savings!A206="","",Agent10_Savings!E206)</f>
        <v/>
      </c>
      <c r="G2001" s="39" t="str">
        <f>IF(Agent10_Savings!A206="","",Agent10_Savings!F206)</f>
        <v/>
      </c>
      <c r="H2001" s="37" t="str">
        <f>IF(Agent10_Savings!A206="","",Agent10_Savings!I206)</f>
        <v/>
      </c>
      <c r="I2001" s="37" t="str">
        <f>IF(Agent10_Savings!A206="","",Agent10_Savings!J206)</f>
        <v/>
      </c>
      <c r="J2001" s="37" t="str">
        <f>IF(Agent10_Savings!A206="","",Agent10_Savings!K206)</f>
        <v/>
      </c>
      <c r="K2001" s="37" t="str">
        <f>IFERROR(IF(Agent10_Savings!A206="","",YEAR(Agent10_Savings!D206)),"")</f>
        <v/>
      </c>
    </row>
    <row r="2002" spans="1:11" ht="18" customHeight="1" x14ac:dyDescent="0.25">
      <c r="A2002" s="37" t="str">
        <f>IF(Agent10_Savings!A207="","",Agent10_Savings!A207)</f>
        <v/>
      </c>
      <c r="B2002" s="37" t="str">
        <f ca="1">IF(Agent10_Savings!A207="","","SV"&amp;TEXT(2002-3,"0000")&amp;"-"&amp;TEXT(TODAY(),"YYYYMMDD"))</f>
        <v/>
      </c>
      <c r="C2002" s="37" t="str">
        <f>IF(Agent10_Savings!A207="","",Agent10_Savings!B207)</f>
        <v/>
      </c>
      <c r="D2002" s="37" t="str">
        <f>IF(Agent10_Savings!A207="","",Agent10_Savings!G207)</f>
        <v/>
      </c>
      <c r="E2002" s="38" t="str">
        <f>IF(Agent10_Savings!A207="","",Agent10_Savings!D207)</f>
        <v/>
      </c>
      <c r="F2002" s="39" t="str">
        <f>IF(Agent10_Savings!A207="","",Agent10_Savings!E207)</f>
        <v/>
      </c>
      <c r="G2002" s="39" t="str">
        <f>IF(Agent10_Savings!A207="","",Agent10_Savings!F207)</f>
        <v/>
      </c>
      <c r="H2002" s="37" t="str">
        <f>IF(Agent10_Savings!A207="","",Agent10_Savings!I207)</f>
        <v/>
      </c>
      <c r="I2002" s="37" t="str">
        <f>IF(Agent10_Savings!A207="","",Agent10_Savings!J207)</f>
        <v/>
      </c>
      <c r="J2002" s="37" t="str">
        <f>IF(Agent10_Savings!A207="","",Agent10_Savings!K207)</f>
        <v/>
      </c>
      <c r="K2002" s="37" t="str">
        <f>IFERROR(IF(Agent10_Savings!A207="","",YEAR(Agent10_Savings!D207)),"")</f>
        <v/>
      </c>
    </row>
    <row r="2003" spans="1:11" ht="18" customHeight="1" x14ac:dyDescent="0.25">
      <c r="A2003" s="37" t="str">
        <f>IF(Agent10_Savings!A208="","",Agent10_Savings!A208)</f>
        <v/>
      </c>
      <c r="B2003" s="37" t="str">
        <f ca="1">IF(Agent10_Savings!A208="","","SV"&amp;TEXT(2003-3,"0000")&amp;"-"&amp;TEXT(TODAY(),"YYYYMMDD"))</f>
        <v/>
      </c>
      <c r="C2003" s="37" t="str">
        <f>IF(Agent10_Savings!A208="","",Agent10_Savings!B208)</f>
        <v/>
      </c>
      <c r="D2003" s="37" t="str">
        <f>IF(Agent10_Savings!A208="","",Agent10_Savings!G208)</f>
        <v/>
      </c>
      <c r="E2003" s="38" t="str">
        <f>IF(Agent10_Savings!A208="","",Agent10_Savings!D208)</f>
        <v/>
      </c>
      <c r="F2003" s="39" t="str">
        <f>IF(Agent10_Savings!A208="","",Agent10_Savings!E208)</f>
        <v/>
      </c>
      <c r="G2003" s="39" t="str">
        <f>IF(Agent10_Savings!A208="","",Agent10_Savings!F208)</f>
        <v/>
      </c>
      <c r="H2003" s="37" t="str">
        <f>IF(Agent10_Savings!A208="","",Agent10_Savings!I208)</f>
        <v/>
      </c>
      <c r="I2003" s="37" t="str">
        <f>IF(Agent10_Savings!A208="","",Agent10_Savings!J208)</f>
        <v/>
      </c>
      <c r="J2003" s="37" t="str">
        <f>IF(Agent10_Savings!A208="","",Agent10_Savings!K208)</f>
        <v/>
      </c>
      <c r="K2003" s="37" t="str">
        <f>IFERROR(IF(Agent10_Savings!A208="","",YEAR(Agent10_Savings!D208)),"")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55A11"/>
  </sheetPr>
  <dimension ref="A1:M200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26" customWidth="1"/>
    <col min="3" max="3" width="28" customWidth="1"/>
    <col min="4" max="4" width="18" customWidth="1"/>
    <col min="5" max="5" width="14" customWidth="1"/>
    <col min="6" max="6" width="18" customWidth="1"/>
    <col min="7" max="7" width="22" customWidth="1"/>
    <col min="8" max="8" width="20" customWidth="1"/>
    <col min="9" max="9" width="14" customWidth="1"/>
    <col min="10" max="11" width="22" customWidth="1"/>
    <col min="12" max="12" width="20" customWidth="1"/>
    <col min="13" max="13" width="10" customWidth="1"/>
  </cols>
  <sheetData>
    <row r="1" spans="1:13" ht="32.1" customHeight="1" x14ac:dyDescent="0.25">
      <c r="A1" s="94" t="s">
        <v>97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ht="27.95" customHeight="1" x14ac:dyDescent="0.25">
      <c r="A2" s="92" t="s">
        <v>98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30" customHeight="1" x14ac:dyDescent="0.25">
      <c r="A3" s="19" t="s">
        <v>88</v>
      </c>
      <c r="B3" s="19" t="s">
        <v>89</v>
      </c>
      <c r="C3" s="19" t="s">
        <v>90</v>
      </c>
      <c r="D3" s="19" t="s">
        <v>99</v>
      </c>
      <c r="E3" s="19" t="s">
        <v>91</v>
      </c>
      <c r="F3" s="19" t="s">
        <v>100</v>
      </c>
      <c r="G3" s="19" t="s">
        <v>101</v>
      </c>
      <c r="H3" s="19" t="s">
        <v>102</v>
      </c>
      <c r="I3" s="19" t="s">
        <v>45</v>
      </c>
      <c r="J3" s="19" t="s">
        <v>77</v>
      </c>
      <c r="K3" s="19" t="s">
        <v>94</v>
      </c>
      <c r="L3" s="19" t="s">
        <v>103</v>
      </c>
      <c r="M3" s="19" t="s">
        <v>96</v>
      </c>
    </row>
    <row r="4" spans="1:13" ht="18" customHeight="1" x14ac:dyDescent="0.25">
      <c r="A4" s="37" t="str">
        <f>IF(Agent01_Withdrawals!A9="","",Agent01_Withdrawals!A9)</f>
        <v/>
      </c>
      <c r="B4" s="37" t="str">
        <f ca="1">IF(Agent01_Withdrawals!A9="","","WD"&amp;TEXT(4-3,"0000")&amp;"-"&amp;TEXT(TODAY(),"YYYYMMDD"))</f>
        <v/>
      </c>
      <c r="C4" s="37" t="str">
        <f>IF(Agent01_Withdrawals!A9="","",Agent01_Withdrawals!B9)</f>
        <v/>
      </c>
      <c r="D4" s="40" t="str">
        <f>IF(Agent01_Withdrawals!A9="","",Agent01_Withdrawals!C9)</f>
        <v/>
      </c>
      <c r="E4" s="38" t="str">
        <f>IF(Agent01_Withdrawals!A9="","",Agent01_Withdrawals!D9)</f>
        <v/>
      </c>
      <c r="F4" s="37" t="str">
        <f>IF(Agent01_Withdrawals!A9="","",Agent01_Withdrawals!F9)</f>
        <v/>
      </c>
      <c r="G4" s="39" t="str">
        <f>IF(Agent01_Withdrawals!A9="","",Agent01_Withdrawals!E9)</f>
        <v/>
      </c>
      <c r="H4" s="39" t="str">
        <f>IF(Agent01_Withdrawals!A9="","",Agent01_Withdrawals!G9)</f>
        <v/>
      </c>
      <c r="I4" s="37" t="str">
        <f>IF(Agent01_Withdrawals!A9="","",Agent01_Withdrawals!H9)</f>
        <v/>
      </c>
      <c r="J4" s="37" t="str">
        <f>IF(Agent01_Withdrawals!A9="","",Agent01_Withdrawals!J9)</f>
        <v/>
      </c>
      <c r="K4" s="37" t="str">
        <f>IF(Agent01_Withdrawals!A9="","",Agent01_Withdrawals!K9)</f>
        <v/>
      </c>
      <c r="L4" s="37" t="str">
        <f>IF(G4="","",IF(D4-G4&gt;=System_Config!$B$9,"✅ OK","⚠️ BREACH"))</f>
        <v/>
      </c>
      <c r="M4" s="37" t="str">
        <f>IFERROR(IF(Agent01_Withdrawals!A9="","",YEAR(Agent01_Withdrawals!D9)),"")</f>
        <v/>
      </c>
    </row>
    <row r="5" spans="1:13" ht="18" customHeight="1" x14ac:dyDescent="0.25">
      <c r="A5" s="37" t="str">
        <f>IF(Agent01_Withdrawals!A10="","",Agent01_Withdrawals!A10)</f>
        <v/>
      </c>
      <c r="B5" s="37" t="str">
        <f ca="1">IF(Agent01_Withdrawals!A10="","","WD"&amp;TEXT(5-3,"0000")&amp;"-"&amp;TEXT(TODAY(),"YYYYMMDD"))</f>
        <v/>
      </c>
      <c r="C5" s="37" t="str">
        <f>IF(Agent01_Withdrawals!A10="","",Agent01_Withdrawals!B10)</f>
        <v/>
      </c>
      <c r="D5" s="40" t="str">
        <f>IF(Agent01_Withdrawals!A10="","",Agent01_Withdrawals!C10)</f>
        <v/>
      </c>
      <c r="E5" s="38" t="str">
        <f>IF(Agent01_Withdrawals!A10="","",Agent01_Withdrawals!D10)</f>
        <v/>
      </c>
      <c r="F5" s="37" t="str">
        <f>IF(Agent01_Withdrawals!A10="","",Agent01_Withdrawals!F10)</f>
        <v/>
      </c>
      <c r="G5" s="39" t="str">
        <f>IF(Agent01_Withdrawals!A10="","",Agent01_Withdrawals!E10)</f>
        <v/>
      </c>
      <c r="H5" s="39" t="str">
        <f>IF(Agent01_Withdrawals!A10="","",Agent01_Withdrawals!G10)</f>
        <v/>
      </c>
      <c r="I5" s="37" t="str">
        <f>IF(Agent01_Withdrawals!A10="","",Agent01_Withdrawals!H10)</f>
        <v/>
      </c>
      <c r="J5" s="37" t="str">
        <f>IF(Agent01_Withdrawals!A10="","",Agent01_Withdrawals!J10)</f>
        <v/>
      </c>
      <c r="K5" s="37" t="str">
        <f>IF(Agent01_Withdrawals!A10="","",Agent01_Withdrawals!K10)</f>
        <v/>
      </c>
      <c r="L5" s="37" t="str">
        <f>IF(G5="","",IF(D5-G5&gt;=System_Config!$B$9,"✅ OK","⚠️ BREACH"))</f>
        <v/>
      </c>
      <c r="M5" s="37" t="str">
        <f>IFERROR(IF(Agent01_Withdrawals!A10="","",YEAR(Agent01_Withdrawals!D10)),"")</f>
        <v/>
      </c>
    </row>
    <row r="6" spans="1:13" ht="18" customHeight="1" x14ac:dyDescent="0.25">
      <c r="A6" s="37" t="str">
        <f>IF(Agent01_Withdrawals!A11="","",Agent01_Withdrawals!A11)</f>
        <v/>
      </c>
      <c r="B6" s="37" t="str">
        <f ca="1">IF(Agent01_Withdrawals!A11="","","WD"&amp;TEXT(6-3,"0000")&amp;"-"&amp;TEXT(TODAY(),"YYYYMMDD"))</f>
        <v/>
      </c>
      <c r="C6" s="37" t="str">
        <f>IF(Agent01_Withdrawals!A11="","",Agent01_Withdrawals!B11)</f>
        <v/>
      </c>
      <c r="D6" s="40" t="str">
        <f>IF(Agent01_Withdrawals!A11="","",Agent01_Withdrawals!C11)</f>
        <v/>
      </c>
      <c r="E6" s="38" t="str">
        <f>IF(Agent01_Withdrawals!A11="","",Agent01_Withdrawals!D11)</f>
        <v/>
      </c>
      <c r="F6" s="37" t="str">
        <f>IF(Agent01_Withdrawals!A11="","",Agent01_Withdrawals!F11)</f>
        <v/>
      </c>
      <c r="G6" s="39" t="str">
        <f>IF(Agent01_Withdrawals!A11="","",Agent01_Withdrawals!E11)</f>
        <v/>
      </c>
      <c r="H6" s="39" t="str">
        <f>IF(Agent01_Withdrawals!A11="","",Agent01_Withdrawals!G11)</f>
        <v/>
      </c>
      <c r="I6" s="37" t="str">
        <f>IF(Agent01_Withdrawals!A11="","",Agent01_Withdrawals!H11)</f>
        <v/>
      </c>
      <c r="J6" s="37" t="str">
        <f>IF(Agent01_Withdrawals!A11="","",Agent01_Withdrawals!J11)</f>
        <v/>
      </c>
      <c r="K6" s="37" t="str">
        <f>IF(Agent01_Withdrawals!A11="","",Agent01_Withdrawals!K11)</f>
        <v/>
      </c>
      <c r="L6" s="37" t="str">
        <f>IF(G6="","",IF(D6-G6&gt;=System_Config!$B$9,"✅ OK","⚠️ BREACH"))</f>
        <v/>
      </c>
      <c r="M6" s="37" t="str">
        <f>IFERROR(IF(Agent01_Withdrawals!A11="","",YEAR(Agent01_Withdrawals!D11)),"")</f>
        <v/>
      </c>
    </row>
    <row r="7" spans="1:13" ht="18" customHeight="1" x14ac:dyDescent="0.25">
      <c r="A7" s="37" t="str">
        <f>IF(Agent01_Withdrawals!A12="","",Agent01_Withdrawals!A12)</f>
        <v/>
      </c>
      <c r="B7" s="37" t="str">
        <f ca="1">IF(Agent01_Withdrawals!A12="","","WD"&amp;TEXT(7-3,"0000")&amp;"-"&amp;TEXT(TODAY(),"YYYYMMDD"))</f>
        <v/>
      </c>
      <c r="C7" s="37" t="str">
        <f>IF(Agent01_Withdrawals!A12="","",Agent01_Withdrawals!B12)</f>
        <v/>
      </c>
      <c r="D7" s="40" t="str">
        <f>IF(Agent01_Withdrawals!A12="","",Agent01_Withdrawals!C12)</f>
        <v/>
      </c>
      <c r="E7" s="38" t="str">
        <f>IF(Agent01_Withdrawals!A12="","",Agent01_Withdrawals!D12)</f>
        <v/>
      </c>
      <c r="F7" s="37" t="str">
        <f>IF(Agent01_Withdrawals!A12="","",Agent01_Withdrawals!F12)</f>
        <v/>
      </c>
      <c r="G7" s="39" t="str">
        <f>IF(Agent01_Withdrawals!A12="","",Agent01_Withdrawals!E12)</f>
        <v/>
      </c>
      <c r="H7" s="39" t="str">
        <f>IF(Agent01_Withdrawals!A12="","",Agent01_Withdrawals!G12)</f>
        <v/>
      </c>
      <c r="I7" s="37" t="str">
        <f>IF(Agent01_Withdrawals!A12="","",Agent01_Withdrawals!H12)</f>
        <v/>
      </c>
      <c r="J7" s="37" t="str">
        <f>IF(Agent01_Withdrawals!A12="","",Agent01_Withdrawals!J12)</f>
        <v/>
      </c>
      <c r="K7" s="37" t="str">
        <f>IF(Agent01_Withdrawals!A12="","",Agent01_Withdrawals!K12)</f>
        <v/>
      </c>
      <c r="L7" s="37" t="str">
        <f>IF(G7="","",IF(D7-G7&gt;=System_Config!$B$9,"✅ OK","⚠️ BREACH"))</f>
        <v/>
      </c>
      <c r="M7" s="37" t="str">
        <f>IFERROR(IF(Agent01_Withdrawals!A12="","",YEAR(Agent01_Withdrawals!D12)),"")</f>
        <v/>
      </c>
    </row>
    <row r="8" spans="1:13" ht="18" customHeight="1" x14ac:dyDescent="0.25">
      <c r="A8" s="37" t="str">
        <f>IF(Agent01_Withdrawals!A13="","",Agent01_Withdrawals!A13)</f>
        <v/>
      </c>
      <c r="B8" s="37" t="str">
        <f ca="1">IF(Agent01_Withdrawals!A13="","","WD"&amp;TEXT(8-3,"0000")&amp;"-"&amp;TEXT(TODAY(),"YYYYMMDD"))</f>
        <v/>
      </c>
      <c r="C8" s="37" t="str">
        <f>IF(Agent01_Withdrawals!A13="","",Agent01_Withdrawals!B13)</f>
        <v/>
      </c>
      <c r="D8" s="40" t="str">
        <f>IF(Agent01_Withdrawals!A13="","",Agent01_Withdrawals!C13)</f>
        <v/>
      </c>
      <c r="E8" s="38" t="str">
        <f>IF(Agent01_Withdrawals!A13="","",Agent01_Withdrawals!D13)</f>
        <v/>
      </c>
      <c r="F8" s="37" t="str">
        <f>IF(Agent01_Withdrawals!A13="","",Agent01_Withdrawals!F13)</f>
        <v/>
      </c>
      <c r="G8" s="39" t="str">
        <f>IF(Agent01_Withdrawals!A13="","",Agent01_Withdrawals!E13)</f>
        <v/>
      </c>
      <c r="H8" s="39" t="str">
        <f>IF(Agent01_Withdrawals!A13="","",Agent01_Withdrawals!G13)</f>
        <v/>
      </c>
      <c r="I8" s="37" t="str">
        <f>IF(Agent01_Withdrawals!A13="","",Agent01_Withdrawals!H13)</f>
        <v/>
      </c>
      <c r="J8" s="37" t="str">
        <f>IF(Agent01_Withdrawals!A13="","",Agent01_Withdrawals!J13)</f>
        <v/>
      </c>
      <c r="K8" s="37" t="str">
        <f>IF(Agent01_Withdrawals!A13="","",Agent01_Withdrawals!K13)</f>
        <v/>
      </c>
      <c r="L8" s="37" t="str">
        <f>IF(G8="","",IF(D8-G8&gt;=System_Config!$B$9,"✅ OK","⚠️ BREACH"))</f>
        <v/>
      </c>
      <c r="M8" s="37" t="str">
        <f>IFERROR(IF(Agent01_Withdrawals!A13="","",YEAR(Agent01_Withdrawals!D13)),"")</f>
        <v/>
      </c>
    </row>
    <row r="9" spans="1:13" ht="18" customHeight="1" x14ac:dyDescent="0.25">
      <c r="A9" s="37" t="str">
        <f>IF(Agent01_Withdrawals!A14="","",Agent01_Withdrawals!A14)</f>
        <v/>
      </c>
      <c r="B9" s="37" t="str">
        <f ca="1">IF(Agent01_Withdrawals!A14="","","WD"&amp;TEXT(9-3,"0000")&amp;"-"&amp;TEXT(TODAY(),"YYYYMMDD"))</f>
        <v/>
      </c>
      <c r="C9" s="37" t="str">
        <f>IF(Agent01_Withdrawals!A14="","",Agent01_Withdrawals!B14)</f>
        <v/>
      </c>
      <c r="D9" s="40" t="str">
        <f>IF(Agent01_Withdrawals!A14="","",Agent01_Withdrawals!C14)</f>
        <v/>
      </c>
      <c r="E9" s="38" t="str">
        <f>IF(Agent01_Withdrawals!A14="","",Agent01_Withdrawals!D14)</f>
        <v/>
      </c>
      <c r="F9" s="37" t="str">
        <f>IF(Agent01_Withdrawals!A14="","",Agent01_Withdrawals!F14)</f>
        <v/>
      </c>
      <c r="G9" s="39" t="str">
        <f>IF(Agent01_Withdrawals!A14="","",Agent01_Withdrawals!E14)</f>
        <v/>
      </c>
      <c r="H9" s="39" t="str">
        <f>IF(Agent01_Withdrawals!A14="","",Agent01_Withdrawals!G14)</f>
        <v/>
      </c>
      <c r="I9" s="37" t="str">
        <f>IF(Agent01_Withdrawals!A14="","",Agent01_Withdrawals!H14)</f>
        <v/>
      </c>
      <c r="J9" s="37" t="str">
        <f>IF(Agent01_Withdrawals!A14="","",Agent01_Withdrawals!J14)</f>
        <v/>
      </c>
      <c r="K9" s="37" t="str">
        <f>IF(Agent01_Withdrawals!A14="","",Agent01_Withdrawals!K14)</f>
        <v/>
      </c>
      <c r="L9" s="37" t="str">
        <f>IF(G9="","",IF(D9-G9&gt;=System_Config!$B$9,"✅ OK","⚠️ BREACH"))</f>
        <v/>
      </c>
      <c r="M9" s="37" t="str">
        <f>IFERROR(IF(Agent01_Withdrawals!A14="","",YEAR(Agent01_Withdrawals!D14)),"")</f>
        <v/>
      </c>
    </row>
    <row r="10" spans="1:13" ht="18" customHeight="1" x14ac:dyDescent="0.25">
      <c r="A10" s="37" t="str">
        <f>IF(Agent01_Withdrawals!A15="","",Agent01_Withdrawals!A15)</f>
        <v/>
      </c>
      <c r="B10" s="37" t="str">
        <f ca="1">IF(Agent01_Withdrawals!A15="","","WD"&amp;TEXT(10-3,"0000")&amp;"-"&amp;TEXT(TODAY(),"YYYYMMDD"))</f>
        <v/>
      </c>
      <c r="C10" s="37" t="str">
        <f>IF(Agent01_Withdrawals!A15="","",Agent01_Withdrawals!B15)</f>
        <v/>
      </c>
      <c r="D10" s="40" t="str">
        <f>IF(Agent01_Withdrawals!A15="","",Agent01_Withdrawals!C15)</f>
        <v/>
      </c>
      <c r="E10" s="38" t="str">
        <f>IF(Agent01_Withdrawals!A15="","",Agent01_Withdrawals!D15)</f>
        <v/>
      </c>
      <c r="F10" s="37" t="str">
        <f>IF(Agent01_Withdrawals!A15="","",Agent01_Withdrawals!F15)</f>
        <v/>
      </c>
      <c r="G10" s="39" t="str">
        <f>IF(Agent01_Withdrawals!A15="","",Agent01_Withdrawals!E15)</f>
        <v/>
      </c>
      <c r="H10" s="39" t="str">
        <f>IF(Agent01_Withdrawals!A15="","",Agent01_Withdrawals!G15)</f>
        <v/>
      </c>
      <c r="I10" s="37" t="str">
        <f>IF(Agent01_Withdrawals!A15="","",Agent01_Withdrawals!H15)</f>
        <v/>
      </c>
      <c r="J10" s="37" t="str">
        <f>IF(Agent01_Withdrawals!A15="","",Agent01_Withdrawals!J15)</f>
        <v/>
      </c>
      <c r="K10" s="37" t="str">
        <f>IF(Agent01_Withdrawals!A15="","",Agent01_Withdrawals!K15)</f>
        <v/>
      </c>
      <c r="L10" s="37" t="str">
        <f>IF(G10="","",IF(D10-G10&gt;=System_Config!$B$9,"✅ OK","⚠️ BREACH"))</f>
        <v/>
      </c>
      <c r="M10" s="37" t="str">
        <f>IFERROR(IF(Agent01_Withdrawals!A15="","",YEAR(Agent01_Withdrawals!D15)),"")</f>
        <v/>
      </c>
    </row>
    <row r="11" spans="1:13" ht="18" customHeight="1" x14ac:dyDescent="0.25">
      <c r="A11" s="37" t="str">
        <f>IF(Agent01_Withdrawals!A16="","",Agent01_Withdrawals!A16)</f>
        <v/>
      </c>
      <c r="B11" s="37" t="str">
        <f ca="1">IF(Agent01_Withdrawals!A16="","","WD"&amp;TEXT(11-3,"0000")&amp;"-"&amp;TEXT(TODAY(),"YYYYMMDD"))</f>
        <v/>
      </c>
      <c r="C11" s="37" t="str">
        <f>IF(Agent01_Withdrawals!A16="","",Agent01_Withdrawals!B16)</f>
        <v/>
      </c>
      <c r="D11" s="40" t="str">
        <f>IF(Agent01_Withdrawals!A16="","",Agent01_Withdrawals!C16)</f>
        <v/>
      </c>
      <c r="E11" s="38" t="str">
        <f>IF(Agent01_Withdrawals!A16="","",Agent01_Withdrawals!D16)</f>
        <v/>
      </c>
      <c r="F11" s="37" t="str">
        <f>IF(Agent01_Withdrawals!A16="","",Agent01_Withdrawals!F16)</f>
        <v/>
      </c>
      <c r="G11" s="39" t="str">
        <f>IF(Agent01_Withdrawals!A16="","",Agent01_Withdrawals!E16)</f>
        <v/>
      </c>
      <c r="H11" s="39" t="str">
        <f>IF(Agent01_Withdrawals!A16="","",Agent01_Withdrawals!G16)</f>
        <v/>
      </c>
      <c r="I11" s="37" t="str">
        <f>IF(Agent01_Withdrawals!A16="","",Agent01_Withdrawals!H16)</f>
        <v/>
      </c>
      <c r="J11" s="37" t="str">
        <f>IF(Agent01_Withdrawals!A16="","",Agent01_Withdrawals!J16)</f>
        <v/>
      </c>
      <c r="K11" s="37" t="str">
        <f>IF(Agent01_Withdrawals!A16="","",Agent01_Withdrawals!K16)</f>
        <v/>
      </c>
      <c r="L11" s="37" t="str">
        <f>IF(G11="","",IF(D11-G11&gt;=System_Config!$B$9,"✅ OK","⚠️ BREACH"))</f>
        <v/>
      </c>
      <c r="M11" s="37" t="str">
        <f>IFERROR(IF(Agent01_Withdrawals!A16="","",YEAR(Agent01_Withdrawals!D16)),"")</f>
        <v/>
      </c>
    </row>
    <row r="12" spans="1:13" ht="18" customHeight="1" x14ac:dyDescent="0.25">
      <c r="A12" s="37" t="str">
        <f>IF(Agent01_Withdrawals!A17="","",Agent01_Withdrawals!A17)</f>
        <v/>
      </c>
      <c r="B12" s="37" t="str">
        <f ca="1">IF(Agent01_Withdrawals!A17="","","WD"&amp;TEXT(12-3,"0000")&amp;"-"&amp;TEXT(TODAY(),"YYYYMMDD"))</f>
        <v/>
      </c>
      <c r="C12" s="37" t="str">
        <f>IF(Agent01_Withdrawals!A17="","",Agent01_Withdrawals!B17)</f>
        <v/>
      </c>
      <c r="D12" s="40" t="str">
        <f>IF(Agent01_Withdrawals!A17="","",Agent01_Withdrawals!C17)</f>
        <v/>
      </c>
      <c r="E12" s="38" t="str">
        <f>IF(Agent01_Withdrawals!A17="","",Agent01_Withdrawals!D17)</f>
        <v/>
      </c>
      <c r="F12" s="37" t="str">
        <f>IF(Agent01_Withdrawals!A17="","",Agent01_Withdrawals!F17)</f>
        <v/>
      </c>
      <c r="G12" s="39" t="str">
        <f>IF(Agent01_Withdrawals!A17="","",Agent01_Withdrawals!E17)</f>
        <v/>
      </c>
      <c r="H12" s="39" t="str">
        <f>IF(Agent01_Withdrawals!A17="","",Agent01_Withdrawals!G17)</f>
        <v/>
      </c>
      <c r="I12" s="37" t="str">
        <f>IF(Agent01_Withdrawals!A17="","",Agent01_Withdrawals!H17)</f>
        <v/>
      </c>
      <c r="J12" s="37" t="str">
        <f>IF(Agent01_Withdrawals!A17="","",Agent01_Withdrawals!J17)</f>
        <v/>
      </c>
      <c r="K12" s="37" t="str">
        <f>IF(Agent01_Withdrawals!A17="","",Agent01_Withdrawals!K17)</f>
        <v/>
      </c>
      <c r="L12" s="37" t="str">
        <f>IF(G12="","",IF(D12-G12&gt;=System_Config!$B$9,"✅ OK","⚠️ BREACH"))</f>
        <v/>
      </c>
      <c r="M12" s="37" t="str">
        <f>IFERROR(IF(Agent01_Withdrawals!A17="","",YEAR(Agent01_Withdrawals!D17)),"")</f>
        <v/>
      </c>
    </row>
    <row r="13" spans="1:13" ht="18" customHeight="1" x14ac:dyDescent="0.25">
      <c r="A13" s="37" t="str">
        <f>IF(Agent01_Withdrawals!A18="","",Agent01_Withdrawals!A18)</f>
        <v/>
      </c>
      <c r="B13" s="37" t="str">
        <f ca="1">IF(Agent01_Withdrawals!A18="","","WD"&amp;TEXT(13-3,"0000")&amp;"-"&amp;TEXT(TODAY(),"YYYYMMDD"))</f>
        <v/>
      </c>
      <c r="C13" s="37" t="str">
        <f>IF(Agent01_Withdrawals!A18="","",Agent01_Withdrawals!B18)</f>
        <v/>
      </c>
      <c r="D13" s="40" t="str">
        <f>IF(Agent01_Withdrawals!A18="","",Agent01_Withdrawals!C18)</f>
        <v/>
      </c>
      <c r="E13" s="38" t="str">
        <f>IF(Agent01_Withdrawals!A18="","",Agent01_Withdrawals!D18)</f>
        <v/>
      </c>
      <c r="F13" s="37" t="str">
        <f>IF(Agent01_Withdrawals!A18="","",Agent01_Withdrawals!F18)</f>
        <v/>
      </c>
      <c r="G13" s="39" t="str">
        <f>IF(Agent01_Withdrawals!A18="","",Agent01_Withdrawals!E18)</f>
        <v/>
      </c>
      <c r="H13" s="39" t="str">
        <f>IF(Agent01_Withdrawals!A18="","",Agent01_Withdrawals!G18)</f>
        <v/>
      </c>
      <c r="I13" s="37" t="str">
        <f>IF(Agent01_Withdrawals!A18="","",Agent01_Withdrawals!H18)</f>
        <v/>
      </c>
      <c r="J13" s="37" t="str">
        <f>IF(Agent01_Withdrawals!A18="","",Agent01_Withdrawals!J18)</f>
        <v/>
      </c>
      <c r="K13" s="37" t="str">
        <f>IF(Agent01_Withdrawals!A18="","",Agent01_Withdrawals!K18)</f>
        <v/>
      </c>
      <c r="L13" s="37" t="str">
        <f>IF(G13="","",IF(D13-G13&gt;=System_Config!$B$9,"✅ OK","⚠️ BREACH"))</f>
        <v/>
      </c>
      <c r="M13" s="37" t="str">
        <f>IFERROR(IF(Agent01_Withdrawals!A18="","",YEAR(Agent01_Withdrawals!D18)),"")</f>
        <v/>
      </c>
    </row>
    <row r="14" spans="1:13" ht="18" customHeight="1" x14ac:dyDescent="0.25">
      <c r="A14" s="37" t="str">
        <f>IF(Agent01_Withdrawals!A19="","",Agent01_Withdrawals!A19)</f>
        <v/>
      </c>
      <c r="B14" s="37" t="str">
        <f ca="1">IF(Agent01_Withdrawals!A19="","","WD"&amp;TEXT(14-3,"0000")&amp;"-"&amp;TEXT(TODAY(),"YYYYMMDD"))</f>
        <v/>
      </c>
      <c r="C14" s="37" t="str">
        <f>IF(Agent01_Withdrawals!A19="","",Agent01_Withdrawals!B19)</f>
        <v/>
      </c>
      <c r="D14" s="40" t="str">
        <f>IF(Agent01_Withdrawals!A19="","",Agent01_Withdrawals!C19)</f>
        <v/>
      </c>
      <c r="E14" s="38" t="str">
        <f>IF(Agent01_Withdrawals!A19="","",Agent01_Withdrawals!D19)</f>
        <v/>
      </c>
      <c r="F14" s="37" t="str">
        <f>IF(Agent01_Withdrawals!A19="","",Agent01_Withdrawals!F19)</f>
        <v/>
      </c>
      <c r="G14" s="39" t="str">
        <f>IF(Agent01_Withdrawals!A19="","",Agent01_Withdrawals!E19)</f>
        <v/>
      </c>
      <c r="H14" s="39" t="str">
        <f>IF(Agent01_Withdrawals!A19="","",Agent01_Withdrawals!G19)</f>
        <v/>
      </c>
      <c r="I14" s="37" t="str">
        <f>IF(Agent01_Withdrawals!A19="","",Agent01_Withdrawals!H19)</f>
        <v/>
      </c>
      <c r="J14" s="37" t="str">
        <f>IF(Agent01_Withdrawals!A19="","",Agent01_Withdrawals!J19)</f>
        <v/>
      </c>
      <c r="K14" s="37" t="str">
        <f>IF(Agent01_Withdrawals!A19="","",Agent01_Withdrawals!K19)</f>
        <v/>
      </c>
      <c r="L14" s="37" t="str">
        <f>IF(G14="","",IF(D14-G14&gt;=System_Config!$B$9,"✅ OK","⚠️ BREACH"))</f>
        <v/>
      </c>
      <c r="M14" s="37" t="str">
        <f>IFERROR(IF(Agent01_Withdrawals!A19="","",YEAR(Agent01_Withdrawals!D19)),"")</f>
        <v/>
      </c>
    </row>
    <row r="15" spans="1:13" ht="18" customHeight="1" x14ac:dyDescent="0.25">
      <c r="A15" s="37" t="str">
        <f>IF(Agent01_Withdrawals!A20="","",Agent01_Withdrawals!A20)</f>
        <v/>
      </c>
      <c r="B15" s="37" t="str">
        <f ca="1">IF(Agent01_Withdrawals!A20="","","WD"&amp;TEXT(15-3,"0000")&amp;"-"&amp;TEXT(TODAY(),"YYYYMMDD"))</f>
        <v/>
      </c>
      <c r="C15" s="37" t="str">
        <f>IF(Agent01_Withdrawals!A20="","",Agent01_Withdrawals!B20)</f>
        <v/>
      </c>
      <c r="D15" s="40" t="str">
        <f>IF(Agent01_Withdrawals!A20="","",Agent01_Withdrawals!C20)</f>
        <v/>
      </c>
      <c r="E15" s="38" t="str">
        <f>IF(Agent01_Withdrawals!A20="","",Agent01_Withdrawals!D20)</f>
        <v/>
      </c>
      <c r="F15" s="37" t="str">
        <f>IF(Agent01_Withdrawals!A20="","",Agent01_Withdrawals!F20)</f>
        <v/>
      </c>
      <c r="G15" s="39" t="str">
        <f>IF(Agent01_Withdrawals!A20="","",Agent01_Withdrawals!E20)</f>
        <v/>
      </c>
      <c r="H15" s="39" t="str">
        <f>IF(Agent01_Withdrawals!A20="","",Agent01_Withdrawals!G20)</f>
        <v/>
      </c>
      <c r="I15" s="37" t="str">
        <f>IF(Agent01_Withdrawals!A20="","",Agent01_Withdrawals!H20)</f>
        <v/>
      </c>
      <c r="J15" s="37" t="str">
        <f>IF(Agent01_Withdrawals!A20="","",Agent01_Withdrawals!J20)</f>
        <v/>
      </c>
      <c r="K15" s="37" t="str">
        <f>IF(Agent01_Withdrawals!A20="","",Agent01_Withdrawals!K20)</f>
        <v/>
      </c>
      <c r="L15" s="37" t="str">
        <f>IF(G15="","",IF(D15-G15&gt;=System_Config!$B$9,"✅ OK","⚠️ BREACH"))</f>
        <v/>
      </c>
      <c r="M15" s="37" t="str">
        <f>IFERROR(IF(Agent01_Withdrawals!A20="","",YEAR(Agent01_Withdrawals!D20)),"")</f>
        <v/>
      </c>
    </row>
    <row r="16" spans="1:13" ht="18" customHeight="1" x14ac:dyDescent="0.25">
      <c r="A16" s="37" t="str">
        <f>IF(Agent01_Withdrawals!A21="","",Agent01_Withdrawals!A21)</f>
        <v/>
      </c>
      <c r="B16" s="37" t="str">
        <f ca="1">IF(Agent01_Withdrawals!A21="","","WD"&amp;TEXT(16-3,"0000")&amp;"-"&amp;TEXT(TODAY(),"YYYYMMDD"))</f>
        <v/>
      </c>
      <c r="C16" s="37" t="str">
        <f>IF(Agent01_Withdrawals!A21="","",Agent01_Withdrawals!B21)</f>
        <v/>
      </c>
      <c r="D16" s="40" t="str">
        <f>IF(Agent01_Withdrawals!A21="","",Agent01_Withdrawals!C21)</f>
        <v/>
      </c>
      <c r="E16" s="38" t="str">
        <f>IF(Agent01_Withdrawals!A21="","",Agent01_Withdrawals!D21)</f>
        <v/>
      </c>
      <c r="F16" s="37" t="str">
        <f>IF(Agent01_Withdrawals!A21="","",Agent01_Withdrawals!F21)</f>
        <v/>
      </c>
      <c r="G16" s="39" t="str">
        <f>IF(Agent01_Withdrawals!A21="","",Agent01_Withdrawals!E21)</f>
        <v/>
      </c>
      <c r="H16" s="39" t="str">
        <f>IF(Agent01_Withdrawals!A21="","",Agent01_Withdrawals!G21)</f>
        <v/>
      </c>
      <c r="I16" s="37" t="str">
        <f>IF(Agent01_Withdrawals!A21="","",Agent01_Withdrawals!H21)</f>
        <v/>
      </c>
      <c r="J16" s="37" t="str">
        <f>IF(Agent01_Withdrawals!A21="","",Agent01_Withdrawals!J21)</f>
        <v/>
      </c>
      <c r="K16" s="37" t="str">
        <f>IF(Agent01_Withdrawals!A21="","",Agent01_Withdrawals!K21)</f>
        <v/>
      </c>
      <c r="L16" s="37" t="str">
        <f>IF(G16="","",IF(D16-G16&gt;=System_Config!$B$9,"✅ OK","⚠️ BREACH"))</f>
        <v/>
      </c>
      <c r="M16" s="37" t="str">
        <f>IFERROR(IF(Agent01_Withdrawals!A21="","",YEAR(Agent01_Withdrawals!D21)),"")</f>
        <v/>
      </c>
    </row>
    <row r="17" spans="1:13" ht="18" customHeight="1" x14ac:dyDescent="0.25">
      <c r="A17" s="37" t="str">
        <f>IF(Agent01_Withdrawals!A22="","",Agent01_Withdrawals!A22)</f>
        <v/>
      </c>
      <c r="B17" s="37" t="str">
        <f ca="1">IF(Agent01_Withdrawals!A22="","","WD"&amp;TEXT(17-3,"0000")&amp;"-"&amp;TEXT(TODAY(),"YYYYMMDD"))</f>
        <v/>
      </c>
      <c r="C17" s="37" t="str">
        <f>IF(Agent01_Withdrawals!A22="","",Agent01_Withdrawals!B22)</f>
        <v/>
      </c>
      <c r="D17" s="40" t="str">
        <f>IF(Agent01_Withdrawals!A22="","",Agent01_Withdrawals!C22)</f>
        <v/>
      </c>
      <c r="E17" s="38" t="str">
        <f>IF(Agent01_Withdrawals!A22="","",Agent01_Withdrawals!D22)</f>
        <v/>
      </c>
      <c r="F17" s="37" t="str">
        <f>IF(Agent01_Withdrawals!A22="","",Agent01_Withdrawals!F22)</f>
        <v/>
      </c>
      <c r="G17" s="39" t="str">
        <f>IF(Agent01_Withdrawals!A22="","",Agent01_Withdrawals!E22)</f>
        <v/>
      </c>
      <c r="H17" s="39" t="str">
        <f>IF(Agent01_Withdrawals!A22="","",Agent01_Withdrawals!G22)</f>
        <v/>
      </c>
      <c r="I17" s="37" t="str">
        <f>IF(Agent01_Withdrawals!A22="","",Agent01_Withdrawals!H22)</f>
        <v/>
      </c>
      <c r="J17" s="37" t="str">
        <f>IF(Agent01_Withdrawals!A22="","",Agent01_Withdrawals!J22)</f>
        <v/>
      </c>
      <c r="K17" s="37" t="str">
        <f>IF(Agent01_Withdrawals!A22="","",Agent01_Withdrawals!K22)</f>
        <v/>
      </c>
      <c r="L17" s="37" t="str">
        <f>IF(G17="","",IF(D17-G17&gt;=System_Config!$B$9,"✅ OK","⚠️ BREACH"))</f>
        <v/>
      </c>
      <c r="M17" s="37" t="str">
        <f>IFERROR(IF(Agent01_Withdrawals!A22="","",YEAR(Agent01_Withdrawals!D22)),"")</f>
        <v/>
      </c>
    </row>
    <row r="18" spans="1:13" ht="18" customHeight="1" x14ac:dyDescent="0.25">
      <c r="A18" s="37" t="str">
        <f>IF(Agent01_Withdrawals!A23="","",Agent01_Withdrawals!A23)</f>
        <v/>
      </c>
      <c r="B18" s="37" t="str">
        <f ca="1">IF(Agent01_Withdrawals!A23="","","WD"&amp;TEXT(18-3,"0000")&amp;"-"&amp;TEXT(TODAY(),"YYYYMMDD"))</f>
        <v/>
      </c>
      <c r="C18" s="37" t="str">
        <f>IF(Agent01_Withdrawals!A23="","",Agent01_Withdrawals!B23)</f>
        <v/>
      </c>
      <c r="D18" s="40" t="str">
        <f>IF(Agent01_Withdrawals!A23="","",Agent01_Withdrawals!C23)</f>
        <v/>
      </c>
      <c r="E18" s="38" t="str">
        <f>IF(Agent01_Withdrawals!A23="","",Agent01_Withdrawals!D23)</f>
        <v/>
      </c>
      <c r="F18" s="37" t="str">
        <f>IF(Agent01_Withdrawals!A23="","",Agent01_Withdrawals!F23)</f>
        <v/>
      </c>
      <c r="G18" s="39" t="str">
        <f>IF(Agent01_Withdrawals!A23="","",Agent01_Withdrawals!E23)</f>
        <v/>
      </c>
      <c r="H18" s="39" t="str">
        <f>IF(Agent01_Withdrawals!A23="","",Agent01_Withdrawals!G23)</f>
        <v/>
      </c>
      <c r="I18" s="37" t="str">
        <f>IF(Agent01_Withdrawals!A23="","",Agent01_Withdrawals!H23)</f>
        <v/>
      </c>
      <c r="J18" s="37" t="str">
        <f>IF(Agent01_Withdrawals!A23="","",Agent01_Withdrawals!J23)</f>
        <v/>
      </c>
      <c r="K18" s="37" t="str">
        <f>IF(Agent01_Withdrawals!A23="","",Agent01_Withdrawals!K23)</f>
        <v/>
      </c>
      <c r="L18" s="37" t="str">
        <f>IF(G18="","",IF(D18-G18&gt;=System_Config!$B$9,"✅ OK","⚠️ BREACH"))</f>
        <v/>
      </c>
      <c r="M18" s="37" t="str">
        <f>IFERROR(IF(Agent01_Withdrawals!A23="","",YEAR(Agent01_Withdrawals!D23)),"")</f>
        <v/>
      </c>
    </row>
    <row r="19" spans="1:13" ht="18" customHeight="1" x14ac:dyDescent="0.25">
      <c r="A19" s="37" t="str">
        <f>IF(Agent01_Withdrawals!A24="","",Agent01_Withdrawals!A24)</f>
        <v/>
      </c>
      <c r="B19" s="37" t="str">
        <f ca="1">IF(Agent01_Withdrawals!A24="","","WD"&amp;TEXT(19-3,"0000")&amp;"-"&amp;TEXT(TODAY(),"YYYYMMDD"))</f>
        <v/>
      </c>
      <c r="C19" s="37" t="str">
        <f>IF(Agent01_Withdrawals!A24="","",Agent01_Withdrawals!B24)</f>
        <v/>
      </c>
      <c r="D19" s="40" t="str">
        <f>IF(Agent01_Withdrawals!A24="","",Agent01_Withdrawals!C24)</f>
        <v/>
      </c>
      <c r="E19" s="38" t="str">
        <f>IF(Agent01_Withdrawals!A24="","",Agent01_Withdrawals!D24)</f>
        <v/>
      </c>
      <c r="F19" s="37" t="str">
        <f>IF(Agent01_Withdrawals!A24="","",Agent01_Withdrawals!F24)</f>
        <v/>
      </c>
      <c r="G19" s="39" t="str">
        <f>IF(Agent01_Withdrawals!A24="","",Agent01_Withdrawals!E24)</f>
        <v/>
      </c>
      <c r="H19" s="39" t="str">
        <f>IF(Agent01_Withdrawals!A24="","",Agent01_Withdrawals!G24)</f>
        <v/>
      </c>
      <c r="I19" s="37" t="str">
        <f>IF(Agent01_Withdrawals!A24="","",Agent01_Withdrawals!H24)</f>
        <v/>
      </c>
      <c r="J19" s="37" t="str">
        <f>IF(Agent01_Withdrawals!A24="","",Agent01_Withdrawals!J24)</f>
        <v/>
      </c>
      <c r="K19" s="37" t="str">
        <f>IF(Agent01_Withdrawals!A24="","",Agent01_Withdrawals!K24)</f>
        <v/>
      </c>
      <c r="L19" s="37" t="str">
        <f>IF(G19="","",IF(D19-G19&gt;=System_Config!$B$9,"✅ OK","⚠️ BREACH"))</f>
        <v/>
      </c>
      <c r="M19" s="37" t="str">
        <f>IFERROR(IF(Agent01_Withdrawals!A24="","",YEAR(Agent01_Withdrawals!D24)),"")</f>
        <v/>
      </c>
    </row>
    <row r="20" spans="1:13" ht="18" customHeight="1" x14ac:dyDescent="0.25">
      <c r="A20" s="37" t="str">
        <f>IF(Agent01_Withdrawals!A25="","",Agent01_Withdrawals!A25)</f>
        <v/>
      </c>
      <c r="B20" s="37" t="str">
        <f ca="1">IF(Agent01_Withdrawals!A25="","","WD"&amp;TEXT(20-3,"0000")&amp;"-"&amp;TEXT(TODAY(),"YYYYMMDD"))</f>
        <v/>
      </c>
      <c r="C20" s="37" t="str">
        <f>IF(Agent01_Withdrawals!A25="","",Agent01_Withdrawals!B25)</f>
        <v/>
      </c>
      <c r="D20" s="40" t="str">
        <f>IF(Agent01_Withdrawals!A25="","",Agent01_Withdrawals!C25)</f>
        <v/>
      </c>
      <c r="E20" s="38" t="str">
        <f>IF(Agent01_Withdrawals!A25="","",Agent01_Withdrawals!D25)</f>
        <v/>
      </c>
      <c r="F20" s="37" t="str">
        <f>IF(Agent01_Withdrawals!A25="","",Agent01_Withdrawals!F25)</f>
        <v/>
      </c>
      <c r="G20" s="39" t="str">
        <f>IF(Agent01_Withdrawals!A25="","",Agent01_Withdrawals!E25)</f>
        <v/>
      </c>
      <c r="H20" s="39" t="str">
        <f>IF(Agent01_Withdrawals!A25="","",Agent01_Withdrawals!G25)</f>
        <v/>
      </c>
      <c r="I20" s="37" t="str">
        <f>IF(Agent01_Withdrawals!A25="","",Agent01_Withdrawals!H25)</f>
        <v/>
      </c>
      <c r="J20" s="37" t="str">
        <f>IF(Agent01_Withdrawals!A25="","",Agent01_Withdrawals!J25)</f>
        <v/>
      </c>
      <c r="K20" s="37" t="str">
        <f>IF(Agent01_Withdrawals!A25="","",Agent01_Withdrawals!K25)</f>
        <v/>
      </c>
      <c r="L20" s="37" t="str">
        <f>IF(G20="","",IF(D20-G20&gt;=System_Config!$B$9,"✅ OK","⚠️ BREACH"))</f>
        <v/>
      </c>
      <c r="M20" s="37" t="str">
        <f>IFERROR(IF(Agent01_Withdrawals!A25="","",YEAR(Agent01_Withdrawals!D25)),"")</f>
        <v/>
      </c>
    </row>
    <row r="21" spans="1:13" ht="18" customHeight="1" x14ac:dyDescent="0.25">
      <c r="A21" s="37" t="str">
        <f>IF(Agent01_Withdrawals!A26="","",Agent01_Withdrawals!A26)</f>
        <v/>
      </c>
      <c r="B21" s="37" t="str">
        <f ca="1">IF(Agent01_Withdrawals!A26="","","WD"&amp;TEXT(21-3,"0000")&amp;"-"&amp;TEXT(TODAY(),"YYYYMMDD"))</f>
        <v/>
      </c>
      <c r="C21" s="37" t="str">
        <f>IF(Agent01_Withdrawals!A26="","",Agent01_Withdrawals!B26)</f>
        <v/>
      </c>
      <c r="D21" s="40" t="str">
        <f>IF(Agent01_Withdrawals!A26="","",Agent01_Withdrawals!C26)</f>
        <v/>
      </c>
      <c r="E21" s="38" t="str">
        <f>IF(Agent01_Withdrawals!A26="","",Agent01_Withdrawals!D26)</f>
        <v/>
      </c>
      <c r="F21" s="37" t="str">
        <f>IF(Agent01_Withdrawals!A26="","",Agent01_Withdrawals!F26)</f>
        <v/>
      </c>
      <c r="G21" s="39" t="str">
        <f>IF(Agent01_Withdrawals!A26="","",Agent01_Withdrawals!E26)</f>
        <v/>
      </c>
      <c r="H21" s="39" t="str">
        <f>IF(Agent01_Withdrawals!A26="","",Agent01_Withdrawals!G26)</f>
        <v/>
      </c>
      <c r="I21" s="37" t="str">
        <f>IF(Agent01_Withdrawals!A26="","",Agent01_Withdrawals!H26)</f>
        <v/>
      </c>
      <c r="J21" s="37" t="str">
        <f>IF(Agent01_Withdrawals!A26="","",Agent01_Withdrawals!J26)</f>
        <v/>
      </c>
      <c r="K21" s="37" t="str">
        <f>IF(Agent01_Withdrawals!A26="","",Agent01_Withdrawals!K26)</f>
        <v/>
      </c>
      <c r="L21" s="37" t="str">
        <f>IF(G21="","",IF(D21-G21&gt;=System_Config!$B$9,"✅ OK","⚠️ BREACH"))</f>
        <v/>
      </c>
      <c r="M21" s="37" t="str">
        <f>IFERROR(IF(Agent01_Withdrawals!A26="","",YEAR(Agent01_Withdrawals!D26)),"")</f>
        <v/>
      </c>
    </row>
    <row r="22" spans="1:13" ht="18" customHeight="1" x14ac:dyDescent="0.25">
      <c r="A22" s="37" t="str">
        <f>IF(Agent01_Withdrawals!A27="","",Agent01_Withdrawals!A27)</f>
        <v/>
      </c>
      <c r="B22" s="37" t="str">
        <f ca="1">IF(Agent01_Withdrawals!A27="","","WD"&amp;TEXT(22-3,"0000")&amp;"-"&amp;TEXT(TODAY(),"YYYYMMDD"))</f>
        <v/>
      </c>
      <c r="C22" s="37" t="str">
        <f>IF(Agent01_Withdrawals!A27="","",Agent01_Withdrawals!B27)</f>
        <v/>
      </c>
      <c r="D22" s="40" t="str">
        <f>IF(Agent01_Withdrawals!A27="","",Agent01_Withdrawals!C27)</f>
        <v/>
      </c>
      <c r="E22" s="38" t="str">
        <f>IF(Agent01_Withdrawals!A27="","",Agent01_Withdrawals!D27)</f>
        <v/>
      </c>
      <c r="F22" s="37" t="str">
        <f>IF(Agent01_Withdrawals!A27="","",Agent01_Withdrawals!F27)</f>
        <v/>
      </c>
      <c r="G22" s="39" t="str">
        <f>IF(Agent01_Withdrawals!A27="","",Agent01_Withdrawals!E27)</f>
        <v/>
      </c>
      <c r="H22" s="39" t="str">
        <f>IF(Agent01_Withdrawals!A27="","",Agent01_Withdrawals!G27)</f>
        <v/>
      </c>
      <c r="I22" s="37" t="str">
        <f>IF(Agent01_Withdrawals!A27="","",Agent01_Withdrawals!H27)</f>
        <v/>
      </c>
      <c r="J22" s="37" t="str">
        <f>IF(Agent01_Withdrawals!A27="","",Agent01_Withdrawals!J27)</f>
        <v/>
      </c>
      <c r="K22" s="37" t="str">
        <f>IF(Agent01_Withdrawals!A27="","",Agent01_Withdrawals!K27)</f>
        <v/>
      </c>
      <c r="L22" s="37" t="str">
        <f>IF(G22="","",IF(D22-G22&gt;=System_Config!$B$9,"✅ OK","⚠️ BREACH"))</f>
        <v/>
      </c>
      <c r="M22" s="37" t="str">
        <f>IFERROR(IF(Agent01_Withdrawals!A27="","",YEAR(Agent01_Withdrawals!D27)),"")</f>
        <v/>
      </c>
    </row>
    <row r="23" spans="1:13" ht="18" customHeight="1" x14ac:dyDescent="0.25">
      <c r="A23" s="37" t="str">
        <f>IF(Agent01_Withdrawals!A28="","",Agent01_Withdrawals!A28)</f>
        <v/>
      </c>
      <c r="B23" s="37" t="str">
        <f ca="1">IF(Agent01_Withdrawals!A28="","","WD"&amp;TEXT(23-3,"0000")&amp;"-"&amp;TEXT(TODAY(),"YYYYMMDD"))</f>
        <v/>
      </c>
      <c r="C23" s="37" t="str">
        <f>IF(Agent01_Withdrawals!A28="","",Agent01_Withdrawals!B28)</f>
        <v/>
      </c>
      <c r="D23" s="40" t="str">
        <f>IF(Agent01_Withdrawals!A28="","",Agent01_Withdrawals!C28)</f>
        <v/>
      </c>
      <c r="E23" s="38" t="str">
        <f>IF(Agent01_Withdrawals!A28="","",Agent01_Withdrawals!D28)</f>
        <v/>
      </c>
      <c r="F23" s="37" t="str">
        <f>IF(Agent01_Withdrawals!A28="","",Agent01_Withdrawals!F28)</f>
        <v/>
      </c>
      <c r="G23" s="39" t="str">
        <f>IF(Agent01_Withdrawals!A28="","",Agent01_Withdrawals!E28)</f>
        <v/>
      </c>
      <c r="H23" s="39" t="str">
        <f>IF(Agent01_Withdrawals!A28="","",Agent01_Withdrawals!G28)</f>
        <v/>
      </c>
      <c r="I23" s="37" t="str">
        <f>IF(Agent01_Withdrawals!A28="","",Agent01_Withdrawals!H28)</f>
        <v/>
      </c>
      <c r="J23" s="37" t="str">
        <f>IF(Agent01_Withdrawals!A28="","",Agent01_Withdrawals!J28)</f>
        <v/>
      </c>
      <c r="K23" s="37" t="str">
        <f>IF(Agent01_Withdrawals!A28="","",Agent01_Withdrawals!K28)</f>
        <v/>
      </c>
      <c r="L23" s="37" t="str">
        <f>IF(G23="","",IF(D23-G23&gt;=System_Config!$B$9,"✅ OK","⚠️ BREACH"))</f>
        <v/>
      </c>
      <c r="M23" s="37" t="str">
        <f>IFERROR(IF(Agent01_Withdrawals!A28="","",YEAR(Agent01_Withdrawals!D28)),"")</f>
        <v/>
      </c>
    </row>
    <row r="24" spans="1:13" ht="18" customHeight="1" x14ac:dyDescent="0.25">
      <c r="A24" s="37" t="str">
        <f>IF(Agent01_Withdrawals!A29="","",Agent01_Withdrawals!A29)</f>
        <v/>
      </c>
      <c r="B24" s="37" t="str">
        <f ca="1">IF(Agent01_Withdrawals!A29="","","WD"&amp;TEXT(24-3,"0000")&amp;"-"&amp;TEXT(TODAY(),"YYYYMMDD"))</f>
        <v/>
      </c>
      <c r="C24" s="37" t="str">
        <f>IF(Agent01_Withdrawals!A29="","",Agent01_Withdrawals!B29)</f>
        <v/>
      </c>
      <c r="D24" s="40" t="str">
        <f>IF(Agent01_Withdrawals!A29="","",Agent01_Withdrawals!C29)</f>
        <v/>
      </c>
      <c r="E24" s="38" t="str">
        <f>IF(Agent01_Withdrawals!A29="","",Agent01_Withdrawals!D29)</f>
        <v/>
      </c>
      <c r="F24" s="37" t="str">
        <f>IF(Agent01_Withdrawals!A29="","",Agent01_Withdrawals!F29)</f>
        <v/>
      </c>
      <c r="G24" s="39" t="str">
        <f>IF(Agent01_Withdrawals!A29="","",Agent01_Withdrawals!E29)</f>
        <v/>
      </c>
      <c r="H24" s="39" t="str">
        <f>IF(Agent01_Withdrawals!A29="","",Agent01_Withdrawals!G29)</f>
        <v/>
      </c>
      <c r="I24" s="37" t="str">
        <f>IF(Agent01_Withdrawals!A29="","",Agent01_Withdrawals!H29)</f>
        <v/>
      </c>
      <c r="J24" s="37" t="str">
        <f>IF(Agent01_Withdrawals!A29="","",Agent01_Withdrawals!J29)</f>
        <v/>
      </c>
      <c r="K24" s="37" t="str">
        <f>IF(Agent01_Withdrawals!A29="","",Agent01_Withdrawals!K29)</f>
        <v/>
      </c>
      <c r="L24" s="37" t="str">
        <f>IF(G24="","",IF(D24-G24&gt;=System_Config!$B$9,"✅ OK","⚠️ BREACH"))</f>
        <v/>
      </c>
      <c r="M24" s="37" t="str">
        <f>IFERROR(IF(Agent01_Withdrawals!A29="","",YEAR(Agent01_Withdrawals!D29)),"")</f>
        <v/>
      </c>
    </row>
    <row r="25" spans="1:13" ht="18" customHeight="1" x14ac:dyDescent="0.25">
      <c r="A25" s="37" t="str">
        <f>IF(Agent01_Withdrawals!A30="","",Agent01_Withdrawals!A30)</f>
        <v/>
      </c>
      <c r="B25" s="37" t="str">
        <f ca="1">IF(Agent01_Withdrawals!A30="","","WD"&amp;TEXT(25-3,"0000")&amp;"-"&amp;TEXT(TODAY(),"YYYYMMDD"))</f>
        <v/>
      </c>
      <c r="C25" s="37" t="str">
        <f>IF(Agent01_Withdrawals!A30="","",Agent01_Withdrawals!B30)</f>
        <v/>
      </c>
      <c r="D25" s="40" t="str">
        <f>IF(Agent01_Withdrawals!A30="","",Agent01_Withdrawals!C30)</f>
        <v/>
      </c>
      <c r="E25" s="38" t="str">
        <f>IF(Agent01_Withdrawals!A30="","",Agent01_Withdrawals!D30)</f>
        <v/>
      </c>
      <c r="F25" s="37" t="str">
        <f>IF(Agent01_Withdrawals!A30="","",Agent01_Withdrawals!F30)</f>
        <v/>
      </c>
      <c r="G25" s="39" t="str">
        <f>IF(Agent01_Withdrawals!A30="","",Agent01_Withdrawals!E30)</f>
        <v/>
      </c>
      <c r="H25" s="39" t="str">
        <f>IF(Agent01_Withdrawals!A30="","",Agent01_Withdrawals!G30)</f>
        <v/>
      </c>
      <c r="I25" s="37" t="str">
        <f>IF(Agent01_Withdrawals!A30="","",Agent01_Withdrawals!H30)</f>
        <v/>
      </c>
      <c r="J25" s="37" t="str">
        <f>IF(Agent01_Withdrawals!A30="","",Agent01_Withdrawals!J30)</f>
        <v/>
      </c>
      <c r="K25" s="37" t="str">
        <f>IF(Agent01_Withdrawals!A30="","",Agent01_Withdrawals!K30)</f>
        <v/>
      </c>
      <c r="L25" s="37" t="str">
        <f>IF(G25="","",IF(D25-G25&gt;=System_Config!$B$9,"✅ OK","⚠️ BREACH"))</f>
        <v/>
      </c>
      <c r="M25" s="37" t="str">
        <f>IFERROR(IF(Agent01_Withdrawals!A30="","",YEAR(Agent01_Withdrawals!D30)),"")</f>
        <v/>
      </c>
    </row>
    <row r="26" spans="1:13" ht="18" customHeight="1" x14ac:dyDescent="0.25">
      <c r="A26" s="37" t="str">
        <f>IF(Agent01_Withdrawals!A31="","",Agent01_Withdrawals!A31)</f>
        <v/>
      </c>
      <c r="B26" s="37" t="str">
        <f ca="1">IF(Agent01_Withdrawals!A31="","","WD"&amp;TEXT(26-3,"0000")&amp;"-"&amp;TEXT(TODAY(),"YYYYMMDD"))</f>
        <v/>
      </c>
      <c r="C26" s="37" t="str">
        <f>IF(Agent01_Withdrawals!A31="","",Agent01_Withdrawals!B31)</f>
        <v/>
      </c>
      <c r="D26" s="40" t="str">
        <f>IF(Agent01_Withdrawals!A31="","",Agent01_Withdrawals!C31)</f>
        <v/>
      </c>
      <c r="E26" s="38" t="str">
        <f>IF(Agent01_Withdrawals!A31="","",Agent01_Withdrawals!D31)</f>
        <v/>
      </c>
      <c r="F26" s="37" t="str">
        <f>IF(Agent01_Withdrawals!A31="","",Agent01_Withdrawals!F31)</f>
        <v/>
      </c>
      <c r="G26" s="39" t="str">
        <f>IF(Agent01_Withdrawals!A31="","",Agent01_Withdrawals!E31)</f>
        <v/>
      </c>
      <c r="H26" s="39" t="str">
        <f>IF(Agent01_Withdrawals!A31="","",Agent01_Withdrawals!G31)</f>
        <v/>
      </c>
      <c r="I26" s="37" t="str">
        <f>IF(Agent01_Withdrawals!A31="","",Agent01_Withdrawals!H31)</f>
        <v/>
      </c>
      <c r="J26" s="37" t="str">
        <f>IF(Agent01_Withdrawals!A31="","",Agent01_Withdrawals!J31)</f>
        <v/>
      </c>
      <c r="K26" s="37" t="str">
        <f>IF(Agent01_Withdrawals!A31="","",Agent01_Withdrawals!K31)</f>
        <v/>
      </c>
      <c r="L26" s="37" t="str">
        <f>IF(G26="","",IF(D26-G26&gt;=System_Config!$B$9,"✅ OK","⚠️ BREACH"))</f>
        <v/>
      </c>
      <c r="M26" s="37" t="str">
        <f>IFERROR(IF(Agent01_Withdrawals!A31="","",YEAR(Agent01_Withdrawals!D31)),"")</f>
        <v/>
      </c>
    </row>
    <row r="27" spans="1:13" ht="18" customHeight="1" x14ac:dyDescent="0.25">
      <c r="A27" s="37" t="str">
        <f>IF(Agent01_Withdrawals!A32="","",Agent01_Withdrawals!A32)</f>
        <v/>
      </c>
      <c r="B27" s="37" t="str">
        <f ca="1">IF(Agent01_Withdrawals!A32="","","WD"&amp;TEXT(27-3,"0000")&amp;"-"&amp;TEXT(TODAY(),"YYYYMMDD"))</f>
        <v/>
      </c>
      <c r="C27" s="37" t="str">
        <f>IF(Agent01_Withdrawals!A32="","",Agent01_Withdrawals!B32)</f>
        <v/>
      </c>
      <c r="D27" s="40" t="str">
        <f>IF(Agent01_Withdrawals!A32="","",Agent01_Withdrawals!C32)</f>
        <v/>
      </c>
      <c r="E27" s="38" t="str">
        <f>IF(Agent01_Withdrawals!A32="","",Agent01_Withdrawals!D32)</f>
        <v/>
      </c>
      <c r="F27" s="37" t="str">
        <f>IF(Agent01_Withdrawals!A32="","",Agent01_Withdrawals!F32)</f>
        <v/>
      </c>
      <c r="G27" s="39" t="str">
        <f>IF(Agent01_Withdrawals!A32="","",Agent01_Withdrawals!E32)</f>
        <v/>
      </c>
      <c r="H27" s="39" t="str">
        <f>IF(Agent01_Withdrawals!A32="","",Agent01_Withdrawals!G32)</f>
        <v/>
      </c>
      <c r="I27" s="37" t="str">
        <f>IF(Agent01_Withdrawals!A32="","",Agent01_Withdrawals!H32)</f>
        <v/>
      </c>
      <c r="J27" s="37" t="str">
        <f>IF(Agent01_Withdrawals!A32="","",Agent01_Withdrawals!J32)</f>
        <v/>
      </c>
      <c r="K27" s="37" t="str">
        <f>IF(Agent01_Withdrawals!A32="","",Agent01_Withdrawals!K32)</f>
        <v/>
      </c>
      <c r="L27" s="37" t="str">
        <f>IF(G27="","",IF(D27-G27&gt;=System_Config!$B$9,"✅ OK","⚠️ BREACH"))</f>
        <v/>
      </c>
      <c r="M27" s="37" t="str">
        <f>IFERROR(IF(Agent01_Withdrawals!A32="","",YEAR(Agent01_Withdrawals!D32)),"")</f>
        <v/>
      </c>
    </row>
    <row r="28" spans="1:13" ht="18" customHeight="1" x14ac:dyDescent="0.25">
      <c r="A28" s="37" t="str">
        <f>IF(Agent01_Withdrawals!A33="","",Agent01_Withdrawals!A33)</f>
        <v/>
      </c>
      <c r="B28" s="37" t="str">
        <f ca="1">IF(Agent01_Withdrawals!A33="","","WD"&amp;TEXT(28-3,"0000")&amp;"-"&amp;TEXT(TODAY(),"YYYYMMDD"))</f>
        <v/>
      </c>
      <c r="C28" s="37" t="str">
        <f>IF(Agent01_Withdrawals!A33="","",Agent01_Withdrawals!B33)</f>
        <v/>
      </c>
      <c r="D28" s="40" t="str">
        <f>IF(Agent01_Withdrawals!A33="","",Agent01_Withdrawals!C33)</f>
        <v/>
      </c>
      <c r="E28" s="38" t="str">
        <f>IF(Agent01_Withdrawals!A33="","",Agent01_Withdrawals!D33)</f>
        <v/>
      </c>
      <c r="F28" s="37" t="str">
        <f>IF(Agent01_Withdrawals!A33="","",Agent01_Withdrawals!F33)</f>
        <v/>
      </c>
      <c r="G28" s="39" t="str">
        <f>IF(Agent01_Withdrawals!A33="","",Agent01_Withdrawals!E33)</f>
        <v/>
      </c>
      <c r="H28" s="39" t="str">
        <f>IF(Agent01_Withdrawals!A33="","",Agent01_Withdrawals!G33)</f>
        <v/>
      </c>
      <c r="I28" s="37" t="str">
        <f>IF(Agent01_Withdrawals!A33="","",Agent01_Withdrawals!H33)</f>
        <v/>
      </c>
      <c r="J28" s="37" t="str">
        <f>IF(Agent01_Withdrawals!A33="","",Agent01_Withdrawals!J33)</f>
        <v/>
      </c>
      <c r="K28" s="37" t="str">
        <f>IF(Agent01_Withdrawals!A33="","",Agent01_Withdrawals!K33)</f>
        <v/>
      </c>
      <c r="L28" s="37" t="str">
        <f>IF(G28="","",IF(D28-G28&gt;=System_Config!$B$9,"✅ OK","⚠️ BREACH"))</f>
        <v/>
      </c>
      <c r="M28" s="37" t="str">
        <f>IFERROR(IF(Agent01_Withdrawals!A33="","",YEAR(Agent01_Withdrawals!D33)),"")</f>
        <v/>
      </c>
    </row>
    <row r="29" spans="1:13" ht="18" customHeight="1" x14ac:dyDescent="0.25">
      <c r="A29" s="37" t="str">
        <f>IF(Agent01_Withdrawals!A34="","",Agent01_Withdrawals!A34)</f>
        <v/>
      </c>
      <c r="B29" s="37" t="str">
        <f ca="1">IF(Agent01_Withdrawals!A34="","","WD"&amp;TEXT(29-3,"0000")&amp;"-"&amp;TEXT(TODAY(),"YYYYMMDD"))</f>
        <v/>
      </c>
      <c r="C29" s="37" t="str">
        <f>IF(Agent01_Withdrawals!A34="","",Agent01_Withdrawals!B34)</f>
        <v/>
      </c>
      <c r="D29" s="40" t="str">
        <f>IF(Agent01_Withdrawals!A34="","",Agent01_Withdrawals!C34)</f>
        <v/>
      </c>
      <c r="E29" s="38" t="str">
        <f>IF(Agent01_Withdrawals!A34="","",Agent01_Withdrawals!D34)</f>
        <v/>
      </c>
      <c r="F29" s="37" t="str">
        <f>IF(Agent01_Withdrawals!A34="","",Agent01_Withdrawals!F34)</f>
        <v/>
      </c>
      <c r="G29" s="39" t="str">
        <f>IF(Agent01_Withdrawals!A34="","",Agent01_Withdrawals!E34)</f>
        <v/>
      </c>
      <c r="H29" s="39" t="str">
        <f>IF(Agent01_Withdrawals!A34="","",Agent01_Withdrawals!G34)</f>
        <v/>
      </c>
      <c r="I29" s="37" t="str">
        <f>IF(Agent01_Withdrawals!A34="","",Agent01_Withdrawals!H34)</f>
        <v/>
      </c>
      <c r="J29" s="37" t="str">
        <f>IF(Agent01_Withdrawals!A34="","",Agent01_Withdrawals!J34)</f>
        <v/>
      </c>
      <c r="K29" s="37" t="str">
        <f>IF(Agent01_Withdrawals!A34="","",Agent01_Withdrawals!K34)</f>
        <v/>
      </c>
      <c r="L29" s="37" t="str">
        <f>IF(G29="","",IF(D29-G29&gt;=System_Config!$B$9,"✅ OK","⚠️ BREACH"))</f>
        <v/>
      </c>
      <c r="M29" s="37" t="str">
        <f>IFERROR(IF(Agent01_Withdrawals!A34="","",YEAR(Agent01_Withdrawals!D34)),"")</f>
        <v/>
      </c>
    </row>
    <row r="30" spans="1:13" ht="18" customHeight="1" x14ac:dyDescent="0.25">
      <c r="A30" s="37" t="str">
        <f>IF(Agent01_Withdrawals!A35="","",Agent01_Withdrawals!A35)</f>
        <v/>
      </c>
      <c r="B30" s="37" t="str">
        <f ca="1">IF(Agent01_Withdrawals!A35="","","WD"&amp;TEXT(30-3,"0000")&amp;"-"&amp;TEXT(TODAY(),"YYYYMMDD"))</f>
        <v/>
      </c>
      <c r="C30" s="37" t="str">
        <f>IF(Agent01_Withdrawals!A35="","",Agent01_Withdrawals!B35)</f>
        <v/>
      </c>
      <c r="D30" s="40" t="str">
        <f>IF(Agent01_Withdrawals!A35="","",Agent01_Withdrawals!C35)</f>
        <v/>
      </c>
      <c r="E30" s="38" t="str">
        <f>IF(Agent01_Withdrawals!A35="","",Agent01_Withdrawals!D35)</f>
        <v/>
      </c>
      <c r="F30" s="37" t="str">
        <f>IF(Agent01_Withdrawals!A35="","",Agent01_Withdrawals!F35)</f>
        <v/>
      </c>
      <c r="G30" s="39" t="str">
        <f>IF(Agent01_Withdrawals!A35="","",Agent01_Withdrawals!E35)</f>
        <v/>
      </c>
      <c r="H30" s="39" t="str">
        <f>IF(Agent01_Withdrawals!A35="","",Agent01_Withdrawals!G35)</f>
        <v/>
      </c>
      <c r="I30" s="37" t="str">
        <f>IF(Agent01_Withdrawals!A35="","",Agent01_Withdrawals!H35)</f>
        <v/>
      </c>
      <c r="J30" s="37" t="str">
        <f>IF(Agent01_Withdrawals!A35="","",Agent01_Withdrawals!J35)</f>
        <v/>
      </c>
      <c r="K30" s="37" t="str">
        <f>IF(Agent01_Withdrawals!A35="","",Agent01_Withdrawals!K35)</f>
        <v/>
      </c>
      <c r="L30" s="37" t="str">
        <f>IF(G30="","",IF(D30-G30&gt;=System_Config!$B$9,"✅ OK","⚠️ BREACH"))</f>
        <v/>
      </c>
      <c r="M30" s="37" t="str">
        <f>IFERROR(IF(Agent01_Withdrawals!A35="","",YEAR(Agent01_Withdrawals!D35)),"")</f>
        <v/>
      </c>
    </row>
    <row r="31" spans="1:13" ht="18" customHeight="1" x14ac:dyDescent="0.25">
      <c r="A31" s="37" t="str">
        <f>IF(Agent01_Withdrawals!A36="","",Agent01_Withdrawals!A36)</f>
        <v/>
      </c>
      <c r="B31" s="37" t="str">
        <f ca="1">IF(Agent01_Withdrawals!A36="","","WD"&amp;TEXT(31-3,"0000")&amp;"-"&amp;TEXT(TODAY(),"YYYYMMDD"))</f>
        <v/>
      </c>
      <c r="C31" s="37" t="str">
        <f>IF(Agent01_Withdrawals!A36="","",Agent01_Withdrawals!B36)</f>
        <v/>
      </c>
      <c r="D31" s="40" t="str">
        <f>IF(Agent01_Withdrawals!A36="","",Agent01_Withdrawals!C36)</f>
        <v/>
      </c>
      <c r="E31" s="38" t="str">
        <f>IF(Agent01_Withdrawals!A36="","",Agent01_Withdrawals!D36)</f>
        <v/>
      </c>
      <c r="F31" s="37" t="str">
        <f>IF(Agent01_Withdrawals!A36="","",Agent01_Withdrawals!F36)</f>
        <v/>
      </c>
      <c r="G31" s="39" t="str">
        <f>IF(Agent01_Withdrawals!A36="","",Agent01_Withdrawals!E36)</f>
        <v/>
      </c>
      <c r="H31" s="39" t="str">
        <f>IF(Agent01_Withdrawals!A36="","",Agent01_Withdrawals!G36)</f>
        <v/>
      </c>
      <c r="I31" s="37" t="str">
        <f>IF(Agent01_Withdrawals!A36="","",Agent01_Withdrawals!H36)</f>
        <v/>
      </c>
      <c r="J31" s="37" t="str">
        <f>IF(Agent01_Withdrawals!A36="","",Agent01_Withdrawals!J36)</f>
        <v/>
      </c>
      <c r="K31" s="37" t="str">
        <f>IF(Agent01_Withdrawals!A36="","",Agent01_Withdrawals!K36)</f>
        <v/>
      </c>
      <c r="L31" s="37" t="str">
        <f>IF(G31="","",IF(D31-G31&gt;=System_Config!$B$9,"✅ OK","⚠️ BREACH"))</f>
        <v/>
      </c>
      <c r="M31" s="37" t="str">
        <f>IFERROR(IF(Agent01_Withdrawals!A36="","",YEAR(Agent01_Withdrawals!D36)),"")</f>
        <v/>
      </c>
    </row>
    <row r="32" spans="1:13" ht="18" customHeight="1" x14ac:dyDescent="0.25">
      <c r="A32" s="37" t="str">
        <f>IF(Agent01_Withdrawals!A37="","",Agent01_Withdrawals!A37)</f>
        <v/>
      </c>
      <c r="B32" s="37" t="str">
        <f ca="1">IF(Agent01_Withdrawals!A37="","","WD"&amp;TEXT(32-3,"0000")&amp;"-"&amp;TEXT(TODAY(),"YYYYMMDD"))</f>
        <v/>
      </c>
      <c r="C32" s="37" t="str">
        <f>IF(Agent01_Withdrawals!A37="","",Agent01_Withdrawals!B37)</f>
        <v/>
      </c>
      <c r="D32" s="40" t="str">
        <f>IF(Agent01_Withdrawals!A37="","",Agent01_Withdrawals!C37)</f>
        <v/>
      </c>
      <c r="E32" s="38" t="str">
        <f>IF(Agent01_Withdrawals!A37="","",Agent01_Withdrawals!D37)</f>
        <v/>
      </c>
      <c r="F32" s="37" t="str">
        <f>IF(Agent01_Withdrawals!A37="","",Agent01_Withdrawals!F37)</f>
        <v/>
      </c>
      <c r="G32" s="39" t="str">
        <f>IF(Agent01_Withdrawals!A37="","",Agent01_Withdrawals!E37)</f>
        <v/>
      </c>
      <c r="H32" s="39" t="str">
        <f>IF(Agent01_Withdrawals!A37="","",Agent01_Withdrawals!G37)</f>
        <v/>
      </c>
      <c r="I32" s="37" t="str">
        <f>IF(Agent01_Withdrawals!A37="","",Agent01_Withdrawals!H37)</f>
        <v/>
      </c>
      <c r="J32" s="37" t="str">
        <f>IF(Agent01_Withdrawals!A37="","",Agent01_Withdrawals!J37)</f>
        <v/>
      </c>
      <c r="K32" s="37" t="str">
        <f>IF(Agent01_Withdrawals!A37="","",Agent01_Withdrawals!K37)</f>
        <v/>
      </c>
      <c r="L32" s="37" t="str">
        <f>IF(G32="","",IF(D32-G32&gt;=System_Config!$B$9,"✅ OK","⚠️ BREACH"))</f>
        <v/>
      </c>
      <c r="M32" s="37" t="str">
        <f>IFERROR(IF(Agent01_Withdrawals!A37="","",YEAR(Agent01_Withdrawals!D37)),"")</f>
        <v/>
      </c>
    </row>
    <row r="33" spans="1:13" ht="18" customHeight="1" x14ac:dyDescent="0.25">
      <c r="A33" s="37" t="str">
        <f>IF(Agent01_Withdrawals!A38="","",Agent01_Withdrawals!A38)</f>
        <v/>
      </c>
      <c r="B33" s="37" t="str">
        <f ca="1">IF(Agent01_Withdrawals!A38="","","WD"&amp;TEXT(33-3,"0000")&amp;"-"&amp;TEXT(TODAY(),"YYYYMMDD"))</f>
        <v/>
      </c>
      <c r="C33" s="37" t="str">
        <f>IF(Agent01_Withdrawals!A38="","",Agent01_Withdrawals!B38)</f>
        <v/>
      </c>
      <c r="D33" s="40" t="str">
        <f>IF(Agent01_Withdrawals!A38="","",Agent01_Withdrawals!C38)</f>
        <v/>
      </c>
      <c r="E33" s="38" t="str">
        <f>IF(Agent01_Withdrawals!A38="","",Agent01_Withdrawals!D38)</f>
        <v/>
      </c>
      <c r="F33" s="37" t="str">
        <f>IF(Agent01_Withdrawals!A38="","",Agent01_Withdrawals!F38)</f>
        <v/>
      </c>
      <c r="G33" s="39" t="str">
        <f>IF(Agent01_Withdrawals!A38="","",Agent01_Withdrawals!E38)</f>
        <v/>
      </c>
      <c r="H33" s="39" t="str">
        <f>IF(Agent01_Withdrawals!A38="","",Agent01_Withdrawals!G38)</f>
        <v/>
      </c>
      <c r="I33" s="37" t="str">
        <f>IF(Agent01_Withdrawals!A38="","",Agent01_Withdrawals!H38)</f>
        <v/>
      </c>
      <c r="J33" s="37" t="str">
        <f>IF(Agent01_Withdrawals!A38="","",Agent01_Withdrawals!J38)</f>
        <v/>
      </c>
      <c r="K33" s="37" t="str">
        <f>IF(Agent01_Withdrawals!A38="","",Agent01_Withdrawals!K38)</f>
        <v/>
      </c>
      <c r="L33" s="37" t="str">
        <f>IF(G33="","",IF(D33-G33&gt;=System_Config!$B$9,"✅ OK","⚠️ BREACH"))</f>
        <v/>
      </c>
      <c r="M33" s="37" t="str">
        <f>IFERROR(IF(Agent01_Withdrawals!A38="","",YEAR(Agent01_Withdrawals!D38)),"")</f>
        <v/>
      </c>
    </row>
    <row r="34" spans="1:13" ht="18" customHeight="1" x14ac:dyDescent="0.25">
      <c r="A34" s="37" t="str">
        <f>IF(Agent01_Withdrawals!A39="","",Agent01_Withdrawals!A39)</f>
        <v/>
      </c>
      <c r="B34" s="37" t="str">
        <f ca="1">IF(Agent01_Withdrawals!A39="","","WD"&amp;TEXT(34-3,"0000")&amp;"-"&amp;TEXT(TODAY(),"YYYYMMDD"))</f>
        <v/>
      </c>
      <c r="C34" s="37" t="str">
        <f>IF(Agent01_Withdrawals!A39="","",Agent01_Withdrawals!B39)</f>
        <v/>
      </c>
      <c r="D34" s="40" t="str">
        <f>IF(Agent01_Withdrawals!A39="","",Agent01_Withdrawals!C39)</f>
        <v/>
      </c>
      <c r="E34" s="38" t="str">
        <f>IF(Agent01_Withdrawals!A39="","",Agent01_Withdrawals!D39)</f>
        <v/>
      </c>
      <c r="F34" s="37" t="str">
        <f>IF(Agent01_Withdrawals!A39="","",Agent01_Withdrawals!F39)</f>
        <v/>
      </c>
      <c r="G34" s="39" t="str">
        <f>IF(Agent01_Withdrawals!A39="","",Agent01_Withdrawals!E39)</f>
        <v/>
      </c>
      <c r="H34" s="39" t="str">
        <f>IF(Agent01_Withdrawals!A39="","",Agent01_Withdrawals!G39)</f>
        <v/>
      </c>
      <c r="I34" s="37" t="str">
        <f>IF(Agent01_Withdrawals!A39="","",Agent01_Withdrawals!H39)</f>
        <v/>
      </c>
      <c r="J34" s="37" t="str">
        <f>IF(Agent01_Withdrawals!A39="","",Agent01_Withdrawals!J39)</f>
        <v/>
      </c>
      <c r="K34" s="37" t="str">
        <f>IF(Agent01_Withdrawals!A39="","",Agent01_Withdrawals!K39)</f>
        <v/>
      </c>
      <c r="L34" s="37" t="str">
        <f>IF(G34="","",IF(D34-G34&gt;=System_Config!$B$9,"✅ OK","⚠️ BREACH"))</f>
        <v/>
      </c>
      <c r="M34" s="37" t="str">
        <f>IFERROR(IF(Agent01_Withdrawals!A39="","",YEAR(Agent01_Withdrawals!D39)),"")</f>
        <v/>
      </c>
    </row>
    <row r="35" spans="1:13" ht="18" customHeight="1" x14ac:dyDescent="0.25">
      <c r="A35" s="37" t="str">
        <f>IF(Agent01_Withdrawals!A40="","",Agent01_Withdrawals!A40)</f>
        <v/>
      </c>
      <c r="B35" s="37" t="str">
        <f ca="1">IF(Agent01_Withdrawals!A40="","","WD"&amp;TEXT(35-3,"0000")&amp;"-"&amp;TEXT(TODAY(),"YYYYMMDD"))</f>
        <v/>
      </c>
      <c r="C35" s="37" t="str">
        <f>IF(Agent01_Withdrawals!A40="","",Agent01_Withdrawals!B40)</f>
        <v/>
      </c>
      <c r="D35" s="40" t="str">
        <f>IF(Agent01_Withdrawals!A40="","",Agent01_Withdrawals!C40)</f>
        <v/>
      </c>
      <c r="E35" s="38" t="str">
        <f>IF(Agent01_Withdrawals!A40="","",Agent01_Withdrawals!D40)</f>
        <v/>
      </c>
      <c r="F35" s="37" t="str">
        <f>IF(Agent01_Withdrawals!A40="","",Agent01_Withdrawals!F40)</f>
        <v/>
      </c>
      <c r="G35" s="39" t="str">
        <f>IF(Agent01_Withdrawals!A40="","",Agent01_Withdrawals!E40)</f>
        <v/>
      </c>
      <c r="H35" s="39" t="str">
        <f>IF(Agent01_Withdrawals!A40="","",Agent01_Withdrawals!G40)</f>
        <v/>
      </c>
      <c r="I35" s="37" t="str">
        <f>IF(Agent01_Withdrawals!A40="","",Agent01_Withdrawals!H40)</f>
        <v/>
      </c>
      <c r="J35" s="37" t="str">
        <f>IF(Agent01_Withdrawals!A40="","",Agent01_Withdrawals!J40)</f>
        <v/>
      </c>
      <c r="K35" s="37" t="str">
        <f>IF(Agent01_Withdrawals!A40="","",Agent01_Withdrawals!K40)</f>
        <v/>
      </c>
      <c r="L35" s="37" t="str">
        <f>IF(G35="","",IF(D35-G35&gt;=System_Config!$B$9,"✅ OK","⚠️ BREACH"))</f>
        <v/>
      </c>
      <c r="M35" s="37" t="str">
        <f>IFERROR(IF(Agent01_Withdrawals!A40="","",YEAR(Agent01_Withdrawals!D40)),"")</f>
        <v/>
      </c>
    </row>
    <row r="36" spans="1:13" ht="18" customHeight="1" x14ac:dyDescent="0.25">
      <c r="A36" s="37" t="str">
        <f>IF(Agent01_Withdrawals!A41="","",Agent01_Withdrawals!A41)</f>
        <v/>
      </c>
      <c r="B36" s="37" t="str">
        <f ca="1">IF(Agent01_Withdrawals!A41="","","WD"&amp;TEXT(36-3,"0000")&amp;"-"&amp;TEXT(TODAY(),"YYYYMMDD"))</f>
        <v/>
      </c>
      <c r="C36" s="37" t="str">
        <f>IF(Agent01_Withdrawals!A41="","",Agent01_Withdrawals!B41)</f>
        <v/>
      </c>
      <c r="D36" s="40" t="str">
        <f>IF(Agent01_Withdrawals!A41="","",Agent01_Withdrawals!C41)</f>
        <v/>
      </c>
      <c r="E36" s="38" t="str">
        <f>IF(Agent01_Withdrawals!A41="","",Agent01_Withdrawals!D41)</f>
        <v/>
      </c>
      <c r="F36" s="37" t="str">
        <f>IF(Agent01_Withdrawals!A41="","",Agent01_Withdrawals!F41)</f>
        <v/>
      </c>
      <c r="G36" s="39" t="str">
        <f>IF(Agent01_Withdrawals!A41="","",Agent01_Withdrawals!E41)</f>
        <v/>
      </c>
      <c r="H36" s="39" t="str">
        <f>IF(Agent01_Withdrawals!A41="","",Agent01_Withdrawals!G41)</f>
        <v/>
      </c>
      <c r="I36" s="37" t="str">
        <f>IF(Agent01_Withdrawals!A41="","",Agent01_Withdrawals!H41)</f>
        <v/>
      </c>
      <c r="J36" s="37" t="str">
        <f>IF(Agent01_Withdrawals!A41="","",Agent01_Withdrawals!J41)</f>
        <v/>
      </c>
      <c r="K36" s="37" t="str">
        <f>IF(Agent01_Withdrawals!A41="","",Agent01_Withdrawals!K41)</f>
        <v/>
      </c>
      <c r="L36" s="37" t="str">
        <f>IF(G36="","",IF(D36-G36&gt;=System_Config!$B$9,"✅ OK","⚠️ BREACH"))</f>
        <v/>
      </c>
      <c r="M36" s="37" t="str">
        <f>IFERROR(IF(Agent01_Withdrawals!A41="","",YEAR(Agent01_Withdrawals!D41)),"")</f>
        <v/>
      </c>
    </row>
    <row r="37" spans="1:13" ht="18" customHeight="1" x14ac:dyDescent="0.25">
      <c r="A37" s="37" t="str">
        <f>IF(Agent01_Withdrawals!A42="","",Agent01_Withdrawals!A42)</f>
        <v/>
      </c>
      <c r="B37" s="37" t="str">
        <f ca="1">IF(Agent01_Withdrawals!A42="","","WD"&amp;TEXT(37-3,"0000")&amp;"-"&amp;TEXT(TODAY(),"YYYYMMDD"))</f>
        <v/>
      </c>
      <c r="C37" s="37" t="str">
        <f>IF(Agent01_Withdrawals!A42="","",Agent01_Withdrawals!B42)</f>
        <v/>
      </c>
      <c r="D37" s="40" t="str">
        <f>IF(Agent01_Withdrawals!A42="","",Agent01_Withdrawals!C42)</f>
        <v/>
      </c>
      <c r="E37" s="38" t="str">
        <f>IF(Agent01_Withdrawals!A42="","",Agent01_Withdrawals!D42)</f>
        <v/>
      </c>
      <c r="F37" s="37" t="str">
        <f>IF(Agent01_Withdrawals!A42="","",Agent01_Withdrawals!F42)</f>
        <v/>
      </c>
      <c r="G37" s="39" t="str">
        <f>IF(Agent01_Withdrawals!A42="","",Agent01_Withdrawals!E42)</f>
        <v/>
      </c>
      <c r="H37" s="39" t="str">
        <f>IF(Agent01_Withdrawals!A42="","",Agent01_Withdrawals!G42)</f>
        <v/>
      </c>
      <c r="I37" s="37" t="str">
        <f>IF(Agent01_Withdrawals!A42="","",Agent01_Withdrawals!H42)</f>
        <v/>
      </c>
      <c r="J37" s="37" t="str">
        <f>IF(Agent01_Withdrawals!A42="","",Agent01_Withdrawals!J42)</f>
        <v/>
      </c>
      <c r="K37" s="37" t="str">
        <f>IF(Agent01_Withdrawals!A42="","",Agent01_Withdrawals!K42)</f>
        <v/>
      </c>
      <c r="L37" s="37" t="str">
        <f>IF(G37="","",IF(D37-G37&gt;=System_Config!$B$9,"✅ OK","⚠️ BREACH"))</f>
        <v/>
      </c>
      <c r="M37" s="37" t="str">
        <f>IFERROR(IF(Agent01_Withdrawals!A42="","",YEAR(Agent01_Withdrawals!D42)),"")</f>
        <v/>
      </c>
    </row>
    <row r="38" spans="1:13" ht="18" customHeight="1" x14ac:dyDescent="0.25">
      <c r="A38" s="37" t="str">
        <f>IF(Agent01_Withdrawals!A43="","",Agent01_Withdrawals!A43)</f>
        <v/>
      </c>
      <c r="B38" s="37" t="str">
        <f ca="1">IF(Agent01_Withdrawals!A43="","","WD"&amp;TEXT(38-3,"0000")&amp;"-"&amp;TEXT(TODAY(),"YYYYMMDD"))</f>
        <v/>
      </c>
      <c r="C38" s="37" t="str">
        <f>IF(Agent01_Withdrawals!A43="","",Agent01_Withdrawals!B43)</f>
        <v/>
      </c>
      <c r="D38" s="40" t="str">
        <f>IF(Agent01_Withdrawals!A43="","",Agent01_Withdrawals!C43)</f>
        <v/>
      </c>
      <c r="E38" s="38" t="str">
        <f>IF(Agent01_Withdrawals!A43="","",Agent01_Withdrawals!D43)</f>
        <v/>
      </c>
      <c r="F38" s="37" t="str">
        <f>IF(Agent01_Withdrawals!A43="","",Agent01_Withdrawals!F43)</f>
        <v/>
      </c>
      <c r="G38" s="39" t="str">
        <f>IF(Agent01_Withdrawals!A43="","",Agent01_Withdrawals!E43)</f>
        <v/>
      </c>
      <c r="H38" s="39" t="str">
        <f>IF(Agent01_Withdrawals!A43="","",Agent01_Withdrawals!G43)</f>
        <v/>
      </c>
      <c r="I38" s="37" t="str">
        <f>IF(Agent01_Withdrawals!A43="","",Agent01_Withdrawals!H43)</f>
        <v/>
      </c>
      <c r="J38" s="37" t="str">
        <f>IF(Agent01_Withdrawals!A43="","",Agent01_Withdrawals!J43)</f>
        <v/>
      </c>
      <c r="K38" s="37" t="str">
        <f>IF(Agent01_Withdrawals!A43="","",Agent01_Withdrawals!K43)</f>
        <v/>
      </c>
      <c r="L38" s="37" t="str">
        <f>IF(G38="","",IF(D38-G38&gt;=System_Config!$B$9,"✅ OK","⚠️ BREACH"))</f>
        <v/>
      </c>
      <c r="M38" s="37" t="str">
        <f>IFERROR(IF(Agent01_Withdrawals!A43="","",YEAR(Agent01_Withdrawals!D43)),"")</f>
        <v/>
      </c>
    </row>
    <row r="39" spans="1:13" ht="18" customHeight="1" x14ac:dyDescent="0.25">
      <c r="A39" s="37" t="str">
        <f>IF(Agent01_Withdrawals!A44="","",Agent01_Withdrawals!A44)</f>
        <v/>
      </c>
      <c r="B39" s="37" t="str">
        <f ca="1">IF(Agent01_Withdrawals!A44="","","WD"&amp;TEXT(39-3,"0000")&amp;"-"&amp;TEXT(TODAY(),"YYYYMMDD"))</f>
        <v/>
      </c>
      <c r="C39" s="37" t="str">
        <f>IF(Agent01_Withdrawals!A44="","",Agent01_Withdrawals!B44)</f>
        <v/>
      </c>
      <c r="D39" s="40" t="str">
        <f>IF(Agent01_Withdrawals!A44="","",Agent01_Withdrawals!C44)</f>
        <v/>
      </c>
      <c r="E39" s="38" t="str">
        <f>IF(Agent01_Withdrawals!A44="","",Agent01_Withdrawals!D44)</f>
        <v/>
      </c>
      <c r="F39" s="37" t="str">
        <f>IF(Agent01_Withdrawals!A44="","",Agent01_Withdrawals!F44)</f>
        <v/>
      </c>
      <c r="G39" s="39" t="str">
        <f>IF(Agent01_Withdrawals!A44="","",Agent01_Withdrawals!E44)</f>
        <v/>
      </c>
      <c r="H39" s="39" t="str">
        <f>IF(Agent01_Withdrawals!A44="","",Agent01_Withdrawals!G44)</f>
        <v/>
      </c>
      <c r="I39" s="37" t="str">
        <f>IF(Agent01_Withdrawals!A44="","",Agent01_Withdrawals!H44)</f>
        <v/>
      </c>
      <c r="J39" s="37" t="str">
        <f>IF(Agent01_Withdrawals!A44="","",Agent01_Withdrawals!J44)</f>
        <v/>
      </c>
      <c r="K39" s="37" t="str">
        <f>IF(Agent01_Withdrawals!A44="","",Agent01_Withdrawals!K44)</f>
        <v/>
      </c>
      <c r="L39" s="37" t="str">
        <f>IF(G39="","",IF(D39-G39&gt;=System_Config!$B$9,"✅ OK","⚠️ BREACH"))</f>
        <v/>
      </c>
      <c r="M39" s="37" t="str">
        <f>IFERROR(IF(Agent01_Withdrawals!A44="","",YEAR(Agent01_Withdrawals!D44)),"")</f>
        <v/>
      </c>
    </row>
    <row r="40" spans="1:13" ht="18" customHeight="1" x14ac:dyDescent="0.25">
      <c r="A40" s="37" t="str">
        <f>IF(Agent01_Withdrawals!A45="","",Agent01_Withdrawals!A45)</f>
        <v/>
      </c>
      <c r="B40" s="37" t="str">
        <f ca="1">IF(Agent01_Withdrawals!A45="","","WD"&amp;TEXT(40-3,"0000")&amp;"-"&amp;TEXT(TODAY(),"YYYYMMDD"))</f>
        <v/>
      </c>
      <c r="C40" s="37" t="str">
        <f>IF(Agent01_Withdrawals!A45="","",Agent01_Withdrawals!B45)</f>
        <v/>
      </c>
      <c r="D40" s="40" t="str">
        <f>IF(Agent01_Withdrawals!A45="","",Agent01_Withdrawals!C45)</f>
        <v/>
      </c>
      <c r="E40" s="38" t="str">
        <f>IF(Agent01_Withdrawals!A45="","",Agent01_Withdrawals!D45)</f>
        <v/>
      </c>
      <c r="F40" s="37" t="str">
        <f>IF(Agent01_Withdrawals!A45="","",Agent01_Withdrawals!F45)</f>
        <v/>
      </c>
      <c r="G40" s="39" t="str">
        <f>IF(Agent01_Withdrawals!A45="","",Agent01_Withdrawals!E45)</f>
        <v/>
      </c>
      <c r="H40" s="39" t="str">
        <f>IF(Agent01_Withdrawals!A45="","",Agent01_Withdrawals!G45)</f>
        <v/>
      </c>
      <c r="I40" s="37" t="str">
        <f>IF(Agent01_Withdrawals!A45="","",Agent01_Withdrawals!H45)</f>
        <v/>
      </c>
      <c r="J40" s="37" t="str">
        <f>IF(Agent01_Withdrawals!A45="","",Agent01_Withdrawals!J45)</f>
        <v/>
      </c>
      <c r="K40" s="37" t="str">
        <f>IF(Agent01_Withdrawals!A45="","",Agent01_Withdrawals!K45)</f>
        <v/>
      </c>
      <c r="L40" s="37" t="str">
        <f>IF(G40="","",IF(D40-G40&gt;=System_Config!$B$9,"✅ OK","⚠️ BREACH"))</f>
        <v/>
      </c>
      <c r="M40" s="37" t="str">
        <f>IFERROR(IF(Agent01_Withdrawals!A45="","",YEAR(Agent01_Withdrawals!D45)),"")</f>
        <v/>
      </c>
    </row>
    <row r="41" spans="1:13" ht="18" customHeight="1" x14ac:dyDescent="0.25">
      <c r="A41" s="37" t="str">
        <f>IF(Agent01_Withdrawals!A46="","",Agent01_Withdrawals!A46)</f>
        <v/>
      </c>
      <c r="B41" s="37" t="str">
        <f ca="1">IF(Agent01_Withdrawals!A46="","","WD"&amp;TEXT(41-3,"0000")&amp;"-"&amp;TEXT(TODAY(),"YYYYMMDD"))</f>
        <v/>
      </c>
      <c r="C41" s="37" t="str">
        <f>IF(Agent01_Withdrawals!A46="","",Agent01_Withdrawals!B46)</f>
        <v/>
      </c>
      <c r="D41" s="40" t="str">
        <f>IF(Agent01_Withdrawals!A46="","",Agent01_Withdrawals!C46)</f>
        <v/>
      </c>
      <c r="E41" s="38" t="str">
        <f>IF(Agent01_Withdrawals!A46="","",Agent01_Withdrawals!D46)</f>
        <v/>
      </c>
      <c r="F41" s="37" t="str">
        <f>IF(Agent01_Withdrawals!A46="","",Agent01_Withdrawals!F46)</f>
        <v/>
      </c>
      <c r="G41" s="39" t="str">
        <f>IF(Agent01_Withdrawals!A46="","",Agent01_Withdrawals!E46)</f>
        <v/>
      </c>
      <c r="H41" s="39" t="str">
        <f>IF(Agent01_Withdrawals!A46="","",Agent01_Withdrawals!G46)</f>
        <v/>
      </c>
      <c r="I41" s="37" t="str">
        <f>IF(Agent01_Withdrawals!A46="","",Agent01_Withdrawals!H46)</f>
        <v/>
      </c>
      <c r="J41" s="37" t="str">
        <f>IF(Agent01_Withdrawals!A46="","",Agent01_Withdrawals!J46)</f>
        <v/>
      </c>
      <c r="K41" s="37" t="str">
        <f>IF(Agent01_Withdrawals!A46="","",Agent01_Withdrawals!K46)</f>
        <v/>
      </c>
      <c r="L41" s="37" t="str">
        <f>IF(G41="","",IF(D41-G41&gt;=System_Config!$B$9,"✅ OK","⚠️ BREACH"))</f>
        <v/>
      </c>
      <c r="M41" s="37" t="str">
        <f>IFERROR(IF(Agent01_Withdrawals!A46="","",YEAR(Agent01_Withdrawals!D46)),"")</f>
        <v/>
      </c>
    </row>
    <row r="42" spans="1:13" ht="18" customHeight="1" x14ac:dyDescent="0.25">
      <c r="A42" s="37" t="str">
        <f>IF(Agent01_Withdrawals!A47="","",Agent01_Withdrawals!A47)</f>
        <v/>
      </c>
      <c r="B42" s="37" t="str">
        <f ca="1">IF(Agent01_Withdrawals!A47="","","WD"&amp;TEXT(42-3,"0000")&amp;"-"&amp;TEXT(TODAY(),"YYYYMMDD"))</f>
        <v/>
      </c>
      <c r="C42" s="37" t="str">
        <f>IF(Agent01_Withdrawals!A47="","",Agent01_Withdrawals!B47)</f>
        <v/>
      </c>
      <c r="D42" s="40" t="str">
        <f>IF(Agent01_Withdrawals!A47="","",Agent01_Withdrawals!C47)</f>
        <v/>
      </c>
      <c r="E42" s="38" t="str">
        <f>IF(Agent01_Withdrawals!A47="","",Agent01_Withdrawals!D47)</f>
        <v/>
      </c>
      <c r="F42" s="37" t="str">
        <f>IF(Agent01_Withdrawals!A47="","",Agent01_Withdrawals!F47)</f>
        <v/>
      </c>
      <c r="G42" s="39" t="str">
        <f>IF(Agent01_Withdrawals!A47="","",Agent01_Withdrawals!E47)</f>
        <v/>
      </c>
      <c r="H42" s="39" t="str">
        <f>IF(Agent01_Withdrawals!A47="","",Agent01_Withdrawals!G47)</f>
        <v/>
      </c>
      <c r="I42" s="37" t="str">
        <f>IF(Agent01_Withdrawals!A47="","",Agent01_Withdrawals!H47)</f>
        <v/>
      </c>
      <c r="J42" s="37" t="str">
        <f>IF(Agent01_Withdrawals!A47="","",Agent01_Withdrawals!J47)</f>
        <v/>
      </c>
      <c r="K42" s="37" t="str">
        <f>IF(Agent01_Withdrawals!A47="","",Agent01_Withdrawals!K47)</f>
        <v/>
      </c>
      <c r="L42" s="37" t="str">
        <f>IF(G42="","",IF(D42-G42&gt;=System_Config!$B$9,"✅ OK","⚠️ BREACH"))</f>
        <v/>
      </c>
      <c r="M42" s="37" t="str">
        <f>IFERROR(IF(Agent01_Withdrawals!A47="","",YEAR(Agent01_Withdrawals!D47)),"")</f>
        <v/>
      </c>
    </row>
    <row r="43" spans="1:13" ht="18" customHeight="1" x14ac:dyDescent="0.25">
      <c r="A43" s="37" t="str">
        <f>IF(Agent01_Withdrawals!A48="","",Agent01_Withdrawals!A48)</f>
        <v/>
      </c>
      <c r="B43" s="37" t="str">
        <f ca="1">IF(Agent01_Withdrawals!A48="","","WD"&amp;TEXT(43-3,"0000")&amp;"-"&amp;TEXT(TODAY(),"YYYYMMDD"))</f>
        <v/>
      </c>
      <c r="C43" s="37" t="str">
        <f>IF(Agent01_Withdrawals!A48="","",Agent01_Withdrawals!B48)</f>
        <v/>
      </c>
      <c r="D43" s="40" t="str">
        <f>IF(Agent01_Withdrawals!A48="","",Agent01_Withdrawals!C48)</f>
        <v/>
      </c>
      <c r="E43" s="38" t="str">
        <f>IF(Agent01_Withdrawals!A48="","",Agent01_Withdrawals!D48)</f>
        <v/>
      </c>
      <c r="F43" s="37" t="str">
        <f>IF(Agent01_Withdrawals!A48="","",Agent01_Withdrawals!F48)</f>
        <v/>
      </c>
      <c r="G43" s="39" t="str">
        <f>IF(Agent01_Withdrawals!A48="","",Agent01_Withdrawals!E48)</f>
        <v/>
      </c>
      <c r="H43" s="39" t="str">
        <f>IF(Agent01_Withdrawals!A48="","",Agent01_Withdrawals!G48)</f>
        <v/>
      </c>
      <c r="I43" s="37" t="str">
        <f>IF(Agent01_Withdrawals!A48="","",Agent01_Withdrawals!H48)</f>
        <v/>
      </c>
      <c r="J43" s="37" t="str">
        <f>IF(Agent01_Withdrawals!A48="","",Agent01_Withdrawals!J48)</f>
        <v/>
      </c>
      <c r="K43" s="37" t="str">
        <f>IF(Agent01_Withdrawals!A48="","",Agent01_Withdrawals!K48)</f>
        <v/>
      </c>
      <c r="L43" s="37" t="str">
        <f>IF(G43="","",IF(D43-G43&gt;=System_Config!$B$9,"✅ OK","⚠️ BREACH"))</f>
        <v/>
      </c>
      <c r="M43" s="37" t="str">
        <f>IFERROR(IF(Agent01_Withdrawals!A48="","",YEAR(Agent01_Withdrawals!D48)),"")</f>
        <v/>
      </c>
    </row>
    <row r="44" spans="1:13" ht="18" customHeight="1" x14ac:dyDescent="0.25">
      <c r="A44" s="37" t="str">
        <f>IF(Agent01_Withdrawals!A49="","",Agent01_Withdrawals!A49)</f>
        <v/>
      </c>
      <c r="B44" s="37" t="str">
        <f ca="1">IF(Agent01_Withdrawals!A49="","","WD"&amp;TEXT(44-3,"0000")&amp;"-"&amp;TEXT(TODAY(),"YYYYMMDD"))</f>
        <v/>
      </c>
      <c r="C44" s="37" t="str">
        <f>IF(Agent01_Withdrawals!A49="","",Agent01_Withdrawals!B49)</f>
        <v/>
      </c>
      <c r="D44" s="40" t="str">
        <f>IF(Agent01_Withdrawals!A49="","",Agent01_Withdrawals!C49)</f>
        <v/>
      </c>
      <c r="E44" s="38" t="str">
        <f>IF(Agent01_Withdrawals!A49="","",Agent01_Withdrawals!D49)</f>
        <v/>
      </c>
      <c r="F44" s="37" t="str">
        <f>IF(Agent01_Withdrawals!A49="","",Agent01_Withdrawals!F49)</f>
        <v/>
      </c>
      <c r="G44" s="39" t="str">
        <f>IF(Agent01_Withdrawals!A49="","",Agent01_Withdrawals!E49)</f>
        <v/>
      </c>
      <c r="H44" s="39" t="str">
        <f>IF(Agent01_Withdrawals!A49="","",Agent01_Withdrawals!G49)</f>
        <v/>
      </c>
      <c r="I44" s="37" t="str">
        <f>IF(Agent01_Withdrawals!A49="","",Agent01_Withdrawals!H49)</f>
        <v/>
      </c>
      <c r="J44" s="37" t="str">
        <f>IF(Agent01_Withdrawals!A49="","",Agent01_Withdrawals!J49)</f>
        <v/>
      </c>
      <c r="K44" s="37" t="str">
        <f>IF(Agent01_Withdrawals!A49="","",Agent01_Withdrawals!K49)</f>
        <v/>
      </c>
      <c r="L44" s="37" t="str">
        <f>IF(G44="","",IF(D44-G44&gt;=System_Config!$B$9,"✅ OK","⚠️ BREACH"))</f>
        <v/>
      </c>
      <c r="M44" s="37" t="str">
        <f>IFERROR(IF(Agent01_Withdrawals!A49="","",YEAR(Agent01_Withdrawals!D49)),"")</f>
        <v/>
      </c>
    </row>
    <row r="45" spans="1:13" ht="18" customHeight="1" x14ac:dyDescent="0.25">
      <c r="A45" s="37" t="str">
        <f>IF(Agent01_Withdrawals!A50="","",Agent01_Withdrawals!A50)</f>
        <v/>
      </c>
      <c r="B45" s="37" t="str">
        <f ca="1">IF(Agent01_Withdrawals!A50="","","WD"&amp;TEXT(45-3,"0000")&amp;"-"&amp;TEXT(TODAY(),"YYYYMMDD"))</f>
        <v/>
      </c>
      <c r="C45" s="37" t="str">
        <f>IF(Agent01_Withdrawals!A50="","",Agent01_Withdrawals!B50)</f>
        <v/>
      </c>
      <c r="D45" s="40" t="str">
        <f>IF(Agent01_Withdrawals!A50="","",Agent01_Withdrawals!C50)</f>
        <v/>
      </c>
      <c r="E45" s="38" t="str">
        <f>IF(Agent01_Withdrawals!A50="","",Agent01_Withdrawals!D50)</f>
        <v/>
      </c>
      <c r="F45" s="37" t="str">
        <f>IF(Agent01_Withdrawals!A50="","",Agent01_Withdrawals!F50)</f>
        <v/>
      </c>
      <c r="G45" s="39" t="str">
        <f>IF(Agent01_Withdrawals!A50="","",Agent01_Withdrawals!E50)</f>
        <v/>
      </c>
      <c r="H45" s="39" t="str">
        <f>IF(Agent01_Withdrawals!A50="","",Agent01_Withdrawals!G50)</f>
        <v/>
      </c>
      <c r="I45" s="37" t="str">
        <f>IF(Agent01_Withdrawals!A50="","",Agent01_Withdrawals!H50)</f>
        <v/>
      </c>
      <c r="J45" s="37" t="str">
        <f>IF(Agent01_Withdrawals!A50="","",Agent01_Withdrawals!J50)</f>
        <v/>
      </c>
      <c r="K45" s="37" t="str">
        <f>IF(Agent01_Withdrawals!A50="","",Agent01_Withdrawals!K50)</f>
        <v/>
      </c>
      <c r="L45" s="37" t="str">
        <f>IF(G45="","",IF(D45-G45&gt;=System_Config!$B$9,"✅ OK","⚠️ BREACH"))</f>
        <v/>
      </c>
      <c r="M45" s="37" t="str">
        <f>IFERROR(IF(Agent01_Withdrawals!A50="","",YEAR(Agent01_Withdrawals!D50)),"")</f>
        <v/>
      </c>
    </row>
    <row r="46" spans="1:13" ht="18" customHeight="1" x14ac:dyDescent="0.25">
      <c r="A46" s="37" t="str">
        <f>IF(Agent01_Withdrawals!A51="","",Agent01_Withdrawals!A51)</f>
        <v/>
      </c>
      <c r="B46" s="37" t="str">
        <f ca="1">IF(Agent01_Withdrawals!A51="","","WD"&amp;TEXT(46-3,"0000")&amp;"-"&amp;TEXT(TODAY(),"YYYYMMDD"))</f>
        <v/>
      </c>
      <c r="C46" s="37" t="str">
        <f>IF(Agent01_Withdrawals!A51="","",Agent01_Withdrawals!B51)</f>
        <v/>
      </c>
      <c r="D46" s="40" t="str">
        <f>IF(Agent01_Withdrawals!A51="","",Agent01_Withdrawals!C51)</f>
        <v/>
      </c>
      <c r="E46" s="38" t="str">
        <f>IF(Agent01_Withdrawals!A51="","",Agent01_Withdrawals!D51)</f>
        <v/>
      </c>
      <c r="F46" s="37" t="str">
        <f>IF(Agent01_Withdrawals!A51="","",Agent01_Withdrawals!F51)</f>
        <v/>
      </c>
      <c r="G46" s="39" t="str">
        <f>IF(Agent01_Withdrawals!A51="","",Agent01_Withdrawals!E51)</f>
        <v/>
      </c>
      <c r="H46" s="39" t="str">
        <f>IF(Agent01_Withdrawals!A51="","",Agent01_Withdrawals!G51)</f>
        <v/>
      </c>
      <c r="I46" s="37" t="str">
        <f>IF(Agent01_Withdrawals!A51="","",Agent01_Withdrawals!H51)</f>
        <v/>
      </c>
      <c r="J46" s="37" t="str">
        <f>IF(Agent01_Withdrawals!A51="","",Agent01_Withdrawals!J51)</f>
        <v/>
      </c>
      <c r="K46" s="37" t="str">
        <f>IF(Agent01_Withdrawals!A51="","",Agent01_Withdrawals!K51)</f>
        <v/>
      </c>
      <c r="L46" s="37" t="str">
        <f>IF(G46="","",IF(D46-G46&gt;=System_Config!$B$9,"✅ OK","⚠️ BREACH"))</f>
        <v/>
      </c>
      <c r="M46" s="37" t="str">
        <f>IFERROR(IF(Agent01_Withdrawals!A51="","",YEAR(Agent01_Withdrawals!D51)),"")</f>
        <v/>
      </c>
    </row>
    <row r="47" spans="1:13" ht="18" customHeight="1" x14ac:dyDescent="0.25">
      <c r="A47" s="37" t="str">
        <f>IF(Agent01_Withdrawals!A52="","",Agent01_Withdrawals!A52)</f>
        <v/>
      </c>
      <c r="B47" s="37" t="str">
        <f ca="1">IF(Agent01_Withdrawals!A52="","","WD"&amp;TEXT(47-3,"0000")&amp;"-"&amp;TEXT(TODAY(),"YYYYMMDD"))</f>
        <v/>
      </c>
      <c r="C47" s="37" t="str">
        <f>IF(Agent01_Withdrawals!A52="","",Agent01_Withdrawals!B52)</f>
        <v/>
      </c>
      <c r="D47" s="40" t="str">
        <f>IF(Agent01_Withdrawals!A52="","",Agent01_Withdrawals!C52)</f>
        <v/>
      </c>
      <c r="E47" s="38" t="str">
        <f>IF(Agent01_Withdrawals!A52="","",Agent01_Withdrawals!D52)</f>
        <v/>
      </c>
      <c r="F47" s="37" t="str">
        <f>IF(Agent01_Withdrawals!A52="","",Agent01_Withdrawals!F52)</f>
        <v/>
      </c>
      <c r="G47" s="39" t="str">
        <f>IF(Agent01_Withdrawals!A52="","",Agent01_Withdrawals!E52)</f>
        <v/>
      </c>
      <c r="H47" s="39" t="str">
        <f>IF(Agent01_Withdrawals!A52="","",Agent01_Withdrawals!G52)</f>
        <v/>
      </c>
      <c r="I47" s="37" t="str">
        <f>IF(Agent01_Withdrawals!A52="","",Agent01_Withdrawals!H52)</f>
        <v/>
      </c>
      <c r="J47" s="37" t="str">
        <f>IF(Agent01_Withdrawals!A52="","",Agent01_Withdrawals!J52)</f>
        <v/>
      </c>
      <c r="K47" s="37" t="str">
        <f>IF(Agent01_Withdrawals!A52="","",Agent01_Withdrawals!K52)</f>
        <v/>
      </c>
      <c r="L47" s="37" t="str">
        <f>IF(G47="","",IF(D47-G47&gt;=System_Config!$B$9,"✅ OK","⚠️ BREACH"))</f>
        <v/>
      </c>
      <c r="M47" s="37" t="str">
        <f>IFERROR(IF(Agent01_Withdrawals!A52="","",YEAR(Agent01_Withdrawals!D52)),"")</f>
        <v/>
      </c>
    </row>
    <row r="48" spans="1:13" ht="18" customHeight="1" x14ac:dyDescent="0.25">
      <c r="A48" s="37" t="str">
        <f>IF(Agent01_Withdrawals!A53="","",Agent01_Withdrawals!A53)</f>
        <v/>
      </c>
      <c r="B48" s="37" t="str">
        <f ca="1">IF(Agent01_Withdrawals!A53="","","WD"&amp;TEXT(48-3,"0000")&amp;"-"&amp;TEXT(TODAY(),"YYYYMMDD"))</f>
        <v/>
      </c>
      <c r="C48" s="37" t="str">
        <f>IF(Agent01_Withdrawals!A53="","",Agent01_Withdrawals!B53)</f>
        <v/>
      </c>
      <c r="D48" s="40" t="str">
        <f>IF(Agent01_Withdrawals!A53="","",Agent01_Withdrawals!C53)</f>
        <v/>
      </c>
      <c r="E48" s="38" t="str">
        <f>IF(Agent01_Withdrawals!A53="","",Agent01_Withdrawals!D53)</f>
        <v/>
      </c>
      <c r="F48" s="37" t="str">
        <f>IF(Agent01_Withdrawals!A53="","",Agent01_Withdrawals!F53)</f>
        <v/>
      </c>
      <c r="G48" s="39" t="str">
        <f>IF(Agent01_Withdrawals!A53="","",Agent01_Withdrawals!E53)</f>
        <v/>
      </c>
      <c r="H48" s="39" t="str">
        <f>IF(Agent01_Withdrawals!A53="","",Agent01_Withdrawals!G53)</f>
        <v/>
      </c>
      <c r="I48" s="37" t="str">
        <f>IF(Agent01_Withdrawals!A53="","",Agent01_Withdrawals!H53)</f>
        <v/>
      </c>
      <c r="J48" s="37" t="str">
        <f>IF(Agent01_Withdrawals!A53="","",Agent01_Withdrawals!J53)</f>
        <v/>
      </c>
      <c r="K48" s="37" t="str">
        <f>IF(Agent01_Withdrawals!A53="","",Agent01_Withdrawals!K53)</f>
        <v/>
      </c>
      <c r="L48" s="37" t="str">
        <f>IF(G48="","",IF(D48-G48&gt;=System_Config!$B$9,"✅ OK","⚠️ BREACH"))</f>
        <v/>
      </c>
      <c r="M48" s="37" t="str">
        <f>IFERROR(IF(Agent01_Withdrawals!A53="","",YEAR(Agent01_Withdrawals!D53)),"")</f>
        <v/>
      </c>
    </row>
    <row r="49" spans="1:13" ht="18" customHeight="1" x14ac:dyDescent="0.25">
      <c r="A49" s="37" t="str">
        <f>IF(Agent01_Withdrawals!A54="","",Agent01_Withdrawals!A54)</f>
        <v/>
      </c>
      <c r="B49" s="37" t="str">
        <f ca="1">IF(Agent01_Withdrawals!A54="","","WD"&amp;TEXT(49-3,"0000")&amp;"-"&amp;TEXT(TODAY(),"YYYYMMDD"))</f>
        <v/>
      </c>
      <c r="C49" s="37" t="str">
        <f>IF(Agent01_Withdrawals!A54="","",Agent01_Withdrawals!B54)</f>
        <v/>
      </c>
      <c r="D49" s="40" t="str">
        <f>IF(Agent01_Withdrawals!A54="","",Agent01_Withdrawals!C54)</f>
        <v/>
      </c>
      <c r="E49" s="38" t="str">
        <f>IF(Agent01_Withdrawals!A54="","",Agent01_Withdrawals!D54)</f>
        <v/>
      </c>
      <c r="F49" s="37" t="str">
        <f>IF(Agent01_Withdrawals!A54="","",Agent01_Withdrawals!F54)</f>
        <v/>
      </c>
      <c r="G49" s="39" t="str">
        <f>IF(Agent01_Withdrawals!A54="","",Agent01_Withdrawals!E54)</f>
        <v/>
      </c>
      <c r="H49" s="39" t="str">
        <f>IF(Agent01_Withdrawals!A54="","",Agent01_Withdrawals!G54)</f>
        <v/>
      </c>
      <c r="I49" s="37" t="str">
        <f>IF(Agent01_Withdrawals!A54="","",Agent01_Withdrawals!H54)</f>
        <v/>
      </c>
      <c r="J49" s="37" t="str">
        <f>IF(Agent01_Withdrawals!A54="","",Agent01_Withdrawals!J54)</f>
        <v/>
      </c>
      <c r="K49" s="37" t="str">
        <f>IF(Agent01_Withdrawals!A54="","",Agent01_Withdrawals!K54)</f>
        <v/>
      </c>
      <c r="L49" s="37" t="str">
        <f>IF(G49="","",IF(D49-G49&gt;=System_Config!$B$9,"✅ OK","⚠️ BREACH"))</f>
        <v/>
      </c>
      <c r="M49" s="37" t="str">
        <f>IFERROR(IF(Agent01_Withdrawals!A54="","",YEAR(Agent01_Withdrawals!D54)),"")</f>
        <v/>
      </c>
    </row>
    <row r="50" spans="1:13" ht="18" customHeight="1" x14ac:dyDescent="0.25">
      <c r="A50" s="37" t="str">
        <f>IF(Agent01_Withdrawals!A55="","",Agent01_Withdrawals!A55)</f>
        <v/>
      </c>
      <c r="B50" s="37" t="str">
        <f ca="1">IF(Agent01_Withdrawals!A55="","","WD"&amp;TEXT(50-3,"0000")&amp;"-"&amp;TEXT(TODAY(),"YYYYMMDD"))</f>
        <v/>
      </c>
      <c r="C50" s="37" t="str">
        <f>IF(Agent01_Withdrawals!A55="","",Agent01_Withdrawals!B55)</f>
        <v/>
      </c>
      <c r="D50" s="40" t="str">
        <f>IF(Agent01_Withdrawals!A55="","",Agent01_Withdrawals!C55)</f>
        <v/>
      </c>
      <c r="E50" s="38" t="str">
        <f>IF(Agent01_Withdrawals!A55="","",Agent01_Withdrawals!D55)</f>
        <v/>
      </c>
      <c r="F50" s="37" t="str">
        <f>IF(Agent01_Withdrawals!A55="","",Agent01_Withdrawals!F55)</f>
        <v/>
      </c>
      <c r="G50" s="39" t="str">
        <f>IF(Agent01_Withdrawals!A55="","",Agent01_Withdrawals!E55)</f>
        <v/>
      </c>
      <c r="H50" s="39" t="str">
        <f>IF(Agent01_Withdrawals!A55="","",Agent01_Withdrawals!G55)</f>
        <v/>
      </c>
      <c r="I50" s="37" t="str">
        <f>IF(Agent01_Withdrawals!A55="","",Agent01_Withdrawals!H55)</f>
        <v/>
      </c>
      <c r="J50" s="37" t="str">
        <f>IF(Agent01_Withdrawals!A55="","",Agent01_Withdrawals!J55)</f>
        <v/>
      </c>
      <c r="K50" s="37" t="str">
        <f>IF(Agent01_Withdrawals!A55="","",Agent01_Withdrawals!K55)</f>
        <v/>
      </c>
      <c r="L50" s="37" t="str">
        <f>IF(G50="","",IF(D50-G50&gt;=System_Config!$B$9,"✅ OK","⚠️ BREACH"))</f>
        <v/>
      </c>
      <c r="M50" s="37" t="str">
        <f>IFERROR(IF(Agent01_Withdrawals!A55="","",YEAR(Agent01_Withdrawals!D55)),"")</f>
        <v/>
      </c>
    </row>
    <row r="51" spans="1:13" ht="18" customHeight="1" x14ac:dyDescent="0.25">
      <c r="A51" s="37" t="str">
        <f>IF(Agent01_Withdrawals!A56="","",Agent01_Withdrawals!A56)</f>
        <v/>
      </c>
      <c r="B51" s="37" t="str">
        <f ca="1">IF(Agent01_Withdrawals!A56="","","WD"&amp;TEXT(51-3,"0000")&amp;"-"&amp;TEXT(TODAY(),"YYYYMMDD"))</f>
        <v/>
      </c>
      <c r="C51" s="37" t="str">
        <f>IF(Agent01_Withdrawals!A56="","",Agent01_Withdrawals!B56)</f>
        <v/>
      </c>
      <c r="D51" s="40" t="str">
        <f>IF(Agent01_Withdrawals!A56="","",Agent01_Withdrawals!C56)</f>
        <v/>
      </c>
      <c r="E51" s="38" t="str">
        <f>IF(Agent01_Withdrawals!A56="","",Agent01_Withdrawals!D56)</f>
        <v/>
      </c>
      <c r="F51" s="37" t="str">
        <f>IF(Agent01_Withdrawals!A56="","",Agent01_Withdrawals!F56)</f>
        <v/>
      </c>
      <c r="G51" s="39" t="str">
        <f>IF(Agent01_Withdrawals!A56="","",Agent01_Withdrawals!E56)</f>
        <v/>
      </c>
      <c r="H51" s="39" t="str">
        <f>IF(Agent01_Withdrawals!A56="","",Agent01_Withdrawals!G56)</f>
        <v/>
      </c>
      <c r="I51" s="37" t="str">
        <f>IF(Agent01_Withdrawals!A56="","",Agent01_Withdrawals!H56)</f>
        <v/>
      </c>
      <c r="J51" s="37" t="str">
        <f>IF(Agent01_Withdrawals!A56="","",Agent01_Withdrawals!J56)</f>
        <v/>
      </c>
      <c r="K51" s="37" t="str">
        <f>IF(Agent01_Withdrawals!A56="","",Agent01_Withdrawals!K56)</f>
        <v/>
      </c>
      <c r="L51" s="37" t="str">
        <f>IF(G51="","",IF(D51-G51&gt;=System_Config!$B$9,"✅ OK","⚠️ BREACH"))</f>
        <v/>
      </c>
      <c r="M51" s="37" t="str">
        <f>IFERROR(IF(Agent01_Withdrawals!A56="","",YEAR(Agent01_Withdrawals!D56)),"")</f>
        <v/>
      </c>
    </row>
    <row r="52" spans="1:13" ht="18" customHeight="1" x14ac:dyDescent="0.25">
      <c r="A52" s="37" t="str">
        <f>IF(Agent01_Withdrawals!A57="","",Agent01_Withdrawals!A57)</f>
        <v/>
      </c>
      <c r="B52" s="37" t="str">
        <f ca="1">IF(Agent01_Withdrawals!A57="","","WD"&amp;TEXT(52-3,"0000")&amp;"-"&amp;TEXT(TODAY(),"YYYYMMDD"))</f>
        <v/>
      </c>
      <c r="C52" s="37" t="str">
        <f>IF(Agent01_Withdrawals!A57="","",Agent01_Withdrawals!B57)</f>
        <v/>
      </c>
      <c r="D52" s="40" t="str">
        <f>IF(Agent01_Withdrawals!A57="","",Agent01_Withdrawals!C57)</f>
        <v/>
      </c>
      <c r="E52" s="38" t="str">
        <f>IF(Agent01_Withdrawals!A57="","",Agent01_Withdrawals!D57)</f>
        <v/>
      </c>
      <c r="F52" s="37" t="str">
        <f>IF(Agent01_Withdrawals!A57="","",Agent01_Withdrawals!F57)</f>
        <v/>
      </c>
      <c r="G52" s="39" t="str">
        <f>IF(Agent01_Withdrawals!A57="","",Agent01_Withdrawals!E57)</f>
        <v/>
      </c>
      <c r="H52" s="39" t="str">
        <f>IF(Agent01_Withdrawals!A57="","",Agent01_Withdrawals!G57)</f>
        <v/>
      </c>
      <c r="I52" s="37" t="str">
        <f>IF(Agent01_Withdrawals!A57="","",Agent01_Withdrawals!H57)</f>
        <v/>
      </c>
      <c r="J52" s="37" t="str">
        <f>IF(Agent01_Withdrawals!A57="","",Agent01_Withdrawals!J57)</f>
        <v/>
      </c>
      <c r="K52" s="37" t="str">
        <f>IF(Agent01_Withdrawals!A57="","",Agent01_Withdrawals!K57)</f>
        <v/>
      </c>
      <c r="L52" s="37" t="str">
        <f>IF(G52="","",IF(D52-G52&gt;=System_Config!$B$9,"✅ OK","⚠️ BREACH"))</f>
        <v/>
      </c>
      <c r="M52" s="37" t="str">
        <f>IFERROR(IF(Agent01_Withdrawals!A57="","",YEAR(Agent01_Withdrawals!D57)),"")</f>
        <v/>
      </c>
    </row>
    <row r="53" spans="1:13" ht="18" customHeight="1" x14ac:dyDescent="0.25">
      <c r="A53" s="37" t="str">
        <f>IF(Agent01_Withdrawals!A58="","",Agent01_Withdrawals!A58)</f>
        <v/>
      </c>
      <c r="B53" s="37" t="str">
        <f ca="1">IF(Agent01_Withdrawals!A58="","","WD"&amp;TEXT(53-3,"0000")&amp;"-"&amp;TEXT(TODAY(),"YYYYMMDD"))</f>
        <v/>
      </c>
      <c r="C53" s="37" t="str">
        <f>IF(Agent01_Withdrawals!A58="","",Agent01_Withdrawals!B58)</f>
        <v/>
      </c>
      <c r="D53" s="40" t="str">
        <f>IF(Agent01_Withdrawals!A58="","",Agent01_Withdrawals!C58)</f>
        <v/>
      </c>
      <c r="E53" s="38" t="str">
        <f>IF(Agent01_Withdrawals!A58="","",Agent01_Withdrawals!D58)</f>
        <v/>
      </c>
      <c r="F53" s="37" t="str">
        <f>IF(Agent01_Withdrawals!A58="","",Agent01_Withdrawals!F58)</f>
        <v/>
      </c>
      <c r="G53" s="39" t="str">
        <f>IF(Agent01_Withdrawals!A58="","",Agent01_Withdrawals!E58)</f>
        <v/>
      </c>
      <c r="H53" s="39" t="str">
        <f>IF(Agent01_Withdrawals!A58="","",Agent01_Withdrawals!G58)</f>
        <v/>
      </c>
      <c r="I53" s="37" t="str">
        <f>IF(Agent01_Withdrawals!A58="","",Agent01_Withdrawals!H58)</f>
        <v/>
      </c>
      <c r="J53" s="37" t="str">
        <f>IF(Agent01_Withdrawals!A58="","",Agent01_Withdrawals!J58)</f>
        <v/>
      </c>
      <c r="K53" s="37" t="str">
        <f>IF(Agent01_Withdrawals!A58="","",Agent01_Withdrawals!K58)</f>
        <v/>
      </c>
      <c r="L53" s="37" t="str">
        <f>IF(G53="","",IF(D53-G53&gt;=System_Config!$B$9,"✅ OK","⚠️ BREACH"))</f>
        <v/>
      </c>
      <c r="M53" s="37" t="str">
        <f>IFERROR(IF(Agent01_Withdrawals!A58="","",YEAR(Agent01_Withdrawals!D58)),"")</f>
        <v/>
      </c>
    </row>
    <row r="54" spans="1:13" ht="18" customHeight="1" x14ac:dyDescent="0.25">
      <c r="A54" s="37" t="str">
        <f>IF(Agent01_Withdrawals!A59="","",Agent01_Withdrawals!A59)</f>
        <v/>
      </c>
      <c r="B54" s="37" t="str">
        <f ca="1">IF(Agent01_Withdrawals!A59="","","WD"&amp;TEXT(54-3,"0000")&amp;"-"&amp;TEXT(TODAY(),"YYYYMMDD"))</f>
        <v/>
      </c>
      <c r="C54" s="37" t="str">
        <f>IF(Agent01_Withdrawals!A59="","",Agent01_Withdrawals!B59)</f>
        <v/>
      </c>
      <c r="D54" s="40" t="str">
        <f>IF(Agent01_Withdrawals!A59="","",Agent01_Withdrawals!C59)</f>
        <v/>
      </c>
      <c r="E54" s="38" t="str">
        <f>IF(Agent01_Withdrawals!A59="","",Agent01_Withdrawals!D59)</f>
        <v/>
      </c>
      <c r="F54" s="37" t="str">
        <f>IF(Agent01_Withdrawals!A59="","",Agent01_Withdrawals!F59)</f>
        <v/>
      </c>
      <c r="G54" s="39" t="str">
        <f>IF(Agent01_Withdrawals!A59="","",Agent01_Withdrawals!E59)</f>
        <v/>
      </c>
      <c r="H54" s="39" t="str">
        <f>IF(Agent01_Withdrawals!A59="","",Agent01_Withdrawals!G59)</f>
        <v/>
      </c>
      <c r="I54" s="37" t="str">
        <f>IF(Agent01_Withdrawals!A59="","",Agent01_Withdrawals!H59)</f>
        <v/>
      </c>
      <c r="J54" s="37" t="str">
        <f>IF(Agent01_Withdrawals!A59="","",Agent01_Withdrawals!J59)</f>
        <v/>
      </c>
      <c r="K54" s="37" t="str">
        <f>IF(Agent01_Withdrawals!A59="","",Agent01_Withdrawals!K59)</f>
        <v/>
      </c>
      <c r="L54" s="37" t="str">
        <f>IF(G54="","",IF(D54-G54&gt;=System_Config!$B$9,"✅ OK","⚠️ BREACH"))</f>
        <v/>
      </c>
      <c r="M54" s="37" t="str">
        <f>IFERROR(IF(Agent01_Withdrawals!A59="","",YEAR(Agent01_Withdrawals!D59)),"")</f>
        <v/>
      </c>
    </row>
    <row r="55" spans="1:13" ht="18" customHeight="1" x14ac:dyDescent="0.25">
      <c r="A55" s="37" t="str">
        <f>IF(Agent01_Withdrawals!A60="","",Agent01_Withdrawals!A60)</f>
        <v/>
      </c>
      <c r="B55" s="37" t="str">
        <f ca="1">IF(Agent01_Withdrawals!A60="","","WD"&amp;TEXT(55-3,"0000")&amp;"-"&amp;TEXT(TODAY(),"YYYYMMDD"))</f>
        <v/>
      </c>
      <c r="C55" s="37" t="str">
        <f>IF(Agent01_Withdrawals!A60="","",Agent01_Withdrawals!B60)</f>
        <v/>
      </c>
      <c r="D55" s="40" t="str">
        <f>IF(Agent01_Withdrawals!A60="","",Agent01_Withdrawals!C60)</f>
        <v/>
      </c>
      <c r="E55" s="38" t="str">
        <f>IF(Agent01_Withdrawals!A60="","",Agent01_Withdrawals!D60)</f>
        <v/>
      </c>
      <c r="F55" s="37" t="str">
        <f>IF(Agent01_Withdrawals!A60="","",Agent01_Withdrawals!F60)</f>
        <v/>
      </c>
      <c r="G55" s="39" t="str">
        <f>IF(Agent01_Withdrawals!A60="","",Agent01_Withdrawals!E60)</f>
        <v/>
      </c>
      <c r="H55" s="39" t="str">
        <f>IF(Agent01_Withdrawals!A60="","",Agent01_Withdrawals!G60)</f>
        <v/>
      </c>
      <c r="I55" s="37" t="str">
        <f>IF(Agent01_Withdrawals!A60="","",Agent01_Withdrawals!H60)</f>
        <v/>
      </c>
      <c r="J55" s="37" t="str">
        <f>IF(Agent01_Withdrawals!A60="","",Agent01_Withdrawals!J60)</f>
        <v/>
      </c>
      <c r="K55" s="37" t="str">
        <f>IF(Agent01_Withdrawals!A60="","",Agent01_Withdrawals!K60)</f>
        <v/>
      </c>
      <c r="L55" s="37" t="str">
        <f>IF(G55="","",IF(D55-G55&gt;=System_Config!$B$9,"✅ OK","⚠️ BREACH"))</f>
        <v/>
      </c>
      <c r="M55" s="37" t="str">
        <f>IFERROR(IF(Agent01_Withdrawals!A60="","",YEAR(Agent01_Withdrawals!D60)),"")</f>
        <v/>
      </c>
    </row>
    <row r="56" spans="1:13" ht="18" customHeight="1" x14ac:dyDescent="0.25">
      <c r="A56" s="37" t="str">
        <f>IF(Agent01_Withdrawals!A61="","",Agent01_Withdrawals!A61)</f>
        <v/>
      </c>
      <c r="B56" s="37" t="str">
        <f ca="1">IF(Agent01_Withdrawals!A61="","","WD"&amp;TEXT(56-3,"0000")&amp;"-"&amp;TEXT(TODAY(),"YYYYMMDD"))</f>
        <v/>
      </c>
      <c r="C56" s="37" t="str">
        <f>IF(Agent01_Withdrawals!A61="","",Agent01_Withdrawals!B61)</f>
        <v/>
      </c>
      <c r="D56" s="40" t="str">
        <f>IF(Agent01_Withdrawals!A61="","",Agent01_Withdrawals!C61)</f>
        <v/>
      </c>
      <c r="E56" s="38" t="str">
        <f>IF(Agent01_Withdrawals!A61="","",Agent01_Withdrawals!D61)</f>
        <v/>
      </c>
      <c r="F56" s="37" t="str">
        <f>IF(Agent01_Withdrawals!A61="","",Agent01_Withdrawals!F61)</f>
        <v/>
      </c>
      <c r="G56" s="39" t="str">
        <f>IF(Agent01_Withdrawals!A61="","",Agent01_Withdrawals!E61)</f>
        <v/>
      </c>
      <c r="H56" s="39" t="str">
        <f>IF(Agent01_Withdrawals!A61="","",Agent01_Withdrawals!G61)</f>
        <v/>
      </c>
      <c r="I56" s="37" t="str">
        <f>IF(Agent01_Withdrawals!A61="","",Agent01_Withdrawals!H61)</f>
        <v/>
      </c>
      <c r="J56" s="37" t="str">
        <f>IF(Agent01_Withdrawals!A61="","",Agent01_Withdrawals!J61)</f>
        <v/>
      </c>
      <c r="K56" s="37" t="str">
        <f>IF(Agent01_Withdrawals!A61="","",Agent01_Withdrawals!K61)</f>
        <v/>
      </c>
      <c r="L56" s="37" t="str">
        <f>IF(G56="","",IF(D56-G56&gt;=System_Config!$B$9,"✅ OK","⚠️ BREACH"))</f>
        <v/>
      </c>
      <c r="M56" s="37" t="str">
        <f>IFERROR(IF(Agent01_Withdrawals!A61="","",YEAR(Agent01_Withdrawals!D61)),"")</f>
        <v/>
      </c>
    </row>
    <row r="57" spans="1:13" ht="18" customHeight="1" x14ac:dyDescent="0.25">
      <c r="A57" s="37" t="str">
        <f>IF(Agent01_Withdrawals!A62="","",Agent01_Withdrawals!A62)</f>
        <v/>
      </c>
      <c r="B57" s="37" t="str">
        <f ca="1">IF(Agent01_Withdrawals!A62="","","WD"&amp;TEXT(57-3,"0000")&amp;"-"&amp;TEXT(TODAY(),"YYYYMMDD"))</f>
        <v/>
      </c>
      <c r="C57" s="37" t="str">
        <f>IF(Agent01_Withdrawals!A62="","",Agent01_Withdrawals!B62)</f>
        <v/>
      </c>
      <c r="D57" s="40" t="str">
        <f>IF(Agent01_Withdrawals!A62="","",Agent01_Withdrawals!C62)</f>
        <v/>
      </c>
      <c r="E57" s="38" t="str">
        <f>IF(Agent01_Withdrawals!A62="","",Agent01_Withdrawals!D62)</f>
        <v/>
      </c>
      <c r="F57" s="37" t="str">
        <f>IF(Agent01_Withdrawals!A62="","",Agent01_Withdrawals!F62)</f>
        <v/>
      </c>
      <c r="G57" s="39" t="str">
        <f>IF(Agent01_Withdrawals!A62="","",Agent01_Withdrawals!E62)</f>
        <v/>
      </c>
      <c r="H57" s="39" t="str">
        <f>IF(Agent01_Withdrawals!A62="","",Agent01_Withdrawals!G62)</f>
        <v/>
      </c>
      <c r="I57" s="37" t="str">
        <f>IF(Agent01_Withdrawals!A62="","",Agent01_Withdrawals!H62)</f>
        <v/>
      </c>
      <c r="J57" s="37" t="str">
        <f>IF(Agent01_Withdrawals!A62="","",Agent01_Withdrawals!J62)</f>
        <v/>
      </c>
      <c r="K57" s="37" t="str">
        <f>IF(Agent01_Withdrawals!A62="","",Agent01_Withdrawals!K62)</f>
        <v/>
      </c>
      <c r="L57" s="37" t="str">
        <f>IF(G57="","",IF(D57-G57&gt;=System_Config!$B$9,"✅ OK","⚠️ BREACH"))</f>
        <v/>
      </c>
      <c r="M57" s="37" t="str">
        <f>IFERROR(IF(Agent01_Withdrawals!A62="","",YEAR(Agent01_Withdrawals!D62)),"")</f>
        <v/>
      </c>
    </row>
    <row r="58" spans="1:13" ht="18" customHeight="1" x14ac:dyDescent="0.25">
      <c r="A58" s="37" t="str">
        <f>IF(Agent01_Withdrawals!A63="","",Agent01_Withdrawals!A63)</f>
        <v/>
      </c>
      <c r="B58" s="37" t="str">
        <f ca="1">IF(Agent01_Withdrawals!A63="","","WD"&amp;TEXT(58-3,"0000")&amp;"-"&amp;TEXT(TODAY(),"YYYYMMDD"))</f>
        <v/>
      </c>
      <c r="C58" s="37" t="str">
        <f>IF(Agent01_Withdrawals!A63="","",Agent01_Withdrawals!B63)</f>
        <v/>
      </c>
      <c r="D58" s="40" t="str">
        <f>IF(Agent01_Withdrawals!A63="","",Agent01_Withdrawals!C63)</f>
        <v/>
      </c>
      <c r="E58" s="38" t="str">
        <f>IF(Agent01_Withdrawals!A63="","",Agent01_Withdrawals!D63)</f>
        <v/>
      </c>
      <c r="F58" s="37" t="str">
        <f>IF(Agent01_Withdrawals!A63="","",Agent01_Withdrawals!F63)</f>
        <v/>
      </c>
      <c r="G58" s="39" t="str">
        <f>IF(Agent01_Withdrawals!A63="","",Agent01_Withdrawals!E63)</f>
        <v/>
      </c>
      <c r="H58" s="39" t="str">
        <f>IF(Agent01_Withdrawals!A63="","",Agent01_Withdrawals!G63)</f>
        <v/>
      </c>
      <c r="I58" s="37" t="str">
        <f>IF(Agent01_Withdrawals!A63="","",Agent01_Withdrawals!H63)</f>
        <v/>
      </c>
      <c r="J58" s="37" t="str">
        <f>IF(Agent01_Withdrawals!A63="","",Agent01_Withdrawals!J63)</f>
        <v/>
      </c>
      <c r="K58" s="37" t="str">
        <f>IF(Agent01_Withdrawals!A63="","",Agent01_Withdrawals!K63)</f>
        <v/>
      </c>
      <c r="L58" s="37" t="str">
        <f>IF(G58="","",IF(D58-G58&gt;=System_Config!$B$9,"✅ OK","⚠️ BREACH"))</f>
        <v/>
      </c>
      <c r="M58" s="37" t="str">
        <f>IFERROR(IF(Agent01_Withdrawals!A63="","",YEAR(Agent01_Withdrawals!D63)),"")</f>
        <v/>
      </c>
    </row>
    <row r="59" spans="1:13" ht="18" customHeight="1" x14ac:dyDescent="0.25">
      <c r="A59" s="37" t="str">
        <f>IF(Agent01_Withdrawals!A64="","",Agent01_Withdrawals!A64)</f>
        <v/>
      </c>
      <c r="B59" s="37" t="str">
        <f ca="1">IF(Agent01_Withdrawals!A64="","","WD"&amp;TEXT(59-3,"0000")&amp;"-"&amp;TEXT(TODAY(),"YYYYMMDD"))</f>
        <v/>
      </c>
      <c r="C59" s="37" t="str">
        <f>IF(Agent01_Withdrawals!A64="","",Agent01_Withdrawals!B64)</f>
        <v/>
      </c>
      <c r="D59" s="40" t="str">
        <f>IF(Agent01_Withdrawals!A64="","",Agent01_Withdrawals!C64)</f>
        <v/>
      </c>
      <c r="E59" s="38" t="str">
        <f>IF(Agent01_Withdrawals!A64="","",Agent01_Withdrawals!D64)</f>
        <v/>
      </c>
      <c r="F59" s="37" t="str">
        <f>IF(Agent01_Withdrawals!A64="","",Agent01_Withdrawals!F64)</f>
        <v/>
      </c>
      <c r="G59" s="39" t="str">
        <f>IF(Agent01_Withdrawals!A64="","",Agent01_Withdrawals!E64)</f>
        <v/>
      </c>
      <c r="H59" s="39" t="str">
        <f>IF(Agent01_Withdrawals!A64="","",Agent01_Withdrawals!G64)</f>
        <v/>
      </c>
      <c r="I59" s="37" t="str">
        <f>IF(Agent01_Withdrawals!A64="","",Agent01_Withdrawals!H64)</f>
        <v/>
      </c>
      <c r="J59" s="37" t="str">
        <f>IF(Agent01_Withdrawals!A64="","",Agent01_Withdrawals!J64)</f>
        <v/>
      </c>
      <c r="K59" s="37" t="str">
        <f>IF(Agent01_Withdrawals!A64="","",Agent01_Withdrawals!K64)</f>
        <v/>
      </c>
      <c r="L59" s="37" t="str">
        <f>IF(G59="","",IF(D59-G59&gt;=System_Config!$B$9,"✅ OK","⚠️ BREACH"))</f>
        <v/>
      </c>
      <c r="M59" s="37" t="str">
        <f>IFERROR(IF(Agent01_Withdrawals!A64="","",YEAR(Agent01_Withdrawals!D64)),"")</f>
        <v/>
      </c>
    </row>
    <row r="60" spans="1:13" ht="18" customHeight="1" x14ac:dyDescent="0.25">
      <c r="A60" s="37" t="str">
        <f>IF(Agent01_Withdrawals!A65="","",Agent01_Withdrawals!A65)</f>
        <v/>
      </c>
      <c r="B60" s="37" t="str">
        <f ca="1">IF(Agent01_Withdrawals!A65="","","WD"&amp;TEXT(60-3,"0000")&amp;"-"&amp;TEXT(TODAY(),"YYYYMMDD"))</f>
        <v/>
      </c>
      <c r="C60" s="37" t="str">
        <f>IF(Agent01_Withdrawals!A65="","",Agent01_Withdrawals!B65)</f>
        <v/>
      </c>
      <c r="D60" s="40" t="str">
        <f>IF(Agent01_Withdrawals!A65="","",Agent01_Withdrawals!C65)</f>
        <v/>
      </c>
      <c r="E60" s="38" t="str">
        <f>IF(Agent01_Withdrawals!A65="","",Agent01_Withdrawals!D65)</f>
        <v/>
      </c>
      <c r="F60" s="37" t="str">
        <f>IF(Agent01_Withdrawals!A65="","",Agent01_Withdrawals!F65)</f>
        <v/>
      </c>
      <c r="G60" s="39" t="str">
        <f>IF(Agent01_Withdrawals!A65="","",Agent01_Withdrawals!E65)</f>
        <v/>
      </c>
      <c r="H60" s="39" t="str">
        <f>IF(Agent01_Withdrawals!A65="","",Agent01_Withdrawals!G65)</f>
        <v/>
      </c>
      <c r="I60" s="37" t="str">
        <f>IF(Agent01_Withdrawals!A65="","",Agent01_Withdrawals!H65)</f>
        <v/>
      </c>
      <c r="J60" s="37" t="str">
        <f>IF(Agent01_Withdrawals!A65="","",Agent01_Withdrawals!J65)</f>
        <v/>
      </c>
      <c r="K60" s="37" t="str">
        <f>IF(Agent01_Withdrawals!A65="","",Agent01_Withdrawals!K65)</f>
        <v/>
      </c>
      <c r="L60" s="37" t="str">
        <f>IF(G60="","",IF(D60-G60&gt;=System_Config!$B$9,"✅ OK","⚠️ BREACH"))</f>
        <v/>
      </c>
      <c r="M60" s="37" t="str">
        <f>IFERROR(IF(Agent01_Withdrawals!A65="","",YEAR(Agent01_Withdrawals!D65)),"")</f>
        <v/>
      </c>
    </row>
    <row r="61" spans="1:13" ht="18" customHeight="1" x14ac:dyDescent="0.25">
      <c r="A61" s="37" t="str">
        <f>IF(Agent01_Withdrawals!A66="","",Agent01_Withdrawals!A66)</f>
        <v/>
      </c>
      <c r="B61" s="37" t="str">
        <f ca="1">IF(Agent01_Withdrawals!A66="","","WD"&amp;TEXT(61-3,"0000")&amp;"-"&amp;TEXT(TODAY(),"YYYYMMDD"))</f>
        <v/>
      </c>
      <c r="C61" s="37" t="str">
        <f>IF(Agent01_Withdrawals!A66="","",Agent01_Withdrawals!B66)</f>
        <v/>
      </c>
      <c r="D61" s="40" t="str">
        <f>IF(Agent01_Withdrawals!A66="","",Agent01_Withdrawals!C66)</f>
        <v/>
      </c>
      <c r="E61" s="38" t="str">
        <f>IF(Agent01_Withdrawals!A66="","",Agent01_Withdrawals!D66)</f>
        <v/>
      </c>
      <c r="F61" s="37" t="str">
        <f>IF(Agent01_Withdrawals!A66="","",Agent01_Withdrawals!F66)</f>
        <v/>
      </c>
      <c r="G61" s="39" t="str">
        <f>IF(Agent01_Withdrawals!A66="","",Agent01_Withdrawals!E66)</f>
        <v/>
      </c>
      <c r="H61" s="39" t="str">
        <f>IF(Agent01_Withdrawals!A66="","",Agent01_Withdrawals!G66)</f>
        <v/>
      </c>
      <c r="I61" s="37" t="str">
        <f>IF(Agent01_Withdrawals!A66="","",Agent01_Withdrawals!H66)</f>
        <v/>
      </c>
      <c r="J61" s="37" t="str">
        <f>IF(Agent01_Withdrawals!A66="","",Agent01_Withdrawals!J66)</f>
        <v/>
      </c>
      <c r="K61" s="37" t="str">
        <f>IF(Agent01_Withdrawals!A66="","",Agent01_Withdrawals!K66)</f>
        <v/>
      </c>
      <c r="L61" s="37" t="str">
        <f>IF(G61="","",IF(D61-G61&gt;=System_Config!$B$9,"✅ OK","⚠️ BREACH"))</f>
        <v/>
      </c>
      <c r="M61" s="37" t="str">
        <f>IFERROR(IF(Agent01_Withdrawals!A66="","",YEAR(Agent01_Withdrawals!D66)),"")</f>
        <v/>
      </c>
    </row>
    <row r="62" spans="1:13" ht="18" customHeight="1" x14ac:dyDescent="0.25">
      <c r="A62" s="37" t="str">
        <f>IF(Agent01_Withdrawals!A67="","",Agent01_Withdrawals!A67)</f>
        <v/>
      </c>
      <c r="B62" s="37" t="str">
        <f ca="1">IF(Agent01_Withdrawals!A67="","","WD"&amp;TEXT(62-3,"0000")&amp;"-"&amp;TEXT(TODAY(),"YYYYMMDD"))</f>
        <v/>
      </c>
      <c r="C62" s="37" t="str">
        <f>IF(Agent01_Withdrawals!A67="","",Agent01_Withdrawals!B67)</f>
        <v/>
      </c>
      <c r="D62" s="40" t="str">
        <f>IF(Agent01_Withdrawals!A67="","",Agent01_Withdrawals!C67)</f>
        <v/>
      </c>
      <c r="E62" s="38" t="str">
        <f>IF(Agent01_Withdrawals!A67="","",Agent01_Withdrawals!D67)</f>
        <v/>
      </c>
      <c r="F62" s="37" t="str">
        <f>IF(Agent01_Withdrawals!A67="","",Agent01_Withdrawals!F67)</f>
        <v/>
      </c>
      <c r="G62" s="39" t="str">
        <f>IF(Agent01_Withdrawals!A67="","",Agent01_Withdrawals!E67)</f>
        <v/>
      </c>
      <c r="H62" s="39" t="str">
        <f>IF(Agent01_Withdrawals!A67="","",Agent01_Withdrawals!G67)</f>
        <v/>
      </c>
      <c r="I62" s="37" t="str">
        <f>IF(Agent01_Withdrawals!A67="","",Agent01_Withdrawals!H67)</f>
        <v/>
      </c>
      <c r="J62" s="37" t="str">
        <f>IF(Agent01_Withdrawals!A67="","",Agent01_Withdrawals!J67)</f>
        <v/>
      </c>
      <c r="K62" s="37" t="str">
        <f>IF(Agent01_Withdrawals!A67="","",Agent01_Withdrawals!K67)</f>
        <v/>
      </c>
      <c r="L62" s="37" t="str">
        <f>IF(G62="","",IF(D62-G62&gt;=System_Config!$B$9,"✅ OK","⚠️ BREACH"))</f>
        <v/>
      </c>
      <c r="M62" s="37" t="str">
        <f>IFERROR(IF(Agent01_Withdrawals!A67="","",YEAR(Agent01_Withdrawals!D67)),"")</f>
        <v/>
      </c>
    </row>
    <row r="63" spans="1:13" ht="18" customHeight="1" x14ac:dyDescent="0.25">
      <c r="A63" s="37" t="str">
        <f>IF(Agent01_Withdrawals!A68="","",Agent01_Withdrawals!A68)</f>
        <v/>
      </c>
      <c r="B63" s="37" t="str">
        <f ca="1">IF(Agent01_Withdrawals!A68="","","WD"&amp;TEXT(63-3,"0000")&amp;"-"&amp;TEXT(TODAY(),"YYYYMMDD"))</f>
        <v/>
      </c>
      <c r="C63" s="37" t="str">
        <f>IF(Agent01_Withdrawals!A68="","",Agent01_Withdrawals!B68)</f>
        <v/>
      </c>
      <c r="D63" s="40" t="str">
        <f>IF(Agent01_Withdrawals!A68="","",Agent01_Withdrawals!C68)</f>
        <v/>
      </c>
      <c r="E63" s="38" t="str">
        <f>IF(Agent01_Withdrawals!A68="","",Agent01_Withdrawals!D68)</f>
        <v/>
      </c>
      <c r="F63" s="37" t="str">
        <f>IF(Agent01_Withdrawals!A68="","",Agent01_Withdrawals!F68)</f>
        <v/>
      </c>
      <c r="G63" s="39" t="str">
        <f>IF(Agent01_Withdrawals!A68="","",Agent01_Withdrawals!E68)</f>
        <v/>
      </c>
      <c r="H63" s="39" t="str">
        <f>IF(Agent01_Withdrawals!A68="","",Agent01_Withdrawals!G68)</f>
        <v/>
      </c>
      <c r="I63" s="37" t="str">
        <f>IF(Agent01_Withdrawals!A68="","",Agent01_Withdrawals!H68)</f>
        <v/>
      </c>
      <c r="J63" s="37" t="str">
        <f>IF(Agent01_Withdrawals!A68="","",Agent01_Withdrawals!J68)</f>
        <v/>
      </c>
      <c r="K63" s="37" t="str">
        <f>IF(Agent01_Withdrawals!A68="","",Agent01_Withdrawals!K68)</f>
        <v/>
      </c>
      <c r="L63" s="37" t="str">
        <f>IF(G63="","",IF(D63-G63&gt;=System_Config!$B$9,"✅ OK","⚠️ BREACH"))</f>
        <v/>
      </c>
      <c r="M63" s="37" t="str">
        <f>IFERROR(IF(Agent01_Withdrawals!A68="","",YEAR(Agent01_Withdrawals!D68)),"")</f>
        <v/>
      </c>
    </row>
    <row r="64" spans="1:13" ht="18" customHeight="1" x14ac:dyDescent="0.25">
      <c r="A64" s="37" t="str">
        <f>IF(Agent01_Withdrawals!A69="","",Agent01_Withdrawals!A69)</f>
        <v/>
      </c>
      <c r="B64" s="37" t="str">
        <f ca="1">IF(Agent01_Withdrawals!A69="","","WD"&amp;TEXT(64-3,"0000")&amp;"-"&amp;TEXT(TODAY(),"YYYYMMDD"))</f>
        <v/>
      </c>
      <c r="C64" s="37" t="str">
        <f>IF(Agent01_Withdrawals!A69="","",Agent01_Withdrawals!B69)</f>
        <v/>
      </c>
      <c r="D64" s="40" t="str">
        <f>IF(Agent01_Withdrawals!A69="","",Agent01_Withdrawals!C69)</f>
        <v/>
      </c>
      <c r="E64" s="38" t="str">
        <f>IF(Agent01_Withdrawals!A69="","",Agent01_Withdrawals!D69)</f>
        <v/>
      </c>
      <c r="F64" s="37" t="str">
        <f>IF(Agent01_Withdrawals!A69="","",Agent01_Withdrawals!F69)</f>
        <v/>
      </c>
      <c r="G64" s="39" t="str">
        <f>IF(Agent01_Withdrawals!A69="","",Agent01_Withdrawals!E69)</f>
        <v/>
      </c>
      <c r="H64" s="39" t="str">
        <f>IF(Agent01_Withdrawals!A69="","",Agent01_Withdrawals!G69)</f>
        <v/>
      </c>
      <c r="I64" s="37" t="str">
        <f>IF(Agent01_Withdrawals!A69="","",Agent01_Withdrawals!H69)</f>
        <v/>
      </c>
      <c r="J64" s="37" t="str">
        <f>IF(Agent01_Withdrawals!A69="","",Agent01_Withdrawals!J69)</f>
        <v/>
      </c>
      <c r="K64" s="37" t="str">
        <f>IF(Agent01_Withdrawals!A69="","",Agent01_Withdrawals!K69)</f>
        <v/>
      </c>
      <c r="L64" s="37" t="str">
        <f>IF(G64="","",IF(D64-G64&gt;=System_Config!$B$9,"✅ OK","⚠️ BREACH"))</f>
        <v/>
      </c>
      <c r="M64" s="37" t="str">
        <f>IFERROR(IF(Agent01_Withdrawals!A69="","",YEAR(Agent01_Withdrawals!D69)),"")</f>
        <v/>
      </c>
    </row>
    <row r="65" spans="1:13" ht="18" customHeight="1" x14ac:dyDescent="0.25">
      <c r="A65" s="37" t="str">
        <f>IF(Agent01_Withdrawals!A70="","",Agent01_Withdrawals!A70)</f>
        <v/>
      </c>
      <c r="B65" s="37" t="str">
        <f ca="1">IF(Agent01_Withdrawals!A70="","","WD"&amp;TEXT(65-3,"0000")&amp;"-"&amp;TEXT(TODAY(),"YYYYMMDD"))</f>
        <v/>
      </c>
      <c r="C65" s="37" t="str">
        <f>IF(Agent01_Withdrawals!A70="","",Agent01_Withdrawals!B70)</f>
        <v/>
      </c>
      <c r="D65" s="40" t="str">
        <f>IF(Agent01_Withdrawals!A70="","",Agent01_Withdrawals!C70)</f>
        <v/>
      </c>
      <c r="E65" s="38" t="str">
        <f>IF(Agent01_Withdrawals!A70="","",Agent01_Withdrawals!D70)</f>
        <v/>
      </c>
      <c r="F65" s="37" t="str">
        <f>IF(Agent01_Withdrawals!A70="","",Agent01_Withdrawals!F70)</f>
        <v/>
      </c>
      <c r="G65" s="39" t="str">
        <f>IF(Agent01_Withdrawals!A70="","",Agent01_Withdrawals!E70)</f>
        <v/>
      </c>
      <c r="H65" s="39" t="str">
        <f>IF(Agent01_Withdrawals!A70="","",Agent01_Withdrawals!G70)</f>
        <v/>
      </c>
      <c r="I65" s="37" t="str">
        <f>IF(Agent01_Withdrawals!A70="","",Agent01_Withdrawals!H70)</f>
        <v/>
      </c>
      <c r="J65" s="37" t="str">
        <f>IF(Agent01_Withdrawals!A70="","",Agent01_Withdrawals!J70)</f>
        <v/>
      </c>
      <c r="K65" s="37" t="str">
        <f>IF(Agent01_Withdrawals!A70="","",Agent01_Withdrawals!K70)</f>
        <v/>
      </c>
      <c r="L65" s="37" t="str">
        <f>IF(G65="","",IF(D65-G65&gt;=System_Config!$B$9,"✅ OK","⚠️ BREACH"))</f>
        <v/>
      </c>
      <c r="M65" s="37" t="str">
        <f>IFERROR(IF(Agent01_Withdrawals!A70="","",YEAR(Agent01_Withdrawals!D70)),"")</f>
        <v/>
      </c>
    </row>
    <row r="66" spans="1:13" ht="18" customHeight="1" x14ac:dyDescent="0.25">
      <c r="A66" s="37" t="str">
        <f>IF(Agent01_Withdrawals!A71="","",Agent01_Withdrawals!A71)</f>
        <v/>
      </c>
      <c r="B66" s="37" t="str">
        <f ca="1">IF(Agent01_Withdrawals!A71="","","WD"&amp;TEXT(66-3,"0000")&amp;"-"&amp;TEXT(TODAY(),"YYYYMMDD"))</f>
        <v/>
      </c>
      <c r="C66" s="37" t="str">
        <f>IF(Agent01_Withdrawals!A71="","",Agent01_Withdrawals!B71)</f>
        <v/>
      </c>
      <c r="D66" s="40" t="str">
        <f>IF(Agent01_Withdrawals!A71="","",Agent01_Withdrawals!C71)</f>
        <v/>
      </c>
      <c r="E66" s="38" t="str">
        <f>IF(Agent01_Withdrawals!A71="","",Agent01_Withdrawals!D71)</f>
        <v/>
      </c>
      <c r="F66" s="37" t="str">
        <f>IF(Agent01_Withdrawals!A71="","",Agent01_Withdrawals!F71)</f>
        <v/>
      </c>
      <c r="G66" s="39" t="str">
        <f>IF(Agent01_Withdrawals!A71="","",Agent01_Withdrawals!E71)</f>
        <v/>
      </c>
      <c r="H66" s="39" t="str">
        <f>IF(Agent01_Withdrawals!A71="","",Agent01_Withdrawals!G71)</f>
        <v/>
      </c>
      <c r="I66" s="37" t="str">
        <f>IF(Agent01_Withdrawals!A71="","",Agent01_Withdrawals!H71)</f>
        <v/>
      </c>
      <c r="J66" s="37" t="str">
        <f>IF(Agent01_Withdrawals!A71="","",Agent01_Withdrawals!J71)</f>
        <v/>
      </c>
      <c r="K66" s="37" t="str">
        <f>IF(Agent01_Withdrawals!A71="","",Agent01_Withdrawals!K71)</f>
        <v/>
      </c>
      <c r="L66" s="37" t="str">
        <f>IF(G66="","",IF(D66-G66&gt;=System_Config!$B$9,"✅ OK","⚠️ BREACH"))</f>
        <v/>
      </c>
      <c r="M66" s="37" t="str">
        <f>IFERROR(IF(Agent01_Withdrawals!A71="","",YEAR(Agent01_Withdrawals!D71)),"")</f>
        <v/>
      </c>
    </row>
    <row r="67" spans="1:13" ht="18" customHeight="1" x14ac:dyDescent="0.25">
      <c r="A67" s="37" t="str">
        <f>IF(Agent01_Withdrawals!A72="","",Agent01_Withdrawals!A72)</f>
        <v/>
      </c>
      <c r="B67" s="37" t="str">
        <f ca="1">IF(Agent01_Withdrawals!A72="","","WD"&amp;TEXT(67-3,"0000")&amp;"-"&amp;TEXT(TODAY(),"YYYYMMDD"))</f>
        <v/>
      </c>
      <c r="C67" s="37" t="str">
        <f>IF(Agent01_Withdrawals!A72="","",Agent01_Withdrawals!B72)</f>
        <v/>
      </c>
      <c r="D67" s="40" t="str">
        <f>IF(Agent01_Withdrawals!A72="","",Agent01_Withdrawals!C72)</f>
        <v/>
      </c>
      <c r="E67" s="38" t="str">
        <f>IF(Agent01_Withdrawals!A72="","",Agent01_Withdrawals!D72)</f>
        <v/>
      </c>
      <c r="F67" s="37" t="str">
        <f>IF(Agent01_Withdrawals!A72="","",Agent01_Withdrawals!F72)</f>
        <v/>
      </c>
      <c r="G67" s="39" t="str">
        <f>IF(Agent01_Withdrawals!A72="","",Agent01_Withdrawals!E72)</f>
        <v/>
      </c>
      <c r="H67" s="39" t="str">
        <f>IF(Agent01_Withdrawals!A72="","",Agent01_Withdrawals!G72)</f>
        <v/>
      </c>
      <c r="I67" s="37" t="str">
        <f>IF(Agent01_Withdrawals!A72="","",Agent01_Withdrawals!H72)</f>
        <v/>
      </c>
      <c r="J67" s="37" t="str">
        <f>IF(Agent01_Withdrawals!A72="","",Agent01_Withdrawals!J72)</f>
        <v/>
      </c>
      <c r="K67" s="37" t="str">
        <f>IF(Agent01_Withdrawals!A72="","",Agent01_Withdrawals!K72)</f>
        <v/>
      </c>
      <c r="L67" s="37" t="str">
        <f>IF(G67="","",IF(D67-G67&gt;=System_Config!$B$9,"✅ OK","⚠️ BREACH"))</f>
        <v/>
      </c>
      <c r="M67" s="37" t="str">
        <f>IFERROR(IF(Agent01_Withdrawals!A72="","",YEAR(Agent01_Withdrawals!D72)),"")</f>
        <v/>
      </c>
    </row>
    <row r="68" spans="1:13" ht="18" customHeight="1" x14ac:dyDescent="0.25">
      <c r="A68" s="37" t="str">
        <f>IF(Agent01_Withdrawals!A73="","",Agent01_Withdrawals!A73)</f>
        <v/>
      </c>
      <c r="B68" s="37" t="str">
        <f ca="1">IF(Agent01_Withdrawals!A73="","","WD"&amp;TEXT(68-3,"0000")&amp;"-"&amp;TEXT(TODAY(),"YYYYMMDD"))</f>
        <v/>
      </c>
      <c r="C68" s="37" t="str">
        <f>IF(Agent01_Withdrawals!A73="","",Agent01_Withdrawals!B73)</f>
        <v/>
      </c>
      <c r="D68" s="40" t="str">
        <f>IF(Agent01_Withdrawals!A73="","",Agent01_Withdrawals!C73)</f>
        <v/>
      </c>
      <c r="E68" s="38" t="str">
        <f>IF(Agent01_Withdrawals!A73="","",Agent01_Withdrawals!D73)</f>
        <v/>
      </c>
      <c r="F68" s="37" t="str">
        <f>IF(Agent01_Withdrawals!A73="","",Agent01_Withdrawals!F73)</f>
        <v/>
      </c>
      <c r="G68" s="39" t="str">
        <f>IF(Agent01_Withdrawals!A73="","",Agent01_Withdrawals!E73)</f>
        <v/>
      </c>
      <c r="H68" s="39" t="str">
        <f>IF(Agent01_Withdrawals!A73="","",Agent01_Withdrawals!G73)</f>
        <v/>
      </c>
      <c r="I68" s="37" t="str">
        <f>IF(Agent01_Withdrawals!A73="","",Agent01_Withdrawals!H73)</f>
        <v/>
      </c>
      <c r="J68" s="37" t="str">
        <f>IF(Agent01_Withdrawals!A73="","",Agent01_Withdrawals!J73)</f>
        <v/>
      </c>
      <c r="K68" s="37" t="str">
        <f>IF(Agent01_Withdrawals!A73="","",Agent01_Withdrawals!K73)</f>
        <v/>
      </c>
      <c r="L68" s="37" t="str">
        <f>IF(G68="","",IF(D68-G68&gt;=System_Config!$B$9,"✅ OK","⚠️ BREACH"))</f>
        <v/>
      </c>
      <c r="M68" s="37" t="str">
        <f>IFERROR(IF(Agent01_Withdrawals!A73="","",YEAR(Agent01_Withdrawals!D73)),"")</f>
        <v/>
      </c>
    </row>
    <row r="69" spans="1:13" ht="18" customHeight="1" x14ac:dyDescent="0.25">
      <c r="A69" s="37" t="str">
        <f>IF(Agent01_Withdrawals!A74="","",Agent01_Withdrawals!A74)</f>
        <v/>
      </c>
      <c r="B69" s="37" t="str">
        <f ca="1">IF(Agent01_Withdrawals!A74="","","WD"&amp;TEXT(69-3,"0000")&amp;"-"&amp;TEXT(TODAY(),"YYYYMMDD"))</f>
        <v/>
      </c>
      <c r="C69" s="37" t="str">
        <f>IF(Agent01_Withdrawals!A74="","",Agent01_Withdrawals!B74)</f>
        <v/>
      </c>
      <c r="D69" s="40" t="str">
        <f>IF(Agent01_Withdrawals!A74="","",Agent01_Withdrawals!C74)</f>
        <v/>
      </c>
      <c r="E69" s="38" t="str">
        <f>IF(Agent01_Withdrawals!A74="","",Agent01_Withdrawals!D74)</f>
        <v/>
      </c>
      <c r="F69" s="37" t="str">
        <f>IF(Agent01_Withdrawals!A74="","",Agent01_Withdrawals!F74)</f>
        <v/>
      </c>
      <c r="G69" s="39" t="str">
        <f>IF(Agent01_Withdrawals!A74="","",Agent01_Withdrawals!E74)</f>
        <v/>
      </c>
      <c r="H69" s="39" t="str">
        <f>IF(Agent01_Withdrawals!A74="","",Agent01_Withdrawals!G74)</f>
        <v/>
      </c>
      <c r="I69" s="37" t="str">
        <f>IF(Agent01_Withdrawals!A74="","",Agent01_Withdrawals!H74)</f>
        <v/>
      </c>
      <c r="J69" s="37" t="str">
        <f>IF(Agent01_Withdrawals!A74="","",Agent01_Withdrawals!J74)</f>
        <v/>
      </c>
      <c r="K69" s="37" t="str">
        <f>IF(Agent01_Withdrawals!A74="","",Agent01_Withdrawals!K74)</f>
        <v/>
      </c>
      <c r="L69" s="37" t="str">
        <f>IF(G69="","",IF(D69-G69&gt;=System_Config!$B$9,"✅ OK","⚠️ BREACH"))</f>
        <v/>
      </c>
      <c r="M69" s="37" t="str">
        <f>IFERROR(IF(Agent01_Withdrawals!A74="","",YEAR(Agent01_Withdrawals!D74)),"")</f>
        <v/>
      </c>
    </row>
    <row r="70" spans="1:13" ht="18" customHeight="1" x14ac:dyDescent="0.25">
      <c r="A70" s="37" t="str">
        <f>IF(Agent01_Withdrawals!A75="","",Agent01_Withdrawals!A75)</f>
        <v/>
      </c>
      <c r="B70" s="37" t="str">
        <f ca="1">IF(Agent01_Withdrawals!A75="","","WD"&amp;TEXT(70-3,"0000")&amp;"-"&amp;TEXT(TODAY(),"YYYYMMDD"))</f>
        <v/>
      </c>
      <c r="C70" s="37" t="str">
        <f>IF(Agent01_Withdrawals!A75="","",Agent01_Withdrawals!B75)</f>
        <v/>
      </c>
      <c r="D70" s="40" t="str">
        <f>IF(Agent01_Withdrawals!A75="","",Agent01_Withdrawals!C75)</f>
        <v/>
      </c>
      <c r="E70" s="38" t="str">
        <f>IF(Agent01_Withdrawals!A75="","",Agent01_Withdrawals!D75)</f>
        <v/>
      </c>
      <c r="F70" s="37" t="str">
        <f>IF(Agent01_Withdrawals!A75="","",Agent01_Withdrawals!F75)</f>
        <v/>
      </c>
      <c r="G70" s="39" t="str">
        <f>IF(Agent01_Withdrawals!A75="","",Agent01_Withdrawals!E75)</f>
        <v/>
      </c>
      <c r="H70" s="39" t="str">
        <f>IF(Agent01_Withdrawals!A75="","",Agent01_Withdrawals!G75)</f>
        <v/>
      </c>
      <c r="I70" s="37" t="str">
        <f>IF(Agent01_Withdrawals!A75="","",Agent01_Withdrawals!H75)</f>
        <v/>
      </c>
      <c r="J70" s="37" t="str">
        <f>IF(Agent01_Withdrawals!A75="","",Agent01_Withdrawals!J75)</f>
        <v/>
      </c>
      <c r="K70" s="37" t="str">
        <f>IF(Agent01_Withdrawals!A75="","",Agent01_Withdrawals!K75)</f>
        <v/>
      </c>
      <c r="L70" s="37" t="str">
        <f>IF(G70="","",IF(D70-G70&gt;=System_Config!$B$9,"✅ OK","⚠️ BREACH"))</f>
        <v/>
      </c>
      <c r="M70" s="37" t="str">
        <f>IFERROR(IF(Agent01_Withdrawals!A75="","",YEAR(Agent01_Withdrawals!D75)),"")</f>
        <v/>
      </c>
    </row>
    <row r="71" spans="1:13" ht="18" customHeight="1" x14ac:dyDescent="0.25">
      <c r="A71" s="37" t="str">
        <f>IF(Agent01_Withdrawals!A76="","",Agent01_Withdrawals!A76)</f>
        <v/>
      </c>
      <c r="B71" s="37" t="str">
        <f ca="1">IF(Agent01_Withdrawals!A76="","","WD"&amp;TEXT(71-3,"0000")&amp;"-"&amp;TEXT(TODAY(),"YYYYMMDD"))</f>
        <v/>
      </c>
      <c r="C71" s="37" t="str">
        <f>IF(Agent01_Withdrawals!A76="","",Agent01_Withdrawals!B76)</f>
        <v/>
      </c>
      <c r="D71" s="40" t="str">
        <f>IF(Agent01_Withdrawals!A76="","",Agent01_Withdrawals!C76)</f>
        <v/>
      </c>
      <c r="E71" s="38" t="str">
        <f>IF(Agent01_Withdrawals!A76="","",Agent01_Withdrawals!D76)</f>
        <v/>
      </c>
      <c r="F71" s="37" t="str">
        <f>IF(Agent01_Withdrawals!A76="","",Agent01_Withdrawals!F76)</f>
        <v/>
      </c>
      <c r="G71" s="39" t="str">
        <f>IF(Agent01_Withdrawals!A76="","",Agent01_Withdrawals!E76)</f>
        <v/>
      </c>
      <c r="H71" s="39" t="str">
        <f>IF(Agent01_Withdrawals!A76="","",Agent01_Withdrawals!G76)</f>
        <v/>
      </c>
      <c r="I71" s="37" t="str">
        <f>IF(Agent01_Withdrawals!A76="","",Agent01_Withdrawals!H76)</f>
        <v/>
      </c>
      <c r="J71" s="37" t="str">
        <f>IF(Agent01_Withdrawals!A76="","",Agent01_Withdrawals!J76)</f>
        <v/>
      </c>
      <c r="K71" s="37" t="str">
        <f>IF(Agent01_Withdrawals!A76="","",Agent01_Withdrawals!K76)</f>
        <v/>
      </c>
      <c r="L71" s="37" t="str">
        <f>IF(G71="","",IF(D71-G71&gt;=System_Config!$B$9,"✅ OK","⚠️ BREACH"))</f>
        <v/>
      </c>
      <c r="M71" s="37" t="str">
        <f>IFERROR(IF(Agent01_Withdrawals!A76="","",YEAR(Agent01_Withdrawals!D76)),"")</f>
        <v/>
      </c>
    </row>
    <row r="72" spans="1:13" ht="18" customHeight="1" x14ac:dyDescent="0.25">
      <c r="A72" s="37" t="str">
        <f>IF(Agent01_Withdrawals!A77="","",Agent01_Withdrawals!A77)</f>
        <v/>
      </c>
      <c r="B72" s="37" t="str">
        <f ca="1">IF(Agent01_Withdrawals!A77="","","WD"&amp;TEXT(72-3,"0000")&amp;"-"&amp;TEXT(TODAY(),"YYYYMMDD"))</f>
        <v/>
      </c>
      <c r="C72" s="37" t="str">
        <f>IF(Agent01_Withdrawals!A77="","",Agent01_Withdrawals!B77)</f>
        <v/>
      </c>
      <c r="D72" s="40" t="str">
        <f>IF(Agent01_Withdrawals!A77="","",Agent01_Withdrawals!C77)</f>
        <v/>
      </c>
      <c r="E72" s="38" t="str">
        <f>IF(Agent01_Withdrawals!A77="","",Agent01_Withdrawals!D77)</f>
        <v/>
      </c>
      <c r="F72" s="37" t="str">
        <f>IF(Agent01_Withdrawals!A77="","",Agent01_Withdrawals!F77)</f>
        <v/>
      </c>
      <c r="G72" s="39" t="str">
        <f>IF(Agent01_Withdrawals!A77="","",Agent01_Withdrawals!E77)</f>
        <v/>
      </c>
      <c r="H72" s="39" t="str">
        <f>IF(Agent01_Withdrawals!A77="","",Agent01_Withdrawals!G77)</f>
        <v/>
      </c>
      <c r="I72" s="37" t="str">
        <f>IF(Agent01_Withdrawals!A77="","",Agent01_Withdrawals!H77)</f>
        <v/>
      </c>
      <c r="J72" s="37" t="str">
        <f>IF(Agent01_Withdrawals!A77="","",Agent01_Withdrawals!J77)</f>
        <v/>
      </c>
      <c r="K72" s="37" t="str">
        <f>IF(Agent01_Withdrawals!A77="","",Agent01_Withdrawals!K77)</f>
        <v/>
      </c>
      <c r="L72" s="37" t="str">
        <f>IF(G72="","",IF(D72-G72&gt;=System_Config!$B$9,"✅ OK","⚠️ BREACH"))</f>
        <v/>
      </c>
      <c r="M72" s="37" t="str">
        <f>IFERROR(IF(Agent01_Withdrawals!A77="","",YEAR(Agent01_Withdrawals!D77)),"")</f>
        <v/>
      </c>
    </row>
    <row r="73" spans="1:13" ht="18" customHeight="1" x14ac:dyDescent="0.25">
      <c r="A73" s="37" t="str">
        <f>IF(Agent01_Withdrawals!A78="","",Agent01_Withdrawals!A78)</f>
        <v/>
      </c>
      <c r="B73" s="37" t="str">
        <f ca="1">IF(Agent01_Withdrawals!A78="","","WD"&amp;TEXT(73-3,"0000")&amp;"-"&amp;TEXT(TODAY(),"YYYYMMDD"))</f>
        <v/>
      </c>
      <c r="C73" s="37" t="str">
        <f>IF(Agent01_Withdrawals!A78="","",Agent01_Withdrawals!B78)</f>
        <v/>
      </c>
      <c r="D73" s="40" t="str">
        <f>IF(Agent01_Withdrawals!A78="","",Agent01_Withdrawals!C78)</f>
        <v/>
      </c>
      <c r="E73" s="38" t="str">
        <f>IF(Agent01_Withdrawals!A78="","",Agent01_Withdrawals!D78)</f>
        <v/>
      </c>
      <c r="F73" s="37" t="str">
        <f>IF(Agent01_Withdrawals!A78="","",Agent01_Withdrawals!F78)</f>
        <v/>
      </c>
      <c r="G73" s="39" t="str">
        <f>IF(Agent01_Withdrawals!A78="","",Agent01_Withdrawals!E78)</f>
        <v/>
      </c>
      <c r="H73" s="39" t="str">
        <f>IF(Agent01_Withdrawals!A78="","",Agent01_Withdrawals!G78)</f>
        <v/>
      </c>
      <c r="I73" s="37" t="str">
        <f>IF(Agent01_Withdrawals!A78="","",Agent01_Withdrawals!H78)</f>
        <v/>
      </c>
      <c r="J73" s="37" t="str">
        <f>IF(Agent01_Withdrawals!A78="","",Agent01_Withdrawals!J78)</f>
        <v/>
      </c>
      <c r="K73" s="37" t="str">
        <f>IF(Agent01_Withdrawals!A78="","",Agent01_Withdrawals!K78)</f>
        <v/>
      </c>
      <c r="L73" s="37" t="str">
        <f>IF(G73="","",IF(D73-G73&gt;=System_Config!$B$9,"✅ OK","⚠️ BREACH"))</f>
        <v/>
      </c>
      <c r="M73" s="37" t="str">
        <f>IFERROR(IF(Agent01_Withdrawals!A78="","",YEAR(Agent01_Withdrawals!D78)),"")</f>
        <v/>
      </c>
    </row>
    <row r="74" spans="1:13" ht="18" customHeight="1" x14ac:dyDescent="0.25">
      <c r="A74" s="37" t="str">
        <f>IF(Agent01_Withdrawals!A79="","",Agent01_Withdrawals!A79)</f>
        <v/>
      </c>
      <c r="B74" s="37" t="str">
        <f ca="1">IF(Agent01_Withdrawals!A79="","","WD"&amp;TEXT(74-3,"0000")&amp;"-"&amp;TEXT(TODAY(),"YYYYMMDD"))</f>
        <v/>
      </c>
      <c r="C74" s="37" t="str">
        <f>IF(Agent01_Withdrawals!A79="","",Agent01_Withdrawals!B79)</f>
        <v/>
      </c>
      <c r="D74" s="40" t="str">
        <f>IF(Agent01_Withdrawals!A79="","",Agent01_Withdrawals!C79)</f>
        <v/>
      </c>
      <c r="E74" s="38" t="str">
        <f>IF(Agent01_Withdrawals!A79="","",Agent01_Withdrawals!D79)</f>
        <v/>
      </c>
      <c r="F74" s="37" t="str">
        <f>IF(Agent01_Withdrawals!A79="","",Agent01_Withdrawals!F79)</f>
        <v/>
      </c>
      <c r="G74" s="39" t="str">
        <f>IF(Agent01_Withdrawals!A79="","",Agent01_Withdrawals!E79)</f>
        <v/>
      </c>
      <c r="H74" s="39" t="str">
        <f>IF(Agent01_Withdrawals!A79="","",Agent01_Withdrawals!G79)</f>
        <v/>
      </c>
      <c r="I74" s="37" t="str">
        <f>IF(Agent01_Withdrawals!A79="","",Agent01_Withdrawals!H79)</f>
        <v/>
      </c>
      <c r="J74" s="37" t="str">
        <f>IF(Agent01_Withdrawals!A79="","",Agent01_Withdrawals!J79)</f>
        <v/>
      </c>
      <c r="K74" s="37" t="str">
        <f>IF(Agent01_Withdrawals!A79="","",Agent01_Withdrawals!K79)</f>
        <v/>
      </c>
      <c r="L74" s="37" t="str">
        <f>IF(G74="","",IF(D74-G74&gt;=System_Config!$B$9,"✅ OK","⚠️ BREACH"))</f>
        <v/>
      </c>
      <c r="M74" s="37" t="str">
        <f>IFERROR(IF(Agent01_Withdrawals!A79="","",YEAR(Agent01_Withdrawals!D79)),"")</f>
        <v/>
      </c>
    </row>
    <row r="75" spans="1:13" ht="18" customHeight="1" x14ac:dyDescent="0.25">
      <c r="A75" s="37" t="str">
        <f>IF(Agent01_Withdrawals!A80="","",Agent01_Withdrawals!A80)</f>
        <v/>
      </c>
      <c r="B75" s="37" t="str">
        <f ca="1">IF(Agent01_Withdrawals!A80="","","WD"&amp;TEXT(75-3,"0000")&amp;"-"&amp;TEXT(TODAY(),"YYYYMMDD"))</f>
        <v/>
      </c>
      <c r="C75" s="37" t="str">
        <f>IF(Agent01_Withdrawals!A80="","",Agent01_Withdrawals!B80)</f>
        <v/>
      </c>
      <c r="D75" s="40" t="str">
        <f>IF(Agent01_Withdrawals!A80="","",Agent01_Withdrawals!C80)</f>
        <v/>
      </c>
      <c r="E75" s="38" t="str">
        <f>IF(Agent01_Withdrawals!A80="","",Agent01_Withdrawals!D80)</f>
        <v/>
      </c>
      <c r="F75" s="37" t="str">
        <f>IF(Agent01_Withdrawals!A80="","",Agent01_Withdrawals!F80)</f>
        <v/>
      </c>
      <c r="G75" s="39" t="str">
        <f>IF(Agent01_Withdrawals!A80="","",Agent01_Withdrawals!E80)</f>
        <v/>
      </c>
      <c r="H75" s="39" t="str">
        <f>IF(Agent01_Withdrawals!A80="","",Agent01_Withdrawals!G80)</f>
        <v/>
      </c>
      <c r="I75" s="37" t="str">
        <f>IF(Agent01_Withdrawals!A80="","",Agent01_Withdrawals!H80)</f>
        <v/>
      </c>
      <c r="J75" s="37" t="str">
        <f>IF(Agent01_Withdrawals!A80="","",Agent01_Withdrawals!J80)</f>
        <v/>
      </c>
      <c r="K75" s="37" t="str">
        <f>IF(Agent01_Withdrawals!A80="","",Agent01_Withdrawals!K80)</f>
        <v/>
      </c>
      <c r="L75" s="37" t="str">
        <f>IF(G75="","",IF(D75-G75&gt;=System_Config!$B$9,"✅ OK","⚠️ BREACH"))</f>
        <v/>
      </c>
      <c r="M75" s="37" t="str">
        <f>IFERROR(IF(Agent01_Withdrawals!A80="","",YEAR(Agent01_Withdrawals!D80)),"")</f>
        <v/>
      </c>
    </row>
    <row r="76" spans="1:13" ht="18" customHeight="1" x14ac:dyDescent="0.25">
      <c r="A76" s="37" t="str">
        <f>IF(Agent01_Withdrawals!A81="","",Agent01_Withdrawals!A81)</f>
        <v/>
      </c>
      <c r="B76" s="37" t="str">
        <f ca="1">IF(Agent01_Withdrawals!A81="","","WD"&amp;TEXT(76-3,"0000")&amp;"-"&amp;TEXT(TODAY(),"YYYYMMDD"))</f>
        <v/>
      </c>
      <c r="C76" s="37" t="str">
        <f>IF(Agent01_Withdrawals!A81="","",Agent01_Withdrawals!B81)</f>
        <v/>
      </c>
      <c r="D76" s="40" t="str">
        <f>IF(Agent01_Withdrawals!A81="","",Agent01_Withdrawals!C81)</f>
        <v/>
      </c>
      <c r="E76" s="38" t="str">
        <f>IF(Agent01_Withdrawals!A81="","",Agent01_Withdrawals!D81)</f>
        <v/>
      </c>
      <c r="F76" s="37" t="str">
        <f>IF(Agent01_Withdrawals!A81="","",Agent01_Withdrawals!F81)</f>
        <v/>
      </c>
      <c r="G76" s="39" t="str">
        <f>IF(Agent01_Withdrawals!A81="","",Agent01_Withdrawals!E81)</f>
        <v/>
      </c>
      <c r="H76" s="39" t="str">
        <f>IF(Agent01_Withdrawals!A81="","",Agent01_Withdrawals!G81)</f>
        <v/>
      </c>
      <c r="I76" s="37" t="str">
        <f>IF(Agent01_Withdrawals!A81="","",Agent01_Withdrawals!H81)</f>
        <v/>
      </c>
      <c r="J76" s="37" t="str">
        <f>IF(Agent01_Withdrawals!A81="","",Agent01_Withdrawals!J81)</f>
        <v/>
      </c>
      <c r="K76" s="37" t="str">
        <f>IF(Agent01_Withdrawals!A81="","",Agent01_Withdrawals!K81)</f>
        <v/>
      </c>
      <c r="L76" s="37" t="str">
        <f>IF(G76="","",IF(D76-G76&gt;=System_Config!$B$9,"✅ OK","⚠️ BREACH"))</f>
        <v/>
      </c>
      <c r="M76" s="37" t="str">
        <f>IFERROR(IF(Agent01_Withdrawals!A81="","",YEAR(Agent01_Withdrawals!D81)),"")</f>
        <v/>
      </c>
    </row>
    <row r="77" spans="1:13" ht="18" customHeight="1" x14ac:dyDescent="0.25">
      <c r="A77" s="37" t="str">
        <f>IF(Agent01_Withdrawals!A82="","",Agent01_Withdrawals!A82)</f>
        <v/>
      </c>
      <c r="B77" s="37" t="str">
        <f ca="1">IF(Agent01_Withdrawals!A82="","","WD"&amp;TEXT(77-3,"0000")&amp;"-"&amp;TEXT(TODAY(),"YYYYMMDD"))</f>
        <v/>
      </c>
      <c r="C77" s="37" t="str">
        <f>IF(Agent01_Withdrawals!A82="","",Agent01_Withdrawals!B82)</f>
        <v/>
      </c>
      <c r="D77" s="40" t="str">
        <f>IF(Agent01_Withdrawals!A82="","",Agent01_Withdrawals!C82)</f>
        <v/>
      </c>
      <c r="E77" s="38" t="str">
        <f>IF(Agent01_Withdrawals!A82="","",Agent01_Withdrawals!D82)</f>
        <v/>
      </c>
      <c r="F77" s="37" t="str">
        <f>IF(Agent01_Withdrawals!A82="","",Agent01_Withdrawals!F82)</f>
        <v/>
      </c>
      <c r="G77" s="39" t="str">
        <f>IF(Agent01_Withdrawals!A82="","",Agent01_Withdrawals!E82)</f>
        <v/>
      </c>
      <c r="H77" s="39" t="str">
        <f>IF(Agent01_Withdrawals!A82="","",Agent01_Withdrawals!G82)</f>
        <v/>
      </c>
      <c r="I77" s="37" t="str">
        <f>IF(Agent01_Withdrawals!A82="","",Agent01_Withdrawals!H82)</f>
        <v/>
      </c>
      <c r="J77" s="37" t="str">
        <f>IF(Agent01_Withdrawals!A82="","",Agent01_Withdrawals!J82)</f>
        <v/>
      </c>
      <c r="K77" s="37" t="str">
        <f>IF(Agent01_Withdrawals!A82="","",Agent01_Withdrawals!K82)</f>
        <v/>
      </c>
      <c r="L77" s="37" t="str">
        <f>IF(G77="","",IF(D77-G77&gt;=System_Config!$B$9,"✅ OK","⚠️ BREACH"))</f>
        <v/>
      </c>
      <c r="M77" s="37" t="str">
        <f>IFERROR(IF(Agent01_Withdrawals!A82="","",YEAR(Agent01_Withdrawals!D82)),"")</f>
        <v/>
      </c>
    </row>
    <row r="78" spans="1:13" ht="18" customHeight="1" x14ac:dyDescent="0.25">
      <c r="A78" s="37" t="str">
        <f>IF(Agent01_Withdrawals!A83="","",Agent01_Withdrawals!A83)</f>
        <v/>
      </c>
      <c r="B78" s="37" t="str">
        <f ca="1">IF(Agent01_Withdrawals!A83="","","WD"&amp;TEXT(78-3,"0000")&amp;"-"&amp;TEXT(TODAY(),"YYYYMMDD"))</f>
        <v/>
      </c>
      <c r="C78" s="37" t="str">
        <f>IF(Agent01_Withdrawals!A83="","",Agent01_Withdrawals!B83)</f>
        <v/>
      </c>
      <c r="D78" s="40" t="str">
        <f>IF(Agent01_Withdrawals!A83="","",Agent01_Withdrawals!C83)</f>
        <v/>
      </c>
      <c r="E78" s="38" t="str">
        <f>IF(Agent01_Withdrawals!A83="","",Agent01_Withdrawals!D83)</f>
        <v/>
      </c>
      <c r="F78" s="37" t="str">
        <f>IF(Agent01_Withdrawals!A83="","",Agent01_Withdrawals!F83)</f>
        <v/>
      </c>
      <c r="G78" s="39" t="str">
        <f>IF(Agent01_Withdrawals!A83="","",Agent01_Withdrawals!E83)</f>
        <v/>
      </c>
      <c r="H78" s="39" t="str">
        <f>IF(Agent01_Withdrawals!A83="","",Agent01_Withdrawals!G83)</f>
        <v/>
      </c>
      <c r="I78" s="37" t="str">
        <f>IF(Agent01_Withdrawals!A83="","",Agent01_Withdrawals!H83)</f>
        <v/>
      </c>
      <c r="J78" s="37" t="str">
        <f>IF(Agent01_Withdrawals!A83="","",Agent01_Withdrawals!J83)</f>
        <v/>
      </c>
      <c r="K78" s="37" t="str">
        <f>IF(Agent01_Withdrawals!A83="","",Agent01_Withdrawals!K83)</f>
        <v/>
      </c>
      <c r="L78" s="37" t="str">
        <f>IF(G78="","",IF(D78-G78&gt;=System_Config!$B$9,"✅ OK","⚠️ BREACH"))</f>
        <v/>
      </c>
      <c r="M78" s="37" t="str">
        <f>IFERROR(IF(Agent01_Withdrawals!A83="","",YEAR(Agent01_Withdrawals!D83)),"")</f>
        <v/>
      </c>
    </row>
    <row r="79" spans="1:13" ht="18" customHeight="1" x14ac:dyDescent="0.25">
      <c r="A79" s="37" t="str">
        <f>IF(Agent01_Withdrawals!A84="","",Agent01_Withdrawals!A84)</f>
        <v/>
      </c>
      <c r="B79" s="37" t="str">
        <f ca="1">IF(Agent01_Withdrawals!A84="","","WD"&amp;TEXT(79-3,"0000")&amp;"-"&amp;TEXT(TODAY(),"YYYYMMDD"))</f>
        <v/>
      </c>
      <c r="C79" s="37" t="str">
        <f>IF(Agent01_Withdrawals!A84="","",Agent01_Withdrawals!B84)</f>
        <v/>
      </c>
      <c r="D79" s="40" t="str">
        <f>IF(Agent01_Withdrawals!A84="","",Agent01_Withdrawals!C84)</f>
        <v/>
      </c>
      <c r="E79" s="38" t="str">
        <f>IF(Agent01_Withdrawals!A84="","",Agent01_Withdrawals!D84)</f>
        <v/>
      </c>
      <c r="F79" s="37" t="str">
        <f>IF(Agent01_Withdrawals!A84="","",Agent01_Withdrawals!F84)</f>
        <v/>
      </c>
      <c r="G79" s="39" t="str">
        <f>IF(Agent01_Withdrawals!A84="","",Agent01_Withdrawals!E84)</f>
        <v/>
      </c>
      <c r="H79" s="39" t="str">
        <f>IF(Agent01_Withdrawals!A84="","",Agent01_Withdrawals!G84)</f>
        <v/>
      </c>
      <c r="I79" s="37" t="str">
        <f>IF(Agent01_Withdrawals!A84="","",Agent01_Withdrawals!H84)</f>
        <v/>
      </c>
      <c r="J79" s="37" t="str">
        <f>IF(Agent01_Withdrawals!A84="","",Agent01_Withdrawals!J84)</f>
        <v/>
      </c>
      <c r="K79" s="37" t="str">
        <f>IF(Agent01_Withdrawals!A84="","",Agent01_Withdrawals!K84)</f>
        <v/>
      </c>
      <c r="L79" s="37" t="str">
        <f>IF(G79="","",IF(D79-G79&gt;=System_Config!$B$9,"✅ OK","⚠️ BREACH"))</f>
        <v/>
      </c>
      <c r="M79" s="37" t="str">
        <f>IFERROR(IF(Agent01_Withdrawals!A84="","",YEAR(Agent01_Withdrawals!D84)),"")</f>
        <v/>
      </c>
    </row>
    <row r="80" spans="1:13" ht="18" customHeight="1" x14ac:dyDescent="0.25">
      <c r="A80" s="37" t="str">
        <f>IF(Agent01_Withdrawals!A85="","",Agent01_Withdrawals!A85)</f>
        <v/>
      </c>
      <c r="B80" s="37" t="str">
        <f ca="1">IF(Agent01_Withdrawals!A85="","","WD"&amp;TEXT(80-3,"0000")&amp;"-"&amp;TEXT(TODAY(),"YYYYMMDD"))</f>
        <v/>
      </c>
      <c r="C80" s="37" t="str">
        <f>IF(Agent01_Withdrawals!A85="","",Agent01_Withdrawals!B85)</f>
        <v/>
      </c>
      <c r="D80" s="40" t="str">
        <f>IF(Agent01_Withdrawals!A85="","",Agent01_Withdrawals!C85)</f>
        <v/>
      </c>
      <c r="E80" s="38" t="str">
        <f>IF(Agent01_Withdrawals!A85="","",Agent01_Withdrawals!D85)</f>
        <v/>
      </c>
      <c r="F80" s="37" t="str">
        <f>IF(Agent01_Withdrawals!A85="","",Agent01_Withdrawals!F85)</f>
        <v/>
      </c>
      <c r="G80" s="39" t="str">
        <f>IF(Agent01_Withdrawals!A85="","",Agent01_Withdrawals!E85)</f>
        <v/>
      </c>
      <c r="H80" s="39" t="str">
        <f>IF(Agent01_Withdrawals!A85="","",Agent01_Withdrawals!G85)</f>
        <v/>
      </c>
      <c r="I80" s="37" t="str">
        <f>IF(Agent01_Withdrawals!A85="","",Agent01_Withdrawals!H85)</f>
        <v/>
      </c>
      <c r="J80" s="37" t="str">
        <f>IF(Agent01_Withdrawals!A85="","",Agent01_Withdrawals!J85)</f>
        <v/>
      </c>
      <c r="K80" s="37" t="str">
        <f>IF(Agent01_Withdrawals!A85="","",Agent01_Withdrawals!K85)</f>
        <v/>
      </c>
      <c r="L80" s="37" t="str">
        <f>IF(G80="","",IF(D80-G80&gt;=System_Config!$B$9,"✅ OK","⚠️ BREACH"))</f>
        <v/>
      </c>
      <c r="M80" s="37" t="str">
        <f>IFERROR(IF(Agent01_Withdrawals!A85="","",YEAR(Agent01_Withdrawals!D85)),"")</f>
        <v/>
      </c>
    </row>
    <row r="81" spans="1:13" ht="18" customHeight="1" x14ac:dyDescent="0.25">
      <c r="A81" s="37" t="str">
        <f>IF(Agent01_Withdrawals!A86="","",Agent01_Withdrawals!A86)</f>
        <v/>
      </c>
      <c r="B81" s="37" t="str">
        <f ca="1">IF(Agent01_Withdrawals!A86="","","WD"&amp;TEXT(81-3,"0000")&amp;"-"&amp;TEXT(TODAY(),"YYYYMMDD"))</f>
        <v/>
      </c>
      <c r="C81" s="37" t="str">
        <f>IF(Agent01_Withdrawals!A86="","",Agent01_Withdrawals!B86)</f>
        <v/>
      </c>
      <c r="D81" s="40" t="str">
        <f>IF(Agent01_Withdrawals!A86="","",Agent01_Withdrawals!C86)</f>
        <v/>
      </c>
      <c r="E81" s="38" t="str">
        <f>IF(Agent01_Withdrawals!A86="","",Agent01_Withdrawals!D86)</f>
        <v/>
      </c>
      <c r="F81" s="37" t="str">
        <f>IF(Agent01_Withdrawals!A86="","",Agent01_Withdrawals!F86)</f>
        <v/>
      </c>
      <c r="G81" s="39" t="str">
        <f>IF(Agent01_Withdrawals!A86="","",Agent01_Withdrawals!E86)</f>
        <v/>
      </c>
      <c r="H81" s="39" t="str">
        <f>IF(Agent01_Withdrawals!A86="","",Agent01_Withdrawals!G86)</f>
        <v/>
      </c>
      <c r="I81" s="37" t="str">
        <f>IF(Agent01_Withdrawals!A86="","",Agent01_Withdrawals!H86)</f>
        <v/>
      </c>
      <c r="J81" s="37" t="str">
        <f>IF(Agent01_Withdrawals!A86="","",Agent01_Withdrawals!J86)</f>
        <v/>
      </c>
      <c r="K81" s="37" t="str">
        <f>IF(Agent01_Withdrawals!A86="","",Agent01_Withdrawals!K86)</f>
        <v/>
      </c>
      <c r="L81" s="37" t="str">
        <f>IF(G81="","",IF(D81-G81&gt;=System_Config!$B$9,"✅ OK","⚠️ BREACH"))</f>
        <v/>
      </c>
      <c r="M81" s="37" t="str">
        <f>IFERROR(IF(Agent01_Withdrawals!A86="","",YEAR(Agent01_Withdrawals!D86)),"")</f>
        <v/>
      </c>
    </row>
    <row r="82" spans="1:13" ht="18" customHeight="1" x14ac:dyDescent="0.25">
      <c r="A82" s="37" t="str">
        <f>IF(Agent01_Withdrawals!A87="","",Agent01_Withdrawals!A87)</f>
        <v/>
      </c>
      <c r="B82" s="37" t="str">
        <f ca="1">IF(Agent01_Withdrawals!A87="","","WD"&amp;TEXT(82-3,"0000")&amp;"-"&amp;TEXT(TODAY(),"YYYYMMDD"))</f>
        <v/>
      </c>
      <c r="C82" s="37" t="str">
        <f>IF(Agent01_Withdrawals!A87="","",Agent01_Withdrawals!B87)</f>
        <v/>
      </c>
      <c r="D82" s="40" t="str">
        <f>IF(Agent01_Withdrawals!A87="","",Agent01_Withdrawals!C87)</f>
        <v/>
      </c>
      <c r="E82" s="38" t="str">
        <f>IF(Agent01_Withdrawals!A87="","",Agent01_Withdrawals!D87)</f>
        <v/>
      </c>
      <c r="F82" s="37" t="str">
        <f>IF(Agent01_Withdrawals!A87="","",Agent01_Withdrawals!F87)</f>
        <v/>
      </c>
      <c r="G82" s="39" t="str">
        <f>IF(Agent01_Withdrawals!A87="","",Agent01_Withdrawals!E87)</f>
        <v/>
      </c>
      <c r="H82" s="39" t="str">
        <f>IF(Agent01_Withdrawals!A87="","",Agent01_Withdrawals!G87)</f>
        <v/>
      </c>
      <c r="I82" s="37" t="str">
        <f>IF(Agent01_Withdrawals!A87="","",Agent01_Withdrawals!H87)</f>
        <v/>
      </c>
      <c r="J82" s="37" t="str">
        <f>IF(Agent01_Withdrawals!A87="","",Agent01_Withdrawals!J87)</f>
        <v/>
      </c>
      <c r="K82" s="37" t="str">
        <f>IF(Agent01_Withdrawals!A87="","",Agent01_Withdrawals!K87)</f>
        <v/>
      </c>
      <c r="L82" s="37" t="str">
        <f>IF(G82="","",IF(D82-G82&gt;=System_Config!$B$9,"✅ OK","⚠️ BREACH"))</f>
        <v/>
      </c>
      <c r="M82" s="37" t="str">
        <f>IFERROR(IF(Agent01_Withdrawals!A87="","",YEAR(Agent01_Withdrawals!D87)),"")</f>
        <v/>
      </c>
    </row>
    <row r="83" spans="1:13" ht="18" customHeight="1" x14ac:dyDescent="0.25">
      <c r="A83" s="37" t="str">
        <f>IF(Agent01_Withdrawals!A88="","",Agent01_Withdrawals!A88)</f>
        <v/>
      </c>
      <c r="B83" s="37" t="str">
        <f ca="1">IF(Agent01_Withdrawals!A88="","","WD"&amp;TEXT(83-3,"0000")&amp;"-"&amp;TEXT(TODAY(),"YYYYMMDD"))</f>
        <v/>
      </c>
      <c r="C83" s="37" t="str">
        <f>IF(Agent01_Withdrawals!A88="","",Agent01_Withdrawals!B88)</f>
        <v/>
      </c>
      <c r="D83" s="40" t="str">
        <f>IF(Agent01_Withdrawals!A88="","",Agent01_Withdrawals!C88)</f>
        <v/>
      </c>
      <c r="E83" s="38" t="str">
        <f>IF(Agent01_Withdrawals!A88="","",Agent01_Withdrawals!D88)</f>
        <v/>
      </c>
      <c r="F83" s="37" t="str">
        <f>IF(Agent01_Withdrawals!A88="","",Agent01_Withdrawals!F88)</f>
        <v/>
      </c>
      <c r="G83" s="39" t="str">
        <f>IF(Agent01_Withdrawals!A88="","",Agent01_Withdrawals!E88)</f>
        <v/>
      </c>
      <c r="H83" s="39" t="str">
        <f>IF(Agent01_Withdrawals!A88="","",Agent01_Withdrawals!G88)</f>
        <v/>
      </c>
      <c r="I83" s="37" t="str">
        <f>IF(Agent01_Withdrawals!A88="","",Agent01_Withdrawals!H88)</f>
        <v/>
      </c>
      <c r="J83" s="37" t="str">
        <f>IF(Agent01_Withdrawals!A88="","",Agent01_Withdrawals!J88)</f>
        <v/>
      </c>
      <c r="K83" s="37" t="str">
        <f>IF(Agent01_Withdrawals!A88="","",Agent01_Withdrawals!K88)</f>
        <v/>
      </c>
      <c r="L83" s="37" t="str">
        <f>IF(G83="","",IF(D83-G83&gt;=System_Config!$B$9,"✅ OK","⚠️ BREACH"))</f>
        <v/>
      </c>
      <c r="M83" s="37" t="str">
        <f>IFERROR(IF(Agent01_Withdrawals!A88="","",YEAR(Agent01_Withdrawals!D88)),"")</f>
        <v/>
      </c>
    </row>
    <row r="84" spans="1:13" ht="18" customHeight="1" x14ac:dyDescent="0.25">
      <c r="A84" s="37" t="str">
        <f>IF(Agent01_Withdrawals!A89="","",Agent01_Withdrawals!A89)</f>
        <v/>
      </c>
      <c r="B84" s="37" t="str">
        <f ca="1">IF(Agent01_Withdrawals!A89="","","WD"&amp;TEXT(84-3,"0000")&amp;"-"&amp;TEXT(TODAY(),"YYYYMMDD"))</f>
        <v/>
      </c>
      <c r="C84" s="37" t="str">
        <f>IF(Agent01_Withdrawals!A89="","",Agent01_Withdrawals!B89)</f>
        <v/>
      </c>
      <c r="D84" s="40" t="str">
        <f>IF(Agent01_Withdrawals!A89="","",Agent01_Withdrawals!C89)</f>
        <v/>
      </c>
      <c r="E84" s="38" t="str">
        <f>IF(Agent01_Withdrawals!A89="","",Agent01_Withdrawals!D89)</f>
        <v/>
      </c>
      <c r="F84" s="37" t="str">
        <f>IF(Agent01_Withdrawals!A89="","",Agent01_Withdrawals!F89)</f>
        <v/>
      </c>
      <c r="G84" s="39" t="str">
        <f>IF(Agent01_Withdrawals!A89="","",Agent01_Withdrawals!E89)</f>
        <v/>
      </c>
      <c r="H84" s="39" t="str">
        <f>IF(Agent01_Withdrawals!A89="","",Agent01_Withdrawals!G89)</f>
        <v/>
      </c>
      <c r="I84" s="37" t="str">
        <f>IF(Agent01_Withdrawals!A89="","",Agent01_Withdrawals!H89)</f>
        <v/>
      </c>
      <c r="J84" s="37" t="str">
        <f>IF(Agent01_Withdrawals!A89="","",Agent01_Withdrawals!J89)</f>
        <v/>
      </c>
      <c r="K84" s="37" t="str">
        <f>IF(Agent01_Withdrawals!A89="","",Agent01_Withdrawals!K89)</f>
        <v/>
      </c>
      <c r="L84" s="37" t="str">
        <f>IF(G84="","",IF(D84-G84&gt;=System_Config!$B$9,"✅ OK","⚠️ BREACH"))</f>
        <v/>
      </c>
      <c r="M84" s="37" t="str">
        <f>IFERROR(IF(Agent01_Withdrawals!A89="","",YEAR(Agent01_Withdrawals!D89)),"")</f>
        <v/>
      </c>
    </row>
    <row r="85" spans="1:13" ht="18" customHeight="1" x14ac:dyDescent="0.25">
      <c r="A85" s="37" t="str">
        <f>IF(Agent01_Withdrawals!A90="","",Agent01_Withdrawals!A90)</f>
        <v/>
      </c>
      <c r="B85" s="37" t="str">
        <f ca="1">IF(Agent01_Withdrawals!A90="","","WD"&amp;TEXT(85-3,"0000")&amp;"-"&amp;TEXT(TODAY(),"YYYYMMDD"))</f>
        <v/>
      </c>
      <c r="C85" s="37" t="str">
        <f>IF(Agent01_Withdrawals!A90="","",Agent01_Withdrawals!B90)</f>
        <v/>
      </c>
      <c r="D85" s="40" t="str">
        <f>IF(Agent01_Withdrawals!A90="","",Agent01_Withdrawals!C90)</f>
        <v/>
      </c>
      <c r="E85" s="38" t="str">
        <f>IF(Agent01_Withdrawals!A90="","",Agent01_Withdrawals!D90)</f>
        <v/>
      </c>
      <c r="F85" s="37" t="str">
        <f>IF(Agent01_Withdrawals!A90="","",Agent01_Withdrawals!F90)</f>
        <v/>
      </c>
      <c r="G85" s="39" t="str">
        <f>IF(Agent01_Withdrawals!A90="","",Agent01_Withdrawals!E90)</f>
        <v/>
      </c>
      <c r="H85" s="39" t="str">
        <f>IF(Agent01_Withdrawals!A90="","",Agent01_Withdrawals!G90)</f>
        <v/>
      </c>
      <c r="I85" s="37" t="str">
        <f>IF(Agent01_Withdrawals!A90="","",Agent01_Withdrawals!H90)</f>
        <v/>
      </c>
      <c r="J85" s="37" t="str">
        <f>IF(Agent01_Withdrawals!A90="","",Agent01_Withdrawals!J90)</f>
        <v/>
      </c>
      <c r="K85" s="37" t="str">
        <f>IF(Agent01_Withdrawals!A90="","",Agent01_Withdrawals!K90)</f>
        <v/>
      </c>
      <c r="L85" s="37" t="str">
        <f>IF(G85="","",IF(D85-G85&gt;=System_Config!$B$9,"✅ OK","⚠️ BREACH"))</f>
        <v/>
      </c>
      <c r="M85" s="37" t="str">
        <f>IFERROR(IF(Agent01_Withdrawals!A90="","",YEAR(Agent01_Withdrawals!D90)),"")</f>
        <v/>
      </c>
    </row>
    <row r="86" spans="1:13" ht="18" customHeight="1" x14ac:dyDescent="0.25">
      <c r="A86" s="37" t="str">
        <f>IF(Agent01_Withdrawals!A91="","",Agent01_Withdrawals!A91)</f>
        <v/>
      </c>
      <c r="B86" s="37" t="str">
        <f ca="1">IF(Agent01_Withdrawals!A91="","","WD"&amp;TEXT(86-3,"0000")&amp;"-"&amp;TEXT(TODAY(),"YYYYMMDD"))</f>
        <v/>
      </c>
      <c r="C86" s="37" t="str">
        <f>IF(Agent01_Withdrawals!A91="","",Agent01_Withdrawals!B91)</f>
        <v/>
      </c>
      <c r="D86" s="40" t="str">
        <f>IF(Agent01_Withdrawals!A91="","",Agent01_Withdrawals!C91)</f>
        <v/>
      </c>
      <c r="E86" s="38" t="str">
        <f>IF(Agent01_Withdrawals!A91="","",Agent01_Withdrawals!D91)</f>
        <v/>
      </c>
      <c r="F86" s="37" t="str">
        <f>IF(Agent01_Withdrawals!A91="","",Agent01_Withdrawals!F91)</f>
        <v/>
      </c>
      <c r="G86" s="39" t="str">
        <f>IF(Agent01_Withdrawals!A91="","",Agent01_Withdrawals!E91)</f>
        <v/>
      </c>
      <c r="H86" s="39" t="str">
        <f>IF(Agent01_Withdrawals!A91="","",Agent01_Withdrawals!G91)</f>
        <v/>
      </c>
      <c r="I86" s="37" t="str">
        <f>IF(Agent01_Withdrawals!A91="","",Agent01_Withdrawals!H91)</f>
        <v/>
      </c>
      <c r="J86" s="37" t="str">
        <f>IF(Agent01_Withdrawals!A91="","",Agent01_Withdrawals!J91)</f>
        <v/>
      </c>
      <c r="K86" s="37" t="str">
        <f>IF(Agent01_Withdrawals!A91="","",Agent01_Withdrawals!K91)</f>
        <v/>
      </c>
      <c r="L86" s="37" t="str">
        <f>IF(G86="","",IF(D86-G86&gt;=System_Config!$B$9,"✅ OK","⚠️ BREACH"))</f>
        <v/>
      </c>
      <c r="M86" s="37" t="str">
        <f>IFERROR(IF(Agent01_Withdrawals!A91="","",YEAR(Agent01_Withdrawals!D91)),"")</f>
        <v/>
      </c>
    </row>
    <row r="87" spans="1:13" ht="18" customHeight="1" x14ac:dyDescent="0.25">
      <c r="A87" s="37" t="str">
        <f>IF(Agent01_Withdrawals!A92="","",Agent01_Withdrawals!A92)</f>
        <v/>
      </c>
      <c r="B87" s="37" t="str">
        <f ca="1">IF(Agent01_Withdrawals!A92="","","WD"&amp;TEXT(87-3,"0000")&amp;"-"&amp;TEXT(TODAY(),"YYYYMMDD"))</f>
        <v/>
      </c>
      <c r="C87" s="37" t="str">
        <f>IF(Agent01_Withdrawals!A92="","",Agent01_Withdrawals!B92)</f>
        <v/>
      </c>
      <c r="D87" s="40" t="str">
        <f>IF(Agent01_Withdrawals!A92="","",Agent01_Withdrawals!C92)</f>
        <v/>
      </c>
      <c r="E87" s="38" t="str">
        <f>IF(Agent01_Withdrawals!A92="","",Agent01_Withdrawals!D92)</f>
        <v/>
      </c>
      <c r="F87" s="37" t="str">
        <f>IF(Agent01_Withdrawals!A92="","",Agent01_Withdrawals!F92)</f>
        <v/>
      </c>
      <c r="G87" s="39" t="str">
        <f>IF(Agent01_Withdrawals!A92="","",Agent01_Withdrawals!E92)</f>
        <v/>
      </c>
      <c r="H87" s="39" t="str">
        <f>IF(Agent01_Withdrawals!A92="","",Agent01_Withdrawals!G92)</f>
        <v/>
      </c>
      <c r="I87" s="37" t="str">
        <f>IF(Agent01_Withdrawals!A92="","",Agent01_Withdrawals!H92)</f>
        <v/>
      </c>
      <c r="J87" s="37" t="str">
        <f>IF(Agent01_Withdrawals!A92="","",Agent01_Withdrawals!J92)</f>
        <v/>
      </c>
      <c r="K87" s="37" t="str">
        <f>IF(Agent01_Withdrawals!A92="","",Agent01_Withdrawals!K92)</f>
        <v/>
      </c>
      <c r="L87" s="37" t="str">
        <f>IF(G87="","",IF(D87-G87&gt;=System_Config!$B$9,"✅ OK","⚠️ BREACH"))</f>
        <v/>
      </c>
      <c r="M87" s="37" t="str">
        <f>IFERROR(IF(Agent01_Withdrawals!A92="","",YEAR(Agent01_Withdrawals!D92)),"")</f>
        <v/>
      </c>
    </row>
    <row r="88" spans="1:13" ht="18" customHeight="1" x14ac:dyDescent="0.25">
      <c r="A88" s="37" t="str">
        <f>IF(Agent01_Withdrawals!A93="","",Agent01_Withdrawals!A93)</f>
        <v/>
      </c>
      <c r="B88" s="37" t="str">
        <f ca="1">IF(Agent01_Withdrawals!A93="","","WD"&amp;TEXT(88-3,"0000")&amp;"-"&amp;TEXT(TODAY(),"YYYYMMDD"))</f>
        <v/>
      </c>
      <c r="C88" s="37" t="str">
        <f>IF(Agent01_Withdrawals!A93="","",Agent01_Withdrawals!B93)</f>
        <v/>
      </c>
      <c r="D88" s="40" t="str">
        <f>IF(Agent01_Withdrawals!A93="","",Agent01_Withdrawals!C93)</f>
        <v/>
      </c>
      <c r="E88" s="38" t="str">
        <f>IF(Agent01_Withdrawals!A93="","",Agent01_Withdrawals!D93)</f>
        <v/>
      </c>
      <c r="F88" s="37" t="str">
        <f>IF(Agent01_Withdrawals!A93="","",Agent01_Withdrawals!F93)</f>
        <v/>
      </c>
      <c r="G88" s="39" t="str">
        <f>IF(Agent01_Withdrawals!A93="","",Agent01_Withdrawals!E93)</f>
        <v/>
      </c>
      <c r="H88" s="39" t="str">
        <f>IF(Agent01_Withdrawals!A93="","",Agent01_Withdrawals!G93)</f>
        <v/>
      </c>
      <c r="I88" s="37" t="str">
        <f>IF(Agent01_Withdrawals!A93="","",Agent01_Withdrawals!H93)</f>
        <v/>
      </c>
      <c r="J88" s="37" t="str">
        <f>IF(Agent01_Withdrawals!A93="","",Agent01_Withdrawals!J93)</f>
        <v/>
      </c>
      <c r="K88" s="37" t="str">
        <f>IF(Agent01_Withdrawals!A93="","",Agent01_Withdrawals!K93)</f>
        <v/>
      </c>
      <c r="L88" s="37" t="str">
        <f>IF(G88="","",IF(D88-G88&gt;=System_Config!$B$9,"✅ OK","⚠️ BREACH"))</f>
        <v/>
      </c>
      <c r="M88" s="37" t="str">
        <f>IFERROR(IF(Agent01_Withdrawals!A93="","",YEAR(Agent01_Withdrawals!D93)),"")</f>
        <v/>
      </c>
    </row>
    <row r="89" spans="1:13" ht="18" customHeight="1" x14ac:dyDescent="0.25">
      <c r="A89" s="37" t="str">
        <f>IF(Agent01_Withdrawals!A94="","",Agent01_Withdrawals!A94)</f>
        <v/>
      </c>
      <c r="B89" s="37" t="str">
        <f ca="1">IF(Agent01_Withdrawals!A94="","","WD"&amp;TEXT(89-3,"0000")&amp;"-"&amp;TEXT(TODAY(),"YYYYMMDD"))</f>
        <v/>
      </c>
      <c r="C89" s="37" t="str">
        <f>IF(Agent01_Withdrawals!A94="","",Agent01_Withdrawals!B94)</f>
        <v/>
      </c>
      <c r="D89" s="40" t="str">
        <f>IF(Agent01_Withdrawals!A94="","",Agent01_Withdrawals!C94)</f>
        <v/>
      </c>
      <c r="E89" s="38" t="str">
        <f>IF(Agent01_Withdrawals!A94="","",Agent01_Withdrawals!D94)</f>
        <v/>
      </c>
      <c r="F89" s="37" t="str">
        <f>IF(Agent01_Withdrawals!A94="","",Agent01_Withdrawals!F94)</f>
        <v/>
      </c>
      <c r="G89" s="39" t="str">
        <f>IF(Agent01_Withdrawals!A94="","",Agent01_Withdrawals!E94)</f>
        <v/>
      </c>
      <c r="H89" s="39" t="str">
        <f>IF(Agent01_Withdrawals!A94="","",Agent01_Withdrawals!G94)</f>
        <v/>
      </c>
      <c r="I89" s="37" t="str">
        <f>IF(Agent01_Withdrawals!A94="","",Agent01_Withdrawals!H94)</f>
        <v/>
      </c>
      <c r="J89" s="37" t="str">
        <f>IF(Agent01_Withdrawals!A94="","",Agent01_Withdrawals!J94)</f>
        <v/>
      </c>
      <c r="K89" s="37" t="str">
        <f>IF(Agent01_Withdrawals!A94="","",Agent01_Withdrawals!K94)</f>
        <v/>
      </c>
      <c r="L89" s="37" t="str">
        <f>IF(G89="","",IF(D89-G89&gt;=System_Config!$B$9,"✅ OK","⚠️ BREACH"))</f>
        <v/>
      </c>
      <c r="M89" s="37" t="str">
        <f>IFERROR(IF(Agent01_Withdrawals!A94="","",YEAR(Agent01_Withdrawals!D94)),"")</f>
        <v/>
      </c>
    </row>
    <row r="90" spans="1:13" ht="18" customHeight="1" x14ac:dyDescent="0.25">
      <c r="A90" s="37" t="str">
        <f>IF(Agent01_Withdrawals!A95="","",Agent01_Withdrawals!A95)</f>
        <v/>
      </c>
      <c r="B90" s="37" t="str">
        <f ca="1">IF(Agent01_Withdrawals!A95="","","WD"&amp;TEXT(90-3,"0000")&amp;"-"&amp;TEXT(TODAY(),"YYYYMMDD"))</f>
        <v/>
      </c>
      <c r="C90" s="37" t="str">
        <f>IF(Agent01_Withdrawals!A95="","",Agent01_Withdrawals!B95)</f>
        <v/>
      </c>
      <c r="D90" s="40" t="str">
        <f>IF(Agent01_Withdrawals!A95="","",Agent01_Withdrawals!C95)</f>
        <v/>
      </c>
      <c r="E90" s="38" t="str">
        <f>IF(Agent01_Withdrawals!A95="","",Agent01_Withdrawals!D95)</f>
        <v/>
      </c>
      <c r="F90" s="37" t="str">
        <f>IF(Agent01_Withdrawals!A95="","",Agent01_Withdrawals!F95)</f>
        <v/>
      </c>
      <c r="G90" s="39" t="str">
        <f>IF(Agent01_Withdrawals!A95="","",Agent01_Withdrawals!E95)</f>
        <v/>
      </c>
      <c r="H90" s="39" t="str">
        <f>IF(Agent01_Withdrawals!A95="","",Agent01_Withdrawals!G95)</f>
        <v/>
      </c>
      <c r="I90" s="37" t="str">
        <f>IF(Agent01_Withdrawals!A95="","",Agent01_Withdrawals!H95)</f>
        <v/>
      </c>
      <c r="J90" s="37" t="str">
        <f>IF(Agent01_Withdrawals!A95="","",Agent01_Withdrawals!J95)</f>
        <v/>
      </c>
      <c r="K90" s="37" t="str">
        <f>IF(Agent01_Withdrawals!A95="","",Agent01_Withdrawals!K95)</f>
        <v/>
      </c>
      <c r="L90" s="37" t="str">
        <f>IF(G90="","",IF(D90-G90&gt;=System_Config!$B$9,"✅ OK","⚠️ BREACH"))</f>
        <v/>
      </c>
      <c r="M90" s="37" t="str">
        <f>IFERROR(IF(Agent01_Withdrawals!A95="","",YEAR(Agent01_Withdrawals!D95)),"")</f>
        <v/>
      </c>
    </row>
    <row r="91" spans="1:13" ht="18" customHeight="1" x14ac:dyDescent="0.25">
      <c r="A91" s="37" t="str">
        <f>IF(Agent01_Withdrawals!A96="","",Agent01_Withdrawals!A96)</f>
        <v/>
      </c>
      <c r="B91" s="37" t="str">
        <f ca="1">IF(Agent01_Withdrawals!A96="","","WD"&amp;TEXT(91-3,"0000")&amp;"-"&amp;TEXT(TODAY(),"YYYYMMDD"))</f>
        <v/>
      </c>
      <c r="C91" s="37" t="str">
        <f>IF(Agent01_Withdrawals!A96="","",Agent01_Withdrawals!B96)</f>
        <v/>
      </c>
      <c r="D91" s="40" t="str">
        <f>IF(Agent01_Withdrawals!A96="","",Agent01_Withdrawals!C96)</f>
        <v/>
      </c>
      <c r="E91" s="38" t="str">
        <f>IF(Agent01_Withdrawals!A96="","",Agent01_Withdrawals!D96)</f>
        <v/>
      </c>
      <c r="F91" s="37" t="str">
        <f>IF(Agent01_Withdrawals!A96="","",Agent01_Withdrawals!F96)</f>
        <v/>
      </c>
      <c r="G91" s="39" t="str">
        <f>IF(Agent01_Withdrawals!A96="","",Agent01_Withdrawals!E96)</f>
        <v/>
      </c>
      <c r="H91" s="39" t="str">
        <f>IF(Agent01_Withdrawals!A96="","",Agent01_Withdrawals!G96)</f>
        <v/>
      </c>
      <c r="I91" s="37" t="str">
        <f>IF(Agent01_Withdrawals!A96="","",Agent01_Withdrawals!H96)</f>
        <v/>
      </c>
      <c r="J91" s="37" t="str">
        <f>IF(Agent01_Withdrawals!A96="","",Agent01_Withdrawals!J96)</f>
        <v/>
      </c>
      <c r="K91" s="37" t="str">
        <f>IF(Agent01_Withdrawals!A96="","",Agent01_Withdrawals!K96)</f>
        <v/>
      </c>
      <c r="L91" s="37" t="str">
        <f>IF(G91="","",IF(D91-G91&gt;=System_Config!$B$9,"✅ OK","⚠️ BREACH"))</f>
        <v/>
      </c>
      <c r="M91" s="37" t="str">
        <f>IFERROR(IF(Agent01_Withdrawals!A96="","",YEAR(Agent01_Withdrawals!D96)),"")</f>
        <v/>
      </c>
    </row>
    <row r="92" spans="1:13" ht="18" customHeight="1" x14ac:dyDescent="0.25">
      <c r="A92" s="37" t="str">
        <f>IF(Agent01_Withdrawals!A97="","",Agent01_Withdrawals!A97)</f>
        <v/>
      </c>
      <c r="B92" s="37" t="str">
        <f ca="1">IF(Agent01_Withdrawals!A97="","","WD"&amp;TEXT(92-3,"0000")&amp;"-"&amp;TEXT(TODAY(),"YYYYMMDD"))</f>
        <v/>
      </c>
      <c r="C92" s="37" t="str">
        <f>IF(Agent01_Withdrawals!A97="","",Agent01_Withdrawals!B97)</f>
        <v/>
      </c>
      <c r="D92" s="40" t="str">
        <f>IF(Agent01_Withdrawals!A97="","",Agent01_Withdrawals!C97)</f>
        <v/>
      </c>
      <c r="E92" s="38" t="str">
        <f>IF(Agent01_Withdrawals!A97="","",Agent01_Withdrawals!D97)</f>
        <v/>
      </c>
      <c r="F92" s="37" t="str">
        <f>IF(Agent01_Withdrawals!A97="","",Agent01_Withdrawals!F97)</f>
        <v/>
      </c>
      <c r="G92" s="39" t="str">
        <f>IF(Agent01_Withdrawals!A97="","",Agent01_Withdrawals!E97)</f>
        <v/>
      </c>
      <c r="H92" s="39" t="str">
        <f>IF(Agent01_Withdrawals!A97="","",Agent01_Withdrawals!G97)</f>
        <v/>
      </c>
      <c r="I92" s="37" t="str">
        <f>IF(Agent01_Withdrawals!A97="","",Agent01_Withdrawals!H97)</f>
        <v/>
      </c>
      <c r="J92" s="37" t="str">
        <f>IF(Agent01_Withdrawals!A97="","",Agent01_Withdrawals!J97)</f>
        <v/>
      </c>
      <c r="K92" s="37" t="str">
        <f>IF(Agent01_Withdrawals!A97="","",Agent01_Withdrawals!K97)</f>
        <v/>
      </c>
      <c r="L92" s="37" t="str">
        <f>IF(G92="","",IF(D92-G92&gt;=System_Config!$B$9,"✅ OK","⚠️ BREACH"))</f>
        <v/>
      </c>
      <c r="M92" s="37" t="str">
        <f>IFERROR(IF(Agent01_Withdrawals!A97="","",YEAR(Agent01_Withdrawals!D97)),"")</f>
        <v/>
      </c>
    </row>
    <row r="93" spans="1:13" ht="18" customHeight="1" x14ac:dyDescent="0.25">
      <c r="A93" s="37" t="str">
        <f>IF(Agent01_Withdrawals!A98="","",Agent01_Withdrawals!A98)</f>
        <v/>
      </c>
      <c r="B93" s="37" t="str">
        <f ca="1">IF(Agent01_Withdrawals!A98="","","WD"&amp;TEXT(93-3,"0000")&amp;"-"&amp;TEXT(TODAY(),"YYYYMMDD"))</f>
        <v/>
      </c>
      <c r="C93" s="37" t="str">
        <f>IF(Agent01_Withdrawals!A98="","",Agent01_Withdrawals!B98)</f>
        <v/>
      </c>
      <c r="D93" s="40" t="str">
        <f>IF(Agent01_Withdrawals!A98="","",Agent01_Withdrawals!C98)</f>
        <v/>
      </c>
      <c r="E93" s="38" t="str">
        <f>IF(Agent01_Withdrawals!A98="","",Agent01_Withdrawals!D98)</f>
        <v/>
      </c>
      <c r="F93" s="37" t="str">
        <f>IF(Agent01_Withdrawals!A98="","",Agent01_Withdrawals!F98)</f>
        <v/>
      </c>
      <c r="G93" s="39" t="str">
        <f>IF(Agent01_Withdrawals!A98="","",Agent01_Withdrawals!E98)</f>
        <v/>
      </c>
      <c r="H93" s="39" t="str">
        <f>IF(Agent01_Withdrawals!A98="","",Agent01_Withdrawals!G98)</f>
        <v/>
      </c>
      <c r="I93" s="37" t="str">
        <f>IF(Agent01_Withdrawals!A98="","",Agent01_Withdrawals!H98)</f>
        <v/>
      </c>
      <c r="J93" s="37" t="str">
        <f>IF(Agent01_Withdrawals!A98="","",Agent01_Withdrawals!J98)</f>
        <v/>
      </c>
      <c r="K93" s="37" t="str">
        <f>IF(Agent01_Withdrawals!A98="","",Agent01_Withdrawals!K98)</f>
        <v/>
      </c>
      <c r="L93" s="37" t="str">
        <f>IF(G93="","",IF(D93-G93&gt;=System_Config!$B$9,"✅ OK","⚠️ BREACH"))</f>
        <v/>
      </c>
      <c r="M93" s="37" t="str">
        <f>IFERROR(IF(Agent01_Withdrawals!A98="","",YEAR(Agent01_Withdrawals!D98)),"")</f>
        <v/>
      </c>
    </row>
    <row r="94" spans="1:13" ht="18" customHeight="1" x14ac:dyDescent="0.25">
      <c r="A94" s="37" t="str">
        <f>IF(Agent01_Withdrawals!A99="","",Agent01_Withdrawals!A99)</f>
        <v/>
      </c>
      <c r="B94" s="37" t="str">
        <f ca="1">IF(Agent01_Withdrawals!A99="","","WD"&amp;TEXT(94-3,"0000")&amp;"-"&amp;TEXT(TODAY(),"YYYYMMDD"))</f>
        <v/>
      </c>
      <c r="C94" s="37" t="str">
        <f>IF(Agent01_Withdrawals!A99="","",Agent01_Withdrawals!B99)</f>
        <v/>
      </c>
      <c r="D94" s="40" t="str">
        <f>IF(Agent01_Withdrawals!A99="","",Agent01_Withdrawals!C99)</f>
        <v/>
      </c>
      <c r="E94" s="38" t="str">
        <f>IF(Agent01_Withdrawals!A99="","",Agent01_Withdrawals!D99)</f>
        <v/>
      </c>
      <c r="F94" s="37" t="str">
        <f>IF(Agent01_Withdrawals!A99="","",Agent01_Withdrawals!F99)</f>
        <v/>
      </c>
      <c r="G94" s="39" t="str">
        <f>IF(Agent01_Withdrawals!A99="","",Agent01_Withdrawals!E99)</f>
        <v/>
      </c>
      <c r="H94" s="39" t="str">
        <f>IF(Agent01_Withdrawals!A99="","",Agent01_Withdrawals!G99)</f>
        <v/>
      </c>
      <c r="I94" s="37" t="str">
        <f>IF(Agent01_Withdrawals!A99="","",Agent01_Withdrawals!H99)</f>
        <v/>
      </c>
      <c r="J94" s="37" t="str">
        <f>IF(Agent01_Withdrawals!A99="","",Agent01_Withdrawals!J99)</f>
        <v/>
      </c>
      <c r="K94" s="37" t="str">
        <f>IF(Agent01_Withdrawals!A99="","",Agent01_Withdrawals!K99)</f>
        <v/>
      </c>
      <c r="L94" s="37" t="str">
        <f>IF(G94="","",IF(D94-G94&gt;=System_Config!$B$9,"✅ OK","⚠️ BREACH"))</f>
        <v/>
      </c>
      <c r="M94" s="37" t="str">
        <f>IFERROR(IF(Agent01_Withdrawals!A99="","",YEAR(Agent01_Withdrawals!D99)),"")</f>
        <v/>
      </c>
    </row>
    <row r="95" spans="1:13" ht="18" customHeight="1" x14ac:dyDescent="0.25">
      <c r="A95" s="37" t="str">
        <f>IF(Agent01_Withdrawals!A100="","",Agent01_Withdrawals!A100)</f>
        <v/>
      </c>
      <c r="B95" s="37" t="str">
        <f ca="1">IF(Agent01_Withdrawals!A100="","","WD"&amp;TEXT(95-3,"0000")&amp;"-"&amp;TEXT(TODAY(),"YYYYMMDD"))</f>
        <v/>
      </c>
      <c r="C95" s="37" t="str">
        <f>IF(Agent01_Withdrawals!A100="","",Agent01_Withdrawals!B100)</f>
        <v/>
      </c>
      <c r="D95" s="40" t="str">
        <f>IF(Agent01_Withdrawals!A100="","",Agent01_Withdrawals!C100)</f>
        <v/>
      </c>
      <c r="E95" s="38" t="str">
        <f>IF(Agent01_Withdrawals!A100="","",Agent01_Withdrawals!D100)</f>
        <v/>
      </c>
      <c r="F95" s="37" t="str">
        <f>IF(Agent01_Withdrawals!A100="","",Agent01_Withdrawals!F100)</f>
        <v/>
      </c>
      <c r="G95" s="39" t="str">
        <f>IF(Agent01_Withdrawals!A100="","",Agent01_Withdrawals!E100)</f>
        <v/>
      </c>
      <c r="H95" s="39" t="str">
        <f>IF(Agent01_Withdrawals!A100="","",Agent01_Withdrawals!G100)</f>
        <v/>
      </c>
      <c r="I95" s="37" t="str">
        <f>IF(Agent01_Withdrawals!A100="","",Agent01_Withdrawals!H100)</f>
        <v/>
      </c>
      <c r="J95" s="37" t="str">
        <f>IF(Agent01_Withdrawals!A100="","",Agent01_Withdrawals!J100)</f>
        <v/>
      </c>
      <c r="K95" s="37" t="str">
        <f>IF(Agent01_Withdrawals!A100="","",Agent01_Withdrawals!K100)</f>
        <v/>
      </c>
      <c r="L95" s="37" t="str">
        <f>IF(G95="","",IF(D95-G95&gt;=System_Config!$B$9,"✅ OK","⚠️ BREACH"))</f>
        <v/>
      </c>
      <c r="M95" s="37" t="str">
        <f>IFERROR(IF(Agent01_Withdrawals!A100="","",YEAR(Agent01_Withdrawals!D100)),"")</f>
        <v/>
      </c>
    </row>
    <row r="96" spans="1:13" ht="18" customHeight="1" x14ac:dyDescent="0.25">
      <c r="A96" s="37" t="str">
        <f>IF(Agent01_Withdrawals!A101="","",Agent01_Withdrawals!A101)</f>
        <v/>
      </c>
      <c r="B96" s="37" t="str">
        <f ca="1">IF(Agent01_Withdrawals!A101="","","WD"&amp;TEXT(96-3,"0000")&amp;"-"&amp;TEXT(TODAY(),"YYYYMMDD"))</f>
        <v/>
      </c>
      <c r="C96" s="37" t="str">
        <f>IF(Agent01_Withdrawals!A101="","",Agent01_Withdrawals!B101)</f>
        <v/>
      </c>
      <c r="D96" s="40" t="str">
        <f>IF(Agent01_Withdrawals!A101="","",Agent01_Withdrawals!C101)</f>
        <v/>
      </c>
      <c r="E96" s="38" t="str">
        <f>IF(Agent01_Withdrawals!A101="","",Agent01_Withdrawals!D101)</f>
        <v/>
      </c>
      <c r="F96" s="37" t="str">
        <f>IF(Agent01_Withdrawals!A101="","",Agent01_Withdrawals!F101)</f>
        <v/>
      </c>
      <c r="G96" s="39" t="str">
        <f>IF(Agent01_Withdrawals!A101="","",Agent01_Withdrawals!E101)</f>
        <v/>
      </c>
      <c r="H96" s="39" t="str">
        <f>IF(Agent01_Withdrawals!A101="","",Agent01_Withdrawals!G101)</f>
        <v/>
      </c>
      <c r="I96" s="37" t="str">
        <f>IF(Agent01_Withdrawals!A101="","",Agent01_Withdrawals!H101)</f>
        <v/>
      </c>
      <c r="J96" s="37" t="str">
        <f>IF(Agent01_Withdrawals!A101="","",Agent01_Withdrawals!J101)</f>
        <v/>
      </c>
      <c r="K96" s="37" t="str">
        <f>IF(Agent01_Withdrawals!A101="","",Agent01_Withdrawals!K101)</f>
        <v/>
      </c>
      <c r="L96" s="37" t="str">
        <f>IF(G96="","",IF(D96-G96&gt;=System_Config!$B$9,"✅ OK","⚠️ BREACH"))</f>
        <v/>
      </c>
      <c r="M96" s="37" t="str">
        <f>IFERROR(IF(Agent01_Withdrawals!A101="","",YEAR(Agent01_Withdrawals!D101)),"")</f>
        <v/>
      </c>
    </row>
    <row r="97" spans="1:13" ht="18" customHeight="1" x14ac:dyDescent="0.25">
      <c r="A97" s="37" t="str">
        <f>IF(Agent01_Withdrawals!A102="","",Agent01_Withdrawals!A102)</f>
        <v/>
      </c>
      <c r="B97" s="37" t="str">
        <f ca="1">IF(Agent01_Withdrawals!A102="","","WD"&amp;TEXT(97-3,"0000")&amp;"-"&amp;TEXT(TODAY(),"YYYYMMDD"))</f>
        <v/>
      </c>
      <c r="C97" s="37" t="str">
        <f>IF(Agent01_Withdrawals!A102="","",Agent01_Withdrawals!B102)</f>
        <v/>
      </c>
      <c r="D97" s="40" t="str">
        <f>IF(Agent01_Withdrawals!A102="","",Agent01_Withdrawals!C102)</f>
        <v/>
      </c>
      <c r="E97" s="38" t="str">
        <f>IF(Agent01_Withdrawals!A102="","",Agent01_Withdrawals!D102)</f>
        <v/>
      </c>
      <c r="F97" s="37" t="str">
        <f>IF(Agent01_Withdrawals!A102="","",Agent01_Withdrawals!F102)</f>
        <v/>
      </c>
      <c r="G97" s="39" t="str">
        <f>IF(Agent01_Withdrawals!A102="","",Agent01_Withdrawals!E102)</f>
        <v/>
      </c>
      <c r="H97" s="39" t="str">
        <f>IF(Agent01_Withdrawals!A102="","",Agent01_Withdrawals!G102)</f>
        <v/>
      </c>
      <c r="I97" s="37" t="str">
        <f>IF(Agent01_Withdrawals!A102="","",Agent01_Withdrawals!H102)</f>
        <v/>
      </c>
      <c r="J97" s="37" t="str">
        <f>IF(Agent01_Withdrawals!A102="","",Agent01_Withdrawals!J102)</f>
        <v/>
      </c>
      <c r="K97" s="37" t="str">
        <f>IF(Agent01_Withdrawals!A102="","",Agent01_Withdrawals!K102)</f>
        <v/>
      </c>
      <c r="L97" s="37" t="str">
        <f>IF(G97="","",IF(D97-G97&gt;=System_Config!$B$9,"✅ OK","⚠️ BREACH"))</f>
        <v/>
      </c>
      <c r="M97" s="37" t="str">
        <f>IFERROR(IF(Agent01_Withdrawals!A102="","",YEAR(Agent01_Withdrawals!D102)),"")</f>
        <v/>
      </c>
    </row>
    <row r="98" spans="1:13" ht="18" customHeight="1" x14ac:dyDescent="0.25">
      <c r="A98" s="37" t="str">
        <f>IF(Agent01_Withdrawals!A103="","",Agent01_Withdrawals!A103)</f>
        <v/>
      </c>
      <c r="B98" s="37" t="str">
        <f ca="1">IF(Agent01_Withdrawals!A103="","","WD"&amp;TEXT(98-3,"0000")&amp;"-"&amp;TEXT(TODAY(),"YYYYMMDD"))</f>
        <v/>
      </c>
      <c r="C98" s="37" t="str">
        <f>IF(Agent01_Withdrawals!A103="","",Agent01_Withdrawals!B103)</f>
        <v/>
      </c>
      <c r="D98" s="40" t="str">
        <f>IF(Agent01_Withdrawals!A103="","",Agent01_Withdrawals!C103)</f>
        <v/>
      </c>
      <c r="E98" s="38" t="str">
        <f>IF(Agent01_Withdrawals!A103="","",Agent01_Withdrawals!D103)</f>
        <v/>
      </c>
      <c r="F98" s="37" t="str">
        <f>IF(Agent01_Withdrawals!A103="","",Agent01_Withdrawals!F103)</f>
        <v/>
      </c>
      <c r="G98" s="39" t="str">
        <f>IF(Agent01_Withdrawals!A103="","",Agent01_Withdrawals!E103)</f>
        <v/>
      </c>
      <c r="H98" s="39" t="str">
        <f>IF(Agent01_Withdrawals!A103="","",Agent01_Withdrawals!G103)</f>
        <v/>
      </c>
      <c r="I98" s="37" t="str">
        <f>IF(Agent01_Withdrawals!A103="","",Agent01_Withdrawals!H103)</f>
        <v/>
      </c>
      <c r="J98" s="37" t="str">
        <f>IF(Agent01_Withdrawals!A103="","",Agent01_Withdrawals!J103)</f>
        <v/>
      </c>
      <c r="K98" s="37" t="str">
        <f>IF(Agent01_Withdrawals!A103="","",Agent01_Withdrawals!K103)</f>
        <v/>
      </c>
      <c r="L98" s="37" t="str">
        <f>IF(G98="","",IF(D98-G98&gt;=System_Config!$B$9,"✅ OK","⚠️ BREACH"))</f>
        <v/>
      </c>
      <c r="M98" s="37" t="str">
        <f>IFERROR(IF(Agent01_Withdrawals!A103="","",YEAR(Agent01_Withdrawals!D103)),"")</f>
        <v/>
      </c>
    </row>
    <row r="99" spans="1:13" ht="18" customHeight="1" x14ac:dyDescent="0.25">
      <c r="A99" s="37" t="str">
        <f>IF(Agent01_Withdrawals!A104="","",Agent01_Withdrawals!A104)</f>
        <v/>
      </c>
      <c r="B99" s="37" t="str">
        <f ca="1">IF(Agent01_Withdrawals!A104="","","WD"&amp;TEXT(99-3,"0000")&amp;"-"&amp;TEXT(TODAY(),"YYYYMMDD"))</f>
        <v/>
      </c>
      <c r="C99" s="37" t="str">
        <f>IF(Agent01_Withdrawals!A104="","",Agent01_Withdrawals!B104)</f>
        <v/>
      </c>
      <c r="D99" s="40" t="str">
        <f>IF(Agent01_Withdrawals!A104="","",Agent01_Withdrawals!C104)</f>
        <v/>
      </c>
      <c r="E99" s="38" t="str">
        <f>IF(Agent01_Withdrawals!A104="","",Agent01_Withdrawals!D104)</f>
        <v/>
      </c>
      <c r="F99" s="37" t="str">
        <f>IF(Agent01_Withdrawals!A104="","",Agent01_Withdrawals!F104)</f>
        <v/>
      </c>
      <c r="G99" s="39" t="str">
        <f>IF(Agent01_Withdrawals!A104="","",Agent01_Withdrawals!E104)</f>
        <v/>
      </c>
      <c r="H99" s="39" t="str">
        <f>IF(Agent01_Withdrawals!A104="","",Agent01_Withdrawals!G104)</f>
        <v/>
      </c>
      <c r="I99" s="37" t="str">
        <f>IF(Agent01_Withdrawals!A104="","",Agent01_Withdrawals!H104)</f>
        <v/>
      </c>
      <c r="J99" s="37" t="str">
        <f>IF(Agent01_Withdrawals!A104="","",Agent01_Withdrawals!J104)</f>
        <v/>
      </c>
      <c r="K99" s="37" t="str">
        <f>IF(Agent01_Withdrawals!A104="","",Agent01_Withdrawals!K104)</f>
        <v/>
      </c>
      <c r="L99" s="37" t="str">
        <f>IF(G99="","",IF(D99-G99&gt;=System_Config!$B$9,"✅ OK","⚠️ BREACH"))</f>
        <v/>
      </c>
      <c r="M99" s="37" t="str">
        <f>IFERROR(IF(Agent01_Withdrawals!A104="","",YEAR(Agent01_Withdrawals!D104)),"")</f>
        <v/>
      </c>
    </row>
    <row r="100" spans="1:13" ht="18" customHeight="1" x14ac:dyDescent="0.25">
      <c r="A100" s="37" t="str">
        <f>IF(Agent01_Withdrawals!A105="","",Agent01_Withdrawals!A105)</f>
        <v/>
      </c>
      <c r="B100" s="37" t="str">
        <f ca="1">IF(Agent01_Withdrawals!A105="","","WD"&amp;TEXT(100-3,"0000")&amp;"-"&amp;TEXT(TODAY(),"YYYYMMDD"))</f>
        <v/>
      </c>
      <c r="C100" s="37" t="str">
        <f>IF(Agent01_Withdrawals!A105="","",Agent01_Withdrawals!B105)</f>
        <v/>
      </c>
      <c r="D100" s="40" t="str">
        <f>IF(Agent01_Withdrawals!A105="","",Agent01_Withdrawals!C105)</f>
        <v/>
      </c>
      <c r="E100" s="38" t="str">
        <f>IF(Agent01_Withdrawals!A105="","",Agent01_Withdrawals!D105)</f>
        <v/>
      </c>
      <c r="F100" s="37" t="str">
        <f>IF(Agent01_Withdrawals!A105="","",Agent01_Withdrawals!F105)</f>
        <v/>
      </c>
      <c r="G100" s="39" t="str">
        <f>IF(Agent01_Withdrawals!A105="","",Agent01_Withdrawals!E105)</f>
        <v/>
      </c>
      <c r="H100" s="39" t="str">
        <f>IF(Agent01_Withdrawals!A105="","",Agent01_Withdrawals!G105)</f>
        <v/>
      </c>
      <c r="I100" s="37" t="str">
        <f>IF(Agent01_Withdrawals!A105="","",Agent01_Withdrawals!H105)</f>
        <v/>
      </c>
      <c r="J100" s="37" t="str">
        <f>IF(Agent01_Withdrawals!A105="","",Agent01_Withdrawals!J105)</f>
        <v/>
      </c>
      <c r="K100" s="37" t="str">
        <f>IF(Agent01_Withdrawals!A105="","",Agent01_Withdrawals!K105)</f>
        <v/>
      </c>
      <c r="L100" s="37" t="str">
        <f>IF(G100="","",IF(D100-G100&gt;=System_Config!$B$9,"✅ OK","⚠️ BREACH"))</f>
        <v/>
      </c>
      <c r="M100" s="37" t="str">
        <f>IFERROR(IF(Agent01_Withdrawals!A105="","",YEAR(Agent01_Withdrawals!D105)),"")</f>
        <v/>
      </c>
    </row>
    <row r="101" spans="1:13" ht="18" customHeight="1" x14ac:dyDescent="0.25">
      <c r="A101" s="37" t="str">
        <f>IF(Agent01_Withdrawals!A106="","",Agent01_Withdrawals!A106)</f>
        <v/>
      </c>
      <c r="B101" s="37" t="str">
        <f ca="1">IF(Agent01_Withdrawals!A106="","","WD"&amp;TEXT(101-3,"0000")&amp;"-"&amp;TEXT(TODAY(),"YYYYMMDD"))</f>
        <v/>
      </c>
      <c r="C101" s="37" t="str">
        <f>IF(Agent01_Withdrawals!A106="","",Agent01_Withdrawals!B106)</f>
        <v/>
      </c>
      <c r="D101" s="40" t="str">
        <f>IF(Agent01_Withdrawals!A106="","",Agent01_Withdrawals!C106)</f>
        <v/>
      </c>
      <c r="E101" s="38" t="str">
        <f>IF(Agent01_Withdrawals!A106="","",Agent01_Withdrawals!D106)</f>
        <v/>
      </c>
      <c r="F101" s="37" t="str">
        <f>IF(Agent01_Withdrawals!A106="","",Agent01_Withdrawals!F106)</f>
        <v/>
      </c>
      <c r="G101" s="39" t="str">
        <f>IF(Agent01_Withdrawals!A106="","",Agent01_Withdrawals!E106)</f>
        <v/>
      </c>
      <c r="H101" s="39" t="str">
        <f>IF(Agent01_Withdrawals!A106="","",Agent01_Withdrawals!G106)</f>
        <v/>
      </c>
      <c r="I101" s="37" t="str">
        <f>IF(Agent01_Withdrawals!A106="","",Agent01_Withdrawals!H106)</f>
        <v/>
      </c>
      <c r="J101" s="37" t="str">
        <f>IF(Agent01_Withdrawals!A106="","",Agent01_Withdrawals!J106)</f>
        <v/>
      </c>
      <c r="K101" s="37" t="str">
        <f>IF(Agent01_Withdrawals!A106="","",Agent01_Withdrawals!K106)</f>
        <v/>
      </c>
      <c r="L101" s="37" t="str">
        <f>IF(G101="","",IF(D101-G101&gt;=System_Config!$B$9,"✅ OK","⚠️ BREACH"))</f>
        <v/>
      </c>
      <c r="M101" s="37" t="str">
        <f>IFERROR(IF(Agent01_Withdrawals!A106="","",YEAR(Agent01_Withdrawals!D106)),"")</f>
        <v/>
      </c>
    </row>
    <row r="102" spans="1:13" ht="18" customHeight="1" x14ac:dyDescent="0.25">
      <c r="A102" s="37" t="str">
        <f>IF(Agent01_Withdrawals!A107="","",Agent01_Withdrawals!A107)</f>
        <v/>
      </c>
      <c r="B102" s="37" t="str">
        <f ca="1">IF(Agent01_Withdrawals!A107="","","WD"&amp;TEXT(102-3,"0000")&amp;"-"&amp;TEXT(TODAY(),"YYYYMMDD"))</f>
        <v/>
      </c>
      <c r="C102" s="37" t="str">
        <f>IF(Agent01_Withdrawals!A107="","",Agent01_Withdrawals!B107)</f>
        <v/>
      </c>
      <c r="D102" s="40" t="str">
        <f>IF(Agent01_Withdrawals!A107="","",Agent01_Withdrawals!C107)</f>
        <v/>
      </c>
      <c r="E102" s="38" t="str">
        <f>IF(Agent01_Withdrawals!A107="","",Agent01_Withdrawals!D107)</f>
        <v/>
      </c>
      <c r="F102" s="37" t="str">
        <f>IF(Agent01_Withdrawals!A107="","",Agent01_Withdrawals!F107)</f>
        <v/>
      </c>
      <c r="G102" s="39" t="str">
        <f>IF(Agent01_Withdrawals!A107="","",Agent01_Withdrawals!E107)</f>
        <v/>
      </c>
      <c r="H102" s="39" t="str">
        <f>IF(Agent01_Withdrawals!A107="","",Agent01_Withdrawals!G107)</f>
        <v/>
      </c>
      <c r="I102" s="37" t="str">
        <f>IF(Agent01_Withdrawals!A107="","",Agent01_Withdrawals!H107)</f>
        <v/>
      </c>
      <c r="J102" s="37" t="str">
        <f>IF(Agent01_Withdrawals!A107="","",Agent01_Withdrawals!J107)</f>
        <v/>
      </c>
      <c r="K102" s="37" t="str">
        <f>IF(Agent01_Withdrawals!A107="","",Agent01_Withdrawals!K107)</f>
        <v/>
      </c>
      <c r="L102" s="37" t="str">
        <f>IF(G102="","",IF(D102-G102&gt;=System_Config!$B$9,"✅ OK","⚠️ BREACH"))</f>
        <v/>
      </c>
      <c r="M102" s="37" t="str">
        <f>IFERROR(IF(Agent01_Withdrawals!A107="","",YEAR(Agent01_Withdrawals!D107)),"")</f>
        <v/>
      </c>
    </row>
    <row r="103" spans="1:13" ht="18" customHeight="1" x14ac:dyDescent="0.25">
      <c r="A103" s="37" t="str">
        <f>IF(Agent01_Withdrawals!A108="","",Agent01_Withdrawals!A108)</f>
        <v/>
      </c>
      <c r="B103" s="37" t="str">
        <f ca="1">IF(Agent01_Withdrawals!A108="","","WD"&amp;TEXT(103-3,"0000")&amp;"-"&amp;TEXT(TODAY(),"YYYYMMDD"))</f>
        <v/>
      </c>
      <c r="C103" s="37" t="str">
        <f>IF(Agent01_Withdrawals!A108="","",Agent01_Withdrawals!B108)</f>
        <v/>
      </c>
      <c r="D103" s="40" t="str">
        <f>IF(Agent01_Withdrawals!A108="","",Agent01_Withdrawals!C108)</f>
        <v/>
      </c>
      <c r="E103" s="38" t="str">
        <f>IF(Agent01_Withdrawals!A108="","",Agent01_Withdrawals!D108)</f>
        <v/>
      </c>
      <c r="F103" s="37" t="str">
        <f>IF(Agent01_Withdrawals!A108="","",Agent01_Withdrawals!F108)</f>
        <v/>
      </c>
      <c r="G103" s="39" t="str">
        <f>IF(Agent01_Withdrawals!A108="","",Agent01_Withdrawals!E108)</f>
        <v/>
      </c>
      <c r="H103" s="39" t="str">
        <f>IF(Agent01_Withdrawals!A108="","",Agent01_Withdrawals!G108)</f>
        <v/>
      </c>
      <c r="I103" s="37" t="str">
        <f>IF(Agent01_Withdrawals!A108="","",Agent01_Withdrawals!H108)</f>
        <v/>
      </c>
      <c r="J103" s="37" t="str">
        <f>IF(Agent01_Withdrawals!A108="","",Agent01_Withdrawals!J108)</f>
        <v/>
      </c>
      <c r="K103" s="37" t="str">
        <f>IF(Agent01_Withdrawals!A108="","",Agent01_Withdrawals!K108)</f>
        <v/>
      </c>
      <c r="L103" s="37" t="str">
        <f>IF(G103="","",IF(D103-G103&gt;=System_Config!$B$9,"✅ OK","⚠️ BREACH"))</f>
        <v/>
      </c>
      <c r="M103" s="37" t="str">
        <f>IFERROR(IF(Agent01_Withdrawals!A108="","",YEAR(Agent01_Withdrawals!D108)),"")</f>
        <v/>
      </c>
    </row>
    <row r="104" spans="1:13" ht="18" customHeight="1" x14ac:dyDescent="0.25">
      <c r="A104" s="37" t="str">
        <f>IF(Agent01_Withdrawals!A109="","",Agent01_Withdrawals!A109)</f>
        <v/>
      </c>
      <c r="B104" s="37" t="str">
        <f ca="1">IF(Agent01_Withdrawals!A109="","","WD"&amp;TEXT(104-3,"0000")&amp;"-"&amp;TEXT(TODAY(),"YYYYMMDD"))</f>
        <v/>
      </c>
      <c r="C104" s="37" t="str">
        <f>IF(Agent01_Withdrawals!A109="","",Agent01_Withdrawals!B109)</f>
        <v/>
      </c>
      <c r="D104" s="40" t="str">
        <f>IF(Agent01_Withdrawals!A109="","",Agent01_Withdrawals!C109)</f>
        <v/>
      </c>
      <c r="E104" s="38" t="str">
        <f>IF(Agent01_Withdrawals!A109="","",Agent01_Withdrawals!D109)</f>
        <v/>
      </c>
      <c r="F104" s="37" t="str">
        <f>IF(Agent01_Withdrawals!A109="","",Agent01_Withdrawals!F109)</f>
        <v/>
      </c>
      <c r="G104" s="39" t="str">
        <f>IF(Agent01_Withdrawals!A109="","",Agent01_Withdrawals!E109)</f>
        <v/>
      </c>
      <c r="H104" s="39" t="str">
        <f>IF(Agent01_Withdrawals!A109="","",Agent01_Withdrawals!G109)</f>
        <v/>
      </c>
      <c r="I104" s="37" t="str">
        <f>IF(Agent01_Withdrawals!A109="","",Agent01_Withdrawals!H109)</f>
        <v/>
      </c>
      <c r="J104" s="37" t="str">
        <f>IF(Agent01_Withdrawals!A109="","",Agent01_Withdrawals!J109)</f>
        <v/>
      </c>
      <c r="K104" s="37" t="str">
        <f>IF(Agent01_Withdrawals!A109="","",Agent01_Withdrawals!K109)</f>
        <v/>
      </c>
      <c r="L104" s="37" t="str">
        <f>IF(G104="","",IF(D104-G104&gt;=System_Config!$B$9,"✅ OK","⚠️ BREACH"))</f>
        <v/>
      </c>
      <c r="M104" s="37" t="str">
        <f>IFERROR(IF(Agent01_Withdrawals!A109="","",YEAR(Agent01_Withdrawals!D109)),"")</f>
        <v/>
      </c>
    </row>
    <row r="105" spans="1:13" ht="18" customHeight="1" x14ac:dyDescent="0.25">
      <c r="A105" s="37" t="str">
        <f>IF(Agent01_Withdrawals!A110="","",Agent01_Withdrawals!A110)</f>
        <v/>
      </c>
      <c r="B105" s="37" t="str">
        <f ca="1">IF(Agent01_Withdrawals!A110="","","WD"&amp;TEXT(105-3,"0000")&amp;"-"&amp;TEXT(TODAY(),"YYYYMMDD"))</f>
        <v/>
      </c>
      <c r="C105" s="37" t="str">
        <f>IF(Agent01_Withdrawals!A110="","",Agent01_Withdrawals!B110)</f>
        <v/>
      </c>
      <c r="D105" s="40" t="str">
        <f>IF(Agent01_Withdrawals!A110="","",Agent01_Withdrawals!C110)</f>
        <v/>
      </c>
      <c r="E105" s="38" t="str">
        <f>IF(Agent01_Withdrawals!A110="","",Agent01_Withdrawals!D110)</f>
        <v/>
      </c>
      <c r="F105" s="37" t="str">
        <f>IF(Agent01_Withdrawals!A110="","",Agent01_Withdrawals!F110)</f>
        <v/>
      </c>
      <c r="G105" s="39" t="str">
        <f>IF(Agent01_Withdrawals!A110="","",Agent01_Withdrawals!E110)</f>
        <v/>
      </c>
      <c r="H105" s="39" t="str">
        <f>IF(Agent01_Withdrawals!A110="","",Agent01_Withdrawals!G110)</f>
        <v/>
      </c>
      <c r="I105" s="37" t="str">
        <f>IF(Agent01_Withdrawals!A110="","",Agent01_Withdrawals!H110)</f>
        <v/>
      </c>
      <c r="J105" s="37" t="str">
        <f>IF(Agent01_Withdrawals!A110="","",Agent01_Withdrawals!J110)</f>
        <v/>
      </c>
      <c r="K105" s="37" t="str">
        <f>IF(Agent01_Withdrawals!A110="","",Agent01_Withdrawals!K110)</f>
        <v/>
      </c>
      <c r="L105" s="37" t="str">
        <f>IF(G105="","",IF(D105-G105&gt;=System_Config!$B$9,"✅ OK","⚠️ BREACH"))</f>
        <v/>
      </c>
      <c r="M105" s="37" t="str">
        <f>IFERROR(IF(Agent01_Withdrawals!A110="","",YEAR(Agent01_Withdrawals!D110)),"")</f>
        <v/>
      </c>
    </row>
    <row r="106" spans="1:13" ht="18" customHeight="1" x14ac:dyDescent="0.25">
      <c r="A106" s="37" t="str">
        <f>IF(Agent01_Withdrawals!A111="","",Agent01_Withdrawals!A111)</f>
        <v/>
      </c>
      <c r="B106" s="37" t="str">
        <f ca="1">IF(Agent01_Withdrawals!A111="","","WD"&amp;TEXT(106-3,"0000")&amp;"-"&amp;TEXT(TODAY(),"YYYYMMDD"))</f>
        <v/>
      </c>
      <c r="C106" s="37" t="str">
        <f>IF(Agent01_Withdrawals!A111="","",Agent01_Withdrawals!B111)</f>
        <v/>
      </c>
      <c r="D106" s="40" t="str">
        <f>IF(Agent01_Withdrawals!A111="","",Agent01_Withdrawals!C111)</f>
        <v/>
      </c>
      <c r="E106" s="38" t="str">
        <f>IF(Agent01_Withdrawals!A111="","",Agent01_Withdrawals!D111)</f>
        <v/>
      </c>
      <c r="F106" s="37" t="str">
        <f>IF(Agent01_Withdrawals!A111="","",Agent01_Withdrawals!F111)</f>
        <v/>
      </c>
      <c r="G106" s="39" t="str">
        <f>IF(Agent01_Withdrawals!A111="","",Agent01_Withdrawals!E111)</f>
        <v/>
      </c>
      <c r="H106" s="39" t="str">
        <f>IF(Agent01_Withdrawals!A111="","",Agent01_Withdrawals!G111)</f>
        <v/>
      </c>
      <c r="I106" s="37" t="str">
        <f>IF(Agent01_Withdrawals!A111="","",Agent01_Withdrawals!H111)</f>
        <v/>
      </c>
      <c r="J106" s="37" t="str">
        <f>IF(Agent01_Withdrawals!A111="","",Agent01_Withdrawals!J111)</f>
        <v/>
      </c>
      <c r="K106" s="37" t="str">
        <f>IF(Agent01_Withdrawals!A111="","",Agent01_Withdrawals!K111)</f>
        <v/>
      </c>
      <c r="L106" s="37" t="str">
        <f>IF(G106="","",IF(D106-G106&gt;=System_Config!$B$9,"✅ OK","⚠️ BREACH"))</f>
        <v/>
      </c>
      <c r="M106" s="37" t="str">
        <f>IFERROR(IF(Agent01_Withdrawals!A111="","",YEAR(Agent01_Withdrawals!D111)),"")</f>
        <v/>
      </c>
    </row>
    <row r="107" spans="1:13" ht="18" customHeight="1" x14ac:dyDescent="0.25">
      <c r="A107" s="37" t="str">
        <f>IF(Agent01_Withdrawals!A112="","",Agent01_Withdrawals!A112)</f>
        <v/>
      </c>
      <c r="B107" s="37" t="str">
        <f ca="1">IF(Agent01_Withdrawals!A112="","","WD"&amp;TEXT(107-3,"0000")&amp;"-"&amp;TEXT(TODAY(),"YYYYMMDD"))</f>
        <v/>
      </c>
      <c r="C107" s="37" t="str">
        <f>IF(Agent01_Withdrawals!A112="","",Agent01_Withdrawals!B112)</f>
        <v/>
      </c>
      <c r="D107" s="40" t="str">
        <f>IF(Agent01_Withdrawals!A112="","",Agent01_Withdrawals!C112)</f>
        <v/>
      </c>
      <c r="E107" s="38" t="str">
        <f>IF(Agent01_Withdrawals!A112="","",Agent01_Withdrawals!D112)</f>
        <v/>
      </c>
      <c r="F107" s="37" t="str">
        <f>IF(Agent01_Withdrawals!A112="","",Agent01_Withdrawals!F112)</f>
        <v/>
      </c>
      <c r="G107" s="39" t="str">
        <f>IF(Agent01_Withdrawals!A112="","",Agent01_Withdrawals!E112)</f>
        <v/>
      </c>
      <c r="H107" s="39" t="str">
        <f>IF(Agent01_Withdrawals!A112="","",Agent01_Withdrawals!G112)</f>
        <v/>
      </c>
      <c r="I107" s="37" t="str">
        <f>IF(Agent01_Withdrawals!A112="","",Agent01_Withdrawals!H112)</f>
        <v/>
      </c>
      <c r="J107" s="37" t="str">
        <f>IF(Agent01_Withdrawals!A112="","",Agent01_Withdrawals!J112)</f>
        <v/>
      </c>
      <c r="K107" s="37" t="str">
        <f>IF(Agent01_Withdrawals!A112="","",Agent01_Withdrawals!K112)</f>
        <v/>
      </c>
      <c r="L107" s="37" t="str">
        <f>IF(G107="","",IF(D107-G107&gt;=System_Config!$B$9,"✅ OK","⚠️ BREACH"))</f>
        <v/>
      </c>
      <c r="M107" s="37" t="str">
        <f>IFERROR(IF(Agent01_Withdrawals!A112="","",YEAR(Agent01_Withdrawals!D112)),"")</f>
        <v/>
      </c>
    </row>
    <row r="108" spans="1:13" ht="18" customHeight="1" x14ac:dyDescent="0.25">
      <c r="A108" s="37" t="str">
        <f>IF(Agent01_Withdrawals!A113="","",Agent01_Withdrawals!A113)</f>
        <v/>
      </c>
      <c r="B108" s="37" t="str">
        <f ca="1">IF(Agent01_Withdrawals!A113="","","WD"&amp;TEXT(108-3,"0000")&amp;"-"&amp;TEXT(TODAY(),"YYYYMMDD"))</f>
        <v/>
      </c>
      <c r="C108" s="37" t="str">
        <f>IF(Agent01_Withdrawals!A113="","",Agent01_Withdrawals!B113)</f>
        <v/>
      </c>
      <c r="D108" s="40" t="str">
        <f>IF(Agent01_Withdrawals!A113="","",Agent01_Withdrawals!C113)</f>
        <v/>
      </c>
      <c r="E108" s="38" t="str">
        <f>IF(Agent01_Withdrawals!A113="","",Agent01_Withdrawals!D113)</f>
        <v/>
      </c>
      <c r="F108" s="37" t="str">
        <f>IF(Agent01_Withdrawals!A113="","",Agent01_Withdrawals!F113)</f>
        <v/>
      </c>
      <c r="G108" s="39" t="str">
        <f>IF(Agent01_Withdrawals!A113="","",Agent01_Withdrawals!E113)</f>
        <v/>
      </c>
      <c r="H108" s="39" t="str">
        <f>IF(Agent01_Withdrawals!A113="","",Agent01_Withdrawals!G113)</f>
        <v/>
      </c>
      <c r="I108" s="37" t="str">
        <f>IF(Agent01_Withdrawals!A113="","",Agent01_Withdrawals!H113)</f>
        <v/>
      </c>
      <c r="J108" s="37" t="str">
        <f>IF(Agent01_Withdrawals!A113="","",Agent01_Withdrawals!J113)</f>
        <v/>
      </c>
      <c r="K108" s="37" t="str">
        <f>IF(Agent01_Withdrawals!A113="","",Agent01_Withdrawals!K113)</f>
        <v/>
      </c>
      <c r="L108" s="37" t="str">
        <f>IF(G108="","",IF(D108-G108&gt;=System_Config!$B$9,"✅ OK","⚠️ BREACH"))</f>
        <v/>
      </c>
      <c r="M108" s="37" t="str">
        <f>IFERROR(IF(Agent01_Withdrawals!A113="","",YEAR(Agent01_Withdrawals!D113)),"")</f>
        <v/>
      </c>
    </row>
    <row r="109" spans="1:13" ht="18" customHeight="1" x14ac:dyDescent="0.25">
      <c r="A109" s="37" t="str">
        <f>IF(Agent01_Withdrawals!A114="","",Agent01_Withdrawals!A114)</f>
        <v/>
      </c>
      <c r="B109" s="37" t="str">
        <f ca="1">IF(Agent01_Withdrawals!A114="","","WD"&amp;TEXT(109-3,"0000")&amp;"-"&amp;TEXT(TODAY(),"YYYYMMDD"))</f>
        <v/>
      </c>
      <c r="C109" s="37" t="str">
        <f>IF(Agent01_Withdrawals!A114="","",Agent01_Withdrawals!B114)</f>
        <v/>
      </c>
      <c r="D109" s="40" t="str">
        <f>IF(Agent01_Withdrawals!A114="","",Agent01_Withdrawals!C114)</f>
        <v/>
      </c>
      <c r="E109" s="38" t="str">
        <f>IF(Agent01_Withdrawals!A114="","",Agent01_Withdrawals!D114)</f>
        <v/>
      </c>
      <c r="F109" s="37" t="str">
        <f>IF(Agent01_Withdrawals!A114="","",Agent01_Withdrawals!F114)</f>
        <v/>
      </c>
      <c r="G109" s="39" t="str">
        <f>IF(Agent01_Withdrawals!A114="","",Agent01_Withdrawals!E114)</f>
        <v/>
      </c>
      <c r="H109" s="39" t="str">
        <f>IF(Agent01_Withdrawals!A114="","",Agent01_Withdrawals!G114)</f>
        <v/>
      </c>
      <c r="I109" s="37" t="str">
        <f>IF(Agent01_Withdrawals!A114="","",Agent01_Withdrawals!H114)</f>
        <v/>
      </c>
      <c r="J109" s="37" t="str">
        <f>IF(Agent01_Withdrawals!A114="","",Agent01_Withdrawals!J114)</f>
        <v/>
      </c>
      <c r="K109" s="37" t="str">
        <f>IF(Agent01_Withdrawals!A114="","",Agent01_Withdrawals!K114)</f>
        <v/>
      </c>
      <c r="L109" s="37" t="str">
        <f>IF(G109="","",IF(D109-G109&gt;=System_Config!$B$9,"✅ OK","⚠️ BREACH"))</f>
        <v/>
      </c>
      <c r="M109" s="37" t="str">
        <f>IFERROR(IF(Agent01_Withdrawals!A114="","",YEAR(Agent01_Withdrawals!D114)),"")</f>
        <v/>
      </c>
    </row>
    <row r="110" spans="1:13" ht="18" customHeight="1" x14ac:dyDescent="0.25">
      <c r="A110" s="37" t="str">
        <f>IF(Agent01_Withdrawals!A115="","",Agent01_Withdrawals!A115)</f>
        <v/>
      </c>
      <c r="B110" s="37" t="str">
        <f ca="1">IF(Agent01_Withdrawals!A115="","","WD"&amp;TEXT(110-3,"0000")&amp;"-"&amp;TEXT(TODAY(),"YYYYMMDD"))</f>
        <v/>
      </c>
      <c r="C110" s="37" t="str">
        <f>IF(Agent01_Withdrawals!A115="","",Agent01_Withdrawals!B115)</f>
        <v/>
      </c>
      <c r="D110" s="40" t="str">
        <f>IF(Agent01_Withdrawals!A115="","",Agent01_Withdrawals!C115)</f>
        <v/>
      </c>
      <c r="E110" s="38" t="str">
        <f>IF(Agent01_Withdrawals!A115="","",Agent01_Withdrawals!D115)</f>
        <v/>
      </c>
      <c r="F110" s="37" t="str">
        <f>IF(Agent01_Withdrawals!A115="","",Agent01_Withdrawals!F115)</f>
        <v/>
      </c>
      <c r="G110" s="39" t="str">
        <f>IF(Agent01_Withdrawals!A115="","",Agent01_Withdrawals!E115)</f>
        <v/>
      </c>
      <c r="H110" s="39" t="str">
        <f>IF(Agent01_Withdrawals!A115="","",Agent01_Withdrawals!G115)</f>
        <v/>
      </c>
      <c r="I110" s="37" t="str">
        <f>IF(Agent01_Withdrawals!A115="","",Agent01_Withdrawals!H115)</f>
        <v/>
      </c>
      <c r="J110" s="37" t="str">
        <f>IF(Agent01_Withdrawals!A115="","",Agent01_Withdrawals!J115)</f>
        <v/>
      </c>
      <c r="K110" s="37" t="str">
        <f>IF(Agent01_Withdrawals!A115="","",Agent01_Withdrawals!K115)</f>
        <v/>
      </c>
      <c r="L110" s="37" t="str">
        <f>IF(G110="","",IF(D110-G110&gt;=System_Config!$B$9,"✅ OK","⚠️ BREACH"))</f>
        <v/>
      </c>
      <c r="M110" s="37" t="str">
        <f>IFERROR(IF(Agent01_Withdrawals!A115="","",YEAR(Agent01_Withdrawals!D115)),"")</f>
        <v/>
      </c>
    </row>
    <row r="111" spans="1:13" ht="18" customHeight="1" x14ac:dyDescent="0.25">
      <c r="A111" s="37" t="str">
        <f>IF(Agent01_Withdrawals!A116="","",Agent01_Withdrawals!A116)</f>
        <v/>
      </c>
      <c r="B111" s="37" t="str">
        <f ca="1">IF(Agent01_Withdrawals!A116="","","WD"&amp;TEXT(111-3,"0000")&amp;"-"&amp;TEXT(TODAY(),"YYYYMMDD"))</f>
        <v/>
      </c>
      <c r="C111" s="37" t="str">
        <f>IF(Agent01_Withdrawals!A116="","",Agent01_Withdrawals!B116)</f>
        <v/>
      </c>
      <c r="D111" s="40" t="str">
        <f>IF(Agent01_Withdrawals!A116="","",Agent01_Withdrawals!C116)</f>
        <v/>
      </c>
      <c r="E111" s="38" t="str">
        <f>IF(Agent01_Withdrawals!A116="","",Agent01_Withdrawals!D116)</f>
        <v/>
      </c>
      <c r="F111" s="37" t="str">
        <f>IF(Agent01_Withdrawals!A116="","",Agent01_Withdrawals!F116)</f>
        <v/>
      </c>
      <c r="G111" s="39" t="str">
        <f>IF(Agent01_Withdrawals!A116="","",Agent01_Withdrawals!E116)</f>
        <v/>
      </c>
      <c r="H111" s="39" t="str">
        <f>IF(Agent01_Withdrawals!A116="","",Agent01_Withdrawals!G116)</f>
        <v/>
      </c>
      <c r="I111" s="37" t="str">
        <f>IF(Agent01_Withdrawals!A116="","",Agent01_Withdrawals!H116)</f>
        <v/>
      </c>
      <c r="J111" s="37" t="str">
        <f>IF(Agent01_Withdrawals!A116="","",Agent01_Withdrawals!J116)</f>
        <v/>
      </c>
      <c r="K111" s="37" t="str">
        <f>IF(Agent01_Withdrawals!A116="","",Agent01_Withdrawals!K116)</f>
        <v/>
      </c>
      <c r="L111" s="37" t="str">
        <f>IF(G111="","",IF(D111-G111&gt;=System_Config!$B$9,"✅ OK","⚠️ BREACH"))</f>
        <v/>
      </c>
      <c r="M111" s="37" t="str">
        <f>IFERROR(IF(Agent01_Withdrawals!A116="","",YEAR(Agent01_Withdrawals!D116)),"")</f>
        <v/>
      </c>
    </row>
    <row r="112" spans="1:13" ht="18" customHeight="1" x14ac:dyDescent="0.25">
      <c r="A112" s="37" t="str">
        <f>IF(Agent01_Withdrawals!A117="","",Agent01_Withdrawals!A117)</f>
        <v/>
      </c>
      <c r="B112" s="37" t="str">
        <f ca="1">IF(Agent01_Withdrawals!A117="","","WD"&amp;TEXT(112-3,"0000")&amp;"-"&amp;TEXT(TODAY(),"YYYYMMDD"))</f>
        <v/>
      </c>
      <c r="C112" s="37" t="str">
        <f>IF(Agent01_Withdrawals!A117="","",Agent01_Withdrawals!B117)</f>
        <v/>
      </c>
      <c r="D112" s="40" t="str">
        <f>IF(Agent01_Withdrawals!A117="","",Agent01_Withdrawals!C117)</f>
        <v/>
      </c>
      <c r="E112" s="38" t="str">
        <f>IF(Agent01_Withdrawals!A117="","",Agent01_Withdrawals!D117)</f>
        <v/>
      </c>
      <c r="F112" s="37" t="str">
        <f>IF(Agent01_Withdrawals!A117="","",Agent01_Withdrawals!F117)</f>
        <v/>
      </c>
      <c r="G112" s="39" t="str">
        <f>IF(Agent01_Withdrawals!A117="","",Agent01_Withdrawals!E117)</f>
        <v/>
      </c>
      <c r="H112" s="39" t="str">
        <f>IF(Agent01_Withdrawals!A117="","",Agent01_Withdrawals!G117)</f>
        <v/>
      </c>
      <c r="I112" s="37" t="str">
        <f>IF(Agent01_Withdrawals!A117="","",Agent01_Withdrawals!H117)</f>
        <v/>
      </c>
      <c r="J112" s="37" t="str">
        <f>IF(Agent01_Withdrawals!A117="","",Agent01_Withdrawals!J117)</f>
        <v/>
      </c>
      <c r="K112" s="37" t="str">
        <f>IF(Agent01_Withdrawals!A117="","",Agent01_Withdrawals!K117)</f>
        <v/>
      </c>
      <c r="L112" s="37" t="str">
        <f>IF(G112="","",IF(D112-G112&gt;=System_Config!$B$9,"✅ OK","⚠️ BREACH"))</f>
        <v/>
      </c>
      <c r="M112" s="37" t="str">
        <f>IFERROR(IF(Agent01_Withdrawals!A117="","",YEAR(Agent01_Withdrawals!D117)),"")</f>
        <v/>
      </c>
    </row>
    <row r="113" spans="1:13" ht="18" customHeight="1" x14ac:dyDescent="0.25">
      <c r="A113" s="37" t="str">
        <f>IF(Agent01_Withdrawals!A118="","",Agent01_Withdrawals!A118)</f>
        <v/>
      </c>
      <c r="B113" s="37" t="str">
        <f ca="1">IF(Agent01_Withdrawals!A118="","","WD"&amp;TEXT(113-3,"0000")&amp;"-"&amp;TEXT(TODAY(),"YYYYMMDD"))</f>
        <v/>
      </c>
      <c r="C113" s="37" t="str">
        <f>IF(Agent01_Withdrawals!A118="","",Agent01_Withdrawals!B118)</f>
        <v/>
      </c>
      <c r="D113" s="40" t="str">
        <f>IF(Agent01_Withdrawals!A118="","",Agent01_Withdrawals!C118)</f>
        <v/>
      </c>
      <c r="E113" s="38" t="str">
        <f>IF(Agent01_Withdrawals!A118="","",Agent01_Withdrawals!D118)</f>
        <v/>
      </c>
      <c r="F113" s="37" t="str">
        <f>IF(Agent01_Withdrawals!A118="","",Agent01_Withdrawals!F118)</f>
        <v/>
      </c>
      <c r="G113" s="39" t="str">
        <f>IF(Agent01_Withdrawals!A118="","",Agent01_Withdrawals!E118)</f>
        <v/>
      </c>
      <c r="H113" s="39" t="str">
        <f>IF(Agent01_Withdrawals!A118="","",Agent01_Withdrawals!G118)</f>
        <v/>
      </c>
      <c r="I113" s="37" t="str">
        <f>IF(Agent01_Withdrawals!A118="","",Agent01_Withdrawals!H118)</f>
        <v/>
      </c>
      <c r="J113" s="37" t="str">
        <f>IF(Agent01_Withdrawals!A118="","",Agent01_Withdrawals!J118)</f>
        <v/>
      </c>
      <c r="K113" s="37" t="str">
        <f>IF(Agent01_Withdrawals!A118="","",Agent01_Withdrawals!K118)</f>
        <v/>
      </c>
      <c r="L113" s="37" t="str">
        <f>IF(G113="","",IF(D113-G113&gt;=System_Config!$B$9,"✅ OK","⚠️ BREACH"))</f>
        <v/>
      </c>
      <c r="M113" s="37" t="str">
        <f>IFERROR(IF(Agent01_Withdrawals!A118="","",YEAR(Agent01_Withdrawals!D118)),"")</f>
        <v/>
      </c>
    </row>
    <row r="114" spans="1:13" ht="18" customHeight="1" x14ac:dyDescent="0.25">
      <c r="A114" s="37" t="str">
        <f>IF(Agent01_Withdrawals!A119="","",Agent01_Withdrawals!A119)</f>
        <v/>
      </c>
      <c r="B114" s="37" t="str">
        <f ca="1">IF(Agent01_Withdrawals!A119="","","WD"&amp;TEXT(114-3,"0000")&amp;"-"&amp;TEXT(TODAY(),"YYYYMMDD"))</f>
        <v/>
      </c>
      <c r="C114" s="37" t="str">
        <f>IF(Agent01_Withdrawals!A119="","",Agent01_Withdrawals!B119)</f>
        <v/>
      </c>
      <c r="D114" s="40" t="str">
        <f>IF(Agent01_Withdrawals!A119="","",Agent01_Withdrawals!C119)</f>
        <v/>
      </c>
      <c r="E114" s="38" t="str">
        <f>IF(Agent01_Withdrawals!A119="","",Agent01_Withdrawals!D119)</f>
        <v/>
      </c>
      <c r="F114" s="37" t="str">
        <f>IF(Agent01_Withdrawals!A119="","",Agent01_Withdrawals!F119)</f>
        <v/>
      </c>
      <c r="G114" s="39" t="str">
        <f>IF(Agent01_Withdrawals!A119="","",Agent01_Withdrawals!E119)</f>
        <v/>
      </c>
      <c r="H114" s="39" t="str">
        <f>IF(Agent01_Withdrawals!A119="","",Agent01_Withdrawals!G119)</f>
        <v/>
      </c>
      <c r="I114" s="37" t="str">
        <f>IF(Agent01_Withdrawals!A119="","",Agent01_Withdrawals!H119)</f>
        <v/>
      </c>
      <c r="J114" s="37" t="str">
        <f>IF(Agent01_Withdrawals!A119="","",Agent01_Withdrawals!J119)</f>
        <v/>
      </c>
      <c r="K114" s="37" t="str">
        <f>IF(Agent01_Withdrawals!A119="","",Agent01_Withdrawals!K119)</f>
        <v/>
      </c>
      <c r="L114" s="37" t="str">
        <f>IF(G114="","",IF(D114-G114&gt;=System_Config!$B$9,"✅ OK","⚠️ BREACH"))</f>
        <v/>
      </c>
      <c r="M114" s="37" t="str">
        <f>IFERROR(IF(Agent01_Withdrawals!A119="","",YEAR(Agent01_Withdrawals!D119)),"")</f>
        <v/>
      </c>
    </row>
    <row r="115" spans="1:13" ht="18" customHeight="1" x14ac:dyDescent="0.25">
      <c r="A115" s="37" t="str">
        <f>IF(Agent01_Withdrawals!A120="","",Agent01_Withdrawals!A120)</f>
        <v/>
      </c>
      <c r="B115" s="37" t="str">
        <f ca="1">IF(Agent01_Withdrawals!A120="","","WD"&amp;TEXT(115-3,"0000")&amp;"-"&amp;TEXT(TODAY(),"YYYYMMDD"))</f>
        <v/>
      </c>
      <c r="C115" s="37" t="str">
        <f>IF(Agent01_Withdrawals!A120="","",Agent01_Withdrawals!B120)</f>
        <v/>
      </c>
      <c r="D115" s="40" t="str">
        <f>IF(Agent01_Withdrawals!A120="","",Agent01_Withdrawals!C120)</f>
        <v/>
      </c>
      <c r="E115" s="38" t="str">
        <f>IF(Agent01_Withdrawals!A120="","",Agent01_Withdrawals!D120)</f>
        <v/>
      </c>
      <c r="F115" s="37" t="str">
        <f>IF(Agent01_Withdrawals!A120="","",Agent01_Withdrawals!F120)</f>
        <v/>
      </c>
      <c r="G115" s="39" t="str">
        <f>IF(Agent01_Withdrawals!A120="","",Agent01_Withdrawals!E120)</f>
        <v/>
      </c>
      <c r="H115" s="39" t="str">
        <f>IF(Agent01_Withdrawals!A120="","",Agent01_Withdrawals!G120)</f>
        <v/>
      </c>
      <c r="I115" s="37" t="str">
        <f>IF(Agent01_Withdrawals!A120="","",Agent01_Withdrawals!H120)</f>
        <v/>
      </c>
      <c r="J115" s="37" t="str">
        <f>IF(Agent01_Withdrawals!A120="","",Agent01_Withdrawals!J120)</f>
        <v/>
      </c>
      <c r="K115" s="37" t="str">
        <f>IF(Agent01_Withdrawals!A120="","",Agent01_Withdrawals!K120)</f>
        <v/>
      </c>
      <c r="L115" s="37" t="str">
        <f>IF(G115="","",IF(D115-G115&gt;=System_Config!$B$9,"✅ OK","⚠️ BREACH"))</f>
        <v/>
      </c>
      <c r="M115" s="37" t="str">
        <f>IFERROR(IF(Agent01_Withdrawals!A120="","",YEAR(Agent01_Withdrawals!D120)),"")</f>
        <v/>
      </c>
    </row>
    <row r="116" spans="1:13" ht="18" customHeight="1" x14ac:dyDescent="0.25">
      <c r="A116" s="37" t="str">
        <f>IF(Agent01_Withdrawals!A121="","",Agent01_Withdrawals!A121)</f>
        <v/>
      </c>
      <c r="B116" s="37" t="str">
        <f ca="1">IF(Agent01_Withdrawals!A121="","","WD"&amp;TEXT(116-3,"0000")&amp;"-"&amp;TEXT(TODAY(),"YYYYMMDD"))</f>
        <v/>
      </c>
      <c r="C116" s="37" t="str">
        <f>IF(Agent01_Withdrawals!A121="","",Agent01_Withdrawals!B121)</f>
        <v/>
      </c>
      <c r="D116" s="40" t="str">
        <f>IF(Agent01_Withdrawals!A121="","",Agent01_Withdrawals!C121)</f>
        <v/>
      </c>
      <c r="E116" s="38" t="str">
        <f>IF(Agent01_Withdrawals!A121="","",Agent01_Withdrawals!D121)</f>
        <v/>
      </c>
      <c r="F116" s="37" t="str">
        <f>IF(Agent01_Withdrawals!A121="","",Agent01_Withdrawals!F121)</f>
        <v/>
      </c>
      <c r="G116" s="39" t="str">
        <f>IF(Agent01_Withdrawals!A121="","",Agent01_Withdrawals!E121)</f>
        <v/>
      </c>
      <c r="H116" s="39" t="str">
        <f>IF(Agent01_Withdrawals!A121="","",Agent01_Withdrawals!G121)</f>
        <v/>
      </c>
      <c r="I116" s="37" t="str">
        <f>IF(Agent01_Withdrawals!A121="","",Agent01_Withdrawals!H121)</f>
        <v/>
      </c>
      <c r="J116" s="37" t="str">
        <f>IF(Agent01_Withdrawals!A121="","",Agent01_Withdrawals!J121)</f>
        <v/>
      </c>
      <c r="K116" s="37" t="str">
        <f>IF(Agent01_Withdrawals!A121="","",Agent01_Withdrawals!K121)</f>
        <v/>
      </c>
      <c r="L116" s="37" t="str">
        <f>IF(G116="","",IF(D116-G116&gt;=System_Config!$B$9,"✅ OK","⚠️ BREACH"))</f>
        <v/>
      </c>
      <c r="M116" s="37" t="str">
        <f>IFERROR(IF(Agent01_Withdrawals!A121="","",YEAR(Agent01_Withdrawals!D121)),"")</f>
        <v/>
      </c>
    </row>
    <row r="117" spans="1:13" ht="18" customHeight="1" x14ac:dyDescent="0.25">
      <c r="A117" s="37" t="str">
        <f>IF(Agent01_Withdrawals!A122="","",Agent01_Withdrawals!A122)</f>
        <v/>
      </c>
      <c r="B117" s="37" t="str">
        <f ca="1">IF(Agent01_Withdrawals!A122="","","WD"&amp;TEXT(117-3,"0000")&amp;"-"&amp;TEXT(TODAY(),"YYYYMMDD"))</f>
        <v/>
      </c>
      <c r="C117" s="37" t="str">
        <f>IF(Agent01_Withdrawals!A122="","",Agent01_Withdrawals!B122)</f>
        <v/>
      </c>
      <c r="D117" s="40" t="str">
        <f>IF(Agent01_Withdrawals!A122="","",Agent01_Withdrawals!C122)</f>
        <v/>
      </c>
      <c r="E117" s="38" t="str">
        <f>IF(Agent01_Withdrawals!A122="","",Agent01_Withdrawals!D122)</f>
        <v/>
      </c>
      <c r="F117" s="37" t="str">
        <f>IF(Agent01_Withdrawals!A122="","",Agent01_Withdrawals!F122)</f>
        <v/>
      </c>
      <c r="G117" s="39" t="str">
        <f>IF(Agent01_Withdrawals!A122="","",Agent01_Withdrawals!E122)</f>
        <v/>
      </c>
      <c r="H117" s="39" t="str">
        <f>IF(Agent01_Withdrawals!A122="","",Agent01_Withdrawals!G122)</f>
        <v/>
      </c>
      <c r="I117" s="37" t="str">
        <f>IF(Agent01_Withdrawals!A122="","",Agent01_Withdrawals!H122)</f>
        <v/>
      </c>
      <c r="J117" s="37" t="str">
        <f>IF(Agent01_Withdrawals!A122="","",Agent01_Withdrawals!J122)</f>
        <v/>
      </c>
      <c r="K117" s="37" t="str">
        <f>IF(Agent01_Withdrawals!A122="","",Agent01_Withdrawals!K122)</f>
        <v/>
      </c>
      <c r="L117" s="37" t="str">
        <f>IF(G117="","",IF(D117-G117&gt;=System_Config!$B$9,"✅ OK","⚠️ BREACH"))</f>
        <v/>
      </c>
      <c r="M117" s="37" t="str">
        <f>IFERROR(IF(Agent01_Withdrawals!A122="","",YEAR(Agent01_Withdrawals!D122)),"")</f>
        <v/>
      </c>
    </row>
    <row r="118" spans="1:13" ht="18" customHeight="1" x14ac:dyDescent="0.25">
      <c r="A118" s="37" t="str">
        <f>IF(Agent01_Withdrawals!A123="","",Agent01_Withdrawals!A123)</f>
        <v/>
      </c>
      <c r="B118" s="37" t="str">
        <f ca="1">IF(Agent01_Withdrawals!A123="","","WD"&amp;TEXT(118-3,"0000")&amp;"-"&amp;TEXT(TODAY(),"YYYYMMDD"))</f>
        <v/>
      </c>
      <c r="C118" s="37" t="str">
        <f>IF(Agent01_Withdrawals!A123="","",Agent01_Withdrawals!B123)</f>
        <v/>
      </c>
      <c r="D118" s="40" t="str">
        <f>IF(Agent01_Withdrawals!A123="","",Agent01_Withdrawals!C123)</f>
        <v/>
      </c>
      <c r="E118" s="38" t="str">
        <f>IF(Agent01_Withdrawals!A123="","",Agent01_Withdrawals!D123)</f>
        <v/>
      </c>
      <c r="F118" s="37" t="str">
        <f>IF(Agent01_Withdrawals!A123="","",Agent01_Withdrawals!F123)</f>
        <v/>
      </c>
      <c r="G118" s="39" t="str">
        <f>IF(Agent01_Withdrawals!A123="","",Agent01_Withdrawals!E123)</f>
        <v/>
      </c>
      <c r="H118" s="39" t="str">
        <f>IF(Agent01_Withdrawals!A123="","",Agent01_Withdrawals!G123)</f>
        <v/>
      </c>
      <c r="I118" s="37" t="str">
        <f>IF(Agent01_Withdrawals!A123="","",Agent01_Withdrawals!H123)</f>
        <v/>
      </c>
      <c r="J118" s="37" t="str">
        <f>IF(Agent01_Withdrawals!A123="","",Agent01_Withdrawals!J123)</f>
        <v/>
      </c>
      <c r="K118" s="37" t="str">
        <f>IF(Agent01_Withdrawals!A123="","",Agent01_Withdrawals!K123)</f>
        <v/>
      </c>
      <c r="L118" s="37" t="str">
        <f>IF(G118="","",IF(D118-G118&gt;=System_Config!$B$9,"✅ OK","⚠️ BREACH"))</f>
        <v/>
      </c>
      <c r="M118" s="37" t="str">
        <f>IFERROR(IF(Agent01_Withdrawals!A123="","",YEAR(Agent01_Withdrawals!D123)),"")</f>
        <v/>
      </c>
    </row>
    <row r="119" spans="1:13" ht="18" customHeight="1" x14ac:dyDescent="0.25">
      <c r="A119" s="37" t="str">
        <f>IF(Agent01_Withdrawals!A124="","",Agent01_Withdrawals!A124)</f>
        <v/>
      </c>
      <c r="B119" s="37" t="str">
        <f ca="1">IF(Agent01_Withdrawals!A124="","","WD"&amp;TEXT(119-3,"0000")&amp;"-"&amp;TEXT(TODAY(),"YYYYMMDD"))</f>
        <v/>
      </c>
      <c r="C119" s="37" t="str">
        <f>IF(Agent01_Withdrawals!A124="","",Agent01_Withdrawals!B124)</f>
        <v/>
      </c>
      <c r="D119" s="40" t="str">
        <f>IF(Agent01_Withdrawals!A124="","",Agent01_Withdrawals!C124)</f>
        <v/>
      </c>
      <c r="E119" s="38" t="str">
        <f>IF(Agent01_Withdrawals!A124="","",Agent01_Withdrawals!D124)</f>
        <v/>
      </c>
      <c r="F119" s="37" t="str">
        <f>IF(Agent01_Withdrawals!A124="","",Agent01_Withdrawals!F124)</f>
        <v/>
      </c>
      <c r="G119" s="39" t="str">
        <f>IF(Agent01_Withdrawals!A124="","",Agent01_Withdrawals!E124)</f>
        <v/>
      </c>
      <c r="H119" s="39" t="str">
        <f>IF(Agent01_Withdrawals!A124="","",Agent01_Withdrawals!G124)</f>
        <v/>
      </c>
      <c r="I119" s="37" t="str">
        <f>IF(Agent01_Withdrawals!A124="","",Agent01_Withdrawals!H124)</f>
        <v/>
      </c>
      <c r="J119" s="37" t="str">
        <f>IF(Agent01_Withdrawals!A124="","",Agent01_Withdrawals!J124)</f>
        <v/>
      </c>
      <c r="K119" s="37" t="str">
        <f>IF(Agent01_Withdrawals!A124="","",Agent01_Withdrawals!K124)</f>
        <v/>
      </c>
      <c r="L119" s="37" t="str">
        <f>IF(G119="","",IF(D119-G119&gt;=System_Config!$B$9,"✅ OK","⚠️ BREACH"))</f>
        <v/>
      </c>
      <c r="M119" s="37" t="str">
        <f>IFERROR(IF(Agent01_Withdrawals!A124="","",YEAR(Agent01_Withdrawals!D124)),"")</f>
        <v/>
      </c>
    </row>
    <row r="120" spans="1:13" ht="18" customHeight="1" x14ac:dyDescent="0.25">
      <c r="A120" s="37" t="str">
        <f>IF(Agent01_Withdrawals!A125="","",Agent01_Withdrawals!A125)</f>
        <v/>
      </c>
      <c r="B120" s="37" t="str">
        <f ca="1">IF(Agent01_Withdrawals!A125="","","WD"&amp;TEXT(120-3,"0000")&amp;"-"&amp;TEXT(TODAY(),"YYYYMMDD"))</f>
        <v/>
      </c>
      <c r="C120" s="37" t="str">
        <f>IF(Agent01_Withdrawals!A125="","",Agent01_Withdrawals!B125)</f>
        <v/>
      </c>
      <c r="D120" s="40" t="str">
        <f>IF(Agent01_Withdrawals!A125="","",Agent01_Withdrawals!C125)</f>
        <v/>
      </c>
      <c r="E120" s="38" t="str">
        <f>IF(Agent01_Withdrawals!A125="","",Agent01_Withdrawals!D125)</f>
        <v/>
      </c>
      <c r="F120" s="37" t="str">
        <f>IF(Agent01_Withdrawals!A125="","",Agent01_Withdrawals!F125)</f>
        <v/>
      </c>
      <c r="G120" s="39" t="str">
        <f>IF(Agent01_Withdrawals!A125="","",Agent01_Withdrawals!E125)</f>
        <v/>
      </c>
      <c r="H120" s="39" t="str">
        <f>IF(Agent01_Withdrawals!A125="","",Agent01_Withdrawals!G125)</f>
        <v/>
      </c>
      <c r="I120" s="37" t="str">
        <f>IF(Agent01_Withdrawals!A125="","",Agent01_Withdrawals!H125)</f>
        <v/>
      </c>
      <c r="J120" s="37" t="str">
        <f>IF(Agent01_Withdrawals!A125="","",Agent01_Withdrawals!J125)</f>
        <v/>
      </c>
      <c r="K120" s="37" t="str">
        <f>IF(Agent01_Withdrawals!A125="","",Agent01_Withdrawals!K125)</f>
        <v/>
      </c>
      <c r="L120" s="37" t="str">
        <f>IF(G120="","",IF(D120-G120&gt;=System_Config!$B$9,"✅ OK","⚠️ BREACH"))</f>
        <v/>
      </c>
      <c r="M120" s="37" t="str">
        <f>IFERROR(IF(Agent01_Withdrawals!A125="","",YEAR(Agent01_Withdrawals!D125)),"")</f>
        <v/>
      </c>
    </row>
    <row r="121" spans="1:13" ht="18" customHeight="1" x14ac:dyDescent="0.25">
      <c r="A121" s="37" t="str">
        <f>IF(Agent01_Withdrawals!A126="","",Agent01_Withdrawals!A126)</f>
        <v/>
      </c>
      <c r="B121" s="37" t="str">
        <f ca="1">IF(Agent01_Withdrawals!A126="","","WD"&amp;TEXT(121-3,"0000")&amp;"-"&amp;TEXT(TODAY(),"YYYYMMDD"))</f>
        <v/>
      </c>
      <c r="C121" s="37" t="str">
        <f>IF(Agent01_Withdrawals!A126="","",Agent01_Withdrawals!B126)</f>
        <v/>
      </c>
      <c r="D121" s="40" t="str">
        <f>IF(Agent01_Withdrawals!A126="","",Agent01_Withdrawals!C126)</f>
        <v/>
      </c>
      <c r="E121" s="38" t="str">
        <f>IF(Agent01_Withdrawals!A126="","",Agent01_Withdrawals!D126)</f>
        <v/>
      </c>
      <c r="F121" s="37" t="str">
        <f>IF(Agent01_Withdrawals!A126="","",Agent01_Withdrawals!F126)</f>
        <v/>
      </c>
      <c r="G121" s="39" t="str">
        <f>IF(Agent01_Withdrawals!A126="","",Agent01_Withdrawals!E126)</f>
        <v/>
      </c>
      <c r="H121" s="39" t="str">
        <f>IF(Agent01_Withdrawals!A126="","",Agent01_Withdrawals!G126)</f>
        <v/>
      </c>
      <c r="I121" s="37" t="str">
        <f>IF(Agent01_Withdrawals!A126="","",Agent01_Withdrawals!H126)</f>
        <v/>
      </c>
      <c r="J121" s="37" t="str">
        <f>IF(Agent01_Withdrawals!A126="","",Agent01_Withdrawals!J126)</f>
        <v/>
      </c>
      <c r="K121" s="37" t="str">
        <f>IF(Agent01_Withdrawals!A126="","",Agent01_Withdrawals!K126)</f>
        <v/>
      </c>
      <c r="L121" s="37" t="str">
        <f>IF(G121="","",IF(D121-G121&gt;=System_Config!$B$9,"✅ OK","⚠️ BREACH"))</f>
        <v/>
      </c>
      <c r="M121" s="37" t="str">
        <f>IFERROR(IF(Agent01_Withdrawals!A126="","",YEAR(Agent01_Withdrawals!D126)),"")</f>
        <v/>
      </c>
    </row>
    <row r="122" spans="1:13" ht="18" customHeight="1" x14ac:dyDescent="0.25">
      <c r="A122" s="37" t="str">
        <f>IF(Agent01_Withdrawals!A127="","",Agent01_Withdrawals!A127)</f>
        <v/>
      </c>
      <c r="B122" s="37" t="str">
        <f ca="1">IF(Agent01_Withdrawals!A127="","","WD"&amp;TEXT(122-3,"0000")&amp;"-"&amp;TEXT(TODAY(),"YYYYMMDD"))</f>
        <v/>
      </c>
      <c r="C122" s="37" t="str">
        <f>IF(Agent01_Withdrawals!A127="","",Agent01_Withdrawals!B127)</f>
        <v/>
      </c>
      <c r="D122" s="40" t="str">
        <f>IF(Agent01_Withdrawals!A127="","",Agent01_Withdrawals!C127)</f>
        <v/>
      </c>
      <c r="E122" s="38" t="str">
        <f>IF(Agent01_Withdrawals!A127="","",Agent01_Withdrawals!D127)</f>
        <v/>
      </c>
      <c r="F122" s="37" t="str">
        <f>IF(Agent01_Withdrawals!A127="","",Agent01_Withdrawals!F127)</f>
        <v/>
      </c>
      <c r="G122" s="39" t="str">
        <f>IF(Agent01_Withdrawals!A127="","",Agent01_Withdrawals!E127)</f>
        <v/>
      </c>
      <c r="H122" s="39" t="str">
        <f>IF(Agent01_Withdrawals!A127="","",Agent01_Withdrawals!G127)</f>
        <v/>
      </c>
      <c r="I122" s="37" t="str">
        <f>IF(Agent01_Withdrawals!A127="","",Agent01_Withdrawals!H127)</f>
        <v/>
      </c>
      <c r="J122" s="37" t="str">
        <f>IF(Agent01_Withdrawals!A127="","",Agent01_Withdrawals!J127)</f>
        <v/>
      </c>
      <c r="K122" s="37" t="str">
        <f>IF(Agent01_Withdrawals!A127="","",Agent01_Withdrawals!K127)</f>
        <v/>
      </c>
      <c r="L122" s="37" t="str">
        <f>IF(G122="","",IF(D122-G122&gt;=System_Config!$B$9,"✅ OK","⚠️ BREACH"))</f>
        <v/>
      </c>
      <c r="M122" s="37" t="str">
        <f>IFERROR(IF(Agent01_Withdrawals!A127="","",YEAR(Agent01_Withdrawals!D127)),"")</f>
        <v/>
      </c>
    </row>
    <row r="123" spans="1:13" ht="18" customHeight="1" x14ac:dyDescent="0.25">
      <c r="A123" s="37" t="str">
        <f>IF(Agent01_Withdrawals!A128="","",Agent01_Withdrawals!A128)</f>
        <v/>
      </c>
      <c r="B123" s="37" t="str">
        <f ca="1">IF(Agent01_Withdrawals!A128="","","WD"&amp;TEXT(123-3,"0000")&amp;"-"&amp;TEXT(TODAY(),"YYYYMMDD"))</f>
        <v/>
      </c>
      <c r="C123" s="37" t="str">
        <f>IF(Agent01_Withdrawals!A128="","",Agent01_Withdrawals!B128)</f>
        <v/>
      </c>
      <c r="D123" s="40" t="str">
        <f>IF(Agent01_Withdrawals!A128="","",Agent01_Withdrawals!C128)</f>
        <v/>
      </c>
      <c r="E123" s="38" t="str">
        <f>IF(Agent01_Withdrawals!A128="","",Agent01_Withdrawals!D128)</f>
        <v/>
      </c>
      <c r="F123" s="37" t="str">
        <f>IF(Agent01_Withdrawals!A128="","",Agent01_Withdrawals!F128)</f>
        <v/>
      </c>
      <c r="G123" s="39" t="str">
        <f>IF(Agent01_Withdrawals!A128="","",Agent01_Withdrawals!E128)</f>
        <v/>
      </c>
      <c r="H123" s="39" t="str">
        <f>IF(Agent01_Withdrawals!A128="","",Agent01_Withdrawals!G128)</f>
        <v/>
      </c>
      <c r="I123" s="37" t="str">
        <f>IF(Agent01_Withdrawals!A128="","",Agent01_Withdrawals!H128)</f>
        <v/>
      </c>
      <c r="J123" s="37" t="str">
        <f>IF(Agent01_Withdrawals!A128="","",Agent01_Withdrawals!J128)</f>
        <v/>
      </c>
      <c r="K123" s="37" t="str">
        <f>IF(Agent01_Withdrawals!A128="","",Agent01_Withdrawals!K128)</f>
        <v/>
      </c>
      <c r="L123" s="37" t="str">
        <f>IF(G123="","",IF(D123-G123&gt;=System_Config!$B$9,"✅ OK","⚠️ BREACH"))</f>
        <v/>
      </c>
      <c r="M123" s="37" t="str">
        <f>IFERROR(IF(Agent01_Withdrawals!A128="","",YEAR(Agent01_Withdrawals!D128)),"")</f>
        <v/>
      </c>
    </row>
    <row r="124" spans="1:13" ht="18" customHeight="1" x14ac:dyDescent="0.25">
      <c r="A124" s="37" t="str">
        <f>IF(Agent01_Withdrawals!A129="","",Agent01_Withdrawals!A129)</f>
        <v/>
      </c>
      <c r="B124" s="37" t="str">
        <f ca="1">IF(Agent01_Withdrawals!A129="","","WD"&amp;TEXT(124-3,"0000")&amp;"-"&amp;TEXT(TODAY(),"YYYYMMDD"))</f>
        <v/>
      </c>
      <c r="C124" s="37" t="str">
        <f>IF(Agent01_Withdrawals!A129="","",Agent01_Withdrawals!B129)</f>
        <v/>
      </c>
      <c r="D124" s="40" t="str">
        <f>IF(Agent01_Withdrawals!A129="","",Agent01_Withdrawals!C129)</f>
        <v/>
      </c>
      <c r="E124" s="38" t="str">
        <f>IF(Agent01_Withdrawals!A129="","",Agent01_Withdrawals!D129)</f>
        <v/>
      </c>
      <c r="F124" s="37" t="str">
        <f>IF(Agent01_Withdrawals!A129="","",Agent01_Withdrawals!F129)</f>
        <v/>
      </c>
      <c r="G124" s="39" t="str">
        <f>IF(Agent01_Withdrawals!A129="","",Agent01_Withdrawals!E129)</f>
        <v/>
      </c>
      <c r="H124" s="39" t="str">
        <f>IF(Agent01_Withdrawals!A129="","",Agent01_Withdrawals!G129)</f>
        <v/>
      </c>
      <c r="I124" s="37" t="str">
        <f>IF(Agent01_Withdrawals!A129="","",Agent01_Withdrawals!H129)</f>
        <v/>
      </c>
      <c r="J124" s="37" t="str">
        <f>IF(Agent01_Withdrawals!A129="","",Agent01_Withdrawals!J129)</f>
        <v/>
      </c>
      <c r="K124" s="37" t="str">
        <f>IF(Agent01_Withdrawals!A129="","",Agent01_Withdrawals!K129)</f>
        <v/>
      </c>
      <c r="L124" s="37" t="str">
        <f>IF(G124="","",IF(D124-G124&gt;=System_Config!$B$9,"✅ OK","⚠️ BREACH"))</f>
        <v/>
      </c>
      <c r="M124" s="37" t="str">
        <f>IFERROR(IF(Agent01_Withdrawals!A129="","",YEAR(Agent01_Withdrawals!D129)),"")</f>
        <v/>
      </c>
    </row>
    <row r="125" spans="1:13" ht="18" customHeight="1" x14ac:dyDescent="0.25">
      <c r="A125" s="37" t="str">
        <f>IF(Agent01_Withdrawals!A130="","",Agent01_Withdrawals!A130)</f>
        <v/>
      </c>
      <c r="B125" s="37" t="str">
        <f ca="1">IF(Agent01_Withdrawals!A130="","","WD"&amp;TEXT(125-3,"0000")&amp;"-"&amp;TEXT(TODAY(),"YYYYMMDD"))</f>
        <v/>
      </c>
      <c r="C125" s="37" t="str">
        <f>IF(Agent01_Withdrawals!A130="","",Agent01_Withdrawals!B130)</f>
        <v/>
      </c>
      <c r="D125" s="40" t="str">
        <f>IF(Agent01_Withdrawals!A130="","",Agent01_Withdrawals!C130)</f>
        <v/>
      </c>
      <c r="E125" s="38" t="str">
        <f>IF(Agent01_Withdrawals!A130="","",Agent01_Withdrawals!D130)</f>
        <v/>
      </c>
      <c r="F125" s="37" t="str">
        <f>IF(Agent01_Withdrawals!A130="","",Agent01_Withdrawals!F130)</f>
        <v/>
      </c>
      <c r="G125" s="39" t="str">
        <f>IF(Agent01_Withdrawals!A130="","",Agent01_Withdrawals!E130)</f>
        <v/>
      </c>
      <c r="H125" s="39" t="str">
        <f>IF(Agent01_Withdrawals!A130="","",Agent01_Withdrawals!G130)</f>
        <v/>
      </c>
      <c r="I125" s="37" t="str">
        <f>IF(Agent01_Withdrawals!A130="","",Agent01_Withdrawals!H130)</f>
        <v/>
      </c>
      <c r="J125" s="37" t="str">
        <f>IF(Agent01_Withdrawals!A130="","",Agent01_Withdrawals!J130)</f>
        <v/>
      </c>
      <c r="K125" s="37" t="str">
        <f>IF(Agent01_Withdrawals!A130="","",Agent01_Withdrawals!K130)</f>
        <v/>
      </c>
      <c r="L125" s="37" t="str">
        <f>IF(G125="","",IF(D125-G125&gt;=System_Config!$B$9,"✅ OK","⚠️ BREACH"))</f>
        <v/>
      </c>
      <c r="M125" s="37" t="str">
        <f>IFERROR(IF(Agent01_Withdrawals!A130="","",YEAR(Agent01_Withdrawals!D130)),"")</f>
        <v/>
      </c>
    </row>
    <row r="126" spans="1:13" ht="18" customHeight="1" x14ac:dyDescent="0.25">
      <c r="A126" s="37" t="str">
        <f>IF(Agent01_Withdrawals!A131="","",Agent01_Withdrawals!A131)</f>
        <v/>
      </c>
      <c r="B126" s="37" t="str">
        <f ca="1">IF(Agent01_Withdrawals!A131="","","WD"&amp;TEXT(126-3,"0000")&amp;"-"&amp;TEXT(TODAY(),"YYYYMMDD"))</f>
        <v/>
      </c>
      <c r="C126" s="37" t="str">
        <f>IF(Agent01_Withdrawals!A131="","",Agent01_Withdrawals!B131)</f>
        <v/>
      </c>
      <c r="D126" s="40" t="str">
        <f>IF(Agent01_Withdrawals!A131="","",Agent01_Withdrawals!C131)</f>
        <v/>
      </c>
      <c r="E126" s="38" t="str">
        <f>IF(Agent01_Withdrawals!A131="","",Agent01_Withdrawals!D131)</f>
        <v/>
      </c>
      <c r="F126" s="37" t="str">
        <f>IF(Agent01_Withdrawals!A131="","",Agent01_Withdrawals!F131)</f>
        <v/>
      </c>
      <c r="G126" s="39" t="str">
        <f>IF(Agent01_Withdrawals!A131="","",Agent01_Withdrawals!E131)</f>
        <v/>
      </c>
      <c r="H126" s="39" t="str">
        <f>IF(Agent01_Withdrawals!A131="","",Agent01_Withdrawals!G131)</f>
        <v/>
      </c>
      <c r="I126" s="37" t="str">
        <f>IF(Agent01_Withdrawals!A131="","",Agent01_Withdrawals!H131)</f>
        <v/>
      </c>
      <c r="J126" s="37" t="str">
        <f>IF(Agent01_Withdrawals!A131="","",Agent01_Withdrawals!J131)</f>
        <v/>
      </c>
      <c r="K126" s="37" t="str">
        <f>IF(Agent01_Withdrawals!A131="","",Agent01_Withdrawals!K131)</f>
        <v/>
      </c>
      <c r="L126" s="37" t="str">
        <f>IF(G126="","",IF(D126-G126&gt;=System_Config!$B$9,"✅ OK","⚠️ BREACH"))</f>
        <v/>
      </c>
      <c r="M126" s="37" t="str">
        <f>IFERROR(IF(Agent01_Withdrawals!A131="","",YEAR(Agent01_Withdrawals!D131)),"")</f>
        <v/>
      </c>
    </row>
    <row r="127" spans="1:13" ht="18" customHeight="1" x14ac:dyDescent="0.25">
      <c r="A127" s="37" t="str">
        <f>IF(Agent01_Withdrawals!A132="","",Agent01_Withdrawals!A132)</f>
        <v/>
      </c>
      <c r="B127" s="37" t="str">
        <f ca="1">IF(Agent01_Withdrawals!A132="","","WD"&amp;TEXT(127-3,"0000")&amp;"-"&amp;TEXT(TODAY(),"YYYYMMDD"))</f>
        <v/>
      </c>
      <c r="C127" s="37" t="str">
        <f>IF(Agent01_Withdrawals!A132="","",Agent01_Withdrawals!B132)</f>
        <v/>
      </c>
      <c r="D127" s="40" t="str">
        <f>IF(Agent01_Withdrawals!A132="","",Agent01_Withdrawals!C132)</f>
        <v/>
      </c>
      <c r="E127" s="38" t="str">
        <f>IF(Agent01_Withdrawals!A132="","",Agent01_Withdrawals!D132)</f>
        <v/>
      </c>
      <c r="F127" s="37" t="str">
        <f>IF(Agent01_Withdrawals!A132="","",Agent01_Withdrawals!F132)</f>
        <v/>
      </c>
      <c r="G127" s="39" t="str">
        <f>IF(Agent01_Withdrawals!A132="","",Agent01_Withdrawals!E132)</f>
        <v/>
      </c>
      <c r="H127" s="39" t="str">
        <f>IF(Agent01_Withdrawals!A132="","",Agent01_Withdrawals!G132)</f>
        <v/>
      </c>
      <c r="I127" s="37" t="str">
        <f>IF(Agent01_Withdrawals!A132="","",Agent01_Withdrawals!H132)</f>
        <v/>
      </c>
      <c r="J127" s="37" t="str">
        <f>IF(Agent01_Withdrawals!A132="","",Agent01_Withdrawals!J132)</f>
        <v/>
      </c>
      <c r="K127" s="37" t="str">
        <f>IF(Agent01_Withdrawals!A132="","",Agent01_Withdrawals!K132)</f>
        <v/>
      </c>
      <c r="L127" s="37" t="str">
        <f>IF(G127="","",IF(D127-G127&gt;=System_Config!$B$9,"✅ OK","⚠️ BREACH"))</f>
        <v/>
      </c>
      <c r="M127" s="37" t="str">
        <f>IFERROR(IF(Agent01_Withdrawals!A132="","",YEAR(Agent01_Withdrawals!D132)),"")</f>
        <v/>
      </c>
    </row>
    <row r="128" spans="1:13" ht="18" customHeight="1" x14ac:dyDescent="0.25">
      <c r="A128" s="37" t="str">
        <f>IF(Agent01_Withdrawals!A133="","",Agent01_Withdrawals!A133)</f>
        <v/>
      </c>
      <c r="B128" s="37" t="str">
        <f ca="1">IF(Agent01_Withdrawals!A133="","","WD"&amp;TEXT(128-3,"0000")&amp;"-"&amp;TEXT(TODAY(),"YYYYMMDD"))</f>
        <v/>
      </c>
      <c r="C128" s="37" t="str">
        <f>IF(Agent01_Withdrawals!A133="","",Agent01_Withdrawals!B133)</f>
        <v/>
      </c>
      <c r="D128" s="40" t="str">
        <f>IF(Agent01_Withdrawals!A133="","",Agent01_Withdrawals!C133)</f>
        <v/>
      </c>
      <c r="E128" s="38" t="str">
        <f>IF(Agent01_Withdrawals!A133="","",Agent01_Withdrawals!D133)</f>
        <v/>
      </c>
      <c r="F128" s="37" t="str">
        <f>IF(Agent01_Withdrawals!A133="","",Agent01_Withdrawals!F133)</f>
        <v/>
      </c>
      <c r="G128" s="39" t="str">
        <f>IF(Agent01_Withdrawals!A133="","",Agent01_Withdrawals!E133)</f>
        <v/>
      </c>
      <c r="H128" s="39" t="str">
        <f>IF(Agent01_Withdrawals!A133="","",Agent01_Withdrawals!G133)</f>
        <v/>
      </c>
      <c r="I128" s="37" t="str">
        <f>IF(Agent01_Withdrawals!A133="","",Agent01_Withdrawals!H133)</f>
        <v/>
      </c>
      <c r="J128" s="37" t="str">
        <f>IF(Agent01_Withdrawals!A133="","",Agent01_Withdrawals!J133)</f>
        <v/>
      </c>
      <c r="K128" s="37" t="str">
        <f>IF(Agent01_Withdrawals!A133="","",Agent01_Withdrawals!K133)</f>
        <v/>
      </c>
      <c r="L128" s="37" t="str">
        <f>IF(G128="","",IF(D128-G128&gt;=System_Config!$B$9,"✅ OK","⚠️ BREACH"))</f>
        <v/>
      </c>
      <c r="M128" s="37" t="str">
        <f>IFERROR(IF(Agent01_Withdrawals!A133="","",YEAR(Agent01_Withdrawals!D133)),"")</f>
        <v/>
      </c>
    </row>
    <row r="129" spans="1:13" ht="18" customHeight="1" x14ac:dyDescent="0.25">
      <c r="A129" s="37" t="str">
        <f>IF(Agent01_Withdrawals!A134="","",Agent01_Withdrawals!A134)</f>
        <v/>
      </c>
      <c r="B129" s="37" t="str">
        <f ca="1">IF(Agent01_Withdrawals!A134="","","WD"&amp;TEXT(129-3,"0000")&amp;"-"&amp;TEXT(TODAY(),"YYYYMMDD"))</f>
        <v/>
      </c>
      <c r="C129" s="37" t="str">
        <f>IF(Agent01_Withdrawals!A134="","",Agent01_Withdrawals!B134)</f>
        <v/>
      </c>
      <c r="D129" s="40" t="str">
        <f>IF(Agent01_Withdrawals!A134="","",Agent01_Withdrawals!C134)</f>
        <v/>
      </c>
      <c r="E129" s="38" t="str">
        <f>IF(Agent01_Withdrawals!A134="","",Agent01_Withdrawals!D134)</f>
        <v/>
      </c>
      <c r="F129" s="37" t="str">
        <f>IF(Agent01_Withdrawals!A134="","",Agent01_Withdrawals!F134)</f>
        <v/>
      </c>
      <c r="G129" s="39" t="str">
        <f>IF(Agent01_Withdrawals!A134="","",Agent01_Withdrawals!E134)</f>
        <v/>
      </c>
      <c r="H129" s="39" t="str">
        <f>IF(Agent01_Withdrawals!A134="","",Agent01_Withdrawals!G134)</f>
        <v/>
      </c>
      <c r="I129" s="37" t="str">
        <f>IF(Agent01_Withdrawals!A134="","",Agent01_Withdrawals!H134)</f>
        <v/>
      </c>
      <c r="J129" s="37" t="str">
        <f>IF(Agent01_Withdrawals!A134="","",Agent01_Withdrawals!J134)</f>
        <v/>
      </c>
      <c r="K129" s="37" t="str">
        <f>IF(Agent01_Withdrawals!A134="","",Agent01_Withdrawals!K134)</f>
        <v/>
      </c>
      <c r="L129" s="37" t="str">
        <f>IF(G129="","",IF(D129-G129&gt;=System_Config!$B$9,"✅ OK","⚠️ BREACH"))</f>
        <v/>
      </c>
      <c r="M129" s="37" t="str">
        <f>IFERROR(IF(Agent01_Withdrawals!A134="","",YEAR(Agent01_Withdrawals!D134)),"")</f>
        <v/>
      </c>
    </row>
    <row r="130" spans="1:13" ht="18" customHeight="1" x14ac:dyDescent="0.25">
      <c r="A130" s="37" t="str">
        <f>IF(Agent01_Withdrawals!A135="","",Agent01_Withdrawals!A135)</f>
        <v/>
      </c>
      <c r="B130" s="37" t="str">
        <f ca="1">IF(Agent01_Withdrawals!A135="","","WD"&amp;TEXT(130-3,"0000")&amp;"-"&amp;TEXT(TODAY(),"YYYYMMDD"))</f>
        <v/>
      </c>
      <c r="C130" s="37" t="str">
        <f>IF(Agent01_Withdrawals!A135="","",Agent01_Withdrawals!B135)</f>
        <v/>
      </c>
      <c r="D130" s="40" t="str">
        <f>IF(Agent01_Withdrawals!A135="","",Agent01_Withdrawals!C135)</f>
        <v/>
      </c>
      <c r="E130" s="38" t="str">
        <f>IF(Agent01_Withdrawals!A135="","",Agent01_Withdrawals!D135)</f>
        <v/>
      </c>
      <c r="F130" s="37" t="str">
        <f>IF(Agent01_Withdrawals!A135="","",Agent01_Withdrawals!F135)</f>
        <v/>
      </c>
      <c r="G130" s="39" t="str">
        <f>IF(Agent01_Withdrawals!A135="","",Agent01_Withdrawals!E135)</f>
        <v/>
      </c>
      <c r="H130" s="39" t="str">
        <f>IF(Agent01_Withdrawals!A135="","",Agent01_Withdrawals!G135)</f>
        <v/>
      </c>
      <c r="I130" s="37" t="str">
        <f>IF(Agent01_Withdrawals!A135="","",Agent01_Withdrawals!H135)</f>
        <v/>
      </c>
      <c r="J130" s="37" t="str">
        <f>IF(Agent01_Withdrawals!A135="","",Agent01_Withdrawals!J135)</f>
        <v/>
      </c>
      <c r="K130" s="37" t="str">
        <f>IF(Agent01_Withdrawals!A135="","",Agent01_Withdrawals!K135)</f>
        <v/>
      </c>
      <c r="L130" s="37" t="str">
        <f>IF(G130="","",IF(D130-G130&gt;=System_Config!$B$9,"✅ OK","⚠️ BREACH"))</f>
        <v/>
      </c>
      <c r="M130" s="37" t="str">
        <f>IFERROR(IF(Agent01_Withdrawals!A135="","",YEAR(Agent01_Withdrawals!D135)),"")</f>
        <v/>
      </c>
    </row>
    <row r="131" spans="1:13" ht="18" customHeight="1" x14ac:dyDescent="0.25">
      <c r="A131" s="37" t="str">
        <f>IF(Agent01_Withdrawals!A136="","",Agent01_Withdrawals!A136)</f>
        <v/>
      </c>
      <c r="B131" s="37" t="str">
        <f ca="1">IF(Agent01_Withdrawals!A136="","","WD"&amp;TEXT(131-3,"0000")&amp;"-"&amp;TEXT(TODAY(),"YYYYMMDD"))</f>
        <v/>
      </c>
      <c r="C131" s="37" t="str">
        <f>IF(Agent01_Withdrawals!A136="","",Agent01_Withdrawals!B136)</f>
        <v/>
      </c>
      <c r="D131" s="40" t="str">
        <f>IF(Agent01_Withdrawals!A136="","",Agent01_Withdrawals!C136)</f>
        <v/>
      </c>
      <c r="E131" s="38" t="str">
        <f>IF(Agent01_Withdrawals!A136="","",Agent01_Withdrawals!D136)</f>
        <v/>
      </c>
      <c r="F131" s="37" t="str">
        <f>IF(Agent01_Withdrawals!A136="","",Agent01_Withdrawals!F136)</f>
        <v/>
      </c>
      <c r="G131" s="39" t="str">
        <f>IF(Agent01_Withdrawals!A136="","",Agent01_Withdrawals!E136)</f>
        <v/>
      </c>
      <c r="H131" s="39" t="str">
        <f>IF(Agent01_Withdrawals!A136="","",Agent01_Withdrawals!G136)</f>
        <v/>
      </c>
      <c r="I131" s="37" t="str">
        <f>IF(Agent01_Withdrawals!A136="","",Agent01_Withdrawals!H136)</f>
        <v/>
      </c>
      <c r="J131" s="37" t="str">
        <f>IF(Agent01_Withdrawals!A136="","",Agent01_Withdrawals!J136)</f>
        <v/>
      </c>
      <c r="K131" s="37" t="str">
        <f>IF(Agent01_Withdrawals!A136="","",Agent01_Withdrawals!K136)</f>
        <v/>
      </c>
      <c r="L131" s="37" t="str">
        <f>IF(G131="","",IF(D131-G131&gt;=System_Config!$B$9,"✅ OK","⚠️ BREACH"))</f>
        <v/>
      </c>
      <c r="M131" s="37" t="str">
        <f>IFERROR(IF(Agent01_Withdrawals!A136="","",YEAR(Agent01_Withdrawals!D136)),"")</f>
        <v/>
      </c>
    </row>
    <row r="132" spans="1:13" ht="18" customHeight="1" x14ac:dyDescent="0.25">
      <c r="A132" s="37" t="str">
        <f>IF(Agent01_Withdrawals!A137="","",Agent01_Withdrawals!A137)</f>
        <v/>
      </c>
      <c r="B132" s="37" t="str">
        <f ca="1">IF(Agent01_Withdrawals!A137="","","WD"&amp;TEXT(132-3,"0000")&amp;"-"&amp;TEXT(TODAY(),"YYYYMMDD"))</f>
        <v/>
      </c>
      <c r="C132" s="37" t="str">
        <f>IF(Agent01_Withdrawals!A137="","",Agent01_Withdrawals!B137)</f>
        <v/>
      </c>
      <c r="D132" s="40" t="str">
        <f>IF(Agent01_Withdrawals!A137="","",Agent01_Withdrawals!C137)</f>
        <v/>
      </c>
      <c r="E132" s="38" t="str">
        <f>IF(Agent01_Withdrawals!A137="","",Agent01_Withdrawals!D137)</f>
        <v/>
      </c>
      <c r="F132" s="37" t="str">
        <f>IF(Agent01_Withdrawals!A137="","",Agent01_Withdrawals!F137)</f>
        <v/>
      </c>
      <c r="G132" s="39" t="str">
        <f>IF(Agent01_Withdrawals!A137="","",Agent01_Withdrawals!E137)</f>
        <v/>
      </c>
      <c r="H132" s="39" t="str">
        <f>IF(Agent01_Withdrawals!A137="","",Agent01_Withdrawals!G137)</f>
        <v/>
      </c>
      <c r="I132" s="37" t="str">
        <f>IF(Agent01_Withdrawals!A137="","",Agent01_Withdrawals!H137)</f>
        <v/>
      </c>
      <c r="J132" s="37" t="str">
        <f>IF(Agent01_Withdrawals!A137="","",Agent01_Withdrawals!J137)</f>
        <v/>
      </c>
      <c r="K132" s="37" t="str">
        <f>IF(Agent01_Withdrawals!A137="","",Agent01_Withdrawals!K137)</f>
        <v/>
      </c>
      <c r="L132" s="37" t="str">
        <f>IF(G132="","",IF(D132-G132&gt;=System_Config!$B$9,"✅ OK","⚠️ BREACH"))</f>
        <v/>
      </c>
      <c r="M132" s="37" t="str">
        <f>IFERROR(IF(Agent01_Withdrawals!A137="","",YEAR(Agent01_Withdrawals!D137)),"")</f>
        <v/>
      </c>
    </row>
    <row r="133" spans="1:13" ht="18" customHeight="1" x14ac:dyDescent="0.25">
      <c r="A133" s="37" t="str">
        <f>IF(Agent01_Withdrawals!A138="","",Agent01_Withdrawals!A138)</f>
        <v/>
      </c>
      <c r="B133" s="37" t="str">
        <f ca="1">IF(Agent01_Withdrawals!A138="","","WD"&amp;TEXT(133-3,"0000")&amp;"-"&amp;TEXT(TODAY(),"YYYYMMDD"))</f>
        <v/>
      </c>
      <c r="C133" s="37" t="str">
        <f>IF(Agent01_Withdrawals!A138="","",Agent01_Withdrawals!B138)</f>
        <v/>
      </c>
      <c r="D133" s="40" t="str">
        <f>IF(Agent01_Withdrawals!A138="","",Agent01_Withdrawals!C138)</f>
        <v/>
      </c>
      <c r="E133" s="38" t="str">
        <f>IF(Agent01_Withdrawals!A138="","",Agent01_Withdrawals!D138)</f>
        <v/>
      </c>
      <c r="F133" s="37" t="str">
        <f>IF(Agent01_Withdrawals!A138="","",Agent01_Withdrawals!F138)</f>
        <v/>
      </c>
      <c r="G133" s="39" t="str">
        <f>IF(Agent01_Withdrawals!A138="","",Agent01_Withdrawals!E138)</f>
        <v/>
      </c>
      <c r="H133" s="39" t="str">
        <f>IF(Agent01_Withdrawals!A138="","",Agent01_Withdrawals!G138)</f>
        <v/>
      </c>
      <c r="I133" s="37" t="str">
        <f>IF(Agent01_Withdrawals!A138="","",Agent01_Withdrawals!H138)</f>
        <v/>
      </c>
      <c r="J133" s="37" t="str">
        <f>IF(Agent01_Withdrawals!A138="","",Agent01_Withdrawals!J138)</f>
        <v/>
      </c>
      <c r="K133" s="37" t="str">
        <f>IF(Agent01_Withdrawals!A138="","",Agent01_Withdrawals!K138)</f>
        <v/>
      </c>
      <c r="L133" s="37" t="str">
        <f>IF(G133="","",IF(D133-G133&gt;=System_Config!$B$9,"✅ OK","⚠️ BREACH"))</f>
        <v/>
      </c>
      <c r="M133" s="37" t="str">
        <f>IFERROR(IF(Agent01_Withdrawals!A138="","",YEAR(Agent01_Withdrawals!D138)),"")</f>
        <v/>
      </c>
    </row>
    <row r="134" spans="1:13" ht="18" customHeight="1" x14ac:dyDescent="0.25">
      <c r="A134" s="37" t="str">
        <f>IF(Agent01_Withdrawals!A139="","",Agent01_Withdrawals!A139)</f>
        <v/>
      </c>
      <c r="B134" s="37" t="str">
        <f ca="1">IF(Agent01_Withdrawals!A139="","","WD"&amp;TEXT(134-3,"0000")&amp;"-"&amp;TEXT(TODAY(),"YYYYMMDD"))</f>
        <v/>
      </c>
      <c r="C134" s="37" t="str">
        <f>IF(Agent01_Withdrawals!A139="","",Agent01_Withdrawals!B139)</f>
        <v/>
      </c>
      <c r="D134" s="40" t="str">
        <f>IF(Agent01_Withdrawals!A139="","",Agent01_Withdrawals!C139)</f>
        <v/>
      </c>
      <c r="E134" s="38" t="str">
        <f>IF(Agent01_Withdrawals!A139="","",Agent01_Withdrawals!D139)</f>
        <v/>
      </c>
      <c r="F134" s="37" t="str">
        <f>IF(Agent01_Withdrawals!A139="","",Agent01_Withdrawals!F139)</f>
        <v/>
      </c>
      <c r="G134" s="39" t="str">
        <f>IF(Agent01_Withdrawals!A139="","",Agent01_Withdrawals!E139)</f>
        <v/>
      </c>
      <c r="H134" s="39" t="str">
        <f>IF(Agent01_Withdrawals!A139="","",Agent01_Withdrawals!G139)</f>
        <v/>
      </c>
      <c r="I134" s="37" t="str">
        <f>IF(Agent01_Withdrawals!A139="","",Agent01_Withdrawals!H139)</f>
        <v/>
      </c>
      <c r="J134" s="37" t="str">
        <f>IF(Agent01_Withdrawals!A139="","",Agent01_Withdrawals!J139)</f>
        <v/>
      </c>
      <c r="K134" s="37" t="str">
        <f>IF(Agent01_Withdrawals!A139="","",Agent01_Withdrawals!K139)</f>
        <v/>
      </c>
      <c r="L134" s="37" t="str">
        <f>IF(G134="","",IF(D134-G134&gt;=System_Config!$B$9,"✅ OK","⚠️ BREACH"))</f>
        <v/>
      </c>
      <c r="M134" s="37" t="str">
        <f>IFERROR(IF(Agent01_Withdrawals!A139="","",YEAR(Agent01_Withdrawals!D139)),"")</f>
        <v/>
      </c>
    </row>
    <row r="135" spans="1:13" ht="18" customHeight="1" x14ac:dyDescent="0.25">
      <c r="A135" s="37" t="str">
        <f>IF(Agent01_Withdrawals!A140="","",Agent01_Withdrawals!A140)</f>
        <v/>
      </c>
      <c r="B135" s="37" t="str">
        <f ca="1">IF(Agent01_Withdrawals!A140="","","WD"&amp;TEXT(135-3,"0000")&amp;"-"&amp;TEXT(TODAY(),"YYYYMMDD"))</f>
        <v/>
      </c>
      <c r="C135" s="37" t="str">
        <f>IF(Agent01_Withdrawals!A140="","",Agent01_Withdrawals!B140)</f>
        <v/>
      </c>
      <c r="D135" s="40" t="str">
        <f>IF(Agent01_Withdrawals!A140="","",Agent01_Withdrawals!C140)</f>
        <v/>
      </c>
      <c r="E135" s="38" t="str">
        <f>IF(Agent01_Withdrawals!A140="","",Agent01_Withdrawals!D140)</f>
        <v/>
      </c>
      <c r="F135" s="37" t="str">
        <f>IF(Agent01_Withdrawals!A140="","",Agent01_Withdrawals!F140)</f>
        <v/>
      </c>
      <c r="G135" s="39" t="str">
        <f>IF(Agent01_Withdrawals!A140="","",Agent01_Withdrawals!E140)</f>
        <v/>
      </c>
      <c r="H135" s="39" t="str">
        <f>IF(Agent01_Withdrawals!A140="","",Agent01_Withdrawals!G140)</f>
        <v/>
      </c>
      <c r="I135" s="37" t="str">
        <f>IF(Agent01_Withdrawals!A140="","",Agent01_Withdrawals!H140)</f>
        <v/>
      </c>
      <c r="J135" s="37" t="str">
        <f>IF(Agent01_Withdrawals!A140="","",Agent01_Withdrawals!J140)</f>
        <v/>
      </c>
      <c r="K135" s="37" t="str">
        <f>IF(Agent01_Withdrawals!A140="","",Agent01_Withdrawals!K140)</f>
        <v/>
      </c>
      <c r="L135" s="37" t="str">
        <f>IF(G135="","",IF(D135-G135&gt;=System_Config!$B$9,"✅ OK","⚠️ BREACH"))</f>
        <v/>
      </c>
      <c r="M135" s="37" t="str">
        <f>IFERROR(IF(Agent01_Withdrawals!A140="","",YEAR(Agent01_Withdrawals!D140)),"")</f>
        <v/>
      </c>
    </row>
    <row r="136" spans="1:13" ht="18" customHeight="1" x14ac:dyDescent="0.25">
      <c r="A136" s="37" t="str">
        <f>IF(Agent01_Withdrawals!A141="","",Agent01_Withdrawals!A141)</f>
        <v/>
      </c>
      <c r="B136" s="37" t="str">
        <f ca="1">IF(Agent01_Withdrawals!A141="","","WD"&amp;TEXT(136-3,"0000")&amp;"-"&amp;TEXT(TODAY(),"YYYYMMDD"))</f>
        <v/>
      </c>
      <c r="C136" s="37" t="str">
        <f>IF(Agent01_Withdrawals!A141="","",Agent01_Withdrawals!B141)</f>
        <v/>
      </c>
      <c r="D136" s="40" t="str">
        <f>IF(Agent01_Withdrawals!A141="","",Agent01_Withdrawals!C141)</f>
        <v/>
      </c>
      <c r="E136" s="38" t="str">
        <f>IF(Agent01_Withdrawals!A141="","",Agent01_Withdrawals!D141)</f>
        <v/>
      </c>
      <c r="F136" s="37" t="str">
        <f>IF(Agent01_Withdrawals!A141="","",Agent01_Withdrawals!F141)</f>
        <v/>
      </c>
      <c r="G136" s="39" t="str">
        <f>IF(Agent01_Withdrawals!A141="","",Agent01_Withdrawals!E141)</f>
        <v/>
      </c>
      <c r="H136" s="39" t="str">
        <f>IF(Agent01_Withdrawals!A141="","",Agent01_Withdrawals!G141)</f>
        <v/>
      </c>
      <c r="I136" s="37" t="str">
        <f>IF(Agent01_Withdrawals!A141="","",Agent01_Withdrawals!H141)</f>
        <v/>
      </c>
      <c r="J136" s="37" t="str">
        <f>IF(Agent01_Withdrawals!A141="","",Agent01_Withdrawals!J141)</f>
        <v/>
      </c>
      <c r="K136" s="37" t="str">
        <f>IF(Agent01_Withdrawals!A141="","",Agent01_Withdrawals!K141)</f>
        <v/>
      </c>
      <c r="L136" s="37" t="str">
        <f>IF(G136="","",IF(D136-G136&gt;=System_Config!$B$9,"✅ OK","⚠️ BREACH"))</f>
        <v/>
      </c>
      <c r="M136" s="37" t="str">
        <f>IFERROR(IF(Agent01_Withdrawals!A141="","",YEAR(Agent01_Withdrawals!D141)),"")</f>
        <v/>
      </c>
    </row>
    <row r="137" spans="1:13" ht="18" customHeight="1" x14ac:dyDescent="0.25">
      <c r="A137" s="37" t="str">
        <f>IF(Agent01_Withdrawals!A142="","",Agent01_Withdrawals!A142)</f>
        <v/>
      </c>
      <c r="B137" s="37" t="str">
        <f ca="1">IF(Agent01_Withdrawals!A142="","","WD"&amp;TEXT(137-3,"0000")&amp;"-"&amp;TEXT(TODAY(),"YYYYMMDD"))</f>
        <v/>
      </c>
      <c r="C137" s="37" t="str">
        <f>IF(Agent01_Withdrawals!A142="","",Agent01_Withdrawals!B142)</f>
        <v/>
      </c>
      <c r="D137" s="40" t="str">
        <f>IF(Agent01_Withdrawals!A142="","",Agent01_Withdrawals!C142)</f>
        <v/>
      </c>
      <c r="E137" s="38" t="str">
        <f>IF(Agent01_Withdrawals!A142="","",Agent01_Withdrawals!D142)</f>
        <v/>
      </c>
      <c r="F137" s="37" t="str">
        <f>IF(Agent01_Withdrawals!A142="","",Agent01_Withdrawals!F142)</f>
        <v/>
      </c>
      <c r="G137" s="39" t="str">
        <f>IF(Agent01_Withdrawals!A142="","",Agent01_Withdrawals!E142)</f>
        <v/>
      </c>
      <c r="H137" s="39" t="str">
        <f>IF(Agent01_Withdrawals!A142="","",Agent01_Withdrawals!G142)</f>
        <v/>
      </c>
      <c r="I137" s="37" t="str">
        <f>IF(Agent01_Withdrawals!A142="","",Agent01_Withdrawals!H142)</f>
        <v/>
      </c>
      <c r="J137" s="37" t="str">
        <f>IF(Agent01_Withdrawals!A142="","",Agent01_Withdrawals!J142)</f>
        <v/>
      </c>
      <c r="K137" s="37" t="str">
        <f>IF(Agent01_Withdrawals!A142="","",Agent01_Withdrawals!K142)</f>
        <v/>
      </c>
      <c r="L137" s="37" t="str">
        <f>IF(G137="","",IF(D137-G137&gt;=System_Config!$B$9,"✅ OK","⚠️ BREACH"))</f>
        <v/>
      </c>
      <c r="M137" s="37" t="str">
        <f>IFERROR(IF(Agent01_Withdrawals!A142="","",YEAR(Agent01_Withdrawals!D142)),"")</f>
        <v/>
      </c>
    </row>
    <row r="138" spans="1:13" ht="18" customHeight="1" x14ac:dyDescent="0.25">
      <c r="A138" s="37" t="str">
        <f>IF(Agent01_Withdrawals!A143="","",Agent01_Withdrawals!A143)</f>
        <v/>
      </c>
      <c r="B138" s="37" t="str">
        <f ca="1">IF(Agent01_Withdrawals!A143="","","WD"&amp;TEXT(138-3,"0000")&amp;"-"&amp;TEXT(TODAY(),"YYYYMMDD"))</f>
        <v/>
      </c>
      <c r="C138" s="37" t="str">
        <f>IF(Agent01_Withdrawals!A143="","",Agent01_Withdrawals!B143)</f>
        <v/>
      </c>
      <c r="D138" s="40" t="str">
        <f>IF(Agent01_Withdrawals!A143="","",Agent01_Withdrawals!C143)</f>
        <v/>
      </c>
      <c r="E138" s="38" t="str">
        <f>IF(Agent01_Withdrawals!A143="","",Agent01_Withdrawals!D143)</f>
        <v/>
      </c>
      <c r="F138" s="37" t="str">
        <f>IF(Agent01_Withdrawals!A143="","",Agent01_Withdrawals!F143)</f>
        <v/>
      </c>
      <c r="G138" s="39" t="str">
        <f>IF(Agent01_Withdrawals!A143="","",Agent01_Withdrawals!E143)</f>
        <v/>
      </c>
      <c r="H138" s="39" t="str">
        <f>IF(Agent01_Withdrawals!A143="","",Agent01_Withdrawals!G143)</f>
        <v/>
      </c>
      <c r="I138" s="37" t="str">
        <f>IF(Agent01_Withdrawals!A143="","",Agent01_Withdrawals!H143)</f>
        <v/>
      </c>
      <c r="J138" s="37" t="str">
        <f>IF(Agent01_Withdrawals!A143="","",Agent01_Withdrawals!J143)</f>
        <v/>
      </c>
      <c r="K138" s="37" t="str">
        <f>IF(Agent01_Withdrawals!A143="","",Agent01_Withdrawals!K143)</f>
        <v/>
      </c>
      <c r="L138" s="37" t="str">
        <f>IF(G138="","",IF(D138-G138&gt;=System_Config!$B$9,"✅ OK","⚠️ BREACH"))</f>
        <v/>
      </c>
      <c r="M138" s="37" t="str">
        <f>IFERROR(IF(Agent01_Withdrawals!A143="","",YEAR(Agent01_Withdrawals!D143)),"")</f>
        <v/>
      </c>
    </row>
    <row r="139" spans="1:13" ht="18" customHeight="1" x14ac:dyDescent="0.25">
      <c r="A139" s="37" t="str">
        <f>IF(Agent01_Withdrawals!A144="","",Agent01_Withdrawals!A144)</f>
        <v/>
      </c>
      <c r="B139" s="37" t="str">
        <f ca="1">IF(Agent01_Withdrawals!A144="","","WD"&amp;TEXT(139-3,"0000")&amp;"-"&amp;TEXT(TODAY(),"YYYYMMDD"))</f>
        <v/>
      </c>
      <c r="C139" s="37" t="str">
        <f>IF(Agent01_Withdrawals!A144="","",Agent01_Withdrawals!B144)</f>
        <v/>
      </c>
      <c r="D139" s="40" t="str">
        <f>IF(Agent01_Withdrawals!A144="","",Agent01_Withdrawals!C144)</f>
        <v/>
      </c>
      <c r="E139" s="38" t="str">
        <f>IF(Agent01_Withdrawals!A144="","",Agent01_Withdrawals!D144)</f>
        <v/>
      </c>
      <c r="F139" s="37" t="str">
        <f>IF(Agent01_Withdrawals!A144="","",Agent01_Withdrawals!F144)</f>
        <v/>
      </c>
      <c r="G139" s="39" t="str">
        <f>IF(Agent01_Withdrawals!A144="","",Agent01_Withdrawals!E144)</f>
        <v/>
      </c>
      <c r="H139" s="39" t="str">
        <f>IF(Agent01_Withdrawals!A144="","",Agent01_Withdrawals!G144)</f>
        <v/>
      </c>
      <c r="I139" s="37" t="str">
        <f>IF(Agent01_Withdrawals!A144="","",Agent01_Withdrawals!H144)</f>
        <v/>
      </c>
      <c r="J139" s="37" t="str">
        <f>IF(Agent01_Withdrawals!A144="","",Agent01_Withdrawals!J144)</f>
        <v/>
      </c>
      <c r="K139" s="37" t="str">
        <f>IF(Agent01_Withdrawals!A144="","",Agent01_Withdrawals!K144)</f>
        <v/>
      </c>
      <c r="L139" s="37" t="str">
        <f>IF(G139="","",IF(D139-G139&gt;=System_Config!$B$9,"✅ OK","⚠️ BREACH"))</f>
        <v/>
      </c>
      <c r="M139" s="37" t="str">
        <f>IFERROR(IF(Agent01_Withdrawals!A144="","",YEAR(Agent01_Withdrawals!D144)),"")</f>
        <v/>
      </c>
    </row>
    <row r="140" spans="1:13" ht="18" customHeight="1" x14ac:dyDescent="0.25">
      <c r="A140" s="37" t="str">
        <f>IF(Agent01_Withdrawals!A145="","",Agent01_Withdrawals!A145)</f>
        <v/>
      </c>
      <c r="B140" s="37" t="str">
        <f ca="1">IF(Agent01_Withdrawals!A145="","","WD"&amp;TEXT(140-3,"0000")&amp;"-"&amp;TEXT(TODAY(),"YYYYMMDD"))</f>
        <v/>
      </c>
      <c r="C140" s="37" t="str">
        <f>IF(Agent01_Withdrawals!A145="","",Agent01_Withdrawals!B145)</f>
        <v/>
      </c>
      <c r="D140" s="40" t="str">
        <f>IF(Agent01_Withdrawals!A145="","",Agent01_Withdrawals!C145)</f>
        <v/>
      </c>
      <c r="E140" s="38" t="str">
        <f>IF(Agent01_Withdrawals!A145="","",Agent01_Withdrawals!D145)</f>
        <v/>
      </c>
      <c r="F140" s="37" t="str">
        <f>IF(Agent01_Withdrawals!A145="","",Agent01_Withdrawals!F145)</f>
        <v/>
      </c>
      <c r="G140" s="39" t="str">
        <f>IF(Agent01_Withdrawals!A145="","",Agent01_Withdrawals!E145)</f>
        <v/>
      </c>
      <c r="H140" s="39" t="str">
        <f>IF(Agent01_Withdrawals!A145="","",Agent01_Withdrawals!G145)</f>
        <v/>
      </c>
      <c r="I140" s="37" t="str">
        <f>IF(Agent01_Withdrawals!A145="","",Agent01_Withdrawals!H145)</f>
        <v/>
      </c>
      <c r="J140" s="37" t="str">
        <f>IF(Agent01_Withdrawals!A145="","",Agent01_Withdrawals!J145)</f>
        <v/>
      </c>
      <c r="K140" s="37" t="str">
        <f>IF(Agent01_Withdrawals!A145="","",Agent01_Withdrawals!K145)</f>
        <v/>
      </c>
      <c r="L140" s="37" t="str">
        <f>IF(G140="","",IF(D140-G140&gt;=System_Config!$B$9,"✅ OK","⚠️ BREACH"))</f>
        <v/>
      </c>
      <c r="M140" s="37" t="str">
        <f>IFERROR(IF(Agent01_Withdrawals!A145="","",YEAR(Agent01_Withdrawals!D145)),"")</f>
        <v/>
      </c>
    </row>
    <row r="141" spans="1:13" ht="18" customHeight="1" x14ac:dyDescent="0.25">
      <c r="A141" s="37" t="str">
        <f>IF(Agent01_Withdrawals!A146="","",Agent01_Withdrawals!A146)</f>
        <v/>
      </c>
      <c r="B141" s="37" t="str">
        <f ca="1">IF(Agent01_Withdrawals!A146="","","WD"&amp;TEXT(141-3,"0000")&amp;"-"&amp;TEXT(TODAY(),"YYYYMMDD"))</f>
        <v/>
      </c>
      <c r="C141" s="37" t="str">
        <f>IF(Agent01_Withdrawals!A146="","",Agent01_Withdrawals!B146)</f>
        <v/>
      </c>
      <c r="D141" s="40" t="str">
        <f>IF(Agent01_Withdrawals!A146="","",Agent01_Withdrawals!C146)</f>
        <v/>
      </c>
      <c r="E141" s="38" t="str">
        <f>IF(Agent01_Withdrawals!A146="","",Agent01_Withdrawals!D146)</f>
        <v/>
      </c>
      <c r="F141" s="37" t="str">
        <f>IF(Agent01_Withdrawals!A146="","",Agent01_Withdrawals!F146)</f>
        <v/>
      </c>
      <c r="G141" s="39" t="str">
        <f>IF(Agent01_Withdrawals!A146="","",Agent01_Withdrawals!E146)</f>
        <v/>
      </c>
      <c r="H141" s="39" t="str">
        <f>IF(Agent01_Withdrawals!A146="","",Agent01_Withdrawals!G146)</f>
        <v/>
      </c>
      <c r="I141" s="37" t="str">
        <f>IF(Agent01_Withdrawals!A146="","",Agent01_Withdrawals!H146)</f>
        <v/>
      </c>
      <c r="J141" s="37" t="str">
        <f>IF(Agent01_Withdrawals!A146="","",Agent01_Withdrawals!J146)</f>
        <v/>
      </c>
      <c r="K141" s="37" t="str">
        <f>IF(Agent01_Withdrawals!A146="","",Agent01_Withdrawals!K146)</f>
        <v/>
      </c>
      <c r="L141" s="37" t="str">
        <f>IF(G141="","",IF(D141-G141&gt;=System_Config!$B$9,"✅ OK","⚠️ BREACH"))</f>
        <v/>
      </c>
      <c r="M141" s="37" t="str">
        <f>IFERROR(IF(Agent01_Withdrawals!A146="","",YEAR(Agent01_Withdrawals!D146)),"")</f>
        <v/>
      </c>
    </row>
    <row r="142" spans="1:13" ht="18" customHeight="1" x14ac:dyDescent="0.25">
      <c r="A142" s="37" t="str">
        <f>IF(Agent01_Withdrawals!A147="","",Agent01_Withdrawals!A147)</f>
        <v/>
      </c>
      <c r="B142" s="37" t="str">
        <f ca="1">IF(Agent01_Withdrawals!A147="","","WD"&amp;TEXT(142-3,"0000")&amp;"-"&amp;TEXT(TODAY(),"YYYYMMDD"))</f>
        <v/>
      </c>
      <c r="C142" s="37" t="str">
        <f>IF(Agent01_Withdrawals!A147="","",Agent01_Withdrawals!B147)</f>
        <v/>
      </c>
      <c r="D142" s="40" t="str">
        <f>IF(Agent01_Withdrawals!A147="","",Agent01_Withdrawals!C147)</f>
        <v/>
      </c>
      <c r="E142" s="38" t="str">
        <f>IF(Agent01_Withdrawals!A147="","",Agent01_Withdrawals!D147)</f>
        <v/>
      </c>
      <c r="F142" s="37" t="str">
        <f>IF(Agent01_Withdrawals!A147="","",Agent01_Withdrawals!F147)</f>
        <v/>
      </c>
      <c r="G142" s="39" t="str">
        <f>IF(Agent01_Withdrawals!A147="","",Agent01_Withdrawals!E147)</f>
        <v/>
      </c>
      <c r="H142" s="39" t="str">
        <f>IF(Agent01_Withdrawals!A147="","",Agent01_Withdrawals!G147)</f>
        <v/>
      </c>
      <c r="I142" s="37" t="str">
        <f>IF(Agent01_Withdrawals!A147="","",Agent01_Withdrawals!H147)</f>
        <v/>
      </c>
      <c r="J142" s="37" t="str">
        <f>IF(Agent01_Withdrawals!A147="","",Agent01_Withdrawals!J147)</f>
        <v/>
      </c>
      <c r="K142" s="37" t="str">
        <f>IF(Agent01_Withdrawals!A147="","",Agent01_Withdrawals!K147)</f>
        <v/>
      </c>
      <c r="L142" s="37" t="str">
        <f>IF(G142="","",IF(D142-G142&gt;=System_Config!$B$9,"✅ OK","⚠️ BREACH"))</f>
        <v/>
      </c>
      <c r="M142" s="37" t="str">
        <f>IFERROR(IF(Agent01_Withdrawals!A147="","",YEAR(Agent01_Withdrawals!D147)),"")</f>
        <v/>
      </c>
    </row>
    <row r="143" spans="1:13" ht="18" customHeight="1" x14ac:dyDescent="0.25">
      <c r="A143" s="37" t="str">
        <f>IF(Agent01_Withdrawals!A148="","",Agent01_Withdrawals!A148)</f>
        <v/>
      </c>
      <c r="B143" s="37" t="str">
        <f ca="1">IF(Agent01_Withdrawals!A148="","","WD"&amp;TEXT(143-3,"0000")&amp;"-"&amp;TEXT(TODAY(),"YYYYMMDD"))</f>
        <v/>
      </c>
      <c r="C143" s="37" t="str">
        <f>IF(Agent01_Withdrawals!A148="","",Agent01_Withdrawals!B148)</f>
        <v/>
      </c>
      <c r="D143" s="40" t="str">
        <f>IF(Agent01_Withdrawals!A148="","",Agent01_Withdrawals!C148)</f>
        <v/>
      </c>
      <c r="E143" s="38" t="str">
        <f>IF(Agent01_Withdrawals!A148="","",Agent01_Withdrawals!D148)</f>
        <v/>
      </c>
      <c r="F143" s="37" t="str">
        <f>IF(Agent01_Withdrawals!A148="","",Agent01_Withdrawals!F148)</f>
        <v/>
      </c>
      <c r="G143" s="39" t="str">
        <f>IF(Agent01_Withdrawals!A148="","",Agent01_Withdrawals!E148)</f>
        <v/>
      </c>
      <c r="H143" s="39" t="str">
        <f>IF(Agent01_Withdrawals!A148="","",Agent01_Withdrawals!G148)</f>
        <v/>
      </c>
      <c r="I143" s="37" t="str">
        <f>IF(Agent01_Withdrawals!A148="","",Agent01_Withdrawals!H148)</f>
        <v/>
      </c>
      <c r="J143" s="37" t="str">
        <f>IF(Agent01_Withdrawals!A148="","",Agent01_Withdrawals!J148)</f>
        <v/>
      </c>
      <c r="K143" s="37" t="str">
        <f>IF(Agent01_Withdrawals!A148="","",Agent01_Withdrawals!K148)</f>
        <v/>
      </c>
      <c r="L143" s="37" t="str">
        <f>IF(G143="","",IF(D143-G143&gt;=System_Config!$B$9,"✅ OK","⚠️ BREACH"))</f>
        <v/>
      </c>
      <c r="M143" s="37" t="str">
        <f>IFERROR(IF(Agent01_Withdrawals!A148="","",YEAR(Agent01_Withdrawals!D148)),"")</f>
        <v/>
      </c>
    </row>
    <row r="144" spans="1:13" ht="18" customHeight="1" x14ac:dyDescent="0.25">
      <c r="A144" s="37" t="str">
        <f>IF(Agent01_Withdrawals!A149="","",Agent01_Withdrawals!A149)</f>
        <v/>
      </c>
      <c r="B144" s="37" t="str">
        <f ca="1">IF(Agent01_Withdrawals!A149="","","WD"&amp;TEXT(144-3,"0000")&amp;"-"&amp;TEXT(TODAY(),"YYYYMMDD"))</f>
        <v/>
      </c>
      <c r="C144" s="37" t="str">
        <f>IF(Agent01_Withdrawals!A149="","",Agent01_Withdrawals!B149)</f>
        <v/>
      </c>
      <c r="D144" s="40" t="str">
        <f>IF(Agent01_Withdrawals!A149="","",Agent01_Withdrawals!C149)</f>
        <v/>
      </c>
      <c r="E144" s="38" t="str">
        <f>IF(Agent01_Withdrawals!A149="","",Agent01_Withdrawals!D149)</f>
        <v/>
      </c>
      <c r="F144" s="37" t="str">
        <f>IF(Agent01_Withdrawals!A149="","",Agent01_Withdrawals!F149)</f>
        <v/>
      </c>
      <c r="G144" s="39" t="str">
        <f>IF(Agent01_Withdrawals!A149="","",Agent01_Withdrawals!E149)</f>
        <v/>
      </c>
      <c r="H144" s="39" t="str">
        <f>IF(Agent01_Withdrawals!A149="","",Agent01_Withdrawals!G149)</f>
        <v/>
      </c>
      <c r="I144" s="37" t="str">
        <f>IF(Agent01_Withdrawals!A149="","",Agent01_Withdrawals!H149)</f>
        <v/>
      </c>
      <c r="J144" s="37" t="str">
        <f>IF(Agent01_Withdrawals!A149="","",Agent01_Withdrawals!J149)</f>
        <v/>
      </c>
      <c r="K144" s="37" t="str">
        <f>IF(Agent01_Withdrawals!A149="","",Agent01_Withdrawals!K149)</f>
        <v/>
      </c>
      <c r="L144" s="37" t="str">
        <f>IF(G144="","",IF(D144-G144&gt;=System_Config!$B$9,"✅ OK","⚠️ BREACH"))</f>
        <v/>
      </c>
      <c r="M144" s="37" t="str">
        <f>IFERROR(IF(Agent01_Withdrawals!A149="","",YEAR(Agent01_Withdrawals!D149)),"")</f>
        <v/>
      </c>
    </row>
    <row r="145" spans="1:13" ht="18" customHeight="1" x14ac:dyDescent="0.25">
      <c r="A145" s="37" t="str">
        <f>IF(Agent01_Withdrawals!A150="","",Agent01_Withdrawals!A150)</f>
        <v/>
      </c>
      <c r="B145" s="37" t="str">
        <f ca="1">IF(Agent01_Withdrawals!A150="","","WD"&amp;TEXT(145-3,"0000")&amp;"-"&amp;TEXT(TODAY(),"YYYYMMDD"))</f>
        <v/>
      </c>
      <c r="C145" s="37" t="str">
        <f>IF(Agent01_Withdrawals!A150="","",Agent01_Withdrawals!B150)</f>
        <v/>
      </c>
      <c r="D145" s="40" t="str">
        <f>IF(Agent01_Withdrawals!A150="","",Agent01_Withdrawals!C150)</f>
        <v/>
      </c>
      <c r="E145" s="38" t="str">
        <f>IF(Agent01_Withdrawals!A150="","",Agent01_Withdrawals!D150)</f>
        <v/>
      </c>
      <c r="F145" s="37" t="str">
        <f>IF(Agent01_Withdrawals!A150="","",Agent01_Withdrawals!F150)</f>
        <v/>
      </c>
      <c r="G145" s="39" t="str">
        <f>IF(Agent01_Withdrawals!A150="","",Agent01_Withdrawals!E150)</f>
        <v/>
      </c>
      <c r="H145" s="39" t="str">
        <f>IF(Agent01_Withdrawals!A150="","",Agent01_Withdrawals!G150)</f>
        <v/>
      </c>
      <c r="I145" s="37" t="str">
        <f>IF(Agent01_Withdrawals!A150="","",Agent01_Withdrawals!H150)</f>
        <v/>
      </c>
      <c r="J145" s="37" t="str">
        <f>IF(Agent01_Withdrawals!A150="","",Agent01_Withdrawals!J150)</f>
        <v/>
      </c>
      <c r="K145" s="37" t="str">
        <f>IF(Agent01_Withdrawals!A150="","",Agent01_Withdrawals!K150)</f>
        <v/>
      </c>
      <c r="L145" s="37" t="str">
        <f>IF(G145="","",IF(D145-G145&gt;=System_Config!$B$9,"✅ OK","⚠️ BREACH"))</f>
        <v/>
      </c>
      <c r="M145" s="37" t="str">
        <f>IFERROR(IF(Agent01_Withdrawals!A150="","",YEAR(Agent01_Withdrawals!D150)),"")</f>
        <v/>
      </c>
    </row>
    <row r="146" spans="1:13" ht="18" customHeight="1" x14ac:dyDescent="0.25">
      <c r="A146" s="37" t="str">
        <f>IF(Agent01_Withdrawals!A151="","",Agent01_Withdrawals!A151)</f>
        <v/>
      </c>
      <c r="B146" s="37" t="str">
        <f ca="1">IF(Agent01_Withdrawals!A151="","","WD"&amp;TEXT(146-3,"0000")&amp;"-"&amp;TEXT(TODAY(),"YYYYMMDD"))</f>
        <v/>
      </c>
      <c r="C146" s="37" t="str">
        <f>IF(Agent01_Withdrawals!A151="","",Agent01_Withdrawals!B151)</f>
        <v/>
      </c>
      <c r="D146" s="40" t="str">
        <f>IF(Agent01_Withdrawals!A151="","",Agent01_Withdrawals!C151)</f>
        <v/>
      </c>
      <c r="E146" s="38" t="str">
        <f>IF(Agent01_Withdrawals!A151="","",Agent01_Withdrawals!D151)</f>
        <v/>
      </c>
      <c r="F146" s="37" t="str">
        <f>IF(Agent01_Withdrawals!A151="","",Agent01_Withdrawals!F151)</f>
        <v/>
      </c>
      <c r="G146" s="39" t="str">
        <f>IF(Agent01_Withdrawals!A151="","",Agent01_Withdrawals!E151)</f>
        <v/>
      </c>
      <c r="H146" s="39" t="str">
        <f>IF(Agent01_Withdrawals!A151="","",Agent01_Withdrawals!G151)</f>
        <v/>
      </c>
      <c r="I146" s="37" t="str">
        <f>IF(Agent01_Withdrawals!A151="","",Agent01_Withdrawals!H151)</f>
        <v/>
      </c>
      <c r="J146" s="37" t="str">
        <f>IF(Agent01_Withdrawals!A151="","",Agent01_Withdrawals!J151)</f>
        <v/>
      </c>
      <c r="K146" s="37" t="str">
        <f>IF(Agent01_Withdrawals!A151="","",Agent01_Withdrawals!K151)</f>
        <v/>
      </c>
      <c r="L146" s="37" t="str">
        <f>IF(G146="","",IF(D146-G146&gt;=System_Config!$B$9,"✅ OK","⚠️ BREACH"))</f>
        <v/>
      </c>
      <c r="M146" s="37" t="str">
        <f>IFERROR(IF(Agent01_Withdrawals!A151="","",YEAR(Agent01_Withdrawals!D151)),"")</f>
        <v/>
      </c>
    </row>
    <row r="147" spans="1:13" ht="18" customHeight="1" x14ac:dyDescent="0.25">
      <c r="A147" s="37" t="str">
        <f>IF(Agent01_Withdrawals!A152="","",Agent01_Withdrawals!A152)</f>
        <v/>
      </c>
      <c r="B147" s="37" t="str">
        <f ca="1">IF(Agent01_Withdrawals!A152="","","WD"&amp;TEXT(147-3,"0000")&amp;"-"&amp;TEXT(TODAY(),"YYYYMMDD"))</f>
        <v/>
      </c>
      <c r="C147" s="37" t="str">
        <f>IF(Agent01_Withdrawals!A152="","",Agent01_Withdrawals!B152)</f>
        <v/>
      </c>
      <c r="D147" s="40" t="str">
        <f>IF(Agent01_Withdrawals!A152="","",Agent01_Withdrawals!C152)</f>
        <v/>
      </c>
      <c r="E147" s="38" t="str">
        <f>IF(Agent01_Withdrawals!A152="","",Agent01_Withdrawals!D152)</f>
        <v/>
      </c>
      <c r="F147" s="37" t="str">
        <f>IF(Agent01_Withdrawals!A152="","",Agent01_Withdrawals!F152)</f>
        <v/>
      </c>
      <c r="G147" s="39" t="str">
        <f>IF(Agent01_Withdrawals!A152="","",Agent01_Withdrawals!E152)</f>
        <v/>
      </c>
      <c r="H147" s="39" t="str">
        <f>IF(Agent01_Withdrawals!A152="","",Agent01_Withdrawals!G152)</f>
        <v/>
      </c>
      <c r="I147" s="37" t="str">
        <f>IF(Agent01_Withdrawals!A152="","",Agent01_Withdrawals!H152)</f>
        <v/>
      </c>
      <c r="J147" s="37" t="str">
        <f>IF(Agent01_Withdrawals!A152="","",Agent01_Withdrawals!J152)</f>
        <v/>
      </c>
      <c r="K147" s="37" t="str">
        <f>IF(Agent01_Withdrawals!A152="","",Agent01_Withdrawals!K152)</f>
        <v/>
      </c>
      <c r="L147" s="37" t="str">
        <f>IF(G147="","",IF(D147-G147&gt;=System_Config!$B$9,"✅ OK","⚠️ BREACH"))</f>
        <v/>
      </c>
      <c r="M147" s="37" t="str">
        <f>IFERROR(IF(Agent01_Withdrawals!A152="","",YEAR(Agent01_Withdrawals!D152)),"")</f>
        <v/>
      </c>
    </row>
    <row r="148" spans="1:13" ht="18" customHeight="1" x14ac:dyDescent="0.25">
      <c r="A148" s="37" t="str">
        <f>IF(Agent01_Withdrawals!A153="","",Agent01_Withdrawals!A153)</f>
        <v/>
      </c>
      <c r="B148" s="37" t="str">
        <f ca="1">IF(Agent01_Withdrawals!A153="","","WD"&amp;TEXT(148-3,"0000")&amp;"-"&amp;TEXT(TODAY(),"YYYYMMDD"))</f>
        <v/>
      </c>
      <c r="C148" s="37" t="str">
        <f>IF(Agent01_Withdrawals!A153="","",Agent01_Withdrawals!B153)</f>
        <v/>
      </c>
      <c r="D148" s="40" t="str">
        <f>IF(Agent01_Withdrawals!A153="","",Agent01_Withdrawals!C153)</f>
        <v/>
      </c>
      <c r="E148" s="38" t="str">
        <f>IF(Agent01_Withdrawals!A153="","",Agent01_Withdrawals!D153)</f>
        <v/>
      </c>
      <c r="F148" s="37" t="str">
        <f>IF(Agent01_Withdrawals!A153="","",Agent01_Withdrawals!F153)</f>
        <v/>
      </c>
      <c r="G148" s="39" t="str">
        <f>IF(Agent01_Withdrawals!A153="","",Agent01_Withdrawals!E153)</f>
        <v/>
      </c>
      <c r="H148" s="39" t="str">
        <f>IF(Agent01_Withdrawals!A153="","",Agent01_Withdrawals!G153)</f>
        <v/>
      </c>
      <c r="I148" s="37" t="str">
        <f>IF(Agent01_Withdrawals!A153="","",Agent01_Withdrawals!H153)</f>
        <v/>
      </c>
      <c r="J148" s="37" t="str">
        <f>IF(Agent01_Withdrawals!A153="","",Agent01_Withdrawals!J153)</f>
        <v/>
      </c>
      <c r="K148" s="37" t="str">
        <f>IF(Agent01_Withdrawals!A153="","",Agent01_Withdrawals!K153)</f>
        <v/>
      </c>
      <c r="L148" s="37" t="str">
        <f>IF(G148="","",IF(D148-G148&gt;=System_Config!$B$9,"✅ OK","⚠️ BREACH"))</f>
        <v/>
      </c>
      <c r="M148" s="37" t="str">
        <f>IFERROR(IF(Agent01_Withdrawals!A153="","",YEAR(Agent01_Withdrawals!D153)),"")</f>
        <v/>
      </c>
    </row>
    <row r="149" spans="1:13" ht="18" customHeight="1" x14ac:dyDescent="0.25">
      <c r="A149" s="37" t="str">
        <f>IF(Agent01_Withdrawals!A154="","",Agent01_Withdrawals!A154)</f>
        <v/>
      </c>
      <c r="B149" s="37" t="str">
        <f ca="1">IF(Agent01_Withdrawals!A154="","","WD"&amp;TEXT(149-3,"0000")&amp;"-"&amp;TEXT(TODAY(),"YYYYMMDD"))</f>
        <v/>
      </c>
      <c r="C149" s="37" t="str">
        <f>IF(Agent01_Withdrawals!A154="","",Agent01_Withdrawals!B154)</f>
        <v/>
      </c>
      <c r="D149" s="40" t="str">
        <f>IF(Agent01_Withdrawals!A154="","",Agent01_Withdrawals!C154)</f>
        <v/>
      </c>
      <c r="E149" s="38" t="str">
        <f>IF(Agent01_Withdrawals!A154="","",Agent01_Withdrawals!D154)</f>
        <v/>
      </c>
      <c r="F149" s="37" t="str">
        <f>IF(Agent01_Withdrawals!A154="","",Agent01_Withdrawals!F154)</f>
        <v/>
      </c>
      <c r="G149" s="39" t="str">
        <f>IF(Agent01_Withdrawals!A154="","",Agent01_Withdrawals!E154)</f>
        <v/>
      </c>
      <c r="H149" s="39" t="str">
        <f>IF(Agent01_Withdrawals!A154="","",Agent01_Withdrawals!G154)</f>
        <v/>
      </c>
      <c r="I149" s="37" t="str">
        <f>IF(Agent01_Withdrawals!A154="","",Agent01_Withdrawals!H154)</f>
        <v/>
      </c>
      <c r="J149" s="37" t="str">
        <f>IF(Agent01_Withdrawals!A154="","",Agent01_Withdrawals!J154)</f>
        <v/>
      </c>
      <c r="K149" s="37" t="str">
        <f>IF(Agent01_Withdrawals!A154="","",Agent01_Withdrawals!K154)</f>
        <v/>
      </c>
      <c r="L149" s="37" t="str">
        <f>IF(G149="","",IF(D149-G149&gt;=System_Config!$B$9,"✅ OK","⚠️ BREACH"))</f>
        <v/>
      </c>
      <c r="M149" s="37" t="str">
        <f>IFERROR(IF(Agent01_Withdrawals!A154="","",YEAR(Agent01_Withdrawals!D154)),"")</f>
        <v/>
      </c>
    </row>
    <row r="150" spans="1:13" ht="18" customHeight="1" x14ac:dyDescent="0.25">
      <c r="A150" s="37" t="str">
        <f>IF(Agent01_Withdrawals!A155="","",Agent01_Withdrawals!A155)</f>
        <v/>
      </c>
      <c r="B150" s="37" t="str">
        <f ca="1">IF(Agent01_Withdrawals!A155="","","WD"&amp;TEXT(150-3,"0000")&amp;"-"&amp;TEXT(TODAY(),"YYYYMMDD"))</f>
        <v/>
      </c>
      <c r="C150" s="37" t="str">
        <f>IF(Agent01_Withdrawals!A155="","",Agent01_Withdrawals!B155)</f>
        <v/>
      </c>
      <c r="D150" s="40" t="str">
        <f>IF(Agent01_Withdrawals!A155="","",Agent01_Withdrawals!C155)</f>
        <v/>
      </c>
      <c r="E150" s="38" t="str">
        <f>IF(Agent01_Withdrawals!A155="","",Agent01_Withdrawals!D155)</f>
        <v/>
      </c>
      <c r="F150" s="37" t="str">
        <f>IF(Agent01_Withdrawals!A155="","",Agent01_Withdrawals!F155)</f>
        <v/>
      </c>
      <c r="G150" s="39" t="str">
        <f>IF(Agent01_Withdrawals!A155="","",Agent01_Withdrawals!E155)</f>
        <v/>
      </c>
      <c r="H150" s="39" t="str">
        <f>IF(Agent01_Withdrawals!A155="","",Agent01_Withdrawals!G155)</f>
        <v/>
      </c>
      <c r="I150" s="37" t="str">
        <f>IF(Agent01_Withdrawals!A155="","",Agent01_Withdrawals!H155)</f>
        <v/>
      </c>
      <c r="J150" s="37" t="str">
        <f>IF(Agent01_Withdrawals!A155="","",Agent01_Withdrawals!J155)</f>
        <v/>
      </c>
      <c r="K150" s="37" t="str">
        <f>IF(Agent01_Withdrawals!A155="","",Agent01_Withdrawals!K155)</f>
        <v/>
      </c>
      <c r="L150" s="37" t="str">
        <f>IF(G150="","",IF(D150-G150&gt;=System_Config!$B$9,"✅ OK","⚠️ BREACH"))</f>
        <v/>
      </c>
      <c r="M150" s="37" t="str">
        <f>IFERROR(IF(Agent01_Withdrawals!A155="","",YEAR(Agent01_Withdrawals!D155)),"")</f>
        <v/>
      </c>
    </row>
    <row r="151" spans="1:13" ht="18" customHeight="1" x14ac:dyDescent="0.25">
      <c r="A151" s="37" t="str">
        <f>IF(Agent01_Withdrawals!A156="","",Agent01_Withdrawals!A156)</f>
        <v/>
      </c>
      <c r="B151" s="37" t="str">
        <f ca="1">IF(Agent01_Withdrawals!A156="","","WD"&amp;TEXT(151-3,"0000")&amp;"-"&amp;TEXT(TODAY(),"YYYYMMDD"))</f>
        <v/>
      </c>
      <c r="C151" s="37" t="str">
        <f>IF(Agent01_Withdrawals!A156="","",Agent01_Withdrawals!B156)</f>
        <v/>
      </c>
      <c r="D151" s="40" t="str">
        <f>IF(Agent01_Withdrawals!A156="","",Agent01_Withdrawals!C156)</f>
        <v/>
      </c>
      <c r="E151" s="38" t="str">
        <f>IF(Agent01_Withdrawals!A156="","",Agent01_Withdrawals!D156)</f>
        <v/>
      </c>
      <c r="F151" s="37" t="str">
        <f>IF(Agent01_Withdrawals!A156="","",Agent01_Withdrawals!F156)</f>
        <v/>
      </c>
      <c r="G151" s="39" t="str">
        <f>IF(Agent01_Withdrawals!A156="","",Agent01_Withdrawals!E156)</f>
        <v/>
      </c>
      <c r="H151" s="39" t="str">
        <f>IF(Agent01_Withdrawals!A156="","",Agent01_Withdrawals!G156)</f>
        <v/>
      </c>
      <c r="I151" s="37" t="str">
        <f>IF(Agent01_Withdrawals!A156="","",Agent01_Withdrawals!H156)</f>
        <v/>
      </c>
      <c r="J151" s="37" t="str">
        <f>IF(Agent01_Withdrawals!A156="","",Agent01_Withdrawals!J156)</f>
        <v/>
      </c>
      <c r="K151" s="37" t="str">
        <f>IF(Agent01_Withdrawals!A156="","",Agent01_Withdrawals!K156)</f>
        <v/>
      </c>
      <c r="L151" s="37" t="str">
        <f>IF(G151="","",IF(D151-G151&gt;=System_Config!$B$9,"✅ OK","⚠️ BREACH"))</f>
        <v/>
      </c>
      <c r="M151" s="37" t="str">
        <f>IFERROR(IF(Agent01_Withdrawals!A156="","",YEAR(Agent01_Withdrawals!D156)),"")</f>
        <v/>
      </c>
    </row>
    <row r="152" spans="1:13" ht="18" customHeight="1" x14ac:dyDescent="0.25">
      <c r="A152" s="37" t="str">
        <f>IF(Agent01_Withdrawals!A157="","",Agent01_Withdrawals!A157)</f>
        <v/>
      </c>
      <c r="B152" s="37" t="str">
        <f ca="1">IF(Agent01_Withdrawals!A157="","","WD"&amp;TEXT(152-3,"0000")&amp;"-"&amp;TEXT(TODAY(),"YYYYMMDD"))</f>
        <v/>
      </c>
      <c r="C152" s="37" t="str">
        <f>IF(Agent01_Withdrawals!A157="","",Agent01_Withdrawals!B157)</f>
        <v/>
      </c>
      <c r="D152" s="40" t="str">
        <f>IF(Agent01_Withdrawals!A157="","",Agent01_Withdrawals!C157)</f>
        <v/>
      </c>
      <c r="E152" s="38" t="str">
        <f>IF(Agent01_Withdrawals!A157="","",Agent01_Withdrawals!D157)</f>
        <v/>
      </c>
      <c r="F152" s="37" t="str">
        <f>IF(Agent01_Withdrawals!A157="","",Agent01_Withdrawals!F157)</f>
        <v/>
      </c>
      <c r="G152" s="39" t="str">
        <f>IF(Agent01_Withdrawals!A157="","",Agent01_Withdrawals!E157)</f>
        <v/>
      </c>
      <c r="H152" s="39" t="str">
        <f>IF(Agent01_Withdrawals!A157="","",Agent01_Withdrawals!G157)</f>
        <v/>
      </c>
      <c r="I152" s="37" t="str">
        <f>IF(Agent01_Withdrawals!A157="","",Agent01_Withdrawals!H157)</f>
        <v/>
      </c>
      <c r="J152" s="37" t="str">
        <f>IF(Agent01_Withdrawals!A157="","",Agent01_Withdrawals!J157)</f>
        <v/>
      </c>
      <c r="K152" s="37" t="str">
        <f>IF(Agent01_Withdrawals!A157="","",Agent01_Withdrawals!K157)</f>
        <v/>
      </c>
      <c r="L152" s="37" t="str">
        <f>IF(G152="","",IF(D152-G152&gt;=System_Config!$B$9,"✅ OK","⚠️ BREACH"))</f>
        <v/>
      </c>
      <c r="M152" s="37" t="str">
        <f>IFERROR(IF(Agent01_Withdrawals!A157="","",YEAR(Agent01_Withdrawals!D157)),"")</f>
        <v/>
      </c>
    </row>
    <row r="153" spans="1:13" ht="18" customHeight="1" x14ac:dyDescent="0.25">
      <c r="A153" s="37" t="str">
        <f>IF(Agent01_Withdrawals!A158="","",Agent01_Withdrawals!A158)</f>
        <v/>
      </c>
      <c r="B153" s="37" t="str">
        <f ca="1">IF(Agent01_Withdrawals!A158="","","WD"&amp;TEXT(153-3,"0000")&amp;"-"&amp;TEXT(TODAY(),"YYYYMMDD"))</f>
        <v/>
      </c>
      <c r="C153" s="37" t="str">
        <f>IF(Agent01_Withdrawals!A158="","",Agent01_Withdrawals!B158)</f>
        <v/>
      </c>
      <c r="D153" s="40" t="str">
        <f>IF(Agent01_Withdrawals!A158="","",Agent01_Withdrawals!C158)</f>
        <v/>
      </c>
      <c r="E153" s="38" t="str">
        <f>IF(Agent01_Withdrawals!A158="","",Agent01_Withdrawals!D158)</f>
        <v/>
      </c>
      <c r="F153" s="37" t="str">
        <f>IF(Agent01_Withdrawals!A158="","",Agent01_Withdrawals!F158)</f>
        <v/>
      </c>
      <c r="G153" s="39" t="str">
        <f>IF(Agent01_Withdrawals!A158="","",Agent01_Withdrawals!E158)</f>
        <v/>
      </c>
      <c r="H153" s="39" t="str">
        <f>IF(Agent01_Withdrawals!A158="","",Agent01_Withdrawals!G158)</f>
        <v/>
      </c>
      <c r="I153" s="37" t="str">
        <f>IF(Agent01_Withdrawals!A158="","",Agent01_Withdrawals!H158)</f>
        <v/>
      </c>
      <c r="J153" s="37" t="str">
        <f>IF(Agent01_Withdrawals!A158="","",Agent01_Withdrawals!J158)</f>
        <v/>
      </c>
      <c r="K153" s="37" t="str">
        <f>IF(Agent01_Withdrawals!A158="","",Agent01_Withdrawals!K158)</f>
        <v/>
      </c>
      <c r="L153" s="37" t="str">
        <f>IF(G153="","",IF(D153-G153&gt;=System_Config!$B$9,"✅ OK","⚠️ BREACH"))</f>
        <v/>
      </c>
      <c r="M153" s="37" t="str">
        <f>IFERROR(IF(Agent01_Withdrawals!A158="","",YEAR(Agent01_Withdrawals!D158)),"")</f>
        <v/>
      </c>
    </row>
    <row r="154" spans="1:13" ht="18" customHeight="1" x14ac:dyDescent="0.25">
      <c r="A154" s="37" t="str">
        <f>IF(Agent01_Withdrawals!A159="","",Agent01_Withdrawals!A159)</f>
        <v/>
      </c>
      <c r="B154" s="37" t="str">
        <f ca="1">IF(Agent01_Withdrawals!A159="","","WD"&amp;TEXT(154-3,"0000")&amp;"-"&amp;TEXT(TODAY(),"YYYYMMDD"))</f>
        <v/>
      </c>
      <c r="C154" s="37" t="str">
        <f>IF(Agent01_Withdrawals!A159="","",Agent01_Withdrawals!B159)</f>
        <v/>
      </c>
      <c r="D154" s="40" t="str">
        <f>IF(Agent01_Withdrawals!A159="","",Agent01_Withdrawals!C159)</f>
        <v/>
      </c>
      <c r="E154" s="38" t="str">
        <f>IF(Agent01_Withdrawals!A159="","",Agent01_Withdrawals!D159)</f>
        <v/>
      </c>
      <c r="F154" s="37" t="str">
        <f>IF(Agent01_Withdrawals!A159="","",Agent01_Withdrawals!F159)</f>
        <v/>
      </c>
      <c r="G154" s="39" t="str">
        <f>IF(Agent01_Withdrawals!A159="","",Agent01_Withdrawals!E159)</f>
        <v/>
      </c>
      <c r="H154" s="39" t="str">
        <f>IF(Agent01_Withdrawals!A159="","",Agent01_Withdrawals!G159)</f>
        <v/>
      </c>
      <c r="I154" s="37" t="str">
        <f>IF(Agent01_Withdrawals!A159="","",Agent01_Withdrawals!H159)</f>
        <v/>
      </c>
      <c r="J154" s="37" t="str">
        <f>IF(Agent01_Withdrawals!A159="","",Agent01_Withdrawals!J159)</f>
        <v/>
      </c>
      <c r="K154" s="37" t="str">
        <f>IF(Agent01_Withdrawals!A159="","",Agent01_Withdrawals!K159)</f>
        <v/>
      </c>
      <c r="L154" s="37" t="str">
        <f>IF(G154="","",IF(D154-G154&gt;=System_Config!$B$9,"✅ OK","⚠️ BREACH"))</f>
        <v/>
      </c>
      <c r="M154" s="37" t="str">
        <f>IFERROR(IF(Agent01_Withdrawals!A159="","",YEAR(Agent01_Withdrawals!D159)),"")</f>
        <v/>
      </c>
    </row>
    <row r="155" spans="1:13" ht="18" customHeight="1" x14ac:dyDescent="0.25">
      <c r="A155" s="37" t="str">
        <f>IF(Agent01_Withdrawals!A160="","",Agent01_Withdrawals!A160)</f>
        <v/>
      </c>
      <c r="B155" s="37" t="str">
        <f ca="1">IF(Agent01_Withdrawals!A160="","","WD"&amp;TEXT(155-3,"0000")&amp;"-"&amp;TEXT(TODAY(),"YYYYMMDD"))</f>
        <v/>
      </c>
      <c r="C155" s="37" t="str">
        <f>IF(Agent01_Withdrawals!A160="","",Agent01_Withdrawals!B160)</f>
        <v/>
      </c>
      <c r="D155" s="40" t="str">
        <f>IF(Agent01_Withdrawals!A160="","",Agent01_Withdrawals!C160)</f>
        <v/>
      </c>
      <c r="E155" s="38" t="str">
        <f>IF(Agent01_Withdrawals!A160="","",Agent01_Withdrawals!D160)</f>
        <v/>
      </c>
      <c r="F155" s="37" t="str">
        <f>IF(Agent01_Withdrawals!A160="","",Agent01_Withdrawals!F160)</f>
        <v/>
      </c>
      <c r="G155" s="39" t="str">
        <f>IF(Agent01_Withdrawals!A160="","",Agent01_Withdrawals!E160)</f>
        <v/>
      </c>
      <c r="H155" s="39" t="str">
        <f>IF(Agent01_Withdrawals!A160="","",Agent01_Withdrawals!G160)</f>
        <v/>
      </c>
      <c r="I155" s="37" t="str">
        <f>IF(Agent01_Withdrawals!A160="","",Agent01_Withdrawals!H160)</f>
        <v/>
      </c>
      <c r="J155" s="37" t="str">
        <f>IF(Agent01_Withdrawals!A160="","",Agent01_Withdrawals!J160)</f>
        <v/>
      </c>
      <c r="K155" s="37" t="str">
        <f>IF(Agent01_Withdrawals!A160="","",Agent01_Withdrawals!K160)</f>
        <v/>
      </c>
      <c r="L155" s="37" t="str">
        <f>IF(G155="","",IF(D155-G155&gt;=System_Config!$B$9,"✅ OK","⚠️ BREACH"))</f>
        <v/>
      </c>
      <c r="M155" s="37" t="str">
        <f>IFERROR(IF(Agent01_Withdrawals!A160="","",YEAR(Agent01_Withdrawals!D160)),"")</f>
        <v/>
      </c>
    </row>
    <row r="156" spans="1:13" ht="18" customHeight="1" x14ac:dyDescent="0.25">
      <c r="A156" s="37" t="str">
        <f>IF(Agent01_Withdrawals!A161="","",Agent01_Withdrawals!A161)</f>
        <v/>
      </c>
      <c r="B156" s="37" t="str">
        <f ca="1">IF(Agent01_Withdrawals!A161="","","WD"&amp;TEXT(156-3,"0000")&amp;"-"&amp;TEXT(TODAY(),"YYYYMMDD"))</f>
        <v/>
      </c>
      <c r="C156" s="37" t="str">
        <f>IF(Agent01_Withdrawals!A161="","",Agent01_Withdrawals!B161)</f>
        <v/>
      </c>
      <c r="D156" s="40" t="str">
        <f>IF(Agent01_Withdrawals!A161="","",Agent01_Withdrawals!C161)</f>
        <v/>
      </c>
      <c r="E156" s="38" t="str">
        <f>IF(Agent01_Withdrawals!A161="","",Agent01_Withdrawals!D161)</f>
        <v/>
      </c>
      <c r="F156" s="37" t="str">
        <f>IF(Agent01_Withdrawals!A161="","",Agent01_Withdrawals!F161)</f>
        <v/>
      </c>
      <c r="G156" s="39" t="str">
        <f>IF(Agent01_Withdrawals!A161="","",Agent01_Withdrawals!E161)</f>
        <v/>
      </c>
      <c r="H156" s="39" t="str">
        <f>IF(Agent01_Withdrawals!A161="","",Agent01_Withdrawals!G161)</f>
        <v/>
      </c>
      <c r="I156" s="37" t="str">
        <f>IF(Agent01_Withdrawals!A161="","",Agent01_Withdrawals!H161)</f>
        <v/>
      </c>
      <c r="J156" s="37" t="str">
        <f>IF(Agent01_Withdrawals!A161="","",Agent01_Withdrawals!J161)</f>
        <v/>
      </c>
      <c r="K156" s="37" t="str">
        <f>IF(Agent01_Withdrawals!A161="","",Agent01_Withdrawals!K161)</f>
        <v/>
      </c>
      <c r="L156" s="37" t="str">
        <f>IF(G156="","",IF(D156-G156&gt;=System_Config!$B$9,"✅ OK","⚠️ BREACH"))</f>
        <v/>
      </c>
      <c r="M156" s="37" t="str">
        <f>IFERROR(IF(Agent01_Withdrawals!A161="","",YEAR(Agent01_Withdrawals!D161)),"")</f>
        <v/>
      </c>
    </row>
    <row r="157" spans="1:13" ht="18" customHeight="1" x14ac:dyDescent="0.25">
      <c r="A157" s="37" t="str">
        <f>IF(Agent01_Withdrawals!A162="","",Agent01_Withdrawals!A162)</f>
        <v/>
      </c>
      <c r="B157" s="37" t="str">
        <f ca="1">IF(Agent01_Withdrawals!A162="","","WD"&amp;TEXT(157-3,"0000")&amp;"-"&amp;TEXT(TODAY(),"YYYYMMDD"))</f>
        <v/>
      </c>
      <c r="C157" s="37" t="str">
        <f>IF(Agent01_Withdrawals!A162="","",Agent01_Withdrawals!B162)</f>
        <v/>
      </c>
      <c r="D157" s="40" t="str">
        <f>IF(Agent01_Withdrawals!A162="","",Agent01_Withdrawals!C162)</f>
        <v/>
      </c>
      <c r="E157" s="38" t="str">
        <f>IF(Agent01_Withdrawals!A162="","",Agent01_Withdrawals!D162)</f>
        <v/>
      </c>
      <c r="F157" s="37" t="str">
        <f>IF(Agent01_Withdrawals!A162="","",Agent01_Withdrawals!F162)</f>
        <v/>
      </c>
      <c r="G157" s="39" t="str">
        <f>IF(Agent01_Withdrawals!A162="","",Agent01_Withdrawals!E162)</f>
        <v/>
      </c>
      <c r="H157" s="39" t="str">
        <f>IF(Agent01_Withdrawals!A162="","",Agent01_Withdrawals!G162)</f>
        <v/>
      </c>
      <c r="I157" s="37" t="str">
        <f>IF(Agent01_Withdrawals!A162="","",Agent01_Withdrawals!H162)</f>
        <v/>
      </c>
      <c r="J157" s="37" t="str">
        <f>IF(Agent01_Withdrawals!A162="","",Agent01_Withdrawals!J162)</f>
        <v/>
      </c>
      <c r="K157" s="37" t="str">
        <f>IF(Agent01_Withdrawals!A162="","",Agent01_Withdrawals!K162)</f>
        <v/>
      </c>
      <c r="L157" s="37" t="str">
        <f>IF(G157="","",IF(D157-G157&gt;=System_Config!$B$9,"✅ OK","⚠️ BREACH"))</f>
        <v/>
      </c>
      <c r="M157" s="37" t="str">
        <f>IFERROR(IF(Agent01_Withdrawals!A162="","",YEAR(Agent01_Withdrawals!D162)),"")</f>
        <v/>
      </c>
    </row>
    <row r="158" spans="1:13" ht="18" customHeight="1" x14ac:dyDescent="0.25">
      <c r="A158" s="37" t="str">
        <f>IF(Agent01_Withdrawals!A163="","",Agent01_Withdrawals!A163)</f>
        <v/>
      </c>
      <c r="B158" s="37" t="str">
        <f ca="1">IF(Agent01_Withdrawals!A163="","","WD"&amp;TEXT(158-3,"0000")&amp;"-"&amp;TEXT(TODAY(),"YYYYMMDD"))</f>
        <v/>
      </c>
      <c r="C158" s="37" t="str">
        <f>IF(Agent01_Withdrawals!A163="","",Agent01_Withdrawals!B163)</f>
        <v/>
      </c>
      <c r="D158" s="40" t="str">
        <f>IF(Agent01_Withdrawals!A163="","",Agent01_Withdrawals!C163)</f>
        <v/>
      </c>
      <c r="E158" s="38" t="str">
        <f>IF(Agent01_Withdrawals!A163="","",Agent01_Withdrawals!D163)</f>
        <v/>
      </c>
      <c r="F158" s="37" t="str">
        <f>IF(Agent01_Withdrawals!A163="","",Agent01_Withdrawals!F163)</f>
        <v/>
      </c>
      <c r="G158" s="39" t="str">
        <f>IF(Agent01_Withdrawals!A163="","",Agent01_Withdrawals!E163)</f>
        <v/>
      </c>
      <c r="H158" s="39" t="str">
        <f>IF(Agent01_Withdrawals!A163="","",Agent01_Withdrawals!G163)</f>
        <v/>
      </c>
      <c r="I158" s="37" t="str">
        <f>IF(Agent01_Withdrawals!A163="","",Agent01_Withdrawals!H163)</f>
        <v/>
      </c>
      <c r="J158" s="37" t="str">
        <f>IF(Agent01_Withdrawals!A163="","",Agent01_Withdrawals!J163)</f>
        <v/>
      </c>
      <c r="K158" s="37" t="str">
        <f>IF(Agent01_Withdrawals!A163="","",Agent01_Withdrawals!K163)</f>
        <v/>
      </c>
      <c r="L158" s="37" t="str">
        <f>IF(G158="","",IF(D158-G158&gt;=System_Config!$B$9,"✅ OK","⚠️ BREACH"))</f>
        <v/>
      </c>
      <c r="M158" s="37" t="str">
        <f>IFERROR(IF(Agent01_Withdrawals!A163="","",YEAR(Agent01_Withdrawals!D163)),"")</f>
        <v/>
      </c>
    </row>
    <row r="159" spans="1:13" ht="18" customHeight="1" x14ac:dyDescent="0.25">
      <c r="A159" s="37" t="str">
        <f>IF(Agent01_Withdrawals!A164="","",Agent01_Withdrawals!A164)</f>
        <v/>
      </c>
      <c r="B159" s="37" t="str">
        <f ca="1">IF(Agent01_Withdrawals!A164="","","WD"&amp;TEXT(159-3,"0000")&amp;"-"&amp;TEXT(TODAY(),"YYYYMMDD"))</f>
        <v/>
      </c>
      <c r="C159" s="37" t="str">
        <f>IF(Agent01_Withdrawals!A164="","",Agent01_Withdrawals!B164)</f>
        <v/>
      </c>
      <c r="D159" s="40" t="str">
        <f>IF(Agent01_Withdrawals!A164="","",Agent01_Withdrawals!C164)</f>
        <v/>
      </c>
      <c r="E159" s="38" t="str">
        <f>IF(Agent01_Withdrawals!A164="","",Agent01_Withdrawals!D164)</f>
        <v/>
      </c>
      <c r="F159" s="37" t="str">
        <f>IF(Agent01_Withdrawals!A164="","",Agent01_Withdrawals!F164)</f>
        <v/>
      </c>
      <c r="G159" s="39" t="str">
        <f>IF(Agent01_Withdrawals!A164="","",Agent01_Withdrawals!E164)</f>
        <v/>
      </c>
      <c r="H159" s="39" t="str">
        <f>IF(Agent01_Withdrawals!A164="","",Agent01_Withdrawals!G164)</f>
        <v/>
      </c>
      <c r="I159" s="37" t="str">
        <f>IF(Agent01_Withdrawals!A164="","",Agent01_Withdrawals!H164)</f>
        <v/>
      </c>
      <c r="J159" s="37" t="str">
        <f>IF(Agent01_Withdrawals!A164="","",Agent01_Withdrawals!J164)</f>
        <v/>
      </c>
      <c r="K159" s="37" t="str">
        <f>IF(Agent01_Withdrawals!A164="","",Agent01_Withdrawals!K164)</f>
        <v/>
      </c>
      <c r="L159" s="37" t="str">
        <f>IF(G159="","",IF(D159-G159&gt;=System_Config!$B$9,"✅ OK","⚠️ BREACH"))</f>
        <v/>
      </c>
      <c r="M159" s="37" t="str">
        <f>IFERROR(IF(Agent01_Withdrawals!A164="","",YEAR(Agent01_Withdrawals!D164)),"")</f>
        <v/>
      </c>
    </row>
    <row r="160" spans="1:13" ht="18" customHeight="1" x14ac:dyDescent="0.25">
      <c r="A160" s="37" t="str">
        <f>IF(Agent01_Withdrawals!A165="","",Agent01_Withdrawals!A165)</f>
        <v/>
      </c>
      <c r="B160" s="37" t="str">
        <f ca="1">IF(Agent01_Withdrawals!A165="","","WD"&amp;TEXT(160-3,"0000")&amp;"-"&amp;TEXT(TODAY(),"YYYYMMDD"))</f>
        <v/>
      </c>
      <c r="C160" s="37" t="str">
        <f>IF(Agent01_Withdrawals!A165="","",Agent01_Withdrawals!B165)</f>
        <v/>
      </c>
      <c r="D160" s="40" t="str">
        <f>IF(Agent01_Withdrawals!A165="","",Agent01_Withdrawals!C165)</f>
        <v/>
      </c>
      <c r="E160" s="38" t="str">
        <f>IF(Agent01_Withdrawals!A165="","",Agent01_Withdrawals!D165)</f>
        <v/>
      </c>
      <c r="F160" s="37" t="str">
        <f>IF(Agent01_Withdrawals!A165="","",Agent01_Withdrawals!F165)</f>
        <v/>
      </c>
      <c r="G160" s="39" t="str">
        <f>IF(Agent01_Withdrawals!A165="","",Agent01_Withdrawals!E165)</f>
        <v/>
      </c>
      <c r="H160" s="39" t="str">
        <f>IF(Agent01_Withdrawals!A165="","",Agent01_Withdrawals!G165)</f>
        <v/>
      </c>
      <c r="I160" s="37" t="str">
        <f>IF(Agent01_Withdrawals!A165="","",Agent01_Withdrawals!H165)</f>
        <v/>
      </c>
      <c r="J160" s="37" t="str">
        <f>IF(Agent01_Withdrawals!A165="","",Agent01_Withdrawals!J165)</f>
        <v/>
      </c>
      <c r="K160" s="37" t="str">
        <f>IF(Agent01_Withdrawals!A165="","",Agent01_Withdrawals!K165)</f>
        <v/>
      </c>
      <c r="L160" s="37" t="str">
        <f>IF(G160="","",IF(D160-G160&gt;=System_Config!$B$9,"✅ OK","⚠️ BREACH"))</f>
        <v/>
      </c>
      <c r="M160" s="37" t="str">
        <f>IFERROR(IF(Agent01_Withdrawals!A165="","",YEAR(Agent01_Withdrawals!D165)),"")</f>
        <v/>
      </c>
    </row>
    <row r="161" spans="1:13" ht="18" customHeight="1" x14ac:dyDescent="0.25">
      <c r="A161" s="37" t="str">
        <f>IF(Agent01_Withdrawals!A166="","",Agent01_Withdrawals!A166)</f>
        <v/>
      </c>
      <c r="B161" s="37" t="str">
        <f ca="1">IF(Agent01_Withdrawals!A166="","","WD"&amp;TEXT(161-3,"0000")&amp;"-"&amp;TEXT(TODAY(),"YYYYMMDD"))</f>
        <v/>
      </c>
      <c r="C161" s="37" t="str">
        <f>IF(Agent01_Withdrawals!A166="","",Agent01_Withdrawals!B166)</f>
        <v/>
      </c>
      <c r="D161" s="40" t="str">
        <f>IF(Agent01_Withdrawals!A166="","",Agent01_Withdrawals!C166)</f>
        <v/>
      </c>
      <c r="E161" s="38" t="str">
        <f>IF(Agent01_Withdrawals!A166="","",Agent01_Withdrawals!D166)</f>
        <v/>
      </c>
      <c r="F161" s="37" t="str">
        <f>IF(Agent01_Withdrawals!A166="","",Agent01_Withdrawals!F166)</f>
        <v/>
      </c>
      <c r="G161" s="39" t="str">
        <f>IF(Agent01_Withdrawals!A166="","",Agent01_Withdrawals!E166)</f>
        <v/>
      </c>
      <c r="H161" s="39" t="str">
        <f>IF(Agent01_Withdrawals!A166="","",Agent01_Withdrawals!G166)</f>
        <v/>
      </c>
      <c r="I161" s="37" t="str">
        <f>IF(Agent01_Withdrawals!A166="","",Agent01_Withdrawals!H166)</f>
        <v/>
      </c>
      <c r="J161" s="37" t="str">
        <f>IF(Agent01_Withdrawals!A166="","",Agent01_Withdrawals!J166)</f>
        <v/>
      </c>
      <c r="K161" s="37" t="str">
        <f>IF(Agent01_Withdrawals!A166="","",Agent01_Withdrawals!K166)</f>
        <v/>
      </c>
      <c r="L161" s="37" t="str">
        <f>IF(G161="","",IF(D161-G161&gt;=System_Config!$B$9,"✅ OK","⚠️ BREACH"))</f>
        <v/>
      </c>
      <c r="M161" s="37" t="str">
        <f>IFERROR(IF(Agent01_Withdrawals!A166="","",YEAR(Agent01_Withdrawals!D166)),"")</f>
        <v/>
      </c>
    </row>
    <row r="162" spans="1:13" ht="18" customHeight="1" x14ac:dyDescent="0.25">
      <c r="A162" s="37" t="str">
        <f>IF(Agent01_Withdrawals!A167="","",Agent01_Withdrawals!A167)</f>
        <v/>
      </c>
      <c r="B162" s="37" t="str">
        <f ca="1">IF(Agent01_Withdrawals!A167="","","WD"&amp;TEXT(162-3,"0000")&amp;"-"&amp;TEXT(TODAY(),"YYYYMMDD"))</f>
        <v/>
      </c>
      <c r="C162" s="37" t="str">
        <f>IF(Agent01_Withdrawals!A167="","",Agent01_Withdrawals!B167)</f>
        <v/>
      </c>
      <c r="D162" s="40" t="str">
        <f>IF(Agent01_Withdrawals!A167="","",Agent01_Withdrawals!C167)</f>
        <v/>
      </c>
      <c r="E162" s="38" t="str">
        <f>IF(Agent01_Withdrawals!A167="","",Agent01_Withdrawals!D167)</f>
        <v/>
      </c>
      <c r="F162" s="37" t="str">
        <f>IF(Agent01_Withdrawals!A167="","",Agent01_Withdrawals!F167)</f>
        <v/>
      </c>
      <c r="G162" s="39" t="str">
        <f>IF(Agent01_Withdrawals!A167="","",Agent01_Withdrawals!E167)</f>
        <v/>
      </c>
      <c r="H162" s="39" t="str">
        <f>IF(Agent01_Withdrawals!A167="","",Agent01_Withdrawals!G167)</f>
        <v/>
      </c>
      <c r="I162" s="37" t="str">
        <f>IF(Agent01_Withdrawals!A167="","",Agent01_Withdrawals!H167)</f>
        <v/>
      </c>
      <c r="J162" s="37" t="str">
        <f>IF(Agent01_Withdrawals!A167="","",Agent01_Withdrawals!J167)</f>
        <v/>
      </c>
      <c r="K162" s="37" t="str">
        <f>IF(Agent01_Withdrawals!A167="","",Agent01_Withdrawals!K167)</f>
        <v/>
      </c>
      <c r="L162" s="37" t="str">
        <f>IF(G162="","",IF(D162-G162&gt;=System_Config!$B$9,"✅ OK","⚠️ BREACH"))</f>
        <v/>
      </c>
      <c r="M162" s="37" t="str">
        <f>IFERROR(IF(Agent01_Withdrawals!A167="","",YEAR(Agent01_Withdrawals!D167)),"")</f>
        <v/>
      </c>
    </row>
    <row r="163" spans="1:13" ht="18" customHeight="1" x14ac:dyDescent="0.25">
      <c r="A163" s="37" t="str">
        <f>IF(Agent01_Withdrawals!A168="","",Agent01_Withdrawals!A168)</f>
        <v/>
      </c>
      <c r="B163" s="37" t="str">
        <f ca="1">IF(Agent01_Withdrawals!A168="","","WD"&amp;TEXT(163-3,"0000")&amp;"-"&amp;TEXT(TODAY(),"YYYYMMDD"))</f>
        <v/>
      </c>
      <c r="C163" s="37" t="str">
        <f>IF(Agent01_Withdrawals!A168="","",Agent01_Withdrawals!B168)</f>
        <v/>
      </c>
      <c r="D163" s="40" t="str">
        <f>IF(Agent01_Withdrawals!A168="","",Agent01_Withdrawals!C168)</f>
        <v/>
      </c>
      <c r="E163" s="38" t="str">
        <f>IF(Agent01_Withdrawals!A168="","",Agent01_Withdrawals!D168)</f>
        <v/>
      </c>
      <c r="F163" s="37" t="str">
        <f>IF(Agent01_Withdrawals!A168="","",Agent01_Withdrawals!F168)</f>
        <v/>
      </c>
      <c r="G163" s="39" t="str">
        <f>IF(Agent01_Withdrawals!A168="","",Agent01_Withdrawals!E168)</f>
        <v/>
      </c>
      <c r="H163" s="39" t="str">
        <f>IF(Agent01_Withdrawals!A168="","",Agent01_Withdrawals!G168)</f>
        <v/>
      </c>
      <c r="I163" s="37" t="str">
        <f>IF(Agent01_Withdrawals!A168="","",Agent01_Withdrawals!H168)</f>
        <v/>
      </c>
      <c r="J163" s="37" t="str">
        <f>IF(Agent01_Withdrawals!A168="","",Agent01_Withdrawals!J168)</f>
        <v/>
      </c>
      <c r="K163" s="37" t="str">
        <f>IF(Agent01_Withdrawals!A168="","",Agent01_Withdrawals!K168)</f>
        <v/>
      </c>
      <c r="L163" s="37" t="str">
        <f>IF(G163="","",IF(D163-G163&gt;=System_Config!$B$9,"✅ OK","⚠️ BREACH"))</f>
        <v/>
      </c>
      <c r="M163" s="37" t="str">
        <f>IFERROR(IF(Agent01_Withdrawals!A168="","",YEAR(Agent01_Withdrawals!D168)),"")</f>
        <v/>
      </c>
    </row>
    <row r="164" spans="1:13" ht="18" customHeight="1" x14ac:dyDescent="0.25">
      <c r="A164" s="37" t="str">
        <f>IF(Agent01_Withdrawals!A169="","",Agent01_Withdrawals!A169)</f>
        <v/>
      </c>
      <c r="B164" s="37" t="str">
        <f ca="1">IF(Agent01_Withdrawals!A169="","","WD"&amp;TEXT(164-3,"0000")&amp;"-"&amp;TEXT(TODAY(),"YYYYMMDD"))</f>
        <v/>
      </c>
      <c r="C164" s="37" t="str">
        <f>IF(Agent01_Withdrawals!A169="","",Agent01_Withdrawals!B169)</f>
        <v/>
      </c>
      <c r="D164" s="40" t="str">
        <f>IF(Agent01_Withdrawals!A169="","",Agent01_Withdrawals!C169)</f>
        <v/>
      </c>
      <c r="E164" s="38" t="str">
        <f>IF(Agent01_Withdrawals!A169="","",Agent01_Withdrawals!D169)</f>
        <v/>
      </c>
      <c r="F164" s="37" t="str">
        <f>IF(Agent01_Withdrawals!A169="","",Agent01_Withdrawals!F169)</f>
        <v/>
      </c>
      <c r="G164" s="39" t="str">
        <f>IF(Agent01_Withdrawals!A169="","",Agent01_Withdrawals!E169)</f>
        <v/>
      </c>
      <c r="H164" s="39" t="str">
        <f>IF(Agent01_Withdrawals!A169="","",Agent01_Withdrawals!G169)</f>
        <v/>
      </c>
      <c r="I164" s="37" t="str">
        <f>IF(Agent01_Withdrawals!A169="","",Agent01_Withdrawals!H169)</f>
        <v/>
      </c>
      <c r="J164" s="37" t="str">
        <f>IF(Agent01_Withdrawals!A169="","",Agent01_Withdrawals!J169)</f>
        <v/>
      </c>
      <c r="K164" s="37" t="str">
        <f>IF(Agent01_Withdrawals!A169="","",Agent01_Withdrawals!K169)</f>
        <v/>
      </c>
      <c r="L164" s="37" t="str">
        <f>IF(G164="","",IF(D164-G164&gt;=System_Config!$B$9,"✅ OK","⚠️ BREACH"))</f>
        <v/>
      </c>
      <c r="M164" s="37" t="str">
        <f>IFERROR(IF(Agent01_Withdrawals!A169="","",YEAR(Agent01_Withdrawals!D169)),"")</f>
        <v/>
      </c>
    </row>
    <row r="165" spans="1:13" ht="18" customHeight="1" x14ac:dyDescent="0.25">
      <c r="A165" s="37" t="str">
        <f>IF(Agent01_Withdrawals!A170="","",Agent01_Withdrawals!A170)</f>
        <v/>
      </c>
      <c r="B165" s="37" t="str">
        <f ca="1">IF(Agent01_Withdrawals!A170="","","WD"&amp;TEXT(165-3,"0000")&amp;"-"&amp;TEXT(TODAY(),"YYYYMMDD"))</f>
        <v/>
      </c>
      <c r="C165" s="37" t="str">
        <f>IF(Agent01_Withdrawals!A170="","",Agent01_Withdrawals!B170)</f>
        <v/>
      </c>
      <c r="D165" s="40" t="str">
        <f>IF(Agent01_Withdrawals!A170="","",Agent01_Withdrawals!C170)</f>
        <v/>
      </c>
      <c r="E165" s="38" t="str">
        <f>IF(Agent01_Withdrawals!A170="","",Agent01_Withdrawals!D170)</f>
        <v/>
      </c>
      <c r="F165" s="37" t="str">
        <f>IF(Agent01_Withdrawals!A170="","",Agent01_Withdrawals!F170)</f>
        <v/>
      </c>
      <c r="G165" s="39" t="str">
        <f>IF(Agent01_Withdrawals!A170="","",Agent01_Withdrawals!E170)</f>
        <v/>
      </c>
      <c r="H165" s="39" t="str">
        <f>IF(Agent01_Withdrawals!A170="","",Agent01_Withdrawals!G170)</f>
        <v/>
      </c>
      <c r="I165" s="37" t="str">
        <f>IF(Agent01_Withdrawals!A170="","",Agent01_Withdrawals!H170)</f>
        <v/>
      </c>
      <c r="J165" s="37" t="str">
        <f>IF(Agent01_Withdrawals!A170="","",Agent01_Withdrawals!J170)</f>
        <v/>
      </c>
      <c r="K165" s="37" t="str">
        <f>IF(Agent01_Withdrawals!A170="","",Agent01_Withdrawals!K170)</f>
        <v/>
      </c>
      <c r="L165" s="37" t="str">
        <f>IF(G165="","",IF(D165-G165&gt;=System_Config!$B$9,"✅ OK","⚠️ BREACH"))</f>
        <v/>
      </c>
      <c r="M165" s="37" t="str">
        <f>IFERROR(IF(Agent01_Withdrawals!A170="","",YEAR(Agent01_Withdrawals!D170)),"")</f>
        <v/>
      </c>
    </row>
    <row r="166" spans="1:13" ht="18" customHeight="1" x14ac:dyDescent="0.25">
      <c r="A166" s="37" t="str">
        <f>IF(Agent01_Withdrawals!A171="","",Agent01_Withdrawals!A171)</f>
        <v/>
      </c>
      <c r="B166" s="37" t="str">
        <f ca="1">IF(Agent01_Withdrawals!A171="","","WD"&amp;TEXT(166-3,"0000")&amp;"-"&amp;TEXT(TODAY(),"YYYYMMDD"))</f>
        <v/>
      </c>
      <c r="C166" s="37" t="str">
        <f>IF(Agent01_Withdrawals!A171="","",Agent01_Withdrawals!B171)</f>
        <v/>
      </c>
      <c r="D166" s="40" t="str">
        <f>IF(Agent01_Withdrawals!A171="","",Agent01_Withdrawals!C171)</f>
        <v/>
      </c>
      <c r="E166" s="38" t="str">
        <f>IF(Agent01_Withdrawals!A171="","",Agent01_Withdrawals!D171)</f>
        <v/>
      </c>
      <c r="F166" s="37" t="str">
        <f>IF(Agent01_Withdrawals!A171="","",Agent01_Withdrawals!F171)</f>
        <v/>
      </c>
      <c r="G166" s="39" t="str">
        <f>IF(Agent01_Withdrawals!A171="","",Agent01_Withdrawals!E171)</f>
        <v/>
      </c>
      <c r="H166" s="39" t="str">
        <f>IF(Agent01_Withdrawals!A171="","",Agent01_Withdrawals!G171)</f>
        <v/>
      </c>
      <c r="I166" s="37" t="str">
        <f>IF(Agent01_Withdrawals!A171="","",Agent01_Withdrawals!H171)</f>
        <v/>
      </c>
      <c r="J166" s="37" t="str">
        <f>IF(Agent01_Withdrawals!A171="","",Agent01_Withdrawals!J171)</f>
        <v/>
      </c>
      <c r="K166" s="37" t="str">
        <f>IF(Agent01_Withdrawals!A171="","",Agent01_Withdrawals!K171)</f>
        <v/>
      </c>
      <c r="L166" s="37" t="str">
        <f>IF(G166="","",IF(D166-G166&gt;=System_Config!$B$9,"✅ OK","⚠️ BREACH"))</f>
        <v/>
      </c>
      <c r="M166" s="37" t="str">
        <f>IFERROR(IF(Agent01_Withdrawals!A171="","",YEAR(Agent01_Withdrawals!D171)),"")</f>
        <v/>
      </c>
    </row>
    <row r="167" spans="1:13" ht="18" customHeight="1" x14ac:dyDescent="0.25">
      <c r="A167" s="37" t="str">
        <f>IF(Agent01_Withdrawals!A172="","",Agent01_Withdrawals!A172)</f>
        <v/>
      </c>
      <c r="B167" s="37" t="str">
        <f ca="1">IF(Agent01_Withdrawals!A172="","","WD"&amp;TEXT(167-3,"0000")&amp;"-"&amp;TEXT(TODAY(),"YYYYMMDD"))</f>
        <v/>
      </c>
      <c r="C167" s="37" t="str">
        <f>IF(Agent01_Withdrawals!A172="","",Agent01_Withdrawals!B172)</f>
        <v/>
      </c>
      <c r="D167" s="40" t="str">
        <f>IF(Agent01_Withdrawals!A172="","",Agent01_Withdrawals!C172)</f>
        <v/>
      </c>
      <c r="E167" s="38" t="str">
        <f>IF(Agent01_Withdrawals!A172="","",Agent01_Withdrawals!D172)</f>
        <v/>
      </c>
      <c r="F167" s="37" t="str">
        <f>IF(Agent01_Withdrawals!A172="","",Agent01_Withdrawals!F172)</f>
        <v/>
      </c>
      <c r="G167" s="39" t="str">
        <f>IF(Agent01_Withdrawals!A172="","",Agent01_Withdrawals!E172)</f>
        <v/>
      </c>
      <c r="H167" s="39" t="str">
        <f>IF(Agent01_Withdrawals!A172="","",Agent01_Withdrawals!G172)</f>
        <v/>
      </c>
      <c r="I167" s="37" t="str">
        <f>IF(Agent01_Withdrawals!A172="","",Agent01_Withdrawals!H172)</f>
        <v/>
      </c>
      <c r="J167" s="37" t="str">
        <f>IF(Agent01_Withdrawals!A172="","",Agent01_Withdrawals!J172)</f>
        <v/>
      </c>
      <c r="K167" s="37" t="str">
        <f>IF(Agent01_Withdrawals!A172="","",Agent01_Withdrawals!K172)</f>
        <v/>
      </c>
      <c r="L167" s="37" t="str">
        <f>IF(G167="","",IF(D167-G167&gt;=System_Config!$B$9,"✅ OK","⚠️ BREACH"))</f>
        <v/>
      </c>
      <c r="M167" s="37" t="str">
        <f>IFERROR(IF(Agent01_Withdrawals!A172="","",YEAR(Agent01_Withdrawals!D172)),"")</f>
        <v/>
      </c>
    </row>
    <row r="168" spans="1:13" ht="18" customHeight="1" x14ac:dyDescent="0.25">
      <c r="A168" s="37" t="str">
        <f>IF(Agent01_Withdrawals!A173="","",Agent01_Withdrawals!A173)</f>
        <v/>
      </c>
      <c r="B168" s="37" t="str">
        <f ca="1">IF(Agent01_Withdrawals!A173="","","WD"&amp;TEXT(168-3,"0000")&amp;"-"&amp;TEXT(TODAY(),"YYYYMMDD"))</f>
        <v/>
      </c>
      <c r="C168" s="37" t="str">
        <f>IF(Agent01_Withdrawals!A173="","",Agent01_Withdrawals!B173)</f>
        <v/>
      </c>
      <c r="D168" s="40" t="str">
        <f>IF(Agent01_Withdrawals!A173="","",Agent01_Withdrawals!C173)</f>
        <v/>
      </c>
      <c r="E168" s="38" t="str">
        <f>IF(Agent01_Withdrawals!A173="","",Agent01_Withdrawals!D173)</f>
        <v/>
      </c>
      <c r="F168" s="37" t="str">
        <f>IF(Agent01_Withdrawals!A173="","",Agent01_Withdrawals!F173)</f>
        <v/>
      </c>
      <c r="G168" s="39" t="str">
        <f>IF(Agent01_Withdrawals!A173="","",Agent01_Withdrawals!E173)</f>
        <v/>
      </c>
      <c r="H168" s="39" t="str">
        <f>IF(Agent01_Withdrawals!A173="","",Agent01_Withdrawals!G173)</f>
        <v/>
      </c>
      <c r="I168" s="37" t="str">
        <f>IF(Agent01_Withdrawals!A173="","",Agent01_Withdrawals!H173)</f>
        <v/>
      </c>
      <c r="J168" s="37" t="str">
        <f>IF(Agent01_Withdrawals!A173="","",Agent01_Withdrawals!J173)</f>
        <v/>
      </c>
      <c r="K168" s="37" t="str">
        <f>IF(Agent01_Withdrawals!A173="","",Agent01_Withdrawals!K173)</f>
        <v/>
      </c>
      <c r="L168" s="37" t="str">
        <f>IF(G168="","",IF(D168-G168&gt;=System_Config!$B$9,"✅ OK","⚠️ BREACH"))</f>
        <v/>
      </c>
      <c r="M168" s="37" t="str">
        <f>IFERROR(IF(Agent01_Withdrawals!A173="","",YEAR(Agent01_Withdrawals!D173)),"")</f>
        <v/>
      </c>
    </row>
    <row r="169" spans="1:13" ht="18" customHeight="1" x14ac:dyDescent="0.25">
      <c r="A169" s="37" t="str">
        <f>IF(Agent01_Withdrawals!A174="","",Agent01_Withdrawals!A174)</f>
        <v/>
      </c>
      <c r="B169" s="37" t="str">
        <f ca="1">IF(Agent01_Withdrawals!A174="","","WD"&amp;TEXT(169-3,"0000")&amp;"-"&amp;TEXT(TODAY(),"YYYYMMDD"))</f>
        <v/>
      </c>
      <c r="C169" s="37" t="str">
        <f>IF(Agent01_Withdrawals!A174="","",Agent01_Withdrawals!B174)</f>
        <v/>
      </c>
      <c r="D169" s="40" t="str">
        <f>IF(Agent01_Withdrawals!A174="","",Agent01_Withdrawals!C174)</f>
        <v/>
      </c>
      <c r="E169" s="38" t="str">
        <f>IF(Agent01_Withdrawals!A174="","",Agent01_Withdrawals!D174)</f>
        <v/>
      </c>
      <c r="F169" s="37" t="str">
        <f>IF(Agent01_Withdrawals!A174="","",Agent01_Withdrawals!F174)</f>
        <v/>
      </c>
      <c r="G169" s="39" t="str">
        <f>IF(Agent01_Withdrawals!A174="","",Agent01_Withdrawals!E174)</f>
        <v/>
      </c>
      <c r="H169" s="39" t="str">
        <f>IF(Agent01_Withdrawals!A174="","",Agent01_Withdrawals!G174)</f>
        <v/>
      </c>
      <c r="I169" s="37" t="str">
        <f>IF(Agent01_Withdrawals!A174="","",Agent01_Withdrawals!H174)</f>
        <v/>
      </c>
      <c r="J169" s="37" t="str">
        <f>IF(Agent01_Withdrawals!A174="","",Agent01_Withdrawals!J174)</f>
        <v/>
      </c>
      <c r="K169" s="37" t="str">
        <f>IF(Agent01_Withdrawals!A174="","",Agent01_Withdrawals!K174)</f>
        <v/>
      </c>
      <c r="L169" s="37" t="str">
        <f>IF(G169="","",IF(D169-G169&gt;=System_Config!$B$9,"✅ OK","⚠️ BREACH"))</f>
        <v/>
      </c>
      <c r="M169" s="37" t="str">
        <f>IFERROR(IF(Agent01_Withdrawals!A174="","",YEAR(Agent01_Withdrawals!D174)),"")</f>
        <v/>
      </c>
    </row>
    <row r="170" spans="1:13" ht="18" customHeight="1" x14ac:dyDescent="0.25">
      <c r="A170" s="37" t="str">
        <f>IF(Agent01_Withdrawals!A175="","",Agent01_Withdrawals!A175)</f>
        <v/>
      </c>
      <c r="B170" s="37" t="str">
        <f ca="1">IF(Agent01_Withdrawals!A175="","","WD"&amp;TEXT(170-3,"0000")&amp;"-"&amp;TEXT(TODAY(),"YYYYMMDD"))</f>
        <v/>
      </c>
      <c r="C170" s="37" t="str">
        <f>IF(Agent01_Withdrawals!A175="","",Agent01_Withdrawals!B175)</f>
        <v/>
      </c>
      <c r="D170" s="40" t="str">
        <f>IF(Agent01_Withdrawals!A175="","",Agent01_Withdrawals!C175)</f>
        <v/>
      </c>
      <c r="E170" s="38" t="str">
        <f>IF(Agent01_Withdrawals!A175="","",Agent01_Withdrawals!D175)</f>
        <v/>
      </c>
      <c r="F170" s="37" t="str">
        <f>IF(Agent01_Withdrawals!A175="","",Agent01_Withdrawals!F175)</f>
        <v/>
      </c>
      <c r="G170" s="39" t="str">
        <f>IF(Agent01_Withdrawals!A175="","",Agent01_Withdrawals!E175)</f>
        <v/>
      </c>
      <c r="H170" s="39" t="str">
        <f>IF(Agent01_Withdrawals!A175="","",Agent01_Withdrawals!G175)</f>
        <v/>
      </c>
      <c r="I170" s="37" t="str">
        <f>IF(Agent01_Withdrawals!A175="","",Agent01_Withdrawals!H175)</f>
        <v/>
      </c>
      <c r="J170" s="37" t="str">
        <f>IF(Agent01_Withdrawals!A175="","",Agent01_Withdrawals!J175)</f>
        <v/>
      </c>
      <c r="K170" s="37" t="str">
        <f>IF(Agent01_Withdrawals!A175="","",Agent01_Withdrawals!K175)</f>
        <v/>
      </c>
      <c r="L170" s="37" t="str">
        <f>IF(G170="","",IF(D170-G170&gt;=System_Config!$B$9,"✅ OK","⚠️ BREACH"))</f>
        <v/>
      </c>
      <c r="M170" s="37" t="str">
        <f>IFERROR(IF(Agent01_Withdrawals!A175="","",YEAR(Agent01_Withdrawals!D175)),"")</f>
        <v/>
      </c>
    </row>
    <row r="171" spans="1:13" ht="18" customHeight="1" x14ac:dyDescent="0.25">
      <c r="A171" s="37" t="str">
        <f>IF(Agent01_Withdrawals!A176="","",Agent01_Withdrawals!A176)</f>
        <v/>
      </c>
      <c r="B171" s="37" t="str">
        <f ca="1">IF(Agent01_Withdrawals!A176="","","WD"&amp;TEXT(171-3,"0000")&amp;"-"&amp;TEXT(TODAY(),"YYYYMMDD"))</f>
        <v/>
      </c>
      <c r="C171" s="37" t="str">
        <f>IF(Agent01_Withdrawals!A176="","",Agent01_Withdrawals!B176)</f>
        <v/>
      </c>
      <c r="D171" s="40" t="str">
        <f>IF(Agent01_Withdrawals!A176="","",Agent01_Withdrawals!C176)</f>
        <v/>
      </c>
      <c r="E171" s="38" t="str">
        <f>IF(Agent01_Withdrawals!A176="","",Agent01_Withdrawals!D176)</f>
        <v/>
      </c>
      <c r="F171" s="37" t="str">
        <f>IF(Agent01_Withdrawals!A176="","",Agent01_Withdrawals!F176)</f>
        <v/>
      </c>
      <c r="G171" s="39" t="str">
        <f>IF(Agent01_Withdrawals!A176="","",Agent01_Withdrawals!E176)</f>
        <v/>
      </c>
      <c r="H171" s="39" t="str">
        <f>IF(Agent01_Withdrawals!A176="","",Agent01_Withdrawals!G176)</f>
        <v/>
      </c>
      <c r="I171" s="37" t="str">
        <f>IF(Agent01_Withdrawals!A176="","",Agent01_Withdrawals!H176)</f>
        <v/>
      </c>
      <c r="J171" s="37" t="str">
        <f>IF(Agent01_Withdrawals!A176="","",Agent01_Withdrawals!J176)</f>
        <v/>
      </c>
      <c r="K171" s="37" t="str">
        <f>IF(Agent01_Withdrawals!A176="","",Agent01_Withdrawals!K176)</f>
        <v/>
      </c>
      <c r="L171" s="37" t="str">
        <f>IF(G171="","",IF(D171-G171&gt;=System_Config!$B$9,"✅ OK","⚠️ BREACH"))</f>
        <v/>
      </c>
      <c r="M171" s="37" t="str">
        <f>IFERROR(IF(Agent01_Withdrawals!A176="","",YEAR(Agent01_Withdrawals!D176)),"")</f>
        <v/>
      </c>
    </row>
    <row r="172" spans="1:13" ht="18" customHeight="1" x14ac:dyDescent="0.25">
      <c r="A172" s="37" t="str">
        <f>IF(Agent01_Withdrawals!A177="","",Agent01_Withdrawals!A177)</f>
        <v/>
      </c>
      <c r="B172" s="37" t="str">
        <f ca="1">IF(Agent01_Withdrawals!A177="","","WD"&amp;TEXT(172-3,"0000")&amp;"-"&amp;TEXT(TODAY(),"YYYYMMDD"))</f>
        <v/>
      </c>
      <c r="C172" s="37" t="str">
        <f>IF(Agent01_Withdrawals!A177="","",Agent01_Withdrawals!B177)</f>
        <v/>
      </c>
      <c r="D172" s="40" t="str">
        <f>IF(Agent01_Withdrawals!A177="","",Agent01_Withdrawals!C177)</f>
        <v/>
      </c>
      <c r="E172" s="38" t="str">
        <f>IF(Agent01_Withdrawals!A177="","",Agent01_Withdrawals!D177)</f>
        <v/>
      </c>
      <c r="F172" s="37" t="str">
        <f>IF(Agent01_Withdrawals!A177="","",Agent01_Withdrawals!F177)</f>
        <v/>
      </c>
      <c r="G172" s="39" t="str">
        <f>IF(Agent01_Withdrawals!A177="","",Agent01_Withdrawals!E177)</f>
        <v/>
      </c>
      <c r="H172" s="39" t="str">
        <f>IF(Agent01_Withdrawals!A177="","",Agent01_Withdrawals!G177)</f>
        <v/>
      </c>
      <c r="I172" s="37" t="str">
        <f>IF(Agent01_Withdrawals!A177="","",Agent01_Withdrawals!H177)</f>
        <v/>
      </c>
      <c r="J172" s="37" t="str">
        <f>IF(Agent01_Withdrawals!A177="","",Agent01_Withdrawals!J177)</f>
        <v/>
      </c>
      <c r="K172" s="37" t="str">
        <f>IF(Agent01_Withdrawals!A177="","",Agent01_Withdrawals!K177)</f>
        <v/>
      </c>
      <c r="L172" s="37" t="str">
        <f>IF(G172="","",IF(D172-G172&gt;=System_Config!$B$9,"✅ OK","⚠️ BREACH"))</f>
        <v/>
      </c>
      <c r="M172" s="37" t="str">
        <f>IFERROR(IF(Agent01_Withdrawals!A177="","",YEAR(Agent01_Withdrawals!D177)),"")</f>
        <v/>
      </c>
    </row>
    <row r="173" spans="1:13" ht="18" customHeight="1" x14ac:dyDescent="0.25">
      <c r="A173" s="37" t="str">
        <f>IF(Agent01_Withdrawals!A178="","",Agent01_Withdrawals!A178)</f>
        <v/>
      </c>
      <c r="B173" s="37" t="str">
        <f ca="1">IF(Agent01_Withdrawals!A178="","","WD"&amp;TEXT(173-3,"0000")&amp;"-"&amp;TEXT(TODAY(),"YYYYMMDD"))</f>
        <v/>
      </c>
      <c r="C173" s="37" t="str">
        <f>IF(Agent01_Withdrawals!A178="","",Agent01_Withdrawals!B178)</f>
        <v/>
      </c>
      <c r="D173" s="40" t="str">
        <f>IF(Agent01_Withdrawals!A178="","",Agent01_Withdrawals!C178)</f>
        <v/>
      </c>
      <c r="E173" s="38" t="str">
        <f>IF(Agent01_Withdrawals!A178="","",Agent01_Withdrawals!D178)</f>
        <v/>
      </c>
      <c r="F173" s="37" t="str">
        <f>IF(Agent01_Withdrawals!A178="","",Agent01_Withdrawals!F178)</f>
        <v/>
      </c>
      <c r="G173" s="39" t="str">
        <f>IF(Agent01_Withdrawals!A178="","",Agent01_Withdrawals!E178)</f>
        <v/>
      </c>
      <c r="H173" s="39" t="str">
        <f>IF(Agent01_Withdrawals!A178="","",Agent01_Withdrawals!G178)</f>
        <v/>
      </c>
      <c r="I173" s="37" t="str">
        <f>IF(Agent01_Withdrawals!A178="","",Agent01_Withdrawals!H178)</f>
        <v/>
      </c>
      <c r="J173" s="37" t="str">
        <f>IF(Agent01_Withdrawals!A178="","",Agent01_Withdrawals!J178)</f>
        <v/>
      </c>
      <c r="K173" s="37" t="str">
        <f>IF(Agent01_Withdrawals!A178="","",Agent01_Withdrawals!K178)</f>
        <v/>
      </c>
      <c r="L173" s="37" t="str">
        <f>IF(G173="","",IF(D173-G173&gt;=System_Config!$B$9,"✅ OK","⚠️ BREACH"))</f>
        <v/>
      </c>
      <c r="M173" s="37" t="str">
        <f>IFERROR(IF(Agent01_Withdrawals!A178="","",YEAR(Agent01_Withdrawals!D178)),"")</f>
        <v/>
      </c>
    </row>
    <row r="174" spans="1:13" ht="18" customHeight="1" x14ac:dyDescent="0.25">
      <c r="A174" s="37" t="str">
        <f>IF(Agent01_Withdrawals!A179="","",Agent01_Withdrawals!A179)</f>
        <v/>
      </c>
      <c r="B174" s="37" t="str">
        <f ca="1">IF(Agent01_Withdrawals!A179="","","WD"&amp;TEXT(174-3,"0000")&amp;"-"&amp;TEXT(TODAY(),"YYYYMMDD"))</f>
        <v/>
      </c>
      <c r="C174" s="37" t="str">
        <f>IF(Agent01_Withdrawals!A179="","",Agent01_Withdrawals!B179)</f>
        <v/>
      </c>
      <c r="D174" s="40" t="str">
        <f>IF(Agent01_Withdrawals!A179="","",Agent01_Withdrawals!C179)</f>
        <v/>
      </c>
      <c r="E174" s="38" t="str">
        <f>IF(Agent01_Withdrawals!A179="","",Agent01_Withdrawals!D179)</f>
        <v/>
      </c>
      <c r="F174" s="37" t="str">
        <f>IF(Agent01_Withdrawals!A179="","",Agent01_Withdrawals!F179)</f>
        <v/>
      </c>
      <c r="G174" s="39" t="str">
        <f>IF(Agent01_Withdrawals!A179="","",Agent01_Withdrawals!E179)</f>
        <v/>
      </c>
      <c r="H174" s="39" t="str">
        <f>IF(Agent01_Withdrawals!A179="","",Agent01_Withdrawals!G179)</f>
        <v/>
      </c>
      <c r="I174" s="37" t="str">
        <f>IF(Agent01_Withdrawals!A179="","",Agent01_Withdrawals!H179)</f>
        <v/>
      </c>
      <c r="J174" s="37" t="str">
        <f>IF(Agent01_Withdrawals!A179="","",Agent01_Withdrawals!J179)</f>
        <v/>
      </c>
      <c r="K174" s="37" t="str">
        <f>IF(Agent01_Withdrawals!A179="","",Agent01_Withdrawals!K179)</f>
        <v/>
      </c>
      <c r="L174" s="37" t="str">
        <f>IF(G174="","",IF(D174-G174&gt;=System_Config!$B$9,"✅ OK","⚠️ BREACH"))</f>
        <v/>
      </c>
      <c r="M174" s="37" t="str">
        <f>IFERROR(IF(Agent01_Withdrawals!A179="","",YEAR(Agent01_Withdrawals!D179)),"")</f>
        <v/>
      </c>
    </row>
    <row r="175" spans="1:13" ht="18" customHeight="1" x14ac:dyDescent="0.25">
      <c r="A175" s="37" t="str">
        <f>IF(Agent01_Withdrawals!A180="","",Agent01_Withdrawals!A180)</f>
        <v/>
      </c>
      <c r="B175" s="37" t="str">
        <f ca="1">IF(Agent01_Withdrawals!A180="","","WD"&amp;TEXT(175-3,"0000")&amp;"-"&amp;TEXT(TODAY(),"YYYYMMDD"))</f>
        <v/>
      </c>
      <c r="C175" s="37" t="str">
        <f>IF(Agent01_Withdrawals!A180="","",Agent01_Withdrawals!B180)</f>
        <v/>
      </c>
      <c r="D175" s="40" t="str">
        <f>IF(Agent01_Withdrawals!A180="","",Agent01_Withdrawals!C180)</f>
        <v/>
      </c>
      <c r="E175" s="38" t="str">
        <f>IF(Agent01_Withdrawals!A180="","",Agent01_Withdrawals!D180)</f>
        <v/>
      </c>
      <c r="F175" s="37" t="str">
        <f>IF(Agent01_Withdrawals!A180="","",Agent01_Withdrawals!F180)</f>
        <v/>
      </c>
      <c r="G175" s="39" t="str">
        <f>IF(Agent01_Withdrawals!A180="","",Agent01_Withdrawals!E180)</f>
        <v/>
      </c>
      <c r="H175" s="39" t="str">
        <f>IF(Agent01_Withdrawals!A180="","",Agent01_Withdrawals!G180)</f>
        <v/>
      </c>
      <c r="I175" s="37" t="str">
        <f>IF(Agent01_Withdrawals!A180="","",Agent01_Withdrawals!H180)</f>
        <v/>
      </c>
      <c r="J175" s="37" t="str">
        <f>IF(Agent01_Withdrawals!A180="","",Agent01_Withdrawals!J180)</f>
        <v/>
      </c>
      <c r="K175" s="37" t="str">
        <f>IF(Agent01_Withdrawals!A180="","",Agent01_Withdrawals!K180)</f>
        <v/>
      </c>
      <c r="L175" s="37" t="str">
        <f>IF(G175="","",IF(D175-G175&gt;=System_Config!$B$9,"✅ OK","⚠️ BREACH"))</f>
        <v/>
      </c>
      <c r="M175" s="37" t="str">
        <f>IFERROR(IF(Agent01_Withdrawals!A180="","",YEAR(Agent01_Withdrawals!D180)),"")</f>
        <v/>
      </c>
    </row>
    <row r="176" spans="1:13" ht="18" customHeight="1" x14ac:dyDescent="0.25">
      <c r="A176" s="37" t="str">
        <f>IF(Agent01_Withdrawals!A181="","",Agent01_Withdrawals!A181)</f>
        <v/>
      </c>
      <c r="B176" s="37" t="str">
        <f ca="1">IF(Agent01_Withdrawals!A181="","","WD"&amp;TEXT(176-3,"0000")&amp;"-"&amp;TEXT(TODAY(),"YYYYMMDD"))</f>
        <v/>
      </c>
      <c r="C176" s="37" t="str">
        <f>IF(Agent01_Withdrawals!A181="","",Agent01_Withdrawals!B181)</f>
        <v/>
      </c>
      <c r="D176" s="40" t="str">
        <f>IF(Agent01_Withdrawals!A181="","",Agent01_Withdrawals!C181)</f>
        <v/>
      </c>
      <c r="E176" s="38" t="str">
        <f>IF(Agent01_Withdrawals!A181="","",Agent01_Withdrawals!D181)</f>
        <v/>
      </c>
      <c r="F176" s="37" t="str">
        <f>IF(Agent01_Withdrawals!A181="","",Agent01_Withdrawals!F181)</f>
        <v/>
      </c>
      <c r="G176" s="39" t="str">
        <f>IF(Agent01_Withdrawals!A181="","",Agent01_Withdrawals!E181)</f>
        <v/>
      </c>
      <c r="H176" s="39" t="str">
        <f>IF(Agent01_Withdrawals!A181="","",Agent01_Withdrawals!G181)</f>
        <v/>
      </c>
      <c r="I176" s="37" t="str">
        <f>IF(Agent01_Withdrawals!A181="","",Agent01_Withdrawals!H181)</f>
        <v/>
      </c>
      <c r="J176" s="37" t="str">
        <f>IF(Agent01_Withdrawals!A181="","",Agent01_Withdrawals!J181)</f>
        <v/>
      </c>
      <c r="K176" s="37" t="str">
        <f>IF(Agent01_Withdrawals!A181="","",Agent01_Withdrawals!K181)</f>
        <v/>
      </c>
      <c r="L176" s="37" t="str">
        <f>IF(G176="","",IF(D176-G176&gt;=System_Config!$B$9,"✅ OK","⚠️ BREACH"))</f>
        <v/>
      </c>
      <c r="M176" s="37" t="str">
        <f>IFERROR(IF(Agent01_Withdrawals!A181="","",YEAR(Agent01_Withdrawals!D181)),"")</f>
        <v/>
      </c>
    </row>
    <row r="177" spans="1:13" ht="18" customHeight="1" x14ac:dyDescent="0.25">
      <c r="A177" s="37" t="str">
        <f>IF(Agent01_Withdrawals!A182="","",Agent01_Withdrawals!A182)</f>
        <v/>
      </c>
      <c r="B177" s="37" t="str">
        <f ca="1">IF(Agent01_Withdrawals!A182="","","WD"&amp;TEXT(177-3,"0000")&amp;"-"&amp;TEXT(TODAY(),"YYYYMMDD"))</f>
        <v/>
      </c>
      <c r="C177" s="37" t="str">
        <f>IF(Agent01_Withdrawals!A182="","",Agent01_Withdrawals!B182)</f>
        <v/>
      </c>
      <c r="D177" s="40" t="str">
        <f>IF(Agent01_Withdrawals!A182="","",Agent01_Withdrawals!C182)</f>
        <v/>
      </c>
      <c r="E177" s="38" t="str">
        <f>IF(Agent01_Withdrawals!A182="","",Agent01_Withdrawals!D182)</f>
        <v/>
      </c>
      <c r="F177" s="37" t="str">
        <f>IF(Agent01_Withdrawals!A182="","",Agent01_Withdrawals!F182)</f>
        <v/>
      </c>
      <c r="G177" s="39" t="str">
        <f>IF(Agent01_Withdrawals!A182="","",Agent01_Withdrawals!E182)</f>
        <v/>
      </c>
      <c r="H177" s="39" t="str">
        <f>IF(Agent01_Withdrawals!A182="","",Agent01_Withdrawals!G182)</f>
        <v/>
      </c>
      <c r="I177" s="37" t="str">
        <f>IF(Agent01_Withdrawals!A182="","",Agent01_Withdrawals!H182)</f>
        <v/>
      </c>
      <c r="J177" s="37" t="str">
        <f>IF(Agent01_Withdrawals!A182="","",Agent01_Withdrawals!J182)</f>
        <v/>
      </c>
      <c r="K177" s="37" t="str">
        <f>IF(Agent01_Withdrawals!A182="","",Agent01_Withdrawals!K182)</f>
        <v/>
      </c>
      <c r="L177" s="37" t="str">
        <f>IF(G177="","",IF(D177-G177&gt;=System_Config!$B$9,"✅ OK","⚠️ BREACH"))</f>
        <v/>
      </c>
      <c r="M177" s="37" t="str">
        <f>IFERROR(IF(Agent01_Withdrawals!A182="","",YEAR(Agent01_Withdrawals!D182)),"")</f>
        <v/>
      </c>
    </row>
    <row r="178" spans="1:13" ht="18" customHeight="1" x14ac:dyDescent="0.25">
      <c r="A178" s="37" t="str">
        <f>IF(Agent01_Withdrawals!A183="","",Agent01_Withdrawals!A183)</f>
        <v/>
      </c>
      <c r="B178" s="37" t="str">
        <f ca="1">IF(Agent01_Withdrawals!A183="","","WD"&amp;TEXT(178-3,"0000")&amp;"-"&amp;TEXT(TODAY(),"YYYYMMDD"))</f>
        <v/>
      </c>
      <c r="C178" s="37" t="str">
        <f>IF(Agent01_Withdrawals!A183="","",Agent01_Withdrawals!B183)</f>
        <v/>
      </c>
      <c r="D178" s="40" t="str">
        <f>IF(Agent01_Withdrawals!A183="","",Agent01_Withdrawals!C183)</f>
        <v/>
      </c>
      <c r="E178" s="38" t="str">
        <f>IF(Agent01_Withdrawals!A183="","",Agent01_Withdrawals!D183)</f>
        <v/>
      </c>
      <c r="F178" s="37" t="str">
        <f>IF(Agent01_Withdrawals!A183="","",Agent01_Withdrawals!F183)</f>
        <v/>
      </c>
      <c r="G178" s="39" t="str">
        <f>IF(Agent01_Withdrawals!A183="","",Agent01_Withdrawals!E183)</f>
        <v/>
      </c>
      <c r="H178" s="39" t="str">
        <f>IF(Agent01_Withdrawals!A183="","",Agent01_Withdrawals!G183)</f>
        <v/>
      </c>
      <c r="I178" s="37" t="str">
        <f>IF(Agent01_Withdrawals!A183="","",Agent01_Withdrawals!H183)</f>
        <v/>
      </c>
      <c r="J178" s="37" t="str">
        <f>IF(Agent01_Withdrawals!A183="","",Agent01_Withdrawals!J183)</f>
        <v/>
      </c>
      <c r="K178" s="37" t="str">
        <f>IF(Agent01_Withdrawals!A183="","",Agent01_Withdrawals!K183)</f>
        <v/>
      </c>
      <c r="L178" s="37" t="str">
        <f>IF(G178="","",IF(D178-G178&gt;=System_Config!$B$9,"✅ OK","⚠️ BREACH"))</f>
        <v/>
      </c>
      <c r="M178" s="37" t="str">
        <f>IFERROR(IF(Agent01_Withdrawals!A183="","",YEAR(Agent01_Withdrawals!D183)),"")</f>
        <v/>
      </c>
    </row>
    <row r="179" spans="1:13" ht="18" customHeight="1" x14ac:dyDescent="0.25">
      <c r="A179" s="37" t="str">
        <f>IF(Agent01_Withdrawals!A184="","",Agent01_Withdrawals!A184)</f>
        <v/>
      </c>
      <c r="B179" s="37" t="str">
        <f ca="1">IF(Agent01_Withdrawals!A184="","","WD"&amp;TEXT(179-3,"0000")&amp;"-"&amp;TEXT(TODAY(),"YYYYMMDD"))</f>
        <v/>
      </c>
      <c r="C179" s="37" t="str">
        <f>IF(Agent01_Withdrawals!A184="","",Agent01_Withdrawals!B184)</f>
        <v/>
      </c>
      <c r="D179" s="40" t="str">
        <f>IF(Agent01_Withdrawals!A184="","",Agent01_Withdrawals!C184)</f>
        <v/>
      </c>
      <c r="E179" s="38" t="str">
        <f>IF(Agent01_Withdrawals!A184="","",Agent01_Withdrawals!D184)</f>
        <v/>
      </c>
      <c r="F179" s="37" t="str">
        <f>IF(Agent01_Withdrawals!A184="","",Agent01_Withdrawals!F184)</f>
        <v/>
      </c>
      <c r="G179" s="39" t="str">
        <f>IF(Agent01_Withdrawals!A184="","",Agent01_Withdrawals!E184)</f>
        <v/>
      </c>
      <c r="H179" s="39" t="str">
        <f>IF(Agent01_Withdrawals!A184="","",Agent01_Withdrawals!G184)</f>
        <v/>
      </c>
      <c r="I179" s="37" t="str">
        <f>IF(Agent01_Withdrawals!A184="","",Agent01_Withdrawals!H184)</f>
        <v/>
      </c>
      <c r="J179" s="37" t="str">
        <f>IF(Agent01_Withdrawals!A184="","",Agent01_Withdrawals!J184)</f>
        <v/>
      </c>
      <c r="K179" s="37" t="str">
        <f>IF(Agent01_Withdrawals!A184="","",Agent01_Withdrawals!K184)</f>
        <v/>
      </c>
      <c r="L179" s="37" t="str">
        <f>IF(G179="","",IF(D179-G179&gt;=System_Config!$B$9,"✅ OK","⚠️ BREACH"))</f>
        <v/>
      </c>
      <c r="M179" s="37" t="str">
        <f>IFERROR(IF(Agent01_Withdrawals!A184="","",YEAR(Agent01_Withdrawals!D184)),"")</f>
        <v/>
      </c>
    </row>
    <row r="180" spans="1:13" ht="18" customHeight="1" x14ac:dyDescent="0.25">
      <c r="A180" s="37" t="str">
        <f>IF(Agent01_Withdrawals!A185="","",Agent01_Withdrawals!A185)</f>
        <v/>
      </c>
      <c r="B180" s="37" t="str">
        <f ca="1">IF(Agent01_Withdrawals!A185="","","WD"&amp;TEXT(180-3,"0000")&amp;"-"&amp;TEXT(TODAY(),"YYYYMMDD"))</f>
        <v/>
      </c>
      <c r="C180" s="37" t="str">
        <f>IF(Agent01_Withdrawals!A185="","",Agent01_Withdrawals!B185)</f>
        <v/>
      </c>
      <c r="D180" s="40" t="str">
        <f>IF(Agent01_Withdrawals!A185="","",Agent01_Withdrawals!C185)</f>
        <v/>
      </c>
      <c r="E180" s="38" t="str">
        <f>IF(Agent01_Withdrawals!A185="","",Agent01_Withdrawals!D185)</f>
        <v/>
      </c>
      <c r="F180" s="37" t="str">
        <f>IF(Agent01_Withdrawals!A185="","",Agent01_Withdrawals!F185)</f>
        <v/>
      </c>
      <c r="G180" s="39" t="str">
        <f>IF(Agent01_Withdrawals!A185="","",Agent01_Withdrawals!E185)</f>
        <v/>
      </c>
      <c r="H180" s="39" t="str">
        <f>IF(Agent01_Withdrawals!A185="","",Agent01_Withdrawals!G185)</f>
        <v/>
      </c>
      <c r="I180" s="37" t="str">
        <f>IF(Agent01_Withdrawals!A185="","",Agent01_Withdrawals!H185)</f>
        <v/>
      </c>
      <c r="J180" s="37" t="str">
        <f>IF(Agent01_Withdrawals!A185="","",Agent01_Withdrawals!J185)</f>
        <v/>
      </c>
      <c r="K180" s="37" t="str">
        <f>IF(Agent01_Withdrawals!A185="","",Agent01_Withdrawals!K185)</f>
        <v/>
      </c>
      <c r="L180" s="37" t="str">
        <f>IF(G180="","",IF(D180-G180&gt;=System_Config!$B$9,"✅ OK","⚠️ BREACH"))</f>
        <v/>
      </c>
      <c r="M180" s="37" t="str">
        <f>IFERROR(IF(Agent01_Withdrawals!A185="","",YEAR(Agent01_Withdrawals!D185)),"")</f>
        <v/>
      </c>
    </row>
    <row r="181" spans="1:13" ht="18" customHeight="1" x14ac:dyDescent="0.25">
      <c r="A181" s="37" t="str">
        <f>IF(Agent01_Withdrawals!A186="","",Agent01_Withdrawals!A186)</f>
        <v/>
      </c>
      <c r="B181" s="37" t="str">
        <f ca="1">IF(Agent01_Withdrawals!A186="","","WD"&amp;TEXT(181-3,"0000")&amp;"-"&amp;TEXT(TODAY(),"YYYYMMDD"))</f>
        <v/>
      </c>
      <c r="C181" s="37" t="str">
        <f>IF(Agent01_Withdrawals!A186="","",Agent01_Withdrawals!B186)</f>
        <v/>
      </c>
      <c r="D181" s="40" t="str">
        <f>IF(Agent01_Withdrawals!A186="","",Agent01_Withdrawals!C186)</f>
        <v/>
      </c>
      <c r="E181" s="38" t="str">
        <f>IF(Agent01_Withdrawals!A186="","",Agent01_Withdrawals!D186)</f>
        <v/>
      </c>
      <c r="F181" s="37" t="str">
        <f>IF(Agent01_Withdrawals!A186="","",Agent01_Withdrawals!F186)</f>
        <v/>
      </c>
      <c r="G181" s="39" t="str">
        <f>IF(Agent01_Withdrawals!A186="","",Agent01_Withdrawals!E186)</f>
        <v/>
      </c>
      <c r="H181" s="39" t="str">
        <f>IF(Agent01_Withdrawals!A186="","",Agent01_Withdrawals!G186)</f>
        <v/>
      </c>
      <c r="I181" s="37" t="str">
        <f>IF(Agent01_Withdrawals!A186="","",Agent01_Withdrawals!H186)</f>
        <v/>
      </c>
      <c r="J181" s="37" t="str">
        <f>IF(Agent01_Withdrawals!A186="","",Agent01_Withdrawals!J186)</f>
        <v/>
      </c>
      <c r="K181" s="37" t="str">
        <f>IF(Agent01_Withdrawals!A186="","",Agent01_Withdrawals!K186)</f>
        <v/>
      </c>
      <c r="L181" s="37" t="str">
        <f>IF(G181="","",IF(D181-G181&gt;=System_Config!$B$9,"✅ OK","⚠️ BREACH"))</f>
        <v/>
      </c>
      <c r="M181" s="37" t="str">
        <f>IFERROR(IF(Agent01_Withdrawals!A186="","",YEAR(Agent01_Withdrawals!D186)),"")</f>
        <v/>
      </c>
    </row>
    <row r="182" spans="1:13" ht="18" customHeight="1" x14ac:dyDescent="0.25">
      <c r="A182" s="37" t="str">
        <f>IF(Agent01_Withdrawals!A187="","",Agent01_Withdrawals!A187)</f>
        <v/>
      </c>
      <c r="B182" s="37" t="str">
        <f ca="1">IF(Agent01_Withdrawals!A187="","","WD"&amp;TEXT(182-3,"0000")&amp;"-"&amp;TEXT(TODAY(),"YYYYMMDD"))</f>
        <v/>
      </c>
      <c r="C182" s="37" t="str">
        <f>IF(Agent01_Withdrawals!A187="","",Agent01_Withdrawals!B187)</f>
        <v/>
      </c>
      <c r="D182" s="40" t="str">
        <f>IF(Agent01_Withdrawals!A187="","",Agent01_Withdrawals!C187)</f>
        <v/>
      </c>
      <c r="E182" s="38" t="str">
        <f>IF(Agent01_Withdrawals!A187="","",Agent01_Withdrawals!D187)</f>
        <v/>
      </c>
      <c r="F182" s="37" t="str">
        <f>IF(Agent01_Withdrawals!A187="","",Agent01_Withdrawals!F187)</f>
        <v/>
      </c>
      <c r="G182" s="39" t="str">
        <f>IF(Agent01_Withdrawals!A187="","",Agent01_Withdrawals!E187)</f>
        <v/>
      </c>
      <c r="H182" s="39" t="str">
        <f>IF(Agent01_Withdrawals!A187="","",Agent01_Withdrawals!G187)</f>
        <v/>
      </c>
      <c r="I182" s="37" t="str">
        <f>IF(Agent01_Withdrawals!A187="","",Agent01_Withdrawals!H187)</f>
        <v/>
      </c>
      <c r="J182" s="37" t="str">
        <f>IF(Agent01_Withdrawals!A187="","",Agent01_Withdrawals!J187)</f>
        <v/>
      </c>
      <c r="K182" s="37" t="str">
        <f>IF(Agent01_Withdrawals!A187="","",Agent01_Withdrawals!K187)</f>
        <v/>
      </c>
      <c r="L182" s="37" t="str">
        <f>IF(G182="","",IF(D182-G182&gt;=System_Config!$B$9,"✅ OK","⚠️ BREACH"))</f>
        <v/>
      </c>
      <c r="M182" s="37" t="str">
        <f>IFERROR(IF(Agent01_Withdrawals!A187="","",YEAR(Agent01_Withdrawals!D187)),"")</f>
        <v/>
      </c>
    </row>
    <row r="183" spans="1:13" ht="18" customHeight="1" x14ac:dyDescent="0.25">
      <c r="A183" s="37" t="str">
        <f>IF(Agent01_Withdrawals!A188="","",Agent01_Withdrawals!A188)</f>
        <v/>
      </c>
      <c r="B183" s="37" t="str">
        <f ca="1">IF(Agent01_Withdrawals!A188="","","WD"&amp;TEXT(183-3,"0000")&amp;"-"&amp;TEXT(TODAY(),"YYYYMMDD"))</f>
        <v/>
      </c>
      <c r="C183" s="37" t="str">
        <f>IF(Agent01_Withdrawals!A188="","",Agent01_Withdrawals!B188)</f>
        <v/>
      </c>
      <c r="D183" s="40" t="str">
        <f>IF(Agent01_Withdrawals!A188="","",Agent01_Withdrawals!C188)</f>
        <v/>
      </c>
      <c r="E183" s="38" t="str">
        <f>IF(Agent01_Withdrawals!A188="","",Agent01_Withdrawals!D188)</f>
        <v/>
      </c>
      <c r="F183" s="37" t="str">
        <f>IF(Agent01_Withdrawals!A188="","",Agent01_Withdrawals!F188)</f>
        <v/>
      </c>
      <c r="G183" s="39" t="str">
        <f>IF(Agent01_Withdrawals!A188="","",Agent01_Withdrawals!E188)</f>
        <v/>
      </c>
      <c r="H183" s="39" t="str">
        <f>IF(Agent01_Withdrawals!A188="","",Agent01_Withdrawals!G188)</f>
        <v/>
      </c>
      <c r="I183" s="37" t="str">
        <f>IF(Agent01_Withdrawals!A188="","",Agent01_Withdrawals!H188)</f>
        <v/>
      </c>
      <c r="J183" s="37" t="str">
        <f>IF(Agent01_Withdrawals!A188="","",Agent01_Withdrawals!J188)</f>
        <v/>
      </c>
      <c r="K183" s="37" t="str">
        <f>IF(Agent01_Withdrawals!A188="","",Agent01_Withdrawals!K188)</f>
        <v/>
      </c>
      <c r="L183" s="37" t="str">
        <f>IF(G183="","",IF(D183-G183&gt;=System_Config!$B$9,"✅ OK","⚠️ BREACH"))</f>
        <v/>
      </c>
      <c r="M183" s="37" t="str">
        <f>IFERROR(IF(Agent01_Withdrawals!A188="","",YEAR(Agent01_Withdrawals!D188)),"")</f>
        <v/>
      </c>
    </row>
    <row r="184" spans="1:13" ht="18" customHeight="1" x14ac:dyDescent="0.25">
      <c r="A184" s="37" t="str">
        <f>IF(Agent01_Withdrawals!A189="","",Agent01_Withdrawals!A189)</f>
        <v/>
      </c>
      <c r="B184" s="37" t="str">
        <f ca="1">IF(Agent01_Withdrawals!A189="","","WD"&amp;TEXT(184-3,"0000")&amp;"-"&amp;TEXT(TODAY(),"YYYYMMDD"))</f>
        <v/>
      </c>
      <c r="C184" s="37" t="str">
        <f>IF(Agent01_Withdrawals!A189="","",Agent01_Withdrawals!B189)</f>
        <v/>
      </c>
      <c r="D184" s="40" t="str">
        <f>IF(Agent01_Withdrawals!A189="","",Agent01_Withdrawals!C189)</f>
        <v/>
      </c>
      <c r="E184" s="38" t="str">
        <f>IF(Agent01_Withdrawals!A189="","",Agent01_Withdrawals!D189)</f>
        <v/>
      </c>
      <c r="F184" s="37" t="str">
        <f>IF(Agent01_Withdrawals!A189="","",Agent01_Withdrawals!F189)</f>
        <v/>
      </c>
      <c r="G184" s="39" t="str">
        <f>IF(Agent01_Withdrawals!A189="","",Agent01_Withdrawals!E189)</f>
        <v/>
      </c>
      <c r="H184" s="39" t="str">
        <f>IF(Agent01_Withdrawals!A189="","",Agent01_Withdrawals!G189)</f>
        <v/>
      </c>
      <c r="I184" s="37" t="str">
        <f>IF(Agent01_Withdrawals!A189="","",Agent01_Withdrawals!H189)</f>
        <v/>
      </c>
      <c r="J184" s="37" t="str">
        <f>IF(Agent01_Withdrawals!A189="","",Agent01_Withdrawals!J189)</f>
        <v/>
      </c>
      <c r="K184" s="37" t="str">
        <f>IF(Agent01_Withdrawals!A189="","",Agent01_Withdrawals!K189)</f>
        <v/>
      </c>
      <c r="L184" s="37" t="str">
        <f>IF(G184="","",IF(D184-G184&gt;=System_Config!$B$9,"✅ OK","⚠️ BREACH"))</f>
        <v/>
      </c>
      <c r="M184" s="37" t="str">
        <f>IFERROR(IF(Agent01_Withdrawals!A189="","",YEAR(Agent01_Withdrawals!D189)),"")</f>
        <v/>
      </c>
    </row>
    <row r="185" spans="1:13" ht="18" customHeight="1" x14ac:dyDescent="0.25">
      <c r="A185" s="37" t="str">
        <f>IF(Agent01_Withdrawals!A190="","",Agent01_Withdrawals!A190)</f>
        <v/>
      </c>
      <c r="B185" s="37" t="str">
        <f ca="1">IF(Agent01_Withdrawals!A190="","","WD"&amp;TEXT(185-3,"0000")&amp;"-"&amp;TEXT(TODAY(),"YYYYMMDD"))</f>
        <v/>
      </c>
      <c r="C185" s="37" t="str">
        <f>IF(Agent01_Withdrawals!A190="","",Agent01_Withdrawals!B190)</f>
        <v/>
      </c>
      <c r="D185" s="40" t="str">
        <f>IF(Agent01_Withdrawals!A190="","",Agent01_Withdrawals!C190)</f>
        <v/>
      </c>
      <c r="E185" s="38" t="str">
        <f>IF(Agent01_Withdrawals!A190="","",Agent01_Withdrawals!D190)</f>
        <v/>
      </c>
      <c r="F185" s="37" t="str">
        <f>IF(Agent01_Withdrawals!A190="","",Agent01_Withdrawals!F190)</f>
        <v/>
      </c>
      <c r="G185" s="39" t="str">
        <f>IF(Agent01_Withdrawals!A190="","",Agent01_Withdrawals!E190)</f>
        <v/>
      </c>
      <c r="H185" s="39" t="str">
        <f>IF(Agent01_Withdrawals!A190="","",Agent01_Withdrawals!G190)</f>
        <v/>
      </c>
      <c r="I185" s="37" t="str">
        <f>IF(Agent01_Withdrawals!A190="","",Agent01_Withdrawals!H190)</f>
        <v/>
      </c>
      <c r="J185" s="37" t="str">
        <f>IF(Agent01_Withdrawals!A190="","",Agent01_Withdrawals!J190)</f>
        <v/>
      </c>
      <c r="K185" s="37" t="str">
        <f>IF(Agent01_Withdrawals!A190="","",Agent01_Withdrawals!K190)</f>
        <v/>
      </c>
      <c r="L185" s="37" t="str">
        <f>IF(G185="","",IF(D185-G185&gt;=System_Config!$B$9,"✅ OK","⚠️ BREACH"))</f>
        <v/>
      </c>
      <c r="M185" s="37" t="str">
        <f>IFERROR(IF(Agent01_Withdrawals!A190="","",YEAR(Agent01_Withdrawals!D190)),"")</f>
        <v/>
      </c>
    </row>
    <row r="186" spans="1:13" ht="18" customHeight="1" x14ac:dyDescent="0.25">
      <c r="A186" s="37" t="str">
        <f>IF(Agent01_Withdrawals!A191="","",Agent01_Withdrawals!A191)</f>
        <v/>
      </c>
      <c r="B186" s="37" t="str">
        <f ca="1">IF(Agent01_Withdrawals!A191="","","WD"&amp;TEXT(186-3,"0000")&amp;"-"&amp;TEXT(TODAY(),"YYYYMMDD"))</f>
        <v/>
      </c>
      <c r="C186" s="37" t="str">
        <f>IF(Agent01_Withdrawals!A191="","",Agent01_Withdrawals!B191)</f>
        <v/>
      </c>
      <c r="D186" s="40" t="str">
        <f>IF(Agent01_Withdrawals!A191="","",Agent01_Withdrawals!C191)</f>
        <v/>
      </c>
      <c r="E186" s="38" t="str">
        <f>IF(Agent01_Withdrawals!A191="","",Agent01_Withdrawals!D191)</f>
        <v/>
      </c>
      <c r="F186" s="37" t="str">
        <f>IF(Agent01_Withdrawals!A191="","",Agent01_Withdrawals!F191)</f>
        <v/>
      </c>
      <c r="G186" s="39" t="str">
        <f>IF(Agent01_Withdrawals!A191="","",Agent01_Withdrawals!E191)</f>
        <v/>
      </c>
      <c r="H186" s="39" t="str">
        <f>IF(Agent01_Withdrawals!A191="","",Agent01_Withdrawals!G191)</f>
        <v/>
      </c>
      <c r="I186" s="37" t="str">
        <f>IF(Agent01_Withdrawals!A191="","",Agent01_Withdrawals!H191)</f>
        <v/>
      </c>
      <c r="J186" s="37" t="str">
        <f>IF(Agent01_Withdrawals!A191="","",Agent01_Withdrawals!J191)</f>
        <v/>
      </c>
      <c r="K186" s="37" t="str">
        <f>IF(Agent01_Withdrawals!A191="","",Agent01_Withdrawals!K191)</f>
        <v/>
      </c>
      <c r="L186" s="37" t="str">
        <f>IF(G186="","",IF(D186-G186&gt;=System_Config!$B$9,"✅ OK","⚠️ BREACH"))</f>
        <v/>
      </c>
      <c r="M186" s="37" t="str">
        <f>IFERROR(IF(Agent01_Withdrawals!A191="","",YEAR(Agent01_Withdrawals!D191)),"")</f>
        <v/>
      </c>
    </row>
    <row r="187" spans="1:13" ht="18" customHeight="1" x14ac:dyDescent="0.25">
      <c r="A187" s="37" t="str">
        <f>IF(Agent01_Withdrawals!A192="","",Agent01_Withdrawals!A192)</f>
        <v/>
      </c>
      <c r="B187" s="37" t="str">
        <f ca="1">IF(Agent01_Withdrawals!A192="","","WD"&amp;TEXT(187-3,"0000")&amp;"-"&amp;TEXT(TODAY(),"YYYYMMDD"))</f>
        <v/>
      </c>
      <c r="C187" s="37" t="str">
        <f>IF(Agent01_Withdrawals!A192="","",Agent01_Withdrawals!B192)</f>
        <v/>
      </c>
      <c r="D187" s="40" t="str">
        <f>IF(Agent01_Withdrawals!A192="","",Agent01_Withdrawals!C192)</f>
        <v/>
      </c>
      <c r="E187" s="38" t="str">
        <f>IF(Agent01_Withdrawals!A192="","",Agent01_Withdrawals!D192)</f>
        <v/>
      </c>
      <c r="F187" s="37" t="str">
        <f>IF(Agent01_Withdrawals!A192="","",Agent01_Withdrawals!F192)</f>
        <v/>
      </c>
      <c r="G187" s="39" t="str">
        <f>IF(Agent01_Withdrawals!A192="","",Agent01_Withdrawals!E192)</f>
        <v/>
      </c>
      <c r="H187" s="39" t="str">
        <f>IF(Agent01_Withdrawals!A192="","",Agent01_Withdrawals!G192)</f>
        <v/>
      </c>
      <c r="I187" s="37" t="str">
        <f>IF(Agent01_Withdrawals!A192="","",Agent01_Withdrawals!H192)</f>
        <v/>
      </c>
      <c r="J187" s="37" t="str">
        <f>IF(Agent01_Withdrawals!A192="","",Agent01_Withdrawals!J192)</f>
        <v/>
      </c>
      <c r="K187" s="37" t="str">
        <f>IF(Agent01_Withdrawals!A192="","",Agent01_Withdrawals!K192)</f>
        <v/>
      </c>
      <c r="L187" s="37" t="str">
        <f>IF(G187="","",IF(D187-G187&gt;=System_Config!$B$9,"✅ OK","⚠️ BREACH"))</f>
        <v/>
      </c>
      <c r="M187" s="37" t="str">
        <f>IFERROR(IF(Agent01_Withdrawals!A192="","",YEAR(Agent01_Withdrawals!D192)),"")</f>
        <v/>
      </c>
    </row>
    <row r="188" spans="1:13" ht="18" customHeight="1" x14ac:dyDescent="0.25">
      <c r="A188" s="37" t="str">
        <f>IF(Agent01_Withdrawals!A193="","",Agent01_Withdrawals!A193)</f>
        <v/>
      </c>
      <c r="B188" s="37" t="str">
        <f ca="1">IF(Agent01_Withdrawals!A193="","","WD"&amp;TEXT(188-3,"0000")&amp;"-"&amp;TEXT(TODAY(),"YYYYMMDD"))</f>
        <v/>
      </c>
      <c r="C188" s="37" t="str">
        <f>IF(Agent01_Withdrawals!A193="","",Agent01_Withdrawals!B193)</f>
        <v/>
      </c>
      <c r="D188" s="40" t="str">
        <f>IF(Agent01_Withdrawals!A193="","",Agent01_Withdrawals!C193)</f>
        <v/>
      </c>
      <c r="E188" s="38" t="str">
        <f>IF(Agent01_Withdrawals!A193="","",Agent01_Withdrawals!D193)</f>
        <v/>
      </c>
      <c r="F188" s="37" t="str">
        <f>IF(Agent01_Withdrawals!A193="","",Agent01_Withdrawals!F193)</f>
        <v/>
      </c>
      <c r="G188" s="39" t="str">
        <f>IF(Agent01_Withdrawals!A193="","",Agent01_Withdrawals!E193)</f>
        <v/>
      </c>
      <c r="H188" s="39" t="str">
        <f>IF(Agent01_Withdrawals!A193="","",Agent01_Withdrawals!G193)</f>
        <v/>
      </c>
      <c r="I188" s="37" t="str">
        <f>IF(Agent01_Withdrawals!A193="","",Agent01_Withdrawals!H193)</f>
        <v/>
      </c>
      <c r="J188" s="37" t="str">
        <f>IF(Agent01_Withdrawals!A193="","",Agent01_Withdrawals!J193)</f>
        <v/>
      </c>
      <c r="K188" s="37" t="str">
        <f>IF(Agent01_Withdrawals!A193="","",Agent01_Withdrawals!K193)</f>
        <v/>
      </c>
      <c r="L188" s="37" t="str">
        <f>IF(G188="","",IF(D188-G188&gt;=System_Config!$B$9,"✅ OK","⚠️ BREACH"))</f>
        <v/>
      </c>
      <c r="M188" s="37" t="str">
        <f>IFERROR(IF(Agent01_Withdrawals!A193="","",YEAR(Agent01_Withdrawals!D193)),"")</f>
        <v/>
      </c>
    </row>
    <row r="189" spans="1:13" ht="18" customHeight="1" x14ac:dyDescent="0.25">
      <c r="A189" s="37" t="str">
        <f>IF(Agent01_Withdrawals!A194="","",Agent01_Withdrawals!A194)</f>
        <v/>
      </c>
      <c r="B189" s="37" t="str">
        <f ca="1">IF(Agent01_Withdrawals!A194="","","WD"&amp;TEXT(189-3,"0000")&amp;"-"&amp;TEXT(TODAY(),"YYYYMMDD"))</f>
        <v/>
      </c>
      <c r="C189" s="37" t="str">
        <f>IF(Agent01_Withdrawals!A194="","",Agent01_Withdrawals!B194)</f>
        <v/>
      </c>
      <c r="D189" s="40" t="str">
        <f>IF(Agent01_Withdrawals!A194="","",Agent01_Withdrawals!C194)</f>
        <v/>
      </c>
      <c r="E189" s="38" t="str">
        <f>IF(Agent01_Withdrawals!A194="","",Agent01_Withdrawals!D194)</f>
        <v/>
      </c>
      <c r="F189" s="37" t="str">
        <f>IF(Agent01_Withdrawals!A194="","",Agent01_Withdrawals!F194)</f>
        <v/>
      </c>
      <c r="G189" s="39" t="str">
        <f>IF(Agent01_Withdrawals!A194="","",Agent01_Withdrawals!E194)</f>
        <v/>
      </c>
      <c r="H189" s="39" t="str">
        <f>IF(Agent01_Withdrawals!A194="","",Agent01_Withdrawals!G194)</f>
        <v/>
      </c>
      <c r="I189" s="37" t="str">
        <f>IF(Agent01_Withdrawals!A194="","",Agent01_Withdrawals!H194)</f>
        <v/>
      </c>
      <c r="J189" s="37" t="str">
        <f>IF(Agent01_Withdrawals!A194="","",Agent01_Withdrawals!J194)</f>
        <v/>
      </c>
      <c r="K189" s="37" t="str">
        <f>IF(Agent01_Withdrawals!A194="","",Agent01_Withdrawals!K194)</f>
        <v/>
      </c>
      <c r="L189" s="37" t="str">
        <f>IF(G189="","",IF(D189-G189&gt;=System_Config!$B$9,"✅ OK","⚠️ BREACH"))</f>
        <v/>
      </c>
      <c r="M189" s="37" t="str">
        <f>IFERROR(IF(Agent01_Withdrawals!A194="","",YEAR(Agent01_Withdrawals!D194)),"")</f>
        <v/>
      </c>
    </row>
    <row r="190" spans="1:13" ht="18" customHeight="1" x14ac:dyDescent="0.25">
      <c r="A190" s="37" t="str">
        <f>IF(Agent01_Withdrawals!A195="","",Agent01_Withdrawals!A195)</f>
        <v/>
      </c>
      <c r="B190" s="37" t="str">
        <f ca="1">IF(Agent01_Withdrawals!A195="","","WD"&amp;TEXT(190-3,"0000")&amp;"-"&amp;TEXT(TODAY(),"YYYYMMDD"))</f>
        <v/>
      </c>
      <c r="C190" s="37" t="str">
        <f>IF(Agent01_Withdrawals!A195="","",Agent01_Withdrawals!B195)</f>
        <v/>
      </c>
      <c r="D190" s="40" t="str">
        <f>IF(Agent01_Withdrawals!A195="","",Agent01_Withdrawals!C195)</f>
        <v/>
      </c>
      <c r="E190" s="38" t="str">
        <f>IF(Agent01_Withdrawals!A195="","",Agent01_Withdrawals!D195)</f>
        <v/>
      </c>
      <c r="F190" s="37" t="str">
        <f>IF(Agent01_Withdrawals!A195="","",Agent01_Withdrawals!F195)</f>
        <v/>
      </c>
      <c r="G190" s="39" t="str">
        <f>IF(Agent01_Withdrawals!A195="","",Agent01_Withdrawals!E195)</f>
        <v/>
      </c>
      <c r="H190" s="39" t="str">
        <f>IF(Agent01_Withdrawals!A195="","",Agent01_Withdrawals!G195)</f>
        <v/>
      </c>
      <c r="I190" s="37" t="str">
        <f>IF(Agent01_Withdrawals!A195="","",Agent01_Withdrawals!H195)</f>
        <v/>
      </c>
      <c r="J190" s="37" t="str">
        <f>IF(Agent01_Withdrawals!A195="","",Agent01_Withdrawals!J195)</f>
        <v/>
      </c>
      <c r="K190" s="37" t="str">
        <f>IF(Agent01_Withdrawals!A195="","",Agent01_Withdrawals!K195)</f>
        <v/>
      </c>
      <c r="L190" s="37" t="str">
        <f>IF(G190="","",IF(D190-G190&gt;=System_Config!$B$9,"✅ OK","⚠️ BREACH"))</f>
        <v/>
      </c>
      <c r="M190" s="37" t="str">
        <f>IFERROR(IF(Agent01_Withdrawals!A195="","",YEAR(Agent01_Withdrawals!D195)),"")</f>
        <v/>
      </c>
    </row>
    <row r="191" spans="1:13" ht="18" customHeight="1" x14ac:dyDescent="0.25">
      <c r="A191" s="37" t="str">
        <f>IF(Agent01_Withdrawals!A196="","",Agent01_Withdrawals!A196)</f>
        <v/>
      </c>
      <c r="B191" s="37" t="str">
        <f ca="1">IF(Agent01_Withdrawals!A196="","","WD"&amp;TEXT(191-3,"0000")&amp;"-"&amp;TEXT(TODAY(),"YYYYMMDD"))</f>
        <v/>
      </c>
      <c r="C191" s="37" t="str">
        <f>IF(Agent01_Withdrawals!A196="","",Agent01_Withdrawals!B196)</f>
        <v/>
      </c>
      <c r="D191" s="40" t="str">
        <f>IF(Agent01_Withdrawals!A196="","",Agent01_Withdrawals!C196)</f>
        <v/>
      </c>
      <c r="E191" s="38" t="str">
        <f>IF(Agent01_Withdrawals!A196="","",Agent01_Withdrawals!D196)</f>
        <v/>
      </c>
      <c r="F191" s="37" t="str">
        <f>IF(Agent01_Withdrawals!A196="","",Agent01_Withdrawals!F196)</f>
        <v/>
      </c>
      <c r="G191" s="39" t="str">
        <f>IF(Agent01_Withdrawals!A196="","",Agent01_Withdrawals!E196)</f>
        <v/>
      </c>
      <c r="H191" s="39" t="str">
        <f>IF(Agent01_Withdrawals!A196="","",Agent01_Withdrawals!G196)</f>
        <v/>
      </c>
      <c r="I191" s="37" t="str">
        <f>IF(Agent01_Withdrawals!A196="","",Agent01_Withdrawals!H196)</f>
        <v/>
      </c>
      <c r="J191" s="37" t="str">
        <f>IF(Agent01_Withdrawals!A196="","",Agent01_Withdrawals!J196)</f>
        <v/>
      </c>
      <c r="K191" s="37" t="str">
        <f>IF(Agent01_Withdrawals!A196="","",Agent01_Withdrawals!K196)</f>
        <v/>
      </c>
      <c r="L191" s="37" t="str">
        <f>IF(G191="","",IF(D191-G191&gt;=System_Config!$B$9,"✅ OK","⚠️ BREACH"))</f>
        <v/>
      </c>
      <c r="M191" s="37" t="str">
        <f>IFERROR(IF(Agent01_Withdrawals!A196="","",YEAR(Agent01_Withdrawals!D196)),"")</f>
        <v/>
      </c>
    </row>
    <row r="192" spans="1:13" ht="18" customHeight="1" x14ac:dyDescent="0.25">
      <c r="A192" s="37" t="str">
        <f>IF(Agent01_Withdrawals!A197="","",Agent01_Withdrawals!A197)</f>
        <v/>
      </c>
      <c r="B192" s="37" t="str">
        <f ca="1">IF(Agent01_Withdrawals!A197="","","WD"&amp;TEXT(192-3,"0000")&amp;"-"&amp;TEXT(TODAY(),"YYYYMMDD"))</f>
        <v/>
      </c>
      <c r="C192" s="37" t="str">
        <f>IF(Agent01_Withdrawals!A197="","",Agent01_Withdrawals!B197)</f>
        <v/>
      </c>
      <c r="D192" s="40" t="str">
        <f>IF(Agent01_Withdrawals!A197="","",Agent01_Withdrawals!C197)</f>
        <v/>
      </c>
      <c r="E192" s="38" t="str">
        <f>IF(Agent01_Withdrawals!A197="","",Agent01_Withdrawals!D197)</f>
        <v/>
      </c>
      <c r="F192" s="37" t="str">
        <f>IF(Agent01_Withdrawals!A197="","",Agent01_Withdrawals!F197)</f>
        <v/>
      </c>
      <c r="G192" s="39" t="str">
        <f>IF(Agent01_Withdrawals!A197="","",Agent01_Withdrawals!E197)</f>
        <v/>
      </c>
      <c r="H192" s="39" t="str">
        <f>IF(Agent01_Withdrawals!A197="","",Agent01_Withdrawals!G197)</f>
        <v/>
      </c>
      <c r="I192" s="37" t="str">
        <f>IF(Agent01_Withdrawals!A197="","",Agent01_Withdrawals!H197)</f>
        <v/>
      </c>
      <c r="J192" s="37" t="str">
        <f>IF(Agent01_Withdrawals!A197="","",Agent01_Withdrawals!J197)</f>
        <v/>
      </c>
      <c r="K192" s="37" t="str">
        <f>IF(Agent01_Withdrawals!A197="","",Agent01_Withdrawals!K197)</f>
        <v/>
      </c>
      <c r="L192" s="37" t="str">
        <f>IF(G192="","",IF(D192-G192&gt;=System_Config!$B$9,"✅ OK","⚠️ BREACH"))</f>
        <v/>
      </c>
      <c r="M192" s="37" t="str">
        <f>IFERROR(IF(Agent01_Withdrawals!A197="","",YEAR(Agent01_Withdrawals!D197)),"")</f>
        <v/>
      </c>
    </row>
    <row r="193" spans="1:13" ht="18" customHeight="1" x14ac:dyDescent="0.25">
      <c r="A193" s="37" t="str">
        <f>IF(Agent01_Withdrawals!A198="","",Agent01_Withdrawals!A198)</f>
        <v/>
      </c>
      <c r="B193" s="37" t="str">
        <f ca="1">IF(Agent01_Withdrawals!A198="","","WD"&amp;TEXT(193-3,"0000")&amp;"-"&amp;TEXT(TODAY(),"YYYYMMDD"))</f>
        <v/>
      </c>
      <c r="C193" s="37" t="str">
        <f>IF(Agent01_Withdrawals!A198="","",Agent01_Withdrawals!B198)</f>
        <v/>
      </c>
      <c r="D193" s="40" t="str">
        <f>IF(Agent01_Withdrawals!A198="","",Agent01_Withdrawals!C198)</f>
        <v/>
      </c>
      <c r="E193" s="38" t="str">
        <f>IF(Agent01_Withdrawals!A198="","",Agent01_Withdrawals!D198)</f>
        <v/>
      </c>
      <c r="F193" s="37" t="str">
        <f>IF(Agent01_Withdrawals!A198="","",Agent01_Withdrawals!F198)</f>
        <v/>
      </c>
      <c r="G193" s="39" t="str">
        <f>IF(Agent01_Withdrawals!A198="","",Agent01_Withdrawals!E198)</f>
        <v/>
      </c>
      <c r="H193" s="39" t="str">
        <f>IF(Agent01_Withdrawals!A198="","",Agent01_Withdrawals!G198)</f>
        <v/>
      </c>
      <c r="I193" s="37" t="str">
        <f>IF(Agent01_Withdrawals!A198="","",Agent01_Withdrawals!H198)</f>
        <v/>
      </c>
      <c r="J193" s="37" t="str">
        <f>IF(Agent01_Withdrawals!A198="","",Agent01_Withdrawals!J198)</f>
        <v/>
      </c>
      <c r="K193" s="37" t="str">
        <f>IF(Agent01_Withdrawals!A198="","",Agent01_Withdrawals!K198)</f>
        <v/>
      </c>
      <c r="L193" s="37" t="str">
        <f>IF(G193="","",IF(D193-G193&gt;=System_Config!$B$9,"✅ OK","⚠️ BREACH"))</f>
        <v/>
      </c>
      <c r="M193" s="37" t="str">
        <f>IFERROR(IF(Agent01_Withdrawals!A198="","",YEAR(Agent01_Withdrawals!D198)),"")</f>
        <v/>
      </c>
    </row>
    <row r="194" spans="1:13" ht="18" customHeight="1" x14ac:dyDescent="0.25">
      <c r="A194" s="37" t="str">
        <f>IF(Agent01_Withdrawals!A199="","",Agent01_Withdrawals!A199)</f>
        <v/>
      </c>
      <c r="B194" s="37" t="str">
        <f ca="1">IF(Agent01_Withdrawals!A199="","","WD"&amp;TEXT(194-3,"0000")&amp;"-"&amp;TEXT(TODAY(),"YYYYMMDD"))</f>
        <v/>
      </c>
      <c r="C194" s="37" t="str">
        <f>IF(Agent01_Withdrawals!A199="","",Agent01_Withdrawals!B199)</f>
        <v/>
      </c>
      <c r="D194" s="40" t="str">
        <f>IF(Agent01_Withdrawals!A199="","",Agent01_Withdrawals!C199)</f>
        <v/>
      </c>
      <c r="E194" s="38" t="str">
        <f>IF(Agent01_Withdrawals!A199="","",Agent01_Withdrawals!D199)</f>
        <v/>
      </c>
      <c r="F194" s="37" t="str">
        <f>IF(Agent01_Withdrawals!A199="","",Agent01_Withdrawals!F199)</f>
        <v/>
      </c>
      <c r="G194" s="39" t="str">
        <f>IF(Agent01_Withdrawals!A199="","",Agent01_Withdrawals!E199)</f>
        <v/>
      </c>
      <c r="H194" s="39" t="str">
        <f>IF(Agent01_Withdrawals!A199="","",Agent01_Withdrawals!G199)</f>
        <v/>
      </c>
      <c r="I194" s="37" t="str">
        <f>IF(Agent01_Withdrawals!A199="","",Agent01_Withdrawals!H199)</f>
        <v/>
      </c>
      <c r="J194" s="37" t="str">
        <f>IF(Agent01_Withdrawals!A199="","",Agent01_Withdrawals!J199)</f>
        <v/>
      </c>
      <c r="K194" s="37" t="str">
        <f>IF(Agent01_Withdrawals!A199="","",Agent01_Withdrawals!K199)</f>
        <v/>
      </c>
      <c r="L194" s="37" t="str">
        <f>IF(G194="","",IF(D194-G194&gt;=System_Config!$B$9,"✅ OK","⚠️ BREACH"))</f>
        <v/>
      </c>
      <c r="M194" s="37" t="str">
        <f>IFERROR(IF(Agent01_Withdrawals!A199="","",YEAR(Agent01_Withdrawals!D199)),"")</f>
        <v/>
      </c>
    </row>
    <row r="195" spans="1:13" ht="18" customHeight="1" x14ac:dyDescent="0.25">
      <c r="A195" s="37" t="str">
        <f>IF(Agent01_Withdrawals!A200="","",Agent01_Withdrawals!A200)</f>
        <v/>
      </c>
      <c r="B195" s="37" t="str">
        <f ca="1">IF(Agent01_Withdrawals!A200="","","WD"&amp;TEXT(195-3,"0000")&amp;"-"&amp;TEXT(TODAY(),"YYYYMMDD"))</f>
        <v/>
      </c>
      <c r="C195" s="37" t="str">
        <f>IF(Agent01_Withdrawals!A200="","",Agent01_Withdrawals!B200)</f>
        <v/>
      </c>
      <c r="D195" s="40" t="str">
        <f>IF(Agent01_Withdrawals!A200="","",Agent01_Withdrawals!C200)</f>
        <v/>
      </c>
      <c r="E195" s="38" t="str">
        <f>IF(Agent01_Withdrawals!A200="","",Agent01_Withdrawals!D200)</f>
        <v/>
      </c>
      <c r="F195" s="37" t="str">
        <f>IF(Agent01_Withdrawals!A200="","",Agent01_Withdrawals!F200)</f>
        <v/>
      </c>
      <c r="G195" s="39" t="str">
        <f>IF(Agent01_Withdrawals!A200="","",Agent01_Withdrawals!E200)</f>
        <v/>
      </c>
      <c r="H195" s="39" t="str">
        <f>IF(Agent01_Withdrawals!A200="","",Agent01_Withdrawals!G200)</f>
        <v/>
      </c>
      <c r="I195" s="37" t="str">
        <f>IF(Agent01_Withdrawals!A200="","",Agent01_Withdrawals!H200)</f>
        <v/>
      </c>
      <c r="J195" s="37" t="str">
        <f>IF(Agent01_Withdrawals!A200="","",Agent01_Withdrawals!J200)</f>
        <v/>
      </c>
      <c r="K195" s="37" t="str">
        <f>IF(Agent01_Withdrawals!A200="","",Agent01_Withdrawals!K200)</f>
        <v/>
      </c>
      <c r="L195" s="37" t="str">
        <f>IF(G195="","",IF(D195-G195&gt;=System_Config!$B$9,"✅ OK","⚠️ BREACH"))</f>
        <v/>
      </c>
      <c r="M195" s="37" t="str">
        <f>IFERROR(IF(Agent01_Withdrawals!A200="","",YEAR(Agent01_Withdrawals!D200)),"")</f>
        <v/>
      </c>
    </row>
    <row r="196" spans="1:13" ht="18" customHeight="1" x14ac:dyDescent="0.25">
      <c r="A196" s="37" t="str">
        <f>IF(Agent01_Withdrawals!A201="","",Agent01_Withdrawals!A201)</f>
        <v/>
      </c>
      <c r="B196" s="37" t="str">
        <f ca="1">IF(Agent01_Withdrawals!A201="","","WD"&amp;TEXT(196-3,"0000")&amp;"-"&amp;TEXT(TODAY(),"YYYYMMDD"))</f>
        <v/>
      </c>
      <c r="C196" s="37" t="str">
        <f>IF(Agent01_Withdrawals!A201="","",Agent01_Withdrawals!B201)</f>
        <v/>
      </c>
      <c r="D196" s="40" t="str">
        <f>IF(Agent01_Withdrawals!A201="","",Agent01_Withdrawals!C201)</f>
        <v/>
      </c>
      <c r="E196" s="38" t="str">
        <f>IF(Agent01_Withdrawals!A201="","",Agent01_Withdrawals!D201)</f>
        <v/>
      </c>
      <c r="F196" s="37" t="str">
        <f>IF(Agent01_Withdrawals!A201="","",Agent01_Withdrawals!F201)</f>
        <v/>
      </c>
      <c r="G196" s="39" t="str">
        <f>IF(Agent01_Withdrawals!A201="","",Agent01_Withdrawals!E201)</f>
        <v/>
      </c>
      <c r="H196" s="39" t="str">
        <f>IF(Agent01_Withdrawals!A201="","",Agent01_Withdrawals!G201)</f>
        <v/>
      </c>
      <c r="I196" s="37" t="str">
        <f>IF(Agent01_Withdrawals!A201="","",Agent01_Withdrawals!H201)</f>
        <v/>
      </c>
      <c r="J196" s="37" t="str">
        <f>IF(Agent01_Withdrawals!A201="","",Agent01_Withdrawals!J201)</f>
        <v/>
      </c>
      <c r="K196" s="37" t="str">
        <f>IF(Agent01_Withdrawals!A201="","",Agent01_Withdrawals!K201)</f>
        <v/>
      </c>
      <c r="L196" s="37" t="str">
        <f>IF(G196="","",IF(D196-G196&gt;=System_Config!$B$9,"✅ OK","⚠️ BREACH"))</f>
        <v/>
      </c>
      <c r="M196" s="37" t="str">
        <f>IFERROR(IF(Agent01_Withdrawals!A201="","",YEAR(Agent01_Withdrawals!D201)),"")</f>
        <v/>
      </c>
    </row>
    <row r="197" spans="1:13" ht="18" customHeight="1" x14ac:dyDescent="0.25">
      <c r="A197" s="37" t="str">
        <f>IF(Agent01_Withdrawals!A202="","",Agent01_Withdrawals!A202)</f>
        <v/>
      </c>
      <c r="B197" s="37" t="str">
        <f ca="1">IF(Agent01_Withdrawals!A202="","","WD"&amp;TEXT(197-3,"0000")&amp;"-"&amp;TEXT(TODAY(),"YYYYMMDD"))</f>
        <v/>
      </c>
      <c r="C197" s="37" t="str">
        <f>IF(Agent01_Withdrawals!A202="","",Agent01_Withdrawals!B202)</f>
        <v/>
      </c>
      <c r="D197" s="40" t="str">
        <f>IF(Agent01_Withdrawals!A202="","",Agent01_Withdrawals!C202)</f>
        <v/>
      </c>
      <c r="E197" s="38" t="str">
        <f>IF(Agent01_Withdrawals!A202="","",Agent01_Withdrawals!D202)</f>
        <v/>
      </c>
      <c r="F197" s="37" t="str">
        <f>IF(Agent01_Withdrawals!A202="","",Agent01_Withdrawals!F202)</f>
        <v/>
      </c>
      <c r="G197" s="39" t="str">
        <f>IF(Agent01_Withdrawals!A202="","",Agent01_Withdrawals!E202)</f>
        <v/>
      </c>
      <c r="H197" s="39" t="str">
        <f>IF(Agent01_Withdrawals!A202="","",Agent01_Withdrawals!G202)</f>
        <v/>
      </c>
      <c r="I197" s="37" t="str">
        <f>IF(Agent01_Withdrawals!A202="","",Agent01_Withdrawals!H202)</f>
        <v/>
      </c>
      <c r="J197" s="37" t="str">
        <f>IF(Agent01_Withdrawals!A202="","",Agent01_Withdrawals!J202)</f>
        <v/>
      </c>
      <c r="K197" s="37" t="str">
        <f>IF(Agent01_Withdrawals!A202="","",Agent01_Withdrawals!K202)</f>
        <v/>
      </c>
      <c r="L197" s="37" t="str">
        <f>IF(G197="","",IF(D197-G197&gt;=System_Config!$B$9,"✅ OK","⚠️ BREACH"))</f>
        <v/>
      </c>
      <c r="M197" s="37" t="str">
        <f>IFERROR(IF(Agent01_Withdrawals!A202="","",YEAR(Agent01_Withdrawals!D202)),"")</f>
        <v/>
      </c>
    </row>
    <row r="198" spans="1:13" ht="18" customHeight="1" x14ac:dyDescent="0.25">
      <c r="A198" s="37" t="str">
        <f>IF(Agent01_Withdrawals!A203="","",Agent01_Withdrawals!A203)</f>
        <v/>
      </c>
      <c r="B198" s="37" t="str">
        <f ca="1">IF(Agent01_Withdrawals!A203="","","WD"&amp;TEXT(198-3,"0000")&amp;"-"&amp;TEXT(TODAY(),"YYYYMMDD"))</f>
        <v/>
      </c>
      <c r="C198" s="37" t="str">
        <f>IF(Agent01_Withdrawals!A203="","",Agent01_Withdrawals!B203)</f>
        <v/>
      </c>
      <c r="D198" s="40" t="str">
        <f>IF(Agent01_Withdrawals!A203="","",Agent01_Withdrawals!C203)</f>
        <v/>
      </c>
      <c r="E198" s="38" t="str">
        <f>IF(Agent01_Withdrawals!A203="","",Agent01_Withdrawals!D203)</f>
        <v/>
      </c>
      <c r="F198" s="37" t="str">
        <f>IF(Agent01_Withdrawals!A203="","",Agent01_Withdrawals!F203)</f>
        <v/>
      </c>
      <c r="G198" s="39" t="str">
        <f>IF(Agent01_Withdrawals!A203="","",Agent01_Withdrawals!E203)</f>
        <v/>
      </c>
      <c r="H198" s="39" t="str">
        <f>IF(Agent01_Withdrawals!A203="","",Agent01_Withdrawals!G203)</f>
        <v/>
      </c>
      <c r="I198" s="37" t="str">
        <f>IF(Agent01_Withdrawals!A203="","",Agent01_Withdrawals!H203)</f>
        <v/>
      </c>
      <c r="J198" s="37" t="str">
        <f>IF(Agent01_Withdrawals!A203="","",Agent01_Withdrawals!J203)</f>
        <v/>
      </c>
      <c r="K198" s="37" t="str">
        <f>IF(Agent01_Withdrawals!A203="","",Agent01_Withdrawals!K203)</f>
        <v/>
      </c>
      <c r="L198" s="37" t="str">
        <f>IF(G198="","",IF(D198-G198&gt;=System_Config!$B$9,"✅ OK","⚠️ BREACH"))</f>
        <v/>
      </c>
      <c r="M198" s="37" t="str">
        <f>IFERROR(IF(Agent01_Withdrawals!A203="","",YEAR(Agent01_Withdrawals!D203)),"")</f>
        <v/>
      </c>
    </row>
    <row r="199" spans="1:13" ht="18" customHeight="1" x14ac:dyDescent="0.25">
      <c r="A199" s="37" t="str">
        <f>IF(Agent01_Withdrawals!A204="","",Agent01_Withdrawals!A204)</f>
        <v/>
      </c>
      <c r="B199" s="37" t="str">
        <f ca="1">IF(Agent01_Withdrawals!A204="","","WD"&amp;TEXT(199-3,"0000")&amp;"-"&amp;TEXT(TODAY(),"YYYYMMDD"))</f>
        <v/>
      </c>
      <c r="C199" s="37" t="str">
        <f>IF(Agent01_Withdrawals!A204="","",Agent01_Withdrawals!B204)</f>
        <v/>
      </c>
      <c r="D199" s="40" t="str">
        <f>IF(Agent01_Withdrawals!A204="","",Agent01_Withdrawals!C204)</f>
        <v/>
      </c>
      <c r="E199" s="38" t="str">
        <f>IF(Agent01_Withdrawals!A204="","",Agent01_Withdrawals!D204)</f>
        <v/>
      </c>
      <c r="F199" s="37" t="str">
        <f>IF(Agent01_Withdrawals!A204="","",Agent01_Withdrawals!F204)</f>
        <v/>
      </c>
      <c r="G199" s="39" t="str">
        <f>IF(Agent01_Withdrawals!A204="","",Agent01_Withdrawals!E204)</f>
        <v/>
      </c>
      <c r="H199" s="39" t="str">
        <f>IF(Agent01_Withdrawals!A204="","",Agent01_Withdrawals!G204)</f>
        <v/>
      </c>
      <c r="I199" s="37" t="str">
        <f>IF(Agent01_Withdrawals!A204="","",Agent01_Withdrawals!H204)</f>
        <v/>
      </c>
      <c r="J199" s="37" t="str">
        <f>IF(Agent01_Withdrawals!A204="","",Agent01_Withdrawals!J204)</f>
        <v/>
      </c>
      <c r="K199" s="37" t="str">
        <f>IF(Agent01_Withdrawals!A204="","",Agent01_Withdrawals!K204)</f>
        <v/>
      </c>
      <c r="L199" s="37" t="str">
        <f>IF(G199="","",IF(D199-G199&gt;=System_Config!$B$9,"✅ OK","⚠️ BREACH"))</f>
        <v/>
      </c>
      <c r="M199" s="37" t="str">
        <f>IFERROR(IF(Agent01_Withdrawals!A204="","",YEAR(Agent01_Withdrawals!D204)),"")</f>
        <v/>
      </c>
    </row>
    <row r="200" spans="1:13" ht="18" customHeight="1" x14ac:dyDescent="0.25">
      <c r="A200" s="37" t="str">
        <f>IF(Agent01_Withdrawals!A205="","",Agent01_Withdrawals!A205)</f>
        <v/>
      </c>
      <c r="B200" s="37" t="str">
        <f ca="1">IF(Agent01_Withdrawals!A205="","","WD"&amp;TEXT(200-3,"0000")&amp;"-"&amp;TEXT(TODAY(),"YYYYMMDD"))</f>
        <v/>
      </c>
      <c r="C200" s="37" t="str">
        <f>IF(Agent01_Withdrawals!A205="","",Agent01_Withdrawals!B205)</f>
        <v/>
      </c>
      <c r="D200" s="40" t="str">
        <f>IF(Agent01_Withdrawals!A205="","",Agent01_Withdrawals!C205)</f>
        <v/>
      </c>
      <c r="E200" s="38" t="str">
        <f>IF(Agent01_Withdrawals!A205="","",Agent01_Withdrawals!D205)</f>
        <v/>
      </c>
      <c r="F200" s="37" t="str">
        <f>IF(Agent01_Withdrawals!A205="","",Agent01_Withdrawals!F205)</f>
        <v/>
      </c>
      <c r="G200" s="39" t="str">
        <f>IF(Agent01_Withdrawals!A205="","",Agent01_Withdrawals!E205)</f>
        <v/>
      </c>
      <c r="H200" s="39" t="str">
        <f>IF(Agent01_Withdrawals!A205="","",Agent01_Withdrawals!G205)</f>
        <v/>
      </c>
      <c r="I200" s="37" t="str">
        <f>IF(Agent01_Withdrawals!A205="","",Agent01_Withdrawals!H205)</f>
        <v/>
      </c>
      <c r="J200" s="37" t="str">
        <f>IF(Agent01_Withdrawals!A205="","",Agent01_Withdrawals!J205)</f>
        <v/>
      </c>
      <c r="K200" s="37" t="str">
        <f>IF(Agent01_Withdrawals!A205="","",Agent01_Withdrawals!K205)</f>
        <v/>
      </c>
      <c r="L200" s="37" t="str">
        <f>IF(G200="","",IF(D200-G200&gt;=System_Config!$B$9,"✅ OK","⚠️ BREACH"))</f>
        <v/>
      </c>
      <c r="M200" s="37" t="str">
        <f>IFERROR(IF(Agent01_Withdrawals!A205="","",YEAR(Agent01_Withdrawals!D205)),"")</f>
        <v/>
      </c>
    </row>
    <row r="201" spans="1:13" ht="18" customHeight="1" x14ac:dyDescent="0.25">
      <c r="A201" s="37" t="str">
        <f>IF(Agent01_Withdrawals!A206="","",Agent01_Withdrawals!A206)</f>
        <v/>
      </c>
      <c r="B201" s="37" t="str">
        <f ca="1">IF(Agent01_Withdrawals!A206="","","WD"&amp;TEXT(201-3,"0000")&amp;"-"&amp;TEXT(TODAY(),"YYYYMMDD"))</f>
        <v/>
      </c>
      <c r="C201" s="37" t="str">
        <f>IF(Agent01_Withdrawals!A206="","",Agent01_Withdrawals!B206)</f>
        <v/>
      </c>
      <c r="D201" s="40" t="str">
        <f>IF(Agent01_Withdrawals!A206="","",Agent01_Withdrawals!C206)</f>
        <v/>
      </c>
      <c r="E201" s="38" t="str">
        <f>IF(Agent01_Withdrawals!A206="","",Agent01_Withdrawals!D206)</f>
        <v/>
      </c>
      <c r="F201" s="37" t="str">
        <f>IF(Agent01_Withdrawals!A206="","",Agent01_Withdrawals!F206)</f>
        <v/>
      </c>
      <c r="G201" s="39" t="str">
        <f>IF(Agent01_Withdrawals!A206="","",Agent01_Withdrawals!E206)</f>
        <v/>
      </c>
      <c r="H201" s="39" t="str">
        <f>IF(Agent01_Withdrawals!A206="","",Agent01_Withdrawals!G206)</f>
        <v/>
      </c>
      <c r="I201" s="37" t="str">
        <f>IF(Agent01_Withdrawals!A206="","",Agent01_Withdrawals!H206)</f>
        <v/>
      </c>
      <c r="J201" s="37" t="str">
        <f>IF(Agent01_Withdrawals!A206="","",Agent01_Withdrawals!J206)</f>
        <v/>
      </c>
      <c r="K201" s="37" t="str">
        <f>IF(Agent01_Withdrawals!A206="","",Agent01_Withdrawals!K206)</f>
        <v/>
      </c>
      <c r="L201" s="37" t="str">
        <f>IF(G201="","",IF(D201-G201&gt;=System_Config!$B$9,"✅ OK","⚠️ BREACH"))</f>
        <v/>
      </c>
      <c r="M201" s="37" t="str">
        <f>IFERROR(IF(Agent01_Withdrawals!A206="","",YEAR(Agent01_Withdrawals!D206)),"")</f>
        <v/>
      </c>
    </row>
    <row r="202" spans="1:13" ht="18" customHeight="1" x14ac:dyDescent="0.25">
      <c r="A202" s="37" t="str">
        <f>IF(Agent01_Withdrawals!A207="","",Agent01_Withdrawals!A207)</f>
        <v/>
      </c>
      <c r="B202" s="37" t="str">
        <f ca="1">IF(Agent01_Withdrawals!A207="","","WD"&amp;TEXT(202-3,"0000")&amp;"-"&amp;TEXT(TODAY(),"YYYYMMDD"))</f>
        <v/>
      </c>
      <c r="C202" s="37" t="str">
        <f>IF(Agent01_Withdrawals!A207="","",Agent01_Withdrawals!B207)</f>
        <v/>
      </c>
      <c r="D202" s="40" t="str">
        <f>IF(Agent01_Withdrawals!A207="","",Agent01_Withdrawals!C207)</f>
        <v/>
      </c>
      <c r="E202" s="38" t="str">
        <f>IF(Agent01_Withdrawals!A207="","",Agent01_Withdrawals!D207)</f>
        <v/>
      </c>
      <c r="F202" s="37" t="str">
        <f>IF(Agent01_Withdrawals!A207="","",Agent01_Withdrawals!F207)</f>
        <v/>
      </c>
      <c r="G202" s="39" t="str">
        <f>IF(Agent01_Withdrawals!A207="","",Agent01_Withdrawals!E207)</f>
        <v/>
      </c>
      <c r="H202" s="39" t="str">
        <f>IF(Agent01_Withdrawals!A207="","",Agent01_Withdrawals!G207)</f>
        <v/>
      </c>
      <c r="I202" s="37" t="str">
        <f>IF(Agent01_Withdrawals!A207="","",Agent01_Withdrawals!H207)</f>
        <v/>
      </c>
      <c r="J202" s="37" t="str">
        <f>IF(Agent01_Withdrawals!A207="","",Agent01_Withdrawals!J207)</f>
        <v/>
      </c>
      <c r="K202" s="37" t="str">
        <f>IF(Agent01_Withdrawals!A207="","",Agent01_Withdrawals!K207)</f>
        <v/>
      </c>
      <c r="L202" s="37" t="str">
        <f>IF(G202="","",IF(D202-G202&gt;=System_Config!$B$9,"✅ OK","⚠️ BREACH"))</f>
        <v/>
      </c>
      <c r="M202" s="37" t="str">
        <f>IFERROR(IF(Agent01_Withdrawals!A207="","",YEAR(Agent01_Withdrawals!D207)),"")</f>
        <v/>
      </c>
    </row>
    <row r="203" spans="1:13" ht="18" customHeight="1" x14ac:dyDescent="0.25">
      <c r="A203" s="37" t="str">
        <f>IF(Agent01_Withdrawals!A208="","",Agent01_Withdrawals!A208)</f>
        <v/>
      </c>
      <c r="B203" s="37" t="str">
        <f ca="1">IF(Agent01_Withdrawals!A208="","","WD"&amp;TEXT(203-3,"0000")&amp;"-"&amp;TEXT(TODAY(),"YYYYMMDD"))</f>
        <v/>
      </c>
      <c r="C203" s="37" t="str">
        <f>IF(Agent01_Withdrawals!A208="","",Agent01_Withdrawals!B208)</f>
        <v/>
      </c>
      <c r="D203" s="40" t="str">
        <f>IF(Agent01_Withdrawals!A208="","",Agent01_Withdrawals!C208)</f>
        <v/>
      </c>
      <c r="E203" s="38" t="str">
        <f>IF(Agent01_Withdrawals!A208="","",Agent01_Withdrawals!D208)</f>
        <v/>
      </c>
      <c r="F203" s="37" t="str">
        <f>IF(Agent01_Withdrawals!A208="","",Agent01_Withdrawals!F208)</f>
        <v/>
      </c>
      <c r="G203" s="39" t="str">
        <f>IF(Agent01_Withdrawals!A208="","",Agent01_Withdrawals!E208)</f>
        <v/>
      </c>
      <c r="H203" s="39" t="str">
        <f>IF(Agent01_Withdrawals!A208="","",Agent01_Withdrawals!G208)</f>
        <v/>
      </c>
      <c r="I203" s="37" t="str">
        <f>IF(Agent01_Withdrawals!A208="","",Agent01_Withdrawals!H208)</f>
        <v/>
      </c>
      <c r="J203" s="37" t="str">
        <f>IF(Agent01_Withdrawals!A208="","",Agent01_Withdrawals!J208)</f>
        <v/>
      </c>
      <c r="K203" s="37" t="str">
        <f>IF(Agent01_Withdrawals!A208="","",Agent01_Withdrawals!K208)</f>
        <v/>
      </c>
      <c r="L203" s="37" t="str">
        <f>IF(G203="","",IF(D203-G203&gt;=System_Config!$B$9,"✅ OK","⚠️ BREACH"))</f>
        <v/>
      </c>
      <c r="M203" s="37" t="str">
        <f>IFERROR(IF(Agent01_Withdrawals!A208="","",YEAR(Agent01_Withdrawals!D208)),"")</f>
        <v/>
      </c>
    </row>
    <row r="204" spans="1:13" ht="18" customHeight="1" x14ac:dyDescent="0.25">
      <c r="A204" s="37" t="str">
        <f>IF(Agent02_Withdrawals!A9="","",Agent02_Withdrawals!A9)</f>
        <v/>
      </c>
      <c r="B204" s="37" t="str">
        <f ca="1">IF(Agent02_Withdrawals!A9="","","WD"&amp;TEXT(204-3,"0000")&amp;"-"&amp;TEXT(TODAY(),"YYYYMMDD"))</f>
        <v/>
      </c>
      <c r="C204" s="37" t="str">
        <f>IF(Agent02_Withdrawals!A9="","",Agent02_Withdrawals!B9)</f>
        <v/>
      </c>
      <c r="D204" s="40" t="str">
        <f>IF(Agent02_Withdrawals!A9="","",Agent02_Withdrawals!C9)</f>
        <v/>
      </c>
      <c r="E204" s="38" t="str">
        <f>IF(Agent02_Withdrawals!A9="","",Agent02_Withdrawals!D9)</f>
        <v/>
      </c>
      <c r="F204" s="37" t="str">
        <f>IF(Agent02_Withdrawals!A9="","",Agent02_Withdrawals!F9)</f>
        <v/>
      </c>
      <c r="G204" s="39" t="str">
        <f>IF(Agent02_Withdrawals!A9="","",Agent02_Withdrawals!E9)</f>
        <v/>
      </c>
      <c r="H204" s="39" t="str">
        <f>IF(Agent02_Withdrawals!A9="","",Agent02_Withdrawals!G9)</f>
        <v/>
      </c>
      <c r="I204" s="37" t="str">
        <f>IF(Agent02_Withdrawals!A9="","",Agent02_Withdrawals!H9)</f>
        <v/>
      </c>
      <c r="J204" s="37" t="str">
        <f>IF(Agent02_Withdrawals!A9="","",Agent02_Withdrawals!J9)</f>
        <v/>
      </c>
      <c r="K204" s="37" t="str">
        <f>IF(Agent02_Withdrawals!A9="","",Agent02_Withdrawals!K9)</f>
        <v/>
      </c>
      <c r="L204" s="37" t="str">
        <f>IF(G204="","",IF(D204-G204&gt;=System_Config!$B$9,"✅ OK","⚠️ BREACH"))</f>
        <v/>
      </c>
      <c r="M204" s="37" t="str">
        <f>IFERROR(IF(Agent02_Withdrawals!A9="","",YEAR(Agent02_Withdrawals!D9)),"")</f>
        <v/>
      </c>
    </row>
    <row r="205" spans="1:13" ht="18" customHeight="1" x14ac:dyDescent="0.25">
      <c r="A205" s="37" t="str">
        <f>IF(Agent02_Withdrawals!A10="","",Agent02_Withdrawals!A10)</f>
        <v/>
      </c>
      <c r="B205" s="37" t="str">
        <f ca="1">IF(Agent02_Withdrawals!A10="","","WD"&amp;TEXT(205-3,"0000")&amp;"-"&amp;TEXT(TODAY(),"YYYYMMDD"))</f>
        <v/>
      </c>
      <c r="C205" s="37" t="str">
        <f>IF(Agent02_Withdrawals!A10="","",Agent02_Withdrawals!B10)</f>
        <v/>
      </c>
      <c r="D205" s="40" t="str">
        <f>IF(Agent02_Withdrawals!A10="","",Agent02_Withdrawals!C10)</f>
        <v/>
      </c>
      <c r="E205" s="38" t="str">
        <f>IF(Agent02_Withdrawals!A10="","",Agent02_Withdrawals!D10)</f>
        <v/>
      </c>
      <c r="F205" s="37" t="str">
        <f>IF(Agent02_Withdrawals!A10="","",Agent02_Withdrawals!F10)</f>
        <v/>
      </c>
      <c r="G205" s="39" t="str">
        <f>IF(Agent02_Withdrawals!A10="","",Agent02_Withdrawals!E10)</f>
        <v/>
      </c>
      <c r="H205" s="39" t="str">
        <f>IF(Agent02_Withdrawals!A10="","",Agent02_Withdrawals!G10)</f>
        <v/>
      </c>
      <c r="I205" s="37" t="str">
        <f>IF(Agent02_Withdrawals!A10="","",Agent02_Withdrawals!H10)</f>
        <v/>
      </c>
      <c r="J205" s="37" t="str">
        <f>IF(Agent02_Withdrawals!A10="","",Agent02_Withdrawals!J10)</f>
        <v/>
      </c>
      <c r="K205" s="37" t="str">
        <f>IF(Agent02_Withdrawals!A10="","",Agent02_Withdrawals!K10)</f>
        <v/>
      </c>
      <c r="L205" s="37" t="str">
        <f>IF(G205="","",IF(D205-G205&gt;=System_Config!$B$9,"✅ OK","⚠️ BREACH"))</f>
        <v/>
      </c>
      <c r="M205" s="37" t="str">
        <f>IFERROR(IF(Agent02_Withdrawals!A10="","",YEAR(Agent02_Withdrawals!D10)),"")</f>
        <v/>
      </c>
    </row>
    <row r="206" spans="1:13" ht="18" customHeight="1" x14ac:dyDescent="0.25">
      <c r="A206" s="37" t="str">
        <f>IF(Agent02_Withdrawals!A11="","",Agent02_Withdrawals!A11)</f>
        <v/>
      </c>
      <c r="B206" s="37" t="str">
        <f ca="1">IF(Agent02_Withdrawals!A11="","","WD"&amp;TEXT(206-3,"0000")&amp;"-"&amp;TEXT(TODAY(),"YYYYMMDD"))</f>
        <v/>
      </c>
      <c r="C206" s="37" t="str">
        <f>IF(Agent02_Withdrawals!A11="","",Agent02_Withdrawals!B11)</f>
        <v/>
      </c>
      <c r="D206" s="40" t="str">
        <f>IF(Agent02_Withdrawals!A11="","",Agent02_Withdrawals!C11)</f>
        <v/>
      </c>
      <c r="E206" s="38" t="str">
        <f>IF(Agent02_Withdrawals!A11="","",Agent02_Withdrawals!D11)</f>
        <v/>
      </c>
      <c r="F206" s="37" t="str">
        <f>IF(Agent02_Withdrawals!A11="","",Agent02_Withdrawals!F11)</f>
        <v/>
      </c>
      <c r="G206" s="39" t="str">
        <f>IF(Agent02_Withdrawals!A11="","",Agent02_Withdrawals!E11)</f>
        <v/>
      </c>
      <c r="H206" s="39" t="str">
        <f>IF(Agent02_Withdrawals!A11="","",Agent02_Withdrawals!G11)</f>
        <v/>
      </c>
      <c r="I206" s="37" t="str">
        <f>IF(Agent02_Withdrawals!A11="","",Agent02_Withdrawals!H11)</f>
        <v/>
      </c>
      <c r="J206" s="37" t="str">
        <f>IF(Agent02_Withdrawals!A11="","",Agent02_Withdrawals!J11)</f>
        <v/>
      </c>
      <c r="K206" s="37" t="str">
        <f>IF(Agent02_Withdrawals!A11="","",Agent02_Withdrawals!K11)</f>
        <v/>
      </c>
      <c r="L206" s="37" t="str">
        <f>IF(G206="","",IF(D206-G206&gt;=System_Config!$B$9,"✅ OK","⚠️ BREACH"))</f>
        <v/>
      </c>
      <c r="M206" s="37" t="str">
        <f>IFERROR(IF(Agent02_Withdrawals!A11="","",YEAR(Agent02_Withdrawals!D11)),"")</f>
        <v/>
      </c>
    </row>
    <row r="207" spans="1:13" ht="18" customHeight="1" x14ac:dyDescent="0.25">
      <c r="A207" s="37" t="str">
        <f>IF(Agent02_Withdrawals!A12="","",Agent02_Withdrawals!A12)</f>
        <v/>
      </c>
      <c r="B207" s="37" t="str">
        <f ca="1">IF(Agent02_Withdrawals!A12="","","WD"&amp;TEXT(207-3,"0000")&amp;"-"&amp;TEXT(TODAY(),"YYYYMMDD"))</f>
        <v/>
      </c>
      <c r="C207" s="37" t="str">
        <f>IF(Agent02_Withdrawals!A12="","",Agent02_Withdrawals!B12)</f>
        <v/>
      </c>
      <c r="D207" s="40" t="str">
        <f>IF(Agent02_Withdrawals!A12="","",Agent02_Withdrawals!C12)</f>
        <v/>
      </c>
      <c r="E207" s="38" t="str">
        <f>IF(Agent02_Withdrawals!A12="","",Agent02_Withdrawals!D12)</f>
        <v/>
      </c>
      <c r="F207" s="37" t="str">
        <f>IF(Agent02_Withdrawals!A12="","",Agent02_Withdrawals!F12)</f>
        <v/>
      </c>
      <c r="G207" s="39" t="str">
        <f>IF(Agent02_Withdrawals!A12="","",Agent02_Withdrawals!E12)</f>
        <v/>
      </c>
      <c r="H207" s="39" t="str">
        <f>IF(Agent02_Withdrawals!A12="","",Agent02_Withdrawals!G12)</f>
        <v/>
      </c>
      <c r="I207" s="37" t="str">
        <f>IF(Agent02_Withdrawals!A12="","",Agent02_Withdrawals!H12)</f>
        <v/>
      </c>
      <c r="J207" s="37" t="str">
        <f>IF(Agent02_Withdrawals!A12="","",Agent02_Withdrawals!J12)</f>
        <v/>
      </c>
      <c r="K207" s="37" t="str">
        <f>IF(Agent02_Withdrawals!A12="","",Agent02_Withdrawals!K12)</f>
        <v/>
      </c>
      <c r="L207" s="37" t="str">
        <f>IF(G207="","",IF(D207-G207&gt;=System_Config!$B$9,"✅ OK","⚠️ BREACH"))</f>
        <v/>
      </c>
      <c r="M207" s="37" t="str">
        <f>IFERROR(IF(Agent02_Withdrawals!A12="","",YEAR(Agent02_Withdrawals!D12)),"")</f>
        <v/>
      </c>
    </row>
    <row r="208" spans="1:13" ht="18" customHeight="1" x14ac:dyDescent="0.25">
      <c r="A208" s="37" t="str">
        <f>IF(Agent02_Withdrawals!A13="","",Agent02_Withdrawals!A13)</f>
        <v/>
      </c>
      <c r="B208" s="37" t="str">
        <f ca="1">IF(Agent02_Withdrawals!A13="","","WD"&amp;TEXT(208-3,"0000")&amp;"-"&amp;TEXT(TODAY(),"YYYYMMDD"))</f>
        <v/>
      </c>
      <c r="C208" s="37" t="str">
        <f>IF(Agent02_Withdrawals!A13="","",Agent02_Withdrawals!B13)</f>
        <v/>
      </c>
      <c r="D208" s="40" t="str">
        <f>IF(Agent02_Withdrawals!A13="","",Agent02_Withdrawals!C13)</f>
        <v/>
      </c>
      <c r="E208" s="38" t="str">
        <f>IF(Agent02_Withdrawals!A13="","",Agent02_Withdrawals!D13)</f>
        <v/>
      </c>
      <c r="F208" s="37" t="str">
        <f>IF(Agent02_Withdrawals!A13="","",Agent02_Withdrawals!F13)</f>
        <v/>
      </c>
      <c r="G208" s="39" t="str">
        <f>IF(Agent02_Withdrawals!A13="","",Agent02_Withdrawals!E13)</f>
        <v/>
      </c>
      <c r="H208" s="39" t="str">
        <f>IF(Agent02_Withdrawals!A13="","",Agent02_Withdrawals!G13)</f>
        <v/>
      </c>
      <c r="I208" s="37" t="str">
        <f>IF(Agent02_Withdrawals!A13="","",Agent02_Withdrawals!H13)</f>
        <v/>
      </c>
      <c r="J208" s="37" t="str">
        <f>IF(Agent02_Withdrawals!A13="","",Agent02_Withdrawals!J13)</f>
        <v/>
      </c>
      <c r="K208" s="37" t="str">
        <f>IF(Agent02_Withdrawals!A13="","",Agent02_Withdrawals!K13)</f>
        <v/>
      </c>
      <c r="L208" s="37" t="str">
        <f>IF(G208="","",IF(D208-G208&gt;=System_Config!$B$9,"✅ OK","⚠️ BREACH"))</f>
        <v/>
      </c>
      <c r="M208" s="37" t="str">
        <f>IFERROR(IF(Agent02_Withdrawals!A13="","",YEAR(Agent02_Withdrawals!D13)),"")</f>
        <v/>
      </c>
    </row>
    <row r="209" spans="1:13" ht="18" customHeight="1" x14ac:dyDescent="0.25">
      <c r="A209" s="37" t="str">
        <f>IF(Agent02_Withdrawals!A14="","",Agent02_Withdrawals!A14)</f>
        <v/>
      </c>
      <c r="B209" s="37" t="str">
        <f ca="1">IF(Agent02_Withdrawals!A14="","","WD"&amp;TEXT(209-3,"0000")&amp;"-"&amp;TEXT(TODAY(),"YYYYMMDD"))</f>
        <v/>
      </c>
      <c r="C209" s="37" t="str">
        <f>IF(Agent02_Withdrawals!A14="","",Agent02_Withdrawals!B14)</f>
        <v/>
      </c>
      <c r="D209" s="40" t="str">
        <f>IF(Agent02_Withdrawals!A14="","",Agent02_Withdrawals!C14)</f>
        <v/>
      </c>
      <c r="E209" s="38" t="str">
        <f>IF(Agent02_Withdrawals!A14="","",Agent02_Withdrawals!D14)</f>
        <v/>
      </c>
      <c r="F209" s="37" t="str">
        <f>IF(Agent02_Withdrawals!A14="","",Agent02_Withdrawals!F14)</f>
        <v/>
      </c>
      <c r="G209" s="39" t="str">
        <f>IF(Agent02_Withdrawals!A14="","",Agent02_Withdrawals!E14)</f>
        <v/>
      </c>
      <c r="H209" s="39" t="str">
        <f>IF(Agent02_Withdrawals!A14="","",Agent02_Withdrawals!G14)</f>
        <v/>
      </c>
      <c r="I209" s="37" t="str">
        <f>IF(Agent02_Withdrawals!A14="","",Agent02_Withdrawals!H14)</f>
        <v/>
      </c>
      <c r="J209" s="37" t="str">
        <f>IF(Agent02_Withdrawals!A14="","",Agent02_Withdrawals!J14)</f>
        <v/>
      </c>
      <c r="K209" s="37" t="str">
        <f>IF(Agent02_Withdrawals!A14="","",Agent02_Withdrawals!K14)</f>
        <v/>
      </c>
      <c r="L209" s="37" t="str">
        <f>IF(G209="","",IF(D209-G209&gt;=System_Config!$B$9,"✅ OK","⚠️ BREACH"))</f>
        <v/>
      </c>
      <c r="M209" s="37" t="str">
        <f>IFERROR(IF(Agent02_Withdrawals!A14="","",YEAR(Agent02_Withdrawals!D14)),"")</f>
        <v/>
      </c>
    </row>
    <row r="210" spans="1:13" ht="18" customHeight="1" x14ac:dyDescent="0.25">
      <c r="A210" s="37" t="str">
        <f>IF(Agent02_Withdrawals!A15="","",Agent02_Withdrawals!A15)</f>
        <v/>
      </c>
      <c r="B210" s="37" t="str">
        <f ca="1">IF(Agent02_Withdrawals!A15="","","WD"&amp;TEXT(210-3,"0000")&amp;"-"&amp;TEXT(TODAY(),"YYYYMMDD"))</f>
        <v/>
      </c>
      <c r="C210" s="37" t="str">
        <f>IF(Agent02_Withdrawals!A15="","",Agent02_Withdrawals!B15)</f>
        <v/>
      </c>
      <c r="D210" s="40" t="str">
        <f>IF(Agent02_Withdrawals!A15="","",Agent02_Withdrawals!C15)</f>
        <v/>
      </c>
      <c r="E210" s="38" t="str">
        <f>IF(Agent02_Withdrawals!A15="","",Agent02_Withdrawals!D15)</f>
        <v/>
      </c>
      <c r="F210" s="37" t="str">
        <f>IF(Agent02_Withdrawals!A15="","",Agent02_Withdrawals!F15)</f>
        <v/>
      </c>
      <c r="G210" s="39" t="str">
        <f>IF(Agent02_Withdrawals!A15="","",Agent02_Withdrawals!E15)</f>
        <v/>
      </c>
      <c r="H210" s="39" t="str">
        <f>IF(Agent02_Withdrawals!A15="","",Agent02_Withdrawals!G15)</f>
        <v/>
      </c>
      <c r="I210" s="37" t="str">
        <f>IF(Agent02_Withdrawals!A15="","",Agent02_Withdrawals!H15)</f>
        <v/>
      </c>
      <c r="J210" s="37" t="str">
        <f>IF(Agent02_Withdrawals!A15="","",Agent02_Withdrawals!J15)</f>
        <v/>
      </c>
      <c r="K210" s="37" t="str">
        <f>IF(Agent02_Withdrawals!A15="","",Agent02_Withdrawals!K15)</f>
        <v/>
      </c>
      <c r="L210" s="37" t="str">
        <f>IF(G210="","",IF(D210-G210&gt;=System_Config!$B$9,"✅ OK","⚠️ BREACH"))</f>
        <v/>
      </c>
      <c r="M210" s="37" t="str">
        <f>IFERROR(IF(Agent02_Withdrawals!A15="","",YEAR(Agent02_Withdrawals!D15)),"")</f>
        <v/>
      </c>
    </row>
    <row r="211" spans="1:13" ht="18" customHeight="1" x14ac:dyDescent="0.25">
      <c r="A211" s="37" t="str">
        <f>IF(Agent02_Withdrawals!A16="","",Agent02_Withdrawals!A16)</f>
        <v/>
      </c>
      <c r="B211" s="37" t="str">
        <f ca="1">IF(Agent02_Withdrawals!A16="","","WD"&amp;TEXT(211-3,"0000")&amp;"-"&amp;TEXT(TODAY(),"YYYYMMDD"))</f>
        <v/>
      </c>
      <c r="C211" s="37" t="str">
        <f>IF(Agent02_Withdrawals!A16="","",Agent02_Withdrawals!B16)</f>
        <v/>
      </c>
      <c r="D211" s="40" t="str">
        <f>IF(Agent02_Withdrawals!A16="","",Agent02_Withdrawals!C16)</f>
        <v/>
      </c>
      <c r="E211" s="38" t="str">
        <f>IF(Agent02_Withdrawals!A16="","",Agent02_Withdrawals!D16)</f>
        <v/>
      </c>
      <c r="F211" s="37" t="str">
        <f>IF(Agent02_Withdrawals!A16="","",Agent02_Withdrawals!F16)</f>
        <v/>
      </c>
      <c r="G211" s="39" t="str">
        <f>IF(Agent02_Withdrawals!A16="","",Agent02_Withdrawals!E16)</f>
        <v/>
      </c>
      <c r="H211" s="39" t="str">
        <f>IF(Agent02_Withdrawals!A16="","",Agent02_Withdrawals!G16)</f>
        <v/>
      </c>
      <c r="I211" s="37" t="str">
        <f>IF(Agent02_Withdrawals!A16="","",Agent02_Withdrawals!H16)</f>
        <v/>
      </c>
      <c r="J211" s="37" t="str">
        <f>IF(Agent02_Withdrawals!A16="","",Agent02_Withdrawals!J16)</f>
        <v/>
      </c>
      <c r="K211" s="37" t="str">
        <f>IF(Agent02_Withdrawals!A16="","",Agent02_Withdrawals!K16)</f>
        <v/>
      </c>
      <c r="L211" s="37" t="str">
        <f>IF(G211="","",IF(D211-G211&gt;=System_Config!$B$9,"✅ OK","⚠️ BREACH"))</f>
        <v/>
      </c>
      <c r="M211" s="37" t="str">
        <f>IFERROR(IF(Agent02_Withdrawals!A16="","",YEAR(Agent02_Withdrawals!D16)),"")</f>
        <v/>
      </c>
    </row>
    <row r="212" spans="1:13" ht="18" customHeight="1" x14ac:dyDescent="0.25">
      <c r="A212" s="37" t="str">
        <f>IF(Agent02_Withdrawals!A17="","",Agent02_Withdrawals!A17)</f>
        <v/>
      </c>
      <c r="B212" s="37" t="str">
        <f ca="1">IF(Agent02_Withdrawals!A17="","","WD"&amp;TEXT(212-3,"0000")&amp;"-"&amp;TEXT(TODAY(),"YYYYMMDD"))</f>
        <v/>
      </c>
      <c r="C212" s="37" t="str">
        <f>IF(Agent02_Withdrawals!A17="","",Agent02_Withdrawals!B17)</f>
        <v/>
      </c>
      <c r="D212" s="40" t="str">
        <f>IF(Agent02_Withdrawals!A17="","",Agent02_Withdrawals!C17)</f>
        <v/>
      </c>
      <c r="E212" s="38" t="str">
        <f>IF(Agent02_Withdrawals!A17="","",Agent02_Withdrawals!D17)</f>
        <v/>
      </c>
      <c r="F212" s="37" t="str">
        <f>IF(Agent02_Withdrawals!A17="","",Agent02_Withdrawals!F17)</f>
        <v/>
      </c>
      <c r="G212" s="39" t="str">
        <f>IF(Agent02_Withdrawals!A17="","",Agent02_Withdrawals!E17)</f>
        <v/>
      </c>
      <c r="H212" s="39" t="str">
        <f>IF(Agent02_Withdrawals!A17="","",Agent02_Withdrawals!G17)</f>
        <v/>
      </c>
      <c r="I212" s="37" t="str">
        <f>IF(Agent02_Withdrawals!A17="","",Agent02_Withdrawals!H17)</f>
        <v/>
      </c>
      <c r="J212" s="37" t="str">
        <f>IF(Agent02_Withdrawals!A17="","",Agent02_Withdrawals!J17)</f>
        <v/>
      </c>
      <c r="K212" s="37" t="str">
        <f>IF(Agent02_Withdrawals!A17="","",Agent02_Withdrawals!K17)</f>
        <v/>
      </c>
      <c r="L212" s="37" t="str">
        <f>IF(G212="","",IF(D212-G212&gt;=System_Config!$B$9,"✅ OK","⚠️ BREACH"))</f>
        <v/>
      </c>
      <c r="M212" s="37" t="str">
        <f>IFERROR(IF(Agent02_Withdrawals!A17="","",YEAR(Agent02_Withdrawals!D17)),"")</f>
        <v/>
      </c>
    </row>
    <row r="213" spans="1:13" ht="18" customHeight="1" x14ac:dyDescent="0.25">
      <c r="A213" s="37" t="str">
        <f>IF(Agent02_Withdrawals!A18="","",Agent02_Withdrawals!A18)</f>
        <v/>
      </c>
      <c r="B213" s="37" t="str">
        <f ca="1">IF(Agent02_Withdrawals!A18="","","WD"&amp;TEXT(213-3,"0000")&amp;"-"&amp;TEXT(TODAY(),"YYYYMMDD"))</f>
        <v/>
      </c>
      <c r="C213" s="37" t="str">
        <f>IF(Agent02_Withdrawals!A18="","",Agent02_Withdrawals!B18)</f>
        <v/>
      </c>
      <c r="D213" s="40" t="str">
        <f>IF(Agent02_Withdrawals!A18="","",Agent02_Withdrawals!C18)</f>
        <v/>
      </c>
      <c r="E213" s="38" t="str">
        <f>IF(Agent02_Withdrawals!A18="","",Agent02_Withdrawals!D18)</f>
        <v/>
      </c>
      <c r="F213" s="37" t="str">
        <f>IF(Agent02_Withdrawals!A18="","",Agent02_Withdrawals!F18)</f>
        <v/>
      </c>
      <c r="G213" s="39" t="str">
        <f>IF(Agent02_Withdrawals!A18="","",Agent02_Withdrawals!E18)</f>
        <v/>
      </c>
      <c r="H213" s="39" t="str">
        <f>IF(Agent02_Withdrawals!A18="","",Agent02_Withdrawals!G18)</f>
        <v/>
      </c>
      <c r="I213" s="37" t="str">
        <f>IF(Agent02_Withdrawals!A18="","",Agent02_Withdrawals!H18)</f>
        <v/>
      </c>
      <c r="J213" s="37" t="str">
        <f>IF(Agent02_Withdrawals!A18="","",Agent02_Withdrawals!J18)</f>
        <v/>
      </c>
      <c r="K213" s="37" t="str">
        <f>IF(Agent02_Withdrawals!A18="","",Agent02_Withdrawals!K18)</f>
        <v/>
      </c>
      <c r="L213" s="37" t="str">
        <f>IF(G213="","",IF(D213-G213&gt;=System_Config!$B$9,"✅ OK","⚠️ BREACH"))</f>
        <v/>
      </c>
      <c r="M213" s="37" t="str">
        <f>IFERROR(IF(Agent02_Withdrawals!A18="","",YEAR(Agent02_Withdrawals!D18)),"")</f>
        <v/>
      </c>
    </row>
    <row r="214" spans="1:13" ht="18" customHeight="1" x14ac:dyDescent="0.25">
      <c r="A214" s="37" t="str">
        <f>IF(Agent02_Withdrawals!A19="","",Agent02_Withdrawals!A19)</f>
        <v/>
      </c>
      <c r="B214" s="37" t="str">
        <f ca="1">IF(Agent02_Withdrawals!A19="","","WD"&amp;TEXT(214-3,"0000")&amp;"-"&amp;TEXT(TODAY(),"YYYYMMDD"))</f>
        <v/>
      </c>
      <c r="C214" s="37" t="str">
        <f>IF(Agent02_Withdrawals!A19="","",Agent02_Withdrawals!B19)</f>
        <v/>
      </c>
      <c r="D214" s="40" t="str">
        <f>IF(Agent02_Withdrawals!A19="","",Agent02_Withdrawals!C19)</f>
        <v/>
      </c>
      <c r="E214" s="38" t="str">
        <f>IF(Agent02_Withdrawals!A19="","",Agent02_Withdrawals!D19)</f>
        <v/>
      </c>
      <c r="F214" s="37" t="str">
        <f>IF(Agent02_Withdrawals!A19="","",Agent02_Withdrawals!F19)</f>
        <v/>
      </c>
      <c r="G214" s="39" t="str">
        <f>IF(Agent02_Withdrawals!A19="","",Agent02_Withdrawals!E19)</f>
        <v/>
      </c>
      <c r="H214" s="39" t="str">
        <f>IF(Agent02_Withdrawals!A19="","",Agent02_Withdrawals!G19)</f>
        <v/>
      </c>
      <c r="I214" s="37" t="str">
        <f>IF(Agent02_Withdrawals!A19="","",Agent02_Withdrawals!H19)</f>
        <v/>
      </c>
      <c r="J214" s="37" t="str">
        <f>IF(Agent02_Withdrawals!A19="","",Agent02_Withdrawals!J19)</f>
        <v/>
      </c>
      <c r="K214" s="37" t="str">
        <f>IF(Agent02_Withdrawals!A19="","",Agent02_Withdrawals!K19)</f>
        <v/>
      </c>
      <c r="L214" s="37" t="str">
        <f>IF(G214="","",IF(D214-G214&gt;=System_Config!$B$9,"✅ OK","⚠️ BREACH"))</f>
        <v/>
      </c>
      <c r="M214" s="37" t="str">
        <f>IFERROR(IF(Agent02_Withdrawals!A19="","",YEAR(Agent02_Withdrawals!D19)),"")</f>
        <v/>
      </c>
    </row>
    <row r="215" spans="1:13" ht="18" customHeight="1" x14ac:dyDescent="0.25">
      <c r="A215" s="37" t="str">
        <f>IF(Agent02_Withdrawals!A20="","",Agent02_Withdrawals!A20)</f>
        <v/>
      </c>
      <c r="B215" s="37" t="str">
        <f ca="1">IF(Agent02_Withdrawals!A20="","","WD"&amp;TEXT(215-3,"0000")&amp;"-"&amp;TEXT(TODAY(),"YYYYMMDD"))</f>
        <v/>
      </c>
      <c r="C215" s="37" t="str">
        <f>IF(Agent02_Withdrawals!A20="","",Agent02_Withdrawals!B20)</f>
        <v/>
      </c>
      <c r="D215" s="40" t="str">
        <f>IF(Agent02_Withdrawals!A20="","",Agent02_Withdrawals!C20)</f>
        <v/>
      </c>
      <c r="E215" s="38" t="str">
        <f>IF(Agent02_Withdrawals!A20="","",Agent02_Withdrawals!D20)</f>
        <v/>
      </c>
      <c r="F215" s="37" t="str">
        <f>IF(Agent02_Withdrawals!A20="","",Agent02_Withdrawals!F20)</f>
        <v/>
      </c>
      <c r="G215" s="39" t="str">
        <f>IF(Agent02_Withdrawals!A20="","",Agent02_Withdrawals!E20)</f>
        <v/>
      </c>
      <c r="H215" s="39" t="str">
        <f>IF(Agent02_Withdrawals!A20="","",Agent02_Withdrawals!G20)</f>
        <v/>
      </c>
      <c r="I215" s="37" t="str">
        <f>IF(Agent02_Withdrawals!A20="","",Agent02_Withdrawals!H20)</f>
        <v/>
      </c>
      <c r="J215" s="37" t="str">
        <f>IF(Agent02_Withdrawals!A20="","",Agent02_Withdrawals!J20)</f>
        <v/>
      </c>
      <c r="K215" s="37" t="str">
        <f>IF(Agent02_Withdrawals!A20="","",Agent02_Withdrawals!K20)</f>
        <v/>
      </c>
      <c r="L215" s="37" t="str">
        <f>IF(G215="","",IF(D215-G215&gt;=System_Config!$B$9,"✅ OK","⚠️ BREACH"))</f>
        <v/>
      </c>
      <c r="M215" s="37" t="str">
        <f>IFERROR(IF(Agent02_Withdrawals!A20="","",YEAR(Agent02_Withdrawals!D20)),"")</f>
        <v/>
      </c>
    </row>
    <row r="216" spans="1:13" ht="18" customHeight="1" x14ac:dyDescent="0.25">
      <c r="A216" s="37" t="str">
        <f>IF(Agent02_Withdrawals!A21="","",Agent02_Withdrawals!A21)</f>
        <v/>
      </c>
      <c r="B216" s="37" t="str">
        <f ca="1">IF(Agent02_Withdrawals!A21="","","WD"&amp;TEXT(216-3,"0000")&amp;"-"&amp;TEXT(TODAY(),"YYYYMMDD"))</f>
        <v/>
      </c>
      <c r="C216" s="37" t="str">
        <f>IF(Agent02_Withdrawals!A21="","",Agent02_Withdrawals!B21)</f>
        <v/>
      </c>
      <c r="D216" s="40" t="str">
        <f>IF(Agent02_Withdrawals!A21="","",Agent02_Withdrawals!C21)</f>
        <v/>
      </c>
      <c r="E216" s="38" t="str">
        <f>IF(Agent02_Withdrawals!A21="","",Agent02_Withdrawals!D21)</f>
        <v/>
      </c>
      <c r="F216" s="37" t="str">
        <f>IF(Agent02_Withdrawals!A21="","",Agent02_Withdrawals!F21)</f>
        <v/>
      </c>
      <c r="G216" s="39" t="str">
        <f>IF(Agent02_Withdrawals!A21="","",Agent02_Withdrawals!E21)</f>
        <v/>
      </c>
      <c r="H216" s="39" t="str">
        <f>IF(Agent02_Withdrawals!A21="","",Agent02_Withdrawals!G21)</f>
        <v/>
      </c>
      <c r="I216" s="37" t="str">
        <f>IF(Agent02_Withdrawals!A21="","",Agent02_Withdrawals!H21)</f>
        <v/>
      </c>
      <c r="J216" s="37" t="str">
        <f>IF(Agent02_Withdrawals!A21="","",Agent02_Withdrawals!J21)</f>
        <v/>
      </c>
      <c r="K216" s="37" t="str">
        <f>IF(Agent02_Withdrawals!A21="","",Agent02_Withdrawals!K21)</f>
        <v/>
      </c>
      <c r="L216" s="37" t="str">
        <f>IF(G216="","",IF(D216-G216&gt;=System_Config!$B$9,"✅ OK","⚠️ BREACH"))</f>
        <v/>
      </c>
      <c r="M216" s="37" t="str">
        <f>IFERROR(IF(Agent02_Withdrawals!A21="","",YEAR(Agent02_Withdrawals!D21)),"")</f>
        <v/>
      </c>
    </row>
    <row r="217" spans="1:13" ht="18" customHeight="1" x14ac:dyDescent="0.25">
      <c r="A217" s="37" t="str">
        <f>IF(Agent02_Withdrawals!A22="","",Agent02_Withdrawals!A22)</f>
        <v/>
      </c>
      <c r="B217" s="37" t="str">
        <f ca="1">IF(Agent02_Withdrawals!A22="","","WD"&amp;TEXT(217-3,"0000")&amp;"-"&amp;TEXT(TODAY(),"YYYYMMDD"))</f>
        <v/>
      </c>
      <c r="C217" s="37" t="str">
        <f>IF(Agent02_Withdrawals!A22="","",Agent02_Withdrawals!B22)</f>
        <v/>
      </c>
      <c r="D217" s="40" t="str">
        <f>IF(Agent02_Withdrawals!A22="","",Agent02_Withdrawals!C22)</f>
        <v/>
      </c>
      <c r="E217" s="38" t="str">
        <f>IF(Agent02_Withdrawals!A22="","",Agent02_Withdrawals!D22)</f>
        <v/>
      </c>
      <c r="F217" s="37" t="str">
        <f>IF(Agent02_Withdrawals!A22="","",Agent02_Withdrawals!F22)</f>
        <v/>
      </c>
      <c r="G217" s="39" t="str">
        <f>IF(Agent02_Withdrawals!A22="","",Agent02_Withdrawals!E22)</f>
        <v/>
      </c>
      <c r="H217" s="39" t="str">
        <f>IF(Agent02_Withdrawals!A22="","",Agent02_Withdrawals!G22)</f>
        <v/>
      </c>
      <c r="I217" s="37" t="str">
        <f>IF(Agent02_Withdrawals!A22="","",Agent02_Withdrawals!H22)</f>
        <v/>
      </c>
      <c r="J217" s="37" t="str">
        <f>IF(Agent02_Withdrawals!A22="","",Agent02_Withdrawals!J22)</f>
        <v/>
      </c>
      <c r="K217" s="37" t="str">
        <f>IF(Agent02_Withdrawals!A22="","",Agent02_Withdrawals!K22)</f>
        <v/>
      </c>
      <c r="L217" s="37" t="str">
        <f>IF(G217="","",IF(D217-G217&gt;=System_Config!$B$9,"✅ OK","⚠️ BREACH"))</f>
        <v/>
      </c>
      <c r="M217" s="37" t="str">
        <f>IFERROR(IF(Agent02_Withdrawals!A22="","",YEAR(Agent02_Withdrawals!D22)),"")</f>
        <v/>
      </c>
    </row>
    <row r="218" spans="1:13" ht="18" customHeight="1" x14ac:dyDescent="0.25">
      <c r="A218" s="37" t="str">
        <f>IF(Agent02_Withdrawals!A23="","",Agent02_Withdrawals!A23)</f>
        <v/>
      </c>
      <c r="B218" s="37" t="str">
        <f ca="1">IF(Agent02_Withdrawals!A23="","","WD"&amp;TEXT(218-3,"0000")&amp;"-"&amp;TEXT(TODAY(),"YYYYMMDD"))</f>
        <v/>
      </c>
      <c r="C218" s="37" t="str">
        <f>IF(Agent02_Withdrawals!A23="","",Agent02_Withdrawals!B23)</f>
        <v/>
      </c>
      <c r="D218" s="40" t="str">
        <f>IF(Agent02_Withdrawals!A23="","",Agent02_Withdrawals!C23)</f>
        <v/>
      </c>
      <c r="E218" s="38" t="str">
        <f>IF(Agent02_Withdrawals!A23="","",Agent02_Withdrawals!D23)</f>
        <v/>
      </c>
      <c r="F218" s="37" t="str">
        <f>IF(Agent02_Withdrawals!A23="","",Agent02_Withdrawals!F23)</f>
        <v/>
      </c>
      <c r="G218" s="39" t="str">
        <f>IF(Agent02_Withdrawals!A23="","",Agent02_Withdrawals!E23)</f>
        <v/>
      </c>
      <c r="H218" s="39" t="str">
        <f>IF(Agent02_Withdrawals!A23="","",Agent02_Withdrawals!G23)</f>
        <v/>
      </c>
      <c r="I218" s="37" t="str">
        <f>IF(Agent02_Withdrawals!A23="","",Agent02_Withdrawals!H23)</f>
        <v/>
      </c>
      <c r="J218" s="37" t="str">
        <f>IF(Agent02_Withdrawals!A23="","",Agent02_Withdrawals!J23)</f>
        <v/>
      </c>
      <c r="K218" s="37" t="str">
        <f>IF(Agent02_Withdrawals!A23="","",Agent02_Withdrawals!K23)</f>
        <v/>
      </c>
      <c r="L218" s="37" t="str">
        <f>IF(G218="","",IF(D218-G218&gt;=System_Config!$B$9,"✅ OK","⚠️ BREACH"))</f>
        <v/>
      </c>
      <c r="M218" s="37" t="str">
        <f>IFERROR(IF(Agent02_Withdrawals!A23="","",YEAR(Agent02_Withdrawals!D23)),"")</f>
        <v/>
      </c>
    </row>
    <row r="219" spans="1:13" ht="18" customHeight="1" x14ac:dyDescent="0.25">
      <c r="A219" s="37" t="str">
        <f>IF(Agent02_Withdrawals!A24="","",Agent02_Withdrawals!A24)</f>
        <v/>
      </c>
      <c r="B219" s="37" t="str">
        <f ca="1">IF(Agent02_Withdrawals!A24="","","WD"&amp;TEXT(219-3,"0000")&amp;"-"&amp;TEXT(TODAY(),"YYYYMMDD"))</f>
        <v/>
      </c>
      <c r="C219" s="37" t="str">
        <f>IF(Agent02_Withdrawals!A24="","",Agent02_Withdrawals!B24)</f>
        <v/>
      </c>
      <c r="D219" s="40" t="str">
        <f>IF(Agent02_Withdrawals!A24="","",Agent02_Withdrawals!C24)</f>
        <v/>
      </c>
      <c r="E219" s="38" t="str">
        <f>IF(Agent02_Withdrawals!A24="","",Agent02_Withdrawals!D24)</f>
        <v/>
      </c>
      <c r="F219" s="37" t="str">
        <f>IF(Agent02_Withdrawals!A24="","",Agent02_Withdrawals!F24)</f>
        <v/>
      </c>
      <c r="G219" s="39" t="str">
        <f>IF(Agent02_Withdrawals!A24="","",Agent02_Withdrawals!E24)</f>
        <v/>
      </c>
      <c r="H219" s="39" t="str">
        <f>IF(Agent02_Withdrawals!A24="","",Agent02_Withdrawals!G24)</f>
        <v/>
      </c>
      <c r="I219" s="37" t="str">
        <f>IF(Agent02_Withdrawals!A24="","",Agent02_Withdrawals!H24)</f>
        <v/>
      </c>
      <c r="J219" s="37" t="str">
        <f>IF(Agent02_Withdrawals!A24="","",Agent02_Withdrawals!J24)</f>
        <v/>
      </c>
      <c r="K219" s="37" t="str">
        <f>IF(Agent02_Withdrawals!A24="","",Agent02_Withdrawals!K24)</f>
        <v/>
      </c>
      <c r="L219" s="37" t="str">
        <f>IF(G219="","",IF(D219-G219&gt;=System_Config!$B$9,"✅ OK","⚠️ BREACH"))</f>
        <v/>
      </c>
      <c r="M219" s="37" t="str">
        <f>IFERROR(IF(Agent02_Withdrawals!A24="","",YEAR(Agent02_Withdrawals!D24)),"")</f>
        <v/>
      </c>
    </row>
    <row r="220" spans="1:13" ht="18" customHeight="1" x14ac:dyDescent="0.25">
      <c r="A220" s="37" t="str">
        <f>IF(Agent02_Withdrawals!A25="","",Agent02_Withdrawals!A25)</f>
        <v/>
      </c>
      <c r="B220" s="37" t="str">
        <f ca="1">IF(Agent02_Withdrawals!A25="","","WD"&amp;TEXT(220-3,"0000")&amp;"-"&amp;TEXT(TODAY(),"YYYYMMDD"))</f>
        <v/>
      </c>
      <c r="C220" s="37" t="str">
        <f>IF(Agent02_Withdrawals!A25="","",Agent02_Withdrawals!B25)</f>
        <v/>
      </c>
      <c r="D220" s="40" t="str">
        <f>IF(Agent02_Withdrawals!A25="","",Agent02_Withdrawals!C25)</f>
        <v/>
      </c>
      <c r="E220" s="38" t="str">
        <f>IF(Agent02_Withdrawals!A25="","",Agent02_Withdrawals!D25)</f>
        <v/>
      </c>
      <c r="F220" s="37" t="str">
        <f>IF(Agent02_Withdrawals!A25="","",Agent02_Withdrawals!F25)</f>
        <v/>
      </c>
      <c r="G220" s="39" t="str">
        <f>IF(Agent02_Withdrawals!A25="","",Agent02_Withdrawals!E25)</f>
        <v/>
      </c>
      <c r="H220" s="39" t="str">
        <f>IF(Agent02_Withdrawals!A25="","",Agent02_Withdrawals!G25)</f>
        <v/>
      </c>
      <c r="I220" s="37" t="str">
        <f>IF(Agent02_Withdrawals!A25="","",Agent02_Withdrawals!H25)</f>
        <v/>
      </c>
      <c r="J220" s="37" t="str">
        <f>IF(Agent02_Withdrawals!A25="","",Agent02_Withdrawals!J25)</f>
        <v/>
      </c>
      <c r="K220" s="37" t="str">
        <f>IF(Agent02_Withdrawals!A25="","",Agent02_Withdrawals!K25)</f>
        <v/>
      </c>
      <c r="L220" s="37" t="str">
        <f>IF(G220="","",IF(D220-G220&gt;=System_Config!$B$9,"✅ OK","⚠️ BREACH"))</f>
        <v/>
      </c>
      <c r="M220" s="37" t="str">
        <f>IFERROR(IF(Agent02_Withdrawals!A25="","",YEAR(Agent02_Withdrawals!D25)),"")</f>
        <v/>
      </c>
    </row>
    <row r="221" spans="1:13" ht="18" customHeight="1" x14ac:dyDescent="0.25">
      <c r="A221" s="37" t="str">
        <f>IF(Agent02_Withdrawals!A26="","",Agent02_Withdrawals!A26)</f>
        <v/>
      </c>
      <c r="B221" s="37" t="str">
        <f ca="1">IF(Agent02_Withdrawals!A26="","","WD"&amp;TEXT(221-3,"0000")&amp;"-"&amp;TEXT(TODAY(),"YYYYMMDD"))</f>
        <v/>
      </c>
      <c r="C221" s="37" t="str">
        <f>IF(Agent02_Withdrawals!A26="","",Agent02_Withdrawals!B26)</f>
        <v/>
      </c>
      <c r="D221" s="40" t="str">
        <f>IF(Agent02_Withdrawals!A26="","",Agent02_Withdrawals!C26)</f>
        <v/>
      </c>
      <c r="E221" s="38" t="str">
        <f>IF(Agent02_Withdrawals!A26="","",Agent02_Withdrawals!D26)</f>
        <v/>
      </c>
      <c r="F221" s="37" t="str">
        <f>IF(Agent02_Withdrawals!A26="","",Agent02_Withdrawals!F26)</f>
        <v/>
      </c>
      <c r="G221" s="39" t="str">
        <f>IF(Agent02_Withdrawals!A26="","",Agent02_Withdrawals!E26)</f>
        <v/>
      </c>
      <c r="H221" s="39" t="str">
        <f>IF(Agent02_Withdrawals!A26="","",Agent02_Withdrawals!G26)</f>
        <v/>
      </c>
      <c r="I221" s="37" t="str">
        <f>IF(Agent02_Withdrawals!A26="","",Agent02_Withdrawals!H26)</f>
        <v/>
      </c>
      <c r="J221" s="37" t="str">
        <f>IF(Agent02_Withdrawals!A26="","",Agent02_Withdrawals!J26)</f>
        <v/>
      </c>
      <c r="K221" s="37" t="str">
        <f>IF(Agent02_Withdrawals!A26="","",Agent02_Withdrawals!K26)</f>
        <v/>
      </c>
      <c r="L221" s="37" t="str">
        <f>IF(G221="","",IF(D221-G221&gt;=System_Config!$B$9,"✅ OK","⚠️ BREACH"))</f>
        <v/>
      </c>
      <c r="M221" s="37" t="str">
        <f>IFERROR(IF(Agent02_Withdrawals!A26="","",YEAR(Agent02_Withdrawals!D26)),"")</f>
        <v/>
      </c>
    </row>
    <row r="222" spans="1:13" ht="18" customHeight="1" x14ac:dyDescent="0.25">
      <c r="A222" s="37" t="str">
        <f>IF(Agent02_Withdrawals!A27="","",Agent02_Withdrawals!A27)</f>
        <v/>
      </c>
      <c r="B222" s="37" t="str">
        <f ca="1">IF(Agent02_Withdrawals!A27="","","WD"&amp;TEXT(222-3,"0000")&amp;"-"&amp;TEXT(TODAY(),"YYYYMMDD"))</f>
        <v/>
      </c>
      <c r="C222" s="37" t="str">
        <f>IF(Agent02_Withdrawals!A27="","",Agent02_Withdrawals!B27)</f>
        <v/>
      </c>
      <c r="D222" s="40" t="str">
        <f>IF(Agent02_Withdrawals!A27="","",Agent02_Withdrawals!C27)</f>
        <v/>
      </c>
      <c r="E222" s="38" t="str">
        <f>IF(Agent02_Withdrawals!A27="","",Agent02_Withdrawals!D27)</f>
        <v/>
      </c>
      <c r="F222" s="37" t="str">
        <f>IF(Agent02_Withdrawals!A27="","",Agent02_Withdrawals!F27)</f>
        <v/>
      </c>
      <c r="G222" s="39" t="str">
        <f>IF(Agent02_Withdrawals!A27="","",Agent02_Withdrawals!E27)</f>
        <v/>
      </c>
      <c r="H222" s="39" t="str">
        <f>IF(Agent02_Withdrawals!A27="","",Agent02_Withdrawals!G27)</f>
        <v/>
      </c>
      <c r="I222" s="37" t="str">
        <f>IF(Agent02_Withdrawals!A27="","",Agent02_Withdrawals!H27)</f>
        <v/>
      </c>
      <c r="J222" s="37" t="str">
        <f>IF(Agent02_Withdrawals!A27="","",Agent02_Withdrawals!J27)</f>
        <v/>
      </c>
      <c r="K222" s="37" t="str">
        <f>IF(Agent02_Withdrawals!A27="","",Agent02_Withdrawals!K27)</f>
        <v/>
      </c>
      <c r="L222" s="37" t="str">
        <f>IF(G222="","",IF(D222-G222&gt;=System_Config!$B$9,"✅ OK","⚠️ BREACH"))</f>
        <v/>
      </c>
      <c r="M222" s="37" t="str">
        <f>IFERROR(IF(Agent02_Withdrawals!A27="","",YEAR(Agent02_Withdrawals!D27)),"")</f>
        <v/>
      </c>
    </row>
    <row r="223" spans="1:13" ht="18" customHeight="1" x14ac:dyDescent="0.25">
      <c r="A223" s="37" t="str">
        <f>IF(Agent02_Withdrawals!A28="","",Agent02_Withdrawals!A28)</f>
        <v/>
      </c>
      <c r="B223" s="37" t="str">
        <f ca="1">IF(Agent02_Withdrawals!A28="","","WD"&amp;TEXT(223-3,"0000")&amp;"-"&amp;TEXT(TODAY(),"YYYYMMDD"))</f>
        <v/>
      </c>
      <c r="C223" s="37" t="str">
        <f>IF(Agent02_Withdrawals!A28="","",Agent02_Withdrawals!B28)</f>
        <v/>
      </c>
      <c r="D223" s="40" t="str">
        <f>IF(Agent02_Withdrawals!A28="","",Agent02_Withdrawals!C28)</f>
        <v/>
      </c>
      <c r="E223" s="38" t="str">
        <f>IF(Agent02_Withdrawals!A28="","",Agent02_Withdrawals!D28)</f>
        <v/>
      </c>
      <c r="F223" s="37" t="str">
        <f>IF(Agent02_Withdrawals!A28="","",Agent02_Withdrawals!F28)</f>
        <v/>
      </c>
      <c r="G223" s="39" t="str">
        <f>IF(Agent02_Withdrawals!A28="","",Agent02_Withdrawals!E28)</f>
        <v/>
      </c>
      <c r="H223" s="39" t="str">
        <f>IF(Agent02_Withdrawals!A28="","",Agent02_Withdrawals!G28)</f>
        <v/>
      </c>
      <c r="I223" s="37" t="str">
        <f>IF(Agent02_Withdrawals!A28="","",Agent02_Withdrawals!H28)</f>
        <v/>
      </c>
      <c r="J223" s="37" t="str">
        <f>IF(Agent02_Withdrawals!A28="","",Agent02_Withdrawals!J28)</f>
        <v/>
      </c>
      <c r="K223" s="37" t="str">
        <f>IF(Agent02_Withdrawals!A28="","",Agent02_Withdrawals!K28)</f>
        <v/>
      </c>
      <c r="L223" s="37" t="str">
        <f>IF(G223="","",IF(D223-G223&gt;=System_Config!$B$9,"✅ OK","⚠️ BREACH"))</f>
        <v/>
      </c>
      <c r="M223" s="37" t="str">
        <f>IFERROR(IF(Agent02_Withdrawals!A28="","",YEAR(Agent02_Withdrawals!D28)),"")</f>
        <v/>
      </c>
    </row>
    <row r="224" spans="1:13" ht="18" customHeight="1" x14ac:dyDescent="0.25">
      <c r="A224" s="37" t="str">
        <f>IF(Agent02_Withdrawals!A29="","",Agent02_Withdrawals!A29)</f>
        <v/>
      </c>
      <c r="B224" s="37" t="str">
        <f ca="1">IF(Agent02_Withdrawals!A29="","","WD"&amp;TEXT(224-3,"0000")&amp;"-"&amp;TEXT(TODAY(),"YYYYMMDD"))</f>
        <v/>
      </c>
      <c r="C224" s="37" t="str">
        <f>IF(Agent02_Withdrawals!A29="","",Agent02_Withdrawals!B29)</f>
        <v/>
      </c>
      <c r="D224" s="40" t="str">
        <f>IF(Agent02_Withdrawals!A29="","",Agent02_Withdrawals!C29)</f>
        <v/>
      </c>
      <c r="E224" s="38" t="str">
        <f>IF(Agent02_Withdrawals!A29="","",Agent02_Withdrawals!D29)</f>
        <v/>
      </c>
      <c r="F224" s="37" t="str">
        <f>IF(Agent02_Withdrawals!A29="","",Agent02_Withdrawals!F29)</f>
        <v/>
      </c>
      <c r="G224" s="39" t="str">
        <f>IF(Agent02_Withdrawals!A29="","",Agent02_Withdrawals!E29)</f>
        <v/>
      </c>
      <c r="H224" s="39" t="str">
        <f>IF(Agent02_Withdrawals!A29="","",Agent02_Withdrawals!G29)</f>
        <v/>
      </c>
      <c r="I224" s="37" t="str">
        <f>IF(Agent02_Withdrawals!A29="","",Agent02_Withdrawals!H29)</f>
        <v/>
      </c>
      <c r="J224" s="37" t="str">
        <f>IF(Agent02_Withdrawals!A29="","",Agent02_Withdrawals!J29)</f>
        <v/>
      </c>
      <c r="K224" s="37" t="str">
        <f>IF(Agent02_Withdrawals!A29="","",Agent02_Withdrawals!K29)</f>
        <v/>
      </c>
      <c r="L224" s="37" t="str">
        <f>IF(G224="","",IF(D224-G224&gt;=System_Config!$B$9,"✅ OK","⚠️ BREACH"))</f>
        <v/>
      </c>
      <c r="M224" s="37" t="str">
        <f>IFERROR(IF(Agent02_Withdrawals!A29="","",YEAR(Agent02_Withdrawals!D29)),"")</f>
        <v/>
      </c>
    </row>
    <row r="225" spans="1:13" ht="18" customHeight="1" x14ac:dyDescent="0.25">
      <c r="A225" s="37" t="str">
        <f>IF(Agent02_Withdrawals!A30="","",Agent02_Withdrawals!A30)</f>
        <v/>
      </c>
      <c r="B225" s="37" t="str">
        <f ca="1">IF(Agent02_Withdrawals!A30="","","WD"&amp;TEXT(225-3,"0000")&amp;"-"&amp;TEXT(TODAY(),"YYYYMMDD"))</f>
        <v/>
      </c>
      <c r="C225" s="37" t="str">
        <f>IF(Agent02_Withdrawals!A30="","",Agent02_Withdrawals!B30)</f>
        <v/>
      </c>
      <c r="D225" s="40" t="str">
        <f>IF(Agent02_Withdrawals!A30="","",Agent02_Withdrawals!C30)</f>
        <v/>
      </c>
      <c r="E225" s="38" t="str">
        <f>IF(Agent02_Withdrawals!A30="","",Agent02_Withdrawals!D30)</f>
        <v/>
      </c>
      <c r="F225" s="37" t="str">
        <f>IF(Agent02_Withdrawals!A30="","",Agent02_Withdrawals!F30)</f>
        <v/>
      </c>
      <c r="G225" s="39" t="str">
        <f>IF(Agent02_Withdrawals!A30="","",Agent02_Withdrawals!E30)</f>
        <v/>
      </c>
      <c r="H225" s="39" t="str">
        <f>IF(Agent02_Withdrawals!A30="","",Agent02_Withdrawals!G30)</f>
        <v/>
      </c>
      <c r="I225" s="37" t="str">
        <f>IF(Agent02_Withdrawals!A30="","",Agent02_Withdrawals!H30)</f>
        <v/>
      </c>
      <c r="J225" s="37" t="str">
        <f>IF(Agent02_Withdrawals!A30="","",Agent02_Withdrawals!J30)</f>
        <v/>
      </c>
      <c r="K225" s="37" t="str">
        <f>IF(Agent02_Withdrawals!A30="","",Agent02_Withdrawals!K30)</f>
        <v/>
      </c>
      <c r="L225" s="37" t="str">
        <f>IF(G225="","",IF(D225-G225&gt;=System_Config!$B$9,"✅ OK","⚠️ BREACH"))</f>
        <v/>
      </c>
      <c r="M225" s="37" t="str">
        <f>IFERROR(IF(Agent02_Withdrawals!A30="","",YEAR(Agent02_Withdrawals!D30)),"")</f>
        <v/>
      </c>
    </row>
    <row r="226" spans="1:13" ht="18" customHeight="1" x14ac:dyDescent="0.25">
      <c r="A226" s="37" t="str">
        <f>IF(Agent02_Withdrawals!A31="","",Agent02_Withdrawals!A31)</f>
        <v/>
      </c>
      <c r="B226" s="37" t="str">
        <f ca="1">IF(Agent02_Withdrawals!A31="","","WD"&amp;TEXT(226-3,"0000")&amp;"-"&amp;TEXT(TODAY(),"YYYYMMDD"))</f>
        <v/>
      </c>
      <c r="C226" s="37" t="str">
        <f>IF(Agent02_Withdrawals!A31="","",Agent02_Withdrawals!B31)</f>
        <v/>
      </c>
      <c r="D226" s="40" t="str">
        <f>IF(Agent02_Withdrawals!A31="","",Agent02_Withdrawals!C31)</f>
        <v/>
      </c>
      <c r="E226" s="38" t="str">
        <f>IF(Agent02_Withdrawals!A31="","",Agent02_Withdrawals!D31)</f>
        <v/>
      </c>
      <c r="F226" s="37" t="str">
        <f>IF(Agent02_Withdrawals!A31="","",Agent02_Withdrawals!F31)</f>
        <v/>
      </c>
      <c r="G226" s="39" t="str">
        <f>IF(Agent02_Withdrawals!A31="","",Agent02_Withdrawals!E31)</f>
        <v/>
      </c>
      <c r="H226" s="39" t="str">
        <f>IF(Agent02_Withdrawals!A31="","",Agent02_Withdrawals!G31)</f>
        <v/>
      </c>
      <c r="I226" s="37" t="str">
        <f>IF(Agent02_Withdrawals!A31="","",Agent02_Withdrawals!H31)</f>
        <v/>
      </c>
      <c r="J226" s="37" t="str">
        <f>IF(Agent02_Withdrawals!A31="","",Agent02_Withdrawals!J31)</f>
        <v/>
      </c>
      <c r="K226" s="37" t="str">
        <f>IF(Agent02_Withdrawals!A31="","",Agent02_Withdrawals!K31)</f>
        <v/>
      </c>
      <c r="L226" s="37" t="str">
        <f>IF(G226="","",IF(D226-G226&gt;=System_Config!$B$9,"✅ OK","⚠️ BREACH"))</f>
        <v/>
      </c>
      <c r="M226" s="37" t="str">
        <f>IFERROR(IF(Agent02_Withdrawals!A31="","",YEAR(Agent02_Withdrawals!D31)),"")</f>
        <v/>
      </c>
    </row>
    <row r="227" spans="1:13" ht="18" customHeight="1" x14ac:dyDescent="0.25">
      <c r="A227" s="37" t="str">
        <f>IF(Agent02_Withdrawals!A32="","",Agent02_Withdrawals!A32)</f>
        <v/>
      </c>
      <c r="B227" s="37" t="str">
        <f ca="1">IF(Agent02_Withdrawals!A32="","","WD"&amp;TEXT(227-3,"0000")&amp;"-"&amp;TEXT(TODAY(),"YYYYMMDD"))</f>
        <v/>
      </c>
      <c r="C227" s="37" t="str">
        <f>IF(Agent02_Withdrawals!A32="","",Agent02_Withdrawals!B32)</f>
        <v/>
      </c>
      <c r="D227" s="40" t="str">
        <f>IF(Agent02_Withdrawals!A32="","",Agent02_Withdrawals!C32)</f>
        <v/>
      </c>
      <c r="E227" s="38" t="str">
        <f>IF(Agent02_Withdrawals!A32="","",Agent02_Withdrawals!D32)</f>
        <v/>
      </c>
      <c r="F227" s="37" t="str">
        <f>IF(Agent02_Withdrawals!A32="","",Agent02_Withdrawals!F32)</f>
        <v/>
      </c>
      <c r="G227" s="39" t="str">
        <f>IF(Agent02_Withdrawals!A32="","",Agent02_Withdrawals!E32)</f>
        <v/>
      </c>
      <c r="H227" s="39" t="str">
        <f>IF(Agent02_Withdrawals!A32="","",Agent02_Withdrawals!G32)</f>
        <v/>
      </c>
      <c r="I227" s="37" t="str">
        <f>IF(Agent02_Withdrawals!A32="","",Agent02_Withdrawals!H32)</f>
        <v/>
      </c>
      <c r="J227" s="37" t="str">
        <f>IF(Agent02_Withdrawals!A32="","",Agent02_Withdrawals!J32)</f>
        <v/>
      </c>
      <c r="K227" s="37" t="str">
        <f>IF(Agent02_Withdrawals!A32="","",Agent02_Withdrawals!K32)</f>
        <v/>
      </c>
      <c r="L227" s="37" t="str">
        <f>IF(G227="","",IF(D227-G227&gt;=System_Config!$B$9,"✅ OK","⚠️ BREACH"))</f>
        <v/>
      </c>
      <c r="M227" s="37" t="str">
        <f>IFERROR(IF(Agent02_Withdrawals!A32="","",YEAR(Agent02_Withdrawals!D32)),"")</f>
        <v/>
      </c>
    </row>
    <row r="228" spans="1:13" ht="18" customHeight="1" x14ac:dyDescent="0.25">
      <c r="A228" s="37" t="str">
        <f>IF(Agent02_Withdrawals!A33="","",Agent02_Withdrawals!A33)</f>
        <v/>
      </c>
      <c r="B228" s="37" t="str">
        <f ca="1">IF(Agent02_Withdrawals!A33="","","WD"&amp;TEXT(228-3,"0000")&amp;"-"&amp;TEXT(TODAY(),"YYYYMMDD"))</f>
        <v/>
      </c>
      <c r="C228" s="37" t="str">
        <f>IF(Agent02_Withdrawals!A33="","",Agent02_Withdrawals!B33)</f>
        <v/>
      </c>
      <c r="D228" s="40" t="str">
        <f>IF(Agent02_Withdrawals!A33="","",Agent02_Withdrawals!C33)</f>
        <v/>
      </c>
      <c r="E228" s="38" t="str">
        <f>IF(Agent02_Withdrawals!A33="","",Agent02_Withdrawals!D33)</f>
        <v/>
      </c>
      <c r="F228" s="37" t="str">
        <f>IF(Agent02_Withdrawals!A33="","",Agent02_Withdrawals!F33)</f>
        <v/>
      </c>
      <c r="G228" s="39" t="str">
        <f>IF(Agent02_Withdrawals!A33="","",Agent02_Withdrawals!E33)</f>
        <v/>
      </c>
      <c r="H228" s="39" t="str">
        <f>IF(Agent02_Withdrawals!A33="","",Agent02_Withdrawals!G33)</f>
        <v/>
      </c>
      <c r="I228" s="37" t="str">
        <f>IF(Agent02_Withdrawals!A33="","",Agent02_Withdrawals!H33)</f>
        <v/>
      </c>
      <c r="J228" s="37" t="str">
        <f>IF(Agent02_Withdrawals!A33="","",Agent02_Withdrawals!J33)</f>
        <v/>
      </c>
      <c r="K228" s="37" t="str">
        <f>IF(Agent02_Withdrawals!A33="","",Agent02_Withdrawals!K33)</f>
        <v/>
      </c>
      <c r="L228" s="37" t="str">
        <f>IF(G228="","",IF(D228-G228&gt;=System_Config!$B$9,"✅ OK","⚠️ BREACH"))</f>
        <v/>
      </c>
      <c r="M228" s="37" t="str">
        <f>IFERROR(IF(Agent02_Withdrawals!A33="","",YEAR(Agent02_Withdrawals!D33)),"")</f>
        <v/>
      </c>
    </row>
    <row r="229" spans="1:13" ht="18" customHeight="1" x14ac:dyDescent="0.25">
      <c r="A229" s="37" t="str">
        <f>IF(Agent02_Withdrawals!A34="","",Agent02_Withdrawals!A34)</f>
        <v/>
      </c>
      <c r="B229" s="37" t="str">
        <f ca="1">IF(Agent02_Withdrawals!A34="","","WD"&amp;TEXT(229-3,"0000")&amp;"-"&amp;TEXT(TODAY(),"YYYYMMDD"))</f>
        <v/>
      </c>
      <c r="C229" s="37" t="str">
        <f>IF(Agent02_Withdrawals!A34="","",Agent02_Withdrawals!B34)</f>
        <v/>
      </c>
      <c r="D229" s="40" t="str">
        <f>IF(Agent02_Withdrawals!A34="","",Agent02_Withdrawals!C34)</f>
        <v/>
      </c>
      <c r="E229" s="38" t="str">
        <f>IF(Agent02_Withdrawals!A34="","",Agent02_Withdrawals!D34)</f>
        <v/>
      </c>
      <c r="F229" s="37" t="str">
        <f>IF(Agent02_Withdrawals!A34="","",Agent02_Withdrawals!F34)</f>
        <v/>
      </c>
      <c r="G229" s="39" t="str">
        <f>IF(Agent02_Withdrawals!A34="","",Agent02_Withdrawals!E34)</f>
        <v/>
      </c>
      <c r="H229" s="39" t="str">
        <f>IF(Agent02_Withdrawals!A34="","",Agent02_Withdrawals!G34)</f>
        <v/>
      </c>
      <c r="I229" s="37" t="str">
        <f>IF(Agent02_Withdrawals!A34="","",Agent02_Withdrawals!H34)</f>
        <v/>
      </c>
      <c r="J229" s="37" t="str">
        <f>IF(Agent02_Withdrawals!A34="","",Agent02_Withdrawals!J34)</f>
        <v/>
      </c>
      <c r="K229" s="37" t="str">
        <f>IF(Agent02_Withdrawals!A34="","",Agent02_Withdrawals!K34)</f>
        <v/>
      </c>
      <c r="L229" s="37" t="str">
        <f>IF(G229="","",IF(D229-G229&gt;=System_Config!$B$9,"✅ OK","⚠️ BREACH"))</f>
        <v/>
      </c>
      <c r="M229" s="37" t="str">
        <f>IFERROR(IF(Agent02_Withdrawals!A34="","",YEAR(Agent02_Withdrawals!D34)),"")</f>
        <v/>
      </c>
    </row>
    <row r="230" spans="1:13" ht="18" customHeight="1" x14ac:dyDescent="0.25">
      <c r="A230" s="37" t="str">
        <f>IF(Agent02_Withdrawals!A35="","",Agent02_Withdrawals!A35)</f>
        <v/>
      </c>
      <c r="B230" s="37" t="str">
        <f ca="1">IF(Agent02_Withdrawals!A35="","","WD"&amp;TEXT(230-3,"0000")&amp;"-"&amp;TEXT(TODAY(),"YYYYMMDD"))</f>
        <v/>
      </c>
      <c r="C230" s="37" t="str">
        <f>IF(Agent02_Withdrawals!A35="","",Agent02_Withdrawals!B35)</f>
        <v/>
      </c>
      <c r="D230" s="40" t="str">
        <f>IF(Agent02_Withdrawals!A35="","",Agent02_Withdrawals!C35)</f>
        <v/>
      </c>
      <c r="E230" s="38" t="str">
        <f>IF(Agent02_Withdrawals!A35="","",Agent02_Withdrawals!D35)</f>
        <v/>
      </c>
      <c r="F230" s="37" t="str">
        <f>IF(Agent02_Withdrawals!A35="","",Agent02_Withdrawals!F35)</f>
        <v/>
      </c>
      <c r="G230" s="39" t="str">
        <f>IF(Agent02_Withdrawals!A35="","",Agent02_Withdrawals!E35)</f>
        <v/>
      </c>
      <c r="H230" s="39" t="str">
        <f>IF(Agent02_Withdrawals!A35="","",Agent02_Withdrawals!G35)</f>
        <v/>
      </c>
      <c r="I230" s="37" t="str">
        <f>IF(Agent02_Withdrawals!A35="","",Agent02_Withdrawals!H35)</f>
        <v/>
      </c>
      <c r="J230" s="37" t="str">
        <f>IF(Agent02_Withdrawals!A35="","",Agent02_Withdrawals!J35)</f>
        <v/>
      </c>
      <c r="K230" s="37" t="str">
        <f>IF(Agent02_Withdrawals!A35="","",Agent02_Withdrawals!K35)</f>
        <v/>
      </c>
      <c r="L230" s="37" t="str">
        <f>IF(G230="","",IF(D230-G230&gt;=System_Config!$B$9,"✅ OK","⚠️ BREACH"))</f>
        <v/>
      </c>
      <c r="M230" s="37" t="str">
        <f>IFERROR(IF(Agent02_Withdrawals!A35="","",YEAR(Agent02_Withdrawals!D35)),"")</f>
        <v/>
      </c>
    </row>
    <row r="231" spans="1:13" ht="18" customHeight="1" x14ac:dyDescent="0.25">
      <c r="A231" s="37" t="str">
        <f>IF(Agent02_Withdrawals!A36="","",Agent02_Withdrawals!A36)</f>
        <v/>
      </c>
      <c r="B231" s="37" t="str">
        <f ca="1">IF(Agent02_Withdrawals!A36="","","WD"&amp;TEXT(231-3,"0000")&amp;"-"&amp;TEXT(TODAY(),"YYYYMMDD"))</f>
        <v/>
      </c>
      <c r="C231" s="37" t="str">
        <f>IF(Agent02_Withdrawals!A36="","",Agent02_Withdrawals!B36)</f>
        <v/>
      </c>
      <c r="D231" s="40" t="str">
        <f>IF(Agent02_Withdrawals!A36="","",Agent02_Withdrawals!C36)</f>
        <v/>
      </c>
      <c r="E231" s="38" t="str">
        <f>IF(Agent02_Withdrawals!A36="","",Agent02_Withdrawals!D36)</f>
        <v/>
      </c>
      <c r="F231" s="37" t="str">
        <f>IF(Agent02_Withdrawals!A36="","",Agent02_Withdrawals!F36)</f>
        <v/>
      </c>
      <c r="G231" s="39" t="str">
        <f>IF(Agent02_Withdrawals!A36="","",Agent02_Withdrawals!E36)</f>
        <v/>
      </c>
      <c r="H231" s="39" t="str">
        <f>IF(Agent02_Withdrawals!A36="","",Agent02_Withdrawals!G36)</f>
        <v/>
      </c>
      <c r="I231" s="37" t="str">
        <f>IF(Agent02_Withdrawals!A36="","",Agent02_Withdrawals!H36)</f>
        <v/>
      </c>
      <c r="J231" s="37" t="str">
        <f>IF(Agent02_Withdrawals!A36="","",Agent02_Withdrawals!J36)</f>
        <v/>
      </c>
      <c r="K231" s="37" t="str">
        <f>IF(Agent02_Withdrawals!A36="","",Agent02_Withdrawals!K36)</f>
        <v/>
      </c>
      <c r="L231" s="37" t="str">
        <f>IF(G231="","",IF(D231-G231&gt;=System_Config!$B$9,"✅ OK","⚠️ BREACH"))</f>
        <v/>
      </c>
      <c r="M231" s="37" t="str">
        <f>IFERROR(IF(Agent02_Withdrawals!A36="","",YEAR(Agent02_Withdrawals!D36)),"")</f>
        <v/>
      </c>
    </row>
    <row r="232" spans="1:13" ht="18" customHeight="1" x14ac:dyDescent="0.25">
      <c r="A232" s="37" t="str">
        <f>IF(Agent02_Withdrawals!A37="","",Agent02_Withdrawals!A37)</f>
        <v/>
      </c>
      <c r="B232" s="37" t="str">
        <f ca="1">IF(Agent02_Withdrawals!A37="","","WD"&amp;TEXT(232-3,"0000")&amp;"-"&amp;TEXT(TODAY(),"YYYYMMDD"))</f>
        <v/>
      </c>
      <c r="C232" s="37" t="str">
        <f>IF(Agent02_Withdrawals!A37="","",Agent02_Withdrawals!B37)</f>
        <v/>
      </c>
      <c r="D232" s="40" t="str">
        <f>IF(Agent02_Withdrawals!A37="","",Agent02_Withdrawals!C37)</f>
        <v/>
      </c>
      <c r="E232" s="38" t="str">
        <f>IF(Agent02_Withdrawals!A37="","",Agent02_Withdrawals!D37)</f>
        <v/>
      </c>
      <c r="F232" s="37" t="str">
        <f>IF(Agent02_Withdrawals!A37="","",Agent02_Withdrawals!F37)</f>
        <v/>
      </c>
      <c r="G232" s="39" t="str">
        <f>IF(Agent02_Withdrawals!A37="","",Agent02_Withdrawals!E37)</f>
        <v/>
      </c>
      <c r="H232" s="39" t="str">
        <f>IF(Agent02_Withdrawals!A37="","",Agent02_Withdrawals!G37)</f>
        <v/>
      </c>
      <c r="I232" s="37" t="str">
        <f>IF(Agent02_Withdrawals!A37="","",Agent02_Withdrawals!H37)</f>
        <v/>
      </c>
      <c r="J232" s="37" t="str">
        <f>IF(Agent02_Withdrawals!A37="","",Agent02_Withdrawals!J37)</f>
        <v/>
      </c>
      <c r="K232" s="37" t="str">
        <f>IF(Agent02_Withdrawals!A37="","",Agent02_Withdrawals!K37)</f>
        <v/>
      </c>
      <c r="L232" s="37" t="str">
        <f>IF(G232="","",IF(D232-G232&gt;=System_Config!$B$9,"✅ OK","⚠️ BREACH"))</f>
        <v/>
      </c>
      <c r="M232" s="37" t="str">
        <f>IFERROR(IF(Agent02_Withdrawals!A37="","",YEAR(Agent02_Withdrawals!D37)),"")</f>
        <v/>
      </c>
    </row>
    <row r="233" spans="1:13" ht="18" customHeight="1" x14ac:dyDescent="0.25">
      <c r="A233" s="37" t="str">
        <f>IF(Agent02_Withdrawals!A38="","",Agent02_Withdrawals!A38)</f>
        <v/>
      </c>
      <c r="B233" s="37" t="str">
        <f ca="1">IF(Agent02_Withdrawals!A38="","","WD"&amp;TEXT(233-3,"0000")&amp;"-"&amp;TEXT(TODAY(),"YYYYMMDD"))</f>
        <v/>
      </c>
      <c r="C233" s="37" t="str">
        <f>IF(Agent02_Withdrawals!A38="","",Agent02_Withdrawals!B38)</f>
        <v/>
      </c>
      <c r="D233" s="40" t="str">
        <f>IF(Agent02_Withdrawals!A38="","",Agent02_Withdrawals!C38)</f>
        <v/>
      </c>
      <c r="E233" s="38" t="str">
        <f>IF(Agent02_Withdrawals!A38="","",Agent02_Withdrawals!D38)</f>
        <v/>
      </c>
      <c r="F233" s="37" t="str">
        <f>IF(Agent02_Withdrawals!A38="","",Agent02_Withdrawals!F38)</f>
        <v/>
      </c>
      <c r="G233" s="39" t="str">
        <f>IF(Agent02_Withdrawals!A38="","",Agent02_Withdrawals!E38)</f>
        <v/>
      </c>
      <c r="H233" s="39" t="str">
        <f>IF(Agent02_Withdrawals!A38="","",Agent02_Withdrawals!G38)</f>
        <v/>
      </c>
      <c r="I233" s="37" t="str">
        <f>IF(Agent02_Withdrawals!A38="","",Agent02_Withdrawals!H38)</f>
        <v/>
      </c>
      <c r="J233" s="37" t="str">
        <f>IF(Agent02_Withdrawals!A38="","",Agent02_Withdrawals!J38)</f>
        <v/>
      </c>
      <c r="K233" s="37" t="str">
        <f>IF(Agent02_Withdrawals!A38="","",Agent02_Withdrawals!K38)</f>
        <v/>
      </c>
      <c r="L233" s="37" t="str">
        <f>IF(G233="","",IF(D233-G233&gt;=System_Config!$B$9,"✅ OK","⚠️ BREACH"))</f>
        <v/>
      </c>
      <c r="M233" s="37" t="str">
        <f>IFERROR(IF(Agent02_Withdrawals!A38="","",YEAR(Agent02_Withdrawals!D38)),"")</f>
        <v/>
      </c>
    </row>
    <row r="234" spans="1:13" ht="18" customHeight="1" x14ac:dyDescent="0.25">
      <c r="A234" s="37" t="str">
        <f>IF(Agent02_Withdrawals!A39="","",Agent02_Withdrawals!A39)</f>
        <v/>
      </c>
      <c r="B234" s="37" t="str">
        <f ca="1">IF(Agent02_Withdrawals!A39="","","WD"&amp;TEXT(234-3,"0000")&amp;"-"&amp;TEXT(TODAY(),"YYYYMMDD"))</f>
        <v/>
      </c>
      <c r="C234" s="37" t="str">
        <f>IF(Agent02_Withdrawals!A39="","",Agent02_Withdrawals!B39)</f>
        <v/>
      </c>
      <c r="D234" s="40" t="str">
        <f>IF(Agent02_Withdrawals!A39="","",Agent02_Withdrawals!C39)</f>
        <v/>
      </c>
      <c r="E234" s="38" t="str">
        <f>IF(Agent02_Withdrawals!A39="","",Agent02_Withdrawals!D39)</f>
        <v/>
      </c>
      <c r="F234" s="37" t="str">
        <f>IF(Agent02_Withdrawals!A39="","",Agent02_Withdrawals!F39)</f>
        <v/>
      </c>
      <c r="G234" s="39" t="str">
        <f>IF(Agent02_Withdrawals!A39="","",Agent02_Withdrawals!E39)</f>
        <v/>
      </c>
      <c r="H234" s="39" t="str">
        <f>IF(Agent02_Withdrawals!A39="","",Agent02_Withdrawals!G39)</f>
        <v/>
      </c>
      <c r="I234" s="37" t="str">
        <f>IF(Agent02_Withdrawals!A39="","",Agent02_Withdrawals!H39)</f>
        <v/>
      </c>
      <c r="J234" s="37" t="str">
        <f>IF(Agent02_Withdrawals!A39="","",Agent02_Withdrawals!J39)</f>
        <v/>
      </c>
      <c r="K234" s="37" t="str">
        <f>IF(Agent02_Withdrawals!A39="","",Agent02_Withdrawals!K39)</f>
        <v/>
      </c>
      <c r="L234" s="37" t="str">
        <f>IF(G234="","",IF(D234-G234&gt;=System_Config!$B$9,"✅ OK","⚠️ BREACH"))</f>
        <v/>
      </c>
      <c r="M234" s="37" t="str">
        <f>IFERROR(IF(Agent02_Withdrawals!A39="","",YEAR(Agent02_Withdrawals!D39)),"")</f>
        <v/>
      </c>
    </row>
    <row r="235" spans="1:13" ht="18" customHeight="1" x14ac:dyDescent="0.25">
      <c r="A235" s="37" t="str">
        <f>IF(Agent02_Withdrawals!A40="","",Agent02_Withdrawals!A40)</f>
        <v/>
      </c>
      <c r="B235" s="37" t="str">
        <f ca="1">IF(Agent02_Withdrawals!A40="","","WD"&amp;TEXT(235-3,"0000")&amp;"-"&amp;TEXT(TODAY(),"YYYYMMDD"))</f>
        <v/>
      </c>
      <c r="C235" s="37" t="str">
        <f>IF(Agent02_Withdrawals!A40="","",Agent02_Withdrawals!B40)</f>
        <v/>
      </c>
      <c r="D235" s="40" t="str">
        <f>IF(Agent02_Withdrawals!A40="","",Agent02_Withdrawals!C40)</f>
        <v/>
      </c>
      <c r="E235" s="38" t="str">
        <f>IF(Agent02_Withdrawals!A40="","",Agent02_Withdrawals!D40)</f>
        <v/>
      </c>
      <c r="F235" s="37" t="str">
        <f>IF(Agent02_Withdrawals!A40="","",Agent02_Withdrawals!F40)</f>
        <v/>
      </c>
      <c r="G235" s="39" t="str">
        <f>IF(Agent02_Withdrawals!A40="","",Agent02_Withdrawals!E40)</f>
        <v/>
      </c>
      <c r="H235" s="39" t="str">
        <f>IF(Agent02_Withdrawals!A40="","",Agent02_Withdrawals!G40)</f>
        <v/>
      </c>
      <c r="I235" s="37" t="str">
        <f>IF(Agent02_Withdrawals!A40="","",Agent02_Withdrawals!H40)</f>
        <v/>
      </c>
      <c r="J235" s="37" t="str">
        <f>IF(Agent02_Withdrawals!A40="","",Agent02_Withdrawals!J40)</f>
        <v/>
      </c>
      <c r="K235" s="37" t="str">
        <f>IF(Agent02_Withdrawals!A40="","",Agent02_Withdrawals!K40)</f>
        <v/>
      </c>
      <c r="L235" s="37" t="str">
        <f>IF(G235="","",IF(D235-G235&gt;=System_Config!$B$9,"✅ OK","⚠️ BREACH"))</f>
        <v/>
      </c>
      <c r="M235" s="37" t="str">
        <f>IFERROR(IF(Agent02_Withdrawals!A40="","",YEAR(Agent02_Withdrawals!D40)),"")</f>
        <v/>
      </c>
    </row>
    <row r="236" spans="1:13" ht="18" customHeight="1" x14ac:dyDescent="0.25">
      <c r="A236" s="37" t="str">
        <f>IF(Agent02_Withdrawals!A41="","",Agent02_Withdrawals!A41)</f>
        <v/>
      </c>
      <c r="B236" s="37" t="str">
        <f ca="1">IF(Agent02_Withdrawals!A41="","","WD"&amp;TEXT(236-3,"0000")&amp;"-"&amp;TEXT(TODAY(),"YYYYMMDD"))</f>
        <v/>
      </c>
      <c r="C236" s="37" t="str">
        <f>IF(Agent02_Withdrawals!A41="","",Agent02_Withdrawals!B41)</f>
        <v/>
      </c>
      <c r="D236" s="40" t="str">
        <f>IF(Agent02_Withdrawals!A41="","",Agent02_Withdrawals!C41)</f>
        <v/>
      </c>
      <c r="E236" s="38" t="str">
        <f>IF(Agent02_Withdrawals!A41="","",Agent02_Withdrawals!D41)</f>
        <v/>
      </c>
      <c r="F236" s="37" t="str">
        <f>IF(Agent02_Withdrawals!A41="","",Agent02_Withdrawals!F41)</f>
        <v/>
      </c>
      <c r="G236" s="39" t="str">
        <f>IF(Agent02_Withdrawals!A41="","",Agent02_Withdrawals!E41)</f>
        <v/>
      </c>
      <c r="H236" s="39" t="str">
        <f>IF(Agent02_Withdrawals!A41="","",Agent02_Withdrawals!G41)</f>
        <v/>
      </c>
      <c r="I236" s="37" t="str">
        <f>IF(Agent02_Withdrawals!A41="","",Agent02_Withdrawals!H41)</f>
        <v/>
      </c>
      <c r="J236" s="37" t="str">
        <f>IF(Agent02_Withdrawals!A41="","",Agent02_Withdrawals!J41)</f>
        <v/>
      </c>
      <c r="K236" s="37" t="str">
        <f>IF(Agent02_Withdrawals!A41="","",Agent02_Withdrawals!K41)</f>
        <v/>
      </c>
      <c r="L236" s="37" t="str">
        <f>IF(G236="","",IF(D236-G236&gt;=System_Config!$B$9,"✅ OK","⚠️ BREACH"))</f>
        <v/>
      </c>
      <c r="M236" s="37" t="str">
        <f>IFERROR(IF(Agent02_Withdrawals!A41="","",YEAR(Agent02_Withdrawals!D41)),"")</f>
        <v/>
      </c>
    </row>
    <row r="237" spans="1:13" ht="18" customHeight="1" x14ac:dyDescent="0.25">
      <c r="A237" s="37" t="str">
        <f>IF(Agent02_Withdrawals!A42="","",Agent02_Withdrawals!A42)</f>
        <v/>
      </c>
      <c r="B237" s="37" t="str">
        <f ca="1">IF(Agent02_Withdrawals!A42="","","WD"&amp;TEXT(237-3,"0000")&amp;"-"&amp;TEXT(TODAY(),"YYYYMMDD"))</f>
        <v/>
      </c>
      <c r="C237" s="37" t="str">
        <f>IF(Agent02_Withdrawals!A42="","",Agent02_Withdrawals!B42)</f>
        <v/>
      </c>
      <c r="D237" s="40" t="str">
        <f>IF(Agent02_Withdrawals!A42="","",Agent02_Withdrawals!C42)</f>
        <v/>
      </c>
      <c r="E237" s="38" t="str">
        <f>IF(Agent02_Withdrawals!A42="","",Agent02_Withdrawals!D42)</f>
        <v/>
      </c>
      <c r="F237" s="37" t="str">
        <f>IF(Agent02_Withdrawals!A42="","",Agent02_Withdrawals!F42)</f>
        <v/>
      </c>
      <c r="G237" s="39" t="str">
        <f>IF(Agent02_Withdrawals!A42="","",Agent02_Withdrawals!E42)</f>
        <v/>
      </c>
      <c r="H237" s="39" t="str">
        <f>IF(Agent02_Withdrawals!A42="","",Agent02_Withdrawals!G42)</f>
        <v/>
      </c>
      <c r="I237" s="37" t="str">
        <f>IF(Agent02_Withdrawals!A42="","",Agent02_Withdrawals!H42)</f>
        <v/>
      </c>
      <c r="J237" s="37" t="str">
        <f>IF(Agent02_Withdrawals!A42="","",Agent02_Withdrawals!J42)</f>
        <v/>
      </c>
      <c r="K237" s="37" t="str">
        <f>IF(Agent02_Withdrawals!A42="","",Agent02_Withdrawals!K42)</f>
        <v/>
      </c>
      <c r="L237" s="37" t="str">
        <f>IF(G237="","",IF(D237-G237&gt;=System_Config!$B$9,"✅ OK","⚠️ BREACH"))</f>
        <v/>
      </c>
      <c r="M237" s="37" t="str">
        <f>IFERROR(IF(Agent02_Withdrawals!A42="","",YEAR(Agent02_Withdrawals!D42)),"")</f>
        <v/>
      </c>
    </row>
    <row r="238" spans="1:13" ht="18" customHeight="1" x14ac:dyDescent="0.25">
      <c r="A238" s="37" t="str">
        <f>IF(Agent02_Withdrawals!A43="","",Agent02_Withdrawals!A43)</f>
        <v/>
      </c>
      <c r="B238" s="37" t="str">
        <f ca="1">IF(Agent02_Withdrawals!A43="","","WD"&amp;TEXT(238-3,"0000")&amp;"-"&amp;TEXT(TODAY(),"YYYYMMDD"))</f>
        <v/>
      </c>
      <c r="C238" s="37" t="str">
        <f>IF(Agent02_Withdrawals!A43="","",Agent02_Withdrawals!B43)</f>
        <v/>
      </c>
      <c r="D238" s="40" t="str">
        <f>IF(Agent02_Withdrawals!A43="","",Agent02_Withdrawals!C43)</f>
        <v/>
      </c>
      <c r="E238" s="38" t="str">
        <f>IF(Agent02_Withdrawals!A43="","",Agent02_Withdrawals!D43)</f>
        <v/>
      </c>
      <c r="F238" s="37" t="str">
        <f>IF(Agent02_Withdrawals!A43="","",Agent02_Withdrawals!F43)</f>
        <v/>
      </c>
      <c r="G238" s="39" t="str">
        <f>IF(Agent02_Withdrawals!A43="","",Agent02_Withdrawals!E43)</f>
        <v/>
      </c>
      <c r="H238" s="39" t="str">
        <f>IF(Agent02_Withdrawals!A43="","",Agent02_Withdrawals!G43)</f>
        <v/>
      </c>
      <c r="I238" s="37" t="str">
        <f>IF(Agent02_Withdrawals!A43="","",Agent02_Withdrawals!H43)</f>
        <v/>
      </c>
      <c r="J238" s="37" t="str">
        <f>IF(Agent02_Withdrawals!A43="","",Agent02_Withdrawals!J43)</f>
        <v/>
      </c>
      <c r="K238" s="37" t="str">
        <f>IF(Agent02_Withdrawals!A43="","",Agent02_Withdrawals!K43)</f>
        <v/>
      </c>
      <c r="L238" s="37" t="str">
        <f>IF(G238="","",IF(D238-G238&gt;=System_Config!$B$9,"✅ OK","⚠️ BREACH"))</f>
        <v/>
      </c>
      <c r="M238" s="37" t="str">
        <f>IFERROR(IF(Agent02_Withdrawals!A43="","",YEAR(Agent02_Withdrawals!D43)),"")</f>
        <v/>
      </c>
    </row>
    <row r="239" spans="1:13" ht="18" customHeight="1" x14ac:dyDescent="0.25">
      <c r="A239" s="37" t="str">
        <f>IF(Agent02_Withdrawals!A44="","",Agent02_Withdrawals!A44)</f>
        <v/>
      </c>
      <c r="B239" s="37" t="str">
        <f ca="1">IF(Agent02_Withdrawals!A44="","","WD"&amp;TEXT(239-3,"0000")&amp;"-"&amp;TEXT(TODAY(),"YYYYMMDD"))</f>
        <v/>
      </c>
      <c r="C239" s="37" t="str">
        <f>IF(Agent02_Withdrawals!A44="","",Agent02_Withdrawals!B44)</f>
        <v/>
      </c>
      <c r="D239" s="40" t="str">
        <f>IF(Agent02_Withdrawals!A44="","",Agent02_Withdrawals!C44)</f>
        <v/>
      </c>
      <c r="E239" s="38" t="str">
        <f>IF(Agent02_Withdrawals!A44="","",Agent02_Withdrawals!D44)</f>
        <v/>
      </c>
      <c r="F239" s="37" t="str">
        <f>IF(Agent02_Withdrawals!A44="","",Agent02_Withdrawals!F44)</f>
        <v/>
      </c>
      <c r="G239" s="39" t="str">
        <f>IF(Agent02_Withdrawals!A44="","",Agent02_Withdrawals!E44)</f>
        <v/>
      </c>
      <c r="H239" s="39" t="str">
        <f>IF(Agent02_Withdrawals!A44="","",Agent02_Withdrawals!G44)</f>
        <v/>
      </c>
      <c r="I239" s="37" t="str">
        <f>IF(Agent02_Withdrawals!A44="","",Agent02_Withdrawals!H44)</f>
        <v/>
      </c>
      <c r="J239" s="37" t="str">
        <f>IF(Agent02_Withdrawals!A44="","",Agent02_Withdrawals!J44)</f>
        <v/>
      </c>
      <c r="K239" s="37" t="str">
        <f>IF(Agent02_Withdrawals!A44="","",Agent02_Withdrawals!K44)</f>
        <v/>
      </c>
      <c r="L239" s="37" t="str">
        <f>IF(G239="","",IF(D239-G239&gt;=System_Config!$B$9,"✅ OK","⚠️ BREACH"))</f>
        <v/>
      </c>
      <c r="M239" s="37" t="str">
        <f>IFERROR(IF(Agent02_Withdrawals!A44="","",YEAR(Agent02_Withdrawals!D44)),"")</f>
        <v/>
      </c>
    </row>
    <row r="240" spans="1:13" ht="18" customHeight="1" x14ac:dyDescent="0.25">
      <c r="A240" s="37" t="str">
        <f>IF(Agent02_Withdrawals!A45="","",Agent02_Withdrawals!A45)</f>
        <v/>
      </c>
      <c r="B240" s="37" t="str">
        <f ca="1">IF(Agent02_Withdrawals!A45="","","WD"&amp;TEXT(240-3,"0000")&amp;"-"&amp;TEXT(TODAY(),"YYYYMMDD"))</f>
        <v/>
      </c>
      <c r="C240" s="37" t="str">
        <f>IF(Agent02_Withdrawals!A45="","",Agent02_Withdrawals!B45)</f>
        <v/>
      </c>
      <c r="D240" s="40" t="str">
        <f>IF(Agent02_Withdrawals!A45="","",Agent02_Withdrawals!C45)</f>
        <v/>
      </c>
      <c r="E240" s="38" t="str">
        <f>IF(Agent02_Withdrawals!A45="","",Agent02_Withdrawals!D45)</f>
        <v/>
      </c>
      <c r="F240" s="37" t="str">
        <f>IF(Agent02_Withdrawals!A45="","",Agent02_Withdrawals!F45)</f>
        <v/>
      </c>
      <c r="G240" s="39" t="str">
        <f>IF(Agent02_Withdrawals!A45="","",Agent02_Withdrawals!E45)</f>
        <v/>
      </c>
      <c r="H240" s="39" t="str">
        <f>IF(Agent02_Withdrawals!A45="","",Agent02_Withdrawals!G45)</f>
        <v/>
      </c>
      <c r="I240" s="37" t="str">
        <f>IF(Agent02_Withdrawals!A45="","",Agent02_Withdrawals!H45)</f>
        <v/>
      </c>
      <c r="J240" s="37" t="str">
        <f>IF(Agent02_Withdrawals!A45="","",Agent02_Withdrawals!J45)</f>
        <v/>
      </c>
      <c r="K240" s="37" t="str">
        <f>IF(Agent02_Withdrawals!A45="","",Agent02_Withdrawals!K45)</f>
        <v/>
      </c>
      <c r="L240" s="37" t="str">
        <f>IF(G240="","",IF(D240-G240&gt;=System_Config!$B$9,"✅ OK","⚠️ BREACH"))</f>
        <v/>
      </c>
      <c r="M240" s="37" t="str">
        <f>IFERROR(IF(Agent02_Withdrawals!A45="","",YEAR(Agent02_Withdrawals!D45)),"")</f>
        <v/>
      </c>
    </row>
    <row r="241" spans="1:13" ht="18" customHeight="1" x14ac:dyDescent="0.25">
      <c r="A241" s="37" t="str">
        <f>IF(Agent02_Withdrawals!A46="","",Agent02_Withdrawals!A46)</f>
        <v/>
      </c>
      <c r="B241" s="37" t="str">
        <f ca="1">IF(Agent02_Withdrawals!A46="","","WD"&amp;TEXT(241-3,"0000")&amp;"-"&amp;TEXT(TODAY(),"YYYYMMDD"))</f>
        <v/>
      </c>
      <c r="C241" s="37" t="str">
        <f>IF(Agent02_Withdrawals!A46="","",Agent02_Withdrawals!B46)</f>
        <v/>
      </c>
      <c r="D241" s="40" t="str">
        <f>IF(Agent02_Withdrawals!A46="","",Agent02_Withdrawals!C46)</f>
        <v/>
      </c>
      <c r="E241" s="38" t="str">
        <f>IF(Agent02_Withdrawals!A46="","",Agent02_Withdrawals!D46)</f>
        <v/>
      </c>
      <c r="F241" s="37" t="str">
        <f>IF(Agent02_Withdrawals!A46="","",Agent02_Withdrawals!F46)</f>
        <v/>
      </c>
      <c r="G241" s="39" t="str">
        <f>IF(Agent02_Withdrawals!A46="","",Agent02_Withdrawals!E46)</f>
        <v/>
      </c>
      <c r="H241" s="39" t="str">
        <f>IF(Agent02_Withdrawals!A46="","",Agent02_Withdrawals!G46)</f>
        <v/>
      </c>
      <c r="I241" s="37" t="str">
        <f>IF(Agent02_Withdrawals!A46="","",Agent02_Withdrawals!H46)</f>
        <v/>
      </c>
      <c r="J241" s="37" t="str">
        <f>IF(Agent02_Withdrawals!A46="","",Agent02_Withdrawals!J46)</f>
        <v/>
      </c>
      <c r="K241" s="37" t="str">
        <f>IF(Agent02_Withdrawals!A46="","",Agent02_Withdrawals!K46)</f>
        <v/>
      </c>
      <c r="L241" s="37" t="str">
        <f>IF(G241="","",IF(D241-G241&gt;=System_Config!$B$9,"✅ OK","⚠️ BREACH"))</f>
        <v/>
      </c>
      <c r="M241" s="37" t="str">
        <f>IFERROR(IF(Agent02_Withdrawals!A46="","",YEAR(Agent02_Withdrawals!D46)),"")</f>
        <v/>
      </c>
    </row>
    <row r="242" spans="1:13" ht="18" customHeight="1" x14ac:dyDescent="0.25">
      <c r="A242" s="37" t="str">
        <f>IF(Agent02_Withdrawals!A47="","",Agent02_Withdrawals!A47)</f>
        <v/>
      </c>
      <c r="B242" s="37" t="str">
        <f ca="1">IF(Agent02_Withdrawals!A47="","","WD"&amp;TEXT(242-3,"0000")&amp;"-"&amp;TEXT(TODAY(),"YYYYMMDD"))</f>
        <v/>
      </c>
      <c r="C242" s="37" t="str">
        <f>IF(Agent02_Withdrawals!A47="","",Agent02_Withdrawals!B47)</f>
        <v/>
      </c>
      <c r="D242" s="40" t="str">
        <f>IF(Agent02_Withdrawals!A47="","",Agent02_Withdrawals!C47)</f>
        <v/>
      </c>
      <c r="E242" s="38" t="str">
        <f>IF(Agent02_Withdrawals!A47="","",Agent02_Withdrawals!D47)</f>
        <v/>
      </c>
      <c r="F242" s="37" t="str">
        <f>IF(Agent02_Withdrawals!A47="","",Agent02_Withdrawals!F47)</f>
        <v/>
      </c>
      <c r="G242" s="39" t="str">
        <f>IF(Agent02_Withdrawals!A47="","",Agent02_Withdrawals!E47)</f>
        <v/>
      </c>
      <c r="H242" s="39" t="str">
        <f>IF(Agent02_Withdrawals!A47="","",Agent02_Withdrawals!G47)</f>
        <v/>
      </c>
      <c r="I242" s="37" t="str">
        <f>IF(Agent02_Withdrawals!A47="","",Agent02_Withdrawals!H47)</f>
        <v/>
      </c>
      <c r="J242" s="37" t="str">
        <f>IF(Agent02_Withdrawals!A47="","",Agent02_Withdrawals!J47)</f>
        <v/>
      </c>
      <c r="K242" s="37" t="str">
        <f>IF(Agent02_Withdrawals!A47="","",Agent02_Withdrawals!K47)</f>
        <v/>
      </c>
      <c r="L242" s="37" t="str">
        <f>IF(G242="","",IF(D242-G242&gt;=System_Config!$B$9,"✅ OK","⚠️ BREACH"))</f>
        <v/>
      </c>
      <c r="M242" s="37" t="str">
        <f>IFERROR(IF(Agent02_Withdrawals!A47="","",YEAR(Agent02_Withdrawals!D47)),"")</f>
        <v/>
      </c>
    </row>
    <row r="243" spans="1:13" ht="18" customHeight="1" x14ac:dyDescent="0.25">
      <c r="A243" s="37" t="str">
        <f>IF(Agent02_Withdrawals!A48="","",Agent02_Withdrawals!A48)</f>
        <v/>
      </c>
      <c r="B243" s="37" t="str">
        <f ca="1">IF(Agent02_Withdrawals!A48="","","WD"&amp;TEXT(243-3,"0000")&amp;"-"&amp;TEXT(TODAY(),"YYYYMMDD"))</f>
        <v/>
      </c>
      <c r="C243" s="37" t="str">
        <f>IF(Agent02_Withdrawals!A48="","",Agent02_Withdrawals!B48)</f>
        <v/>
      </c>
      <c r="D243" s="40" t="str">
        <f>IF(Agent02_Withdrawals!A48="","",Agent02_Withdrawals!C48)</f>
        <v/>
      </c>
      <c r="E243" s="38" t="str">
        <f>IF(Agent02_Withdrawals!A48="","",Agent02_Withdrawals!D48)</f>
        <v/>
      </c>
      <c r="F243" s="37" t="str">
        <f>IF(Agent02_Withdrawals!A48="","",Agent02_Withdrawals!F48)</f>
        <v/>
      </c>
      <c r="G243" s="39" t="str">
        <f>IF(Agent02_Withdrawals!A48="","",Agent02_Withdrawals!E48)</f>
        <v/>
      </c>
      <c r="H243" s="39" t="str">
        <f>IF(Agent02_Withdrawals!A48="","",Agent02_Withdrawals!G48)</f>
        <v/>
      </c>
      <c r="I243" s="37" t="str">
        <f>IF(Agent02_Withdrawals!A48="","",Agent02_Withdrawals!H48)</f>
        <v/>
      </c>
      <c r="J243" s="37" t="str">
        <f>IF(Agent02_Withdrawals!A48="","",Agent02_Withdrawals!J48)</f>
        <v/>
      </c>
      <c r="K243" s="37" t="str">
        <f>IF(Agent02_Withdrawals!A48="","",Agent02_Withdrawals!K48)</f>
        <v/>
      </c>
      <c r="L243" s="37" t="str">
        <f>IF(G243="","",IF(D243-G243&gt;=System_Config!$B$9,"✅ OK","⚠️ BREACH"))</f>
        <v/>
      </c>
      <c r="M243" s="37" t="str">
        <f>IFERROR(IF(Agent02_Withdrawals!A48="","",YEAR(Agent02_Withdrawals!D48)),"")</f>
        <v/>
      </c>
    </row>
    <row r="244" spans="1:13" ht="18" customHeight="1" x14ac:dyDescent="0.25">
      <c r="A244" s="37" t="str">
        <f>IF(Agent02_Withdrawals!A49="","",Agent02_Withdrawals!A49)</f>
        <v/>
      </c>
      <c r="B244" s="37" t="str">
        <f ca="1">IF(Agent02_Withdrawals!A49="","","WD"&amp;TEXT(244-3,"0000")&amp;"-"&amp;TEXT(TODAY(),"YYYYMMDD"))</f>
        <v/>
      </c>
      <c r="C244" s="37" t="str">
        <f>IF(Agent02_Withdrawals!A49="","",Agent02_Withdrawals!B49)</f>
        <v/>
      </c>
      <c r="D244" s="40" t="str">
        <f>IF(Agent02_Withdrawals!A49="","",Agent02_Withdrawals!C49)</f>
        <v/>
      </c>
      <c r="E244" s="38" t="str">
        <f>IF(Agent02_Withdrawals!A49="","",Agent02_Withdrawals!D49)</f>
        <v/>
      </c>
      <c r="F244" s="37" t="str">
        <f>IF(Agent02_Withdrawals!A49="","",Agent02_Withdrawals!F49)</f>
        <v/>
      </c>
      <c r="G244" s="39" t="str">
        <f>IF(Agent02_Withdrawals!A49="","",Agent02_Withdrawals!E49)</f>
        <v/>
      </c>
      <c r="H244" s="39" t="str">
        <f>IF(Agent02_Withdrawals!A49="","",Agent02_Withdrawals!G49)</f>
        <v/>
      </c>
      <c r="I244" s="37" t="str">
        <f>IF(Agent02_Withdrawals!A49="","",Agent02_Withdrawals!H49)</f>
        <v/>
      </c>
      <c r="J244" s="37" t="str">
        <f>IF(Agent02_Withdrawals!A49="","",Agent02_Withdrawals!J49)</f>
        <v/>
      </c>
      <c r="K244" s="37" t="str">
        <f>IF(Agent02_Withdrawals!A49="","",Agent02_Withdrawals!K49)</f>
        <v/>
      </c>
      <c r="L244" s="37" t="str">
        <f>IF(G244="","",IF(D244-G244&gt;=System_Config!$B$9,"✅ OK","⚠️ BREACH"))</f>
        <v/>
      </c>
      <c r="M244" s="37" t="str">
        <f>IFERROR(IF(Agent02_Withdrawals!A49="","",YEAR(Agent02_Withdrawals!D49)),"")</f>
        <v/>
      </c>
    </row>
    <row r="245" spans="1:13" ht="18" customHeight="1" x14ac:dyDescent="0.25">
      <c r="A245" s="37" t="str">
        <f>IF(Agent02_Withdrawals!A50="","",Agent02_Withdrawals!A50)</f>
        <v/>
      </c>
      <c r="B245" s="37" t="str">
        <f ca="1">IF(Agent02_Withdrawals!A50="","","WD"&amp;TEXT(245-3,"0000")&amp;"-"&amp;TEXT(TODAY(),"YYYYMMDD"))</f>
        <v/>
      </c>
      <c r="C245" s="37" t="str">
        <f>IF(Agent02_Withdrawals!A50="","",Agent02_Withdrawals!B50)</f>
        <v/>
      </c>
      <c r="D245" s="40" t="str">
        <f>IF(Agent02_Withdrawals!A50="","",Agent02_Withdrawals!C50)</f>
        <v/>
      </c>
      <c r="E245" s="38" t="str">
        <f>IF(Agent02_Withdrawals!A50="","",Agent02_Withdrawals!D50)</f>
        <v/>
      </c>
      <c r="F245" s="37" t="str">
        <f>IF(Agent02_Withdrawals!A50="","",Agent02_Withdrawals!F50)</f>
        <v/>
      </c>
      <c r="G245" s="39" t="str">
        <f>IF(Agent02_Withdrawals!A50="","",Agent02_Withdrawals!E50)</f>
        <v/>
      </c>
      <c r="H245" s="39" t="str">
        <f>IF(Agent02_Withdrawals!A50="","",Agent02_Withdrawals!G50)</f>
        <v/>
      </c>
      <c r="I245" s="37" t="str">
        <f>IF(Agent02_Withdrawals!A50="","",Agent02_Withdrawals!H50)</f>
        <v/>
      </c>
      <c r="J245" s="37" t="str">
        <f>IF(Agent02_Withdrawals!A50="","",Agent02_Withdrawals!J50)</f>
        <v/>
      </c>
      <c r="K245" s="37" t="str">
        <f>IF(Agent02_Withdrawals!A50="","",Agent02_Withdrawals!K50)</f>
        <v/>
      </c>
      <c r="L245" s="37" t="str">
        <f>IF(G245="","",IF(D245-G245&gt;=System_Config!$B$9,"✅ OK","⚠️ BREACH"))</f>
        <v/>
      </c>
      <c r="M245" s="37" t="str">
        <f>IFERROR(IF(Agent02_Withdrawals!A50="","",YEAR(Agent02_Withdrawals!D50)),"")</f>
        <v/>
      </c>
    </row>
    <row r="246" spans="1:13" ht="18" customHeight="1" x14ac:dyDescent="0.25">
      <c r="A246" s="37" t="str">
        <f>IF(Agent02_Withdrawals!A51="","",Agent02_Withdrawals!A51)</f>
        <v/>
      </c>
      <c r="B246" s="37" t="str">
        <f ca="1">IF(Agent02_Withdrawals!A51="","","WD"&amp;TEXT(246-3,"0000")&amp;"-"&amp;TEXT(TODAY(),"YYYYMMDD"))</f>
        <v/>
      </c>
      <c r="C246" s="37" t="str">
        <f>IF(Agent02_Withdrawals!A51="","",Agent02_Withdrawals!B51)</f>
        <v/>
      </c>
      <c r="D246" s="40" t="str">
        <f>IF(Agent02_Withdrawals!A51="","",Agent02_Withdrawals!C51)</f>
        <v/>
      </c>
      <c r="E246" s="38" t="str">
        <f>IF(Agent02_Withdrawals!A51="","",Agent02_Withdrawals!D51)</f>
        <v/>
      </c>
      <c r="F246" s="37" t="str">
        <f>IF(Agent02_Withdrawals!A51="","",Agent02_Withdrawals!F51)</f>
        <v/>
      </c>
      <c r="G246" s="39" t="str">
        <f>IF(Agent02_Withdrawals!A51="","",Agent02_Withdrawals!E51)</f>
        <v/>
      </c>
      <c r="H246" s="39" t="str">
        <f>IF(Agent02_Withdrawals!A51="","",Agent02_Withdrawals!G51)</f>
        <v/>
      </c>
      <c r="I246" s="37" t="str">
        <f>IF(Agent02_Withdrawals!A51="","",Agent02_Withdrawals!H51)</f>
        <v/>
      </c>
      <c r="J246" s="37" t="str">
        <f>IF(Agent02_Withdrawals!A51="","",Agent02_Withdrawals!J51)</f>
        <v/>
      </c>
      <c r="K246" s="37" t="str">
        <f>IF(Agent02_Withdrawals!A51="","",Agent02_Withdrawals!K51)</f>
        <v/>
      </c>
      <c r="L246" s="37" t="str">
        <f>IF(G246="","",IF(D246-G246&gt;=System_Config!$B$9,"✅ OK","⚠️ BREACH"))</f>
        <v/>
      </c>
      <c r="M246" s="37" t="str">
        <f>IFERROR(IF(Agent02_Withdrawals!A51="","",YEAR(Agent02_Withdrawals!D51)),"")</f>
        <v/>
      </c>
    </row>
    <row r="247" spans="1:13" ht="18" customHeight="1" x14ac:dyDescent="0.25">
      <c r="A247" s="37" t="str">
        <f>IF(Agent02_Withdrawals!A52="","",Agent02_Withdrawals!A52)</f>
        <v/>
      </c>
      <c r="B247" s="37" t="str">
        <f ca="1">IF(Agent02_Withdrawals!A52="","","WD"&amp;TEXT(247-3,"0000")&amp;"-"&amp;TEXT(TODAY(),"YYYYMMDD"))</f>
        <v/>
      </c>
      <c r="C247" s="37" t="str">
        <f>IF(Agent02_Withdrawals!A52="","",Agent02_Withdrawals!B52)</f>
        <v/>
      </c>
      <c r="D247" s="40" t="str">
        <f>IF(Agent02_Withdrawals!A52="","",Agent02_Withdrawals!C52)</f>
        <v/>
      </c>
      <c r="E247" s="38" t="str">
        <f>IF(Agent02_Withdrawals!A52="","",Agent02_Withdrawals!D52)</f>
        <v/>
      </c>
      <c r="F247" s="37" t="str">
        <f>IF(Agent02_Withdrawals!A52="","",Agent02_Withdrawals!F52)</f>
        <v/>
      </c>
      <c r="G247" s="39" t="str">
        <f>IF(Agent02_Withdrawals!A52="","",Agent02_Withdrawals!E52)</f>
        <v/>
      </c>
      <c r="H247" s="39" t="str">
        <f>IF(Agent02_Withdrawals!A52="","",Agent02_Withdrawals!G52)</f>
        <v/>
      </c>
      <c r="I247" s="37" t="str">
        <f>IF(Agent02_Withdrawals!A52="","",Agent02_Withdrawals!H52)</f>
        <v/>
      </c>
      <c r="J247" s="37" t="str">
        <f>IF(Agent02_Withdrawals!A52="","",Agent02_Withdrawals!J52)</f>
        <v/>
      </c>
      <c r="K247" s="37" t="str">
        <f>IF(Agent02_Withdrawals!A52="","",Agent02_Withdrawals!K52)</f>
        <v/>
      </c>
      <c r="L247" s="37" t="str">
        <f>IF(G247="","",IF(D247-G247&gt;=System_Config!$B$9,"✅ OK","⚠️ BREACH"))</f>
        <v/>
      </c>
      <c r="M247" s="37" t="str">
        <f>IFERROR(IF(Agent02_Withdrawals!A52="","",YEAR(Agent02_Withdrawals!D52)),"")</f>
        <v/>
      </c>
    </row>
    <row r="248" spans="1:13" ht="18" customHeight="1" x14ac:dyDescent="0.25">
      <c r="A248" s="37" t="str">
        <f>IF(Agent02_Withdrawals!A53="","",Agent02_Withdrawals!A53)</f>
        <v/>
      </c>
      <c r="B248" s="37" t="str">
        <f ca="1">IF(Agent02_Withdrawals!A53="","","WD"&amp;TEXT(248-3,"0000")&amp;"-"&amp;TEXT(TODAY(),"YYYYMMDD"))</f>
        <v/>
      </c>
      <c r="C248" s="37" t="str">
        <f>IF(Agent02_Withdrawals!A53="","",Agent02_Withdrawals!B53)</f>
        <v/>
      </c>
      <c r="D248" s="40" t="str">
        <f>IF(Agent02_Withdrawals!A53="","",Agent02_Withdrawals!C53)</f>
        <v/>
      </c>
      <c r="E248" s="38" t="str">
        <f>IF(Agent02_Withdrawals!A53="","",Agent02_Withdrawals!D53)</f>
        <v/>
      </c>
      <c r="F248" s="37" t="str">
        <f>IF(Agent02_Withdrawals!A53="","",Agent02_Withdrawals!F53)</f>
        <v/>
      </c>
      <c r="G248" s="39" t="str">
        <f>IF(Agent02_Withdrawals!A53="","",Agent02_Withdrawals!E53)</f>
        <v/>
      </c>
      <c r="H248" s="39" t="str">
        <f>IF(Agent02_Withdrawals!A53="","",Agent02_Withdrawals!G53)</f>
        <v/>
      </c>
      <c r="I248" s="37" t="str">
        <f>IF(Agent02_Withdrawals!A53="","",Agent02_Withdrawals!H53)</f>
        <v/>
      </c>
      <c r="J248" s="37" t="str">
        <f>IF(Agent02_Withdrawals!A53="","",Agent02_Withdrawals!J53)</f>
        <v/>
      </c>
      <c r="K248" s="37" t="str">
        <f>IF(Agent02_Withdrawals!A53="","",Agent02_Withdrawals!K53)</f>
        <v/>
      </c>
      <c r="L248" s="37" t="str">
        <f>IF(G248="","",IF(D248-G248&gt;=System_Config!$B$9,"✅ OK","⚠️ BREACH"))</f>
        <v/>
      </c>
      <c r="M248" s="37" t="str">
        <f>IFERROR(IF(Agent02_Withdrawals!A53="","",YEAR(Agent02_Withdrawals!D53)),"")</f>
        <v/>
      </c>
    </row>
    <row r="249" spans="1:13" ht="18" customHeight="1" x14ac:dyDescent="0.25">
      <c r="A249" s="37" t="str">
        <f>IF(Agent02_Withdrawals!A54="","",Agent02_Withdrawals!A54)</f>
        <v/>
      </c>
      <c r="B249" s="37" t="str">
        <f ca="1">IF(Agent02_Withdrawals!A54="","","WD"&amp;TEXT(249-3,"0000")&amp;"-"&amp;TEXT(TODAY(),"YYYYMMDD"))</f>
        <v/>
      </c>
      <c r="C249" s="37" t="str">
        <f>IF(Agent02_Withdrawals!A54="","",Agent02_Withdrawals!B54)</f>
        <v/>
      </c>
      <c r="D249" s="40" t="str">
        <f>IF(Agent02_Withdrawals!A54="","",Agent02_Withdrawals!C54)</f>
        <v/>
      </c>
      <c r="E249" s="38" t="str">
        <f>IF(Agent02_Withdrawals!A54="","",Agent02_Withdrawals!D54)</f>
        <v/>
      </c>
      <c r="F249" s="37" t="str">
        <f>IF(Agent02_Withdrawals!A54="","",Agent02_Withdrawals!F54)</f>
        <v/>
      </c>
      <c r="G249" s="39" t="str">
        <f>IF(Agent02_Withdrawals!A54="","",Agent02_Withdrawals!E54)</f>
        <v/>
      </c>
      <c r="H249" s="39" t="str">
        <f>IF(Agent02_Withdrawals!A54="","",Agent02_Withdrawals!G54)</f>
        <v/>
      </c>
      <c r="I249" s="37" t="str">
        <f>IF(Agent02_Withdrawals!A54="","",Agent02_Withdrawals!H54)</f>
        <v/>
      </c>
      <c r="J249" s="37" t="str">
        <f>IF(Agent02_Withdrawals!A54="","",Agent02_Withdrawals!J54)</f>
        <v/>
      </c>
      <c r="K249" s="37" t="str">
        <f>IF(Agent02_Withdrawals!A54="","",Agent02_Withdrawals!K54)</f>
        <v/>
      </c>
      <c r="L249" s="37" t="str">
        <f>IF(G249="","",IF(D249-G249&gt;=System_Config!$B$9,"✅ OK","⚠️ BREACH"))</f>
        <v/>
      </c>
      <c r="M249" s="37" t="str">
        <f>IFERROR(IF(Agent02_Withdrawals!A54="","",YEAR(Agent02_Withdrawals!D54)),"")</f>
        <v/>
      </c>
    </row>
    <row r="250" spans="1:13" ht="18" customHeight="1" x14ac:dyDescent="0.25">
      <c r="A250" s="37" t="str">
        <f>IF(Agent02_Withdrawals!A55="","",Agent02_Withdrawals!A55)</f>
        <v/>
      </c>
      <c r="B250" s="37" t="str">
        <f ca="1">IF(Agent02_Withdrawals!A55="","","WD"&amp;TEXT(250-3,"0000")&amp;"-"&amp;TEXT(TODAY(),"YYYYMMDD"))</f>
        <v/>
      </c>
      <c r="C250" s="37" t="str">
        <f>IF(Agent02_Withdrawals!A55="","",Agent02_Withdrawals!B55)</f>
        <v/>
      </c>
      <c r="D250" s="40" t="str">
        <f>IF(Agent02_Withdrawals!A55="","",Agent02_Withdrawals!C55)</f>
        <v/>
      </c>
      <c r="E250" s="38" t="str">
        <f>IF(Agent02_Withdrawals!A55="","",Agent02_Withdrawals!D55)</f>
        <v/>
      </c>
      <c r="F250" s="37" t="str">
        <f>IF(Agent02_Withdrawals!A55="","",Agent02_Withdrawals!F55)</f>
        <v/>
      </c>
      <c r="G250" s="39" t="str">
        <f>IF(Agent02_Withdrawals!A55="","",Agent02_Withdrawals!E55)</f>
        <v/>
      </c>
      <c r="H250" s="39" t="str">
        <f>IF(Agent02_Withdrawals!A55="","",Agent02_Withdrawals!G55)</f>
        <v/>
      </c>
      <c r="I250" s="37" t="str">
        <f>IF(Agent02_Withdrawals!A55="","",Agent02_Withdrawals!H55)</f>
        <v/>
      </c>
      <c r="J250" s="37" t="str">
        <f>IF(Agent02_Withdrawals!A55="","",Agent02_Withdrawals!J55)</f>
        <v/>
      </c>
      <c r="K250" s="37" t="str">
        <f>IF(Agent02_Withdrawals!A55="","",Agent02_Withdrawals!K55)</f>
        <v/>
      </c>
      <c r="L250" s="37" t="str">
        <f>IF(G250="","",IF(D250-G250&gt;=System_Config!$B$9,"✅ OK","⚠️ BREACH"))</f>
        <v/>
      </c>
      <c r="M250" s="37" t="str">
        <f>IFERROR(IF(Agent02_Withdrawals!A55="","",YEAR(Agent02_Withdrawals!D55)),"")</f>
        <v/>
      </c>
    </row>
    <row r="251" spans="1:13" ht="18" customHeight="1" x14ac:dyDescent="0.25">
      <c r="A251" s="37" t="str">
        <f>IF(Agent02_Withdrawals!A56="","",Agent02_Withdrawals!A56)</f>
        <v/>
      </c>
      <c r="B251" s="37" t="str">
        <f ca="1">IF(Agent02_Withdrawals!A56="","","WD"&amp;TEXT(251-3,"0000")&amp;"-"&amp;TEXT(TODAY(),"YYYYMMDD"))</f>
        <v/>
      </c>
      <c r="C251" s="37" t="str">
        <f>IF(Agent02_Withdrawals!A56="","",Agent02_Withdrawals!B56)</f>
        <v/>
      </c>
      <c r="D251" s="40" t="str">
        <f>IF(Agent02_Withdrawals!A56="","",Agent02_Withdrawals!C56)</f>
        <v/>
      </c>
      <c r="E251" s="38" t="str">
        <f>IF(Agent02_Withdrawals!A56="","",Agent02_Withdrawals!D56)</f>
        <v/>
      </c>
      <c r="F251" s="37" t="str">
        <f>IF(Agent02_Withdrawals!A56="","",Agent02_Withdrawals!F56)</f>
        <v/>
      </c>
      <c r="G251" s="39" t="str">
        <f>IF(Agent02_Withdrawals!A56="","",Agent02_Withdrawals!E56)</f>
        <v/>
      </c>
      <c r="H251" s="39" t="str">
        <f>IF(Agent02_Withdrawals!A56="","",Agent02_Withdrawals!G56)</f>
        <v/>
      </c>
      <c r="I251" s="37" t="str">
        <f>IF(Agent02_Withdrawals!A56="","",Agent02_Withdrawals!H56)</f>
        <v/>
      </c>
      <c r="J251" s="37" t="str">
        <f>IF(Agent02_Withdrawals!A56="","",Agent02_Withdrawals!J56)</f>
        <v/>
      </c>
      <c r="K251" s="37" t="str">
        <f>IF(Agent02_Withdrawals!A56="","",Agent02_Withdrawals!K56)</f>
        <v/>
      </c>
      <c r="L251" s="37" t="str">
        <f>IF(G251="","",IF(D251-G251&gt;=System_Config!$B$9,"✅ OK","⚠️ BREACH"))</f>
        <v/>
      </c>
      <c r="M251" s="37" t="str">
        <f>IFERROR(IF(Agent02_Withdrawals!A56="","",YEAR(Agent02_Withdrawals!D56)),"")</f>
        <v/>
      </c>
    </row>
    <row r="252" spans="1:13" ht="18" customHeight="1" x14ac:dyDescent="0.25">
      <c r="A252" s="37" t="str">
        <f>IF(Agent02_Withdrawals!A57="","",Agent02_Withdrawals!A57)</f>
        <v/>
      </c>
      <c r="B252" s="37" t="str">
        <f ca="1">IF(Agent02_Withdrawals!A57="","","WD"&amp;TEXT(252-3,"0000")&amp;"-"&amp;TEXT(TODAY(),"YYYYMMDD"))</f>
        <v/>
      </c>
      <c r="C252" s="37" t="str">
        <f>IF(Agent02_Withdrawals!A57="","",Agent02_Withdrawals!B57)</f>
        <v/>
      </c>
      <c r="D252" s="40" t="str">
        <f>IF(Agent02_Withdrawals!A57="","",Agent02_Withdrawals!C57)</f>
        <v/>
      </c>
      <c r="E252" s="38" t="str">
        <f>IF(Agent02_Withdrawals!A57="","",Agent02_Withdrawals!D57)</f>
        <v/>
      </c>
      <c r="F252" s="37" t="str">
        <f>IF(Agent02_Withdrawals!A57="","",Agent02_Withdrawals!F57)</f>
        <v/>
      </c>
      <c r="G252" s="39" t="str">
        <f>IF(Agent02_Withdrawals!A57="","",Agent02_Withdrawals!E57)</f>
        <v/>
      </c>
      <c r="H252" s="39" t="str">
        <f>IF(Agent02_Withdrawals!A57="","",Agent02_Withdrawals!G57)</f>
        <v/>
      </c>
      <c r="I252" s="37" t="str">
        <f>IF(Agent02_Withdrawals!A57="","",Agent02_Withdrawals!H57)</f>
        <v/>
      </c>
      <c r="J252" s="37" t="str">
        <f>IF(Agent02_Withdrawals!A57="","",Agent02_Withdrawals!J57)</f>
        <v/>
      </c>
      <c r="K252" s="37" t="str">
        <f>IF(Agent02_Withdrawals!A57="","",Agent02_Withdrawals!K57)</f>
        <v/>
      </c>
      <c r="L252" s="37" t="str">
        <f>IF(G252="","",IF(D252-G252&gt;=System_Config!$B$9,"✅ OK","⚠️ BREACH"))</f>
        <v/>
      </c>
      <c r="M252" s="37" t="str">
        <f>IFERROR(IF(Agent02_Withdrawals!A57="","",YEAR(Agent02_Withdrawals!D57)),"")</f>
        <v/>
      </c>
    </row>
    <row r="253" spans="1:13" ht="18" customHeight="1" x14ac:dyDescent="0.25">
      <c r="A253" s="37" t="str">
        <f>IF(Agent02_Withdrawals!A58="","",Agent02_Withdrawals!A58)</f>
        <v/>
      </c>
      <c r="B253" s="37" t="str">
        <f ca="1">IF(Agent02_Withdrawals!A58="","","WD"&amp;TEXT(253-3,"0000")&amp;"-"&amp;TEXT(TODAY(),"YYYYMMDD"))</f>
        <v/>
      </c>
      <c r="C253" s="37" t="str">
        <f>IF(Agent02_Withdrawals!A58="","",Agent02_Withdrawals!B58)</f>
        <v/>
      </c>
      <c r="D253" s="40" t="str">
        <f>IF(Agent02_Withdrawals!A58="","",Agent02_Withdrawals!C58)</f>
        <v/>
      </c>
      <c r="E253" s="38" t="str">
        <f>IF(Agent02_Withdrawals!A58="","",Agent02_Withdrawals!D58)</f>
        <v/>
      </c>
      <c r="F253" s="37" t="str">
        <f>IF(Agent02_Withdrawals!A58="","",Agent02_Withdrawals!F58)</f>
        <v/>
      </c>
      <c r="G253" s="39" t="str">
        <f>IF(Agent02_Withdrawals!A58="","",Agent02_Withdrawals!E58)</f>
        <v/>
      </c>
      <c r="H253" s="39" t="str">
        <f>IF(Agent02_Withdrawals!A58="","",Agent02_Withdrawals!G58)</f>
        <v/>
      </c>
      <c r="I253" s="37" t="str">
        <f>IF(Agent02_Withdrawals!A58="","",Agent02_Withdrawals!H58)</f>
        <v/>
      </c>
      <c r="J253" s="37" t="str">
        <f>IF(Agent02_Withdrawals!A58="","",Agent02_Withdrawals!J58)</f>
        <v/>
      </c>
      <c r="K253" s="37" t="str">
        <f>IF(Agent02_Withdrawals!A58="","",Agent02_Withdrawals!K58)</f>
        <v/>
      </c>
      <c r="L253" s="37" t="str">
        <f>IF(G253="","",IF(D253-G253&gt;=System_Config!$B$9,"✅ OK","⚠️ BREACH"))</f>
        <v/>
      </c>
      <c r="M253" s="37" t="str">
        <f>IFERROR(IF(Agent02_Withdrawals!A58="","",YEAR(Agent02_Withdrawals!D58)),"")</f>
        <v/>
      </c>
    </row>
    <row r="254" spans="1:13" ht="18" customHeight="1" x14ac:dyDescent="0.25">
      <c r="A254" s="37" t="str">
        <f>IF(Agent02_Withdrawals!A59="","",Agent02_Withdrawals!A59)</f>
        <v/>
      </c>
      <c r="B254" s="37" t="str">
        <f ca="1">IF(Agent02_Withdrawals!A59="","","WD"&amp;TEXT(254-3,"0000")&amp;"-"&amp;TEXT(TODAY(),"YYYYMMDD"))</f>
        <v/>
      </c>
      <c r="C254" s="37" t="str">
        <f>IF(Agent02_Withdrawals!A59="","",Agent02_Withdrawals!B59)</f>
        <v/>
      </c>
      <c r="D254" s="40" t="str">
        <f>IF(Agent02_Withdrawals!A59="","",Agent02_Withdrawals!C59)</f>
        <v/>
      </c>
      <c r="E254" s="38" t="str">
        <f>IF(Agent02_Withdrawals!A59="","",Agent02_Withdrawals!D59)</f>
        <v/>
      </c>
      <c r="F254" s="37" t="str">
        <f>IF(Agent02_Withdrawals!A59="","",Agent02_Withdrawals!F59)</f>
        <v/>
      </c>
      <c r="G254" s="39" t="str">
        <f>IF(Agent02_Withdrawals!A59="","",Agent02_Withdrawals!E59)</f>
        <v/>
      </c>
      <c r="H254" s="39" t="str">
        <f>IF(Agent02_Withdrawals!A59="","",Agent02_Withdrawals!G59)</f>
        <v/>
      </c>
      <c r="I254" s="37" t="str">
        <f>IF(Agent02_Withdrawals!A59="","",Agent02_Withdrawals!H59)</f>
        <v/>
      </c>
      <c r="J254" s="37" t="str">
        <f>IF(Agent02_Withdrawals!A59="","",Agent02_Withdrawals!J59)</f>
        <v/>
      </c>
      <c r="K254" s="37" t="str">
        <f>IF(Agent02_Withdrawals!A59="","",Agent02_Withdrawals!K59)</f>
        <v/>
      </c>
      <c r="L254" s="37" t="str">
        <f>IF(G254="","",IF(D254-G254&gt;=System_Config!$B$9,"✅ OK","⚠️ BREACH"))</f>
        <v/>
      </c>
      <c r="M254" s="37" t="str">
        <f>IFERROR(IF(Agent02_Withdrawals!A59="","",YEAR(Agent02_Withdrawals!D59)),"")</f>
        <v/>
      </c>
    </row>
    <row r="255" spans="1:13" ht="18" customHeight="1" x14ac:dyDescent="0.25">
      <c r="A255" s="37" t="str">
        <f>IF(Agent02_Withdrawals!A60="","",Agent02_Withdrawals!A60)</f>
        <v/>
      </c>
      <c r="B255" s="37" t="str">
        <f ca="1">IF(Agent02_Withdrawals!A60="","","WD"&amp;TEXT(255-3,"0000")&amp;"-"&amp;TEXT(TODAY(),"YYYYMMDD"))</f>
        <v/>
      </c>
      <c r="C255" s="37" t="str">
        <f>IF(Agent02_Withdrawals!A60="","",Agent02_Withdrawals!B60)</f>
        <v/>
      </c>
      <c r="D255" s="40" t="str">
        <f>IF(Agent02_Withdrawals!A60="","",Agent02_Withdrawals!C60)</f>
        <v/>
      </c>
      <c r="E255" s="38" t="str">
        <f>IF(Agent02_Withdrawals!A60="","",Agent02_Withdrawals!D60)</f>
        <v/>
      </c>
      <c r="F255" s="37" t="str">
        <f>IF(Agent02_Withdrawals!A60="","",Agent02_Withdrawals!F60)</f>
        <v/>
      </c>
      <c r="G255" s="39" t="str">
        <f>IF(Agent02_Withdrawals!A60="","",Agent02_Withdrawals!E60)</f>
        <v/>
      </c>
      <c r="H255" s="39" t="str">
        <f>IF(Agent02_Withdrawals!A60="","",Agent02_Withdrawals!G60)</f>
        <v/>
      </c>
      <c r="I255" s="37" t="str">
        <f>IF(Agent02_Withdrawals!A60="","",Agent02_Withdrawals!H60)</f>
        <v/>
      </c>
      <c r="J255" s="37" t="str">
        <f>IF(Agent02_Withdrawals!A60="","",Agent02_Withdrawals!J60)</f>
        <v/>
      </c>
      <c r="K255" s="37" t="str">
        <f>IF(Agent02_Withdrawals!A60="","",Agent02_Withdrawals!K60)</f>
        <v/>
      </c>
      <c r="L255" s="37" t="str">
        <f>IF(G255="","",IF(D255-G255&gt;=System_Config!$B$9,"✅ OK","⚠️ BREACH"))</f>
        <v/>
      </c>
      <c r="M255" s="37" t="str">
        <f>IFERROR(IF(Agent02_Withdrawals!A60="","",YEAR(Agent02_Withdrawals!D60)),"")</f>
        <v/>
      </c>
    </row>
    <row r="256" spans="1:13" ht="18" customHeight="1" x14ac:dyDescent="0.25">
      <c r="A256" s="37" t="str">
        <f>IF(Agent02_Withdrawals!A61="","",Agent02_Withdrawals!A61)</f>
        <v/>
      </c>
      <c r="B256" s="37" t="str">
        <f ca="1">IF(Agent02_Withdrawals!A61="","","WD"&amp;TEXT(256-3,"0000")&amp;"-"&amp;TEXT(TODAY(),"YYYYMMDD"))</f>
        <v/>
      </c>
      <c r="C256" s="37" t="str">
        <f>IF(Agent02_Withdrawals!A61="","",Agent02_Withdrawals!B61)</f>
        <v/>
      </c>
      <c r="D256" s="40" t="str">
        <f>IF(Agent02_Withdrawals!A61="","",Agent02_Withdrawals!C61)</f>
        <v/>
      </c>
      <c r="E256" s="38" t="str">
        <f>IF(Agent02_Withdrawals!A61="","",Agent02_Withdrawals!D61)</f>
        <v/>
      </c>
      <c r="F256" s="37" t="str">
        <f>IF(Agent02_Withdrawals!A61="","",Agent02_Withdrawals!F61)</f>
        <v/>
      </c>
      <c r="G256" s="39" t="str">
        <f>IF(Agent02_Withdrawals!A61="","",Agent02_Withdrawals!E61)</f>
        <v/>
      </c>
      <c r="H256" s="39" t="str">
        <f>IF(Agent02_Withdrawals!A61="","",Agent02_Withdrawals!G61)</f>
        <v/>
      </c>
      <c r="I256" s="37" t="str">
        <f>IF(Agent02_Withdrawals!A61="","",Agent02_Withdrawals!H61)</f>
        <v/>
      </c>
      <c r="J256" s="37" t="str">
        <f>IF(Agent02_Withdrawals!A61="","",Agent02_Withdrawals!J61)</f>
        <v/>
      </c>
      <c r="K256" s="37" t="str">
        <f>IF(Agent02_Withdrawals!A61="","",Agent02_Withdrawals!K61)</f>
        <v/>
      </c>
      <c r="L256" s="37" t="str">
        <f>IF(G256="","",IF(D256-G256&gt;=System_Config!$B$9,"✅ OK","⚠️ BREACH"))</f>
        <v/>
      </c>
      <c r="M256" s="37" t="str">
        <f>IFERROR(IF(Agent02_Withdrawals!A61="","",YEAR(Agent02_Withdrawals!D61)),"")</f>
        <v/>
      </c>
    </row>
    <row r="257" spans="1:13" ht="18" customHeight="1" x14ac:dyDescent="0.25">
      <c r="A257" s="37" t="str">
        <f>IF(Agent02_Withdrawals!A62="","",Agent02_Withdrawals!A62)</f>
        <v/>
      </c>
      <c r="B257" s="37" t="str">
        <f ca="1">IF(Agent02_Withdrawals!A62="","","WD"&amp;TEXT(257-3,"0000")&amp;"-"&amp;TEXT(TODAY(),"YYYYMMDD"))</f>
        <v/>
      </c>
      <c r="C257" s="37" t="str">
        <f>IF(Agent02_Withdrawals!A62="","",Agent02_Withdrawals!B62)</f>
        <v/>
      </c>
      <c r="D257" s="40" t="str">
        <f>IF(Agent02_Withdrawals!A62="","",Agent02_Withdrawals!C62)</f>
        <v/>
      </c>
      <c r="E257" s="38" t="str">
        <f>IF(Agent02_Withdrawals!A62="","",Agent02_Withdrawals!D62)</f>
        <v/>
      </c>
      <c r="F257" s="37" t="str">
        <f>IF(Agent02_Withdrawals!A62="","",Agent02_Withdrawals!F62)</f>
        <v/>
      </c>
      <c r="G257" s="39" t="str">
        <f>IF(Agent02_Withdrawals!A62="","",Agent02_Withdrawals!E62)</f>
        <v/>
      </c>
      <c r="H257" s="39" t="str">
        <f>IF(Agent02_Withdrawals!A62="","",Agent02_Withdrawals!G62)</f>
        <v/>
      </c>
      <c r="I257" s="37" t="str">
        <f>IF(Agent02_Withdrawals!A62="","",Agent02_Withdrawals!H62)</f>
        <v/>
      </c>
      <c r="J257" s="37" t="str">
        <f>IF(Agent02_Withdrawals!A62="","",Agent02_Withdrawals!J62)</f>
        <v/>
      </c>
      <c r="K257" s="37" t="str">
        <f>IF(Agent02_Withdrawals!A62="","",Agent02_Withdrawals!K62)</f>
        <v/>
      </c>
      <c r="L257" s="37" t="str">
        <f>IF(G257="","",IF(D257-G257&gt;=System_Config!$B$9,"✅ OK","⚠️ BREACH"))</f>
        <v/>
      </c>
      <c r="M257" s="37" t="str">
        <f>IFERROR(IF(Agent02_Withdrawals!A62="","",YEAR(Agent02_Withdrawals!D62)),"")</f>
        <v/>
      </c>
    </row>
    <row r="258" spans="1:13" ht="18" customHeight="1" x14ac:dyDescent="0.25">
      <c r="A258" s="37" t="str">
        <f>IF(Agent02_Withdrawals!A63="","",Agent02_Withdrawals!A63)</f>
        <v/>
      </c>
      <c r="B258" s="37" t="str">
        <f ca="1">IF(Agent02_Withdrawals!A63="","","WD"&amp;TEXT(258-3,"0000")&amp;"-"&amp;TEXT(TODAY(),"YYYYMMDD"))</f>
        <v/>
      </c>
      <c r="C258" s="37" t="str">
        <f>IF(Agent02_Withdrawals!A63="","",Agent02_Withdrawals!B63)</f>
        <v/>
      </c>
      <c r="D258" s="40" t="str">
        <f>IF(Agent02_Withdrawals!A63="","",Agent02_Withdrawals!C63)</f>
        <v/>
      </c>
      <c r="E258" s="38" t="str">
        <f>IF(Agent02_Withdrawals!A63="","",Agent02_Withdrawals!D63)</f>
        <v/>
      </c>
      <c r="F258" s="37" t="str">
        <f>IF(Agent02_Withdrawals!A63="","",Agent02_Withdrawals!F63)</f>
        <v/>
      </c>
      <c r="G258" s="39" t="str">
        <f>IF(Agent02_Withdrawals!A63="","",Agent02_Withdrawals!E63)</f>
        <v/>
      </c>
      <c r="H258" s="39" t="str">
        <f>IF(Agent02_Withdrawals!A63="","",Agent02_Withdrawals!G63)</f>
        <v/>
      </c>
      <c r="I258" s="37" t="str">
        <f>IF(Agent02_Withdrawals!A63="","",Agent02_Withdrawals!H63)</f>
        <v/>
      </c>
      <c r="J258" s="37" t="str">
        <f>IF(Agent02_Withdrawals!A63="","",Agent02_Withdrawals!J63)</f>
        <v/>
      </c>
      <c r="K258" s="37" t="str">
        <f>IF(Agent02_Withdrawals!A63="","",Agent02_Withdrawals!K63)</f>
        <v/>
      </c>
      <c r="L258" s="37" t="str">
        <f>IF(G258="","",IF(D258-G258&gt;=System_Config!$B$9,"✅ OK","⚠️ BREACH"))</f>
        <v/>
      </c>
      <c r="M258" s="37" t="str">
        <f>IFERROR(IF(Agent02_Withdrawals!A63="","",YEAR(Agent02_Withdrawals!D63)),"")</f>
        <v/>
      </c>
    </row>
    <row r="259" spans="1:13" ht="18" customHeight="1" x14ac:dyDescent="0.25">
      <c r="A259" s="37" t="str">
        <f>IF(Agent02_Withdrawals!A64="","",Agent02_Withdrawals!A64)</f>
        <v/>
      </c>
      <c r="B259" s="37" t="str">
        <f ca="1">IF(Agent02_Withdrawals!A64="","","WD"&amp;TEXT(259-3,"0000")&amp;"-"&amp;TEXT(TODAY(),"YYYYMMDD"))</f>
        <v/>
      </c>
      <c r="C259" s="37" t="str">
        <f>IF(Agent02_Withdrawals!A64="","",Agent02_Withdrawals!B64)</f>
        <v/>
      </c>
      <c r="D259" s="40" t="str">
        <f>IF(Agent02_Withdrawals!A64="","",Agent02_Withdrawals!C64)</f>
        <v/>
      </c>
      <c r="E259" s="38" t="str">
        <f>IF(Agent02_Withdrawals!A64="","",Agent02_Withdrawals!D64)</f>
        <v/>
      </c>
      <c r="F259" s="37" t="str">
        <f>IF(Agent02_Withdrawals!A64="","",Agent02_Withdrawals!F64)</f>
        <v/>
      </c>
      <c r="G259" s="39" t="str">
        <f>IF(Agent02_Withdrawals!A64="","",Agent02_Withdrawals!E64)</f>
        <v/>
      </c>
      <c r="H259" s="39" t="str">
        <f>IF(Agent02_Withdrawals!A64="","",Agent02_Withdrawals!G64)</f>
        <v/>
      </c>
      <c r="I259" s="37" t="str">
        <f>IF(Agent02_Withdrawals!A64="","",Agent02_Withdrawals!H64)</f>
        <v/>
      </c>
      <c r="J259" s="37" t="str">
        <f>IF(Agent02_Withdrawals!A64="","",Agent02_Withdrawals!J64)</f>
        <v/>
      </c>
      <c r="K259" s="37" t="str">
        <f>IF(Agent02_Withdrawals!A64="","",Agent02_Withdrawals!K64)</f>
        <v/>
      </c>
      <c r="L259" s="37" t="str">
        <f>IF(G259="","",IF(D259-G259&gt;=System_Config!$B$9,"✅ OK","⚠️ BREACH"))</f>
        <v/>
      </c>
      <c r="M259" s="37" t="str">
        <f>IFERROR(IF(Agent02_Withdrawals!A64="","",YEAR(Agent02_Withdrawals!D64)),"")</f>
        <v/>
      </c>
    </row>
    <row r="260" spans="1:13" ht="18" customHeight="1" x14ac:dyDescent="0.25">
      <c r="A260" s="37" t="str">
        <f>IF(Agent02_Withdrawals!A65="","",Agent02_Withdrawals!A65)</f>
        <v/>
      </c>
      <c r="B260" s="37" t="str">
        <f ca="1">IF(Agent02_Withdrawals!A65="","","WD"&amp;TEXT(260-3,"0000")&amp;"-"&amp;TEXT(TODAY(),"YYYYMMDD"))</f>
        <v/>
      </c>
      <c r="C260" s="37" t="str">
        <f>IF(Agent02_Withdrawals!A65="","",Agent02_Withdrawals!B65)</f>
        <v/>
      </c>
      <c r="D260" s="40" t="str">
        <f>IF(Agent02_Withdrawals!A65="","",Agent02_Withdrawals!C65)</f>
        <v/>
      </c>
      <c r="E260" s="38" t="str">
        <f>IF(Agent02_Withdrawals!A65="","",Agent02_Withdrawals!D65)</f>
        <v/>
      </c>
      <c r="F260" s="37" t="str">
        <f>IF(Agent02_Withdrawals!A65="","",Agent02_Withdrawals!F65)</f>
        <v/>
      </c>
      <c r="G260" s="39" t="str">
        <f>IF(Agent02_Withdrawals!A65="","",Agent02_Withdrawals!E65)</f>
        <v/>
      </c>
      <c r="H260" s="39" t="str">
        <f>IF(Agent02_Withdrawals!A65="","",Agent02_Withdrawals!G65)</f>
        <v/>
      </c>
      <c r="I260" s="37" t="str">
        <f>IF(Agent02_Withdrawals!A65="","",Agent02_Withdrawals!H65)</f>
        <v/>
      </c>
      <c r="J260" s="37" t="str">
        <f>IF(Agent02_Withdrawals!A65="","",Agent02_Withdrawals!J65)</f>
        <v/>
      </c>
      <c r="K260" s="37" t="str">
        <f>IF(Agent02_Withdrawals!A65="","",Agent02_Withdrawals!K65)</f>
        <v/>
      </c>
      <c r="L260" s="37" t="str">
        <f>IF(G260="","",IF(D260-G260&gt;=System_Config!$B$9,"✅ OK","⚠️ BREACH"))</f>
        <v/>
      </c>
      <c r="M260" s="37" t="str">
        <f>IFERROR(IF(Agent02_Withdrawals!A65="","",YEAR(Agent02_Withdrawals!D65)),"")</f>
        <v/>
      </c>
    </row>
    <row r="261" spans="1:13" ht="18" customHeight="1" x14ac:dyDescent="0.25">
      <c r="A261" s="37" t="str">
        <f>IF(Agent02_Withdrawals!A66="","",Agent02_Withdrawals!A66)</f>
        <v/>
      </c>
      <c r="B261" s="37" t="str">
        <f ca="1">IF(Agent02_Withdrawals!A66="","","WD"&amp;TEXT(261-3,"0000")&amp;"-"&amp;TEXT(TODAY(),"YYYYMMDD"))</f>
        <v/>
      </c>
      <c r="C261" s="37" t="str">
        <f>IF(Agent02_Withdrawals!A66="","",Agent02_Withdrawals!B66)</f>
        <v/>
      </c>
      <c r="D261" s="40" t="str">
        <f>IF(Agent02_Withdrawals!A66="","",Agent02_Withdrawals!C66)</f>
        <v/>
      </c>
      <c r="E261" s="38" t="str">
        <f>IF(Agent02_Withdrawals!A66="","",Agent02_Withdrawals!D66)</f>
        <v/>
      </c>
      <c r="F261" s="37" t="str">
        <f>IF(Agent02_Withdrawals!A66="","",Agent02_Withdrawals!F66)</f>
        <v/>
      </c>
      <c r="G261" s="39" t="str">
        <f>IF(Agent02_Withdrawals!A66="","",Agent02_Withdrawals!E66)</f>
        <v/>
      </c>
      <c r="H261" s="39" t="str">
        <f>IF(Agent02_Withdrawals!A66="","",Agent02_Withdrawals!G66)</f>
        <v/>
      </c>
      <c r="I261" s="37" t="str">
        <f>IF(Agent02_Withdrawals!A66="","",Agent02_Withdrawals!H66)</f>
        <v/>
      </c>
      <c r="J261" s="37" t="str">
        <f>IF(Agent02_Withdrawals!A66="","",Agent02_Withdrawals!J66)</f>
        <v/>
      </c>
      <c r="K261" s="37" t="str">
        <f>IF(Agent02_Withdrawals!A66="","",Agent02_Withdrawals!K66)</f>
        <v/>
      </c>
      <c r="L261" s="37" t="str">
        <f>IF(G261="","",IF(D261-G261&gt;=System_Config!$B$9,"✅ OK","⚠️ BREACH"))</f>
        <v/>
      </c>
      <c r="M261" s="37" t="str">
        <f>IFERROR(IF(Agent02_Withdrawals!A66="","",YEAR(Agent02_Withdrawals!D66)),"")</f>
        <v/>
      </c>
    </row>
    <row r="262" spans="1:13" ht="18" customHeight="1" x14ac:dyDescent="0.25">
      <c r="A262" s="37" t="str">
        <f>IF(Agent02_Withdrawals!A67="","",Agent02_Withdrawals!A67)</f>
        <v/>
      </c>
      <c r="B262" s="37" t="str">
        <f ca="1">IF(Agent02_Withdrawals!A67="","","WD"&amp;TEXT(262-3,"0000")&amp;"-"&amp;TEXT(TODAY(),"YYYYMMDD"))</f>
        <v/>
      </c>
      <c r="C262" s="37" t="str">
        <f>IF(Agent02_Withdrawals!A67="","",Agent02_Withdrawals!B67)</f>
        <v/>
      </c>
      <c r="D262" s="40" t="str">
        <f>IF(Agent02_Withdrawals!A67="","",Agent02_Withdrawals!C67)</f>
        <v/>
      </c>
      <c r="E262" s="38" t="str">
        <f>IF(Agent02_Withdrawals!A67="","",Agent02_Withdrawals!D67)</f>
        <v/>
      </c>
      <c r="F262" s="37" t="str">
        <f>IF(Agent02_Withdrawals!A67="","",Agent02_Withdrawals!F67)</f>
        <v/>
      </c>
      <c r="G262" s="39" t="str">
        <f>IF(Agent02_Withdrawals!A67="","",Agent02_Withdrawals!E67)</f>
        <v/>
      </c>
      <c r="H262" s="39" t="str">
        <f>IF(Agent02_Withdrawals!A67="","",Agent02_Withdrawals!G67)</f>
        <v/>
      </c>
      <c r="I262" s="37" t="str">
        <f>IF(Agent02_Withdrawals!A67="","",Agent02_Withdrawals!H67)</f>
        <v/>
      </c>
      <c r="J262" s="37" t="str">
        <f>IF(Agent02_Withdrawals!A67="","",Agent02_Withdrawals!J67)</f>
        <v/>
      </c>
      <c r="K262" s="37" t="str">
        <f>IF(Agent02_Withdrawals!A67="","",Agent02_Withdrawals!K67)</f>
        <v/>
      </c>
      <c r="L262" s="37" t="str">
        <f>IF(G262="","",IF(D262-G262&gt;=System_Config!$B$9,"✅ OK","⚠️ BREACH"))</f>
        <v/>
      </c>
      <c r="M262" s="37" t="str">
        <f>IFERROR(IF(Agent02_Withdrawals!A67="","",YEAR(Agent02_Withdrawals!D67)),"")</f>
        <v/>
      </c>
    </row>
    <row r="263" spans="1:13" ht="18" customHeight="1" x14ac:dyDescent="0.25">
      <c r="A263" s="37" t="str">
        <f>IF(Agent02_Withdrawals!A68="","",Agent02_Withdrawals!A68)</f>
        <v/>
      </c>
      <c r="B263" s="37" t="str">
        <f ca="1">IF(Agent02_Withdrawals!A68="","","WD"&amp;TEXT(263-3,"0000")&amp;"-"&amp;TEXT(TODAY(),"YYYYMMDD"))</f>
        <v/>
      </c>
      <c r="C263" s="37" t="str">
        <f>IF(Agent02_Withdrawals!A68="","",Agent02_Withdrawals!B68)</f>
        <v/>
      </c>
      <c r="D263" s="40" t="str">
        <f>IF(Agent02_Withdrawals!A68="","",Agent02_Withdrawals!C68)</f>
        <v/>
      </c>
      <c r="E263" s="38" t="str">
        <f>IF(Agent02_Withdrawals!A68="","",Agent02_Withdrawals!D68)</f>
        <v/>
      </c>
      <c r="F263" s="37" t="str">
        <f>IF(Agent02_Withdrawals!A68="","",Agent02_Withdrawals!F68)</f>
        <v/>
      </c>
      <c r="G263" s="39" t="str">
        <f>IF(Agent02_Withdrawals!A68="","",Agent02_Withdrawals!E68)</f>
        <v/>
      </c>
      <c r="H263" s="39" t="str">
        <f>IF(Agent02_Withdrawals!A68="","",Agent02_Withdrawals!G68)</f>
        <v/>
      </c>
      <c r="I263" s="37" t="str">
        <f>IF(Agent02_Withdrawals!A68="","",Agent02_Withdrawals!H68)</f>
        <v/>
      </c>
      <c r="J263" s="37" t="str">
        <f>IF(Agent02_Withdrawals!A68="","",Agent02_Withdrawals!J68)</f>
        <v/>
      </c>
      <c r="K263" s="37" t="str">
        <f>IF(Agent02_Withdrawals!A68="","",Agent02_Withdrawals!K68)</f>
        <v/>
      </c>
      <c r="L263" s="37" t="str">
        <f>IF(G263="","",IF(D263-G263&gt;=System_Config!$B$9,"✅ OK","⚠️ BREACH"))</f>
        <v/>
      </c>
      <c r="M263" s="37" t="str">
        <f>IFERROR(IF(Agent02_Withdrawals!A68="","",YEAR(Agent02_Withdrawals!D68)),"")</f>
        <v/>
      </c>
    </row>
    <row r="264" spans="1:13" ht="18" customHeight="1" x14ac:dyDescent="0.25">
      <c r="A264" s="37" t="str">
        <f>IF(Agent02_Withdrawals!A69="","",Agent02_Withdrawals!A69)</f>
        <v/>
      </c>
      <c r="B264" s="37" t="str">
        <f ca="1">IF(Agent02_Withdrawals!A69="","","WD"&amp;TEXT(264-3,"0000")&amp;"-"&amp;TEXT(TODAY(),"YYYYMMDD"))</f>
        <v/>
      </c>
      <c r="C264" s="37" t="str">
        <f>IF(Agent02_Withdrawals!A69="","",Agent02_Withdrawals!B69)</f>
        <v/>
      </c>
      <c r="D264" s="40" t="str">
        <f>IF(Agent02_Withdrawals!A69="","",Agent02_Withdrawals!C69)</f>
        <v/>
      </c>
      <c r="E264" s="38" t="str">
        <f>IF(Agent02_Withdrawals!A69="","",Agent02_Withdrawals!D69)</f>
        <v/>
      </c>
      <c r="F264" s="37" t="str">
        <f>IF(Agent02_Withdrawals!A69="","",Agent02_Withdrawals!F69)</f>
        <v/>
      </c>
      <c r="G264" s="39" t="str">
        <f>IF(Agent02_Withdrawals!A69="","",Agent02_Withdrawals!E69)</f>
        <v/>
      </c>
      <c r="H264" s="39" t="str">
        <f>IF(Agent02_Withdrawals!A69="","",Agent02_Withdrawals!G69)</f>
        <v/>
      </c>
      <c r="I264" s="37" t="str">
        <f>IF(Agent02_Withdrawals!A69="","",Agent02_Withdrawals!H69)</f>
        <v/>
      </c>
      <c r="J264" s="37" t="str">
        <f>IF(Agent02_Withdrawals!A69="","",Agent02_Withdrawals!J69)</f>
        <v/>
      </c>
      <c r="K264" s="37" t="str">
        <f>IF(Agent02_Withdrawals!A69="","",Agent02_Withdrawals!K69)</f>
        <v/>
      </c>
      <c r="L264" s="37" t="str">
        <f>IF(G264="","",IF(D264-G264&gt;=System_Config!$B$9,"✅ OK","⚠️ BREACH"))</f>
        <v/>
      </c>
      <c r="M264" s="37" t="str">
        <f>IFERROR(IF(Agent02_Withdrawals!A69="","",YEAR(Agent02_Withdrawals!D69)),"")</f>
        <v/>
      </c>
    </row>
    <row r="265" spans="1:13" ht="18" customHeight="1" x14ac:dyDescent="0.25">
      <c r="A265" s="37" t="str">
        <f>IF(Agent02_Withdrawals!A70="","",Agent02_Withdrawals!A70)</f>
        <v/>
      </c>
      <c r="B265" s="37" t="str">
        <f ca="1">IF(Agent02_Withdrawals!A70="","","WD"&amp;TEXT(265-3,"0000")&amp;"-"&amp;TEXT(TODAY(),"YYYYMMDD"))</f>
        <v/>
      </c>
      <c r="C265" s="37" t="str">
        <f>IF(Agent02_Withdrawals!A70="","",Agent02_Withdrawals!B70)</f>
        <v/>
      </c>
      <c r="D265" s="40" t="str">
        <f>IF(Agent02_Withdrawals!A70="","",Agent02_Withdrawals!C70)</f>
        <v/>
      </c>
      <c r="E265" s="38" t="str">
        <f>IF(Agent02_Withdrawals!A70="","",Agent02_Withdrawals!D70)</f>
        <v/>
      </c>
      <c r="F265" s="37" t="str">
        <f>IF(Agent02_Withdrawals!A70="","",Agent02_Withdrawals!F70)</f>
        <v/>
      </c>
      <c r="G265" s="39" t="str">
        <f>IF(Agent02_Withdrawals!A70="","",Agent02_Withdrawals!E70)</f>
        <v/>
      </c>
      <c r="H265" s="39" t="str">
        <f>IF(Agent02_Withdrawals!A70="","",Agent02_Withdrawals!G70)</f>
        <v/>
      </c>
      <c r="I265" s="37" t="str">
        <f>IF(Agent02_Withdrawals!A70="","",Agent02_Withdrawals!H70)</f>
        <v/>
      </c>
      <c r="J265" s="37" t="str">
        <f>IF(Agent02_Withdrawals!A70="","",Agent02_Withdrawals!J70)</f>
        <v/>
      </c>
      <c r="K265" s="37" t="str">
        <f>IF(Agent02_Withdrawals!A70="","",Agent02_Withdrawals!K70)</f>
        <v/>
      </c>
      <c r="L265" s="37" t="str">
        <f>IF(G265="","",IF(D265-G265&gt;=System_Config!$B$9,"✅ OK","⚠️ BREACH"))</f>
        <v/>
      </c>
      <c r="M265" s="37" t="str">
        <f>IFERROR(IF(Agent02_Withdrawals!A70="","",YEAR(Agent02_Withdrawals!D70)),"")</f>
        <v/>
      </c>
    </row>
    <row r="266" spans="1:13" ht="18" customHeight="1" x14ac:dyDescent="0.25">
      <c r="A266" s="37" t="str">
        <f>IF(Agent02_Withdrawals!A71="","",Agent02_Withdrawals!A71)</f>
        <v/>
      </c>
      <c r="B266" s="37" t="str">
        <f ca="1">IF(Agent02_Withdrawals!A71="","","WD"&amp;TEXT(266-3,"0000")&amp;"-"&amp;TEXT(TODAY(),"YYYYMMDD"))</f>
        <v/>
      </c>
      <c r="C266" s="37" t="str">
        <f>IF(Agent02_Withdrawals!A71="","",Agent02_Withdrawals!B71)</f>
        <v/>
      </c>
      <c r="D266" s="40" t="str">
        <f>IF(Agent02_Withdrawals!A71="","",Agent02_Withdrawals!C71)</f>
        <v/>
      </c>
      <c r="E266" s="38" t="str">
        <f>IF(Agent02_Withdrawals!A71="","",Agent02_Withdrawals!D71)</f>
        <v/>
      </c>
      <c r="F266" s="37" t="str">
        <f>IF(Agent02_Withdrawals!A71="","",Agent02_Withdrawals!F71)</f>
        <v/>
      </c>
      <c r="G266" s="39" t="str">
        <f>IF(Agent02_Withdrawals!A71="","",Agent02_Withdrawals!E71)</f>
        <v/>
      </c>
      <c r="H266" s="39" t="str">
        <f>IF(Agent02_Withdrawals!A71="","",Agent02_Withdrawals!G71)</f>
        <v/>
      </c>
      <c r="I266" s="37" t="str">
        <f>IF(Agent02_Withdrawals!A71="","",Agent02_Withdrawals!H71)</f>
        <v/>
      </c>
      <c r="J266" s="37" t="str">
        <f>IF(Agent02_Withdrawals!A71="","",Agent02_Withdrawals!J71)</f>
        <v/>
      </c>
      <c r="K266" s="37" t="str">
        <f>IF(Agent02_Withdrawals!A71="","",Agent02_Withdrawals!K71)</f>
        <v/>
      </c>
      <c r="L266" s="37" t="str">
        <f>IF(G266="","",IF(D266-G266&gt;=System_Config!$B$9,"✅ OK","⚠️ BREACH"))</f>
        <v/>
      </c>
      <c r="M266" s="37" t="str">
        <f>IFERROR(IF(Agent02_Withdrawals!A71="","",YEAR(Agent02_Withdrawals!D71)),"")</f>
        <v/>
      </c>
    </row>
    <row r="267" spans="1:13" ht="18" customHeight="1" x14ac:dyDescent="0.25">
      <c r="A267" s="37" t="str">
        <f>IF(Agent02_Withdrawals!A72="","",Agent02_Withdrawals!A72)</f>
        <v/>
      </c>
      <c r="B267" s="37" t="str">
        <f ca="1">IF(Agent02_Withdrawals!A72="","","WD"&amp;TEXT(267-3,"0000")&amp;"-"&amp;TEXT(TODAY(),"YYYYMMDD"))</f>
        <v/>
      </c>
      <c r="C267" s="37" t="str">
        <f>IF(Agent02_Withdrawals!A72="","",Agent02_Withdrawals!B72)</f>
        <v/>
      </c>
      <c r="D267" s="40" t="str">
        <f>IF(Agent02_Withdrawals!A72="","",Agent02_Withdrawals!C72)</f>
        <v/>
      </c>
      <c r="E267" s="38" t="str">
        <f>IF(Agent02_Withdrawals!A72="","",Agent02_Withdrawals!D72)</f>
        <v/>
      </c>
      <c r="F267" s="37" t="str">
        <f>IF(Agent02_Withdrawals!A72="","",Agent02_Withdrawals!F72)</f>
        <v/>
      </c>
      <c r="G267" s="39" t="str">
        <f>IF(Agent02_Withdrawals!A72="","",Agent02_Withdrawals!E72)</f>
        <v/>
      </c>
      <c r="H267" s="39" t="str">
        <f>IF(Agent02_Withdrawals!A72="","",Agent02_Withdrawals!G72)</f>
        <v/>
      </c>
      <c r="I267" s="37" t="str">
        <f>IF(Agent02_Withdrawals!A72="","",Agent02_Withdrawals!H72)</f>
        <v/>
      </c>
      <c r="J267" s="37" t="str">
        <f>IF(Agent02_Withdrawals!A72="","",Agent02_Withdrawals!J72)</f>
        <v/>
      </c>
      <c r="K267" s="37" t="str">
        <f>IF(Agent02_Withdrawals!A72="","",Agent02_Withdrawals!K72)</f>
        <v/>
      </c>
      <c r="L267" s="37" t="str">
        <f>IF(G267="","",IF(D267-G267&gt;=System_Config!$B$9,"✅ OK","⚠️ BREACH"))</f>
        <v/>
      </c>
      <c r="M267" s="37" t="str">
        <f>IFERROR(IF(Agent02_Withdrawals!A72="","",YEAR(Agent02_Withdrawals!D72)),"")</f>
        <v/>
      </c>
    </row>
    <row r="268" spans="1:13" ht="18" customHeight="1" x14ac:dyDescent="0.25">
      <c r="A268" s="37" t="str">
        <f>IF(Agent02_Withdrawals!A73="","",Agent02_Withdrawals!A73)</f>
        <v/>
      </c>
      <c r="B268" s="37" t="str">
        <f ca="1">IF(Agent02_Withdrawals!A73="","","WD"&amp;TEXT(268-3,"0000")&amp;"-"&amp;TEXT(TODAY(),"YYYYMMDD"))</f>
        <v/>
      </c>
      <c r="C268" s="37" t="str">
        <f>IF(Agent02_Withdrawals!A73="","",Agent02_Withdrawals!B73)</f>
        <v/>
      </c>
      <c r="D268" s="40" t="str">
        <f>IF(Agent02_Withdrawals!A73="","",Agent02_Withdrawals!C73)</f>
        <v/>
      </c>
      <c r="E268" s="38" t="str">
        <f>IF(Agent02_Withdrawals!A73="","",Agent02_Withdrawals!D73)</f>
        <v/>
      </c>
      <c r="F268" s="37" t="str">
        <f>IF(Agent02_Withdrawals!A73="","",Agent02_Withdrawals!F73)</f>
        <v/>
      </c>
      <c r="G268" s="39" t="str">
        <f>IF(Agent02_Withdrawals!A73="","",Agent02_Withdrawals!E73)</f>
        <v/>
      </c>
      <c r="H268" s="39" t="str">
        <f>IF(Agent02_Withdrawals!A73="","",Agent02_Withdrawals!G73)</f>
        <v/>
      </c>
      <c r="I268" s="37" t="str">
        <f>IF(Agent02_Withdrawals!A73="","",Agent02_Withdrawals!H73)</f>
        <v/>
      </c>
      <c r="J268" s="37" t="str">
        <f>IF(Agent02_Withdrawals!A73="","",Agent02_Withdrawals!J73)</f>
        <v/>
      </c>
      <c r="K268" s="37" t="str">
        <f>IF(Agent02_Withdrawals!A73="","",Agent02_Withdrawals!K73)</f>
        <v/>
      </c>
      <c r="L268" s="37" t="str">
        <f>IF(G268="","",IF(D268-G268&gt;=System_Config!$B$9,"✅ OK","⚠️ BREACH"))</f>
        <v/>
      </c>
      <c r="M268" s="37" t="str">
        <f>IFERROR(IF(Agent02_Withdrawals!A73="","",YEAR(Agent02_Withdrawals!D73)),"")</f>
        <v/>
      </c>
    </row>
    <row r="269" spans="1:13" ht="18" customHeight="1" x14ac:dyDescent="0.25">
      <c r="A269" s="37" t="str">
        <f>IF(Agent02_Withdrawals!A74="","",Agent02_Withdrawals!A74)</f>
        <v/>
      </c>
      <c r="B269" s="37" t="str">
        <f ca="1">IF(Agent02_Withdrawals!A74="","","WD"&amp;TEXT(269-3,"0000")&amp;"-"&amp;TEXT(TODAY(),"YYYYMMDD"))</f>
        <v/>
      </c>
      <c r="C269" s="37" t="str">
        <f>IF(Agent02_Withdrawals!A74="","",Agent02_Withdrawals!B74)</f>
        <v/>
      </c>
      <c r="D269" s="40" t="str">
        <f>IF(Agent02_Withdrawals!A74="","",Agent02_Withdrawals!C74)</f>
        <v/>
      </c>
      <c r="E269" s="38" t="str">
        <f>IF(Agent02_Withdrawals!A74="","",Agent02_Withdrawals!D74)</f>
        <v/>
      </c>
      <c r="F269" s="37" t="str">
        <f>IF(Agent02_Withdrawals!A74="","",Agent02_Withdrawals!F74)</f>
        <v/>
      </c>
      <c r="G269" s="39" t="str">
        <f>IF(Agent02_Withdrawals!A74="","",Agent02_Withdrawals!E74)</f>
        <v/>
      </c>
      <c r="H269" s="39" t="str">
        <f>IF(Agent02_Withdrawals!A74="","",Agent02_Withdrawals!G74)</f>
        <v/>
      </c>
      <c r="I269" s="37" t="str">
        <f>IF(Agent02_Withdrawals!A74="","",Agent02_Withdrawals!H74)</f>
        <v/>
      </c>
      <c r="J269" s="37" t="str">
        <f>IF(Agent02_Withdrawals!A74="","",Agent02_Withdrawals!J74)</f>
        <v/>
      </c>
      <c r="K269" s="37" t="str">
        <f>IF(Agent02_Withdrawals!A74="","",Agent02_Withdrawals!K74)</f>
        <v/>
      </c>
      <c r="L269" s="37" t="str">
        <f>IF(G269="","",IF(D269-G269&gt;=System_Config!$B$9,"✅ OK","⚠️ BREACH"))</f>
        <v/>
      </c>
      <c r="M269" s="37" t="str">
        <f>IFERROR(IF(Agent02_Withdrawals!A74="","",YEAR(Agent02_Withdrawals!D74)),"")</f>
        <v/>
      </c>
    </row>
    <row r="270" spans="1:13" ht="18" customHeight="1" x14ac:dyDescent="0.25">
      <c r="A270" s="37" t="str">
        <f>IF(Agent02_Withdrawals!A75="","",Agent02_Withdrawals!A75)</f>
        <v/>
      </c>
      <c r="B270" s="37" t="str">
        <f ca="1">IF(Agent02_Withdrawals!A75="","","WD"&amp;TEXT(270-3,"0000")&amp;"-"&amp;TEXT(TODAY(),"YYYYMMDD"))</f>
        <v/>
      </c>
      <c r="C270" s="37" t="str">
        <f>IF(Agent02_Withdrawals!A75="","",Agent02_Withdrawals!B75)</f>
        <v/>
      </c>
      <c r="D270" s="40" t="str">
        <f>IF(Agent02_Withdrawals!A75="","",Agent02_Withdrawals!C75)</f>
        <v/>
      </c>
      <c r="E270" s="38" t="str">
        <f>IF(Agent02_Withdrawals!A75="","",Agent02_Withdrawals!D75)</f>
        <v/>
      </c>
      <c r="F270" s="37" t="str">
        <f>IF(Agent02_Withdrawals!A75="","",Agent02_Withdrawals!F75)</f>
        <v/>
      </c>
      <c r="G270" s="39" t="str">
        <f>IF(Agent02_Withdrawals!A75="","",Agent02_Withdrawals!E75)</f>
        <v/>
      </c>
      <c r="H270" s="39" t="str">
        <f>IF(Agent02_Withdrawals!A75="","",Agent02_Withdrawals!G75)</f>
        <v/>
      </c>
      <c r="I270" s="37" t="str">
        <f>IF(Agent02_Withdrawals!A75="","",Agent02_Withdrawals!H75)</f>
        <v/>
      </c>
      <c r="J270" s="37" t="str">
        <f>IF(Agent02_Withdrawals!A75="","",Agent02_Withdrawals!J75)</f>
        <v/>
      </c>
      <c r="K270" s="37" t="str">
        <f>IF(Agent02_Withdrawals!A75="","",Agent02_Withdrawals!K75)</f>
        <v/>
      </c>
      <c r="L270" s="37" t="str">
        <f>IF(G270="","",IF(D270-G270&gt;=System_Config!$B$9,"✅ OK","⚠️ BREACH"))</f>
        <v/>
      </c>
      <c r="M270" s="37" t="str">
        <f>IFERROR(IF(Agent02_Withdrawals!A75="","",YEAR(Agent02_Withdrawals!D75)),"")</f>
        <v/>
      </c>
    </row>
    <row r="271" spans="1:13" ht="18" customHeight="1" x14ac:dyDescent="0.25">
      <c r="A271" s="37" t="str">
        <f>IF(Agent02_Withdrawals!A76="","",Agent02_Withdrawals!A76)</f>
        <v/>
      </c>
      <c r="B271" s="37" t="str">
        <f ca="1">IF(Agent02_Withdrawals!A76="","","WD"&amp;TEXT(271-3,"0000")&amp;"-"&amp;TEXT(TODAY(),"YYYYMMDD"))</f>
        <v/>
      </c>
      <c r="C271" s="37" t="str">
        <f>IF(Agent02_Withdrawals!A76="","",Agent02_Withdrawals!B76)</f>
        <v/>
      </c>
      <c r="D271" s="40" t="str">
        <f>IF(Agent02_Withdrawals!A76="","",Agent02_Withdrawals!C76)</f>
        <v/>
      </c>
      <c r="E271" s="38" t="str">
        <f>IF(Agent02_Withdrawals!A76="","",Agent02_Withdrawals!D76)</f>
        <v/>
      </c>
      <c r="F271" s="37" t="str">
        <f>IF(Agent02_Withdrawals!A76="","",Agent02_Withdrawals!F76)</f>
        <v/>
      </c>
      <c r="G271" s="39" t="str">
        <f>IF(Agent02_Withdrawals!A76="","",Agent02_Withdrawals!E76)</f>
        <v/>
      </c>
      <c r="H271" s="39" t="str">
        <f>IF(Agent02_Withdrawals!A76="","",Agent02_Withdrawals!G76)</f>
        <v/>
      </c>
      <c r="I271" s="37" t="str">
        <f>IF(Agent02_Withdrawals!A76="","",Agent02_Withdrawals!H76)</f>
        <v/>
      </c>
      <c r="J271" s="37" t="str">
        <f>IF(Agent02_Withdrawals!A76="","",Agent02_Withdrawals!J76)</f>
        <v/>
      </c>
      <c r="K271" s="37" t="str">
        <f>IF(Agent02_Withdrawals!A76="","",Agent02_Withdrawals!K76)</f>
        <v/>
      </c>
      <c r="L271" s="37" t="str">
        <f>IF(G271="","",IF(D271-G271&gt;=System_Config!$B$9,"✅ OK","⚠️ BREACH"))</f>
        <v/>
      </c>
      <c r="M271" s="37" t="str">
        <f>IFERROR(IF(Agent02_Withdrawals!A76="","",YEAR(Agent02_Withdrawals!D76)),"")</f>
        <v/>
      </c>
    </row>
    <row r="272" spans="1:13" ht="18" customHeight="1" x14ac:dyDescent="0.25">
      <c r="A272" s="37" t="str">
        <f>IF(Agent02_Withdrawals!A77="","",Agent02_Withdrawals!A77)</f>
        <v/>
      </c>
      <c r="B272" s="37" t="str">
        <f ca="1">IF(Agent02_Withdrawals!A77="","","WD"&amp;TEXT(272-3,"0000")&amp;"-"&amp;TEXT(TODAY(),"YYYYMMDD"))</f>
        <v/>
      </c>
      <c r="C272" s="37" t="str">
        <f>IF(Agent02_Withdrawals!A77="","",Agent02_Withdrawals!B77)</f>
        <v/>
      </c>
      <c r="D272" s="40" t="str">
        <f>IF(Agent02_Withdrawals!A77="","",Agent02_Withdrawals!C77)</f>
        <v/>
      </c>
      <c r="E272" s="38" t="str">
        <f>IF(Agent02_Withdrawals!A77="","",Agent02_Withdrawals!D77)</f>
        <v/>
      </c>
      <c r="F272" s="37" t="str">
        <f>IF(Agent02_Withdrawals!A77="","",Agent02_Withdrawals!F77)</f>
        <v/>
      </c>
      <c r="G272" s="39" t="str">
        <f>IF(Agent02_Withdrawals!A77="","",Agent02_Withdrawals!E77)</f>
        <v/>
      </c>
      <c r="H272" s="39" t="str">
        <f>IF(Agent02_Withdrawals!A77="","",Agent02_Withdrawals!G77)</f>
        <v/>
      </c>
      <c r="I272" s="37" t="str">
        <f>IF(Agent02_Withdrawals!A77="","",Agent02_Withdrawals!H77)</f>
        <v/>
      </c>
      <c r="J272" s="37" t="str">
        <f>IF(Agent02_Withdrawals!A77="","",Agent02_Withdrawals!J77)</f>
        <v/>
      </c>
      <c r="K272" s="37" t="str">
        <f>IF(Agent02_Withdrawals!A77="","",Agent02_Withdrawals!K77)</f>
        <v/>
      </c>
      <c r="L272" s="37" t="str">
        <f>IF(G272="","",IF(D272-G272&gt;=System_Config!$B$9,"✅ OK","⚠️ BREACH"))</f>
        <v/>
      </c>
      <c r="M272" s="37" t="str">
        <f>IFERROR(IF(Agent02_Withdrawals!A77="","",YEAR(Agent02_Withdrawals!D77)),"")</f>
        <v/>
      </c>
    </row>
    <row r="273" spans="1:13" ht="18" customHeight="1" x14ac:dyDescent="0.25">
      <c r="A273" s="37" t="str">
        <f>IF(Agent02_Withdrawals!A78="","",Agent02_Withdrawals!A78)</f>
        <v/>
      </c>
      <c r="B273" s="37" t="str">
        <f ca="1">IF(Agent02_Withdrawals!A78="","","WD"&amp;TEXT(273-3,"0000")&amp;"-"&amp;TEXT(TODAY(),"YYYYMMDD"))</f>
        <v/>
      </c>
      <c r="C273" s="37" t="str">
        <f>IF(Agent02_Withdrawals!A78="","",Agent02_Withdrawals!B78)</f>
        <v/>
      </c>
      <c r="D273" s="40" t="str">
        <f>IF(Agent02_Withdrawals!A78="","",Agent02_Withdrawals!C78)</f>
        <v/>
      </c>
      <c r="E273" s="38" t="str">
        <f>IF(Agent02_Withdrawals!A78="","",Agent02_Withdrawals!D78)</f>
        <v/>
      </c>
      <c r="F273" s="37" t="str">
        <f>IF(Agent02_Withdrawals!A78="","",Agent02_Withdrawals!F78)</f>
        <v/>
      </c>
      <c r="G273" s="39" t="str">
        <f>IF(Agent02_Withdrawals!A78="","",Agent02_Withdrawals!E78)</f>
        <v/>
      </c>
      <c r="H273" s="39" t="str">
        <f>IF(Agent02_Withdrawals!A78="","",Agent02_Withdrawals!G78)</f>
        <v/>
      </c>
      <c r="I273" s="37" t="str">
        <f>IF(Agent02_Withdrawals!A78="","",Agent02_Withdrawals!H78)</f>
        <v/>
      </c>
      <c r="J273" s="37" t="str">
        <f>IF(Agent02_Withdrawals!A78="","",Agent02_Withdrawals!J78)</f>
        <v/>
      </c>
      <c r="K273" s="37" t="str">
        <f>IF(Agent02_Withdrawals!A78="","",Agent02_Withdrawals!K78)</f>
        <v/>
      </c>
      <c r="L273" s="37" t="str">
        <f>IF(G273="","",IF(D273-G273&gt;=System_Config!$B$9,"✅ OK","⚠️ BREACH"))</f>
        <v/>
      </c>
      <c r="M273" s="37" t="str">
        <f>IFERROR(IF(Agent02_Withdrawals!A78="","",YEAR(Agent02_Withdrawals!D78)),"")</f>
        <v/>
      </c>
    </row>
    <row r="274" spans="1:13" ht="18" customHeight="1" x14ac:dyDescent="0.25">
      <c r="A274" s="37" t="str">
        <f>IF(Agent02_Withdrawals!A79="","",Agent02_Withdrawals!A79)</f>
        <v/>
      </c>
      <c r="B274" s="37" t="str">
        <f ca="1">IF(Agent02_Withdrawals!A79="","","WD"&amp;TEXT(274-3,"0000")&amp;"-"&amp;TEXT(TODAY(),"YYYYMMDD"))</f>
        <v/>
      </c>
      <c r="C274" s="37" t="str">
        <f>IF(Agent02_Withdrawals!A79="","",Agent02_Withdrawals!B79)</f>
        <v/>
      </c>
      <c r="D274" s="40" t="str">
        <f>IF(Agent02_Withdrawals!A79="","",Agent02_Withdrawals!C79)</f>
        <v/>
      </c>
      <c r="E274" s="38" t="str">
        <f>IF(Agent02_Withdrawals!A79="","",Agent02_Withdrawals!D79)</f>
        <v/>
      </c>
      <c r="F274" s="37" t="str">
        <f>IF(Agent02_Withdrawals!A79="","",Agent02_Withdrawals!F79)</f>
        <v/>
      </c>
      <c r="G274" s="39" t="str">
        <f>IF(Agent02_Withdrawals!A79="","",Agent02_Withdrawals!E79)</f>
        <v/>
      </c>
      <c r="H274" s="39" t="str">
        <f>IF(Agent02_Withdrawals!A79="","",Agent02_Withdrawals!G79)</f>
        <v/>
      </c>
      <c r="I274" s="37" t="str">
        <f>IF(Agent02_Withdrawals!A79="","",Agent02_Withdrawals!H79)</f>
        <v/>
      </c>
      <c r="J274" s="37" t="str">
        <f>IF(Agent02_Withdrawals!A79="","",Agent02_Withdrawals!J79)</f>
        <v/>
      </c>
      <c r="K274" s="37" t="str">
        <f>IF(Agent02_Withdrawals!A79="","",Agent02_Withdrawals!K79)</f>
        <v/>
      </c>
      <c r="L274" s="37" t="str">
        <f>IF(G274="","",IF(D274-G274&gt;=System_Config!$B$9,"✅ OK","⚠️ BREACH"))</f>
        <v/>
      </c>
      <c r="M274" s="37" t="str">
        <f>IFERROR(IF(Agent02_Withdrawals!A79="","",YEAR(Agent02_Withdrawals!D79)),"")</f>
        <v/>
      </c>
    </row>
    <row r="275" spans="1:13" ht="18" customHeight="1" x14ac:dyDescent="0.25">
      <c r="A275" s="37" t="str">
        <f>IF(Agent02_Withdrawals!A80="","",Agent02_Withdrawals!A80)</f>
        <v/>
      </c>
      <c r="B275" s="37" t="str">
        <f ca="1">IF(Agent02_Withdrawals!A80="","","WD"&amp;TEXT(275-3,"0000")&amp;"-"&amp;TEXT(TODAY(),"YYYYMMDD"))</f>
        <v/>
      </c>
      <c r="C275" s="37" t="str">
        <f>IF(Agent02_Withdrawals!A80="","",Agent02_Withdrawals!B80)</f>
        <v/>
      </c>
      <c r="D275" s="40" t="str">
        <f>IF(Agent02_Withdrawals!A80="","",Agent02_Withdrawals!C80)</f>
        <v/>
      </c>
      <c r="E275" s="38" t="str">
        <f>IF(Agent02_Withdrawals!A80="","",Agent02_Withdrawals!D80)</f>
        <v/>
      </c>
      <c r="F275" s="37" t="str">
        <f>IF(Agent02_Withdrawals!A80="","",Agent02_Withdrawals!F80)</f>
        <v/>
      </c>
      <c r="G275" s="39" t="str">
        <f>IF(Agent02_Withdrawals!A80="","",Agent02_Withdrawals!E80)</f>
        <v/>
      </c>
      <c r="H275" s="39" t="str">
        <f>IF(Agent02_Withdrawals!A80="","",Agent02_Withdrawals!G80)</f>
        <v/>
      </c>
      <c r="I275" s="37" t="str">
        <f>IF(Agent02_Withdrawals!A80="","",Agent02_Withdrawals!H80)</f>
        <v/>
      </c>
      <c r="J275" s="37" t="str">
        <f>IF(Agent02_Withdrawals!A80="","",Agent02_Withdrawals!J80)</f>
        <v/>
      </c>
      <c r="K275" s="37" t="str">
        <f>IF(Agent02_Withdrawals!A80="","",Agent02_Withdrawals!K80)</f>
        <v/>
      </c>
      <c r="L275" s="37" t="str">
        <f>IF(G275="","",IF(D275-G275&gt;=System_Config!$B$9,"✅ OK","⚠️ BREACH"))</f>
        <v/>
      </c>
      <c r="M275" s="37" t="str">
        <f>IFERROR(IF(Agent02_Withdrawals!A80="","",YEAR(Agent02_Withdrawals!D80)),"")</f>
        <v/>
      </c>
    </row>
    <row r="276" spans="1:13" ht="18" customHeight="1" x14ac:dyDescent="0.25">
      <c r="A276" s="37" t="str">
        <f>IF(Agent02_Withdrawals!A81="","",Agent02_Withdrawals!A81)</f>
        <v/>
      </c>
      <c r="B276" s="37" t="str">
        <f ca="1">IF(Agent02_Withdrawals!A81="","","WD"&amp;TEXT(276-3,"0000")&amp;"-"&amp;TEXT(TODAY(),"YYYYMMDD"))</f>
        <v/>
      </c>
      <c r="C276" s="37" t="str">
        <f>IF(Agent02_Withdrawals!A81="","",Agent02_Withdrawals!B81)</f>
        <v/>
      </c>
      <c r="D276" s="40" t="str">
        <f>IF(Agent02_Withdrawals!A81="","",Agent02_Withdrawals!C81)</f>
        <v/>
      </c>
      <c r="E276" s="38" t="str">
        <f>IF(Agent02_Withdrawals!A81="","",Agent02_Withdrawals!D81)</f>
        <v/>
      </c>
      <c r="F276" s="37" t="str">
        <f>IF(Agent02_Withdrawals!A81="","",Agent02_Withdrawals!F81)</f>
        <v/>
      </c>
      <c r="G276" s="39" t="str">
        <f>IF(Agent02_Withdrawals!A81="","",Agent02_Withdrawals!E81)</f>
        <v/>
      </c>
      <c r="H276" s="39" t="str">
        <f>IF(Agent02_Withdrawals!A81="","",Agent02_Withdrawals!G81)</f>
        <v/>
      </c>
      <c r="I276" s="37" t="str">
        <f>IF(Agent02_Withdrawals!A81="","",Agent02_Withdrawals!H81)</f>
        <v/>
      </c>
      <c r="J276" s="37" t="str">
        <f>IF(Agent02_Withdrawals!A81="","",Agent02_Withdrawals!J81)</f>
        <v/>
      </c>
      <c r="K276" s="37" t="str">
        <f>IF(Agent02_Withdrawals!A81="","",Agent02_Withdrawals!K81)</f>
        <v/>
      </c>
      <c r="L276" s="37" t="str">
        <f>IF(G276="","",IF(D276-G276&gt;=System_Config!$B$9,"✅ OK","⚠️ BREACH"))</f>
        <v/>
      </c>
      <c r="M276" s="37" t="str">
        <f>IFERROR(IF(Agent02_Withdrawals!A81="","",YEAR(Agent02_Withdrawals!D81)),"")</f>
        <v/>
      </c>
    </row>
    <row r="277" spans="1:13" ht="18" customHeight="1" x14ac:dyDescent="0.25">
      <c r="A277" s="37" t="str">
        <f>IF(Agent02_Withdrawals!A82="","",Agent02_Withdrawals!A82)</f>
        <v/>
      </c>
      <c r="B277" s="37" t="str">
        <f ca="1">IF(Agent02_Withdrawals!A82="","","WD"&amp;TEXT(277-3,"0000")&amp;"-"&amp;TEXT(TODAY(),"YYYYMMDD"))</f>
        <v/>
      </c>
      <c r="C277" s="37" t="str">
        <f>IF(Agent02_Withdrawals!A82="","",Agent02_Withdrawals!B82)</f>
        <v/>
      </c>
      <c r="D277" s="40" t="str">
        <f>IF(Agent02_Withdrawals!A82="","",Agent02_Withdrawals!C82)</f>
        <v/>
      </c>
      <c r="E277" s="38" t="str">
        <f>IF(Agent02_Withdrawals!A82="","",Agent02_Withdrawals!D82)</f>
        <v/>
      </c>
      <c r="F277" s="37" t="str">
        <f>IF(Agent02_Withdrawals!A82="","",Agent02_Withdrawals!F82)</f>
        <v/>
      </c>
      <c r="G277" s="39" t="str">
        <f>IF(Agent02_Withdrawals!A82="","",Agent02_Withdrawals!E82)</f>
        <v/>
      </c>
      <c r="H277" s="39" t="str">
        <f>IF(Agent02_Withdrawals!A82="","",Agent02_Withdrawals!G82)</f>
        <v/>
      </c>
      <c r="I277" s="37" t="str">
        <f>IF(Agent02_Withdrawals!A82="","",Agent02_Withdrawals!H82)</f>
        <v/>
      </c>
      <c r="J277" s="37" t="str">
        <f>IF(Agent02_Withdrawals!A82="","",Agent02_Withdrawals!J82)</f>
        <v/>
      </c>
      <c r="K277" s="37" t="str">
        <f>IF(Agent02_Withdrawals!A82="","",Agent02_Withdrawals!K82)</f>
        <v/>
      </c>
      <c r="L277" s="37" t="str">
        <f>IF(G277="","",IF(D277-G277&gt;=System_Config!$B$9,"✅ OK","⚠️ BREACH"))</f>
        <v/>
      </c>
      <c r="M277" s="37" t="str">
        <f>IFERROR(IF(Agent02_Withdrawals!A82="","",YEAR(Agent02_Withdrawals!D82)),"")</f>
        <v/>
      </c>
    </row>
    <row r="278" spans="1:13" ht="18" customHeight="1" x14ac:dyDescent="0.25">
      <c r="A278" s="37" t="str">
        <f>IF(Agent02_Withdrawals!A83="","",Agent02_Withdrawals!A83)</f>
        <v/>
      </c>
      <c r="B278" s="37" t="str">
        <f ca="1">IF(Agent02_Withdrawals!A83="","","WD"&amp;TEXT(278-3,"0000")&amp;"-"&amp;TEXT(TODAY(),"YYYYMMDD"))</f>
        <v/>
      </c>
      <c r="C278" s="37" t="str">
        <f>IF(Agent02_Withdrawals!A83="","",Agent02_Withdrawals!B83)</f>
        <v/>
      </c>
      <c r="D278" s="40" t="str">
        <f>IF(Agent02_Withdrawals!A83="","",Agent02_Withdrawals!C83)</f>
        <v/>
      </c>
      <c r="E278" s="38" t="str">
        <f>IF(Agent02_Withdrawals!A83="","",Agent02_Withdrawals!D83)</f>
        <v/>
      </c>
      <c r="F278" s="37" t="str">
        <f>IF(Agent02_Withdrawals!A83="","",Agent02_Withdrawals!F83)</f>
        <v/>
      </c>
      <c r="G278" s="39" t="str">
        <f>IF(Agent02_Withdrawals!A83="","",Agent02_Withdrawals!E83)</f>
        <v/>
      </c>
      <c r="H278" s="39" t="str">
        <f>IF(Agent02_Withdrawals!A83="","",Agent02_Withdrawals!G83)</f>
        <v/>
      </c>
      <c r="I278" s="37" t="str">
        <f>IF(Agent02_Withdrawals!A83="","",Agent02_Withdrawals!H83)</f>
        <v/>
      </c>
      <c r="J278" s="37" t="str">
        <f>IF(Agent02_Withdrawals!A83="","",Agent02_Withdrawals!J83)</f>
        <v/>
      </c>
      <c r="K278" s="37" t="str">
        <f>IF(Agent02_Withdrawals!A83="","",Agent02_Withdrawals!K83)</f>
        <v/>
      </c>
      <c r="L278" s="37" t="str">
        <f>IF(G278="","",IF(D278-G278&gt;=System_Config!$B$9,"✅ OK","⚠️ BREACH"))</f>
        <v/>
      </c>
      <c r="M278" s="37" t="str">
        <f>IFERROR(IF(Agent02_Withdrawals!A83="","",YEAR(Agent02_Withdrawals!D83)),"")</f>
        <v/>
      </c>
    </row>
    <row r="279" spans="1:13" ht="18" customHeight="1" x14ac:dyDescent="0.25">
      <c r="A279" s="37" t="str">
        <f>IF(Agent02_Withdrawals!A84="","",Agent02_Withdrawals!A84)</f>
        <v/>
      </c>
      <c r="B279" s="37" t="str">
        <f ca="1">IF(Agent02_Withdrawals!A84="","","WD"&amp;TEXT(279-3,"0000")&amp;"-"&amp;TEXT(TODAY(),"YYYYMMDD"))</f>
        <v/>
      </c>
      <c r="C279" s="37" t="str">
        <f>IF(Agent02_Withdrawals!A84="","",Agent02_Withdrawals!B84)</f>
        <v/>
      </c>
      <c r="D279" s="40" t="str">
        <f>IF(Agent02_Withdrawals!A84="","",Agent02_Withdrawals!C84)</f>
        <v/>
      </c>
      <c r="E279" s="38" t="str">
        <f>IF(Agent02_Withdrawals!A84="","",Agent02_Withdrawals!D84)</f>
        <v/>
      </c>
      <c r="F279" s="37" t="str">
        <f>IF(Agent02_Withdrawals!A84="","",Agent02_Withdrawals!F84)</f>
        <v/>
      </c>
      <c r="G279" s="39" t="str">
        <f>IF(Agent02_Withdrawals!A84="","",Agent02_Withdrawals!E84)</f>
        <v/>
      </c>
      <c r="H279" s="39" t="str">
        <f>IF(Agent02_Withdrawals!A84="","",Agent02_Withdrawals!G84)</f>
        <v/>
      </c>
      <c r="I279" s="37" t="str">
        <f>IF(Agent02_Withdrawals!A84="","",Agent02_Withdrawals!H84)</f>
        <v/>
      </c>
      <c r="J279" s="37" t="str">
        <f>IF(Agent02_Withdrawals!A84="","",Agent02_Withdrawals!J84)</f>
        <v/>
      </c>
      <c r="K279" s="37" t="str">
        <f>IF(Agent02_Withdrawals!A84="","",Agent02_Withdrawals!K84)</f>
        <v/>
      </c>
      <c r="L279" s="37" t="str">
        <f>IF(G279="","",IF(D279-G279&gt;=System_Config!$B$9,"✅ OK","⚠️ BREACH"))</f>
        <v/>
      </c>
      <c r="M279" s="37" t="str">
        <f>IFERROR(IF(Agent02_Withdrawals!A84="","",YEAR(Agent02_Withdrawals!D84)),"")</f>
        <v/>
      </c>
    </row>
    <row r="280" spans="1:13" ht="18" customHeight="1" x14ac:dyDescent="0.25">
      <c r="A280" s="37" t="str">
        <f>IF(Agent02_Withdrawals!A85="","",Agent02_Withdrawals!A85)</f>
        <v/>
      </c>
      <c r="B280" s="37" t="str">
        <f ca="1">IF(Agent02_Withdrawals!A85="","","WD"&amp;TEXT(280-3,"0000")&amp;"-"&amp;TEXT(TODAY(),"YYYYMMDD"))</f>
        <v/>
      </c>
      <c r="C280" s="37" t="str">
        <f>IF(Agent02_Withdrawals!A85="","",Agent02_Withdrawals!B85)</f>
        <v/>
      </c>
      <c r="D280" s="40" t="str">
        <f>IF(Agent02_Withdrawals!A85="","",Agent02_Withdrawals!C85)</f>
        <v/>
      </c>
      <c r="E280" s="38" t="str">
        <f>IF(Agent02_Withdrawals!A85="","",Agent02_Withdrawals!D85)</f>
        <v/>
      </c>
      <c r="F280" s="37" t="str">
        <f>IF(Agent02_Withdrawals!A85="","",Agent02_Withdrawals!F85)</f>
        <v/>
      </c>
      <c r="G280" s="39" t="str">
        <f>IF(Agent02_Withdrawals!A85="","",Agent02_Withdrawals!E85)</f>
        <v/>
      </c>
      <c r="H280" s="39" t="str">
        <f>IF(Agent02_Withdrawals!A85="","",Agent02_Withdrawals!G85)</f>
        <v/>
      </c>
      <c r="I280" s="37" t="str">
        <f>IF(Agent02_Withdrawals!A85="","",Agent02_Withdrawals!H85)</f>
        <v/>
      </c>
      <c r="J280" s="37" t="str">
        <f>IF(Agent02_Withdrawals!A85="","",Agent02_Withdrawals!J85)</f>
        <v/>
      </c>
      <c r="K280" s="37" t="str">
        <f>IF(Agent02_Withdrawals!A85="","",Agent02_Withdrawals!K85)</f>
        <v/>
      </c>
      <c r="L280" s="37" t="str">
        <f>IF(G280="","",IF(D280-G280&gt;=System_Config!$B$9,"✅ OK","⚠️ BREACH"))</f>
        <v/>
      </c>
      <c r="M280" s="37" t="str">
        <f>IFERROR(IF(Agent02_Withdrawals!A85="","",YEAR(Agent02_Withdrawals!D85)),"")</f>
        <v/>
      </c>
    </row>
    <row r="281" spans="1:13" ht="18" customHeight="1" x14ac:dyDescent="0.25">
      <c r="A281" s="37" t="str">
        <f>IF(Agent02_Withdrawals!A86="","",Agent02_Withdrawals!A86)</f>
        <v/>
      </c>
      <c r="B281" s="37" t="str">
        <f ca="1">IF(Agent02_Withdrawals!A86="","","WD"&amp;TEXT(281-3,"0000")&amp;"-"&amp;TEXT(TODAY(),"YYYYMMDD"))</f>
        <v/>
      </c>
      <c r="C281" s="37" t="str">
        <f>IF(Agent02_Withdrawals!A86="","",Agent02_Withdrawals!B86)</f>
        <v/>
      </c>
      <c r="D281" s="40" t="str">
        <f>IF(Agent02_Withdrawals!A86="","",Agent02_Withdrawals!C86)</f>
        <v/>
      </c>
      <c r="E281" s="38" t="str">
        <f>IF(Agent02_Withdrawals!A86="","",Agent02_Withdrawals!D86)</f>
        <v/>
      </c>
      <c r="F281" s="37" t="str">
        <f>IF(Agent02_Withdrawals!A86="","",Agent02_Withdrawals!F86)</f>
        <v/>
      </c>
      <c r="G281" s="39" t="str">
        <f>IF(Agent02_Withdrawals!A86="","",Agent02_Withdrawals!E86)</f>
        <v/>
      </c>
      <c r="H281" s="39" t="str">
        <f>IF(Agent02_Withdrawals!A86="","",Agent02_Withdrawals!G86)</f>
        <v/>
      </c>
      <c r="I281" s="37" t="str">
        <f>IF(Agent02_Withdrawals!A86="","",Agent02_Withdrawals!H86)</f>
        <v/>
      </c>
      <c r="J281" s="37" t="str">
        <f>IF(Agent02_Withdrawals!A86="","",Agent02_Withdrawals!J86)</f>
        <v/>
      </c>
      <c r="K281" s="37" t="str">
        <f>IF(Agent02_Withdrawals!A86="","",Agent02_Withdrawals!K86)</f>
        <v/>
      </c>
      <c r="L281" s="37" t="str">
        <f>IF(G281="","",IF(D281-G281&gt;=System_Config!$B$9,"✅ OK","⚠️ BREACH"))</f>
        <v/>
      </c>
      <c r="M281" s="37" t="str">
        <f>IFERROR(IF(Agent02_Withdrawals!A86="","",YEAR(Agent02_Withdrawals!D86)),"")</f>
        <v/>
      </c>
    </row>
    <row r="282" spans="1:13" ht="18" customHeight="1" x14ac:dyDescent="0.25">
      <c r="A282" s="37" t="str">
        <f>IF(Agent02_Withdrawals!A87="","",Agent02_Withdrawals!A87)</f>
        <v/>
      </c>
      <c r="B282" s="37" t="str">
        <f ca="1">IF(Agent02_Withdrawals!A87="","","WD"&amp;TEXT(282-3,"0000")&amp;"-"&amp;TEXT(TODAY(),"YYYYMMDD"))</f>
        <v/>
      </c>
      <c r="C282" s="37" t="str">
        <f>IF(Agent02_Withdrawals!A87="","",Agent02_Withdrawals!B87)</f>
        <v/>
      </c>
      <c r="D282" s="40" t="str">
        <f>IF(Agent02_Withdrawals!A87="","",Agent02_Withdrawals!C87)</f>
        <v/>
      </c>
      <c r="E282" s="38" t="str">
        <f>IF(Agent02_Withdrawals!A87="","",Agent02_Withdrawals!D87)</f>
        <v/>
      </c>
      <c r="F282" s="37" t="str">
        <f>IF(Agent02_Withdrawals!A87="","",Agent02_Withdrawals!F87)</f>
        <v/>
      </c>
      <c r="G282" s="39" t="str">
        <f>IF(Agent02_Withdrawals!A87="","",Agent02_Withdrawals!E87)</f>
        <v/>
      </c>
      <c r="H282" s="39" t="str">
        <f>IF(Agent02_Withdrawals!A87="","",Agent02_Withdrawals!G87)</f>
        <v/>
      </c>
      <c r="I282" s="37" t="str">
        <f>IF(Agent02_Withdrawals!A87="","",Agent02_Withdrawals!H87)</f>
        <v/>
      </c>
      <c r="J282" s="37" t="str">
        <f>IF(Agent02_Withdrawals!A87="","",Agent02_Withdrawals!J87)</f>
        <v/>
      </c>
      <c r="K282" s="37" t="str">
        <f>IF(Agent02_Withdrawals!A87="","",Agent02_Withdrawals!K87)</f>
        <v/>
      </c>
      <c r="L282" s="37" t="str">
        <f>IF(G282="","",IF(D282-G282&gt;=System_Config!$B$9,"✅ OK","⚠️ BREACH"))</f>
        <v/>
      </c>
      <c r="M282" s="37" t="str">
        <f>IFERROR(IF(Agent02_Withdrawals!A87="","",YEAR(Agent02_Withdrawals!D87)),"")</f>
        <v/>
      </c>
    </row>
    <row r="283" spans="1:13" ht="18" customHeight="1" x14ac:dyDescent="0.25">
      <c r="A283" s="37" t="str">
        <f>IF(Agent02_Withdrawals!A88="","",Agent02_Withdrawals!A88)</f>
        <v/>
      </c>
      <c r="B283" s="37" t="str">
        <f ca="1">IF(Agent02_Withdrawals!A88="","","WD"&amp;TEXT(283-3,"0000")&amp;"-"&amp;TEXT(TODAY(),"YYYYMMDD"))</f>
        <v/>
      </c>
      <c r="C283" s="37" t="str">
        <f>IF(Agent02_Withdrawals!A88="","",Agent02_Withdrawals!B88)</f>
        <v/>
      </c>
      <c r="D283" s="40" t="str">
        <f>IF(Agent02_Withdrawals!A88="","",Agent02_Withdrawals!C88)</f>
        <v/>
      </c>
      <c r="E283" s="38" t="str">
        <f>IF(Agent02_Withdrawals!A88="","",Agent02_Withdrawals!D88)</f>
        <v/>
      </c>
      <c r="F283" s="37" t="str">
        <f>IF(Agent02_Withdrawals!A88="","",Agent02_Withdrawals!F88)</f>
        <v/>
      </c>
      <c r="G283" s="39" t="str">
        <f>IF(Agent02_Withdrawals!A88="","",Agent02_Withdrawals!E88)</f>
        <v/>
      </c>
      <c r="H283" s="39" t="str">
        <f>IF(Agent02_Withdrawals!A88="","",Agent02_Withdrawals!G88)</f>
        <v/>
      </c>
      <c r="I283" s="37" t="str">
        <f>IF(Agent02_Withdrawals!A88="","",Agent02_Withdrawals!H88)</f>
        <v/>
      </c>
      <c r="J283" s="37" t="str">
        <f>IF(Agent02_Withdrawals!A88="","",Agent02_Withdrawals!J88)</f>
        <v/>
      </c>
      <c r="K283" s="37" t="str">
        <f>IF(Agent02_Withdrawals!A88="","",Agent02_Withdrawals!K88)</f>
        <v/>
      </c>
      <c r="L283" s="37" t="str">
        <f>IF(G283="","",IF(D283-G283&gt;=System_Config!$B$9,"✅ OK","⚠️ BREACH"))</f>
        <v/>
      </c>
      <c r="M283" s="37" t="str">
        <f>IFERROR(IF(Agent02_Withdrawals!A88="","",YEAR(Agent02_Withdrawals!D88)),"")</f>
        <v/>
      </c>
    </row>
    <row r="284" spans="1:13" ht="18" customHeight="1" x14ac:dyDescent="0.25">
      <c r="A284" s="37" t="str">
        <f>IF(Agent02_Withdrawals!A89="","",Agent02_Withdrawals!A89)</f>
        <v/>
      </c>
      <c r="B284" s="37" t="str">
        <f ca="1">IF(Agent02_Withdrawals!A89="","","WD"&amp;TEXT(284-3,"0000")&amp;"-"&amp;TEXT(TODAY(),"YYYYMMDD"))</f>
        <v/>
      </c>
      <c r="C284" s="37" t="str">
        <f>IF(Agent02_Withdrawals!A89="","",Agent02_Withdrawals!B89)</f>
        <v/>
      </c>
      <c r="D284" s="40" t="str">
        <f>IF(Agent02_Withdrawals!A89="","",Agent02_Withdrawals!C89)</f>
        <v/>
      </c>
      <c r="E284" s="38" t="str">
        <f>IF(Agent02_Withdrawals!A89="","",Agent02_Withdrawals!D89)</f>
        <v/>
      </c>
      <c r="F284" s="37" t="str">
        <f>IF(Agent02_Withdrawals!A89="","",Agent02_Withdrawals!F89)</f>
        <v/>
      </c>
      <c r="G284" s="39" t="str">
        <f>IF(Agent02_Withdrawals!A89="","",Agent02_Withdrawals!E89)</f>
        <v/>
      </c>
      <c r="H284" s="39" t="str">
        <f>IF(Agent02_Withdrawals!A89="","",Agent02_Withdrawals!G89)</f>
        <v/>
      </c>
      <c r="I284" s="37" t="str">
        <f>IF(Agent02_Withdrawals!A89="","",Agent02_Withdrawals!H89)</f>
        <v/>
      </c>
      <c r="J284" s="37" t="str">
        <f>IF(Agent02_Withdrawals!A89="","",Agent02_Withdrawals!J89)</f>
        <v/>
      </c>
      <c r="K284" s="37" t="str">
        <f>IF(Agent02_Withdrawals!A89="","",Agent02_Withdrawals!K89)</f>
        <v/>
      </c>
      <c r="L284" s="37" t="str">
        <f>IF(G284="","",IF(D284-G284&gt;=System_Config!$B$9,"✅ OK","⚠️ BREACH"))</f>
        <v/>
      </c>
      <c r="M284" s="37" t="str">
        <f>IFERROR(IF(Agent02_Withdrawals!A89="","",YEAR(Agent02_Withdrawals!D89)),"")</f>
        <v/>
      </c>
    </row>
    <row r="285" spans="1:13" ht="18" customHeight="1" x14ac:dyDescent="0.25">
      <c r="A285" s="37" t="str">
        <f>IF(Agent02_Withdrawals!A90="","",Agent02_Withdrawals!A90)</f>
        <v/>
      </c>
      <c r="B285" s="37" t="str">
        <f ca="1">IF(Agent02_Withdrawals!A90="","","WD"&amp;TEXT(285-3,"0000")&amp;"-"&amp;TEXT(TODAY(),"YYYYMMDD"))</f>
        <v/>
      </c>
      <c r="C285" s="37" t="str">
        <f>IF(Agent02_Withdrawals!A90="","",Agent02_Withdrawals!B90)</f>
        <v/>
      </c>
      <c r="D285" s="40" t="str">
        <f>IF(Agent02_Withdrawals!A90="","",Agent02_Withdrawals!C90)</f>
        <v/>
      </c>
      <c r="E285" s="38" t="str">
        <f>IF(Agent02_Withdrawals!A90="","",Agent02_Withdrawals!D90)</f>
        <v/>
      </c>
      <c r="F285" s="37" t="str">
        <f>IF(Agent02_Withdrawals!A90="","",Agent02_Withdrawals!F90)</f>
        <v/>
      </c>
      <c r="G285" s="39" t="str">
        <f>IF(Agent02_Withdrawals!A90="","",Agent02_Withdrawals!E90)</f>
        <v/>
      </c>
      <c r="H285" s="39" t="str">
        <f>IF(Agent02_Withdrawals!A90="","",Agent02_Withdrawals!G90)</f>
        <v/>
      </c>
      <c r="I285" s="37" t="str">
        <f>IF(Agent02_Withdrawals!A90="","",Agent02_Withdrawals!H90)</f>
        <v/>
      </c>
      <c r="J285" s="37" t="str">
        <f>IF(Agent02_Withdrawals!A90="","",Agent02_Withdrawals!J90)</f>
        <v/>
      </c>
      <c r="K285" s="37" t="str">
        <f>IF(Agent02_Withdrawals!A90="","",Agent02_Withdrawals!K90)</f>
        <v/>
      </c>
      <c r="L285" s="37" t="str">
        <f>IF(G285="","",IF(D285-G285&gt;=System_Config!$B$9,"✅ OK","⚠️ BREACH"))</f>
        <v/>
      </c>
      <c r="M285" s="37" t="str">
        <f>IFERROR(IF(Agent02_Withdrawals!A90="","",YEAR(Agent02_Withdrawals!D90)),"")</f>
        <v/>
      </c>
    </row>
    <row r="286" spans="1:13" ht="18" customHeight="1" x14ac:dyDescent="0.25">
      <c r="A286" s="37" t="str">
        <f>IF(Agent02_Withdrawals!A91="","",Agent02_Withdrawals!A91)</f>
        <v/>
      </c>
      <c r="B286" s="37" t="str">
        <f ca="1">IF(Agent02_Withdrawals!A91="","","WD"&amp;TEXT(286-3,"0000")&amp;"-"&amp;TEXT(TODAY(),"YYYYMMDD"))</f>
        <v/>
      </c>
      <c r="C286" s="37" t="str">
        <f>IF(Agent02_Withdrawals!A91="","",Agent02_Withdrawals!B91)</f>
        <v/>
      </c>
      <c r="D286" s="40" t="str">
        <f>IF(Agent02_Withdrawals!A91="","",Agent02_Withdrawals!C91)</f>
        <v/>
      </c>
      <c r="E286" s="38" t="str">
        <f>IF(Agent02_Withdrawals!A91="","",Agent02_Withdrawals!D91)</f>
        <v/>
      </c>
      <c r="F286" s="37" t="str">
        <f>IF(Agent02_Withdrawals!A91="","",Agent02_Withdrawals!F91)</f>
        <v/>
      </c>
      <c r="G286" s="39" t="str">
        <f>IF(Agent02_Withdrawals!A91="","",Agent02_Withdrawals!E91)</f>
        <v/>
      </c>
      <c r="H286" s="39" t="str">
        <f>IF(Agent02_Withdrawals!A91="","",Agent02_Withdrawals!G91)</f>
        <v/>
      </c>
      <c r="I286" s="37" t="str">
        <f>IF(Agent02_Withdrawals!A91="","",Agent02_Withdrawals!H91)</f>
        <v/>
      </c>
      <c r="J286" s="37" t="str">
        <f>IF(Agent02_Withdrawals!A91="","",Agent02_Withdrawals!J91)</f>
        <v/>
      </c>
      <c r="K286" s="37" t="str">
        <f>IF(Agent02_Withdrawals!A91="","",Agent02_Withdrawals!K91)</f>
        <v/>
      </c>
      <c r="L286" s="37" t="str">
        <f>IF(G286="","",IF(D286-G286&gt;=System_Config!$B$9,"✅ OK","⚠️ BREACH"))</f>
        <v/>
      </c>
      <c r="M286" s="37" t="str">
        <f>IFERROR(IF(Agent02_Withdrawals!A91="","",YEAR(Agent02_Withdrawals!D91)),"")</f>
        <v/>
      </c>
    </row>
    <row r="287" spans="1:13" ht="18" customHeight="1" x14ac:dyDescent="0.25">
      <c r="A287" s="37" t="str">
        <f>IF(Agent02_Withdrawals!A92="","",Agent02_Withdrawals!A92)</f>
        <v/>
      </c>
      <c r="B287" s="37" t="str">
        <f ca="1">IF(Agent02_Withdrawals!A92="","","WD"&amp;TEXT(287-3,"0000")&amp;"-"&amp;TEXT(TODAY(),"YYYYMMDD"))</f>
        <v/>
      </c>
      <c r="C287" s="37" t="str">
        <f>IF(Agent02_Withdrawals!A92="","",Agent02_Withdrawals!B92)</f>
        <v/>
      </c>
      <c r="D287" s="40" t="str">
        <f>IF(Agent02_Withdrawals!A92="","",Agent02_Withdrawals!C92)</f>
        <v/>
      </c>
      <c r="E287" s="38" t="str">
        <f>IF(Agent02_Withdrawals!A92="","",Agent02_Withdrawals!D92)</f>
        <v/>
      </c>
      <c r="F287" s="37" t="str">
        <f>IF(Agent02_Withdrawals!A92="","",Agent02_Withdrawals!F92)</f>
        <v/>
      </c>
      <c r="G287" s="39" t="str">
        <f>IF(Agent02_Withdrawals!A92="","",Agent02_Withdrawals!E92)</f>
        <v/>
      </c>
      <c r="H287" s="39" t="str">
        <f>IF(Agent02_Withdrawals!A92="","",Agent02_Withdrawals!G92)</f>
        <v/>
      </c>
      <c r="I287" s="37" t="str">
        <f>IF(Agent02_Withdrawals!A92="","",Agent02_Withdrawals!H92)</f>
        <v/>
      </c>
      <c r="J287" s="37" t="str">
        <f>IF(Agent02_Withdrawals!A92="","",Agent02_Withdrawals!J92)</f>
        <v/>
      </c>
      <c r="K287" s="37" t="str">
        <f>IF(Agent02_Withdrawals!A92="","",Agent02_Withdrawals!K92)</f>
        <v/>
      </c>
      <c r="L287" s="37" t="str">
        <f>IF(G287="","",IF(D287-G287&gt;=System_Config!$B$9,"✅ OK","⚠️ BREACH"))</f>
        <v/>
      </c>
      <c r="M287" s="37" t="str">
        <f>IFERROR(IF(Agent02_Withdrawals!A92="","",YEAR(Agent02_Withdrawals!D92)),"")</f>
        <v/>
      </c>
    </row>
    <row r="288" spans="1:13" ht="18" customHeight="1" x14ac:dyDescent="0.25">
      <c r="A288" s="37" t="str">
        <f>IF(Agent02_Withdrawals!A93="","",Agent02_Withdrawals!A93)</f>
        <v/>
      </c>
      <c r="B288" s="37" t="str">
        <f ca="1">IF(Agent02_Withdrawals!A93="","","WD"&amp;TEXT(288-3,"0000")&amp;"-"&amp;TEXT(TODAY(),"YYYYMMDD"))</f>
        <v/>
      </c>
      <c r="C288" s="37" t="str">
        <f>IF(Agent02_Withdrawals!A93="","",Agent02_Withdrawals!B93)</f>
        <v/>
      </c>
      <c r="D288" s="40" t="str">
        <f>IF(Agent02_Withdrawals!A93="","",Agent02_Withdrawals!C93)</f>
        <v/>
      </c>
      <c r="E288" s="38" t="str">
        <f>IF(Agent02_Withdrawals!A93="","",Agent02_Withdrawals!D93)</f>
        <v/>
      </c>
      <c r="F288" s="37" t="str">
        <f>IF(Agent02_Withdrawals!A93="","",Agent02_Withdrawals!F93)</f>
        <v/>
      </c>
      <c r="G288" s="39" t="str">
        <f>IF(Agent02_Withdrawals!A93="","",Agent02_Withdrawals!E93)</f>
        <v/>
      </c>
      <c r="H288" s="39" t="str">
        <f>IF(Agent02_Withdrawals!A93="","",Agent02_Withdrawals!G93)</f>
        <v/>
      </c>
      <c r="I288" s="37" t="str">
        <f>IF(Agent02_Withdrawals!A93="","",Agent02_Withdrawals!H93)</f>
        <v/>
      </c>
      <c r="J288" s="37" t="str">
        <f>IF(Agent02_Withdrawals!A93="","",Agent02_Withdrawals!J93)</f>
        <v/>
      </c>
      <c r="K288" s="37" t="str">
        <f>IF(Agent02_Withdrawals!A93="","",Agent02_Withdrawals!K93)</f>
        <v/>
      </c>
      <c r="L288" s="37" t="str">
        <f>IF(G288="","",IF(D288-G288&gt;=System_Config!$B$9,"✅ OK","⚠️ BREACH"))</f>
        <v/>
      </c>
      <c r="M288" s="37" t="str">
        <f>IFERROR(IF(Agent02_Withdrawals!A93="","",YEAR(Agent02_Withdrawals!D93)),"")</f>
        <v/>
      </c>
    </row>
    <row r="289" spans="1:13" ht="18" customHeight="1" x14ac:dyDescent="0.25">
      <c r="A289" s="37" t="str">
        <f>IF(Agent02_Withdrawals!A94="","",Agent02_Withdrawals!A94)</f>
        <v/>
      </c>
      <c r="B289" s="37" t="str">
        <f ca="1">IF(Agent02_Withdrawals!A94="","","WD"&amp;TEXT(289-3,"0000")&amp;"-"&amp;TEXT(TODAY(),"YYYYMMDD"))</f>
        <v/>
      </c>
      <c r="C289" s="37" t="str">
        <f>IF(Agent02_Withdrawals!A94="","",Agent02_Withdrawals!B94)</f>
        <v/>
      </c>
      <c r="D289" s="40" t="str">
        <f>IF(Agent02_Withdrawals!A94="","",Agent02_Withdrawals!C94)</f>
        <v/>
      </c>
      <c r="E289" s="38" t="str">
        <f>IF(Agent02_Withdrawals!A94="","",Agent02_Withdrawals!D94)</f>
        <v/>
      </c>
      <c r="F289" s="37" t="str">
        <f>IF(Agent02_Withdrawals!A94="","",Agent02_Withdrawals!F94)</f>
        <v/>
      </c>
      <c r="G289" s="39" t="str">
        <f>IF(Agent02_Withdrawals!A94="","",Agent02_Withdrawals!E94)</f>
        <v/>
      </c>
      <c r="H289" s="39" t="str">
        <f>IF(Agent02_Withdrawals!A94="","",Agent02_Withdrawals!G94)</f>
        <v/>
      </c>
      <c r="I289" s="37" t="str">
        <f>IF(Agent02_Withdrawals!A94="","",Agent02_Withdrawals!H94)</f>
        <v/>
      </c>
      <c r="J289" s="37" t="str">
        <f>IF(Agent02_Withdrawals!A94="","",Agent02_Withdrawals!J94)</f>
        <v/>
      </c>
      <c r="K289" s="37" t="str">
        <f>IF(Agent02_Withdrawals!A94="","",Agent02_Withdrawals!K94)</f>
        <v/>
      </c>
      <c r="L289" s="37" t="str">
        <f>IF(G289="","",IF(D289-G289&gt;=System_Config!$B$9,"✅ OK","⚠️ BREACH"))</f>
        <v/>
      </c>
      <c r="M289" s="37" t="str">
        <f>IFERROR(IF(Agent02_Withdrawals!A94="","",YEAR(Agent02_Withdrawals!D94)),"")</f>
        <v/>
      </c>
    </row>
    <row r="290" spans="1:13" ht="18" customHeight="1" x14ac:dyDescent="0.25">
      <c r="A290" s="37" t="str">
        <f>IF(Agent02_Withdrawals!A95="","",Agent02_Withdrawals!A95)</f>
        <v/>
      </c>
      <c r="B290" s="37" t="str">
        <f ca="1">IF(Agent02_Withdrawals!A95="","","WD"&amp;TEXT(290-3,"0000")&amp;"-"&amp;TEXT(TODAY(),"YYYYMMDD"))</f>
        <v/>
      </c>
      <c r="C290" s="37" t="str">
        <f>IF(Agent02_Withdrawals!A95="","",Agent02_Withdrawals!B95)</f>
        <v/>
      </c>
      <c r="D290" s="40" t="str">
        <f>IF(Agent02_Withdrawals!A95="","",Agent02_Withdrawals!C95)</f>
        <v/>
      </c>
      <c r="E290" s="38" t="str">
        <f>IF(Agent02_Withdrawals!A95="","",Agent02_Withdrawals!D95)</f>
        <v/>
      </c>
      <c r="F290" s="37" t="str">
        <f>IF(Agent02_Withdrawals!A95="","",Agent02_Withdrawals!F95)</f>
        <v/>
      </c>
      <c r="G290" s="39" t="str">
        <f>IF(Agent02_Withdrawals!A95="","",Agent02_Withdrawals!E95)</f>
        <v/>
      </c>
      <c r="H290" s="39" t="str">
        <f>IF(Agent02_Withdrawals!A95="","",Agent02_Withdrawals!G95)</f>
        <v/>
      </c>
      <c r="I290" s="37" t="str">
        <f>IF(Agent02_Withdrawals!A95="","",Agent02_Withdrawals!H95)</f>
        <v/>
      </c>
      <c r="J290" s="37" t="str">
        <f>IF(Agent02_Withdrawals!A95="","",Agent02_Withdrawals!J95)</f>
        <v/>
      </c>
      <c r="K290" s="37" t="str">
        <f>IF(Agent02_Withdrawals!A95="","",Agent02_Withdrawals!K95)</f>
        <v/>
      </c>
      <c r="L290" s="37" t="str">
        <f>IF(G290="","",IF(D290-G290&gt;=System_Config!$B$9,"✅ OK","⚠️ BREACH"))</f>
        <v/>
      </c>
      <c r="M290" s="37" t="str">
        <f>IFERROR(IF(Agent02_Withdrawals!A95="","",YEAR(Agent02_Withdrawals!D95)),"")</f>
        <v/>
      </c>
    </row>
    <row r="291" spans="1:13" ht="18" customHeight="1" x14ac:dyDescent="0.25">
      <c r="A291" s="37" t="str">
        <f>IF(Agent02_Withdrawals!A96="","",Agent02_Withdrawals!A96)</f>
        <v/>
      </c>
      <c r="B291" s="37" t="str">
        <f ca="1">IF(Agent02_Withdrawals!A96="","","WD"&amp;TEXT(291-3,"0000")&amp;"-"&amp;TEXT(TODAY(),"YYYYMMDD"))</f>
        <v/>
      </c>
      <c r="C291" s="37" t="str">
        <f>IF(Agent02_Withdrawals!A96="","",Agent02_Withdrawals!B96)</f>
        <v/>
      </c>
      <c r="D291" s="40" t="str">
        <f>IF(Agent02_Withdrawals!A96="","",Agent02_Withdrawals!C96)</f>
        <v/>
      </c>
      <c r="E291" s="38" t="str">
        <f>IF(Agent02_Withdrawals!A96="","",Agent02_Withdrawals!D96)</f>
        <v/>
      </c>
      <c r="F291" s="37" t="str">
        <f>IF(Agent02_Withdrawals!A96="","",Agent02_Withdrawals!F96)</f>
        <v/>
      </c>
      <c r="G291" s="39" t="str">
        <f>IF(Agent02_Withdrawals!A96="","",Agent02_Withdrawals!E96)</f>
        <v/>
      </c>
      <c r="H291" s="39" t="str">
        <f>IF(Agent02_Withdrawals!A96="","",Agent02_Withdrawals!G96)</f>
        <v/>
      </c>
      <c r="I291" s="37" t="str">
        <f>IF(Agent02_Withdrawals!A96="","",Agent02_Withdrawals!H96)</f>
        <v/>
      </c>
      <c r="J291" s="37" t="str">
        <f>IF(Agent02_Withdrawals!A96="","",Agent02_Withdrawals!J96)</f>
        <v/>
      </c>
      <c r="K291" s="37" t="str">
        <f>IF(Agent02_Withdrawals!A96="","",Agent02_Withdrawals!K96)</f>
        <v/>
      </c>
      <c r="L291" s="37" t="str">
        <f>IF(G291="","",IF(D291-G291&gt;=System_Config!$B$9,"✅ OK","⚠️ BREACH"))</f>
        <v/>
      </c>
      <c r="M291" s="37" t="str">
        <f>IFERROR(IF(Agent02_Withdrawals!A96="","",YEAR(Agent02_Withdrawals!D96)),"")</f>
        <v/>
      </c>
    </row>
    <row r="292" spans="1:13" ht="18" customHeight="1" x14ac:dyDescent="0.25">
      <c r="A292" s="37" t="str">
        <f>IF(Agent02_Withdrawals!A97="","",Agent02_Withdrawals!A97)</f>
        <v/>
      </c>
      <c r="B292" s="37" t="str">
        <f ca="1">IF(Agent02_Withdrawals!A97="","","WD"&amp;TEXT(292-3,"0000")&amp;"-"&amp;TEXT(TODAY(),"YYYYMMDD"))</f>
        <v/>
      </c>
      <c r="C292" s="37" t="str">
        <f>IF(Agent02_Withdrawals!A97="","",Agent02_Withdrawals!B97)</f>
        <v/>
      </c>
      <c r="D292" s="40" t="str">
        <f>IF(Agent02_Withdrawals!A97="","",Agent02_Withdrawals!C97)</f>
        <v/>
      </c>
      <c r="E292" s="38" t="str">
        <f>IF(Agent02_Withdrawals!A97="","",Agent02_Withdrawals!D97)</f>
        <v/>
      </c>
      <c r="F292" s="37" t="str">
        <f>IF(Agent02_Withdrawals!A97="","",Agent02_Withdrawals!F97)</f>
        <v/>
      </c>
      <c r="G292" s="39" t="str">
        <f>IF(Agent02_Withdrawals!A97="","",Agent02_Withdrawals!E97)</f>
        <v/>
      </c>
      <c r="H292" s="39" t="str">
        <f>IF(Agent02_Withdrawals!A97="","",Agent02_Withdrawals!G97)</f>
        <v/>
      </c>
      <c r="I292" s="37" t="str">
        <f>IF(Agent02_Withdrawals!A97="","",Agent02_Withdrawals!H97)</f>
        <v/>
      </c>
      <c r="J292" s="37" t="str">
        <f>IF(Agent02_Withdrawals!A97="","",Agent02_Withdrawals!J97)</f>
        <v/>
      </c>
      <c r="K292" s="37" t="str">
        <f>IF(Agent02_Withdrawals!A97="","",Agent02_Withdrawals!K97)</f>
        <v/>
      </c>
      <c r="L292" s="37" t="str">
        <f>IF(G292="","",IF(D292-G292&gt;=System_Config!$B$9,"✅ OK","⚠️ BREACH"))</f>
        <v/>
      </c>
      <c r="M292" s="37" t="str">
        <f>IFERROR(IF(Agent02_Withdrawals!A97="","",YEAR(Agent02_Withdrawals!D97)),"")</f>
        <v/>
      </c>
    </row>
    <row r="293" spans="1:13" ht="18" customHeight="1" x14ac:dyDescent="0.25">
      <c r="A293" s="37" t="str">
        <f>IF(Agent02_Withdrawals!A98="","",Agent02_Withdrawals!A98)</f>
        <v/>
      </c>
      <c r="B293" s="37" t="str">
        <f ca="1">IF(Agent02_Withdrawals!A98="","","WD"&amp;TEXT(293-3,"0000")&amp;"-"&amp;TEXT(TODAY(),"YYYYMMDD"))</f>
        <v/>
      </c>
      <c r="C293" s="37" t="str">
        <f>IF(Agent02_Withdrawals!A98="","",Agent02_Withdrawals!B98)</f>
        <v/>
      </c>
      <c r="D293" s="40" t="str">
        <f>IF(Agent02_Withdrawals!A98="","",Agent02_Withdrawals!C98)</f>
        <v/>
      </c>
      <c r="E293" s="38" t="str">
        <f>IF(Agent02_Withdrawals!A98="","",Agent02_Withdrawals!D98)</f>
        <v/>
      </c>
      <c r="F293" s="37" t="str">
        <f>IF(Agent02_Withdrawals!A98="","",Agent02_Withdrawals!F98)</f>
        <v/>
      </c>
      <c r="G293" s="39" t="str">
        <f>IF(Agent02_Withdrawals!A98="","",Agent02_Withdrawals!E98)</f>
        <v/>
      </c>
      <c r="H293" s="39" t="str">
        <f>IF(Agent02_Withdrawals!A98="","",Agent02_Withdrawals!G98)</f>
        <v/>
      </c>
      <c r="I293" s="37" t="str">
        <f>IF(Agent02_Withdrawals!A98="","",Agent02_Withdrawals!H98)</f>
        <v/>
      </c>
      <c r="J293" s="37" t="str">
        <f>IF(Agent02_Withdrawals!A98="","",Agent02_Withdrawals!J98)</f>
        <v/>
      </c>
      <c r="K293" s="37" t="str">
        <f>IF(Agent02_Withdrawals!A98="","",Agent02_Withdrawals!K98)</f>
        <v/>
      </c>
      <c r="L293" s="37" t="str">
        <f>IF(G293="","",IF(D293-G293&gt;=System_Config!$B$9,"✅ OK","⚠️ BREACH"))</f>
        <v/>
      </c>
      <c r="M293" s="37" t="str">
        <f>IFERROR(IF(Agent02_Withdrawals!A98="","",YEAR(Agent02_Withdrawals!D98)),"")</f>
        <v/>
      </c>
    </row>
    <row r="294" spans="1:13" ht="18" customHeight="1" x14ac:dyDescent="0.25">
      <c r="A294" s="37" t="str">
        <f>IF(Agent02_Withdrawals!A99="","",Agent02_Withdrawals!A99)</f>
        <v/>
      </c>
      <c r="B294" s="37" t="str">
        <f ca="1">IF(Agent02_Withdrawals!A99="","","WD"&amp;TEXT(294-3,"0000")&amp;"-"&amp;TEXT(TODAY(),"YYYYMMDD"))</f>
        <v/>
      </c>
      <c r="C294" s="37" t="str">
        <f>IF(Agent02_Withdrawals!A99="","",Agent02_Withdrawals!B99)</f>
        <v/>
      </c>
      <c r="D294" s="40" t="str">
        <f>IF(Agent02_Withdrawals!A99="","",Agent02_Withdrawals!C99)</f>
        <v/>
      </c>
      <c r="E294" s="38" t="str">
        <f>IF(Agent02_Withdrawals!A99="","",Agent02_Withdrawals!D99)</f>
        <v/>
      </c>
      <c r="F294" s="37" t="str">
        <f>IF(Agent02_Withdrawals!A99="","",Agent02_Withdrawals!F99)</f>
        <v/>
      </c>
      <c r="G294" s="39" t="str">
        <f>IF(Agent02_Withdrawals!A99="","",Agent02_Withdrawals!E99)</f>
        <v/>
      </c>
      <c r="H294" s="39" t="str">
        <f>IF(Agent02_Withdrawals!A99="","",Agent02_Withdrawals!G99)</f>
        <v/>
      </c>
      <c r="I294" s="37" t="str">
        <f>IF(Agent02_Withdrawals!A99="","",Agent02_Withdrawals!H99)</f>
        <v/>
      </c>
      <c r="J294" s="37" t="str">
        <f>IF(Agent02_Withdrawals!A99="","",Agent02_Withdrawals!J99)</f>
        <v/>
      </c>
      <c r="K294" s="37" t="str">
        <f>IF(Agent02_Withdrawals!A99="","",Agent02_Withdrawals!K99)</f>
        <v/>
      </c>
      <c r="L294" s="37" t="str">
        <f>IF(G294="","",IF(D294-G294&gt;=System_Config!$B$9,"✅ OK","⚠️ BREACH"))</f>
        <v/>
      </c>
      <c r="M294" s="37" t="str">
        <f>IFERROR(IF(Agent02_Withdrawals!A99="","",YEAR(Agent02_Withdrawals!D99)),"")</f>
        <v/>
      </c>
    </row>
    <row r="295" spans="1:13" ht="18" customHeight="1" x14ac:dyDescent="0.25">
      <c r="A295" s="37" t="str">
        <f>IF(Agent02_Withdrawals!A100="","",Agent02_Withdrawals!A100)</f>
        <v/>
      </c>
      <c r="B295" s="37" t="str">
        <f ca="1">IF(Agent02_Withdrawals!A100="","","WD"&amp;TEXT(295-3,"0000")&amp;"-"&amp;TEXT(TODAY(),"YYYYMMDD"))</f>
        <v/>
      </c>
      <c r="C295" s="37" t="str">
        <f>IF(Agent02_Withdrawals!A100="","",Agent02_Withdrawals!B100)</f>
        <v/>
      </c>
      <c r="D295" s="40" t="str">
        <f>IF(Agent02_Withdrawals!A100="","",Agent02_Withdrawals!C100)</f>
        <v/>
      </c>
      <c r="E295" s="38" t="str">
        <f>IF(Agent02_Withdrawals!A100="","",Agent02_Withdrawals!D100)</f>
        <v/>
      </c>
      <c r="F295" s="37" t="str">
        <f>IF(Agent02_Withdrawals!A100="","",Agent02_Withdrawals!F100)</f>
        <v/>
      </c>
      <c r="G295" s="39" t="str">
        <f>IF(Agent02_Withdrawals!A100="","",Agent02_Withdrawals!E100)</f>
        <v/>
      </c>
      <c r="H295" s="39" t="str">
        <f>IF(Agent02_Withdrawals!A100="","",Agent02_Withdrawals!G100)</f>
        <v/>
      </c>
      <c r="I295" s="37" t="str">
        <f>IF(Agent02_Withdrawals!A100="","",Agent02_Withdrawals!H100)</f>
        <v/>
      </c>
      <c r="J295" s="37" t="str">
        <f>IF(Agent02_Withdrawals!A100="","",Agent02_Withdrawals!J100)</f>
        <v/>
      </c>
      <c r="K295" s="37" t="str">
        <f>IF(Agent02_Withdrawals!A100="","",Agent02_Withdrawals!K100)</f>
        <v/>
      </c>
      <c r="L295" s="37" t="str">
        <f>IF(G295="","",IF(D295-G295&gt;=System_Config!$B$9,"✅ OK","⚠️ BREACH"))</f>
        <v/>
      </c>
      <c r="M295" s="37" t="str">
        <f>IFERROR(IF(Agent02_Withdrawals!A100="","",YEAR(Agent02_Withdrawals!D100)),"")</f>
        <v/>
      </c>
    </row>
    <row r="296" spans="1:13" ht="18" customHeight="1" x14ac:dyDescent="0.25">
      <c r="A296" s="37" t="str">
        <f>IF(Agent02_Withdrawals!A101="","",Agent02_Withdrawals!A101)</f>
        <v/>
      </c>
      <c r="B296" s="37" t="str">
        <f ca="1">IF(Agent02_Withdrawals!A101="","","WD"&amp;TEXT(296-3,"0000")&amp;"-"&amp;TEXT(TODAY(),"YYYYMMDD"))</f>
        <v/>
      </c>
      <c r="C296" s="37" t="str">
        <f>IF(Agent02_Withdrawals!A101="","",Agent02_Withdrawals!B101)</f>
        <v/>
      </c>
      <c r="D296" s="40" t="str">
        <f>IF(Agent02_Withdrawals!A101="","",Agent02_Withdrawals!C101)</f>
        <v/>
      </c>
      <c r="E296" s="38" t="str">
        <f>IF(Agent02_Withdrawals!A101="","",Agent02_Withdrawals!D101)</f>
        <v/>
      </c>
      <c r="F296" s="37" t="str">
        <f>IF(Agent02_Withdrawals!A101="","",Agent02_Withdrawals!F101)</f>
        <v/>
      </c>
      <c r="G296" s="39" t="str">
        <f>IF(Agent02_Withdrawals!A101="","",Agent02_Withdrawals!E101)</f>
        <v/>
      </c>
      <c r="H296" s="39" t="str">
        <f>IF(Agent02_Withdrawals!A101="","",Agent02_Withdrawals!G101)</f>
        <v/>
      </c>
      <c r="I296" s="37" t="str">
        <f>IF(Agent02_Withdrawals!A101="","",Agent02_Withdrawals!H101)</f>
        <v/>
      </c>
      <c r="J296" s="37" t="str">
        <f>IF(Agent02_Withdrawals!A101="","",Agent02_Withdrawals!J101)</f>
        <v/>
      </c>
      <c r="K296" s="37" t="str">
        <f>IF(Agent02_Withdrawals!A101="","",Agent02_Withdrawals!K101)</f>
        <v/>
      </c>
      <c r="L296" s="37" t="str">
        <f>IF(G296="","",IF(D296-G296&gt;=System_Config!$B$9,"✅ OK","⚠️ BREACH"))</f>
        <v/>
      </c>
      <c r="M296" s="37" t="str">
        <f>IFERROR(IF(Agent02_Withdrawals!A101="","",YEAR(Agent02_Withdrawals!D101)),"")</f>
        <v/>
      </c>
    </row>
    <row r="297" spans="1:13" ht="18" customHeight="1" x14ac:dyDescent="0.25">
      <c r="A297" s="37" t="str">
        <f>IF(Agent02_Withdrawals!A102="","",Agent02_Withdrawals!A102)</f>
        <v/>
      </c>
      <c r="B297" s="37" t="str">
        <f ca="1">IF(Agent02_Withdrawals!A102="","","WD"&amp;TEXT(297-3,"0000")&amp;"-"&amp;TEXT(TODAY(),"YYYYMMDD"))</f>
        <v/>
      </c>
      <c r="C297" s="37" t="str">
        <f>IF(Agent02_Withdrawals!A102="","",Agent02_Withdrawals!B102)</f>
        <v/>
      </c>
      <c r="D297" s="40" t="str">
        <f>IF(Agent02_Withdrawals!A102="","",Agent02_Withdrawals!C102)</f>
        <v/>
      </c>
      <c r="E297" s="38" t="str">
        <f>IF(Agent02_Withdrawals!A102="","",Agent02_Withdrawals!D102)</f>
        <v/>
      </c>
      <c r="F297" s="37" t="str">
        <f>IF(Agent02_Withdrawals!A102="","",Agent02_Withdrawals!F102)</f>
        <v/>
      </c>
      <c r="G297" s="39" t="str">
        <f>IF(Agent02_Withdrawals!A102="","",Agent02_Withdrawals!E102)</f>
        <v/>
      </c>
      <c r="H297" s="39" t="str">
        <f>IF(Agent02_Withdrawals!A102="","",Agent02_Withdrawals!G102)</f>
        <v/>
      </c>
      <c r="I297" s="37" t="str">
        <f>IF(Agent02_Withdrawals!A102="","",Agent02_Withdrawals!H102)</f>
        <v/>
      </c>
      <c r="J297" s="37" t="str">
        <f>IF(Agent02_Withdrawals!A102="","",Agent02_Withdrawals!J102)</f>
        <v/>
      </c>
      <c r="K297" s="37" t="str">
        <f>IF(Agent02_Withdrawals!A102="","",Agent02_Withdrawals!K102)</f>
        <v/>
      </c>
      <c r="L297" s="37" t="str">
        <f>IF(G297="","",IF(D297-G297&gt;=System_Config!$B$9,"✅ OK","⚠️ BREACH"))</f>
        <v/>
      </c>
      <c r="M297" s="37" t="str">
        <f>IFERROR(IF(Agent02_Withdrawals!A102="","",YEAR(Agent02_Withdrawals!D102)),"")</f>
        <v/>
      </c>
    </row>
    <row r="298" spans="1:13" ht="18" customHeight="1" x14ac:dyDescent="0.25">
      <c r="A298" s="37" t="str">
        <f>IF(Agent02_Withdrawals!A103="","",Agent02_Withdrawals!A103)</f>
        <v/>
      </c>
      <c r="B298" s="37" t="str">
        <f ca="1">IF(Agent02_Withdrawals!A103="","","WD"&amp;TEXT(298-3,"0000")&amp;"-"&amp;TEXT(TODAY(),"YYYYMMDD"))</f>
        <v/>
      </c>
      <c r="C298" s="37" t="str">
        <f>IF(Agent02_Withdrawals!A103="","",Agent02_Withdrawals!B103)</f>
        <v/>
      </c>
      <c r="D298" s="40" t="str">
        <f>IF(Agent02_Withdrawals!A103="","",Agent02_Withdrawals!C103)</f>
        <v/>
      </c>
      <c r="E298" s="38" t="str">
        <f>IF(Agent02_Withdrawals!A103="","",Agent02_Withdrawals!D103)</f>
        <v/>
      </c>
      <c r="F298" s="37" t="str">
        <f>IF(Agent02_Withdrawals!A103="","",Agent02_Withdrawals!F103)</f>
        <v/>
      </c>
      <c r="G298" s="39" t="str">
        <f>IF(Agent02_Withdrawals!A103="","",Agent02_Withdrawals!E103)</f>
        <v/>
      </c>
      <c r="H298" s="39" t="str">
        <f>IF(Agent02_Withdrawals!A103="","",Agent02_Withdrawals!G103)</f>
        <v/>
      </c>
      <c r="I298" s="37" t="str">
        <f>IF(Agent02_Withdrawals!A103="","",Agent02_Withdrawals!H103)</f>
        <v/>
      </c>
      <c r="J298" s="37" t="str">
        <f>IF(Agent02_Withdrawals!A103="","",Agent02_Withdrawals!J103)</f>
        <v/>
      </c>
      <c r="K298" s="37" t="str">
        <f>IF(Agent02_Withdrawals!A103="","",Agent02_Withdrawals!K103)</f>
        <v/>
      </c>
      <c r="L298" s="37" t="str">
        <f>IF(G298="","",IF(D298-G298&gt;=System_Config!$B$9,"✅ OK","⚠️ BREACH"))</f>
        <v/>
      </c>
      <c r="M298" s="37" t="str">
        <f>IFERROR(IF(Agent02_Withdrawals!A103="","",YEAR(Agent02_Withdrawals!D103)),"")</f>
        <v/>
      </c>
    </row>
    <row r="299" spans="1:13" ht="18" customHeight="1" x14ac:dyDescent="0.25">
      <c r="A299" s="37" t="str">
        <f>IF(Agent02_Withdrawals!A104="","",Agent02_Withdrawals!A104)</f>
        <v/>
      </c>
      <c r="B299" s="37" t="str">
        <f ca="1">IF(Agent02_Withdrawals!A104="","","WD"&amp;TEXT(299-3,"0000")&amp;"-"&amp;TEXT(TODAY(),"YYYYMMDD"))</f>
        <v/>
      </c>
      <c r="C299" s="37" t="str">
        <f>IF(Agent02_Withdrawals!A104="","",Agent02_Withdrawals!B104)</f>
        <v/>
      </c>
      <c r="D299" s="40" t="str">
        <f>IF(Agent02_Withdrawals!A104="","",Agent02_Withdrawals!C104)</f>
        <v/>
      </c>
      <c r="E299" s="38" t="str">
        <f>IF(Agent02_Withdrawals!A104="","",Agent02_Withdrawals!D104)</f>
        <v/>
      </c>
      <c r="F299" s="37" t="str">
        <f>IF(Agent02_Withdrawals!A104="","",Agent02_Withdrawals!F104)</f>
        <v/>
      </c>
      <c r="G299" s="39" t="str">
        <f>IF(Agent02_Withdrawals!A104="","",Agent02_Withdrawals!E104)</f>
        <v/>
      </c>
      <c r="H299" s="39" t="str">
        <f>IF(Agent02_Withdrawals!A104="","",Agent02_Withdrawals!G104)</f>
        <v/>
      </c>
      <c r="I299" s="37" t="str">
        <f>IF(Agent02_Withdrawals!A104="","",Agent02_Withdrawals!H104)</f>
        <v/>
      </c>
      <c r="J299" s="37" t="str">
        <f>IF(Agent02_Withdrawals!A104="","",Agent02_Withdrawals!J104)</f>
        <v/>
      </c>
      <c r="K299" s="37" t="str">
        <f>IF(Agent02_Withdrawals!A104="","",Agent02_Withdrawals!K104)</f>
        <v/>
      </c>
      <c r="L299" s="37" t="str">
        <f>IF(G299="","",IF(D299-G299&gt;=System_Config!$B$9,"✅ OK","⚠️ BREACH"))</f>
        <v/>
      </c>
      <c r="M299" s="37" t="str">
        <f>IFERROR(IF(Agent02_Withdrawals!A104="","",YEAR(Agent02_Withdrawals!D104)),"")</f>
        <v/>
      </c>
    </row>
    <row r="300" spans="1:13" ht="18" customHeight="1" x14ac:dyDescent="0.25">
      <c r="A300" s="37" t="str">
        <f>IF(Agent02_Withdrawals!A105="","",Agent02_Withdrawals!A105)</f>
        <v/>
      </c>
      <c r="B300" s="37" t="str">
        <f ca="1">IF(Agent02_Withdrawals!A105="","","WD"&amp;TEXT(300-3,"0000")&amp;"-"&amp;TEXT(TODAY(),"YYYYMMDD"))</f>
        <v/>
      </c>
      <c r="C300" s="37" t="str">
        <f>IF(Agent02_Withdrawals!A105="","",Agent02_Withdrawals!B105)</f>
        <v/>
      </c>
      <c r="D300" s="40" t="str">
        <f>IF(Agent02_Withdrawals!A105="","",Agent02_Withdrawals!C105)</f>
        <v/>
      </c>
      <c r="E300" s="38" t="str">
        <f>IF(Agent02_Withdrawals!A105="","",Agent02_Withdrawals!D105)</f>
        <v/>
      </c>
      <c r="F300" s="37" t="str">
        <f>IF(Agent02_Withdrawals!A105="","",Agent02_Withdrawals!F105)</f>
        <v/>
      </c>
      <c r="G300" s="39" t="str">
        <f>IF(Agent02_Withdrawals!A105="","",Agent02_Withdrawals!E105)</f>
        <v/>
      </c>
      <c r="H300" s="39" t="str">
        <f>IF(Agent02_Withdrawals!A105="","",Agent02_Withdrawals!G105)</f>
        <v/>
      </c>
      <c r="I300" s="37" t="str">
        <f>IF(Agent02_Withdrawals!A105="","",Agent02_Withdrawals!H105)</f>
        <v/>
      </c>
      <c r="J300" s="37" t="str">
        <f>IF(Agent02_Withdrawals!A105="","",Agent02_Withdrawals!J105)</f>
        <v/>
      </c>
      <c r="K300" s="37" t="str">
        <f>IF(Agent02_Withdrawals!A105="","",Agent02_Withdrawals!K105)</f>
        <v/>
      </c>
      <c r="L300" s="37" t="str">
        <f>IF(G300="","",IF(D300-G300&gt;=System_Config!$B$9,"✅ OK","⚠️ BREACH"))</f>
        <v/>
      </c>
      <c r="M300" s="37" t="str">
        <f>IFERROR(IF(Agent02_Withdrawals!A105="","",YEAR(Agent02_Withdrawals!D105)),"")</f>
        <v/>
      </c>
    </row>
    <row r="301" spans="1:13" ht="18" customHeight="1" x14ac:dyDescent="0.25">
      <c r="A301" s="37" t="str">
        <f>IF(Agent02_Withdrawals!A106="","",Agent02_Withdrawals!A106)</f>
        <v/>
      </c>
      <c r="B301" s="37" t="str">
        <f ca="1">IF(Agent02_Withdrawals!A106="","","WD"&amp;TEXT(301-3,"0000")&amp;"-"&amp;TEXT(TODAY(),"YYYYMMDD"))</f>
        <v/>
      </c>
      <c r="C301" s="37" t="str">
        <f>IF(Agent02_Withdrawals!A106="","",Agent02_Withdrawals!B106)</f>
        <v/>
      </c>
      <c r="D301" s="40" t="str">
        <f>IF(Agent02_Withdrawals!A106="","",Agent02_Withdrawals!C106)</f>
        <v/>
      </c>
      <c r="E301" s="38" t="str">
        <f>IF(Agent02_Withdrawals!A106="","",Agent02_Withdrawals!D106)</f>
        <v/>
      </c>
      <c r="F301" s="37" t="str">
        <f>IF(Agent02_Withdrawals!A106="","",Agent02_Withdrawals!F106)</f>
        <v/>
      </c>
      <c r="G301" s="39" t="str">
        <f>IF(Agent02_Withdrawals!A106="","",Agent02_Withdrawals!E106)</f>
        <v/>
      </c>
      <c r="H301" s="39" t="str">
        <f>IF(Agent02_Withdrawals!A106="","",Agent02_Withdrawals!G106)</f>
        <v/>
      </c>
      <c r="I301" s="37" t="str">
        <f>IF(Agent02_Withdrawals!A106="","",Agent02_Withdrawals!H106)</f>
        <v/>
      </c>
      <c r="J301" s="37" t="str">
        <f>IF(Agent02_Withdrawals!A106="","",Agent02_Withdrawals!J106)</f>
        <v/>
      </c>
      <c r="K301" s="37" t="str">
        <f>IF(Agent02_Withdrawals!A106="","",Agent02_Withdrawals!K106)</f>
        <v/>
      </c>
      <c r="L301" s="37" t="str">
        <f>IF(G301="","",IF(D301-G301&gt;=System_Config!$B$9,"✅ OK","⚠️ BREACH"))</f>
        <v/>
      </c>
      <c r="M301" s="37" t="str">
        <f>IFERROR(IF(Agent02_Withdrawals!A106="","",YEAR(Agent02_Withdrawals!D106)),"")</f>
        <v/>
      </c>
    </row>
    <row r="302" spans="1:13" ht="18" customHeight="1" x14ac:dyDescent="0.25">
      <c r="A302" s="37" t="str">
        <f>IF(Agent02_Withdrawals!A107="","",Agent02_Withdrawals!A107)</f>
        <v/>
      </c>
      <c r="B302" s="37" t="str">
        <f ca="1">IF(Agent02_Withdrawals!A107="","","WD"&amp;TEXT(302-3,"0000")&amp;"-"&amp;TEXT(TODAY(),"YYYYMMDD"))</f>
        <v/>
      </c>
      <c r="C302" s="37" t="str">
        <f>IF(Agent02_Withdrawals!A107="","",Agent02_Withdrawals!B107)</f>
        <v/>
      </c>
      <c r="D302" s="40" t="str">
        <f>IF(Agent02_Withdrawals!A107="","",Agent02_Withdrawals!C107)</f>
        <v/>
      </c>
      <c r="E302" s="38" t="str">
        <f>IF(Agent02_Withdrawals!A107="","",Agent02_Withdrawals!D107)</f>
        <v/>
      </c>
      <c r="F302" s="37" t="str">
        <f>IF(Agent02_Withdrawals!A107="","",Agent02_Withdrawals!F107)</f>
        <v/>
      </c>
      <c r="G302" s="39" t="str">
        <f>IF(Agent02_Withdrawals!A107="","",Agent02_Withdrawals!E107)</f>
        <v/>
      </c>
      <c r="H302" s="39" t="str">
        <f>IF(Agent02_Withdrawals!A107="","",Agent02_Withdrawals!G107)</f>
        <v/>
      </c>
      <c r="I302" s="37" t="str">
        <f>IF(Agent02_Withdrawals!A107="","",Agent02_Withdrawals!H107)</f>
        <v/>
      </c>
      <c r="J302" s="37" t="str">
        <f>IF(Agent02_Withdrawals!A107="","",Agent02_Withdrawals!J107)</f>
        <v/>
      </c>
      <c r="K302" s="37" t="str">
        <f>IF(Agent02_Withdrawals!A107="","",Agent02_Withdrawals!K107)</f>
        <v/>
      </c>
      <c r="L302" s="37" t="str">
        <f>IF(G302="","",IF(D302-G302&gt;=System_Config!$B$9,"✅ OK","⚠️ BREACH"))</f>
        <v/>
      </c>
      <c r="M302" s="37" t="str">
        <f>IFERROR(IF(Agent02_Withdrawals!A107="","",YEAR(Agent02_Withdrawals!D107)),"")</f>
        <v/>
      </c>
    </row>
    <row r="303" spans="1:13" ht="18" customHeight="1" x14ac:dyDescent="0.25">
      <c r="A303" s="37" t="str">
        <f>IF(Agent02_Withdrawals!A108="","",Agent02_Withdrawals!A108)</f>
        <v/>
      </c>
      <c r="B303" s="37" t="str">
        <f ca="1">IF(Agent02_Withdrawals!A108="","","WD"&amp;TEXT(303-3,"0000")&amp;"-"&amp;TEXT(TODAY(),"YYYYMMDD"))</f>
        <v/>
      </c>
      <c r="C303" s="37" t="str">
        <f>IF(Agent02_Withdrawals!A108="","",Agent02_Withdrawals!B108)</f>
        <v/>
      </c>
      <c r="D303" s="40" t="str">
        <f>IF(Agent02_Withdrawals!A108="","",Agent02_Withdrawals!C108)</f>
        <v/>
      </c>
      <c r="E303" s="38" t="str">
        <f>IF(Agent02_Withdrawals!A108="","",Agent02_Withdrawals!D108)</f>
        <v/>
      </c>
      <c r="F303" s="37" t="str">
        <f>IF(Agent02_Withdrawals!A108="","",Agent02_Withdrawals!F108)</f>
        <v/>
      </c>
      <c r="G303" s="39" t="str">
        <f>IF(Agent02_Withdrawals!A108="","",Agent02_Withdrawals!E108)</f>
        <v/>
      </c>
      <c r="H303" s="39" t="str">
        <f>IF(Agent02_Withdrawals!A108="","",Agent02_Withdrawals!G108)</f>
        <v/>
      </c>
      <c r="I303" s="37" t="str">
        <f>IF(Agent02_Withdrawals!A108="","",Agent02_Withdrawals!H108)</f>
        <v/>
      </c>
      <c r="J303" s="37" t="str">
        <f>IF(Agent02_Withdrawals!A108="","",Agent02_Withdrawals!J108)</f>
        <v/>
      </c>
      <c r="K303" s="37" t="str">
        <f>IF(Agent02_Withdrawals!A108="","",Agent02_Withdrawals!K108)</f>
        <v/>
      </c>
      <c r="L303" s="37" t="str">
        <f>IF(G303="","",IF(D303-G303&gt;=System_Config!$B$9,"✅ OK","⚠️ BREACH"))</f>
        <v/>
      </c>
      <c r="M303" s="37" t="str">
        <f>IFERROR(IF(Agent02_Withdrawals!A108="","",YEAR(Agent02_Withdrawals!D108)),"")</f>
        <v/>
      </c>
    </row>
    <row r="304" spans="1:13" ht="18" customHeight="1" x14ac:dyDescent="0.25">
      <c r="A304" s="37" t="str">
        <f>IF(Agent02_Withdrawals!A109="","",Agent02_Withdrawals!A109)</f>
        <v/>
      </c>
      <c r="B304" s="37" t="str">
        <f ca="1">IF(Agent02_Withdrawals!A109="","","WD"&amp;TEXT(304-3,"0000")&amp;"-"&amp;TEXT(TODAY(),"YYYYMMDD"))</f>
        <v/>
      </c>
      <c r="C304" s="37" t="str">
        <f>IF(Agent02_Withdrawals!A109="","",Agent02_Withdrawals!B109)</f>
        <v/>
      </c>
      <c r="D304" s="40" t="str">
        <f>IF(Agent02_Withdrawals!A109="","",Agent02_Withdrawals!C109)</f>
        <v/>
      </c>
      <c r="E304" s="38" t="str">
        <f>IF(Agent02_Withdrawals!A109="","",Agent02_Withdrawals!D109)</f>
        <v/>
      </c>
      <c r="F304" s="37" t="str">
        <f>IF(Agent02_Withdrawals!A109="","",Agent02_Withdrawals!F109)</f>
        <v/>
      </c>
      <c r="G304" s="39" t="str">
        <f>IF(Agent02_Withdrawals!A109="","",Agent02_Withdrawals!E109)</f>
        <v/>
      </c>
      <c r="H304" s="39" t="str">
        <f>IF(Agent02_Withdrawals!A109="","",Agent02_Withdrawals!G109)</f>
        <v/>
      </c>
      <c r="I304" s="37" t="str">
        <f>IF(Agent02_Withdrawals!A109="","",Agent02_Withdrawals!H109)</f>
        <v/>
      </c>
      <c r="J304" s="37" t="str">
        <f>IF(Agent02_Withdrawals!A109="","",Agent02_Withdrawals!J109)</f>
        <v/>
      </c>
      <c r="K304" s="37" t="str">
        <f>IF(Agent02_Withdrawals!A109="","",Agent02_Withdrawals!K109)</f>
        <v/>
      </c>
      <c r="L304" s="37" t="str">
        <f>IF(G304="","",IF(D304-G304&gt;=System_Config!$B$9,"✅ OK","⚠️ BREACH"))</f>
        <v/>
      </c>
      <c r="M304" s="37" t="str">
        <f>IFERROR(IF(Agent02_Withdrawals!A109="","",YEAR(Agent02_Withdrawals!D109)),"")</f>
        <v/>
      </c>
    </row>
    <row r="305" spans="1:13" ht="18" customHeight="1" x14ac:dyDescent="0.25">
      <c r="A305" s="37" t="str">
        <f>IF(Agent02_Withdrawals!A110="","",Agent02_Withdrawals!A110)</f>
        <v/>
      </c>
      <c r="B305" s="37" t="str">
        <f ca="1">IF(Agent02_Withdrawals!A110="","","WD"&amp;TEXT(305-3,"0000")&amp;"-"&amp;TEXT(TODAY(),"YYYYMMDD"))</f>
        <v/>
      </c>
      <c r="C305" s="37" t="str">
        <f>IF(Agent02_Withdrawals!A110="","",Agent02_Withdrawals!B110)</f>
        <v/>
      </c>
      <c r="D305" s="40" t="str">
        <f>IF(Agent02_Withdrawals!A110="","",Agent02_Withdrawals!C110)</f>
        <v/>
      </c>
      <c r="E305" s="38" t="str">
        <f>IF(Agent02_Withdrawals!A110="","",Agent02_Withdrawals!D110)</f>
        <v/>
      </c>
      <c r="F305" s="37" t="str">
        <f>IF(Agent02_Withdrawals!A110="","",Agent02_Withdrawals!F110)</f>
        <v/>
      </c>
      <c r="G305" s="39" t="str">
        <f>IF(Agent02_Withdrawals!A110="","",Agent02_Withdrawals!E110)</f>
        <v/>
      </c>
      <c r="H305" s="39" t="str">
        <f>IF(Agent02_Withdrawals!A110="","",Agent02_Withdrawals!G110)</f>
        <v/>
      </c>
      <c r="I305" s="37" t="str">
        <f>IF(Agent02_Withdrawals!A110="","",Agent02_Withdrawals!H110)</f>
        <v/>
      </c>
      <c r="J305" s="37" t="str">
        <f>IF(Agent02_Withdrawals!A110="","",Agent02_Withdrawals!J110)</f>
        <v/>
      </c>
      <c r="K305" s="37" t="str">
        <f>IF(Agent02_Withdrawals!A110="","",Agent02_Withdrawals!K110)</f>
        <v/>
      </c>
      <c r="L305" s="37" t="str">
        <f>IF(G305="","",IF(D305-G305&gt;=System_Config!$B$9,"✅ OK","⚠️ BREACH"))</f>
        <v/>
      </c>
      <c r="M305" s="37" t="str">
        <f>IFERROR(IF(Agent02_Withdrawals!A110="","",YEAR(Agent02_Withdrawals!D110)),"")</f>
        <v/>
      </c>
    </row>
    <row r="306" spans="1:13" ht="18" customHeight="1" x14ac:dyDescent="0.25">
      <c r="A306" s="37" t="str">
        <f>IF(Agent02_Withdrawals!A111="","",Agent02_Withdrawals!A111)</f>
        <v/>
      </c>
      <c r="B306" s="37" t="str">
        <f ca="1">IF(Agent02_Withdrawals!A111="","","WD"&amp;TEXT(306-3,"0000")&amp;"-"&amp;TEXT(TODAY(),"YYYYMMDD"))</f>
        <v/>
      </c>
      <c r="C306" s="37" t="str">
        <f>IF(Agent02_Withdrawals!A111="","",Agent02_Withdrawals!B111)</f>
        <v/>
      </c>
      <c r="D306" s="40" t="str">
        <f>IF(Agent02_Withdrawals!A111="","",Agent02_Withdrawals!C111)</f>
        <v/>
      </c>
      <c r="E306" s="38" t="str">
        <f>IF(Agent02_Withdrawals!A111="","",Agent02_Withdrawals!D111)</f>
        <v/>
      </c>
      <c r="F306" s="37" t="str">
        <f>IF(Agent02_Withdrawals!A111="","",Agent02_Withdrawals!F111)</f>
        <v/>
      </c>
      <c r="G306" s="39" t="str">
        <f>IF(Agent02_Withdrawals!A111="","",Agent02_Withdrawals!E111)</f>
        <v/>
      </c>
      <c r="H306" s="39" t="str">
        <f>IF(Agent02_Withdrawals!A111="","",Agent02_Withdrawals!G111)</f>
        <v/>
      </c>
      <c r="I306" s="37" t="str">
        <f>IF(Agent02_Withdrawals!A111="","",Agent02_Withdrawals!H111)</f>
        <v/>
      </c>
      <c r="J306" s="37" t="str">
        <f>IF(Agent02_Withdrawals!A111="","",Agent02_Withdrawals!J111)</f>
        <v/>
      </c>
      <c r="K306" s="37" t="str">
        <f>IF(Agent02_Withdrawals!A111="","",Agent02_Withdrawals!K111)</f>
        <v/>
      </c>
      <c r="L306" s="37" t="str">
        <f>IF(G306="","",IF(D306-G306&gt;=System_Config!$B$9,"✅ OK","⚠️ BREACH"))</f>
        <v/>
      </c>
      <c r="M306" s="37" t="str">
        <f>IFERROR(IF(Agent02_Withdrawals!A111="","",YEAR(Agent02_Withdrawals!D111)),"")</f>
        <v/>
      </c>
    </row>
    <row r="307" spans="1:13" ht="18" customHeight="1" x14ac:dyDescent="0.25">
      <c r="A307" s="37" t="str">
        <f>IF(Agent02_Withdrawals!A112="","",Agent02_Withdrawals!A112)</f>
        <v/>
      </c>
      <c r="B307" s="37" t="str">
        <f ca="1">IF(Agent02_Withdrawals!A112="","","WD"&amp;TEXT(307-3,"0000")&amp;"-"&amp;TEXT(TODAY(),"YYYYMMDD"))</f>
        <v/>
      </c>
      <c r="C307" s="37" t="str">
        <f>IF(Agent02_Withdrawals!A112="","",Agent02_Withdrawals!B112)</f>
        <v/>
      </c>
      <c r="D307" s="40" t="str">
        <f>IF(Agent02_Withdrawals!A112="","",Agent02_Withdrawals!C112)</f>
        <v/>
      </c>
      <c r="E307" s="38" t="str">
        <f>IF(Agent02_Withdrawals!A112="","",Agent02_Withdrawals!D112)</f>
        <v/>
      </c>
      <c r="F307" s="37" t="str">
        <f>IF(Agent02_Withdrawals!A112="","",Agent02_Withdrawals!F112)</f>
        <v/>
      </c>
      <c r="G307" s="39" t="str">
        <f>IF(Agent02_Withdrawals!A112="","",Agent02_Withdrawals!E112)</f>
        <v/>
      </c>
      <c r="H307" s="39" t="str">
        <f>IF(Agent02_Withdrawals!A112="","",Agent02_Withdrawals!G112)</f>
        <v/>
      </c>
      <c r="I307" s="37" t="str">
        <f>IF(Agent02_Withdrawals!A112="","",Agent02_Withdrawals!H112)</f>
        <v/>
      </c>
      <c r="J307" s="37" t="str">
        <f>IF(Agent02_Withdrawals!A112="","",Agent02_Withdrawals!J112)</f>
        <v/>
      </c>
      <c r="K307" s="37" t="str">
        <f>IF(Agent02_Withdrawals!A112="","",Agent02_Withdrawals!K112)</f>
        <v/>
      </c>
      <c r="L307" s="37" t="str">
        <f>IF(G307="","",IF(D307-G307&gt;=System_Config!$B$9,"✅ OK","⚠️ BREACH"))</f>
        <v/>
      </c>
      <c r="M307" s="37" t="str">
        <f>IFERROR(IF(Agent02_Withdrawals!A112="","",YEAR(Agent02_Withdrawals!D112)),"")</f>
        <v/>
      </c>
    </row>
    <row r="308" spans="1:13" ht="18" customHeight="1" x14ac:dyDescent="0.25">
      <c r="A308" s="37" t="str">
        <f>IF(Agent02_Withdrawals!A113="","",Agent02_Withdrawals!A113)</f>
        <v/>
      </c>
      <c r="B308" s="37" t="str">
        <f ca="1">IF(Agent02_Withdrawals!A113="","","WD"&amp;TEXT(308-3,"0000")&amp;"-"&amp;TEXT(TODAY(),"YYYYMMDD"))</f>
        <v/>
      </c>
      <c r="C308" s="37" t="str">
        <f>IF(Agent02_Withdrawals!A113="","",Agent02_Withdrawals!B113)</f>
        <v/>
      </c>
      <c r="D308" s="40" t="str">
        <f>IF(Agent02_Withdrawals!A113="","",Agent02_Withdrawals!C113)</f>
        <v/>
      </c>
      <c r="E308" s="38" t="str">
        <f>IF(Agent02_Withdrawals!A113="","",Agent02_Withdrawals!D113)</f>
        <v/>
      </c>
      <c r="F308" s="37" t="str">
        <f>IF(Agent02_Withdrawals!A113="","",Agent02_Withdrawals!F113)</f>
        <v/>
      </c>
      <c r="G308" s="39" t="str">
        <f>IF(Agent02_Withdrawals!A113="","",Agent02_Withdrawals!E113)</f>
        <v/>
      </c>
      <c r="H308" s="39" t="str">
        <f>IF(Agent02_Withdrawals!A113="","",Agent02_Withdrawals!G113)</f>
        <v/>
      </c>
      <c r="I308" s="37" t="str">
        <f>IF(Agent02_Withdrawals!A113="","",Agent02_Withdrawals!H113)</f>
        <v/>
      </c>
      <c r="J308" s="37" t="str">
        <f>IF(Agent02_Withdrawals!A113="","",Agent02_Withdrawals!J113)</f>
        <v/>
      </c>
      <c r="K308" s="37" t="str">
        <f>IF(Agent02_Withdrawals!A113="","",Agent02_Withdrawals!K113)</f>
        <v/>
      </c>
      <c r="L308" s="37" t="str">
        <f>IF(G308="","",IF(D308-G308&gt;=System_Config!$B$9,"✅ OK","⚠️ BREACH"))</f>
        <v/>
      </c>
      <c r="M308" s="37" t="str">
        <f>IFERROR(IF(Agent02_Withdrawals!A113="","",YEAR(Agent02_Withdrawals!D113)),"")</f>
        <v/>
      </c>
    </row>
    <row r="309" spans="1:13" ht="18" customHeight="1" x14ac:dyDescent="0.25">
      <c r="A309" s="37" t="str">
        <f>IF(Agent02_Withdrawals!A114="","",Agent02_Withdrawals!A114)</f>
        <v/>
      </c>
      <c r="B309" s="37" t="str">
        <f ca="1">IF(Agent02_Withdrawals!A114="","","WD"&amp;TEXT(309-3,"0000")&amp;"-"&amp;TEXT(TODAY(),"YYYYMMDD"))</f>
        <v/>
      </c>
      <c r="C309" s="37" t="str">
        <f>IF(Agent02_Withdrawals!A114="","",Agent02_Withdrawals!B114)</f>
        <v/>
      </c>
      <c r="D309" s="40" t="str">
        <f>IF(Agent02_Withdrawals!A114="","",Agent02_Withdrawals!C114)</f>
        <v/>
      </c>
      <c r="E309" s="38" t="str">
        <f>IF(Agent02_Withdrawals!A114="","",Agent02_Withdrawals!D114)</f>
        <v/>
      </c>
      <c r="F309" s="37" t="str">
        <f>IF(Agent02_Withdrawals!A114="","",Agent02_Withdrawals!F114)</f>
        <v/>
      </c>
      <c r="G309" s="39" t="str">
        <f>IF(Agent02_Withdrawals!A114="","",Agent02_Withdrawals!E114)</f>
        <v/>
      </c>
      <c r="H309" s="39" t="str">
        <f>IF(Agent02_Withdrawals!A114="","",Agent02_Withdrawals!G114)</f>
        <v/>
      </c>
      <c r="I309" s="37" t="str">
        <f>IF(Agent02_Withdrawals!A114="","",Agent02_Withdrawals!H114)</f>
        <v/>
      </c>
      <c r="J309" s="37" t="str">
        <f>IF(Agent02_Withdrawals!A114="","",Agent02_Withdrawals!J114)</f>
        <v/>
      </c>
      <c r="K309" s="37" t="str">
        <f>IF(Agent02_Withdrawals!A114="","",Agent02_Withdrawals!K114)</f>
        <v/>
      </c>
      <c r="L309" s="37" t="str">
        <f>IF(G309="","",IF(D309-G309&gt;=System_Config!$B$9,"✅ OK","⚠️ BREACH"))</f>
        <v/>
      </c>
      <c r="M309" s="37" t="str">
        <f>IFERROR(IF(Agent02_Withdrawals!A114="","",YEAR(Agent02_Withdrawals!D114)),"")</f>
        <v/>
      </c>
    </row>
    <row r="310" spans="1:13" ht="18" customHeight="1" x14ac:dyDescent="0.25">
      <c r="A310" s="37" t="str">
        <f>IF(Agent02_Withdrawals!A115="","",Agent02_Withdrawals!A115)</f>
        <v/>
      </c>
      <c r="B310" s="37" t="str">
        <f ca="1">IF(Agent02_Withdrawals!A115="","","WD"&amp;TEXT(310-3,"0000")&amp;"-"&amp;TEXT(TODAY(),"YYYYMMDD"))</f>
        <v/>
      </c>
      <c r="C310" s="37" t="str">
        <f>IF(Agent02_Withdrawals!A115="","",Agent02_Withdrawals!B115)</f>
        <v/>
      </c>
      <c r="D310" s="40" t="str">
        <f>IF(Agent02_Withdrawals!A115="","",Agent02_Withdrawals!C115)</f>
        <v/>
      </c>
      <c r="E310" s="38" t="str">
        <f>IF(Agent02_Withdrawals!A115="","",Agent02_Withdrawals!D115)</f>
        <v/>
      </c>
      <c r="F310" s="37" t="str">
        <f>IF(Agent02_Withdrawals!A115="","",Agent02_Withdrawals!F115)</f>
        <v/>
      </c>
      <c r="G310" s="39" t="str">
        <f>IF(Agent02_Withdrawals!A115="","",Agent02_Withdrawals!E115)</f>
        <v/>
      </c>
      <c r="H310" s="39" t="str">
        <f>IF(Agent02_Withdrawals!A115="","",Agent02_Withdrawals!G115)</f>
        <v/>
      </c>
      <c r="I310" s="37" t="str">
        <f>IF(Agent02_Withdrawals!A115="","",Agent02_Withdrawals!H115)</f>
        <v/>
      </c>
      <c r="J310" s="37" t="str">
        <f>IF(Agent02_Withdrawals!A115="","",Agent02_Withdrawals!J115)</f>
        <v/>
      </c>
      <c r="K310" s="37" t="str">
        <f>IF(Agent02_Withdrawals!A115="","",Agent02_Withdrawals!K115)</f>
        <v/>
      </c>
      <c r="L310" s="37" t="str">
        <f>IF(G310="","",IF(D310-G310&gt;=System_Config!$B$9,"✅ OK","⚠️ BREACH"))</f>
        <v/>
      </c>
      <c r="M310" s="37" t="str">
        <f>IFERROR(IF(Agent02_Withdrawals!A115="","",YEAR(Agent02_Withdrawals!D115)),"")</f>
        <v/>
      </c>
    </row>
    <row r="311" spans="1:13" ht="18" customHeight="1" x14ac:dyDescent="0.25">
      <c r="A311" s="37" t="str">
        <f>IF(Agent02_Withdrawals!A116="","",Agent02_Withdrawals!A116)</f>
        <v/>
      </c>
      <c r="B311" s="37" t="str">
        <f ca="1">IF(Agent02_Withdrawals!A116="","","WD"&amp;TEXT(311-3,"0000")&amp;"-"&amp;TEXT(TODAY(),"YYYYMMDD"))</f>
        <v/>
      </c>
      <c r="C311" s="37" t="str">
        <f>IF(Agent02_Withdrawals!A116="","",Agent02_Withdrawals!B116)</f>
        <v/>
      </c>
      <c r="D311" s="40" t="str">
        <f>IF(Agent02_Withdrawals!A116="","",Agent02_Withdrawals!C116)</f>
        <v/>
      </c>
      <c r="E311" s="38" t="str">
        <f>IF(Agent02_Withdrawals!A116="","",Agent02_Withdrawals!D116)</f>
        <v/>
      </c>
      <c r="F311" s="37" t="str">
        <f>IF(Agent02_Withdrawals!A116="","",Agent02_Withdrawals!F116)</f>
        <v/>
      </c>
      <c r="G311" s="39" t="str">
        <f>IF(Agent02_Withdrawals!A116="","",Agent02_Withdrawals!E116)</f>
        <v/>
      </c>
      <c r="H311" s="39" t="str">
        <f>IF(Agent02_Withdrawals!A116="","",Agent02_Withdrawals!G116)</f>
        <v/>
      </c>
      <c r="I311" s="37" t="str">
        <f>IF(Agent02_Withdrawals!A116="","",Agent02_Withdrawals!H116)</f>
        <v/>
      </c>
      <c r="J311" s="37" t="str">
        <f>IF(Agent02_Withdrawals!A116="","",Agent02_Withdrawals!J116)</f>
        <v/>
      </c>
      <c r="K311" s="37" t="str">
        <f>IF(Agent02_Withdrawals!A116="","",Agent02_Withdrawals!K116)</f>
        <v/>
      </c>
      <c r="L311" s="37" t="str">
        <f>IF(G311="","",IF(D311-G311&gt;=System_Config!$B$9,"✅ OK","⚠️ BREACH"))</f>
        <v/>
      </c>
      <c r="M311" s="37" t="str">
        <f>IFERROR(IF(Agent02_Withdrawals!A116="","",YEAR(Agent02_Withdrawals!D116)),"")</f>
        <v/>
      </c>
    </row>
    <row r="312" spans="1:13" ht="18" customHeight="1" x14ac:dyDescent="0.25">
      <c r="A312" s="37" t="str">
        <f>IF(Agent02_Withdrawals!A117="","",Agent02_Withdrawals!A117)</f>
        <v/>
      </c>
      <c r="B312" s="37" t="str">
        <f ca="1">IF(Agent02_Withdrawals!A117="","","WD"&amp;TEXT(312-3,"0000")&amp;"-"&amp;TEXT(TODAY(),"YYYYMMDD"))</f>
        <v/>
      </c>
      <c r="C312" s="37" t="str">
        <f>IF(Agent02_Withdrawals!A117="","",Agent02_Withdrawals!B117)</f>
        <v/>
      </c>
      <c r="D312" s="40" t="str">
        <f>IF(Agent02_Withdrawals!A117="","",Agent02_Withdrawals!C117)</f>
        <v/>
      </c>
      <c r="E312" s="38" t="str">
        <f>IF(Agent02_Withdrawals!A117="","",Agent02_Withdrawals!D117)</f>
        <v/>
      </c>
      <c r="F312" s="37" t="str">
        <f>IF(Agent02_Withdrawals!A117="","",Agent02_Withdrawals!F117)</f>
        <v/>
      </c>
      <c r="G312" s="39" t="str">
        <f>IF(Agent02_Withdrawals!A117="","",Agent02_Withdrawals!E117)</f>
        <v/>
      </c>
      <c r="H312" s="39" t="str">
        <f>IF(Agent02_Withdrawals!A117="","",Agent02_Withdrawals!G117)</f>
        <v/>
      </c>
      <c r="I312" s="37" t="str">
        <f>IF(Agent02_Withdrawals!A117="","",Agent02_Withdrawals!H117)</f>
        <v/>
      </c>
      <c r="J312" s="37" t="str">
        <f>IF(Agent02_Withdrawals!A117="","",Agent02_Withdrawals!J117)</f>
        <v/>
      </c>
      <c r="K312" s="37" t="str">
        <f>IF(Agent02_Withdrawals!A117="","",Agent02_Withdrawals!K117)</f>
        <v/>
      </c>
      <c r="L312" s="37" t="str">
        <f>IF(G312="","",IF(D312-G312&gt;=System_Config!$B$9,"✅ OK","⚠️ BREACH"))</f>
        <v/>
      </c>
      <c r="M312" s="37" t="str">
        <f>IFERROR(IF(Agent02_Withdrawals!A117="","",YEAR(Agent02_Withdrawals!D117)),"")</f>
        <v/>
      </c>
    </row>
    <row r="313" spans="1:13" ht="18" customHeight="1" x14ac:dyDescent="0.25">
      <c r="A313" s="37" t="str">
        <f>IF(Agent02_Withdrawals!A118="","",Agent02_Withdrawals!A118)</f>
        <v/>
      </c>
      <c r="B313" s="37" t="str">
        <f ca="1">IF(Agent02_Withdrawals!A118="","","WD"&amp;TEXT(313-3,"0000")&amp;"-"&amp;TEXT(TODAY(),"YYYYMMDD"))</f>
        <v/>
      </c>
      <c r="C313" s="37" t="str">
        <f>IF(Agent02_Withdrawals!A118="","",Agent02_Withdrawals!B118)</f>
        <v/>
      </c>
      <c r="D313" s="40" t="str">
        <f>IF(Agent02_Withdrawals!A118="","",Agent02_Withdrawals!C118)</f>
        <v/>
      </c>
      <c r="E313" s="38" t="str">
        <f>IF(Agent02_Withdrawals!A118="","",Agent02_Withdrawals!D118)</f>
        <v/>
      </c>
      <c r="F313" s="37" t="str">
        <f>IF(Agent02_Withdrawals!A118="","",Agent02_Withdrawals!F118)</f>
        <v/>
      </c>
      <c r="G313" s="39" t="str">
        <f>IF(Agent02_Withdrawals!A118="","",Agent02_Withdrawals!E118)</f>
        <v/>
      </c>
      <c r="H313" s="39" t="str">
        <f>IF(Agent02_Withdrawals!A118="","",Agent02_Withdrawals!G118)</f>
        <v/>
      </c>
      <c r="I313" s="37" t="str">
        <f>IF(Agent02_Withdrawals!A118="","",Agent02_Withdrawals!H118)</f>
        <v/>
      </c>
      <c r="J313" s="37" t="str">
        <f>IF(Agent02_Withdrawals!A118="","",Agent02_Withdrawals!J118)</f>
        <v/>
      </c>
      <c r="K313" s="37" t="str">
        <f>IF(Agent02_Withdrawals!A118="","",Agent02_Withdrawals!K118)</f>
        <v/>
      </c>
      <c r="L313" s="37" t="str">
        <f>IF(G313="","",IF(D313-G313&gt;=System_Config!$B$9,"✅ OK","⚠️ BREACH"))</f>
        <v/>
      </c>
      <c r="M313" s="37" t="str">
        <f>IFERROR(IF(Agent02_Withdrawals!A118="","",YEAR(Agent02_Withdrawals!D118)),"")</f>
        <v/>
      </c>
    </row>
    <row r="314" spans="1:13" ht="18" customHeight="1" x14ac:dyDescent="0.25">
      <c r="A314" s="37" t="str">
        <f>IF(Agent02_Withdrawals!A119="","",Agent02_Withdrawals!A119)</f>
        <v/>
      </c>
      <c r="B314" s="37" t="str">
        <f ca="1">IF(Agent02_Withdrawals!A119="","","WD"&amp;TEXT(314-3,"0000")&amp;"-"&amp;TEXT(TODAY(),"YYYYMMDD"))</f>
        <v/>
      </c>
      <c r="C314" s="37" t="str">
        <f>IF(Agent02_Withdrawals!A119="","",Agent02_Withdrawals!B119)</f>
        <v/>
      </c>
      <c r="D314" s="40" t="str">
        <f>IF(Agent02_Withdrawals!A119="","",Agent02_Withdrawals!C119)</f>
        <v/>
      </c>
      <c r="E314" s="38" t="str">
        <f>IF(Agent02_Withdrawals!A119="","",Agent02_Withdrawals!D119)</f>
        <v/>
      </c>
      <c r="F314" s="37" t="str">
        <f>IF(Agent02_Withdrawals!A119="","",Agent02_Withdrawals!F119)</f>
        <v/>
      </c>
      <c r="G314" s="39" t="str">
        <f>IF(Agent02_Withdrawals!A119="","",Agent02_Withdrawals!E119)</f>
        <v/>
      </c>
      <c r="H314" s="39" t="str">
        <f>IF(Agent02_Withdrawals!A119="","",Agent02_Withdrawals!G119)</f>
        <v/>
      </c>
      <c r="I314" s="37" t="str">
        <f>IF(Agent02_Withdrawals!A119="","",Agent02_Withdrawals!H119)</f>
        <v/>
      </c>
      <c r="J314" s="37" t="str">
        <f>IF(Agent02_Withdrawals!A119="","",Agent02_Withdrawals!J119)</f>
        <v/>
      </c>
      <c r="K314" s="37" t="str">
        <f>IF(Agent02_Withdrawals!A119="","",Agent02_Withdrawals!K119)</f>
        <v/>
      </c>
      <c r="L314" s="37" t="str">
        <f>IF(G314="","",IF(D314-G314&gt;=System_Config!$B$9,"✅ OK","⚠️ BREACH"))</f>
        <v/>
      </c>
      <c r="M314" s="37" t="str">
        <f>IFERROR(IF(Agent02_Withdrawals!A119="","",YEAR(Agent02_Withdrawals!D119)),"")</f>
        <v/>
      </c>
    </row>
    <row r="315" spans="1:13" ht="18" customHeight="1" x14ac:dyDescent="0.25">
      <c r="A315" s="37" t="str">
        <f>IF(Agent02_Withdrawals!A120="","",Agent02_Withdrawals!A120)</f>
        <v/>
      </c>
      <c r="B315" s="37" t="str">
        <f ca="1">IF(Agent02_Withdrawals!A120="","","WD"&amp;TEXT(315-3,"0000")&amp;"-"&amp;TEXT(TODAY(),"YYYYMMDD"))</f>
        <v/>
      </c>
      <c r="C315" s="37" t="str">
        <f>IF(Agent02_Withdrawals!A120="","",Agent02_Withdrawals!B120)</f>
        <v/>
      </c>
      <c r="D315" s="40" t="str">
        <f>IF(Agent02_Withdrawals!A120="","",Agent02_Withdrawals!C120)</f>
        <v/>
      </c>
      <c r="E315" s="38" t="str">
        <f>IF(Agent02_Withdrawals!A120="","",Agent02_Withdrawals!D120)</f>
        <v/>
      </c>
      <c r="F315" s="37" t="str">
        <f>IF(Agent02_Withdrawals!A120="","",Agent02_Withdrawals!F120)</f>
        <v/>
      </c>
      <c r="G315" s="39" t="str">
        <f>IF(Agent02_Withdrawals!A120="","",Agent02_Withdrawals!E120)</f>
        <v/>
      </c>
      <c r="H315" s="39" t="str">
        <f>IF(Agent02_Withdrawals!A120="","",Agent02_Withdrawals!G120)</f>
        <v/>
      </c>
      <c r="I315" s="37" t="str">
        <f>IF(Agent02_Withdrawals!A120="","",Agent02_Withdrawals!H120)</f>
        <v/>
      </c>
      <c r="J315" s="37" t="str">
        <f>IF(Agent02_Withdrawals!A120="","",Agent02_Withdrawals!J120)</f>
        <v/>
      </c>
      <c r="K315" s="37" t="str">
        <f>IF(Agent02_Withdrawals!A120="","",Agent02_Withdrawals!K120)</f>
        <v/>
      </c>
      <c r="L315" s="37" t="str">
        <f>IF(G315="","",IF(D315-G315&gt;=System_Config!$B$9,"✅ OK","⚠️ BREACH"))</f>
        <v/>
      </c>
      <c r="M315" s="37" t="str">
        <f>IFERROR(IF(Agent02_Withdrawals!A120="","",YEAR(Agent02_Withdrawals!D120)),"")</f>
        <v/>
      </c>
    </row>
    <row r="316" spans="1:13" ht="18" customHeight="1" x14ac:dyDescent="0.25">
      <c r="A316" s="37" t="str">
        <f>IF(Agent02_Withdrawals!A121="","",Agent02_Withdrawals!A121)</f>
        <v/>
      </c>
      <c r="B316" s="37" t="str">
        <f ca="1">IF(Agent02_Withdrawals!A121="","","WD"&amp;TEXT(316-3,"0000")&amp;"-"&amp;TEXT(TODAY(),"YYYYMMDD"))</f>
        <v/>
      </c>
      <c r="C316" s="37" t="str">
        <f>IF(Agent02_Withdrawals!A121="","",Agent02_Withdrawals!B121)</f>
        <v/>
      </c>
      <c r="D316" s="40" t="str">
        <f>IF(Agent02_Withdrawals!A121="","",Agent02_Withdrawals!C121)</f>
        <v/>
      </c>
      <c r="E316" s="38" t="str">
        <f>IF(Agent02_Withdrawals!A121="","",Agent02_Withdrawals!D121)</f>
        <v/>
      </c>
      <c r="F316" s="37" t="str">
        <f>IF(Agent02_Withdrawals!A121="","",Agent02_Withdrawals!F121)</f>
        <v/>
      </c>
      <c r="G316" s="39" t="str">
        <f>IF(Agent02_Withdrawals!A121="","",Agent02_Withdrawals!E121)</f>
        <v/>
      </c>
      <c r="H316" s="39" t="str">
        <f>IF(Agent02_Withdrawals!A121="","",Agent02_Withdrawals!G121)</f>
        <v/>
      </c>
      <c r="I316" s="37" t="str">
        <f>IF(Agent02_Withdrawals!A121="","",Agent02_Withdrawals!H121)</f>
        <v/>
      </c>
      <c r="J316" s="37" t="str">
        <f>IF(Agent02_Withdrawals!A121="","",Agent02_Withdrawals!J121)</f>
        <v/>
      </c>
      <c r="K316" s="37" t="str">
        <f>IF(Agent02_Withdrawals!A121="","",Agent02_Withdrawals!K121)</f>
        <v/>
      </c>
      <c r="L316" s="37" t="str">
        <f>IF(G316="","",IF(D316-G316&gt;=System_Config!$B$9,"✅ OK","⚠️ BREACH"))</f>
        <v/>
      </c>
      <c r="M316" s="37" t="str">
        <f>IFERROR(IF(Agent02_Withdrawals!A121="","",YEAR(Agent02_Withdrawals!D121)),"")</f>
        <v/>
      </c>
    </row>
    <row r="317" spans="1:13" ht="18" customHeight="1" x14ac:dyDescent="0.25">
      <c r="A317" s="37" t="str">
        <f>IF(Agent02_Withdrawals!A122="","",Agent02_Withdrawals!A122)</f>
        <v/>
      </c>
      <c r="B317" s="37" t="str">
        <f ca="1">IF(Agent02_Withdrawals!A122="","","WD"&amp;TEXT(317-3,"0000")&amp;"-"&amp;TEXT(TODAY(),"YYYYMMDD"))</f>
        <v/>
      </c>
      <c r="C317" s="37" t="str">
        <f>IF(Agent02_Withdrawals!A122="","",Agent02_Withdrawals!B122)</f>
        <v/>
      </c>
      <c r="D317" s="40" t="str">
        <f>IF(Agent02_Withdrawals!A122="","",Agent02_Withdrawals!C122)</f>
        <v/>
      </c>
      <c r="E317" s="38" t="str">
        <f>IF(Agent02_Withdrawals!A122="","",Agent02_Withdrawals!D122)</f>
        <v/>
      </c>
      <c r="F317" s="37" t="str">
        <f>IF(Agent02_Withdrawals!A122="","",Agent02_Withdrawals!F122)</f>
        <v/>
      </c>
      <c r="G317" s="39" t="str">
        <f>IF(Agent02_Withdrawals!A122="","",Agent02_Withdrawals!E122)</f>
        <v/>
      </c>
      <c r="H317" s="39" t="str">
        <f>IF(Agent02_Withdrawals!A122="","",Agent02_Withdrawals!G122)</f>
        <v/>
      </c>
      <c r="I317" s="37" t="str">
        <f>IF(Agent02_Withdrawals!A122="","",Agent02_Withdrawals!H122)</f>
        <v/>
      </c>
      <c r="J317" s="37" t="str">
        <f>IF(Agent02_Withdrawals!A122="","",Agent02_Withdrawals!J122)</f>
        <v/>
      </c>
      <c r="K317" s="37" t="str">
        <f>IF(Agent02_Withdrawals!A122="","",Agent02_Withdrawals!K122)</f>
        <v/>
      </c>
      <c r="L317" s="37" t="str">
        <f>IF(G317="","",IF(D317-G317&gt;=System_Config!$B$9,"✅ OK","⚠️ BREACH"))</f>
        <v/>
      </c>
      <c r="M317" s="37" t="str">
        <f>IFERROR(IF(Agent02_Withdrawals!A122="","",YEAR(Agent02_Withdrawals!D122)),"")</f>
        <v/>
      </c>
    </row>
    <row r="318" spans="1:13" ht="18" customHeight="1" x14ac:dyDescent="0.25">
      <c r="A318" s="37" t="str">
        <f>IF(Agent02_Withdrawals!A123="","",Agent02_Withdrawals!A123)</f>
        <v/>
      </c>
      <c r="B318" s="37" t="str">
        <f ca="1">IF(Agent02_Withdrawals!A123="","","WD"&amp;TEXT(318-3,"0000")&amp;"-"&amp;TEXT(TODAY(),"YYYYMMDD"))</f>
        <v/>
      </c>
      <c r="C318" s="37" t="str">
        <f>IF(Agent02_Withdrawals!A123="","",Agent02_Withdrawals!B123)</f>
        <v/>
      </c>
      <c r="D318" s="40" t="str">
        <f>IF(Agent02_Withdrawals!A123="","",Agent02_Withdrawals!C123)</f>
        <v/>
      </c>
      <c r="E318" s="38" t="str">
        <f>IF(Agent02_Withdrawals!A123="","",Agent02_Withdrawals!D123)</f>
        <v/>
      </c>
      <c r="F318" s="37" t="str">
        <f>IF(Agent02_Withdrawals!A123="","",Agent02_Withdrawals!F123)</f>
        <v/>
      </c>
      <c r="G318" s="39" t="str">
        <f>IF(Agent02_Withdrawals!A123="","",Agent02_Withdrawals!E123)</f>
        <v/>
      </c>
      <c r="H318" s="39" t="str">
        <f>IF(Agent02_Withdrawals!A123="","",Agent02_Withdrawals!G123)</f>
        <v/>
      </c>
      <c r="I318" s="37" t="str">
        <f>IF(Agent02_Withdrawals!A123="","",Agent02_Withdrawals!H123)</f>
        <v/>
      </c>
      <c r="J318" s="37" t="str">
        <f>IF(Agent02_Withdrawals!A123="","",Agent02_Withdrawals!J123)</f>
        <v/>
      </c>
      <c r="K318" s="37" t="str">
        <f>IF(Agent02_Withdrawals!A123="","",Agent02_Withdrawals!K123)</f>
        <v/>
      </c>
      <c r="L318" s="37" t="str">
        <f>IF(G318="","",IF(D318-G318&gt;=System_Config!$B$9,"✅ OK","⚠️ BREACH"))</f>
        <v/>
      </c>
      <c r="M318" s="37" t="str">
        <f>IFERROR(IF(Agent02_Withdrawals!A123="","",YEAR(Agent02_Withdrawals!D123)),"")</f>
        <v/>
      </c>
    </row>
    <row r="319" spans="1:13" ht="18" customHeight="1" x14ac:dyDescent="0.25">
      <c r="A319" s="37" t="str">
        <f>IF(Agent02_Withdrawals!A124="","",Agent02_Withdrawals!A124)</f>
        <v/>
      </c>
      <c r="B319" s="37" t="str">
        <f ca="1">IF(Agent02_Withdrawals!A124="","","WD"&amp;TEXT(319-3,"0000")&amp;"-"&amp;TEXT(TODAY(),"YYYYMMDD"))</f>
        <v/>
      </c>
      <c r="C319" s="37" t="str">
        <f>IF(Agent02_Withdrawals!A124="","",Agent02_Withdrawals!B124)</f>
        <v/>
      </c>
      <c r="D319" s="40" t="str">
        <f>IF(Agent02_Withdrawals!A124="","",Agent02_Withdrawals!C124)</f>
        <v/>
      </c>
      <c r="E319" s="38" t="str">
        <f>IF(Agent02_Withdrawals!A124="","",Agent02_Withdrawals!D124)</f>
        <v/>
      </c>
      <c r="F319" s="37" t="str">
        <f>IF(Agent02_Withdrawals!A124="","",Agent02_Withdrawals!F124)</f>
        <v/>
      </c>
      <c r="G319" s="39" t="str">
        <f>IF(Agent02_Withdrawals!A124="","",Agent02_Withdrawals!E124)</f>
        <v/>
      </c>
      <c r="H319" s="39" t="str">
        <f>IF(Agent02_Withdrawals!A124="","",Agent02_Withdrawals!G124)</f>
        <v/>
      </c>
      <c r="I319" s="37" t="str">
        <f>IF(Agent02_Withdrawals!A124="","",Agent02_Withdrawals!H124)</f>
        <v/>
      </c>
      <c r="J319" s="37" t="str">
        <f>IF(Agent02_Withdrawals!A124="","",Agent02_Withdrawals!J124)</f>
        <v/>
      </c>
      <c r="K319" s="37" t="str">
        <f>IF(Agent02_Withdrawals!A124="","",Agent02_Withdrawals!K124)</f>
        <v/>
      </c>
      <c r="L319" s="37" t="str">
        <f>IF(G319="","",IF(D319-G319&gt;=System_Config!$B$9,"✅ OK","⚠️ BREACH"))</f>
        <v/>
      </c>
      <c r="M319" s="37" t="str">
        <f>IFERROR(IF(Agent02_Withdrawals!A124="","",YEAR(Agent02_Withdrawals!D124)),"")</f>
        <v/>
      </c>
    </row>
    <row r="320" spans="1:13" ht="18" customHeight="1" x14ac:dyDescent="0.25">
      <c r="A320" s="37" t="str">
        <f>IF(Agent02_Withdrawals!A125="","",Agent02_Withdrawals!A125)</f>
        <v/>
      </c>
      <c r="B320" s="37" t="str">
        <f ca="1">IF(Agent02_Withdrawals!A125="","","WD"&amp;TEXT(320-3,"0000")&amp;"-"&amp;TEXT(TODAY(),"YYYYMMDD"))</f>
        <v/>
      </c>
      <c r="C320" s="37" t="str">
        <f>IF(Agent02_Withdrawals!A125="","",Agent02_Withdrawals!B125)</f>
        <v/>
      </c>
      <c r="D320" s="40" t="str">
        <f>IF(Agent02_Withdrawals!A125="","",Agent02_Withdrawals!C125)</f>
        <v/>
      </c>
      <c r="E320" s="38" t="str">
        <f>IF(Agent02_Withdrawals!A125="","",Agent02_Withdrawals!D125)</f>
        <v/>
      </c>
      <c r="F320" s="37" t="str">
        <f>IF(Agent02_Withdrawals!A125="","",Agent02_Withdrawals!F125)</f>
        <v/>
      </c>
      <c r="G320" s="39" t="str">
        <f>IF(Agent02_Withdrawals!A125="","",Agent02_Withdrawals!E125)</f>
        <v/>
      </c>
      <c r="H320" s="39" t="str">
        <f>IF(Agent02_Withdrawals!A125="","",Agent02_Withdrawals!G125)</f>
        <v/>
      </c>
      <c r="I320" s="37" t="str">
        <f>IF(Agent02_Withdrawals!A125="","",Agent02_Withdrawals!H125)</f>
        <v/>
      </c>
      <c r="J320" s="37" t="str">
        <f>IF(Agent02_Withdrawals!A125="","",Agent02_Withdrawals!J125)</f>
        <v/>
      </c>
      <c r="K320" s="37" t="str">
        <f>IF(Agent02_Withdrawals!A125="","",Agent02_Withdrawals!K125)</f>
        <v/>
      </c>
      <c r="L320" s="37" t="str">
        <f>IF(G320="","",IF(D320-G320&gt;=System_Config!$B$9,"✅ OK","⚠️ BREACH"))</f>
        <v/>
      </c>
      <c r="M320" s="37" t="str">
        <f>IFERROR(IF(Agent02_Withdrawals!A125="","",YEAR(Agent02_Withdrawals!D125)),"")</f>
        <v/>
      </c>
    </row>
    <row r="321" spans="1:13" ht="18" customHeight="1" x14ac:dyDescent="0.25">
      <c r="A321" s="37" t="str">
        <f>IF(Agent02_Withdrawals!A126="","",Agent02_Withdrawals!A126)</f>
        <v/>
      </c>
      <c r="B321" s="37" t="str">
        <f ca="1">IF(Agent02_Withdrawals!A126="","","WD"&amp;TEXT(321-3,"0000")&amp;"-"&amp;TEXT(TODAY(),"YYYYMMDD"))</f>
        <v/>
      </c>
      <c r="C321" s="37" t="str">
        <f>IF(Agent02_Withdrawals!A126="","",Agent02_Withdrawals!B126)</f>
        <v/>
      </c>
      <c r="D321" s="40" t="str">
        <f>IF(Agent02_Withdrawals!A126="","",Agent02_Withdrawals!C126)</f>
        <v/>
      </c>
      <c r="E321" s="38" t="str">
        <f>IF(Agent02_Withdrawals!A126="","",Agent02_Withdrawals!D126)</f>
        <v/>
      </c>
      <c r="F321" s="37" t="str">
        <f>IF(Agent02_Withdrawals!A126="","",Agent02_Withdrawals!F126)</f>
        <v/>
      </c>
      <c r="G321" s="39" t="str">
        <f>IF(Agent02_Withdrawals!A126="","",Agent02_Withdrawals!E126)</f>
        <v/>
      </c>
      <c r="H321" s="39" t="str">
        <f>IF(Agent02_Withdrawals!A126="","",Agent02_Withdrawals!G126)</f>
        <v/>
      </c>
      <c r="I321" s="37" t="str">
        <f>IF(Agent02_Withdrawals!A126="","",Agent02_Withdrawals!H126)</f>
        <v/>
      </c>
      <c r="J321" s="37" t="str">
        <f>IF(Agent02_Withdrawals!A126="","",Agent02_Withdrawals!J126)</f>
        <v/>
      </c>
      <c r="K321" s="37" t="str">
        <f>IF(Agent02_Withdrawals!A126="","",Agent02_Withdrawals!K126)</f>
        <v/>
      </c>
      <c r="L321" s="37" t="str">
        <f>IF(G321="","",IF(D321-G321&gt;=System_Config!$B$9,"✅ OK","⚠️ BREACH"))</f>
        <v/>
      </c>
      <c r="M321" s="37" t="str">
        <f>IFERROR(IF(Agent02_Withdrawals!A126="","",YEAR(Agent02_Withdrawals!D126)),"")</f>
        <v/>
      </c>
    </row>
    <row r="322" spans="1:13" ht="18" customHeight="1" x14ac:dyDescent="0.25">
      <c r="A322" s="37" t="str">
        <f>IF(Agent02_Withdrawals!A127="","",Agent02_Withdrawals!A127)</f>
        <v/>
      </c>
      <c r="B322" s="37" t="str">
        <f ca="1">IF(Agent02_Withdrawals!A127="","","WD"&amp;TEXT(322-3,"0000")&amp;"-"&amp;TEXT(TODAY(),"YYYYMMDD"))</f>
        <v/>
      </c>
      <c r="C322" s="37" t="str">
        <f>IF(Agent02_Withdrawals!A127="","",Agent02_Withdrawals!B127)</f>
        <v/>
      </c>
      <c r="D322" s="40" t="str">
        <f>IF(Agent02_Withdrawals!A127="","",Agent02_Withdrawals!C127)</f>
        <v/>
      </c>
      <c r="E322" s="38" t="str">
        <f>IF(Agent02_Withdrawals!A127="","",Agent02_Withdrawals!D127)</f>
        <v/>
      </c>
      <c r="F322" s="37" t="str">
        <f>IF(Agent02_Withdrawals!A127="","",Agent02_Withdrawals!F127)</f>
        <v/>
      </c>
      <c r="G322" s="39" t="str">
        <f>IF(Agent02_Withdrawals!A127="","",Agent02_Withdrawals!E127)</f>
        <v/>
      </c>
      <c r="H322" s="39" t="str">
        <f>IF(Agent02_Withdrawals!A127="","",Agent02_Withdrawals!G127)</f>
        <v/>
      </c>
      <c r="I322" s="37" t="str">
        <f>IF(Agent02_Withdrawals!A127="","",Agent02_Withdrawals!H127)</f>
        <v/>
      </c>
      <c r="J322" s="37" t="str">
        <f>IF(Agent02_Withdrawals!A127="","",Agent02_Withdrawals!J127)</f>
        <v/>
      </c>
      <c r="K322" s="37" t="str">
        <f>IF(Agent02_Withdrawals!A127="","",Agent02_Withdrawals!K127)</f>
        <v/>
      </c>
      <c r="L322" s="37" t="str">
        <f>IF(G322="","",IF(D322-G322&gt;=System_Config!$B$9,"✅ OK","⚠️ BREACH"))</f>
        <v/>
      </c>
      <c r="M322" s="37" t="str">
        <f>IFERROR(IF(Agent02_Withdrawals!A127="","",YEAR(Agent02_Withdrawals!D127)),"")</f>
        <v/>
      </c>
    </row>
    <row r="323" spans="1:13" ht="18" customHeight="1" x14ac:dyDescent="0.25">
      <c r="A323" s="37" t="str">
        <f>IF(Agent02_Withdrawals!A128="","",Agent02_Withdrawals!A128)</f>
        <v/>
      </c>
      <c r="B323" s="37" t="str">
        <f ca="1">IF(Agent02_Withdrawals!A128="","","WD"&amp;TEXT(323-3,"0000")&amp;"-"&amp;TEXT(TODAY(),"YYYYMMDD"))</f>
        <v/>
      </c>
      <c r="C323" s="37" t="str">
        <f>IF(Agent02_Withdrawals!A128="","",Agent02_Withdrawals!B128)</f>
        <v/>
      </c>
      <c r="D323" s="40" t="str">
        <f>IF(Agent02_Withdrawals!A128="","",Agent02_Withdrawals!C128)</f>
        <v/>
      </c>
      <c r="E323" s="38" t="str">
        <f>IF(Agent02_Withdrawals!A128="","",Agent02_Withdrawals!D128)</f>
        <v/>
      </c>
      <c r="F323" s="37" t="str">
        <f>IF(Agent02_Withdrawals!A128="","",Agent02_Withdrawals!F128)</f>
        <v/>
      </c>
      <c r="G323" s="39" t="str">
        <f>IF(Agent02_Withdrawals!A128="","",Agent02_Withdrawals!E128)</f>
        <v/>
      </c>
      <c r="H323" s="39" t="str">
        <f>IF(Agent02_Withdrawals!A128="","",Agent02_Withdrawals!G128)</f>
        <v/>
      </c>
      <c r="I323" s="37" t="str">
        <f>IF(Agent02_Withdrawals!A128="","",Agent02_Withdrawals!H128)</f>
        <v/>
      </c>
      <c r="J323" s="37" t="str">
        <f>IF(Agent02_Withdrawals!A128="","",Agent02_Withdrawals!J128)</f>
        <v/>
      </c>
      <c r="K323" s="37" t="str">
        <f>IF(Agent02_Withdrawals!A128="","",Agent02_Withdrawals!K128)</f>
        <v/>
      </c>
      <c r="L323" s="37" t="str">
        <f>IF(G323="","",IF(D323-G323&gt;=System_Config!$B$9,"✅ OK","⚠️ BREACH"))</f>
        <v/>
      </c>
      <c r="M323" s="37" t="str">
        <f>IFERROR(IF(Agent02_Withdrawals!A128="","",YEAR(Agent02_Withdrawals!D128)),"")</f>
        <v/>
      </c>
    </row>
    <row r="324" spans="1:13" ht="18" customHeight="1" x14ac:dyDescent="0.25">
      <c r="A324" s="37" t="str">
        <f>IF(Agent02_Withdrawals!A129="","",Agent02_Withdrawals!A129)</f>
        <v/>
      </c>
      <c r="B324" s="37" t="str">
        <f ca="1">IF(Agent02_Withdrawals!A129="","","WD"&amp;TEXT(324-3,"0000")&amp;"-"&amp;TEXT(TODAY(),"YYYYMMDD"))</f>
        <v/>
      </c>
      <c r="C324" s="37" t="str">
        <f>IF(Agent02_Withdrawals!A129="","",Agent02_Withdrawals!B129)</f>
        <v/>
      </c>
      <c r="D324" s="40" t="str">
        <f>IF(Agent02_Withdrawals!A129="","",Agent02_Withdrawals!C129)</f>
        <v/>
      </c>
      <c r="E324" s="38" t="str">
        <f>IF(Agent02_Withdrawals!A129="","",Agent02_Withdrawals!D129)</f>
        <v/>
      </c>
      <c r="F324" s="37" t="str">
        <f>IF(Agent02_Withdrawals!A129="","",Agent02_Withdrawals!F129)</f>
        <v/>
      </c>
      <c r="G324" s="39" t="str">
        <f>IF(Agent02_Withdrawals!A129="","",Agent02_Withdrawals!E129)</f>
        <v/>
      </c>
      <c r="H324" s="39" t="str">
        <f>IF(Agent02_Withdrawals!A129="","",Agent02_Withdrawals!G129)</f>
        <v/>
      </c>
      <c r="I324" s="37" t="str">
        <f>IF(Agent02_Withdrawals!A129="","",Agent02_Withdrawals!H129)</f>
        <v/>
      </c>
      <c r="J324" s="37" t="str">
        <f>IF(Agent02_Withdrawals!A129="","",Agent02_Withdrawals!J129)</f>
        <v/>
      </c>
      <c r="K324" s="37" t="str">
        <f>IF(Agent02_Withdrawals!A129="","",Agent02_Withdrawals!K129)</f>
        <v/>
      </c>
      <c r="L324" s="37" t="str">
        <f>IF(G324="","",IF(D324-G324&gt;=System_Config!$B$9,"✅ OK","⚠️ BREACH"))</f>
        <v/>
      </c>
      <c r="M324" s="37" t="str">
        <f>IFERROR(IF(Agent02_Withdrawals!A129="","",YEAR(Agent02_Withdrawals!D129)),"")</f>
        <v/>
      </c>
    </row>
    <row r="325" spans="1:13" ht="18" customHeight="1" x14ac:dyDescent="0.25">
      <c r="A325" s="37" t="str">
        <f>IF(Agent02_Withdrawals!A130="","",Agent02_Withdrawals!A130)</f>
        <v/>
      </c>
      <c r="B325" s="37" t="str">
        <f ca="1">IF(Agent02_Withdrawals!A130="","","WD"&amp;TEXT(325-3,"0000")&amp;"-"&amp;TEXT(TODAY(),"YYYYMMDD"))</f>
        <v/>
      </c>
      <c r="C325" s="37" t="str">
        <f>IF(Agent02_Withdrawals!A130="","",Agent02_Withdrawals!B130)</f>
        <v/>
      </c>
      <c r="D325" s="40" t="str">
        <f>IF(Agent02_Withdrawals!A130="","",Agent02_Withdrawals!C130)</f>
        <v/>
      </c>
      <c r="E325" s="38" t="str">
        <f>IF(Agent02_Withdrawals!A130="","",Agent02_Withdrawals!D130)</f>
        <v/>
      </c>
      <c r="F325" s="37" t="str">
        <f>IF(Agent02_Withdrawals!A130="","",Agent02_Withdrawals!F130)</f>
        <v/>
      </c>
      <c r="G325" s="39" t="str">
        <f>IF(Agent02_Withdrawals!A130="","",Agent02_Withdrawals!E130)</f>
        <v/>
      </c>
      <c r="H325" s="39" t="str">
        <f>IF(Agent02_Withdrawals!A130="","",Agent02_Withdrawals!G130)</f>
        <v/>
      </c>
      <c r="I325" s="37" t="str">
        <f>IF(Agent02_Withdrawals!A130="","",Agent02_Withdrawals!H130)</f>
        <v/>
      </c>
      <c r="J325" s="37" t="str">
        <f>IF(Agent02_Withdrawals!A130="","",Agent02_Withdrawals!J130)</f>
        <v/>
      </c>
      <c r="K325" s="37" t="str">
        <f>IF(Agent02_Withdrawals!A130="","",Agent02_Withdrawals!K130)</f>
        <v/>
      </c>
      <c r="L325" s="37" t="str">
        <f>IF(G325="","",IF(D325-G325&gt;=System_Config!$B$9,"✅ OK","⚠️ BREACH"))</f>
        <v/>
      </c>
      <c r="M325" s="37" t="str">
        <f>IFERROR(IF(Agent02_Withdrawals!A130="","",YEAR(Agent02_Withdrawals!D130)),"")</f>
        <v/>
      </c>
    </row>
    <row r="326" spans="1:13" ht="18" customHeight="1" x14ac:dyDescent="0.25">
      <c r="A326" s="37" t="str">
        <f>IF(Agent02_Withdrawals!A131="","",Agent02_Withdrawals!A131)</f>
        <v/>
      </c>
      <c r="B326" s="37" t="str">
        <f ca="1">IF(Agent02_Withdrawals!A131="","","WD"&amp;TEXT(326-3,"0000")&amp;"-"&amp;TEXT(TODAY(),"YYYYMMDD"))</f>
        <v/>
      </c>
      <c r="C326" s="37" t="str">
        <f>IF(Agent02_Withdrawals!A131="","",Agent02_Withdrawals!B131)</f>
        <v/>
      </c>
      <c r="D326" s="40" t="str">
        <f>IF(Agent02_Withdrawals!A131="","",Agent02_Withdrawals!C131)</f>
        <v/>
      </c>
      <c r="E326" s="38" t="str">
        <f>IF(Agent02_Withdrawals!A131="","",Agent02_Withdrawals!D131)</f>
        <v/>
      </c>
      <c r="F326" s="37" t="str">
        <f>IF(Agent02_Withdrawals!A131="","",Agent02_Withdrawals!F131)</f>
        <v/>
      </c>
      <c r="G326" s="39" t="str">
        <f>IF(Agent02_Withdrawals!A131="","",Agent02_Withdrawals!E131)</f>
        <v/>
      </c>
      <c r="H326" s="39" t="str">
        <f>IF(Agent02_Withdrawals!A131="","",Agent02_Withdrawals!G131)</f>
        <v/>
      </c>
      <c r="I326" s="37" t="str">
        <f>IF(Agent02_Withdrawals!A131="","",Agent02_Withdrawals!H131)</f>
        <v/>
      </c>
      <c r="J326" s="37" t="str">
        <f>IF(Agent02_Withdrawals!A131="","",Agent02_Withdrawals!J131)</f>
        <v/>
      </c>
      <c r="K326" s="37" t="str">
        <f>IF(Agent02_Withdrawals!A131="","",Agent02_Withdrawals!K131)</f>
        <v/>
      </c>
      <c r="L326" s="37" t="str">
        <f>IF(G326="","",IF(D326-G326&gt;=System_Config!$B$9,"✅ OK","⚠️ BREACH"))</f>
        <v/>
      </c>
      <c r="M326" s="37" t="str">
        <f>IFERROR(IF(Agent02_Withdrawals!A131="","",YEAR(Agent02_Withdrawals!D131)),"")</f>
        <v/>
      </c>
    </row>
    <row r="327" spans="1:13" ht="18" customHeight="1" x14ac:dyDescent="0.25">
      <c r="A327" s="37" t="str">
        <f>IF(Agent02_Withdrawals!A132="","",Agent02_Withdrawals!A132)</f>
        <v/>
      </c>
      <c r="B327" s="37" t="str">
        <f ca="1">IF(Agent02_Withdrawals!A132="","","WD"&amp;TEXT(327-3,"0000")&amp;"-"&amp;TEXT(TODAY(),"YYYYMMDD"))</f>
        <v/>
      </c>
      <c r="C327" s="37" t="str">
        <f>IF(Agent02_Withdrawals!A132="","",Agent02_Withdrawals!B132)</f>
        <v/>
      </c>
      <c r="D327" s="40" t="str">
        <f>IF(Agent02_Withdrawals!A132="","",Agent02_Withdrawals!C132)</f>
        <v/>
      </c>
      <c r="E327" s="38" t="str">
        <f>IF(Agent02_Withdrawals!A132="","",Agent02_Withdrawals!D132)</f>
        <v/>
      </c>
      <c r="F327" s="37" t="str">
        <f>IF(Agent02_Withdrawals!A132="","",Agent02_Withdrawals!F132)</f>
        <v/>
      </c>
      <c r="G327" s="39" t="str">
        <f>IF(Agent02_Withdrawals!A132="","",Agent02_Withdrawals!E132)</f>
        <v/>
      </c>
      <c r="H327" s="39" t="str">
        <f>IF(Agent02_Withdrawals!A132="","",Agent02_Withdrawals!G132)</f>
        <v/>
      </c>
      <c r="I327" s="37" t="str">
        <f>IF(Agent02_Withdrawals!A132="","",Agent02_Withdrawals!H132)</f>
        <v/>
      </c>
      <c r="J327" s="37" t="str">
        <f>IF(Agent02_Withdrawals!A132="","",Agent02_Withdrawals!J132)</f>
        <v/>
      </c>
      <c r="K327" s="37" t="str">
        <f>IF(Agent02_Withdrawals!A132="","",Agent02_Withdrawals!K132)</f>
        <v/>
      </c>
      <c r="L327" s="37" t="str">
        <f>IF(G327="","",IF(D327-G327&gt;=System_Config!$B$9,"✅ OK","⚠️ BREACH"))</f>
        <v/>
      </c>
      <c r="M327" s="37" t="str">
        <f>IFERROR(IF(Agent02_Withdrawals!A132="","",YEAR(Agent02_Withdrawals!D132)),"")</f>
        <v/>
      </c>
    </row>
    <row r="328" spans="1:13" ht="18" customHeight="1" x14ac:dyDescent="0.25">
      <c r="A328" s="37" t="str">
        <f>IF(Agent02_Withdrawals!A133="","",Agent02_Withdrawals!A133)</f>
        <v/>
      </c>
      <c r="B328" s="37" t="str">
        <f ca="1">IF(Agent02_Withdrawals!A133="","","WD"&amp;TEXT(328-3,"0000")&amp;"-"&amp;TEXT(TODAY(),"YYYYMMDD"))</f>
        <v/>
      </c>
      <c r="C328" s="37" t="str">
        <f>IF(Agent02_Withdrawals!A133="","",Agent02_Withdrawals!B133)</f>
        <v/>
      </c>
      <c r="D328" s="40" t="str">
        <f>IF(Agent02_Withdrawals!A133="","",Agent02_Withdrawals!C133)</f>
        <v/>
      </c>
      <c r="E328" s="38" t="str">
        <f>IF(Agent02_Withdrawals!A133="","",Agent02_Withdrawals!D133)</f>
        <v/>
      </c>
      <c r="F328" s="37" t="str">
        <f>IF(Agent02_Withdrawals!A133="","",Agent02_Withdrawals!F133)</f>
        <v/>
      </c>
      <c r="G328" s="39" t="str">
        <f>IF(Agent02_Withdrawals!A133="","",Agent02_Withdrawals!E133)</f>
        <v/>
      </c>
      <c r="H328" s="39" t="str">
        <f>IF(Agent02_Withdrawals!A133="","",Agent02_Withdrawals!G133)</f>
        <v/>
      </c>
      <c r="I328" s="37" t="str">
        <f>IF(Agent02_Withdrawals!A133="","",Agent02_Withdrawals!H133)</f>
        <v/>
      </c>
      <c r="J328" s="37" t="str">
        <f>IF(Agent02_Withdrawals!A133="","",Agent02_Withdrawals!J133)</f>
        <v/>
      </c>
      <c r="K328" s="37" t="str">
        <f>IF(Agent02_Withdrawals!A133="","",Agent02_Withdrawals!K133)</f>
        <v/>
      </c>
      <c r="L328" s="37" t="str">
        <f>IF(G328="","",IF(D328-G328&gt;=System_Config!$B$9,"✅ OK","⚠️ BREACH"))</f>
        <v/>
      </c>
      <c r="M328" s="37" t="str">
        <f>IFERROR(IF(Agent02_Withdrawals!A133="","",YEAR(Agent02_Withdrawals!D133)),"")</f>
        <v/>
      </c>
    </row>
    <row r="329" spans="1:13" ht="18" customHeight="1" x14ac:dyDescent="0.25">
      <c r="A329" s="37" t="str">
        <f>IF(Agent02_Withdrawals!A134="","",Agent02_Withdrawals!A134)</f>
        <v/>
      </c>
      <c r="B329" s="37" t="str">
        <f ca="1">IF(Agent02_Withdrawals!A134="","","WD"&amp;TEXT(329-3,"0000")&amp;"-"&amp;TEXT(TODAY(),"YYYYMMDD"))</f>
        <v/>
      </c>
      <c r="C329" s="37" t="str">
        <f>IF(Agent02_Withdrawals!A134="","",Agent02_Withdrawals!B134)</f>
        <v/>
      </c>
      <c r="D329" s="40" t="str">
        <f>IF(Agent02_Withdrawals!A134="","",Agent02_Withdrawals!C134)</f>
        <v/>
      </c>
      <c r="E329" s="38" t="str">
        <f>IF(Agent02_Withdrawals!A134="","",Agent02_Withdrawals!D134)</f>
        <v/>
      </c>
      <c r="F329" s="37" t="str">
        <f>IF(Agent02_Withdrawals!A134="","",Agent02_Withdrawals!F134)</f>
        <v/>
      </c>
      <c r="G329" s="39" t="str">
        <f>IF(Agent02_Withdrawals!A134="","",Agent02_Withdrawals!E134)</f>
        <v/>
      </c>
      <c r="H329" s="39" t="str">
        <f>IF(Agent02_Withdrawals!A134="","",Agent02_Withdrawals!G134)</f>
        <v/>
      </c>
      <c r="I329" s="37" t="str">
        <f>IF(Agent02_Withdrawals!A134="","",Agent02_Withdrawals!H134)</f>
        <v/>
      </c>
      <c r="J329" s="37" t="str">
        <f>IF(Agent02_Withdrawals!A134="","",Agent02_Withdrawals!J134)</f>
        <v/>
      </c>
      <c r="K329" s="37" t="str">
        <f>IF(Agent02_Withdrawals!A134="","",Agent02_Withdrawals!K134)</f>
        <v/>
      </c>
      <c r="L329" s="37" t="str">
        <f>IF(G329="","",IF(D329-G329&gt;=System_Config!$B$9,"✅ OK","⚠️ BREACH"))</f>
        <v/>
      </c>
      <c r="M329" s="37" t="str">
        <f>IFERROR(IF(Agent02_Withdrawals!A134="","",YEAR(Agent02_Withdrawals!D134)),"")</f>
        <v/>
      </c>
    </row>
    <row r="330" spans="1:13" ht="18" customHeight="1" x14ac:dyDescent="0.25">
      <c r="A330" s="37" t="str">
        <f>IF(Agent02_Withdrawals!A135="","",Agent02_Withdrawals!A135)</f>
        <v/>
      </c>
      <c r="B330" s="37" t="str">
        <f ca="1">IF(Agent02_Withdrawals!A135="","","WD"&amp;TEXT(330-3,"0000")&amp;"-"&amp;TEXT(TODAY(),"YYYYMMDD"))</f>
        <v/>
      </c>
      <c r="C330" s="37" t="str">
        <f>IF(Agent02_Withdrawals!A135="","",Agent02_Withdrawals!B135)</f>
        <v/>
      </c>
      <c r="D330" s="40" t="str">
        <f>IF(Agent02_Withdrawals!A135="","",Agent02_Withdrawals!C135)</f>
        <v/>
      </c>
      <c r="E330" s="38" t="str">
        <f>IF(Agent02_Withdrawals!A135="","",Agent02_Withdrawals!D135)</f>
        <v/>
      </c>
      <c r="F330" s="37" t="str">
        <f>IF(Agent02_Withdrawals!A135="","",Agent02_Withdrawals!F135)</f>
        <v/>
      </c>
      <c r="G330" s="39" t="str">
        <f>IF(Agent02_Withdrawals!A135="","",Agent02_Withdrawals!E135)</f>
        <v/>
      </c>
      <c r="H330" s="39" t="str">
        <f>IF(Agent02_Withdrawals!A135="","",Agent02_Withdrawals!G135)</f>
        <v/>
      </c>
      <c r="I330" s="37" t="str">
        <f>IF(Agent02_Withdrawals!A135="","",Agent02_Withdrawals!H135)</f>
        <v/>
      </c>
      <c r="J330" s="37" t="str">
        <f>IF(Agent02_Withdrawals!A135="","",Agent02_Withdrawals!J135)</f>
        <v/>
      </c>
      <c r="K330" s="37" t="str">
        <f>IF(Agent02_Withdrawals!A135="","",Agent02_Withdrawals!K135)</f>
        <v/>
      </c>
      <c r="L330" s="37" t="str">
        <f>IF(G330="","",IF(D330-G330&gt;=System_Config!$B$9,"✅ OK","⚠️ BREACH"))</f>
        <v/>
      </c>
      <c r="M330" s="37" t="str">
        <f>IFERROR(IF(Agent02_Withdrawals!A135="","",YEAR(Agent02_Withdrawals!D135)),"")</f>
        <v/>
      </c>
    </row>
    <row r="331" spans="1:13" ht="18" customHeight="1" x14ac:dyDescent="0.25">
      <c r="A331" s="37" t="str">
        <f>IF(Agent02_Withdrawals!A136="","",Agent02_Withdrawals!A136)</f>
        <v/>
      </c>
      <c r="B331" s="37" t="str">
        <f ca="1">IF(Agent02_Withdrawals!A136="","","WD"&amp;TEXT(331-3,"0000")&amp;"-"&amp;TEXT(TODAY(),"YYYYMMDD"))</f>
        <v/>
      </c>
      <c r="C331" s="37" t="str">
        <f>IF(Agent02_Withdrawals!A136="","",Agent02_Withdrawals!B136)</f>
        <v/>
      </c>
      <c r="D331" s="40" t="str">
        <f>IF(Agent02_Withdrawals!A136="","",Agent02_Withdrawals!C136)</f>
        <v/>
      </c>
      <c r="E331" s="38" t="str">
        <f>IF(Agent02_Withdrawals!A136="","",Agent02_Withdrawals!D136)</f>
        <v/>
      </c>
      <c r="F331" s="37" t="str">
        <f>IF(Agent02_Withdrawals!A136="","",Agent02_Withdrawals!F136)</f>
        <v/>
      </c>
      <c r="G331" s="39" t="str">
        <f>IF(Agent02_Withdrawals!A136="","",Agent02_Withdrawals!E136)</f>
        <v/>
      </c>
      <c r="H331" s="39" t="str">
        <f>IF(Agent02_Withdrawals!A136="","",Agent02_Withdrawals!G136)</f>
        <v/>
      </c>
      <c r="I331" s="37" t="str">
        <f>IF(Agent02_Withdrawals!A136="","",Agent02_Withdrawals!H136)</f>
        <v/>
      </c>
      <c r="J331" s="37" t="str">
        <f>IF(Agent02_Withdrawals!A136="","",Agent02_Withdrawals!J136)</f>
        <v/>
      </c>
      <c r="K331" s="37" t="str">
        <f>IF(Agent02_Withdrawals!A136="","",Agent02_Withdrawals!K136)</f>
        <v/>
      </c>
      <c r="L331" s="37" t="str">
        <f>IF(G331="","",IF(D331-G331&gt;=System_Config!$B$9,"✅ OK","⚠️ BREACH"))</f>
        <v/>
      </c>
      <c r="M331" s="37" t="str">
        <f>IFERROR(IF(Agent02_Withdrawals!A136="","",YEAR(Agent02_Withdrawals!D136)),"")</f>
        <v/>
      </c>
    </row>
    <row r="332" spans="1:13" ht="18" customHeight="1" x14ac:dyDescent="0.25">
      <c r="A332" s="37" t="str">
        <f>IF(Agent02_Withdrawals!A137="","",Agent02_Withdrawals!A137)</f>
        <v/>
      </c>
      <c r="B332" s="37" t="str">
        <f ca="1">IF(Agent02_Withdrawals!A137="","","WD"&amp;TEXT(332-3,"0000")&amp;"-"&amp;TEXT(TODAY(),"YYYYMMDD"))</f>
        <v/>
      </c>
      <c r="C332" s="37" t="str">
        <f>IF(Agent02_Withdrawals!A137="","",Agent02_Withdrawals!B137)</f>
        <v/>
      </c>
      <c r="D332" s="40" t="str">
        <f>IF(Agent02_Withdrawals!A137="","",Agent02_Withdrawals!C137)</f>
        <v/>
      </c>
      <c r="E332" s="38" t="str">
        <f>IF(Agent02_Withdrawals!A137="","",Agent02_Withdrawals!D137)</f>
        <v/>
      </c>
      <c r="F332" s="37" t="str">
        <f>IF(Agent02_Withdrawals!A137="","",Agent02_Withdrawals!F137)</f>
        <v/>
      </c>
      <c r="G332" s="39" t="str">
        <f>IF(Agent02_Withdrawals!A137="","",Agent02_Withdrawals!E137)</f>
        <v/>
      </c>
      <c r="H332" s="39" t="str">
        <f>IF(Agent02_Withdrawals!A137="","",Agent02_Withdrawals!G137)</f>
        <v/>
      </c>
      <c r="I332" s="37" t="str">
        <f>IF(Agent02_Withdrawals!A137="","",Agent02_Withdrawals!H137)</f>
        <v/>
      </c>
      <c r="J332" s="37" t="str">
        <f>IF(Agent02_Withdrawals!A137="","",Agent02_Withdrawals!J137)</f>
        <v/>
      </c>
      <c r="K332" s="37" t="str">
        <f>IF(Agent02_Withdrawals!A137="","",Agent02_Withdrawals!K137)</f>
        <v/>
      </c>
      <c r="L332" s="37" t="str">
        <f>IF(G332="","",IF(D332-G332&gt;=System_Config!$B$9,"✅ OK","⚠️ BREACH"))</f>
        <v/>
      </c>
      <c r="M332" s="37" t="str">
        <f>IFERROR(IF(Agent02_Withdrawals!A137="","",YEAR(Agent02_Withdrawals!D137)),"")</f>
        <v/>
      </c>
    </row>
    <row r="333" spans="1:13" ht="18" customHeight="1" x14ac:dyDescent="0.25">
      <c r="A333" s="37" t="str">
        <f>IF(Agent02_Withdrawals!A138="","",Agent02_Withdrawals!A138)</f>
        <v/>
      </c>
      <c r="B333" s="37" t="str">
        <f ca="1">IF(Agent02_Withdrawals!A138="","","WD"&amp;TEXT(333-3,"0000")&amp;"-"&amp;TEXT(TODAY(),"YYYYMMDD"))</f>
        <v/>
      </c>
      <c r="C333" s="37" t="str">
        <f>IF(Agent02_Withdrawals!A138="","",Agent02_Withdrawals!B138)</f>
        <v/>
      </c>
      <c r="D333" s="40" t="str">
        <f>IF(Agent02_Withdrawals!A138="","",Agent02_Withdrawals!C138)</f>
        <v/>
      </c>
      <c r="E333" s="38" t="str">
        <f>IF(Agent02_Withdrawals!A138="","",Agent02_Withdrawals!D138)</f>
        <v/>
      </c>
      <c r="F333" s="37" t="str">
        <f>IF(Agent02_Withdrawals!A138="","",Agent02_Withdrawals!F138)</f>
        <v/>
      </c>
      <c r="G333" s="39" t="str">
        <f>IF(Agent02_Withdrawals!A138="","",Agent02_Withdrawals!E138)</f>
        <v/>
      </c>
      <c r="H333" s="39" t="str">
        <f>IF(Agent02_Withdrawals!A138="","",Agent02_Withdrawals!G138)</f>
        <v/>
      </c>
      <c r="I333" s="37" t="str">
        <f>IF(Agent02_Withdrawals!A138="","",Agent02_Withdrawals!H138)</f>
        <v/>
      </c>
      <c r="J333" s="37" t="str">
        <f>IF(Agent02_Withdrawals!A138="","",Agent02_Withdrawals!J138)</f>
        <v/>
      </c>
      <c r="K333" s="37" t="str">
        <f>IF(Agent02_Withdrawals!A138="","",Agent02_Withdrawals!K138)</f>
        <v/>
      </c>
      <c r="L333" s="37" t="str">
        <f>IF(G333="","",IF(D333-G333&gt;=System_Config!$B$9,"✅ OK","⚠️ BREACH"))</f>
        <v/>
      </c>
      <c r="M333" s="37" t="str">
        <f>IFERROR(IF(Agent02_Withdrawals!A138="","",YEAR(Agent02_Withdrawals!D138)),"")</f>
        <v/>
      </c>
    </row>
    <row r="334" spans="1:13" ht="18" customHeight="1" x14ac:dyDescent="0.25">
      <c r="A334" s="37" t="str">
        <f>IF(Agent02_Withdrawals!A139="","",Agent02_Withdrawals!A139)</f>
        <v/>
      </c>
      <c r="B334" s="37" t="str">
        <f ca="1">IF(Agent02_Withdrawals!A139="","","WD"&amp;TEXT(334-3,"0000")&amp;"-"&amp;TEXT(TODAY(),"YYYYMMDD"))</f>
        <v/>
      </c>
      <c r="C334" s="37" t="str">
        <f>IF(Agent02_Withdrawals!A139="","",Agent02_Withdrawals!B139)</f>
        <v/>
      </c>
      <c r="D334" s="40" t="str">
        <f>IF(Agent02_Withdrawals!A139="","",Agent02_Withdrawals!C139)</f>
        <v/>
      </c>
      <c r="E334" s="38" t="str">
        <f>IF(Agent02_Withdrawals!A139="","",Agent02_Withdrawals!D139)</f>
        <v/>
      </c>
      <c r="F334" s="37" t="str">
        <f>IF(Agent02_Withdrawals!A139="","",Agent02_Withdrawals!F139)</f>
        <v/>
      </c>
      <c r="G334" s="39" t="str">
        <f>IF(Agent02_Withdrawals!A139="","",Agent02_Withdrawals!E139)</f>
        <v/>
      </c>
      <c r="H334" s="39" t="str">
        <f>IF(Agent02_Withdrawals!A139="","",Agent02_Withdrawals!G139)</f>
        <v/>
      </c>
      <c r="I334" s="37" t="str">
        <f>IF(Agent02_Withdrawals!A139="","",Agent02_Withdrawals!H139)</f>
        <v/>
      </c>
      <c r="J334" s="37" t="str">
        <f>IF(Agent02_Withdrawals!A139="","",Agent02_Withdrawals!J139)</f>
        <v/>
      </c>
      <c r="K334" s="37" t="str">
        <f>IF(Agent02_Withdrawals!A139="","",Agent02_Withdrawals!K139)</f>
        <v/>
      </c>
      <c r="L334" s="37" t="str">
        <f>IF(G334="","",IF(D334-G334&gt;=System_Config!$B$9,"✅ OK","⚠️ BREACH"))</f>
        <v/>
      </c>
      <c r="M334" s="37" t="str">
        <f>IFERROR(IF(Agent02_Withdrawals!A139="","",YEAR(Agent02_Withdrawals!D139)),"")</f>
        <v/>
      </c>
    </row>
    <row r="335" spans="1:13" ht="18" customHeight="1" x14ac:dyDescent="0.25">
      <c r="A335" s="37" t="str">
        <f>IF(Agent02_Withdrawals!A140="","",Agent02_Withdrawals!A140)</f>
        <v/>
      </c>
      <c r="B335" s="37" t="str">
        <f ca="1">IF(Agent02_Withdrawals!A140="","","WD"&amp;TEXT(335-3,"0000")&amp;"-"&amp;TEXT(TODAY(),"YYYYMMDD"))</f>
        <v/>
      </c>
      <c r="C335" s="37" t="str">
        <f>IF(Agent02_Withdrawals!A140="","",Agent02_Withdrawals!B140)</f>
        <v/>
      </c>
      <c r="D335" s="40" t="str">
        <f>IF(Agent02_Withdrawals!A140="","",Agent02_Withdrawals!C140)</f>
        <v/>
      </c>
      <c r="E335" s="38" t="str">
        <f>IF(Agent02_Withdrawals!A140="","",Agent02_Withdrawals!D140)</f>
        <v/>
      </c>
      <c r="F335" s="37" t="str">
        <f>IF(Agent02_Withdrawals!A140="","",Agent02_Withdrawals!F140)</f>
        <v/>
      </c>
      <c r="G335" s="39" t="str">
        <f>IF(Agent02_Withdrawals!A140="","",Agent02_Withdrawals!E140)</f>
        <v/>
      </c>
      <c r="H335" s="39" t="str">
        <f>IF(Agent02_Withdrawals!A140="","",Agent02_Withdrawals!G140)</f>
        <v/>
      </c>
      <c r="I335" s="37" t="str">
        <f>IF(Agent02_Withdrawals!A140="","",Agent02_Withdrawals!H140)</f>
        <v/>
      </c>
      <c r="J335" s="37" t="str">
        <f>IF(Agent02_Withdrawals!A140="","",Agent02_Withdrawals!J140)</f>
        <v/>
      </c>
      <c r="K335" s="37" t="str">
        <f>IF(Agent02_Withdrawals!A140="","",Agent02_Withdrawals!K140)</f>
        <v/>
      </c>
      <c r="L335" s="37" t="str">
        <f>IF(G335="","",IF(D335-G335&gt;=System_Config!$B$9,"✅ OK","⚠️ BREACH"))</f>
        <v/>
      </c>
      <c r="M335" s="37" t="str">
        <f>IFERROR(IF(Agent02_Withdrawals!A140="","",YEAR(Agent02_Withdrawals!D140)),"")</f>
        <v/>
      </c>
    </row>
    <row r="336" spans="1:13" ht="18" customHeight="1" x14ac:dyDescent="0.25">
      <c r="A336" s="37" t="str">
        <f>IF(Agent02_Withdrawals!A141="","",Agent02_Withdrawals!A141)</f>
        <v/>
      </c>
      <c r="B336" s="37" t="str">
        <f ca="1">IF(Agent02_Withdrawals!A141="","","WD"&amp;TEXT(336-3,"0000")&amp;"-"&amp;TEXT(TODAY(),"YYYYMMDD"))</f>
        <v/>
      </c>
      <c r="C336" s="37" t="str">
        <f>IF(Agent02_Withdrawals!A141="","",Agent02_Withdrawals!B141)</f>
        <v/>
      </c>
      <c r="D336" s="40" t="str">
        <f>IF(Agent02_Withdrawals!A141="","",Agent02_Withdrawals!C141)</f>
        <v/>
      </c>
      <c r="E336" s="38" t="str">
        <f>IF(Agent02_Withdrawals!A141="","",Agent02_Withdrawals!D141)</f>
        <v/>
      </c>
      <c r="F336" s="37" t="str">
        <f>IF(Agent02_Withdrawals!A141="","",Agent02_Withdrawals!F141)</f>
        <v/>
      </c>
      <c r="G336" s="39" t="str">
        <f>IF(Agent02_Withdrawals!A141="","",Agent02_Withdrawals!E141)</f>
        <v/>
      </c>
      <c r="H336" s="39" t="str">
        <f>IF(Agent02_Withdrawals!A141="","",Agent02_Withdrawals!G141)</f>
        <v/>
      </c>
      <c r="I336" s="37" t="str">
        <f>IF(Agent02_Withdrawals!A141="","",Agent02_Withdrawals!H141)</f>
        <v/>
      </c>
      <c r="J336" s="37" t="str">
        <f>IF(Agent02_Withdrawals!A141="","",Agent02_Withdrawals!J141)</f>
        <v/>
      </c>
      <c r="K336" s="37" t="str">
        <f>IF(Agent02_Withdrawals!A141="","",Agent02_Withdrawals!K141)</f>
        <v/>
      </c>
      <c r="L336" s="37" t="str">
        <f>IF(G336="","",IF(D336-G336&gt;=System_Config!$B$9,"✅ OK","⚠️ BREACH"))</f>
        <v/>
      </c>
      <c r="M336" s="37" t="str">
        <f>IFERROR(IF(Agent02_Withdrawals!A141="","",YEAR(Agent02_Withdrawals!D141)),"")</f>
        <v/>
      </c>
    </row>
    <row r="337" spans="1:13" ht="18" customHeight="1" x14ac:dyDescent="0.25">
      <c r="A337" s="37" t="str">
        <f>IF(Agent02_Withdrawals!A142="","",Agent02_Withdrawals!A142)</f>
        <v/>
      </c>
      <c r="B337" s="37" t="str">
        <f ca="1">IF(Agent02_Withdrawals!A142="","","WD"&amp;TEXT(337-3,"0000")&amp;"-"&amp;TEXT(TODAY(),"YYYYMMDD"))</f>
        <v/>
      </c>
      <c r="C337" s="37" t="str">
        <f>IF(Agent02_Withdrawals!A142="","",Agent02_Withdrawals!B142)</f>
        <v/>
      </c>
      <c r="D337" s="40" t="str">
        <f>IF(Agent02_Withdrawals!A142="","",Agent02_Withdrawals!C142)</f>
        <v/>
      </c>
      <c r="E337" s="38" t="str">
        <f>IF(Agent02_Withdrawals!A142="","",Agent02_Withdrawals!D142)</f>
        <v/>
      </c>
      <c r="F337" s="37" t="str">
        <f>IF(Agent02_Withdrawals!A142="","",Agent02_Withdrawals!F142)</f>
        <v/>
      </c>
      <c r="G337" s="39" t="str">
        <f>IF(Agent02_Withdrawals!A142="","",Agent02_Withdrawals!E142)</f>
        <v/>
      </c>
      <c r="H337" s="39" t="str">
        <f>IF(Agent02_Withdrawals!A142="","",Agent02_Withdrawals!G142)</f>
        <v/>
      </c>
      <c r="I337" s="37" t="str">
        <f>IF(Agent02_Withdrawals!A142="","",Agent02_Withdrawals!H142)</f>
        <v/>
      </c>
      <c r="J337" s="37" t="str">
        <f>IF(Agent02_Withdrawals!A142="","",Agent02_Withdrawals!J142)</f>
        <v/>
      </c>
      <c r="K337" s="37" t="str">
        <f>IF(Agent02_Withdrawals!A142="","",Agent02_Withdrawals!K142)</f>
        <v/>
      </c>
      <c r="L337" s="37" t="str">
        <f>IF(G337="","",IF(D337-G337&gt;=System_Config!$B$9,"✅ OK","⚠️ BREACH"))</f>
        <v/>
      </c>
      <c r="M337" s="37" t="str">
        <f>IFERROR(IF(Agent02_Withdrawals!A142="","",YEAR(Agent02_Withdrawals!D142)),"")</f>
        <v/>
      </c>
    </row>
    <row r="338" spans="1:13" ht="18" customHeight="1" x14ac:dyDescent="0.25">
      <c r="A338" s="37" t="str">
        <f>IF(Agent02_Withdrawals!A143="","",Agent02_Withdrawals!A143)</f>
        <v/>
      </c>
      <c r="B338" s="37" t="str">
        <f ca="1">IF(Agent02_Withdrawals!A143="","","WD"&amp;TEXT(338-3,"0000")&amp;"-"&amp;TEXT(TODAY(),"YYYYMMDD"))</f>
        <v/>
      </c>
      <c r="C338" s="37" t="str">
        <f>IF(Agent02_Withdrawals!A143="","",Agent02_Withdrawals!B143)</f>
        <v/>
      </c>
      <c r="D338" s="40" t="str">
        <f>IF(Agent02_Withdrawals!A143="","",Agent02_Withdrawals!C143)</f>
        <v/>
      </c>
      <c r="E338" s="38" t="str">
        <f>IF(Agent02_Withdrawals!A143="","",Agent02_Withdrawals!D143)</f>
        <v/>
      </c>
      <c r="F338" s="37" t="str">
        <f>IF(Agent02_Withdrawals!A143="","",Agent02_Withdrawals!F143)</f>
        <v/>
      </c>
      <c r="G338" s="39" t="str">
        <f>IF(Agent02_Withdrawals!A143="","",Agent02_Withdrawals!E143)</f>
        <v/>
      </c>
      <c r="H338" s="39" t="str">
        <f>IF(Agent02_Withdrawals!A143="","",Agent02_Withdrawals!G143)</f>
        <v/>
      </c>
      <c r="I338" s="37" t="str">
        <f>IF(Agent02_Withdrawals!A143="","",Agent02_Withdrawals!H143)</f>
        <v/>
      </c>
      <c r="J338" s="37" t="str">
        <f>IF(Agent02_Withdrawals!A143="","",Agent02_Withdrawals!J143)</f>
        <v/>
      </c>
      <c r="K338" s="37" t="str">
        <f>IF(Agent02_Withdrawals!A143="","",Agent02_Withdrawals!K143)</f>
        <v/>
      </c>
      <c r="L338" s="37" t="str">
        <f>IF(G338="","",IF(D338-G338&gt;=System_Config!$B$9,"✅ OK","⚠️ BREACH"))</f>
        <v/>
      </c>
      <c r="M338" s="37" t="str">
        <f>IFERROR(IF(Agent02_Withdrawals!A143="","",YEAR(Agent02_Withdrawals!D143)),"")</f>
        <v/>
      </c>
    </row>
    <row r="339" spans="1:13" ht="18" customHeight="1" x14ac:dyDescent="0.25">
      <c r="A339" s="37" t="str">
        <f>IF(Agent02_Withdrawals!A144="","",Agent02_Withdrawals!A144)</f>
        <v/>
      </c>
      <c r="B339" s="37" t="str">
        <f ca="1">IF(Agent02_Withdrawals!A144="","","WD"&amp;TEXT(339-3,"0000")&amp;"-"&amp;TEXT(TODAY(),"YYYYMMDD"))</f>
        <v/>
      </c>
      <c r="C339" s="37" t="str">
        <f>IF(Agent02_Withdrawals!A144="","",Agent02_Withdrawals!B144)</f>
        <v/>
      </c>
      <c r="D339" s="40" t="str">
        <f>IF(Agent02_Withdrawals!A144="","",Agent02_Withdrawals!C144)</f>
        <v/>
      </c>
      <c r="E339" s="38" t="str">
        <f>IF(Agent02_Withdrawals!A144="","",Agent02_Withdrawals!D144)</f>
        <v/>
      </c>
      <c r="F339" s="37" t="str">
        <f>IF(Agent02_Withdrawals!A144="","",Agent02_Withdrawals!F144)</f>
        <v/>
      </c>
      <c r="G339" s="39" t="str">
        <f>IF(Agent02_Withdrawals!A144="","",Agent02_Withdrawals!E144)</f>
        <v/>
      </c>
      <c r="H339" s="39" t="str">
        <f>IF(Agent02_Withdrawals!A144="","",Agent02_Withdrawals!G144)</f>
        <v/>
      </c>
      <c r="I339" s="37" t="str">
        <f>IF(Agent02_Withdrawals!A144="","",Agent02_Withdrawals!H144)</f>
        <v/>
      </c>
      <c r="J339" s="37" t="str">
        <f>IF(Agent02_Withdrawals!A144="","",Agent02_Withdrawals!J144)</f>
        <v/>
      </c>
      <c r="K339" s="37" t="str">
        <f>IF(Agent02_Withdrawals!A144="","",Agent02_Withdrawals!K144)</f>
        <v/>
      </c>
      <c r="L339" s="37" t="str">
        <f>IF(G339="","",IF(D339-G339&gt;=System_Config!$B$9,"✅ OK","⚠️ BREACH"))</f>
        <v/>
      </c>
      <c r="M339" s="37" t="str">
        <f>IFERROR(IF(Agent02_Withdrawals!A144="","",YEAR(Agent02_Withdrawals!D144)),"")</f>
        <v/>
      </c>
    </row>
    <row r="340" spans="1:13" ht="18" customHeight="1" x14ac:dyDescent="0.25">
      <c r="A340" s="37" t="str">
        <f>IF(Agent02_Withdrawals!A145="","",Agent02_Withdrawals!A145)</f>
        <v/>
      </c>
      <c r="B340" s="37" t="str">
        <f ca="1">IF(Agent02_Withdrawals!A145="","","WD"&amp;TEXT(340-3,"0000")&amp;"-"&amp;TEXT(TODAY(),"YYYYMMDD"))</f>
        <v/>
      </c>
      <c r="C340" s="37" t="str">
        <f>IF(Agent02_Withdrawals!A145="","",Agent02_Withdrawals!B145)</f>
        <v/>
      </c>
      <c r="D340" s="40" t="str">
        <f>IF(Agent02_Withdrawals!A145="","",Agent02_Withdrawals!C145)</f>
        <v/>
      </c>
      <c r="E340" s="38" t="str">
        <f>IF(Agent02_Withdrawals!A145="","",Agent02_Withdrawals!D145)</f>
        <v/>
      </c>
      <c r="F340" s="37" t="str">
        <f>IF(Agent02_Withdrawals!A145="","",Agent02_Withdrawals!F145)</f>
        <v/>
      </c>
      <c r="G340" s="39" t="str">
        <f>IF(Agent02_Withdrawals!A145="","",Agent02_Withdrawals!E145)</f>
        <v/>
      </c>
      <c r="H340" s="39" t="str">
        <f>IF(Agent02_Withdrawals!A145="","",Agent02_Withdrawals!G145)</f>
        <v/>
      </c>
      <c r="I340" s="37" t="str">
        <f>IF(Agent02_Withdrawals!A145="","",Agent02_Withdrawals!H145)</f>
        <v/>
      </c>
      <c r="J340" s="37" t="str">
        <f>IF(Agent02_Withdrawals!A145="","",Agent02_Withdrawals!J145)</f>
        <v/>
      </c>
      <c r="K340" s="37" t="str">
        <f>IF(Agent02_Withdrawals!A145="","",Agent02_Withdrawals!K145)</f>
        <v/>
      </c>
      <c r="L340" s="37" t="str">
        <f>IF(G340="","",IF(D340-G340&gt;=System_Config!$B$9,"✅ OK","⚠️ BREACH"))</f>
        <v/>
      </c>
      <c r="M340" s="37" t="str">
        <f>IFERROR(IF(Agent02_Withdrawals!A145="","",YEAR(Agent02_Withdrawals!D145)),"")</f>
        <v/>
      </c>
    </row>
    <row r="341" spans="1:13" ht="18" customHeight="1" x14ac:dyDescent="0.25">
      <c r="A341" s="37" t="str">
        <f>IF(Agent02_Withdrawals!A146="","",Agent02_Withdrawals!A146)</f>
        <v/>
      </c>
      <c r="B341" s="37" t="str">
        <f ca="1">IF(Agent02_Withdrawals!A146="","","WD"&amp;TEXT(341-3,"0000")&amp;"-"&amp;TEXT(TODAY(),"YYYYMMDD"))</f>
        <v/>
      </c>
      <c r="C341" s="37" t="str">
        <f>IF(Agent02_Withdrawals!A146="","",Agent02_Withdrawals!B146)</f>
        <v/>
      </c>
      <c r="D341" s="40" t="str">
        <f>IF(Agent02_Withdrawals!A146="","",Agent02_Withdrawals!C146)</f>
        <v/>
      </c>
      <c r="E341" s="38" t="str">
        <f>IF(Agent02_Withdrawals!A146="","",Agent02_Withdrawals!D146)</f>
        <v/>
      </c>
      <c r="F341" s="37" t="str">
        <f>IF(Agent02_Withdrawals!A146="","",Agent02_Withdrawals!F146)</f>
        <v/>
      </c>
      <c r="G341" s="39" t="str">
        <f>IF(Agent02_Withdrawals!A146="","",Agent02_Withdrawals!E146)</f>
        <v/>
      </c>
      <c r="H341" s="39" t="str">
        <f>IF(Agent02_Withdrawals!A146="","",Agent02_Withdrawals!G146)</f>
        <v/>
      </c>
      <c r="I341" s="37" t="str">
        <f>IF(Agent02_Withdrawals!A146="","",Agent02_Withdrawals!H146)</f>
        <v/>
      </c>
      <c r="J341" s="37" t="str">
        <f>IF(Agent02_Withdrawals!A146="","",Agent02_Withdrawals!J146)</f>
        <v/>
      </c>
      <c r="K341" s="37" t="str">
        <f>IF(Agent02_Withdrawals!A146="","",Agent02_Withdrawals!K146)</f>
        <v/>
      </c>
      <c r="L341" s="37" t="str">
        <f>IF(G341="","",IF(D341-G341&gt;=System_Config!$B$9,"✅ OK","⚠️ BREACH"))</f>
        <v/>
      </c>
      <c r="M341" s="37" t="str">
        <f>IFERROR(IF(Agent02_Withdrawals!A146="","",YEAR(Agent02_Withdrawals!D146)),"")</f>
        <v/>
      </c>
    </row>
    <row r="342" spans="1:13" ht="18" customHeight="1" x14ac:dyDescent="0.25">
      <c r="A342" s="37" t="str">
        <f>IF(Agent02_Withdrawals!A147="","",Agent02_Withdrawals!A147)</f>
        <v/>
      </c>
      <c r="B342" s="37" t="str">
        <f ca="1">IF(Agent02_Withdrawals!A147="","","WD"&amp;TEXT(342-3,"0000")&amp;"-"&amp;TEXT(TODAY(),"YYYYMMDD"))</f>
        <v/>
      </c>
      <c r="C342" s="37" t="str">
        <f>IF(Agent02_Withdrawals!A147="","",Agent02_Withdrawals!B147)</f>
        <v/>
      </c>
      <c r="D342" s="40" t="str">
        <f>IF(Agent02_Withdrawals!A147="","",Agent02_Withdrawals!C147)</f>
        <v/>
      </c>
      <c r="E342" s="38" t="str">
        <f>IF(Agent02_Withdrawals!A147="","",Agent02_Withdrawals!D147)</f>
        <v/>
      </c>
      <c r="F342" s="37" t="str">
        <f>IF(Agent02_Withdrawals!A147="","",Agent02_Withdrawals!F147)</f>
        <v/>
      </c>
      <c r="G342" s="39" t="str">
        <f>IF(Agent02_Withdrawals!A147="","",Agent02_Withdrawals!E147)</f>
        <v/>
      </c>
      <c r="H342" s="39" t="str">
        <f>IF(Agent02_Withdrawals!A147="","",Agent02_Withdrawals!G147)</f>
        <v/>
      </c>
      <c r="I342" s="37" t="str">
        <f>IF(Agent02_Withdrawals!A147="","",Agent02_Withdrawals!H147)</f>
        <v/>
      </c>
      <c r="J342" s="37" t="str">
        <f>IF(Agent02_Withdrawals!A147="","",Agent02_Withdrawals!J147)</f>
        <v/>
      </c>
      <c r="K342" s="37" t="str">
        <f>IF(Agent02_Withdrawals!A147="","",Agent02_Withdrawals!K147)</f>
        <v/>
      </c>
      <c r="L342" s="37" t="str">
        <f>IF(G342="","",IF(D342-G342&gt;=System_Config!$B$9,"✅ OK","⚠️ BREACH"))</f>
        <v/>
      </c>
      <c r="M342" s="37" t="str">
        <f>IFERROR(IF(Agent02_Withdrawals!A147="","",YEAR(Agent02_Withdrawals!D147)),"")</f>
        <v/>
      </c>
    </row>
    <row r="343" spans="1:13" ht="18" customHeight="1" x14ac:dyDescent="0.25">
      <c r="A343" s="37" t="str">
        <f>IF(Agent02_Withdrawals!A148="","",Agent02_Withdrawals!A148)</f>
        <v/>
      </c>
      <c r="B343" s="37" t="str">
        <f ca="1">IF(Agent02_Withdrawals!A148="","","WD"&amp;TEXT(343-3,"0000")&amp;"-"&amp;TEXT(TODAY(),"YYYYMMDD"))</f>
        <v/>
      </c>
      <c r="C343" s="37" t="str">
        <f>IF(Agent02_Withdrawals!A148="","",Agent02_Withdrawals!B148)</f>
        <v/>
      </c>
      <c r="D343" s="40" t="str">
        <f>IF(Agent02_Withdrawals!A148="","",Agent02_Withdrawals!C148)</f>
        <v/>
      </c>
      <c r="E343" s="38" t="str">
        <f>IF(Agent02_Withdrawals!A148="","",Agent02_Withdrawals!D148)</f>
        <v/>
      </c>
      <c r="F343" s="37" t="str">
        <f>IF(Agent02_Withdrawals!A148="","",Agent02_Withdrawals!F148)</f>
        <v/>
      </c>
      <c r="G343" s="39" t="str">
        <f>IF(Agent02_Withdrawals!A148="","",Agent02_Withdrawals!E148)</f>
        <v/>
      </c>
      <c r="H343" s="39" t="str">
        <f>IF(Agent02_Withdrawals!A148="","",Agent02_Withdrawals!G148)</f>
        <v/>
      </c>
      <c r="I343" s="37" t="str">
        <f>IF(Agent02_Withdrawals!A148="","",Agent02_Withdrawals!H148)</f>
        <v/>
      </c>
      <c r="J343" s="37" t="str">
        <f>IF(Agent02_Withdrawals!A148="","",Agent02_Withdrawals!J148)</f>
        <v/>
      </c>
      <c r="K343" s="37" t="str">
        <f>IF(Agent02_Withdrawals!A148="","",Agent02_Withdrawals!K148)</f>
        <v/>
      </c>
      <c r="L343" s="37" t="str">
        <f>IF(G343="","",IF(D343-G343&gt;=System_Config!$B$9,"✅ OK","⚠️ BREACH"))</f>
        <v/>
      </c>
      <c r="M343" s="37" t="str">
        <f>IFERROR(IF(Agent02_Withdrawals!A148="","",YEAR(Agent02_Withdrawals!D148)),"")</f>
        <v/>
      </c>
    </row>
    <row r="344" spans="1:13" ht="18" customHeight="1" x14ac:dyDescent="0.25">
      <c r="A344" s="37" t="str">
        <f>IF(Agent02_Withdrawals!A149="","",Agent02_Withdrawals!A149)</f>
        <v/>
      </c>
      <c r="B344" s="37" t="str">
        <f ca="1">IF(Agent02_Withdrawals!A149="","","WD"&amp;TEXT(344-3,"0000")&amp;"-"&amp;TEXT(TODAY(),"YYYYMMDD"))</f>
        <v/>
      </c>
      <c r="C344" s="37" t="str">
        <f>IF(Agent02_Withdrawals!A149="","",Agent02_Withdrawals!B149)</f>
        <v/>
      </c>
      <c r="D344" s="40" t="str">
        <f>IF(Agent02_Withdrawals!A149="","",Agent02_Withdrawals!C149)</f>
        <v/>
      </c>
      <c r="E344" s="38" t="str">
        <f>IF(Agent02_Withdrawals!A149="","",Agent02_Withdrawals!D149)</f>
        <v/>
      </c>
      <c r="F344" s="37" t="str">
        <f>IF(Agent02_Withdrawals!A149="","",Agent02_Withdrawals!F149)</f>
        <v/>
      </c>
      <c r="G344" s="39" t="str">
        <f>IF(Agent02_Withdrawals!A149="","",Agent02_Withdrawals!E149)</f>
        <v/>
      </c>
      <c r="H344" s="39" t="str">
        <f>IF(Agent02_Withdrawals!A149="","",Agent02_Withdrawals!G149)</f>
        <v/>
      </c>
      <c r="I344" s="37" t="str">
        <f>IF(Agent02_Withdrawals!A149="","",Agent02_Withdrawals!H149)</f>
        <v/>
      </c>
      <c r="J344" s="37" t="str">
        <f>IF(Agent02_Withdrawals!A149="","",Agent02_Withdrawals!J149)</f>
        <v/>
      </c>
      <c r="K344" s="37" t="str">
        <f>IF(Agent02_Withdrawals!A149="","",Agent02_Withdrawals!K149)</f>
        <v/>
      </c>
      <c r="L344" s="37" t="str">
        <f>IF(G344="","",IF(D344-G344&gt;=System_Config!$B$9,"✅ OK","⚠️ BREACH"))</f>
        <v/>
      </c>
      <c r="M344" s="37" t="str">
        <f>IFERROR(IF(Agent02_Withdrawals!A149="","",YEAR(Agent02_Withdrawals!D149)),"")</f>
        <v/>
      </c>
    </row>
    <row r="345" spans="1:13" ht="18" customHeight="1" x14ac:dyDescent="0.25">
      <c r="A345" s="37" t="str">
        <f>IF(Agent02_Withdrawals!A150="","",Agent02_Withdrawals!A150)</f>
        <v/>
      </c>
      <c r="B345" s="37" t="str">
        <f ca="1">IF(Agent02_Withdrawals!A150="","","WD"&amp;TEXT(345-3,"0000")&amp;"-"&amp;TEXT(TODAY(),"YYYYMMDD"))</f>
        <v/>
      </c>
      <c r="C345" s="37" t="str">
        <f>IF(Agent02_Withdrawals!A150="","",Agent02_Withdrawals!B150)</f>
        <v/>
      </c>
      <c r="D345" s="40" t="str">
        <f>IF(Agent02_Withdrawals!A150="","",Agent02_Withdrawals!C150)</f>
        <v/>
      </c>
      <c r="E345" s="38" t="str">
        <f>IF(Agent02_Withdrawals!A150="","",Agent02_Withdrawals!D150)</f>
        <v/>
      </c>
      <c r="F345" s="37" t="str">
        <f>IF(Agent02_Withdrawals!A150="","",Agent02_Withdrawals!F150)</f>
        <v/>
      </c>
      <c r="G345" s="39" t="str">
        <f>IF(Agent02_Withdrawals!A150="","",Agent02_Withdrawals!E150)</f>
        <v/>
      </c>
      <c r="H345" s="39" t="str">
        <f>IF(Agent02_Withdrawals!A150="","",Agent02_Withdrawals!G150)</f>
        <v/>
      </c>
      <c r="I345" s="37" t="str">
        <f>IF(Agent02_Withdrawals!A150="","",Agent02_Withdrawals!H150)</f>
        <v/>
      </c>
      <c r="J345" s="37" t="str">
        <f>IF(Agent02_Withdrawals!A150="","",Agent02_Withdrawals!J150)</f>
        <v/>
      </c>
      <c r="K345" s="37" t="str">
        <f>IF(Agent02_Withdrawals!A150="","",Agent02_Withdrawals!K150)</f>
        <v/>
      </c>
      <c r="L345" s="37" t="str">
        <f>IF(G345="","",IF(D345-G345&gt;=System_Config!$B$9,"✅ OK","⚠️ BREACH"))</f>
        <v/>
      </c>
      <c r="M345" s="37" t="str">
        <f>IFERROR(IF(Agent02_Withdrawals!A150="","",YEAR(Agent02_Withdrawals!D150)),"")</f>
        <v/>
      </c>
    </row>
    <row r="346" spans="1:13" ht="18" customHeight="1" x14ac:dyDescent="0.25">
      <c r="A346" s="37" t="str">
        <f>IF(Agent02_Withdrawals!A151="","",Agent02_Withdrawals!A151)</f>
        <v/>
      </c>
      <c r="B346" s="37" t="str">
        <f ca="1">IF(Agent02_Withdrawals!A151="","","WD"&amp;TEXT(346-3,"0000")&amp;"-"&amp;TEXT(TODAY(),"YYYYMMDD"))</f>
        <v/>
      </c>
      <c r="C346" s="37" t="str">
        <f>IF(Agent02_Withdrawals!A151="","",Agent02_Withdrawals!B151)</f>
        <v/>
      </c>
      <c r="D346" s="40" t="str">
        <f>IF(Agent02_Withdrawals!A151="","",Agent02_Withdrawals!C151)</f>
        <v/>
      </c>
      <c r="E346" s="38" t="str">
        <f>IF(Agent02_Withdrawals!A151="","",Agent02_Withdrawals!D151)</f>
        <v/>
      </c>
      <c r="F346" s="37" t="str">
        <f>IF(Agent02_Withdrawals!A151="","",Agent02_Withdrawals!F151)</f>
        <v/>
      </c>
      <c r="G346" s="39" t="str">
        <f>IF(Agent02_Withdrawals!A151="","",Agent02_Withdrawals!E151)</f>
        <v/>
      </c>
      <c r="H346" s="39" t="str">
        <f>IF(Agent02_Withdrawals!A151="","",Agent02_Withdrawals!G151)</f>
        <v/>
      </c>
      <c r="I346" s="37" t="str">
        <f>IF(Agent02_Withdrawals!A151="","",Agent02_Withdrawals!H151)</f>
        <v/>
      </c>
      <c r="J346" s="37" t="str">
        <f>IF(Agent02_Withdrawals!A151="","",Agent02_Withdrawals!J151)</f>
        <v/>
      </c>
      <c r="K346" s="37" t="str">
        <f>IF(Agent02_Withdrawals!A151="","",Agent02_Withdrawals!K151)</f>
        <v/>
      </c>
      <c r="L346" s="37" t="str">
        <f>IF(G346="","",IF(D346-G346&gt;=System_Config!$B$9,"✅ OK","⚠️ BREACH"))</f>
        <v/>
      </c>
      <c r="M346" s="37" t="str">
        <f>IFERROR(IF(Agent02_Withdrawals!A151="","",YEAR(Agent02_Withdrawals!D151)),"")</f>
        <v/>
      </c>
    </row>
    <row r="347" spans="1:13" ht="18" customHeight="1" x14ac:dyDescent="0.25">
      <c r="A347" s="37" t="str">
        <f>IF(Agent02_Withdrawals!A152="","",Agent02_Withdrawals!A152)</f>
        <v/>
      </c>
      <c r="B347" s="37" t="str">
        <f ca="1">IF(Agent02_Withdrawals!A152="","","WD"&amp;TEXT(347-3,"0000")&amp;"-"&amp;TEXT(TODAY(),"YYYYMMDD"))</f>
        <v/>
      </c>
      <c r="C347" s="37" t="str">
        <f>IF(Agent02_Withdrawals!A152="","",Agent02_Withdrawals!B152)</f>
        <v/>
      </c>
      <c r="D347" s="40" t="str">
        <f>IF(Agent02_Withdrawals!A152="","",Agent02_Withdrawals!C152)</f>
        <v/>
      </c>
      <c r="E347" s="38" t="str">
        <f>IF(Agent02_Withdrawals!A152="","",Agent02_Withdrawals!D152)</f>
        <v/>
      </c>
      <c r="F347" s="37" t="str">
        <f>IF(Agent02_Withdrawals!A152="","",Agent02_Withdrawals!F152)</f>
        <v/>
      </c>
      <c r="G347" s="39" t="str">
        <f>IF(Agent02_Withdrawals!A152="","",Agent02_Withdrawals!E152)</f>
        <v/>
      </c>
      <c r="H347" s="39" t="str">
        <f>IF(Agent02_Withdrawals!A152="","",Agent02_Withdrawals!G152)</f>
        <v/>
      </c>
      <c r="I347" s="37" t="str">
        <f>IF(Agent02_Withdrawals!A152="","",Agent02_Withdrawals!H152)</f>
        <v/>
      </c>
      <c r="J347" s="37" t="str">
        <f>IF(Agent02_Withdrawals!A152="","",Agent02_Withdrawals!J152)</f>
        <v/>
      </c>
      <c r="K347" s="37" t="str">
        <f>IF(Agent02_Withdrawals!A152="","",Agent02_Withdrawals!K152)</f>
        <v/>
      </c>
      <c r="L347" s="37" t="str">
        <f>IF(G347="","",IF(D347-G347&gt;=System_Config!$B$9,"✅ OK","⚠️ BREACH"))</f>
        <v/>
      </c>
      <c r="M347" s="37" t="str">
        <f>IFERROR(IF(Agent02_Withdrawals!A152="","",YEAR(Agent02_Withdrawals!D152)),"")</f>
        <v/>
      </c>
    </row>
    <row r="348" spans="1:13" ht="18" customHeight="1" x14ac:dyDescent="0.25">
      <c r="A348" s="37" t="str">
        <f>IF(Agent02_Withdrawals!A153="","",Agent02_Withdrawals!A153)</f>
        <v/>
      </c>
      <c r="B348" s="37" t="str">
        <f ca="1">IF(Agent02_Withdrawals!A153="","","WD"&amp;TEXT(348-3,"0000")&amp;"-"&amp;TEXT(TODAY(),"YYYYMMDD"))</f>
        <v/>
      </c>
      <c r="C348" s="37" t="str">
        <f>IF(Agent02_Withdrawals!A153="","",Agent02_Withdrawals!B153)</f>
        <v/>
      </c>
      <c r="D348" s="40" t="str">
        <f>IF(Agent02_Withdrawals!A153="","",Agent02_Withdrawals!C153)</f>
        <v/>
      </c>
      <c r="E348" s="38" t="str">
        <f>IF(Agent02_Withdrawals!A153="","",Agent02_Withdrawals!D153)</f>
        <v/>
      </c>
      <c r="F348" s="37" t="str">
        <f>IF(Agent02_Withdrawals!A153="","",Agent02_Withdrawals!F153)</f>
        <v/>
      </c>
      <c r="G348" s="39" t="str">
        <f>IF(Agent02_Withdrawals!A153="","",Agent02_Withdrawals!E153)</f>
        <v/>
      </c>
      <c r="H348" s="39" t="str">
        <f>IF(Agent02_Withdrawals!A153="","",Agent02_Withdrawals!G153)</f>
        <v/>
      </c>
      <c r="I348" s="37" t="str">
        <f>IF(Agent02_Withdrawals!A153="","",Agent02_Withdrawals!H153)</f>
        <v/>
      </c>
      <c r="J348" s="37" t="str">
        <f>IF(Agent02_Withdrawals!A153="","",Agent02_Withdrawals!J153)</f>
        <v/>
      </c>
      <c r="K348" s="37" t="str">
        <f>IF(Agent02_Withdrawals!A153="","",Agent02_Withdrawals!K153)</f>
        <v/>
      </c>
      <c r="L348" s="37" t="str">
        <f>IF(G348="","",IF(D348-G348&gt;=System_Config!$B$9,"✅ OK","⚠️ BREACH"))</f>
        <v/>
      </c>
      <c r="M348" s="37" t="str">
        <f>IFERROR(IF(Agent02_Withdrawals!A153="","",YEAR(Agent02_Withdrawals!D153)),"")</f>
        <v/>
      </c>
    </row>
    <row r="349" spans="1:13" ht="18" customHeight="1" x14ac:dyDescent="0.25">
      <c r="A349" s="37" t="str">
        <f>IF(Agent02_Withdrawals!A154="","",Agent02_Withdrawals!A154)</f>
        <v/>
      </c>
      <c r="B349" s="37" t="str">
        <f ca="1">IF(Agent02_Withdrawals!A154="","","WD"&amp;TEXT(349-3,"0000")&amp;"-"&amp;TEXT(TODAY(),"YYYYMMDD"))</f>
        <v/>
      </c>
      <c r="C349" s="37" t="str">
        <f>IF(Agent02_Withdrawals!A154="","",Agent02_Withdrawals!B154)</f>
        <v/>
      </c>
      <c r="D349" s="40" t="str">
        <f>IF(Agent02_Withdrawals!A154="","",Agent02_Withdrawals!C154)</f>
        <v/>
      </c>
      <c r="E349" s="38" t="str">
        <f>IF(Agent02_Withdrawals!A154="","",Agent02_Withdrawals!D154)</f>
        <v/>
      </c>
      <c r="F349" s="37" t="str">
        <f>IF(Agent02_Withdrawals!A154="","",Agent02_Withdrawals!F154)</f>
        <v/>
      </c>
      <c r="G349" s="39" t="str">
        <f>IF(Agent02_Withdrawals!A154="","",Agent02_Withdrawals!E154)</f>
        <v/>
      </c>
      <c r="H349" s="39" t="str">
        <f>IF(Agent02_Withdrawals!A154="","",Agent02_Withdrawals!G154)</f>
        <v/>
      </c>
      <c r="I349" s="37" t="str">
        <f>IF(Agent02_Withdrawals!A154="","",Agent02_Withdrawals!H154)</f>
        <v/>
      </c>
      <c r="J349" s="37" t="str">
        <f>IF(Agent02_Withdrawals!A154="","",Agent02_Withdrawals!J154)</f>
        <v/>
      </c>
      <c r="K349" s="37" t="str">
        <f>IF(Agent02_Withdrawals!A154="","",Agent02_Withdrawals!K154)</f>
        <v/>
      </c>
      <c r="L349" s="37" t="str">
        <f>IF(G349="","",IF(D349-G349&gt;=System_Config!$B$9,"✅ OK","⚠️ BREACH"))</f>
        <v/>
      </c>
      <c r="M349" s="37" t="str">
        <f>IFERROR(IF(Agent02_Withdrawals!A154="","",YEAR(Agent02_Withdrawals!D154)),"")</f>
        <v/>
      </c>
    </row>
    <row r="350" spans="1:13" ht="18" customHeight="1" x14ac:dyDescent="0.25">
      <c r="A350" s="37" t="str">
        <f>IF(Agent02_Withdrawals!A155="","",Agent02_Withdrawals!A155)</f>
        <v/>
      </c>
      <c r="B350" s="37" t="str">
        <f ca="1">IF(Agent02_Withdrawals!A155="","","WD"&amp;TEXT(350-3,"0000")&amp;"-"&amp;TEXT(TODAY(),"YYYYMMDD"))</f>
        <v/>
      </c>
      <c r="C350" s="37" t="str">
        <f>IF(Agent02_Withdrawals!A155="","",Agent02_Withdrawals!B155)</f>
        <v/>
      </c>
      <c r="D350" s="40" t="str">
        <f>IF(Agent02_Withdrawals!A155="","",Agent02_Withdrawals!C155)</f>
        <v/>
      </c>
      <c r="E350" s="38" t="str">
        <f>IF(Agent02_Withdrawals!A155="","",Agent02_Withdrawals!D155)</f>
        <v/>
      </c>
      <c r="F350" s="37" t="str">
        <f>IF(Agent02_Withdrawals!A155="","",Agent02_Withdrawals!F155)</f>
        <v/>
      </c>
      <c r="G350" s="39" t="str">
        <f>IF(Agent02_Withdrawals!A155="","",Agent02_Withdrawals!E155)</f>
        <v/>
      </c>
      <c r="H350" s="39" t="str">
        <f>IF(Agent02_Withdrawals!A155="","",Agent02_Withdrawals!G155)</f>
        <v/>
      </c>
      <c r="I350" s="37" t="str">
        <f>IF(Agent02_Withdrawals!A155="","",Agent02_Withdrawals!H155)</f>
        <v/>
      </c>
      <c r="J350" s="37" t="str">
        <f>IF(Agent02_Withdrawals!A155="","",Agent02_Withdrawals!J155)</f>
        <v/>
      </c>
      <c r="K350" s="37" t="str">
        <f>IF(Agent02_Withdrawals!A155="","",Agent02_Withdrawals!K155)</f>
        <v/>
      </c>
      <c r="L350" s="37" t="str">
        <f>IF(G350="","",IF(D350-G350&gt;=System_Config!$B$9,"✅ OK","⚠️ BREACH"))</f>
        <v/>
      </c>
      <c r="M350" s="37" t="str">
        <f>IFERROR(IF(Agent02_Withdrawals!A155="","",YEAR(Agent02_Withdrawals!D155)),"")</f>
        <v/>
      </c>
    </row>
    <row r="351" spans="1:13" ht="18" customHeight="1" x14ac:dyDescent="0.25">
      <c r="A351" s="37" t="str">
        <f>IF(Agent02_Withdrawals!A156="","",Agent02_Withdrawals!A156)</f>
        <v/>
      </c>
      <c r="B351" s="37" t="str">
        <f ca="1">IF(Agent02_Withdrawals!A156="","","WD"&amp;TEXT(351-3,"0000")&amp;"-"&amp;TEXT(TODAY(),"YYYYMMDD"))</f>
        <v/>
      </c>
      <c r="C351" s="37" t="str">
        <f>IF(Agent02_Withdrawals!A156="","",Agent02_Withdrawals!B156)</f>
        <v/>
      </c>
      <c r="D351" s="40" t="str">
        <f>IF(Agent02_Withdrawals!A156="","",Agent02_Withdrawals!C156)</f>
        <v/>
      </c>
      <c r="E351" s="38" t="str">
        <f>IF(Agent02_Withdrawals!A156="","",Agent02_Withdrawals!D156)</f>
        <v/>
      </c>
      <c r="F351" s="37" t="str">
        <f>IF(Agent02_Withdrawals!A156="","",Agent02_Withdrawals!F156)</f>
        <v/>
      </c>
      <c r="G351" s="39" t="str">
        <f>IF(Agent02_Withdrawals!A156="","",Agent02_Withdrawals!E156)</f>
        <v/>
      </c>
      <c r="H351" s="39" t="str">
        <f>IF(Agent02_Withdrawals!A156="","",Agent02_Withdrawals!G156)</f>
        <v/>
      </c>
      <c r="I351" s="37" t="str">
        <f>IF(Agent02_Withdrawals!A156="","",Agent02_Withdrawals!H156)</f>
        <v/>
      </c>
      <c r="J351" s="37" t="str">
        <f>IF(Agent02_Withdrawals!A156="","",Agent02_Withdrawals!J156)</f>
        <v/>
      </c>
      <c r="K351" s="37" t="str">
        <f>IF(Agent02_Withdrawals!A156="","",Agent02_Withdrawals!K156)</f>
        <v/>
      </c>
      <c r="L351" s="37" t="str">
        <f>IF(G351="","",IF(D351-G351&gt;=System_Config!$B$9,"✅ OK","⚠️ BREACH"))</f>
        <v/>
      </c>
      <c r="M351" s="37" t="str">
        <f>IFERROR(IF(Agent02_Withdrawals!A156="","",YEAR(Agent02_Withdrawals!D156)),"")</f>
        <v/>
      </c>
    </row>
    <row r="352" spans="1:13" ht="18" customHeight="1" x14ac:dyDescent="0.25">
      <c r="A352" s="37" t="str">
        <f>IF(Agent02_Withdrawals!A157="","",Agent02_Withdrawals!A157)</f>
        <v/>
      </c>
      <c r="B352" s="37" t="str">
        <f ca="1">IF(Agent02_Withdrawals!A157="","","WD"&amp;TEXT(352-3,"0000")&amp;"-"&amp;TEXT(TODAY(),"YYYYMMDD"))</f>
        <v/>
      </c>
      <c r="C352" s="37" t="str">
        <f>IF(Agent02_Withdrawals!A157="","",Agent02_Withdrawals!B157)</f>
        <v/>
      </c>
      <c r="D352" s="40" t="str">
        <f>IF(Agent02_Withdrawals!A157="","",Agent02_Withdrawals!C157)</f>
        <v/>
      </c>
      <c r="E352" s="38" t="str">
        <f>IF(Agent02_Withdrawals!A157="","",Agent02_Withdrawals!D157)</f>
        <v/>
      </c>
      <c r="F352" s="37" t="str">
        <f>IF(Agent02_Withdrawals!A157="","",Agent02_Withdrawals!F157)</f>
        <v/>
      </c>
      <c r="G352" s="39" t="str">
        <f>IF(Agent02_Withdrawals!A157="","",Agent02_Withdrawals!E157)</f>
        <v/>
      </c>
      <c r="H352" s="39" t="str">
        <f>IF(Agent02_Withdrawals!A157="","",Agent02_Withdrawals!G157)</f>
        <v/>
      </c>
      <c r="I352" s="37" t="str">
        <f>IF(Agent02_Withdrawals!A157="","",Agent02_Withdrawals!H157)</f>
        <v/>
      </c>
      <c r="J352" s="37" t="str">
        <f>IF(Agent02_Withdrawals!A157="","",Agent02_Withdrawals!J157)</f>
        <v/>
      </c>
      <c r="K352" s="37" t="str">
        <f>IF(Agent02_Withdrawals!A157="","",Agent02_Withdrawals!K157)</f>
        <v/>
      </c>
      <c r="L352" s="37" t="str">
        <f>IF(G352="","",IF(D352-G352&gt;=System_Config!$B$9,"✅ OK","⚠️ BREACH"))</f>
        <v/>
      </c>
      <c r="M352" s="37" t="str">
        <f>IFERROR(IF(Agent02_Withdrawals!A157="","",YEAR(Agent02_Withdrawals!D157)),"")</f>
        <v/>
      </c>
    </row>
    <row r="353" spans="1:13" ht="18" customHeight="1" x14ac:dyDescent="0.25">
      <c r="A353" s="37" t="str">
        <f>IF(Agent02_Withdrawals!A158="","",Agent02_Withdrawals!A158)</f>
        <v/>
      </c>
      <c r="B353" s="37" t="str">
        <f ca="1">IF(Agent02_Withdrawals!A158="","","WD"&amp;TEXT(353-3,"0000")&amp;"-"&amp;TEXT(TODAY(),"YYYYMMDD"))</f>
        <v/>
      </c>
      <c r="C353" s="37" t="str">
        <f>IF(Agent02_Withdrawals!A158="","",Agent02_Withdrawals!B158)</f>
        <v/>
      </c>
      <c r="D353" s="40" t="str">
        <f>IF(Agent02_Withdrawals!A158="","",Agent02_Withdrawals!C158)</f>
        <v/>
      </c>
      <c r="E353" s="38" t="str">
        <f>IF(Agent02_Withdrawals!A158="","",Agent02_Withdrawals!D158)</f>
        <v/>
      </c>
      <c r="F353" s="37" t="str">
        <f>IF(Agent02_Withdrawals!A158="","",Agent02_Withdrawals!F158)</f>
        <v/>
      </c>
      <c r="G353" s="39" t="str">
        <f>IF(Agent02_Withdrawals!A158="","",Agent02_Withdrawals!E158)</f>
        <v/>
      </c>
      <c r="H353" s="39" t="str">
        <f>IF(Agent02_Withdrawals!A158="","",Agent02_Withdrawals!G158)</f>
        <v/>
      </c>
      <c r="I353" s="37" t="str">
        <f>IF(Agent02_Withdrawals!A158="","",Agent02_Withdrawals!H158)</f>
        <v/>
      </c>
      <c r="J353" s="37" t="str">
        <f>IF(Agent02_Withdrawals!A158="","",Agent02_Withdrawals!J158)</f>
        <v/>
      </c>
      <c r="K353" s="37" t="str">
        <f>IF(Agent02_Withdrawals!A158="","",Agent02_Withdrawals!K158)</f>
        <v/>
      </c>
      <c r="L353" s="37" t="str">
        <f>IF(G353="","",IF(D353-G353&gt;=System_Config!$B$9,"✅ OK","⚠️ BREACH"))</f>
        <v/>
      </c>
      <c r="M353" s="37" t="str">
        <f>IFERROR(IF(Agent02_Withdrawals!A158="","",YEAR(Agent02_Withdrawals!D158)),"")</f>
        <v/>
      </c>
    </row>
    <row r="354" spans="1:13" ht="18" customHeight="1" x14ac:dyDescent="0.25">
      <c r="A354" s="37" t="str">
        <f>IF(Agent02_Withdrawals!A159="","",Agent02_Withdrawals!A159)</f>
        <v/>
      </c>
      <c r="B354" s="37" t="str">
        <f ca="1">IF(Agent02_Withdrawals!A159="","","WD"&amp;TEXT(354-3,"0000")&amp;"-"&amp;TEXT(TODAY(),"YYYYMMDD"))</f>
        <v/>
      </c>
      <c r="C354" s="37" t="str">
        <f>IF(Agent02_Withdrawals!A159="","",Agent02_Withdrawals!B159)</f>
        <v/>
      </c>
      <c r="D354" s="40" t="str">
        <f>IF(Agent02_Withdrawals!A159="","",Agent02_Withdrawals!C159)</f>
        <v/>
      </c>
      <c r="E354" s="38" t="str">
        <f>IF(Agent02_Withdrawals!A159="","",Agent02_Withdrawals!D159)</f>
        <v/>
      </c>
      <c r="F354" s="37" t="str">
        <f>IF(Agent02_Withdrawals!A159="","",Agent02_Withdrawals!F159)</f>
        <v/>
      </c>
      <c r="G354" s="39" t="str">
        <f>IF(Agent02_Withdrawals!A159="","",Agent02_Withdrawals!E159)</f>
        <v/>
      </c>
      <c r="H354" s="39" t="str">
        <f>IF(Agent02_Withdrawals!A159="","",Agent02_Withdrawals!G159)</f>
        <v/>
      </c>
      <c r="I354" s="37" t="str">
        <f>IF(Agent02_Withdrawals!A159="","",Agent02_Withdrawals!H159)</f>
        <v/>
      </c>
      <c r="J354" s="37" t="str">
        <f>IF(Agent02_Withdrawals!A159="","",Agent02_Withdrawals!J159)</f>
        <v/>
      </c>
      <c r="K354" s="37" t="str">
        <f>IF(Agent02_Withdrawals!A159="","",Agent02_Withdrawals!K159)</f>
        <v/>
      </c>
      <c r="L354" s="37" t="str">
        <f>IF(G354="","",IF(D354-G354&gt;=System_Config!$B$9,"✅ OK","⚠️ BREACH"))</f>
        <v/>
      </c>
      <c r="M354" s="37" t="str">
        <f>IFERROR(IF(Agent02_Withdrawals!A159="","",YEAR(Agent02_Withdrawals!D159)),"")</f>
        <v/>
      </c>
    </row>
    <row r="355" spans="1:13" ht="18" customHeight="1" x14ac:dyDescent="0.25">
      <c r="A355" s="37" t="str">
        <f>IF(Agent02_Withdrawals!A160="","",Agent02_Withdrawals!A160)</f>
        <v/>
      </c>
      <c r="B355" s="37" t="str">
        <f ca="1">IF(Agent02_Withdrawals!A160="","","WD"&amp;TEXT(355-3,"0000")&amp;"-"&amp;TEXT(TODAY(),"YYYYMMDD"))</f>
        <v/>
      </c>
      <c r="C355" s="37" t="str">
        <f>IF(Agent02_Withdrawals!A160="","",Agent02_Withdrawals!B160)</f>
        <v/>
      </c>
      <c r="D355" s="40" t="str">
        <f>IF(Agent02_Withdrawals!A160="","",Agent02_Withdrawals!C160)</f>
        <v/>
      </c>
      <c r="E355" s="38" t="str">
        <f>IF(Agent02_Withdrawals!A160="","",Agent02_Withdrawals!D160)</f>
        <v/>
      </c>
      <c r="F355" s="37" t="str">
        <f>IF(Agent02_Withdrawals!A160="","",Agent02_Withdrawals!F160)</f>
        <v/>
      </c>
      <c r="G355" s="39" t="str">
        <f>IF(Agent02_Withdrawals!A160="","",Agent02_Withdrawals!E160)</f>
        <v/>
      </c>
      <c r="H355" s="39" t="str">
        <f>IF(Agent02_Withdrawals!A160="","",Agent02_Withdrawals!G160)</f>
        <v/>
      </c>
      <c r="I355" s="37" t="str">
        <f>IF(Agent02_Withdrawals!A160="","",Agent02_Withdrawals!H160)</f>
        <v/>
      </c>
      <c r="J355" s="37" t="str">
        <f>IF(Agent02_Withdrawals!A160="","",Agent02_Withdrawals!J160)</f>
        <v/>
      </c>
      <c r="K355" s="37" t="str">
        <f>IF(Agent02_Withdrawals!A160="","",Agent02_Withdrawals!K160)</f>
        <v/>
      </c>
      <c r="L355" s="37" t="str">
        <f>IF(G355="","",IF(D355-G355&gt;=System_Config!$B$9,"✅ OK","⚠️ BREACH"))</f>
        <v/>
      </c>
      <c r="M355" s="37" t="str">
        <f>IFERROR(IF(Agent02_Withdrawals!A160="","",YEAR(Agent02_Withdrawals!D160)),"")</f>
        <v/>
      </c>
    </row>
    <row r="356" spans="1:13" ht="18" customHeight="1" x14ac:dyDescent="0.25">
      <c r="A356" s="37" t="str">
        <f>IF(Agent02_Withdrawals!A161="","",Agent02_Withdrawals!A161)</f>
        <v/>
      </c>
      <c r="B356" s="37" t="str">
        <f ca="1">IF(Agent02_Withdrawals!A161="","","WD"&amp;TEXT(356-3,"0000")&amp;"-"&amp;TEXT(TODAY(),"YYYYMMDD"))</f>
        <v/>
      </c>
      <c r="C356" s="37" t="str">
        <f>IF(Agent02_Withdrawals!A161="","",Agent02_Withdrawals!B161)</f>
        <v/>
      </c>
      <c r="D356" s="40" t="str">
        <f>IF(Agent02_Withdrawals!A161="","",Agent02_Withdrawals!C161)</f>
        <v/>
      </c>
      <c r="E356" s="38" t="str">
        <f>IF(Agent02_Withdrawals!A161="","",Agent02_Withdrawals!D161)</f>
        <v/>
      </c>
      <c r="F356" s="37" t="str">
        <f>IF(Agent02_Withdrawals!A161="","",Agent02_Withdrawals!F161)</f>
        <v/>
      </c>
      <c r="G356" s="39" t="str">
        <f>IF(Agent02_Withdrawals!A161="","",Agent02_Withdrawals!E161)</f>
        <v/>
      </c>
      <c r="H356" s="39" t="str">
        <f>IF(Agent02_Withdrawals!A161="","",Agent02_Withdrawals!G161)</f>
        <v/>
      </c>
      <c r="I356" s="37" t="str">
        <f>IF(Agent02_Withdrawals!A161="","",Agent02_Withdrawals!H161)</f>
        <v/>
      </c>
      <c r="J356" s="37" t="str">
        <f>IF(Agent02_Withdrawals!A161="","",Agent02_Withdrawals!J161)</f>
        <v/>
      </c>
      <c r="K356" s="37" t="str">
        <f>IF(Agent02_Withdrawals!A161="","",Agent02_Withdrawals!K161)</f>
        <v/>
      </c>
      <c r="L356" s="37" t="str">
        <f>IF(G356="","",IF(D356-G356&gt;=System_Config!$B$9,"✅ OK","⚠️ BREACH"))</f>
        <v/>
      </c>
      <c r="M356" s="37" t="str">
        <f>IFERROR(IF(Agent02_Withdrawals!A161="","",YEAR(Agent02_Withdrawals!D161)),"")</f>
        <v/>
      </c>
    </row>
    <row r="357" spans="1:13" ht="18" customHeight="1" x14ac:dyDescent="0.25">
      <c r="A357" s="37" t="str">
        <f>IF(Agent02_Withdrawals!A162="","",Agent02_Withdrawals!A162)</f>
        <v/>
      </c>
      <c r="B357" s="37" t="str">
        <f ca="1">IF(Agent02_Withdrawals!A162="","","WD"&amp;TEXT(357-3,"0000")&amp;"-"&amp;TEXT(TODAY(),"YYYYMMDD"))</f>
        <v/>
      </c>
      <c r="C357" s="37" t="str">
        <f>IF(Agent02_Withdrawals!A162="","",Agent02_Withdrawals!B162)</f>
        <v/>
      </c>
      <c r="D357" s="40" t="str">
        <f>IF(Agent02_Withdrawals!A162="","",Agent02_Withdrawals!C162)</f>
        <v/>
      </c>
      <c r="E357" s="38" t="str">
        <f>IF(Agent02_Withdrawals!A162="","",Agent02_Withdrawals!D162)</f>
        <v/>
      </c>
      <c r="F357" s="37" t="str">
        <f>IF(Agent02_Withdrawals!A162="","",Agent02_Withdrawals!F162)</f>
        <v/>
      </c>
      <c r="G357" s="39" t="str">
        <f>IF(Agent02_Withdrawals!A162="","",Agent02_Withdrawals!E162)</f>
        <v/>
      </c>
      <c r="H357" s="39" t="str">
        <f>IF(Agent02_Withdrawals!A162="","",Agent02_Withdrawals!G162)</f>
        <v/>
      </c>
      <c r="I357" s="37" t="str">
        <f>IF(Agent02_Withdrawals!A162="","",Agent02_Withdrawals!H162)</f>
        <v/>
      </c>
      <c r="J357" s="37" t="str">
        <f>IF(Agent02_Withdrawals!A162="","",Agent02_Withdrawals!J162)</f>
        <v/>
      </c>
      <c r="K357" s="37" t="str">
        <f>IF(Agent02_Withdrawals!A162="","",Agent02_Withdrawals!K162)</f>
        <v/>
      </c>
      <c r="L357" s="37" t="str">
        <f>IF(G357="","",IF(D357-G357&gt;=System_Config!$B$9,"✅ OK","⚠️ BREACH"))</f>
        <v/>
      </c>
      <c r="M357" s="37" t="str">
        <f>IFERROR(IF(Agent02_Withdrawals!A162="","",YEAR(Agent02_Withdrawals!D162)),"")</f>
        <v/>
      </c>
    </row>
    <row r="358" spans="1:13" ht="18" customHeight="1" x14ac:dyDescent="0.25">
      <c r="A358" s="37" t="str">
        <f>IF(Agent02_Withdrawals!A163="","",Agent02_Withdrawals!A163)</f>
        <v/>
      </c>
      <c r="B358" s="37" t="str">
        <f ca="1">IF(Agent02_Withdrawals!A163="","","WD"&amp;TEXT(358-3,"0000")&amp;"-"&amp;TEXT(TODAY(),"YYYYMMDD"))</f>
        <v/>
      </c>
      <c r="C358" s="37" t="str">
        <f>IF(Agent02_Withdrawals!A163="","",Agent02_Withdrawals!B163)</f>
        <v/>
      </c>
      <c r="D358" s="40" t="str">
        <f>IF(Agent02_Withdrawals!A163="","",Agent02_Withdrawals!C163)</f>
        <v/>
      </c>
      <c r="E358" s="38" t="str">
        <f>IF(Agent02_Withdrawals!A163="","",Agent02_Withdrawals!D163)</f>
        <v/>
      </c>
      <c r="F358" s="37" t="str">
        <f>IF(Agent02_Withdrawals!A163="","",Agent02_Withdrawals!F163)</f>
        <v/>
      </c>
      <c r="G358" s="39" t="str">
        <f>IF(Agent02_Withdrawals!A163="","",Agent02_Withdrawals!E163)</f>
        <v/>
      </c>
      <c r="H358" s="39" t="str">
        <f>IF(Agent02_Withdrawals!A163="","",Agent02_Withdrawals!G163)</f>
        <v/>
      </c>
      <c r="I358" s="37" t="str">
        <f>IF(Agent02_Withdrawals!A163="","",Agent02_Withdrawals!H163)</f>
        <v/>
      </c>
      <c r="J358" s="37" t="str">
        <f>IF(Agent02_Withdrawals!A163="","",Agent02_Withdrawals!J163)</f>
        <v/>
      </c>
      <c r="K358" s="37" t="str">
        <f>IF(Agent02_Withdrawals!A163="","",Agent02_Withdrawals!K163)</f>
        <v/>
      </c>
      <c r="L358" s="37" t="str">
        <f>IF(G358="","",IF(D358-G358&gt;=System_Config!$B$9,"✅ OK","⚠️ BREACH"))</f>
        <v/>
      </c>
      <c r="M358" s="37" t="str">
        <f>IFERROR(IF(Agent02_Withdrawals!A163="","",YEAR(Agent02_Withdrawals!D163)),"")</f>
        <v/>
      </c>
    </row>
    <row r="359" spans="1:13" ht="18" customHeight="1" x14ac:dyDescent="0.25">
      <c r="A359" s="37" t="str">
        <f>IF(Agent02_Withdrawals!A164="","",Agent02_Withdrawals!A164)</f>
        <v/>
      </c>
      <c r="B359" s="37" t="str">
        <f ca="1">IF(Agent02_Withdrawals!A164="","","WD"&amp;TEXT(359-3,"0000")&amp;"-"&amp;TEXT(TODAY(),"YYYYMMDD"))</f>
        <v/>
      </c>
      <c r="C359" s="37" t="str">
        <f>IF(Agent02_Withdrawals!A164="","",Agent02_Withdrawals!B164)</f>
        <v/>
      </c>
      <c r="D359" s="40" t="str">
        <f>IF(Agent02_Withdrawals!A164="","",Agent02_Withdrawals!C164)</f>
        <v/>
      </c>
      <c r="E359" s="38" t="str">
        <f>IF(Agent02_Withdrawals!A164="","",Agent02_Withdrawals!D164)</f>
        <v/>
      </c>
      <c r="F359" s="37" t="str">
        <f>IF(Agent02_Withdrawals!A164="","",Agent02_Withdrawals!F164)</f>
        <v/>
      </c>
      <c r="G359" s="39" t="str">
        <f>IF(Agent02_Withdrawals!A164="","",Agent02_Withdrawals!E164)</f>
        <v/>
      </c>
      <c r="H359" s="39" t="str">
        <f>IF(Agent02_Withdrawals!A164="","",Agent02_Withdrawals!G164)</f>
        <v/>
      </c>
      <c r="I359" s="37" t="str">
        <f>IF(Agent02_Withdrawals!A164="","",Agent02_Withdrawals!H164)</f>
        <v/>
      </c>
      <c r="J359" s="37" t="str">
        <f>IF(Agent02_Withdrawals!A164="","",Agent02_Withdrawals!J164)</f>
        <v/>
      </c>
      <c r="K359" s="37" t="str">
        <f>IF(Agent02_Withdrawals!A164="","",Agent02_Withdrawals!K164)</f>
        <v/>
      </c>
      <c r="L359" s="37" t="str">
        <f>IF(G359="","",IF(D359-G359&gt;=System_Config!$B$9,"✅ OK","⚠️ BREACH"))</f>
        <v/>
      </c>
      <c r="M359" s="37" t="str">
        <f>IFERROR(IF(Agent02_Withdrawals!A164="","",YEAR(Agent02_Withdrawals!D164)),"")</f>
        <v/>
      </c>
    </row>
    <row r="360" spans="1:13" ht="18" customHeight="1" x14ac:dyDescent="0.25">
      <c r="A360" s="37" t="str">
        <f>IF(Agent02_Withdrawals!A165="","",Agent02_Withdrawals!A165)</f>
        <v/>
      </c>
      <c r="B360" s="37" t="str">
        <f ca="1">IF(Agent02_Withdrawals!A165="","","WD"&amp;TEXT(360-3,"0000")&amp;"-"&amp;TEXT(TODAY(),"YYYYMMDD"))</f>
        <v/>
      </c>
      <c r="C360" s="37" t="str">
        <f>IF(Agent02_Withdrawals!A165="","",Agent02_Withdrawals!B165)</f>
        <v/>
      </c>
      <c r="D360" s="40" t="str">
        <f>IF(Agent02_Withdrawals!A165="","",Agent02_Withdrawals!C165)</f>
        <v/>
      </c>
      <c r="E360" s="38" t="str">
        <f>IF(Agent02_Withdrawals!A165="","",Agent02_Withdrawals!D165)</f>
        <v/>
      </c>
      <c r="F360" s="37" t="str">
        <f>IF(Agent02_Withdrawals!A165="","",Agent02_Withdrawals!F165)</f>
        <v/>
      </c>
      <c r="G360" s="39" t="str">
        <f>IF(Agent02_Withdrawals!A165="","",Agent02_Withdrawals!E165)</f>
        <v/>
      </c>
      <c r="H360" s="39" t="str">
        <f>IF(Agent02_Withdrawals!A165="","",Agent02_Withdrawals!G165)</f>
        <v/>
      </c>
      <c r="I360" s="37" t="str">
        <f>IF(Agent02_Withdrawals!A165="","",Agent02_Withdrawals!H165)</f>
        <v/>
      </c>
      <c r="J360" s="37" t="str">
        <f>IF(Agent02_Withdrawals!A165="","",Agent02_Withdrawals!J165)</f>
        <v/>
      </c>
      <c r="K360" s="37" t="str">
        <f>IF(Agent02_Withdrawals!A165="","",Agent02_Withdrawals!K165)</f>
        <v/>
      </c>
      <c r="L360" s="37" t="str">
        <f>IF(G360="","",IF(D360-G360&gt;=System_Config!$B$9,"✅ OK","⚠️ BREACH"))</f>
        <v/>
      </c>
      <c r="M360" s="37" t="str">
        <f>IFERROR(IF(Agent02_Withdrawals!A165="","",YEAR(Agent02_Withdrawals!D165)),"")</f>
        <v/>
      </c>
    </row>
    <row r="361" spans="1:13" ht="18" customHeight="1" x14ac:dyDescent="0.25">
      <c r="A361" s="37" t="str">
        <f>IF(Agent02_Withdrawals!A166="","",Agent02_Withdrawals!A166)</f>
        <v/>
      </c>
      <c r="B361" s="37" t="str">
        <f ca="1">IF(Agent02_Withdrawals!A166="","","WD"&amp;TEXT(361-3,"0000")&amp;"-"&amp;TEXT(TODAY(),"YYYYMMDD"))</f>
        <v/>
      </c>
      <c r="C361" s="37" t="str">
        <f>IF(Agent02_Withdrawals!A166="","",Agent02_Withdrawals!B166)</f>
        <v/>
      </c>
      <c r="D361" s="40" t="str">
        <f>IF(Agent02_Withdrawals!A166="","",Agent02_Withdrawals!C166)</f>
        <v/>
      </c>
      <c r="E361" s="38" t="str">
        <f>IF(Agent02_Withdrawals!A166="","",Agent02_Withdrawals!D166)</f>
        <v/>
      </c>
      <c r="F361" s="37" t="str">
        <f>IF(Agent02_Withdrawals!A166="","",Agent02_Withdrawals!F166)</f>
        <v/>
      </c>
      <c r="G361" s="39" t="str">
        <f>IF(Agent02_Withdrawals!A166="","",Agent02_Withdrawals!E166)</f>
        <v/>
      </c>
      <c r="H361" s="39" t="str">
        <f>IF(Agent02_Withdrawals!A166="","",Agent02_Withdrawals!G166)</f>
        <v/>
      </c>
      <c r="I361" s="37" t="str">
        <f>IF(Agent02_Withdrawals!A166="","",Agent02_Withdrawals!H166)</f>
        <v/>
      </c>
      <c r="J361" s="37" t="str">
        <f>IF(Agent02_Withdrawals!A166="","",Agent02_Withdrawals!J166)</f>
        <v/>
      </c>
      <c r="K361" s="37" t="str">
        <f>IF(Agent02_Withdrawals!A166="","",Agent02_Withdrawals!K166)</f>
        <v/>
      </c>
      <c r="L361" s="37" t="str">
        <f>IF(G361="","",IF(D361-G361&gt;=System_Config!$B$9,"✅ OK","⚠️ BREACH"))</f>
        <v/>
      </c>
      <c r="M361" s="37" t="str">
        <f>IFERROR(IF(Agent02_Withdrawals!A166="","",YEAR(Agent02_Withdrawals!D166)),"")</f>
        <v/>
      </c>
    </row>
    <row r="362" spans="1:13" ht="18" customHeight="1" x14ac:dyDescent="0.25">
      <c r="A362" s="37" t="str">
        <f>IF(Agent02_Withdrawals!A167="","",Agent02_Withdrawals!A167)</f>
        <v/>
      </c>
      <c r="B362" s="37" t="str">
        <f ca="1">IF(Agent02_Withdrawals!A167="","","WD"&amp;TEXT(362-3,"0000")&amp;"-"&amp;TEXT(TODAY(),"YYYYMMDD"))</f>
        <v/>
      </c>
      <c r="C362" s="37" t="str">
        <f>IF(Agent02_Withdrawals!A167="","",Agent02_Withdrawals!B167)</f>
        <v/>
      </c>
      <c r="D362" s="40" t="str">
        <f>IF(Agent02_Withdrawals!A167="","",Agent02_Withdrawals!C167)</f>
        <v/>
      </c>
      <c r="E362" s="38" t="str">
        <f>IF(Agent02_Withdrawals!A167="","",Agent02_Withdrawals!D167)</f>
        <v/>
      </c>
      <c r="F362" s="37" t="str">
        <f>IF(Agent02_Withdrawals!A167="","",Agent02_Withdrawals!F167)</f>
        <v/>
      </c>
      <c r="G362" s="39" t="str">
        <f>IF(Agent02_Withdrawals!A167="","",Agent02_Withdrawals!E167)</f>
        <v/>
      </c>
      <c r="H362" s="39" t="str">
        <f>IF(Agent02_Withdrawals!A167="","",Agent02_Withdrawals!G167)</f>
        <v/>
      </c>
      <c r="I362" s="37" t="str">
        <f>IF(Agent02_Withdrawals!A167="","",Agent02_Withdrawals!H167)</f>
        <v/>
      </c>
      <c r="J362" s="37" t="str">
        <f>IF(Agent02_Withdrawals!A167="","",Agent02_Withdrawals!J167)</f>
        <v/>
      </c>
      <c r="K362" s="37" t="str">
        <f>IF(Agent02_Withdrawals!A167="","",Agent02_Withdrawals!K167)</f>
        <v/>
      </c>
      <c r="L362" s="37" t="str">
        <f>IF(G362="","",IF(D362-G362&gt;=System_Config!$B$9,"✅ OK","⚠️ BREACH"))</f>
        <v/>
      </c>
      <c r="M362" s="37" t="str">
        <f>IFERROR(IF(Agent02_Withdrawals!A167="","",YEAR(Agent02_Withdrawals!D167)),"")</f>
        <v/>
      </c>
    </row>
    <row r="363" spans="1:13" ht="18" customHeight="1" x14ac:dyDescent="0.25">
      <c r="A363" s="37" t="str">
        <f>IF(Agent02_Withdrawals!A168="","",Agent02_Withdrawals!A168)</f>
        <v/>
      </c>
      <c r="B363" s="37" t="str">
        <f ca="1">IF(Agent02_Withdrawals!A168="","","WD"&amp;TEXT(363-3,"0000")&amp;"-"&amp;TEXT(TODAY(),"YYYYMMDD"))</f>
        <v/>
      </c>
      <c r="C363" s="37" t="str">
        <f>IF(Agent02_Withdrawals!A168="","",Agent02_Withdrawals!B168)</f>
        <v/>
      </c>
      <c r="D363" s="40" t="str">
        <f>IF(Agent02_Withdrawals!A168="","",Agent02_Withdrawals!C168)</f>
        <v/>
      </c>
      <c r="E363" s="38" t="str">
        <f>IF(Agent02_Withdrawals!A168="","",Agent02_Withdrawals!D168)</f>
        <v/>
      </c>
      <c r="F363" s="37" t="str">
        <f>IF(Agent02_Withdrawals!A168="","",Agent02_Withdrawals!F168)</f>
        <v/>
      </c>
      <c r="G363" s="39" t="str">
        <f>IF(Agent02_Withdrawals!A168="","",Agent02_Withdrawals!E168)</f>
        <v/>
      </c>
      <c r="H363" s="39" t="str">
        <f>IF(Agent02_Withdrawals!A168="","",Agent02_Withdrawals!G168)</f>
        <v/>
      </c>
      <c r="I363" s="37" t="str">
        <f>IF(Agent02_Withdrawals!A168="","",Agent02_Withdrawals!H168)</f>
        <v/>
      </c>
      <c r="J363" s="37" t="str">
        <f>IF(Agent02_Withdrawals!A168="","",Agent02_Withdrawals!J168)</f>
        <v/>
      </c>
      <c r="K363" s="37" t="str">
        <f>IF(Agent02_Withdrawals!A168="","",Agent02_Withdrawals!K168)</f>
        <v/>
      </c>
      <c r="L363" s="37" t="str">
        <f>IF(G363="","",IF(D363-G363&gt;=System_Config!$B$9,"✅ OK","⚠️ BREACH"))</f>
        <v/>
      </c>
      <c r="M363" s="37" t="str">
        <f>IFERROR(IF(Agent02_Withdrawals!A168="","",YEAR(Agent02_Withdrawals!D168)),"")</f>
        <v/>
      </c>
    </row>
    <row r="364" spans="1:13" ht="18" customHeight="1" x14ac:dyDescent="0.25">
      <c r="A364" s="37" t="str">
        <f>IF(Agent02_Withdrawals!A169="","",Agent02_Withdrawals!A169)</f>
        <v/>
      </c>
      <c r="B364" s="37" t="str">
        <f ca="1">IF(Agent02_Withdrawals!A169="","","WD"&amp;TEXT(364-3,"0000")&amp;"-"&amp;TEXT(TODAY(),"YYYYMMDD"))</f>
        <v/>
      </c>
      <c r="C364" s="37" t="str">
        <f>IF(Agent02_Withdrawals!A169="","",Agent02_Withdrawals!B169)</f>
        <v/>
      </c>
      <c r="D364" s="40" t="str">
        <f>IF(Agent02_Withdrawals!A169="","",Agent02_Withdrawals!C169)</f>
        <v/>
      </c>
      <c r="E364" s="38" t="str">
        <f>IF(Agent02_Withdrawals!A169="","",Agent02_Withdrawals!D169)</f>
        <v/>
      </c>
      <c r="F364" s="37" t="str">
        <f>IF(Agent02_Withdrawals!A169="","",Agent02_Withdrawals!F169)</f>
        <v/>
      </c>
      <c r="G364" s="39" t="str">
        <f>IF(Agent02_Withdrawals!A169="","",Agent02_Withdrawals!E169)</f>
        <v/>
      </c>
      <c r="H364" s="39" t="str">
        <f>IF(Agent02_Withdrawals!A169="","",Agent02_Withdrawals!G169)</f>
        <v/>
      </c>
      <c r="I364" s="37" t="str">
        <f>IF(Agent02_Withdrawals!A169="","",Agent02_Withdrawals!H169)</f>
        <v/>
      </c>
      <c r="J364" s="37" t="str">
        <f>IF(Agent02_Withdrawals!A169="","",Agent02_Withdrawals!J169)</f>
        <v/>
      </c>
      <c r="K364" s="37" t="str">
        <f>IF(Agent02_Withdrawals!A169="","",Agent02_Withdrawals!K169)</f>
        <v/>
      </c>
      <c r="L364" s="37" t="str">
        <f>IF(G364="","",IF(D364-G364&gt;=System_Config!$B$9,"✅ OK","⚠️ BREACH"))</f>
        <v/>
      </c>
      <c r="M364" s="37" t="str">
        <f>IFERROR(IF(Agent02_Withdrawals!A169="","",YEAR(Agent02_Withdrawals!D169)),"")</f>
        <v/>
      </c>
    </row>
    <row r="365" spans="1:13" ht="18" customHeight="1" x14ac:dyDescent="0.25">
      <c r="A365" s="37" t="str">
        <f>IF(Agent02_Withdrawals!A170="","",Agent02_Withdrawals!A170)</f>
        <v/>
      </c>
      <c r="B365" s="37" t="str">
        <f ca="1">IF(Agent02_Withdrawals!A170="","","WD"&amp;TEXT(365-3,"0000")&amp;"-"&amp;TEXT(TODAY(),"YYYYMMDD"))</f>
        <v/>
      </c>
      <c r="C365" s="37" t="str">
        <f>IF(Agent02_Withdrawals!A170="","",Agent02_Withdrawals!B170)</f>
        <v/>
      </c>
      <c r="D365" s="40" t="str">
        <f>IF(Agent02_Withdrawals!A170="","",Agent02_Withdrawals!C170)</f>
        <v/>
      </c>
      <c r="E365" s="38" t="str">
        <f>IF(Agent02_Withdrawals!A170="","",Agent02_Withdrawals!D170)</f>
        <v/>
      </c>
      <c r="F365" s="37" t="str">
        <f>IF(Agent02_Withdrawals!A170="","",Agent02_Withdrawals!F170)</f>
        <v/>
      </c>
      <c r="G365" s="39" t="str">
        <f>IF(Agent02_Withdrawals!A170="","",Agent02_Withdrawals!E170)</f>
        <v/>
      </c>
      <c r="H365" s="39" t="str">
        <f>IF(Agent02_Withdrawals!A170="","",Agent02_Withdrawals!G170)</f>
        <v/>
      </c>
      <c r="I365" s="37" t="str">
        <f>IF(Agent02_Withdrawals!A170="","",Agent02_Withdrawals!H170)</f>
        <v/>
      </c>
      <c r="J365" s="37" t="str">
        <f>IF(Agent02_Withdrawals!A170="","",Agent02_Withdrawals!J170)</f>
        <v/>
      </c>
      <c r="K365" s="37" t="str">
        <f>IF(Agent02_Withdrawals!A170="","",Agent02_Withdrawals!K170)</f>
        <v/>
      </c>
      <c r="L365" s="37" t="str">
        <f>IF(G365="","",IF(D365-G365&gt;=System_Config!$B$9,"✅ OK","⚠️ BREACH"))</f>
        <v/>
      </c>
      <c r="M365" s="37" t="str">
        <f>IFERROR(IF(Agent02_Withdrawals!A170="","",YEAR(Agent02_Withdrawals!D170)),"")</f>
        <v/>
      </c>
    </row>
    <row r="366" spans="1:13" ht="18" customHeight="1" x14ac:dyDescent="0.25">
      <c r="A366" s="37" t="str">
        <f>IF(Agent02_Withdrawals!A171="","",Agent02_Withdrawals!A171)</f>
        <v/>
      </c>
      <c r="B366" s="37" t="str">
        <f ca="1">IF(Agent02_Withdrawals!A171="","","WD"&amp;TEXT(366-3,"0000")&amp;"-"&amp;TEXT(TODAY(),"YYYYMMDD"))</f>
        <v/>
      </c>
      <c r="C366" s="37" t="str">
        <f>IF(Agent02_Withdrawals!A171="","",Agent02_Withdrawals!B171)</f>
        <v/>
      </c>
      <c r="D366" s="40" t="str">
        <f>IF(Agent02_Withdrawals!A171="","",Agent02_Withdrawals!C171)</f>
        <v/>
      </c>
      <c r="E366" s="38" t="str">
        <f>IF(Agent02_Withdrawals!A171="","",Agent02_Withdrawals!D171)</f>
        <v/>
      </c>
      <c r="F366" s="37" t="str">
        <f>IF(Agent02_Withdrawals!A171="","",Agent02_Withdrawals!F171)</f>
        <v/>
      </c>
      <c r="G366" s="39" t="str">
        <f>IF(Agent02_Withdrawals!A171="","",Agent02_Withdrawals!E171)</f>
        <v/>
      </c>
      <c r="H366" s="39" t="str">
        <f>IF(Agent02_Withdrawals!A171="","",Agent02_Withdrawals!G171)</f>
        <v/>
      </c>
      <c r="I366" s="37" t="str">
        <f>IF(Agent02_Withdrawals!A171="","",Agent02_Withdrawals!H171)</f>
        <v/>
      </c>
      <c r="J366" s="37" t="str">
        <f>IF(Agent02_Withdrawals!A171="","",Agent02_Withdrawals!J171)</f>
        <v/>
      </c>
      <c r="K366" s="37" t="str">
        <f>IF(Agent02_Withdrawals!A171="","",Agent02_Withdrawals!K171)</f>
        <v/>
      </c>
      <c r="L366" s="37" t="str">
        <f>IF(G366="","",IF(D366-G366&gt;=System_Config!$B$9,"✅ OK","⚠️ BREACH"))</f>
        <v/>
      </c>
      <c r="M366" s="37" t="str">
        <f>IFERROR(IF(Agent02_Withdrawals!A171="","",YEAR(Agent02_Withdrawals!D171)),"")</f>
        <v/>
      </c>
    </row>
    <row r="367" spans="1:13" ht="18" customHeight="1" x14ac:dyDescent="0.25">
      <c r="A367" s="37" t="str">
        <f>IF(Agent02_Withdrawals!A172="","",Agent02_Withdrawals!A172)</f>
        <v/>
      </c>
      <c r="B367" s="37" t="str">
        <f ca="1">IF(Agent02_Withdrawals!A172="","","WD"&amp;TEXT(367-3,"0000")&amp;"-"&amp;TEXT(TODAY(),"YYYYMMDD"))</f>
        <v/>
      </c>
      <c r="C367" s="37" t="str">
        <f>IF(Agent02_Withdrawals!A172="","",Agent02_Withdrawals!B172)</f>
        <v/>
      </c>
      <c r="D367" s="40" t="str">
        <f>IF(Agent02_Withdrawals!A172="","",Agent02_Withdrawals!C172)</f>
        <v/>
      </c>
      <c r="E367" s="38" t="str">
        <f>IF(Agent02_Withdrawals!A172="","",Agent02_Withdrawals!D172)</f>
        <v/>
      </c>
      <c r="F367" s="37" t="str">
        <f>IF(Agent02_Withdrawals!A172="","",Agent02_Withdrawals!F172)</f>
        <v/>
      </c>
      <c r="G367" s="39" t="str">
        <f>IF(Agent02_Withdrawals!A172="","",Agent02_Withdrawals!E172)</f>
        <v/>
      </c>
      <c r="H367" s="39" t="str">
        <f>IF(Agent02_Withdrawals!A172="","",Agent02_Withdrawals!G172)</f>
        <v/>
      </c>
      <c r="I367" s="37" t="str">
        <f>IF(Agent02_Withdrawals!A172="","",Agent02_Withdrawals!H172)</f>
        <v/>
      </c>
      <c r="J367" s="37" t="str">
        <f>IF(Agent02_Withdrawals!A172="","",Agent02_Withdrawals!J172)</f>
        <v/>
      </c>
      <c r="K367" s="37" t="str">
        <f>IF(Agent02_Withdrawals!A172="","",Agent02_Withdrawals!K172)</f>
        <v/>
      </c>
      <c r="L367" s="37" t="str">
        <f>IF(G367="","",IF(D367-G367&gt;=System_Config!$B$9,"✅ OK","⚠️ BREACH"))</f>
        <v/>
      </c>
      <c r="M367" s="37" t="str">
        <f>IFERROR(IF(Agent02_Withdrawals!A172="","",YEAR(Agent02_Withdrawals!D172)),"")</f>
        <v/>
      </c>
    </row>
    <row r="368" spans="1:13" ht="18" customHeight="1" x14ac:dyDescent="0.25">
      <c r="A368" s="37" t="str">
        <f>IF(Agent02_Withdrawals!A173="","",Agent02_Withdrawals!A173)</f>
        <v/>
      </c>
      <c r="B368" s="37" t="str">
        <f ca="1">IF(Agent02_Withdrawals!A173="","","WD"&amp;TEXT(368-3,"0000")&amp;"-"&amp;TEXT(TODAY(),"YYYYMMDD"))</f>
        <v/>
      </c>
      <c r="C368" s="37" t="str">
        <f>IF(Agent02_Withdrawals!A173="","",Agent02_Withdrawals!B173)</f>
        <v/>
      </c>
      <c r="D368" s="40" t="str">
        <f>IF(Agent02_Withdrawals!A173="","",Agent02_Withdrawals!C173)</f>
        <v/>
      </c>
      <c r="E368" s="38" t="str">
        <f>IF(Agent02_Withdrawals!A173="","",Agent02_Withdrawals!D173)</f>
        <v/>
      </c>
      <c r="F368" s="37" t="str">
        <f>IF(Agent02_Withdrawals!A173="","",Agent02_Withdrawals!F173)</f>
        <v/>
      </c>
      <c r="G368" s="39" t="str">
        <f>IF(Agent02_Withdrawals!A173="","",Agent02_Withdrawals!E173)</f>
        <v/>
      </c>
      <c r="H368" s="39" t="str">
        <f>IF(Agent02_Withdrawals!A173="","",Agent02_Withdrawals!G173)</f>
        <v/>
      </c>
      <c r="I368" s="37" t="str">
        <f>IF(Agent02_Withdrawals!A173="","",Agent02_Withdrawals!H173)</f>
        <v/>
      </c>
      <c r="J368" s="37" t="str">
        <f>IF(Agent02_Withdrawals!A173="","",Agent02_Withdrawals!J173)</f>
        <v/>
      </c>
      <c r="K368" s="37" t="str">
        <f>IF(Agent02_Withdrawals!A173="","",Agent02_Withdrawals!K173)</f>
        <v/>
      </c>
      <c r="L368" s="37" t="str">
        <f>IF(G368="","",IF(D368-G368&gt;=System_Config!$B$9,"✅ OK","⚠️ BREACH"))</f>
        <v/>
      </c>
      <c r="M368" s="37" t="str">
        <f>IFERROR(IF(Agent02_Withdrawals!A173="","",YEAR(Agent02_Withdrawals!D173)),"")</f>
        <v/>
      </c>
    </row>
    <row r="369" spans="1:13" ht="18" customHeight="1" x14ac:dyDescent="0.25">
      <c r="A369" s="37" t="str">
        <f>IF(Agent02_Withdrawals!A174="","",Agent02_Withdrawals!A174)</f>
        <v/>
      </c>
      <c r="B369" s="37" t="str">
        <f ca="1">IF(Agent02_Withdrawals!A174="","","WD"&amp;TEXT(369-3,"0000")&amp;"-"&amp;TEXT(TODAY(),"YYYYMMDD"))</f>
        <v/>
      </c>
      <c r="C369" s="37" t="str">
        <f>IF(Agent02_Withdrawals!A174="","",Agent02_Withdrawals!B174)</f>
        <v/>
      </c>
      <c r="D369" s="40" t="str">
        <f>IF(Agent02_Withdrawals!A174="","",Agent02_Withdrawals!C174)</f>
        <v/>
      </c>
      <c r="E369" s="38" t="str">
        <f>IF(Agent02_Withdrawals!A174="","",Agent02_Withdrawals!D174)</f>
        <v/>
      </c>
      <c r="F369" s="37" t="str">
        <f>IF(Agent02_Withdrawals!A174="","",Agent02_Withdrawals!F174)</f>
        <v/>
      </c>
      <c r="G369" s="39" t="str">
        <f>IF(Agent02_Withdrawals!A174="","",Agent02_Withdrawals!E174)</f>
        <v/>
      </c>
      <c r="H369" s="39" t="str">
        <f>IF(Agent02_Withdrawals!A174="","",Agent02_Withdrawals!G174)</f>
        <v/>
      </c>
      <c r="I369" s="37" t="str">
        <f>IF(Agent02_Withdrawals!A174="","",Agent02_Withdrawals!H174)</f>
        <v/>
      </c>
      <c r="J369" s="37" t="str">
        <f>IF(Agent02_Withdrawals!A174="","",Agent02_Withdrawals!J174)</f>
        <v/>
      </c>
      <c r="K369" s="37" t="str">
        <f>IF(Agent02_Withdrawals!A174="","",Agent02_Withdrawals!K174)</f>
        <v/>
      </c>
      <c r="L369" s="37" t="str">
        <f>IF(G369="","",IF(D369-G369&gt;=System_Config!$B$9,"✅ OK","⚠️ BREACH"))</f>
        <v/>
      </c>
      <c r="M369" s="37" t="str">
        <f>IFERROR(IF(Agent02_Withdrawals!A174="","",YEAR(Agent02_Withdrawals!D174)),"")</f>
        <v/>
      </c>
    </row>
    <row r="370" spans="1:13" ht="18" customHeight="1" x14ac:dyDescent="0.25">
      <c r="A370" s="37" t="str">
        <f>IF(Agent02_Withdrawals!A175="","",Agent02_Withdrawals!A175)</f>
        <v/>
      </c>
      <c r="B370" s="37" t="str">
        <f ca="1">IF(Agent02_Withdrawals!A175="","","WD"&amp;TEXT(370-3,"0000")&amp;"-"&amp;TEXT(TODAY(),"YYYYMMDD"))</f>
        <v/>
      </c>
      <c r="C370" s="37" t="str">
        <f>IF(Agent02_Withdrawals!A175="","",Agent02_Withdrawals!B175)</f>
        <v/>
      </c>
      <c r="D370" s="40" t="str">
        <f>IF(Agent02_Withdrawals!A175="","",Agent02_Withdrawals!C175)</f>
        <v/>
      </c>
      <c r="E370" s="38" t="str">
        <f>IF(Agent02_Withdrawals!A175="","",Agent02_Withdrawals!D175)</f>
        <v/>
      </c>
      <c r="F370" s="37" t="str">
        <f>IF(Agent02_Withdrawals!A175="","",Agent02_Withdrawals!F175)</f>
        <v/>
      </c>
      <c r="G370" s="39" t="str">
        <f>IF(Agent02_Withdrawals!A175="","",Agent02_Withdrawals!E175)</f>
        <v/>
      </c>
      <c r="H370" s="39" t="str">
        <f>IF(Agent02_Withdrawals!A175="","",Agent02_Withdrawals!G175)</f>
        <v/>
      </c>
      <c r="I370" s="37" t="str">
        <f>IF(Agent02_Withdrawals!A175="","",Agent02_Withdrawals!H175)</f>
        <v/>
      </c>
      <c r="J370" s="37" t="str">
        <f>IF(Agent02_Withdrawals!A175="","",Agent02_Withdrawals!J175)</f>
        <v/>
      </c>
      <c r="K370" s="37" t="str">
        <f>IF(Agent02_Withdrawals!A175="","",Agent02_Withdrawals!K175)</f>
        <v/>
      </c>
      <c r="L370" s="37" t="str">
        <f>IF(G370="","",IF(D370-G370&gt;=System_Config!$B$9,"✅ OK","⚠️ BREACH"))</f>
        <v/>
      </c>
      <c r="M370" s="37" t="str">
        <f>IFERROR(IF(Agent02_Withdrawals!A175="","",YEAR(Agent02_Withdrawals!D175)),"")</f>
        <v/>
      </c>
    </row>
    <row r="371" spans="1:13" ht="18" customHeight="1" x14ac:dyDescent="0.25">
      <c r="A371" s="37" t="str">
        <f>IF(Agent02_Withdrawals!A176="","",Agent02_Withdrawals!A176)</f>
        <v/>
      </c>
      <c r="B371" s="37" t="str">
        <f ca="1">IF(Agent02_Withdrawals!A176="","","WD"&amp;TEXT(371-3,"0000")&amp;"-"&amp;TEXT(TODAY(),"YYYYMMDD"))</f>
        <v/>
      </c>
      <c r="C371" s="37" t="str">
        <f>IF(Agent02_Withdrawals!A176="","",Agent02_Withdrawals!B176)</f>
        <v/>
      </c>
      <c r="D371" s="40" t="str">
        <f>IF(Agent02_Withdrawals!A176="","",Agent02_Withdrawals!C176)</f>
        <v/>
      </c>
      <c r="E371" s="38" t="str">
        <f>IF(Agent02_Withdrawals!A176="","",Agent02_Withdrawals!D176)</f>
        <v/>
      </c>
      <c r="F371" s="37" t="str">
        <f>IF(Agent02_Withdrawals!A176="","",Agent02_Withdrawals!F176)</f>
        <v/>
      </c>
      <c r="G371" s="39" t="str">
        <f>IF(Agent02_Withdrawals!A176="","",Agent02_Withdrawals!E176)</f>
        <v/>
      </c>
      <c r="H371" s="39" t="str">
        <f>IF(Agent02_Withdrawals!A176="","",Agent02_Withdrawals!G176)</f>
        <v/>
      </c>
      <c r="I371" s="37" t="str">
        <f>IF(Agent02_Withdrawals!A176="","",Agent02_Withdrawals!H176)</f>
        <v/>
      </c>
      <c r="J371" s="37" t="str">
        <f>IF(Agent02_Withdrawals!A176="","",Agent02_Withdrawals!J176)</f>
        <v/>
      </c>
      <c r="K371" s="37" t="str">
        <f>IF(Agent02_Withdrawals!A176="","",Agent02_Withdrawals!K176)</f>
        <v/>
      </c>
      <c r="L371" s="37" t="str">
        <f>IF(G371="","",IF(D371-G371&gt;=System_Config!$B$9,"✅ OK","⚠️ BREACH"))</f>
        <v/>
      </c>
      <c r="M371" s="37" t="str">
        <f>IFERROR(IF(Agent02_Withdrawals!A176="","",YEAR(Agent02_Withdrawals!D176)),"")</f>
        <v/>
      </c>
    </row>
    <row r="372" spans="1:13" ht="18" customHeight="1" x14ac:dyDescent="0.25">
      <c r="A372" s="37" t="str">
        <f>IF(Agent02_Withdrawals!A177="","",Agent02_Withdrawals!A177)</f>
        <v/>
      </c>
      <c r="B372" s="37" t="str">
        <f ca="1">IF(Agent02_Withdrawals!A177="","","WD"&amp;TEXT(372-3,"0000")&amp;"-"&amp;TEXT(TODAY(),"YYYYMMDD"))</f>
        <v/>
      </c>
      <c r="C372" s="37" t="str">
        <f>IF(Agent02_Withdrawals!A177="","",Agent02_Withdrawals!B177)</f>
        <v/>
      </c>
      <c r="D372" s="40" t="str">
        <f>IF(Agent02_Withdrawals!A177="","",Agent02_Withdrawals!C177)</f>
        <v/>
      </c>
      <c r="E372" s="38" t="str">
        <f>IF(Agent02_Withdrawals!A177="","",Agent02_Withdrawals!D177)</f>
        <v/>
      </c>
      <c r="F372" s="37" t="str">
        <f>IF(Agent02_Withdrawals!A177="","",Agent02_Withdrawals!F177)</f>
        <v/>
      </c>
      <c r="G372" s="39" t="str">
        <f>IF(Agent02_Withdrawals!A177="","",Agent02_Withdrawals!E177)</f>
        <v/>
      </c>
      <c r="H372" s="39" t="str">
        <f>IF(Agent02_Withdrawals!A177="","",Agent02_Withdrawals!G177)</f>
        <v/>
      </c>
      <c r="I372" s="37" t="str">
        <f>IF(Agent02_Withdrawals!A177="","",Agent02_Withdrawals!H177)</f>
        <v/>
      </c>
      <c r="J372" s="37" t="str">
        <f>IF(Agent02_Withdrawals!A177="","",Agent02_Withdrawals!J177)</f>
        <v/>
      </c>
      <c r="K372" s="37" t="str">
        <f>IF(Agent02_Withdrawals!A177="","",Agent02_Withdrawals!K177)</f>
        <v/>
      </c>
      <c r="L372" s="37" t="str">
        <f>IF(G372="","",IF(D372-G372&gt;=System_Config!$B$9,"✅ OK","⚠️ BREACH"))</f>
        <v/>
      </c>
      <c r="M372" s="37" t="str">
        <f>IFERROR(IF(Agent02_Withdrawals!A177="","",YEAR(Agent02_Withdrawals!D177)),"")</f>
        <v/>
      </c>
    </row>
    <row r="373" spans="1:13" ht="18" customHeight="1" x14ac:dyDescent="0.25">
      <c r="A373" s="37" t="str">
        <f>IF(Agent02_Withdrawals!A178="","",Agent02_Withdrawals!A178)</f>
        <v/>
      </c>
      <c r="B373" s="37" t="str">
        <f ca="1">IF(Agent02_Withdrawals!A178="","","WD"&amp;TEXT(373-3,"0000")&amp;"-"&amp;TEXT(TODAY(),"YYYYMMDD"))</f>
        <v/>
      </c>
      <c r="C373" s="37" t="str">
        <f>IF(Agent02_Withdrawals!A178="","",Agent02_Withdrawals!B178)</f>
        <v/>
      </c>
      <c r="D373" s="40" t="str">
        <f>IF(Agent02_Withdrawals!A178="","",Agent02_Withdrawals!C178)</f>
        <v/>
      </c>
      <c r="E373" s="38" t="str">
        <f>IF(Agent02_Withdrawals!A178="","",Agent02_Withdrawals!D178)</f>
        <v/>
      </c>
      <c r="F373" s="37" t="str">
        <f>IF(Agent02_Withdrawals!A178="","",Agent02_Withdrawals!F178)</f>
        <v/>
      </c>
      <c r="G373" s="39" t="str">
        <f>IF(Agent02_Withdrawals!A178="","",Agent02_Withdrawals!E178)</f>
        <v/>
      </c>
      <c r="H373" s="39" t="str">
        <f>IF(Agent02_Withdrawals!A178="","",Agent02_Withdrawals!G178)</f>
        <v/>
      </c>
      <c r="I373" s="37" t="str">
        <f>IF(Agent02_Withdrawals!A178="","",Agent02_Withdrawals!H178)</f>
        <v/>
      </c>
      <c r="J373" s="37" t="str">
        <f>IF(Agent02_Withdrawals!A178="","",Agent02_Withdrawals!J178)</f>
        <v/>
      </c>
      <c r="K373" s="37" t="str">
        <f>IF(Agent02_Withdrawals!A178="","",Agent02_Withdrawals!K178)</f>
        <v/>
      </c>
      <c r="L373" s="37" t="str">
        <f>IF(G373="","",IF(D373-G373&gt;=System_Config!$B$9,"✅ OK","⚠️ BREACH"))</f>
        <v/>
      </c>
      <c r="M373" s="37" t="str">
        <f>IFERROR(IF(Agent02_Withdrawals!A178="","",YEAR(Agent02_Withdrawals!D178)),"")</f>
        <v/>
      </c>
    </row>
    <row r="374" spans="1:13" ht="18" customHeight="1" x14ac:dyDescent="0.25">
      <c r="A374" s="37" t="str">
        <f>IF(Agent02_Withdrawals!A179="","",Agent02_Withdrawals!A179)</f>
        <v/>
      </c>
      <c r="B374" s="37" t="str">
        <f ca="1">IF(Agent02_Withdrawals!A179="","","WD"&amp;TEXT(374-3,"0000")&amp;"-"&amp;TEXT(TODAY(),"YYYYMMDD"))</f>
        <v/>
      </c>
      <c r="C374" s="37" t="str">
        <f>IF(Agent02_Withdrawals!A179="","",Agent02_Withdrawals!B179)</f>
        <v/>
      </c>
      <c r="D374" s="40" t="str">
        <f>IF(Agent02_Withdrawals!A179="","",Agent02_Withdrawals!C179)</f>
        <v/>
      </c>
      <c r="E374" s="38" t="str">
        <f>IF(Agent02_Withdrawals!A179="","",Agent02_Withdrawals!D179)</f>
        <v/>
      </c>
      <c r="F374" s="37" t="str">
        <f>IF(Agent02_Withdrawals!A179="","",Agent02_Withdrawals!F179)</f>
        <v/>
      </c>
      <c r="G374" s="39" t="str">
        <f>IF(Agent02_Withdrawals!A179="","",Agent02_Withdrawals!E179)</f>
        <v/>
      </c>
      <c r="H374" s="39" t="str">
        <f>IF(Agent02_Withdrawals!A179="","",Agent02_Withdrawals!G179)</f>
        <v/>
      </c>
      <c r="I374" s="37" t="str">
        <f>IF(Agent02_Withdrawals!A179="","",Agent02_Withdrawals!H179)</f>
        <v/>
      </c>
      <c r="J374" s="37" t="str">
        <f>IF(Agent02_Withdrawals!A179="","",Agent02_Withdrawals!J179)</f>
        <v/>
      </c>
      <c r="K374" s="37" t="str">
        <f>IF(Agent02_Withdrawals!A179="","",Agent02_Withdrawals!K179)</f>
        <v/>
      </c>
      <c r="L374" s="37" t="str">
        <f>IF(G374="","",IF(D374-G374&gt;=System_Config!$B$9,"✅ OK","⚠️ BREACH"))</f>
        <v/>
      </c>
      <c r="M374" s="37" t="str">
        <f>IFERROR(IF(Agent02_Withdrawals!A179="","",YEAR(Agent02_Withdrawals!D179)),"")</f>
        <v/>
      </c>
    </row>
    <row r="375" spans="1:13" ht="18" customHeight="1" x14ac:dyDescent="0.25">
      <c r="A375" s="37" t="str">
        <f>IF(Agent02_Withdrawals!A180="","",Agent02_Withdrawals!A180)</f>
        <v/>
      </c>
      <c r="B375" s="37" t="str">
        <f ca="1">IF(Agent02_Withdrawals!A180="","","WD"&amp;TEXT(375-3,"0000")&amp;"-"&amp;TEXT(TODAY(),"YYYYMMDD"))</f>
        <v/>
      </c>
      <c r="C375" s="37" t="str">
        <f>IF(Agent02_Withdrawals!A180="","",Agent02_Withdrawals!B180)</f>
        <v/>
      </c>
      <c r="D375" s="40" t="str">
        <f>IF(Agent02_Withdrawals!A180="","",Agent02_Withdrawals!C180)</f>
        <v/>
      </c>
      <c r="E375" s="38" t="str">
        <f>IF(Agent02_Withdrawals!A180="","",Agent02_Withdrawals!D180)</f>
        <v/>
      </c>
      <c r="F375" s="37" t="str">
        <f>IF(Agent02_Withdrawals!A180="","",Agent02_Withdrawals!F180)</f>
        <v/>
      </c>
      <c r="G375" s="39" t="str">
        <f>IF(Agent02_Withdrawals!A180="","",Agent02_Withdrawals!E180)</f>
        <v/>
      </c>
      <c r="H375" s="39" t="str">
        <f>IF(Agent02_Withdrawals!A180="","",Agent02_Withdrawals!G180)</f>
        <v/>
      </c>
      <c r="I375" s="37" t="str">
        <f>IF(Agent02_Withdrawals!A180="","",Agent02_Withdrawals!H180)</f>
        <v/>
      </c>
      <c r="J375" s="37" t="str">
        <f>IF(Agent02_Withdrawals!A180="","",Agent02_Withdrawals!J180)</f>
        <v/>
      </c>
      <c r="K375" s="37" t="str">
        <f>IF(Agent02_Withdrawals!A180="","",Agent02_Withdrawals!K180)</f>
        <v/>
      </c>
      <c r="L375" s="37" t="str">
        <f>IF(G375="","",IF(D375-G375&gt;=System_Config!$B$9,"✅ OK","⚠️ BREACH"))</f>
        <v/>
      </c>
      <c r="M375" s="37" t="str">
        <f>IFERROR(IF(Agent02_Withdrawals!A180="","",YEAR(Agent02_Withdrawals!D180)),"")</f>
        <v/>
      </c>
    </row>
    <row r="376" spans="1:13" ht="18" customHeight="1" x14ac:dyDescent="0.25">
      <c r="A376" s="37" t="str">
        <f>IF(Agent02_Withdrawals!A181="","",Agent02_Withdrawals!A181)</f>
        <v/>
      </c>
      <c r="B376" s="37" t="str">
        <f ca="1">IF(Agent02_Withdrawals!A181="","","WD"&amp;TEXT(376-3,"0000")&amp;"-"&amp;TEXT(TODAY(),"YYYYMMDD"))</f>
        <v/>
      </c>
      <c r="C376" s="37" t="str">
        <f>IF(Agent02_Withdrawals!A181="","",Agent02_Withdrawals!B181)</f>
        <v/>
      </c>
      <c r="D376" s="40" t="str">
        <f>IF(Agent02_Withdrawals!A181="","",Agent02_Withdrawals!C181)</f>
        <v/>
      </c>
      <c r="E376" s="38" t="str">
        <f>IF(Agent02_Withdrawals!A181="","",Agent02_Withdrawals!D181)</f>
        <v/>
      </c>
      <c r="F376" s="37" t="str">
        <f>IF(Agent02_Withdrawals!A181="","",Agent02_Withdrawals!F181)</f>
        <v/>
      </c>
      <c r="G376" s="39" t="str">
        <f>IF(Agent02_Withdrawals!A181="","",Agent02_Withdrawals!E181)</f>
        <v/>
      </c>
      <c r="H376" s="39" t="str">
        <f>IF(Agent02_Withdrawals!A181="","",Agent02_Withdrawals!G181)</f>
        <v/>
      </c>
      <c r="I376" s="37" t="str">
        <f>IF(Agent02_Withdrawals!A181="","",Agent02_Withdrawals!H181)</f>
        <v/>
      </c>
      <c r="J376" s="37" t="str">
        <f>IF(Agent02_Withdrawals!A181="","",Agent02_Withdrawals!J181)</f>
        <v/>
      </c>
      <c r="K376" s="37" t="str">
        <f>IF(Agent02_Withdrawals!A181="","",Agent02_Withdrawals!K181)</f>
        <v/>
      </c>
      <c r="L376" s="37" t="str">
        <f>IF(G376="","",IF(D376-G376&gt;=System_Config!$B$9,"✅ OK","⚠️ BREACH"))</f>
        <v/>
      </c>
      <c r="M376" s="37" t="str">
        <f>IFERROR(IF(Agent02_Withdrawals!A181="","",YEAR(Agent02_Withdrawals!D181)),"")</f>
        <v/>
      </c>
    </row>
    <row r="377" spans="1:13" ht="18" customHeight="1" x14ac:dyDescent="0.25">
      <c r="A377" s="37" t="str">
        <f>IF(Agent02_Withdrawals!A182="","",Agent02_Withdrawals!A182)</f>
        <v/>
      </c>
      <c r="B377" s="37" t="str">
        <f ca="1">IF(Agent02_Withdrawals!A182="","","WD"&amp;TEXT(377-3,"0000")&amp;"-"&amp;TEXT(TODAY(),"YYYYMMDD"))</f>
        <v/>
      </c>
      <c r="C377" s="37" t="str">
        <f>IF(Agent02_Withdrawals!A182="","",Agent02_Withdrawals!B182)</f>
        <v/>
      </c>
      <c r="D377" s="40" t="str">
        <f>IF(Agent02_Withdrawals!A182="","",Agent02_Withdrawals!C182)</f>
        <v/>
      </c>
      <c r="E377" s="38" t="str">
        <f>IF(Agent02_Withdrawals!A182="","",Agent02_Withdrawals!D182)</f>
        <v/>
      </c>
      <c r="F377" s="37" t="str">
        <f>IF(Agent02_Withdrawals!A182="","",Agent02_Withdrawals!F182)</f>
        <v/>
      </c>
      <c r="G377" s="39" t="str">
        <f>IF(Agent02_Withdrawals!A182="","",Agent02_Withdrawals!E182)</f>
        <v/>
      </c>
      <c r="H377" s="39" t="str">
        <f>IF(Agent02_Withdrawals!A182="","",Agent02_Withdrawals!G182)</f>
        <v/>
      </c>
      <c r="I377" s="37" t="str">
        <f>IF(Agent02_Withdrawals!A182="","",Agent02_Withdrawals!H182)</f>
        <v/>
      </c>
      <c r="J377" s="37" t="str">
        <f>IF(Agent02_Withdrawals!A182="","",Agent02_Withdrawals!J182)</f>
        <v/>
      </c>
      <c r="K377" s="37" t="str">
        <f>IF(Agent02_Withdrawals!A182="","",Agent02_Withdrawals!K182)</f>
        <v/>
      </c>
      <c r="L377" s="37" t="str">
        <f>IF(G377="","",IF(D377-G377&gt;=System_Config!$B$9,"✅ OK","⚠️ BREACH"))</f>
        <v/>
      </c>
      <c r="M377" s="37" t="str">
        <f>IFERROR(IF(Agent02_Withdrawals!A182="","",YEAR(Agent02_Withdrawals!D182)),"")</f>
        <v/>
      </c>
    </row>
    <row r="378" spans="1:13" ht="18" customHeight="1" x14ac:dyDescent="0.25">
      <c r="A378" s="37" t="str">
        <f>IF(Agent02_Withdrawals!A183="","",Agent02_Withdrawals!A183)</f>
        <v/>
      </c>
      <c r="B378" s="37" t="str">
        <f ca="1">IF(Agent02_Withdrawals!A183="","","WD"&amp;TEXT(378-3,"0000")&amp;"-"&amp;TEXT(TODAY(),"YYYYMMDD"))</f>
        <v/>
      </c>
      <c r="C378" s="37" t="str">
        <f>IF(Agent02_Withdrawals!A183="","",Agent02_Withdrawals!B183)</f>
        <v/>
      </c>
      <c r="D378" s="40" t="str">
        <f>IF(Agent02_Withdrawals!A183="","",Agent02_Withdrawals!C183)</f>
        <v/>
      </c>
      <c r="E378" s="38" t="str">
        <f>IF(Agent02_Withdrawals!A183="","",Agent02_Withdrawals!D183)</f>
        <v/>
      </c>
      <c r="F378" s="37" t="str">
        <f>IF(Agent02_Withdrawals!A183="","",Agent02_Withdrawals!F183)</f>
        <v/>
      </c>
      <c r="G378" s="39" t="str">
        <f>IF(Agent02_Withdrawals!A183="","",Agent02_Withdrawals!E183)</f>
        <v/>
      </c>
      <c r="H378" s="39" t="str">
        <f>IF(Agent02_Withdrawals!A183="","",Agent02_Withdrawals!G183)</f>
        <v/>
      </c>
      <c r="I378" s="37" t="str">
        <f>IF(Agent02_Withdrawals!A183="","",Agent02_Withdrawals!H183)</f>
        <v/>
      </c>
      <c r="J378" s="37" t="str">
        <f>IF(Agent02_Withdrawals!A183="","",Agent02_Withdrawals!J183)</f>
        <v/>
      </c>
      <c r="K378" s="37" t="str">
        <f>IF(Agent02_Withdrawals!A183="","",Agent02_Withdrawals!K183)</f>
        <v/>
      </c>
      <c r="L378" s="37" t="str">
        <f>IF(G378="","",IF(D378-G378&gt;=System_Config!$B$9,"✅ OK","⚠️ BREACH"))</f>
        <v/>
      </c>
      <c r="M378" s="37" t="str">
        <f>IFERROR(IF(Agent02_Withdrawals!A183="","",YEAR(Agent02_Withdrawals!D183)),"")</f>
        <v/>
      </c>
    </row>
    <row r="379" spans="1:13" ht="18" customHeight="1" x14ac:dyDescent="0.25">
      <c r="A379" s="37" t="str">
        <f>IF(Agent02_Withdrawals!A184="","",Agent02_Withdrawals!A184)</f>
        <v/>
      </c>
      <c r="B379" s="37" t="str">
        <f ca="1">IF(Agent02_Withdrawals!A184="","","WD"&amp;TEXT(379-3,"0000")&amp;"-"&amp;TEXT(TODAY(),"YYYYMMDD"))</f>
        <v/>
      </c>
      <c r="C379" s="37" t="str">
        <f>IF(Agent02_Withdrawals!A184="","",Agent02_Withdrawals!B184)</f>
        <v/>
      </c>
      <c r="D379" s="40" t="str">
        <f>IF(Agent02_Withdrawals!A184="","",Agent02_Withdrawals!C184)</f>
        <v/>
      </c>
      <c r="E379" s="38" t="str">
        <f>IF(Agent02_Withdrawals!A184="","",Agent02_Withdrawals!D184)</f>
        <v/>
      </c>
      <c r="F379" s="37" t="str">
        <f>IF(Agent02_Withdrawals!A184="","",Agent02_Withdrawals!F184)</f>
        <v/>
      </c>
      <c r="G379" s="39" t="str">
        <f>IF(Agent02_Withdrawals!A184="","",Agent02_Withdrawals!E184)</f>
        <v/>
      </c>
      <c r="H379" s="39" t="str">
        <f>IF(Agent02_Withdrawals!A184="","",Agent02_Withdrawals!G184)</f>
        <v/>
      </c>
      <c r="I379" s="37" t="str">
        <f>IF(Agent02_Withdrawals!A184="","",Agent02_Withdrawals!H184)</f>
        <v/>
      </c>
      <c r="J379" s="37" t="str">
        <f>IF(Agent02_Withdrawals!A184="","",Agent02_Withdrawals!J184)</f>
        <v/>
      </c>
      <c r="K379" s="37" t="str">
        <f>IF(Agent02_Withdrawals!A184="","",Agent02_Withdrawals!K184)</f>
        <v/>
      </c>
      <c r="L379" s="37" t="str">
        <f>IF(G379="","",IF(D379-G379&gt;=System_Config!$B$9,"✅ OK","⚠️ BREACH"))</f>
        <v/>
      </c>
      <c r="M379" s="37" t="str">
        <f>IFERROR(IF(Agent02_Withdrawals!A184="","",YEAR(Agent02_Withdrawals!D184)),"")</f>
        <v/>
      </c>
    </row>
    <row r="380" spans="1:13" ht="18" customHeight="1" x14ac:dyDescent="0.25">
      <c r="A380" s="37" t="str">
        <f>IF(Agent02_Withdrawals!A185="","",Agent02_Withdrawals!A185)</f>
        <v/>
      </c>
      <c r="B380" s="37" t="str">
        <f ca="1">IF(Agent02_Withdrawals!A185="","","WD"&amp;TEXT(380-3,"0000")&amp;"-"&amp;TEXT(TODAY(),"YYYYMMDD"))</f>
        <v/>
      </c>
      <c r="C380" s="37" t="str">
        <f>IF(Agent02_Withdrawals!A185="","",Agent02_Withdrawals!B185)</f>
        <v/>
      </c>
      <c r="D380" s="40" t="str">
        <f>IF(Agent02_Withdrawals!A185="","",Agent02_Withdrawals!C185)</f>
        <v/>
      </c>
      <c r="E380" s="38" t="str">
        <f>IF(Agent02_Withdrawals!A185="","",Agent02_Withdrawals!D185)</f>
        <v/>
      </c>
      <c r="F380" s="37" t="str">
        <f>IF(Agent02_Withdrawals!A185="","",Agent02_Withdrawals!F185)</f>
        <v/>
      </c>
      <c r="G380" s="39" t="str">
        <f>IF(Agent02_Withdrawals!A185="","",Agent02_Withdrawals!E185)</f>
        <v/>
      </c>
      <c r="H380" s="39" t="str">
        <f>IF(Agent02_Withdrawals!A185="","",Agent02_Withdrawals!G185)</f>
        <v/>
      </c>
      <c r="I380" s="37" t="str">
        <f>IF(Agent02_Withdrawals!A185="","",Agent02_Withdrawals!H185)</f>
        <v/>
      </c>
      <c r="J380" s="37" t="str">
        <f>IF(Agent02_Withdrawals!A185="","",Agent02_Withdrawals!J185)</f>
        <v/>
      </c>
      <c r="K380" s="37" t="str">
        <f>IF(Agent02_Withdrawals!A185="","",Agent02_Withdrawals!K185)</f>
        <v/>
      </c>
      <c r="L380" s="37" t="str">
        <f>IF(G380="","",IF(D380-G380&gt;=System_Config!$B$9,"✅ OK","⚠️ BREACH"))</f>
        <v/>
      </c>
      <c r="M380" s="37" t="str">
        <f>IFERROR(IF(Agent02_Withdrawals!A185="","",YEAR(Agent02_Withdrawals!D185)),"")</f>
        <v/>
      </c>
    </row>
    <row r="381" spans="1:13" ht="18" customHeight="1" x14ac:dyDescent="0.25">
      <c r="A381" s="37" t="str">
        <f>IF(Agent02_Withdrawals!A186="","",Agent02_Withdrawals!A186)</f>
        <v/>
      </c>
      <c r="B381" s="37" t="str">
        <f ca="1">IF(Agent02_Withdrawals!A186="","","WD"&amp;TEXT(381-3,"0000")&amp;"-"&amp;TEXT(TODAY(),"YYYYMMDD"))</f>
        <v/>
      </c>
      <c r="C381" s="37" t="str">
        <f>IF(Agent02_Withdrawals!A186="","",Agent02_Withdrawals!B186)</f>
        <v/>
      </c>
      <c r="D381" s="40" t="str">
        <f>IF(Agent02_Withdrawals!A186="","",Agent02_Withdrawals!C186)</f>
        <v/>
      </c>
      <c r="E381" s="38" t="str">
        <f>IF(Agent02_Withdrawals!A186="","",Agent02_Withdrawals!D186)</f>
        <v/>
      </c>
      <c r="F381" s="37" t="str">
        <f>IF(Agent02_Withdrawals!A186="","",Agent02_Withdrawals!F186)</f>
        <v/>
      </c>
      <c r="G381" s="39" t="str">
        <f>IF(Agent02_Withdrawals!A186="","",Agent02_Withdrawals!E186)</f>
        <v/>
      </c>
      <c r="H381" s="39" t="str">
        <f>IF(Agent02_Withdrawals!A186="","",Agent02_Withdrawals!G186)</f>
        <v/>
      </c>
      <c r="I381" s="37" t="str">
        <f>IF(Agent02_Withdrawals!A186="","",Agent02_Withdrawals!H186)</f>
        <v/>
      </c>
      <c r="J381" s="37" t="str">
        <f>IF(Agent02_Withdrawals!A186="","",Agent02_Withdrawals!J186)</f>
        <v/>
      </c>
      <c r="K381" s="37" t="str">
        <f>IF(Agent02_Withdrawals!A186="","",Agent02_Withdrawals!K186)</f>
        <v/>
      </c>
      <c r="L381" s="37" t="str">
        <f>IF(G381="","",IF(D381-G381&gt;=System_Config!$B$9,"✅ OK","⚠️ BREACH"))</f>
        <v/>
      </c>
      <c r="M381" s="37" t="str">
        <f>IFERROR(IF(Agent02_Withdrawals!A186="","",YEAR(Agent02_Withdrawals!D186)),"")</f>
        <v/>
      </c>
    </row>
    <row r="382" spans="1:13" ht="18" customHeight="1" x14ac:dyDescent="0.25">
      <c r="A382" s="37" t="str">
        <f>IF(Agent02_Withdrawals!A187="","",Agent02_Withdrawals!A187)</f>
        <v/>
      </c>
      <c r="B382" s="37" t="str">
        <f ca="1">IF(Agent02_Withdrawals!A187="","","WD"&amp;TEXT(382-3,"0000")&amp;"-"&amp;TEXT(TODAY(),"YYYYMMDD"))</f>
        <v/>
      </c>
      <c r="C382" s="37" t="str">
        <f>IF(Agent02_Withdrawals!A187="","",Agent02_Withdrawals!B187)</f>
        <v/>
      </c>
      <c r="D382" s="40" t="str">
        <f>IF(Agent02_Withdrawals!A187="","",Agent02_Withdrawals!C187)</f>
        <v/>
      </c>
      <c r="E382" s="38" t="str">
        <f>IF(Agent02_Withdrawals!A187="","",Agent02_Withdrawals!D187)</f>
        <v/>
      </c>
      <c r="F382" s="37" t="str">
        <f>IF(Agent02_Withdrawals!A187="","",Agent02_Withdrawals!F187)</f>
        <v/>
      </c>
      <c r="G382" s="39" t="str">
        <f>IF(Agent02_Withdrawals!A187="","",Agent02_Withdrawals!E187)</f>
        <v/>
      </c>
      <c r="H382" s="39" t="str">
        <f>IF(Agent02_Withdrawals!A187="","",Agent02_Withdrawals!G187)</f>
        <v/>
      </c>
      <c r="I382" s="37" t="str">
        <f>IF(Agent02_Withdrawals!A187="","",Agent02_Withdrawals!H187)</f>
        <v/>
      </c>
      <c r="J382" s="37" t="str">
        <f>IF(Agent02_Withdrawals!A187="","",Agent02_Withdrawals!J187)</f>
        <v/>
      </c>
      <c r="K382" s="37" t="str">
        <f>IF(Agent02_Withdrawals!A187="","",Agent02_Withdrawals!K187)</f>
        <v/>
      </c>
      <c r="L382" s="37" t="str">
        <f>IF(G382="","",IF(D382-G382&gt;=System_Config!$B$9,"✅ OK","⚠️ BREACH"))</f>
        <v/>
      </c>
      <c r="M382" s="37" t="str">
        <f>IFERROR(IF(Agent02_Withdrawals!A187="","",YEAR(Agent02_Withdrawals!D187)),"")</f>
        <v/>
      </c>
    </row>
    <row r="383" spans="1:13" ht="18" customHeight="1" x14ac:dyDescent="0.25">
      <c r="A383" s="37" t="str">
        <f>IF(Agent02_Withdrawals!A188="","",Agent02_Withdrawals!A188)</f>
        <v/>
      </c>
      <c r="B383" s="37" t="str">
        <f ca="1">IF(Agent02_Withdrawals!A188="","","WD"&amp;TEXT(383-3,"0000")&amp;"-"&amp;TEXT(TODAY(),"YYYYMMDD"))</f>
        <v/>
      </c>
      <c r="C383" s="37" t="str">
        <f>IF(Agent02_Withdrawals!A188="","",Agent02_Withdrawals!B188)</f>
        <v/>
      </c>
      <c r="D383" s="40" t="str">
        <f>IF(Agent02_Withdrawals!A188="","",Agent02_Withdrawals!C188)</f>
        <v/>
      </c>
      <c r="E383" s="38" t="str">
        <f>IF(Agent02_Withdrawals!A188="","",Agent02_Withdrawals!D188)</f>
        <v/>
      </c>
      <c r="F383" s="37" t="str">
        <f>IF(Agent02_Withdrawals!A188="","",Agent02_Withdrawals!F188)</f>
        <v/>
      </c>
      <c r="G383" s="39" t="str">
        <f>IF(Agent02_Withdrawals!A188="","",Agent02_Withdrawals!E188)</f>
        <v/>
      </c>
      <c r="H383" s="39" t="str">
        <f>IF(Agent02_Withdrawals!A188="","",Agent02_Withdrawals!G188)</f>
        <v/>
      </c>
      <c r="I383" s="37" t="str">
        <f>IF(Agent02_Withdrawals!A188="","",Agent02_Withdrawals!H188)</f>
        <v/>
      </c>
      <c r="J383" s="37" t="str">
        <f>IF(Agent02_Withdrawals!A188="","",Agent02_Withdrawals!J188)</f>
        <v/>
      </c>
      <c r="K383" s="37" t="str">
        <f>IF(Agent02_Withdrawals!A188="","",Agent02_Withdrawals!K188)</f>
        <v/>
      </c>
      <c r="L383" s="37" t="str">
        <f>IF(G383="","",IF(D383-G383&gt;=System_Config!$B$9,"✅ OK","⚠️ BREACH"))</f>
        <v/>
      </c>
      <c r="M383" s="37" t="str">
        <f>IFERROR(IF(Agent02_Withdrawals!A188="","",YEAR(Agent02_Withdrawals!D188)),"")</f>
        <v/>
      </c>
    </row>
    <row r="384" spans="1:13" ht="18" customHeight="1" x14ac:dyDescent="0.25">
      <c r="A384" s="37" t="str">
        <f>IF(Agent02_Withdrawals!A189="","",Agent02_Withdrawals!A189)</f>
        <v/>
      </c>
      <c r="B384" s="37" t="str">
        <f ca="1">IF(Agent02_Withdrawals!A189="","","WD"&amp;TEXT(384-3,"0000")&amp;"-"&amp;TEXT(TODAY(),"YYYYMMDD"))</f>
        <v/>
      </c>
      <c r="C384" s="37" t="str">
        <f>IF(Agent02_Withdrawals!A189="","",Agent02_Withdrawals!B189)</f>
        <v/>
      </c>
      <c r="D384" s="40" t="str">
        <f>IF(Agent02_Withdrawals!A189="","",Agent02_Withdrawals!C189)</f>
        <v/>
      </c>
      <c r="E384" s="38" t="str">
        <f>IF(Agent02_Withdrawals!A189="","",Agent02_Withdrawals!D189)</f>
        <v/>
      </c>
      <c r="F384" s="37" t="str">
        <f>IF(Agent02_Withdrawals!A189="","",Agent02_Withdrawals!F189)</f>
        <v/>
      </c>
      <c r="G384" s="39" t="str">
        <f>IF(Agent02_Withdrawals!A189="","",Agent02_Withdrawals!E189)</f>
        <v/>
      </c>
      <c r="H384" s="39" t="str">
        <f>IF(Agent02_Withdrawals!A189="","",Agent02_Withdrawals!G189)</f>
        <v/>
      </c>
      <c r="I384" s="37" t="str">
        <f>IF(Agent02_Withdrawals!A189="","",Agent02_Withdrawals!H189)</f>
        <v/>
      </c>
      <c r="J384" s="37" t="str">
        <f>IF(Agent02_Withdrawals!A189="","",Agent02_Withdrawals!J189)</f>
        <v/>
      </c>
      <c r="K384" s="37" t="str">
        <f>IF(Agent02_Withdrawals!A189="","",Agent02_Withdrawals!K189)</f>
        <v/>
      </c>
      <c r="L384" s="37" t="str">
        <f>IF(G384="","",IF(D384-G384&gt;=System_Config!$B$9,"✅ OK","⚠️ BREACH"))</f>
        <v/>
      </c>
      <c r="M384" s="37" t="str">
        <f>IFERROR(IF(Agent02_Withdrawals!A189="","",YEAR(Agent02_Withdrawals!D189)),"")</f>
        <v/>
      </c>
    </row>
    <row r="385" spans="1:13" ht="18" customHeight="1" x14ac:dyDescent="0.25">
      <c r="A385" s="37" t="str">
        <f>IF(Agent02_Withdrawals!A190="","",Agent02_Withdrawals!A190)</f>
        <v/>
      </c>
      <c r="B385" s="37" t="str">
        <f ca="1">IF(Agent02_Withdrawals!A190="","","WD"&amp;TEXT(385-3,"0000")&amp;"-"&amp;TEXT(TODAY(),"YYYYMMDD"))</f>
        <v/>
      </c>
      <c r="C385" s="37" t="str">
        <f>IF(Agent02_Withdrawals!A190="","",Agent02_Withdrawals!B190)</f>
        <v/>
      </c>
      <c r="D385" s="40" t="str">
        <f>IF(Agent02_Withdrawals!A190="","",Agent02_Withdrawals!C190)</f>
        <v/>
      </c>
      <c r="E385" s="38" t="str">
        <f>IF(Agent02_Withdrawals!A190="","",Agent02_Withdrawals!D190)</f>
        <v/>
      </c>
      <c r="F385" s="37" t="str">
        <f>IF(Agent02_Withdrawals!A190="","",Agent02_Withdrawals!F190)</f>
        <v/>
      </c>
      <c r="G385" s="39" t="str">
        <f>IF(Agent02_Withdrawals!A190="","",Agent02_Withdrawals!E190)</f>
        <v/>
      </c>
      <c r="H385" s="39" t="str">
        <f>IF(Agent02_Withdrawals!A190="","",Agent02_Withdrawals!G190)</f>
        <v/>
      </c>
      <c r="I385" s="37" t="str">
        <f>IF(Agent02_Withdrawals!A190="","",Agent02_Withdrawals!H190)</f>
        <v/>
      </c>
      <c r="J385" s="37" t="str">
        <f>IF(Agent02_Withdrawals!A190="","",Agent02_Withdrawals!J190)</f>
        <v/>
      </c>
      <c r="K385" s="37" t="str">
        <f>IF(Agent02_Withdrawals!A190="","",Agent02_Withdrawals!K190)</f>
        <v/>
      </c>
      <c r="L385" s="37" t="str">
        <f>IF(G385="","",IF(D385-G385&gt;=System_Config!$B$9,"✅ OK","⚠️ BREACH"))</f>
        <v/>
      </c>
      <c r="M385" s="37" t="str">
        <f>IFERROR(IF(Agent02_Withdrawals!A190="","",YEAR(Agent02_Withdrawals!D190)),"")</f>
        <v/>
      </c>
    </row>
    <row r="386" spans="1:13" ht="18" customHeight="1" x14ac:dyDescent="0.25">
      <c r="A386" s="37" t="str">
        <f>IF(Agent02_Withdrawals!A191="","",Agent02_Withdrawals!A191)</f>
        <v/>
      </c>
      <c r="B386" s="37" t="str">
        <f ca="1">IF(Agent02_Withdrawals!A191="","","WD"&amp;TEXT(386-3,"0000")&amp;"-"&amp;TEXT(TODAY(),"YYYYMMDD"))</f>
        <v/>
      </c>
      <c r="C386" s="37" t="str">
        <f>IF(Agent02_Withdrawals!A191="","",Agent02_Withdrawals!B191)</f>
        <v/>
      </c>
      <c r="D386" s="40" t="str">
        <f>IF(Agent02_Withdrawals!A191="","",Agent02_Withdrawals!C191)</f>
        <v/>
      </c>
      <c r="E386" s="38" t="str">
        <f>IF(Agent02_Withdrawals!A191="","",Agent02_Withdrawals!D191)</f>
        <v/>
      </c>
      <c r="F386" s="37" t="str">
        <f>IF(Agent02_Withdrawals!A191="","",Agent02_Withdrawals!F191)</f>
        <v/>
      </c>
      <c r="G386" s="39" t="str">
        <f>IF(Agent02_Withdrawals!A191="","",Agent02_Withdrawals!E191)</f>
        <v/>
      </c>
      <c r="H386" s="39" t="str">
        <f>IF(Agent02_Withdrawals!A191="","",Agent02_Withdrawals!G191)</f>
        <v/>
      </c>
      <c r="I386" s="37" t="str">
        <f>IF(Agent02_Withdrawals!A191="","",Agent02_Withdrawals!H191)</f>
        <v/>
      </c>
      <c r="J386" s="37" t="str">
        <f>IF(Agent02_Withdrawals!A191="","",Agent02_Withdrawals!J191)</f>
        <v/>
      </c>
      <c r="K386" s="37" t="str">
        <f>IF(Agent02_Withdrawals!A191="","",Agent02_Withdrawals!K191)</f>
        <v/>
      </c>
      <c r="L386" s="37" t="str">
        <f>IF(G386="","",IF(D386-G386&gt;=System_Config!$B$9,"✅ OK","⚠️ BREACH"))</f>
        <v/>
      </c>
      <c r="M386" s="37" t="str">
        <f>IFERROR(IF(Agent02_Withdrawals!A191="","",YEAR(Agent02_Withdrawals!D191)),"")</f>
        <v/>
      </c>
    </row>
    <row r="387" spans="1:13" ht="18" customHeight="1" x14ac:dyDescent="0.25">
      <c r="A387" s="37" t="str">
        <f>IF(Agent02_Withdrawals!A192="","",Agent02_Withdrawals!A192)</f>
        <v/>
      </c>
      <c r="B387" s="37" t="str">
        <f ca="1">IF(Agent02_Withdrawals!A192="","","WD"&amp;TEXT(387-3,"0000")&amp;"-"&amp;TEXT(TODAY(),"YYYYMMDD"))</f>
        <v/>
      </c>
      <c r="C387" s="37" t="str">
        <f>IF(Agent02_Withdrawals!A192="","",Agent02_Withdrawals!B192)</f>
        <v/>
      </c>
      <c r="D387" s="40" t="str">
        <f>IF(Agent02_Withdrawals!A192="","",Agent02_Withdrawals!C192)</f>
        <v/>
      </c>
      <c r="E387" s="38" t="str">
        <f>IF(Agent02_Withdrawals!A192="","",Agent02_Withdrawals!D192)</f>
        <v/>
      </c>
      <c r="F387" s="37" t="str">
        <f>IF(Agent02_Withdrawals!A192="","",Agent02_Withdrawals!F192)</f>
        <v/>
      </c>
      <c r="G387" s="39" t="str">
        <f>IF(Agent02_Withdrawals!A192="","",Agent02_Withdrawals!E192)</f>
        <v/>
      </c>
      <c r="H387" s="39" t="str">
        <f>IF(Agent02_Withdrawals!A192="","",Agent02_Withdrawals!G192)</f>
        <v/>
      </c>
      <c r="I387" s="37" t="str">
        <f>IF(Agent02_Withdrawals!A192="","",Agent02_Withdrawals!H192)</f>
        <v/>
      </c>
      <c r="J387" s="37" t="str">
        <f>IF(Agent02_Withdrawals!A192="","",Agent02_Withdrawals!J192)</f>
        <v/>
      </c>
      <c r="K387" s="37" t="str">
        <f>IF(Agent02_Withdrawals!A192="","",Agent02_Withdrawals!K192)</f>
        <v/>
      </c>
      <c r="L387" s="37" t="str">
        <f>IF(G387="","",IF(D387-G387&gt;=System_Config!$B$9,"✅ OK","⚠️ BREACH"))</f>
        <v/>
      </c>
      <c r="M387" s="37" t="str">
        <f>IFERROR(IF(Agent02_Withdrawals!A192="","",YEAR(Agent02_Withdrawals!D192)),"")</f>
        <v/>
      </c>
    </row>
    <row r="388" spans="1:13" ht="18" customHeight="1" x14ac:dyDescent="0.25">
      <c r="A388" s="37" t="str">
        <f>IF(Agent02_Withdrawals!A193="","",Agent02_Withdrawals!A193)</f>
        <v/>
      </c>
      <c r="B388" s="37" t="str">
        <f ca="1">IF(Agent02_Withdrawals!A193="","","WD"&amp;TEXT(388-3,"0000")&amp;"-"&amp;TEXT(TODAY(),"YYYYMMDD"))</f>
        <v/>
      </c>
      <c r="C388" s="37" t="str">
        <f>IF(Agent02_Withdrawals!A193="","",Agent02_Withdrawals!B193)</f>
        <v/>
      </c>
      <c r="D388" s="40" t="str">
        <f>IF(Agent02_Withdrawals!A193="","",Agent02_Withdrawals!C193)</f>
        <v/>
      </c>
      <c r="E388" s="38" t="str">
        <f>IF(Agent02_Withdrawals!A193="","",Agent02_Withdrawals!D193)</f>
        <v/>
      </c>
      <c r="F388" s="37" t="str">
        <f>IF(Agent02_Withdrawals!A193="","",Agent02_Withdrawals!F193)</f>
        <v/>
      </c>
      <c r="G388" s="39" t="str">
        <f>IF(Agent02_Withdrawals!A193="","",Agent02_Withdrawals!E193)</f>
        <v/>
      </c>
      <c r="H388" s="39" t="str">
        <f>IF(Agent02_Withdrawals!A193="","",Agent02_Withdrawals!G193)</f>
        <v/>
      </c>
      <c r="I388" s="37" t="str">
        <f>IF(Agent02_Withdrawals!A193="","",Agent02_Withdrawals!H193)</f>
        <v/>
      </c>
      <c r="J388" s="37" t="str">
        <f>IF(Agent02_Withdrawals!A193="","",Agent02_Withdrawals!J193)</f>
        <v/>
      </c>
      <c r="K388" s="37" t="str">
        <f>IF(Agent02_Withdrawals!A193="","",Agent02_Withdrawals!K193)</f>
        <v/>
      </c>
      <c r="L388" s="37" t="str">
        <f>IF(G388="","",IF(D388-G388&gt;=System_Config!$B$9,"✅ OK","⚠️ BREACH"))</f>
        <v/>
      </c>
      <c r="M388" s="37" t="str">
        <f>IFERROR(IF(Agent02_Withdrawals!A193="","",YEAR(Agent02_Withdrawals!D193)),"")</f>
        <v/>
      </c>
    </row>
    <row r="389" spans="1:13" ht="18" customHeight="1" x14ac:dyDescent="0.25">
      <c r="A389" s="37" t="str">
        <f>IF(Agent02_Withdrawals!A194="","",Agent02_Withdrawals!A194)</f>
        <v/>
      </c>
      <c r="B389" s="37" t="str">
        <f ca="1">IF(Agent02_Withdrawals!A194="","","WD"&amp;TEXT(389-3,"0000")&amp;"-"&amp;TEXT(TODAY(),"YYYYMMDD"))</f>
        <v/>
      </c>
      <c r="C389" s="37" t="str">
        <f>IF(Agent02_Withdrawals!A194="","",Agent02_Withdrawals!B194)</f>
        <v/>
      </c>
      <c r="D389" s="40" t="str">
        <f>IF(Agent02_Withdrawals!A194="","",Agent02_Withdrawals!C194)</f>
        <v/>
      </c>
      <c r="E389" s="38" t="str">
        <f>IF(Agent02_Withdrawals!A194="","",Agent02_Withdrawals!D194)</f>
        <v/>
      </c>
      <c r="F389" s="37" t="str">
        <f>IF(Agent02_Withdrawals!A194="","",Agent02_Withdrawals!F194)</f>
        <v/>
      </c>
      <c r="G389" s="39" t="str">
        <f>IF(Agent02_Withdrawals!A194="","",Agent02_Withdrawals!E194)</f>
        <v/>
      </c>
      <c r="H389" s="39" t="str">
        <f>IF(Agent02_Withdrawals!A194="","",Agent02_Withdrawals!G194)</f>
        <v/>
      </c>
      <c r="I389" s="37" t="str">
        <f>IF(Agent02_Withdrawals!A194="","",Agent02_Withdrawals!H194)</f>
        <v/>
      </c>
      <c r="J389" s="37" t="str">
        <f>IF(Agent02_Withdrawals!A194="","",Agent02_Withdrawals!J194)</f>
        <v/>
      </c>
      <c r="K389" s="37" t="str">
        <f>IF(Agent02_Withdrawals!A194="","",Agent02_Withdrawals!K194)</f>
        <v/>
      </c>
      <c r="L389" s="37" t="str">
        <f>IF(G389="","",IF(D389-G389&gt;=System_Config!$B$9,"✅ OK","⚠️ BREACH"))</f>
        <v/>
      </c>
      <c r="M389" s="37" t="str">
        <f>IFERROR(IF(Agent02_Withdrawals!A194="","",YEAR(Agent02_Withdrawals!D194)),"")</f>
        <v/>
      </c>
    </row>
    <row r="390" spans="1:13" ht="18" customHeight="1" x14ac:dyDescent="0.25">
      <c r="A390" s="37" t="str">
        <f>IF(Agent02_Withdrawals!A195="","",Agent02_Withdrawals!A195)</f>
        <v/>
      </c>
      <c r="B390" s="37" t="str">
        <f ca="1">IF(Agent02_Withdrawals!A195="","","WD"&amp;TEXT(390-3,"0000")&amp;"-"&amp;TEXT(TODAY(),"YYYYMMDD"))</f>
        <v/>
      </c>
      <c r="C390" s="37" t="str">
        <f>IF(Agent02_Withdrawals!A195="","",Agent02_Withdrawals!B195)</f>
        <v/>
      </c>
      <c r="D390" s="40" t="str">
        <f>IF(Agent02_Withdrawals!A195="","",Agent02_Withdrawals!C195)</f>
        <v/>
      </c>
      <c r="E390" s="38" t="str">
        <f>IF(Agent02_Withdrawals!A195="","",Agent02_Withdrawals!D195)</f>
        <v/>
      </c>
      <c r="F390" s="37" t="str">
        <f>IF(Agent02_Withdrawals!A195="","",Agent02_Withdrawals!F195)</f>
        <v/>
      </c>
      <c r="G390" s="39" t="str">
        <f>IF(Agent02_Withdrawals!A195="","",Agent02_Withdrawals!E195)</f>
        <v/>
      </c>
      <c r="H390" s="39" t="str">
        <f>IF(Agent02_Withdrawals!A195="","",Agent02_Withdrawals!G195)</f>
        <v/>
      </c>
      <c r="I390" s="37" t="str">
        <f>IF(Agent02_Withdrawals!A195="","",Agent02_Withdrawals!H195)</f>
        <v/>
      </c>
      <c r="J390" s="37" t="str">
        <f>IF(Agent02_Withdrawals!A195="","",Agent02_Withdrawals!J195)</f>
        <v/>
      </c>
      <c r="K390" s="37" t="str">
        <f>IF(Agent02_Withdrawals!A195="","",Agent02_Withdrawals!K195)</f>
        <v/>
      </c>
      <c r="L390" s="37" t="str">
        <f>IF(G390="","",IF(D390-G390&gt;=System_Config!$B$9,"✅ OK","⚠️ BREACH"))</f>
        <v/>
      </c>
      <c r="M390" s="37" t="str">
        <f>IFERROR(IF(Agent02_Withdrawals!A195="","",YEAR(Agent02_Withdrawals!D195)),"")</f>
        <v/>
      </c>
    </row>
    <row r="391" spans="1:13" ht="18" customHeight="1" x14ac:dyDescent="0.25">
      <c r="A391" s="37" t="str">
        <f>IF(Agent02_Withdrawals!A196="","",Agent02_Withdrawals!A196)</f>
        <v/>
      </c>
      <c r="B391" s="37" t="str">
        <f ca="1">IF(Agent02_Withdrawals!A196="","","WD"&amp;TEXT(391-3,"0000")&amp;"-"&amp;TEXT(TODAY(),"YYYYMMDD"))</f>
        <v/>
      </c>
      <c r="C391" s="37" t="str">
        <f>IF(Agent02_Withdrawals!A196="","",Agent02_Withdrawals!B196)</f>
        <v/>
      </c>
      <c r="D391" s="40" t="str">
        <f>IF(Agent02_Withdrawals!A196="","",Agent02_Withdrawals!C196)</f>
        <v/>
      </c>
      <c r="E391" s="38" t="str">
        <f>IF(Agent02_Withdrawals!A196="","",Agent02_Withdrawals!D196)</f>
        <v/>
      </c>
      <c r="F391" s="37" t="str">
        <f>IF(Agent02_Withdrawals!A196="","",Agent02_Withdrawals!F196)</f>
        <v/>
      </c>
      <c r="G391" s="39" t="str">
        <f>IF(Agent02_Withdrawals!A196="","",Agent02_Withdrawals!E196)</f>
        <v/>
      </c>
      <c r="H391" s="39" t="str">
        <f>IF(Agent02_Withdrawals!A196="","",Agent02_Withdrawals!G196)</f>
        <v/>
      </c>
      <c r="I391" s="37" t="str">
        <f>IF(Agent02_Withdrawals!A196="","",Agent02_Withdrawals!H196)</f>
        <v/>
      </c>
      <c r="J391" s="37" t="str">
        <f>IF(Agent02_Withdrawals!A196="","",Agent02_Withdrawals!J196)</f>
        <v/>
      </c>
      <c r="K391" s="37" t="str">
        <f>IF(Agent02_Withdrawals!A196="","",Agent02_Withdrawals!K196)</f>
        <v/>
      </c>
      <c r="L391" s="37" t="str">
        <f>IF(G391="","",IF(D391-G391&gt;=System_Config!$B$9,"✅ OK","⚠️ BREACH"))</f>
        <v/>
      </c>
      <c r="M391" s="37" t="str">
        <f>IFERROR(IF(Agent02_Withdrawals!A196="","",YEAR(Agent02_Withdrawals!D196)),"")</f>
        <v/>
      </c>
    </row>
    <row r="392" spans="1:13" ht="18" customHeight="1" x14ac:dyDescent="0.25">
      <c r="A392" s="37" t="str">
        <f>IF(Agent02_Withdrawals!A197="","",Agent02_Withdrawals!A197)</f>
        <v/>
      </c>
      <c r="B392" s="37" t="str">
        <f ca="1">IF(Agent02_Withdrawals!A197="","","WD"&amp;TEXT(392-3,"0000")&amp;"-"&amp;TEXT(TODAY(),"YYYYMMDD"))</f>
        <v/>
      </c>
      <c r="C392" s="37" t="str">
        <f>IF(Agent02_Withdrawals!A197="","",Agent02_Withdrawals!B197)</f>
        <v/>
      </c>
      <c r="D392" s="40" t="str">
        <f>IF(Agent02_Withdrawals!A197="","",Agent02_Withdrawals!C197)</f>
        <v/>
      </c>
      <c r="E392" s="38" t="str">
        <f>IF(Agent02_Withdrawals!A197="","",Agent02_Withdrawals!D197)</f>
        <v/>
      </c>
      <c r="F392" s="37" t="str">
        <f>IF(Agent02_Withdrawals!A197="","",Agent02_Withdrawals!F197)</f>
        <v/>
      </c>
      <c r="G392" s="39" t="str">
        <f>IF(Agent02_Withdrawals!A197="","",Agent02_Withdrawals!E197)</f>
        <v/>
      </c>
      <c r="H392" s="39" t="str">
        <f>IF(Agent02_Withdrawals!A197="","",Agent02_Withdrawals!G197)</f>
        <v/>
      </c>
      <c r="I392" s="37" t="str">
        <f>IF(Agent02_Withdrawals!A197="","",Agent02_Withdrawals!H197)</f>
        <v/>
      </c>
      <c r="J392" s="37" t="str">
        <f>IF(Agent02_Withdrawals!A197="","",Agent02_Withdrawals!J197)</f>
        <v/>
      </c>
      <c r="K392" s="37" t="str">
        <f>IF(Agent02_Withdrawals!A197="","",Agent02_Withdrawals!K197)</f>
        <v/>
      </c>
      <c r="L392" s="37" t="str">
        <f>IF(G392="","",IF(D392-G392&gt;=System_Config!$B$9,"✅ OK","⚠️ BREACH"))</f>
        <v/>
      </c>
      <c r="M392" s="37" t="str">
        <f>IFERROR(IF(Agent02_Withdrawals!A197="","",YEAR(Agent02_Withdrawals!D197)),"")</f>
        <v/>
      </c>
    </row>
    <row r="393" spans="1:13" ht="18" customHeight="1" x14ac:dyDescent="0.25">
      <c r="A393" s="37" t="str">
        <f>IF(Agent02_Withdrawals!A198="","",Agent02_Withdrawals!A198)</f>
        <v/>
      </c>
      <c r="B393" s="37" t="str">
        <f ca="1">IF(Agent02_Withdrawals!A198="","","WD"&amp;TEXT(393-3,"0000")&amp;"-"&amp;TEXT(TODAY(),"YYYYMMDD"))</f>
        <v/>
      </c>
      <c r="C393" s="37" t="str">
        <f>IF(Agent02_Withdrawals!A198="","",Agent02_Withdrawals!B198)</f>
        <v/>
      </c>
      <c r="D393" s="40" t="str">
        <f>IF(Agent02_Withdrawals!A198="","",Agent02_Withdrawals!C198)</f>
        <v/>
      </c>
      <c r="E393" s="38" t="str">
        <f>IF(Agent02_Withdrawals!A198="","",Agent02_Withdrawals!D198)</f>
        <v/>
      </c>
      <c r="F393" s="37" t="str">
        <f>IF(Agent02_Withdrawals!A198="","",Agent02_Withdrawals!F198)</f>
        <v/>
      </c>
      <c r="G393" s="39" t="str">
        <f>IF(Agent02_Withdrawals!A198="","",Agent02_Withdrawals!E198)</f>
        <v/>
      </c>
      <c r="H393" s="39" t="str">
        <f>IF(Agent02_Withdrawals!A198="","",Agent02_Withdrawals!G198)</f>
        <v/>
      </c>
      <c r="I393" s="37" t="str">
        <f>IF(Agent02_Withdrawals!A198="","",Agent02_Withdrawals!H198)</f>
        <v/>
      </c>
      <c r="J393" s="37" t="str">
        <f>IF(Agent02_Withdrawals!A198="","",Agent02_Withdrawals!J198)</f>
        <v/>
      </c>
      <c r="K393" s="37" t="str">
        <f>IF(Agent02_Withdrawals!A198="","",Agent02_Withdrawals!K198)</f>
        <v/>
      </c>
      <c r="L393" s="37" t="str">
        <f>IF(G393="","",IF(D393-G393&gt;=System_Config!$B$9,"✅ OK","⚠️ BREACH"))</f>
        <v/>
      </c>
      <c r="M393" s="37" t="str">
        <f>IFERROR(IF(Agent02_Withdrawals!A198="","",YEAR(Agent02_Withdrawals!D198)),"")</f>
        <v/>
      </c>
    </row>
    <row r="394" spans="1:13" ht="18" customHeight="1" x14ac:dyDescent="0.25">
      <c r="A394" s="37" t="str">
        <f>IF(Agent02_Withdrawals!A199="","",Agent02_Withdrawals!A199)</f>
        <v/>
      </c>
      <c r="B394" s="37" t="str">
        <f ca="1">IF(Agent02_Withdrawals!A199="","","WD"&amp;TEXT(394-3,"0000")&amp;"-"&amp;TEXT(TODAY(),"YYYYMMDD"))</f>
        <v/>
      </c>
      <c r="C394" s="37" t="str">
        <f>IF(Agent02_Withdrawals!A199="","",Agent02_Withdrawals!B199)</f>
        <v/>
      </c>
      <c r="D394" s="40" t="str">
        <f>IF(Agent02_Withdrawals!A199="","",Agent02_Withdrawals!C199)</f>
        <v/>
      </c>
      <c r="E394" s="38" t="str">
        <f>IF(Agent02_Withdrawals!A199="","",Agent02_Withdrawals!D199)</f>
        <v/>
      </c>
      <c r="F394" s="37" t="str">
        <f>IF(Agent02_Withdrawals!A199="","",Agent02_Withdrawals!F199)</f>
        <v/>
      </c>
      <c r="G394" s="39" t="str">
        <f>IF(Agent02_Withdrawals!A199="","",Agent02_Withdrawals!E199)</f>
        <v/>
      </c>
      <c r="H394" s="39" t="str">
        <f>IF(Agent02_Withdrawals!A199="","",Agent02_Withdrawals!G199)</f>
        <v/>
      </c>
      <c r="I394" s="37" t="str">
        <f>IF(Agent02_Withdrawals!A199="","",Agent02_Withdrawals!H199)</f>
        <v/>
      </c>
      <c r="J394" s="37" t="str">
        <f>IF(Agent02_Withdrawals!A199="","",Agent02_Withdrawals!J199)</f>
        <v/>
      </c>
      <c r="K394" s="37" t="str">
        <f>IF(Agent02_Withdrawals!A199="","",Agent02_Withdrawals!K199)</f>
        <v/>
      </c>
      <c r="L394" s="37" t="str">
        <f>IF(G394="","",IF(D394-G394&gt;=System_Config!$B$9,"✅ OK","⚠️ BREACH"))</f>
        <v/>
      </c>
      <c r="M394" s="37" t="str">
        <f>IFERROR(IF(Agent02_Withdrawals!A199="","",YEAR(Agent02_Withdrawals!D199)),"")</f>
        <v/>
      </c>
    </row>
    <row r="395" spans="1:13" ht="18" customHeight="1" x14ac:dyDescent="0.25">
      <c r="A395" s="37" t="str">
        <f>IF(Agent02_Withdrawals!A200="","",Agent02_Withdrawals!A200)</f>
        <v/>
      </c>
      <c r="B395" s="37" t="str">
        <f ca="1">IF(Agent02_Withdrawals!A200="","","WD"&amp;TEXT(395-3,"0000")&amp;"-"&amp;TEXT(TODAY(),"YYYYMMDD"))</f>
        <v/>
      </c>
      <c r="C395" s="37" t="str">
        <f>IF(Agent02_Withdrawals!A200="","",Agent02_Withdrawals!B200)</f>
        <v/>
      </c>
      <c r="D395" s="40" t="str">
        <f>IF(Agent02_Withdrawals!A200="","",Agent02_Withdrawals!C200)</f>
        <v/>
      </c>
      <c r="E395" s="38" t="str">
        <f>IF(Agent02_Withdrawals!A200="","",Agent02_Withdrawals!D200)</f>
        <v/>
      </c>
      <c r="F395" s="37" t="str">
        <f>IF(Agent02_Withdrawals!A200="","",Agent02_Withdrawals!F200)</f>
        <v/>
      </c>
      <c r="G395" s="39" t="str">
        <f>IF(Agent02_Withdrawals!A200="","",Agent02_Withdrawals!E200)</f>
        <v/>
      </c>
      <c r="H395" s="39" t="str">
        <f>IF(Agent02_Withdrawals!A200="","",Agent02_Withdrawals!G200)</f>
        <v/>
      </c>
      <c r="I395" s="37" t="str">
        <f>IF(Agent02_Withdrawals!A200="","",Agent02_Withdrawals!H200)</f>
        <v/>
      </c>
      <c r="J395" s="37" t="str">
        <f>IF(Agent02_Withdrawals!A200="","",Agent02_Withdrawals!J200)</f>
        <v/>
      </c>
      <c r="K395" s="37" t="str">
        <f>IF(Agent02_Withdrawals!A200="","",Agent02_Withdrawals!K200)</f>
        <v/>
      </c>
      <c r="L395" s="37" t="str">
        <f>IF(G395="","",IF(D395-G395&gt;=System_Config!$B$9,"✅ OK","⚠️ BREACH"))</f>
        <v/>
      </c>
      <c r="M395" s="37" t="str">
        <f>IFERROR(IF(Agent02_Withdrawals!A200="","",YEAR(Agent02_Withdrawals!D200)),"")</f>
        <v/>
      </c>
    </row>
    <row r="396" spans="1:13" ht="18" customHeight="1" x14ac:dyDescent="0.25">
      <c r="A396" s="37" t="str">
        <f>IF(Agent02_Withdrawals!A201="","",Agent02_Withdrawals!A201)</f>
        <v/>
      </c>
      <c r="B396" s="37" t="str">
        <f ca="1">IF(Agent02_Withdrawals!A201="","","WD"&amp;TEXT(396-3,"0000")&amp;"-"&amp;TEXT(TODAY(),"YYYYMMDD"))</f>
        <v/>
      </c>
      <c r="C396" s="37" t="str">
        <f>IF(Agent02_Withdrawals!A201="","",Agent02_Withdrawals!B201)</f>
        <v/>
      </c>
      <c r="D396" s="40" t="str">
        <f>IF(Agent02_Withdrawals!A201="","",Agent02_Withdrawals!C201)</f>
        <v/>
      </c>
      <c r="E396" s="38" t="str">
        <f>IF(Agent02_Withdrawals!A201="","",Agent02_Withdrawals!D201)</f>
        <v/>
      </c>
      <c r="F396" s="37" t="str">
        <f>IF(Agent02_Withdrawals!A201="","",Agent02_Withdrawals!F201)</f>
        <v/>
      </c>
      <c r="G396" s="39" t="str">
        <f>IF(Agent02_Withdrawals!A201="","",Agent02_Withdrawals!E201)</f>
        <v/>
      </c>
      <c r="H396" s="39" t="str">
        <f>IF(Agent02_Withdrawals!A201="","",Agent02_Withdrawals!G201)</f>
        <v/>
      </c>
      <c r="I396" s="37" t="str">
        <f>IF(Agent02_Withdrawals!A201="","",Agent02_Withdrawals!H201)</f>
        <v/>
      </c>
      <c r="J396" s="37" t="str">
        <f>IF(Agent02_Withdrawals!A201="","",Agent02_Withdrawals!J201)</f>
        <v/>
      </c>
      <c r="K396" s="37" t="str">
        <f>IF(Agent02_Withdrawals!A201="","",Agent02_Withdrawals!K201)</f>
        <v/>
      </c>
      <c r="L396" s="37" t="str">
        <f>IF(G396="","",IF(D396-G396&gt;=System_Config!$B$9,"✅ OK","⚠️ BREACH"))</f>
        <v/>
      </c>
      <c r="M396" s="37" t="str">
        <f>IFERROR(IF(Agent02_Withdrawals!A201="","",YEAR(Agent02_Withdrawals!D201)),"")</f>
        <v/>
      </c>
    </row>
    <row r="397" spans="1:13" ht="18" customHeight="1" x14ac:dyDescent="0.25">
      <c r="A397" s="37" t="str">
        <f>IF(Agent02_Withdrawals!A202="","",Agent02_Withdrawals!A202)</f>
        <v/>
      </c>
      <c r="B397" s="37" t="str">
        <f ca="1">IF(Agent02_Withdrawals!A202="","","WD"&amp;TEXT(397-3,"0000")&amp;"-"&amp;TEXT(TODAY(),"YYYYMMDD"))</f>
        <v/>
      </c>
      <c r="C397" s="37" t="str">
        <f>IF(Agent02_Withdrawals!A202="","",Agent02_Withdrawals!B202)</f>
        <v/>
      </c>
      <c r="D397" s="40" t="str">
        <f>IF(Agent02_Withdrawals!A202="","",Agent02_Withdrawals!C202)</f>
        <v/>
      </c>
      <c r="E397" s="38" t="str">
        <f>IF(Agent02_Withdrawals!A202="","",Agent02_Withdrawals!D202)</f>
        <v/>
      </c>
      <c r="F397" s="37" t="str">
        <f>IF(Agent02_Withdrawals!A202="","",Agent02_Withdrawals!F202)</f>
        <v/>
      </c>
      <c r="G397" s="39" t="str">
        <f>IF(Agent02_Withdrawals!A202="","",Agent02_Withdrawals!E202)</f>
        <v/>
      </c>
      <c r="H397" s="39" t="str">
        <f>IF(Agent02_Withdrawals!A202="","",Agent02_Withdrawals!G202)</f>
        <v/>
      </c>
      <c r="I397" s="37" t="str">
        <f>IF(Agent02_Withdrawals!A202="","",Agent02_Withdrawals!H202)</f>
        <v/>
      </c>
      <c r="J397" s="37" t="str">
        <f>IF(Agent02_Withdrawals!A202="","",Agent02_Withdrawals!J202)</f>
        <v/>
      </c>
      <c r="K397" s="37" t="str">
        <f>IF(Agent02_Withdrawals!A202="","",Agent02_Withdrawals!K202)</f>
        <v/>
      </c>
      <c r="L397" s="37" t="str">
        <f>IF(G397="","",IF(D397-G397&gt;=System_Config!$B$9,"✅ OK","⚠️ BREACH"))</f>
        <v/>
      </c>
      <c r="M397" s="37" t="str">
        <f>IFERROR(IF(Agent02_Withdrawals!A202="","",YEAR(Agent02_Withdrawals!D202)),"")</f>
        <v/>
      </c>
    </row>
    <row r="398" spans="1:13" ht="18" customHeight="1" x14ac:dyDescent="0.25">
      <c r="A398" s="37" t="str">
        <f>IF(Agent02_Withdrawals!A203="","",Agent02_Withdrawals!A203)</f>
        <v/>
      </c>
      <c r="B398" s="37" t="str">
        <f ca="1">IF(Agent02_Withdrawals!A203="","","WD"&amp;TEXT(398-3,"0000")&amp;"-"&amp;TEXT(TODAY(),"YYYYMMDD"))</f>
        <v/>
      </c>
      <c r="C398" s="37" t="str">
        <f>IF(Agent02_Withdrawals!A203="","",Agent02_Withdrawals!B203)</f>
        <v/>
      </c>
      <c r="D398" s="40" t="str">
        <f>IF(Agent02_Withdrawals!A203="","",Agent02_Withdrawals!C203)</f>
        <v/>
      </c>
      <c r="E398" s="38" t="str">
        <f>IF(Agent02_Withdrawals!A203="","",Agent02_Withdrawals!D203)</f>
        <v/>
      </c>
      <c r="F398" s="37" t="str">
        <f>IF(Agent02_Withdrawals!A203="","",Agent02_Withdrawals!F203)</f>
        <v/>
      </c>
      <c r="G398" s="39" t="str">
        <f>IF(Agent02_Withdrawals!A203="","",Agent02_Withdrawals!E203)</f>
        <v/>
      </c>
      <c r="H398" s="39" t="str">
        <f>IF(Agent02_Withdrawals!A203="","",Agent02_Withdrawals!G203)</f>
        <v/>
      </c>
      <c r="I398" s="37" t="str">
        <f>IF(Agent02_Withdrawals!A203="","",Agent02_Withdrawals!H203)</f>
        <v/>
      </c>
      <c r="J398" s="37" t="str">
        <f>IF(Agent02_Withdrawals!A203="","",Agent02_Withdrawals!J203)</f>
        <v/>
      </c>
      <c r="K398" s="37" t="str">
        <f>IF(Agent02_Withdrawals!A203="","",Agent02_Withdrawals!K203)</f>
        <v/>
      </c>
      <c r="L398" s="37" t="str">
        <f>IF(G398="","",IF(D398-G398&gt;=System_Config!$B$9,"✅ OK","⚠️ BREACH"))</f>
        <v/>
      </c>
      <c r="M398" s="37" t="str">
        <f>IFERROR(IF(Agent02_Withdrawals!A203="","",YEAR(Agent02_Withdrawals!D203)),"")</f>
        <v/>
      </c>
    </row>
    <row r="399" spans="1:13" ht="18" customHeight="1" x14ac:dyDescent="0.25">
      <c r="A399" s="37" t="str">
        <f>IF(Agent02_Withdrawals!A204="","",Agent02_Withdrawals!A204)</f>
        <v/>
      </c>
      <c r="B399" s="37" t="str">
        <f ca="1">IF(Agent02_Withdrawals!A204="","","WD"&amp;TEXT(399-3,"0000")&amp;"-"&amp;TEXT(TODAY(),"YYYYMMDD"))</f>
        <v/>
      </c>
      <c r="C399" s="37" t="str">
        <f>IF(Agent02_Withdrawals!A204="","",Agent02_Withdrawals!B204)</f>
        <v/>
      </c>
      <c r="D399" s="40" t="str">
        <f>IF(Agent02_Withdrawals!A204="","",Agent02_Withdrawals!C204)</f>
        <v/>
      </c>
      <c r="E399" s="38" t="str">
        <f>IF(Agent02_Withdrawals!A204="","",Agent02_Withdrawals!D204)</f>
        <v/>
      </c>
      <c r="F399" s="37" t="str">
        <f>IF(Agent02_Withdrawals!A204="","",Agent02_Withdrawals!F204)</f>
        <v/>
      </c>
      <c r="G399" s="39" t="str">
        <f>IF(Agent02_Withdrawals!A204="","",Agent02_Withdrawals!E204)</f>
        <v/>
      </c>
      <c r="H399" s="39" t="str">
        <f>IF(Agent02_Withdrawals!A204="","",Agent02_Withdrawals!G204)</f>
        <v/>
      </c>
      <c r="I399" s="37" t="str">
        <f>IF(Agent02_Withdrawals!A204="","",Agent02_Withdrawals!H204)</f>
        <v/>
      </c>
      <c r="J399" s="37" t="str">
        <f>IF(Agent02_Withdrawals!A204="","",Agent02_Withdrawals!J204)</f>
        <v/>
      </c>
      <c r="K399" s="37" t="str">
        <f>IF(Agent02_Withdrawals!A204="","",Agent02_Withdrawals!K204)</f>
        <v/>
      </c>
      <c r="L399" s="37" t="str">
        <f>IF(G399="","",IF(D399-G399&gt;=System_Config!$B$9,"✅ OK","⚠️ BREACH"))</f>
        <v/>
      </c>
      <c r="M399" s="37" t="str">
        <f>IFERROR(IF(Agent02_Withdrawals!A204="","",YEAR(Agent02_Withdrawals!D204)),"")</f>
        <v/>
      </c>
    </row>
    <row r="400" spans="1:13" ht="18" customHeight="1" x14ac:dyDescent="0.25">
      <c r="A400" s="37" t="str">
        <f>IF(Agent02_Withdrawals!A205="","",Agent02_Withdrawals!A205)</f>
        <v/>
      </c>
      <c r="B400" s="37" t="str">
        <f ca="1">IF(Agent02_Withdrawals!A205="","","WD"&amp;TEXT(400-3,"0000")&amp;"-"&amp;TEXT(TODAY(),"YYYYMMDD"))</f>
        <v/>
      </c>
      <c r="C400" s="37" t="str">
        <f>IF(Agent02_Withdrawals!A205="","",Agent02_Withdrawals!B205)</f>
        <v/>
      </c>
      <c r="D400" s="40" t="str">
        <f>IF(Agent02_Withdrawals!A205="","",Agent02_Withdrawals!C205)</f>
        <v/>
      </c>
      <c r="E400" s="38" t="str">
        <f>IF(Agent02_Withdrawals!A205="","",Agent02_Withdrawals!D205)</f>
        <v/>
      </c>
      <c r="F400" s="37" t="str">
        <f>IF(Agent02_Withdrawals!A205="","",Agent02_Withdrawals!F205)</f>
        <v/>
      </c>
      <c r="G400" s="39" t="str">
        <f>IF(Agent02_Withdrawals!A205="","",Agent02_Withdrawals!E205)</f>
        <v/>
      </c>
      <c r="H400" s="39" t="str">
        <f>IF(Agent02_Withdrawals!A205="","",Agent02_Withdrawals!G205)</f>
        <v/>
      </c>
      <c r="I400" s="37" t="str">
        <f>IF(Agent02_Withdrawals!A205="","",Agent02_Withdrawals!H205)</f>
        <v/>
      </c>
      <c r="J400" s="37" t="str">
        <f>IF(Agent02_Withdrawals!A205="","",Agent02_Withdrawals!J205)</f>
        <v/>
      </c>
      <c r="K400" s="37" t="str">
        <f>IF(Agent02_Withdrawals!A205="","",Agent02_Withdrawals!K205)</f>
        <v/>
      </c>
      <c r="L400" s="37" t="str">
        <f>IF(G400="","",IF(D400-G400&gt;=System_Config!$B$9,"✅ OK","⚠️ BREACH"))</f>
        <v/>
      </c>
      <c r="M400" s="37" t="str">
        <f>IFERROR(IF(Agent02_Withdrawals!A205="","",YEAR(Agent02_Withdrawals!D205)),"")</f>
        <v/>
      </c>
    </row>
    <row r="401" spans="1:13" ht="18" customHeight="1" x14ac:dyDescent="0.25">
      <c r="A401" s="37" t="str">
        <f>IF(Agent02_Withdrawals!A206="","",Agent02_Withdrawals!A206)</f>
        <v/>
      </c>
      <c r="B401" s="37" t="str">
        <f ca="1">IF(Agent02_Withdrawals!A206="","","WD"&amp;TEXT(401-3,"0000")&amp;"-"&amp;TEXT(TODAY(),"YYYYMMDD"))</f>
        <v/>
      </c>
      <c r="C401" s="37" t="str">
        <f>IF(Agent02_Withdrawals!A206="","",Agent02_Withdrawals!B206)</f>
        <v/>
      </c>
      <c r="D401" s="40" t="str">
        <f>IF(Agent02_Withdrawals!A206="","",Agent02_Withdrawals!C206)</f>
        <v/>
      </c>
      <c r="E401" s="38" t="str">
        <f>IF(Agent02_Withdrawals!A206="","",Agent02_Withdrawals!D206)</f>
        <v/>
      </c>
      <c r="F401" s="37" t="str">
        <f>IF(Agent02_Withdrawals!A206="","",Agent02_Withdrawals!F206)</f>
        <v/>
      </c>
      <c r="G401" s="39" t="str">
        <f>IF(Agent02_Withdrawals!A206="","",Agent02_Withdrawals!E206)</f>
        <v/>
      </c>
      <c r="H401" s="39" t="str">
        <f>IF(Agent02_Withdrawals!A206="","",Agent02_Withdrawals!G206)</f>
        <v/>
      </c>
      <c r="I401" s="37" t="str">
        <f>IF(Agent02_Withdrawals!A206="","",Agent02_Withdrawals!H206)</f>
        <v/>
      </c>
      <c r="J401" s="37" t="str">
        <f>IF(Agent02_Withdrawals!A206="","",Agent02_Withdrawals!J206)</f>
        <v/>
      </c>
      <c r="K401" s="37" t="str">
        <f>IF(Agent02_Withdrawals!A206="","",Agent02_Withdrawals!K206)</f>
        <v/>
      </c>
      <c r="L401" s="37" t="str">
        <f>IF(G401="","",IF(D401-G401&gt;=System_Config!$B$9,"✅ OK","⚠️ BREACH"))</f>
        <v/>
      </c>
      <c r="M401" s="37" t="str">
        <f>IFERROR(IF(Agent02_Withdrawals!A206="","",YEAR(Agent02_Withdrawals!D206)),"")</f>
        <v/>
      </c>
    </row>
    <row r="402" spans="1:13" ht="18" customHeight="1" x14ac:dyDescent="0.25">
      <c r="A402" s="37" t="str">
        <f>IF(Agent02_Withdrawals!A207="","",Agent02_Withdrawals!A207)</f>
        <v/>
      </c>
      <c r="B402" s="37" t="str">
        <f ca="1">IF(Agent02_Withdrawals!A207="","","WD"&amp;TEXT(402-3,"0000")&amp;"-"&amp;TEXT(TODAY(),"YYYYMMDD"))</f>
        <v/>
      </c>
      <c r="C402" s="37" t="str">
        <f>IF(Agent02_Withdrawals!A207="","",Agent02_Withdrawals!B207)</f>
        <v/>
      </c>
      <c r="D402" s="40" t="str">
        <f>IF(Agent02_Withdrawals!A207="","",Agent02_Withdrawals!C207)</f>
        <v/>
      </c>
      <c r="E402" s="38" t="str">
        <f>IF(Agent02_Withdrawals!A207="","",Agent02_Withdrawals!D207)</f>
        <v/>
      </c>
      <c r="F402" s="37" t="str">
        <f>IF(Agent02_Withdrawals!A207="","",Agent02_Withdrawals!F207)</f>
        <v/>
      </c>
      <c r="G402" s="39" t="str">
        <f>IF(Agent02_Withdrawals!A207="","",Agent02_Withdrawals!E207)</f>
        <v/>
      </c>
      <c r="H402" s="39" t="str">
        <f>IF(Agent02_Withdrawals!A207="","",Agent02_Withdrawals!G207)</f>
        <v/>
      </c>
      <c r="I402" s="37" t="str">
        <f>IF(Agent02_Withdrawals!A207="","",Agent02_Withdrawals!H207)</f>
        <v/>
      </c>
      <c r="J402" s="37" t="str">
        <f>IF(Agent02_Withdrawals!A207="","",Agent02_Withdrawals!J207)</f>
        <v/>
      </c>
      <c r="K402" s="37" t="str">
        <f>IF(Agent02_Withdrawals!A207="","",Agent02_Withdrawals!K207)</f>
        <v/>
      </c>
      <c r="L402" s="37" t="str">
        <f>IF(G402="","",IF(D402-G402&gt;=System_Config!$B$9,"✅ OK","⚠️ BREACH"))</f>
        <v/>
      </c>
      <c r="M402" s="37" t="str">
        <f>IFERROR(IF(Agent02_Withdrawals!A207="","",YEAR(Agent02_Withdrawals!D207)),"")</f>
        <v/>
      </c>
    </row>
    <row r="403" spans="1:13" ht="18" customHeight="1" x14ac:dyDescent="0.25">
      <c r="A403" s="37" t="str">
        <f>IF(Agent02_Withdrawals!A208="","",Agent02_Withdrawals!A208)</f>
        <v/>
      </c>
      <c r="B403" s="37" t="str">
        <f ca="1">IF(Agent02_Withdrawals!A208="","","WD"&amp;TEXT(403-3,"0000")&amp;"-"&amp;TEXT(TODAY(),"YYYYMMDD"))</f>
        <v/>
      </c>
      <c r="C403" s="37" t="str">
        <f>IF(Agent02_Withdrawals!A208="","",Agent02_Withdrawals!B208)</f>
        <v/>
      </c>
      <c r="D403" s="40" t="str">
        <f>IF(Agent02_Withdrawals!A208="","",Agent02_Withdrawals!C208)</f>
        <v/>
      </c>
      <c r="E403" s="38" t="str">
        <f>IF(Agent02_Withdrawals!A208="","",Agent02_Withdrawals!D208)</f>
        <v/>
      </c>
      <c r="F403" s="37" t="str">
        <f>IF(Agent02_Withdrawals!A208="","",Agent02_Withdrawals!F208)</f>
        <v/>
      </c>
      <c r="G403" s="39" t="str">
        <f>IF(Agent02_Withdrawals!A208="","",Agent02_Withdrawals!E208)</f>
        <v/>
      </c>
      <c r="H403" s="39" t="str">
        <f>IF(Agent02_Withdrawals!A208="","",Agent02_Withdrawals!G208)</f>
        <v/>
      </c>
      <c r="I403" s="37" t="str">
        <f>IF(Agent02_Withdrawals!A208="","",Agent02_Withdrawals!H208)</f>
        <v/>
      </c>
      <c r="J403" s="37" t="str">
        <f>IF(Agent02_Withdrawals!A208="","",Agent02_Withdrawals!J208)</f>
        <v/>
      </c>
      <c r="K403" s="37" t="str">
        <f>IF(Agent02_Withdrawals!A208="","",Agent02_Withdrawals!K208)</f>
        <v/>
      </c>
      <c r="L403" s="37" t="str">
        <f>IF(G403="","",IF(D403-G403&gt;=System_Config!$B$9,"✅ OK","⚠️ BREACH"))</f>
        <v/>
      </c>
      <c r="M403" s="37" t="str">
        <f>IFERROR(IF(Agent02_Withdrawals!A208="","",YEAR(Agent02_Withdrawals!D208)),"")</f>
        <v/>
      </c>
    </row>
    <row r="404" spans="1:13" ht="18" customHeight="1" x14ac:dyDescent="0.25">
      <c r="A404" s="37" t="str">
        <f>IF(Agent03_Withdrawals!A9="","",Agent03_Withdrawals!A9)</f>
        <v/>
      </c>
      <c r="B404" s="37" t="str">
        <f ca="1">IF(Agent03_Withdrawals!A9="","","WD"&amp;TEXT(404-3,"0000")&amp;"-"&amp;TEXT(TODAY(),"YYYYMMDD"))</f>
        <v/>
      </c>
      <c r="C404" s="37" t="str">
        <f>IF(Agent03_Withdrawals!A9="","",Agent03_Withdrawals!B9)</f>
        <v/>
      </c>
      <c r="D404" s="40" t="str">
        <f>IF(Agent03_Withdrawals!A9="","",Agent03_Withdrawals!C9)</f>
        <v/>
      </c>
      <c r="E404" s="38" t="str">
        <f>IF(Agent03_Withdrawals!A9="","",Agent03_Withdrawals!D9)</f>
        <v/>
      </c>
      <c r="F404" s="37" t="str">
        <f>IF(Agent03_Withdrawals!A9="","",Agent03_Withdrawals!F9)</f>
        <v/>
      </c>
      <c r="G404" s="39" t="str">
        <f>IF(Agent03_Withdrawals!A9="","",Agent03_Withdrawals!E9)</f>
        <v/>
      </c>
      <c r="H404" s="39" t="str">
        <f>IF(Agent03_Withdrawals!A9="","",Agent03_Withdrawals!G9)</f>
        <v/>
      </c>
      <c r="I404" s="37" t="str">
        <f>IF(Agent03_Withdrawals!A9="","",Agent03_Withdrawals!H9)</f>
        <v/>
      </c>
      <c r="J404" s="37" t="str">
        <f>IF(Agent03_Withdrawals!A9="","",Agent03_Withdrawals!J9)</f>
        <v/>
      </c>
      <c r="K404" s="37" t="str">
        <f>IF(Agent03_Withdrawals!A9="","",Agent03_Withdrawals!K9)</f>
        <v/>
      </c>
      <c r="L404" s="37" t="str">
        <f>IF(G404="","",IF(D404-G404&gt;=System_Config!$B$9,"✅ OK","⚠️ BREACH"))</f>
        <v/>
      </c>
      <c r="M404" s="37" t="str">
        <f>IFERROR(IF(Agent03_Withdrawals!A9="","",YEAR(Agent03_Withdrawals!D9)),"")</f>
        <v/>
      </c>
    </row>
    <row r="405" spans="1:13" ht="18" customHeight="1" x14ac:dyDescent="0.25">
      <c r="A405" s="37" t="str">
        <f>IF(Agent03_Withdrawals!A10="","",Agent03_Withdrawals!A10)</f>
        <v/>
      </c>
      <c r="B405" s="37" t="str">
        <f ca="1">IF(Agent03_Withdrawals!A10="","","WD"&amp;TEXT(405-3,"0000")&amp;"-"&amp;TEXT(TODAY(),"YYYYMMDD"))</f>
        <v/>
      </c>
      <c r="C405" s="37" t="str">
        <f>IF(Agent03_Withdrawals!A10="","",Agent03_Withdrawals!B10)</f>
        <v/>
      </c>
      <c r="D405" s="40" t="str">
        <f>IF(Agent03_Withdrawals!A10="","",Agent03_Withdrawals!C10)</f>
        <v/>
      </c>
      <c r="E405" s="38" t="str">
        <f>IF(Agent03_Withdrawals!A10="","",Agent03_Withdrawals!D10)</f>
        <v/>
      </c>
      <c r="F405" s="37" t="str">
        <f>IF(Agent03_Withdrawals!A10="","",Agent03_Withdrawals!F10)</f>
        <v/>
      </c>
      <c r="G405" s="39" t="str">
        <f>IF(Agent03_Withdrawals!A10="","",Agent03_Withdrawals!E10)</f>
        <v/>
      </c>
      <c r="H405" s="39" t="str">
        <f>IF(Agent03_Withdrawals!A10="","",Agent03_Withdrawals!G10)</f>
        <v/>
      </c>
      <c r="I405" s="37" t="str">
        <f>IF(Agent03_Withdrawals!A10="","",Agent03_Withdrawals!H10)</f>
        <v/>
      </c>
      <c r="J405" s="37" t="str">
        <f>IF(Agent03_Withdrawals!A10="","",Agent03_Withdrawals!J10)</f>
        <v/>
      </c>
      <c r="K405" s="37" t="str">
        <f>IF(Agent03_Withdrawals!A10="","",Agent03_Withdrawals!K10)</f>
        <v/>
      </c>
      <c r="L405" s="37" t="str">
        <f>IF(G405="","",IF(D405-G405&gt;=System_Config!$B$9,"✅ OK","⚠️ BREACH"))</f>
        <v/>
      </c>
      <c r="M405" s="37" t="str">
        <f>IFERROR(IF(Agent03_Withdrawals!A10="","",YEAR(Agent03_Withdrawals!D10)),"")</f>
        <v/>
      </c>
    </row>
    <row r="406" spans="1:13" ht="18" customHeight="1" x14ac:dyDescent="0.25">
      <c r="A406" s="37" t="str">
        <f>IF(Agent03_Withdrawals!A11="","",Agent03_Withdrawals!A11)</f>
        <v/>
      </c>
      <c r="B406" s="37" t="str">
        <f ca="1">IF(Agent03_Withdrawals!A11="","","WD"&amp;TEXT(406-3,"0000")&amp;"-"&amp;TEXT(TODAY(),"YYYYMMDD"))</f>
        <v/>
      </c>
      <c r="C406" s="37" t="str">
        <f>IF(Agent03_Withdrawals!A11="","",Agent03_Withdrawals!B11)</f>
        <v/>
      </c>
      <c r="D406" s="40" t="str">
        <f>IF(Agent03_Withdrawals!A11="","",Agent03_Withdrawals!C11)</f>
        <v/>
      </c>
      <c r="E406" s="38" t="str">
        <f>IF(Agent03_Withdrawals!A11="","",Agent03_Withdrawals!D11)</f>
        <v/>
      </c>
      <c r="F406" s="37" t="str">
        <f>IF(Agent03_Withdrawals!A11="","",Agent03_Withdrawals!F11)</f>
        <v/>
      </c>
      <c r="G406" s="39" t="str">
        <f>IF(Agent03_Withdrawals!A11="","",Agent03_Withdrawals!E11)</f>
        <v/>
      </c>
      <c r="H406" s="39" t="str">
        <f>IF(Agent03_Withdrawals!A11="","",Agent03_Withdrawals!G11)</f>
        <v/>
      </c>
      <c r="I406" s="37" t="str">
        <f>IF(Agent03_Withdrawals!A11="","",Agent03_Withdrawals!H11)</f>
        <v/>
      </c>
      <c r="J406" s="37" t="str">
        <f>IF(Agent03_Withdrawals!A11="","",Agent03_Withdrawals!J11)</f>
        <v/>
      </c>
      <c r="K406" s="37" t="str">
        <f>IF(Agent03_Withdrawals!A11="","",Agent03_Withdrawals!K11)</f>
        <v/>
      </c>
      <c r="L406" s="37" t="str">
        <f>IF(G406="","",IF(D406-G406&gt;=System_Config!$B$9,"✅ OK","⚠️ BREACH"))</f>
        <v/>
      </c>
      <c r="M406" s="37" t="str">
        <f>IFERROR(IF(Agent03_Withdrawals!A11="","",YEAR(Agent03_Withdrawals!D11)),"")</f>
        <v/>
      </c>
    </row>
    <row r="407" spans="1:13" ht="18" customHeight="1" x14ac:dyDescent="0.25">
      <c r="A407" s="37" t="str">
        <f>IF(Agent03_Withdrawals!A12="","",Agent03_Withdrawals!A12)</f>
        <v/>
      </c>
      <c r="B407" s="37" t="str">
        <f ca="1">IF(Agent03_Withdrawals!A12="","","WD"&amp;TEXT(407-3,"0000")&amp;"-"&amp;TEXT(TODAY(),"YYYYMMDD"))</f>
        <v/>
      </c>
      <c r="C407" s="37" t="str">
        <f>IF(Agent03_Withdrawals!A12="","",Agent03_Withdrawals!B12)</f>
        <v/>
      </c>
      <c r="D407" s="40" t="str">
        <f>IF(Agent03_Withdrawals!A12="","",Agent03_Withdrawals!C12)</f>
        <v/>
      </c>
      <c r="E407" s="38" t="str">
        <f>IF(Agent03_Withdrawals!A12="","",Agent03_Withdrawals!D12)</f>
        <v/>
      </c>
      <c r="F407" s="37" t="str">
        <f>IF(Agent03_Withdrawals!A12="","",Agent03_Withdrawals!F12)</f>
        <v/>
      </c>
      <c r="G407" s="39" t="str">
        <f>IF(Agent03_Withdrawals!A12="","",Agent03_Withdrawals!E12)</f>
        <v/>
      </c>
      <c r="H407" s="39" t="str">
        <f>IF(Agent03_Withdrawals!A12="","",Agent03_Withdrawals!G12)</f>
        <v/>
      </c>
      <c r="I407" s="37" t="str">
        <f>IF(Agent03_Withdrawals!A12="","",Agent03_Withdrawals!H12)</f>
        <v/>
      </c>
      <c r="J407" s="37" t="str">
        <f>IF(Agent03_Withdrawals!A12="","",Agent03_Withdrawals!J12)</f>
        <v/>
      </c>
      <c r="K407" s="37" t="str">
        <f>IF(Agent03_Withdrawals!A12="","",Agent03_Withdrawals!K12)</f>
        <v/>
      </c>
      <c r="L407" s="37" t="str">
        <f>IF(G407="","",IF(D407-G407&gt;=System_Config!$B$9,"✅ OK","⚠️ BREACH"))</f>
        <v/>
      </c>
      <c r="M407" s="37" t="str">
        <f>IFERROR(IF(Agent03_Withdrawals!A12="","",YEAR(Agent03_Withdrawals!D12)),"")</f>
        <v/>
      </c>
    </row>
    <row r="408" spans="1:13" ht="18" customHeight="1" x14ac:dyDescent="0.25">
      <c r="A408" s="37" t="str">
        <f>IF(Agent03_Withdrawals!A13="","",Agent03_Withdrawals!A13)</f>
        <v/>
      </c>
      <c r="B408" s="37" t="str">
        <f ca="1">IF(Agent03_Withdrawals!A13="","","WD"&amp;TEXT(408-3,"0000")&amp;"-"&amp;TEXT(TODAY(),"YYYYMMDD"))</f>
        <v/>
      </c>
      <c r="C408" s="37" t="str">
        <f>IF(Agent03_Withdrawals!A13="","",Agent03_Withdrawals!B13)</f>
        <v/>
      </c>
      <c r="D408" s="40" t="str">
        <f>IF(Agent03_Withdrawals!A13="","",Agent03_Withdrawals!C13)</f>
        <v/>
      </c>
      <c r="E408" s="38" t="str">
        <f>IF(Agent03_Withdrawals!A13="","",Agent03_Withdrawals!D13)</f>
        <v/>
      </c>
      <c r="F408" s="37" t="str">
        <f>IF(Agent03_Withdrawals!A13="","",Agent03_Withdrawals!F13)</f>
        <v/>
      </c>
      <c r="G408" s="39" t="str">
        <f>IF(Agent03_Withdrawals!A13="","",Agent03_Withdrawals!E13)</f>
        <v/>
      </c>
      <c r="H408" s="39" t="str">
        <f>IF(Agent03_Withdrawals!A13="","",Agent03_Withdrawals!G13)</f>
        <v/>
      </c>
      <c r="I408" s="37" t="str">
        <f>IF(Agent03_Withdrawals!A13="","",Agent03_Withdrawals!H13)</f>
        <v/>
      </c>
      <c r="J408" s="37" t="str">
        <f>IF(Agent03_Withdrawals!A13="","",Agent03_Withdrawals!J13)</f>
        <v/>
      </c>
      <c r="K408" s="37" t="str">
        <f>IF(Agent03_Withdrawals!A13="","",Agent03_Withdrawals!K13)</f>
        <v/>
      </c>
      <c r="L408" s="37" t="str">
        <f>IF(G408="","",IF(D408-G408&gt;=System_Config!$B$9,"✅ OK","⚠️ BREACH"))</f>
        <v/>
      </c>
      <c r="M408" s="37" t="str">
        <f>IFERROR(IF(Agent03_Withdrawals!A13="","",YEAR(Agent03_Withdrawals!D13)),"")</f>
        <v/>
      </c>
    </row>
    <row r="409" spans="1:13" ht="18" customHeight="1" x14ac:dyDescent="0.25">
      <c r="A409" s="37" t="str">
        <f>IF(Agent03_Withdrawals!A14="","",Agent03_Withdrawals!A14)</f>
        <v/>
      </c>
      <c r="B409" s="37" t="str">
        <f ca="1">IF(Agent03_Withdrawals!A14="","","WD"&amp;TEXT(409-3,"0000")&amp;"-"&amp;TEXT(TODAY(),"YYYYMMDD"))</f>
        <v/>
      </c>
      <c r="C409" s="37" t="str">
        <f>IF(Agent03_Withdrawals!A14="","",Agent03_Withdrawals!B14)</f>
        <v/>
      </c>
      <c r="D409" s="40" t="str">
        <f>IF(Agent03_Withdrawals!A14="","",Agent03_Withdrawals!C14)</f>
        <v/>
      </c>
      <c r="E409" s="38" t="str">
        <f>IF(Agent03_Withdrawals!A14="","",Agent03_Withdrawals!D14)</f>
        <v/>
      </c>
      <c r="F409" s="37" t="str">
        <f>IF(Agent03_Withdrawals!A14="","",Agent03_Withdrawals!F14)</f>
        <v/>
      </c>
      <c r="G409" s="39" t="str">
        <f>IF(Agent03_Withdrawals!A14="","",Agent03_Withdrawals!E14)</f>
        <v/>
      </c>
      <c r="H409" s="39" t="str">
        <f>IF(Agent03_Withdrawals!A14="","",Agent03_Withdrawals!G14)</f>
        <v/>
      </c>
      <c r="I409" s="37" t="str">
        <f>IF(Agent03_Withdrawals!A14="","",Agent03_Withdrawals!H14)</f>
        <v/>
      </c>
      <c r="J409" s="37" t="str">
        <f>IF(Agent03_Withdrawals!A14="","",Agent03_Withdrawals!J14)</f>
        <v/>
      </c>
      <c r="K409" s="37" t="str">
        <f>IF(Agent03_Withdrawals!A14="","",Agent03_Withdrawals!K14)</f>
        <v/>
      </c>
      <c r="L409" s="37" t="str">
        <f>IF(G409="","",IF(D409-G409&gt;=System_Config!$B$9,"✅ OK","⚠️ BREACH"))</f>
        <v/>
      </c>
      <c r="M409" s="37" t="str">
        <f>IFERROR(IF(Agent03_Withdrawals!A14="","",YEAR(Agent03_Withdrawals!D14)),"")</f>
        <v/>
      </c>
    </row>
    <row r="410" spans="1:13" ht="18" customHeight="1" x14ac:dyDescent="0.25">
      <c r="A410" s="37" t="str">
        <f>IF(Agent03_Withdrawals!A15="","",Agent03_Withdrawals!A15)</f>
        <v/>
      </c>
      <c r="B410" s="37" t="str">
        <f ca="1">IF(Agent03_Withdrawals!A15="","","WD"&amp;TEXT(410-3,"0000")&amp;"-"&amp;TEXT(TODAY(),"YYYYMMDD"))</f>
        <v/>
      </c>
      <c r="C410" s="37" t="str">
        <f>IF(Agent03_Withdrawals!A15="","",Agent03_Withdrawals!B15)</f>
        <v/>
      </c>
      <c r="D410" s="40" t="str">
        <f>IF(Agent03_Withdrawals!A15="","",Agent03_Withdrawals!C15)</f>
        <v/>
      </c>
      <c r="E410" s="38" t="str">
        <f>IF(Agent03_Withdrawals!A15="","",Agent03_Withdrawals!D15)</f>
        <v/>
      </c>
      <c r="F410" s="37" t="str">
        <f>IF(Agent03_Withdrawals!A15="","",Agent03_Withdrawals!F15)</f>
        <v/>
      </c>
      <c r="G410" s="39" t="str">
        <f>IF(Agent03_Withdrawals!A15="","",Agent03_Withdrawals!E15)</f>
        <v/>
      </c>
      <c r="H410" s="39" t="str">
        <f>IF(Agent03_Withdrawals!A15="","",Agent03_Withdrawals!G15)</f>
        <v/>
      </c>
      <c r="I410" s="37" t="str">
        <f>IF(Agent03_Withdrawals!A15="","",Agent03_Withdrawals!H15)</f>
        <v/>
      </c>
      <c r="J410" s="37" t="str">
        <f>IF(Agent03_Withdrawals!A15="","",Agent03_Withdrawals!J15)</f>
        <v/>
      </c>
      <c r="K410" s="37" t="str">
        <f>IF(Agent03_Withdrawals!A15="","",Agent03_Withdrawals!K15)</f>
        <v/>
      </c>
      <c r="L410" s="37" t="str">
        <f>IF(G410="","",IF(D410-G410&gt;=System_Config!$B$9,"✅ OK","⚠️ BREACH"))</f>
        <v/>
      </c>
      <c r="M410" s="37" t="str">
        <f>IFERROR(IF(Agent03_Withdrawals!A15="","",YEAR(Agent03_Withdrawals!D15)),"")</f>
        <v/>
      </c>
    </row>
    <row r="411" spans="1:13" ht="18" customHeight="1" x14ac:dyDescent="0.25">
      <c r="A411" s="37" t="str">
        <f>IF(Agent03_Withdrawals!A16="","",Agent03_Withdrawals!A16)</f>
        <v/>
      </c>
      <c r="B411" s="37" t="str">
        <f ca="1">IF(Agent03_Withdrawals!A16="","","WD"&amp;TEXT(411-3,"0000")&amp;"-"&amp;TEXT(TODAY(),"YYYYMMDD"))</f>
        <v/>
      </c>
      <c r="C411" s="37" t="str">
        <f>IF(Agent03_Withdrawals!A16="","",Agent03_Withdrawals!B16)</f>
        <v/>
      </c>
      <c r="D411" s="40" t="str">
        <f>IF(Agent03_Withdrawals!A16="","",Agent03_Withdrawals!C16)</f>
        <v/>
      </c>
      <c r="E411" s="38" t="str">
        <f>IF(Agent03_Withdrawals!A16="","",Agent03_Withdrawals!D16)</f>
        <v/>
      </c>
      <c r="F411" s="37" t="str">
        <f>IF(Agent03_Withdrawals!A16="","",Agent03_Withdrawals!F16)</f>
        <v/>
      </c>
      <c r="G411" s="39" t="str">
        <f>IF(Agent03_Withdrawals!A16="","",Agent03_Withdrawals!E16)</f>
        <v/>
      </c>
      <c r="H411" s="39" t="str">
        <f>IF(Agent03_Withdrawals!A16="","",Agent03_Withdrawals!G16)</f>
        <v/>
      </c>
      <c r="I411" s="37" t="str">
        <f>IF(Agent03_Withdrawals!A16="","",Agent03_Withdrawals!H16)</f>
        <v/>
      </c>
      <c r="J411" s="37" t="str">
        <f>IF(Agent03_Withdrawals!A16="","",Agent03_Withdrawals!J16)</f>
        <v/>
      </c>
      <c r="K411" s="37" t="str">
        <f>IF(Agent03_Withdrawals!A16="","",Agent03_Withdrawals!K16)</f>
        <v/>
      </c>
      <c r="L411" s="37" t="str">
        <f>IF(G411="","",IF(D411-G411&gt;=System_Config!$B$9,"✅ OK","⚠️ BREACH"))</f>
        <v/>
      </c>
      <c r="M411" s="37" t="str">
        <f>IFERROR(IF(Agent03_Withdrawals!A16="","",YEAR(Agent03_Withdrawals!D16)),"")</f>
        <v/>
      </c>
    </row>
    <row r="412" spans="1:13" ht="18" customHeight="1" x14ac:dyDescent="0.25">
      <c r="A412" s="37" t="str">
        <f>IF(Agent03_Withdrawals!A17="","",Agent03_Withdrawals!A17)</f>
        <v/>
      </c>
      <c r="B412" s="37" t="str">
        <f ca="1">IF(Agent03_Withdrawals!A17="","","WD"&amp;TEXT(412-3,"0000")&amp;"-"&amp;TEXT(TODAY(),"YYYYMMDD"))</f>
        <v/>
      </c>
      <c r="C412" s="37" t="str">
        <f>IF(Agent03_Withdrawals!A17="","",Agent03_Withdrawals!B17)</f>
        <v/>
      </c>
      <c r="D412" s="40" t="str">
        <f>IF(Agent03_Withdrawals!A17="","",Agent03_Withdrawals!C17)</f>
        <v/>
      </c>
      <c r="E412" s="38" t="str">
        <f>IF(Agent03_Withdrawals!A17="","",Agent03_Withdrawals!D17)</f>
        <v/>
      </c>
      <c r="F412" s="37" t="str">
        <f>IF(Agent03_Withdrawals!A17="","",Agent03_Withdrawals!F17)</f>
        <v/>
      </c>
      <c r="G412" s="39" t="str">
        <f>IF(Agent03_Withdrawals!A17="","",Agent03_Withdrawals!E17)</f>
        <v/>
      </c>
      <c r="H412" s="39" t="str">
        <f>IF(Agent03_Withdrawals!A17="","",Agent03_Withdrawals!G17)</f>
        <v/>
      </c>
      <c r="I412" s="37" t="str">
        <f>IF(Agent03_Withdrawals!A17="","",Agent03_Withdrawals!H17)</f>
        <v/>
      </c>
      <c r="J412" s="37" t="str">
        <f>IF(Agent03_Withdrawals!A17="","",Agent03_Withdrawals!J17)</f>
        <v/>
      </c>
      <c r="K412" s="37" t="str">
        <f>IF(Agent03_Withdrawals!A17="","",Agent03_Withdrawals!K17)</f>
        <v/>
      </c>
      <c r="L412" s="37" t="str">
        <f>IF(G412="","",IF(D412-G412&gt;=System_Config!$B$9,"✅ OK","⚠️ BREACH"))</f>
        <v/>
      </c>
      <c r="M412" s="37" t="str">
        <f>IFERROR(IF(Agent03_Withdrawals!A17="","",YEAR(Agent03_Withdrawals!D17)),"")</f>
        <v/>
      </c>
    </row>
    <row r="413" spans="1:13" ht="18" customHeight="1" x14ac:dyDescent="0.25">
      <c r="A413" s="37" t="str">
        <f>IF(Agent03_Withdrawals!A18="","",Agent03_Withdrawals!A18)</f>
        <v/>
      </c>
      <c r="B413" s="37" t="str">
        <f ca="1">IF(Agent03_Withdrawals!A18="","","WD"&amp;TEXT(413-3,"0000")&amp;"-"&amp;TEXT(TODAY(),"YYYYMMDD"))</f>
        <v/>
      </c>
      <c r="C413" s="37" t="str">
        <f>IF(Agent03_Withdrawals!A18="","",Agent03_Withdrawals!B18)</f>
        <v/>
      </c>
      <c r="D413" s="40" t="str">
        <f>IF(Agent03_Withdrawals!A18="","",Agent03_Withdrawals!C18)</f>
        <v/>
      </c>
      <c r="E413" s="38" t="str">
        <f>IF(Agent03_Withdrawals!A18="","",Agent03_Withdrawals!D18)</f>
        <v/>
      </c>
      <c r="F413" s="37" t="str">
        <f>IF(Agent03_Withdrawals!A18="","",Agent03_Withdrawals!F18)</f>
        <v/>
      </c>
      <c r="G413" s="39" t="str">
        <f>IF(Agent03_Withdrawals!A18="","",Agent03_Withdrawals!E18)</f>
        <v/>
      </c>
      <c r="H413" s="39" t="str">
        <f>IF(Agent03_Withdrawals!A18="","",Agent03_Withdrawals!G18)</f>
        <v/>
      </c>
      <c r="I413" s="37" t="str">
        <f>IF(Agent03_Withdrawals!A18="","",Agent03_Withdrawals!H18)</f>
        <v/>
      </c>
      <c r="J413" s="37" t="str">
        <f>IF(Agent03_Withdrawals!A18="","",Agent03_Withdrawals!J18)</f>
        <v/>
      </c>
      <c r="K413" s="37" t="str">
        <f>IF(Agent03_Withdrawals!A18="","",Agent03_Withdrawals!K18)</f>
        <v/>
      </c>
      <c r="L413" s="37" t="str">
        <f>IF(G413="","",IF(D413-G413&gt;=System_Config!$B$9,"✅ OK","⚠️ BREACH"))</f>
        <v/>
      </c>
      <c r="M413" s="37" t="str">
        <f>IFERROR(IF(Agent03_Withdrawals!A18="","",YEAR(Agent03_Withdrawals!D18)),"")</f>
        <v/>
      </c>
    </row>
    <row r="414" spans="1:13" ht="18" customHeight="1" x14ac:dyDescent="0.25">
      <c r="A414" s="37" t="str">
        <f>IF(Agent03_Withdrawals!A19="","",Agent03_Withdrawals!A19)</f>
        <v/>
      </c>
      <c r="B414" s="37" t="str">
        <f ca="1">IF(Agent03_Withdrawals!A19="","","WD"&amp;TEXT(414-3,"0000")&amp;"-"&amp;TEXT(TODAY(),"YYYYMMDD"))</f>
        <v/>
      </c>
      <c r="C414" s="37" t="str">
        <f>IF(Agent03_Withdrawals!A19="","",Agent03_Withdrawals!B19)</f>
        <v/>
      </c>
      <c r="D414" s="40" t="str">
        <f>IF(Agent03_Withdrawals!A19="","",Agent03_Withdrawals!C19)</f>
        <v/>
      </c>
      <c r="E414" s="38" t="str">
        <f>IF(Agent03_Withdrawals!A19="","",Agent03_Withdrawals!D19)</f>
        <v/>
      </c>
      <c r="F414" s="37" t="str">
        <f>IF(Agent03_Withdrawals!A19="","",Agent03_Withdrawals!F19)</f>
        <v/>
      </c>
      <c r="G414" s="39" t="str">
        <f>IF(Agent03_Withdrawals!A19="","",Agent03_Withdrawals!E19)</f>
        <v/>
      </c>
      <c r="H414" s="39" t="str">
        <f>IF(Agent03_Withdrawals!A19="","",Agent03_Withdrawals!G19)</f>
        <v/>
      </c>
      <c r="I414" s="37" t="str">
        <f>IF(Agent03_Withdrawals!A19="","",Agent03_Withdrawals!H19)</f>
        <v/>
      </c>
      <c r="J414" s="37" t="str">
        <f>IF(Agent03_Withdrawals!A19="","",Agent03_Withdrawals!J19)</f>
        <v/>
      </c>
      <c r="K414" s="37" t="str">
        <f>IF(Agent03_Withdrawals!A19="","",Agent03_Withdrawals!K19)</f>
        <v/>
      </c>
      <c r="L414" s="37" t="str">
        <f>IF(G414="","",IF(D414-G414&gt;=System_Config!$B$9,"✅ OK","⚠️ BREACH"))</f>
        <v/>
      </c>
      <c r="M414" s="37" t="str">
        <f>IFERROR(IF(Agent03_Withdrawals!A19="","",YEAR(Agent03_Withdrawals!D19)),"")</f>
        <v/>
      </c>
    </row>
    <row r="415" spans="1:13" ht="18" customHeight="1" x14ac:dyDescent="0.25">
      <c r="A415" s="37" t="str">
        <f>IF(Agent03_Withdrawals!A20="","",Agent03_Withdrawals!A20)</f>
        <v/>
      </c>
      <c r="B415" s="37" t="str">
        <f ca="1">IF(Agent03_Withdrawals!A20="","","WD"&amp;TEXT(415-3,"0000")&amp;"-"&amp;TEXT(TODAY(),"YYYYMMDD"))</f>
        <v/>
      </c>
      <c r="C415" s="37" t="str">
        <f>IF(Agent03_Withdrawals!A20="","",Agent03_Withdrawals!B20)</f>
        <v/>
      </c>
      <c r="D415" s="40" t="str">
        <f>IF(Agent03_Withdrawals!A20="","",Agent03_Withdrawals!C20)</f>
        <v/>
      </c>
      <c r="E415" s="38" t="str">
        <f>IF(Agent03_Withdrawals!A20="","",Agent03_Withdrawals!D20)</f>
        <v/>
      </c>
      <c r="F415" s="37" t="str">
        <f>IF(Agent03_Withdrawals!A20="","",Agent03_Withdrawals!F20)</f>
        <v/>
      </c>
      <c r="G415" s="39" t="str">
        <f>IF(Agent03_Withdrawals!A20="","",Agent03_Withdrawals!E20)</f>
        <v/>
      </c>
      <c r="H415" s="39" t="str">
        <f>IF(Agent03_Withdrawals!A20="","",Agent03_Withdrawals!G20)</f>
        <v/>
      </c>
      <c r="I415" s="37" t="str">
        <f>IF(Agent03_Withdrawals!A20="","",Agent03_Withdrawals!H20)</f>
        <v/>
      </c>
      <c r="J415" s="37" t="str">
        <f>IF(Agent03_Withdrawals!A20="","",Agent03_Withdrawals!J20)</f>
        <v/>
      </c>
      <c r="K415" s="37" t="str">
        <f>IF(Agent03_Withdrawals!A20="","",Agent03_Withdrawals!K20)</f>
        <v/>
      </c>
      <c r="L415" s="37" t="str">
        <f>IF(G415="","",IF(D415-G415&gt;=System_Config!$B$9,"✅ OK","⚠️ BREACH"))</f>
        <v/>
      </c>
      <c r="M415" s="37" t="str">
        <f>IFERROR(IF(Agent03_Withdrawals!A20="","",YEAR(Agent03_Withdrawals!D20)),"")</f>
        <v/>
      </c>
    </row>
    <row r="416" spans="1:13" ht="18" customHeight="1" x14ac:dyDescent="0.25">
      <c r="A416" s="37" t="str">
        <f>IF(Agent03_Withdrawals!A21="","",Agent03_Withdrawals!A21)</f>
        <v/>
      </c>
      <c r="B416" s="37" t="str">
        <f ca="1">IF(Agent03_Withdrawals!A21="","","WD"&amp;TEXT(416-3,"0000")&amp;"-"&amp;TEXT(TODAY(),"YYYYMMDD"))</f>
        <v/>
      </c>
      <c r="C416" s="37" t="str">
        <f>IF(Agent03_Withdrawals!A21="","",Agent03_Withdrawals!B21)</f>
        <v/>
      </c>
      <c r="D416" s="40" t="str">
        <f>IF(Agent03_Withdrawals!A21="","",Agent03_Withdrawals!C21)</f>
        <v/>
      </c>
      <c r="E416" s="38" t="str">
        <f>IF(Agent03_Withdrawals!A21="","",Agent03_Withdrawals!D21)</f>
        <v/>
      </c>
      <c r="F416" s="37" t="str">
        <f>IF(Agent03_Withdrawals!A21="","",Agent03_Withdrawals!F21)</f>
        <v/>
      </c>
      <c r="G416" s="39" t="str">
        <f>IF(Agent03_Withdrawals!A21="","",Agent03_Withdrawals!E21)</f>
        <v/>
      </c>
      <c r="H416" s="39" t="str">
        <f>IF(Agent03_Withdrawals!A21="","",Agent03_Withdrawals!G21)</f>
        <v/>
      </c>
      <c r="I416" s="37" t="str">
        <f>IF(Agent03_Withdrawals!A21="","",Agent03_Withdrawals!H21)</f>
        <v/>
      </c>
      <c r="J416" s="37" t="str">
        <f>IF(Agent03_Withdrawals!A21="","",Agent03_Withdrawals!J21)</f>
        <v/>
      </c>
      <c r="K416" s="37" t="str">
        <f>IF(Agent03_Withdrawals!A21="","",Agent03_Withdrawals!K21)</f>
        <v/>
      </c>
      <c r="L416" s="37" t="str">
        <f>IF(G416="","",IF(D416-G416&gt;=System_Config!$B$9,"✅ OK","⚠️ BREACH"))</f>
        <v/>
      </c>
      <c r="M416" s="37" t="str">
        <f>IFERROR(IF(Agent03_Withdrawals!A21="","",YEAR(Agent03_Withdrawals!D21)),"")</f>
        <v/>
      </c>
    </row>
    <row r="417" spans="1:13" ht="18" customHeight="1" x14ac:dyDescent="0.25">
      <c r="A417" s="37" t="str">
        <f>IF(Agent03_Withdrawals!A22="","",Agent03_Withdrawals!A22)</f>
        <v/>
      </c>
      <c r="B417" s="37" t="str">
        <f ca="1">IF(Agent03_Withdrawals!A22="","","WD"&amp;TEXT(417-3,"0000")&amp;"-"&amp;TEXT(TODAY(),"YYYYMMDD"))</f>
        <v/>
      </c>
      <c r="C417" s="37" t="str">
        <f>IF(Agent03_Withdrawals!A22="","",Agent03_Withdrawals!B22)</f>
        <v/>
      </c>
      <c r="D417" s="40" t="str">
        <f>IF(Agent03_Withdrawals!A22="","",Agent03_Withdrawals!C22)</f>
        <v/>
      </c>
      <c r="E417" s="38" t="str">
        <f>IF(Agent03_Withdrawals!A22="","",Agent03_Withdrawals!D22)</f>
        <v/>
      </c>
      <c r="F417" s="37" t="str">
        <f>IF(Agent03_Withdrawals!A22="","",Agent03_Withdrawals!F22)</f>
        <v/>
      </c>
      <c r="G417" s="39" t="str">
        <f>IF(Agent03_Withdrawals!A22="","",Agent03_Withdrawals!E22)</f>
        <v/>
      </c>
      <c r="H417" s="39" t="str">
        <f>IF(Agent03_Withdrawals!A22="","",Agent03_Withdrawals!G22)</f>
        <v/>
      </c>
      <c r="I417" s="37" t="str">
        <f>IF(Agent03_Withdrawals!A22="","",Agent03_Withdrawals!H22)</f>
        <v/>
      </c>
      <c r="J417" s="37" t="str">
        <f>IF(Agent03_Withdrawals!A22="","",Agent03_Withdrawals!J22)</f>
        <v/>
      </c>
      <c r="K417" s="37" t="str">
        <f>IF(Agent03_Withdrawals!A22="","",Agent03_Withdrawals!K22)</f>
        <v/>
      </c>
      <c r="L417" s="37" t="str">
        <f>IF(G417="","",IF(D417-G417&gt;=System_Config!$B$9,"✅ OK","⚠️ BREACH"))</f>
        <v/>
      </c>
      <c r="M417" s="37" t="str">
        <f>IFERROR(IF(Agent03_Withdrawals!A22="","",YEAR(Agent03_Withdrawals!D22)),"")</f>
        <v/>
      </c>
    </row>
    <row r="418" spans="1:13" ht="18" customHeight="1" x14ac:dyDescent="0.25">
      <c r="A418" s="37" t="str">
        <f>IF(Agent03_Withdrawals!A23="","",Agent03_Withdrawals!A23)</f>
        <v/>
      </c>
      <c r="B418" s="37" t="str">
        <f ca="1">IF(Agent03_Withdrawals!A23="","","WD"&amp;TEXT(418-3,"0000")&amp;"-"&amp;TEXT(TODAY(),"YYYYMMDD"))</f>
        <v/>
      </c>
      <c r="C418" s="37" t="str">
        <f>IF(Agent03_Withdrawals!A23="","",Agent03_Withdrawals!B23)</f>
        <v/>
      </c>
      <c r="D418" s="40" t="str">
        <f>IF(Agent03_Withdrawals!A23="","",Agent03_Withdrawals!C23)</f>
        <v/>
      </c>
      <c r="E418" s="38" t="str">
        <f>IF(Agent03_Withdrawals!A23="","",Agent03_Withdrawals!D23)</f>
        <v/>
      </c>
      <c r="F418" s="37" t="str">
        <f>IF(Agent03_Withdrawals!A23="","",Agent03_Withdrawals!F23)</f>
        <v/>
      </c>
      <c r="G418" s="39" t="str">
        <f>IF(Agent03_Withdrawals!A23="","",Agent03_Withdrawals!E23)</f>
        <v/>
      </c>
      <c r="H418" s="39" t="str">
        <f>IF(Agent03_Withdrawals!A23="","",Agent03_Withdrawals!G23)</f>
        <v/>
      </c>
      <c r="I418" s="37" t="str">
        <f>IF(Agent03_Withdrawals!A23="","",Agent03_Withdrawals!H23)</f>
        <v/>
      </c>
      <c r="J418" s="37" t="str">
        <f>IF(Agent03_Withdrawals!A23="","",Agent03_Withdrawals!J23)</f>
        <v/>
      </c>
      <c r="K418" s="37" t="str">
        <f>IF(Agent03_Withdrawals!A23="","",Agent03_Withdrawals!K23)</f>
        <v/>
      </c>
      <c r="L418" s="37" t="str">
        <f>IF(G418="","",IF(D418-G418&gt;=System_Config!$B$9,"✅ OK","⚠️ BREACH"))</f>
        <v/>
      </c>
      <c r="M418" s="37" t="str">
        <f>IFERROR(IF(Agent03_Withdrawals!A23="","",YEAR(Agent03_Withdrawals!D23)),"")</f>
        <v/>
      </c>
    </row>
    <row r="419" spans="1:13" ht="18" customHeight="1" x14ac:dyDescent="0.25">
      <c r="A419" s="37" t="str">
        <f>IF(Agent03_Withdrawals!A24="","",Agent03_Withdrawals!A24)</f>
        <v/>
      </c>
      <c r="B419" s="37" t="str">
        <f ca="1">IF(Agent03_Withdrawals!A24="","","WD"&amp;TEXT(419-3,"0000")&amp;"-"&amp;TEXT(TODAY(),"YYYYMMDD"))</f>
        <v/>
      </c>
      <c r="C419" s="37" t="str">
        <f>IF(Agent03_Withdrawals!A24="","",Agent03_Withdrawals!B24)</f>
        <v/>
      </c>
      <c r="D419" s="40" t="str">
        <f>IF(Agent03_Withdrawals!A24="","",Agent03_Withdrawals!C24)</f>
        <v/>
      </c>
      <c r="E419" s="38" t="str">
        <f>IF(Agent03_Withdrawals!A24="","",Agent03_Withdrawals!D24)</f>
        <v/>
      </c>
      <c r="F419" s="37" t="str">
        <f>IF(Agent03_Withdrawals!A24="","",Agent03_Withdrawals!F24)</f>
        <v/>
      </c>
      <c r="G419" s="39" t="str">
        <f>IF(Agent03_Withdrawals!A24="","",Agent03_Withdrawals!E24)</f>
        <v/>
      </c>
      <c r="H419" s="39" t="str">
        <f>IF(Agent03_Withdrawals!A24="","",Agent03_Withdrawals!G24)</f>
        <v/>
      </c>
      <c r="I419" s="37" t="str">
        <f>IF(Agent03_Withdrawals!A24="","",Agent03_Withdrawals!H24)</f>
        <v/>
      </c>
      <c r="J419" s="37" t="str">
        <f>IF(Agent03_Withdrawals!A24="","",Agent03_Withdrawals!J24)</f>
        <v/>
      </c>
      <c r="K419" s="37" t="str">
        <f>IF(Agent03_Withdrawals!A24="","",Agent03_Withdrawals!K24)</f>
        <v/>
      </c>
      <c r="L419" s="37" t="str">
        <f>IF(G419="","",IF(D419-G419&gt;=System_Config!$B$9,"✅ OK","⚠️ BREACH"))</f>
        <v/>
      </c>
      <c r="M419" s="37" t="str">
        <f>IFERROR(IF(Agent03_Withdrawals!A24="","",YEAR(Agent03_Withdrawals!D24)),"")</f>
        <v/>
      </c>
    </row>
    <row r="420" spans="1:13" ht="18" customHeight="1" x14ac:dyDescent="0.25">
      <c r="A420" s="37" t="str">
        <f>IF(Agent03_Withdrawals!A25="","",Agent03_Withdrawals!A25)</f>
        <v/>
      </c>
      <c r="B420" s="37" t="str">
        <f ca="1">IF(Agent03_Withdrawals!A25="","","WD"&amp;TEXT(420-3,"0000")&amp;"-"&amp;TEXT(TODAY(),"YYYYMMDD"))</f>
        <v/>
      </c>
      <c r="C420" s="37" t="str">
        <f>IF(Agent03_Withdrawals!A25="","",Agent03_Withdrawals!B25)</f>
        <v/>
      </c>
      <c r="D420" s="40" t="str">
        <f>IF(Agent03_Withdrawals!A25="","",Agent03_Withdrawals!C25)</f>
        <v/>
      </c>
      <c r="E420" s="38" t="str">
        <f>IF(Agent03_Withdrawals!A25="","",Agent03_Withdrawals!D25)</f>
        <v/>
      </c>
      <c r="F420" s="37" t="str">
        <f>IF(Agent03_Withdrawals!A25="","",Agent03_Withdrawals!F25)</f>
        <v/>
      </c>
      <c r="G420" s="39" t="str">
        <f>IF(Agent03_Withdrawals!A25="","",Agent03_Withdrawals!E25)</f>
        <v/>
      </c>
      <c r="H420" s="39" t="str">
        <f>IF(Agent03_Withdrawals!A25="","",Agent03_Withdrawals!G25)</f>
        <v/>
      </c>
      <c r="I420" s="37" t="str">
        <f>IF(Agent03_Withdrawals!A25="","",Agent03_Withdrawals!H25)</f>
        <v/>
      </c>
      <c r="J420" s="37" t="str">
        <f>IF(Agent03_Withdrawals!A25="","",Agent03_Withdrawals!J25)</f>
        <v/>
      </c>
      <c r="K420" s="37" t="str">
        <f>IF(Agent03_Withdrawals!A25="","",Agent03_Withdrawals!K25)</f>
        <v/>
      </c>
      <c r="L420" s="37" t="str">
        <f>IF(G420="","",IF(D420-G420&gt;=System_Config!$B$9,"✅ OK","⚠️ BREACH"))</f>
        <v/>
      </c>
      <c r="M420" s="37" t="str">
        <f>IFERROR(IF(Agent03_Withdrawals!A25="","",YEAR(Agent03_Withdrawals!D25)),"")</f>
        <v/>
      </c>
    </row>
    <row r="421" spans="1:13" ht="18" customHeight="1" x14ac:dyDescent="0.25">
      <c r="A421" s="37" t="str">
        <f>IF(Agent03_Withdrawals!A26="","",Agent03_Withdrawals!A26)</f>
        <v/>
      </c>
      <c r="B421" s="37" t="str">
        <f ca="1">IF(Agent03_Withdrawals!A26="","","WD"&amp;TEXT(421-3,"0000")&amp;"-"&amp;TEXT(TODAY(),"YYYYMMDD"))</f>
        <v/>
      </c>
      <c r="C421" s="37" t="str">
        <f>IF(Agent03_Withdrawals!A26="","",Agent03_Withdrawals!B26)</f>
        <v/>
      </c>
      <c r="D421" s="40" t="str">
        <f>IF(Agent03_Withdrawals!A26="","",Agent03_Withdrawals!C26)</f>
        <v/>
      </c>
      <c r="E421" s="38" t="str">
        <f>IF(Agent03_Withdrawals!A26="","",Agent03_Withdrawals!D26)</f>
        <v/>
      </c>
      <c r="F421" s="37" t="str">
        <f>IF(Agent03_Withdrawals!A26="","",Agent03_Withdrawals!F26)</f>
        <v/>
      </c>
      <c r="G421" s="39" t="str">
        <f>IF(Agent03_Withdrawals!A26="","",Agent03_Withdrawals!E26)</f>
        <v/>
      </c>
      <c r="H421" s="39" t="str">
        <f>IF(Agent03_Withdrawals!A26="","",Agent03_Withdrawals!G26)</f>
        <v/>
      </c>
      <c r="I421" s="37" t="str">
        <f>IF(Agent03_Withdrawals!A26="","",Agent03_Withdrawals!H26)</f>
        <v/>
      </c>
      <c r="J421" s="37" t="str">
        <f>IF(Agent03_Withdrawals!A26="","",Agent03_Withdrawals!J26)</f>
        <v/>
      </c>
      <c r="K421" s="37" t="str">
        <f>IF(Agent03_Withdrawals!A26="","",Agent03_Withdrawals!K26)</f>
        <v/>
      </c>
      <c r="L421" s="37" t="str">
        <f>IF(G421="","",IF(D421-G421&gt;=System_Config!$B$9,"✅ OK","⚠️ BREACH"))</f>
        <v/>
      </c>
      <c r="M421" s="37" t="str">
        <f>IFERROR(IF(Agent03_Withdrawals!A26="","",YEAR(Agent03_Withdrawals!D26)),"")</f>
        <v/>
      </c>
    </row>
    <row r="422" spans="1:13" ht="18" customHeight="1" x14ac:dyDescent="0.25">
      <c r="A422" s="37" t="str">
        <f>IF(Agent03_Withdrawals!A27="","",Agent03_Withdrawals!A27)</f>
        <v/>
      </c>
      <c r="B422" s="37" t="str">
        <f ca="1">IF(Agent03_Withdrawals!A27="","","WD"&amp;TEXT(422-3,"0000")&amp;"-"&amp;TEXT(TODAY(),"YYYYMMDD"))</f>
        <v/>
      </c>
      <c r="C422" s="37" t="str">
        <f>IF(Agent03_Withdrawals!A27="","",Agent03_Withdrawals!B27)</f>
        <v/>
      </c>
      <c r="D422" s="40" t="str">
        <f>IF(Agent03_Withdrawals!A27="","",Agent03_Withdrawals!C27)</f>
        <v/>
      </c>
      <c r="E422" s="38" t="str">
        <f>IF(Agent03_Withdrawals!A27="","",Agent03_Withdrawals!D27)</f>
        <v/>
      </c>
      <c r="F422" s="37" t="str">
        <f>IF(Agent03_Withdrawals!A27="","",Agent03_Withdrawals!F27)</f>
        <v/>
      </c>
      <c r="G422" s="39" t="str">
        <f>IF(Agent03_Withdrawals!A27="","",Agent03_Withdrawals!E27)</f>
        <v/>
      </c>
      <c r="H422" s="39" t="str">
        <f>IF(Agent03_Withdrawals!A27="","",Agent03_Withdrawals!G27)</f>
        <v/>
      </c>
      <c r="I422" s="37" t="str">
        <f>IF(Agent03_Withdrawals!A27="","",Agent03_Withdrawals!H27)</f>
        <v/>
      </c>
      <c r="J422" s="37" t="str">
        <f>IF(Agent03_Withdrawals!A27="","",Agent03_Withdrawals!J27)</f>
        <v/>
      </c>
      <c r="K422" s="37" t="str">
        <f>IF(Agent03_Withdrawals!A27="","",Agent03_Withdrawals!K27)</f>
        <v/>
      </c>
      <c r="L422" s="37" t="str">
        <f>IF(G422="","",IF(D422-G422&gt;=System_Config!$B$9,"✅ OK","⚠️ BREACH"))</f>
        <v/>
      </c>
      <c r="M422" s="37" t="str">
        <f>IFERROR(IF(Agent03_Withdrawals!A27="","",YEAR(Agent03_Withdrawals!D27)),"")</f>
        <v/>
      </c>
    </row>
    <row r="423" spans="1:13" ht="18" customHeight="1" x14ac:dyDescent="0.25">
      <c r="A423" s="37" t="str">
        <f>IF(Agent03_Withdrawals!A28="","",Agent03_Withdrawals!A28)</f>
        <v/>
      </c>
      <c r="B423" s="37" t="str">
        <f ca="1">IF(Agent03_Withdrawals!A28="","","WD"&amp;TEXT(423-3,"0000")&amp;"-"&amp;TEXT(TODAY(),"YYYYMMDD"))</f>
        <v/>
      </c>
      <c r="C423" s="37" t="str">
        <f>IF(Agent03_Withdrawals!A28="","",Agent03_Withdrawals!B28)</f>
        <v/>
      </c>
      <c r="D423" s="40" t="str">
        <f>IF(Agent03_Withdrawals!A28="","",Agent03_Withdrawals!C28)</f>
        <v/>
      </c>
      <c r="E423" s="38" t="str">
        <f>IF(Agent03_Withdrawals!A28="","",Agent03_Withdrawals!D28)</f>
        <v/>
      </c>
      <c r="F423" s="37" t="str">
        <f>IF(Agent03_Withdrawals!A28="","",Agent03_Withdrawals!F28)</f>
        <v/>
      </c>
      <c r="G423" s="39" t="str">
        <f>IF(Agent03_Withdrawals!A28="","",Agent03_Withdrawals!E28)</f>
        <v/>
      </c>
      <c r="H423" s="39" t="str">
        <f>IF(Agent03_Withdrawals!A28="","",Agent03_Withdrawals!G28)</f>
        <v/>
      </c>
      <c r="I423" s="37" t="str">
        <f>IF(Agent03_Withdrawals!A28="","",Agent03_Withdrawals!H28)</f>
        <v/>
      </c>
      <c r="J423" s="37" t="str">
        <f>IF(Agent03_Withdrawals!A28="","",Agent03_Withdrawals!J28)</f>
        <v/>
      </c>
      <c r="K423" s="37" t="str">
        <f>IF(Agent03_Withdrawals!A28="","",Agent03_Withdrawals!K28)</f>
        <v/>
      </c>
      <c r="L423" s="37" t="str">
        <f>IF(G423="","",IF(D423-G423&gt;=System_Config!$B$9,"✅ OK","⚠️ BREACH"))</f>
        <v/>
      </c>
      <c r="M423" s="37" t="str">
        <f>IFERROR(IF(Agent03_Withdrawals!A28="","",YEAR(Agent03_Withdrawals!D28)),"")</f>
        <v/>
      </c>
    </row>
    <row r="424" spans="1:13" ht="18" customHeight="1" x14ac:dyDescent="0.25">
      <c r="A424" s="37" t="str">
        <f>IF(Agent03_Withdrawals!A29="","",Agent03_Withdrawals!A29)</f>
        <v/>
      </c>
      <c r="B424" s="37" t="str">
        <f ca="1">IF(Agent03_Withdrawals!A29="","","WD"&amp;TEXT(424-3,"0000")&amp;"-"&amp;TEXT(TODAY(),"YYYYMMDD"))</f>
        <v/>
      </c>
      <c r="C424" s="37" t="str">
        <f>IF(Agent03_Withdrawals!A29="","",Agent03_Withdrawals!B29)</f>
        <v/>
      </c>
      <c r="D424" s="40" t="str">
        <f>IF(Agent03_Withdrawals!A29="","",Agent03_Withdrawals!C29)</f>
        <v/>
      </c>
      <c r="E424" s="38" t="str">
        <f>IF(Agent03_Withdrawals!A29="","",Agent03_Withdrawals!D29)</f>
        <v/>
      </c>
      <c r="F424" s="37" t="str">
        <f>IF(Agent03_Withdrawals!A29="","",Agent03_Withdrawals!F29)</f>
        <v/>
      </c>
      <c r="G424" s="39" t="str">
        <f>IF(Agent03_Withdrawals!A29="","",Agent03_Withdrawals!E29)</f>
        <v/>
      </c>
      <c r="H424" s="39" t="str">
        <f>IF(Agent03_Withdrawals!A29="","",Agent03_Withdrawals!G29)</f>
        <v/>
      </c>
      <c r="I424" s="37" t="str">
        <f>IF(Agent03_Withdrawals!A29="","",Agent03_Withdrawals!H29)</f>
        <v/>
      </c>
      <c r="J424" s="37" t="str">
        <f>IF(Agent03_Withdrawals!A29="","",Agent03_Withdrawals!J29)</f>
        <v/>
      </c>
      <c r="K424" s="37" t="str">
        <f>IF(Agent03_Withdrawals!A29="","",Agent03_Withdrawals!K29)</f>
        <v/>
      </c>
      <c r="L424" s="37" t="str">
        <f>IF(G424="","",IF(D424-G424&gt;=System_Config!$B$9,"✅ OK","⚠️ BREACH"))</f>
        <v/>
      </c>
      <c r="M424" s="37" t="str">
        <f>IFERROR(IF(Agent03_Withdrawals!A29="","",YEAR(Agent03_Withdrawals!D29)),"")</f>
        <v/>
      </c>
    </row>
    <row r="425" spans="1:13" ht="18" customHeight="1" x14ac:dyDescent="0.25">
      <c r="A425" s="37" t="str">
        <f>IF(Agent03_Withdrawals!A30="","",Agent03_Withdrawals!A30)</f>
        <v/>
      </c>
      <c r="B425" s="37" t="str">
        <f ca="1">IF(Agent03_Withdrawals!A30="","","WD"&amp;TEXT(425-3,"0000")&amp;"-"&amp;TEXT(TODAY(),"YYYYMMDD"))</f>
        <v/>
      </c>
      <c r="C425" s="37" t="str">
        <f>IF(Agent03_Withdrawals!A30="","",Agent03_Withdrawals!B30)</f>
        <v/>
      </c>
      <c r="D425" s="40" t="str">
        <f>IF(Agent03_Withdrawals!A30="","",Agent03_Withdrawals!C30)</f>
        <v/>
      </c>
      <c r="E425" s="38" t="str">
        <f>IF(Agent03_Withdrawals!A30="","",Agent03_Withdrawals!D30)</f>
        <v/>
      </c>
      <c r="F425" s="37" t="str">
        <f>IF(Agent03_Withdrawals!A30="","",Agent03_Withdrawals!F30)</f>
        <v/>
      </c>
      <c r="G425" s="39" t="str">
        <f>IF(Agent03_Withdrawals!A30="","",Agent03_Withdrawals!E30)</f>
        <v/>
      </c>
      <c r="H425" s="39" t="str">
        <f>IF(Agent03_Withdrawals!A30="","",Agent03_Withdrawals!G30)</f>
        <v/>
      </c>
      <c r="I425" s="37" t="str">
        <f>IF(Agent03_Withdrawals!A30="","",Agent03_Withdrawals!H30)</f>
        <v/>
      </c>
      <c r="J425" s="37" t="str">
        <f>IF(Agent03_Withdrawals!A30="","",Agent03_Withdrawals!J30)</f>
        <v/>
      </c>
      <c r="K425" s="37" t="str">
        <f>IF(Agent03_Withdrawals!A30="","",Agent03_Withdrawals!K30)</f>
        <v/>
      </c>
      <c r="L425" s="37" t="str">
        <f>IF(G425="","",IF(D425-G425&gt;=System_Config!$B$9,"✅ OK","⚠️ BREACH"))</f>
        <v/>
      </c>
      <c r="M425" s="37" t="str">
        <f>IFERROR(IF(Agent03_Withdrawals!A30="","",YEAR(Agent03_Withdrawals!D30)),"")</f>
        <v/>
      </c>
    </row>
    <row r="426" spans="1:13" ht="18" customHeight="1" x14ac:dyDescent="0.25">
      <c r="A426" s="37" t="str">
        <f>IF(Agent03_Withdrawals!A31="","",Agent03_Withdrawals!A31)</f>
        <v/>
      </c>
      <c r="B426" s="37" t="str">
        <f ca="1">IF(Agent03_Withdrawals!A31="","","WD"&amp;TEXT(426-3,"0000")&amp;"-"&amp;TEXT(TODAY(),"YYYYMMDD"))</f>
        <v/>
      </c>
      <c r="C426" s="37" t="str">
        <f>IF(Agent03_Withdrawals!A31="","",Agent03_Withdrawals!B31)</f>
        <v/>
      </c>
      <c r="D426" s="40" t="str">
        <f>IF(Agent03_Withdrawals!A31="","",Agent03_Withdrawals!C31)</f>
        <v/>
      </c>
      <c r="E426" s="38" t="str">
        <f>IF(Agent03_Withdrawals!A31="","",Agent03_Withdrawals!D31)</f>
        <v/>
      </c>
      <c r="F426" s="37" t="str">
        <f>IF(Agent03_Withdrawals!A31="","",Agent03_Withdrawals!F31)</f>
        <v/>
      </c>
      <c r="G426" s="39" t="str">
        <f>IF(Agent03_Withdrawals!A31="","",Agent03_Withdrawals!E31)</f>
        <v/>
      </c>
      <c r="H426" s="39" t="str">
        <f>IF(Agent03_Withdrawals!A31="","",Agent03_Withdrawals!G31)</f>
        <v/>
      </c>
      <c r="I426" s="37" t="str">
        <f>IF(Agent03_Withdrawals!A31="","",Agent03_Withdrawals!H31)</f>
        <v/>
      </c>
      <c r="J426" s="37" t="str">
        <f>IF(Agent03_Withdrawals!A31="","",Agent03_Withdrawals!J31)</f>
        <v/>
      </c>
      <c r="K426" s="37" t="str">
        <f>IF(Agent03_Withdrawals!A31="","",Agent03_Withdrawals!K31)</f>
        <v/>
      </c>
      <c r="L426" s="37" t="str">
        <f>IF(G426="","",IF(D426-G426&gt;=System_Config!$B$9,"✅ OK","⚠️ BREACH"))</f>
        <v/>
      </c>
      <c r="M426" s="37" t="str">
        <f>IFERROR(IF(Agent03_Withdrawals!A31="","",YEAR(Agent03_Withdrawals!D31)),"")</f>
        <v/>
      </c>
    </row>
    <row r="427" spans="1:13" ht="18" customHeight="1" x14ac:dyDescent="0.25">
      <c r="A427" s="37" t="str">
        <f>IF(Agent03_Withdrawals!A32="","",Agent03_Withdrawals!A32)</f>
        <v/>
      </c>
      <c r="B427" s="37" t="str">
        <f ca="1">IF(Agent03_Withdrawals!A32="","","WD"&amp;TEXT(427-3,"0000")&amp;"-"&amp;TEXT(TODAY(),"YYYYMMDD"))</f>
        <v/>
      </c>
      <c r="C427" s="37" t="str">
        <f>IF(Agent03_Withdrawals!A32="","",Agent03_Withdrawals!B32)</f>
        <v/>
      </c>
      <c r="D427" s="40" t="str">
        <f>IF(Agent03_Withdrawals!A32="","",Agent03_Withdrawals!C32)</f>
        <v/>
      </c>
      <c r="E427" s="38" t="str">
        <f>IF(Agent03_Withdrawals!A32="","",Agent03_Withdrawals!D32)</f>
        <v/>
      </c>
      <c r="F427" s="37" t="str">
        <f>IF(Agent03_Withdrawals!A32="","",Agent03_Withdrawals!F32)</f>
        <v/>
      </c>
      <c r="G427" s="39" t="str">
        <f>IF(Agent03_Withdrawals!A32="","",Agent03_Withdrawals!E32)</f>
        <v/>
      </c>
      <c r="H427" s="39" t="str">
        <f>IF(Agent03_Withdrawals!A32="","",Agent03_Withdrawals!G32)</f>
        <v/>
      </c>
      <c r="I427" s="37" t="str">
        <f>IF(Agent03_Withdrawals!A32="","",Agent03_Withdrawals!H32)</f>
        <v/>
      </c>
      <c r="J427" s="37" t="str">
        <f>IF(Agent03_Withdrawals!A32="","",Agent03_Withdrawals!J32)</f>
        <v/>
      </c>
      <c r="K427" s="37" t="str">
        <f>IF(Agent03_Withdrawals!A32="","",Agent03_Withdrawals!K32)</f>
        <v/>
      </c>
      <c r="L427" s="37" t="str">
        <f>IF(G427="","",IF(D427-G427&gt;=System_Config!$B$9,"✅ OK","⚠️ BREACH"))</f>
        <v/>
      </c>
      <c r="M427" s="37" t="str">
        <f>IFERROR(IF(Agent03_Withdrawals!A32="","",YEAR(Agent03_Withdrawals!D32)),"")</f>
        <v/>
      </c>
    </row>
    <row r="428" spans="1:13" ht="18" customHeight="1" x14ac:dyDescent="0.25">
      <c r="A428" s="37" t="str">
        <f>IF(Agent03_Withdrawals!A33="","",Agent03_Withdrawals!A33)</f>
        <v/>
      </c>
      <c r="B428" s="37" t="str">
        <f ca="1">IF(Agent03_Withdrawals!A33="","","WD"&amp;TEXT(428-3,"0000")&amp;"-"&amp;TEXT(TODAY(),"YYYYMMDD"))</f>
        <v/>
      </c>
      <c r="C428" s="37" t="str">
        <f>IF(Agent03_Withdrawals!A33="","",Agent03_Withdrawals!B33)</f>
        <v/>
      </c>
      <c r="D428" s="40" t="str">
        <f>IF(Agent03_Withdrawals!A33="","",Agent03_Withdrawals!C33)</f>
        <v/>
      </c>
      <c r="E428" s="38" t="str">
        <f>IF(Agent03_Withdrawals!A33="","",Agent03_Withdrawals!D33)</f>
        <v/>
      </c>
      <c r="F428" s="37" t="str">
        <f>IF(Agent03_Withdrawals!A33="","",Agent03_Withdrawals!F33)</f>
        <v/>
      </c>
      <c r="G428" s="39" t="str">
        <f>IF(Agent03_Withdrawals!A33="","",Agent03_Withdrawals!E33)</f>
        <v/>
      </c>
      <c r="H428" s="39" t="str">
        <f>IF(Agent03_Withdrawals!A33="","",Agent03_Withdrawals!G33)</f>
        <v/>
      </c>
      <c r="I428" s="37" t="str">
        <f>IF(Agent03_Withdrawals!A33="","",Agent03_Withdrawals!H33)</f>
        <v/>
      </c>
      <c r="J428" s="37" t="str">
        <f>IF(Agent03_Withdrawals!A33="","",Agent03_Withdrawals!J33)</f>
        <v/>
      </c>
      <c r="K428" s="37" t="str">
        <f>IF(Agent03_Withdrawals!A33="","",Agent03_Withdrawals!K33)</f>
        <v/>
      </c>
      <c r="L428" s="37" t="str">
        <f>IF(G428="","",IF(D428-G428&gt;=System_Config!$B$9,"✅ OK","⚠️ BREACH"))</f>
        <v/>
      </c>
      <c r="M428" s="37" t="str">
        <f>IFERROR(IF(Agent03_Withdrawals!A33="","",YEAR(Agent03_Withdrawals!D33)),"")</f>
        <v/>
      </c>
    </row>
    <row r="429" spans="1:13" ht="18" customHeight="1" x14ac:dyDescent="0.25">
      <c r="A429" s="37" t="str">
        <f>IF(Agent03_Withdrawals!A34="","",Agent03_Withdrawals!A34)</f>
        <v/>
      </c>
      <c r="B429" s="37" t="str">
        <f ca="1">IF(Agent03_Withdrawals!A34="","","WD"&amp;TEXT(429-3,"0000")&amp;"-"&amp;TEXT(TODAY(),"YYYYMMDD"))</f>
        <v/>
      </c>
      <c r="C429" s="37" t="str">
        <f>IF(Agent03_Withdrawals!A34="","",Agent03_Withdrawals!B34)</f>
        <v/>
      </c>
      <c r="D429" s="40" t="str">
        <f>IF(Agent03_Withdrawals!A34="","",Agent03_Withdrawals!C34)</f>
        <v/>
      </c>
      <c r="E429" s="38" t="str">
        <f>IF(Agent03_Withdrawals!A34="","",Agent03_Withdrawals!D34)</f>
        <v/>
      </c>
      <c r="F429" s="37" t="str">
        <f>IF(Agent03_Withdrawals!A34="","",Agent03_Withdrawals!F34)</f>
        <v/>
      </c>
      <c r="G429" s="39" t="str">
        <f>IF(Agent03_Withdrawals!A34="","",Agent03_Withdrawals!E34)</f>
        <v/>
      </c>
      <c r="H429" s="39" t="str">
        <f>IF(Agent03_Withdrawals!A34="","",Agent03_Withdrawals!G34)</f>
        <v/>
      </c>
      <c r="I429" s="37" t="str">
        <f>IF(Agent03_Withdrawals!A34="","",Agent03_Withdrawals!H34)</f>
        <v/>
      </c>
      <c r="J429" s="37" t="str">
        <f>IF(Agent03_Withdrawals!A34="","",Agent03_Withdrawals!J34)</f>
        <v/>
      </c>
      <c r="K429" s="37" t="str">
        <f>IF(Agent03_Withdrawals!A34="","",Agent03_Withdrawals!K34)</f>
        <v/>
      </c>
      <c r="L429" s="37" t="str">
        <f>IF(G429="","",IF(D429-G429&gt;=System_Config!$B$9,"✅ OK","⚠️ BREACH"))</f>
        <v/>
      </c>
      <c r="M429" s="37" t="str">
        <f>IFERROR(IF(Agent03_Withdrawals!A34="","",YEAR(Agent03_Withdrawals!D34)),"")</f>
        <v/>
      </c>
    </row>
    <row r="430" spans="1:13" ht="18" customHeight="1" x14ac:dyDescent="0.25">
      <c r="A430" s="37" t="str">
        <f>IF(Agent03_Withdrawals!A35="","",Agent03_Withdrawals!A35)</f>
        <v/>
      </c>
      <c r="B430" s="37" t="str">
        <f ca="1">IF(Agent03_Withdrawals!A35="","","WD"&amp;TEXT(430-3,"0000")&amp;"-"&amp;TEXT(TODAY(),"YYYYMMDD"))</f>
        <v/>
      </c>
      <c r="C430" s="37" t="str">
        <f>IF(Agent03_Withdrawals!A35="","",Agent03_Withdrawals!B35)</f>
        <v/>
      </c>
      <c r="D430" s="40" t="str">
        <f>IF(Agent03_Withdrawals!A35="","",Agent03_Withdrawals!C35)</f>
        <v/>
      </c>
      <c r="E430" s="38" t="str">
        <f>IF(Agent03_Withdrawals!A35="","",Agent03_Withdrawals!D35)</f>
        <v/>
      </c>
      <c r="F430" s="37" t="str">
        <f>IF(Agent03_Withdrawals!A35="","",Agent03_Withdrawals!F35)</f>
        <v/>
      </c>
      <c r="G430" s="39" t="str">
        <f>IF(Agent03_Withdrawals!A35="","",Agent03_Withdrawals!E35)</f>
        <v/>
      </c>
      <c r="H430" s="39" t="str">
        <f>IF(Agent03_Withdrawals!A35="","",Agent03_Withdrawals!G35)</f>
        <v/>
      </c>
      <c r="I430" s="37" t="str">
        <f>IF(Agent03_Withdrawals!A35="","",Agent03_Withdrawals!H35)</f>
        <v/>
      </c>
      <c r="J430" s="37" t="str">
        <f>IF(Agent03_Withdrawals!A35="","",Agent03_Withdrawals!J35)</f>
        <v/>
      </c>
      <c r="K430" s="37" t="str">
        <f>IF(Agent03_Withdrawals!A35="","",Agent03_Withdrawals!K35)</f>
        <v/>
      </c>
      <c r="L430" s="37" t="str">
        <f>IF(G430="","",IF(D430-G430&gt;=System_Config!$B$9,"✅ OK","⚠️ BREACH"))</f>
        <v/>
      </c>
      <c r="M430" s="37" t="str">
        <f>IFERROR(IF(Agent03_Withdrawals!A35="","",YEAR(Agent03_Withdrawals!D35)),"")</f>
        <v/>
      </c>
    </row>
    <row r="431" spans="1:13" ht="18" customHeight="1" x14ac:dyDescent="0.25">
      <c r="A431" s="37" t="str">
        <f>IF(Agent03_Withdrawals!A36="","",Agent03_Withdrawals!A36)</f>
        <v/>
      </c>
      <c r="B431" s="37" t="str">
        <f ca="1">IF(Agent03_Withdrawals!A36="","","WD"&amp;TEXT(431-3,"0000")&amp;"-"&amp;TEXT(TODAY(),"YYYYMMDD"))</f>
        <v/>
      </c>
      <c r="C431" s="37" t="str">
        <f>IF(Agent03_Withdrawals!A36="","",Agent03_Withdrawals!B36)</f>
        <v/>
      </c>
      <c r="D431" s="40" t="str">
        <f>IF(Agent03_Withdrawals!A36="","",Agent03_Withdrawals!C36)</f>
        <v/>
      </c>
      <c r="E431" s="38" t="str">
        <f>IF(Agent03_Withdrawals!A36="","",Agent03_Withdrawals!D36)</f>
        <v/>
      </c>
      <c r="F431" s="37" t="str">
        <f>IF(Agent03_Withdrawals!A36="","",Agent03_Withdrawals!F36)</f>
        <v/>
      </c>
      <c r="G431" s="39" t="str">
        <f>IF(Agent03_Withdrawals!A36="","",Agent03_Withdrawals!E36)</f>
        <v/>
      </c>
      <c r="H431" s="39" t="str">
        <f>IF(Agent03_Withdrawals!A36="","",Agent03_Withdrawals!G36)</f>
        <v/>
      </c>
      <c r="I431" s="37" t="str">
        <f>IF(Agent03_Withdrawals!A36="","",Agent03_Withdrawals!H36)</f>
        <v/>
      </c>
      <c r="J431" s="37" t="str">
        <f>IF(Agent03_Withdrawals!A36="","",Agent03_Withdrawals!J36)</f>
        <v/>
      </c>
      <c r="K431" s="37" t="str">
        <f>IF(Agent03_Withdrawals!A36="","",Agent03_Withdrawals!K36)</f>
        <v/>
      </c>
      <c r="L431" s="37" t="str">
        <f>IF(G431="","",IF(D431-G431&gt;=System_Config!$B$9,"✅ OK","⚠️ BREACH"))</f>
        <v/>
      </c>
      <c r="M431" s="37" t="str">
        <f>IFERROR(IF(Agent03_Withdrawals!A36="","",YEAR(Agent03_Withdrawals!D36)),"")</f>
        <v/>
      </c>
    </row>
    <row r="432" spans="1:13" ht="18" customHeight="1" x14ac:dyDescent="0.25">
      <c r="A432" s="37" t="str">
        <f>IF(Agent03_Withdrawals!A37="","",Agent03_Withdrawals!A37)</f>
        <v/>
      </c>
      <c r="B432" s="37" t="str">
        <f ca="1">IF(Agent03_Withdrawals!A37="","","WD"&amp;TEXT(432-3,"0000")&amp;"-"&amp;TEXT(TODAY(),"YYYYMMDD"))</f>
        <v/>
      </c>
      <c r="C432" s="37" t="str">
        <f>IF(Agent03_Withdrawals!A37="","",Agent03_Withdrawals!B37)</f>
        <v/>
      </c>
      <c r="D432" s="40" t="str">
        <f>IF(Agent03_Withdrawals!A37="","",Agent03_Withdrawals!C37)</f>
        <v/>
      </c>
      <c r="E432" s="38" t="str">
        <f>IF(Agent03_Withdrawals!A37="","",Agent03_Withdrawals!D37)</f>
        <v/>
      </c>
      <c r="F432" s="37" t="str">
        <f>IF(Agent03_Withdrawals!A37="","",Agent03_Withdrawals!F37)</f>
        <v/>
      </c>
      <c r="G432" s="39" t="str">
        <f>IF(Agent03_Withdrawals!A37="","",Agent03_Withdrawals!E37)</f>
        <v/>
      </c>
      <c r="H432" s="39" t="str">
        <f>IF(Agent03_Withdrawals!A37="","",Agent03_Withdrawals!G37)</f>
        <v/>
      </c>
      <c r="I432" s="37" t="str">
        <f>IF(Agent03_Withdrawals!A37="","",Agent03_Withdrawals!H37)</f>
        <v/>
      </c>
      <c r="J432" s="37" t="str">
        <f>IF(Agent03_Withdrawals!A37="","",Agent03_Withdrawals!J37)</f>
        <v/>
      </c>
      <c r="K432" s="37" t="str">
        <f>IF(Agent03_Withdrawals!A37="","",Agent03_Withdrawals!K37)</f>
        <v/>
      </c>
      <c r="L432" s="37" t="str">
        <f>IF(G432="","",IF(D432-G432&gt;=System_Config!$B$9,"✅ OK","⚠️ BREACH"))</f>
        <v/>
      </c>
      <c r="M432" s="37" t="str">
        <f>IFERROR(IF(Agent03_Withdrawals!A37="","",YEAR(Agent03_Withdrawals!D37)),"")</f>
        <v/>
      </c>
    </row>
    <row r="433" spans="1:13" ht="18" customHeight="1" x14ac:dyDescent="0.25">
      <c r="A433" s="37" t="str">
        <f>IF(Agent03_Withdrawals!A38="","",Agent03_Withdrawals!A38)</f>
        <v/>
      </c>
      <c r="B433" s="37" t="str">
        <f ca="1">IF(Agent03_Withdrawals!A38="","","WD"&amp;TEXT(433-3,"0000")&amp;"-"&amp;TEXT(TODAY(),"YYYYMMDD"))</f>
        <v/>
      </c>
      <c r="C433" s="37" t="str">
        <f>IF(Agent03_Withdrawals!A38="","",Agent03_Withdrawals!B38)</f>
        <v/>
      </c>
      <c r="D433" s="40" t="str">
        <f>IF(Agent03_Withdrawals!A38="","",Agent03_Withdrawals!C38)</f>
        <v/>
      </c>
      <c r="E433" s="38" t="str">
        <f>IF(Agent03_Withdrawals!A38="","",Agent03_Withdrawals!D38)</f>
        <v/>
      </c>
      <c r="F433" s="37" t="str">
        <f>IF(Agent03_Withdrawals!A38="","",Agent03_Withdrawals!F38)</f>
        <v/>
      </c>
      <c r="G433" s="39" t="str">
        <f>IF(Agent03_Withdrawals!A38="","",Agent03_Withdrawals!E38)</f>
        <v/>
      </c>
      <c r="H433" s="39" t="str">
        <f>IF(Agent03_Withdrawals!A38="","",Agent03_Withdrawals!G38)</f>
        <v/>
      </c>
      <c r="I433" s="37" t="str">
        <f>IF(Agent03_Withdrawals!A38="","",Agent03_Withdrawals!H38)</f>
        <v/>
      </c>
      <c r="J433" s="37" t="str">
        <f>IF(Agent03_Withdrawals!A38="","",Agent03_Withdrawals!J38)</f>
        <v/>
      </c>
      <c r="K433" s="37" t="str">
        <f>IF(Agent03_Withdrawals!A38="","",Agent03_Withdrawals!K38)</f>
        <v/>
      </c>
      <c r="L433" s="37" t="str">
        <f>IF(G433="","",IF(D433-G433&gt;=System_Config!$B$9,"✅ OK","⚠️ BREACH"))</f>
        <v/>
      </c>
      <c r="M433" s="37" t="str">
        <f>IFERROR(IF(Agent03_Withdrawals!A38="","",YEAR(Agent03_Withdrawals!D38)),"")</f>
        <v/>
      </c>
    </row>
    <row r="434" spans="1:13" ht="18" customHeight="1" x14ac:dyDescent="0.25">
      <c r="A434" s="37" t="str">
        <f>IF(Agent03_Withdrawals!A39="","",Agent03_Withdrawals!A39)</f>
        <v/>
      </c>
      <c r="B434" s="37" t="str">
        <f ca="1">IF(Agent03_Withdrawals!A39="","","WD"&amp;TEXT(434-3,"0000")&amp;"-"&amp;TEXT(TODAY(),"YYYYMMDD"))</f>
        <v/>
      </c>
      <c r="C434" s="37" t="str">
        <f>IF(Agent03_Withdrawals!A39="","",Agent03_Withdrawals!B39)</f>
        <v/>
      </c>
      <c r="D434" s="40" t="str">
        <f>IF(Agent03_Withdrawals!A39="","",Agent03_Withdrawals!C39)</f>
        <v/>
      </c>
      <c r="E434" s="38" t="str">
        <f>IF(Agent03_Withdrawals!A39="","",Agent03_Withdrawals!D39)</f>
        <v/>
      </c>
      <c r="F434" s="37" t="str">
        <f>IF(Agent03_Withdrawals!A39="","",Agent03_Withdrawals!F39)</f>
        <v/>
      </c>
      <c r="G434" s="39" t="str">
        <f>IF(Agent03_Withdrawals!A39="","",Agent03_Withdrawals!E39)</f>
        <v/>
      </c>
      <c r="H434" s="39" t="str">
        <f>IF(Agent03_Withdrawals!A39="","",Agent03_Withdrawals!G39)</f>
        <v/>
      </c>
      <c r="I434" s="37" t="str">
        <f>IF(Agent03_Withdrawals!A39="","",Agent03_Withdrawals!H39)</f>
        <v/>
      </c>
      <c r="J434" s="37" t="str">
        <f>IF(Agent03_Withdrawals!A39="","",Agent03_Withdrawals!J39)</f>
        <v/>
      </c>
      <c r="K434" s="37" t="str">
        <f>IF(Agent03_Withdrawals!A39="","",Agent03_Withdrawals!K39)</f>
        <v/>
      </c>
      <c r="L434" s="37" t="str">
        <f>IF(G434="","",IF(D434-G434&gt;=System_Config!$B$9,"✅ OK","⚠️ BREACH"))</f>
        <v/>
      </c>
      <c r="M434" s="37" t="str">
        <f>IFERROR(IF(Agent03_Withdrawals!A39="","",YEAR(Agent03_Withdrawals!D39)),"")</f>
        <v/>
      </c>
    </row>
    <row r="435" spans="1:13" ht="18" customHeight="1" x14ac:dyDescent="0.25">
      <c r="A435" s="37" t="str">
        <f>IF(Agent03_Withdrawals!A40="","",Agent03_Withdrawals!A40)</f>
        <v/>
      </c>
      <c r="B435" s="37" t="str">
        <f ca="1">IF(Agent03_Withdrawals!A40="","","WD"&amp;TEXT(435-3,"0000")&amp;"-"&amp;TEXT(TODAY(),"YYYYMMDD"))</f>
        <v/>
      </c>
      <c r="C435" s="37" t="str">
        <f>IF(Agent03_Withdrawals!A40="","",Agent03_Withdrawals!B40)</f>
        <v/>
      </c>
      <c r="D435" s="40" t="str">
        <f>IF(Agent03_Withdrawals!A40="","",Agent03_Withdrawals!C40)</f>
        <v/>
      </c>
      <c r="E435" s="38" t="str">
        <f>IF(Agent03_Withdrawals!A40="","",Agent03_Withdrawals!D40)</f>
        <v/>
      </c>
      <c r="F435" s="37" t="str">
        <f>IF(Agent03_Withdrawals!A40="","",Agent03_Withdrawals!F40)</f>
        <v/>
      </c>
      <c r="G435" s="39" t="str">
        <f>IF(Agent03_Withdrawals!A40="","",Agent03_Withdrawals!E40)</f>
        <v/>
      </c>
      <c r="H435" s="39" t="str">
        <f>IF(Agent03_Withdrawals!A40="","",Agent03_Withdrawals!G40)</f>
        <v/>
      </c>
      <c r="I435" s="37" t="str">
        <f>IF(Agent03_Withdrawals!A40="","",Agent03_Withdrawals!H40)</f>
        <v/>
      </c>
      <c r="J435" s="37" t="str">
        <f>IF(Agent03_Withdrawals!A40="","",Agent03_Withdrawals!J40)</f>
        <v/>
      </c>
      <c r="K435" s="37" t="str">
        <f>IF(Agent03_Withdrawals!A40="","",Agent03_Withdrawals!K40)</f>
        <v/>
      </c>
      <c r="L435" s="37" t="str">
        <f>IF(G435="","",IF(D435-G435&gt;=System_Config!$B$9,"✅ OK","⚠️ BREACH"))</f>
        <v/>
      </c>
      <c r="M435" s="37" t="str">
        <f>IFERROR(IF(Agent03_Withdrawals!A40="","",YEAR(Agent03_Withdrawals!D40)),"")</f>
        <v/>
      </c>
    </row>
    <row r="436" spans="1:13" ht="18" customHeight="1" x14ac:dyDescent="0.25">
      <c r="A436" s="37" t="str">
        <f>IF(Agent03_Withdrawals!A41="","",Agent03_Withdrawals!A41)</f>
        <v/>
      </c>
      <c r="B436" s="37" t="str">
        <f ca="1">IF(Agent03_Withdrawals!A41="","","WD"&amp;TEXT(436-3,"0000")&amp;"-"&amp;TEXT(TODAY(),"YYYYMMDD"))</f>
        <v/>
      </c>
      <c r="C436" s="37" t="str">
        <f>IF(Agent03_Withdrawals!A41="","",Agent03_Withdrawals!B41)</f>
        <v/>
      </c>
      <c r="D436" s="40" t="str">
        <f>IF(Agent03_Withdrawals!A41="","",Agent03_Withdrawals!C41)</f>
        <v/>
      </c>
      <c r="E436" s="38" t="str">
        <f>IF(Agent03_Withdrawals!A41="","",Agent03_Withdrawals!D41)</f>
        <v/>
      </c>
      <c r="F436" s="37" t="str">
        <f>IF(Agent03_Withdrawals!A41="","",Agent03_Withdrawals!F41)</f>
        <v/>
      </c>
      <c r="G436" s="39" t="str">
        <f>IF(Agent03_Withdrawals!A41="","",Agent03_Withdrawals!E41)</f>
        <v/>
      </c>
      <c r="H436" s="39" t="str">
        <f>IF(Agent03_Withdrawals!A41="","",Agent03_Withdrawals!G41)</f>
        <v/>
      </c>
      <c r="I436" s="37" t="str">
        <f>IF(Agent03_Withdrawals!A41="","",Agent03_Withdrawals!H41)</f>
        <v/>
      </c>
      <c r="J436" s="37" t="str">
        <f>IF(Agent03_Withdrawals!A41="","",Agent03_Withdrawals!J41)</f>
        <v/>
      </c>
      <c r="K436" s="37" t="str">
        <f>IF(Agent03_Withdrawals!A41="","",Agent03_Withdrawals!K41)</f>
        <v/>
      </c>
      <c r="L436" s="37" t="str">
        <f>IF(G436="","",IF(D436-G436&gt;=System_Config!$B$9,"✅ OK","⚠️ BREACH"))</f>
        <v/>
      </c>
      <c r="M436" s="37" t="str">
        <f>IFERROR(IF(Agent03_Withdrawals!A41="","",YEAR(Agent03_Withdrawals!D41)),"")</f>
        <v/>
      </c>
    </row>
    <row r="437" spans="1:13" ht="18" customHeight="1" x14ac:dyDescent="0.25">
      <c r="A437" s="37" t="str">
        <f>IF(Agent03_Withdrawals!A42="","",Agent03_Withdrawals!A42)</f>
        <v/>
      </c>
      <c r="B437" s="37" t="str">
        <f ca="1">IF(Agent03_Withdrawals!A42="","","WD"&amp;TEXT(437-3,"0000")&amp;"-"&amp;TEXT(TODAY(),"YYYYMMDD"))</f>
        <v/>
      </c>
      <c r="C437" s="37" t="str">
        <f>IF(Agent03_Withdrawals!A42="","",Agent03_Withdrawals!B42)</f>
        <v/>
      </c>
      <c r="D437" s="40" t="str">
        <f>IF(Agent03_Withdrawals!A42="","",Agent03_Withdrawals!C42)</f>
        <v/>
      </c>
      <c r="E437" s="38" t="str">
        <f>IF(Agent03_Withdrawals!A42="","",Agent03_Withdrawals!D42)</f>
        <v/>
      </c>
      <c r="F437" s="37" t="str">
        <f>IF(Agent03_Withdrawals!A42="","",Agent03_Withdrawals!F42)</f>
        <v/>
      </c>
      <c r="G437" s="39" t="str">
        <f>IF(Agent03_Withdrawals!A42="","",Agent03_Withdrawals!E42)</f>
        <v/>
      </c>
      <c r="H437" s="39" t="str">
        <f>IF(Agent03_Withdrawals!A42="","",Agent03_Withdrawals!G42)</f>
        <v/>
      </c>
      <c r="I437" s="37" t="str">
        <f>IF(Agent03_Withdrawals!A42="","",Agent03_Withdrawals!H42)</f>
        <v/>
      </c>
      <c r="J437" s="37" t="str">
        <f>IF(Agent03_Withdrawals!A42="","",Agent03_Withdrawals!J42)</f>
        <v/>
      </c>
      <c r="K437" s="37" t="str">
        <f>IF(Agent03_Withdrawals!A42="","",Agent03_Withdrawals!K42)</f>
        <v/>
      </c>
      <c r="L437" s="37" t="str">
        <f>IF(G437="","",IF(D437-G437&gt;=System_Config!$B$9,"✅ OK","⚠️ BREACH"))</f>
        <v/>
      </c>
      <c r="M437" s="37" t="str">
        <f>IFERROR(IF(Agent03_Withdrawals!A42="","",YEAR(Agent03_Withdrawals!D42)),"")</f>
        <v/>
      </c>
    </row>
    <row r="438" spans="1:13" ht="18" customHeight="1" x14ac:dyDescent="0.25">
      <c r="A438" s="37" t="str">
        <f>IF(Agent03_Withdrawals!A43="","",Agent03_Withdrawals!A43)</f>
        <v/>
      </c>
      <c r="B438" s="37" t="str">
        <f ca="1">IF(Agent03_Withdrawals!A43="","","WD"&amp;TEXT(438-3,"0000")&amp;"-"&amp;TEXT(TODAY(),"YYYYMMDD"))</f>
        <v/>
      </c>
      <c r="C438" s="37" t="str">
        <f>IF(Agent03_Withdrawals!A43="","",Agent03_Withdrawals!B43)</f>
        <v/>
      </c>
      <c r="D438" s="40" t="str">
        <f>IF(Agent03_Withdrawals!A43="","",Agent03_Withdrawals!C43)</f>
        <v/>
      </c>
      <c r="E438" s="38" t="str">
        <f>IF(Agent03_Withdrawals!A43="","",Agent03_Withdrawals!D43)</f>
        <v/>
      </c>
      <c r="F438" s="37" t="str">
        <f>IF(Agent03_Withdrawals!A43="","",Agent03_Withdrawals!F43)</f>
        <v/>
      </c>
      <c r="G438" s="39" t="str">
        <f>IF(Agent03_Withdrawals!A43="","",Agent03_Withdrawals!E43)</f>
        <v/>
      </c>
      <c r="H438" s="39" t="str">
        <f>IF(Agent03_Withdrawals!A43="","",Agent03_Withdrawals!G43)</f>
        <v/>
      </c>
      <c r="I438" s="37" t="str">
        <f>IF(Agent03_Withdrawals!A43="","",Agent03_Withdrawals!H43)</f>
        <v/>
      </c>
      <c r="J438" s="37" t="str">
        <f>IF(Agent03_Withdrawals!A43="","",Agent03_Withdrawals!J43)</f>
        <v/>
      </c>
      <c r="K438" s="37" t="str">
        <f>IF(Agent03_Withdrawals!A43="","",Agent03_Withdrawals!K43)</f>
        <v/>
      </c>
      <c r="L438" s="37" t="str">
        <f>IF(G438="","",IF(D438-G438&gt;=System_Config!$B$9,"✅ OK","⚠️ BREACH"))</f>
        <v/>
      </c>
      <c r="M438" s="37" t="str">
        <f>IFERROR(IF(Agent03_Withdrawals!A43="","",YEAR(Agent03_Withdrawals!D43)),"")</f>
        <v/>
      </c>
    </row>
    <row r="439" spans="1:13" ht="18" customHeight="1" x14ac:dyDescent="0.25">
      <c r="A439" s="37" t="str">
        <f>IF(Agent03_Withdrawals!A44="","",Agent03_Withdrawals!A44)</f>
        <v/>
      </c>
      <c r="B439" s="37" t="str">
        <f ca="1">IF(Agent03_Withdrawals!A44="","","WD"&amp;TEXT(439-3,"0000")&amp;"-"&amp;TEXT(TODAY(),"YYYYMMDD"))</f>
        <v/>
      </c>
      <c r="C439" s="37" t="str">
        <f>IF(Agent03_Withdrawals!A44="","",Agent03_Withdrawals!B44)</f>
        <v/>
      </c>
      <c r="D439" s="40" t="str">
        <f>IF(Agent03_Withdrawals!A44="","",Agent03_Withdrawals!C44)</f>
        <v/>
      </c>
      <c r="E439" s="38" t="str">
        <f>IF(Agent03_Withdrawals!A44="","",Agent03_Withdrawals!D44)</f>
        <v/>
      </c>
      <c r="F439" s="37" t="str">
        <f>IF(Agent03_Withdrawals!A44="","",Agent03_Withdrawals!F44)</f>
        <v/>
      </c>
      <c r="G439" s="39" t="str">
        <f>IF(Agent03_Withdrawals!A44="","",Agent03_Withdrawals!E44)</f>
        <v/>
      </c>
      <c r="H439" s="39" t="str">
        <f>IF(Agent03_Withdrawals!A44="","",Agent03_Withdrawals!G44)</f>
        <v/>
      </c>
      <c r="I439" s="37" t="str">
        <f>IF(Agent03_Withdrawals!A44="","",Agent03_Withdrawals!H44)</f>
        <v/>
      </c>
      <c r="J439" s="37" t="str">
        <f>IF(Agent03_Withdrawals!A44="","",Agent03_Withdrawals!J44)</f>
        <v/>
      </c>
      <c r="K439" s="37" t="str">
        <f>IF(Agent03_Withdrawals!A44="","",Agent03_Withdrawals!K44)</f>
        <v/>
      </c>
      <c r="L439" s="37" t="str">
        <f>IF(G439="","",IF(D439-G439&gt;=System_Config!$B$9,"✅ OK","⚠️ BREACH"))</f>
        <v/>
      </c>
      <c r="M439" s="37" t="str">
        <f>IFERROR(IF(Agent03_Withdrawals!A44="","",YEAR(Agent03_Withdrawals!D44)),"")</f>
        <v/>
      </c>
    </row>
    <row r="440" spans="1:13" ht="18" customHeight="1" x14ac:dyDescent="0.25">
      <c r="A440" s="37" t="str">
        <f>IF(Agent03_Withdrawals!A45="","",Agent03_Withdrawals!A45)</f>
        <v/>
      </c>
      <c r="B440" s="37" t="str">
        <f ca="1">IF(Agent03_Withdrawals!A45="","","WD"&amp;TEXT(440-3,"0000")&amp;"-"&amp;TEXT(TODAY(),"YYYYMMDD"))</f>
        <v/>
      </c>
      <c r="C440" s="37" t="str">
        <f>IF(Agent03_Withdrawals!A45="","",Agent03_Withdrawals!B45)</f>
        <v/>
      </c>
      <c r="D440" s="40" t="str">
        <f>IF(Agent03_Withdrawals!A45="","",Agent03_Withdrawals!C45)</f>
        <v/>
      </c>
      <c r="E440" s="38" t="str">
        <f>IF(Agent03_Withdrawals!A45="","",Agent03_Withdrawals!D45)</f>
        <v/>
      </c>
      <c r="F440" s="37" t="str">
        <f>IF(Agent03_Withdrawals!A45="","",Agent03_Withdrawals!F45)</f>
        <v/>
      </c>
      <c r="G440" s="39" t="str">
        <f>IF(Agent03_Withdrawals!A45="","",Agent03_Withdrawals!E45)</f>
        <v/>
      </c>
      <c r="H440" s="39" t="str">
        <f>IF(Agent03_Withdrawals!A45="","",Agent03_Withdrawals!G45)</f>
        <v/>
      </c>
      <c r="I440" s="37" t="str">
        <f>IF(Agent03_Withdrawals!A45="","",Agent03_Withdrawals!H45)</f>
        <v/>
      </c>
      <c r="J440" s="37" t="str">
        <f>IF(Agent03_Withdrawals!A45="","",Agent03_Withdrawals!J45)</f>
        <v/>
      </c>
      <c r="K440" s="37" t="str">
        <f>IF(Agent03_Withdrawals!A45="","",Agent03_Withdrawals!K45)</f>
        <v/>
      </c>
      <c r="L440" s="37" t="str">
        <f>IF(G440="","",IF(D440-G440&gt;=System_Config!$B$9,"✅ OK","⚠️ BREACH"))</f>
        <v/>
      </c>
      <c r="M440" s="37" t="str">
        <f>IFERROR(IF(Agent03_Withdrawals!A45="","",YEAR(Agent03_Withdrawals!D45)),"")</f>
        <v/>
      </c>
    </row>
    <row r="441" spans="1:13" ht="18" customHeight="1" x14ac:dyDescent="0.25">
      <c r="A441" s="37" t="str">
        <f>IF(Agent03_Withdrawals!A46="","",Agent03_Withdrawals!A46)</f>
        <v/>
      </c>
      <c r="B441" s="37" t="str">
        <f ca="1">IF(Agent03_Withdrawals!A46="","","WD"&amp;TEXT(441-3,"0000")&amp;"-"&amp;TEXT(TODAY(),"YYYYMMDD"))</f>
        <v/>
      </c>
      <c r="C441" s="37" t="str">
        <f>IF(Agent03_Withdrawals!A46="","",Agent03_Withdrawals!B46)</f>
        <v/>
      </c>
      <c r="D441" s="40" t="str">
        <f>IF(Agent03_Withdrawals!A46="","",Agent03_Withdrawals!C46)</f>
        <v/>
      </c>
      <c r="E441" s="38" t="str">
        <f>IF(Agent03_Withdrawals!A46="","",Agent03_Withdrawals!D46)</f>
        <v/>
      </c>
      <c r="F441" s="37" t="str">
        <f>IF(Agent03_Withdrawals!A46="","",Agent03_Withdrawals!F46)</f>
        <v/>
      </c>
      <c r="G441" s="39" t="str">
        <f>IF(Agent03_Withdrawals!A46="","",Agent03_Withdrawals!E46)</f>
        <v/>
      </c>
      <c r="H441" s="39" t="str">
        <f>IF(Agent03_Withdrawals!A46="","",Agent03_Withdrawals!G46)</f>
        <v/>
      </c>
      <c r="I441" s="37" t="str">
        <f>IF(Agent03_Withdrawals!A46="","",Agent03_Withdrawals!H46)</f>
        <v/>
      </c>
      <c r="J441" s="37" t="str">
        <f>IF(Agent03_Withdrawals!A46="","",Agent03_Withdrawals!J46)</f>
        <v/>
      </c>
      <c r="K441" s="37" t="str">
        <f>IF(Agent03_Withdrawals!A46="","",Agent03_Withdrawals!K46)</f>
        <v/>
      </c>
      <c r="L441" s="37" t="str">
        <f>IF(G441="","",IF(D441-G441&gt;=System_Config!$B$9,"✅ OK","⚠️ BREACH"))</f>
        <v/>
      </c>
      <c r="M441" s="37" t="str">
        <f>IFERROR(IF(Agent03_Withdrawals!A46="","",YEAR(Agent03_Withdrawals!D46)),"")</f>
        <v/>
      </c>
    </row>
    <row r="442" spans="1:13" ht="18" customHeight="1" x14ac:dyDescent="0.25">
      <c r="A442" s="37" t="str">
        <f>IF(Agent03_Withdrawals!A47="","",Agent03_Withdrawals!A47)</f>
        <v/>
      </c>
      <c r="B442" s="37" t="str">
        <f ca="1">IF(Agent03_Withdrawals!A47="","","WD"&amp;TEXT(442-3,"0000")&amp;"-"&amp;TEXT(TODAY(),"YYYYMMDD"))</f>
        <v/>
      </c>
      <c r="C442" s="37" t="str">
        <f>IF(Agent03_Withdrawals!A47="","",Agent03_Withdrawals!B47)</f>
        <v/>
      </c>
      <c r="D442" s="40" t="str">
        <f>IF(Agent03_Withdrawals!A47="","",Agent03_Withdrawals!C47)</f>
        <v/>
      </c>
      <c r="E442" s="38" t="str">
        <f>IF(Agent03_Withdrawals!A47="","",Agent03_Withdrawals!D47)</f>
        <v/>
      </c>
      <c r="F442" s="37" t="str">
        <f>IF(Agent03_Withdrawals!A47="","",Agent03_Withdrawals!F47)</f>
        <v/>
      </c>
      <c r="G442" s="39" t="str">
        <f>IF(Agent03_Withdrawals!A47="","",Agent03_Withdrawals!E47)</f>
        <v/>
      </c>
      <c r="H442" s="39" t="str">
        <f>IF(Agent03_Withdrawals!A47="","",Agent03_Withdrawals!G47)</f>
        <v/>
      </c>
      <c r="I442" s="37" t="str">
        <f>IF(Agent03_Withdrawals!A47="","",Agent03_Withdrawals!H47)</f>
        <v/>
      </c>
      <c r="J442" s="37" t="str">
        <f>IF(Agent03_Withdrawals!A47="","",Agent03_Withdrawals!J47)</f>
        <v/>
      </c>
      <c r="K442" s="37" t="str">
        <f>IF(Agent03_Withdrawals!A47="","",Agent03_Withdrawals!K47)</f>
        <v/>
      </c>
      <c r="L442" s="37" t="str">
        <f>IF(G442="","",IF(D442-G442&gt;=System_Config!$B$9,"✅ OK","⚠️ BREACH"))</f>
        <v/>
      </c>
      <c r="M442" s="37" t="str">
        <f>IFERROR(IF(Agent03_Withdrawals!A47="","",YEAR(Agent03_Withdrawals!D47)),"")</f>
        <v/>
      </c>
    </row>
    <row r="443" spans="1:13" ht="18" customHeight="1" x14ac:dyDescent="0.25">
      <c r="A443" s="37" t="str">
        <f>IF(Agent03_Withdrawals!A48="","",Agent03_Withdrawals!A48)</f>
        <v/>
      </c>
      <c r="B443" s="37" t="str">
        <f ca="1">IF(Agent03_Withdrawals!A48="","","WD"&amp;TEXT(443-3,"0000")&amp;"-"&amp;TEXT(TODAY(),"YYYYMMDD"))</f>
        <v/>
      </c>
      <c r="C443" s="37" t="str">
        <f>IF(Agent03_Withdrawals!A48="","",Agent03_Withdrawals!B48)</f>
        <v/>
      </c>
      <c r="D443" s="40" t="str">
        <f>IF(Agent03_Withdrawals!A48="","",Agent03_Withdrawals!C48)</f>
        <v/>
      </c>
      <c r="E443" s="38" t="str">
        <f>IF(Agent03_Withdrawals!A48="","",Agent03_Withdrawals!D48)</f>
        <v/>
      </c>
      <c r="F443" s="37" t="str">
        <f>IF(Agent03_Withdrawals!A48="","",Agent03_Withdrawals!F48)</f>
        <v/>
      </c>
      <c r="G443" s="39" t="str">
        <f>IF(Agent03_Withdrawals!A48="","",Agent03_Withdrawals!E48)</f>
        <v/>
      </c>
      <c r="H443" s="39" t="str">
        <f>IF(Agent03_Withdrawals!A48="","",Agent03_Withdrawals!G48)</f>
        <v/>
      </c>
      <c r="I443" s="37" t="str">
        <f>IF(Agent03_Withdrawals!A48="","",Agent03_Withdrawals!H48)</f>
        <v/>
      </c>
      <c r="J443" s="37" t="str">
        <f>IF(Agent03_Withdrawals!A48="","",Agent03_Withdrawals!J48)</f>
        <v/>
      </c>
      <c r="K443" s="37" t="str">
        <f>IF(Agent03_Withdrawals!A48="","",Agent03_Withdrawals!K48)</f>
        <v/>
      </c>
      <c r="L443" s="37" t="str">
        <f>IF(G443="","",IF(D443-G443&gt;=System_Config!$B$9,"✅ OK","⚠️ BREACH"))</f>
        <v/>
      </c>
      <c r="M443" s="37" t="str">
        <f>IFERROR(IF(Agent03_Withdrawals!A48="","",YEAR(Agent03_Withdrawals!D48)),"")</f>
        <v/>
      </c>
    </row>
    <row r="444" spans="1:13" ht="18" customHeight="1" x14ac:dyDescent="0.25">
      <c r="A444" s="37" t="str">
        <f>IF(Agent03_Withdrawals!A49="","",Agent03_Withdrawals!A49)</f>
        <v/>
      </c>
      <c r="B444" s="37" t="str">
        <f ca="1">IF(Agent03_Withdrawals!A49="","","WD"&amp;TEXT(444-3,"0000")&amp;"-"&amp;TEXT(TODAY(),"YYYYMMDD"))</f>
        <v/>
      </c>
      <c r="C444" s="37" t="str">
        <f>IF(Agent03_Withdrawals!A49="","",Agent03_Withdrawals!B49)</f>
        <v/>
      </c>
      <c r="D444" s="40" t="str">
        <f>IF(Agent03_Withdrawals!A49="","",Agent03_Withdrawals!C49)</f>
        <v/>
      </c>
      <c r="E444" s="38" t="str">
        <f>IF(Agent03_Withdrawals!A49="","",Agent03_Withdrawals!D49)</f>
        <v/>
      </c>
      <c r="F444" s="37" t="str">
        <f>IF(Agent03_Withdrawals!A49="","",Agent03_Withdrawals!F49)</f>
        <v/>
      </c>
      <c r="G444" s="39" t="str">
        <f>IF(Agent03_Withdrawals!A49="","",Agent03_Withdrawals!E49)</f>
        <v/>
      </c>
      <c r="H444" s="39" t="str">
        <f>IF(Agent03_Withdrawals!A49="","",Agent03_Withdrawals!G49)</f>
        <v/>
      </c>
      <c r="I444" s="37" t="str">
        <f>IF(Agent03_Withdrawals!A49="","",Agent03_Withdrawals!H49)</f>
        <v/>
      </c>
      <c r="J444" s="37" t="str">
        <f>IF(Agent03_Withdrawals!A49="","",Agent03_Withdrawals!J49)</f>
        <v/>
      </c>
      <c r="K444" s="37" t="str">
        <f>IF(Agent03_Withdrawals!A49="","",Agent03_Withdrawals!K49)</f>
        <v/>
      </c>
      <c r="L444" s="37" t="str">
        <f>IF(G444="","",IF(D444-G444&gt;=System_Config!$B$9,"✅ OK","⚠️ BREACH"))</f>
        <v/>
      </c>
      <c r="M444" s="37" t="str">
        <f>IFERROR(IF(Agent03_Withdrawals!A49="","",YEAR(Agent03_Withdrawals!D49)),"")</f>
        <v/>
      </c>
    </row>
    <row r="445" spans="1:13" ht="18" customHeight="1" x14ac:dyDescent="0.25">
      <c r="A445" s="37" t="str">
        <f>IF(Agent03_Withdrawals!A50="","",Agent03_Withdrawals!A50)</f>
        <v/>
      </c>
      <c r="B445" s="37" t="str">
        <f ca="1">IF(Agent03_Withdrawals!A50="","","WD"&amp;TEXT(445-3,"0000")&amp;"-"&amp;TEXT(TODAY(),"YYYYMMDD"))</f>
        <v/>
      </c>
      <c r="C445" s="37" t="str">
        <f>IF(Agent03_Withdrawals!A50="","",Agent03_Withdrawals!B50)</f>
        <v/>
      </c>
      <c r="D445" s="40" t="str">
        <f>IF(Agent03_Withdrawals!A50="","",Agent03_Withdrawals!C50)</f>
        <v/>
      </c>
      <c r="E445" s="38" t="str">
        <f>IF(Agent03_Withdrawals!A50="","",Agent03_Withdrawals!D50)</f>
        <v/>
      </c>
      <c r="F445" s="37" t="str">
        <f>IF(Agent03_Withdrawals!A50="","",Agent03_Withdrawals!F50)</f>
        <v/>
      </c>
      <c r="G445" s="39" t="str">
        <f>IF(Agent03_Withdrawals!A50="","",Agent03_Withdrawals!E50)</f>
        <v/>
      </c>
      <c r="H445" s="39" t="str">
        <f>IF(Agent03_Withdrawals!A50="","",Agent03_Withdrawals!G50)</f>
        <v/>
      </c>
      <c r="I445" s="37" t="str">
        <f>IF(Agent03_Withdrawals!A50="","",Agent03_Withdrawals!H50)</f>
        <v/>
      </c>
      <c r="J445" s="37" t="str">
        <f>IF(Agent03_Withdrawals!A50="","",Agent03_Withdrawals!J50)</f>
        <v/>
      </c>
      <c r="K445" s="37" t="str">
        <f>IF(Agent03_Withdrawals!A50="","",Agent03_Withdrawals!K50)</f>
        <v/>
      </c>
      <c r="L445" s="37" t="str">
        <f>IF(G445="","",IF(D445-G445&gt;=System_Config!$B$9,"✅ OK","⚠️ BREACH"))</f>
        <v/>
      </c>
      <c r="M445" s="37" t="str">
        <f>IFERROR(IF(Agent03_Withdrawals!A50="","",YEAR(Agent03_Withdrawals!D50)),"")</f>
        <v/>
      </c>
    </row>
    <row r="446" spans="1:13" ht="18" customHeight="1" x14ac:dyDescent="0.25">
      <c r="A446" s="37" t="str">
        <f>IF(Agent03_Withdrawals!A51="","",Agent03_Withdrawals!A51)</f>
        <v/>
      </c>
      <c r="B446" s="37" t="str">
        <f ca="1">IF(Agent03_Withdrawals!A51="","","WD"&amp;TEXT(446-3,"0000")&amp;"-"&amp;TEXT(TODAY(),"YYYYMMDD"))</f>
        <v/>
      </c>
      <c r="C446" s="37" t="str">
        <f>IF(Agent03_Withdrawals!A51="","",Agent03_Withdrawals!B51)</f>
        <v/>
      </c>
      <c r="D446" s="40" t="str">
        <f>IF(Agent03_Withdrawals!A51="","",Agent03_Withdrawals!C51)</f>
        <v/>
      </c>
      <c r="E446" s="38" t="str">
        <f>IF(Agent03_Withdrawals!A51="","",Agent03_Withdrawals!D51)</f>
        <v/>
      </c>
      <c r="F446" s="37" t="str">
        <f>IF(Agent03_Withdrawals!A51="","",Agent03_Withdrawals!F51)</f>
        <v/>
      </c>
      <c r="G446" s="39" t="str">
        <f>IF(Agent03_Withdrawals!A51="","",Agent03_Withdrawals!E51)</f>
        <v/>
      </c>
      <c r="H446" s="39" t="str">
        <f>IF(Agent03_Withdrawals!A51="","",Agent03_Withdrawals!G51)</f>
        <v/>
      </c>
      <c r="I446" s="37" t="str">
        <f>IF(Agent03_Withdrawals!A51="","",Agent03_Withdrawals!H51)</f>
        <v/>
      </c>
      <c r="J446" s="37" t="str">
        <f>IF(Agent03_Withdrawals!A51="","",Agent03_Withdrawals!J51)</f>
        <v/>
      </c>
      <c r="K446" s="37" t="str">
        <f>IF(Agent03_Withdrawals!A51="","",Agent03_Withdrawals!K51)</f>
        <v/>
      </c>
      <c r="L446" s="37" t="str">
        <f>IF(G446="","",IF(D446-G446&gt;=System_Config!$B$9,"✅ OK","⚠️ BREACH"))</f>
        <v/>
      </c>
      <c r="M446" s="37" t="str">
        <f>IFERROR(IF(Agent03_Withdrawals!A51="","",YEAR(Agent03_Withdrawals!D51)),"")</f>
        <v/>
      </c>
    </row>
    <row r="447" spans="1:13" ht="18" customHeight="1" x14ac:dyDescent="0.25">
      <c r="A447" s="37" t="str">
        <f>IF(Agent03_Withdrawals!A52="","",Agent03_Withdrawals!A52)</f>
        <v/>
      </c>
      <c r="B447" s="37" t="str">
        <f ca="1">IF(Agent03_Withdrawals!A52="","","WD"&amp;TEXT(447-3,"0000")&amp;"-"&amp;TEXT(TODAY(),"YYYYMMDD"))</f>
        <v/>
      </c>
      <c r="C447" s="37" t="str">
        <f>IF(Agent03_Withdrawals!A52="","",Agent03_Withdrawals!B52)</f>
        <v/>
      </c>
      <c r="D447" s="40" t="str">
        <f>IF(Agent03_Withdrawals!A52="","",Agent03_Withdrawals!C52)</f>
        <v/>
      </c>
      <c r="E447" s="38" t="str">
        <f>IF(Agent03_Withdrawals!A52="","",Agent03_Withdrawals!D52)</f>
        <v/>
      </c>
      <c r="F447" s="37" t="str">
        <f>IF(Agent03_Withdrawals!A52="","",Agent03_Withdrawals!F52)</f>
        <v/>
      </c>
      <c r="G447" s="39" t="str">
        <f>IF(Agent03_Withdrawals!A52="","",Agent03_Withdrawals!E52)</f>
        <v/>
      </c>
      <c r="H447" s="39" t="str">
        <f>IF(Agent03_Withdrawals!A52="","",Agent03_Withdrawals!G52)</f>
        <v/>
      </c>
      <c r="I447" s="37" t="str">
        <f>IF(Agent03_Withdrawals!A52="","",Agent03_Withdrawals!H52)</f>
        <v/>
      </c>
      <c r="J447" s="37" t="str">
        <f>IF(Agent03_Withdrawals!A52="","",Agent03_Withdrawals!J52)</f>
        <v/>
      </c>
      <c r="K447" s="37" t="str">
        <f>IF(Agent03_Withdrawals!A52="","",Agent03_Withdrawals!K52)</f>
        <v/>
      </c>
      <c r="L447" s="37" t="str">
        <f>IF(G447="","",IF(D447-G447&gt;=System_Config!$B$9,"✅ OK","⚠️ BREACH"))</f>
        <v/>
      </c>
      <c r="M447" s="37" t="str">
        <f>IFERROR(IF(Agent03_Withdrawals!A52="","",YEAR(Agent03_Withdrawals!D52)),"")</f>
        <v/>
      </c>
    </row>
    <row r="448" spans="1:13" ht="18" customHeight="1" x14ac:dyDescent="0.25">
      <c r="A448" s="37" t="str">
        <f>IF(Agent03_Withdrawals!A53="","",Agent03_Withdrawals!A53)</f>
        <v/>
      </c>
      <c r="B448" s="37" t="str">
        <f ca="1">IF(Agent03_Withdrawals!A53="","","WD"&amp;TEXT(448-3,"0000")&amp;"-"&amp;TEXT(TODAY(),"YYYYMMDD"))</f>
        <v/>
      </c>
      <c r="C448" s="37" t="str">
        <f>IF(Agent03_Withdrawals!A53="","",Agent03_Withdrawals!B53)</f>
        <v/>
      </c>
      <c r="D448" s="40" t="str">
        <f>IF(Agent03_Withdrawals!A53="","",Agent03_Withdrawals!C53)</f>
        <v/>
      </c>
      <c r="E448" s="38" t="str">
        <f>IF(Agent03_Withdrawals!A53="","",Agent03_Withdrawals!D53)</f>
        <v/>
      </c>
      <c r="F448" s="37" t="str">
        <f>IF(Agent03_Withdrawals!A53="","",Agent03_Withdrawals!F53)</f>
        <v/>
      </c>
      <c r="G448" s="39" t="str">
        <f>IF(Agent03_Withdrawals!A53="","",Agent03_Withdrawals!E53)</f>
        <v/>
      </c>
      <c r="H448" s="39" t="str">
        <f>IF(Agent03_Withdrawals!A53="","",Agent03_Withdrawals!G53)</f>
        <v/>
      </c>
      <c r="I448" s="37" t="str">
        <f>IF(Agent03_Withdrawals!A53="","",Agent03_Withdrawals!H53)</f>
        <v/>
      </c>
      <c r="J448" s="37" t="str">
        <f>IF(Agent03_Withdrawals!A53="","",Agent03_Withdrawals!J53)</f>
        <v/>
      </c>
      <c r="K448" s="37" t="str">
        <f>IF(Agent03_Withdrawals!A53="","",Agent03_Withdrawals!K53)</f>
        <v/>
      </c>
      <c r="L448" s="37" t="str">
        <f>IF(G448="","",IF(D448-G448&gt;=System_Config!$B$9,"✅ OK","⚠️ BREACH"))</f>
        <v/>
      </c>
      <c r="M448" s="37" t="str">
        <f>IFERROR(IF(Agent03_Withdrawals!A53="","",YEAR(Agent03_Withdrawals!D53)),"")</f>
        <v/>
      </c>
    </row>
    <row r="449" spans="1:13" ht="18" customHeight="1" x14ac:dyDescent="0.25">
      <c r="A449" s="37" t="str">
        <f>IF(Agent03_Withdrawals!A54="","",Agent03_Withdrawals!A54)</f>
        <v/>
      </c>
      <c r="B449" s="37" t="str">
        <f ca="1">IF(Agent03_Withdrawals!A54="","","WD"&amp;TEXT(449-3,"0000")&amp;"-"&amp;TEXT(TODAY(),"YYYYMMDD"))</f>
        <v/>
      </c>
      <c r="C449" s="37" t="str">
        <f>IF(Agent03_Withdrawals!A54="","",Agent03_Withdrawals!B54)</f>
        <v/>
      </c>
      <c r="D449" s="40" t="str">
        <f>IF(Agent03_Withdrawals!A54="","",Agent03_Withdrawals!C54)</f>
        <v/>
      </c>
      <c r="E449" s="38" t="str">
        <f>IF(Agent03_Withdrawals!A54="","",Agent03_Withdrawals!D54)</f>
        <v/>
      </c>
      <c r="F449" s="37" t="str">
        <f>IF(Agent03_Withdrawals!A54="","",Agent03_Withdrawals!F54)</f>
        <v/>
      </c>
      <c r="G449" s="39" t="str">
        <f>IF(Agent03_Withdrawals!A54="","",Agent03_Withdrawals!E54)</f>
        <v/>
      </c>
      <c r="H449" s="39" t="str">
        <f>IF(Agent03_Withdrawals!A54="","",Agent03_Withdrawals!G54)</f>
        <v/>
      </c>
      <c r="I449" s="37" t="str">
        <f>IF(Agent03_Withdrawals!A54="","",Agent03_Withdrawals!H54)</f>
        <v/>
      </c>
      <c r="J449" s="37" t="str">
        <f>IF(Agent03_Withdrawals!A54="","",Agent03_Withdrawals!J54)</f>
        <v/>
      </c>
      <c r="K449" s="37" t="str">
        <f>IF(Agent03_Withdrawals!A54="","",Agent03_Withdrawals!K54)</f>
        <v/>
      </c>
      <c r="L449" s="37" t="str">
        <f>IF(G449="","",IF(D449-G449&gt;=System_Config!$B$9,"✅ OK","⚠️ BREACH"))</f>
        <v/>
      </c>
      <c r="M449" s="37" t="str">
        <f>IFERROR(IF(Agent03_Withdrawals!A54="","",YEAR(Agent03_Withdrawals!D54)),"")</f>
        <v/>
      </c>
    </row>
    <row r="450" spans="1:13" ht="18" customHeight="1" x14ac:dyDescent="0.25">
      <c r="A450" s="37" t="str">
        <f>IF(Agent03_Withdrawals!A55="","",Agent03_Withdrawals!A55)</f>
        <v/>
      </c>
      <c r="B450" s="37" t="str">
        <f ca="1">IF(Agent03_Withdrawals!A55="","","WD"&amp;TEXT(450-3,"0000")&amp;"-"&amp;TEXT(TODAY(),"YYYYMMDD"))</f>
        <v/>
      </c>
      <c r="C450" s="37" t="str">
        <f>IF(Agent03_Withdrawals!A55="","",Agent03_Withdrawals!B55)</f>
        <v/>
      </c>
      <c r="D450" s="40" t="str">
        <f>IF(Agent03_Withdrawals!A55="","",Agent03_Withdrawals!C55)</f>
        <v/>
      </c>
      <c r="E450" s="38" t="str">
        <f>IF(Agent03_Withdrawals!A55="","",Agent03_Withdrawals!D55)</f>
        <v/>
      </c>
      <c r="F450" s="37" t="str">
        <f>IF(Agent03_Withdrawals!A55="","",Agent03_Withdrawals!F55)</f>
        <v/>
      </c>
      <c r="G450" s="39" t="str">
        <f>IF(Agent03_Withdrawals!A55="","",Agent03_Withdrawals!E55)</f>
        <v/>
      </c>
      <c r="H450" s="39" t="str">
        <f>IF(Agent03_Withdrawals!A55="","",Agent03_Withdrawals!G55)</f>
        <v/>
      </c>
      <c r="I450" s="37" t="str">
        <f>IF(Agent03_Withdrawals!A55="","",Agent03_Withdrawals!H55)</f>
        <v/>
      </c>
      <c r="J450" s="37" t="str">
        <f>IF(Agent03_Withdrawals!A55="","",Agent03_Withdrawals!J55)</f>
        <v/>
      </c>
      <c r="K450" s="37" t="str">
        <f>IF(Agent03_Withdrawals!A55="","",Agent03_Withdrawals!K55)</f>
        <v/>
      </c>
      <c r="L450" s="37" t="str">
        <f>IF(G450="","",IF(D450-G450&gt;=System_Config!$B$9,"✅ OK","⚠️ BREACH"))</f>
        <v/>
      </c>
      <c r="M450" s="37" t="str">
        <f>IFERROR(IF(Agent03_Withdrawals!A55="","",YEAR(Agent03_Withdrawals!D55)),"")</f>
        <v/>
      </c>
    </row>
    <row r="451" spans="1:13" ht="18" customHeight="1" x14ac:dyDescent="0.25">
      <c r="A451" s="37" t="str">
        <f>IF(Agent03_Withdrawals!A56="","",Agent03_Withdrawals!A56)</f>
        <v/>
      </c>
      <c r="B451" s="37" t="str">
        <f ca="1">IF(Agent03_Withdrawals!A56="","","WD"&amp;TEXT(451-3,"0000")&amp;"-"&amp;TEXT(TODAY(),"YYYYMMDD"))</f>
        <v/>
      </c>
      <c r="C451" s="37" t="str">
        <f>IF(Agent03_Withdrawals!A56="","",Agent03_Withdrawals!B56)</f>
        <v/>
      </c>
      <c r="D451" s="40" t="str">
        <f>IF(Agent03_Withdrawals!A56="","",Agent03_Withdrawals!C56)</f>
        <v/>
      </c>
      <c r="E451" s="38" t="str">
        <f>IF(Agent03_Withdrawals!A56="","",Agent03_Withdrawals!D56)</f>
        <v/>
      </c>
      <c r="F451" s="37" t="str">
        <f>IF(Agent03_Withdrawals!A56="","",Agent03_Withdrawals!F56)</f>
        <v/>
      </c>
      <c r="G451" s="39" t="str">
        <f>IF(Agent03_Withdrawals!A56="","",Agent03_Withdrawals!E56)</f>
        <v/>
      </c>
      <c r="H451" s="39" t="str">
        <f>IF(Agent03_Withdrawals!A56="","",Agent03_Withdrawals!G56)</f>
        <v/>
      </c>
      <c r="I451" s="37" t="str">
        <f>IF(Agent03_Withdrawals!A56="","",Agent03_Withdrawals!H56)</f>
        <v/>
      </c>
      <c r="J451" s="37" t="str">
        <f>IF(Agent03_Withdrawals!A56="","",Agent03_Withdrawals!J56)</f>
        <v/>
      </c>
      <c r="K451" s="37" t="str">
        <f>IF(Agent03_Withdrawals!A56="","",Agent03_Withdrawals!K56)</f>
        <v/>
      </c>
      <c r="L451" s="37" t="str">
        <f>IF(G451="","",IF(D451-G451&gt;=System_Config!$B$9,"✅ OK","⚠️ BREACH"))</f>
        <v/>
      </c>
      <c r="M451" s="37" t="str">
        <f>IFERROR(IF(Agent03_Withdrawals!A56="","",YEAR(Agent03_Withdrawals!D56)),"")</f>
        <v/>
      </c>
    </row>
    <row r="452" spans="1:13" ht="18" customHeight="1" x14ac:dyDescent="0.25">
      <c r="A452" s="37" t="str">
        <f>IF(Agent03_Withdrawals!A57="","",Agent03_Withdrawals!A57)</f>
        <v/>
      </c>
      <c r="B452" s="37" t="str">
        <f ca="1">IF(Agent03_Withdrawals!A57="","","WD"&amp;TEXT(452-3,"0000")&amp;"-"&amp;TEXT(TODAY(),"YYYYMMDD"))</f>
        <v/>
      </c>
      <c r="C452" s="37" t="str">
        <f>IF(Agent03_Withdrawals!A57="","",Agent03_Withdrawals!B57)</f>
        <v/>
      </c>
      <c r="D452" s="40" t="str">
        <f>IF(Agent03_Withdrawals!A57="","",Agent03_Withdrawals!C57)</f>
        <v/>
      </c>
      <c r="E452" s="38" t="str">
        <f>IF(Agent03_Withdrawals!A57="","",Agent03_Withdrawals!D57)</f>
        <v/>
      </c>
      <c r="F452" s="37" t="str">
        <f>IF(Agent03_Withdrawals!A57="","",Agent03_Withdrawals!F57)</f>
        <v/>
      </c>
      <c r="G452" s="39" t="str">
        <f>IF(Agent03_Withdrawals!A57="","",Agent03_Withdrawals!E57)</f>
        <v/>
      </c>
      <c r="H452" s="39" t="str">
        <f>IF(Agent03_Withdrawals!A57="","",Agent03_Withdrawals!G57)</f>
        <v/>
      </c>
      <c r="I452" s="37" t="str">
        <f>IF(Agent03_Withdrawals!A57="","",Agent03_Withdrawals!H57)</f>
        <v/>
      </c>
      <c r="J452" s="37" t="str">
        <f>IF(Agent03_Withdrawals!A57="","",Agent03_Withdrawals!J57)</f>
        <v/>
      </c>
      <c r="K452" s="37" t="str">
        <f>IF(Agent03_Withdrawals!A57="","",Agent03_Withdrawals!K57)</f>
        <v/>
      </c>
      <c r="L452" s="37" t="str">
        <f>IF(G452="","",IF(D452-G452&gt;=System_Config!$B$9,"✅ OK","⚠️ BREACH"))</f>
        <v/>
      </c>
      <c r="M452" s="37" t="str">
        <f>IFERROR(IF(Agent03_Withdrawals!A57="","",YEAR(Agent03_Withdrawals!D57)),"")</f>
        <v/>
      </c>
    </row>
    <row r="453" spans="1:13" ht="18" customHeight="1" x14ac:dyDescent="0.25">
      <c r="A453" s="37" t="str">
        <f>IF(Agent03_Withdrawals!A58="","",Agent03_Withdrawals!A58)</f>
        <v/>
      </c>
      <c r="B453" s="37" t="str">
        <f ca="1">IF(Agent03_Withdrawals!A58="","","WD"&amp;TEXT(453-3,"0000")&amp;"-"&amp;TEXT(TODAY(),"YYYYMMDD"))</f>
        <v/>
      </c>
      <c r="C453" s="37" t="str">
        <f>IF(Agent03_Withdrawals!A58="","",Agent03_Withdrawals!B58)</f>
        <v/>
      </c>
      <c r="D453" s="40" t="str">
        <f>IF(Agent03_Withdrawals!A58="","",Agent03_Withdrawals!C58)</f>
        <v/>
      </c>
      <c r="E453" s="38" t="str">
        <f>IF(Agent03_Withdrawals!A58="","",Agent03_Withdrawals!D58)</f>
        <v/>
      </c>
      <c r="F453" s="37" t="str">
        <f>IF(Agent03_Withdrawals!A58="","",Agent03_Withdrawals!F58)</f>
        <v/>
      </c>
      <c r="G453" s="39" t="str">
        <f>IF(Agent03_Withdrawals!A58="","",Agent03_Withdrawals!E58)</f>
        <v/>
      </c>
      <c r="H453" s="39" t="str">
        <f>IF(Agent03_Withdrawals!A58="","",Agent03_Withdrawals!G58)</f>
        <v/>
      </c>
      <c r="I453" s="37" t="str">
        <f>IF(Agent03_Withdrawals!A58="","",Agent03_Withdrawals!H58)</f>
        <v/>
      </c>
      <c r="J453" s="37" t="str">
        <f>IF(Agent03_Withdrawals!A58="","",Agent03_Withdrawals!J58)</f>
        <v/>
      </c>
      <c r="K453" s="37" t="str">
        <f>IF(Agent03_Withdrawals!A58="","",Agent03_Withdrawals!K58)</f>
        <v/>
      </c>
      <c r="L453" s="37" t="str">
        <f>IF(G453="","",IF(D453-G453&gt;=System_Config!$B$9,"✅ OK","⚠️ BREACH"))</f>
        <v/>
      </c>
      <c r="M453" s="37" t="str">
        <f>IFERROR(IF(Agent03_Withdrawals!A58="","",YEAR(Agent03_Withdrawals!D58)),"")</f>
        <v/>
      </c>
    </row>
    <row r="454" spans="1:13" ht="18" customHeight="1" x14ac:dyDescent="0.25">
      <c r="A454" s="37" t="str">
        <f>IF(Agent03_Withdrawals!A59="","",Agent03_Withdrawals!A59)</f>
        <v/>
      </c>
      <c r="B454" s="37" t="str">
        <f ca="1">IF(Agent03_Withdrawals!A59="","","WD"&amp;TEXT(454-3,"0000")&amp;"-"&amp;TEXT(TODAY(),"YYYYMMDD"))</f>
        <v/>
      </c>
      <c r="C454" s="37" t="str">
        <f>IF(Agent03_Withdrawals!A59="","",Agent03_Withdrawals!B59)</f>
        <v/>
      </c>
      <c r="D454" s="40" t="str">
        <f>IF(Agent03_Withdrawals!A59="","",Agent03_Withdrawals!C59)</f>
        <v/>
      </c>
      <c r="E454" s="38" t="str">
        <f>IF(Agent03_Withdrawals!A59="","",Agent03_Withdrawals!D59)</f>
        <v/>
      </c>
      <c r="F454" s="37" t="str">
        <f>IF(Agent03_Withdrawals!A59="","",Agent03_Withdrawals!F59)</f>
        <v/>
      </c>
      <c r="G454" s="39" t="str">
        <f>IF(Agent03_Withdrawals!A59="","",Agent03_Withdrawals!E59)</f>
        <v/>
      </c>
      <c r="H454" s="39" t="str">
        <f>IF(Agent03_Withdrawals!A59="","",Agent03_Withdrawals!G59)</f>
        <v/>
      </c>
      <c r="I454" s="37" t="str">
        <f>IF(Agent03_Withdrawals!A59="","",Agent03_Withdrawals!H59)</f>
        <v/>
      </c>
      <c r="J454" s="37" t="str">
        <f>IF(Agent03_Withdrawals!A59="","",Agent03_Withdrawals!J59)</f>
        <v/>
      </c>
      <c r="K454" s="37" t="str">
        <f>IF(Agent03_Withdrawals!A59="","",Agent03_Withdrawals!K59)</f>
        <v/>
      </c>
      <c r="L454" s="37" t="str">
        <f>IF(G454="","",IF(D454-G454&gt;=System_Config!$B$9,"✅ OK","⚠️ BREACH"))</f>
        <v/>
      </c>
      <c r="M454" s="37" t="str">
        <f>IFERROR(IF(Agent03_Withdrawals!A59="","",YEAR(Agent03_Withdrawals!D59)),"")</f>
        <v/>
      </c>
    </row>
    <row r="455" spans="1:13" ht="18" customHeight="1" x14ac:dyDescent="0.25">
      <c r="A455" s="37" t="str">
        <f>IF(Agent03_Withdrawals!A60="","",Agent03_Withdrawals!A60)</f>
        <v/>
      </c>
      <c r="B455" s="37" t="str">
        <f ca="1">IF(Agent03_Withdrawals!A60="","","WD"&amp;TEXT(455-3,"0000")&amp;"-"&amp;TEXT(TODAY(),"YYYYMMDD"))</f>
        <v/>
      </c>
      <c r="C455" s="37" t="str">
        <f>IF(Agent03_Withdrawals!A60="","",Agent03_Withdrawals!B60)</f>
        <v/>
      </c>
      <c r="D455" s="40" t="str">
        <f>IF(Agent03_Withdrawals!A60="","",Agent03_Withdrawals!C60)</f>
        <v/>
      </c>
      <c r="E455" s="38" t="str">
        <f>IF(Agent03_Withdrawals!A60="","",Agent03_Withdrawals!D60)</f>
        <v/>
      </c>
      <c r="F455" s="37" t="str">
        <f>IF(Agent03_Withdrawals!A60="","",Agent03_Withdrawals!F60)</f>
        <v/>
      </c>
      <c r="G455" s="39" t="str">
        <f>IF(Agent03_Withdrawals!A60="","",Agent03_Withdrawals!E60)</f>
        <v/>
      </c>
      <c r="H455" s="39" t="str">
        <f>IF(Agent03_Withdrawals!A60="","",Agent03_Withdrawals!G60)</f>
        <v/>
      </c>
      <c r="I455" s="37" t="str">
        <f>IF(Agent03_Withdrawals!A60="","",Agent03_Withdrawals!H60)</f>
        <v/>
      </c>
      <c r="J455" s="37" t="str">
        <f>IF(Agent03_Withdrawals!A60="","",Agent03_Withdrawals!J60)</f>
        <v/>
      </c>
      <c r="K455" s="37" t="str">
        <f>IF(Agent03_Withdrawals!A60="","",Agent03_Withdrawals!K60)</f>
        <v/>
      </c>
      <c r="L455" s="37" t="str">
        <f>IF(G455="","",IF(D455-G455&gt;=System_Config!$B$9,"✅ OK","⚠️ BREACH"))</f>
        <v/>
      </c>
      <c r="M455" s="37" t="str">
        <f>IFERROR(IF(Agent03_Withdrawals!A60="","",YEAR(Agent03_Withdrawals!D60)),"")</f>
        <v/>
      </c>
    </row>
    <row r="456" spans="1:13" ht="18" customHeight="1" x14ac:dyDescent="0.25">
      <c r="A456" s="37" t="str">
        <f>IF(Agent03_Withdrawals!A61="","",Agent03_Withdrawals!A61)</f>
        <v/>
      </c>
      <c r="B456" s="37" t="str">
        <f ca="1">IF(Agent03_Withdrawals!A61="","","WD"&amp;TEXT(456-3,"0000")&amp;"-"&amp;TEXT(TODAY(),"YYYYMMDD"))</f>
        <v/>
      </c>
      <c r="C456" s="37" t="str">
        <f>IF(Agent03_Withdrawals!A61="","",Agent03_Withdrawals!B61)</f>
        <v/>
      </c>
      <c r="D456" s="40" t="str">
        <f>IF(Agent03_Withdrawals!A61="","",Agent03_Withdrawals!C61)</f>
        <v/>
      </c>
      <c r="E456" s="38" t="str">
        <f>IF(Agent03_Withdrawals!A61="","",Agent03_Withdrawals!D61)</f>
        <v/>
      </c>
      <c r="F456" s="37" t="str">
        <f>IF(Agent03_Withdrawals!A61="","",Agent03_Withdrawals!F61)</f>
        <v/>
      </c>
      <c r="G456" s="39" t="str">
        <f>IF(Agent03_Withdrawals!A61="","",Agent03_Withdrawals!E61)</f>
        <v/>
      </c>
      <c r="H456" s="39" t="str">
        <f>IF(Agent03_Withdrawals!A61="","",Agent03_Withdrawals!G61)</f>
        <v/>
      </c>
      <c r="I456" s="37" t="str">
        <f>IF(Agent03_Withdrawals!A61="","",Agent03_Withdrawals!H61)</f>
        <v/>
      </c>
      <c r="J456" s="37" t="str">
        <f>IF(Agent03_Withdrawals!A61="","",Agent03_Withdrawals!J61)</f>
        <v/>
      </c>
      <c r="K456" s="37" t="str">
        <f>IF(Agent03_Withdrawals!A61="","",Agent03_Withdrawals!K61)</f>
        <v/>
      </c>
      <c r="L456" s="37" t="str">
        <f>IF(G456="","",IF(D456-G456&gt;=System_Config!$B$9,"✅ OK","⚠️ BREACH"))</f>
        <v/>
      </c>
      <c r="M456" s="37" t="str">
        <f>IFERROR(IF(Agent03_Withdrawals!A61="","",YEAR(Agent03_Withdrawals!D61)),"")</f>
        <v/>
      </c>
    </row>
    <row r="457" spans="1:13" ht="18" customHeight="1" x14ac:dyDescent="0.25">
      <c r="A457" s="37" t="str">
        <f>IF(Agent03_Withdrawals!A62="","",Agent03_Withdrawals!A62)</f>
        <v/>
      </c>
      <c r="B457" s="37" t="str">
        <f ca="1">IF(Agent03_Withdrawals!A62="","","WD"&amp;TEXT(457-3,"0000")&amp;"-"&amp;TEXT(TODAY(),"YYYYMMDD"))</f>
        <v/>
      </c>
      <c r="C457" s="37" t="str">
        <f>IF(Agent03_Withdrawals!A62="","",Agent03_Withdrawals!B62)</f>
        <v/>
      </c>
      <c r="D457" s="40" t="str">
        <f>IF(Agent03_Withdrawals!A62="","",Agent03_Withdrawals!C62)</f>
        <v/>
      </c>
      <c r="E457" s="38" t="str">
        <f>IF(Agent03_Withdrawals!A62="","",Agent03_Withdrawals!D62)</f>
        <v/>
      </c>
      <c r="F457" s="37" t="str">
        <f>IF(Agent03_Withdrawals!A62="","",Agent03_Withdrawals!F62)</f>
        <v/>
      </c>
      <c r="G457" s="39" t="str">
        <f>IF(Agent03_Withdrawals!A62="","",Agent03_Withdrawals!E62)</f>
        <v/>
      </c>
      <c r="H457" s="39" t="str">
        <f>IF(Agent03_Withdrawals!A62="","",Agent03_Withdrawals!G62)</f>
        <v/>
      </c>
      <c r="I457" s="37" t="str">
        <f>IF(Agent03_Withdrawals!A62="","",Agent03_Withdrawals!H62)</f>
        <v/>
      </c>
      <c r="J457" s="37" t="str">
        <f>IF(Agent03_Withdrawals!A62="","",Agent03_Withdrawals!J62)</f>
        <v/>
      </c>
      <c r="K457" s="37" t="str">
        <f>IF(Agent03_Withdrawals!A62="","",Agent03_Withdrawals!K62)</f>
        <v/>
      </c>
      <c r="L457" s="37" t="str">
        <f>IF(G457="","",IF(D457-G457&gt;=System_Config!$B$9,"✅ OK","⚠️ BREACH"))</f>
        <v/>
      </c>
      <c r="M457" s="37" t="str">
        <f>IFERROR(IF(Agent03_Withdrawals!A62="","",YEAR(Agent03_Withdrawals!D62)),"")</f>
        <v/>
      </c>
    </row>
    <row r="458" spans="1:13" ht="18" customHeight="1" x14ac:dyDescent="0.25">
      <c r="A458" s="37" t="str">
        <f>IF(Agent03_Withdrawals!A63="","",Agent03_Withdrawals!A63)</f>
        <v/>
      </c>
      <c r="B458" s="37" t="str">
        <f ca="1">IF(Agent03_Withdrawals!A63="","","WD"&amp;TEXT(458-3,"0000")&amp;"-"&amp;TEXT(TODAY(),"YYYYMMDD"))</f>
        <v/>
      </c>
      <c r="C458" s="37" t="str">
        <f>IF(Agent03_Withdrawals!A63="","",Agent03_Withdrawals!B63)</f>
        <v/>
      </c>
      <c r="D458" s="40" t="str">
        <f>IF(Agent03_Withdrawals!A63="","",Agent03_Withdrawals!C63)</f>
        <v/>
      </c>
      <c r="E458" s="38" t="str">
        <f>IF(Agent03_Withdrawals!A63="","",Agent03_Withdrawals!D63)</f>
        <v/>
      </c>
      <c r="F458" s="37" t="str">
        <f>IF(Agent03_Withdrawals!A63="","",Agent03_Withdrawals!F63)</f>
        <v/>
      </c>
      <c r="G458" s="39" t="str">
        <f>IF(Agent03_Withdrawals!A63="","",Agent03_Withdrawals!E63)</f>
        <v/>
      </c>
      <c r="H458" s="39" t="str">
        <f>IF(Agent03_Withdrawals!A63="","",Agent03_Withdrawals!G63)</f>
        <v/>
      </c>
      <c r="I458" s="37" t="str">
        <f>IF(Agent03_Withdrawals!A63="","",Agent03_Withdrawals!H63)</f>
        <v/>
      </c>
      <c r="J458" s="37" t="str">
        <f>IF(Agent03_Withdrawals!A63="","",Agent03_Withdrawals!J63)</f>
        <v/>
      </c>
      <c r="K458" s="37" t="str">
        <f>IF(Agent03_Withdrawals!A63="","",Agent03_Withdrawals!K63)</f>
        <v/>
      </c>
      <c r="L458" s="37" t="str">
        <f>IF(G458="","",IF(D458-G458&gt;=System_Config!$B$9,"✅ OK","⚠️ BREACH"))</f>
        <v/>
      </c>
      <c r="M458" s="37" t="str">
        <f>IFERROR(IF(Agent03_Withdrawals!A63="","",YEAR(Agent03_Withdrawals!D63)),"")</f>
        <v/>
      </c>
    </row>
    <row r="459" spans="1:13" ht="18" customHeight="1" x14ac:dyDescent="0.25">
      <c r="A459" s="37" t="str">
        <f>IF(Agent03_Withdrawals!A64="","",Agent03_Withdrawals!A64)</f>
        <v/>
      </c>
      <c r="B459" s="37" t="str">
        <f ca="1">IF(Agent03_Withdrawals!A64="","","WD"&amp;TEXT(459-3,"0000")&amp;"-"&amp;TEXT(TODAY(),"YYYYMMDD"))</f>
        <v/>
      </c>
      <c r="C459" s="37" t="str">
        <f>IF(Agent03_Withdrawals!A64="","",Agent03_Withdrawals!B64)</f>
        <v/>
      </c>
      <c r="D459" s="40" t="str">
        <f>IF(Agent03_Withdrawals!A64="","",Agent03_Withdrawals!C64)</f>
        <v/>
      </c>
      <c r="E459" s="38" t="str">
        <f>IF(Agent03_Withdrawals!A64="","",Agent03_Withdrawals!D64)</f>
        <v/>
      </c>
      <c r="F459" s="37" t="str">
        <f>IF(Agent03_Withdrawals!A64="","",Agent03_Withdrawals!F64)</f>
        <v/>
      </c>
      <c r="G459" s="39" t="str">
        <f>IF(Agent03_Withdrawals!A64="","",Agent03_Withdrawals!E64)</f>
        <v/>
      </c>
      <c r="H459" s="39" t="str">
        <f>IF(Agent03_Withdrawals!A64="","",Agent03_Withdrawals!G64)</f>
        <v/>
      </c>
      <c r="I459" s="37" t="str">
        <f>IF(Agent03_Withdrawals!A64="","",Agent03_Withdrawals!H64)</f>
        <v/>
      </c>
      <c r="J459" s="37" t="str">
        <f>IF(Agent03_Withdrawals!A64="","",Agent03_Withdrawals!J64)</f>
        <v/>
      </c>
      <c r="K459" s="37" t="str">
        <f>IF(Agent03_Withdrawals!A64="","",Agent03_Withdrawals!K64)</f>
        <v/>
      </c>
      <c r="L459" s="37" t="str">
        <f>IF(G459="","",IF(D459-G459&gt;=System_Config!$B$9,"✅ OK","⚠️ BREACH"))</f>
        <v/>
      </c>
      <c r="M459" s="37" t="str">
        <f>IFERROR(IF(Agent03_Withdrawals!A64="","",YEAR(Agent03_Withdrawals!D64)),"")</f>
        <v/>
      </c>
    </row>
    <row r="460" spans="1:13" ht="18" customHeight="1" x14ac:dyDescent="0.25">
      <c r="A460" s="37" t="str">
        <f>IF(Agent03_Withdrawals!A65="","",Agent03_Withdrawals!A65)</f>
        <v/>
      </c>
      <c r="B460" s="37" t="str">
        <f ca="1">IF(Agent03_Withdrawals!A65="","","WD"&amp;TEXT(460-3,"0000")&amp;"-"&amp;TEXT(TODAY(),"YYYYMMDD"))</f>
        <v/>
      </c>
      <c r="C460" s="37" t="str">
        <f>IF(Agent03_Withdrawals!A65="","",Agent03_Withdrawals!B65)</f>
        <v/>
      </c>
      <c r="D460" s="40" t="str">
        <f>IF(Agent03_Withdrawals!A65="","",Agent03_Withdrawals!C65)</f>
        <v/>
      </c>
      <c r="E460" s="38" t="str">
        <f>IF(Agent03_Withdrawals!A65="","",Agent03_Withdrawals!D65)</f>
        <v/>
      </c>
      <c r="F460" s="37" t="str">
        <f>IF(Agent03_Withdrawals!A65="","",Agent03_Withdrawals!F65)</f>
        <v/>
      </c>
      <c r="G460" s="39" t="str">
        <f>IF(Agent03_Withdrawals!A65="","",Agent03_Withdrawals!E65)</f>
        <v/>
      </c>
      <c r="H460" s="39" t="str">
        <f>IF(Agent03_Withdrawals!A65="","",Agent03_Withdrawals!G65)</f>
        <v/>
      </c>
      <c r="I460" s="37" t="str">
        <f>IF(Agent03_Withdrawals!A65="","",Agent03_Withdrawals!H65)</f>
        <v/>
      </c>
      <c r="J460" s="37" t="str">
        <f>IF(Agent03_Withdrawals!A65="","",Agent03_Withdrawals!J65)</f>
        <v/>
      </c>
      <c r="K460" s="37" t="str">
        <f>IF(Agent03_Withdrawals!A65="","",Agent03_Withdrawals!K65)</f>
        <v/>
      </c>
      <c r="L460" s="37" t="str">
        <f>IF(G460="","",IF(D460-G460&gt;=System_Config!$B$9,"✅ OK","⚠️ BREACH"))</f>
        <v/>
      </c>
      <c r="M460" s="37" t="str">
        <f>IFERROR(IF(Agent03_Withdrawals!A65="","",YEAR(Agent03_Withdrawals!D65)),"")</f>
        <v/>
      </c>
    </row>
    <row r="461" spans="1:13" ht="18" customHeight="1" x14ac:dyDescent="0.25">
      <c r="A461" s="37" t="str">
        <f>IF(Agent03_Withdrawals!A66="","",Agent03_Withdrawals!A66)</f>
        <v/>
      </c>
      <c r="B461" s="37" t="str">
        <f ca="1">IF(Agent03_Withdrawals!A66="","","WD"&amp;TEXT(461-3,"0000")&amp;"-"&amp;TEXT(TODAY(),"YYYYMMDD"))</f>
        <v/>
      </c>
      <c r="C461" s="37" t="str">
        <f>IF(Agent03_Withdrawals!A66="","",Agent03_Withdrawals!B66)</f>
        <v/>
      </c>
      <c r="D461" s="40" t="str">
        <f>IF(Agent03_Withdrawals!A66="","",Agent03_Withdrawals!C66)</f>
        <v/>
      </c>
      <c r="E461" s="38" t="str">
        <f>IF(Agent03_Withdrawals!A66="","",Agent03_Withdrawals!D66)</f>
        <v/>
      </c>
      <c r="F461" s="37" t="str">
        <f>IF(Agent03_Withdrawals!A66="","",Agent03_Withdrawals!F66)</f>
        <v/>
      </c>
      <c r="G461" s="39" t="str">
        <f>IF(Agent03_Withdrawals!A66="","",Agent03_Withdrawals!E66)</f>
        <v/>
      </c>
      <c r="H461" s="39" t="str">
        <f>IF(Agent03_Withdrawals!A66="","",Agent03_Withdrawals!G66)</f>
        <v/>
      </c>
      <c r="I461" s="37" t="str">
        <f>IF(Agent03_Withdrawals!A66="","",Agent03_Withdrawals!H66)</f>
        <v/>
      </c>
      <c r="J461" s="37" t="str">
        <f>IF(Agent03_Withdrawals!A66="","",Agent03_Withdrawals!J66)</f>
        <v/>
      </c>
      <c r="K461" s="37" t="str">
        <f>IF(Agent03_Withdrawals!A66="","",Agent03_Withdrawals!K66)</f>
        <v/>
      </c>
      <c r="L461" s="37" t="str">
        <f>IF(G461="","",IF(D461-G461&gt;=System_Config!$B$9,"✅ OK","⚠️ BREACH"))</f>
        <v/>
      </c>
      <c r="M461" s="37" t="str">
        <f>IFERROR(IF(Agent03_Withdrawals!A66="","",YEAR(Agent03_Withdrawals!D66)),"")</f>
        <v/>
      </c>
    </row>
    <row r="462" spans="1:13" ht="18" customHeight="1" x14ac:dyDescent="0.25">
      <c r="A462" s="37" t="str">
        <f>IF(Agent03_Withdrawals!A67="","",Agent03_Withdrawals!A67)</f>
        <v/>
      </c>
      <c r="B462" s="37" t="str">
        <f ca="1">IF(Agent03_Withdrawals!A67="","","WD"&amp;TEXT(462-3,"0000")&amp;"-"&amp;TEXT(TODAY(),"YYYYMMDD"))</f>
        <v/>
      </c>
      <c r="C462" s="37" t="str">
        <f>IF(Agent03_Withdrawals!A67="","",Agent03_Withdrawals!B67)</f>
        <v/>
      </c>
      <c r="D462" s="40" t="str">
        <f>IF(Agent03_Withdrawals!A67="","",Agent03_Withdrawals!C67)</f>
        <v/>
      </c>
      <c r="E462" s="38" t="str">
        <f>IF(Agent03_Withdrawals!A67="","",Agent03_Withdrawals!D67)</f>
        <v/>
      </c>
      <c r="F462" s="37" t="str">
        <f>IF(Agent03_Withdrawals!A67="","",Agent03_Withdrawals!F67)</f>
        <v/>
      </c>
      <c r="G462" s="39" t="str">
        <f>IF(Agent03_Withdrawals!A67="","",Agent03_Withdrawals!E67)</f>
        <v/>
      </c>
      <c r="H462" s="39" t="str">
        <f>IF(Agent03_Withdrawals!A67="","",Agent03_Withdrawals!G67)</f>
        <v/>
      </c>
      <c r="I462" s="37" t="str">
        <f>IF(Agent03_Withdrawals!A67="","",Agent03_Withdrawals!H67)</f>
        <v/>
      </c>
      <c r="J462" s="37" t="str">
        <f>IF(Agent03_Withdrawals!A67="","",Agent03_Withdrawals!J67)</f>
        <v/>
      </c>
      <c r="K462" s="37" t="str">
        <f>IF(Agent03_Withdrawals!A67="","",Agent03_Withdrawals!K67)</f>
        <v/>
      </c>
      <c r="L462" s="37" t="str">
        <f>IF(G462="","",IF(D462-G462&gt;=System_Config!$B$9,"✅ OK","⚠️ BREACH"))</f>
        <v/>
      </c>
      <c r="M462" s="37" t="str">
        <f>IFERROR(IF(Agent03_Withdrawals!A67="","",YEAR(Agent03_Withdrawals!D67)),"")</f>
        <v/>
      </c>
    </row>
    <row r="463" spans="1:13" ht="18" customHeight="1" x14ac:dyDescent="0.25">
      <c r="A463" s="37" t="str">
        <f>IF(Agent03_Withdrawals!A68="","",Agent03_Withdrawals!A68)</f>
        <v/>
      </c>
      <c r="B463" s="37" t="str">
        <f ca="1">IF(Agent03_Withdrawals!A68="","","WD"&amp;TEXT(463-3,"0000")&amp;"-"&amp;TEXT(TODAY(),"YYYYMMDD"))</f>
        <v/>
      </c>
      <c r="C463" s="37" t="str">
        <f>IF(Agent03_Withdrawals!A68="","",Agent03_Withdrawals!B68)</f>
        <v/>
      </c>
      <c r="D463" s="40" t="str">
        <f>IF(Agent03_Withdrawals!A68="","",Agent03_Withdrawals!C68)</f>
        <v/>
      </c>
      <c r="E463" s="38" t="str">
        <f>IF(Agent03_Withdrawals!A68="","",Agent03_Withdrawals!D68)</f>
        <v/>
      </c>
      <c r="F463" s="37" t="str">
        <f>IF(Agent03_Withdrawals!A68="","",Agent03_Withdrawals!F68)</f>
        <v/>
      </c>
      <c r="G463" s="39" t="str">
        <f>IF(Agent03_Withdrawals!A68="","",Agent03_Withdrawals!E68)</f>
        <v/>
      </c>
      <c r="H463" s="39" t="str">
        <f>IF(Agent03_Withdrawals!A68="","",Agent03_Withdrawals!G68)</f>
        <v/>
      </c>
      <c r="I463" s="37" t="str">
        <f>IF(Agent03_Withdrawals!A68="","",Agent03_Withdrawals!H68)</f>
        <v/>
      </c>
      <c r="J463" s="37" t="str">
        <f>IF(Agent03_Withdrawals!A68="","",Agent03_Withdrawals!J68)</f>
        <v/>
      </c>
      <c r="K463" s="37" t="str">
        <f>IF(Agent03_Withdrawals!A68="","",Agent03_Withdrawals!K68)</f>
        <v/>
      </c>
      <c r="L463" s="37" t="str">
        <f>IF(G463="","",IF(D463-G463&gt;=System_Config!$B$9,"✅ OK","⚠️ BREACH"))</f>
        <v/>
      </c>
      <c r="M463" s="37" t="str">
        <f>IFERROR(IF(Agent03_Withdrawals!A68="","",YEAR(Agent03_Withdrawals!D68)),"")</f>
        <v/>
      </c>
    </row>
    <row r="464" spans="1:13" ht="18" customHeight="1" x14ac:dyDescent="0.25">
      <c r="A464" s="37" t="str">
        <f>IF(Agent03_Withdrawals!A69="","",Agent03_Withdrawals!A69)</f>
        <v/>
      </c>
      <c r="B464" s="37" t="str">
        <f ca="1">IF(Agent03_Withdrawals!A69="","","WD"&amp;TEXT(464-3,"0000")&amp;"-"&amp;TEXT(TODAY(),"YYYYMMDD"))</f>
        <v/>
      </c>
      <c r="C464" s="37" t="str">
        <f>IF(Agent03_Withdrawals!A69="","",Agent03_Withdrawals!B69)</f>
        <v/>
      </c>
      <c r="D464" s="40" t="str">
        <f>IF(Agent03_Withdrawals!A69="","",Agent03_Withdrawals!C69)</f>
        <v/>
      </c>
      <c r="E464" s="38" t="str">
        <f>IF(Agent03_Withdrawals!A69="","",Agent03_Withdrawals!D69)</f>
        <v/>
      </c>
      <c r="F464" s="37" t="str">
        <f>IF(Agent03_Withdrawals!A69="","",Agent03_Withdrawals!F69)</f>
        <v/>
      </c>
      <c r="G464" s="39" t="str">
        <f>IF(Agent03_Withdrawals!A69="","",Agent03_Withdrawals!E69)</f>
        <v/>
      </c>
      <c r="H464" s="39" t="str">
        <f>IF(Agent03_Withdrawals!A69="","",Agent03_Withdrawals!G69)</f>
        <v/>
      </c>
      <c r="I464" s="37" t="str">
        <f>IF(Agent03_Withdrawals!A69="","",Agent03_Withdrawals!H69)</f>
        <v/>
      </c>
      <c r="J464" s="37" t="str">
        <f>IF(Agent03_Withdrawals!A69="","",Agent03_Withdrawals!J69)</f>
        <v/>
      </c>
      <c r="K464" s="37" t="str">
        <f>IF(Agent03_Withdrawals!A69="","",Agent03_Withdrawals!K69)</f>
        <v/>
      </c>
      <c r="L464" s="37" t="str">
        <f>IF(G464="","",IF(D464-G464&gt;=System_Config!$B$9,"✅ OK","⚠️ BREACH"))</f>
        <v/>
      </c>
      <c r="M464" s="37" t="str">
        <f>IFERROR(IF(Agent03_Withdrawals!A69="","",YEAR(Agent03_Withdrawals!D69)),"")</f>
        <v/>
      </c>
    </row>
    <row r="465" spans="1:13" ht="18" customHeight="1" x14ac:dyDescent="0.25">
      <c r="A465" s="37" t="str">
        <f>IF(Agent03_Withdrawals!A70="","",Agent03_Withdrawals!A70)</f>
        <v/>
      </c>
      <c r="B465" s="37" t="str">
        <f ca="1">IF(Agent03_Withdrawals!A70="","","WD"&amp;TEXT(465-3,"0000")&amp;"-"&amp;TEXT(TODAY(),"YYYYMMDD"))</f>
        <v/>
      </c>
      <c r="C465" s="37" t="str">
        <f>IF(Agent03_Withdrawals!A70="","",Agent03_Withdrawals!B70)</f>
        <v/>
      </c>
      <c r="D465" s="40" t="str">
        <f>IF(Agent03_Withdrawals!A70="","",Agent03_Withdrawals!C70)</f>
        <v/>
      </c>
      <c r="E465" s="38" t="str">
        <f>IF(Agent03_Withdrawals!A70="","",Agent03_Withdrawals!D70)</f>
        <v/>
      </c>
      <c r="F465" s="37" t="str">
        <f>IF(Agent03_Withdrawals!A70="","",Agent03_Withdrawals!F70)</f>
        <v/>
      </c>
      <c r="G465" s="39" t="str">
        <f>IF(Agent03_Withdrawals!A70="","",Agent03_Withdrawals!E70)</f>
        <v/>
      </c>
      <c r="H465" s="39" t="str">
        <f>IF(Agent03_Withdrawals!A70="","",Agent03_Withdrawals!G70)</f>
        <v/>
      </c>
      <c r="I465" s="37" t="str">
        <f>IF(Agent03_Withdrawals!A70="","",Agent03_Withdrawals!H70)</f>
        <v/>
      </c>
      <c r="J465" s="37" t="str">
        <f>IF(Agent03_Withdrawals!A70="","",Agent03_Withdrawals!J70)</f>
        <v/>
      </c>
      <c r="K465" s="37" t="str">
        <f>IF(Agent03_Withdrawals!A70="","",Agent03_Withdrawals!K70)</f>
        <v/>
      </c>
      <c r="L465" s="37" t="str">
        <f>IF(G465="","",IF(D465-G465&gt;=System_Config!$B$9,"✅ OK","⚠️ BREACH"))</f>
        <v/>
      </c>
      <c r="M465" s="37" t="str">
        <f>IFERROR(IF(Agent03_Withdrawals!A70="","",YEAR(Agent03_Withdrawals!D70)),"")</f>
        <v/>
      </c>
    </row>
    <row r="466" spans="1:13" ht="18" customHeight="1" x14ac:dyDescent="0.25">
      <c r="A466" s="37" t="str">
        <f>IF(Agent03_Withdrawals!A71="","",Agent03_Withdrawals!A71)</f>
        <v/>
      </c>
      <c r="B466" s="37" t="str">
        <f ca="1">IF(Agent03_Withdrawals!A71="","","WD"&amp;TEXT(466-3,"0000")&amp;"-"&amp;TEXT(TODAY(),"YYYYMMDD"))</f>
        <v/>
      </c>
      <c r="C466" s="37" t="str">
        <f>IF(Agent03_Withdrawals!A71="","",Agent03_Withdrawals!B71)</f>
        <v/>
      </c>
      <c r="D466" s="40" t="str">
        <f>IF(Agent03_Withdrawals!A71="","",Agent03_Withdrawals!C71)</f>
        <v/>
      </c>
      <c r="E466" s="38" t="str">
        <f>IF(Agent03_Withdrawals!A71="","",Agent03_Withdrawals!D71)</f>
        <v/>
      </c>
      <c r="F466" s="37" t="str">
        <f>IF(Agent03_Withdrawals!A71="","",Agent03_Withdrawals!F71)</f>
        <v/>
      </c>
      <c r="G466" s="39" t="str">
        <f>IF(Agent03_Withdrawals!A71="","",Agent03_Withdrawals!E71)</f>
        <v/>
      </c>
      <c r="H466" s="39" t="str">
        <f>IF(Agent03_Withdrawals!A71="","",Agent03_Withdrawals!G71)</f>
        <v/>
      </c>
      <c r="I466" s="37" t="str">
        <f>IF(Agent03_Withdrawals!A71="","",Agent03_Withdrawals!H71)</f>
        <v/>
      </c>
      <c r="J466" s="37" t="str">
        <f>IF(Agent03_Withdrawals!A71="","",Agent03_Withdrawals!J71)</f>
        <v/>
      </c>
      <c r="K466" s="37" t="str">
        <f>IF(Agent03_Withdrawals!A71="","",Agent03_Withdrawals!K71)</f>
        <v/>
      </c>
      <c r="L466" s="37" t="str">
        <f>IF(G466="","",IF(D466-G466&gt;=System_Config!$B$9,"✅ OK","⚠️ BREACH"))</f>
        <v/>
      </c>
      <c r="M466" s="37" t="str">
        <f>IFERROR(IF(Agent03_Withdrawals!A71="","",YEAR(Agent03_Withdrawals!D71)),"")</f>
        <v/>
      </c>
    </row>
    <row r="467" spans="1:13" ht="18" customHeight="1" x14ac:dyDescent="0.25">
      <c r="A467" s="37" t="str">
        <f>IF(Agent03_Withdrawals!A72="","",Agent03_Withdrawals!A72)</f>
        <v/>
      </c>
      <c r="B467" s="37" t="str">
        <f ca="1">IF(Agent03_Withdrawals!A72="","","WD"&amp;TEXT(467-3,"0000")&amp;"-"&amp;TEXT(TODAY(),"YYYYMMDD"))</f>
        <v/>
      </c>
      <c r="C467" s="37" t="str">
        <f>IF(Agent03_Withdrawals!A72="","",Agent03_Withdrawals!B72)</f>
        <v/>
      </c>
      <c r="D467" s="40" t="str">
        <f>IF(Agent03_Withdrawals!A72="","",Agent03_Withdrawals!C72)</f>
        <v/>
      </c>
      <c r="E467" s="38" t="str">
        <f>IF(Agent03_Withdrawals!A72="","",Agent03_Withdrawals!D72)</f>
        <v/>
      </c>
      <c r="F467" s="37" t="str">
        <f>IF(Agent03_Withdrawals!A72="","",Agent03_Withdrawals!F72)</f>
        <v/>
      </c>
      <c r="G467" s="39" t="str">
        <f>IF(Agent03_Withdrawals!A72="","",Agent03_Withdrawals!E72)</f>
        <v/>
      </c>
      <c r="H467" s="39" t="str">
        <f>IF(Agent03_Withdrawals!A72="","",Agent03_Withdrawals!G72)</f>
        <v/>
      </c>
      <c r="I467" s="37" t="str">
        <f>IF(Agent03_Withdrawals!A72="","",Agent03_Withdrawals!H72)</f>
        <v/>
      </c>
      <c r="J467" s="37" t="str">
        <f>IF(Agent03_Withdrawals!A72="","",Agent03_Withdrawals!J72)</f>
        <v/>
      </c>
      <c r="K467" s="37" t="str">
        <f>IF(Agent03_Withdrawals!A72="","",Agent03_Withdrawals!K72)</f>
        <v/>
      </c>
      <c r="L467" s="37" t="str">
        <f>IF(G467="","",IF(D467-G467&gt;=System_Config!$B$9,"✅ OK","⚠️ BREACH"))</f>
        <v/>
      </c>
      <c r="M467" s="37" t="str">
        <f>IFERROR(IF(Agent03_Withdrawals!A72="","",YEAR(Agent03_Withdrawals!D72)),"")</f>
        <v/>
      </c>
    </row>
    <row r="468" spans="1:13" ht="18" customHeight="1" x14ac:dyDescent="0.25">
      <c r="A468" s="37" t="str">
        <f>IF(Agent03_Withdrawals!A73="","",Agent03_Withdrawals!A73)</f>
        <v/>
      </c>
      <c r="B468" s="37" t="str">
        <f ca="1">IF(Agent03_Withdrawals!A73="","","WD"&amp;TEXT(468-3,"0000")&amp;"-"&amp;TEXT(TODAY(),"YYYYMMDD"))</f>
        <v/>
      </c>
      <c r="C468" s="37" t="str">
        <f>IF(Agent03_Withdrawals!A73="","",Agent03_Withdrawals!B73)</f>
        <v/>
      </c>
      <c r="D468" s="40" t="str">
        <f>IF(Agent03_Withdrawals!A73="","",Agent03_Withdrawals!C73)</f>
        <v/>
      </c>
      <c r="E468" s="38" t="str">
        <f>IF(Agent03_Withdrawals!A73="","",Agent03_Withdrawals!D73)</f>
        <v/>
      </c>
      <c r="F468" s="37" t="str">
        <f>IF(Agent03_Withdrawals!A73="","",Agent03_Withdrawals!F73)</f>
        <v/>
      </c>
      <c r="G468" s="39" t="str">
        <f>IF(Agent03_Withdrawals!A73="","",Agent03_Withdrawals!E73)</f>
        <v/>
      </c>
      <c r="H468" s="39" t="str">
        <f>IF(Agent03_Withdrawals!A73="","",Agent03_Withdrawals!G73)</f>
        <v/>
      </c>
      <c r="I468" s="37" t="str">
        <f>IF(Agent03_Withdrawals!A73="","",Agent03_Withdrawals!H73)</f>
        <v/>
      </c>
      <c r="J468" s="37" t="str">
        <f>IF(Agent03_Withdrawals!A73="","",Agent03_Withdrawals!J73)</f>
        <v/>
      </c>
      <c r="K468" s="37" t="str">
        <f>IF(Agent03_Withdrawals!A73="","",Agent03_Withdrawals!K73)</f>
        <v/>
      </c>
      <c r="L468" s="37" t="str">
        <f>IF(G468="","",IF(D468-G468&gt;=System_Config!$B$9,"✅ OK","⚠️ BREACH"))</f>
        <v/>
      </c>
      <c r="M468" s="37" t="str">
        <f>IFERROR(IF(Agent03_Withdrawals!A73="","",YEAR(Agent03_Withdrawals!D73)),"")</f>
        <v/>
      </c>
    </row>
    <row r="469" spans="1:13" ht="18" customHeight="1" x14ac:dyDescent="0.25">
      <c r="A469" s="37" t="str">
        <f>IF(Agent03_Withdrawals!A74="","",Agent03_Withdrawals!A74)</f>
        <v/>
      </c>
      <c r="B469" s="37" t="str">
        <f ca="1">IF(Agent03_Withdrawals!A74="","","WD"&amp;TEXT(469-3,"0000")&amp;"-"&amp;TEXT(TODAY(),"YYYYMMDD"))</f>
        <v/>
      </c>
      <c r="C469" s="37" t="str">
        <f>IF(Agent03_Withdrawals!A74="","",Agent03_Withdrawals!B74)</f>
        <v/>
      </c>
      <c r="D469" s="40" t="str">
        <f>IF(Agent03_Withdrawals!A74="","",Agent03_Withdrawals!C74)</f>
        <v/>
      </c>
      <c r="E469" s="38" t="str">
        <f>IF(Agent03_Withdrawals!A74="","",Agent03_Withdrawals!D74)</f>
        <v/>
      </c>
      <c r="F469" s="37" t="str">
        <f>IF(Agent03_Withdrawals!A74="","",Agent03_Withdrawals!F74)</f>
        <v/>
      </c>
      <c r="G469" s="39" t="str">
        <f>IF(Agent03_Withdrawals!A74="","",Agent03_Withdrawals!E74)</f>
        <v/>
      </c>
      <c r="H469" s="39" t="str">
        <f>IF(Agent03_Withdrawals!A74="","",Agent03_Withdrawals!G74)</f>
        <v/>
      </c>
      <c r="I469" s="37" t="str">
        <f>IF(Agent03_Withdrawals!A74="","",Agent03_Withdrawals!H74)</f>
        <v/>
      </c>
      <c r="J469" s="37" t="str">
        <f>IF(Agent03_Withdrawals!A74="","",Agent03_Withdrawals!J74)</f>
        <v/>
      </c>
      <c r="K469" s="37" t="str">
        <f>IF(Agent03_Withdrawals!A74="","",Agent03_Withdrawals!K74)</f>
        <v/>
      </c>
      <c r="L469" s="37" t="str">
        <f>IF(G469="","",IF(D469-G469&gt;=System_Config!$B$9,"✅ OK","⚠️ BREACH"))</f>
        <v/>
      </c>
      <c r="M469" s="37" t="str">
        <f>IFERROR(IF(Agent03_Withdrawals!A74="","",YEAR(Agent03_Withdrawals!D74)),"")</f>
        <v/>
      </c>
    </row>
    <row r="470" spans="1:13" ht="18" customHeight="1" x14ac:dyDescent="0.25">
      <c r="A470" s="37" t="str">
        <f>IF(Agent03_Withdrawals!A75="","",Agent03_Withdrawals!A75)</f>
        <v/>
      </c>
      <c r="B470" s="37" t="str">
        <f ca="1">IF(Agent03_Withdrawals!A75="","","WD"&amp;TEXT(470-3,"0000")&amp;"-"&amp;TEXT(TODAY(),"YYYYMMDD"))</f>
        <v/>
      </c>
      <c r="C470" s="37" t="str">
        <f>IF(Agent03_Withdrawals!A75="","",Agent03_Withdrawals!B75)</f>
        <v/>
      </c>
      <c r="D470" s="40" t="str">
        <f>IF(Agent03_Withdrawals!A75="","",Agent03_Withdrawals!C75)</f>
        <v/>
      </c>
      <c r="E470" s="38" t="str">
        <f>IF(Agent03_Withdrawals!A75="","",Agent03_Withdrawals!D75)</f>
        <v/>
      </c>
      <c r="F470" s="37" t="str">
        <f>IF(Agent03_Withdrawals!A75="","",Agent03_Withdrawals!F75)</f>
        <v/>
      </c>
      <c r="G470" s="39" t="str">
        <f>IF(Agent03_Withdrawals!A75="","",Agent03_Withdrawals!E75)</f>
        <v/>
      </c>
      <c r="H470" s="39" t="str">
        <f>IF(Agent03_Withdrawals!A75="","",Agent03_Withdrawals!G75)</f>
        <v/>
      </c>
      <c r="I470" s="37" t="str">
        <f>IF(Agent03_Withdrawals!A75="","",Agent03_Withdrawals!H75)</f>
        <v/>
      </c>
      <c r="J470" s="37" t="str">
        <f>IF(Agent03_Withdrawals!A75="","",Agent03_Withdrawals!J75)</f>
        <v/>
      </c>
      <c r="K470" s="37" t="str">
        <f>IF(Agent03_Withdrawals!A75="","",Agent03_Withdrawals!K75)</f>
        <v/>
      </c>
      <c r="L470" s="37" t="str">
        <f>IF(G470="","",IF(D470-G470&gt;=System_Config!$B$9,"✅ OK","⚠️ BREACH"))</f>
        <v/>
      </c>
      <c r="M470" s="37" t="str">
        <f>IFERROR(IF(Agent03_Withdrawals!A75="","",YEAR(Agent03_Withdrawals!D75)),"")</f>
        <v/>
      </c>
    </row>
    <row r="471" spans="1:13" ht="18" customHeight="1" x14ac:dyDescent="0.25">
      <c r="A471" s="37" t="str">
        <f>IF(Agent03_Withdrawals!A76="","",Agent03_Withdrawals!A76)</f>
        <v/>
      </c>
      <c r="B471" s="37" t="str">
        <f ca="1">IF(Agent03_Withdrawals!A76="","","WD"&amp;TEXT(471-3,"0000")&amp;"-"&amp;TEXT(TODAY(),"YYYYMMDD"))</f>
        <v/>
      </c>
      <c r="C471" s="37" t="str">
        <f>IF(Agent03_Withdrawals!A76="","",Agent03_Withdrawals!B76)</f>
        <v/>
      </c>
      <c r="D471" s="40" t="str">
        <f>IF(Agent03_Withdrawals!A76="","",Agent03_Withdrawals!C76)</f>
        <v/>
      </c>
      <c r="E471" s="38" t="str">
        <f>IF(Agent03_Withdrawals!A76="","",Agent03_Withdrawals!D76)</f>
        <v/>
      </c>
      <c r="F471" s="37" t="str">
        <f>IF(Agent03_Withdrawals!A76="","",Agent03_Withdrawals!F76)</f>
        <v/>
      </c>
      <c r="G471" s="39" t="str">
        <f>IF(Agent03_Withdrawals!A76="","",Agent03_Withdrawals!E76)</f>
        <v/>
      </c>
      <c r="H471" s="39" t="str">
        <f>IF(Agent03_Withdrawals!A76="","",Agent03_Withdrawals!G76)</f>
        <v/>
      </c>
      <c r="I471" s="37" t="str">
        <f>IF(Agent03_Withdrawals!A76="","",Agent03_Withdrawals!H76)</f>
        <v/>
      </c>
      <c r="J471" s="37" t="str">
        <f>IF(Agent03_Withdrawals!A76="","",Agent03_Withdrawals!J76)</f>
        <v/>
      </c>
      <c r="K471" s="37" t="str">
        <f>IF(Agent03_Withdrawals!A76="","",Agent03_Withdrawals!K76)</f>
        <v/>
      </c>
      <c r="L471" s="37" t="str">
        <f>IF(G471="","",IF(D471-G471&gt;=System_Config!$B$9,"✅ OK","⚠️ BREACH"))</f>
        <v/>
      </c>
      <c r="M471" s="37" t="str">
        <f>IFERROR(IF(Agent03_Withdrawals!A76="","",YEAR(Agent03_Withdrawals!D76)),"")</f>
        <v/>
      </c>
    </row>
    <row r="472" spans="1:13" ht="18" customHeight="1" x14ac:dyDescent="0.25">
      <c r="A472" s="37" t="str">
        <f>IF(Agent03_Withdrawals!A77="","",Agent03_Withdrawals!A77)</f>
        <v/>
      </c>
      <c r="B472" s="37" t="str">
        <f ca="1">IF(Agent03_Withdrawals!A77="","","WD"&amp;TEXT(472-3,"0000")&amp;"-"&amp;TEXT(TODAY(),"YYYYMMDD"))</f>
        <v/>
      </c>
      <c r="C472" s="37" t="str">
        <f>IF(Agent03_Withdrawals!A77="","",Agent03_Withdrawals!B77)</f>
        <v/>
      </c>
      <c r="D472" s="40" t="str">
        <f>IF(Agent03_Withdrawals!A77="","",Agent03_Withdrawals!C77)</f>
        <v/>
      </c>
      <c r="E472" s="38" t="str">
        <f>IF(Agent03_Withdrawals!A77="","",Agent03_Withdrawals!D77)</f>
        <v/>
      </c>
      <c r="F472" s="37" t="str">
        <f>IF(Agent03_Withdrawals!A77="","",Agent03_Withdrawals!F77)</f>
        <v/>
      </c>
      <c r="G472" s="39" t="str">
        <f>IF(Agent03_Withdrawals!A77="","",Agent03_Withdrawals!E77)</f>
        <v/>
      </c>
      <c r="H472" s="39" t="str">
        <f>IF(Agent03_Withdrawals!A77="","",Agent03_Withdrawals!G77)</f>
        <v/>
      </c>
      <c r="I472" s="37" t="str">
        <f>IF(Agent03_Withdrawals!A77="","",Agent03_Withdrawals!H77)</f>
        <v/>
      </c>
      <c r="J472" s="37" t="str">
        <f>IF(Agent03_Withdrawals!A77="","",Agent03_Withdrawals!J77)</f>
        <v/>
      </c>
      <c r="K472" s="37" t="str">
        <f>IF(Agent03_Withdrawals!A77="","",Agent03_Withdrawals!K77)</f>
        <v/>
      </c>
      <c r="L472" s="37" t="str">
        <f>IF(G472="","",IF(D472-G472&gt;=System_Config!$B$9,"✅ OK","⚠️ BREACH"))</f>
        <v/>
      </c>
      <c r="M472" s="37" t="str">
        <f>IFERROR(IF(Agent03_Withdrawals!A77="","",YEAR(Agent03_Withdrawals!D77)),"")</f>
        <v/>
      </c>
    </row>
    <row r="473" spans="1:13" ht="18" customHeight="1" x14ac:dyDescent="0.25">
      <c r="A473" s="37" t="str">
        <f>IF(Agent03_Withdrawals!A78="","",Agent03_Withdrawals!A78)</f>
        <v/>
      </c>
      <c r="B473" s="37" t="str">
        <f ca="1">IF(Agent03_Withdrawals!A78="","","WD"&amp;TEXT(473-3,"0000")&amp;"-"&amp;TEXT(TODAY(),"YYYYMMDD"))</f>
        <v/>
      </c>
      <c r="C473" s="37" t="str">
        <f>IF(Agent03_Withdrawals!A78="","",Agent03_Withdrawals!B78)</f>
        <v/>
      </c>
      <c r="D473" s="40" t="str">
        <f>IF(Agent03_Withdrawals!A78="","",Agent03_Withdrawals!C78)</f>
        <v/>
      </c>
      <c r="E473" s="38" t="str">
        <f>IF(Agent03_Withdrawals!A78="","",Agent03_Withdrawals!D78)</f>
        <v/>
      </c>
      <c r="F473" s="37" t="str">
        <f>IF(Agent03_Withdrawals!A78="","",Agent03_Withdrawals!F78)</f>
        <v/>
      </c>
      <c r="G473" s="39" t="str">
        <f>IF(Agent03_Withdrawals!A78="","",Agent03_Withdrawals!E78)</f>
        <v/>
      </c>
      <c r="H473" s="39" t="str">
        <f>IF(Agent03_Withdrawals!A78="","",Agent03_Withdrawals!G78)</f>
        <v/>
      </c>
      <c r="I473" s="37" t="str">
        <f>IF(Agent03_Withdrawals!A78="","",Agent03_Withdrawals!H78)</f>
        <v/>
      </c>
      <c r="J473" s="37" t="str">
        <f>IF(Agent03_Withdrawals!A78="","",Agent03_Withdrawals!J78)</f>
        <v/>
      </c>
      <c r="K473" s="37" t="str">
        <f>IF(Agent03_Withdrawals!A78="","",Agent03_Withdrawals!K78)</f>
        <v/>
      </c>
      <c r="L473" s="37" t="str">
        <f>IF(G473="","",IF(D473-G473&gt;=System_Config!$B$9,"✅ OK","⚠️ BREACH"))</f>
        <v/>
      </c>
      <c r="M473" s="37" t="str">
        <f>IFERROR(IF(Agent03_Withdrawals!A78="","",YEAR(Agent03_Withdrawals!D78)),"")</f>
        <v/>
      </c>
    </row>
    <row r="474" spans="1:13" ht="18" customHeight="1" x14ac:dyDescent="0.25">
      <c r="A474" s="37" t="str">
        <f>IF(Agent03_Withdrawals!A79="","",Agent03_Withdrawals!A79)</f>
        <v/>
      </c>
      <c r="B474" s="37" t="str">
        <f ca="1">IF(Agent03_Withdrawals!A79="","","WD"&amp;TEXT(474-3,"0000")&amp;"-"&amp;TEXT(TODAY(),"YYYYMMDD"))</f>
        <v/>
      </c>
      <c r="C474" s="37" t="str">
        <f>IF(Agent03_Withdrawals!A79="","",Agent03_Withdrawals!B79)</f>
        <v/>
      </c>
      <c r="D474" s="40" t="str">
        <f>IF(Agent03_Withdrawals!A79="","",Agent03_Withdrawals!C79)</f>
        <v/>
      </c>
      <c r="E474" s="38" t="str">
        <f>IF(Agent03_Withdrawals!A79="","",Agent03_Withdrawals!D79)</f>
        <v/>
      </c>
      <c r="F474" s="37" t="str">
        <f>IF(Agent03_Withdrawals!A79="","",Agent03_Withdrawals!F79)</f>
        <v/>
      </c>
      <c r="G474" s="39" t="str">
        <f>IF(Agent03_Withdrawals!A79="","",Agent03_Withdrawals!E79)</f>
        <v/>
      </c>
      <c r="H474" s="39" t="str">
        <f>IF(Agent03_Withdrawals!A79="","",Agent03_Withdrawals!G79)</f>
        <v/>
      </c>
      <c r="I474" s="37" t="str">
        <f>IF(Agent03_Withdrawals!A79="","",Agent03_Withdrawals!H79)</f>
        <v/>
      </c>
      <c r="J474" s="37" t="str">
        <f>IF(Agent03_Withdrawals!A79="","",Agent03_Withdrawals!J79)</f>
        <v/>
      </c>
      <c r="K474" s="37" t="str">
        <f>IF(Agent03_Withdrawals!A79="","",Agent03_Withdrawals!K79)</f>
        <v/>
      </c>
      <c r="L474" s="37" t="str">
        <f>IF(G474="","",IF(D474-G474&gt;=System_Config!$B$9,"✅ OK","⚠️ BREACH"))</f>
        <v/>
      </c>
      <c r="M474" s="37" t="str">
        <f>IFERROR(IF(Agent03_Withdrawals!A79="","",YEAR(Agent03_Withdrawals!D79)),"")</f>
        <v/>
      </c>
    </row>
    <row r="475" spans="1:13" ht="18" customHeight="1" x14ac:dyDescent="0.25">
      <c r="A475" s="37" t="str">
        <f>IF(Agent03_Withdrawals!A80="","",Agent03_Withdrawals!A80)</f>
        <v/>
      </c>
      <c r="B475" s="37" t="str">
        <f ca="1">IF(Agent03_Withdrawals!A80="","","WD"&amp;TEXT(475-3,"0000")&amp;"-"&amp;TEXT(TODAY(),"YYYYMMDD"))</f>
        <v/>
      </c>
      <c r="C475" s="37" t="str">
        <f>IF(Agent03_Withdrawals!A80="","",Agent03_Withdrawals!B80)</f>
        <v/>
      </c>
      <c r="D475" s="40" t="str">
        <f>IF(Agent03_Withdrawals!A80="","",Agent03_Withdrawals!C80)</f>
        <v/>
      </c>
      <c r="E475" s="38" t="str">
        <f>IF(Agent03_Withdrawals!A80="","",Agent03_Withdrawals!D80)</f>
        <v/>
      </c>
      <c r="F475" s="37" t="str">
        <f>IF(Agent03_Withdrawals!A80="","",Agent03_Withdrawals!F80)</f>
        <v/>
      </c>
      <c r="G475" s="39" t="str">
        <f>IF(Agent03_Withdrawals!A80="","",Agent03_Withdrawals!E80)</f>
        <v/>
      </c>
      <c r="H475" s="39" t="str">
        <f>IF(Agent03_Withdrawals!A80="","",Agent03_Withdrawals!G80)</f>
        <v/>
      </c>
      <c r="I475" s="37" t="str">
        <f>IF(Agent03_Withdrawals!A80="","",Agent03_Withdrawals!H80)</f>
        <v/>
      </c>
      <c r="J475" s="37" t="str">
        <f>IF(Agent03_Withdrawals!A80="","",Agent03_Withdrawals!J80)</f>
        <v/>
      </c>
      <c r="K475" s="37" t="str">
        <f>IF(Agent03_Withdrawals!A80="","",Agent03_Withdrawals!K80)</f>
        <v/>
      </c>
      <c r="L475" s="37" t="str">
        <f>IF(G475="","",IF(D475-G475&gt;=System_Config!$B$9,"✅ OK","⚠️ BREACH"))</f>
        <v/>
      </c>
      <c r="M475" s="37" t="str">
        <f>IFERROR(IF(Agent03_Withdrawals!A80="","",YEAR(Agent03_Withdrawals!D80)),"")</f>
        <v/>
      </c>
    </row>
    <row r="476" spans="1:13" ht="18" customHeight="1" x14ac:dyDescent="0.25">
      <c r="A476" s="37" t="str">
        <f>IF(Agent03_Withdrawals!A81="","",Agent03_Withdrawals!A81)</f>
        <v/>
      </c>
      <c r="B476" s="37" t="str">
        <f ca="1">IF(Agent03_Withdrawals!A81="","","WD"&amp;TEXT(476-3,"0000")&amp;"-"&amp;TEXT(TODAY(),"YYYYMMDD"))</f>
        <v/>
      </c>
      <c r="C476" s="37" t="str">
        <f>IF(Agent03_Withdrawals!A81="","",Agent03_Withdrawals!B81)</f>
        <v/>
      </c>
      <c r="D476" s="40" t="str">
        <f>IF(Agent03_Withdrawals!A81="","",Agent03_Withdrawals!C81)</f>
        <v/>
      </c>
      <c r="E476" s="38" t="str">
        <f>IF(Agent03_Withdrawals!A81="","",Agent03_Withdrawals!D81)</f>
        <v/>
      </c>
      <c r="F476" s="37" t="str">
        <f>IF(Agent03_Withdrawals!A81="","",Agent03_Withdrawals!F81)</f>
        <v/>
      </c>
      <c r="G476" s="39" t="str">
        <f>IF(Agent03_Withdrawals!A81="","",Agent03_Withdrawals!E81)</f>
        <v/>
      </c>
      <c r="H476" s="39" t="str">
        <f>IF(Agent03_Withdrawals!A81="","",Agent03_Withdrawals!G81)</f>
        <v/>
      </c>
      <c r="I476" s="37" t="str">
        <f>IF(Agent03_Withdrawals!A81="","",Agent03_Withdrawals!H81)</f>
        <v/>
      </c>
      <c r="J476" s="37" t="str">
        <f>IF(Agent03_Withdrawals!A81="","",Agent03_Withdrawals!J81)</f>
        <v/>
      </c>
      <c r="K476" s="37" t="str">
        <f>IF(Agent03_Withdrawals!A81="","",Agent03_Withdrawals!K81)</f>
        <v/>
      </c>
      <c r="L476" s="37" t="str">
        <f>IF(G476="","",IF(D476-G476&gt;=System_Config!$B$9,"✅ OK","⚠️ BREACH"))</f>
        <v/>
      </c>
      <c r="M476" s="37" t="str">
        <f>IFERROR(IF(Agent03_Withdrawals!A81="","",YEAR(Agent03_Withdrawals!D81)),"")</f>
        <v/>
      </c>
    </row>
    <row r="477" spans="1:13" ht="18" customHeight="1" x14ac:dyDescent="0.25">
      <c r="A477" s="37" t="str">
        <f>IF(Agent03_Withdrawals!A82="","",Agent03_Withdrawals!A82)</f>
        <v/>
      </c>
      <c r="B477" s="37" t="str">
        <f ca="1">IF(Agent03_Withdrawals!A82="","","WD"&amp;TEXT(477-3,"0000")&amp;"-"&amp;TEXT(TODAY(),"YYYYMMDD"))</f>
        <v/>
      </c>
      <c r="C477" s="37" t="str">
        <f>IF(Agent03_Withdrawals!A82="","",Agent03_Withdrawals!B82)</f>
        <v/>
      </c>
      <c r="D477" s="40" t="str">
        <f>IF(Agent03_Withdrawals!A82="","",Agent03_Withdrawals!C82)</f>
        <v/>
      </c>
      <c r="E477" s="38" t="str">
        <f>IF(Agent03_Withdrawals!A82="","",Agent03_Withdrawals!D82)</f>
        <v/>
      </c>
      <c r="F477" s="37" t="str">
        <f>IF(Agent03_Withdrawals!A82="","",Agent03_Withdrawals!F82)</f>
        <v/>
      </c>
      <c r="G477" s="39" t="str">
        <f>IF(Agent03_Withdrawals!A82="","",Agent03_Withdrawals!E82)</f>
        <v/>
      </c>
      <c r="H477" s="39" t="str">
        <f>IF(Agent03_Withdrawals!A82="","",Agent03_Withdrawals!G82)</f>
        <v/>
      </c>
      <c r="I477" s="37" t="str">
        <f>IF(Agent03_Withdrawals!A82="","",Agent03_Withdrawals!H82)</f>
        <v/>
      </c>
      <c r="J477" s="37" t="str">
        <f>IF(Agent03_Withdrawals!A82="","",Agent03_Withdrawals!J82)</f>
        <v/>
      </c>
      <c r="K477" s="37" t="str">
        <f>IF(Agent03_Withdrawals!A82="","",Agent03_Withdrawals!K82)</f>
        <v/>
      </c>
      <c r="L477" s="37" t="str">
        <f>IF(G477="","",IF(D477-G477&gt;=System_Config!$B$9,"✅ OK","⚠️ BREACH"))</f>
        <v/>
      </c>
      <c r="M477" s="37" t="str">
        <f>IFERROR(IF(Agent03_Withdrawals!A82="","",YEAR(Agent03_Withdrawals!D82)),"")</f>
        <v/>
      </c>
    </row>
    <row r="478" spans="1:13" ht="18" customHeight="1" x14ac:dyDescent="0.25">
      <c r="A478" s="37" t="str">
        <f>IF(Agent03_Withdrawals!A83="","",Agent03_Withdrawals!A83)</f>
        <v/>
      </c>
      <c r="B478" s="37" t="str">
        <f ca="1">IF(Agent03_Withdrawals!A83="","","WD"&amp;TEXT(478-3,"0000")&amp;"-"&amp;TEXT(TODAY(),"YYYYMMDD"))</f>
        <v/>
      </c>
      <c r="C478" s="37" t="str">
        <f>IF(Agent03_Withdrawals!A83="","",Agent03_Withdrawals!B83)</f>
        <v/>
      </c>
      <c r="D478" s="40" t="str">
        <f>IF(Agent03_Withdrawals!A83="","",Agent03_Withdrawals!C83)</f>
        <v/>
      </c>
      <c r="E478" s="38" t="str">
        <f>IF(Agent03_Withdrawals!A83="","",Agent03_Withdrawals!D83)</f>
        <v/>
      </c>
      <c r="F478" s="37" t="str">
        <f>IF(Agent03_Withdrawals!A83="","",Agent03_Withdrawals!F83)</f>
        <v/>
      </c>
      <c r="G478" s="39" t="str">
        <f>IF(Agent03_Withdrawals!A83="","",Agent03_Withdrawals!E83)</f>
        <v/>
      </c>
      <c r="H478" s="39" t="str">
        <f>IF(Agent03_Withdrawals!A83="","",Agent03_Withdrawals!G83)</f>
        <v/>
      </c>
      <c r="I478" s="37" t="str">
        <f>IF(Agent03_Withdrawals!A83="","",Agent03_Withdrawals!H83)</f>
        <v/>
      </c>
      <c r="J478" s="37" t="str">
        <f>IF(Agent03_Withdrawals!A83="","",Agent03_Withdrawals!J83)</f>
        <v/>
      </c>
      <c r="K478" s="37" t="str">
        <f>IF(Agent03_Withdrawals!A83="","",Agent03_Withdrawals!K83)</f>
        <v/>
      </c>
      <c r="L478" s="37" t="str">
        <f>IF(G478="","",IF(D478-G478&gt;=System_Config!$B$9,"✅ OK","⚠️ BREACH"))</f>
        <v/>
      </c>
      <c r="M478" s="37" t="str">
        <f>IFERROR(IF(Agent03_Withdrawals!A83="","",YEAR(Agent03_Withdrawals!D83)),"")</f>
        <v/>
      </c>
    </row>
    <row r="479" spans="1:13" ht="18" customHeight="1" x14ac:dyDescent="0.25">
      <c r="A479" s="37" t="str">
        <f>IF(Agent03_Withdrawals!A84="","",Agent03_Withdrawals!A84)</f>
        <v/>
      </c>
      <c r="B479" s="37" t="str">
        <f ca="1">IF(Agent03_Withdrawals!A84="","","WD"&amp;TEXT(479-3,"0000")&amp;"-"&amp;TEXT(TODAY(),"YYYYMMDD"))</f>
        <v/>
      </c>
      <c r="C479" s="37" t="str">
        <f>IF(Agent03_Withdrawals!A84="","",Agent03_Withdrawals!B84)</f>
        <v/>
      </c>
      <c r="D479" s="40" t="str">
        <f>IF(Agent03_Withdrawals!A84="","",Agent03_Withdrawals!C84)</f>
        <v/>
      </c>
      <c r="E479" s="38" t="str">
        <f>IF(Agent03_Withdrawals!A84="","",Agent03_Withdrawals!D84)</f>
        <v/>
      </c>
      <c r="F479" s="37" t="str">
        <f>IF(Agent03_Withdrawals!A84="","",Agent03_Withdrawals!F84)</f>
        <v/>
      </c>
      <c r="G479" s="39" t="str">
        <f>IF(Agent03_Withdrawals!A84="","",Agent03_Withdrawals!E84)</f>
        <v/>
      </c>
      <c r="H479" s="39" t="str">
        <f>IF(Agent03_Withdrawals!A84="","",Agent03_Withdrawals!G84)</f>
        <v/>
      </c>
      <c r="I479" s="37" t="str">
        <f>IF(Agent03_Withdrawals!A84="","",Agent03_Withdrawals!H84)</f>
        <v/>
      </c>
      <c r="J479" s="37" t="str">
        <f>IF(Agent03_Withdrawals!A84="","",Agent03_Withdrawals!J84)</f>
        <v/>
      </c>
      <c r="K479" s="37" t="str">
        <f>IF(Agent03_Withdrawals!A84="","",Agent03_Withdrawals!K84)</f>
        <v/>
      </c>
      <c r="L479" s="37" t="str">
        <f>IF(G479="","",IF(D479-G479&gt;=System_Config!$B$9,"✅ OK","⚠️ BREACH"))</f>
        <v/>
      </c>
      <c r="M479" s="37" t="str">
        <f>IFERROR(IF(Agent03_Withdrawals!A84="","",YEAR(Agent03_Withdrawals!D84)),"")</f>
        <v/>
      </c>
    </row>
    <row r="480" spans="1:13" ht="18" customHeight="1" x14ac:dyDescent="0.25">
      <c r="A480" s="37" t="str">
        <f>IF(Agent03_Withdrawals!A85="","",Agent03_Withdrawals!A85)</f>
        <v/>
      </c>
      <c r="B480" s="37" t="str">
        <f ca="1">IF(Agent03_Withdrawals!A85="","","WD"&amp;TEXT(480-3,"0000")&amp;"-"&amp;TEXT(TODAY(),"YYYYMMDD"))</f>
        <v/>
      </c>
      <c r="C480" s="37" t="str">
        <f>IF(Agent03_Withdrawals!A85="","",Agent03_Withdrawals!B85)</f>
        <v/>
      </c>
      <c r="D480" s="40" t="str">
        <f>IF(Agent03_Withdrawals!A85="","",Agent03_Withdrawals!C85)</f>
        <v/>
      </c>
      <c r="E480" s="38" t="str">
        <f>IF(Agent03_Withdrawals!A85="","",Agent03_Withdrawals!D85)</f>
        <v/>
      </c>
      <c r="F480" s="37" t="str">
        <f>IF(Agent03_Withdrawals!A85="","",Agent03_Withdrawals!F85)</f>
        <v/>
      </c>
      <c r="G480" s="39" t="str">
        <f>IF(Agent03_Withdrawals!A85="","",Agent03_Withdrawals!E85)</f>
        <v/>
      </c>
      <c r="H480" s="39" t="str">
        <f>IF(Agent03_Withdrawals!A85="","",Agent03_Withdrawals!G85)</f>
        <v/>
      </c>
      <c r="I480" s="37" t="str">
        <f>IF(Agent03_Withdrawals!A85="","",Agent03_Withdrawals!H85)</f>
        <v/>
      </c>
      <c r="J480" s="37" t="str">
        <f>IF(Agent03_Withdrawals!A85="","",Agent03_Withdrawals!J85)</f>
        <v/>
      </c>
      <c r="K480" s="37" t="str">
        <f>IF(Agent03_Withdrawals!A85="","",Agent03_Withdrawals!K85)</f>
        <v/>
      </c>
      <c r="L480" s="37" t="str">
        <f>IF(G480="","",IF(D480-G480&gt;=System_Config!$B$9,"✅ OK","⚠️ BREACH"))</f>
        <v/>
      </c>
      <c r="M480" s="37" t="str">
        <f>IFERROR(IF(Agent03_Withdrawals!A85="","",YEAR(Agent03_Withdrawals!D85)),"")</f>
        <v/>
      </c>
    </row>
    <row r="481" spans="1:13" ht="18" customHeight="1" x14ac:dyDescent="0.25">
      <c r="A481" s="37" t="str">
        <f>IF(Agent03_Withdrawals!A86="","",Agent03_Withdrawals!A86)</f>
        <v/>
      </c>
      <c r="B481" s="37" t="str">
        <f ca="1">IF(Agent03_Withdrawals!A86="","","WD"&amp;TEXT(481-3,"0000")&amp;"-"&amp;TEXT(TODAY(),"YYYYMMDD"))</f>
        <v/>
      </c>
      <c r="C481" s="37" t="str">
        <f>IF(Agent03_Withdrawals!A86="","",Agent03_Withdrawals!B86)</f>
        <v/>
      </c>
      <c r="D481" s="40" t="str">
        <f>IF(Agent03_Withdrawals!A86="","",Agent03_Withdrawals!C86)</f>
        <v/>
      </c>
      <c r="E481" s="38" t="str">
        <f>IF(Agent03_Withdrawals!A86="","",Agent03_Withdrawals!D86)</f>
        <v/>
      </c>
      <c r="F481" s="37" t="str">
        <f>IF(Agent03_Withdrawals!A86="","",Agent03_Withdrawals!F86)</f>
        <v/>
      </c>
      <c r="G481" s="39" t="str">
        <f>IF(Agent03_Withdrawals!A86="","",Agent03_Withdrawals!E86)</f>
        <v/>
      </c>
      <c r="H481" s="39" t="str">
        <f>IF(Agent03_Withdrawals!A86="","",Agent03_Withdrawals!G86)</f>
        <v/>
      </c>
      <c r="I481" s="37" t="str">
        <f>IF(Agent03_Withdrawals!A86="","",Agent03_Withdrawals!H86)</f>
        <v/>
      </c>
      <c r="J481" s="37" t="str">
        <f>IF(Agent03_Withdrawals!A86="","",Agent03_Withdrawals!J86)</f>
        <v/>
      </c>
      <c r="K481" s="37" t="str">
        <f>IF(Agent03_Withdrawals!A86="","",Agent03_Withdrawals!K86)</f>
        <v/>
      </c>
      <c r="L481" s="37" t="str">
        <f>IF(G481="","",IF(D481-G481&gt;=System_Config!$B$9,"✅ OK","⚠️ BREACH"))</f>
        <v/>
      </c>
      <c r="M481" s="37" t="str">
        <f>IFERROR(IF(Agent03_Withdrawals!A86="","",YEAR(Agent03_Withdrawals!D86)),"")</f>
        <v/>
      </c>
    </row>
    <row r="482" spans="1:13" ht="18" customHeight="1" x14ac:dyDescent="0.25">
      <c r="A482" s="37" t="str">
        <f>IF(Agent03_Withdrawals!A87="","",Agent03_Withdrawals!A87)</f>
        <v/>
      </c>
      <c r="B482" s="37" t="str">
        <f ca="1">IF(Agent03_Withdrawals!A87="","","WD"&amp;TEXT(482-3,"0000")&amp;"-"&amp;TEXT(TODAY(),"YYYYMMDD"))</f>
        <v/>
      </c>
      <c r="C482" s="37" t="str">
        <f>IF(Agent03_Withdrawals!A87="","",Agent03_Withdrawals!B87)</f>
        <v/>
      </c>
      <c r="D482" s="40" t="str">
        <f>IF(Agent03_Withdrawals!A87="","",Agent03_Withdrawals!C87)</f>
        <v/>
      </c>
      <c r="E482" s="38" t="str">
        <f>IF(Agent03_Withdrawals!A87="","",Agent03_Withdrawals!D87)</f>
        <v/>
      </c>
      <c r="F482" s="37" t="str">
        <f>IF(Agent03_Withdrawals!A87="","",Agent03_Withdrawals!F87)</f>
        <v/>
      </c>
      <c r="G482" s="39" t="str">
        <f>IF(Agent03_Withdrawals!A87="","",Agent03_Withdrawals!E87)</f>
        <v/>
      </c>
      <c r="H482" s="39" t="str">
        <f>IF(Agent03_Withdrawals!A87="","",Agent03_Withdrawals!G87)</f>
        <v/>
      </c>
      <c r="I482" s="37" t="str">
        <f>IF(Agent03_Withdrawals!A87="","",Agent03_Withdrawals!H87)</f>
        <v/>
      </c>
      <c r="J482" s="37" t="str">
        <f>IF(Agent03_Withdrawals!A87="","",Agent03_Withdrawals!J87)</f>
        <v/>
      </c>
      <c r="K482" s="37" t="str">
        <f>IF(Agent03_Withdrawals!A87="","",Agent03_Withdrawals!K87)</f>
        <v/>
      </c>
      <c r="L482" s="37" t="str">
        <f>IF(G482="","",IF(D482-G482&gt;=System_Config!$B$9,"✅ OK","⚠️ BREACH"))</f>
        <v/>
      </c>
      <c r="M482" s="37" t="str">
        <f>IFERROR(IF(Agent03_Withdrawals!A87="","",YEAR(Agent03_Withdrawals!D87)),"")</f>
        <v/>
      </c>
    </row>
    <row r="483" spans="1:13" ht="18" customHeight="1" x14ac:dyDescent="0.25">
      <c r="A483" s="37" t="str">
        <f>IF(Agent03_Withdrawals!A88="","",Agent03_Withdrawals!A88)</f>
        <v/>
      </c>
      <c r="B483" s="37" t="str">
        <f ca="1">IF(Agent03_Withdrawals!A88="","","WD"&amp;TEXT(483-3,"0000")&amp;"-"&amp;TEXT(TODAY(),"YYYYMMDD"))</f>
        <v/>
      </c>
      <c r="C483" s="37" t="str">
        <f>IF(Agent03_Withdrawals!A88="","",Agent03_Withdrawals!B88)</f>
        <v/>
      </c>
      <c r="D483" s="40" t="str">
        <f>IF(Agent03_Withdrawals!A88="","",Agent03_Withdrawals!C88)</f>
        <v/>
      </c>
      <c r="E483" s="38" t="str">
        <f>IF(Agent03_Withdrawals!A88="","",Agent03_Withdrawals!D88)</f>
        <v/>
      </c>
      <c r="F483" s="37" t="str">
        <f>IF(Agent03_Withdrawals!A88="","",Agent03_Withdrawals!F88)</f>
        <v/>
      </c>
      <c r="G483" s="39" t="str">
        <f>IF(Agent03_Withdrawals!A88="","",Agent03_Withdrawals!E88)</f>
        <v/>
      </c>
      <c r="H483" s="39" t="str">
        <f>IF(Agent03_Withdrawals!A88="","",Agent03_Withdrawals!G88)</f>
        <v/>
      </c>
      <c r="I483" s="37" t="str">
        <f>IF(Agent03_Withdrawals!A88="","",Agent03_Withdrawals!H88)</f>
        <v/>
      </c>
      <c r="J483" s="37" t="str">
        <f>IF(Agent03_Withdrawals!A88="","",Agent03_Withdrawals!J88)</f>
        <v/>
      </c>
      <c r="K483" s="37" t="str">
        <f>IF(Agent03_Withdrawals!A88="","",Agent03_Withdrawals!K88)</f>
        <v/>
      </c>
      <c r="L483" s="37" t="str">
        <f>IF(G483="","",IF(D483-G483&gt;=System_Config!$B$9,"✅ OK","⚠️ BREACH"))</f>
        <v/>
      </c>
      <c r="M483" s="37" t="str">
        <f>IFERROR(IF(Agent03_Withdrawals!A88="","",YEAR(Agent03_Withdrawals!D88)),"")</f>
        <v/>
      </c>
    </row>
    <row r="484" spans="1:13" ht="18" customHeight="1" x14ac:dyDescent="0.25">
      <c r="A484" s="37" t="str">
        <f>IF(Agent03_Withdrawals!A89="","",Agent03_Withdrawals!A89)</f>
        <v/>
      </c>
      <c r="B484" s="37" t="str">
        <f ca="1">IF(Agent03_Withdrawals!A89="","","WD"&amp;TEXT(484-3,"0000")&amp;"-"&amp;TEXT(TODAY(),"YYYYMMDD"))</f>
        <v/>
      </c>
      <c r="C484" s="37" t="str">
        <f>IF(Agent03_Withdrawals!A89="","",Agent03_Withdrawals!B89)</f>
        <v/>
      </c>
      <c r="D484" s="40" t="str">
        <f>IF(Agent03_Withdrawals!A89="","",Agent03_Withdrawals!C89)</f>
        <v/>
      </c>
      <c r="E484" s="38" t="str">
        <f>IF(Agent03_Withdrawals!A89="","",Agent03_Withdrawals!D89)</f>
        <v/>
      </c>
      <c r="F484" s="37" t="str">
        <f>IF(Agent03_Withdrawals!A89="","",Agent03_Withdrawals!F89)</f>
        <v/>
      </c>
      <c r="G484" s="39" t="str">
        <f>IF(Agent03_Withdrawals!A89="","",Agent03_Withdrawals!E89)</f>
        <v/>
      </c>
      <c r="H484" s="39" t="str">
        <f>IF(Agent03_Withdrawals!A89="","",Agent03_Withdrawals!G89)</f>
        <v/>
      </c>
      <c r="I484" s="37" t="str">
        <f>IF(Agent03_Withdrawals!A89="","",Agent03_Withdrawals!H89)</f>
        <v/>
      </c>
      <c r="J484" s="37" t="str">
        <f>IF(Agent03_Withdrawals!A89="","",Agent03_Withdrawals!J89)</f>
        <v/>
      </c>
      <c r="K484" s="37" t="str">
        <f>IF(Agent03_Withdrawals!A89="","",Agent03_Withdrawals!K89)</f>
        <v/>
      </c>
      <c r="L484" s="37" t="str">
        <f>IF(G484="","",IF(D484-G484&gt;=System_Config!$B$9,"✅ OK","⚠️ BREACH"))</f>
        <v/>
      </c>
      <c r="M484" s="37" t="str">
        <f>IFERROR(IF(Agent03_Withdrawals!A89="","",YEAR(Agent03_Withdrawals!D89)),"")</f>
        <v/>
      </c>
    </row>
    <row r="485" spans="1:13" ht="18" customHeight="1" x14ac:dyDescent="0.25">
      <c r="A485" s="37" t="str">
        <f>IF(Agent03_Withdrawals!A90="","",Agent03_Withdrawals!A90)</f>
        <v/>
      </c>
      <c r="B485" s="37" t="str">
        <f ca="1">IF(Agent03_Withdrawals!A90="","","WD"&amp;TEXT(485-3,"0000")&amp;"-"&amp;TEXT(TODAY(),"YYYYMMDD"))</f>
        <v/>
      </c>
      <c r="C485" s="37" t="str">
        <f>IF(Agent03_Withdrawals!A90="","",Agent03_Withdrawals!B90)</f>
        <v/>
      </c>
      <c r="D485" s="40" t="str">
        <f>IF(Agent03_Withdrawals!A90="","",Agent03_Withdrawals!C90)</f>
        <v/>
      </c>
      <c r="E485" s="38" t="str">
        <f>IF(Agent03_Withdrawals!A90="","",Agent03_Withdrawals!D90)</f>
        <v/>
      </c>
      <c r="F485" s="37" t="str">
        <f>IF(Agent03_Withdrawals!A90="","",Agent03_Withdrawals!F90)</f>
        <v/>
      </c>
      <c r="G485" s="39" t="str">
        <f>IF(Agent03_Withdrawals!A90="","",Agent03_Withdrawals!E90)</f>
        <v/>
      </c>
      <c r="H485" s="39" t="str">
        <f>IF(Agent03_Withdrawals!A90="","",Agent03_Withdrawals!G90)</f>
        <v/>
      </c>
      <c r="I485" s="37" t="str">
        <f>IF(Agent03_Withdrawals!A90="","",Agent03_Withdrawals!H90)</f>
        <v/>
      </c>
      <c r="J485" s="37" t="str">
        <f>IF(Agent03_Withdrawals!A90="","",Agent03_Withdrawals!J90)</f>
        <v/>
      </c>
      <c r="K485" s="37" t="str">
        <f>IF(Agent03_Withdrawals!A90="","",Agent03_Withdrawals!K90)</f>
        <v/>
      </c>
      <c r="L485" s="37" t="str">
        <f>IF(G485="","",IF(D485-G485&gt;=System_Config!$B$9,"✅ OK","⚠️ BREACH"))</f>
        <v/>
      </c>
      <c r="M485" s="37" t="str">
        <f>IFERROR(IF(Agent03_Withdrawals!A90="","",YEAR(Agent03_Withdrawals!D90)),"")</f>
        <v/>
      </c>
    </row>
    <row r="486" spans="1:13" ht="18" customHeight="1" x14ac:dyDescent="0.25">
      <c r="A486" s="37" t="str">
        <f>IF(Agent03_Withdrawals!A91="","",Agent03_Withdrawals!A91)</f>
        <v/>
      </c>
      <c r="B486" s="37" t="str">
        <f ca="1">IF(Agent03_Withdrawals!A91="","","WD"&amp;TEXT(486-3,"0000")&amp;"-"&amp;TEXT(TODAY(),"YYYYMMDD"))</f>
        <v/>
      </c>
      <c r="C486" s="37" t="str">
        <f>IF(Agent03_Withdrawals!A91="","",Agent03_Withdrawals!B91)</f>
        <v/>
      </c>
      <c r="D486" s="40" t="str">
        <f>IF(Agent03_Withdrawals!A91="","",Agent03_Withdrawals!C91)</f>
        <v/>
      </c>
      <c r="E486" s="38" t="str">
        <f>IF(Agent03_Withdrawals!A91="","",Agent03_Withdrawals!D91)</f>
        <v/>
      </c>
      <c r="F486" s="37" t="str">
        <f>IF(Agent03_Withdrawals!A91="","",Agent03_Withdrawals!F91)</f>
        <v/>
      </c>
      <c r="G486" s="39" t="str">
        <f>IF(Agent03_Withdrawals!A91="","",Agent03_Withdrawals!E91)</f>
        <v/>
      </c>
      <c r="H486" s="39" t="str">
        <f>IF(Agent03_Withdrawals!A91="","",Agent03_Withdrawals!G91)</f>
        <v/>
      </c>
      <c r="I486" s="37" t="str">
        <f>IF(Agent03_Withdrawals!A91="","",Agent03_Withdrawals!H91)</f>
        <v/>
      </c>
      <c r="J486" s="37" t="str">
        <f>IF(Agent03_Withdrawals!A91="","",Agent03_Withdrawals!J91)</f>
        <v/>
      </c>
      <c r="K486" s="37" t="str">
        <f>IF(Agent03_Withdrawals!A91="","",Agent03_Withdrawals!K91)</f>
        <v/>
      </c>
      <c r="L486" s="37" t="str">
        <f>IF(G486="","",IF(D486-G486&gt;=System_Config!$B$9,"✅ OK","⚠️ BREACH"))</f>
        <v/>
      </c>
      <c r="M486" s="37" t="str">
        <f>IFERROR(IF(Agent03_Withdrawals!A91="","",YEAR(Agent03_Withdrawals!D91)),"")</f>
        <v/>
      </c>
    </row>
    <row r="487" spans="1:13" ht="18" customHeight="1" x14ac:dyDescent="0.25">
      <c r="A487" s="37" t="str">
        <f>IF(Agent03_Withdrawals!A92="","",Agent03_Withdrawals!A92)</f>
        <v/>
      </c>
      <c r="B487" s="37" t="str">
        <f ca="1">IF(Agent03_Withdrawals!A92="","","WD"&amp;TEXT(487-3,"0000")&amp;"-"&amp;TEXT(TODAY(),"YYYYMMDD"))</f>
        <v/>
      </c>
      <c r="C487" s="37" t="str">
        <f>IF(Agent03_Withdrawals!A92="","",Agent03_Withdrawals!B92)</f>
        <v/>
      </c>
      <c r="D487" s="40" t="str">
        <f>IF(Agent03_Withdrawals!A92="","",Agent03_Withdrawals!C92)</f>
        <v/>
      </c>
      <c r="E487" s="38" t="str">
        <f>IF(Agent03_Withdrawals!A92="","",Agent03_Withdrawals!D92)</f>
        <v/>
      </c>
      <c r="F487" s="37" t="str">
        <f>IF(Agent03_Withdrawals!A92="","",Agent03_Withdrawals!F92)</f>
        <v/>
      </c>
      <c r="G487" s="39" t="str">
        <f>IF(Agent03_Withdrawals!A92="","",Agent03_Withdrawals!E92)</f>
        <v/>
      </c>
      <c r="H487" s="39" t="str">
        <f>IF(Agent03_Withdrawals!A92="","",Agent03_Withdrawals!G92)</f>
        <v/>
      </c>
      <c r="I487" s="37" t="str">
        <f>IF(Agent03_Withdrawals!A92="","",Agent03_Withdrawals!H92)</f>
        <v/>
      </c>
      <c r="J487" s="37" t="str">
        <f>IF(Agent03_Withdrawals!A92="","",Agent03_Withdrawals!J92)</f>
        <v/>
      </c>
      <c r="K487" s="37" t="str">
        <f>IF(Agent03_Withdrawals!A92="","",Agent03_Withdrawals!K92)</f>
        <v/>
      </c>
      <c r="L487" s="37" t="str">
        <f>IF(G487="","",IF(D487-G487&gt;=System_Config!$B$9,"✅ OK","⚠️ BREACH"))</f>
        <v/>
      </c>
      <c r="M487" s="37" t="str">
        <f>IFERROR(IF(Agent03_Withdrawals!A92="","",YEAR(Agent03_Withdrawals!D92)),"")</f>
        <v/>
      </c>
    </row>
    <row r="488" spans="1:13" ht="18" customHeight="1" x14ac:dyDescent="0.25">
      <c r="A488" s="37" t="str">
        <f>IF(Agent03_Withdrawals!A93="","",Agent03_Withdrawals!A93)</f>
        <v/>
      </c>
      <c r="B488" s="37" t="str">
        <f ca="1">IF(Agent03_Withdrawals!A93="","","WD"&amp;TEXT(488-3,"0000")&amp;"-"&amp;TEXT(TODAY(),"YYYYMMDD"))</f>
        <v/>
      </c>
      <c r="C488" s="37" t="str">
        <f>IF(Agent03_Withdrawals!A93="","",Agent03_Withdrawals!B93)</f>
        <v/>
      </c>
      <c r="D488" s="40" t="str">
        <f>IF(Agent03_Withdrawals!A93="","",Agent03_Withdrawals!C93)</f>
        <v/>
      </c>
      <c r="E488" s="38" t="str">
        <f>IF(Agent03_Withdrawals!A93="","",Agent03_Withdrawals!D93)</f>
        <v/>
      </c>
      <c r="F488" s="37" t="str">
        <f>IF(Agent03_Withdrawals!A93="","",Agent03_Withdrawals!F93)</f>
        <v/>
      </c>
      <c r="G488" s="39" t="str">
        <f>IF(Agent03_Withdrawals!A93="","",Agent03_Withdrawals!E93)</f>
        <v/>
      </c>
      <c r="H488" s="39" t="str">
        <f>IF(Agent03_Withdrawals!A93="","",Agent03_Withdrawals!G93)</f>
        <v/>
      </c>
      <c r="I488" s="37" t="str">
        <f>IF(Agent03_Withdrawals!A93="","",Agent03_Withdrawals!H93)</f>
        <v/>
      </c>
      <c r="J488" s="37" t="str">
        <f>IF(Agent03_Withdrawals!A93="","",Agent03_Withdrawals!J93)</f>
        <v/>
      </c>
      <c r="K488" s="37" t="str">
        <f>IF(Agent03_Withdrawals!A93="","",Agent03_Withdrawals!K93)</f>
        <v/>
      </c>
      <c r="L488" s="37" t="str">
        <f>IF(G488="","",IF(D488-G488&gt;=System_Config!$B$9,"✅ OK","⚠️ BREACH"))</f>
        <v/>
      </c>
      <c r="M488" s="37" t="str">
        <f>IFERROR(IF(Agent03_Withdrawals!A93="","",YEAR(Agent03_Withdrawals!D93)),"")</f>
        <v/>
      </c>
    </row>
    <row r="489" spans="1:13" ht="18" customHeight="1" x14ac:dyDescent="0.25">
      <c r="A489" s="37" t="str">
        <f>IF(Agent03_Withdrawals!A94="","",Agent03_Withdrawals!A94)</f>
        <v/>
      </c>
      <c r="B489" s="37" t="str">
        <f ca="1">IF(Agent03_Withdrawals!A94="","","WD"&amp;TEXT(489-3,"0000")&amp;"-"&amp;TEXT(TODAY(),"YYYYMMDD"))</f>
        <v/>
      </c>
      <c r="C489" s="37" t="str">
        <f>IF(Agent03_Withdrawals!A94="","",Agent03_Withdrawals!B94)</f>
        <v/>
      </c>
      <c r="D489" s="40" t="str">
        <f>IF(Agent03_Withdrawals!A94="","",Agent03_Withdrawals!C94)</f>
        <v/>
      </c>
      <c r="E489" s="38" t="str">
        <f>IF(Agent03_Withdrawals!A94="","",Agent03_Withdrawals!D94)</f>
        <v/>
      </c>
      <c r="F489" s="37" t="str">
        <f>IF(Agent03_Withdrawals!A94="","",Agent03_Withdrawals!F94)</f>
        <v/>
      </c>
      <c r="G489" s="39" t="str">
        <f>IF(Agent03_Withdrawals!A94="","",Agent03_Withdrawals!E94)</f>
        <v/>
      </c>
      <c r="H489" s="39" t="str">
        <f>IF(Agent03_Withdrawals!A94="","",Agent03_Withdrawals!G94)</f>
        <v/>
      </c>
      <c r="I489" s="37" t="str">
        <f>IF(Agent03_Withdrawals!A94="","",Agent03_Withdrawals!H94)</f>
        <v/>
      </c>
      <c r="J489" s="37" t="str">
        <f>IF(Agent03_Withdrawals!A94="","",Agent03_Withdrawals!J94)</f>
        <v/>
      </c>
      <c r="K489" s="37" t="str">
        <f>IF(Agent03_Withdrawals!A94="","",Agent03_Withdrawals!K94)</f>
        <v/>
      </c>
      <c r="L489" s="37" t="str">
        <f>IF(G489="","",IF(D489-G489&gt;=System_Config!$B$9,"✅ OK","⚠️ BREACH"))</f>
        <v/>
      </c>
      <c r="M489" s="37" t="str">
        <f>IFERROR(IF(Agent03_Withdrawals!A94="","",YEAR(Agent03_Withdrawals!D94)),"")</f>
        <v/>
      </c>
    </row>
    <row r="490" spans="1:13" ht="18" customHeight="1" x14ac:dyDescent="0.25">
      <c r="A490" s="37" t="str">
        <f>IF(Agent03_Withdrawals!A95="","",Agent03_Withdrawals!A95)</f>
        <v/>
      </c>
      <c r="B490" s="37" t="str">
        <f ca="1">IF(Agent03_Withdrawals!A95="","","WD"&amp;TEXT(490-3,"0000")&amp;"-"&amp;TEXT(TODAY(),"YYYYMMDD"))</f>
        <v/>
      </c>
      <c r="C490" s="37" t="str">
        <f>IF(Agent03_Withdrawals!A95="","",Agent03_Withdrawals!B95)</f>
        <v/>
      </c>
      <c r="D490" s="40" t="str">
        <f>IF(Agent03_Withdrawals!A95="","",Agent03_Withdrawals!C95)</f>
        <v/>
      </c>
      <c r="E490" s="38" t="str">
        <f>IF(Agent03_Withdrawals!A95="","",Agent03_Withdrawals!D95)</f>
        <v/>
      </c>
      <c r="F490" s="37" t="str">
        <f>IF(Agent03_Withdrawals!A95="","",Agent03_Withdrawals!F95)</f>
        <v/>
      </c>
      <c r="G490" s="39" t="str">
        <f>IF(Agent03_Withdrawals!A95="","",Agent03_Withdrawals!E95)</f>
        <v/>
      </c>
      <c r="H490" s="39" t="str">
        <f>IF(Agent03_Withdrawals!A95="","",Agent03_Withdrawals!G95)</f>
        <v/>
      </c>
      <c r="I490" s="37" t="str">
        <f>IF(Agent03_Withdrawals!A95="","",Agent03_Withdrawals!H95)</f>
        <v/>
      </c>
      <c r="J490" s="37" t="str">
        <f>IF(Agent03_Withdrawals!A95="","",Agent03_Withdrawals!J95)</f>
        <v/>
      </c>
      <c r="K490" s="37" t="str">
        <f>IF(Agent03_Withdrawals!A95="","",Agent03_Withdrawals!K95)</f>
        <v/>
      </c>
      <c r="L490" s="37" t="str">
        <f>IF(G490="","",IF(D490-G490&gt;=System_Config!$B$9,"✅ OK","⚠️ BREACH"))</f>
        <v/>
      </c>
      <c r="M490" s="37" t="str">
        <f>IFERROR(IF(Agent03_Withdrawals!A95="","",YEAR(Agent03_Withdrawals!D95)),"")</f>
        <v/>
      </c>
    </row>
    <row r="491" spans="1:13" ht="18" customHeight="1" x14ac:dyDescent="0.25">
      <c r="A491" s="37" t="str">
        <f>IF(Agent03_Withdrawals!A96="","",Agent03_Withdrawals!A96)</f>
        <v/>
      </c>
      <c r="B491" s="37" t="str">
        <f ca="1">IF(Agent03_Withdrawals!A96="","","WD"&amp;TEXT(491-3,"0000")&amp;"-"&amp;TEXT(TODAY(),"YYYYMMDD"))</f>
        <v/>
      </c>
      <c r="C491" s="37" t="str">
        <f>IF(Agent03_Withdrawals!A96="","",Agent03_Withdrawals!B96)</f>
        <v/>
      </c>
      <c r="D491" s="40" t="str">
        <f>IF(Agent03_Withdrawals!A96="","",Agent03_Withdrawals!C96)</f>
        <v/>
      </c>
      <c r="E491" s="38" t="str">
        <f>IF(Agent03_Withdrawals!A96="","",Agent03_Withdrawals!D96)</f>
        <v/>
      </c>
      <c r="F491" s="37" t="str">
        <f>IF(Agent03_Withdrawals!A96="","",Agent03_Withdrawals!F96)</f>
        <v/>
      </c>
      <c r="G491" s="39" t="str">
        <f>IF(Agent03_Withdrawals!A96="","",Agent03_Withdrawals!E96)</f>
        <v/>
      </c>
      <c r="H491" s="39" t="str">
        <f>IF(Agent03_Withdrawals!A96="","",Agent03_Withdrawals!G96)</f>
        <v/>
      </c>
      <c r="I491" s="37" t="str">
        <f>IF(Agent03_Withdrawals!A96="","",Agent03_Withdrawals!H96)</f>
        <v/>
      </c>
      <c r="J491" s="37" t="str">
        <f>IF(Agent03_Withdrawals!A96="","",Agent03_Withdrawals!J96)</f>
        <v/>
      </c>
      <c r="K491" s="37" t="str">
        <f>IF(Agent03_Withdrawals!A96="","",Agent03_Withdrawals!K96)</f>
        <v/>
      </c>
      <c r="L491" s="37" t="str">
        <f>IF(G491="","",IF(D491-G491&gt;=System_Config!$B$9,"✅ OK","⚠️ BREACH"))</f>
        <v/>
      </c>
      <c r="M491" s="37" t="str">
        <f>IFERROR(IF(Agent03_Withdrawals!A96="","",YEAR(Agent03_Withdrawals!D96)),"")</f>
        <v/>
      </c>
    </row>
    <row r="492" spans="1:13" ht="18" customHeight="1" x14ac:dyDescent="0.25">
      <c r="A492" s="37" t="str">
        <f>IF(Agent03_Withdrawals!A97="","",Agent03_Withdrawals!A97)</f>
        <v/>
      </c>
      <c r="B492" s="37" t="str">
        <f ca="1">IF(Agent03_Withdrawals!A97="","","WD"&amp;TEXT(492-3,"0000")&amp;"-"&amp;TEXT(TODAY(),"YYYYMMDD"))</f>
        <v/>
      </c>
      <c r="C492" s="37" t="str">
        <f>IF(Agent03_Withdrawals!A97="","",Agent03_Withdrawals!B97)</f>
        <v/>
      </c>
      <c r="D492" s="40" t="str">
        <f>IF(Agent03_Withdrawals!A97="","",Agent03_Withdrawals!C97)</f>
        <v/>
      </c>
      <c r="E492" s="38" t="str">
        <f>IF(Agent03_Withdrawals!A97="","",Agent03_Withdrawals!D97)</f>
        <v/>
      </c>
      <c r="F492" s="37" t="str">
        <f>IF(Agent03_Withdrawals!A97="","",Agent03_Withdrawals!F97)</f>
        <v/>
      </c>
      <c r="G492" s="39" t="str">
        <f>IF(Agent03_Withdrawals!A97="","",Agent03_Withdrawals!E97)</f>
        <v/>
      </c>
      <c r="H492" s="39" t="str">
        <f>IF(Agent03_Withdrawals!A97="","",Agent03_Withdrawals!G97)</f>
        <v/>
      </c>
      <c r="I492" s="37" t="str">
        <f>IF(Agent03_Withdrawals!A97="","",Agent03_Withdrawals!H97)</f>
        <v/>
      </c>
      <c r="J492" s="37" t="str">
        <f>IF(Agent03_Withdrawals!A97="","",Agent03_Withdrawals!J97)</f>
        <v/>
      </c>
      <c r="K492" s="37" t="str">
        <f>IF(Agent03_Withdrawals!A97="","",Agent03_Withdrawals!K97)</f>
        <v/>
      </c>
      <c r="L492" s="37" t="str">
        <f>IF(G492="","",IF(D492-G492&gt;=System_Config!$B$9,"✅ OK","⚠️ BREACH"))</f>
        <v/>
      </c>
      <c r="M492" s="37" t="str">
        <f>IFERROR(IF(Agent03_Withdrawals!A97="","",YEAR(Agent03_Withdrawals!D97)),"")</f>
        <v/>
      </c>
    </row>
    <row r="493" spans="1:13" ht="18" customHeight="1" x14ac:dyDescent="0.25">
      <c r="A493" s="37" t="str">
        <f>IF(Agent03_Withdrawals!A98="","",Agent03_Withdrawals!A98)</f>
        <v/>
      </c>
      <c r="B493" s="37" t="str">
        <f ca="1">IF(Agent03_Withdrawals!A98="","","WD"&amp;TEXT(493-3,"0000")&amp;"-"&amp;TEXT(TODAY(),"YYYYMMDD"))</f>
        <v/>
      </c>
      <c r="C493" s="37" t="str">
        <f>IF(Agent03_Withdrawals!A98="","",Agent03_Withdrawals!B98)</f>
        <v/>
      </c>
      <c r="D493" s="40" t="str">
        <f>IF(Agent03_Withdrawals!A98="","",Agent03_Withdrawals!C98)</f>
        <v/>
      </c>
      <c r="E493" s="38" t="str">
        <f>IF(Agent03_Withdrawals!A98="","",Agent03_Withdrawals!D98)</f>
        <v/>
      </c>
      <c r="F493" s="37" t="str">
        <f>IF(Agent03_Withdrawals!A98="","",Agent03_Withdrawals!F98)</f>
        <v/>
      </c>
      <c r="G493" s="39" t="str">
        <f>IF(Agent03_Withdrawals!A98="","",Agent03_Withdrawals!E98)</f>
        <v/>
      </c>
      <c r="H493" s="39" t="str">
        <f>IF(Agent03_Withdrawals!A98="","",Agent03_Withdrawals!G98)</f>
        <v/>
      </c>
      <c r="I493" s="37" t="str">
        <f>IF(Agent03_Withdrawals!A98="","",Agent03_Withdrawals!H98)</f>
        <v/>
      </c>
      <c r="J493" s="37" t="str">
        <f>IF(Agent03_Withdrawals!A98="","",Agent03_Withdrawals!J98)</f>
        <v/>
      </c>
      <c r="K493" s="37" t="str">
        <f>IF(Agent03_Withdrawals!A98="","",Agent03_Withdrawals!K98)</f>
        <v/>
      </c>
      <c r="L493" s="37" t="str">
        <f>IF(G493="","",IF(D493-G493&gt;=System_Config!$B$9,"✅ OK","⚠️ BREACH"))</f>
        <v/>
      </c>
      <c r="M493" s="37" t="str">
        <f>IFERROR(IF(Agent03_Withdrawals!A98="","",YEAR(Agent03_Withdrawals!D98)),"")</f>
        <v/>
      </c>
    </row>
    <row r="494" spans="1:13" ht="18" customHeight="1" x14ac:dyDescent="0.25">
      <c r="A494" s="37" t="str">
        <f>IF(Agent03_Withdrawals!A99="","",Agent03_Withdrawals!A99)</f>
        <v/>
      </c>
      <c r="B494" s="37" t="str">
        <f ca="1">IF(Agent03_Withdrawals!A99="","","WD"&amp;TEXT(494-3,"0000")&amp;"-"&amp;TEXT(TODAY(),"YYYYMMDD"))</f>
        <v/>
      </c>
      <c r="C494" s="37" t="str">
        <f>IF(Agent03_Withdrawals!A99="","",Agent03_Withdrawals!B99)</f>
        <v/>
      </c>
      <c r="D494" s="40" t="str">
        <f>IF(Agent03_Withdrawals!A99="","",Agent03_Withdrawals!C99)</f>
        <v/>
      </c>
      <c r="E494" s="38" t="str">
        <f>IF(Agent03_Withdrawals!A99="","",Agent03_Withdrawals!D99)</f>
        <v/>
      </c>
      <c r="F494" s="37" t="str">
        <f>IF(Agent03_Withdrawals!A99="","",Agent03_Withdrawals!F99)</f>
        <v/>
      </c>
      <c r="G494" s="39" t="str">
        <f>IF(Agent03_Withdrawals!A99="","",Agent03_Withdrawals!E99)</f>
        <v/>
      </c>
      <c r="H494" s="39" t="str">
        <f>IF(Agent03_Withdrawals!A99="","",Agent03_Withdrawals!G99)</f>
        <v/>
      </c>
      <c r="I494" s="37" t="str">
        <f>IF(Agent03_Withdrawals!A99="","",Agent03_Withdrawals!H99)</f>
        <v/>
      </c>
      <c r="J494" s="37" t="str">
        <f>IF(Agent03_Withdrawals!A99="","",Agent03_Withdrawals!J99)</f>
        <v/>
      </c>
      <c r="K494" s="37" t="str">
        <f>IF(Agent03_Withdrawals!A99="","",Agent03_Withdrawals!K99)</f>
        <v/>
      </c>
      <c r="L494" s="37" t="str">
        <f>IF(G494="","",IF(D494-G494&gt;=System_Config!$B$9,"✅ OK","⚠️ BREACH"))</f>
        <v/>
      </c>
      <c r="M494" s="37" t="str">
        <f>IFERROR(IF(Agent03_Withdrawals!A99="","",YEAR(Agent03_Withdrawals!D99)),"")</f>
        <v/>
      </c>
    </row>
    <row r="495" spans="1:13" ht="18" customHeight="1" x14ac:dyDescent="0.25">
      <c r="A495" s="37" t="str">
        <f>IF(Agent03_Withdrawals!A100="","",Agent03_Withdrawals!A100)</f>
        <v/>
      </c>
      <c r="B495" s="37" t="str">
        <f ca="1">IF(Agent03_Withdrawals!A100="","","WD"&amp;TEXT(495-3,"0000")&amp;"-"&amp;TEXT(TODAY(),"YYYYMMDD"))</f>
        <v/>
      </c>
      <c r="C495" s="37" t="str">
        <f>IF(Agent03_Withdrawals!A100="","",Agent03_Withdrawals!B100)</f>
        <v/>
      </c>
      <c r="D495" s="40" t="str">
        <f>IF(Agent03_Withdrawals!A100="","",Agent03_Withdrawals!C100)</f>
        <v/>
      </c>
      <c r="E495" s="38" t="str">
        <f>IF(Agent03_Withdrawals!A100="","",Agent03_Withdrawals!D100)</f>
        <v/>
      </c>
      <c r="F495" s="37" t="str">
        <f>IF(Agent03_Withdrawals!A100="","",Agent03_Withdrawals!F100)</f>
        <v/>
      </c>
      <c r="G495" s="39" t="str">
        <f>IF(Agent03_Withdrawals!A100="","",Agent03_Withdrawals!E100)</f>
        <v/>
      </c>
      <c r="H495" s="39" t="str">
        <f>IF(Agent03_Withdrawals!A100="","",Agent03_Withdrawals!G100)</f>
        <v/>
      </c>
      <c r="I495" s="37" t="str">
        <f>IF(Agent03_Withdrawals!A100="","",Agent03_Withdrawals!H100)</f>
        <v/>
      </c>
      <c r="J495" s="37" t="str">
        <f>IF(Agent03_Withdrawals!A100="","",Agent03_Withdrawals!J100)</f>
        <v/>
      </c>
      <c r="K495" s="37" t="str">
        <f>IF(Agent03_Withdrawals!A100="","",Agent03_Withdrawals!K100)</f>
        <v/>
      </c>
      <c r="L495" s="37" t="str">
        <f>IF(G495="","",IF(D495-G495&gt;=System_Config!$B$9,"✅ OK","⚠️ BREACH"))</f>
        <v/>
      </c>
      <c r="M495" s="37" t="str">
        <f>IFERROR(IF(Agent03_Withdrawals!A100="","",YEAR(Agent03_Withdrawals!D100)),"")</f>
        <v/>
      </c>
    </row>
    <row r="496" spans="1:13" ht="18" customHeight="1" x14ac:dyDescent="0.25">
      <c r="A496" s="37" t="str">
        <f>IF(Agent03_Withdrawals!A101="","",Agent03_Withdrawals!A101)</f>
        <v/>
      </c>
      <c r="B496" s="37" t="str">
        <f ca="1">IF(Agent03_Withdrawals!A101="","","WD"&amp;TEXT(496-3,"0000")&amp;"-"&amp;TEXT(TODAY(),"YYYYMMDD"))</f>
        <v/>
      </c>
      <c r="C496" s="37" t="str">
        <f>IF(Agent03_Withdrawals!A101="","",Agent03_Withdrawals!B101)</f>
        <v/>
      </c>
      <c r="D496" s="40" t="str">
        <f>IF(Agent03_Withdrawals!A101="","",Agent03_Withdrawals!C101)</f>
        <v/>
      </c>
      <c r="E496" s="38" t="str">
        <f>IF(Agent03_Withdrawals!A101="","",Agent03_Withdrawals!D101)</f>
        <v/>
      </c>
      <c r="F496" s="37" t="str">
        <f>IF(Agent03_Withdrawals!A101="","",Agent03_Withdrawals!F101)</f>
        <v/>
      </c>
      <c r="G496" s="39" t="str">
        <f>IF(Agent03_Withdrawals!A101="","",Agent03_Withdrawals!E101)</f>
        <v/>
      </c>
      <c r="H496" s="39" t="str">
        <f>IF(Agent03_Withdrawals!A101="","",Agent03_Withdrawals!G101)</f>
        <v/>
      </c>
      <c r="I496" s="37" t="str">
        <f>IF(Agent03_Withdrawals!A101="","",Agent03_Withdrawals!H101)</f>
        <v/>
      </c>
      <c r="J496" s="37" t="str">
        <f>IF(Agent03_Withdrawals!A101="","",Agent03_Withdrawals!J101)</f>
        <v/>
      </c>
      <c r="K496" s="37" t="str">
        <f>IF(Agent03_Withdrawals!A101="","",Agent03_Withdrawals!K101)</f>
        <v/>
      </c>
      <c r="L496" s="37" t="str">
        <f>IF(G496="","",IF(D496-G496&gt;=System_Config!$B$9,"✅ OK","⚠️ BREACH"))</f>
        <v/>
      </c>
      <c r="M496" s="37" t="str">
        <f>IFERROR(IF(Agent03_Withdrawals!A101="","",YEAR(Agent03_Withdrawals!D101)),"")</f>
        <v/>
      </c>
    </row>
    <row r="497" spans="1:13" ht="18" customHeight="1" x14ac:dyDescent="0.25">
      <c r="A497" s="37" t="str">
        <f>IF(Agent03_Withdrawals!A102="","",Agent03_Withdrawals!A102)</f>
        <v/>
      </c>
      <c r="B497" s="37" t="str">
        <f ca="1">IF(Agent03_Withdrawals!A102="","","WD"&amp;TEXT(497-3,"0000")&amp;"-"&amp;TEXT(TODAY(),"YYYYMMDD"))</f>
        <v/>
      </c>
      <c r="C497" s="37" t="str">
        <f>IF(Agent03_Withdrawals!A102="","",Agent03_Withdrawals!B102)</f>
        <v/>
      </c>
      <c r="D497" s="40" t="str">
        <f>IF(Agent03_Withdrawals!A102="","",Agent03_Withdrawals!C102)</f>
        <v/>
      </c>
      <c r="E497" s="38" t="str">
        <f>IF(Agent03_Withdrawals!A102="","",Agent03_Withdrawals!D102)</f>
        <v/>
      </c>
      <c r="F497" s="37" t="str">
        <f>IF(Agent03_Withdrawals!A102="","",Agent03_Withdrawals!F102)</f>
        <v/>
      </c>
      <c r="G497" s="39" t="str">
        <f>IF(Agent03_Withdrawals!A102="","",Agent03_Withdrawals!E102)</f>
        <v/>
      </c>
      <c r="H497" s="39" t="str">
        <f>IF(Agent03_Withdrawals!A102="","",Agent03_Withdrawals!G102)</f>
        <v/>
      </c>
      <c r="I497" s="37" t="str">
        <f>IF(Agent03_Withdrawals!A102="","",Agent03_Withdrawals!H102)</f>
        <v/>
      </c>
      <c r="J497" s="37" t="str">
        <f>IF(Agent03_Withdrawals!A102="","",Agent03_Withdrawals!J102)</f>
        <v/>
      </c>
      <c r="K497" s="37" t="str">
        <f>IF(Agent03_Withdrawals!A102="","",Agent03_Withdrawals!K102)</f>
        <v/>
      </c>
      <c r="L497" s="37" t="str">
        <f>IF(G497="","",IF(D497-G497&gt;=System_Config!$B$9,"✅ OK","⚠️ BREACH"))</f>
        <v/>
      </c>
      <c r="M497" s="37" t="str">
        <f>IFERROR(IF(Agent03_Withdrawals!A102="","",YEAR(Agent03_Withdrawals!D102)),"")</f>
        <v/>
      </c>
    </row>
    <row r="498" spans="1:13" ht="18" customHeight="1" x14ac:dyDescent="0.25">
      <c r="A498" s="37" t="str">
        <f>IF(Agent03_Withdrawals!A103="","",Agent03_Withdrawals!A103)</f>
        <v/>
      </c>
      <c r="B498" s="37" t="str">
        <f ca="1">IF(Agent03_Withdrawals!A103="","","WD"&amp;TEXT(498-3,"0000")&amp;"-"&amp;TEXT(TODAY(),"YYYYMMDD"))</f>
        <v/>
      </c>
      <c r="C498" s="37" t="str">
        <f>IF(Agent03_Withdrawals!A103="","",Agent03_Withdrawals!B103)</f>
        <v/>
      </c>
      <c r="D498" s="40" t="str">
        <f>IF(Agent03_Withdrawals!A103="","",Agent03_Withdrawals!C103)</f>
        <v/>
      </c>
      <c r="E498" s="38" t="str">
        <f>IF(Agent03_Withdrawals!A103="","",Agent03_Withdrawals!D103)</f>
        <v/>
      </c>
      <c r="F498" s="37" t="str">
        <f>IF(Agent03_Withdrawals!A103="","",Agent03_Withdrawals!F103)</f>
        <v/>
      </c>
      <c r="G498" s="39" t="str">
        <f>IF(Agent03_Withdrawals!A103="","",Agent03_Withdrawals!E103)</f>
        <v/>
      </c>
      <c r="H498" s="39" t="str">
        <f>IF(Agent03_Withdrawals!A103="","",Agent03_Withdrawals!G103)</f>
        <v/>
      </c>
      <c r="I498" s="37" t="str">
        <f>IF(Agent03_Withdrawals!A103="","",Agent03_Withdrawals!H103)</f>
        <v/>
      </c>
      <c r="J498" s="37" t="str">
        <f>IF(Agent03_Withdrawals!A103="","",Agent03_Withdrawals!J103)</f>
        <v/>
      </c>
      <c r="K498" s="37" t="str">
        <f>IF(Agent03_Withdrawals!A103="","",Agent03_Withdrawals!K103)</f>
        <v/>
      </c>
      <c r="L498" s="37" t="str">
        <f>IF(G498="","",IF(D498-G498&gt;=System_Config!$B$9,"✅ OK","⚠️ BREACH"))</f>
        <v/>
      </c>
      <c r="M498" s="37" t="str">
        <f>IFERROR(IF(Agent03_Withdrawals!A103="","",YEAR(Agent03_Withdrawals!D103)),"")</f>
        <v/>
      </c>
    </row>
    <row r="499" spans="1:13" ht="18" customHeight="1" x14ac:dyDescent="0.25">
      <c r="A499" s="37" t="str">
        <f>IF(Agent03_Withdrawals!A104="","",Agent03_Withdrawals!A104)</f>
        <v/>
      </c>
      <c r="B499" s="37" t="str">
        <f ca="1">IF(Agent03_Withdrawals!A104="","","WD"&amp;TEXT(499-3,"0000")&amp;"-"&amp;TEXT(TODAY(),"YYYYMMDD"))</f>
        <v/>
      </c>
      <c r="C499" s="37" t="str">
        <f>IF(Agent03_Withdrawals!A104="","",Agent03_Withdrawals!B104)</f>
        <v/>
      </c>
      <c r="D499" s="40" t="str">
        <f>IF(Agent03_Withdrawals!A104="","",Agent03_Withdrawals!C104)</f>
        <v/>
      </c>
      <c r="E499" s="38" t="str">
        <f>IF(Agent03_Withdrawals!A104="","",Agent03_Withdrawals!D104)</f>
        <v/>
      </c>
      <c r="F499" s="37" t="str">
        <f>IF(Agent03_Withdrawals!A104="","",Agent03_Withdrawals!F104)</f>
        <v/>
      </c>
      <c r="G499" s="39" t="str">
        <f>IF(Agent03_Withdrawals!A104="","",Agent03_Withdrawals!E104)</f>
        <v/>
      </c>
      <c r="H499" s="39" t="str">
        <f>IF(Agent03_Withdrawals!A104="","",Agent03_Withdrawals!G104)</f>
        <v/>
      </c>
      <c r="I499" s="37" t="str">
        <f>IF(Agent03_Withdrawals!A104="","",Agent03_Withdrawals!H104)</f>
        <v/>
      </c>
      <c r="J499" s="37" t="str">
        <f>IF(Agent03_Withdrawals!A104="","",Agent03_Withdrawals!J104)</f>
        <v/>
      </c>
      <c r="K499" s="37" t="str">
        <f>IF(Agent03_Withdrawals!A104="","",Agent03_Withdrawals!K104)</f>
        <v/>
      </c>
      <c r="L499" s="37" t="str">
        <f>IF(G499="","",IF(D499-G499&gt;=System_Config!$B$9,"✅ OK","⚠️ BREACH"))</f>
        <v/>
      </c>
      <c r="M499" s="37" t="str">
        <f>IFERROR(IF(Agent03_Withdrawals!A104="","",YEAR(Agent03_Withdrawals!D104)),"")</f>
        <v/>
      </c>
    </row>
    <row r="500" spans="1:13" ht="18" customHeight="1" x14ac:dyDescent="0.25">
      <c r="A500" s="37" t="str">
        <f>IF(Agent03_Withdrawals!A105="","",Agent03_Withdrawals!A105)</f>
        <v/>
      </c>
      <c r="B500" s="37" t="str">
        <f ca="1">IF(Agent03_Withdrawals!A105="","","WD"&amp;TEXT(500-3,"0000")&amp;"-"&amp;TEXT(TODAY(),"YYYYMMDD"))</f>
        <v/>
      </c>
      <c r="C500" s="37" t="str">
        <f>IF(Agent03_Withdrawals!A105="","",Agent03_Withdrawals!B105)</f>
        <v/>
      </c>
      <c r="D500" s="40" t="str">
        <f>IF(Agent03_Withdrawals!A105="","",Agent03_Withdrawals!C105)</f>
        <v/>
      </c>
      <c r="E500" s="38" t="str">
        <f>IF(Agent03_Withdrawals!A105="","",Agent03_Withdrawals!D105)</f>
        <v/>
      </c>
      <c r="F500" s="37" t="str">
        <f>IF(Agent03_Withdrawals!A105="","",Agent03_Withdrawals!F105)</f>
        <v/>
      </c>
      <c r="G500" s="39" t="str">
        <f>IF(Agent03_Withdrawals!A105="","",Agent03_Withdrawals!E105)</f>
        <v/>
      </c>
      <c r="H500" s="39" t="str">
        <f>IF(Agent03_Withdrawals!A105="","",Agent03_Withdrawals!G105)</f>
        <v/>
      </c>
      <c r="I500" s="37" t="str">
        <f>IF(Agent03_Withdrawals!A105="","",Agent03_Withdrawals!H105)</f>
        <v/>
      </c>
      <c r="J500" s="37" t="str">
        <f>IF(Agent03_Withdrawals!A105="","",Agent03_Withdrawals!J105)</f>
        <v/>
      </c>
      <c r="K500" s="37" t="str">
        <f>IF(Agent03_Withdrawals!A105="","",Agent03_Withdrawals!K105)</f>
        <v/>
      </c>
      <c r="L500" s="37" t="str">
        <f>IF(G500="","",IF(D500-G500&gt;=System_Config!$B$9,"✅ OK","⚠️ BREACH"))</f>
        <v/>
      </c>
      <c r="M500" s="37" t="str">
        <f>IFERROR(IF(Agent03_Withdrawals!A105="","",YEAR(Agent03_Withdrawals!D105)),"")</f>
        <v/>
      </c>
    </row>
    <row r="501" spans="1:13" ht="18" customHeight="1" x14ac:dyDescent="0.25">
      <c r="A501" s="37" t="str">
        <f>IF(Agent03_Withdrawals!A106="","",Agent03_Withdrawals!A106)</f>
        <v/>
      </c>
      <c r="B501" s="37" t="str">
        <f ca="1">IF(Agent03_Withdrawals!A106="","","WD"&amp;TEXT(501-3,"0000")&amp;"-"&amp;TEXT(TODAY(),"YYYYMMDD"))</f>
        <v/>
      </c>
      <c r="C501" s="37" t="str">
        <f>IF(Agent03_Withdrawals!A106="","",Agent03_Withdrawals!B106)</f>
        <v/>
      </c>
      <c r="D501" s="40" t="str">
        <f>IF(Agent03_Withdrawals!A106="","",Agent03_Withdrawals!C106)</f>
        <v/>
      </c>
      <c r="E501" s="38" t="str">
        <f>IF(Agent03_Withdrawals!A106="","",Agent03_Withdrawals!D106)</f>
        <v/>
      </c>
      <c r="F501" s="37" t="str">
        <f>IF(Agent03_Withdrawals!A106="","",Agent03_Withdrawals!F106)</f>
        <v/>
      </c>
      <c r="G501" s="39" t="str">
        <f>IF(Agent03_Withdrawals!A106="","",Agent03_Withdrawals!E106)</f>
        <v/>
      </c>
      <c r="H501" s="39" t="str">
        <f>IF(Agent03_Withdrawals!A106="","",Agent03_Withdrawals!G106)</f>
        <v/>
      </c>
      <c r="I501" s="37" t="str">
        <f>IF(Agent03_Withdrawals!A106="","",Agent03_Withdrawals!H106)</f>
        <v/>
      </c>
      <c r="J501" s="37" t="str">
        <f>IF(Agent03_Withdrawals!A106="","",Agent03_Withdrawals!J106)</f>
        <v/>
      </c>
      <c r="K501" s="37" t="str">
        <f>IF(Agent03_Withdrawals!A106="","",Agent03_Withdrawals!K106)</f>
        <v/>
      </c>
      <c r="L501" s="37" t="str">
        <f>IF(G501="","",IF(D501-G501&gt;=System_Config!$B$9,"✅ OK","⚠️ BREACH"))</f>
        <v/>
      </c>
      <c r="M501" s="37" t="str">
        <f>IFERROR(IF(Agent03_Withdrawals!A106="","",YEAR(Agent03_Withdrawals!D106)),"")</f>
        <v/>
      </c>
    </row>
    <row r="502" spans="1:13" ht="18" customHeight="1" x14ac:dyDescent="0.25">
      <c r="A502" s="37" t="str">
        <f>IF(Agent03_Withdrawals!A107="","",Agent03_Withdrawals!A107)</f>
        <v/>
      </c>
      <c r="B502" s="37" t="str">
        <f ca="1">IF(Agent03_Withdrawals!A107="","","WD"&amp;TEXT(502-3,"0000")&amp;"-"&amp;TEXT(TODAY(),"YYYYMMDD"))</f>
        <v/>
      </c>
      <c r="C502" s="37" t="str">
        <f>IF(Agent03_Withdrawals!A107="","",Agent03_Withdrawals!B107)</f>
        <v/>
      </c>
      <c r="D502" s="40" t="str">
        <f>IF(Agent03_Withdrawals!A107="","",Agent03_Withdrawals!C107)</f>
        <v/>
      </c>
      <c r="E502" s="38" t="str">
        <f>IF(Agent03_Withdrawals!A107="","",Agent03_Withdrawals!D107)</f>
        <v/>
      </c>
      <c r="F502" s="37" t="str">
        <f>IF(Agent03_Withdrawals!A107="","",Agent03_Withdrawals!F107)</f>
        <v/>
      </c>
      <c r="G502" s="39" t="str">
        <f>IF(Agent03_Withdrawals!A107="","",Agent03_Withdrawals!E107)</f>
        <v/>
      </c>
      <c r="H502" s="39" t="str">
        <f>IF(Agent03_Withdrawals!A107="","",Agent03_Withdrawals!G107)</f>
        <v/>
      </c>
      <c r="I502" s="37" t="str">
        <f>IF(Agent03_Withdrawals!A107="","",Agent03_Withdrawals!H107)</f>
        <v/>
      </c>
      <c r="J502" s="37" t="str">
        <f>IF(Agent03_Withdrawals!A107="","",Agent03_Withdrawals!J107)</f>
        <v/>
      </c>
      <c r="K502" s="37" t="str">
        <f>IF(Agent03_Withdrawals!A107="","",Agent03_Withdrawals!K107)</f>
        <v/>
      </c>
      <c r="L502" s="37" t="str">
        <f>IF(G502="","",IF(D502-G502&gt;=System_Config!$B$9,"✅ OK","⚠️ BREACH"))</f>
        <v/>
      </c>
      <c r="M502" s="37" t="str">
        <f>IFERROR(IF(Agent03_Withdrawals!A107="","",YEAR(Agent03_Withdrawals!D107)),"")</f>
        <v/>
      </c>
    </row>
    <row r="503" spans="1:13" ht="18" customHeight="1" x14ac:dyDescent="0.25">
      <c r="A503" s="37" t="str">
        <f>IF(Agent03_Withdrawals!A108="","",Agent03_Withdrawals!A108)</f>
        <v/>
      </c>
      <c r="B503" s="37" t="str">
        <f ca="1">IF(Agent03_Withdrawals!A108="","","WD"&amp;TEXT(503-3,"0000")&amp;"-"&amp;TEXT(TODAY(),"YYYYMMDD"))</f>
        <v/>
      </c>
      <c r="C503" s="37" t="str">
        <f>IF(Agent03_Withdrawals!A108="","",Agent03_Withdrawals!B108)</f>
        <v/>
      </c>
      <c r="D503" s="40" t="str">
        <f>IF(Agent03_Withdrawals!A108="","",Agent03_Withdrawals!C108)</f>
        <v/>
      </c>
      <c r="E503" s="38" t="str">
        <f>IF(Agent03_Withdrawals!A108="","",Agent03_Withdrawals!D108)</f>
        <v/>
      </c>
      <c r="F503" s="37" t="str">
        <f>IF(Agent03_Withdrawals!A108="","",Agent03_Withdrawals!F108)</f>
        <v/>
      </c>
      <c r="G503" s="39" t="str">
        <f>IF(Agent03_Withdrawals!A108="","",Agent03_Withdrawals!E108)</f>
        <v/>
      </c>
      <c r="H503" s="39" t="str">
        <f>IF(Agent03_Withdrawals!A108="","",Agent03_Withdrawals!G108)</f>
        <v/>
      </c>
      <c r="I503" s="37" t="str">
        <f>IF(Agent03_Withdrawals!A108="","",Agent03_Withdrawals!H108)</f>
        <v/>
      </c>
      <c r="J503" s="37" t="str">
        <f>IF(Agent03_Withdrawals!A108="","",Agent03_Withdrawals!J108)</f>
        <v/>
      </c>
      <c r="K503" s="37" t="str">
        <f>IF(Agent03_Withdrawals!A108="","",Agent03_Withdrawals!K108)</f>
        <v/>
      </c>
      <c r="L503" s="37" t="str">
        <f>IF(G503="","",IF(D503-G503&gt;=System_Config!$B$9,"✅ OK","⚠️ BREACH"))</f>
        <v/>
      </c>
      <c r="M503" s="37" t="str">
        <f>IFERROR(IF(Agent03_Withdrawals!A108="","",YEAR(Agent03_Withdrawals!D108)),"")</f>
        <v/>
      </c>
    </row>
    <row r="504" spans="1:13" ht="18" customHeight="1" x14ac:dyDescent="0.25">
      <c r="A504" s="37" t="str">
        <f>IF(Agent03_Withdrawals!A109="","",Agent03_Withdrawals!A109)</f>
        <v/>
      </c>
      <c r="B504" s="37" t="str">
        <f ca="1">IF(Agent03_Withdrawals!A109="","","WD"&amp;TEXT(504-3,"0000")&amp;"-"&amp;TEXT(TODAY(),"YYYYMMDD"))</f>
        <v/>
      </c>
      <c r="C504" s="37" t="str">
        <f>IF(Agent03_Withdrawals!A109="","",Agent03_Withdrawals!B109)</f>
        <v/>
      </c>
      <c r="D504" s="40" t="str">
        <f>IF(Agent03_Withdrawals!A109="","",Agent03_Withdrawals!C109)</f>
        <v/>
      </c>
      <c r="E504" s="38" t="str">
        <f>IF(Agent03_Withdrawals!A109="","",Agent03_Withdrawals!D109)</f>
        <v/>
      </c>
      <c r="F504" s="37" t="str">
        <f>IF(Agent03_Withdrawals!A109="","",Agent03_Withdrawals!F109)</f>
        <v/>
      </c>
      <c r="G504" s="39" t="str">
        <f>IF(Agent03_Withdrawals!A109="","",Agent03_Withdrawals!E109)</f>
        <v/>
      </c>
      <c r="H504" s="39" t="str">
        <f>IF(Agent03_Withdrawals!A109="","",Agent03_Withdrawals!G109)</f>
        <v/>
      </c>
      <c r="I504" s="37" t="str">
        <f>IF(Agent03_Withdrawals!A109="","",Agent03_Withdrawals!H109)</f>
        <v/>
      </c>
      <c r="J504" s="37" t="str">
        <f>IF(Agent03_Withdrawals!A109="","",Agent03_Withdrawals!J109)</f>
        <v/>
      </c>
      <c r="K504" s="37" t="str">
        <f>IF(Agent03_Withdrawals!A109="","",Agent03_Withdrawals!K109)</f>
        <v/>
      </c>
      <c r="L504" s="37" t="str">
        <f>IF(G504="","",IF(D504-G504&gt;=System_Config!$B$9,"✅ OK","⚠️ BREACH"))</f>
        <v/>
      </c>
      <c r="M504" s="37" t="str">
        <f>IFERROR(IF(Agent03_Withdrawals!A109="","",YEAR(Agent03_Withdrawals!D109)),"")</f>
        <v/>
      </c>
    </row>
    <row r="505" spans="1:13" ht="18" customHeight="1" x14ac:dyDescent="0.25">
      <c r="A505" s="37" t="str">
        <f>IF(Agent03_Withdrawals!A110="","",Agent03_Withdrawals!A110)</f>
        <v/>
      </c>
      <c r="B505" s="37" t="str">
        <f ca="1">IF(Agent03_Withdrawals!A110="","","WD"&amp;TEXT(505-3,"0000")&amp;"-"&amp;TEXT(TODAY(),"YYYYMMDD"))</f>
        <v/>
      </c>
      <c r="C505" s="37" t="str">
        <f>IF(Agent03_Withdrawals!A110="","",Agent03_Withdrawals!B110)</f>
        <v/>
      </c>
      <c r="D505" s="40" t="str">
        <f>IF(Agent03_Withdrawals!A110="","",Agent03_Withdrawals!C110)</f>
        <v/>
      </c>
      <c r="E505" s="38" t="str">
        <f>IF(Agent03_Withdrawals!A110="","",Agent03_Withdrawals!D110)</f>
        <v/>
      </c>
      <c r="F505" s="37" t="str">
        <f>IF(Agent03_Withdrawals!A110="","",Agent03_Withdrawals!F110)</f>
        <v/>
      </c>
      <c r="G505" s="39" t="str">
        <f>IF(Agent03_Withdrawals!A110="","",Agent03_Withdrawals!E110)</f>
        <v/>
      </c>
      <c r="H505" s="39" t="str">
        <f>IF(Agent03_Withdrawals!A110="","",Agent03_Withdrawals!G110)</f>
        <v/>
      </c>
      <c r="I505" s="37" t="str">
        <f>IF(Agent03_Withdrawals!A110="","",Agent03_Withdrawals!H110)</f>
        <v/>
      </c>
      <c r="J505" s="37" t="str">
        <f>IF(Agent03_Withdrawals!A110="","",Agent03_Withdrawals!J110)</f>
        <v/>
      </c>
      <c r="K505" s="37" t="str">
        <f>IF(Agent03_Withdrawals!A110="","",Agent03_Withdrawals!K110)</f>
        <v/>
      </c>
      <c r="L505" s="37" t="str">
        <f>IF(G505="","",IF(D505-G505&gt;=System_Config!$B$9,"✅ OK","⚠️ BREACH"))</f>
        <v/>
      </c>
      <c r="M505" s="37" t="str">
        <f>IFERROR(IF(Agent03_Withdrawals!A110="","",YEAR(Agent03_Withdrawals!D110)),"")</f>
        <v/>
      </c>
    </row>
    <row r="506" spans="1:13" ht="18" customHeight="1" x14ac:dyDescent="0.25">
      <c r="A506" s="37" t="str">
        <f>IF(Agent03_Withdrawals!A111="","",Agent03_Withdrawals!A111)</f>
        <v/>
      </c>
      <c r="B506" s="37" t="str">
        <f ca="1">IF(Agent03_Withdrawals!A111="","","WD"&amp;TEXT(506-3,"0000")&amp;"-"&amp;TEXT(TODAY(),"YYYYMMDD"))</f>
        <v/>
      </c>
      <c r="C506" s="37" t="str">
        <f>IF(Agent03_Withdrawals!A111="","",Agent03_Withdrawals!B111)</f>
        <v/>
      </c>
      <c r="D506" s="40" t="str">
        <f>IF(Agent03_Withdrawals!A111="","",Agent03_Withdrawals!C111)</f>
        <v/>
      </c>
      <c r="E506" s="38" t="str">
        <f>IF(Agent03_Withdrawals!A111="","",Agent03_Withdrawals!D111)</f>
        <v/>
      </c>
      <c r="F506" s="37" t="str">
        <f>IF(Agent03_Withdrawals!A111="","",Agent03_Withdrawals!F111)</f>
        <v/>
      </c>
      <c r="G506" s="39" t="str">
        <f>IF(Agent03_Withdrawals!A111="","",Agent03_Withdrawals!E111)</f>
        <v/>
      </c>
      <c r="H506" s="39" t="str">
        <f>IF(Agent03_Withdrawals!A111="","",Agent03_Withdrawals!G111)</f>
        <v/>
      </c>
      <c r="I506" s="37" t="str">
        <f>IF(Agent03_Withdrawals!A111="","",Agent03_Withdrawals!H111)</f>
        <v/>
      </c>
      <c r="J506" s="37" t="str">
        <f>IF(Agent03_Withdrawals!A111="","",Agent03_Withdrawals!J111)</f>
        <v/>
      </c>
      <c r="K506" s="37" t="str">
        <f>IF(Agent03_Withdrawals!A111="","",Agent03_Withdrawals!K111)</f>
        <v/>
      </c>
      <c r="L506" s="37" t="str">
        <f>IF(G506="","",IF(D506-G506&gt;=System_Config!$B$9,"✅ OK","⚠️ BREACH"))</f>
        <v/>
      </c>
      <c r="M506" s="37" t="str">
        <f>IFERROR(IF(Agent03_Withdrawals!A111="","",YEAR(Agent03_Withdrawals!D111)),"")</f>
        <v/>
      </c>
    </row>
    <row r="507" spans="1:13" ht="18" customHeight="1" x14ac:dyDescent="0.25">
      <c r="A507" s="37" t="str">
        <f>IF(Agent03_Withdrawals!A112="","",Agent03_Withdrawals!A112)</f>
        <v/>
      </c>
      <c r="B507" s="37" t="str">
        <f ca="1">IF(Agent03_Withdrawals!A112="","","WD"&amp;TEXT(507-3,"0000")&amp;"-"&amp;TEXT(TODAY(),"YYYYMMDD"))</f>
        <v/>
      </c>
      <c r="C507" s="37" t="str">
        <f>IF(Agent03_Withdrawals!A112="","",Agent03_Withdrawals!B112)</f>
        <v/>
      </c>
      <c r="D507" s="40" t="str">
        <f>IF(Agent03_Withdrawals!A112="","",Agent03_Withdrawals!C112)</f>
        <v/>
      </c>
      <c r="E507" s="38" t="str">
        <f>IF(Agent03_Withdrawals!A112="","",Agent03_Withdrawals!D112)</f>
        <v/>
      </c>
      <c r="F507" s="37" t="str">
        <f>IF(Agent03_Withdrawals!A112="","",Agent03_Withdrawals!F112)</f>
        <v/>
      </c>
      <c r="G507" s="39" t="str">
        <f>IF(Agent03_Withdrawals!A112="","",Agent03_Withdrawals!E112)</f>
        <v/>
      </c>
      <c r="H507" s="39" t="str">
        <f>IF(Agent03_Withdrawals!A112="","",Agent03_Withdrawals!G112)</f>
        <v/>
      </c>
      <c r="I507" s="37" t="str">
        <f>IF(Agent03_Withdrawals!A112="","",Agent03_Withdrawals!H112)</f>
        <v/>
      </c>
      <c r="J507" s="37" t="str">
        <f>IF(Agent03_Withdrawals!A112="","",Agent03_Withdrawals!J112)</f>
        <v/>
      </c>
      <c r="K507" s="37" t="str">
        <f>IF(Agent03_Withdrawals!A112="","",Agent03_Withdrawals!K112)</f>
        <v/>
      </c>
      <c r="L507" s="37" t="str">
        <f>IF(G507="","",IF(D507-G507&gt;=System_Config!$B$9,"✅ OK","⚠️ BREACH"))</f>
        <v/>
      </c>
      <c r="M507" s="37" t="str">
        <f>IFERROR(IF(Agent03_Withdrawals!A112="","",YEAR(Agent03_Withdrawals!D112)),"")</f>
        <v/>
      </c>
    </row>
    <row r="508" spans="1:13" ht="18" customHeight="1" x14ac:dyDescent="0.25">
      <c r="A508" s="37" t="str">
        <f>IF(Agent03_Withdrawals!A113="","",Agent03_Withdrawals!A113)</f>
        <v/>
      </c>
      <c r="B508" s="37" t="str">
        <f ca="1">IF(Agent03_Withdrawals!A113="","","WD"&amp;TEXT(508-3,"0000")&amp;"-"&amp;TEXT(TODAY(),"YYYYMMDD"))</f>
        <v/>
      </c>
      <c r="C508" s="37" t="str">
        <f>IF(Agent03_Withdrawals!A113="","",Agent03_Withdrawals!B113)</f>
        <v/>
      </c>
      <c r="D508" s="40" t="str">
        <f>IF(Agent03_Withdrawals!A113="","",Agent03_Withdrawals!C113)</f>
        <v/>
      </c>
      <c r="E508" s="38" t="str">
        <f>IF(Agent03_Withdrawals!A113="","",Agent03_Withdrawals!D113)</f>
        <v/>
      </c>
      <c r="F508" s="37" t="str">
        <f>IF(Agent03_Withdrawals!A113="","",Agent03_Withdrawals!F113)</f>
        <v/>
      </c>
      <c r="G508" s="39" t="str">
        <f>IF(Agent03_Withdrawals!A113="","",Agent03_Withdrawals!E113)</f>
        <v/>
      </c>
      <c r="H508" s="39" t="str">
        <f>IF(Agent03_Withdrawals!A113="","",Agent03_Withdrawals!G113)</f>
        <v/>
      </c>
      <c r="I508" s="37" t="str">
        <f>IF(Agent03_Withdrawals!A113="","",Agent03_Withdrawals!H113)</f>
        <v/>
      </c>
      <c r="J508" s="37" t="str">
        <f>IF(Agent03_Withdrawals!A113="","",Agent03_Withdrawals!J113)</f>
        <v/>
      </c>
      <c r="K508" s="37" t="str">
        <f>IF(Agent03_Withdrawals!A113="","",Agent03_Withdrawals!K113)</f>
        <v/>
      </c>
      <c r="L508" s="37" t="str">
        <f>IF(G508="","",IF(D508-G508&gt;=System_Config!$B$9,"✅ OK","⚠️ BREACH"))</f>
        <v/>
      </c>
      <c r="M508" s="37" t="str">
        <f>IFERROR(IF(Agent03_Withdrawals!A113="","",YEAR(Agent03_Withdrawals!D113)),"")</f>
        <v/>
      </c>
    </row>
    <row r="509" spans="1:13" ht="18" customHeight="1" x14ac:dyDescent="0.25">
      <c r="A509" s="37" t="str">
        <f>IF(Agent03_Withdrawals!A114="","",Agent03_Withdrawals!A114)</f>
        <v/>
      </c>
      <c r="B509" s="37" t="str">
        <f ca="1">IF(Agent03_Withdrawals!A114="","","WD"&amp;TEXT(509-3,"0000")&amp;"-"&amp;TEXT(TODAY(),"YYYYMMDD"))</f>
        <v/>
      </c>
      <c r="C509" s="37" t="str">
        <f>IF(Agent03_Withdrawals!A114="","",Agent03_Withdrawals!B114)</f>
        <v/>
      </c>
      <c r="D509" s="40" t="str">
        <f>IF(Agent03_Withdrawals!A114="","",Agent03_Withdrawals!C114)</f>
        <v/>
      </c>
      <c r="E509" s="38" t="str">
        <f>IF(Agent03_Withdrawals!A114="","",Agent03_Withdrawals!D114)</f>
        <v/>
      </c>
      <c r="F509" s="37" t="str">
        <f>IF(Agent03_Withdrawals!A114="","",Agent03_Withdrawals!F114)</f>
        <v/>
      </c>
      <c r="G509" s="39" t="str">
        <f>IF(Agent03_Withdrawals!A114="","",Agent03_Withdrawals!E114)</f>
        <v/>
      </c>
      <c r="H509" s="39" t="str">
        <f>IF(Agent03_Withdrawals!A114="","",Agent03_Withdrawals!G114)</f>
        <v/>
      </c>
      <c r="I509" s="37" t="str">
        <f>IF(Agent03_Withdrawals!A114="","",Agent03_Withdrawals!H114)</f>
        <v/>
      </c>
      <c r="J509" s="37" t="str">
        <f>IF(Agent03_Withdrawals!A114="","",Agent03_Withdrawals!J114)</f>
        <v/>
      </c>
      <c r="K509" s="37" t="str">
        <f>IF(Agent03_Withdrawals!A114="","",Agent03_Withdrawals!K114)</f>
        <v/>
      </c>
      <c r="L509" s="37" t="str">
        <f>IF(G509="","",IF(D509-G509&gt;=System_Config!$B$9,"✅ OK","⚠️ BREACH"))</f>
        <v/>
      </c>
      <c r="M509" s="37" t="str">
        <f>IFERROR(IF(Agent03_Withdrawals!A114="","",YEAR(Agent03_Withdrawals!D114)),"")</f>
        <v/>
      </c>
    </row>
    <row r="510" spans="1:13" ht="18" customHeight="1" x14ac:dyDescent="0.25">
      <c r="A510" s="37" t="str">
        <f>IF(Agent03_Withdrawals!A115="","",Agent03_Withdrawals!A115)</f>
        <v/>
      </c>
      <c r="B510" s="37" t="str">
        <f ca="1">IF(Agent03_Withdrawals!A115="","","WD"&amp;TEXT(510-3,"0000")&amp;"-"&amp;TEXT(TODAY(),"YYYYMMDD"))</f>
        <v/>
      </c>
      <c r="C510" s="37" t="str">
        <f>IF(Agent03_Withdrawals!A115="","",Agent03_Withdrawals!B115)</f>
        <v/>
      </c>
      <c r="D510" s="40" t="str">
        <f>IF(Agent03_Withdrawals!A115="","",Agent03_Withdrawals!C115)</f>
        <v/>
      </c>
      <c r="E510" s="38" t="str">
        <f>IF(Agent03_Withdrawals!A115="","",Agent03_Withdrawals!D115)</f>
        <v/>
      </c>
      <c r="F510" s="37" t="str">
        <f>IF(Agent03_Withdrawals!A115="","",Agent03_Withdrawals!F115)</f>
        <v/>
      </c>
      <c r="G510" s="39" t="str">
        <f>IF(Agent03_Withdrawals!A115="","",Agent03_Withdrawals!E115)</f>
        <v/>
      </c>
      <c r="H510" s="39" t="str">
        <f>IF(Agent03_Withdrawals!A115="","",Agent03_Withdrawals!G115)</f>
        <v/>
      </c>
      <c r="I510" s="37" t="str">
        <f>IF(Agent03_Withdrawals!A115="","",Agent03_Withdrawals!H115)</f>
        <v/>
      </c>
      <c r="J510" s="37" t="str">
        <f>IF(Agent03_Withdrawals!A115="","",Agent03_Withdrawals!J115)</f>
        <v/>
      </c>
      <c r="K510" s="37" t="str">
        <f>IF(Agent03_Withdrawals!A115="","",Agent03_Withdrawals!K115)</f>
        <v/>
      </c>
      <c r="L510" s="37" t="str">
        <f>IF(G510="","",IF(D510-G510&gt;=System_Config!$B$9,"✅ OK","⚠️ BREACH"))</f>
        <v/>
      </c>
      <c r="M510" s="37" t="str">
        <f>IFERROR(IF(Agent03_Withdrawals!A115="","",YEAR(Agent03_Withdrawals!D115)),"")</f>
        <v/>
      </c>
    </row>
    <row r="511" spans="1:13" ht="18" customHeight="1" x14ac:dyDescent="0.25">
      <c r="A511" s="37" t="str">
        <f>IF(Agent03_Withdrawals!A116="","",Agent03_Withdrawals!A116)</f>
        <v/>
      </c>
      <c r="B511" s="37" t="str">
        <f ca="1">IF(Agent03_Withdrawals!A116="","","WD"&amp;TEXT(511-3,"0000")&amp;"-"&amp;TEXT(TODAY(),"YYYYMMDD"))</f>
        <v/>
      </c>
      <c r="C511" s="37" t="str">
        <f>IF(Agent03_Withdrawals!A116="","",Agent03_Withdrawals!B116)</f>
        <v/>
      </c>
      <c r="D511" s="40" t="str">
        <f>IF(Agent03_Withdrawals!A116="","",Agent03_Withdrawals!C116)</f>
        <v/>
      </c>
      <c r="E511" s="38" t="str">
        <f>IF(Agent03_Withdrawals!A116="","",Agent03_Withdrawals!D116)</f>
        <v/>
      </c>
      <c r="F511" s="37" t="str">
        <f>IF(Agent03_Withdrawals!A116="","",Agent03_Withdrawals!F116)</f>
        <v/>
      </c>
      <c r="G511" s="39" t="str">
        <f>IF(Agent03_Withdrawals!A116="","",Agent03_Withdrawals!E116)</f>
        <v/>
      </c>
      <c r="H511" s="39" t="str">
        <f>IF(Agent03_Withdrawals!A116="","",Agent03_Withdrawals!G116)</f>
        <v/>
      </c>
      <c r="I511" s="37" t="str">
        <f>IF(Agent03_Withdrawals!A116="","",Agent03_Withdrawals!H116)</f>
        <v/>
      </c>
      <c r="J511" s="37" t="str">
        <f>IF(Agent03_Withdrawals!A116="","",Agent03_Withdrawals!J116)</f>
        <v/>
      </c>
      <c r="K511" s="37" t="str">
        <f>IF(Agent03_Withdrawals!A116="","",Agent03_Withdrawals!K116)</f>
        <v/>
      </c>
      <c r="L511" s="37" t="str">
        <f>IF(G511="","",IF(D511-G511&gt;=System_Config!$B$9,"✅ OK","⚠️ BREACH"))</f>
        <v/>
      </c>
      <c r="M511" s="37" t="str">
        <f>IFERROR(IF(Agent03_Withdrawals!A116="","",YEAR(Agent03_Withdrawals!D116)),"")</f>
        <v/>
      </c>
    </row>
    <row r="512" spans="1:13" ht="18" customHeight="1" x14ac:dyDescent="0.25">
      <c r="A512" s="37" t="str">
        <f>IF(Agent03_Withdrawals!A117="","",Agent03_Withdrawals!A117)</f>
        <v/>
      </c>
      <c r="B512" s="37" t="str">
        <f ca="1">IF(Agent03_Withdrawals!A117="","","WD"&amp;TEXT(512-3,"0000")&amp;"-"&amp;TEXT(TODAY(),"YYYYMMDD"))</f>
        <v/>
      </c>
      <c r="C512" s="37" t="str">
        <f>IF(Agent03_Withdrawals!A117="","",Agent03_Withdrawals!B117)</f>
        <v/>
      </c>
      <c r="D512" s="40" t="str">
        <f>IF(Agent03_Withdrawals!A117="","",Agent03_Withdrawals!C117)</f>
        <v/>
      </c>
      <c r="E512" s="38" t="str">
        <f>IF(Agent03_Withdrawals!A117="","",Agent03_Withdrawals!D117)</f>
        <v/>
      </c>
      <c r="F512" s="37" t="str">
        <f>IF(Agent03_Withdrawals!A117="","",Agent03_Withdrawals!F117)</f>
        <v/>
      </c>
      <c r="G512" s="39" t="str">
        <f>IF(Agent03_Withdrawals!A117="","",Agent03_Withdrawals!E117)</f>
        <v/>
      </c>
      <c r="H512" s="39" t="str">
        <f>IF(Agent03_Withdrawals!A117="","",Agent03_Withdrawals!G117)</f>
        <v/>
      </c>
      <c r="I512" s="37" t="str">
        <f>IF(Agent03_Withdrawals!A117="","",Agent03_Withdrawals!H117)</f>
        <v/>
      </c>
      <c r="J512" s="37" t="str">
        <f>IF(Agent03_Withdrawals!A117="","",Agent03_Withdrawals!J117)</f>
        <v/>
      </c>
      <c r="K512" s="37" t="str">
        <f>IF(Agent03_Withdrawals!A117="","",Agent03_Withdrawals!K117)</f>
        <v/>
      </c>
      <c r="L512" s="37" t="str">
        <f>IF(G512="","",IF(D512-G512&gt;=System_Config!$B$9,"✅ OK","⚠️ BREACH"))</f>
        <v/>
      </c>
      <c r="M512" s="37" t="str">
        <f>IFERROR(IF(Agent03_Withdrawals!A117="","",YEAR(Agent03_Withdrawals!D117)),"")</f>
        <v/>
      </c>
    </row>
    <row r="513" spans="1:13" ht="18" customHeight="1" x14ac:dyDescent="0.25">
      <c r="A513" s="37" t="str">
        <f>IF(Agent03_Withdrawals!A118="","",Agent03_Withdrawals!A118)</f>
        <v/>
      </c>
      <c r="B513" s="37" t="str">
        <f ca="1">IF(Agent03_Withdrawals!A118="","","WD"&amp;TEXT(513-3,"0000")&amp;"-"&amp;TEXT(TODAY(),"YYYYMMDD"))</f>
        <v/>
      </c>
      <c r="C513" s="37" t="str">
        <f>IF(Agent03_Withdrawals!A118="","",Agent03_Withdrawals!B118)</f>
        <v/>
      </c>
      <c r="D513" s="40" t="str">
        <f>IF(Agent03_Withdrawals!A118="","",Agent03_Withdrawals!C118)</f>
        <v/>
      </c>
      <c r="E513" s="38" t="str">
        <f>IF(Agent03_Withdrawals!A118="","",Agent03_Withdrawals!D118)</f>
        <v/>
      </c>
      <c r="F513" s="37" t="str">
        <f>IF(Agent03_Withdrawals!A118="","",Agent03_Withdrawals!F118)</f>
        <v/>
      </c>
      <c r="G513" s="39" t="str">
        <f>IF(Agent03_Withdrawals!A118="","",Agent03_Withdrawals!E118)</f>
        <v/>
      </c>
      <c r="H513" s="39" t="str">
        <f>IF(Agent03_Withdrawals!A118="","",Agent03_Withdrawals!G118)</f>
        <v/>
      </c>
      <c r="I513" s="37" t="str">
        <f>IF(Agent03_Withdrawals!A118="","",Agent03_Withdrawals!H118)</f>
        <v/>
      </c>
      <c r="J513" s="37" t="str">
        <f>IF(Agent03_Withdrawals!A118="","",Agent03_Withdrawals!J118)</f>
        <v/>
      </c>
      <c r="K513" s="37" t="str">
        <f>IF(Agent03_Withdrawals!A118="","",Agent03_Withdrawals!K118)</f>
        <v/>
      </c>
      <c r="L513" s="37" t="str">
        <f>IF(G513="","",IF(D513-G513&gt;=System_Config!$B$9,"✅ OK","⚠️ BREACH"))</f>
        <v/>
      </c>
      <c r="M513" s="37" t="str">
        <f>IFERROR(IF(Agent03_Withdrawals!A118="","",YEAR(Agent03_Withdrawals!D118)),"")</f>
        <v/>
      </c>
    </row>
    <row r="514" spans="1:13" ht="18" customHeight="1" x14ac:dyDescent="0.25">
      <c r="A514" s="37" t="str">
        <f>IF(Agent03_Withdrawals!A119="","",Agent03_Withdrawals!A119)</f>
        <v/>
      </c>
      <c r="B514" s="37" t="str">
        <f ca="1">IF(Agent03_Withdrawals!A119="","","WD"&amp;TEXT(514-3,"0000")&amp;"-"&amp;TEXT(TODAY(),"YYYYMMDD"))</f>
        <v/>
      </c>
      <c r="C514" s="37" t="str">
        <f>IF(Agent03_Withdrawals!A119="","",Agent03_Withdrawals!B119)</f>
        <v/>
      </c>
      <c r="D514" s="40" t="str">
        <f>IF(Agent03_Withdrawals!A119="","",Agent03_Withdrawals!C119)</f>
        <v/>
      </c>
      <c r="E514" s="38" t="str">
        <f>IF(Agent03_Withdrawals!A119="","",Agent03_Withdrawals!D119)</f>
        <v/>
      </c>
      <c r="F514" s="37" t="str">
        <f>IF(Agent03_Withdrawals!A119="","",Agent03_Withdrawals!F119)</f>
        <v/>
      </c>
      <c r="G514" s="39" t="str">
        <f>IF(Agent03_Withdrawals!A119="","",Agent03_Withdrawals!E119)</f>
        <v/>
      </c>
      <c r="H514" s="39" t="str">
        <f>IF(Agent03_Withdrawals!A119="","",Agent03_Withdrawals!G119)</f>
        <v/>
      </c>
      <c r="I514" s="37" t="str">
        <f>IF(Agent03_Withdrawals!A119="","",Agent03_Withdrawals!H119)</f>
        <v/>
      </c>
      <c r="J514" s="37" t="str">
        <f>IF(Agent03_Withdrawals!A119="","",Agent03_Withdrawals!J119)</f>
        <v/>
      </c>
      <c r="K514" s="37" t="str">
        <f>IF(Agent03_Withdrawals!A119="","",Agent03_Withdrawals!K119)</f>
        <v/>
      </c>
      <c r="L514" s="37" t="str">
        <f>IF(G514="","",IF(D514-G514&gt;=System_Config!$B$9,"✅ OK","⚠️ BREACH"))</f>
        <v/>
      </c>
      <c r="M514" s="37" t="str">
        <f>IFERROR(IF(Agent03_Withdrawals!A119="","",YEAR(Agent03_Withdrawals!D119)),"")</f>
        <v/>
      </c>
    </row>
    <row r="515" spans="1:13" ht="18" customHeight="1" x14ac:dyDescent="0.25">
      <c r="A515" s="37" t="str">
        <f>IF(Agent03_Withdrawals!A120="","",Agent03_Withdrawals!A120)</f>
        <v/>
      </c>
      <c r="B515" s="37" t="str">
        <f ca="1">IF(Agent03_Withdrawals!A120="","","WD"&amp;TEXT(515-3,"0000")&amp;"-"&amp;TEXT(TODAY(),"YYYYMMDD"))</f>
        <v/>
      </c>
      <c r="C515" s="37" t="str">
        <f>IF(Agent03_Withdrawals!A120="","",Agent03_Withdrawals!B120)</f>
        <v/>
      </c>
      <c r="D515" s="40" t="str">
        <f>IF(Agent03_Withdrawals!A120="","",Agent03_Withdrawals!C120)</f>
        <v/>
      </c>
      <c r="E515" s="38" t="str">
        <f>IF(Agent03_Withdrawals!A120="","",Agent03_Withdrawals!D120)</f>
        <v/>
      </c>
      <c r="F515" s="37" t="str">
        <f>IF(Agent03_Withdrawals!A120="","",Agent03_Withdrawals!F120)</f>
        <v/>
      </c>
      <c r="G515" s="39" t="str">
        <f>IF(Agent03_Withdrawals!A120="","",Agent03_Withdrawals!E120)</f>
        <v/>
      </c>
      <c r="H515" s="39" t="str">
        <f>IF(Agent03_Withdrawals!A120="","",Agent03_Withdrawals!G120)</f>
        <v/>
      </c>
      <c r="I515" s="37" t="str">
        <f>IF(Agent03_Withdrawals!A120="","",Agent03_Withdrawals!H120)</f>
        <v/>
      </c>
      <c r="J515" s="37" t="str">
        <f>IF(Agent03_Withdrawals!A120="","",Agent03_Withdrawals!J120)</f>
        <v/>
      </c>
      <c r="K515" s="37" t="str">
        <f>IF(Agent03_Withdrawals!A120="","",Agent03_Withdrawals!K120)</f>
        <v/>
      </c>
      <c r="L515" s="37" t="str">
        <f>IF(G515="","",IF(D515-G515&gt;=System_Config!$B$9,"✅ OK","⚠️ BREACH"))</f>
        <v/>
      </c>
      <c r="M515" s="37" t="str">
        <f>IFERROR(IF(Agent03_Withdrawals!A120="","",YEAR(Agent03_Withdrawals!D120)),"")</f>
        <v/>
      </c>
    </row>
    <row r="516" spans="1:13" ht="18" customHeight="1" x14ac:dyDescent="0.25">
      <c r="A516" s="37" t="str">
        <f>IF(Agent03_Withdrawals!A121="","",Agent03_Withdrawals!A121)</f>
        <v/>
      </c>
      <c r="B516" s="37" t="str">
        <f ca="1">IF(Agent03_Withdrawals!A121="","","WD"&amp;TEXT(516-3,"0000")&amp;"-"&amp;TEXT(TODAY(),"YYYYMMDD"))</f>
        <v/>
      </c>
      <c r="C516" s="37" t="str">
        <f>IF(Agent03_Withdrawals!A121="","",Agent03_Withdrawals!B121)</f>
        <v/>
      </c>
      <c r="D516" s="40" t="str">
        <f>IF(Agent03_Withdrawals!A121="","",Agent03_Withdrawals!C121)</f>
        <v/>
      </c>
      <c r="E516" s="38" t="str">
        <f>IF(Agent03_Withdrawals!A121="","",Agent03_Withdrawals!D121)</f>
        <v/>
      </c>
      <c r="F516" s="37" t="str">
        <f>IF(Agent03_Withdrawals!A121="","",Agent03_Withdrawals!F121)</f>
        <v/>
      </c>
      <c r="G516" s="39" t="str">
        <f>IF(Agent03_Withdrawals!A121="","",Agent03_Withdrawals!E121)</f>
        <v/>
      </c>
      <c r="H516" s="39" t="str">
        <f>IF(Agent03_Withdrawals!A121="","",Agent03_Withdrawals!G121)</f>
        <v/>
      </c>
      <c r="I516" s="37" t="str">
        <f>IF(Agent03_Withdrawals!A121="","",Agent03_Withdrawals!H121)</f>
        <v/>
      </c>
      <c r="J516" s="37" t="str">
        <f>IF(Agent03_Withdrawals!A121="","",Agent03_Withdrawals!J121)</f>
        <v/>
      </c>
      <c r="K516" s="37" t="str">
        <f>IF(Agent03_Withdrawals!A121="","",Agent03_Withdrawals!K121)</f>
        <v/>
      </c>
      <c r="L516" s="37" t="str">
        <f>IF(G516="","",IF(D516-G516&gt;=System_Config!$B$9,"✅ OK","⚠️ BREACH"))</f>
        <v/>
      </c>
      <c r="M516" s="37" t="str">
        <f>IFERROR(IF(Agent03_Withdrawals!A121="","",YEAR(Agent03_Withdrawals!D121)),"")</f>
        <v/>
      </c>
    </row>
    <row r="517" spans="1:13" ht="18" customHeight="1" x14ac:dyDescent="0.25">
      <c r="A517" s="37" t="str">
        <f>IF(Agent03_Withdrawals!A122="","",Agent03_Withdrawals!A122)</f>
        <v/>
      </c>
      <c r="B517" s="37" t="str">
        <f ca="1">IF(Agent03_Withdrawals!A122="","","WD"&amp;TEXT(517-3,"0000")&amp;"-"&amp;TEXT(TODAY(),"YYYYMMDD"))</f>
        <v/>
      </c>
      <c r="C517" s="37" t="str">
        <f>IF(Agent03_Withdrawals!A122="","",Agent03_Withdrawals!B122)</f>
        <v/>
      </c>
      <c r="D517" s="40" t="str">
        <f>IF(Agent03_Withdrawals!A122="","",Agent03_Withdrawals!C122)</f>
        <v/>
      </c>
      <c r="E517" s="38" t="str">
        <f>IF(Agent03_Withdrawals!A122="","",Agent03_Withdrawals!D122)</f>
        <v/>
      </c>
      <c r="F517" s="37" t="str">
        <f>IF(Agent03_Withdrawals!A122="","",Agent03_Withdrawals!F122)</f>
        <v/>
      </c>
      <c r="G517" s="39" t="str">
        <f>IF(Agent03_Withdrawals!A122="","",Agent03_Withdrawals!E122)</f>
        <v/>
      </c>
      <c r="H517" s="39" t="str">
        <f>IF(Agent03_Withdrawals!A122="","",Agent03_Withdrawals!G122)</f>
        <v/>
      </c>
      <c r="I517" s="37" t="str">
        <f>IF(Agent03_Withdrawals!A122="","",Agent03_Withdrawals!H122)</f>
        <v/>
      </c>
      <c r="J517" s="37" t="str">
        <f>IF(Agent03_Withdrawals!A122="","",Agent03_Withdrawals!J122)</f>
        <v/>
      </c>
      <c r="K517" s="37" t="str">
        <f>IF(Agent03_Withdrawals!A122="","",Agent03_Withdrawals!K122)</f>
        <v/>
      </c>
      <c r="L517" s="37" t="str">
        <f>IF(G517="","",IF(D517-G517&gt;=System_Config!$B$9,"✅ OK","⚠️ BREACH"))</f>
        <v/>
      </c>
      <c r="M517" s="37" t="str">
        <f>IFERROR(IF(Agent03_Withdrawals!A122="","",YEAR(Agent03_Withdrawals!D122)),"")</f>
        <v/>
      </c>
    </row>
    <row r="518" spans="1:13" ht="18" customHeight="1" x14ac:dyDescent="0.25">
      <c r="A518" s="37" t="str">
        <f>IF(Agent03_Withdrawals!A123="","",Agent03_Withdrawals!A123)</f>
        <v/>
      </c>
      <c r="B518" s="37" t="str">
        <f ca="1">IF(Agent03_Withdrawals!A123="","","WD"&amp;TEXT(518-3,"0000")&amp;"-"&amp;TEXT(TODAY(),"YYYYMMDD"))</f>
        <v/>
      </c>
      <c r="C518" s="37" t="str">
        <f>IF(Agent03_Withdrawals!A123="","",Agent03_Withdrawals!B123)</f>
        <v/>
      </c>
      <c r="D518" s="40" t="str">
        <f>IF(Agent03_Withdrawals!A123="","",Agent03_Withdrawals!C123)</f>
        <v/>
      </c>
      <c r="E518" s="38" t="str">
        <f>IF(Agent03_Withdrawals!A123="","",Agent03_Withdrawals!D123)</f>
        <v/>
      </c>
      <c r="F518" s="37" t="str">
        <f>IF(Agent03_Withdrawals!A123="","",Agent03_Withdrawals!F123)</f>
        <v/>
      </c>
      <c r="G518" s="39" t="str">
        <f>IF(Agent03_Withdrawals!A123="","",Agent03_Withdrawals!E123)</f>
        <v/>
      </c>
      <c r="H518" s="39" t="str">
        <f>IF(Agent03_Withdrawals!A123="","",Agent03_Withdrawals!G123)</f>
        <v/>
      </c>
      <c r="I518" s="37" t="str">
        <f>IF(Agent03_Withdrawals!A123="","",Agent03_Withdrawals!H123)</f>
        <v/>
      </c>
      <c r="J518" s="37" t="str">
        <f>IF(Agent03_Withdrawals!A123="","",Agent03_Withdrawals!J123)</f>
        <v/>
      </c>
      <c r="K518" s="37" t="str">
        <f>IF(Agent03_Withdrawals!A123="","",Agent03_Withdrawals!K123)</f>
        <v/>
      </c>
      <c r="L518" s="37" t="str">
        <f>IF(G518="","",IF(D518-G518&gt;=System_Config!$B$9,"✅ OK","⚠️ BREACH"))</f>
        <v/>
      </c>
      <c r="M518" s="37" t="str">
        <f>IFERROR(IF(Agent03_Withdrawals!A123="","",YEAR(Agent03_Withdrawals!D123)),"")</f>
        <v/>
      </c>
    </row>
    <row r="519" spans="1:13" ht="18" customHeight="1" x14ac:dyDescent="0.25">
      <c r="A519" s="37" t="str">
        <f>IF(Agent03_Withdrawals!A124="","",Agent03_Withdrawals!A124)</f>
        <v/>
      </c>
      <c r="B519" s="37" t="str">
        <f ca="1">IF(Agent03_Withdrawals!A124="","","WD"&amp;TEXT(519-3,"0000")&amp;"-"&amp;TEXT(TODAY(),"YYYYMMDD"))</f>
        <v/>
      </c>
      <c r="C519" s="37" t="str">
        <f>IF(Agent03_Withdrawals!A124="","",Agent03_Withdrawals!B124)</f>
        <v/>
      </c>
      <c r="D519" s="40" t="str">
        <f>IF(Agent03_Withdrawals!A124="","",Agent03_Withdrawals!C124)</f>
        <v/>
      </c>
      <c r="E519" s="38" t="str">
        <f>IF(Agent03_Withdrawals!A124="","",Agent03_Withdrawals!D124)</f>
        <v/>
      </c>
      <c r="F519" s="37" t="str">
        <f>IF(Agent03_Withdrawals!A124="","",Agent03_Withdrawals!F124)</f>
        <v/>
      </c>
      <c r="G519" s="39" t="str">
        <f>IF(Agent03_Withdrawals!A124="","",Agent03_Withdrawals!E124)</f>
        <v/>
      </c>
      <c r="H519" s="39" t="str">
        <f>IF(Agent03_Withdrawals!A124="","",Agent03_Withdrawals!G124)</f>
        <v/>
      </c>
      <c r="I519" s="37" t="str">
        <f>IF(Agent03_Withdrawals!A124="","",Agent03_Withdrawals!H124)</f>
        <v/>
      </c>
      <c r="J519" s="37" t="str">
        <f>IF(Agent03_Withdrawals!A124="","",Agent03_Withdrawals!J124)</f>
        <v/>
      </c>
      <c r="K519" s="37" t="str">
        <f>IF(Agent03_Withdrawals!A124="","",Agent03_Withdrawals!K124)</f>
        <v/>
      </c>
      <c r="L519" s="37" t="str">
        <f>IF(G519="","",IF(D519-G519&gt;=System_Config!$B$9,"✅ OK","⚠️ BREACH"))</f>
        <v/>
      </c>
      <c r="M519" s="37" t="str">
        <f>IFERROR(IF(Agent03_Withdrawals!A124="","",YEAR(Agent03_Withdrawals!D124)),"")</f>
        <v/>
      </c>
    </row>
    <row r="520" spans="1:13" ht="18" customHeight="1" x14ac:dyDescent="0.25">
      <c r="A520" s="37" t="str">
        <f>IF(Agent03_Withdrawals!A125="","",Agent03_Withdrawals!A125)</f>
        <v/>
      </c>
      <c r="B520" s="37" t="str">
        <f ca="1">IF(Agent03_Withdrawals!A125="","","WD"&amp;TEXT(520-3,"0000")&amp;"-"&amp;TEXT(TODAY(),"YYYYMMDD"))</f>
        <v/>
      </c>
      <c r="C520" s="37" t="str">
        <f>IF(Agent03_Withdrawals!A125="","",Agent03_Withdrawals!B125)</f>
        <v/>
      </c>
      <c r="D520" s="40" t="str">
        <f>IF(Agent03_Withdrawals!A125="","",Agent03_Withdrawals!C125)</f>
        <v/>
      </c>
      <c r="E520" s="38" t="str">
        <f>IF(Agent03_Withdrawals!A125="","",Agent03_Withdrawals!D125)</f>
        <v/>
      </c>
      <c r="F520" s="37" t="str">
        <f>IF(Agent03_Withdrawals!A125="","",Agent03_Withdrawals!F125)</f>
        <v/>
      </c>
      <c r="G520" s="39" t="str">
        <f>IF(Agent03_Withdrawals!A125="","",Agent03_Withdrawals!E125)</f>
        <v/>
      </c>
      <c r="H520" s="39" t="str">
        <f>IF(Agent03_Withdrawals!A125="","",Agent03_Withdrawals!G125)</f>
        <v/>
      </c>
      <c r="I520" s="37" t="str">
        <f>IF(Agent03_Withdrawals!A125="","",Agent03_Withdrawals!H125)</f>
        <v/>
      </c>
      <c r="J520" s="37" t="str">
        <f>IF(Agent03_Withdrawals!A125="","",Agent03_Withdrawals!J125)</f>
        <v/>
      </c>
      <c r="K520" s="37" t="str">
        <f>IF(Agent03_Withdrawals!A125="","",Agent03_Withdrawals!K125)</f>
        <v/>
      </c>
      <c r="L520" s="37" t="str">
        <f>IF(G520="","",IF(D520-G520&gt;=System_Config!$B$9,"✅ OK","⚠️ BREACH"))</f>
        <v/>
      </c>
      <c r="M520" s="37" t="str">
        <f>IFERROR(IF(Agent03_Withdrawals!A125="","",YEAR(Agent03_Withdrawals!D125)),"")</f>
        <v/>
      </c>
    </row>
    <row r="521" spans="1:13" ht="18" customHeight="1" x14ac:dyDescent="0.25">
      <c r="A521" s="37" t="str">
        <f>IF(Agent03_Withdrawals!A126="","",Agent03_Withdrawals!A126)</f>
        <v/>
      </c>
      <c r="B521" s="37" t="str">
        <f ca="1">IF(Agent03_Withdrawals!A126="","","WD"&amp;TEXT(521-3,"0000")&amp;"-"&amp;TEXT(TODAY(),"YYYYMMDD"))</f>
        <v/>
      </c>
      <c r="C521" s="37" t="str">
        <f>IF(Agent03_Withdrawals!A126="","",Agent03_Withdrawals!B126)</f>
        <v/>
      </c>
      <c r="D521" s="40" t="str">
        <f>IF(Agent03_Withdrawals!A126="","",Agent03_Withdrawals!C126)</f>
        <v/>
      </c>
      <c r="E521" s="38" t="str">
        <f>IF(Agent03_Withdrawals!A126="","",Agent03_Withdrawals!D126)</f>
        <v/>
      </c>
      <c r="F521" s="37" t="str">
        <f>IF(Agent03_Withdrawals!A126="","",Agent03_Withdrawals!F126)</f>
        <v/>
      </c>
      <c r="G521" s="39" t="str">
        <f>IF(Agent03_Withdrawals!A126="","",Agent03_Withdrawals!E126)</f>
        <v/>
      </c>
      <c r="H521" s="39" t="str">
        <f>IF(Agent03_Withdrawals!A126="","",Agent03_Withdrawals!G126)</f>
        <v/>
      </c>
      <c r="I521" s="37" t="str">
        <f>IF(Agent03_Withdrawals!A126="","",Agent03_Withdrawals!H126)</f>
        <v/>
      </c>
      <c r="J521" s="37" t="str">
        <f>IF(Agent03_Withdrawals!A126="","",Agent03_Withdrawals!J126)</f>
        <v/>
      </c>
      <c r="K521" s="37" t="str">
        <f>IF(Agent03_Withdrawals!A126="","",Agent03_Withdrawals!K126)</f>
        <v/>
      </c>
      <c r="L521" s="37" t="str">
        <f>IF(G521="","",IF(D521-G521&gt;=System_Config!$B$9,"✅ OK","⚠️ BREACH"))</f>
        <v/>
      </c>
      <c r="M521" s="37" t="str">
        <f>IFERROR(IF(Agent03_Withdrawals!A126="","",YEAR(Agent03_Withdrawals!D126)),"")</f>
        <v/>
      </c>
    </row>
    <row r="522" spans="1:13" ht="18" customHeight="1" x14ac:dyDescent="0.25">
      <c r="A522" s="37" t="str">
        <f>IF(Agent03_Withdrawals!A127="","",Agent03_Withdrawals!A127)</f>
        <v/>
      </c>
      <c r="B522" s="37" t="str">
        <f ca="1">IF(Agent03_Withdrawals!A127="","","WD"&amp;TEXT(522-3,"0000")&amp;"-"&amp;TEXT(TODAY(),"YYYYMMDD"))</f>
        <v/>
      </c>
      <c r="C522" s="37" t="str">
        <f>IF(Agent03_Withdrawals!A127="","",Agent03_Withdrawals!B127)</f>
        <v/>
      </c>
      <c r="D522" s="40" t="str">
        <f>IF(Agent03_Withdrawals!A127="","",Agent03_Withdrawals!C127)</f>
        <v/>
      </c>
      <c r="E522" s="38" t="str">
        <f>IF(Agent03_Withdrawals!A127="","",Agent03_Withdrawals!D127)</f>
        <v/>
      </c>
      <c r="F522" s="37" t="str">
        <f>IF(Agent03_Withdrawals!A127="","",Agent03_Withdrawals!F127)</f>
        <v/>
      </c>
      <c r="G522" s="39" t="str">
        <f>IF(Agent03_Withdrawals!A127="","",Agent03_Withdrawals!E127)</f>
        <v/>
      </c>
      <c r="H522" s="39" t="str">
        <f>IF(Agent03_Withdrawals!A127="","",Agent03_Withdrawals!G127)</f>
        <v/>
      </c>
      <c r="I522" s="37" t="str">
        <f>IF(Agent03_Withdrawals!A127="","",Agent03_Withdrawals!H127)</f>
        <v/>
      </c>
      <c r="J522" s="37" t="str">
        <f>IF(Agent03_Withdrawals!A127="","",Agent03_Withdrawals!J127)</f>
        <v/>
      </c>
      <c r="K522" s="37" t="str">
        <f>IF(Agent03_Withdrawals!A127="","",Agent03_Withdrawals!K127)</f>
        <v/>
      </c>
      <c r="L522" s="37" t="str">
        <f>IF(G522="","",IF(D522-G522&gt;=System_Config!$B$9,"✅ OK","⚠️ BREACH"))</f>
        <v/>
      </c>
      <c r="M522" s="37" t="str">
        <f>IFERROR(IF(Agent03_Withdrawals!A127="","",YEAR(Agent03_Withdrawals!D127)),"")</f>
        <v/>
      </c>
    </row>
    <row r="523" spans="1:13" ht="18" customHeight="1" x14ac:dyDescent="0.25">
      <c r="A523" s="37" t="str">
        <f>IF(Agent03_Withdrawals!A128="","",Agent03_Withdrawals!A128)</f>
        <v/>
      </c>
      <c r="B523" s="37" t="str">
        <f ca="1">IF(Agent03_Withdrawals!A128="","","WD"&amp;TEXT(523-3,"0000")&amp;"-"&amp;TEXT(TODAY(),"YYYYMMDD"))</f>
        <v/>
      </c>
      <c r="C523" s="37" t="str">
        <f>IF(Agent03_Withdrawals!A128="","",Agent03_Withdrawals!B128)</f>
        <v/>
      </c>
      <c r="D523" s="40" t="str">
        <f>IF(Agent03_Withdrawals!A128="","",Agent03_Withdrawals!C128)</f>
        <v/>
      </c>
      <c r="E523" s="38" t="str">
        <f>IF(Agent03_Withdrawals!A128="","",Agent03_Withdrawals!D128)</f>
        <v/>
      </c>
      <c r="F523" s="37" t="str">
        <f>IF(Agent03_Withdrawals!A128="","",Agent03_Withdrawals!F128)</f>
        <v/>
      </c>
      <c r="G523" s="39" t="str">
        <f>IF(Agent03_Withdrawals!A128="","",Agent03_Withdrawals!E128)</f>
        <v/>
      </c>
      <c r="H523" s="39" t="str">
        <f>IF(Agent03_Withdrawals!A128="","",Agent03_Withdrawals!G128)</f>
        <v/>
      </c>
      <c r="I523" s="37" t="str">
        <f>IF(Agent03_Withdrawals!A128="","",Agent03_Withdrawals!H128)</f>
        <v/>
      </c>
      <c r="J523" s="37" t="str">
        <f>IF(Agent03_Withdrawals!A128="","",Agent03_Withdrawals!J128)</f>
        <v/>
      </c>
      <c r="K523" s="37" t="str">
        <f>IF(Agent03_Withdrawals!A128="","",Agent03_Withdrawals!K128)</f>
        <v/>
      </c>
      <c r="L523" s="37" t="str">
        <f>IF(G523="","",IF(D523-G523&gt;=System_Config!$B$9,"✅ OK","⚠️ BREACH"))</f>
        <v/>
      </c>
      <c r="M523" s="37" t="str">
        <f>IFERROR(IF(Agent03_Withdrawals!A128="","",YEAR(Agent03_Withdrawals!D128)),"")</f>
        <v/>
      </c>
    </row>
    <row r="524" spans="1:13" ht="18" customHeight="1" x14ac:dyDescent="0.25">
      <c r="A524" s="37" t="str">
        <f>IF(Agent03_Withdrawals!A129="","",Agent03_Withdrawals!A129)</f>
        <v/>
      </c>
      <c r="B524" s="37" t="str">
        <f ca="1">IF(Agent03_Withdrawals!A129="","","WD"&amp;TEXT(524-3,"0000")&amp;"-"&amp;TEXT(TODAY(),"YYYYMMDD"))</f>
        <v/>
      </c>
      <c r="C524" s="37" t="str">
        <f>IF(Agent03_Withdrawals!A129="","",Agent03_Withdrawals!B129)</f>
        <v/>
      </c>
      <c r="D524" s="40" t="str">
        <f>IF(Agent03_Withdrawals!A129="","",Agent03_Withdrawals!C129)</f>
        <v/>
      </c>
      <c r="E524" s="38" t="str">
        <f>IF(Agent03_Withdrawals!A129="","",Agent03_Withdrawals!D129)</f>
        <v/>
      </c>
      <c r="F524" s="37" t="str">
        <f>IF(Agent03_Withdrawals!A129="","",Agent03_Withdrawals!F129)</f>
        <v/>
      </c>
      <c r="G524" s="39" t="str">
        <f>IF(Agent03_Withdrawals!A129="","",Agent03_Withdrawals!E129)</f>
        <v/>
      </c>
      <c r="H524" s="39" t="str">
        <f>IF(Agent03_Withdrawals!A129="","",Agent03_Withdrawals!G129)</f>
        <v/>
      </c>
      <c r="I524" s="37" t="str">
        <f>IF(Agent03_Withdrawals!A129="","",Agent03_Withdrawals!H129)</f>
        <v/>
      </c>
      <c r="J524" s="37" t="str">
        <f>IF(Agent03_Withdrawals!A129="","",Agent03_Withdrawals!J129)</f>
        <v/>
      </c>
      <c r="K524" s="37" t="str">
        <f>IF(Agent03_Withdrawals!A129="","",Agent03_Withdrawals!K129)</f>
        <v/>
      </c>
      <c r="L524" s="37" t="str">
        <f>IF(G524="","",IF(D524-G524&gt;=System_Config!$B$9,"✅ OK","⚠️ BREACH"))</f>
        <v/>
      </c>
      <c r="M524" s="37" t="str">
        <f>IFERROR(IF(Agent03_Withdrawals!A129="","",YEAR(Agent03_Withdrawals!D129)),"")</f>
        <v/>
      </c>
    </row>
    <row r="525" spans="1:13" ht="18" customHeight="1" x14ac:dyDescent="0.25">
      <c r="A525" s="37" t="str">
        <f>IF(Agent03_Withdrawals!A130="","",Agent03_Withdrawals!A130)</f>
        <v/>
      </c>
      <c r="B525" s="37" t="str">
        <f ca="1">IF(Agent03_Withdrawals!A130="","","WD"&amp;TEXT(525-3,"0000")&amp;"-"&amp;TEXT(TODAY(),"YYYYMMDD"))</f>
        <v/>
      </c>
      <c r="C525" s="37" t="str">
        <f>IF(Agent03_Withdrawals!A130="","",Agent03_Withdrawals!B130)</f>
        <v/>
      </c>
      <c r="D525" s="40" t="str">
        <f>IF(Agent03_Withdrawals!A130="","",Agent03_Withdrawals!C130)</f>
        <v/>
      </c>
      <c r="E525" s="38" t="str">
        <f>IF(Agent03_Withdrawals!A130="","",Agent03_Withdrawals!D130)</f>
        <v/>
      </c>
      <c r="F525" s="37" t="str">
        <f>IF(Agent03_Withdrawals!A130="","",Agent03_Withdrawals!F130)</f>
        <v/>
      </c>
      <c r="G525" s="39" t="str">
        <f>IF(Agent03_Withdrawals!A130="","",Agent03_Withdrawals!E130)</f>
        <v/>
      </c>
      <c r="H525" s="39" t="str">
        <f>IF(Agent03_Withdrawals!A130="","",Agent03_Withdrawals!G130)</f>
        <v/>
      </c>
      <c r="I525" s="37" t="str">
        <f>IF(Agent03_Withdrawals!A130="","",Agent03_Withdrawals!H130)</f>
        <v/>
      </c>
      <c r="J525" s="37" t="str">
        <f>IF(Agent03_Withdrawals!A130="","",Agent03_Withdrawals!J130)</f>
        <v/>
      </c>
      <c r="K525" s="37" t="str">
        <f>IF(Agent03_Withdrawals!A130="","",Agent03_Withdrawals!K130)</f>
        <v/>
      </c>
      <c r="L525" s="37" t="str">
        <f>IF(G525="","",IF(D525-G525&gt;=System_Config!$B$9,"✅ OK","⚠️ BREACH"))</f>
        <v/>
      </c>
      <c r="M525" s="37" t="str">
        <f>IFERROR(IF(Agent03_Withdrawals!A130="","",YEAR(Agent03_Withdrawals!D130)),"")</f>
        <v/>
      </c>
    </row>
    <row r="526" spans="1:13" ht="18" customHeight="1" x14ac:dyDescent="0.25">
      <c r="A526" s="37" t="str">
        <f>IF(Agent03_Withdrawals!A131="","",Agent03_Withdrawals!A131)</f>
        <v/>
      </c>
      <c r="B526" s="37" t="str">
        <f ca="1">IF(Agent03_Withdrawals!A131="","","WD"&amp;TEXT(526-3,"0000")&amp;"-"&amp;TEXT(TODAY(),"YYYYMMDD"))</f>
        <v/>
      </c>
      <c r="C526" s="37" t="str">
        <f>IF(Agent03_Withdrawals!A131="","",Agent03_Withdrawals!B131)</f>
        <v/>
      </c>
      <c r="D526" s="40" t="str">
        <f>IF(Agent03_Withdrawals!A131="","",Agent03_Withdrawals!C131)</f>
        <v/>
      </c>
      <c r="E526" s="38" t="str">
        <f>IF(Agent03_Withdrawals!A131="","",Agent03_Withdrawals!D131)</f>
        <v/>
      </c>
      <c r="F526" s="37" t="str">
        <f>IF(Agent03_Withdrawals!A131="","",Agent03_Withdrawals!F131)</f>
        <v/>
      </c>
      <c r="G526" s="39" t="str">
        <f>IF(Agent03_Withdrawals!A131="","",Agent03_Withdrawals!E131)</f>
        <v/>
      </c>
      <c r="H526" s="39" t="str">
        <f>IF(Agent03_Withdrawals!A131="","",Agent03_Withdrawals!G131)</f>
        <v/>
      </c>
      <c r="I526" s="37" t="str">
        <f>IF(Agent03_Withdrawals!A131="","",Agent03_Withdrawals!H131)</f>
        <v/>
      </c>
      <c r="J526" s="37" t="str">
        <f>IF(Agent03_Withdrawals!A131="","",Agent03_Withdrawals!J131)</f>
        <v/>
      </c>
      <c r="K526" s="37" t="str">
        <f>IF(Agent03_Withdrawals!A131="","",Agent03_Withdrawals!K131)</f>
        <v/>
      </c>
      <c r="L526" s="37" t="str">
        <f>IF(G526="","",IF(D526-G526&gt;=System_Config!$B$9,"✅ OK","⚠️ BREACH"))</f>
        <v/>
      </c>
      <c r="M526" s="37" t="str">
        <f>IFERROR(IF(Agent03_Withdrawals!A131="","",YEAR(Agent03_Withdrawals!D131)),"")</f>
        <v/>
      </c>
    </row>
    <row r="527" spans="1:13" ht="18" customHeight="1" x14ac:dyDescent="0.25">
      <c r="A527" s="37" t="str">
        <f>IF(Agent03_Withdrawals!A132="","",Agent03_Withdrawals!A132)</f>
        <v/>
      </c>
      <c r="B527" s="37" t="str">
        <f ca="1">IF(Agent03_Withdrawals!A132="","","WD"&amp;TEXT(527-3,"0000")&amp;"-"&amp;TEXT(TODAY(),"YYYYMMDD"))</f>
        <v/>
      </c>
      <c r="C527" s="37" t="str">
        <f>IF(Agent03_Withdrawals!A132="","",Agent03_Withdrawals!B132)</f>
        <v/>
      </c>
      <c r="D527" s="40" t="str">
        <f>IF(Agent03_Withdrawals!A132="","",Agent03_Withdrawals!C132)</f>
        <v/>
      </c>
      <c r="E527" s="38" t="str">
        <f>IF(Agent03_Withdrawals!A132="","",Agent03_Withdrawals!D132)</f>
        <v/>
      </c>
      <c r="F527" s="37" t="str">
        <f>IF(Agent03_Withdrawals!A132="","",Agent03_Withdrawals!F132)</f>
        <v/>
      </c>
      <c r="G527" s="39" t="str">
        <f>IF(Agent03_Withdrawals!A132="","",Agent03_Withdrawals!E132)</f>
        <v/>
      </c>
      <c r="H527" s="39" t="str">
        <f>IF(Agent03_Withdrawals!A132="","",Agent03_Withdrawals!G132)</f>
        <v/>
      </c>
      <c r="I527" s="37" t="str">
        <f>IF(Agent03_Withdrawals!A132="","",Agent03_Withdrawals!H132)</f>
        <v/>
      </c>
      <c r="J527" s="37" t="str">
        <f>IF(Agent03_Withdrawals!A132="","",Agent03_Withdrawals!J132)</f>
        <v/>
      </c>
      <c r="K527" s="37" t="str">
        <f>IF(Agent03_Withdrawals!A132="","",Agent03_Withdrawals!K132)</f>
        <v/>
      </c>
      <c r="L527" s="37" t="str">
        <f>IF(G527="","",IF(D527-G527&gt;=System_Config!$B$9,"✅ OK","⚠️ BREACH"))</f>
        <v/>
      </c>
      <c r="M527" s="37" t="str">
        <f>IFERROR(IF(Agent03_Withdrawals!A132="","",YEAR(Agent03_Withdrawals!D132)),"")</f>
        <v/>
      </c>
    </row>
    <row r="528" spans="1:13" ht="18" customHeight="1" x14ac:dyDescent="0.25">
      <c r="A528" s="37" t="str">
        <f>IF(Agent03_Withdrawals!A133="","",Agent03_Withdrawals!A133)</f>
        <v/>
      </c>
      <c r="B528" s="37" t="str">
        <f ca="1">IF(Agent03_Withdrawals!A133="","","WD"&amp;TEXT(528-3,"0000")&amp;"-"&amp;TEXT(TODAY(),"YYYYMMDD"))</f>
        <v/>
      </c>
      <c r="C528" s="37" t="str">
        <f>IF(Agent03_Withdrawals!A133="","",Agent03_Withdrawals!B133)</f>
        <v/>
      </c>
      <c r="D528" s="40" t="str">
        <f>IF(Agent03_Withdrawals!A133="","",Agent03_Withdrawals!C133)</f>
        <v/>
      </c>
      <c r="E528" s="38" t="str">
        <f>IF(Agent03_Withdrawals!A133="","",Agent03_Withdrawals!D133)</f>
        <v/>
      </c>
      <c r="F528" s="37" t="str">
        <f>IF(Agent03_Withdrawals!A133="","",Agent03_Withdrawals!F133)</f>
        <v/>
      </c>
      <c r="G528" s="39" t="str">
        <f>IF(Agent03_Withdrawals!A133="","",Agent03_Withdrawals!E133)</f>
        <v/>
      </c>
      <c r="H528" s="39" t="str">
        <f>IF(Agent03_Withdrawals!A133="","",Agent03_Withdrawals!G133)</f>
        <v/>
      </c>
      <c r="I528" s="37" t="str">
        <f>IF(Agent03_Withdrawals!A133="","",Agent03_Withdrawals!H133)</f>
        <v/>
      </c>
      <c r="J528" s="37" t="str">
        <f>IF(Agent03_Withdrawals!A133="","",Agent03_Withdrawals!J133)</f>
        <v/>
      </c>
      <c r="K528" s="37" t="str">
        <f>IF(Agent03_Withdrawals!A133="","",Agent03_Withdrawals!K133)</f>
        <v/>
      </c>
      <c r="L528" s="37" t="str">
        <f>IF(G528="","",IF(D528-G528&gt;=System_Config!$B$9,"✅ OK","⚠️ BREACH"))</f>
        <v/>
      </c>
      <c r="M528" s="37" t="str">
        <f>IFERROR(IF(Agent03_Withdrawals!A133="","",YEAR(Agent03_Withdrawals!D133)),"")</f>
        <v/>
      </c>
    </row>
    <row r="529" spans="1:13" ht="18" customHeight="1" x14ac:dyDescent="0.25">
      <c r="A529" s="37" t="str">
        <f>IF(Agent03_Withdrawals!A134="","",Agent03_Withdrawals!A134)</f>
        <v/>
      </c>
      <c r="B529" s="37" t="str">
        <f ca="1">IF(Agent03_Withdrawals!A134="","","WD"&amp;TEXT(529-3,"0000")&amp;"-"&amp;TEXT(TODAY(),"YYYYMMDD"))</f>
        <v/>
      </c>
      <c r="C529" s="37" t="str">
        <f>IF(Agent03_Withdrawals!A134="","",Agent03_Withdrawals!B134)</f>
        <v/>
      </c>
      <c r="D529" s="40" t="str">
        <f>IF(Agent03_Withdrawals!A134="","",Agent03_Withdrawals!C134)</f>
        <v/>
      </c>
      <c r="E529" s="38" t="str">
        <f>IF(Agent03_Withdrawals!A134="","",Agent03_Withdrawals!D134)</f>
        <v/>
      </c>
      <c r="F529" s="37" t="str">
        <f>IF(Agent03_Withdrawals!A134="","",Agent03_Withdrawals!F134)</f>
        <v/>
      </c>
      <c r="G529" s="39" t="str">
        <f>IF(Agent03_Withdrawals!A134="","",Agent03_Withdrawals!E134)</f>
        <v/>
      </c>
      <c r="H529" s="39" t="str">
        <f>IF(Agent03_Withdrawals!A134="","",Agent03_Withdrawals!G134)</f>
        <v/>
      </c>
      <c r="I529" s="37" t="str">
        <f>IF(Agent03_Withdrawals!A134="","",Agent03_Withdrawals!H134)</f>
        <v/>
      </c>
      <c r="J529" s="37" t="str">
        <f>IF(Agent03_Withdrawals!A134="","",Agent03_Withdrawals!J134)</f>
        <v/>
      </c>
      <c r="K529" s="37" t="str">
        <f>IF(Agent03_Withdrawals!A134="","",Agent03_Withdrawals!K134)</f>
        <v/>
      </c>
      <c r="L529" s="37" t="str">
        <f>IF(G529="","",IF(D529-G529&gt;=System_Config!$B$9,"✅ OK","⚠️ BREACH"))</f>
        <v/>
      </c>
      <c r="M529" s="37" t="str">
        <f>IFERROR(IF(Agent03_Withdrawals!A134="","",YEAR(Agent03_Withdrawals!D134)),"")</f>
        <v/>
      </c>
    </row>
    <row r="530" spans="1:13" ht="18" customHeight="1" x14ac:dyDescent="0.25">
      <c r="A530" s="37" t="str">
        <f>IF(Agent03_Withdrawals!A135="","",Agent03_Withdrawals!A135)</f>
        <v/>
      </c>
      <c r="B530" s="37" t="str">
        <f ca="1">IF(Agent03_Withdrawals!A135="","","WD"&amp;TEXT(530-3,"0000")&amp;"-"&amp;TEXT(TODAY(),"YYYYMMDD"))</f>
        <v/>
      </c>
      <c r="C530" s="37" t="str">
        <f>IF(Agent03_Withdrawals!A135="","",Agent03_Withdrawals!B135)</f>
        <v/>
      </c>
      <c r="D530" s="40" t="str">
        <f>IF(Agent03_Withdrawals!A135="","",Agent03_Withdrawals!C135)</f>
        <v/>
      </c>
      <c r="E530" s="38" t="str">
        <f>IF(Agent03_Withdrawals!A135="","",Agent03_Withdrawals!D135)</f>
        <v/>
      </c>
      <c r="F530" s="37" t="str">
        <f>IF(Agent03_Withdrawals!A135="","",Agent03_Withdrawals!F135)</f>
        <v/>
      </c>
      <c r="G530" s="39" t="str">
        <f>IF(Agent03_Withdrawals!A135="","",Agent03_Withdrawals!E135)</f>
        <v/>
      </c>
      <c r="H530" s="39" t="str">
        <f>IF(Agent03_Withdrawals!A135="","",Agent03_Withdrawals!G135)</f>
        <v/>
      </c>
      <c r="I530" s="37" t="str">
        <f>IF(Agent03_Withdrawals!A135="","",Agent03_Withdrawals!H135)</f>
        <v/>
      </c>
      <c r="J530" s="37" t="str">
        <f>IF(Agent03_Withdrawals!A135="","",Agent03_Withdrawals!J135)</f>
        <v/>
      </c>
      <c r="K530" s="37" t="str">
        <f>IF(Agent03_Withdrawals!A135="","",Agent03_Withdrawals!K135)</f>
        <v/>
      </c>
      <c r="L530" s="37" t="str">
        <f>IF(G530="","",IF(D530-G530&gt;=System_Config!$B$9,"✅ OK","⚠️ BREACH"))</f>
        <v/>
      </c>
      <c r="M530" s="37" t="str">
        <f>IFERROR(IF(Agent03_Withdrawals!A135="","",YEAR(Agent03_Withdrawals!D135)),"")</f>
        <v/>
      </c>
    </row>
    <row r="531" spans="1:13" ht="18" customHeight="1" x14ac:dyDescent="0.25">
      <c r="A531" s="37" t="str">
        <f>IF(Agent03_Withdrawals!A136="","",Agent03_Withdrawals!A136)</f>
        <v/>
      </c>
      <c r="B531" s="37" t="str">
        <f ca="1">IF(Agent03_Withdrawals!A136="","","WD"&amp;TEXT(531-3,"0000")&amp;"-"&amp;TEXT(TODAY(),"YYYYMMDD"))</f>
        <v/>
      </c>
      <c r="C531" s="37" t="str">
        <f>IF(Agent03_Withdrawals!A136="","",Agent03_Withdrawals!B136)</f>
        <v/>
      </c>
      <c r="D531" s="40" t="str">
        <f>IF(Agent03_Withdrawals!A136="","",Agent03_Withdrawals!C136)</f>
        <v/>
      </c>
      <c r="E531" s="38" t="str">
        <f>IF(Agent03_Withdrawals!A136="","",Agent03_Withdrawals!D136)</f>
        <v/>
      </c>
      <c r="F531" s="37" t="str">
        <f>IF(Agent03_Withdrawals!A136="","",Agent03_Withdrawals!F136)</f>
        <v/>
      </c>
      <c r="G531" s="39" t="str">
        <f>IF(Agent03_Withdrawals!A136="","",Agent03_Withdrawals!E136)</f>
        <v/>
      </c>
      <c r="H531" s="39" t="str">
        <f>IF(Agent03_Withdrawals!A136="","",Agent03_Withdrawals!G136)</f>
        <v/>
      </c>
      <c r="I531" s="37" t="str">
        <f>IF(Agent03_Withdrawals!A136="","",Agent03_Withdrawals!H136)</f>
        <v/>
      </c>
      <c r="J531" s="37" t="str">
        <f>IF(Agent03_Withdrawals!A136="","",Agent03_Withdrawals!J136)</f>
        <v/>
      </c>
      <c r="K531" s="37" t="str">
        <f>IF(Agent03_Withdrawals!A136="","",Agent03_Withdrawals!K136)</f>
        <v/>
      </c>
      <c r="L531" s="37" t="str">
        <f>IF(G531="","",IF(D531-G531&gt;=System_Config!$B$9,"✅ OK","⚠️ BREACH"))</f>
        <v/>
      </c>
      <c r="M531" s="37" t="str">
        <f>IFERROR(IF(Agent03_Withdrawals!A136="","",YEAR(Agent03_Withdrawals!D136)),"")</f>
        <v/>
      </c>
    </row>
    <row r="532" spans="1:13" ht="18" customHeight="1" x14ac:dyDescent="0.25">
      <c r="A532" s="37" t="str">
        <f>IF(Agent03_Withdrawals!A137="","",Agent03_Withdrawals!A137)</f>
        <v/>
      </c>
      <c r="B532" s="37" t="str">
        <f ca="1">IF(Agent03_Withdrawals!A137="","","WD"&amp;TEXT(532-3,"0000")&amp;"-"&amp;TEXT(TODAY(),"YYYYMMDD"))</f>
        <v/>
      </c>
      <c r="C532" s="37" t="str">
        <f>IF(Agent03_Withdrawals!A137="","",Agent03_Withdrawals!B137)</f>
        <v/>
      </c>
      <c r="D532" s="40" t="str">
        <f>IF(Agent03_Withdrawals!A137="","",Agent03_Withdrawals!C137)</f>
        <v/>
      </c>
      <c r="E532" s="38" t="str">
        <f>IF(Agent03_Withdrawals!A137="","",Agent03_Withdrawals!D137)</f>
        <v/>
      </c>
      <c r="F532" s="37" t="str">
        <f>IF(Agent03_Withdrawals!A137="","",Agent03_Withdrawals!F137)</f>
        <v/>
      </c>
      <c r="G532" s="39" t="str">
        <f>IF(Agent03_Withdrawals!A137="","",Agent03_Withdrawals!E137)</f>
        <v/>
      </c>
      <c r="H532" s="39" t="str">
        <f>IF(Agent03_Withdrawals!A137="","",Agent03_Withdrawals!G137)</f>
        <v/>
      </c>
      <c r="I532" s="37" t="str">
        <f>IF(Agent03_Withdrawals!A137="","",Agent03_Withdrawals!H137)</f>
        <v/>
      </c>
      <c r="J532" s="37" t="str">
        <f>IF(Agent03_Withdrawals!A137="","",Agent03_Withdrawals!J137)</f>
        <v/>
      </c>
      <c r="K532" s="37" t="str">
        <f>IF(Agent03_Withdrawals!A137="","",Agent03_Withdrawals!K137)</f>
        <v/>
      </c>
      <c r="L532" s="37" t="str">
        <f>IF(G532="","",IF(D532-G532&gt;=System_Config!$B$9,"✅ OK","⚠️ BREACH"))</f>
        <v/>
      </c>
      <c r="M532" s="37" t="str">
        <f>IFERROR(IF(Agent03_Withdrawals!A137="","",YEAR(Agent03_Withdrawals!D137)),"")</f>
        <v/>
      </c>
    </row>
    <row r="533" spans="1:13" ht="18" customHeight="1" x14ac:dyDescent="0.25">
      <c r="A533" s="37" t="str">
        <f>IF(Agent03_Withdrawals!A138="","",Agent03_Withdrawals!A138)</f>
        <v/>
      </c>
      <c r="B533" s="37" t="str">
        <f ca="1">IF(Agent03_Withdrawals!A138="","","WD"&amp;TEXT(533-3,"0000")&amp;"-"&amp;TEXT(TODAY(),"YYYYMMDD"))</f>
        <v/>
      </c>
      <c r="C533" s="37" t="str">
        <f>IF(Agent03_Withdrawals!A138="","",Agent03_Withdrawals!B138)</f>
        <v/>
      </c>
      <c r="D533" s="40" t="str">
        <f>IF(Agent03_Withdrawals!A138="","",Agent03_Withdrawals!C138)</f>
        <v/>
      </c>
      <c r="E533" s="38" t="str">
        <f>IF(Agent03_Withdrawals!A138="","",Agent03_Withdrawals!D138)</f>
        <v/>
      </c>
      <c r="F533" s="37" t="str">
        <f>IF(Agent03_Withdrawals!A138="","",Agent03_Withdrawals!F138)</f>
        <v/>
      </c>
      <c r="G533" s="39" t="str">
        <f>IF(Agent03_Withdrawals!A138="","",Agent03_Withdrawals!E138)</f>
        <v/>
      </c>
      <c r="H533" s="39" t="str">
        <f>IF(Agent03_Withdrawals!A138="","",Agent03_Withdrawals!G138)</f>
        <v/>
      </c>
      <c r="I533" s="37" t="str">
        <f>IF(Agent03_Withdrawals!A138="","",Agent03_Withdrawals!H138)</f>
        <v/>
      </c>
      <c r="J533" s="37" t="str">
        <f>IF(Agent03_Withdrawals!A138="","",Agent03_Withdrawals!J138)</f>
        <v/>
      </c>
      <c r="K533" s="37" t="str">
        <f>IF(Agent03_Withdrawals!A138="","",Agent03_Withdrawals!K138)</f>
        <v/>
      </c>
      <c r="L533" s="37" t="str">
        <f>IF(G533="","",IF(D533-G533&gt;=System_Config!$B$9,"✅ OK","⚠️ BREACH"))</f>
        <v/>
      </c>
      <c r="M533" s="37" t="str">
        <f>IFERROR(IF(Agent03_Withdrawals!A138="","",YEAR(Agent03_Withdrawals!D138)),"")</f>
        <v/>
      </c>
    </row>
    <row r="534" spans="1:13" ht="18" customHeight="1" x14ac:dyDescent="0.25">
      <c r="A534" s="37" t="str">
        <f>IF(Agent03_Withdrawals!A139="","",Agent03_Withdrawals!A139)</f>
        <v/>
      </c>
      <c r="B534" s="37" t="str">
        <f ca="1">IF(Agent03_Withdrawals!A139="","","WD"&amp;TEXT(534-3,"0000")&amp;"-"&amp;TEXT(TODAY(),"YYYYMMDD"))</f>
        <v/>
      </c>
      <c r="C534" s="37" t="str">
        <f>IF(Agent03_Withdrawals!A139="","",Agent03_Withdrawals!B139)</f>
        <v/>
      </c>
      <c r="D534" s="40" t="str">
        <f>IF(Agent03_Withdrawals!A139="","",Agent03_Withdrawals!C139)</f>
        <v/>
      </c>
      <c r="E534" s="38" t="str">
        <f>IF(Agent03_Withdrawals!A139="","",Agent03_Withdrawals!D139)</f>
        <v/>
      </c>
      <c r="F534" s="37" t="str">
        <f>IF(Agent03_Withdrawals!A139="","",Agent03_Withdrawals!F139)</f>
        <v/>
      </c>
      <c r="G534" s="39" t="str">
        <f>IF(Agent03_Withdrawals!A139="","",Agent03_Withdrawals!E139)</f>
        <v/>
      </c>
      <c r="H534" s="39" t="str">
        <f>IF(Agent03_Withdrawals!A139="","",Agent03_Withdrawals!G139)</f>
        <v/>
      </c>
      <c r="I534" s="37" t="str">
        <f>IF(Agent03_Withdrawals!A139="","",Agent03_Withdrawals!H139)</f>
        <v/>
      </c>
      <c r="J534" s="37" t="str">
        <f>IF(Agent03_Withdrawals!A139="","",Agent03_Withdrawals!J139)</f>
        <v/>
      </c>
      <c r="K534" s="37" t="str">
        <f>IF(Agent03_Withdrawals!A139="","",Agent03_Withdrawals!K139)</f>
        <v/>
      </c>
      <c r="L534" s="37" t="str">
        <f>IF(G534="","",IF(D534-G534&gt;=System_Config!$B$9,"✅ OK","⚠️ BREACH"))</f>
        <v/>
      </c>
      <c r="M534" s="37" t="str">
        <f>IFERROR(IF(Agent03_Withdrawals!A139="","",YEAR(Agent03_Withdrawals!D139)),"")</f>
        <v/>
      </c>
    </row>
    <row r="535" spans="1:13" ht="18" customHeight="1" x14ac:dyDescent="0.25">
      <c r="A535" s="37" t="str">
        <f>IF(Agent03_Withdrawals!A140="","",Agent03_Withdrawals!A140)</f>
        <v/>
      </c>
      <c r="B535" s="37" t="str">
        <f ca="1">IF(Agent03_Withdrawals!A140="","","WD"&amp;TEXT(535-3,"0000")&amp;"-"&amp;TEXT(TODAY(),"YYYYMMDD"))</f>
        <v/>
      </c>
      <c r="C535" s="37" t="str">
        <f>IF(Agent03_Withdrawals!A140="","",Agent03_Withdrawals!B140)</f>
        <v/>
      </c>
      <c r="D535" s="40" t="str">
        <f>IF(Agent03_Withdrawals!A140="","",Agent03_Withdrawals!C140)</f>
        <v/>
      </c>
      <c r="E535" s="38" t="str">
        <f>IF(Agent03_Withdrawals!A140="","",Agent03_Withdrawals!D140)</f>
        <v/>
      </c>
      <c r="F535" s="37" t="str">
        <f>IF(Agent03_Withdrawals!A140="","",Agent03_Withdrawals!F140)</f>
        <v/>
      </c>
      <c r="G535" s="39" t="str">
        <f>IF(Agent03_Withdrawals!A140="","",Agent03_Withdrawals!E140)</f>
        <v/>
      </c>
      <c r="H535" s="39" t="str">
        <f>IF(Agent03_Withdrawals!A140="","",Agent03_Withdrawals!G140)</f>
        <v/>
      </c>
      <c r="I535" s="37" t="str">
        <f>IF(Agent03_Withdrawals!A140="","",Agent03_Withdrawals!H140)</f>
        <v/>
      </c>
      <c r="J535" s="37" t="str">
        <f>IF(Agent03_Withdrawals!A140="","",Agent03_Withdrawals!J140)</f>
        <v/>
      </c>
      <c r="K535" s="37" t="str">
        <f>IF(Agent03_Withdrawals!A140="","",Agent03_Withdrawals!K140)</f>
        <v/>
      </c>
      <c r="L535" s="37" t="str">
        <f>IF(G535="","",IF(D535-G535&gt;=System_Config!$B$9,"✅ OK","⚠️ BREACH"))</f>
        <v/>
      </c>
      <c r="M535" s="37" t="str">
        <f>IFERROR(IF(Agent03_Withdrawals!A140="","",YEAR(Agent03_Withdrawals!D140)),"")</f>
        <v/>
      </c>
    </row>
    <row r="536" spans="1:13" ht="18" customHeight="1" x14ac:dyDescent="0.25">
      <c r="A536" s="37" t="str">
        <f>IF(Agent03_Withdrawals!A141="","",Agent03_Withdrawals!A141)</f>
        <v/>
      </c>
      <c r="B536" s="37" t="str">
        <f ca="1">IF(Agent03_Withdrawals!A141="","","WD"&amp;TEXT(536-3,"0000")&amp;"-"&amp;TEXT(TODAY(),"YYYYMMDD"))</f>
        <v/>
      </c>
      <c r="C536" s="37" t="str">
        <f>IF(Agent03_Withdrawals!A141="","",Agent03_Withdrawals!B141)</f>
        <v/>
      </c>
      <c r="D536" s="40" t="str">
        <f>IF(Agent03_Withdrawals!A141="","",Agent03_Withdrawals!C141)</f>
        <v/>
      </c>
      <c r="E536" s="38" t="str">
        <f>IF(Agent03_Withdrawals!A141="","",Agent03_Withdrawals!D141)</f>
        <v/>
      </c>
      <c r="F536" s="37" t="str">
        <f>IF(Agent03_Withdrawals!A141="","",Agent03_Withdrawals!F141)</f>
        <v/>
      </c>
      <c r="G536" s="39" t="str">
        <f>IF(Agent03_Withdrawals!A141="","",Agent03_Withdrawals!E141)</f>
        <v/>
      </c>
      <c r="H536" s="39" t="str">
        <f>IF(Agent03_Withdrawals!A141="","",Agent03_Withdrawals!G141)</f>
        <v/>
      </c>
      <c r="I536" s="37" t="str">
        <f>IF(Agent03_Withdrawals!A141="","",Agent03_Withdrawals!H141)</f>
        <v/>
      </c>
      <c r="J536" s="37" t="str">
        <f>IF(Agent03_Withdrawals!A141="","",Agent03_Withdrawals!J141)</f>
        <v/>
      </c>
      <c r="K536" s="37" t="str">
        <f>IF(Agent03_Withdrawals!A141="","",Agent03_Withdrawals!K141)</f>
        <v/>
      </c>
      <c r="L536" s="37" t="str">
        <f>IF(G536="","",IF(D536-G536&gt;=System_Config!$B$9,"✅ OK","⚠️ BREACH"))</f>
        <v/>
      </c>
      <c r="M536" s="37" t="str">
        <f>IFERROR(IF(Agent03_Withdrawals!A141="","",YEAR(Agent03_Withdrawals!D141)),"")</f>
        <v/>
      </c>
    </row>
    <row r="537" spans="1:13" ht="18" customHeight="1" x14ac:dyDescent="0.25">
      <c r="A537" s="37" t="str">
        <f>IF(Agent03_Withdrawals!A142="","",Agent03_Withdrawals!A142)</f>
        <v/>
      </c>
      <c r="B537" s="37" t="str">
        <f ca="1">IF(Agent03_Withdrawals!A142="","","WD"&amp;TEXT(537-3,"0000")&amp;"-"&amp;TEXT(TODAY(),"YYYYMMDD"))</f>
        <v/>
      </c>
      <c r="C537" s="37" t="str">
        <f>IF(Agent03_Withdrawals!A142="","",Agent03_Withdrawals!B142)</f>
        <v/>
      </c>
      <c r="D537" s="40" t="str">
        <f>IF(Agent03_Withdrawals!A142="","",Agent03_Withdrawals!C142)</f>
        <v/>
      </c>
      <c r="E537" s="38" t="str">
        <f>IF(Agent03_Withdrawals!A142="","",Agent03_Withdrawals!D142)</f>
        <v/>
      </c>
      <c r="F537" s="37" t="str">
        <f>IF(Agent03_Withdrawals!A142="","",Agent03_Withdrawals!F142)</f>
        <v/>
      </c>
      <c r="G537" s="39" t="str">
        <f>IF(Agent03_Withdrawals!A142="","",Agent03_Withdrawals!E142)</f>
        <v/>
      </c>
      <c r="H537" s="39" t="str">
        <f>IF(Agent03_Withdrawals!A142="","",Agent03_Withdrawals!G142)</f>
        <v/>
      </c>
      <c r="I537" s="37" t="str">
        <f>IF(Agent03_Withdrawals!A142="","",Agent03_Withdrawals!H142)</f>
        <v/>
      </c>
      <c r="J537" s="37" t="str">
        <f>IF(Agent03_Withdrawals!A142="","",Agent03_Withdrawals!J142)</f>
        <v/>
      </c>
      <c r="K537" s="37" t="str">
        <f>IF(Agent03_Withdrawals!A142="","",Agent03_Withdrawals!K142)</f>
        <v/>
      </c>
      <c r="L537" s="37" t="str">
        <f>IF(G537="","",IF(D537-G537&gt;=System_Config!$B$9,"✅ OK","⚠️ BREACH"))</f>
        <v/>
      </c>
      <c r="M537" s="37" t="str">
        <f>IFERROR(IF(Agent03_Withdrawals!A142="","",YEAR(Agent03_Withdrawals!D142)),"")</f>
        <v/>
      </c>
    </row>
    <row r="538" spans="1:13" ht="18" customHeight="1" x14ac:dyDescent="0.25">
      <c r="A538" s="37" t="str">
        <f>IF(Agent03_Withdrawals!A143="","",Agent03_Withdrawals!A143)</f>
        <v/>
      </c>
      <c r="B538" s="37" t="str">
        <f ca="1">IF(Agent03_Withdrawals!A143="","","WD"&amp;TEXT(538-3,"0000")&amp;"-"&amp;TEXT(TODAY(),"YYYYMMDD"))</f>
        <v/>
      </c>
      <c r="C538" s="37" t="str">
        <f>IF(Agent03_Withdrawals!A143="","",Agent03_Withdrawals!B143)</f>
        <v/>
      </c>
      <c r="D538" s="40" t="str">
        <f>IF(Agent03_Withdrawals!A143="","",Agent03_Withdrawals!C143)</f>
        <v/>
      </c>
      <c r="E538" s="38" t="str">
        <f>IF(Agent03_Withdrawals!A143="","",Agent03_Withdrawals!D143)</f>
        <v/>
      </c>
      <c r="F538" s="37" t="str">
        <f>IF(Agent03_Withdrawals!A143="","",Agent03_Withdrawals!F143)</f>
        <v/>
      </c>
      <c r="G538" s="39" t="str">
        <f>IF(Agent03_Withdrawals!A143="","",Agent03_Withdrawals!E143)</f>
        <v/>
      </c>
      <c r="H538" s="39" t="str">
        <f>IF(Agent03_Withdrawals!A143="","",Agent03_Withdrawals!G143)</f>
        <v/>
      </c>
      <c r="I538" s="37" t="str">
        <f>IF(Agent03_Withdrawals!A143="","",Agent03_Withdrawals!H143)</f>
        <v/>
      </c>
      <c r="J538" s="37" t="str">
        <f>IF(Agent03_Withdrawals!A143="","",Agent03_Withdrawals!J143)</f>
        <v/>
      </c>
      <c r="K538" s="37" t="str">
        <f>IF(Agent03_Withdrawals!A143="","",Agent03_Withdrawals!K143)</f>
        <v/>
      </c>
      <c r="L538" s="37" t="str">
        <f>IF(G538="","",IF(D538-G538&gt;=System_Config!$B$9,"✅ OK","⚠️ BREACH"))</f>
        <v/>
      </c>
      <c r="M538" s="37" t="str">
        <f>IFERROR(IF(Agent03_Withdrawals!A143="","",YEAR(Agent03_Withdrawals!D143)),"")</f>
        <v/>
      </c>
    </row>
    <row r="539" spans="1:13" ht="18" customHeight="1" x14ac:dyDescent="0.25">
      <c r="A539" s="37" t="str">
        <f>IF(Agent03_Withdrawals!A144="","",Agent03_Withdrawals!A144)</f>
        <v/>
      </c>
      <c r="B539" s="37" t="str">
        <f ca="1">IF(Agent03_Withdrawals!A144="","","WD"&amp;TEXT(539-3,"0000")&amp;"-"&amp;TEXT(TODAY(),"YYYYMMDD"))</f>
        <v/>
      </c>
      <c r="C539" s="37" t="str">
        <f>IF(Agent03_Withdrawals!A144="","",Agent03_Withdrawals!B144)</f>
        <v/>
      </c>
      <c r="D539" s="40" t="str">
        <f>IF(Agent03_Withdrawals!A144="","",Agent03_Withdrawals!C144)</f>
        <v/>
      </c>
      <c r="E539" s="38" t="str">
        <f>IF(Agent03_Withdrawals!A144="","",Agent03_Withdrawals!D144)</f>
        <v/>
      </c>
      <c r="F539" s="37" t="str">
        <f>IF(Agent03_Withdrawals!A144="","",Agent03_Withdrawals!F144)</f>
        <v/>
      </c>
      <c r="G539" s="39" t="str">
        <f>IF(Agent03_Withdrawals!A144="","",Agent03_Withdrawals!E144)</f>
        <v/>
      </c>
      <c r="H539" s="39" t="str">
        <f>IF(Agent03_Withdrawals!A144="","",Agent03_Withdrawals!G144)</f>
        <v/>
      </c>
      <c r="I539" s="37" t="str">
        <f>IF(Agent03_Withdrawals!A144="","",Agent03_Withdrawals!H144)</f>
        <v/>
      </c>
      <c r="J539" s="37" t="str">
        <f>IF(Agent03_Withdrawals!A144="","",Agent03_Withdrawals!J144)</f>
        <v/>
      </c>
      <c r="K539" s="37" t="str">
        <f>IF(Agent03_Withdrawals!A144="","",Agent03_Withdrawals!K144)</f>
        <v/>
      </c>
      <c r="L539" s="37" t="str">
        <f>IF(G539="","",IF(D539-G539&gt;=System_Config!$B$9,"✅ OK","⚠️ BREACH"))</f>
        <v/>
      </c>
      <c r="M539" s="37" t="str">
        <f>IFERROR(IF(Agent03_Withdrawals!A144="","",YEAR(Agent03_Withdrawals!D144)),"")</f>
        <v/>
      </c>
    </row>
    <row r="540" spans="1:13" ht="18" customHeight="1" x14ac:dyDescent="0.25">
      <c r="A540" s="37" t="str">
        <f>IF(Agent03_Withdrawals!A145="","",Agent03_Withdrawals!A145)</f>
        <v/>
      </c>
      <c r="B540" s="37" t="str">
        <f ca="1">IF(Agent03_Withdrawals!A145="","","WD"&amp;TEXT(540-3,"0000")&amp;"-"&amp;TEXT(TODAY(),"YYYYMMDD"))</f>
        <v/>
      </c>
      <c r="C540" s="37" t="str">
        <f>IF(Agent03_Withdrawals!A145="","",Agent03_Withdrawals!B145)</f>
        <v/>
      </c>
      <c r="D540" s="40" t="str">
        <f>IF(Agent03_Withdrawals!A145="","",Agent03_Withdrawals!C145)</f>
        <v/>
      </c>
      <c r="E540" s="38" t="str">
        <f>IF(Agent03_Withdrawals!A145="","",Agent03_Withdrawals!D145)</f>
        <v/>
      </c>
      <c r="F540" s="37" t="str">
        <f>IF(Agent03_Withdrawals!A145="","",Agent03_Withdrawals!F145)</f>
        <v/>
      </c>
      <c r="G540" s="39" t="str">
        <f>IF(Agent03_Withdrawals!A145="","",Agent03_Withdrawals!E145)</f>
        <v/>
      </c>
      <c r="H540" s="39" t="str">
        <f>IF(Agent03_Withdrawals!A145="","",Agent03_Withdrawals!G145)</f>
        <v/>
      </c>
      <c r="I540" s="37" t="str">
        <f>IF(Agent03_Withdrawals!A145="","",Agent03_Withdrawals!H145)</f>
        <v/>
      </c>
      <c r="J540" s="37" t="str">
        <f>IF(Agent03_Withdrawals!A145="","",Agent03_Withdrawals!J145)</f>
        <v/>
      </c>
      <c r="K540" s="37" t="str">
        <f>IF(Agent03_Withdrawals!A145="","",Agent03_Withdrawals!K145)</f>
        <v/>
      </c>
      <c r="L540" s="37" t="str">
        <f>IF(G540="","",IF(D540-G540&gt;=System_Config!$B$9,"✅ OK","⚠️ BREACH"))</f>
        <v/>
      </c>
      <c r="M540" s="37" t="str">
        <f>IFERROR(IF(Agent03_Withdrawals!A145="","",YEAR(Agent03_Withdrawals!D145)),"")</f>
        <v/>
      </c>
    </row>
    <row r="541" spans="1:13" ht="18" customHeight="1" x14ac:dyDescent="0.25">
      <c r="A541" s="37" t="str">
        <f>IF(Agent03_Withdrawals!A146="","",Agent03_Withdrawals!A146)</f>
        <v/>
      </c>
      <c r="B541" s="37" t="str">
        <f ca="1">IF(Agent03_Withdrawals!A146="","","WD"&amp;TEXT(541-3,"0000")&amp;"-"&amp;TEXT(TODAY(),"YYYYMMDD"))</f>
        <v/>
      </c>
      <c r="C541" s="37" t="str">
        <f>IF(Agent03_Withdrawals!A146="","",Agent03_Withdrawals!B146)</f>
        <v/>
      </c>
      <c r="D541" s="40" t="str">
        <f>IF(Agent03_Withdrawals!A146="","",Agent03_Withdrawals!C146)</f>
        <v/>
      </c>
      <c r="E541" s="38" t="str">
        <f>IF(Agent03_Withdrawals!A146="","",Agent03_Withdrawals!D146)</f>
        <v/>
      </c>
      <c r="F541" s="37" t="str">
        <f>IF(Agent03_Withdrawals!A146="","",Agent03_Withdrawals!F146)</f>
        <v/>
      </c>
      <c r="G541" s="39" t="str">
        <f>IF(Agent03_Withdrawals!A146="","",Agent03_Withdrawals!E146)</f>
        <v/>
      </c>
      <c r="H541" s="39" t="str">
        <f>IF(Agent03_Withdrawals!A146="","",Agent03_Withdrawals!G146)</f>
        <v/>
      </c>
      <c r="I541" s="37" t="str">
        <f>IF(Agent03_Withdrawals!A146="","",Agent03_Withdrawals!H146)</f>
        <v/>
      </c>
      <c r="J541" s="37" t="str">
        <f>IF(Agent03_Withdrawals!A146="","",Agent03_Withdrawals!J146)</f>
        <v/>
      </c>
      <c r="K541" s="37" t="str">
        <f>IF(Agent03_Withdrawals!A146="","",Agent03_Withdrawals!K146)</f>
        <v/>
      </c>
      <c r="L541" s="37" t="str">
        <f>IF(G541="","",IF(D541-G541&gt;=System_Config!$B$9,"✅ OK","⚠️ BREACH"))</f>
        <v/>
      </c>
      <c r="M541" s="37" t="str">
        <f>IFERROR(IF(Agent03_Withdrawals!A146="","",YEAR(Agent03_Withdrawals!D146)),"")</f>
        <v/>
      </c>
    </row>
    <row r="542" spans="1:13" ht="18" customHeight="1" x14ac:dyDescent="0.25">
      <c r="A542" s="37" t="str">
        <f>IF(Agent03_Withdrawals!A147="","",Agent03_Withdrawals!A147)</f>
        <v/>
      </c>
      <c r="B542" s="37" t="str">
        <f ca="1">IF(Agent03_Withdrawals!A147="","","WD"&amp;TEXT(542-3,"0000")&amp;"-"&amp;TEXT(TODAY(),"YYYYMMDD"))</f>
        <v/>
      </c>
      <c r="C542" s="37" t="str">
        <f>IF(Agent03_Withdrawals!A147="","",Agent03_Withdrawals!B147)</f>
        <v/>
      </c>
      <c r="D542" s="40" t="str">
        <f>IF(Agent03_Withdrawals!A147="","",Agent03_Withdrawals!C147)</f>
        <v/>
      </c>
      <c r="E542" s="38" t="str">
        <f>IF(Agent03_Withdrawals!A147="","",Agent03_Withdrawals!D147)</f>
        <v/>
      </c>
      <c r="F542" s="37" t="str">
        <f>IF(Agent03_Withdrawals!A147="","",Agent03_Withdrawals!F147)</f>
        <v/>
      </c>
      <c r="G542" s="39" t="str">
        <f>IF(Agent03_Withdrawals!A147="","",Agent03_Withdrawals!E147)</f>
        <v/>
      </c>
      <c r="H542" s="39" t="str">
        <f>IF(Agent03_Withdrawals!A147="","",Agent03_Withdrawals!G147)</f>
        <v/>
      </c>
      <c r="I542" s="37" t="str">
        <f>IF(Agent03_Withdrawals!A147="","",Agent03_Withdrawals!H147)</f>
        <v/>
      </c>
      <c r="J542" s="37" t="str">
        <f>IF(Agent03_Withdrawals!A147="","",Agent03_Withdrawals!J147)</f>
        <v/>
      </c>
      <c r="K542" s="37" t="str">
        <f>IF(Agent03_Withdrawals!A147="","",Agent03_Withdrawals!K147)</f>
        <v/>
      </c>
      <c r="L542" s="37" t="str">
        <f>IF(G542="","",IF(D542-G542&gt;=System_Config!$B$9,"✅ OK","⚠️ BREACH"))</f>
        <v/>
      </c>
      <c r="M542" s="37" t="str">
        <f>IFERROR(IF(Agent03_Withdrawals!A147="","",YEAR(Agent03_Withdrawals!D147)),"")</f>
        <v/>
      </c>
    </row>
    <row r="543" spans="1:13" ht="18" customHeight="1" x14ac:dyDescent="0.25">
      <c r="A543" s="37" t="str">
        <f>IF(Agent03_Withdrawals!A148="","",Agent03_Withdrawals!A148)</f>
        <v/>
      </c>
      <c r="B543" s="37" t="str">
        <f ca="1">IF(Agent03_Withdrawals!A148="","","WD"&amp;TEXT(543-3,"0000")&amp;"-"&amp;TEXT(TODAY(),"YYYYMMDD"))</f>
        <v/>
      </c>
      <c r="C543" s="37" t="str">
        <f>IF(Agent03_Withdrawals!A148="","",Agent03_Withdrawals!B148)</f>
        <v/>
      </c>
      <c r="D543" s="40" t="str">
        <f>IF(Agent03_Withdrawals!A148="","",Agent03_Withdrawals!C148)</f>
        <v/>
      </c>
      <c r="E543" s="38" t="str">
        <f>IF(Agent03_Withdrawals!A148="","",Agent03_Withdrawals!D148)</f>
        <v/>
      </c>
      <c r="F543" s="37" t="str">
        <f>IF(Agent03_Withdrawals!A148="","",Agent03_Withdrawals!F148)</f>
        <v/>
      </c>
      <c r="G543" s="39" t="str">
        <f>IF(Agent03_Withdrawals!A148="","",Agent03_Withdrawals!E148)</f>
        <v/>
      </c>
      <c r="H543" s="39" t="str">
        <f>IF(Agent03_Withdrawals!A148="","",Agent03_Withdrawals!G148)</f>
        <v/>
      </c>
      <c r="I543" s="37" t="str">
        <f>IF(Agent03_Withdrawals!A148="","",Agent03_Withdrawals!H148)</f>
        <v/>
      </c>
      <c r="J543" s="37" t="str">
        <f>IF(Agent03_Withdrawals!A148="","",Agent03_Withdrawals!J148)</f>
        <v/>
      </c>
      <c r="K543" s="37" t="str">
        <f>IF(Agent03_Withdrawals!A148="","",Agent03_Withdrawals!K148)</f>
        <v/>
      </c>
      <c r="L543" s="37" t="str">
        <f>IF(G543="","",IF(D543-G543&gt;=System_Config!$B$9,"✅ OK","⚠️ BREACH"))</f>
        <v/>
      </c>
      <c r="M543" s="37" t="str">
        <f>IFERROR(IF(Agent03_Withdrawals!A148="","",YEAR(Agent03_Withdrawals!D148)),"")</f>
        <v/>
      </c>
    </row>
    <row r="544" spans="1:13" ht="18" customHeight="1" x14ac:dyDescent="0.25">
      <c r="A544" s="37" t="str">
        <f>IF(Agent03_Withdrawals!A149="","",Agent03_Withdrawals!A149)</f>
        <v/>
      </c>
      <c r="B544" s="37" t="str">
        <f ca="1">IF(Agent03_Withdrawals!A149="","","WD"&amp;TEXT(544-3,"0000")&amp;"-"&amp;TEXT(TODAY(),"YYYYMMDD"))</f>
        <v/>
      </c>
      <c r="C544" s="37" t="str">
        <f>IF(Agent03_Withdrawals!A149="","",Agent03_Withdrawals!B149)</f>
        <v/>
      </c>
      <c r="D544" s="40" t="str">
        <f>IF(Agent03_Withdrawals!A149="","",Agent03_Withdrawals!C149)</f>
        <v/>
      </c>
      <c r="E544" s="38" t="str">
        <f>IF(Agent03_Withdrawals!A149="","",Agent03_Withdrawals!D149)</f>
        <v/>
      </c>
      <c r="F544" s="37" t="str">
        <f>IF(Agent03_Withdrawals!A149="","",Agent03_Withdrawals!F149)</f>
        <v/>
      </c>
      <c r="G544" s="39" t="str">
        <f>IF(Agent03_Withdrawals!A149="","",Agent03_Withdrawals!E149)</f>
        <v/>
      </c>
      <c r="H544" s="39" t="str">
        <f>IF(Agent03_Withdrawals!A149="","",Agent03_Withdrawals!G149)</f>
        <v/>
      </c>
      <c r="I544" s="37" t="str">
        <f>IF(Agent03_Withdrawals!A149="","",Agent03_Withdrawals!H149)</f>
        <v/>
      </c>
      <c r="J544" s="37" t="str">
        <f>IF(Agent03_Withdrawals!A149="","",Agent03_Withdrawals!J149)</f>
        <v/>
      </c>
      <c r="K544" s="37" t="str">
        <f>IF(Agent03_Withdrawals!A149="","",Agent03_Withdrawals!K149)</f>
        <v/>
      </c>
      <c r="L544" s="37" t="str">
        <f>IF(G544="","",IF(D544-G544&gt;=System_Config!$B$9,"✅ OK","⚠️ BREACH"))</f>
        <v/>
      </c>
      <c r="M544" s="37" t="str">
        <f>IFERROR(IF(Agent03_Withdrawals!A149="","",YEAR(Agent03_Withdrawals!D149)),"")</f>
        <v/>
      </c>
    </row>
    <row r="545" spans="1:13" ht="18" customHeight="1" x14ac:dyDescent="0.25">
      <c r="A545" s="37" t="str">
        <f>IF(Agent03_Withdrawals!A150="","",Agent03_Withdrawals!A150)</f>
        <v/>
      </c>
      <c r="B545" s="37" t="str">
        <f ca="1">IF(Agent03_Withdrawals!A150="","","WD"&amp;TEXT(545-3,"0000")&amp;"-"&amp;TEXT(TODAY(),"YYYYMMDD"))</f>
        <v/>
      </c>
      <c r="C545" s="37" t="str">
        <f>IF(Agent03_Withdrawals!A150="","",Agent03_Withdrawals!B150)</f>
        <v/>
      </c>
      <c r="D545" s="40" t="str">
        <f>IF(Agent03_Withdrawals!A150="","",Agent03_Withdrawals!C150)</f>
        <v/>
      </c>
      <c r="E545" s="38" t="str">
        <f>IF(Agent03_Withdrawals!A150="","",Agent03_Withdrawals!D150)</f>
        <v/>
      </c>
      <c r="F545" s="37" t="str">
        <f>IF(Agent03_Withdrawals!A150="","",Agent03_Withdrawals!F150)</f>
        <v/>
      </c>
      <c r="G545" s="39" t="str">
        <f>IF(Agent03_Withdrawals!A150="","",Agent03_Withdrawals!E150)</f>
        <v/>
      </c>
      <c r="H545" s="39" t="str">
        <f>IF(Agent03_Withdrawals!A150="","",Agent03_Withdrawals!G150)</f>
        <v/>
      </c>
      <c r="I545" s="37" t="str">
        <f>IF(Agent03_Withdrawals!A150="","",Agent03_Withdrawals!H150)</f>
        <v/>
      </c>
      <c r="J545" s="37" t="str">
        <f>IF(Agent03_Withdrawals!A150="","",Agent03_Withdrawals!J150)</f>
        <v/>
      </c>
      <c r="K545" s="37" t="str">
        <f>IF(Agent03_Withdrawals!A150="","",Agent03_Withdrawals!K150)</f>
        <v/>
      </c>
      <c r="L545" s="37" t="str">
        <f>IF(G545="","",IF(D545-G545&gt;=System_Config!$B$9,"✅ OK","⚠️ BREACH"))</f>
        <v/>
      </c>
      <c r="M545" s="37" t="str">
        <f>IFERROR(IF(Agent03_Withdrawals!A150="","",YEAR(Agent03_Withdrawals!D150)),"")</f>
        <v/>
      </c>
    </row>
    <row r="546" spans="1:13" ht="18" customHeight="1" x14ac:dyDescent="0.25">
      <c r="A546" s="37" t="str">
        <f>IF(Agent03_Withdrawals!A151="","",Agent03_Withdrawals!A151)</f>
        <v/>
      </c>
      <c r="B546" s="37" t="str">
        <f ca="1">IF(Agent03_Withdrawals!A151="","","WD"&amp;TEXT(546-3,"0000")&amp;"-"&amp;TEXT(TODAY(),"YYYYMMDD"))</f>
        <v/>
      </c>
      <c r="C546" s="37" t="str">
        <f>IF(Agent03_Withdrawals!A151="","",Agent03_Withdrawals!B151)</f>
        <v/>
      </c>
      <c r="D546" s="40" t="str">
        <f>IF(Agent03_Withdrawals!A151="","",Agent03_Withdrawals!C151)</f>
        <v/>
      </c>
      <c r="E546" s="38" t="str">
        <f>IF(Agent03_Withdrawals!A151="","",Agent03_Withdrawals!D151)</f>
        <v/>
      </c>
      <c r="F546" s="37" t="str">
        <f>IF(Agent03_Withdrawals!A151="","",Agent03_Withdrawals!F151)</f>
        <v/>
      </c>
      <c r="G546" s="39" t="str">
        <f>IF(Agent03_Withdrawals!A151="","",Agent03_Withdrawals!E151)</f>
        <v/>
      </c>
      <c r="H546" s="39" t="str">
        <f>IF(Agent03_Withdrawals!A151="","",Agent03_Withdrawals!G151)</f>
        <v/>
      </c>
      <c r="I546" s="37" t="str">
        <f>IF(Agent03_Withdrawals!A151="","",Agent03_Withdrawals!H151)</f>
        <v/>
      </c>
      <c r="J546" s="37" t="str">
        <f>IF(Agent03_Withdrawals!A151="","",Agent03_Withdrawals!J151)</f>
        <v/>
      </c>
      <c r="K546" s="37" t="str">
        <f>IF(Agent03_Withdrawals!A151="","",Agent03_Withdrawals!K151)</f>
        <v/>
      </c>
      <c r="L546" s="37" t="str">
        <f>IF(G546="","",IF(D546-G546&gt;=System_Config!$B$9,"✅ OK","⚠️ BREACH"))</f>
        <v/>
      </c>
      <c r="M546" s="37" t="str">
        <f>IFERROR(IF(Agent03_Withdrawals!A151="","",YEAR(Agent03_Withdrawals!D151)),"")</f>
        <v/>
      </c>
    </row>
    <row r="547" spans="1:13" ht="18" customHeight="1" x14ac:dyDescent="0.25">
      <c r="A547" s="37" t="str">
        <f>IF(Agent03_Withdrawals!A152="","",Agent03_Withdrawals!A152)</f>
        <v/>
      </c>
      <c r="B547" s="37" t="str">
        <f ca="1">IF(Agent03_Withdrawals!A152="","","WD"&amp;TEXT(547-3,"0000")&amp;"-"&amp;TEXT(TODAY(),"YYYYMMDD"))</f>
        <v/>
      </c>
      <c r="C547" s="37" t="str">
        <f>IF(Agent03_Withdrawals!A152="","",Agent03_Withdrawals!B152)</f>
        <v/>
      </c>
      <c r="D547" s="40" t="str">
        <f>IF(Agent03_Withdrawals!A152="","",Agent03_Withdrawals!C152)</f>
        <v/>
      </c>
      <c r="E547" s="38" t="str">
        <f>IF(Agent03_Withdrawals!A152="","",Agent03_Withdrawals!D152)</f>
        <v/>
      </c>
      <c r="F547" s="37" t="str">
        <f>IF(Agent03_Withdrawals!A152="","",Agent03_Withdrawals!F152)</f>
        <v/>
      </c>
      <c r="G547" s="39" t="str">
        <f>IF(Agent03_Withdrawals!A152="","",Agent03_Withdrawals!E152)</f>
        <v/>
      </c>
      <c r="H547" s="39" t="str">
        <f>IF(Agent03_Withdrawals!A152="","",Agent03_Withdrawals!G152)</f>
        <v/>
      </c>
      <c r="I547" s="37" t="str">
        <f>IF(Agent03_Withdrawals!A152="","",Agent03_Withdrawals!H152)</f>
        <v/>
      </c>
      <c r="J547" s="37" t="str">
        <f>IF(Agent03_Withdrawals!A152="","",Agent03_Withdrawals!J152)</f>
        <v/>
      </c>
      <c r="K547" s="37" t="str">
        <f>IF(Agent03_Withdrawals!A152="","",Agent03_Withdrawals!K152)</f>
        <v/>
      </c>
      <c r="L547" s="37" t="str">
        <f>IF(G547="","",IF(D547-G547&gt;=System_Config!$B$9,"✅ OK","⚠️ BREACH"))</f>
        <v/>
      </c>
      <c r="M547" s="37" t="str">
        <f>IFERROR(IF(Agent03_Withdrawals!A152="","",YEAR(Agent03_Withdrawals!D152)),"")</f>
        <v/>
      </c>
    </row>
    <row r="548" spans="1:13" ht="18" customHeight="1" x14ac:dyDescent="0.25">
      <c r="A548" s="37" t="str">
        <f>IF(Agent03_Withdrawals!A153="","",Agent03_Withdrawals!A153)</f>
        <v/>
      </c>
      <c r="B548" s="37" t="str">
        <f ca="1">IF(Agent03_Withdrawals!A153="","","WD"&amp;TEXT(548-3,"0000")&amp;"-"&amp;TEXT(TODAY(),"YYYYMMDD"))</f>
        <v/>
      </c>
      <c r="C548" s="37" t="str">
        <f>IF(Agent03_Withdrawals!A153="","",Agent03_Withdrawals!B153)</f>
        <v/>
      </c>
      <c r="D548" s="40" t="str">
        <f>IF(Agent03_Withdrawals!A153="","",Agent03_Withdrawals!C153)</f>
        <v/>
      </c>
      <c r="E548" s="38" t="str">
        <f>IF(Agent03_Withdrawals!A153="","",Agent03_Withdrawals!D153)</f>
        <v/>
      </c>
      <c r="F548" s="37" t="str">
        <f>IF(Agent03_Withdrawals!A153="","",Agent03_Withdrawals!F153)</f>
        <v/>
      </c>
      <c r="G548" s="39" t="str">
        <f>IF(Agent03_Withdrawals!A153="","",Agent03_Withdrawals!E153)</f>
        <v/>
      </c>
      <c r="H548" s="39" t="str">
        <f>IF(Agent03_Withdrawals!A153="","",Agent03_Withdrawals!G153)</f>
        <v/>
      </c>
      <c r="I548" s="37" t="str">
        <f>IF(Agent03_Withdrawals!A153="","",Agent03_Withdrawals!H153)</f>
        <v/>
      </c>
      <c r="J548" s="37" t="str">
        <f>IF(Agent03_Withdrawals!A153="","",Agent03_Withdrawals!J153)</f>
        <v/>
      </c>
      <c r="K548" s="37" t="str">
        <f>IF(Agent03_Withdrawals!A153="","",Agent03_Withdrawals!K153)</f>
        <v/>
      </c>
      <c r="L548" s="37" t="str">
        <f>IF(G548="","",IF(D548-G548&gt;=System_Config!$B$9,"✅ OK","⚠️ BREACH"))</f>
        <v/>
      </c>
      <c r="M548" s="37" t="str">
        <f>IFERROR(IF(Agent03_Withdrawals!A153="","",YEAR(Agent03_Withdrawals!D153)),"")</f>
        <v/>
      </c>
    </row>
    <row r="549" spans="1:13" ht="18" customHeight="1" x14ac:dyDescent="0.25">
      <c r="A549" s="37" t="str">
        <f>IF(Agent03_Withdrawals!A154="","",Agent03_Withdrawals!A154)</f>
        <v/>
      </c>
      <c r="B549" s="37" t="str">
        <f ca="1">IF(Agent03_Withdrawals!A154="","","WD"&amp;TEXT(549-3,"0000")&amp;"-"&amp;TEXT(TODAY(),"YYYYMMDD"))</f>
        <v/>
      </c>
      <c r="C549" s="37" t="str">
        <f>IF(Agent03_Withdrawals!A154="","",Agent03_Withdrawals!B154)</f>
        <v/>
      </c>
      <c r="D549" s="40" t="str">
        <f>IF(Agent03_Withdrawals!A154="","",Agent03_Withdrawals!C154)</f>
        <v/>
      </c>
      <c r="E549" s="38" t="str">
        <f>IF(Agent03_Withdrawals!A154="","",Agent03_Withdrawals!D154)</f>
        <v/>
      </c>
      <c r="F549" s="37" t="str">
        <f>IF(Agent03_Withdrawals!A154="","",Agent03_Withdrawals!F154)</f>
        <v/>
      </c>
      <c r="G549" s="39" t="str">
        <f>IF(Agent03_Withdrawals!A154="","",Agent03_Withdrawals!E154)</f>
        <v/>
      </c>
      <c r="H549" s="39" t="str">
        <f>IF(Agent03_Withdrawals!A154="","",Agent03_Withdrawals!G154)</f>
        <v/>
      </c>
      <c r="I549" s="37" t="str">
        <f>IF(Agent03_Withdrawals!A154="","",Agent03_Withdrawals!H154)</f>
        <v/>
      </c>
      <c r="J549" s="37" t="str">
        <f>IF(Agent03_Withdrawals!A154="","",Agent03_Withdrawals!J154)</f>
        <v/>
      </c>
      <c r="K549" s="37" t="str">
        <f>IF(Agent03_Withdrawals!A154="","",Agent03_Withdrawals!K154)</f>
        <v/>
      </c>
      <c r="L549" s="37" t="str">
        <f>IF(G549="","",IF(D549-G549&gt;=System_Config!$B$9,"✅ OK","⚠️ BREACH"))</f>
        <v/>
      </c>
      <c r="M549" s="37" t="str">
        <f>IFERROR(IF(Agent03_Withdrawals!A154="","",YEAR(Agent03_Withdrawals!D154)),"")</f>
        <v/>
      </c>
    </row>
    <row r="550" spans="1:13" ht="18" customHeight="1" x14ac:dyDescent="0.25">
      <c r="A550" s="37" t="str">
        <f>IF(Agent03_Withdrawals!A155="","",Agent03_Withdrawals!A155)</f>
        <v/>
      </c>
      <c r="B550" s="37" t="str">
        <f ca="1">IF(Agent03_Withdrawals!A155="","","WD"&amp;TEXT(550-3,"0000")&amp;"-"&amp;TEXT(TODAY(),"YYYYMMDD"))</f>
        <v/>
      </c>
      <c r="C550" s="37" t="str">
        <f>IF(Agent03_Withdrawals!A155="","",Agent03_Withdrawals!B155)</f>
        <v/>
      </c>
      <c r="D550" s="40" t="str">
        <f>IF(Agent03_Withdrawals!A155="","",Agent03_Withdrawals!C155)</f>
        <v/>
      </c>
      <c r="E550" s="38" t="str">
        <f>IF(Agent03_Withdrawals!A155="","",Agent03_Withdrawals!D155)</f>
        <v/>
      </c>
      <c r="F550" s="37" t="str">
        <f>IF(Agent03_Withdrawals!A155="","",Agent03_Withdrawals!F155)</f>
        <v/>
      </c>
      <c r="G550" s="39" t="str">
        <f>IF(Agent03_Withdrawals!A155="","",Agent03_Withdrawals!E155)</f>
        <v/>
      </c>
      <c r="H550" s="39" t="str">
        <f>IF(Agent03_Withdrawals!A155="","",Agent03_Withdrawals!G155)</f>
        <v/>
      </c>
      <c r="I550" s="37" t="str">
        <f>IF(Agent03_Withdrawals!A155="","",Agent03_Withdrawals!H155)</f>
        <v/>
      </c>
      <c r="J550" s="37" t="str">
        <f>IF(Agent03_Withdrawals!A155="","",Agent03_Withdrawals!J155)</f>
        <v/>
      </c>
      <c r="K550" s="37" t="str">
        <f>IF(Agent03_Withdrawals!A155="","",Agent03_Withdrawals!K155)</f>
        <v/>
      </c>
      <c r="L550" s="37" t="str">
        <f>IF(G550="","",IF(D550-G550&gt;=System_Config!$B$9,"✅ OK","⚠️ BREACH"))</f>
        <v/>
      </c>
      <c r="M550" s="37" t="str">
        <f>IFERROR(IF(Agent03_Withdrawals!A155="","",YEAR(Agent03_Withdrawals!D155)),"")</f>
        <v/>
      </c>
    </row>
    <row r="551" spans="1:13" ht="18" customHeight="1" x14ac:dyDescent="0.25">
      <c r="A551" s="37" t="str">
        <f>IF(Agent03_Withdrawals!A156="","",Agent03_Withdrawals!A156)</f>
        <v/>
      </c>
      <c r="B551" s="37" t="str">
        <f ca="1">IF(Agent03_Withdrawals!A156="","","WD"&amp;TEXT(551-3,"0000")&amp;"-"&amp;TEXT(TODAY(),"YYYYMMDD"))</f>
        <v/>
      </c>
      <c r="C551" s="37" t="str">
        <f>IF(Agent03_Withdrawals!A156="","",Agent03_Withdrawals!B156)</f>
        <v/>
      </c>
      <c r="D551" s="40" t="str">
        <f>IF(Agent03_Withdrawals!A156="","",Agent03_Withdrawals!C156)</f>
        <v/>
      </c>
      <c r="E551" s="38" t="str">
        <f>IF(Agent03_Withdrawals!A156="","",Agent03_Withdrawals!D156)</f>
        <v/>
      </c>
      <c r="F551" s="37" t="str">
        <f>IF(Agent03_Withdrawals!A156="","",Agent03_Withdrawals!F156)</f>
        <v/>
      </c>
      <c r="G551" s="39" t="str">
        <f>IF(Agent03_Withdrawals!A156="","",Agent03_Withdrawals!E156)</f>
        <v/>
      </c>
      <c r="H551" s="39" t="str">
        <f>IF(Agent03_Withdrawals!A156="","",Agent03_Withdrawals!G156)</f>
        <v/>
      </c>
      <c r="I551" s="37" t="str">
        <f>IF(Agent03_Withdrawals!A156="","",Agent03_Withdrawals!H156)</f>
        <v/>
      </c>
      <c r="J551" s="37" t="str">
        <f>IF(Agent03_Withdrawals!A156="","",Agent03_Withdrawals!J156)</f>
        <v/>
      </c>
      <c r="K551" s="37" t="str">
        <f>IF(Agent03_Withdrawals!A156="","",Agent03_Withdrawals!K156)</f>
        <v/>
      </c>
      <c r="L551" s="37" t="str">
        <f>IF(G551="","",IF(D551-G551&gt;=System_Config!$B$9,"✅ OK","⚠️ BREACH"))</f>
        <v/>
      </c>
      <c r="M551" s="37" t="str">
        <f>IFERROR(IF(Agent03_Withdrawals!A156="","",YEAR(Agent03_Withdrawals!D156)),"")</f>
        <v/>
      </c>
    </row>
    <row r="552" spans="1:13" ht="18" customHeight="1" x14ac:dyDescent="0.25">
      <c r="A552" s="37" t="str">
        <f>IF(Agent03_Withdrawals!A157="","",Agent03_Withdrawals!A157)</f>
        <v/>
      </c>
      <c r="B552" s="37" t="str">
        <f ca="1">IF(Agent03_Withdrawals!A157="","","WD"&amp;TEXT(552-3,"0000")&amp;"-"&amp;TEXT(TODAY(),"YYYYMMDD"))</f>
        <v/>
      </c>
      <c r="C552" s="37" t="str">
        <f>IF(Agent03_Withdrawals!A157="","",Agent03_Withdrawals!B157)</f>
        <v/>
      </c>
      <c r="D552" s="40" t="str">
        <f>IF(Agent03_Withdrawals!A157="","",Agent03_Withdrawals!C157)</f>
        <v/>
      </c>
      <c r="E552" s="38" t="str">
        <f>IF(Agent03_Withdrawals!A157="","",Agent03_Withdrawals!D157)</f>
        <v/>
      </c>
      <c r="F552" s="37" t="str">
        <f>IF(Agent03_Withdrawals!A157="","",Agent03_Withdrawals!F157)</f>
        <v/>
      </c>
      <c r="G552" s="39" t="str">
        <f>IF(Agent03_Withdrawals!A157="","",Agent03_Withdrawals!E157)</f>
        <v/>
      </c>
      <c r="H552" s="39" t="str">
        <f>IF(Agent03_Withdrawals!A157="","",Agent03_Withdrawals!G157)</f>
        <v/>
      </c>
      <c r="I552" s="37" t="str">
        <f>IF(Agent03_Withdrawals!A157="","",Agent03_Withdrawals!H157)</f>
        <v/>
      </c>
      <c r="J552" s="37" t="str">
        <f>IF(Agent03_Withdrawals!A157="","",Agent03_Withdrawals!J157)</f>
        <v/>
      </c>
      <c r="K552" s="37" t="str">
        <f>IF(Agent03_Withdrawals!A157="","",Agent03_Withdrawals!K157)</f>
        <v/>
      </c>
      <c r="L552" s="37" t="str">
        <f>IF(G552="","",IF(D552-G552&gt;=System_Config!$B$9,"✅ OK","⚠️ BREACH"))</f>
        <v/>
      </c>
      <c r="M552" s="37" t="str">
        <f>IFERROR(IF(Agent03_Withdrawals!A157="","",YEAR(Agent03_Withdrawals!D157)),"")</f>
        <v/>
      </c>
    </row>
    <row r="553" spans="1:13" ht="18" customHeight="1" x14ac:dyDescent="0.25">
      <c r="A553" s="37" t="str">
        <f>IF(Agent03_Withdrawals!A158="","",Agent03_Withdrawals!A158)</f>
        <v/>
      </c>
      <c r="B553" s="37" t="str">
        <f ca="1">IF(Agent03_Withdrawals!A158="","","WD"&amp;TEXT(553-3,"0000")&amp;"-"&amp;TEXT(TODAY(),"YYYYMMDD"))</f>
        <v/>
      </c>
      <c r="C553" s="37" t="str">
        <f>IF(Agent03_Withdrawals!A158="","",Agent03_Withdrawals!B158)</f>
        <v/>
      </c>
      <c r="D553" s="40" t="str">
        <f>IF(Agent03_Withdrawals!A158="","",Agent03_Withdrawals!C158)</f>
        <v/>
      </c>
      <c r="E553" s="38" t="str">
        <f>IF(Agent03_Withdrawals!A158="","",Agent03_Withdrawals!D158)</f>
        <v/>
      </c>
      <c r="F553" s="37" t="str">
        <f>IF(Agent03_Withdrawals!A158="","",Agent03_Withdrawals!F158)</f>
        <v/>
      </c>
      <c r="G553" s="39" t="str">
        <f>IF(Agent03_Withdrawals!A158="","",Agent03_Withdrawals!E158)</f>
        <v/>
      </c>
      <c r="H553" s="39" t="str">
        <f>IF(Agent03_Withdrawals!A158="","",Agent03_Withdrawals!G158)</f>
        <v/>
      </c>
      <c r="I553" s="37" t="str">
        <f>IF(Agent03_Withdrawals!A158="","",Agent03_Withdrawals!H158)</f>
        <v/>
      </c>
      <c r="J553" s="37" t="str">
        <f>IF(Agent03_Withdrawals!A158="","",Agent03_Withdrawals!J158)</f>
        <v/>
      </c>
      <c r="K553" s="37" t="str">
        <f>IF(Agent03_Withdrawals!A158="","",Agent03_Withdrawals!K158)</f>
        <v/>
      </c>
      <c r="L553" s="37" t="str">
        <f>IF(G553="","",IF(D553-G553&gt;=System_Config!$B$9,"✅ OK","⚠️ BREACH"))</f>
        <v/>
      </c>
      <c r="M553" s="37" t="str">
        <f>IFERROR(IF(Agent03_Withdrawals!A158="","",YEAR(Agent03_Withdrawals!D158)),"")</f>
        <v/>
      </c>
    </row>
    <row r="554" spans="1:13" ht="18" customHeight="1" x14ac:dyDescent="0.25">
      <c r="A554" s="37" t="str">
        <f>IF(Agent03_Withdrawals!A159="","",Agent03_Withdrawals!A159)</f>
        <v/>
      </c>
      <c r="B554" s="37" t="str">
        <f ca="1">IF(Agent03_Withdrawals!A159="","","WD"&amp;TEXT(554-3,"0000")&amp;"-"&amp;TEXT(TODAY(),"YYYYMMDD"))</f>
        <v/>
      </c>
      <c r="C554" s="37" t="str">
        <f>IF(Agent03_Withdrawals!A159="","",Agent03_Withdrawals!B159)</f>
        <v/>
      </c>
      <c r="D554" s="40" t="str">
        <f>IF(Agent03_Withdrawals!A159="","",Agent03_Withdrawals!C159)</f>
        <v/>
      </c>
      <c r="E554" s="38" t="str">
        <f>IF(Agent03_Withdrawals!A159="","",Agent03_Withdrawals!D159)</f>
        <v/>
      </c>
      <c r="F554" s="37" t="str">
        <f>IF(Agent03_Withdrawals!A159="","",Agent03_Withdrawals!F159)</f>
        <v/>
      </c>
      <c r="G554" s="39" t="str">
        <f>IF(Agent03_Withdrawals!A159="","",Agent03_Withdrawals!E159)</f>
        <v/>
      </c>
      <c r="H554" s="39" t="str">
        <f>IF(Agent03_Withdrawals!A159="","",Agent03_Withdrawals!G159)</f>
        <v/>
      </c>
      <c r="I554" s="37" t="str">
        <f>IF(Agent03_Withdrawals!A159="","",Agent03_Withdrawals!H159)</f>
        <v/>
      </c>
      <c r="J554" s="37" t="str">
        <f>IF(Agent03_Withdrawals!A159="","",Agent03_Withdrawals!J159)</f>
        <v/>
      </c>
      <c r="K554" s="37" t="str">
        <f>IF(Agent03_Withdrawals!A159="","",Agent03_Withdrawals!K159)</f>
        <v/>
      </c>
      <c r="L554" s="37" t="str">
        <f>IF(G554="","",IF(D554-G554&gt;=System_Config!$B$9,"✅ OK","⚠️ BREACH"))</f>
        <v/>
      </c>
      <c r="M554" s="37" t="str">
        <f>IFERROR(IF(Agent03_Withdrawals!A159="","",YEAR(Agent03_Withdrawals!D159)),"")</f>
        <v/>
      </c>
    </row>
    <row r="555" spans="1:13" ht="18" customHeight="1" x14ac:dyDescent="0.25">
      <c r="A555" s="37" t="str">
        <f>IF(Agent03_Withdrawals!A160="","",Agent03_Withdrawals!A160)</f>
        <v/>
      </c>
      <c r="B555" s="37" t="str">
        <f ca="1">IF(Agent03_Withdrawals!A160="","","WD"&amp;TEXT(555-3,"0000")&amp;"-"&amp;TEXT(TODAY(),"YYYYMMDD"))</f>
        <v/>
      </c>
      <c r="C555" s="37" t="str">
        <f>IF(Agent03_Withdrawals!A160="","",Agent03_Withdrawals!B160)</f>
        <v/>
      </c>
      <c r="D555" s="40" t="str">
        <f>IF(Agent03_Withdrawals!A160="","",Agent03_Withdrawals!C160)</f>
        <v/>
      </c>
      <c r="E555" s="38" t="str">
        <f>IF(Agent03_Withdrawals!A160="","",Agent03_Withdrawals!D160)</f>
        <v/>
      </c>
      <c r="F555" s="37" t="str">
        <f>IF(Agent03_Withdrawals!A160="","",Agent03_Withdrawals!F160)</f>
        <v/>
      </c>
      <c r="G555" s="39" t="str">
        <f>IF(Agent03_Withdrawals!A160="","",Agent03_Withdrawals!E160)</f>
        <v/>
      </c>
      <c r="H555" s="39" t="str">
        <f>IF(Agent03_Withdrawals!A160="","",Agent03_Withdrawals!G160)</f>
        <v/>
      </c>
      <c r="I555" s="37" t="str">
        <f>IF(Agent03_Withdrawals!A160="","",Agent03_Withdrawals!H160)</f>
        <v/>
      </c>
      <c r="J555" s="37" t="str">
        <f>IF(Agent03_Withdrawals!A160="","",Agent03_Withdrawals!J160)</f>
        <v/>
      </c>
      <c r="K555" s="37" t="str">
        <f>IF(Agent03_Withdrawals!A160="","",Agent03_Withdrawals!K160)</f>
        <v/>
      </c>
      <c r="L555" s="37" t="str">
        <f>IF(G555="","",IF(D555-G555&gt;=System_Config!$B$9,"✅ OK","⚠️ BREACH"))</f>
        <v/>
      </c>
      <c r="M555" s="37" t="str">
        <f>IFERROR(IF(Agent03_Withdrawals!A160="","",YEAR(Agent03_Withdrawals!D160)),"")</f>
        <v/>
      </c>
    </row>
    <row r="556" spans="1:13" ht="18" customHeight="1" x14ac:dyDescent="0.25">
      <c r="A556" s="37" t="str">
        <f>IF(Agent03_Withdrawals!A161="","",Agent03_Withdrawals!A161)</f>
        <v/>
      </c>
      <c r="B556" s="37" t="str">
        <f ca="1">IF(Agent03_Withdrawals!A161="","","WD"&amp;TEXT(556-3,"0000")&amp;"-"&amp;TEXT(TODAY(),"YYYYMMDD"))</f>
        <v/>
      </c>
      <c r="C556" s="37" t="str">
        <f>IF(Agent03_Withdrawals!A161="","",Agent03_Withdrawals!B161)</f>
        <v/>
      </c>
      <c r="D556" s="40" t="str">
        <f>IF(Agent03_Withdrawals!A161="","",Agent03_Withdrawals!C161)</f>
        <v/>
      </c>
      <c r="E556" s="38" t="str">
        <f>IF(Agent03_Withdrawals!A161="","",Agent03_Withdrawals!D161)</f>
        <v/>
      </c>
      <c r="F556" s="37" t="str">
        <f>IF(Agent03_Withdrawals!A161="","",Agent03_Withdrawals!F161)</f>
        <v/>
      </c>
      <c r="G556" s="39" t="str">
        <f>IF(Agent03_Withdrawals!A161="","",Agent03_Withdrawals!E161)</f>
        <v/>
      </c>
      <c r="H556" s="39" t="str">
        <f>IF(Agent03_Withdrawals!A161="","",Agent03_Withdrawals!G161)</f>
        <v/>
      </c>
      <c r="I556" s="37" t="str">
        <f>IF(Agent03_Withdrawals!A161="","",Agent03_Withdrawals!H161)</f>
        <v/>
      </c>
      <c r="J556" s="37" t="str">
        <f>IF(Agent03_Withdrawals!A161="","",Agent03_Withdrawals!J161)</f>
        <v/>
      </c>
      <c r="K556" s="37" t="str">
        <f>IF(Agent03_Withdrawals!A161="","",Agent03_Withdrawals!K161)</f>
        <v/>
      </c>
      <c r="L556" s="37" t="str">
        <f>IF(G556="","",IF(D556-G556&gt;=System_Config!$B$9,"✅ OK","⚠️ BREACH"))</f>
        <v/>
      </c>
      <c r="M556" s="37" t="str">
        <f>IFERROR(IF(Agent03_Withdrawals!A161="","",YEAR(Agent03_Withdrawals!D161)),"")</f>
        <v/>
      </c>
    </row>
    <row r="557" spans="1:13" ht="18" customHeight="1" x14ac:dyDescent="0.25">
      <c r="A557" s="37" t="str">
        <f>IF(Agent03_Withdrawals!A162="","",Agent03_Withdrawals!A162)</f>
        <v/>
      </c>
      <c r="B557" s="37" t="str">
        <f ca="1">IF(Agent03_Withdrawals!A162="","","WD"&amp;TEXT(557-3,"0000")&amp;"-"&amp;TEXT(TODAY(),"YYYYMMDD"))</f>
        <v/>
      </c>
      <c r="C557" s="37" t="str">
        <f>IF(Agent03_Withdrawals!A162="","",Agent03_Withdrawals!B162)</f>
        <v/>
      </c>
      <c r="D557" s="40" t="str">
        <f>IF(Agent03_Withdrawals!A162="","",Agent03_Withdrawals!C162)</f>
        <v/>
      </c>
      <c r="E557" s="38" t="str">
        <f>IF(Agent03_Withdrawals!A162="","",Agent03_Withdrawals!D162)</f>
        <v/>
      </c>
      <c r="F557" s="37" t="str">
        <f>IF(Agent03_Withdrawals!A162="","",Agent03_Withdrawals!F162)</f>
        <v/>
      </c>
      <c r="G557" s="39" t="str">
        <f>IF(Agent03_Withdrawals!A162="","",Agent03_Withdrawals!E162)</f>
        <v/>
      </c>
      <c r="H557" s="39" t="str">
        <f>IF(Agent03_Withdrawals!A162="","",Agent03_Withdrawals!G162)</f>
        <v/>
      </c>
      <c r="I557" s="37" t="str">
        <f>IF(Agent03_Withdrawals!A162="","",Agent03_Withdrawals!H162)</f>
        <v/>
      </c>
      <c r="J557" s="37" t="str">
        <f>IF(Agent03_Withdrawals!A162="","",Agent03_Withdrawals!J162)</f>
        <v/>
      </c>
      <c r="K557" s="37" t="str">
        <f>IF(Agent03_Withdrawals!A162="","",Agent03_Withdrawals!K162)</f>
        <v/>
      </c>
      <c r="L557" s="37" t="str">
        <f>IF(G557="","",IF(D557-G557&gt;=System_Config!$B$9,"✅ OK","⚠️ BREACH"))</f>
        <v/>
      </c>
      <c r="M557" s="37" t="str">
        <f>IFERROR(IF(Agent03_Withdrawals!A162="","",YEAR(Agent03_Withdrawals!D162)),"")</f>
        <v/>
      </c>
    </row>
    <row r="558" spans="1:13" ht="18" customHeight="1" x14ac:dyDescent="0.25">
      <c r="A558" s="37" t="str">
        <f>IF(Agent03_Withdrawals!A163="","",Agent03_Withdrawals!A163)</f>
        <v/>
      </c>
      <c r="B558" s="37" t="str">
        <f ca="1">IF(Agent03_Withdrawals!A163="","","WD"&amp;TEXT(558-3,"0000")&amp;"-"&amp;TEXT(TODAY(),"YYYYMMDD"))</f>
        <v/>
      </c>
      <c r="C558" s="37" t="str">
        <f>IF(Agent03_Withdrawals!A163="","",Agent03_Withdrawals!B163)</f>
        <v/>
      </c>
      <c r="D558" s="40" t="str">
        <f>IF(Agent03_Withdrawals!A163="","",Agent03_Withdrawals!C163)</f>
        <v/>
      </c>
      <c r="E558" s="38" t="str">
        <f>IF(Agent03_Withdrawals!A163="","",Agent03_Withdrawals!D163)</f>
        <v/>
      </c>
      <c r="F558" s="37" t="str">
        <f>IF(Agent03_Withdrawals!A163="","",Agent03_Withdrawals!F163)</f>
        <v/>
      </c>
      <c r="G558" s="39" t="str">
        <f>IF(Agent03_Withdrawals!A163="","",Agent03_Withdrawals!E163)</f>
        <v/>
      </c>
      <c r="H558" s="39" t="str">
        <f>IF(Agent03_Withdrawals!A163="","",Agent03_Withdrawals!G163)</f>
        <v/>
      </c>
      <c r="I558" s="37" t="str">
        <f>IF(Agent03_Withdrawals!A163="","",Agent03_Withdrawals!H163)</f>
        <v/>
      </c>
      <c r="J558" s="37" t="str">
        <f>IF(Agent03_Withdrawals!A163="","",Agent03_Withdrawals!J163)</f>
        <v/>
      </c>
      <c r="K558" s="37" t="str">
        <f>IF(Agent03_Withdrawals!A163="","",Agent03_Withdrawals!K163)</f>
        <v/>
      </c>
      <c r="L558" s="37" t="str">
        <f>IF(G558="","",IF(D558-G558&gt;=System_Config!$B$9,"✅ OK","⚠️ BREACH"))</f>
        <v/>
      </c>
      <c r="M558" s="37" t="str">
        <f>IFERROR(IF(Agent03_Withdrawals!A163="","",YEAR(Agent03_Withdrawals!D163)),"")</f>
        <v/>
      </c>
    </row>
    <row r="559" spans="1:13" ht="18" customHeight="1" x14ac:dyDescent="0.25">
      <c r="A559" s="37" t="str">
        <f>IF(Agent03_Withdrawals!A164="","",Agent03_Withdrawals!A164)</f>
        <v/>
      </c>
      <c r="B559" s="37" t="str">
        <f ca="1">IF(Agent03_Withdrawals!A164="","","WD"&amp;TEXT(559-3,"0000")&amp;"-"&amp;TEXT(TODAY(),"YYYYMMDD"))</f>
        <v/>
      </c>
      <c r="C559" s="37" t="str">
        <f>IF(Agent03_Withdrawals!A164="","",Agent03_Withdrawals!B164)</f>
        <v/>
      </c>
      <c r="D559" s="40" t="str">
        <f>IF(Agent03_Withdrawals!A164="","",Agent03_Withdrawals!C164)</f>
        <v/>
      </c>
      <c r="E559" s="38" t="str">
        <f>IF(Agent03_Withdrawals!A164="","",Agent03_Withdrawals!D164)</f>
        <v/>
      </c>
      <c r="F559" s="37" t="str">
        <f>IF(Agent03_Withdrawals!A164="","",Agent03_Withdrawals!F164)</f>
        <v/>
      </c>
      <c r="G559" s="39" t="str">
        <f>IF(Agent03_Withdrawals!A164="","",Agent03_Withdrawals!E164)</f>
        <v/>
      </c>
      <c r="H559" s="39" t="str">
        <f>IF(Agent03_Withdrawals!A164="","",Agent03_Withdrawals!G164)</f>
        <v/>
      </c>
      <c r="I559" s="37" t="str">
        <f>IF(Agent03_Withdrawals!A164="","",Agent03_Withdrawals!H164)</f>
        <v/>
      </c>
      <c r="J559" s="37" t="str">
        <f>IF(Agent03_Withdrawals!A164="","",Agent03_Withdrawals!J164)</f>
        <v/>
      </c>
      <c r="K559" s="37" t="str">
        <f>IF(Agent03_Withdrawals!A164="","",Agent03_Withdrawals!K164)</f>
        <v/>
      </c>
      <c r="L559" s="37" t="str">
        <f>IF(G559="","",IF(D559-G559&gt;=System_Config!$B$9,"✅ OK","⚠️ BREACH"))</f>
        <v/>
      </c>
      <c r="M559" s="37" t="str">
        <f>IFERROR(IF(Agent03_Withdrawals!A164="","",YEAR(Agent03_Withdrawals!D164)),"")</f>
        <v/>
      </c>
    </row>
    <row r="560" spans="1:13" ht="18" customHeight="1" x14ac:dyDescent="0.25">
      <c r="A560" s="37" t="str">
        <f>IF(Agent03_Withdrawals!A165="","",Agent03_Withdrawals!A165)</f>
        <v/>
      </c>
      <c r="B560" s="37" t="str">
        <f ca="1">IF(Agent03_Withdrawals!A165="","","WD"&amp;TEXT(560-3,"0000")&amp;"-"&amp;TEXT(TODAY(),"YYYYMMDD"))</f>
        <v/>
      </c>
      <c r="C560" s="37" t="str">
        <f>IF(Agent03_Withdrawals!A165="","",Agent03_Withdrawals!B165)</f>
        <v/>
      </c>
      <c r="D560" s="40" t="str">
        <f>IF(Agent03_Withdrawals!A165="","",Agent03_Withdrawals!C165)</f>
        <v/>
      </c>
      <c r="E560" s="38" t="str">
        <f>IF(Agent03_Withdrawals!A165="","",Agent03_Withdrawals!D165)</f>
        <v/>
      </c>
      <c r="F560" s="37" t="str">
        <f>IF(Agent03_Withdrawals!A165="","",Agent03_Withdrawals!F165)</f>
        <v/>
      </c>
      <c r="G560" s="39" t="str">
        <f>IF(Agent03_Withdrawals!A165="","",Agent03_Withdrawals!E165)</f>
        <v/>
      </c>
      <c r="H560" s="39" t="str">
        <f>IF(Agent03_Withdrawals!A165="","",Agent03_Withdrawals!G165)</f>
        <v/>
      </c>
      <c r="I560" s="37" t="str">
        <f>IF(Agent03_Withdrawals!A165="","",Agent03_Withdrawals!H165)</f>
        <v/>
      </c>
      <c r="J560" s="37" t="str">
        <f>IF(Agent03_Withdrawals!A165="","",Agent03_Withdrawals!J165)</f>
        <v/>
      </c>
      <c r="K560" s="37" t="str">
        <f>IF(Agent03_Withdrawals!A165="","",Agent03_Withdrawals!K165)</f>
        <v/>
      </c>
      <c r="L560" s="37" t="str">
        <f>IF(G560="","",IF(D560-G560&gt;=System_Config!$B$9,"✅ OK","⚠️ BREACH"))</f>
        <v/>
      </c>
      <c r="M560" s="37" t="str">
        <f>IFERROR(IF(Agent03_Withdrawals!A165="","",YEAR(Agent03_Withdrawals!D165)),"")</f>
        <v/>
      </c>
    </row>
    <row r="561" spans="1:13" ht="18" customHeight="1" x14ac:dyDescent="0.25">
      <c r="A561" s="37" t="str">
        <f>IF(Agent03_Withdrawals!A166="","",Agent03_Withdrawals!A166)</f>
        <v/>
      </c>
      <c r="B561" s="37" t="str">
        <f ca="1">IF(Agent03_Withdrawals!A166="","","WD"&amp;TEXT(561-3,"0000")&amp;"-"&amp;TEXT(TODAY(),"YYYYMMDD"))</f>
        <v/>
      </c>
      <c r="C561" s="37" t="str">
        <f>IF(Agent03_Withdrawals!A166="","",Agent03_Withdrawals!B166)</f>
        <v/>
      </c>
      <c r="D561" s="40" t="str">
        <f>IF(Agent03_Withdrawals!A166="","",Agent03_Withdrawals!C166)</f>
        <v/>
      </c>
      <c r="E561" s="38" t="str">
        <f>IF(Agent03_Withdrawals!A166="","",Agent03_Withdrawals!D166)</f>
        <v/>
      </c>
      <c r="F561" s="37" t="str">
        <f>IF(Agent03_Withdrawals!A166="","",Agent03_Withdrawals!F166)</f>
        <v/>
      </c>
      <c r="G561" s="39" t="str">
        <f>IF(Agent03_Withdrawals!A166="","",Agent03_Withdrawals!E166)</f>
        <v/>
      </c>
      <c r="H561" s="39" t="str">
        <f>IF(Agent03_Withdrawals!A166="","",Agent03_Withdrawals!G166)</f>
        <v/>
      </c>
      <c r="I561" s="37" t="str">
        <f>IF(Agent03_Withdrawals!A166="","",Agent03_Withdrawals!H166)</f>
        <v/>
      </c>
      <c r="J561" s="37" t="str">
        <f>IF(Agent03_Withdrawals!A166="","",Agent03_Withdrawals!J166)</f>
        <v/>
      </c>
      <c r="K561" s="37" t="str">
        <f>IF(Agent03_Withdrawals!A166="","",Agent03_Withdrawals!K166)</f>
        <v/>
      </c>
      <c r="L561" s="37" t="str">
        <f>IF(G561="","",IF(D561-G561&gt;=System_Config!$B$9,"✅ OK","⚠️ BREACH"))</f>
        <v/>
      </c>
      <c r="M561" s="37" t="str">
        <f>IFERROR(IF(Agent03_Withdrawals!A166="","",YEAR(Agent03_Withdrawals!D166)),"")</f>
        <v/>
      </c>
    </row>
    <row r="562" spans="1:13" ht="18" customHeight="1" x14ac:dyDescent="0.25">
      <c r="A562" s="37" t="str">
        <f>IF(Agent03_Withdrawals!A167="","",Agent03_Withdrawals!A167)</f>
        <v/>
      </c>
      <c r="B562" s="37" t="str">
        <f ca="1">IF(Agent03_Withdrawals!A167="","","WD"&amp;TEXT(562-3,"0000")&amp;"-"&amp;TEXT(TODAY(),"YYYYMMDD"))</f>
        <v/>
      </c>
      <c r="C562" s="37" t="str">
        <f>IF(Agent03_Withdrawals!A167="","",Agent03_Withdrawals!B167)</f>
        <v/>
      </c>
      <c r="D562" s="40" t="str">
        <f>IF(Agent03_Withdrawals!A167="","",Agent03_Withdrawals!C167)</f>
        <v/>
      </c>
      <c r="E562" s="38" t="str">
        <f>IF(Agent03_Withdrawals!A167="","",Agent03_Withdrawals!D167)</f>
        <v/>
      </c>
      <c r="F562" s="37" t="str">
        <f>IF(Agent03_Withdrawals!A167="","",Agent03_Withdrawals!F167)</f>
        <v/>
      </c>
      <c r="G562" s="39" t="str">
        <f>IF(Agent03_Withdrawals!A167="","",Agent03_Withdrawals!E167)</f>
        <v/>
      </c>
      <c r="H562" s="39" t="str">
        <f>IF(Agent03_Withdrawals!A167="","",Agent03_Withdrawals!G167)</f>
        <v/>
      </c>
      <c r="I562" s="37" t="str">
        <f>IF(Agent03_Withdrawals!A167="","",Agent03_Withdrawals!H167)</f>
        <v/>
      </c>
      <c r="J562" s="37" t="str">
        <f>IF(Agent03_Withdrawals!A167="","",Agent03_Withdrawals!J167)</f>
        <v/>
      </c>
      <c r="K562" s="37" t="str">
        <f>IF(Agent03_Withdrawals!A167="","",Agent03_Withdrawals!K167)</f>
        <v/>
      </c>
      <c r="L562" s="37" t="str">
        <f>IF(G562="","",IF(D562-G562&gt;=System_Config!$B$9,"✅ OK","⚠️ BREACH"))</f>
        <v/>
      </c>
      <c r="M562" s="37" t="str">
        <f>IFERROR(IF(Agent03_Withdrawals!A167="","",YEAR(Agent03_Withdrawals!D167)),"")</f>
        <v/>
      </c>
    </row>
    <row r="563" spans="1:13" ht="18" customHeight="1" x14ac:dyDescent="0.25">
      <c r="A563" s="37" t="str">
        <f>IF(Agent03_Withdrawals!A168="","",Agent03_Withdrawals!A168)</f>
        <v/>
      </c>
      <c r="B563" s="37" t="str">
        <f ca="1">IF(Agent03_Withdrawals!A168="","","WD"&amp;TEXT(563-3,"0000")&amp;"-"&amp;TEXT(TODAY(),"YYYYMMDD"))</f>
        <v/>
      </c>
      <c r="C563" s="37" t="str">
        <f>IF(Agent03_Withdrawals!A168="","",Agent03_Withdrawals!B168)</f>
        <v/>
      </c>
      <c r="D563" s="40" t="str">
        <f>IF(Agent03_Withdrawals!A168="","",Agent03_Withdrawals!C168)</f>
        <v/>
      </c>
      <c r="E563" s="38" t="str">
        <f>IF(Agent03_Withdrawals!A168="","",Agent03_Withdrawals!D168)</f>
        <v/>
      </c>
      <c r="F563" s="37" t="str">
        <f>IF(Agent03_Withdrawals!A168="","",Agent03_Withdrawals!F168)</f>
        <v/>
      </c>
      <c r="G563" s="39" t="str">
        <f>IF(Agent03_Withdrawals!A168="","",Agent03_Withdrawals!E168)</f>
        <v/>
      </c>
      <c r="H563" s="39" t="str">
        <f>IF(Agent03_Withdrawals!A168="","",Agent03_Withdrawals!G168)</f>
        <v/>
      </c>
      <c r="I563" s="37" t="str">
        <f>IF(Agent03_Withdrawals!A168="","",Agent03_Withdrawals!H168)</f>
        <v/>
      </c>
      <c r="J563" s="37" t="str">
        <f>IF(Agent03_Withdrawals!A168="","",Agent03_Withdrawals!J168)</f>
        <v/>
      </c>
      <c r="K563" s="37" t="str">
        <f>IF(Agent03_Withdrawals!A168="","",Agent03_Withdrawals!K168)</f>
        <v/>
      </c>
      <c r="L563" s="37" t="str">
        <f>IF(G563="","",IF(D563-G563&gt;=System_Config!$B$9,"✅ OK","⚠️ BREACH"))</f>
        <v/>
      </c>
      <c r="M563" s="37" t="str">
        <f>IFERROR(IF(Agent03_Withdrawals!A168="","",YEAR(Agent03_Withdrawals!D168)),"")</f>
        <v/>
      </c>
    </row>
    <row r="564" spans="1:13" ht="18" customHeight="1" x14ac:dyDescent="0.25">
      <c r="A564" s="37" t="str">
        <f>IF(Agent03_Withdrawals!A169="","",Agent03_Withdrawals!A169)</f>
        <v/>
      </c>
      <c r="B564" s="37" t="str">
        <f ca="1">IF(Agent03_Withdrawals!A169="","","WD"&amp;TEXT(564-3,"0000")&amp;"-"&amp;TEXT(TODAY(),"YYYYMMDD"))</f>
        <v/>
      </c>
      <c r="C564" s="37" t="str">
        <f>IF(Agent03_Withdrawals!A169="","",Agent03_Withdrawals!B169)</f>
        <v/>
      </c>
      <c r="D564" s="40" t="str">
        <f>IF(Agent03_Withdrawals!A169="","",Agent03_Withdrawals!C169)</f>
        <v/>
      </c>
      <c r="E564" s="38" t="str">
        <f>IF(Agent03_Withdrawals!A169="","",Agent03_Withdrawals!D169)</f>
        <v/>
      </c>
      <c r="F564" s="37" t="str">
        <f>IF(Agent03_Withdrawals!A169="","",Agent03_Withdrawals!F169)</f>
        <v/>
      </c>
      <c r="G564" s="39" t="str">
        <f>IF(Agent03_Withdrawals!A169="","",Agent03_Withdrawals!E169)</f>
        <v/>
      </c>
      <c r="H564" s="39" t="str">
        <f>IF(Agent03_Withdrawals!A169="","",Agent03_Withdrawals!G169)</f>
        <v/>
      </c>
      <c r="I564" s="37" t="str">
        <f>IF(Agent03_Withdrawals!A169="","",Agent03_Withdrawals!H169)</f>
        <v/>
      </c>
      <c r="J564" s="37" t="str">
        <f>IF(Agent03_Withdrawals!A169="","",Agent03_Withdrawals!J169)</f>
        <v/>
      </c>
      <c r="K564" s="37" t="str">
        <f>IF(Agent03_Withdrawals!A169="","",Agent03_Withdrawals!K169)</f>
        <v/>
      </c>
      <c r="L564" s="37" t="str">
        <f>IF(G564="","",IF(D564-G564&gt;=System_Config!$B$9,"✅ OK","⚠️ BREACH"))</f>
        <v/>
      </c>
      <c r="M564" s="37" t="str">
        <f>IFERROR(IF(Agent03_Withdrawals!A169="","",YEAR(Agent03_Withdrawals!D169)),"")</f>
        <v/>
      </c>
    </row>
    <row r="565" spans="1:13" ht="18" customHeight="1" x14ac:dyDescent="0.25">
      <c r="A565" s="37" t="str">
        <f>IF(Agent03_Withdrawals!A170="","",Agent03_Withdrawals!A170)</f>
        <v/>
      </c>
      <c r="B565" s="37" t="str">
        <f ca="1">IF(Agent03_Withdrawals!A170="","","WD"&amp;TEXT(565-3,"0000")&amp;"-"&amp;TEXT(TODAY(),"YYYYMMDD"))</f>
        <v/>
      </c>
      <c r="C565" s="37" t="str">
        <f>IF(Agent03_Withdrawals!A170="","",Agent03_Withdrawals!B170)</f>
        <v/>
      </c>
      <c r="D565" s="40" t="str">
        <f>IF(Agent03_Withdrawals!A170="","",Agent03_Withdrawals!C170)</f>
        <v/>
      </c>
      <c r="E565" s="38" t="str">
        <f>IF(Agent03_Withdrawals!A170="","",Agent03_Withdrawals!D170)</f>
        <v/>
      </c>
      <c r="F565" s="37" t="str">
        <f>IF(Agent03_Withdrawals!A170="","",Agent03_Withdrawals!F170)</f>
        <v/>
      </c>
      <c r="G565" s="39" t="str">
        <f>IF(Agent03_Withdrawals!A170="","",Agent03_Withdrawals!E170)</f>
        <v/>
      </c>
      <c r="H565" s="39" t="str">
        <f>IF(Agent03_Withdrawals!A170="","",Agent03_Withdrawals!G170)</f>
        <v/>
      </c>
      <c r="I565" s="37" t="str">
        <f>IF(Agent03_Withdrawals!A170="","",Agent03_Withdrawals!H170)</f>
        <v/>
      </c>
      <c r="J565" s="37" t="str">
        <f>IF(Agent03_Withdrawals!A170="","",Agent03_Withdrawals!J170)</f>
        <v/>
      </c>
      <c r="K565" s="37" t="str">
        <f>IF(Agent03_Withdrawals!A170="","",Agent03_Withdrawals!K170)</f>
        <v/>
      </c>
      <c r="L565" s="37" t="str">
        <f>IF(G565="","",IF(D565-G565&gt;=System_Config!$B$9,"✅ OK","⚠️ BREACH"))</f>
        <v/>
      </c>
      <c r="M565" s="37" t="str">
        <f>IFERROR(IF(Agent03_Withdrawals!A170="","",YEAR(Agent03_Withdrawals!D170)),"")</f>
        <v/>
      </c>
    </row>
    <row r="566" spans="1:13" ht="18" customHeight="1" x14ac:dyDescent="0.25">
      <c r="A566" s="37" t="str">
        <f>IF(Agent03_Withdrawals!A171="","",Agent03_Withdrawals!A171)</f>
        <v/>
      </c>
      <c r="B566" s="37" t="str">
        <f ca="1">IF(Agent03_Withdrawals!A171="","","WD"&amp;TEXT(566-3,"0000")&amp;"-"&amp;TEXT(TODAY(),"YYYYMMDD"))</f>
        <v/>
      </c>
      <c r="C566" s="37" t="str">
        <f>IF(Agent03_Withdrawals!A171="","",Agent03_Withdrawals!B171)</f>
        <v/>
      </c>
      <c r="D566" s="40" t="str">
        <f>IF(Agent03_Withdrawals!A171="","",Agent03_Withdrawals!C171)</f>
        <v/>
      </c>
      <c r="E566" s="38" t="str">
        <f>IF(Agent03_Withdrawals!A171="","",Agent03_Withdrawals!D171)</f>
        <v/>
      </c>
      <c r="F566" s="37" t="str">
        <f>IF(Agent03_Withdrawals!A171="","",Agent03_Withdrawals!F171)</f>
        <v/>
      </c>
      <c r="G566" s="39" t="str">
        <f>IF(Agent03_Withdrawals!A171="","",Agent03_Withdrawals!E171)</f>
        <v/>
      </c>
      <c r="H566" s="39" t="str">
        <f>IF(Agent03_Withdrawals!A171="","",Agent03_Withdrawals!G171)</f>
        <v/>
      </c>
      <c r="I566" s="37" t="str">
        <f>IF(Agent03_Withdrawals!A171="","",Agent03_Withdrawals!H171)</f>
        <v/>
      </c>
      <c r="J566" s="37" t="str">
        <f>IF(Agent03_Withdrawals!A171="","",Agent03_Withdrawals!J171)</f>
        <v/>
      </c>
      <c r="K566" s="37" t="str">
        <f>IF(Agent03_Withdrawals!A171="","",Agent03_Withdrawals!K171)</f>
        <v/>
      </c>
      <c r="L566" s="37" t="str">
        <f>IF(G566="","",IF(D566-G566&gt;=System_Config!$B$9,"✅ OK","⚠️ BREACH"))</f>
        <v/>
      </c>
      <c r="M566" s="37" t="str">
        <f>IFERROR(IF(Agent03_Withdrawals!A171="","",YEAR(Agent03_Withdrawals!D171)),"")</f>
        <v/>
      </c>
    </row>
    <row r="567" spans="1:13" ht="18" customHeight="1" x14ac:dyDescent="0.25">
      <c r="A567" s="37" t="str">
        <f>IF(Agent03_Withdrawals!A172="","",Agent03_Withdrawals!A172)</f>
        <v/>
      </c>
      <c r="B567" s="37" t="str">
        <f ca="1">IF(Agent03_Withdrawals!A172="","","WD"&amp;TEXT(567-3,"0000")&amp;"-"&amp;TEXT(TODAY(),"YYYYMMDD"))</f>
        <v/>
      </c>
      <c r="C567" s="37" t="str">
        <f>IF(Agent03_Withdrawals!A172="","",Agent03_Withdrawals!B172)</f>
        <v/>
      </c>
      <c r="D567" s="40" t="str">
        <f>IF(Agent03_Withdrawals!A172="","",Agent03_Withdrawals!C172)</f>
        <v/>
      </c>
      <c r="E567" s="38" t="str">
        <f>IF(Agent03_Withdrawals!A172="","",Agent03_Withdrawals!D172)</f>
        <v/>
      </c>
      <c r="F567" s="37" t="str">
        <f>IF(Agent03_Withdrawals!A172="","",Agent03_Withdrawals!F172)</f>
        <v/>
      </c>
      <c r="G567" s="39" t="str">
        <f>IF(Agent03_Withdrawals!A172="","",Agent03_Withdrawals!E172)</f>
        <v/>
      </c>
      <c r="H567" s="39" t="str">
        <f>IF(Agent03_Withdrawals!A172="","",Agent03_Withdrawals!G172)</f>
        <v/>
      </c>
      <c r="I567" s="37" t="str">
        <f>IF(Agent03_Withdrawals!A172="","",Agent03_Withdrawals!H172)</f>
        <v/>
      </c>
      <c r="J567" s="37" t="str">
        <f>IF(Agent03_Withdrawals!A172="","",Agent03_Withdrawals!J172)</f>
        <v/>
      </c>
      <c r="K567" s="37" t="str">
        <f>IF(Agent03_Withdrawals!A172="","",Agent03_Withdrawals!K172)</f>
        <v/>
      </c>
      <c r="L567" s="37" t="str">
        <f>IF(G567="","",IF(D567-G567&gt;=System_Config!$B$9,"✅ OK","⚠️ BREACH"))</f>
        <v/>
      </c>
      <c r="M567" s="37" t="str">
        <f>IFERROR(IF(Agent03_Withdrawals!A172="","",YEAR(Agent03_Withdrawals!D172)),"")</f>
        <v/>
      </c>
    </row>
    <row r="568" spans="1:13" ht="18" customHeight="1" x14ac:dyDescent="0.25">
      <c r="A568" s="37" t="str">
        <f>IF(Agent03_Withdrawals!A173="","",Agent03_Withdrawals!A173)</f>
        <v/>
      </c>
      <c r="B568" s="37" t="str">
        <f ca="1">IF(Agent03_Withdrawals!A173="","","WD"&amp;TEXT(568-3,"0000")&amp;"-"&amp;TEXT(TODAY(),"YYYYMMDD"))</f>
        <v/>
      </c>
      <c r="C568" s="37" t="str">
        <f>IF(Agent03_Withdrawals!A173="","",Agent03_Withdrawals!B173)</f>
        <v/>
      </c>
      <c r="D568" s="40" t="str">
        <f>IF(Agent03_Withdrawals!A173="","",Agent03_Withdrawals!C173)</f>
        <v/>
      </c>
      <c r="E568" s="38" t="str">
        <f>IF(Agent03_Withdrawals!A173="","",Agent03_Withdrawals!D173)</f>
        <v/>
      </c>
      <c r="F568" s="37" t="str">
        <f>IF(Agent03_Withdrawals!A173="","",Agent03_Withdrawals!F173)</f>
        <v/>
      </c>
      <c r="G568" s="39" t="str">
        <f>IF(Agent03_Withdrawals!A173="","",Agent03_Withdrawals!E173)</f>
        <v/>
      </c>
      <c r="H568" s="39" t="str">
        <f>IF(Agent03_Withdrawals!A173="","",Agent03_Withdrawals!G173)</f>
        <v/>
      </c>
      <c r="I568" s="37" t="str">
        <f>IF(Agent03_Withdrawals!A173="","",Agent03_Withdrawals!H173)</f>
        <v/>
      </c>
      <c r="J568" s="37" t="str">
        <f>IF(Agent03_Withdrawals!A173="","",Agent03_Withdrawals!J173)</f>
        <v/>
      </c>
      <c r="K568" s="37" t="str">
        <f>IF(Agent03_Withdrawals!A173="","",Agent03_Withdrawals!K173)</f>
        <v/>
      </c>
      <c r="L568" s="37" t="str">
        <f>IF(G568="","",IF(D568-G568&gt;=System_Config!$B$9,"✅ OK","⚠️ BREACH"))</f>
        <v/>
      </c>
      <c r="M568" s="37" t="str">
        <f>IFERROR(IF(Agent03_Withdrawals!A173="","",YEAR(Agent03_Withdrawals!D173)),"")</f>
        <v/>
      </c>
    </row>
    <row r="569" spans="1:13" ht="18" customHeight="1" x14ac:dyDescent="0.25">
      <c r="A569" s="37" t="str">
        <f>IF(Agent03_Withdrawals!A174="","",Agent03_Withdrawals!A174)</f>
        <v/>
      </c>
      <c r="B569" s="37" t="str">
        <f ca="1">IF(Agent03_Withdrawals!A174="","","WD"&amp;TEXT(569-3,"0000")&amp;"-"&amp;TEXT(TODAY(),"YYYYMMDD"))</f>
        <v/>
      </c>
      <c r="C569" s="37" t="str">
        <f>IF(Agent03_Withdrawals!A174="","",Agent03_Withdrawals!B174)</f>
        <v/>
      </c>
      <c r="D569" s="40" t="str">
        <f>IF(Agent03_Withdrawals!A174="","",Agent03_Withdrawals!C174)</f>
        <v/>
      </c>
      <c r="E569" s="38" t="str">
        <f>IF(Agent03_Withdrawals!A174="","",Agent03_Withdrawals!D174)</f>
        <v/>
      </c>
      <c r="F569" s="37" t="str">
        <f>IF(Agent03_Withdrawals!A174="","",Agent03_Withdrawals!F174)</f>
        <v/>
      </c>
      <c r="G569" s="39" t="str">
        <f>IF(Agent03_Withdrawals!A174="","",Agent03_Withdrawals!E174)</f>
        <v/>
      </c>
      <c r="H569" s="39" t="str">
        <f>IF(Agent03_Withdrawals!A174="","",Agent03_Withdrawals!G174)</f>
        <v/>
      </c>
      <c r="I569" s="37" t="str">
        <f>IF(Agent03_Withdrawals!A174="","",Agent03_Withdrawals!H174)</f>
        <v/>
      </c>
      <c r="J569" s="37" t="str">
        <f>IF(Agent03_Withdrawals!A174="","",Agent03_Withdrawals!J174)</f>
        <v/>
      </c>
      <c r="K569" s="37" t="str">
        <f>IF(Agent03_Withdrawals!A174="","",Agent03_Withdrawals!K174)</f>
        <v/>
      </c>
      <c r="L569" s="37" t="str">
        <f>IF(G569="","",IF(D569-G569&gt;=System_Config!$B$9,"✅ OK","⚠️ BREACH"))</f>
        <v/>
      </c>
      <c r="M569" s="37" t="str">
        <f>IFERROR(IF(Agent03_Withdrawals!A174="","",YEAR(Agent03_Withdrawals!D174)),"")</f>
        <v/>
      </c>
    </row>
    <row r="570" spans="1:13" ht="18" customHeight="1" x14ac:dyDescent="0.25">
      <c r="A570" s="37" t="str">
        <f>IF(Agent03_Withdrawals!A175="","",Agent03_Withdrawals!A175)</f>
        <v/>
      </c>
      <c r="B570" s="37" t="str">
        <f ca="1">IF(Agent03_Withdrawals!A175="","","WD"&amp;TEXT(570-3,"0000")&amp;"-"&amp;TEXT(TODAY(),"YYYYMMDD"))</f>
        <v/>
      </c>
      <c r="C570" s="37" t="str">
        <f>IF(Agent03_Withdrawals!A175="","",Agent03_Withdrawals!B175)</f>
        <v/>
      </c>
      <c r="D570" s="40" t="str">
        <f>IF(Agent03_Withdrawals!A175="","",Agent03_Withdrawals!C175)</f>
        <v/>
      </c>
      <c r="E570" s="38" t="str">
        <f>IF(Agent03_Withdrawals!A175="","",Agent03_Withdrawals!D175)</f>
        <v/>
      </c>
      <c r="F570" s="37" t="str">
        <f>IF(Agent03_Withdrawals!A175="","",Agent03_Withdrawals!F175)</f>
        <v/>
      </c>
      <c r="G570" s="39" t="str">
        <f>IF(Agent03_Withdrawals!A175="","",Agent03_Withdrawals!E175)</f>
        <v/>
      </c>
      <c r="H570" s="39" t="str">
        <f>IF(Agent03_Withdrawals!A175="","",Agent03_Withdrawals!G175)</f>
        <v/>
      </c>
      <c r="I570" s="37" t="str">
        <f>IF(Agent03_Withdrawals!A175="","",Agent03_Withdrawals!H175)</f>
        <v/>
      </c>
      <c r="J570" s="37" t="str">
        <f>IF(Agent03_Withdrawals!A175="","",Agent03_Withdrawals!J175)</f>
        <v/>
      </c>
      <c r="K570" s="37" t="str">
        <f>IF(Agent03_Withdrawals!A175="","",Agent03_Withdrawals!K175)</f>
        <v/>
      </c>
      <c r="L570" s="37" t="str">
        <f>IF(G570="","",IF(D570-G570&gt;=System_Config!$B$9,"✅ OK","⚠️ BREACH"))</f>
        <v/>
      </c>
      <c r="M570" s="37" t="str">
        <f>IFERROR(IF(Agent03_Withdrawals!A175="","",YEAR(Agent03_Withdrawals!D175)),"")</f>
        <v/>
      </c>
    </row>
    <row r="571" spans="1:13" ht="18" customHeight="1" x14ac:dyDescent="0.25">
      <c r="A571" s="37" t="str">
        <f>IF(Agent03_Withdrawals!A176="","",Agent03_Withdrawals!A176)</f>
        <v/>
      </c>
      <c r="B571" s="37" t="str">
        <f ca="1">IF(Agent03_Withdrawals!A176="","","WD"&amp;TEXT(571-3,"0000")&amp;"-"&amp;TEXT(TODAY(),"YYYYMMDD"))</f>
        <v/>
      </c>
      <c r="C571" s="37" t="str">
        <f>IF(Agent03_Withdrawals!A176="","",Agent03_Withdrawals!B176)</f>
        <v/>
      </c>
      <c r="D571" s="40" t="str">
        <f>IF(Agent03_Withdrawals!A176="","",Agent03_Withdrawals!C176)</f>
        <v/>
      </c>
      <c r="E571" s="38" t="str">
        <f>IF(Agent03_Withdrawals!A176="","",Agent03_Withdrawals!D176)</f>
        <v/>
      </c>
      <c r="F571" s="37" t="str">
        <f>IF(Agent03_Withdrawals!A176="","",Agent03_Withdrawals!F176)</f>
        <v/>
      </c>
      <c r="G571" s="39" t="str">
        <f>IF(Agent03_Withdrawals!A176="","",Agent03_Withdrawals!E176)</f>
        <v/>
      </c>
      <c r="H571" s="39" t="str">
        <f>IF(Agent03_Withdrawals!A176="","",Agent03_Withdrawals!G176)</f>
        <v/>
      </c>
      <c r="I571" s="37" t="str">
        <f>IF(Agent03_Withdrawals!A176="","",Agent03_Withdrawals!H176)</f>
        <v/>
      </c>
      <c r="J571" s="37" t="str">
        <f>IF(Agent03_Withdrawals!A176="","",Agent03_Withdrawals!J176)</f>
        <v/>
      </c>
      <c r="K571" s="37" t="str">
        <f>IF(Agent03_Withdrawals!A176="","",Agent03_Withdrawals!K176)</f>
        <v/>
      </c>
      <c r="L571" s="37" t="str">
        <f>IF(G571="","",IF(D571-G571&gt;=System_Config!$B$9,"✅ OK","⚠️ BREACH"))</f>
        <v/>
      </c>
      <c r="M571" s="37" t="str">
        <f>IFERROR(IF(Agent03_Withdrawals!A176="","",YEAR(Agent03_Withdrawals!D176)),"")</f>
        <v/>
      </c>
    </row>
    <row r="572" spans="1:13" ht="18" customHeight="1" x14ac:dyDescent="0.25">
      <c r="A572" s="37" t="str">
        <f>IF(Agent03_Withdrawals!A177="","",Agent03_Withdrawals!A177)</f>
        <v/>
      </c>
      <c r="B572" s="37" t="str">
        <f ca="1">IF(Agent03_Withdrawals!A177="","","WD"&amp;TEXT(572-3,"0000")&amp;"-"&amp;TEXT(TODAY(),"YYYYMMDD"))</f>
        <v/>
      </c>
      <c r="C572" s="37" t="str">
        <f>IF(Agent03_Withdrawals!A177="","",Agent03_Withdrawals!B177)</f>
        <v/>
      </c>
      <c r="D572" s="40" t="str">
        <f>IF(Agent03_Withdrawals!A177="","",Agent03_Withdrawals!C177)</f>
        <v/>
      </c>
      <c r="E572" s="38" t="str">
        <f>IF(Agent03_Withdrawals!A177="","",Agent03_Withdrawals!D177)</f>
        <v/>
      </c>
      <c r="F572" s="37" t="str">
        <f>IF(Agent03_Withdrawals!A177="","",Agent03_Withdrawals!F177)</f>
        <v/>
      </c>
      <c r="G572" s="39" t="str">
        <f>IF(Agent03_Withdrawals!A177="","",Agent03_Withdrawals!E177)</f>
        <v/>
      </c>
      <c r="H572" s="39" t="str">
        <f>IF(Agent03_Withdrawals!A177="","",Agent03_Withdrawals!G177)</f>
        <v/>
      </c>
      <c r="I572" s="37" t="str">
        <f>IF(Agent03_Withdrawals!A177="","",Agent03_Withdrawals!H177)</f>
        <v/>
      </c>
      <c r="J572" s="37" t="str">
        <f>IF(Agent03_Withdrawals!A177="","",Agent03_Withdrawals!J177)</f>
        <v/>
      </c>
      <c r="K572" s="37" t="str">
        <f>IF(Agent03_Withdrawals!A177="","",Agent03_Withdrawals!K177)</f>
        <v/>
      </c>
      <c r="L572" s="37" t="str">
        <f>IF(G572="","",IF(D572-G572&gt;=System_Config!$B$9,"✅ OK","⚠️ BREACH"))</f>
        <v/>
      </c>
      <c r="M572" s="37" t="str">
        <f>IFERROR(IF(Agent03_Withdrawals!A177="","",YEAR(Agent03_Withdrawals!D177)),"")</f>
        <v/>
      </c>
    </row>
    <row r="573" spans="1:13" ht="18" customHeight="1" x14ac:dyDescent="0.25">
      <c r="A573" s="37" t="str">
        <f>IF(Agent03_Withdrawals!A178="","",Agent03_Withdrawals!A178)</f>
        <v/>
      </c>
      <c r="B573" s="37" t="str">
        <f ca="1">IF(Agent03_Withdrawals!A178="","","WD"&amp;TEXT(573-3,"0000")&amp;"-"&amp;TEXT(TODAY(),"YYYYMMDD"))</f>
        <v/>
      </c>
      <c r="C573" s="37" t="str">
        <f>IF(Agent03_Withdrawals!A178="","",Agent03_Withdrawals!B178)</f>
        <v/>
      </c>
      <c r="D573" s="40" t="str">
        <f>IF(Agent03_Withdrawals!A178="","",Agent03_Withdrawals!C178)</f>
        <v/>
      </c>
      <c r="E573" s="38" t="str">
        <f>IF(Agent03_Withdrawals!A178="","",Agent03_Withdrawals!D178)</f>
        <v/>
      </c>
      <c r="F573" s="37" t="str">
        <f>IF(Agent03_Withdrawals!A178="","",Agent03_Withdrawals!F178)</f>
        <v/>
      </c>
      <c r="G573" s="39" t="str">
        <f>IF(Agent03_Withdrawals!A178="","",Agent03_Withdrawals!E178)</f>
        <v/>
      </c>
      <c r="H573" s="39" t="str">
        <f>IF(Agent03_Withdrawals!A178="","",Agent03_Withdrawals!G178)</f>
        <v/>
      </c>
      <c r="I573" s="37" t="str">
        <f>IF(Agent03_Withdrawals!A178="","",Agent03_Withdrawals!H178)</f>
        <v/>
      </c>
      <c r="J573" s="37" t="str">
        <f>IF(Agent03_Withdrawals!A178="","",Agent03_Withdrawals!J178)</f>
        <v/>
      </c>
      <c r="K573" s="37" t="str">
        <f>IF(Agent03_Withdrawals!A178="","",Agent03_Withdrawals!K178)</f>
        <v/>
      </c>
      <c r="L573" s="37" t="str">
        <f>IF(G573="","",IF(D573-G573&gt;=System_Config!$B$9,"✅ OK","⚠️ BREACH"))</f>
        <v/>
      </c>
      <c r="M573" s="37" t="str">
        <f>IFERROR(IF(Agent03_Withdrawals!A178="","",YEAR(Agent03_Withdrawals!D178)),"")</f>
        <v/>
      </c>
    </row>
    <row r="574" spans="1:13" ht="18" customHeight="1" x14ac:dyDescent="0.25">
      <c r="A574" s="37" t="str">
        <f>IF(Agent03_Withdrawals!A179="","",Agent03_Withdrawals!A179)</f>
        <v/>
      </c>
      <c r="B574" s="37" t="str">
        <f ca="1">IF(Agent03_Withdrawals!A179="","","WD"&amp;TEXT(574-3,"0000")&amp;"-"&amp;TEXT(TODAY(),"YYYYMMDD"))</f>
        <v/>
      </c>
      <c r="C574" s="37" t="str">
        <f>IF(Agent03_Withdrawals!A179="","",Agent03_Withdrawals!B179)</f>
        <v/>
      </c>
      <c r="D574" s="40" t="str">
        <f>IF(Agent03_Withdrawals!A179="","",Agent03_Withdrawals!C179)</f>
        <v/>
      </c>
      <c r="E574" s="38" t="str">
        <f>IF(Agent03_Withdrawals!A179="","",Agent03_Withdrawals!D179)</f>
        <v/>
      </c>
      <c r="F574" s="37" t="str">
        <f>IF(Agent03_Withdrawals!A179="","",Agent03_Withdrawals!F179)</f>
        <v/>
      </c>
      <c r="G574" s="39" t="str">
        <f>IF(Agent03_Withdrawals!A179="","",Agent03_Withdrawals!E179)</f>
        <v/>
      </c>
      <c r="H574" s="39" t="str">
        <f>IF(Agent03_Withdrawals!A179="","",Agent03_Withdrawals!G179)</f>
        <v/>
      </c>
      <c r="I574" s="37" t="str">
        <f>IF(Agent03_Withdrawals!A179="","",Agent03_Withdrawals!H179)</f>
        <v/>
      </c>
      <c r="J574" s="37" t="str">
        <f>IF(Agent03_Withdrawals!A179="","",Agent03_Withdrawals!J179)</f>
        <v/>
      </c>
      <c r="K574" s="37" t="str">
        <f>IF(Agent03_Withdrawals!A179="","",Agent03_Withdrawals!K179)</f>
        <v/>
      </c>
      <c r="L574" s="37" t="str">
        <f>IF(G574="","",IF(D574-G574&gt;=System_Config!$B$9,"✅ OK","⚠️ BREACH"))</f>
        <v/>
      </c>
      <c r="M574" s="37" t="str">
        <f>IFERROR(IF(Agent03_Withdrawals!A179="","",YEAR(Agent03_Withdrawals!D179)),"")</f>
        <v/>
      </c>
    </row>
    <row r="575" spans="1:13" ht="18" customHeight="1" x14ac:dyDescent="0.25">
      <c r="A575" s="37" t="str">
        <f>IF(Agent03_Withdrawals!A180="","",Agent03_Withdrawals!A180)</f>
        <v/>
      </c>
      <c r="B575" s="37" t="str">
        <f ca="1">IF(Agent03_Withdrawals!A180="","","WD"&amp;TEXT(575-3,"0000")&amp;"-"&amp;TEXT(TODAY(),"YYYYMMDD"))</f>
        <v/>
      </c>
      <c r="C575" s="37" t="str">
        <f>IF(Agent03_Withdrawals!A180="","",Agent03_Withdrawals!B180)</f>
        <v/>
      </c>
      <c r="D575" s="40" t="str">
        <f>IF(Agent03_Withdrawals!A180="","",Agent03_Withdrawals!C180)</f>
        <v/>
      </c>
      <c r="E575" s="38" t="str">
        <f>IF(Agent03_Withdrawals!A180="","",Agent03_Withdrawals!D180)</f>
        <v/>
      </c>
      <c r="F575" s="37" t="str">
        <f>IF(Agent03_Withdrawals!A180="","",Agent03_Withdrawals!F180)</f>
        <v/>
      </c>
      <c r="G575" s="39" t="str">
        <f>IF(Agent03_Withdrawals!A180="","",Agent03_Withdrawals!E180)</f>
        <v/>
      </c>
      <c r="H575" s="39" t="str">
        <f>IF(Agent03_Withdrawals!A180="","",Agent03_Withdrawals!G180)</f>
        <v/>
      </c>
      <c r="I575" s="37" t="str">
        <f>IF(Agent03_Withdrawals!A180="","",Agent03_Withdrawals!H180)</f>
        <v/>
      </c>
      <c r="J575" s="37" t="str">
        <f>IF(Agent03_Withdrawals!A180="","",Agent03_Withdrawals!J180)</f>
        <v/>
      </c>
      <c r="K575" s="37" t="str">
        <f>IF(Agent03_Withdrawals!A180="","",Agent03_Withdrawals!K180)</f>
        <v/>
      </c>
      <c r="L575" s="37" t="str">
        <f>IF(G575="","",IF(D575-G575&gt;=System_Config!$B$9,"✅ OK","⚠️ BREACH"))</f>
        <v/>
      </c>
      <c r="M575" s="37" t="str">
        <f>IFERROR(IF(Agent03_Withdrawals!A180="","",YEAR(Agent03_Withdrawals!D180)),"")</f>
        <v/>
      </c>
    </row>
    <row r="576" spans="1:13" ht="18" customHeight="1" x14ac:dyDescent="0.25">
      <c r="A576" s="37" t="str">
        <f>IF(Agent03_Withdrawals!A181="","",Agent03_Withdrawals!A181)</f>
        <v/>
      </c>
      <c r="B576" s="37" t="str">
        <f ca="1">IF(Agent03_Withdrawals!A181="","","WD"&amp;TEXT(576-3,"0000")&amp;"-"&amp;TEXT(TODAY(),"YYYYMMDD"))</f>
        <v/>
      </c>
      <c r="C576" s="37" t="str">
        <f>IF(Agent03_Withdrawals!A181="","",Agent03_Withdrawals!B181)</f>
        <v/>
      </c>
      <c r="D576" s="40" t="str">
        <f>IF(Agent03_Withdrawals!A181="","",Agent03_Withdrawals!C181)</f>
        <v/>
      </c>
      <c r="E576" s="38" t="str">
        <f>IF(Agent03_Withdrawals!A181="","",Agent03_Withdrawals!D181)</f>
        <v/>
      </c>
      <c r="F576" s="37" t="str">
        <f>IF(Agent03_Withdrawals!A181="","",Agent03_Withdrawals!F181)</f>
        <v/>
      </c>
      <c r="G576" s="39" t="str">
        <f>IF(Agent03_Withdrawals!A181="","",Agent03_Withdrawals!E181)</f>
        <v/>
      </c>
      <c r="H576" s="39" t="str">
        <f>IF(Agent03_Withdrawals!A181="","",Agent03_Withdrawals!G181)</f>
        <v/>
      </c>
      <c r="I576" s="37" t="str">
        <f>IF(Agent03_Withdrawals!A181="","",Agent03_Withdrawals!H181)</f>
        <v/>
      </c>
      <c r="J576" s="37" t="str">
        <f>IF(Agent03_Withdrawals!A181="","",Agent03_Withdrawals!J181)</f>
        <v/>
      </c>
      <c r="K576" s="37" t="str">
        <f>IF(Agent03_Withdrawals!A181="","",Agent03_Withdrawals!K181)</f>
        <v/>
      </c>
      <c r="L576" s="37" t="str">
        <f>IF(G576="","",IF(D576-G576&gt;=System_Config!$B$9,"✅ OK","⚠️ BREACH"))</f>
        <v/>
      </c>
      <c r="M576" s="37" t="str">
        <f>IFERROR(IF(Agent03_Withdrawals!A181="","",YEAR(Agent03_Withdrawals!D181)),"")</f>
        <v/>
      </c>
    </row>
    <row r="577" spans="1:13" ht="18" customHeight="1" x14ac:dyDescent="0.25">
      <c r="A577" s="37" t="str">
        <f>IF(Agent03_Withdrawals!A182="","",Agent03_Withdrawals!A182)</f>
        <v/>
      </c>
      <c r="B577" s="37" t="str">
        <f ca="1">IF(Agent03_Withdrawals!A182="","","WD"&amp;TEXT(577-3,"0000")&amp;"-"&amp;TEXT(TODAY(),"YYYYMMDD"))</f>
        <v/>
      </c>
      <c r="C577" s="37" t="str">
        <f>IF(Agent03_Withdrawals!A182="","",Agent03_Withdrawals!B182)</f>
        <v/>
      </c>
      <c r="D577" s="40" t="str">
        <f>IF(Agent03_Withdrawals!A182="","",Agent03_Withdrawals!C182)</f>
        <v/>
      </c>
      <c r="E577" s="38" t="str">
        <f>IF(Agent03_Withdrawals!A182="","",Agent03_Withdrawals!D182)</f>
        <v/>
      </c>
      <c r="F577" s="37" t="str">
        <f>IF(Agent03_Withdrawals!A182="","",Agent03_Withdrawals!F182)</f>
        <v/>
      </c>
      <c r="G577" s="39" t="str">
        <f>IF(Agent03_Withdrawals!A182="","",Agent03_Withdrawals!E182)</f>
        <v/>
      </c>
      <c r="H577" s="39" t="str">
        <f>IF(Agent03_Withdrawals!A182="","",Agent03_Withdrawals!G182)</f>
        <v/>
      </c>
      <c r="I577" s="37" t="str">
        <f>IF(Agent03_Withdrawals!A182="","",Agent03_Withdrawals!H182)</f>
        <v/>
      </c>
      <c r="J577" s="37" t="str">
        <f>IF(Agent03_Withdrawals!A182="","",Agent03_Withdrawals!J182)</f>
        <v/>
      </c>
      <c r="K577" s="37" t="str">
        <f>IF(Agent03_Withdrawals!A182="","",Agent03_Withdrawals!K182)</f>
        <v/>
      </c>
      <c r="L577" s="37" t="str">
        <f>IF(G577="","",IF(D577-G577&gt;=System_Config!$B$9,"✅ OK","⚠️ BREACH"))</f>
        <v/>
      </c>
      <c r="M577" s="37" t="str">
        <f>IFERROR(IF(Agent03_Withdrawals!A182="","",YEAR(Agent03_Withdrawals!D182)),"")</f>
        <v/>
      </c>
    </row>
    <row r="578" spans="1:13" ht="18" customHeight="1" x14ac:dyDescent="0.25">
      <c r="A578" s="37" t="str">
        <f>IF(Agent03_Withdrawals!A183="","",Agent03_Withdrawals!A183)</f>
        <v/>
      </c>
      <c r="B578" s="37" t="str">
        <f ca="1">IF(Agent03_Withdrawals!A183="","","WD"&amp;TEXT(578-3,"0000")&amp;"-"&amp;TEXT(TODAY(),"YYYYMMDD"))</f>
        <v/>
      </c>
      <c r="C578" s="37" t="str">
        <f>IF(Agent03_Withdrawals!A183="","",Agent03_Withdrawals!B183)</f>
        <v/>
      </c>
      <c r="D578" s="40" t="str">
        <f>IF(Agent03_Withdrawals!A183="","",Agent03_Withdrawals!C183)</f>
        <v/>
      </c>
      <c r="E578" s="38" t="str">
        <f>IF(Agent03_Withdrawals!A183="","",Agent03_Withdrawals!D183)</f>
        <v/>
      </c>
      <c r="F578" s="37" t="str">
        <f>IF(Agent03_Withdrawals!A183="","",Agent03_Withdrawals!F183)</f>
        <v/>
      </c>
      <c r="G578" s="39" t="str">
        <f>IF(Agent03_Withdrawals!A183="","",Agent03_Withdrawals!E183)</f>
        <v/>
      </c>
      <c r="H578" s="39" t="str">
        <f>IF(Agent03_Withdrawals!A183="","",Agent03_Withdrawals!G183)</f>
        <v/>
      </c>
      <c r="I578" s="37" t="str">
        <f>IF(Agent03_Withdrawals!A183="","",Agent03_Withdrawals!H183)</f>
        <v/>
      </c>
      <c r="J578" s="37" t="str">
        <f>IF(Agent03_Withdrawals!A183="","",Agent03_Withdrawals!J183)</f>
        <v/>
      </c>
      <c r="K578" s="37" t="str">
        <f>IF(Agent03_Withdrawals!A183="","",Agent03_Withdrawals!K183)</f>
        <v/>
      </c>
      <c r="L578" s="37" t="str">
        <f>IF(G578="","",IF(D578-G578&gt;=System_Config!$B$9,"✅ OK","⚠️ BREACH"))</f>
        <v/>
      </c>
      <c r="M578" s="37" t="str">
        <f>IFERROR(IF(Agent03_Withdrawals!A183="","",YEAR(Agent03_Withdrawals!D183)),"")</f>
        <v/>
      </c>
    </row>
    <row r="579" spans="1:13" ht="18" customHeight="1" x14ac:dyDescent="0.25">
      <c r="A579" s="37" t="str">
        <f>IF(Agent03_Withdrawals!A184="","",Agent03_Withdrawals!A184)</f>
        <v/>
      </c>
      <c r="B579" s="37" t="str">
        <f ca="1">IF(Agent03_Withdrawals!A184="","","WD"&amp;TEXT(579-3,"0000")&amp;"-"&amp;TEXT(TODAY(),"YYYYMMDD"))</f>
        <v/>
      </c>
      <c r="C579" s="37" t="str">
        <f>IF(Agent03_Withdrawals!A184="","",Agent03_Withdrawals!B184)</f>
        <v/>
      </c>
      <c r="D579" s="40" t="str">
        <f>IF(Agent03_Withdrawals!A184="","",Agent03_Withdrawals!C184)</f>
        <v/>
      </c>
      <c r="E579" s="38" t="str">
        <f>IF(Agent03_Withdrawals!A184="","",Agent03_Withdrawals!D184)</f>
        <v/>
      </c>
      <c r="F579" s="37" t="str">
        <f>IF(Agent03_Withdrawals!A184="","",Agent03_Withdrawals!F184)</f>
        <v/>
      </c>
      <c r="G579" s="39" t="str">
        <f>IF(Agent03_Withdrawals!A184="","",Agent03_Withdrawals!E184)</f>
        <v/>
      </c>
      <c r="H579" s="39" t="str">
        <f>IF(Agent03_Withdrawals!A184="","",Agent03_Withdrawals!G184)</f>
        <v/>
      </c>
      <c r="I579" s="37" t="str">
        <f>IF(Agent03_Withdrawals!A184="","",Agent03_Withdrawals!H184)</f>
        <v/>
      </c>
      <c r="J579" s="37" t="str">
        <f>IF(Agent03_Withdrawals!A184="","",Agent03_Withdrawals!J184)</f>
        <v/>
      </c>
      <c r="K579" s="37" t="str">
        <f>IF(Agent03_Withdrawals!A184="","",Agent03_Withdrawals!K184)</f>
        <v/>
      </c>
      <c r="L579" s="37" t="str">
        <f>IF(G579="","",IF(D579-G579&gt;=System_Config!$B$9,"✅ OK","⚠️ BREACH"))</f>
        <v/>
      </c>
      <c r="M579" s="37" t="str">
        <f>IFERROR(IF(Agent03_Withdrawals!A184="","",YEAR(Agent03_Withdrawals!D184)),"")</f>
        <v/>
      </c>
    </row>
    <row r="580" spans="1:13" ht="18" customHeight="1" x14ac:dyDescent="0.25">
      <c r="A580" s="37" t="str">
        <f>IF(Agent03_Withdrawals!A185="","",Agent03_Withdrawals!A185)</f>
        <v/>
      </c>
      <c r="B580" s="37" t="str">
        <f ca="1">IF(Agent03_Withdrawals!A185="","","WD"&amp;TEXT(580-3,"0000")&amp;"-"&amp;TEXT(TODAY(),"YYYYMMDD"))</f>
        <v/>
      </c>
      <c r="C580" s="37" t="str">
        <f>IF(Agent03_Withdrawals!A185="","",Agent03_Withdrawals!B185)</f>
        <v/>
      </c>
      <c r="D580" s="40" t="str">
        <f>IF(Agent03_Withdrawals!A185="","",Agent03_Withdrawals!C185)</f>
        <v/>
      </c>
      <c r="E580" s="38" t="str">
        <f>IF(Agent03_Withdrawals!A185="","",Agent03_Withdrawals!D185)</f>
        <v/>
      </c>
      <c r="F580" s="37" t="str">
        <f>IF(Agent03_Withdrawals!A185="","",Agent03_Withdrawals!F185)</f>
        <v/>
      </c>
      <c r="G580" s="39" t="str">
        <f>IF(Agent03_Withdrawals!A185="","",Agent03_Withdrawals!E185)</f>
        <v/>
      </c>
      <c r="H580" s="39" t="str">
        <f>IF(Agent03_Withdrawals!A185="","",Agent03_Withdrawals!G185)</f>
        <v/>
      </c>
      <c r="I580" s="37" t="str">
        <f>IF(Agent03_Withdrawals!A185="","",Agent03_Withdrawals!H185)</f>
        <v/>
      </c>
      <c r="J580" s="37" t="str">
        <f>IF(Agent03_Withdrawals!A185="","",Agent03_Withdrawals!J185)</f>
        <v/>
      </c>
      <c r="K580" s="37" t="str">
        <f>IF(Agent03_Withdrawals!A185="","",Agent03_Withdrawals!K185)</f>
        <v/>
      </c>
      <c r="L580" s="37" t="str">
        <f>IF(G580="","",IF(D580-G580&gt;=System_Config!$B$9,"✅ OK","⚠️ BREACH"))</f>
        <v/>
      </c>
      <c r="M580" s="37" t="str">
        <f>IFERROR(IF(Agent03_Withdrawals!A185="","",YEAR(Agent03_Withdrawals!D185)),"")</f>
        <v/>
      </c>
    </row>
    <row r="581" spans="1:13" ht="18" customHeight="1" x14ac:dyDescent="0.25">
      <c r="A581" s="37" t="str">
        <f>IF(Agent03_Withdrawals!A186="","",Agent03_Withdrawals!A186)</f>
        <v/>
      </c>
      <c r="B581" s="37" t="str">
        <f ca="1">IF(Agent03_Withdrawals!A186="","","WD"&amp;TEXT(581-3,"0000")&amp;"-"&amp;TEXT(TODAY(),"YYYYMMDD"))</f>
        <v/>
      </c>
      <c r="C581" s="37" t="str">
        <f>IF(Agent03_Withdrawals!A186="","",Agent03_Withdrawals!B186)</f>
        <v/>
      </c>
      <c r="D581" s="40" t="str">
        <f>IF(Agent03_Withdrawals!A186="","",Agent03_Withdrawals!C186)</f>
        <v/>
      </c>
      <c r="E581" s="38" t="str">
        <f>IF(Agent03_Withdrawals!A186="","",Agent03_Withdrawals!D186)</f>
        <v/>
      </c>
      <c r="F581" s="37" t="str">
        <f>IF(Agent03_Withdrawals!A186="","",Agent03_Withdrawals!F186)</f>
        <v/>
      </c>
      <c r="G581" s="39" t="str">
        <f>IF(Agent03_Withdrawals!A186="","",Agent03_Withdrawals!E186)</f>
        <v/>
      </c>
      <c r="H581" s="39" t="str">
        <f>IF(Agent03_Withdrawals!A186="","",Agent03_Withdrawals!G186)</f>
        <v/>
      </c>
      <c r="I581" s="37" t="str">
        <f>IF(Agent03_Withdrawals!A186="","",Agent03_Withdrawals!H186)</f>
        <v/>
      </c>
      <c r="J581" s="37" t="str">
        <f>IF(Agent03_Withdrawals!A186="","",Agent03_Withdrawals!J186)</f>
        <v/>
      </c>
      <c r="K581" s="37" t="str">
        <f>IF(Agent03_Withdrawals!A186="","",Agent03_Withdrawals!K186)</f>
        <v/>
      </c>
      <c r="L581" s="37" t="str">
        <f>IF(G581="","",IF(D581-G581&gt;=System_Config!$B$9,"✅ OK","⚠️ BREACH"))</f>
        <v/>
      </c>
      <c r="M581" s="37" t="str">
        <f>IFERROR(IF(Agent03_Withdrawals!A186="","",YEAR(Agent03_Withdrawals!D186)),"")</f>
        <v/>
      </c>
    </row>
    <row r="582" spans="1:13" ht="18" customHeight="1" x14ac:dyDescent="0.25">
      <c r="A582" s="37" t="str">
        <f>IF(Agent03_Withdrawals!A187="","",Agent03_Withdrawals!A187)</f>
        <v/>
      </c>
      <c r="B582" s="37" t="str">
        <f ca="1">IF(Agent03_Withdrawals!A187="","","WD"&amp;TEXT(582-3,"0000")&amp;"-"&amp;TEXT(TODAY(),"YYYYMMDD"))</f>
        <v/>
      </c>
      <c r="C582" s="37" t="str">
        <f>IF(Agent03_Withdrawals!A187="","",Agent03_Withdrawals!B187)</f>
        <v/>
      </c>
      <c r="D582" s="40" t="str">
        <f>IF(Agent03_Withdrawals!A187="","",Agent03_Withdrawals!C187)</f>
        <v/>
      </c>
      <c r="E582" s="38" t="str">
        <f>IF(Agent03_Withdrawals!A187="","",Agent03_Withdrawals!D187)</f>
        <v/>
      </c>
      <c r="F582" s="37" t="str">
        <f>IF(Agent03_Withdrawals!A187="","",Agent03_Withdrawals!F187)</f>
        <v/>
      </c>
      <c r="G582" s="39" t="str">
        <f>IF(Agent03_Withdrawals!A187="","",Agent03_Withdrawals!E187)</f>
        <v/>
      </c>
      <c r="H582" s="39" t="str">
        <f>IF(Agent03_Withdrawals!A187="","",Agent03_Withdrawals!G187)</f>
        <v/>
      </c>
      <c r="I582" s="37" t="str">
        <f>IF(Agent03_Withdrawals!A187="","",Agent03_Withdrawals!H187)</f>
        <v/>
      </c>
      <c r="J582" s="37" t="str">
        <f>IF(Agent03_Withdrawals!A187="","",Agent03_Withdrawals!J187)</f>
        <v/>
      </c>
      <c r="K582" s="37" t="str">
        <f>IF(Agent03_Withdrawals!A187="","",Agent03_Withdrawals!K187)</f>
        <v/>
      </c>
      <c r="L582" s="37" t="str">
        <f>IF(G582="","",IF(D582-G582&gt;=System_Config!$B$9,"✅ OK","⚠️ BREACH"))</f>
        <v/>
      </c>
      <c r="M582" s="37" t="str">
        <f>IFERROR(IF(Agent03_Withdrawals!A187="","",YEAR(Agent03_Withdrawals!D187)),"")</f>
        <v/>
      </c>
    </row>
    <row r="583" spans="1:13" ht="18" customHeight="1" x14ac:dyDescent="0.25">
      <c r="A583" s="37" t="str">
        <f>IF(Agent03_Withdrawals!A188="","",Agent03_Withdrawals!A188)</f>
        <v/>
      </c>
      <c r="B583" s="37" t="str">
        <f ca="1">IF(Agent03_Withdrawals!A188="","","WD"&amp;TEXT(583-3,"0000")&amp;"-"&amp;TEXT(TODAY(),"YYYYMMDD"))</f>
        <v/>
      </c>
      <c r="C583" s="37" t="str">
        <f>IF(Agent03_Withdrawals!A188="","",Agent03_Withdrawals!B188)</f>
        <v/>
      </c>
      <c r="D583" s="40" t="str">
        <f>IF(Agent03_Withdrawals!A188="","",Agent03_Withdrawals!C188)</f>
        <v/>
      </c>
      <c r="E583" s="38" t="str">
        <f>IF(Agent03_Withdrawals!A188="","",Agent03_Withdrawals!D188)</f>
        <v/>
      </c>
      <c r="F583" s="37" t="str">
        <f>IF(Agent03_Withdrawals!A188="","",Agent03_Withdrawals!F188)</f>
        <v/>
      </c>
      <c r="G583" s="39" t="str">
        <f>IF(Agent03_Withdrawals!A188="","",Agent03_Withdrawals!E188)</f>
        <v/>
      </c>
      <c r="H583" s="39" t="str">
        <f>IF(Agent03_Withdrawals!A188="","",Agent03_Withdrawals!G188)</f>
        <v/>
      </c>
      <c r="I583" s="37" t="str">
        <f>IF(Agent03_Withdrawals!A188="","",Agent03_Withdrawals!H188)</f>
        <v/>
      </c>
      <c r="J583" s="37" t="str">
        <f>IF(Agent03_Withdrawals!A188="","",Agent03_Withdrawals!J188)</f>
        <v/>
      </c>
      <c r="K583" s="37" t="str">
        <f>IF(Agent03_Withdrawals!A188="","",Agent03_Withdrawals!K188)</f>
        <v/>
      </c>
      <c r="L583" s="37" t="str">
        <f>IF(G583="","",IF(D583-G583&gt;=System_Config!$B$9,"✅ OK","⚠️ BREACH"))</f>
        <v/>
      </c>
      <c r="M583" s="37" t="str">
        <f>IFERROR(IF(Agent03_Withdrawals!A188="","",YEAR(Agent03_Withdrawals!D188)),"")</f>
        <v/>
      </c>
    </row>
    <row r="584" spans="1:13" ht="18" customHeight="1" x14ac:dyDescent="0.25">
      <c r="A584" s="37" t="str">
        <f>IF(Agent03_Withdrawals!A189="","",Agent03_Withdrawals!A189)</f>
        <v/>
      </c>
      <c r="B584" s="37" t="str">
        <f ca="1">IF(Agent03_Withdrawals!A189="","","WD"&amp;TEXT(584-3,"0000")&amp;"-"&amp;TEXT(TODAY(),"YYYYMMDD"))</f>
        <v/>
      </c>
      <c r="C584" s="37" t="str">
        <f>IF(Agent03_Withdrawals!A189="","",Agent03_Withdrawals!B189)</f>
        <v/>
      </c>
      <c r="D584" s="40" t="str">
        <f>IF(Agent03_Withdrawals!A189="","",Agent03_Withdrawals!C189)</f>
        <v/>
      </c>
      <c r="E584" s="38" t="str">
        <f>IF(Agent03_Withdrawals!A189="","",Agent03_Withdrawals!D189)</f>
        <v/>
      </c>
      <c r="F584" s="37" t="str">
        <f>IF(Agent03_Withdrawals!A189="","",Agent03_Withdrawals!F189)</f>
        <v/>
      </c>
      <c r="G584" s="39" t="str">
        <f>IF(Agent03_Withdrawals!A189="","",Agent03_Withdrawals!E189)</f>
        <v/>
      </c>
      <c r="H584" s="39" t="str">
        <f>IF(Agent03_Withdrawals!A189="","",Agent03_Withdrawals!G189)</f>
        <v/>
      </c>
      <c r="I584" s="37" t="str">
        <f>IF(Agent03_Withdrawals!A189="","",Agent03_Withdrawals!H189)</f>
        <v/>
      </c>
      <c r="J584" s="37" t="str">
        <f>IF(Agent03_Withdrawals!A189="","",Agent03_Withdrawals!J189)</f>
        <v/>
      </c>
      <c r="K584" s="37" t="str">
        <f>IF(Agent03_Withdrawals!A189="","",Agent03_Withdrawals!K189)</f>
        <v/>
      </c>
      <c r="L584" s="37" t="str">
        <f>IF(G584="","",IF(D584-G584&gt;=System_Config!$B$9,"✅ OK","⚠️ BREACH"))</f>
        <v/>
      </c>
      <c r="M584" s="37" t="str">
        <f>IFERROR(IF(Agent03_Withdrawals!A189="","",YEAR(Agent03_Withdrawals!D189)),"")</f>
        <v/>
      </c>
    </row>
    <row r="585" spans="1:13" ht="18" customHeight="1" x14ac:dyDescent="0.25">
      <c r="A585" s="37" t="str">
        <f>IF(Agent03_Withdrawals!A190="","",Agent03_Withdrawals!A190)</f>
        <v/>
      </c>
      <c r="B585" s="37" t="str">
        <f ca="1">IF(Agent03_Withdrawals!A190="","","WD"&amp;TEXT(585-3,"0000")&amp;"-"&amp;TEXT(TODAY(),"YYYYMMDD"))</f>
        <v/>
      </c>
      <c r="C585" s="37" t="str">
        <f>IF(Agent03_Withdrawals!A190="","",Agent03_Withdrawals!B190)</f>
        <v/>
      </c>
      <c r="D585" s="40" t="str">
        <f>IF(Agent03_Withdrawals!A190="","",Agent03_Withdrawals!C190)</f>
        <v/>
      </c>
      <c r="E585" s="38" t="str">
        <f>IF(Agent03_Withdrawals!A190="","",Agent03_Withdrawals!D190)</f>
        <v/>
      </c>
      <c r="F585" s="37" t="str">
        <f>IF(Agent03_Withdrawals!A190="","",Agent03_Withdrawals!F190)</f>
        <v/>
      </c>
      <c r="G585" s="39" t="str">
        <f>IF(Agent03_Withdrawals!A190="","",Agent03_Withdrawals!E190)</f>
        <v/>
      </c>
      <c r="H585" s="39" t="str">
        <f>IF(Agent03_Withdrawals!A190="","",Agent03_Withdrawals!G190)</f>
        <v/>
      </c>
      <c r="I585" s="37" t="str">
        <f>IF(Agent03_Withdrawals!A190="","",Agent03_Withdrawals!H190)</f>
        <v/>
      </c>
      <c r="J585" s="37" t="str">
        <f>IF(Agent03_Withdrawals!A190="","",Agent03_Withdrawals!J190)</f>
        <v/>
      </c>
      <c r="K585" s="37" t="str">
        <f>IF(Agent03_Withdrawals!A190="","",Agent03_Withdrawals!K190)</f>
        <v/>
      </c>
      <c r="L585" s="37" t="str">
        <f>IF(G585="","",IF(D585-G585&gt;=System_Config!$B$9,"✅ OK","⚠️ BREACH"))</f>
        <v/>
      </c>
      <c r="M585" s="37" t="str">
        <f>IFERROR(IF(Agent03_Withdrawals!A190="","",YEAR(Agent03_Withdrawals!D190)),"")</f>
        <v/>
      </c>
    </row>
    <row r="586" spans="1:13" ht="18" customHeight="1" x14ac:dyDescent="0.25">
      <c r="A586" s="37" t="str">
        <f>IF(Agent03_Withdrawals!A191="","",Agent03_Withdrawals!A191)</f>
        <v/>
      </c>
      <c r="B586" s="37" t="str">
        <f ca="1">IF(Agent03_Withdrawals!A191="","","WD"&amp;TEXT(586-3,"0000")&amp;"-"&amp;TEXT(TODAY(),"YYYYMMDD"))</f>
        <v/>
      </c>
      <c r="C586" s="37" t="str">
        <f>IF(Agent03_Withdrawals!A191="","",Agent03_Withdrawals!B191)</f>
        <v/>
      </c>
      <c r="D586" s="40" t="str">
        <f>IF(Agent03_Withdrawals!A191="","",Agent03_Withdrawals!C191)</f>
        <v/>
      </c>
      <c r="E586" s="38" t="str">
        <f>IF(Agent03_Withdrawals!A191="","",Agent03_Withdrawals!D191)</f>
        <v/>
      </c>
      <c r="F586" s="37" t="str">
        <f>IF(Agent03_Withdrawals!A191="","",Agent03_Withdrawals!F191)</f>
        <v/>
      </c>
      <c r="G586" s="39" t="str">
        <f>IF(Agent03_Withdrawals!A191="","",Agent03_Withdrawals!E191)</f>
        <v/>
      </c>
      <c r="H586" s="39" t="str">
        <f>IF(Agent03_Withdrawals!A191="","",Agent03_Withdrawals!G191)</f>
        <v/>
      </c>
      <c r="I586" s="37" t="str">
        <f>IF(Agent03_Withdrawals!A191="","",Agent03_Withdrawals!H191)</f>
        <v/>
      </c>
      <c r="J586" s="37" t="str">
        <f>IF(Agent03_Withdrawals!A191="","",Agent03_Withdrawals!J191)</f>
        <v/>
      </c>
      <c r="K586" s="37" t="str">
        <f>IF(Agent03_Withdrawals!A191="","",Agent03_Withdrawals!K191)</f>
        <v/>
      </c>
      <c r="L586" s="37" t="str">
        <f>IF(G586="","",IF(D586-G586&gt;=System_Config!$B$9,"✅ OK","⚠️ BREACH"))</f>
        <v/>
      </c>
      <c r="M586" s="37" t="str">
        <f>IFERROR(IF(Agent03_Withdrawals!A191="","",YEAR(Agent03_Withdrawals!D191)),"")</f>
        <v/>
      </c>
    </row>
    <row r="587" spans="1:13" ht="18" customHeight="1" x14ac:dyDescent="0.25">
      <c r="A587" s="37" t="str">
        <f>IF(Agent03_Withdrawals!A192="","",Agent03_Withdrawals!A192)</f>
        <v/>
      </c>
      <c r="B587" s="37" t="str">
        <f ca="1">IF(Agent03_Withdrawals!A192="","","WD"&amp;TEXT(587-3,"0000")&amp;"-"&amp;TEXT(TODAY(),"YYYYMMDD"))</f>
        <v/>
      </c>
      <c r="C587" s="37" t="str">
        <f>IF(Agent03_Withdrawals!A192="","",Agent03_Withdrawals!B192)</f>
        <v/>
      </c>
      <c r="D587" s="40" t="str">
        <f>IF(Agent03_Withdrawals!A192="","",Agent03_Withdrawals!C192)</f>
        <v/>
      </c>
      <c r="E587" s="38" t="str">
        <f>IF(Agent03_Withdrawals!A192="","",Agent03_Withdrawals!D192)</f>
        <v/>
      </c>
      <c r="F587" s="37" t="str">
        <f>IF(Agent03_Withdrawals!A192="","",Agent03_Withdrawals!F192)</f>
        <v/>
      </c>
      <c r="G587" s="39" t="str">
        <f>IF(Agent03_Withdrawals!A192="","",Agent03_Withdrawals!E192)</f>
        <v/>
      </c>
      <c r="H587" s="39" t="str">
        <f>IF(Agent03_Withdrawals!A192="","",Agent03_Withdrawals!G192)</f>
        <v/>
      </c>
      <c r="I587" s="37" t="str">
        <f>IF(Agent03_Withdrawals!A192="","",Agent03_Withdrawals!H192)</f>
        <v/>
      </c>
      <c r="J587" s="37" t="str">
        <f>IF(Agent03_Withdrawals!A192="","",Agent03_Withdrawals!J192)</f>
        <v/>
      </c>
      <c r="K587" s="37" t="str">
        <f>IF(Agent03_Withdrawals!A192="","",Agent03_Withdrawals!K192)</f>
        <v/>
      </c>
      <c r="L587" s="37" t="str">
        <f>IF(G587="","",IF(D587-G587&gt;=System_Config!$B$9,"✅ OK","⚠️ BREACH"))</f>
        <v/>
      </c>
      <c r="M587" s="37" t="str">
        <f>IFERROR(IF(Agent03_Withdrawals!A192="","",YEAR(Agent03_Withdrawals!D192)),"")</f>
        <v/>
      </c>
    </row>
    <row r="588" spans="1:13" ht="18" customHeight="1" x14ac:dyDescent="0.25">
      <c r="A588" s="37" t="str">
        <f>IF(Agent03_Withdrawals!A193="","",Agent03_Withdrawals!A193)</f>
        <v/>
      </c>
      <c r="B588" s="37" t="str">
        <f ca="1">IF(Agent03_Withdrawals!A193="","","WD"&amp;TEXT(588-3,"0000")&amp;"-"&amp;TEXT(TODAY(),"YYYYMMDD"))</f>
        <v/>
      </c>
      <c r="C588" s="37" t="str">
        <f>IF(Agent03_Withdrawals!A193="","",Agent03_Withdrawals!B193)</f>
        <v/>
      </c>
      <c r="D588" s="40" t="str">
        <f>IF(Agent03_Withdrawals!A193="","",Agent03_Withdrawals!C193)</f>
        <v/>
      </c>
      <c r="E588" s="38" t="str">
        <f>IF(Agent03_Withdrawals!A193="","",Agent03_Withdrawals!D193)</f>
        <v/>
      </c>
      <c r="F588" s="37" t="str">
        <f>IF(Agent03_Withdrawals!A193="","",Agent03_Withdrawals!F193)</f>
        <v/>
      </c>
      <c r="G588" s="39" t="str">
        <f>IF(Agent03_Withdrawals!A193="","",Agent03_Withdrawals!E193)</f>
        <v/>
      </c>
      <c r="H588" s="39" t="str">
        <f>IF(Agent03_Withdrawals!A193="","",Agent03_Withdrawals!G193)</f>
        <v/>
      </c>
      <c r="I588" s="37" t="str">
        <f>IF(Agent03_Withdrawals!A193="","",Agent03_Withdrawals!H193)</f>
        <v/>
      </c>
      <c r="J588" s="37" t="str">
        <f>IF(Agent03_Withdrawals!A193="","",Agent03_Withdrawals!J193)</f>
        <v/>
      </c>
      <c r="K588" s="37" t="str">
        <f>IF(Agent03_Withdrawals!A193="","",Agent03_Withdrawals!K193)</f>
        <v/>
      </c>
      <c r="L588" s="37" t="str">
        <f>IF(G588="","",IF(D588-G588&gt;=System_Config!$B$9,"✅ OK","⚠️ BREACH"))</f>
        <v/>
      </c>
      <c r="M588" s="37" t="str">
        <f>IFERROR(IF(Agent03_Withdrawals!A193="","",YEAR(Agent03_Withdrawals!D193)),"")</f>
        <v/>
      </c>
    </row>
    <row r="589" spans="1:13" ht="18" customHeight="1" x14ac:dyDescent="0.25">
      <c r="A589" s="37" t="str">
        <f>IF(Agent03_Withdrawals!A194="","",Agent03_Withdrawals!A194)</f>
        <v/>
      </c>
      <c r="B589" s="37" t="str">
        <f ca="1">IF(Agent03_Withdrawals!A194="","","WD"&amp;TEXT(589-3,"0000")&amp;"-"&amp;TEXT(TODAY(),"YYYYMMDD"))</f>
        <v/>
      </c>
      <c r="C589" s="37" t="str">
        <f>IF(Agent03_Withdrawals!A194="","",Agent03_Withdrawals!B194)</f>
        <v/>
      </c>
      <c r="D589" s="40" t="str">
        <f>IF(Agent03_Withdrawals!A194="","",Agent03_Withdrawals!C194)</f>
        <v/>
      </c>
      <c r="E589" s="38" t="str">
        <f>IF(Agent03_Withdrawals!A194="","",Agent03_Withdrawals!D194)</f>
        <v/>
      </c>
      <c r="F589" s="37" t="str">
        <f>IF(Agent03_Withdrawals!A194="","",Agent03_Withdrawals!F194)</f>
        <v/>
      </c>
      <c r="G589" s="39" t="str">
        <f>IF(Agent03_Withdrawals!A194="","",Agent03_Withdrawals!E194)</f>
        <v/>
      </c>
      <c r="H589" s="39" t="str">
        <f>IF(Agent03_Withdrawals!A194="","",Agent03_Withdrawals!G194)</f>
        <v/>
      </c>
      <c r="I589" s="37" t="str">
        <f>IF(Agent03_Withdrawals!A194="","",Agent03_Withdrawals!H194)</f>
        <v/>
      </c>
      <c r="J589" s="37" t="str">
        <f>IF(Agent03_Withdrawals!A194="","",Agent03_Withdrawals!J194)</f>
        <v/>
      </c>
      <c r="K589" s="37" t="str">
        <f>IF(Agent03_Withdrawals!A194="","",Agent03_Withdrawals!K194)</f>
        <v/>
      </c>
      <c r="L589" s="37" t="str">
        <f>IF(G589="","",IF(D589-G589&gt;=System_Config!$B$9,"✅ OK","⚠️ BREACH"))</f>
        <v/>
      </c>
      <c r="M589" s="37" t="str">
        <f>IFERROR(IF(Agent03_Withdrawals!A194="","",YEAR(Agent03_Withdrawals!D194)),"")</f>
        <v/>
      </c>
    </row>
    <row r="590" spans="1:13" ht="18" customHeight="1" x14ac:dyDescent="0.25">
      <c r="A590" s="37" t="str">
        <f>IF(Agent03_Withdrawals!A195="","",Agent03_Withdrawals!A195)</f>
        <v/>
      </c>
      <c r="B590" s="37" t="str">
        <f ca="1">IF(Agent03_Withdrawals!A195="","","WD"&amp;TEXT(590-3,"0000")&amp;"-"&amp;TEXT(TODAY(),"YYYYMMDD"))</f>
        <v/>
      </c>
      <c r="C590" s="37" t="str">
        <f>IF(Agent03_Withdrawals!A195="","",Agent03_Withdrawals!B195)</f>
        <v/>
      </c>
      <c r="D590" s="40" t="str">
        <f>IF(Agent03_Withdrawals!A195="","",Agent03_Withdrawals!C195)</f>
        <v/>
      </c>
      <c r="E590" s="38" t="str">
        <f>IF(Agent03_Withdrawals!A195="","",Agent03_Withdrawals!D195)</f>
        <v/>
      </c>
      <c r="F590" s="37" t="str">
        <f>IF(Agent03_Withdrawals!A195="","",Agent03_Withdrawals!F195)</f>
        <v/>
      </c>
      <c r="G590" s="39" t="str">
        <f>IF(Agent03_Withdrawals!A195="","",Agent03_Withdrawals!E195)</f>
        <v/>
      </c>
      <c r="H590" s="39" t="str">
        <f>IF(Agent03_Withdrawals!A195="","",Agent03_Withdrawals!G195)</f>
        <v/>
      </c>
      <c r="I590" s="37" t="str">
        <f>IF(Agent03_Withdrawals!A195="","",Agent03_Withdrawals!H195)</f>
        <v/>
      </c>
      <c r="J590" s="37" t="str">
        <f>IF(Agent03_Withdrawals!A195="","",Agent03_Withdrawals!J195)</f>
        <v/>
      </c>
      <c r="K590" s="37" t="str">
        <f>IF(Agent03_Withdrawals!A195="","",Agent03_Withdrawals!K195)</f>
        <v/>
      </c>
      <c r="L590" s="37" t="str">
        <f>IF(G590="","",IF(D590-G590&gt;=System_Config!$B$9,"✅ OK","⚠️ BREACH"))</f>
        <v/>
      </c>
      <c r="M590" s="37" t="str">
        <f>IFERROR(IF(Agent03_Withdrawals!A195="","",YEAR(Agent03_Withdrawals!D195)),"")</f>
        <v/>
      </c>
    </row>
    <row r="591" spans="1:13" ht="18" customHeight="1" x14ac:dyDescent="0.25">
      <c r="A591" s="37" t="str">
        <f>IF(Agent03_Withdrawals!A196="","",Agent03_Withdrawals!A196)</f>
        <v/>
      </c>
      <c r="B591" s="37" t="str">
        <f ca="1">IF(Agent03_Withdrawals!A196="","","WD"&amp;TEXT(591-3,"0000")&amp;"-"&amp;TEXT(TODAY(),"YYYYMMDD"))</f>
        <v/>
      </c>
      <c r="C591" s="37" t="str">
        <f>IF(Agent03_Withdrawals!A196="","",Agent03_Withdrawals!B196)</f>
        <v/>
      </c>
      <c r="D591" s="40" t="str">
        <f>IF(Agent03_Withdrawals!A196="","",Agent03_Withdrawals!C196)</f>
        <v/>
      </c>
      <c r="E591" s="38" t="str">
        <f>IF(Agent03_Withdrawals!A196="","",Agent03_Withdrawals!D196)</f>
        <v/>
      </c>
      <c r="F591" s="37" t="str">
        <f>IF(Agent03_Withdrawals!A196="","",Agent03_Withdrawals!F196)</f>
        <v/>
      </c>
      <c r="G591" s="39" t="str">
        <f>IF(Agent03_Withdrawals!A196="","",Agent03_Withdrawals!E196)</f>
        <v/>
      </c>
      <c r="H591" s="39" t="str">
        <f>IF(Agent03_Withdrawals!A196="","",Agent03_Withdrawals!G196)</f>
        <v/>
      </c>
      <c r="I591" s="37" t="str">
        <f>IF(Agent03_Withdrawals!A196="","",Agent03_Withdrawals!H196)</f>
        <v/>
      </c>
      <c r="J591" s="37" t="str">
        <f>IF(Agent03_Withdrawals!A196="","",Agent03_Withdrawals!J196)</f>
        <v/>
      </c>
      <c r="K591" s="37" t="str">
        <f>IF(Agent03_Withdrawals!A196="","",Agent03_Withdrawals!K196)</f>
        <v/>
      </c>
      <c r="L591" s="37" t="str">
        <f>IF(G591="","",IF(D591-G591&gt;=System_Config!$B$9,"✅ OK","⚠️ BREACH"))</f>
        <v/>
      </c>
      <c r="M591" s="37" t="str">
        <f>IFERROR(IF(Agent03_Withdrawals!A196="","",YEAR(Agent03_Withdrawals!D196)),"")</f>
        <v/>
      </c>
    </row>
    <row r="592" spans="1:13" ht="18" customHeight="1" x14ac:dyDescent="0.25">
      <c r="A592" s="37" t="str">
        <f>IF(Agent03_Withdrawals!A197="","",Agent03_Withdrawals!A197)</f>
        <v/>
      </c>
      <c r="B592" s="37" t="str">
        <f ca="1">IF(Agent03_Withdrawals!A197="","","WD"&amp;TEXT(592-3,"0000")&amp;"-"&amp;TEXT(TODAY(),"YYYYMMDD"))</f>
        <v/>
      </c>
      <c r="C592" s="37" t="str">
        <f>IF(Agent03_Withdrawals!A197="","",Agent03_Withdrawals!B197)</f>
        <v/>
      </c>
      <c r="D592" s="40" t="str">
        <f>IF(Agent03_Withdrawals!A197="","",Agent03_Withdrawals!C197)</f>
        <v/>
      </c>
      <c r="E592" s="38" t="str">
        <f>IF(Agent03_Withdrawals!A197="","",Agent03_Withdrawals!D197)</f>
        <v/>
      </c>
      <c r="F592" s="37" t="str">
        <f>IF(Agent03_Withdrawals!A197="","",Agent03_Withdrawals!F197)</f>
        <v/>
      </c>
      <c r="G592" s="39" t="str">
        <f>IF(Agent03_Withdrawals!A197="","",Agent03_Withdrawals!E197)</f>
        <v/>
      </c>
      <c r="H592" s="39" t="str">
        <f>IF(Agent03_Withdrawals!A197="","",Agent03_Withdrawals!G197)</f>
        <v/>
      </c>
      <c r="I592" s="37" t="str">
        <f>IF(Agent03_Withdrawals!A197="","",Agent03_Withdrawals!H197)</f>
        <v/>
      </c>
      <c r="J592" s="37" t="str">
        <f>IF(Agent03_Withdrawals!A197="","",Agent03_Withdrawals!J197)</f>
        <v/>
      </c>
      <c r="K592" s="37" t="str">
        <f>IF(Agent03_Withdrawals!A197="","",Agent03_Withdrawals!K197)</f>
        <v/>
      </c>
      <c r="L592" s="37" t="str">
        <f>IF(G592="","",IF(D592-G592&gt;=System_Config!$B$9,"✅ OK","⚠️ BREACH"))</f>
        <v/>
      </c>
      <c r="M592" s="37" t="str">
        <f>IFERROR(IF(Agent03_Withdrawals!A197="","",YEAR(Agent03_Withdrawals!D197)),"")</f>
        <v/>
      </c>
    </row>
    <row r="593" spans="1:13" ht="18" customHeight="1" x14ac:dyDescent="0.25">
      <c r="A593" s="37" t="str">
        <f>IF(Agent03_Withdrawals!A198="","",Agent03_Withdrawals!A198)</f>
        <v/>
      </c>
      <c r="B593" s="37" t="str">
        <f ca="1">IF(Agent03_Withdrawals!A198="","","WD"&amp;TEXT(593-3,"0000")&amp;"-"&amp;TEXT(TODAY(),"YYYYMMDD"))</f>
        <v/>
      </c>
      <c r="C593" s="37" t="str">
        <f>IF(Agent03_Withdrawals!A198="","",Agent03_Withdrawals!B198)</f>
        <v/>
      </c>
      <c r="D593" s="40" t="str">
        <f>IF(Agent03_Withdrawals!A198="","",Agent03_Withdrawals!C198)</f>
        <v/>
      </c>
      <c r="E593" s="38" t="str">
        <f>IF(Agent03_Withdrawals!A198="","",Agent03_Withdrawals!D198)</f>
        <v/>
      </c>
      <c r="F593" s="37" t="str">
        <f>IF(Agent03_Withdrawals!A198="","",Agent03_Withdrawals!F198)</f>
        <v/>
      </c>
      <c r="G593" s="39" t="str">
        <f>IF(Agent03_Withdrawals!A198="","",Agent03_Withdrawals!E198)</f>
        <v/>
      </c>
      <c r="H593" s="39" t="str">
        <f>IF(Agent03_Withdrawals!A198="","",Agent03_Withdrawals!G198)</f>
        <v/>
      </c>
      <c r="I593" s="37" t="str">
        <f>IF(Agent03_Withdrawals!A198="","",Agent03_Withdrawals!H198)</f>
        <v/>
      </c>
      <c r="J593" s="37" t="str">
        <f>IF(Agent03_Withdrawals!A198="","",Agent03_Withdrawals!J198)</f>
        <v/>
      </c>
      <c r="K593" s="37" t="str">
        <f>IF(Agent03_Withdrawals!A198="","",Agent03_Withdrawals!K198)</f>
        <v/>
      </c>
      <c r="L593" s="37" t="str">
        <f>IF(G593="","",IF(D593-G593&gt;=System_Config!$B$9,"✅ OK","⚠️ BREACH"))</f>
        <v/>
      </c>
      <c r="M593" s="37" t="str">
        <f>IFERROR(IF(Agent03_Withdrawals!A198="","",YEAR(Agent03_Withdrawals!D198)),"")</f>
        <v/>
      </c>
    </row>
    <row r="594" spans="1:13" ht="18" customHeight="1" x14ac:dyDescent="0.25">
      <c r="A594" s="37" t="str">
        <f>IF(Agent03_Withdrawals!A199="","",Agent03_Withdrawals!A199)</f>
        <v/>
      </c>
      <c r="B594" s="37" t="str">
        <f ca="1">IF(Agent03_Withdrawals!A199="","","WD"&amp;TEXT(594-3,"0000")&amp;"-"&amp;TEXT(TODAY(),"YYYYMMDD"))</f>
        <v/>
      </c>
      <c r="C594" s="37" t="str">
        <f>IF(Agent03_Withdrawals!A199="","",Agent03_Withdrawals!B199)</f>
        <v/>
      </c>
      <c r="D594" s="40" t="str">
        <f>IF(Agent03_Withdrawals!A199="","",Agent03_Withdrawals!C199)</f>
        <v/>
      </c>
      <c r="E594" s="38" t="str">
        <f>IF(Agent03_Withdrawals!A199="","",Agent03_Withdrawals!D199)</f>
        <v/>
      </c>
      <c r="F594" s="37" t="str">
        <f>IF(Agent03_Withdrawals!A199="","",Agent03_Withdrawals!F199)</f>
        <v/>
      </c>
      <c r="G594" s="39" t="str">
        <f>IF(Agent03_Withdrawals!A199="","",Agent03_Withdrawals!E199)</f>
        <v/>
      </c>
      <c r="H594" s="39" t="str">
        <f>IF(Agent03_Withdrawals!A199="","",Agent03_Withdrawals!G199)</f>
        <v/>
      </c>
      <c r="I594" s="37" t="str">
        <f>IF(Agent03_Withdrawals!A199="","",Agent03_Withdrawals!H199)</f>
        <v/>
      </c>
      <c r="J594" s="37" t="str">
        <f>IF(Agent03_Withdrawals!A199="","",Agent03_Withdrawals!J199)</f>
        <v/>
      </c>
      <c r="K594" s="37" t="str">
        <f>IF(Agent03_Withdrawals!A199="","",Agent03_Withdrawals!K199)</f>
        <v/>
      </c>
      <c r="L594" s="37" t="str">
        <f>IF(G594="","",IF(D594-G594&gt;=System_Config!$B$9,"✅ OK","⚠️ BREACH"))</f>
        <v/>
      </c>
      <c r="M594" s="37" t="str">
        <f>IFERROR(IF(Agent03_Withdrawals!A199="","",YEAR(Agent03_Withdrawals!D199)),"")</f>
        <v/>
      </c>
    </row>
    <row r="595" spans="1:13" ht="18" customHeight="1" x14ac:dyDescent="0.25">
      <c r="A595" s="37" t="str">
        <f>IF(Agent03_Withdrawals!A200="","",Agent03_Withdrawals!A200)</f>
        <v/>
      </c>
      <c r="B595" s="37" t="str">
        <f ca="1">IF(Agent03_Withdrawals!A200="","","WD"&amp;TEXT(595-3,"0000")&amp;"-"&amp;TEXT(TODAY(),"YYYYMMDD"))</f>
        <v/>
      </c>
      <c r="C595" s="37" t="str">
        <f>IF(Agent03_Withdrawals!A200="","",Agent03_Withdrawals!B200)</f>
        <v/>
      </c>
      <c r="D595" s="40" t="str">
        <f>IF(Agent03_Withdrawals!A200="","",Agent03_Withdrawals!C200)</f>
        <v/>
      </c>
      <c r="E595" s="38" t="str">
        <f>IF(Agent03_Withdrawals!A200="","",Agent03_Withdrawals!D200)</f>
        <v/>
      </c>
      <c r="F595" s="37" t="str">
        <f>IF(Agent03_Withdrawals!A200="","",Agent03_Withdrawals!F200)</f>
        <v/>
      </c>
      <c r="G595" s="39" t="str">
        <f>IF(Agent03_Withdrawals!A200="","",Agent03_Withdrawals!E200)</f>
        <v/>
      </c>
      <c r="H595" s="39" t="str">
        <f>IF(Agent03_Withdrawals!A200="","",Agent03_Withdrawals!G200)</f>
        <v/>
      </c>
      <c r="I595" s="37" t="str">
        <f>IF(Agent03_Withdrawals!A200="","",Agent03_Withdrawals!H200)</f>
        <v/>
      </c>
      <c r="J595" s="37" t="str">
        <f>IF(Agent03_Withdrawals!A200="","",Agent03_Withdrawals!J200)</f>
        <v/>
      </c>
      <c r="K595" s="37" t="str">
        <f>IF(Agent03_Withdrawals!A200="","",Agent03_Withdrawals!K200)</f>
        <v/>
      </c>
      <c r="L595" s="37" t="str">
        <f>IF(G595="","",IF(D595-G595&gt;=System_Config!$B$9,"✅ OK","⚠️ BREACH"))</f>
        <v/>
      </c>
      <c r="M595" s="37" t="str">
        <f>IFERROR(IF(Agent03_Withdrawals!A200="","",YEAR(Agent03_Withdrawals!D200)),"")</f>
        <v/>
      </c>
    </row>
    <row r="596" spans="1:13" ht="18" customHeight="1" x14ac:dyDescent="0.25">
      <c r="A596" s="37" t="str">
        <f>IF(Agent03_Withdrawals!A201="","",Agent03_Withdrawals!A201)</f>
        <v/>
      </c>
      <c r="B596" s="37" t="str">
        <f ca="1">IF(Agent03_Withdrawals!A201="","","WD"&amp;TEXT(596-3,"0000")&amp;"-"&amp;TEXT(TODAY(),"YYYYMMDD"))</f>
        <v/>
      </c>
      <c r="C596" s="37" t="str">
        <f>IF(Agent03_Withdrawals!A201="","",Agent03_Withdrawals!B201)</f>
        <v/>
      </c>
      <c r="D596" s="40" t="str">
        <f>IF(Agent03_Withdrawals!A201="","",Agent03_Withdrawals!C201)</f>
        <v/>
      </c>
      <c r="E596" s="38" t="str">
        <f>IF(Agent03_Withdrawals!A201="","",Agent03_Withdrawals!D201)</f>
        <v/>
      </c>
      <c r="F596" s="37" t="str">
        <f>IF(Agent03_Withdrawals!A201="","",Agent03_Withdrawals!F201)</f>
        <v/>
      </c>
      <c r="G596" s="39" t="str">
        <f>IF(Agent03_Withdrawals!A201="","",Agent03_Withdrawals!E201)</f>
        <v/>
      </c>
      <c r="H596" s="39" t="str">
        <f>IF(Agent03_Withdrawals!A201="","",Agent03_Withdrawals!G201)</f>
        <v/>
      </c>
      <c r="I596" s="37" t="str">
        <f>IF(Agent03_Withdrawals!A201="","",Agent03_Withdrawals!H201)</f>
        <v/>
      </c>
      <c r="J596" s="37" t="str">
        <f>IF(Agent03_Withdrawals!A201="","",Agent03_Withdrawals!J201)</f>
        <v/>
      </c>
      <c r="K596" s="37" t="str">
        <f>IF(Agent03_Withdrawals!A201="","",Agent03_Withdrawals!K201)</f>
        <v/>
      </c>
      <c r="L596" s="37" t="str">
        <f>IF(G596="","",IF(D596-G596&gt;=System_Config!$B$9,"✅ OK","⚠️ BREACH"))</f>
        <v/>
      </c>
      <c r="M596" s="37" t="str">
        <f>IFERROR(IF(Agent03_Withdrawals!A201="","",YEAR(Agent03_Withdrawals!D201)),"")</f>
        <v/>
      </c>
    </row>
    <row r="597" spans="1:13" ht="18" customHeight="1" x14ac:dyDescent="0.25">
      <c r="A597" s="37" t="str">
        <f>IF(Agent03_Withdrawals!A202="","",Agent03_Withdrawals!A202)</f>
        <v/>
      </c>
      <c r="B597" s="37" t="str">
        <f ca="1">IF(Agent03_Withdrawals!A202="","","WD"&amp;TEXT(597-3,"0000")&amp;"-"&amp;TEXT(TODAY(),"YYYYMMDD"))</f>
        <v/>
      </c>
      <c r="C597" s="37" t="str">
        <f>IF(Agent03_Withdrawals!A202="","",Agent03_Withdrawals!B202)</f>
        <v/>
      </c>
      <c r="D597" s="40" t="str">
        <f>IF(Agent03_Withdrawals!A202="","",Agent03_Withdrawals!C202)</f>
        <v/>
      </c>
      <c r="E597" s="38" t="str">
        <f>IF(Agent03_Withdrawals!A202="","",Agent03_Withdrawals!D202)</f>
        <v/>
      </c>
      <c r="F597" s="37" t="str">
        <f>IF(Agent03_Withdrawals!A202="","",Agent03_Withdrawals!F202)</f>
        <v/>
      </c>
      <c r="G597" s="39" t="str">
        <f>IF(Agent03_Withdrawals!A202="","",Agent03_Withdrawals!E202)</f>
        <v/>
      </c>
      <c r="H597" s="39" t="str">
        <f>IF(Agent03_Withdrawals!A202="","",Agent03_Withdrawals!G202)</f>
        <v/>
      </c>
      <c r="I597" s="37" t="str">
        <f>IF(Agent03_Withdrawals!A202="","",Agent03_Withdrawals!H202)</f>
        <v/>
      </c>
      <c r="J597" s="37" t="str">
        <f>IF(Agent03_Withdrawals!A202="","",Agent03_Withdrawals!J202)</f>
        <v/>
      </c>
      <c r="K597" s="37" t="str">
        <f>IF(Agent03_Withdrawals!A202="","",Agent03_Withdrawals!K202)</f>
        <v/>
      </c>
      <c r="L597" s="37" t="str">
        <f>IF(G597="","",IF(D597-G597&gt;=System_Config!$B$9,"✅ OK","⚠️ BREACH"))</f>
        <v/>
      </c>
      <c r="M597" s="37" t="str">
        <f>IFERROR(IF(Agent03_Withdrawals!A202="","",YEAR(Agent03_Withdrawals!D202)),"")</f>
        <v/>
      </c>
    </row>
    <row r="598" spans="1:13" ht="18" customHeight="1" x14ac:dyDescent="0.25">
      <c r="A598" s="37" t="str">
        <f>IF(Agent03_Withdrawals!A203="","",Agent03_Withdrawals!A203)</f>
        <v/>
      </c>
      <c r="B598" s="37" t="str">
        <f ca="1">IF(Agent03_Withdrawals!A203="","","WD"&amp;TEXT(598-3,"0000")&amp;"-"&amp;TEXT(TODAY(),"YYYYMMDD"))</f>
        <v/>
      </c>
      <c r="C598" s="37" t="str">
        <f>IF(Agent03_Withdrawals!A203="","",Agent03_Withdrawals!B203)</f>
        <v/>
      </c>
      <c r="D598" s="40" t="str">
        <f>IF(Agent03_Withdrawals!A203="","",Agent03_Withdrawals!C203)</f>
        <v/>
      </c>
      <c r="E598" s="38" t="str">
        <f>IF(Agent03_Withdrawals!A203="","",Agent03_Withdrawals!D203)</f>
        <v/>
      </c>
      <c r="F598" s="37" t="str">
        <f>IF(Agent03_Withdrawals!A203="","",Agent03_Withdrawals!F203)</f>
        <v/>
      </c>
      <c r="G598" s="39" t="str">
        <f>IF(Agent03_Withdrawals!A203="","",Agent03_Withdrawals!E203)</f>
        <v/>
      </c>
      <c r="H598" s="39" t="str">
        <f>IF(Agent03_Withdrawals!A203="","",Agent03_Withdrawals!G203)</f>
        <v/>
      </c>
      <c r="I598" s="37" t="str">
        <f>IF(Agent03_Withdrawals!A203="","",Agent03_Withdrawals!H203)</f>
        <v/>
      </c>
      <c r="J598" s="37" t="str">
        <f>IF(Agent03_Withdrawals!A203="","",Agent03_Withdrawals!J203)</f>
        <v/>
      </c>
      <c r="K598" s="37" t="str">
        <f>IF(Agent03_Withdrawals!A203="","",Agent03_Withdrawals!K203)</f>
        <v/>
      </c>
      <c r="L598" s="37" t="str">
        <f>IF(G598="","",IF(D598-G598&gt;=System_Config!$B$9,"✅ OK","⚠️ BREACH"))</f>
        <v/>
      </c>
      <c r="M598" s="37" t="str">
        <f>IFERROR(IF(Agent03_Withdrawals!A203="","",YEAR(Agent03_Withdrawals!D203)),"")</f>
        <v/>
      </c>
    </row>
    <row r="599" spans="1:13" ht="18" customHeight="1" x14ac:dyDescent="0.25">
      <c r="A599" s="37" t="str">
        <f>IF(Agent03_Withdrawals!A204="","",Agent03_Withdrawals!A204)</f>
        <v/>
      </c>
      <c r="B599" s="37" t="str">
        <f ca="1">IF(Agent03_Withdrawals!A204="","","WD"&amp;TEXT(599-3,"0000")&amp;"-"&amp;TEXT(TODAY(),"YYYYMMDD"))</f>
        <v/>
      </c>
      <c r="C599" s="37" t="str">
        <f>IF(Agent03_Withdrawals!A204="","",Agent03_Withdrawals!B204)</f>
        <v/>
      </c>
      <c r="D599" s="40" t="str">
        <f>IF(Agent03_Withdrawals!A204="","",Agent03_Withdrawals!C204)</f>
        <v/>
      </c>
      <c r="E599" s="38" t="str">
        <f>IF(Agent03_Withdrawals!A204="","",Agent03_Withdrawals!D204)</f>
        <v/>
      </c>
      <c r="F599" s="37" t="str">
        <f>IF(Agent03_Withdrawals!A204="","",Agent03_Withdrawals!F204)</f>
        <v/>
      </c>
      <c r="G599" s="39" t="str">
        <f>IF(Agent03_Withdrawals!A204="","",Agent03_Withdrawals!E204)</f>
        <v/>
      </c>
      <c r="H599" s="39" t="str">
        <f>IF(Agent03_Withdrawals!A204="","",Agent03_Withdrawals!G204)</f>
        <v/>
      </c>
      <c r="I599" s="37" t="str">
        <f>IF(Agent03_Withdrawals!A204="","",Agent03_Withdrawals!H204)</f>
        <v/>
      </c>
      <c r="J599" s="37" t="str">
        <f>IF(Agent03_Withdrawals!A204="","",Agent03_Withdrawals!J204)</f>
        <v/>
      </c>
      <c r="K599" s="37" t="str">
        <f>IF(Agent03_Withdrawals!A204="","",Agent03_Withdrawals!K204)</f>
        <v/>
      </c>
      <c r="L599" s="37" t="str">
        <f>IF(G599="","",IF(D599-G599&gt;=System_Config!$B$9,"✅ OK","⚠️ BREACH"))</f>
        <v/>
      </c>
      <c r="M599" s="37" t="str">
        <f>IFERROR(IF(Agent03_Withdrawals!A204="","",YEAR(Agent03_Withdrawals!D204)),"")</f>
        <v/>
      </c>
    </row>
    <row r="600" spans="1:13" ht="18" customHeight="1" x14ac:dyDescent="0.25">
      <c r="A600" s="37" t="str">
        <f>IF(Agent03_Withdrawals!A205="","",Agent03_Withdrawals!A205)</f>
        <v/>
      </c>
      <c r="B600" s="37" t="str">
        <f ca="1">IF(Agent03_Withdrawals!A205="","","WD"&amp;TEXT(600-3,"0000")&amp;"-"&amp;TEXT(TODAY(),"YYYYMMDD"))</f>
        <v/>
      </c>
      <c r="C600" s="37" t="str">
        <f>IF(Agent03_Withdrawals!A205="","",Agent03_Withdrawals!B205)</f>
        <v/>
      </c>
      <c r="D600" s="40" t="str">
        <f>IF(Agent03_Withdrawals!A205="","",Agent03_Withdrawals!C205)</f>
        <v/>
      </c>
      <c r="E600" s="38" t="str">
        <f>IF(Agent03_Withdrawals!A205="","",Agent03_Withdrawals!D205)</f>
        <v/>
      </c>
      <c r="F600" s="37" t="str">
        <f>IF(Agent03_Withdrawals!A205="","",Agent03_Withdrawals!F205)</f>
        <v/>
      </c>
      <c r="G600" s="39" t="str">
        <f>IF(Agent03_Withdrawals!A205="","",Agent03_Withdrawals!E205)</f>
        <v/>
      </c>
      <c r="H600" s="39" t="str">
        <f>IF(Agent03_Withdrawals!A205="","",Agent03_Withdrawals!G205)</f>
        <v/>
      </c>
      <c r="I600" s="37" t="str">
        <f>IF(Agent03_Withdrawals!A205="","",Agent03_Withdrawals!H205)</f>
        <v/>
      </c>
      <c r="J600" s="37" t="str">
        <f>IF(Agent03_Withdrawals!A205="","",Agent03_Withdrawals!J205)</f>
        <v/>
      </c>
      <c r="K600" s="37" t="str">
        <f>IF(Agent03_Withdrawals!A205="","",Agent03_Withdrawals!K205)</f>
        <v/>
      </c>
      <c r="L600" s="37" t="str">
        <f>IF(G600="","",IF(D600-G600&gt;=System_Config!$B$9,"✅ OK","⚠️ BREACH"))</f>
        <v/>
      </c>
      <c r="M600" s="37" t="str">
        <f>IFERROR(IF(Agent03_Withdrawals!A205="","",YEAR(Agent03_Withdrawals!D205)),"")</f>
        <v/>
      </c>
    </row>
    <row r="601" spans="1:13" ht="18" customHeight="1" x14ac:dyDescent="0.25">
      <c r="A601" s="37" t="str">
        <f>IF(Agent03_Withdrawals!A206="","",Agent03_Withdrawals!A206)</f>
        <v/>
      </c>
      <c r="B601" s="37" t="str">
        <f ca="1">IF(Agent03_Withdrawals!A206="","","WD"&amp;TEXT(601-3,"0000")&amp;"-"&amp;TEXT(TODAY(),"YYYYMMDD"))</f>
        <v/>
      </c>
      <c r="C601" s="37" t="str">
        <f>IF(Agent03_Withdrawals!A206="","",Agent03_Withdrawals!B206)</f>
        <v/>
      </c>
      <c r="D601" s="40" t="str">
        <f>IF(Agent03_Withdrawals!A206="","",Agent03_Withdrawals!C206)</f>
        <v/>
      </c>
      <c r="E601" s="38" t="str">
        <f>IF(Agent03_Withdrawals!A206="","",Agent03_Withdrawals!D206)</f>
        <v/>
      </c>
      <c r="F601" s="37" t="str">
        <f>IF(Agent03_Withdrawals!A206="","",Agent03_Withdrawals!F206)</f>
        <v/>
      </c>
      <c r="G601" s="39" t="str">
        <f>IF(Agent03_Withdrawals!A206="","",Agent03_Withdrawals!E206)</f>
        <v/>
      </c>
      <c r="H601" s="39" t="str">
        <f>IF(Agent03_Withdrawals!A206="","",Agent03_Withdrawals!G206)</f>
        <v/>
      </c>
      <c r="I601" s="37" t="str">
        <f>IF(Agent03_Withdrawals!A206="","",Agent03_Withdrawals!H206)</f>
        <v/>
      </c>
      <c r="J601" s="37" t="str">
        <f>IF(Agent03_Withdrawals!A206="","",Agent03_Withdrawals!J206)</f>
        <v/>
      </c>
      <c r="K601" s="37" t="str">
        <f>IF(Agent03_Withdrawals!A206="","",Agent03_Withdrawals!K206)</f>
        <v/>
      </c>
      <c r="L601" s="37" t="str">
        <f>IF(G601="","",IF(D601-G601&gt;=System_Config!$B$9,"✅ OK","⚠️ BREACH"))</f>
        <v/>
      </c>
      <c r="M601" s="37" t="str">
        <f>IFERROR(IF(Agent03_Withdrawals!A206="","",YEAR(Agent03_Withdrawals!D206)),"")</f>
        <v/>
      </c>
    </row>
    <row r="602" spans="1:13" ht="18" customHeight="1" x14ac:dyDescent="0.25">
      <c r="A602" s="37" t="str">
        <f>IF(Agent03_Withdrawals!A207="","",Agent03_Withdrawals!A207)</f>
        <v/>
      </c>
      <c r="B602" s="37" t="str">
        <f ca="1">IF(Agent03_Withdrawals!A207="","","WD"&amp;TEXT(602-3,"0000")&amp;"-"&amp;TEXT(TODAY(),"YYYYMMDD"))</f>
        <v/>
      </c>
      <c r="C602" s="37" t="str">
        <f>IF(Agent03_Withdrawals!A207="","",Agent03_Withdrawals!B207)</f>
        <v/>
      </c>
      <c r="D602" s="40" t="str">
        <f>IF(Agent03_Withdrawals!A207="","",Agent03_Withdrawals!C207)</f>
        <v/>
      </c>
      <c r="E602" s="38" t="str">
        <f>IF(Agent03_Withdrawals!A207="","",Agent03_Withdrawals!D207)</f>
        <v/>
      </c>
      <c r="F602" s="37" t="str">
        <f>IF(Agent03_Withdrawals!A207="","",Agent03_Withdrawals!F207)</f>
        <v/>
      </c>
      <c r="G602" s="39" t="str">
        <f>IF(Agent03_Withdrawals!A207="","",Agent03_Withdrawals!E207)</f>
        <v/>
      </c>
      <c r="H602" s="39" t="str">
        <f>IF(Agent03_Withdrawals!A207="","",Agent03_Withdrawals!G207)</f>
        <v/>
      </c>
      <c r="I602" s="37" t="str">
        <f>IF(Agent03_Withdrawals!A207="","",Agent03_Withdrawals!H207)</f>
        <v/>
      </c>
      <c r="J602" s="37" t="str">
        <f>IF(Agent03_Withdrawals!A207="","",Agent03_Withdrawals!J207)</f>
        <v/>
      </c>
      <c r="K602" s="37" t="str">
        <f>IF(Agent03_Withdrawals!A207="","",Agent03_Withdrawals!K207)</f>
        <v/>
      </c>
      <c r="L602" s="37" t="str">
        <f>IF(G602="","",IF(D602-G602&gt;=System_Config!$B$9,"✅ OK","⚠️ BREACH"))</f>
        <v/>
      </c>
      <c r="M602" s="37" t="str">
        <f>IFERROR(IF(Agent03_Withdrawals!A207="","",YEAR(Agent03_Withdrawals!D207)),"")</f>
        <v/>
      </c>
    </row>
    <row r="603" spans="1:13" ht="18" customHeight="1" x14ac:dyDescent="0.25">
      <c r="A603" s="37" t="str">
        <f>IF(Agent03_Withdrawals!A208="","",Agent03_Withdrawals!A208)</f>
        <v/>
      </c>
      <c r="B603" s="37" t="str">
        <f ca="1">IF(Agent03_Withdrawals!A208="","","WD"&amp;TEXT(603-3,"0000")&amp;"-"&amp;TEXT(TODAY(),"YYYYMMDD"))</f>
        <v/>
      </c>
      <c r="C603" s="37" t="str">
        <f>IF(Agent03_Withdrawals!A208="","",Agent03_Withdrawals!B208)</f>
        <v/>
      </c>
      <c r="D603" s="40" t="str">
        <f>IF(Agent03_Withdrawals!A208="","",Agent03_Withdrawals!C208)</f>
        <v/>
      </c>
      <c r="E603" s="38" t="str">
        <f>IF(Agent03_Withdrawals!A208="","",Agent03_Withdrawals!D208)</f>
        <v/>
      </c>
      <c r="F603" s="37" t="str">
        <f>IF(Agent03_Withdrawals!A208="","",Agent03_Withdrawals!F208)</f>
        <v/>
      </c>
      <c r="G603" s="39" t="str">
        <f>IF(Agent03_Withdrawals!A208="","",Agent03_Withdrawals!E208)</f>
        <v/>
      </c>
      <c r="H603" s="39" t="str">
        <f>IF(Agent03_Withdrawals!A208="","",Agent03_Withdrawals!G208)</f>
        <v/>
      </c>
      <c r="I603" s="37" t="str">
        <f>IF(Agent03_Withdrawals!A208="","",Agent03_Withdrawals!H208)</f>
        <v/>
      </c>
      <c r="J603" s="37" t="str">
        <f>IF(Agent03_Withdrawals!A208="","",Agent03_Withdrawals!J208)</f>
        <v/>
      </c>
      <c r="K603" s="37" t="str">
        <f>IF(Agent03_Withdrawals!A208="","",Agent03_Withdrawals!K208)</f>
        <v/>
      </c>
      <c r="L603" s="37" t="str">
        <f>IF(G603="","",IF(D603-G603&gt;=System_Config!$B$9,"✅ OK","⚠️ BREACH"))</f>
        <v/>
      </c>
      <c r="M603" s="37" t="str">
        <f>IFERROR(IF(Agent03_Withdrawals!A208="","",YEAR(Agent03_Withdrawals!D208)),"")</f>
        <v/>
      </c>
    </row>
    <row r="604" spans="1:13" ht="18" customHeight="1" x14ac:dyDescent="0.25">
      <c r="A604" s="37" t="str">
        <f>IF(Agent04_Withdrawals!A9="","",Agent04_Withdrawals!A9)</f>
        <v/>
      </c>
      <c r="B604" s="37" t="str">
        <f ca="1">IF(Agent04_Withdrawals!A9="","","WD"&amp;TEXT(604-3,"0000")&amp;"-"&amp;TEXT(TODAY(),"YYYYMMDD"))</f>
        <v/>
      </c>
      <c r="C604" s="37" t="str">
        <f>IF(Agent04_Withdrawals!A9="","",Agent04_Withdrawals!B9)</f>
        <v/>
      </c>
      <c r="D604" s="40" t="str">
        <f>IF(Agent04_Withdrawals!A9="","",Agent04_Withdrawals!C9)</f>
        <v/>
      </c>
      <c r="E604" s="38" t="str">
        <f>IF(Agent04_Withdrawals!A9="","",Agent04_Withdrawals!D9)</f>
        <v/>
      </c>
      <c r="F604" s="37" t="str">
        <f>IF(Agent04_Withdrawals!A9="","",Agent04_Withdrawals!F9)</f>
        <v/>
      </c>
      <c r="G604" s="39" t="str">
        <f>IF(Agent04_Withdrawals!A9="","",Agent04_Withdrawals!E9)</f>
        <v/>
      </c>
      <c r="H604" s="39" t="str">
        <f>IF(Agent04_Withdrawals!A9="","",Agent04_Withdrawals!G9)</f>
        <v/>
      </c>
      <c r="I604" s="37" t="str">
        <f>IF(Agent04_Withdrawals!A9="","",Agent04_Withdrawals!H9)</f>
        <v/>
      </c>
      <c r="J604" s="37" t="str">
        <f>IF(Agent04_Withdrawals!A9="","",Agent04_Withdrawals!J9)</f>
        <v/>
      </c>
      <c r="K604" s="37" t="str">
        <f>IF(Agent04_Withdrawals!A9="","",Agent04_Withdrawals!K9)</f>
        <v/>
      </c>
      <c r="L604" s="37" t="str">
        <f>IF(G604="","",IF(D604-G604&gt;=System_Config!$B$9,"✅ OK","⚠️ BREACH"))</f>
        <v/>
      </c>
      <c r="M604" s="37" t="str">
        <f>IFERROR(IF(Agent04_Withdrawals!A9="","",YEAR(Agent04_Withdrawals!D9)),"")</f>
        <v/>
      </c>
    </row>
    <row r="605" spans="1:13" ht="18" customHeight="1" x14ac:dyDescent="0.25">
      <c r="A605" s="37" t="str">
        <f>IF(Agent04_Withdrawals!A10="","",Agent04_Withdrawals!A10)</f>
        <v/>
      </c>
      <c r="B605" s="37" t="str">
        <f ca="1">IF(Agent04_Withdrawals!A10="","","WD"&amp;TEXT(605-3,"0000")&amp;"-"&amp;TEXT(TODAY(),"YYYYMMDD"))</f>
        <v/>
      </c>
      <c r="C605" s="37" t="str">
        <f>IF(Agent04_Withdrawals!A10="","",Agent04_Withdrawals!B10)</f>
        <v/>
      </c>
      <c r="D605" s="40" t="str">
        <f>IF(Agent04_Withdrawals!A10="","",Agent04_Withdrawals!C10)</f>
        <v/>
      </c>
      <c r="E605" s="38" t="str">
        <f>IF(Agent04_Withdrawals!A10="","",Agent04_Withdrawals!D10)</f>
        <v/>
      </c>
      <c r="F605" s="37" t="str">
        <f>IF(Agent04_Withdrawals!A10="","",Agent04_Withdrawals!F10)</f>
        <v/>
      </c>
      <c r="G605" s="39" t="str">
        <f>IF(Agent04_Withdrawals!A10="","",Agent04_Withdrawals!E10)</f>
        <v/>
      </c>
      <c r="H605" s="39" t="str">
        <f>IF(Agent04_Withdrawals!A10="","",Agent04_Withdrawals!G10)</f>
        <v/>
      </c>
      <c r="I605" s="37" t="str">
        <f>IF(Agent04_Withdrawals!A10="","",Agent04_Withdrawals!H10)</f>
        <v/>
      </c>
      <c r="J605" s="37" t="str">
        <f>IF(Agent04_Withdrawals!A10="","",Agent04_Withdrawals!J10)</f>
        <v/>
      </c>
      <c r="K605" s="37" t="str">
        <f>IF(Agent04_Withdrawals!A10="","",Agent04_Withdrawals!K10)</f>
        <v/>
      </c>
      <c r="L605" s="37" t="str">
        <f>IF(G605="","",IF(D605-G605&gt;=System_Config!$B$9,"✅ OK","⚠️ BREACH"))</f>
        <v/>
      </c>
      <c r="M605" s="37" t="str">
        <f>IFERROR(IF(Agent04_Withdrawals!A10="","",YEAR(Agent04_Withdrawals!D10)),"")</f>
        <v/>
      </c>
    </row>
    <row r="606" spans="1:13" ht="18" customHeight="1" x14ac:dyDescent="0.25">
      <c r="A606" s="37" t="str">
        <f>IF(Agent04_Withdrawals!A11="","",Agent04_Withdrawals!A11)</f>
        <v/>
      </c>
      <c r="B606" s="37" t="str">
        <f ca="1">IF(Agent04_Withdrawals!A11="","","WD"&amp;TEXT(606-3,"0000")&amp;"-"&amp;TEXT(TODAY(),"YYYYMMDD"))</f>
        <v/>
      </c>
      <c r="C606" s="37" t="str">
        <f>IF(Agent04_Withdrawals!A11="","",Agent04_Withdrawals!B11)</f>
        <v/>
      </c>
      <c r="D606" s="40" t="str">
        <f>IF(Agent04_Withdrawals!A11="","",Agent04_Withdrawals!C11)</f>
        <v/>
      </c>
      <c r="E606" s="38" t="str">
        <f>IF(Agent04_Withdrawals!A11="","",Agent04_Withdrawals!D11)</f>
        <v/>
      </c>
      <c r="F606" s="37" t="str">
        <f>IF(Agent04_Withdrawals!A11="","",Agent04_Withdrawals!F11)</f>
        <v/>
      </c>
      <c r="G606" s="39" t="str">
        <f>IF(Agent04_Withdrawals!A11="","",Agent04_Withdrawals!E11)</f>
        <v/>
      </c>
      <c r="H606" s="39" t="str">
        <f>IF(Agent04_Withdrawals!A11="","",Agent04_Withdrawals!G11)</f>
        <v/>
      </c>
      <c r="I606" s="37" t="str">
        <f>IF(Agent04_Withdrawals!A11="","",Agent04_Withdrawals!H11)</f>
        <v/>
      </c>
      <c r="J606" s="37" t="str">
        <f>IF(Agent04_Withdrawals!A11="","",Agent04_Withdrawals!J11)</f>
        <v/>
      </c>
      <c r="K606" s="37" t="str">
        <f>IF(Agent04_Withdrawals!A11="","",Agent04_Withdrawals!K11)</f>
        <v/>
      </c>
      <c r="L606" s="37" t="str">
        <f>IF(G606="","",IF(D606-G606&gt;=System_Config!$B$9,"✅ OK","⚠️ BREACH"))</f>
        <v/>
      </c>
      <c r="M606" s="37" t="str">
        <f>IFERROR(IF(Agent04_Withdrawals!A11="","",YEAR(Agent04_Withdrawals!D11)),"")</f>
        <v/>
      </c>
    </row>
    <row r="607" spans="1:13" ht="18" customHeight="1" x14ac:dyDescent="0.25">
      <c r="A607" s="37" t="str">
        <f>IF(Agent04_Withdrawals!A12="","",Agent04_Withdrawals!A12)</f>
        <v/>
      </c>
      <c r="B607" s="37" t="str">
        <f ca="1">IF(Agent04_Withdrawals!A12="","","WD"&amp;TEXT(607-3,"0000")&amp;"-"&amp;TEXT(TODAY(),"YYYYMMDD"))</f>
        <v/>
      </c>
      <c r="C607" s="37" t="str">
        <f>IF(Agent04_Withdrawals!A12="","",Agent04_Withdrawals!B12)</f>
        <v/>
      </c>
      <c r="D607" s="40" t="str">
        <f>IF(Agent04_Withdrawals!A12="","",Agent04_Withdrawals!C12)</f>
        <v/>
      </c>
      <c r="E607" s="38" t="str">
        <f>IF(Agent04_Withdrawals!A12="","",Agent04_Withdrawals!D12)</f>
        <v/>
      </c>
      <c r="F607" s="37" t="str">
        <f>IF(Agent04_Withdrawals!A12="","",Agent04_Withdrawals!F12)</f>
        <v/>
      </c>
      <c r="G607" s="39" t="str">
        <f>IF(Agent04_Withdrawals!A12="","",Agent04_Withdrawals!E12)</f>
        <v/>
      </c>
      <c r="H607" s="39" t="str">
        <f>IF(Agent04_Withdrawals!A12="","",Agent04_Withdrawals!G12)</f>
        <v/>
      </c>
      <c r="I607" s="37" t="str">
        <f>IF(Agent04_Withdrawals!A12="","",Agent04_Withdrawals!H12)</f>
        <v/>
      </c>
      <c r="J607" s="37" t="str">
        <f>IF(Agent04_Withdrawals!A12="","",Agent04_Withdrawals!J12)</f>
        <v/>
      </c>
      <c r="K607" s="37" t="str">
        <f>IF(Agent04_Withdrawals!A12="","",Agent04_Withdrawals!K12)</f>
        <v/>
      </c>
      <c r="L607" s="37" t="str">
        <f>IF(G607="","",IF(D607-G607&gt;=System_Config!$B$9,"✅ OK","⚠️ BREACH"))</f>
        <v/>
      </c>
      <c r="M607" s="37" t="str">
        <f>IFERROR(IF(Agent04_Withdrawals!A12="","",YEAR(Agent04_Withdrawals!D12)),"")</f>
        <v/>
      </c>
    </row>
    <row r="608" spans="1:13" ht="18" customHeight="1" x14ac:dyDescent="0.25">
      <c r="A608" s="37" t="str">
        <f>IF(Agent04_Withdrawals!A13="","",Agent04_Withdrawals!A13)</f>
        <v/>
      </c>
      <c r="B608" s="37" t="str">
        <f ca="1">IF(Agent04_Withdrawals!A13="","","WD"&amp;TEXT(608-3,"0000")&amp;"-"&amp;TEXT(TODAY(),"YYYYMMDD"))</f>
        <v/>
      </c>
      <c r="C608" s="37" t="str">
        <f>IF(Agent04_Withdrawals!A13="","",Agent04_Withdrawals!B13)</f>
        <v/>
      </c>
      <c r="D608" s="40" t="str">
        <f>IF(Agent04_Withdrawals!A13="","",Agent04_Withdrawals!C13)</f>
        <v/>
      </c>
      <c r="E608" s="38" t="str">
        <f>IF(Agent04_Withdrawals!A13="","",Agent04_Withdrawals!D13)</f>
        <v/>
      </c>
      <c r="F608" s="37" t="str">
        <f>IF(Agent04_Withdrawals!A13="","",Agent04_Withdrawals!F13)</f>
        <v/>
      </c>
      <c r="G608" s="39" t="str">
        <f>IF(Agent04_Withdrawals!A13="","",Agent04_Withdrawals!E13)</f>
        <v/>
      </c>
      <c r="H608" s="39" t="str">
        <f>IF(Agent04_Withdrawals!A13="","",Agent04_Withdrawals!G13)</f>
        <v/>
      </c>
      <c r="I608" s="37" t="str">
        <f>IF(Agent04_Withdrawals!A13="","",Agent04_Withdrawals!H13)</f>
        <v/>
      </c>
      <c r="J608" s="37" t="str">
        <f>IF(Agent04_Withdrawals!A13="","",Agent04_Withdrawals!J13)</f>
        <v/>
      </c>
      <c r="K608" s="37" t="str">
        <f>IF(Agent04_Withdrawals!A13="","",Agent04_Withdrawals!K13)</f>
        <v/>
      </c>
      <c r="L608" s="37" t="str">
        <f>IF(G608="","",IF(D608-G608&gt;=System_Config!$B$9,"✅ OK","⚠️ BREACH"))</f>
        <v/>
      </c>
      <c r="M608" s="37" t="str">
        <f>IFERROR(IF(Agent04_Withdrawals!A13="","",YEAR(Agent04_Withdrawals!D13)),"")</f>
        <v/>
      </c>
    </row>
    <row r="609" spans="1:13" ht="18" customHeight="1" x14ac:dyDescent="0.25">
      <c r="A609" s="37" t="str">
        <f>IF(Agent04_Withdrawals!A14="","",Agent04_Withdrawals!A14)</f>
        <v/>
      </c>
      <c r="B609" s="37" t="str">
        <f ca="1">IF(Agent04_Withdrawals!A14="","","WD"&amp;TEXT(609-3,"0000")&amp;"-"&amp;TEXT(TODAY(),"YYYYMMDD"))</f>
        <v/>
      </c>
      <c r="C609" s="37" t="str">
        <f>IF(Agent04_Withdrawals!A14="","",Agent04_Withdrawals!B14)</f>
        <v/>
      </c>
      <c r="D609" s="40" t="str">
        <f>IF(Agent04_Withdrawals!A14="","",Agent04_Withdrawals!C14)</f>
        <v/>
      </c>
      <c r="E609" s="38" t="str">
        <f>IF(Agent04_Withdrawals!A14="","",Agent04_Withdrawals!D14)</f>
        <v/>
      </c>
      <c r="F609" s="37" t="str">
        <f>IF(Agent04_Withdrawals!A14="","",Agent04_Withdrawals!F14)</f>
        <v/>
      </c>
      <c r="G609" s="39" t="str">
        <f>IF(Agent04_Withdrawals!A14="","",Agent04_Withdrawals!E14)</f>
        <v/>
      </c>
      <c r="H609" s="39" t="str">
        <f>IF(Agent04_Withdrawals!A14="","",Agent04_Withdrawals!G14)</f>
        <v/>
      </c>
      <c r="I609" s="37" t="str">
        <f>IF(Agent04_Withdrawals!A14="","",Agent04_Withdrawals!H14)</f>
        <v/>
      </c>
      <c r="J609" s="37" t="str">
        <f>IF(Agent04_Withdrawals!A14="","",Agent04_Withdrawals!J14)</f>
        <v/>
      </c>
      <c r="K609" s="37" t="str">
        <f>IF(Agent04_Withdrawals!A14="","",Agent04_Withdrawals!K14)</f>
        <v/>
      </c>
      <c r="L609" s="37" t="str">
        <f>IF(G609="","",IF(D609-G609&gt;=System_Config!$B$9,"✅ OK","⚠️ BREACH"))</f>
        <v/>
      </c>
      <c r="M609" s="37" t="str">
        <f>IFERROR(IF(Agent04_Withdrawals!A14="","",YEAR(Agent04_Withdrawals!D14)),"")</f>
        <v/>
      </c>
    </row>
    <row r="610" spans="1:13" ht="18" customHeight="1" x14ac:dyDescent="0.25">
      <c r="A610" s="37" t="str">
        <f>IF(Agent04_Withdrawals!A15="","",Agent04_Withdrawals!A15)</f>
        <v/>
      </c>
      <c r="B610" s="37" t="str">
        <f ca="1">IF(Agent04_Withdrawals!A15="","","WD"&amp;TEXT(610-3,"0000")&amp;"-"&amp;TEXT(TODAY(),"YYYYMMDD"))</f>
        <v/>
      </c>
      <c r="C610" s="37" t="str">
        <f>IF(Agent04_Withdrawals!A15="","",Agent04_Withdrawals!B15)</f>
        <v/>
      </c>
      <c r="D610" s="40" t="str">
        <f>IF(Agent04_Withdrawals!A15="","",Agent04_Withdrawals!C15)</f>
        <v/>
      </c>
      <c r="E610" s="38" t="str">
        <f>IF(Agent04_Withdrawals!A15="","",Agent04_Withdrawals!D15)</f>
        <v/>
      </c>
      <c r="F610" s="37" t="str">
        <f>IF(Agent04_Withdrawals!A15="","",Agent04_Withdrawals!F15)</f>
        <v/>
      </c>
      <c r="G610" s="39" t="str">
        <f>IF(Agent04_Withdrawals!A15="","",Agent04_Withdrawals!E15)</f>
        <v/>
      </c>
      <c r="H610" s="39" t="str">
        <f>IF(Agent04_Withdrawals!A15="","",Agent04_Withdrawals!G15)</f>
        <v/>
      </c>
      <c r="I610" s="37" t="str">
        <f>IF(Agent04_Withdrawals!A15="","",Agent04_Withdrawals!H15)</f>
        <v/>
      </c>
      <c r="J610" s="37" t="str">
        <f>IF(Agent04_Withdrawals!A15="","",Agent04_Withdrawals!J15)</f>
        <v/>
      </c>
      <c r="K610" s="37" t="str">
        <f>IF(Agent04_Withdrawals!A15="","",Agent04_Withdrawals!K15)</f>
        <v/>
      </c>
      <c r="L610" s="37" t="str">
        <f>IF(G610="","",IF(D610-G610&gt;=System_Config!$B$9,"✅ OK","⚠️ BREACH"))</f>
        <v/>
      </c>
      <c r="M610" s="37" t="str">
        <f>IFERROR(IF(Agent04_Withdrawals!A15="","",YEAR(Agent04_Withdrawals!D15)),"")</f>
        <v/>
      </c>
    </row>
    <row r="611" spans="1:13" ht="18" customHeight="1" x14ac:dyDescent="0.25">
      <c r="A611" s="37" t="str">
        <f>IF(Agent04_Withdrawals!A16="","",Agent04_Withdrawals!A16)</f>
        <v/>
      </c>
      <c r="B611" s="37" t="str">
        <f ca="1">IF(Agent04_Withdrawals!A16="","","WD"&amp;TEXT(611-3,"0000")&amp;"-"&amp;TEXT(TODAY(),"YYYYMMDD"))</f>
        <v/>
      </c>
      <c r="C611" s="37" t="str">
        <f>IF(Agent04_Withdrawals!A16="","",Agent04_Withdrawals!B16)</f>
        <v/>
      </c>
      <c r="D611" s="40" t="str">
        <f>IF(Agent04_Withdrawals!A16="","",Agent04_Withdrawals!C16)</f>
        <v/>
      </c>
      <c r="E611" s="38" t="str">
        <f>IF(Agent04_Withdrawals!A16="","",Agent04_Withdrawals!D16)</f>
        <v/>
      </c>
      <c r="F611" s="37" t="str">
        <f>IF(Agent04_Withdrawals!A16="","",Agent04_Withdrawals!F16)</f>
        <v/>
      </c>
      <c r="G611" s="39" t="str">
        <f>IF(Agent04_Withdrawals!A16="","",Agent04_Withdrawals!E16)</f>
        <v/>
      </c>
      <c r="H611" s="39" t="str">
        <f>IF(Agent04_Withdrawals!A16="","",Agent04_Withdrawals!G16)</f>
        <v/>
      </c>
      <c r="I611" s="37" t="str">
        <f>IF(Agent04_Withdrawals!A16="","",Agent04_Withdrawals!H16)</f>
        <v/>
      </c>
      <c r="J611" s="37" t="str">
        <f>IF(Agent04_Withdrawals!A16="","",Agent04_Withdrawals!J16)</f>
        <v/>
      </c>
      <c r="K611" s="37" t="str">
        <f>IF(Agent04_Withdrawals!A16="","",Agent04_Withdrawals!K16)</f>
        <v/>
      </c>
      <c r="L611" s="37" t="str">
        <f>IF(G611="","",IF(D611-G611&gt;=System_Config!$B$9,"✅ OK","⚠️ BREACH"))</f>
        <v/>
      </c>
      <c r="M611" s="37" t="str">
        <f>IFERROR(IF(Agent04_Withdrawals!A16="","",YEAR(Agent04_Withdrawals!D16)),"")</f>
        <v/>
      </c>
    </row>
    <row r="612" spans="1:13" ht="18" customHeight="1" x14ac:dyDescent="0.25">
      <c r="A612" s="37" t="str">
        <f>IF(Agent04_Withdrawals!A17="","",Agent04_Withdrawals!A17)</f>
        <v/>
      </c>
      <c r="B612" s="37" t="str">
        <f ca="1">IF(Agent04_Withdrawals!A17="","","WD"&amp;TEXT(612-3,"0000")&amp;"-"&amp;TEXT(TODAY(),"YYYYMMDD"))</f>
        <v/>
      </c>
      <c r="C612" s="37" t="str">
        <f>IF(Agent04_Withdrawals!A17="","",Agent04_Withdrawals!B17)</f>
        <v/>
      </c>
      <c r="D612" s="40" t="str">
        <f>IF(Agent04_Withdrawals!A17="","",Agent04_Withdrawals!C17)</f>
        <v/>
      </c>
      <c r="E612" s="38" t="str">
        <f>IF(Agent04_Withdrawals!A17="","",Agent04_Withdrawals!D17)</f>
        <v/>
      </c>
      <c r="F612" s="37" t="str">
        <f>IF(Agent04_Withdrawals!A17="","",Agent04_Withdrawals!F17)</f>
        <v/>
      </c>
      <c r="G612" s="39" t="str">
        <f>IF(Agent04_Withdrawals!A17="","",Agent04_Withdrawals!E17)</f>
        <v/>
      </c>
      <c r="H612" s="39" t="str">
        <f>IF(Agent04_Withdrawals!A17="","",Agent04_Withdrawals!G17)</f>
        <v/>
      </c>
      <c r="I612" s="37" t="str">
        <f>IF(Agent04_Withdrawals!A17="","",Agent04_Withdrawals!H17)</f>
        <v/>
      </c>
      <c r="J612" s="37" t="str">
        <f>IF(Agent04_Withdrawals!A17="","",Agent04_Withdrawals!J17)</f>
        <v/>
      </c>
      <c r="K612" s="37" t="str">
        <f>IF(Agent04_Withdrawals!A17="","",Agent04_Withdrawals!K17)</f>
        <v/>
      </c>
      <c r="L612" s="37" t="str">
        <f>IF(G612="","",IF(D612-G612&gt;=System_Config!$B$9,"✅ OK","⚠️ BREACH"))</f>
        <v/>
      </c>
      <c r="M612" s="37" t="str">
        <f>IFERROR(IF(Agent04_Withdrawals!A17="","",YEAR(Agent04_Withdrawals!D17)),"")</f>
        <v/>
      </c>
    </row>
    <row r="613" spans="1:13" ht="18" customHeight="1" x14ac:dyDescent="0.25">
      <c r="A613" s="37" t="str">
        <f>IF(Agent04_Withdrawals!A18="","",Agent04_Withdrawals!A18)</f>
        <v/>
      </c>
      <c r="B613" s="37" t="str">
        <f ca="1">IF(Agent04_Withdrawals!A18="","","WD"&amp;TEXT(613-3,"0000")&amp;"-"&amp;TEXT(TODAY(),"YYYYMMDD"))</f>
        <v/>
      </c>
      <c r="C613" s="37" t="str">
        <f>IF(Agent04_Withdrawals!A18="","",Agent04_Withdrawals!B18)</f>
        <v/>
      </c>
      <c r="D613" s="40" t="str">
        <f>IF(Agent04_Withdrawals!A18="","",Agent04_Withdrawals!C18)</f>
        <v/>
      </c>
      <c r="E613" s="38" t="str">
        <f>IF(Agent04_Withdrawals!A18="","",Agent04_Withdrawals!D18)</f>
        <v/>
      </c>
      <c r="F613" s="37" t="str">
        <f>IF(Agent04_Withdrawals!A18="","",Agent04_Withdrawals!F18)</f>
        <v/>
      </c>
      <c r="G613" s="39" t="str">
        <f>IF(Agent04_Withdrawals!A18="","",Agent04_Withdrawals!E18)</f>
        <v/>
      </c>
      <c r="H613" s="39" t="str">
        <f>IF(Agent04_Withdrawals!A18="","",Agent04_Withdrawals!G18)</f>
        <v/>
      </c>
      <c r="I613" s="37" t="str">
        <f>IF(Agent04_Withdrawals!A18="","",Agent04_Withdrawals!H18)</f>
        <v/>
      </c>
      <c r="J613" s="37" t="str">
        <f>IF(Agent04_Withdrawals!A18="","",Agent04_Withdrawals!J18)</f>
        <v/>
      </c>
      <c r="K613" s="37" t="str">
        <f>IF(Agent04_Withdrawals!A18="","",Agent04_Withdrawals!K18)</f>
        <v/>
      </c>
      <c r="L613" s="37" t="str">
        <f>IF(G613="","",IF(D613-G613&gt;=System_Config!$B$9,"✅ OK","⚠️ BREACH"))</f>
        <v/>
      </c>
      <c r="M613" s="37" t="str">
        <f>IFERROR(IF(Agent04_Withdrawals!A18="","",YEAR(Agent04_Withdrawals!D18)),"")</f>
        <v/>
      </c>
    </row>
    <row r="614" spans="1:13" ht="18" customHeight="1" x14ac:dyDescent="0.25">
      <c r="A614" s="37" t="str">
        <f>IF(Agent04_Withdrawals!A19="","",Agent04_Withdrawals!A19)</f>
        <v/>
      </c>
      <c r="B614" s="37" t="str">
        <f ca="1">IF(Agent04_Withdrawals!A19="","","WD"&amp;TEXT(614-3,"0000")&amp;"-"&amp;TEXT(TODAY(),"YYYYMMDD"))</f>
        <v/>
      </c>
      <c r="C614" s="37" t="str">
        <f>IF(Agent04_Withdrawals!A19="","",Agent04_Withdrawals!B19)</f>
        <v/>
      </c>
      <c r="D614" s="40" t="str">
        <f>IF(Agent04_Withdrawals!A19="","",Agent04_Withdrawals!C19)</f>
        <v/>
      </c>
      <c r="E614" s="38" t="str">
        <f>IF(Agent04_Withdrawals!A19="","",Agent04_Withdrawals!D19)</f>
        <v/>
      </c>
      <c r="F614" s="37" t="str">
        <f>IF(Agent04_Withdrawals!A19="","",Agent04_Withdrawals!F19)</f>
        <v/>
      </c>
      <c r="G614" s="39" t="str">
        <f>IF(Agent04_Withdrawals!A19="","",Agent04_Withdrawals!E19)</f>
        <v/>
      </c>
      <c r="H614" s="39" t="str">
        <f>IF(Agent04_Withdrawals!A19="","",Agent04_Withdrawals!G19)</f>
        <v/>
      </c>
      <c r="I614" s="37" t="str">
        <f>IF(Agent04_Withdrawals!A19="","",Agent04_Withdrawals!H19)</f>
        <v/>
      </c>
      <c r="J614" s="37" t="str">
        <f>IF(Agent04_Withdrawals!A19="","",Agent04_Withdrawals!J19)</f>
        <v/>
      </c>
      <c r="K614" s="37" t="str">
        <f>IF(Agent04_Withdrawals!A19="","",Agent04_Withdrawals!K19)</f>
        <v/>
      </c>
      <c r="L614" s="37" t="str">
        <f>IF(G614="","",IF(D614-G614&gt;=System_Config!$B$9,"✅ OK","⚠️ BREACH"))</f>
        <v/>
      </c>
      <c r="M614" s="37" t="str">
        <f>IFERROR(IF(Agent04_Withdrawals!A19="","",YEAR(Agent04_Withdrawals!D19)),"")</f>
        <v/>
      </c>
    </row>
    <row r="615" spans="1:13" ht="18" customHeight="1" x14ac:dyDescent="0.25">
      <c r="A615" s="37" t="str">
        <f>IF(Agent04_Withdrawals!A20="","",Agent04_Withdrawals!A20)</f>
        <v/>
      </c>
      <c r="B615" s="37" t="str">
        <f ca="1">IF(Agent04_Withdrawals!A20="","","WD"&amp;TEXT(615-3,"0000")&amp;"-"&amp;TEXT(TODAY(),"YYYYMMDD"))</f>
        <v/>
      </c>
      <c r="C615" s="37" t="str">
        <f>IF(Agent04_Withdrawals!A20="","",Agent04_Withdrawals!B20)</f>
        <v/>
      </c>
      <c r="D615" s="40" t="str">
        <f>IF(Agent04_Withdrawals!A20="","",Agent04_Withdrawals!C20)</f>
        <v/>
      </c>
      <c r="E615" s="38" t="str">
        <f>IF(Agent04_Withdrawals!A20="","",Agent04_Withdrawals!D20)</f>
        <v/>
      </c>
      <c r="F615" s="37" t="str">
        <f>IF(Agent04_Withdrawals!A20="","",Agent04_Withdrawals!F20)</f>
        <v/>
      </c>
      <c r="G615" s="39" t="str">
        <f>IF(Agent04_Withdrawals!A20="","",Agent04_Withdrawals!E20)</f>
        <v/>
      </c>
      <c r="H615" s="39" t="str">
        <f>IF(Agent04_Withdrawals!A20="","",Agent04_Withdrawals!G20)</f>
        <v/>
      </c>
      <c r="I615" s="37" t="str">
        <f>IF(Agent04_Withdrawals!A20="","",Agent04_Withdrawals!H20)</f>
        <v/>
      </c>
      <c r="J615" s="37" t="str">
        <f>IF(Agent04_Withdrawals!A20="","",Agent04_Withdrawals!J20)</f>
        <v/>
      </c>
      <c r="K615" s="37" t="str">
        <f>IF(Agent04_Withdrawals!A20="","",Agent04_Withdrawals!K20)</f>
        <v/>
      </c>
      <c r="L615" s="37" t="str">
        <f>IF(G615="","",IF(D615-G615&gt;=System_Config!$B$9,"✅ OK","⚠️ BREACH"))</f>
        <v/>
      </c>
      <c r="M615" s="37" t="str">
        <f>IFERROR(IF(Agent04_Withdrawals!A20="","",YEAR(Agent04_Withdrawals!D20)),"")</f>
        <v/>
      </c>
    </row>
    <row r="616" spans="1:13" ht="18" customHeight="1" x14ac:dyDescent="0.25">
      <c r="A616" s="37" t="str">
        <f>IF(Agent04_Withdrawals!A21="","",Agent04_Withdrawals!A21)</f>
        <v/>
      </c>
      <c r="B616" s="37" t="str">
        <f ca="1">IF(Agent04_Withdrawals!A21="","","WD"&amp;TEXT(616-3,"0000")&amp;"-"&amp;TEXT(TODAY(),"YYYYMMDD"))</f>
        <v/>
      </c>
      <c r="C616" s="37" t="str">
        <f>IF(Agent04_Withdrawals!A21="","",Agent04_Withdrawals!B21)</f>
        <v/>
      </c>
      <c r="D616" s="40" t="str">
        <f>IF(Agent04_Withdrawals!A21="","",Agent04_Withdrawals!C21)</f>
        <v/>
      </c>
      <c r="E616" s="38" t="str">
        <f>IF(Agent04_Withdrawals!A21="","",Agent04_Withdrawals!D21)</f>
        <v/>
      </c>
      <c r="F616" s="37" t="str">
        <f>IF(Agent04_Withdrawals!A21="","",Agent04_Withdrawals!F21)</f>
        <v/>
      </c>
      <c r="G616" s="39" t="str">
        <f>IF(Agent04_Withdrawals!A21="","",Agent04_Withdrawals!E21)</f>
        <v/>
      </c>
      <c r="H616" s="39" t="str">
        <f>IF(Agent04_Withdrawals!A21="","",Agent04_Withdrawals!G21)</f>
        <v/>
      </c>
      <c r="I616" s="37" t="str">
        <f>IF(Agent04_Withdrawals!A21="","",Agent04_Withdrawals!H21)</f>
        <v/>
      </c>
      <c r="J616" s="37" t="str">
        <f>IF(Agent04_Withdrawals!A21="","",Agent04_Withdrawals!J21)</f>
        <v/>
      </c>
      <c r="K616" s="37" t="str">
        <f>IF(Agent04_Withdrawals!A21="","",Agent04_Withdrawals!K21)</f>
        <v/>
      </c>
      <c r="L616" s="37" t="str">
        <f>IF(G616="","",IF(D616-G616&gt;=System_Config!$B$9,"✅ OK","⚠️ BREACH"))</f>
        <v/>
      </c>
      <c r="M616" s="37" t="str">
        <f>IFERROR(IF(Agent04_Withdrawals!A21="","",YEAR(Agent04_Withdrawals!D21)),"")</f>
        <v/>
      </c>
    </row>
    <row r="617" spans="1:13" ht="18" customHeight="1" x14ac:dyDescent="0.25">
      <c r="A617" s="37" t="str">
        <f>IF(Agent04_Withdrawals!A22="","",Agent04_Withdrawals!A22)</f>
        <v/>
      </c>
      <c r="B617" s="37" t="str">
        <f ca="1">IF(Agent04_Withdrawals!A22="","","WD"&amp;TEXT(617-3,"0000")&amp;"-"&amp;TEXT(TODAY(),"YYYYMMDD"))</f>
        <v/>
      </c>
      <c r="C617" s="37" t="str">
        <f>IF(Agent04_Withdrawals!A22="","",Agent04_Withdrawals!B22)</f>
        <v/>
      </c>
      <c r="D617" s="40" t="str">
        <f>IF(Agent04_Withdrawals!A22="","",Agent04_Withdrawals!C22)</f>
        <v/>
      </c>
      <c r="E617" s="38" t="str">
        <f>IF(Agent04_Withdrawals!A22="","",Agent04_Withdrawals!D22)</f>
        <v/>
      </c>
      <c r="F617" s="37" t="str">
        <f>IF(Agent04_Withdrawals!A22="","",Agent04_Withdrawals!F22)</f>
        <v/>
      </c>
      <c r="G617" s="39" t="str">
        <f>IF(Agent04_Withdrawals!A22="","",Agent04_Withdrawals!E22)</f>
        <v/>
      </c>
      <c r="H617" s="39" t="str">
        <f>IF(Agent04_Withdrawals!A22="","",Agent04_Withdrawals!G22)</f>
        <v/>
      </c>
      <c r="I617" s="37" t="str">
        <f>IF(Agent04_Withdrawals!A22="","",Agent04_Withdrawals!H22)</f>
        <v/>
      </c>
      <c r="J617" s="37" t="str">
        <f>IF(Agent04_Withdrawals!A22="","",Agent04_Withdrawals!J22)</f>
        <v/>
      </c>
      <c r="K617" s="37" t="str">
        <f>IF(Agent04_Withdrawals!A22="","",Agent04_Withdrawals!K22)</f>
        <v/>
      </c>
      <c r="L617" s="37" t="str">
        <f>IF(G617="","",IF(D617-G617&gt;=System_Config!$B$9,"✅ OK","⚠️ BREACH"))</f>
        <v/>
      </c>
      <c r="M617" s="37" t="str">
        <f>IFERROR(IF(Agent04_Withdrawals!A22="","",YEAR(Agent04_Withdrawals!D22)),"")</f>
        <v/>
      </c>
    </row>
    <row r="618" spans="1:13" ht="18" customHeight="1" x14ac:dyDescent="0.25">
      <c r="A618" s="37" t="str">
        <f>IF(Agent04_Withdrawals!A23="","",Agent04_Withdrawals!A23)</f>
        <v/>
      </c>
      <c r="B618" s="37" t="str">
        <f ca="1">IF(Agent04_Withdrawals!A23="","","WD"&amp;TEXT(618-3,"0000")&amp;"-"&amp;TEXT(TODAY(),"YYYYMMDD"))</f>
        <v/>
      </c>
      <c r="C618" s="37" t="str">
        <f>IF(Agent04_Withdrawals!A23="","",Agent04_Withdrawals!B23)</f>
        <v/>
      </c>
      <c r="D618" s="40" t="str">
        <f>IF(Agent04_Withdrawals!A23="","",Agent04_Withdrawals!C23)</f>
        <v/>
      </c>
      <c r="E618" s="38" t="str">
        <f>IF(Agent04_Withdrawals!A23="","",Agent04_Withdrawals!D23)</f>
        <v/>
      </c>
      <c r="F618" s="37" t="str">
        <f>IF(Agent04_Withdrawals!A23="","",Agent04_Withdrawals!F23)</f>
        <v/>
      </c>
      <c r="G618" s="39" t="str">
        <f>IF(Agent04_Withdrawals!A23="","",Agent04_Withdrawals!E23)</f>
        <v/>
      </c>
      <c r="H618" s="39" t="str">
        <f>IF(Agent04_Withdrawals!A23="","",Agent04_Withdrawals!G23)</f>
        <v/>
      </c>
      <c r="I618" s="37" t="str">
        <f>IF(Agent04_Withdrawals!A23="","",Agent04_Withdrawals!H23)</f>
        <v/>
      </c>
      <c r="J618" s="37" t="str">
        <f>IF(Agent04_Withdrawals!A23="","",Agent04_Withdrawals!J23)</f>
        <v/>
      </c>
      <c r="K618" s="37" t="str">
        <f>IF(Agent04_Withdrawals!A23="","",Agent04_Withdrawals!K23)</f>
        <v/>
      </c>
      <c r="L618" s="37" t="str">
        <f>IF(G618="","",IF(D618-G618&gt;=System_Config!$B$9,"✅ OK","⚠️ BREACH"))</f>
        <v/>
      </c>
      <c r="M618" s="37" t="str">
        <f>IFERROR(IF(Agent04_Withdrawals!A23="","",YEAR(Agent04_Withdrawals!D23)),"")</f>
        <v/>
      </c>
    </row>
    <row r="619" spans="1:13" ht="18" customHeight="1" x14ac:dyDescent="0.25">
      <c r="A619" s="37" t="str">
        <f>IF(Agent04_Withdrawals!A24="","",Agent04_Withdrawals!A24)</f>
        <v/>
      </c>
      <c r="B619" s="37" t="str">
        <f ca="1">IF(Agent04_Withdrawals!A24="","","WD"&amp;TEXT(619-3,"0000")&amp;"-"&amp;TEXT(TODAY(),"YYYYMMDD"))</f>
        <v/>
      </c>
      <c r="C619" s="37" t="str">
        <f>IF(Agent04_Withdrawals!A24="","",Agent04_Withdrawals!B24)</f>
        <v/>
      </c>
      <c r="D619" s="40" t="str">
        <f>IF(Agent04_Withdrawals!A24="","",Agent04_Withdrawals!C24)</f>
        <v/>
      </c>
      <c r="E619" s="38" t="str">
        <f>IF(Agent04_Withdrawals!A24="","",Agent04_Withdrawals!D24)</f>
        <v/>
      </c>
      <c r="F619" s="37" t="str">
        <f>IF(Agent04_Withdrawals!A24="","",Agent04_Withdrawals!F24)</f>
        <v/>
      </c>
      <c r="G619" s="39" t="str">
        <f>IF(Agent04_Withdrawals!A24="","",Agent04_Withdrawals!E24)</f>
        <v/>
      </c>
      <c r="H619" s="39" t="str">
        <f>IF(Agent04_Withdrawals!A24="","",Agent04_Withdrawals!G24)</f>
        <v/>
      </c>
      <c r="I619" s="37" t="str">
        <f>IF(Agent04_Withdrawals!A24="","",Agent04_Withdrawals!H24)</f>
        <v/>
      </c>
      <c r="J619" s="37" t="str">
        <f>IF(Agent04_Withdrawals!A24="","",Agent04_Withdrawals!J24)</f>
        <v/>
      </c>
      <c r="K619" s="37" t="str">
        <f>IF(Agent04_Withdrawals!A24="","",Agent04_Withdrawals!K24)</f>
        <v/>
      </c>
      <c r="L619" s="37" t="str">
        <f>IF(G619="","",IF(D619-G619&gt;=System_Config!$B$9,"✅ OK","⚠️ BREACH"))</f>
        <v/>
      </c>
      <c r="M619" s="37" t="str">
        <f>IFERROR(IF(Agent04_Withdrawals!A24="","",YEAR(Agent04_Withdrawals!D24)),"")</f>
        <v/>
      </c>
    </row>
    <row r="620" spans="1:13" ht="18" customHeight="1" x14ac:dyDescent="0.25">
      <c r="A620" s="37" t="str">
        <f>IF(Agent04_Withdrawals!A25="","",Agent04_Withdrawals!A25)</f>
        <v/>
      </c>
      <c r="B620" s="37" t="str">
        <f ca="1">IF(Agent04_Withdrawals!A25="","","WD"&amp;TEXT(620-3,"0000")&amp;"-"&amp;TEXT(TODAY(),"YYYYMMDD"))</f>
        <v/>
      </c>
      <c r="C620" s="37" t="str">
        <f>IF(Agent04_Withdrawals!A25="","",Agent04_Withdrawals!B25)</f>
        <v/>
      </c>
      <c r="D620" s="40" t="str">
        <f>IF(Agent04_Withdrawals!A25="","",Agent04_Withdrawals!C25)</f>
        <v/>
      </c>
      <c r="E620" s="38" t="str">
        <f>IF(Agent04_Withdrawals!A25="","",Agent04_Withdrawals!D25)</f>
        <v/>
      </c>
      <c r="F620" s="37" t="str">
        <f>IF(Agent04_Withdrawals!A25="","",Agent04_Withdrawals!F25)</f>
        <v/>
      </c>
      <c r="G620" s="39" t="str">
        <f>IF(Agent04_Withdrawals!A25="","",Agent04_Withdrawals!E25)</f>
        <v/>
      </c>
      <c r="H620" s="39" t="str">
        <f>IF(Agent04_Withdrawals!A25="","",Agent04_Withdrawals!G25)</f>
        <v/>
      </c>
      <c r="I620" s="37" t="str">
        <f>IF(Agent04_Withdrawals!A25="","",Agent04_Withdrawals!H25)</f>
        <v/>
      </c>
      <c r="J620" s="37" t="str">
        <f>IF(Agent04_Withdrawals!A25="","",Agent04_Withdrawals!J25)</f>
        <v/>
      </c>
      <c r="K620" s="37" t="str">
        <f>IF(Agent04_Withdrawals!A25="","",Agent04_Withdrawals!K25)</f>
        <v/>
      </c>
      <c r="L620" s="37" t="str">
        <f>IF(G620="","",IF(D620-G620&gt;=System_Config!$B$9,"✅ OK","⚠️ BREACH"))</f>
        <v/>
      </c>
      <c r="M620" s="37" t="str">
        <f>IFERROR(IF(Agent04_Withdrawals!A25="","",YEAR(Agent04_Withdrawals!D25)),"")</f>
        <v/>
      </c>
    </row>
    <row r="621" spans="1:13" ht="18" customHeight="1" x14ac:dyDescent="0.25">
      <c r="A621" s="37" t="str">
        <f>IF(Agent04_Withdrawals!A26="","",Agent04_Withdrawals!A26)</f>
        <v/>
      </c>
      <c r="B621" s="37" t="str">
        <f ca="1">IF(Agent04_Withdrawals!A26="","","WD"&amp;TEXT(621-3,"0000")&amp;"-"&amp;TEXT(TODAY(),"YYYYMMDD"))</f>
        <v/>
      </c>
      <c r="C621" s="37" t="str">
        <f>IF(Agent04_Withdrawals!A26="","",Agent04_Withdrawals!B26)</f>
        <v/>
      </c>
      <c r="D621" s="40" t="str">
        <f>IF(Agent04_Withdrawals!A26="","",Agent04_Withdrawals!C26)</f>
        <v/>
      </c>
      <c r="E621" s="38" t="str">
        <f>IF(Agent04_Withdrawals!A26="","",Agent04_Withdrawals!D26)</f>
        <v/>
      </c>
      <c r="F621" s="37" t="str">
        <f>IF(Agent04_Withdrawals!A26="","",Agent04_Withdrawals!F26)</f>
        <v/>
      </c>
      <c r="G621" s="39" t="str">
        <f>IF(Agent04_Withdrawals!A26="","",Agent04_Withdrawals!E26)</f>
        <v/>
      </c>
      <c r="H621" s="39" t="str">
        <f>IF(Agent04_Withdrawals!A26="","",Agent04_Withdrawals!G26)</f>
        <v/>
      </c>
      <c r="I621" s="37" t="str">
        <f>IF(Agent04_Withdrawals!A26="","",Agent04_Withdrawals!H26)</f>
        <v/>
      </c>
      <c r="J621" s="37" t="str">
        <f>IF(Agent04_Withdrawals!A26="","",Agent04_Withdrawals!J26)</f>
        <v/>
      </c>
      <c r="K621" s="37" t="str">
        <f>IF(Agent04_Withdrawals!A26="","",Agent04_Withdrawals!K26)</f>
        <v/>
      </c>
      <c r="L621" s="37" t="str">
        <f>IF(G621="","",IF(D621-G621&gt;=System_Config!$B$9,"✅ OK","⚠️ BREACH"))</f>
        <v/>
      </c>
      <c r="M621" s="37" t="str">
        <f>IFERROR(IF(Agent04_Withdrawals!A26="","",YEAR(Agent04_Withdrawals!D26)),"")</f>
        <v/>
      </c>
    </row>
    <row r="622" spans="1:13" ht="18" customHeight="1" x14ac:dyDescent="0.25">
      <c r="A622" s="37" t="str">
        <f>IF(Agent04_Withdrawals!A27="","",Agent04_Withdrawals!A27)</f>
        <v/>
      </c>
      <c r="B622" s="37" t="str">
        <f ca="1">IF(Agent04_Withdrawals!A27="","","WD"&amp;TEXT(622-3,"0000")&amp;"-"&amp;TEXT(TODAY(),"YYYYMMDD"))</f>
        <v/>
      </c>
      <c r="C622" s="37" t="str">
        <f>IF(Agent04_Withdrawals!A27="","",Agent04_Withdrawals!B27)</f>
        <v/>
      </c>
      <c r="D622" s="40" t="str">
        <f>IF(Agent04_Withdrawals!A27="","",Agent04_Withdrawals!C27)</f>
        <v/>
      </c>
      <c r="E622" s="38" t="str">
        <f>IF(Agent04_Withdrawals!A27="","",Agent04_Withdrawals!D27)</f>
        <v/>
      </c>
      <c r="F622" s="37" t="str">
        <f>IF(Agent04_Withdrawals!A27="","",Agent04_Withdrawals!F27)</f>
        <v/>
      </c>
      <c r="G622" s="39" t="str">
        <f>IF(Agent04_Withdrawals!A27="","",Agent04_Withdrawals!E27)</f>
        <v/>
      </c>
      <c r="H622" s="39" t="str">
        <f>IF(Agent04_Withdrawals!A27="","",Agent04_Withdrawals!G27)</f>
        <v/>
      </c>
      <c r="I622" s="37" t="str">
        <f>IF(Agent04_Withdrawals!A27="","",Agent04_Withdrawals!H27)</f>
        <v/>
      </c>
      <c r="J622" s="37" t="str">
        <f>IF(Agent04_Withdrawals!A27="","",Agent04_Withdrawals!J27)</f>
        <v/>
      </c>
      <c r="K622" s="37" t="str">
        <f>IF(Agent04_Withdrawals!A27="","",Agent04_Withdrawals!K27)</f>
        <v/>
      </c>
      <c r="L622" s="37" t="str">
        <f>IF(G622="","",IF(D622-G622&gt;=System_Config!$B$9,"✅ OK","⚠️ BREACH"))</f>
        <v/>
      </c>
      <c r="M622" s="37" t="str">
        <f>IFERROR(IF(Agent04_Withdrawals!A27="","",YEAR(Agent04_Withdrawals!D27)),"")</f>
        <v/>
      </c>
    </row>
    <row r="623" spans="1:13" ht="18" customHeight="1" x14ac:dyDescent="0.25">
      <c r="A623" s="37" t="str">
        <f>IF(Agent04_Withdrawals!A28="","",Agent04_Withdrawals!A28)</f>
        <v/>
      </c>
      <c r="B623" s="37" t="str">
        <f ca="1">IF(Agent04_Withdrawals!A28="","","WD"&amp;TEXT(623-3,"0000")&amp;"-"&amp;TEXT(TODAY(),"YYYYMMDD"))</f>
        <v/>
      </c>
      <c r="C623" s="37" t="str">
        <f>IF(Agent04_Withdrawals!A28="","",Agent04_Withdrawals!B28)</f>
        <v/>
      </c>
      <c r="D623" s="40" t="str">
        <f>IF(Agent04_Withdrawals!A28="","",Agent04_Withdrawals!C28)</f>
        <v/>
      </c>
      <c r="E623" s="38" t="str">
        <f>IF(Agent04_Withdrawals!A28="","",Agent04_Withdrawals!D28)</f>
        <v/>
      </c>
      <c r="F623" s="37" t="str">
        <f>IF(Agent04_Withdrawals!A28="","",Agent04_Withdrawals!F28)</f>
        <v/>
      </c>
      <c r="G623" s="39" t="str">
        <f>IF(Agent04_Withdrawals!A28="","",Agent04_Withdrawals!E28)</f>
        <v/>
      </c>
      <c r="H623" s="39" t="str">
        <f>IF(Agent04_Withdrawals!A28="","",Agent04_Withdrawals!G28)</f>
        <v/>
      </c>
      <c r="I623" s="37" t="str">
        <f>IF(Agent04_Withdrawals!A28="","",Agent04_Withdrawals!H28)</f>
        <v/>
      </c>
      <c r="J623" s="37" t="str">
        <f>IF(Agent04_Withdrawals!A28="","",Agent04_Withdrawals!J28)</f>
        <v/>
      </c>
      <c r="K623" s="37" t="str">
        <f>IF(Agent04_Withdrawals!A28="","",Agent04_Withdrawals!K28)</f>
        <v/>
      </c>
      <c r="L623" s="37" t="str">
        <f>IF(G623="","",IF(D623-G623&gt;=System_Config!$B$9,"✅ OK","⚠️ BREACH"))</f>
        <v/>
      </c>
      <c r="M623" s="37" t="str">
        <f>IFERROR(IF(Agent04_Withdrawals!A28="","",YEAR(Agent04_Withdrawals!D28)),"")</f>
        <v/>
      </c>
    </row>
    <row r="624" spans="1:13" ht="18" customHeight="1" x14ac:dyDescent="0.25">
      <c r="A624" s="37" t="str">
        <f>IF(Agent04_Withdrawals!A29="","",Agent04_Withdrawals!A29)</f>
        <v/>
      </c>
      <c r="B624" s="37" t="str">
        <f ca="1">IF(Agent04_Withdrawals!A29="","","WD"&amp;TEXT(624-3,"0000")&amp;"-"&amp;TEXT(TODAY(),"YYYYMMDD"))</f>
        <v/>
      </c>
      <c r="C624" s="37" t="str">
        <f>IF(Agent04_Withdrawals!A29="","",Agent04_Withdrawals!B29)</f>
        <v/>
      </c>
      <c r="D624" s="40" t="str">
        <f>IF(Agent04_Withdrawals!A29="","",Agent04_Withdrawals!C29)</f>
        <v/>
      </c>
      <c r="E624" s="38" t="str">
        <f>IF(Agent04_Withdrawals!A29="","",Agent04_Withdrawals!D29)</f>
        <v/>
      </c>
      <c r="F624" s="37" t="str">
        <f>IF(Agent04_Withdrawals!A29="","",Agent04_Withdrawals!F29)</f>
        <v/>
      </c>
      <c r="G624" s="39" t="str">
        <f>IF(Agent04_Withdrawals!A29="","",Agent04_Withdrawals!E29)</f>
        <v/>
      </c>
      <c r="H624" s="39" t="str">
        <f>IF(Agent04_Withdrawals!A29="","",Agent04_Withdrawals!G29)</f>
        <v/>
      </c>
      <c r="I624" s="37" t="str">
        <f>IF(Agent04_Withdrawals!A29="","",Agent04_Withdrawals!H29)</f>
        <v/>
      </c>
      <c r="J624" s="37" t="str">
        <f>IF(Agent04_Withdrawals!A29="","",Agent04_Withdrawals!J29)</f>
        <v/>
      </c>
      <c r="K624" s="37" t="str">
        <f>IF(Agent04_Withdrawals!A29="","",Agent04_Withdrawals!K29)</f>
        <v/>
      </c>
      <c r="L624" s="37" t="str">
        <f>IF(G624="","",IF(D624-G624&gt;=System_Config!$B$9,"✅ OK","⚠️ BREACH"))</f>
        <v/>
      </c>
      <c r="M624" s="37" t="str">
        <f>IFERROR(IF(Agent04_Withdrawals!A29="","",YEAR(Agent04_Withdrawals!D29)),"")</f>
        <v/>
      </c>
    </row>
    <row r="625" spans="1:13" ht="18" customHeight="1" x14ac:dyDescent="0.25">
      <c r="A625" s="37" t="str">
        <f>IF(Agent04_Withdrawals!A30="","",Agent04_Withdrawals!A30)</f>
        <v/>
      </c>
      <c r="B625" s="37" t="str">
        <f ca="1">IF(Agent04_Withdrawals!A30="","","WD"&amp;TEXT(625-3,"0000")&amp;"-"&amp;TEXT(TODAY(),"YYYYMMDD"))</f>
        <v/>
      </c>
      <c r="C625" s="37" t="str">
        <f>IF(Agent04_Withdrawals!A30="","",Agent04_Withdrawals!B30)</f>
        <v/>
      </c>
      <c r="D625" s="40" t="str">
        <f>IF(Agent04_Withdrawals!A30="","",Agent04_Withdrawals!C30)</f>
        <v/>
      </c>
      <c r="E625" s="38" t="str">
        <f>IF(Agent04_Withdrawals!A30="","",Agent04_Withdrawals!D30)</f>
        <v/>
      </c>
      <c r="F625" s="37" t="str">
        <f>IF(Agent04_Withdrawals!A30="","",Agent04_Withdrawals!F30)</f>
        <v/>
      </c>
      <c r="G625" s="39" t="str">
        <f>IF(Agent04_Withdrawals!A30="","",Agent04_Withdrawals!E30)</f>
        <v/>
      </c>
      <c r="H625" s="39" t="str">
        <f>IF(Agent04_Withdrawals!A30="","",Agent04_Withdrawals!G30)</f>
        <v/>
      </c>
      <c r="I625" s="37" t="str">
        <f>IF(Agent04_Withdrawals!A30="","",Agent04_Withdrawals!H30)</f>
        <v/>
      </c>
      <c r="J625" s="37" t="str">
        <f>IF(Agent04_Withdrawals!A30="","",Agent04_Withdrawals!J30)</f>
        <v/>
      </c>
      <c r="K625" s="37" t="str">
        <f>IF(Agent04_Withdrawals!A30="","",Agent04_Withdrawals!K30)</f>
        <v/>
      </c>
      <c r="L625" s="37" t="str">
        <f>IF(G625="","",IF(D625-G625&gt;=System_Config!$B$9,"✅ OK","⚠️ BREACH"))</f>
        <v/>
      </c>
      <c r="M625" s="37" t="str">
        <f>IFERROR(IF(Agent04_Withdrawals!A30="","",YEAR(Agent04_Withdrawals!D30)),"")</f>
        <v/>
      </c>
    </row>
    <row r="626" spans="1:13" ht="18" customHeight="1" x14ac:dyDescent="0.25">
      <c r="A626" s="37" t="str">
        <f>IF(Agent04_Withdrawals!A31="","",Agent04_Withdrawals!A31)</f>
        <v/>
      </c>
      <c r="B626" s="37" t="str">
        <f ca="1">IF(Agent04_Withdrawals!A31="","","WD"&amp;TEXT(626-3,"0000")&amp;"-"&amp;TEXT(TODAY(),"YYYYMMDD"))</f>
        <v/>
      </c>
      <c r="C626" s="37" t="str">
        <f>IF(Agent04_Withdrawals!A31="","",Agent04_Withdrawals!B31)</f>
        <v/>
      </c>
      <c r="D626" s="40" t="str">
        <f>IF(Agent04_Withdrawals!A31="","",Agent04_Withdrawals!C31)</f>
        <v/>
      </c>
      <c r="E626" s="38" t="str">
        <f>IF(Agent04_Withdrawals!A31="","",Agent04_Withdrawals!D31)</f>
        <v/>
      </c>
      <c r="F626" s="37" t="str">
        <f>IF(Agent04_Withdrawals!A31="","",Agent04_Withdrawals!F31)</f>
        <v/>
      </c>
      <c r="G626" s="39" t="str">
        <f>IF(Agent04_Withdrawals!A31="","",Agent04_Withdrawals!E31)</f>
        <v/>
      </c>
      <c r="H626" s="39" t="str">
        <f>IF(Agent04_Withdrawals!A31="","",Agent04_Withdrawals!G31)</f>
        <v/>
      </c>
      <c r="I626" s="37" t="str">
        <f>IF(Agent04_Withdrawals!A31="","",Agent04_Withdrawals!H31)</f>
        <v/>
      </c>
      <c r="J626" s="37" t="str">
        <f>IF(Agent04_Withdrawals!A31="","",Agent04_Withdrawals!J31)</f>
        <v/>
      </c>
      <c r="K626" s="37" t="str">
        <f>IF(Agent04_Withdrawals!A31="","",Agent04_Withdrawals!K31)</f>
        <v/>
      </c>
      <c r="L626" s="37" t="str">
        <f>IF(G626="","",IF(D626-G626&gt;=System_Config!$B$9,"✅ OK","⚠️ BREACH"))</f>
        <v/>
      </c>
      <c r="M626" s="37" t="str">
        <f>IFERROR(IF(Agent04_Withdrawals!A31="","",YEAR(Agent04_Withdrawals!D31)),"")</f>
        <v/>
      </c>
    </row>
    <row r="627" spans="1:13" ht="18" customHeight="1" x14ac:dyDescent="0.25">
      <c r="A627" s="37" t="str">
        <f>IF(Agent04_Withdrawals!A32="","",Agent04_Withdrawals!A32)</f>
        <v/>
      </c>
      <c r="B627" s="37" t="str">
        <f ca="1">IF(Agent04_Withdrawals!A32="","","WD"&amp;TEXT(627-3,"0000")&amp;"-"&amp;TEXT(TODAY(),"YYYYMMDD"))</f>
        <v/>
      </c>
      <c r="C627" s="37" t="str">
        <f>IF(Agent04_Withdrawals!A32="","",Agent04_Withdrawals!B32)</f>
        <v/>
      </c>
      <c r="D627" s="40" t="str">
        <f>IF(Agent04_Withdrawals!A32="","",Agent04_Withdrawals!C32)</f>
        <v/>
      </c>
      <c r="E627" s="38" t="str">
        <f>IF(Agent04_Withdrawals!A32="","",Agent04_Withdrawals!D32)</f>
        <v/>
      </c>
      <c r="F627" s="37" t="str">
        <f>IF(Agent04_Withdrawals!A32="","",Agent04_Withdrawals!F32)</f>
        <v/>
      </c>
      <c r="G627" s="39" t="str">
        <f>IF(Agent04_Withdrawals!A32="","",Agent04_Withdrawals!E32)</f>
        <v/>
      </c>
      <c r="H627" s="39" t="str">
        <f>IF(Agent04_Withdrawals!A32="","",Agent04_Withdrawals!G32)</f>
        <v/>
      </c>
      <c r="I627" s="37" t="str">
        <f>IF(Agent04_Withdrawals!A32="","",Agent04_Withdrawals!H32)</f>
        <v/>
      </c>
      <c r="J627" s="37" t="str">
        <f>IF(Agent04_Withdrawals!A32="","",Agent04_Withdrawals!J32)</f>
        <v/>
      </c>
      <c r="K627" s="37" t="str">
        <f>IF(Agent04_Withdrawals!A32="","",Agent04_Withdrawals!K32)</f>
        <v/>
      </c>
      <c r="L627" s="37" t="str">
        <f>IF(G627="","",IF(D627-G627&gt;=System_Config!$B$9,"✅ OK","⚠️ BREACH"))</f>
        <v/>
      </c>
      <c r="M627" s="37" t="str">
        <f>IFERROR(IF(Agent04_Withdrawals!A32="","",YEAR(Agent04_Withdrawals!D32)),"")</f>
        <v/>
      </c>
    </row>
    <row r="628" spans="1:13" ht="18" customHeight="1" x14ac:dyDescent="0.25">
      <c r="A628" s="37" t="str">
        <f>IF(Agent04_Withdrawals!A33="","",Agent04_Withdrawals!A33)</f>
        <v/>
      </c>
      <c r="B628" s="37" t="str">
        <f ca="1">IF(Agent04_Withdrawals!A33="","","WD"&amp;TEXT(628-3,"0000")&amp;"-"&amp;TEXT(TODAY(),"YYYYMMDD"))</f>
        <v/>
      </c>
      <c r="C628" s="37" t="str">
        <f>IF(Agent04_Withdrawals!A33="","",Agent04_Withdrawals!B33)</f>
        <v/>
      </c>
      <c r="D628" s="40" t="str">
        <f>IF(Agent04_Withdrawals!A33="","",Agent04_Withdrawals!C33)</f>
        <v/>
      </c>
      <c r="E628" s="38" t="str">
        <f>IF(Agent04_Withdrawals!A33="","",Agent04_Withdrawals!D33)</f>
        <v/>
      </c>
      <c r="F628" s="37" t="str">
        <f>IF(Agent04_Withdrawals!A33="","",Agent04_Withdrawals!F33)</f>
        <v/>
      </c>
      <c r="G628" s="39" t="str">
        <f>IF(Agent04_Withdrawals!A33="","",Agent04_Withdrawals!E33)</f>
        <v/>
      </c>
      <c r="H628" s="39" t="str">
        <f>IF(Agent04_Withdrawals!A33="","",Agent04_Withdrawals!G33)</f>
        <v/>
      </c>
      <c r="I628" s="37" t="str">
        <f>IF(Agent04_Withdrawals!A33="","",Agent04_Withdrawals!H33)</f>
        <v/>
      </c>
      <c r="J628" s="37" t="str">
        <f>IF(Agent04_Withdrawals!A33="","",Agent04_Withdrawals!J33)</f>
        <v/>
      </c>
      <c r="K628" s="37" t="str">
        <f>IF(Agent04_Withdrawals!A33="","",Agent04_Withdrawals!K33)</f>
        <v/>
      </c>
      <c r="L628" s="37" t="str">
        <f>IF(G628="","",IF(D628-G628&gt;=System_Config!$B$9,"✅ OK","⚠️ BREACH"))</f>
        <v/>
      </c>
      <c r="M628" s="37" t="str">
        <f>IFERROR(IF(Agent04_Withdrawals!A33="","",YEAR(Agent04_Withdrawals!D33)),"")</f>
        <v/>
      </c>
    </row>
    <row r="629" spans="1:13" ht="18" customHeight="1" x14ac:dyDescent="0.25">
      <c r="A629" s="37" t="str">
        <f>IF(Agent04_Withdrawals!A34="","",Agent04_Withdrawals!A34)</f>
        <v/>
      </c>
      <c r="B629" s="37" t="str">
        <f ca="1">IF(Agent04_Withdrawals!A34="","","WD"&amp;TEXT(629-3,"0000")&amp;"-"&amp;TEXT(TODAY(),"YYYYMMDD"))</f>
        <v/>
      </c>
      <c r="C629" s="37" t="str">
        <f>IF(Agent04_Withdrawals!A34="","",Agent04_Withdrawals!B34)</f>
        <v/>
      </c>
      <c r="D629" s="40" t="str">
        <f>IF(Agent04_Withdrawals!A34="","",Agent04_Withdrawals!C34)</f>
        <v/>
      </c>
      <c r="E629" s="38" t="str">
        <f>IF(Agent04_Withdrawals!A34="","",Agent04_Withdrawals!D34)</f>
        <v/>
      </c>
      <c r="F629" s="37" t="str">
        <f>IF(Agent04_Withdrawals!A34="","",Agent04_Withdrawals!F34)</f>
        <v/>
      </c>
      <c r="G629" s="39" t="str">
        <f>IF(Agent04_Withdrawals!A34="","",Agent04_Withdrawals!E34)</f>
        <v/>
      </c>
      <c r="H629" s="39" t="str">
        <f>IF(Agent04_Withdrawals!A34="","",Agent04_Withdrawals!G34)</f>
        <v/>
      </c>
      <c r="I629" s="37" t="str">
        <f>IF(Agent04_Withdrawals!A34="","",Agent04_Withdrawals!H34)</f>
        <v/>
      </c>
      <c r="J629" s="37" t="str">
        <f>IF(Agent04_Withdrawals!A34="","",Agent04_Withdrawals!J34)</f>
        <v/>
      </c>
      <c r="K629" s="37" t="str">
        <f>IF(Agent04_Withdrawals!A34="","",Agent04_Withdrawals!K34)</f>
        <v/>
      </c>
      <c r="L629" s="37" t="str">
        <f>IF(G629="","",IF(D629-G629&gt;=System_Config!$B$9,"✅ OK","⚠️ BREACH"))</f>
        <v/>
      </c>
      <c r="M629" s="37" t="str">
        <f>IFERROR(IF(Agent04_Withdrawals!A34="","",YEAR(Agent04_Withdrawals!D34)),"")</f>
        <v/>
      </c>
    </row>
    <row r="630" spans="1:13" ht="18" customHeight="1" x14ac:dyDescent="0.25">
      <c r="A630" s="37" t="str">
        <f>IF(Agent04_Withdrawals!A35="","",Agent04_Withdrawals!A35)</f>
        <v/>
      </c>
      <c r="B630" s="37" t="str">
        <f ca="1">IF(Agent04_Withdrawals!A35="","","WD"&amp;TEXT(630-3,"0000")&amp;"-"&amp;TEXT(TODAY(),"YYYYMMDD"))</f>
        <v/>
      </c>
      <c r="C630" s="37" t="str">
        <f>IF(Agent04_Withdrawals!A35="","",Agent04_Withdrawals!B35)</f>
        <v/>
      </c>
      <c r="D630" s="40" t="str">
        <f>IF(Agent04_Withdrawals!A35="","",Agent04_Withdrawals!C35)</f>
        <v/>
      </c>
      <c r="E630" s="38" t="str">
        <f>IF(Agent04_Withdrawals!A35="","",Agent04_Withdrawals!D35)</f>
        <v/>
      </c>
      <c r="F630" s="37" t="str">
        <f>IF(Agent04_Withdrawals!A35="","",Agent04_Withdrawals!F35)</f>
        <v/>
      </c>
      <c r="G630" s="39" t="str">
        <f>IF(Agent04_Withdrawals!A35="","",Agent04_Withdrawals!E35)</f>
        <v/>
      </c>
      <c r="H630" s="39" t="str">
        <f>IF(Agent04_Withdrawals!A35="","",Agent04_Withdrawals!G35)</f>
        <v/>
      </c>
      <c r="I630" s="37" t="str">
        <f>IF(Agent04_Withdrawals!A35="","",Agent04_Withdrawals!H35)</f>
        <v/>
      </c>
      <c r="J630" s="37" t="str">
        <f>IF(Agent04_Withdrawals!A35="","",Agent04_Withdrawals!J35)</f>
        <v/>
      </c>
      <c r="K630" s="37" t="str">
        <f>IF(Agent04_Withdrawals!A35="","",Agent04_Withdrawals!K35)</f>
        <v/>
      </c>
      <c r="L630" s="37" t="str">
        <f>IF(G630="","",IF(D630-G630&gt;=System_Config!$B$9,"✅ OK","⚠️ BREACH"))</f>
        <v/>
      </c>
      <c r="M630" s="37" t="str">
        <f>IFERROR(IF(Agent04_Withdrawals!A35="","",YEAR(Agent04_Withdrawals!D35)),"")</f>
        <v/>
      </c>
    </row>
    <row r="631" spans="1:13" ht="18" customHeight="1" x14ac:dyDescent="0.25">
      <c r="A631" s="37" t="str">
        <f>IF(Agent04_Withdrawals!A36="","",Agent04_Withdrawals!A36)</f>
        <v/>
      </c>
      <c r="B631" s="37" t="str">
        <f ca="1">IF(Agent04_Withdrawals!A36="","","WD"&amp;TEXT(631-3,"0000")&amp;"-"&amp;TEXT(TODAY(),"YYYYMMDD"))</f>
        <v/>
      </c>
      <c r="C631" s="37" t="str">
        <f>IF(Agent04_Withdrawals!A36="","",Agent04_Withdrawals!B36)</f>
        <v/>
      </c>
      <c r="D631" s="40" t="str">
        <f>IF(Agent04_Withdrawals!A36="","",Agent04_Withdrawals!C36)</f>
        <v/>
      </c>
      <c r="E631" s="38" t="str">
        <f>IF(Agent04_Withdrawals!A36="","",Agent04_Withdrawals!D36)</f>
        <v/>
      </c>
      <c r="F631" s="37" t="str">
        <f>IF(Agent04_Withdrawals!A36="","",Agent04_Withdrawals!F36)</f>
        <v/>
      </c>
      <c r="G631" s="39" t="str">
        <f>IF(Agent04_Withdrawals!A36="","",Agent04_Withdrawals!E36)</f>
        <v/>
      </c>
      <c r="H631" s="39" t="str">
        <f>IF(Agent04_Withdrawals!A36="","",Agent04_Withdrawals!G36)</f>
        <v/>
      </c>
      <c r="I631" s="37" t="str">
        <f>IF(Agent04_Withdrawals!A36="","",Agent04_Withdrawals!H36)</f>
        <v/>
      </c>
      <c r="J631" s="37" t="str">
        <f>IF(Agent04_Withdrawals!A36="","",Agent04_Withdrawals!J36)</f>
        <v/>
      </c>
      <c r="K631" s="37" t="str">
        <f>IF(Agent04_Withdrawals!A36="","",Agent04_Withdrawals!K36)</f>
        <v/>
      </c>
      <c r="L631" s="37" t="str">
        <f>IF(G631="","",IF(D631-G631&gt;=System_Config!$B$9,"✅ OK","⚠️ BREACH"))</f>
        <v/>
      </c>
      <c r="M631" s="37" t="str">
        <f>IFERROR(IF(Agent04_Withdrawals!A36="","",YEAR(Agent04_Withdrawals!D36)),"")</f>
        <v/>
      </c>
    </row>
    <row r="632" spans="1:13" ht="18" customHeight="1" x14ac:dyDescent="0.25">
      <c r="A632" s="37" t="str">
        <f>IF(Agent04_Withdrawals!A37="","",Agent04_Withdrawals!A37)</f>
        <v/>
      </c>
      <c r="B632" s="37" t="str">
        <f ca="1">IF(Agent04_Withdrawals!A37="","","WD"&amp;TEXT(632-3,"0000")&amp;"-"&amp;TEXT(TODAY(),"YYYYMMDD"))</f>
        <v/>
      </c>
      <c r="C632" s="37" t="str">
        <f>IF(Agent04_Withdrawals!A37="","",Agent04_Withdrawals!B37)</f>
        <v/>
      </c>
      <c r="D632" s="40" t="str">
        <f>IF(Agent04_Withdrawals!A37="","",Agent04_Withdrawals!C37)</f>
        <v/>
      </c>
      <c r="E632" s="38" t="str">
        <f>IF(Agent04_Withdrawals!A37="","",Agent04_Withdrawals!D37)</f>
        <v/>
      </c>
      <c r="F632" s="37" t="str">
        <f>IF(Agent04_Withdrawals!A37="","",Agent04_Withdrawals!F37)</f>
        <v/>
      </c>
      <c r="G632" s="39" t="str">
        <f>IF(Agent04_Withdrawals!A37="","",Agent04_Withdrawals!E37)</f>
        <v/>
      </c>
      <c r="H632" s="39" t="str">
        <f>IF(Agent04_Withdrawals!A37="","",Agent04_Withdrawals!G37)</f>
        <v/>
      </c>
      <c r="I632" s="37" t="str">
        <f>IF(Agent04_Withdrawals!A37="","",Agent04_Withdrawals!H37)</f>
        <v/>
      </c>
      <c r="J632" s="37" t="str">
        <f>IF(Agent04_Withdrawals!A37="","",Agent04_Withdrawals!J37)</f>
        <v/>
      </c>
      <c r="K632" s="37" t="str">
        <f>IF(Agent04_Withdrawals!A37="","",Agent04_Withdrawals!K37)</f>
        <v/>
      </c>
      <c r="L632" s="37" t="str">
        <f>IF(G632="","",IF(D632-G632&gt;=System_Config!$B$9,"✅ OK","⚠️ BREACH"))</f>
        <v/>
      </c>
      <c r="M632" s="37" t="str">
        <f>IFERROR(IF(Agent04_Withdrawals!A37="","",YEAR(Agent04_Withdrawals!D37)),"")</f>
        <v/>
      </c>
    </row>
    <row r="633" spans="1:13" ht="18" customHeight="1" x14ac:dyDescent="0.25">
      <c r="A633" s="37" t="str">
        <f>IF(Agent04_Withdrawals!A38="","",Agent04_Withdrawals!A38)</f>
        <v/>
      </c>
      <c r="B633" s="37" t="str">
        <f ca="1">IF(Agent04_Withdrawals!A38="","","WD"&amp;TEXT(633-3,"0000")&amp;"-"&amp;TEXT(TODAY(),"YYYYMMDD"))</f>
        <v/>
      </c>
      <c r="C633" s="37" t="str">
        <f>IF(Agent04_Withdrawals!A38="","",Agent04_Withdrawals!B38)</f>
        <v/>
      </c>
      <c r="D633" s="40" t="str">
        <f>IF(Agent04_Withdrawals!A38="","",Agent04_Withdrawals!C38)</f>
        <v/>
      </c>
      <c r="E633" s="38" t="str">
        <f>IF(Agent04_Withdrawals!A38="","",Agent04_Withdrawals!D38)</f>
        <v/>
      </c>
      <c r="F633" s="37" t="str">
        <f>IF(Agent04_Withdrawals!A38="","",Agent04_Withdrawals!F38)</f>
        <v/>
      </c>
      <c r="G633" s="39" t="str">
        <f>IF(Agent04_Withdrawals!A38="","",Agent04_Withdrawals!E38)</f>
        <v/>
      </c>
      <c r="H633" s="39" t="str">
        <f>IF(Agent04_Withdrawals!A38="","",Agent04_Withdrawals!G38)</f>
        <v/>
      </c>
      <c r="I633" s="37" t="str">
        <f>IF(Agent04_Withdrawals!A38="","",Agent04_Withdrawals!H38)</f>
        <v/>
      </c>
      <c r="J633" s="37" t="str">
        <f>IF(Agent04_Withdrawals!A38="","",Agent04_Withdrawals!J38)</f>
        <v/>
      </c>
      <c r="K633" s="37" t="str">
        <f>IF(Agent04_Withdrawals!A38="","",Agent04_Withdrawals!K38)</f>
        <v/>
      </c>
      <c r="L633" s="37" t="str">
        <f>IF(G633="","",IF(D633-G633&gt;=System_Config!$B$9,"✅ OK","⚠️ BREACH"))</f>
        <v/>
      </c>
      <c r="M633" s="37" t="str">
        <f>IFERROR(IF(Agent04_Withdrawals!A38="","",YEAR(Agent04_Withdrawals!D38)),"")</f>
        <v/>
      </c>
    </row>
    <row r="634" spans="1:13" ht="18" customHeight="1" x14ac:dyDescent="0.25">
      <c r="A634" s="37" t="str">
        <f>IF(Agent04_Withdrawals!A39="","",Agent04_Withdrawals!A39)</f>
        <v/>
      </c>
      <c r="B634" s="37" t="str">
        <f ca="1">IF(Agent04_Withdrawals!A39="","","WD"&amp;TEXT(634-3,"0000")&amp;"-"&amp;TEXT(TODAY(),"YYYYMMDD"))</f>
        <v/>
      </c>
      <c r="C634" s="37" t="str">
        <f>IF(Agent04_Withdrawals!A39="","",Agent04_Withdrawals!B39)</f>
        <v/>
      </c>
      <c r="D634" s="40" t="str">
        <f>IF(Agent04_Withdrawals!A39="","",Agent04_Withdrawals!C39)</f>
        <v/>
      </c>
      <c r="E634" s="38" t="str">
        <f>IF(Agent04_Withdrawals!A39="","",Agent04_Withdrawals!D39)</f>
        <v/>
      </c>
      <c r="F634" s="37" t="str">
        <f>IF(Agent04_Withdrawals!A39="","",Agent04_Withdrawals!F39)</f>
        <v/>
      </c>
      <c r="G634" s="39" t="str">
        <f>IF(Agent04_Withdrawals!A39="","",Agent04_Withdrawals!E39)</f>
        <v/>
      </c>
      <c r="H634" s="39" t="str">
        <f>IF(Agent04_Withdrawals!A39="","",Agent04_Withdrawals!G39)</f>
        <v/>
      </c>
      <c r="I634" s="37" t="str">
        <f>IF(Agent04_Withdrawals!A39="","",Agent04_Withdrawals!H39)</f>
        <v/>
      </c>
      <c r="J634" s="37" t="str">
        <f>IF(Agent04_Withdrawals!A39="","",Agent04_Withdrawals!J39)</f>
        <v/>
      </c>
      <c r="K634" s="37" t="str">
        <f>IF(Agent04_Withdrawals!A39="","",Agent04_Withdrawals!K39)</f>
        <v/>
      </c>
      <c r="L634" s="37" t="str">
        <f>IF(G634="","",IF(D634-G634&gt;=System_Config!$B$9,"✅ OK","⚠️ BREACH"))</f>
        <v/>
      </c>
      <c r="M634" s="37" t="str">
        <f>IFERROR(IF(Agent04_Withdrawals!A39="","",YEAR(Agent04_Withdrawals!D39)),"")</f>
        <v/>
      </c>
    </row>
    <row r="635" spans="1:13" ht="18" customHeight="1" x14ac:dyDescent="0.25">
      <c r="A635" s="37" t="str">
        <f>IF(Agent04_Withdrawals!A40="","",Agent04_Withdrawals!A40)</f>
        <v/>
      </c>
      <c r="B635" s="37" t="str">
        <f ca="1">IF(Agent04_Withdrawals!A40="","","WD"&amp;TEXT(635-3,"0000")&amp;"-"&amp;TEXT(TODAY(),"YYYYMMDD"))</f>
        <v/>
      </c>
      <c r="C635" s="37" t="str">
        <f>IF(Agent04_Withdrawals!A40="","",Agent04_Withdrawals!B40)</f>
        <v/>
      </c>
      <c r="D635" s="40" t="str">
        <f>IF(Agent04_Withdrawals!A40="","",Agent04_Withdrawals!C40)</f>
        <v/>
      </c>
      <c r="E635" s="38" t="str">
        <f>IF(Agent04_Withdrawals!A40="","",Agent04_Withdrawals!D40)</f>
        <v/>
      </c>
      <c r="F635" s="37" t="str">
        <f>IF(Agent04_Withdrawals!A40="","",Agent04_Withdrawals!F40)</f>
        <v/>
      </c>
      <c r="G635" s="39" t="str">
        <f>IF(Agent04_Withdrawals!A40="","",Agent04_Withdrawals!E40)</f>
        <v/>
      </c>
      <c r="H635" s="39" t="str">
        <f>IF(Agent04_Withdrawals!A40="","",Agent04_Withdrawals!G40)</f>
        <v/>
      </c>
      <c r="I635" s="37" t="str">
        <f>IF(Agent04_Withdrawals!A40="","",Agent04_Withdrawals!H40)</f>
        <v/>
      </c>
      <c r="J635" s="37" t="str">
        <f>IF(Agent04_Withdrawals!A40="","",Agent04_Withdrawals!J40)</f>
        <v/>
      </c>
      <c r="K635" s="37" t="str">
        <f>IF(Agent04_Withdrawals!A40="","",Agent04_Withdrawals!K40)</f>
        <v/>
      </c>
      <c r="L635" s="37" t="str">
        <f>IF(G635="","",IF(D635-G635&gt;=System_Config!$B$9,"✅ OK","⚠️ BREACH"))</f>
        <v/>
      </c>
      <c r="M635" s="37" t="str">
        <f>IFERROR(IF(Agent04_Withdrawals!A40="","",YEAR(Agent04_Withdrawals!D40)),"")</f>
        <v/>
      </c>
    </row>
    <row r="636" spans="1:13" ht="18" customHeight="1" x14ac:dyDescent="0.25">
      <c r="A636" s="37" t="str">
        <f>IF(Agent04_Withdrawals!A41="","",Agent04_Withdrawals!A41)</f>
        <v/>
      </c>
      <c r="B636" s="37" t="str">
        <f ca="1">IF(Agent04_Withdrawals!A41="","","WD"&amp;TEXT(636-3,"0000")&amp;"-"&amp;TEXT(TODAY(),"YYYYMMDD"))</f>
        <v/>
      </c>
      <c r="C636" s="37" t="str">
        <f>IF(Agent04_Withdrawals!A41="","",Agent04_Withdrawals!B41)</f>
        <v/>
      </c>
      <c r="D636" s="40" t="str">
        <f>IF(Agent04_Withdrawals!A41="","",Agent04_Withdrawals!C41)</f>
        <v/>
      </c>
      <c r="E636" s="38" t="str">
        <f>IF(Agent04_Withdrawals!A41="","",Agent04_Withdrawals!D41)</f>
        <v/>
      </c>
      <c r="F636" s="37" t="str">
        <f>IF(Agent04_Withdrawals!A41="","",Agent04_Withdrawals!F41)</f>
        <v/>
      </c>
      <c r="G636" s="39" t="str">
        <f>IF(Agent04_Withdrawals!A41="","",Agent04_Withdrawals!E41)</f>
        <v/>
      </c>
      <c r="H636" s="39" t="str">
        <f>IF(Agent04_Withdrawals!A41="","",Agent04_Withdrawals!G41)</f>
        <v/>
      </c>
      <c r="I636" s="37" t="str">
        <f>IF(Agent04_Withdrawals!A41="","",Agent04_Withdrawals!H41)</f>
        <v/>
      </c>
      <c r="J636" s="37" t="str">
        <f>IF(Agent04_Withdrawals!A41="","",Agent04_Withdrawals!J41)</f>
        <v/>
      </c>
      <c r="K636" s="37" t="str">
        <f>IF(Agent04_Withdrawals!A41="","",Agent04_Withdrawals!K41)</f>
        <v/>
      </c>
      <c r="L636" s="37" t="str">
        <f>IF(G636="","",IF(D636-G636&gt;=System_Config!$B$9,"✅ OK","⚠️ BREACH"))</f>
        <v/>
      </c>
      <c r="M636" s="37" t="str">
        <f>IFERROR(IF(Agent04_Withdrawals!A41="","",YEAR(Agent04_Withdrawals!D41)),"")</f>
        <v/>
      </c>
    </row>
    <row r="637" spans="1:13" ht="18" customHeight="1" x14ac:dyDescent="0.25">
      <c r="A637" s="37" t="str">
        <f>IF(Agent04_Withdrawals!A42="","",Agent04_Withdrawals!A42)</f>
        <v/>
      </c>
      <c r="B637" s="37" t="str">
        <f ca="1">IF(Agent04_Withdrawals!A42="","","WD"&amp;TEXT(637-3,"0000")&amp;"-"&amp;TEXT(TODAY(),"YYYYMMDD"))</f>
        <v/>
      </c>
      <c r="C637" s="37" t="str">
        <f>IF(Agent04_Withdrawals!A42="","",Agent04_Withdrawals!B42)</f>
        <v/>
      </c>
      <c r="D637" s="40" t="str">
        <f>IF(Agent04_Withdrawals!A42="","",Agent04_Withdrawals!C42)</f>
        <v/>
      </c>
      <c r="E637" s="38" t="str">
        <f>IF(Agent04_Withdrawals!A42="","",Agent04_Withdrawals!D42)</f>
        <v/>
      </c>
      <c r="F637" s="37" t="str">
        <f>IF(Agent04_Withdrawals!A42="","",Agent04_Withdrawals!F42)</f>
        <v/>
      </c>
      <c r="G637" s="39" t="str">
        <f>IF(Agent04_Withdrawals!A42="","",Agent04_Withdrawals!E42)</f>
        <v/>
      </c>
      <c r="H637" s="39" t="str">
        <f>IF(Agent04_Withdrawals!A42="","",Agent04_Withdrawals!G42)</f>
        <v/>
      </c>
      <c r="I637" s="37" t="str">
        <f>IF(Agent04_Withdrawals!A42="","",Agent04_Withdrawals!H42)</f>
        <v/>
      </c>
      <c r="J637" s="37" t="str">
        <f>IF(Agent04_Withdrawals!A42="","",Agent04_Withdrawals!J42)</f>
        <v/>
      </c>
      <c r="K637" s="37" t="str">
        <f>IF(Agent04_Withdrawals!A42="","",Agent04_Withdrawals!K42)</f>
        <v/>
      </c>
      <c r="L637" s="37" t="str">
        <f>IF(G637="","",IF(D637-G637&gt;=System_Config!$B$9,"✅ OK","⚠️ BREACH"))</f>
        <v/>
      </c>
      <c r="M637" s="37" t="str">
        <f>IFERROR(IF(Agent04_Withdrawals!A42="","",YEAR(Agent04_Withdrawals!D42)),"")</f>
        <v/>
      </c>
    </row>
    <row r="638" spans="1:13" ht="18" customHeight="1" x14ac:dyDescent="0.25">
      <c r="A638" s="37" t="str">
        <f>IF(Agent04_Withdrawals!A43="","",Agent04_Withdrawals!A43)</f>
        <v/>
      </c>
      <c r="B638" s="37" t="str">
        <f ca="1">IF(Agent04_Withdrawals!A43="","","WD"&amp;TEXT(638-3,"0000")&amp;"-"&amp;TEXT(TODAY(),"YYYYMMDD"))</f>
        <v/>
      </c>
      <c r="C638" s="37" t="str">
        <f>IF(Agent04_Withdrawals!A43="","",Agent04_Withdrawals!B43)</f>
        <v/>
      </c>
      <c r="D638" s="40" t="str">
        <f>IF(Agent04_Withdrawals!A43="","",Agent04_Withdrawals!C43)</f>
        <v/>
      </c>
      <c r="E638" s="38" t="str">
        <f>IF(Agent04_Withdrawals!A43="","",Agent04_Withdrawals!D43)</f>
        <v/>
      </c>
      <c r="F638" s="37" t="str">
        <f>IF(Agent04_Withdrawals!A43="","",Agent04_Withdrawals!F43)</f>
        <v/>
      </c>
      <c r="G638" s="39" t="str">
        <f>IF(Agent04_Withdrawals!A43="","",Agent04_Withdrawals!E43)</f>
        <v/>
      </c>
      <c r="H638" s="39" t="str">
        <f>IF(Agent04_Withdrawals!A43="","",Agent04_Withdrawals!G43)</f>
        <v/>
      </c>
      <c r="I638" s="37" t="str">
        <f>IF(Agent04_Withdrawals!A43="","",Agent04_Withdrawals!H43)</f>
        <v/>
      </c>
      <c r="J638" s="37" t="str">
        <f>IF(Agent04_Withdrawals!A43="","",Agent04_Withdrawals!J43)</f>
        <v/>
      </c>
      <c r="K638" s="37" t="str">
        <f>IF(Agent04_Withdrawals!A43="","",Agent04_Withdrawals!K43)</f>
        <v/>
      </c>
      <c r="L638" s="37" t="str">
        <f>IF(G638="","",IF(D638-G638&gt;=System_Config!$B$9,"✅ OK","⚠️ BREACH"))</f>
        <v/>
      </c>
      <c r="M638" s="37" t="str">
        <f>IFERROR(IF(Agent04_Withdrawals!A43="","",YEAR(Agent04_Withdrawals!D43)),"")</f>
        <v/>
      </c>
    </row>
    <row r="639" spans="1:13" ht="18" customHeight="1" x14ac:dyDescent="0.25">
      <c r="A639" s="37" t="str">
        <f>IF(Agent04_Withdrawals!A44="","",Agent04_Withdrawals!A44)</f>
        <v/>
      </c>
      <c r="B639" s="37" t="str">
        <f ca="1">IF(Agent04_Withdrawals!A44="","","WD"&amp;TEXT(639-3,"0000")&amp;"-"&amp;TEXT(TODAY(),"YYYYMMDD"))</f>
        <v/>
      </c>
      <c r="C639" s="37" t="str">
        <f>IF(Agent04_Withdrawals!A44="","",Agent04_Withdrawals!B44)</f>
        <v/>
      </c>
      <c r="D639" s="40" t="str">
        <f>IF(Agent04_Withdrawals!A44="","",Agent04_Withdrawals!C44)</f>
        <v/>
      </c>
      <c r="E639" s="38" t="str">
        <f>IF(Agent04_Withdrawals!A44="","",Agent04_Withdrawals!D44)</f>
        <v/>
      </c>
      <c r="F639" s="37" t="str">
        <f>IF(Agent04_Withdrawals!A44="","",Agent04_Withdrawals!F44)</f>
        <v/>
      </c>
      <c r="G639" s="39" t="str">
        <f>IF(Agent04_Withdrawals!A44="","",Agent04_Withdrawals!E44)</f>
        <v/>
      </c>
      <c r="H639" s="39" t="str">
        <f>IF(Agent04_Withdrawals!A44="","",Agent04_Withdrawals!G44)</f>
        <v/>
      </c>
      <c r="I639" s="37" t="str">
        <f>IF(Agent04_Withdrawals!A44="","",Agent04_Withdrawals!H44)</f>
        <v/>
      </c>
      <c r="J639" s="37" t="str">
        <f>IF(Agent04_Withdrawals!A44="","",Agent04_Withdrawals!J44)</f>
        <v/>
      </c>
      <c r="K639" s="37" t="str">
        <f>IF(Agent04_Withdrawals!A44="","",Agent04_Withdrawals!K44)</f>
        <v/>
      </c>
      <c r="L639" s="37" t="str">
        <f>IF(G639="","",IF(D639-G639&gt;=System_Config!$B$9,"✅ OK","⚠️ BREACH"))</f>
        <v/>
      </c>
      <c r="M639" s="37" t="str">
        <f>IFERROR(IF(Agent04_Withdrawals!A44="","",YEAR(Agent04_Withdrawals!D44)),"")</f>
        <v/>
      </c>
    </row>
    <row r="640" spans="1:13" ht="18" customHeight="1" x14ac:dyDescent="0.25">
      <c r="A640" s="37" t="str">
        <f>IF(Agent04_Withdrawals!A45="","",Agent04_Withdrawals!A45)</f>
        <v/>
      </c>
      <c r="B640" s="37" t="str">
        <f ca="1">IF(Agent04_Withdrawals!A45="","","WD"&amp;TEXT(640-3,"0000")&amp;"-"&amp;TEXT(TODAY(),"YYYYMMDD"))</f>
        <v/>
      </c>
      <c r="C640" s="37" t="str">
        <f>IF(Agent04_Withdrawals!A45="","",Agent04_Withdrawals!B45)</f>
        <v/>
      </c>
      <c r="D640" s="40" t="str">
        <f>IF(Agent04_Withdrawals!A45="","",Agent04_Withdrawals!C45)</f>
        <v/>
      </c>
      <c r="E640" s="38" t="str">
        <f>IF(Agent04_Withdrawals!A45="","",Agent04_Withdrawals!D45)</f>
        <v/>
      </c>
      <c r="F640" s="37" t="str">
        <f>IF(Agent04_Withdrawals!A45="","",Agent04_Withdrawals!F45)</f>
        <v/>
      </c>
      <c r="G640" s="39" t="str">
        <f>IF(Agent04_Withdrawals!A45="","",Agent04_Withdrawals!E45)</f>
        <v/>
      </c>
      <c r="H640" s="39" t="str">
        <f>IF(Agent04_Withdrawals!A45="","",Agent04_Withdrawals!G45)</f>
        <v/>
      </c>
      <c r="I640" s="37" t="str">
        <f>IF(Agent04_Withdrawals!A45="","",Agent04_Withdrawals!H45)</f>
        <v/>
      </c>
      <c r="J640" s="37" t="str">
        <f>IF(Agent04_Withdrawals!A45="","",Agent04_Withdrawals!J45)</f>
        <v/>
      </c>
      <c r="K640" s="37" t="str">
        <f>IF(Agent04_Withdrawals!A45="","",Agent04_Withdrawals!K45)</f>
        <v/>
      </c>
      <c r="L640" s="37" t="str">
        <f>IF(G640="","",IF(D640-G640&gt;=System_Config!$B$9,"✅ OK","⚠️ BREACH"))</f>
        <v/>
      </c>
      <c r="M640" s="37" t="str">
        <f>IFERROR(IF(Agent04_Withdrawals!A45="","",YEAR(Agent04_Withdrawals!D45)),"")</f>
        <v/>
      </c>
    </row>
    <row r="641" spans="1:13" ht="18" customHeight="1" x14ac:dyDescent="0.25">
      <c r="A641" s="37" t="str">
        <f>IF(Agent04_Withdrawals!A46="","",Agent04_Withdrawals!A46)</f>
        <v/>
      </c>
      <c r="B641" s="37" t="str">
        <f ca="1">IF(Agent04_Withdrawals!A46="","","WD"&amp;TEXT(641-3,"0000")&amp;"-"&amp;TEXT(TODAY(),"YYYYMMDD"))</f>
        <v/>
      </c>
      <c r="C641" s="37" t="str">
        <f>IF(Agent04_Withdrawals!A46="","",Agent04_Withdrawals!B46)</f>
        <v/>
      </c>
      <c r="D641" s="40" t="str">
        <f>IF(Agent04_Withdrawals!A46="","",Agent04_Withdrawals!C46)</f>
        <v/>
      </c>
      <c r="E641" s="38" t="str">
        <f>IF(Agent04_Withdrawals!A46="","",Agent04_Withdrawals!D46)</f>
        <v/>
      </c>
      <c r="F641" s="37" t="str">
        <f>IF(Agent04_Withdrawals!A46="","",Agent04_Withdrawals!F46)</f>
        <v/>
      </c>
      <c r="G641" s="39" t="str">
        <f>IF(Agent04_Withdrawals!A46="","",Agent04_Withdrawals!E46)</f>
        <v/>
      </c>
      <c r="H641" s="39" t="str">
        <f>IF(Agent04_Withdrawals!A46="","",Agent04_Withdrawals!G46)</f>
        <v/>
      </c>
      <c r="I641" s="37" t="str">
        <f>IF(Agent04_Withdrawals!A46="","",Agent04_Withdrawals!H46)</f>
        <v/>
      </c>
      <c r="J641" s="37" t="str">
        <f>IF(Agent04_Withdrawals!A46="","",Agent04_Withdrawals!J46)</f>
        <v/>
      </c>
      <c r="K641" s="37" t="str">
        <f>IF(Agent04_Withdrawals!A46="","",Agent04_Withdrawals!K46)</f>
        <v/>
      </c>
      <c r="L641" s="37" t="str">
        <f>IF(G641="","",IF(D641-G641&gt;=System_Config!$B$9,"✅ OK","⚠️ BREACH"))</f>
        <v/>
      </c>
      <c r="M641" s="37" t="str">
        <f>IFERROR(IF(Agent04_Withdrawals!A46="","",YEAR(Agent04_Withdrawals!D46)),"")</f>
        <v/>
      </c>
    </row>
    <row r="642" spans="1:13" ht="18" customHeight="1" x14ac:dyDescent="0.25">
      <c r="A642" s="37" t="str">
        <f>IF(Agent04_Withdrawals!A47="","",Agent04_Withdrawals!A47)</f>
        <v/>
      </c>
      <c r="B642" s="37" t="str">
        <f ca="1">IF(Agent04_Withdrawals!A47="","","WD"&amp;TEXT(642-3,"0000")&amp;"-"&amp;TEXT(TODAY(),"YYYYMMDD"))</f>
        <v/>
      </c>
      <c r="C642" s="37" t="str">
        <f>IF(Agent04_Withdrawals!A47="","",Agent04_Withdrawals!B47)</f>
        <v/>
      </c>
      <c r="D642" s="40" t="str">
        <f>IF(Agent04_Withdrawals!A47="","",Agent04_Withdrawals!C47)</f>
        <v/>
      </c>
      <c r="E642" s="38" t="str">
        <f>IF(Agent04_Withdrawals!A47="","",Agent04_Withdrawals!D47)</f>
        <v/>
      </c>
      <c r="F642" s="37" t="str">
        <f>IF(Agent04_Withdrawals!A47="","",Agent04_Withdrawals!F47)</f>
        <v/>
      </c>
      <c r="G642" s="39" t="str">
        <f>IF(Agent04_Withdrawals!A47="","",Agent04_Withdrawals!E47)</f>
        <v/>
      </c>
      <c r="H642" s="39" t="str">
        <f>IF(Agent04_Withdrawals!A47="","",Agent04_Withdrawals!G47)</f>
        <v/>
      </c>
      <c r="I642" s="37" t="str">
        <f>IF(Agent04_Withdrawals!A47="","",Agent04_Withdrawals!H47)</f>
        <v/>
      </c>
      <c r="J642" s="37" t="str">
        <f>IF(Agent04_Withdrawals!A47="","",Agent04_Withdrawals!J47)</f>
        <v/>
      </c>
      <c r="K642" s="37" t="str">
        <f>IF(Agent04_Withdrawals!A47="","",Agent04_Withdrawals!K47)</f>
        <v/>
      </c>
      <c r="L642" s="37" t="str">
        <f>IF(G642="","",IF(D642-G642&gt;=System_Config!$B$9,"✅ OK","⚠️ BREACH"))</f>
        <v/>
      </c>
      <c r="M642" s="37" t="str">
        <f>IFERROR(IF(Agent04_Withdrawals!A47="","",YEAR(Agent04_Withdrawals!D47)),"")</f>
        <v/>
      </c>
    </row>
    <row r="643" spans="1:13" ht="18" customHeight="1" x14ac:dyDescent="0.25">
      <c r="A643" s="37" t="str">
        <f>IF(Agent04_Withdrawals!A48="","",Agent04_Withdrawals!A48)</f>
        <v/>
      </c>
      <c r="B643" s="37" t="str">
        <f ca="1">IF(Agent04_Withdrawals!A48="","","WD"&amp;TEXT(643-3,"0000")&amp;"-"&amp;TEXT(TODAY(),"YYYYMMDD"))</f>
        <v/>
      </c>
      <c r="C643" s="37" t="str">
        <f>IF(Agent04_Withdrawals!A48="","",Agent04_Withdrawals!B48)</f>
        <v/>
      </c>
      <c r="D643" s="40" t="str">
        <f>IF(Agent04_Withdrawals!A48="","",Agent04_Withdrawals!C48)</f>
        <v/>
      </c>
      <c r="E643" s="38" t="str">
        <f>IF(Agent04_Withdrawals!A48="","",Agent04_Withdrawals!D48)</f>
        <v/>
      </c>
      <c r="F643" s="37" t="str">
        <f>IF(Agent04_Withdrawals!A48="","",Agent04_Withdrawals!F48)</f>
        <v/>
      </c>
      <c r="G643" s="39" t="str">
        <f>IF(Agent04_Withdrawals!A48="","",Agent04_Withdrawals!E48)</f>
        <v/>
      </c>
      <c r="H643" s="39" t="str">
        <f>IF(Agent04_Withdrawals!A48="","",Agent04_Withdrawals!G48)</f>
        <v/>
      </c>
      <c r="I643" s="37" t="str">
        <f>IF(Agent04_Withdrawals!A48="","",Agent04_Withdrawals!H48)</f>
        <v/>
      </c>
      <c r="J643" s="37" t="str">
        <f>IF(Agent04_Withdrawals!A48="","",Agent04_Withdrawals!J48)</f>
        <v/>
      </c>
      <c r="K643" s="37" t="str">
        <f>IF(Agent04_Withdrawals!A48="","",Agent04_Withdrawals!K48)</f>
        <v/>
      </c>
      <c r="L643" s="37" t="str">
        <f>IF(G643="","",IF(D643-G643&gt;=System_Config!$B$9,"✅ OK","⚠️ BREACH"))</f>
        <v/>
      </c>
      <c r="M643" s="37" t="str">
        <f>IFERROR(IF(Agent04_Withdrawals!A48="","",YEAR(Agent04_Withdrawals!D48)),"")</f>
        <v/>
      </c>
    </row>
    <row r="644" spans="1:13" ht="18" customHeight="1" x14ac:dyDescent="0.25">
      <c r="A644" s="37" t="str">
        <f>IF(Agent04_Withdrawals!A49="","",Agent04_Withdrawals!A49)</f>
        <v/>
      </c>
      <c r="B644" s="37" t="str">
        <f ca="1">IF(Agent04_Withdrawals!A49="","","WD"&amp;TEXT(644-3,"0000")&amp;"-"&amp;TEXT(TODAY(),"YYYYMMDD"))</f>
        <v/>
      </c>
      <c r="C644" s="37" t="str">
        <f>IF(Agent04_Withdrawals!A49="","",Agent04_Withdrawals!B49)</f>
        <v/>
      </c>
      <c r="D644" s="40" t="str">
        <f>IF(Agent04_Withdrawals!A49="","",Agent04_Withdrawals!C49)</f>
        <v/>
      </c>
      <c r="E644" s="38" t="str">
        <f>IF(Agent04_Withdrawals!A49="","",Agent04_Withdrawals!D49)</f>
        <v/>
      </c>
      <c r="F644" s="37" t="str">
        <f>IF(Agent04_Withdrawals!A49="","",Agent04_Withdrawals!F49)</f>
        <v/>
      </c>
      <c r="G644" s="39" t="str">
        <f>IF(Agent04_Withdrawals!A49="","",Agent04_Withdrawals!E49)</f>
        <v/>
      </c>
      <c r="H644" s="39" t="str">
        <f>IF(Agent04_Withdrawals!A49="","",Agent04_Withdrawals!G49)</f>
        <v/>
      </c>
      <c r="I644" s="37" t="str">
        <f>IF(Agent04_Withdrawals!A49="","",Agent04_Withdrawals!H49)</f>
        <v/>
      </c>
      <c r="J644" s="37" t="str">
        <f>IF(Agent04_Withdrawals!A49="","",Agent04_Withdrawals!J49)</f>
        <v/>
      </c>
      <c r="K644" s="37" t="str">
        <f>IF(Agent04_Withdrawals!A49="","",Agent04_Withdrawals!K49)</f>
        <v/>
      </c>
      <c r="L644" s="37" t="str">
        <f>IF(G644="","",IF(D644-G644&gt;=System_Config!$B$9,"✅ OK","⚠️ BREACH"))</f>
        <v/>
      </c>
      <c r="M644" s="37" t="str">
        <f>IFERROR(IF(Agent04_Withdrawals!A49="","",YEAR(Agent04_Withdrawals!D49)),"")</f>
        <v/>
      </c>
    </row>
    <row r="645" spans="1:13" ht="18" customHeight="1" x14ac:dyDescent="0.25">
      <c r="A645" s="37" t="str">
        <f>IF(Agent04_Withdrawals!A50="","",Agent04_Withdrawals!A50)</f>
        <v/>
      </c>
      <c r="B645" s="37" t="str">
        <f ca="1">IF(Agent04_Withdrawals!A50="","","WD"&amp;TEXT(645-3,"0000")&amp;"-"&amp;TEXT(TODAY(),"YYYYMMDD"))</f>
        <v/>
      </c>
      <c r="C645" s="37" t="str">
        <f>IF(Agent04_Withdrawals!A50="","",Agent04_Withdrawals!B50)</f>
        <v/>
      </c>
      <c r="D645" s="40" t="str">
        <f>IF(Agent04_Withdrawals!A50="","",Agent04_Withdrawals!C50)</f>
        <v/>
      </c>
      <c r="E645" s="38" t="str">
        <f>IF(Agent04_Withdrawals!A50="","",Agent04_Withdrawals!D50)</f>
        <v/>
      </c>
      <c r="F645" s="37" t="str">
        <f>IF(Agent04_Withdrawals!A50="","",Agent04_Withdrawals!F50)</f>
        <v/>
      </c>
      <c r="G645" s="39" t="str">
        <f>IF(Agent04_Withdrawals!A50="","",Agent04_Withdrawals!E50)</f>
        <v/>
      </c>
      <c r="H645" s="39" t="str">
        <f>IF(Agent04_Withdrawals!A50="","",Agent04_Withdrawals!G50)</f>
        <v/>
      </c>
      <c r="I645" s="37" t="str">
        <f>IF(Agent04_Withdrawals!A50="","",Agent04_Withdrawals!H50)</f>
        <v/>
      </c>
      <c r="J645" s="37" t="str">
        <f>IF(Agent04_Withdrawals!A50="","",Agent04_Withdrawals!J50)</f>
        <v/>
      </c>
      <c r="K645" s="37" t="str">
        <f>IF(Agent04_Withdrawals!A50="","",Agent04_Withdrawals!K50)</f>
        <v/>
      </c>
      <c r="L645" s="37" t="str">
        <f>IF(G645="","",IF(D645-G645&gt;=System_Config!$B$9,"✅ OK","⚠️ BREACH"))</f>
        <v/>
      </c>
      <c r="M645" s="37" t="str">
        <f>IFERROR(IF(Agent04_Withdrawals!A50="","",YEAR(Agent04_Withdrawals!D50)),"")</f>
        <v/>
      </c>
    </row>
    <row r="646" spans="1:13" ht="18" customHeight="1" x14ac:dyDescent="0.25">
      <c r="A646" s="37" t="str">
        <f>IF(Agent04_Withdrawals!A51="","",Agent04_Withdrawals!A51)</f>
        <v/>
      </c>
      <c r="B646" s="37" t="str">
        <f ca="1">IF(Agent04_Withdrawals!A51="","","WD"&amp;TEXT(646-3,"0000")&amp;"-"&amp;TEXT(TODAY(),"YYYYMMDD"))</f>
        <v/>
      </c>
      <c r="C646" s="37" t="str">
        <f>IF(Agent04_Withdrawals!A51="","",Agent04_Withdrawals!B51)</f>
        <v/>
      </c>
      <c r="D646" s="40" t="str">
        <f>IF(Agent04_Withdrawals!A51="","",Agent04_Withdrawals!C51)</f>
        <v/>
      </c>
      <c r="E646" s="38" t="str">
        <f>IF(Agent04_Withdrawals!A51="","",Agent04_Withdrawals!D51)</f>
        <v/>
      </c>
      <c r="F646" s="37" t="str">
        <f>IF(Agent04_Withdrawals!A51="","",Agent04_Withdrawals!F51)</f>
        <v/>
      </c>
      <c r="G646" s="39" t="str">
        <f>IF(Agent04_Withdrawals!A51="","",Agent04_Withdrawals!E51)</f>
        <v/>
      </c>
      <c r="H646" s="39" t="str">
        <f>IF(Agent04_Withdrawals!A51="","",Agent04_Withdrawals!G51)</f>
        <v/>
      </c>
      <c r="I646" s="37" t="str">
        <f>IF(Agent04_Withdrawals!A51="","",Agent04_Withdrawals!H51)</f>
        <v/>
      </c>
      <c r="J646" s="37" t="str">
        <f>IF(Agent04_Withdrawals!A51="","",Agent04_Withdrawals!J51)</f>
        <v/>
      </c>
      <c r="K646" s="37" t="str">
        <f>IF(Agent04_Withdrawals!A51="","",Agent04_Withdrawals!K51)</f>
        <v/>
      </c>
      <c r="L646" s="37" t="str">
        <f>IF(G646="","",IF(D646-G646&gt;=System_Config!$B$9,"✅ OK","⚠️ BREACH"))</f>
        <v/>
      </c>
      <c r="M646" s="37" t="str">
        <f>IFERROR(IF(Agent04_Withdrawals!A51="","",YEAR(Agent04_Withdrawals!D51)),"")</f>
        <v/>
      </c>
    </row>
    <row r="647" spans="1:13" ht="18" customHeight="1" x14ac:dyDescent="0.25">
      <c r="A647" s="37" t="str">
        <f>IF(Agent04_Withdrawals!A52="","",Agent04_Withdrawals!A52)</f>
        <v/>
      </c>
      <c r="B647" s="37" t="str">
        <f ca="1">IF(Agent04_Withdrawals!A52="","","WD"&amp;TEXT(647-3,"0000")&amp;"-"&amp;TEXT(TODAY(),"YYYYMMDD"))</f>
        <v/>
      </c>
      <c r="C647" s="37" t="str">
        <f>IF(Agent04_Withdrawals!A52="","",Agent04_Withdrawals!B52)</f>
        <v/>
      </c>
      <c r="D647" s="40" t="str">
        <f>IF(Agent04_Withdrawals!A52="","",Agent04_Withdrawals!C52)</f>
        <v/>
      </c>
      <c r="E647" s="38" t="str">
        <f>IF(Agent04_Withdrawals!A52="","",Agent04_Withdrawals!D52)</f>
        <v/>
      </c>
      <c r="F647" s="37" t="str">
        <f>IF(Agent04_Withdrawals!A52="","",Agent04_Withdrawals!F52)</f>
        <v/>
      </c>
      <c r="G647" s="39" t="str">
        <f>IF(Agent04_Withdrawals!A52="","",Agent04_Withdrawals!E52)</f>
        <v/>
      </c>
      <c r="H647" s="39" t="str">
        <f>IF(Agent04_Withdrawals!A52="","",Agent04_Withdrawals!G52)</f>
        <v/>
      </c>
      <c r="I647" s="37" t="str">
        <f>IF(Agent04_Withdrawals!A52="","",Agent04_Withdrawals!H52)</f>
        <v/>
      </c>
      <c r="J647" s="37" t="str">
        <f>IF(Agent04_Withdrawals!A52="","",Agent04_Withdrawals!J52)</f>
        <v/>
      </c>
      <c r="K647" s="37" t="str">
        <f>IF(Agent04_Withdrawals!A52="","",Agent04_Withdrawals!K52)</f>
        <v/>
      </c>
      <c r="L647" s="37" t="str">
        <f>IF(G647="","",IF(D647-G647&gt;=System_Config!$B$9,"✅ OK","⚠️ BREACH"))</f>
        <v/>
      </c>
      <c r="M647" s="37" t="str">
        <f>IFERROR(IF(Agent04_Withdrawals!A52="","",YEAR(Agent04_Withdrawals!D52)),"")</f>
        <v/>
      </c>
    </row>
    <row r="648" spans="1:13" ht="18" customHeight="1" x14ac:dyDescent="0.25">
      <c r="A648" s="37" t="str">
        <f>IF(Agent04_Withdrawals!A53="","",Agent04_Withdrawals!A53)</f>
        <v/>
      </c>
      <c r="B648" s="37" t="str">
        <f ca="1">IF(Agent04_Withdrawals!A53="","","WD"&amp;TEXT(648-3,"0000")&amp;"-"&amp;TEXT(TODAY(),"YYYYMMDD"))</f>
        <v/>
      </c>
      <c r="C648" s="37" t="str">
        <f>IF(Agent04_Withdrawals!A53="","",Agent04_Withdrawals!B53)</f>
        <v/>
      </c>
      <c r="D648" s="40" t="str">
        <f>IF(Agent04_Withdrawals!A53="","",Agent04_Withdrawals!C53)</f>
        <v/>
      </c>
      <c r="E648" s="38" t="str">
        <f>IF(Agent04_Withdrawals!A53="","",Agent04_Withdrawals!D53)</f>
        <v/>
      </c>
      <c r="F648" s="37" t="str">
        <f>IF(Agent04_Withdrawals!A53="","",Agent04_Withdrawals!F53)</f>
        <v/>
      </c>
      <c r="G648" s="39" t="str">
        <f>IF(Agent04_Withdrawals!A53="","",Agent04_Withdrawals!E53)</f>
        <v/>
      </c>
      <c r="H648" s="39" t="str">
        <f>IF(Agent04_Withdrawals!A53="","",Agent04_Withdrawals!G53)</f>
        <v/>
      </c>
      <c r="I648" s="37" t="str">
        <f>IF(Agent04_Withdrawals!A53="","",Agent04_Withdrawals!H53)</f>
        <v/>
      </c>
      <c r="J648" s="37" t="str">
        <f>IF(Agent04_Withdrawals!A53="","",Agent04_Withdrawals!J53)</f>
        <v/>
      </c>
      <c r="K648" s="37" t="str">
        <f>IF(Agent04_Withdrawals!A53="","",Agent04_Withdrawals!K53)</f>
        <v/>
      </c>
      <c r="L648" s="37" t="str">
        <f>IF(G648="","",IF(D648-G648&gt;=System_Config!$B$9,"✅ OK","⚠️ BREACH"))</f>
        <v/>
      </c>
      <c r="M648" s="37" t="str">
        <f>IFERROR(IF(Agent04_Withdrawals!A53="","",YEAR(Agent04_Withdrawals!D53)),"")</f>
        <v/>
      </c>
    </row>
    <row r="649" spans="1:13" ht="18" customHeight="1" x14ac:dyDescent="0.25">
      <c r="A649" s="37" t="str">
        <f>IF(Agent04_Withdrawals!A54="","",Agent04_Withdrawals!A54)</f>
        <v/>
      </c>
      <c r="B649" s="37" t="str">
        <f ca="1">IF(Agent04_Withdrawals!A54="","","WD"&amp;TEXT(649-3,"0000")&amp;"-"&amp;TEXT(TODAY(),"YYYYMMDD"))</f>
        <v/>
      </c>
      <c r="C649" s="37" t="str">
        <f>IF(Agent04_Withdrawals!A54="","",Agent04_Withdrawals!B54)</f>
        <v/>
      </c>
      <c r="D649" s="40" t="str">
        <f>IF(Agent04_Withdrawals!A54="","",Agent04_Withdrawals!C54)</f>
        <v/>
      </c>
      <c r="E649" s="38" t="str">
        <f>IF(Agent04_Withdrawals!A54="","",Agent04_Withdrawals!D54)</f>
        <v/>
      </c>
      <c r="F649" s="37" t="str">
        <f>IF(Agent04_Withdrawals!A54="","",Agent04_Withdrawals!F54)</f>
        <v/>
      </c>
      <c r="G649" s="39" t="str">
        <f>IF(Agent04_Withdrawals!A54="","",Agent04_Withdrawals!E54)</f>
        <v/>
      </c>
      <c r="H649" s="39" t="str">
        <f>IF(Agent04_Withdrawals!A54="","",Agent04_Withdrawals!G54)</f>
        <v/>
      </c>
      <c r="I649" s="37" t="str">
        <f>IF(Agent04_Withdrawals!A54="","",Agent04_Withdrawals!H54)</f>
        <v/>
      </c>
      <c r="J649" s="37" t="str">
        <f>IF(Agent04_Withdrawals!A54="","",Agent04_Withdrawals!J54)</f>
        <v/>
      </c>
      <c r="K649" s="37" t="str">
        <f>IF(Agent04_Withdrawals!A54="","",Agent04_Withdrawals!K54)</f>
        <v/>
      </c>
      <c r="L649" s="37" t="str">
        <f>IF(G649="","",IF(D649-G649&gt;=System_Config!$B$9,"✅ OK","⚠️ BREACH"))</f>
        <v/>
      </c>
      <c r="M649" s="37" t="str">
        <f>IFERROR(IF(Agent04_Withdrawals!A54="","",YEAR(Agent04_Withdrawals!D54)),"")</f>
        <v/>
      </c>
    </row>
    <row r="650" spans="1:13" ht="18" customHeight="1" x14ac:dyDescent="0.25">
      <c r="A650" s="37" t="str">
        <f>IF(Agent04_Withdrawals!A55="","",Agent04_Withdrawals!A55)</f>
        <v/>
      </c>
      <c r="B650" s="37" t="str">
        <f ca="1">IF(Agent04_Withdrawals!A55="","","WD"&amp;TEXT(650-3,"0000")&amp;"-"&amp;TEXT(TODAY(),"YYYYMMDD"))</f>
        <v/>
      </c>
      <c r="C650" s="37" t="str">
        <f>IF(Agent04_Withdrawals!A55="","",Agent04_Withdrawals!B55)</f>
        <v/>
      </c>
      <c r="D650" s="40" t="str">
        <f>IF(Agent04_Withdrawals!A55="","",Agent04_Withdrawals!C55)</f>
        <v/>
      </c>
      <c r="E650" s="38" t="str">
        <f>IF(Agent04_Withdrawals!A55="","",Agent04_Withdrawals!D55)</f>
        <v/>
      </c>
      <c r="F650" s="37" t="str">
        <f>IF(Agent04_Withdrawals!A55="","",Agent04_Withdrawals!F55)</f>
        <v/>
      </c>
      <c r="G650" s="39" t="str">
        <f>IF(Agent04_Withdrawals!A55="","",Agent04_Withdrawals!E55)</f>
        <v/>
      </c>
      <c r="H650" s="39" t="str">
        <f>IF(Agent04_Withdrawals!A55="","",Agent04_Withdrawals!G55)</f>
        <v/>
      </c>
      <c r="I650" s="37" t="str">
        <f>IF(Agent04_Withdrawals!A55="","",Agent04_Withdrawals!H55)</f>
        <v/>
      </c>
      <c r="J650" s="37" t="str">
        <f>IF(Agent04_Withdrawals!A55="","",Agent04_Withdrawals!J55)</f>
        <v/>
      </c>
      <c r="K650" s="37" t="str">
        <f>IF(Agent04_Withdrawals!A55="","",Agent04_Withdrawals!K55)</f>
        <v/>
      </c>
      <c r="L650" s="37" t="str">
        <f>IF(G650="","",IF(D650-G650&gt;=System_Config!$B$9,"✅ OK","⚠️ BREACH"))</f>
        <v/>
      </c>
      <c r="M650" s="37" t="str">
        <f>IFERROR(IF(Agent04_Withdrawals!A55="","",YEAR(Agent04_Withdrawals!D55)),"")</f>
        <v/>
      </c>
    </row>
    <row r="651" spans="1:13" ht="18" customHeight="1" x14ac:dyDescent="0.25">
      <c r="A651" s="37" t="str">
        <f>IF(Agent04_Withdrawals!A56="","",Agent04_Withdrawals!A56)</f>
        <v/>
      </c>
      <c r="B651" s="37" t="str">
        <f ca="1">IF(Agent04_Withdrawals!A56="","","WD"&amp;TEXT(651-3,"0000")&amp;"-"&amp;TEXT(TODAY(),"YYYYMMDD"))</f>
        <v/>
      </c>
      <c r="C651" s="37" t="str">
        <f>IF(Agent04_Withdrawals!A56="","",Agent04_Withdrawals!B56)</f>
        <v/>
      </c>
      <c r="D651" s="40" t="str">
        <f>IF(Agent04_Withdrawals!A56="","",Agent04_Withdrawals!C56)</f>
        <v/>
      </c>
      <c r="E651" s="38" t="str">
        <f>IF(Agent04_Withdrawals!A56="","",Agent04_Withdrawals!D56)</f>
        <v/>
      </c>
      <c r="F651" s="37" t="str">
        <f>IF(Agent04_Withdrawals!A56="","",Agent04_Withdrawals!F56)</f>
        <v/>
      </c>
      <c r="G651" s="39" t="str">
        <f>IF(Agent04_Withdrawals!A56="","",Agent04_Withdrawals!E56)</f>
        <v/>
      </c>
      <c r="H651" s="39" t="str">
        <f>IF(Agent04_Withdrawals!A56="","",Agent04_Withdrawals!G56)</f>
        <v/>
      </c>
      <c r="I651" s="37" t="str">
        <f>IF(Agent04_Withdrawals!A56="","",Agent04_Withdrawals!H56)</f>
        <v/>
      </c>
      <c r="J651" s="37" t="str">
        <f>IF(Agent04_Withdrawals!A56="","",Agent04_Withdrawals!J56)</f>
        <v/>
      </c>
      <c r="K651" s="37" t="str">
        <f>IF(Agent04_Withdrawals!A56="","",Agent04_Withdrawals!K56)</f>
        <v/>
      </c>
      <c r="L651" s="37" t="str">
        <f>IF(G651="","",IF(D651-G651&gt;=System_Config!$B$9,"✅ OK","⚠️ BREACH"))</f>
        <v/>
      </c>
      <c r="M651" s="37" t="str">
        <f>IFERROR(IF(Agent04_Withdrawals!A56="","",YEAR(Agent04_Withdrawals!D56)),"")</f>
        <v/>
      </c>
    </row>
    <row r="652" spans="1:13" ht="18" customHeight="1" x14ac:dyDescent="0.25">
      <c r="A652" s="37" t="str">
        <f>IF(Agent04_Withdrawals!A57="","",Agent04_Withdrawals!A57)</f>
        <v/>
      </c>
      <c r="B652" s="37" t="str">
        <f ca="1">IF(Agent04_Withdrawals!A57="","","WD"&amp;TEXT(652-3,"0000")&amp;"-"&amp;TEXT(TODAY(),"YYYYMMDD"))</f>
        <v/>
      </c>
      <c r="C652" s="37" t="str">
        <f>IF(Agent04_Withdrawals!A57="","",Agent04_Withdrawals!B57)</f>
        <v/>
      </c>
      <c r="D652" s="40" t="str">
        <f>IF(Agent04_Withdrawals!A57="","",Agent04_Withdrawals!C57)</f>
        <v/>
      </c>
      <c r="E652" s="38" t="str">
        <f>IF(Agent04_Withdrawals!A57="","",Agent04_Withdrawals!D57)</f>
        <v/>
      </c>
      <c r="F652" s="37" t="str">
        <f>IF(Agent04_Withdrawals!A57="","",Agent04_Withdrawals!F57)</f>
        <v/>
      </c>
      <c r="G652" s="39" t="str">
        <f>IF(Agent04_Withdrawals!A57="","",Agent04_Withdrawals!E57)</f>
        <v/>
      </c>
      <c r="H652" s="39" t="str">
        <f>IF(Agent04_Withdrawals!A57="","",Agent04_Withdrawals!G57)</f>
        <v/>
      </c>
      <c r="I652" s="37" t="str">
        <f>IF(Agent04_Withdrawals!A57="","",Agent04_Withdrawals!H57)</f>
        <v/>
      </c>
      <c r="J652" s="37" t="str">
        <f>IF(Agent04_Withdrawals!A57="","",Agent04_Withdrawals!J57)</f>
        <v/>
      </c>
      <c r="K652" s="37" t="str">
        <f>IF(Agent04_Withdrawals!A57="","",Agent04_Withdrawals!K57)</f>
        <v/>
      </c>
      <c r="L652" s="37" t="str">
        <f>IF(G652="","",IF(D652-G652&gt;=System_Config!$B$9,"✅ OK","⚠️ BREACH"))</f>
        <v/>
      </c>
      <c r="M652" s="37" t="str">
        <f>IFERROR(IF(Agent04_Withdrawals!A57="","",YEAR(Agent04_Withdrawals!D57)),"")</f>
        <v/>
      </c>
    </row>
    <row r="653" spans="1:13" ht="18" customHeight="1" x14ac:dyDescent="0.25">
      <c r="A653" s="37" t="str">
        <f>IF(Agent04_Withdrawals!A58="","",Agent04_Withdrawals!A58)</f>
        <v/>
      </c>
      <c r="B653" s="37" t="str">
        <f ca="1">IF(Agent04_Withdrawals!A58="","","WD"&amp;TEXT(653-3,"0000")&amp;"-"&amp;TEXT(TODAY(),"YYYYMMDD"))</f>
        <v/>
      </c>
      <c r="C653" s="37" t="str">
        <f>IF(Agent04_Withdrawals!A58="","",Agent04_Withdrawals!B58)</f>
        <v/>
      </c>
      <c r="D653" s="40" t="str">
        <f>IF(Agent04_Withdrawals!A58="","",Agent04_Withdrawals!C58)</f>
        <v/>
      </c>
      <c r="E653" s="38" t="str">
        <f>IF(Agent04_Withdrawals!A58="","",Agent04_Withdrawals!D58)</f>
        <v/>
      </c>
      <c r="F653" s="37" t="str">
        <f>IF(Agent04_Withdrawals!A58="","",Agent04_Withdrawals!F58)</f>
        <v/>
      </c>
      <c r="G653" s="39" t="str">
        <f>IF(Agent04_Withdrawals!A58="","",Agent04_Withdrawals!E58)</f>
        <v/>
      </c>
      <c r="H653" s="39" t="str">
        <f>IF(Agent04_Withdrawals!A58="","",Agent04_Withdrawals!G58)</f>
        <v/>
      </c>
      <c r="I653" s="37" t="str">
        <f>IF(Agent04_Withdrawals!A58="","",Agent04_Withdrawals!H58)</f>
        <v/>
      </c>
      <c r="J653" s="37" t="str">
        <f>IF(Agent04_Withdrawals!A58="","",Agent04_Withdrawals!J58)</f>
        <v/>
      </c>
      <c r="K653" s="37" t="str">
        <f>IF(Agent04_Withdrawals!A58="","",Agent04_Withdrawals!K58)</f>
        <v/>
      </c>
      <c r="L653" s="37" t="str">
        <f>IF(G653="","",IF(D653-G653&gt;=System_Config!$B$9,"✅ OK","⚠️ BREACH"))</f>
        <v/>
      </c>
      <c r="M653" s="37" t="str">
        <f>IFERROR(IF(Agent04_Withdrawals!A58="","",YEAR(Agent04_Withdrawals!D58)),"")</f>
        <v/>
      </c>
    </row>
    <row r="654" spans="1:13" ht="18" customHeight="1" x14ac:dyDescent="0.25">
      <c r="A654" s="37" t="str">
        <f>IF(Agent04_Withdrawals!A59="","",Agent04_Withdrawals!A59)</f>
        <v/>
      </c>
      <c r="B654" s="37" t="str">
        <f ca="1">IF(Agent04_Withdrawals!A59="","","WD"&amp;TEXT(654-3,"0000")&amp;"-"&amp;TEXT(TODAY(),"YYYYMMDD"))</f>
        <v/>
      </c>
      <c r="C654" s="37" t="str">
        <f>IF(Agent04_Withdrawals!A59="","",Agent04_Withdrawals!B59)</f>
        <v/>
      </c>
      <c r="D654" s="40" t="str">
        <f>IF(Agent04_Withdrawals!A59="","",Agent04_Withdrawals!C59)</f>
        <v/>
      </c>
      <c r="E654" s="38" t="str">
        <f>IF(Agent04_Withdrawals!A59="","",Agent04_Withdrawals!D59)</f>
        <v/>
      </c>
      <c r="F654" s="37" t="str">
        <f>IF(Agent04_Withdrawals!A59="","",Agent04_Withdrawals!F59)</f>
        <v/>
      </c>
      <c r="G654" s="39" t="str">
        <f>IF(Agent04_Withdrawals!A59="","",Agent04_Withdrawals!E59)</f>
        <v/>
      </c>
      <c r="H654" s="39" t="str">
        <f>IF(Agent04_Withdrawals!A59="","",Agent04_Withdrawals!G59)</f>
        <v/>
      </c>
      <c r="I654" s="37" t="str">
        <f>IF(Agent04_Withdrawals!A59="","",Agent04_Withdrawals!H59)</f>
        <v/>
      </c>
      <c r="J654" s="37" t="str">
        <f>IF(Agent04_Withdrawals!A59="","",Agent04_Withdrawals!J59)</f>
        <v/>
      </c>
      <c r="K654" s="37" t="str">
        <f>IF(Agent04_Withdrawals!A59="","",Agent04_Withdrawals!K59)</f>
        <v/>
      </c>
      <c r="L654" s="37" t="str">
        <f>IF(G654="","",IF(D654-G654&gt;=System_Config!$B$9,"✅ OK","⚠️ BREACH"))</f>
        <v/>
      </c>
      <c r="M654" s="37" t="str">
        <f>IFERROR(IF(Agent04_Withdrawals!A59="","",YEAR(Agent04_Withdrawals!D59)),"")</f>
        <v/>
      </c>
    </row>
    <row r="655" spans="1:13" ht="18" customHeight="1" x14ac:dyDescent="0.25">
      <c r="A655" s="37" t="str">
        <f>IF(Agent04_Withdrawals!A60="","",Agent04_Withdrawals!A60)</f>
        <v/>
      </c>
      <c r="B655" s="37" t="str">
        <f ca="1">IF(Agent04_Withdrawals!A60="","","WD"&amp;TEXT(655-3,"0000")&amp;"-"&amp;TEXT(TODAY(),"YYYYMMDD"))</f>
        <v/>
      </c>
      <c r="C655" s="37" t="str">
        <f>IF(Agent04_Withdrawals!A60="","",Agent04_Withdrawals!B60)</f>
        <v/>
      </c>
      <c r="D655" s="40" t="str">
        <f>IF(Agent04_Withdrawals!A60="","",Agent04_Withdrawals!C60)</f>
        <v/>
      </c>
      <c r="E655" s="38" t="str">
        <f>IF(Agent04_Withdrawals!A60="","",Agent04_Withdrawals!D60)</f>
        <v/>
      </c>
      <c r="F655" s="37" t="str">
        <f>IF(Agent04_Withdrawals!A60="","",Agent04_Withdrawals!F60)</f>
        <v/>
      </c>
      <c r="G655" s="39" t="str">
        <f>IF(Agent04_Withdrawals!A60="","",Agent04_Withdrawals!E60)</f>
        <v/>
      </c>
      <c r="H655" s="39" t="str">
        <f>IF(Agent04_Withdrawals!A60="","",Agent04_Withdrawals!G60)</f>
        <v/>
      </c>
      <c r="I655" s="37" t="str">
        <f>IF(Agent04_Withdrawals!A60="","",Agent04_Withdrawals!H60)</f>
        <v/>
      </c>
      <c r="J655" s="37" t="str">
        <f>IF(Agent04_Withdrawals!A60="","",Agent04_Withdrawals!J60)</f>
        <v/>
      </c>
      <c r="K655" s="37" t="str">
        <f>IF(Agent04_Withdrawals!A60="","",Agent04_Withdrawals!K60)</f>
        <v/>
      </c>
      <c r="L655" s="37" t="str">
        <f>IF(G655="","",IF(D655-G655&gt;=System_Config!$B$9,"✅ OK","⚠️ BREACH"))</f>
        <v/>
      </c>
      <c r="M655" s="37" t="str">
        <f>IFERROR(IF(Agent04_Withdrawals!A60="","",YEAR(Agent04_Withdrawals!D60)),"")</f>
        <v/>
      </c>
    </row>
    <row r="656" spans="1:13" ht="18" customHeight="1" x14ac:dyDescent="0.25">
      <c r="A656" s="37" t="str">
        <f>IF(Agent04_Withdrawals!A61="","",Agent04_Withdrawals!A61)</f>
        <v/>
      </c>
      <c r="B656" s="37" t="str">
        <f ca="1">IF(Agent04_Withdrawals!A61="","","WD"&amp;TEXT(656-3,"0000")&amp;"-"&amp;TEXT(TODAY(),"YYYYMMDD"))</f>
        <v/>
      </c>
      <c r="C656" s="37" t="str">
        <f>IF(Agent04_Withdrawals!A61="","",Agent04_Withdrawals!B61)</f>
        <v/>
      </c>
      <c r="D656" s="40" t="str">
        <f>IF(Agent04_Withdrawals!A61="","",Agent04_Withdrawals!C61)</f>
        <v/>
      </c>
      <c r="E656" s="38" t="str">
        <f>IF(Agent04_Withdrawals!A61="","",Agent04_Withdrawals!D61)</f>
        <v/>
      </c>
      <c r="F656" s="37" t="str">
        <f>IF(Agent04_Withdrawals!A61="","",Agent04_Withdrawals!F61)</f>
        <v/>
      </c>
      <c r="G656" s="39" t="str">
        <f>IF(Agent04_Withdrawals!A61="","",Agent04_Withdrawals!E61)</f>
        <v/>
      </c>
      <c r="H656" s="39" t="str">
        <f>IF(Agent04_Withdrawals!A61="","",Agent04_Withdrawals!G61)</f>
        <v/>
      </c>
      <c r="I656" s="37" t="str">
        <f>IF(Agent04_Withdrawals!A61="","",Agent04_Withdrawals!H61)</f>
        <v/>
      </c>
      <c r="J656" s="37" t="str">
        <f>IF(Agent04_Withdrawals!A61="","",Agent04_Withdrawals!J61)</f>
        <v/>
      </c>
      <c r="K656" s="37" t="str">
        <f>IF(Agent04_Withdrawals!A61="","",Agent04_Withdrawals!K61)</f>
        <v/>
      </c>
      <c r="L656" s="37" t="str">
        <f>IF(G656="","",IF(D656-G656&gt;=System_Config!$B$9,"✅ OK","⚠️ BREACH"))</f>
        <v/>
      </c>
      <c r="M656" s="37" t="str">
        <f>IFERROR(IF(Agent04_Withdrawals!A61="","",YEAR(Agent04_Withdrawals!D61)),"")</f>
        <v/>
      </c>
    </row>
    <row r="657" spans="1:13" ht="18" customHeight="1" x14ac:dyDescent="0.25">
      <c r="A657" s="37" t="str">
        <f>IF(Agent04_Withdrawals!A62="","",Agent04_Withdrawals!A62)</f>
        <v/>
      </c>
      <c r="B657" s="37" t="str">
        <f ca="1">IF(Agent04_Withdrawals!A62="","","WD"&amp;TEXT(657-3,"0000")&amp;"-"&amp;TEXT(TODAY(),"YYYYMMDD"))</f>
        <v/>
      </c>
      <c r="C657" s="37" t="str">
        <f>IF(Agent04_Withdrawals!A62="","",Agent04_Withdrawals!B62)</f>
        <v/>
      </c>
      <c r="D657" s="40" t="str">
        <f>IF(Agent04_Withdrawals!A62="","",Agent04_Withdrawals!C62)</f>
        <v/>
      </c>
      <c r="E657" s="38" t="str">
        <f>IF(Agent04_Withdrawals!A62="","",Agent04_Withdrawals!D62)</f>
        <v/>
      </c>
      <c r="F657" s="37" t="str">
        <f>IF(Agent04_Withdrawals!A62="","",Agent04_Withdrawals!F62)</f>
        <v/>
      </c>
      <c r="G657" s="39" t="str">
        <f>IF(Agent04_Withdrawals!A62="","",Agent04_Withdrawals!E62)</f>
        <v/>
      </c>
      <c r="H657" s="39" t="str">
        <f>IF(Agent04_Withdrawals!A62="","",Agent04_Withdrawals!G62)</f>
        <v/>
      </c>
      <c r="I657" s="37" t="str">
        <f>IF(Agent04_Withdrawals!A62="","",Agent04_Withdrawals!H62)</f>
        <v/>
      </c>
      <c r="J657" s="37" t="str">
        <f>IF(Agent04_Withdrawals!A62="","",Agent04_Withdrawals!J62)</f>
        <v/>
      </c>
      <c r="K657" s="37" t="str">
        <f>IF(Agent04_Withdrawals!A62="","",Agent04_Withdrawals!K62)</f>
        <v/>
      </c>
      <c r="L657" s="37" t="str">
        <f>IF(G657="","",IF(D657-G657&gt;=System_Config!$B$9,"✅ OK","⚠️ BREACH"))</f>
        <v/>
      </c>
      <c r="M657" s="37" t="str">
        <f>IFERROR(IF(Agent04_Withdrawals!A62="","",YEAR(Agent04_Withdrawals!D62)),"")</f>
        <v/>
      </c>
    </row>
    <row r="658" spans="1:13" ht="18" customHeight="1" x14ac:dyDescent="0.25">
      <c r="A658" s="37" t="str">
        <f>IF(Agent04_Withdrawals!A63="","",Agent04_Withdrawals!A63)</f>
        <v/>
      </c>
      <c r="B658" s="37" t="str">
        <f ca="1">IF(Agent04_Withdrawals!A63="","","WD"&amp;TEXT(658-3,"0000")&amp;"-"&amp;TEXT(TODAY(),"YYYYMMDD"))</f>
        <v/>
      </c>
      <c r="C658" s="37" t="str">
        <f>IF(Agent04_Withdrawals!A63="","",Agent04_Withdrawals!B63)</f>
        <v/>
      </c>
      <c r="D658" s="40" t="str">
        <f>IF(Agent04_Withdrawals!A63="","",Agent04_Withdrawals!C63)</f>
        <v/>
      </c>
      <c r="E658" s="38" t="str">
        <f>IF(Agent04_Withdrawals!A63="","",Agent04_Withdrawals!D63)</f>
        <v/>
      </c>
      <c r="F658" s="37" t="str">
        <f>IF(Agent04_Withdrawals!A63="","",Agent04_Withdrawals!F63)</f>
        <v/>
      </c>
      <c r="G658" s="39" t="str">
        <f>IF(Agent04_Withdrawals!A63="","",Agent04_Withdrawals!E63)</f>
        <v/>
      </c>
      <c r="H658" s="39" t="str">
        <f>IF(Agent04_Withdrawals!A63="","",Agent04_Withdrawals!G63)</f>
        <v/>
      </c>
      <c r="I658" s="37" t="str">
        <f>IF(Agent04_Withdrawals!A63="","",Agent04_Withdrawals!H63)</f>
        <v/>
      </c>
      <c r="J658" s="37" t="str">
        <f>IF(Agent04_Withdrawals!A63="","",Agent04_Withdrawals!J63)</f>
        <v/>
      </c>
      <c r="K658" s="37" t="str">
        <f>IF(Agent04_Withdrawals!A63="","",Agent04_Withdrawals!K63)</f>
        <v/>
      </c>
      <c r="L658" s="37" t="str">
        <f>IF(G658="","",IF(D658-G658&gt;=System_Config!$B$9,"✅ OK","⚠️ BREACH"))</f>
        <v/>
      </c>
      <c r="M658" s="37" t="str">
        <f>IFERROR(IF(Agent04_Withdrawals!A63="","",YEAR(Agent04_Withdrawals!D63)),"")</f>
        <v/>
      </c>
    </row>
    <row r="659" spans="1:13" ht="18" customHeight="1" x14ac:dyDescent="0.25">
      <c r="A659" s="37" t="str">
        <f>IF(Agent04_Withdrawals!A64="","",Agent04_Withdrawals!A64)</f>
        <v/>
      </c>
      <c r="B659" s="37" t="str">
        <f ca="1">IF(Agent04_Withdrawals!A64="","","WD"&amp;TEXT(659-3,"0000")&amp;"-"&amp;TEXT(TODAY(),"YYYYMMDD"))</f>
        <v/>
      </c>
      <c r="C659" s="37" t="str">
        <f>IF(Agent04_Withdrawals!A64="","",Agent04_Withdrawals!B64)</f>
        <v/>
      </c>
      <c r="D659" s="40" t="str">
        <f>IF(Agent04_Withdrawals!A64="","",Agent04_Withdrawals!C64)</f>
        <v/>
      </c>
      <c r="E659" s="38" t="str">
        <f>IF(Agent04_Withdrawals!A64="","",Agent04_Withdrawals!D64)</f>
        <v/>
      </c>
      <c r="F659" s="37" t="str">
        <f>IF(Agent04_Withdrawals!A64="","",Agent04_Withdrawals!F64)</f>
        <v/>
      </c>
      <c r="G659" s="39" t="str">
        <f>IF(Agent04_Withdrawals!A64="","",Agent04_Withdrawals!E64)</f>
        <v/>
      </c>
      <c r="H659" s="39" t="str">
        <f>IF(Agent04_Withdrawals!A64="","",Agent04_Withdrawals!G64)</f>
        <v/>
      </c>
      <c r="I659" s="37" t="str">
        <f>IF(Agent04_Withdrawals!A64="","",Agent04_Withdrawals!H64)</f>
        <v/>
      </c>
      <c r="J659" s="37" t="str">
        <f>IF(Agent04_Withdrawals!A64="","",Agent04_Withdrawals!J64)</f>
        <v/>
      </c>
      <c r="K659" s="37" t="str">
        <f>IF(Agent04_Withdrawals!A64="","",Agent04_Withdrawals!K64)</f>
        <v/>
      </c>
      <c r="L659" s="37" t="str">
        <f>IF(G659="","",IF(D659-G659&gt;=System_Config!$B$9,"✅ OK","⚠️ BREACH"))</f>
        <v/>
      </c>
      <c r="M659" s="37" t="str">
        <f>IFERROR(IF(Agent04_Withdrawals!A64="","",YEAR(Agent04_Withdrawals!D64)),"")</f>
        <v/>
      </c>
    </row>
    <row r="660" spans="1:13" ht="18" customHeight="1" x14ac:dyDescent="0.25">
      <c r="A660" s="37" t="str">
        <f>IF(Agent04_Withdrawals!A65="","",Agent04_Withdrawals!A65)</f>
        <v/>
      </c>
      <c r="B660" s="37" t="str">
        <f ca="1">IF(Agent04_Withdrawals!A65="","","WD"&amp;TEXT(660-3,"0000")&amp;"-"&amp;TEXT(TODAY(),"YYYYMMDD"))</f>
        <v/>
      </c>
      <c r="C660" s="37" t="str">
        <f>IF(Agent04_Withdrawals!A65="","",Agent04_Withdrawals!B65)</f>
        <v/>
      </c>
      <c r="D660" s="40" t="str">
        <f>IF(Agent04_Withdrawals!A65="","",Agent04_Withdrawals!C65)</f>
        <v/>
      </c>
      <c r="E660" s="38" t="str">
        <f>IF(Agent04_Withdrawals!A65="","",Agent04_Withdrawals!D65)</f>
        <v/>
      </c>
      <c r="F660" s="37" t="str">
        <f>IF(Agent04_Withdrawals!A65="","",Agent04_Withdrawals!F65)</f>
        <v/>
      </c>
      <c r="G660" s="39" t="str">
        <f>IF(Agent04_Withdrawals!A65="","",Agent04_Withdrawals!E65)</f>
        <v/>
      </c>
      <c r="H660" s="39" t="str">
        <f>IF(Agent04_Withdrawals!A65="","",Agent04_Withdrawals!G65)</f>
        <v/>
      </c>
      <c r="I660" s="37" t="str">
        <f>IF(Agent04_Withdrawals!A65="","",Agent04_Withdrawals!H65)</f>
        <v/>
      </c>
      <c r="J660" s="37" t="str">
        <f>IF(Agent04_Withdrawals!A65="","",Agent04_Withdrawals!J65)</f>
        <v/>
      </c>
      <c r="K660" s="37" t="str">
        <f>IF(Agent04_Withdrawals!A65="","",Agent04_Withdrawals!K65)</f>
        <v/>
      </c>
      <c r="L660" s="37" t="str">
        <f>IF(G660="","",IF(D660-G660&gt;=System_Config!$B$9,"✅ OK","⚠️ BREACH"))</f>
        <v/>
      </c>
      <c r="M660" s="37" t="str">
        <f>IFERROR(IF(Agent04_Withdrawals!A65="","",YEAR(Agent04_Withdrawals!D65)),"")</f>
        <v/>
      </c>
    </row>
    <row r="661" spans="1:13" ht="18" customHeight="1" x14ac:dyDescent="0.25">
      <c r="A661" s="37" t="str">
        <f>IF(Agent04_Withdrawals!A66="","",Agent04_Withdrawals!A66)</f>
        <v/>
      </c>
      <c r="B661" s="37" t="str">
        <f ca="1">IF(Agent04_Withdrawals!A66="","","WD"&amp;TEXT(661-3,"0000")&amp;"-"&amp;TEXT(TODAY(),"YYYYMMDD"))</f>
        <v/>
      </c>
      <c r="C661" s="37" t="str">
        <f>IF(Agent04_Withdrawals!A66="","",Agent04_Withdrawals!B66)</f>
        <v/>
      </c>
      <c r="D661" s="40" t="str">
        <f>IF(Agent04_Withdrawals!A66="","",Agent04_Withdrawals!C66)</f>
        <v/>
      </c>
      <c r="E661" s="38" t="str">
        <f>IF(Agent04_Withdrawals!A66="","",Agent04_Withdrawals!D66)</f>
        <v/>
      </c>
      <c r="F661" s="37" t="str">
        <f>IF(Agent04_Withdrawals!A66="","",Agent04_Withdrawals!F66)</f>
        <v/>
      </c>
      <c r="G661" s="39" t="str">
        <f>IF(Agent04_Withdrawals!A66="","",Agent04_Withdrawals!E66)</f>
        <v/>
      </c>
      <c r="H661" s="39" t="str">
        <f>IF(Agent04_Withdrawals!A66="","",Agent04_Withdrawals!G66)</f>
        <v/>
      </c>
      <c r="I661" s="37" t="str">
        <f>IF(Agent04_Withdrawals!A66="","",Agent04_Withdrawals!H66)</f>
        <v/>
      </c>
      <c r="J661" s="37" t="str">
        <f>IF(Agent04_Withdrawals!A66="","",Agent04_Withdrawals!J66)</f>
        <v/>
      </c>
      <c r="K661" s="37" t="str">
        <f>IF(Agent04_Withdrawals!A66="","",Agent04_Withdrawals!K66)</f>
        <v/>
      </c>
      <c r="L661" s="37" t="str">
        <f>IF(G661="","",IF(D661-G661&gt;=System_Config!$B$9,"✅ OK","⚠️ BREACH"))</f>
        <v/>
      </c>
      <c r="M661" s="37" t="str">
        <f>IFERROR(IF(Agent04_Withdrawals!A66="","",YEAR(Agent04_Withdrawals!D66)),"")</f>
        <v/>
      </c>
    </row>
    <row r="662" spans="1:13" ht="18" customHeight="1" x14ac:dyDescent="0.25">
      <c r="A662" s="37" t="str">
        <f>IF(Agent04_Withdrawals!A67="","",Agent04_Withdrawals!A67)</f>
        <v/>
      </c>
      <c r="B662" s="37" t="str">
        <f ca="1">IF(Agent04_Withdrawals!A67="","","WD"&amp;TEXT(662-3,"0000")&amp;"-"&amp;TEXT(TODAY(),"YYYYMMDD"))</f>
        <v/>
      </c>
      <c r="C662" s="37" t="str">
        <f>IF(Agent04_Withdrawals!A67="","",Agent04_Withdrawals!B67)</f>
        <v/>
      </c>
      <c r="D662" s="40" t="str">
        <f>IF(Agent04_Withdrawals!A67="","",Agent04_Withdrawals!C67)</f>
        <v/>
      </c>
      <c r="E662" s="38" t="str">
        <f>IF(Agent04_Withdrawals!A67="","",Agent04_Withdrawals!D67)</f>
        <v/>
      </c>
      <c r="F662" s="37" t="str">
        <f>IF(Agent04_Withdrawals!A67="","",Agent04_Withdrawals!F67)</f>
        <v/>
      </c>
      <c r="G662" s="39" t="str">
        <f>IF(Agent04_Withdrawals!A67="","",Agent04_Withdrawals!E67)</f>
        <v/>
      </c>
      <c r="H662" s="39" t="str">
        <f>IF(Agent04_Withdrawals!A67="","",Agent04_Withdrawals!G67)</f>
        <v/>
      </c>
      <c r="I662" s="37" t="str">
        <f>IF(Agent04_Withdrawals!A67="","",Agent04_Withdrawals!H67)</f>
        <v/>
      </c>
      <c r="J662" s="37" t="str">
        <f>IF(Agent04_Withdrawals!A67="","",Agent04_Withdrawals!J67)</f>
        <v/>
      </c>
      <c r="K662" s="37" t="str">
        <f>IF(Agent04_Withdrawals!A67="","",Agent04_Withdrawals!K67)</f>
        <v/>
      </c>
      <c r="L662" s="37" t="str">
        <f>IF(G662="","",IF(D662-G662&gt;=System_Config!$B$9,"✅ OK","⚠️ BREACH"))</f>
        <v/>
      </c>
      <c r="M662" s="37" t="str">
        <f>IFERROR(IF(Agent04_Withdrawals!A67="","",YEAR(Agent04_Withdrawals!D67)),"")</f>
        <v/>
      </c>
    </row>
    <row r="663" spans="1:13" ht="18" customHeight="1" x14ac:dyDescent="0.25">
      <c r="A663" s="37" t="str">
        <f>IF(Agent04_Withdrawals!A68="","",Agent04_Withdrawals!A68)</f>
        <v/>
      </c>
      <c r="B663" s="37" t="str">
        <f ca="1">IF(Agent04_Withdrawals!A68="","","WD"&amp;TEXT(663-3,"0000")&amp;"-"&amp;TEXT(TODAY(),"YYYYMMDD"))</f>
        <v/>
      </c>
      <c r="C663" s="37" t="str">
        <f>IF(Agent04_Withdrawals!A68="","",Agent04_Withdrawals!B68)</f>
        <v/>
      </c>
      <c r="D663" s="40" t="str">
        <f>IF(Agent04_Withdrawals!A68="","",Agent04_Withdrawals!C68)</f>
        <v/>
      </c>
      <c r="E663" s="38" t="str">
        <f>IF(Agent04_Withdrawals!A68="","",Agent04_Withdrawals!D68)</f>
        <v/>
      </c>
      <c r="F663" s="37" t="str">
        <f>IF(Agent04_Withdrawals!A68="","",Agent04_Withdrawals!F68)</f>
        <v/>
      </c>
      <c r="G663" s="39" t="str">
        <f>IF(Agent04_Withdrawals!A68="","",Agent04_Withdrawals!E68)</f>
        <v/>
      </c>
      <c r="H663" s="39" t="str">
        <f>IF(Agent04_Withdrawals!A68="","",Agent04_Withdrawals!G68)</f>
        <v/>
      </c>
      <c r="I663" s="37" t="str">
        <f>IF(Agent04_Withdrawals!A68="","",Agent04_Withdrawals!H68)</f>
        <v/>
      </c>
      <c r="J663" s="37" t="str">
        <f>IF(Agent04_Withdrawals!A68="","",Agent04_Withdrawals!J68)</f>
        <v/>
      </c>
      <c r="K663" s="37" t="str">
        <f>IF(Agent04_Withdrawals!A68="","",Agent04_Withdrawals!K68)</f>
        <v/>
      </c>
      <c r="L663" s="37" t="str">
        <f>IF(G663="","",IF(D663-G663&gt;=System_Config!$B$9,"✅ OK","⚠️ BREACH"))</f>
        <v/>
      </c>
      <c r="M663" s="37" t="str">
        <f>IFERROR(IF(Agent04_Withdrawals!A68="","",YEAR(Agent04_Withdrawals!D68)),"")</f>
        <v/>
      </c>
    </row>
    <row r="664" spans="1:13" ht="18" customHeight="1" x14ac:dyDescent="0.25">
      <c r="A664" s="37" t="str">
        <f>IF(Agent04_Withdrawals!A69="","",Agent04_Withdrawals!A69)</f>
        <v/>
      </c>
      <c r="B664" s="37" t="str">
        <f ca="1">IF(Agent04_Withdrawals!A69="","","WD"&amp;TEXT(664-3,"0000")&amp;"-"&amp;TEXT(TODAY(),"YYYYMMDD"))</f>
        <v/>
      </c>
      <c r="C664" s="37" t="str">
        <f>IF(Agent04_Withdrawals!A69="","",Agent04_Withdrawals!B69)</f>
        <v/>
      </c>
      <c r="D664" s="40" t="str">
        <f>IF(Agent04_Withdrawals!A69="","",Agent04_Withdrawals!C69)</f>
        <v/>
      </c>
      <c r="E664" s="38" t="str">
        <f>IF(Agent04_Withdrawals!A69="","",Agent04_Withdrawals!D69)</f>
        <v/>
      </c>
      <c r="F664" s="37" t="str">
        <f>IF(Agent04_Withdrawals!A69="","",Agent04_Withdrawals!F69)</f>
        <v/>
      </c>
      <c r="G664" s="39" t="str">
        <f>IF(Agent04_Withdrawals!A69="","",Agent04_Withdrawals!E69)</f>
        <v/>
      </c>
      <c r="H664" s="39" t="str">
        <f>IF(Agent04_Withdrawals!A69="","",Agent04_Withdrawals!G69)</f>
        <v/>
      </c>
      <c r="I664" s="37" t="str">
        <f>IF(Agent04_Withdrawals!A69="","",Agent04_Withdrawals!H69)</f>
        <v/>
      </c>
      <c r="J664" s="37" t="str">
        <f>IF(Agent04_Withdrawals!A69="","",Agent04_Withdrawals!J69)</f>
        <v/>
      </c>
      <c r="K664" s="37" t="str">
        <f>IF(Agent04_Withdrawals!A69="","",Agent04_Withdrawals!K69)</f>
        <v/>
      </c>
      <c r="L664" s="37" t="str">
        <f>IF(G664="","",IF(D664-G664&gt;=System_Config!$B$9,"✅ OK","⚠️ BREACH"))</f>
        <v/>
      </c>
      <c r="M664" s="37" t="str">
        <f>IFERROR(IF(Agent04_Withdrawals!A69="","",YEAR(Agent04_Withdrawals!D69)),"")</f>
        <v/>
      </c>
    </row>
    <row r="665" spans="1:13" ht="18" customHeight="1" x14ac:dyDescent="0.25">
      <c r="A665" s="37" t="str">
        <f>IF(Agent04_Withdrawals!A70="","",Agent04_Withdrawals!A70)</f>
        <v/>
      </c>
      <c r="B665" s="37" t="str">
        <f ca="1">IF(Agent04_Withdrawals!A70="","","WD"&amp;TEXT(665-3,"0000")&amp;"-"&amp;TEXT(TODAY(),"YYYYMMDD"))</f>
        <v/>
      </c>
      <c r="C665" s="37" t="str">
        <f>IF(Agent04_Withdrawals!A70="","",Agent04_Withdrawals!B70)</f>
        <v/>
      </c>
      <c r="D665" s="40" t="str">
        <f>IF(Agent04_Withdrawals!A70="","",Agent04_Withdrawals!C70)</f>
        <v/>
      </c>
      <c r="E665" s="38" t="str">
        <f>IF(Agent04_Withdrawals!A70="","",Agent04_Withdrawals!D70)</f>
        <v/>
      </c>
      <c r="F665" s="37" t="str">
        <f>IF(Agent04_Withdrawals!A70="","",Agent04_Withdrawals!F70)</f>
        <v/>
      </c>
      <c r="G665" s="39" t="str">
        <f>IF(Agent04_Withdrawals!A70="","",Agent04_Withdrawals!E70)</f>
        <v/>
      </c>
      <c r="H665" s="39" t="str">
        <f>IF(Agent04_Withdrawals!A70="","",Agent04_Withdrawals!G70)</f>
        <v/>
      </c>
      <c r="I665" s="37" t="str">
        <f>IF(Agent04_Withdrawals!A70="","",Agent04_Withdrawals!H70)</f>
        <v/>
      </c>
      <c r="J665" s="37" t="str">
        <f>IF(Agent04_Withdrawals!A70="","",Agent04_Withdrawals!J70)</f>
        <v/>
      </c>
      <c r="K665" s="37" t="str">
        <f>IF(Agent04_Withdrawals!A70="","",Agent04_Withdrawals!K70)</f>
        <v/>
      </c>
      <c r="L665" s="37" t="str">
        <f>IF(G665="","",IF(D665-G665&gt;=System_Config!$B$9,"✅ OK","⚠️ BREACH"))</f>
        <v/>
      </c>
      <c r="M665" s="37" t="str">
        <f>IFERROR(IF(Agent04_Withdrawals!A70="","",YEAR(Agent04_Withdrawals!D70)),"")</f>
        <v/>
      </c>
    </row>
    <row r="666" spans="1:13" ht="18" customHeight="1" x14ac:dyDescent="0.25">
      <c r="A666" s="37" t="str">
        <f>IF(Agent04_Withdrawals!A71="","",Agent04_Withdrawals!A71)</f>
        <v/>
      </c>
      <c r="B666" s="37" t="str">
        <f ca="1">IF(Agent04_Withdrawals!A71="","","WD"&amp;TEXT(666-3,"0000")&amp;"-"&amp;TEXT(TODAY(),"YYYYMMDD"))</f>
        <v/>
      </c>
      <c r="C666" s="37" t="str">
        <f>IF(Agent04_Withdrawals!A71="","",Agent04_Withdrawals!B71)</f>
        <v/>
      </c>
      <c r="D666" s="40" t="str">
        <f>IF(Agent04_Withdrawals!A71="","",Agent04_Withdrawals!C71)</f>
        <v/>
      </c>
      <c r="E666" s="38" t="str">
        <f>IF(Agent04_Withdrawals!A71="","",Agent04_Withdrawals!D71)</f>
        <v/>
      </c>
      <c r="F666" s="37" t="str">
        <f>IF(Agent04_Withdrawals!A71="","",Agent04_Withdrawals!F71)</f>
        <v/>
      </c>
      <c r="G666" s="39" t="str">
        <f>IF(Agent04_Withdrawals!A71="","",Agent04_Withdrawals!E71)</f>
        <v/>
      </c>
      <c r="H666" s="39" t="str">
        <f>IF(Agent04_Withdrawals!A71="","",Agent04_Withdrawals!G71)</f>
        <v/>
      </c>
      <c r="I666" s="37" t="str">
        <f>IF(Agent04_Withdrawals!A71="","",Agent04_Withdrawals!H71)</f>
        <v/>
      </c>
      <c r="J666" s="37" t="str">
        <f>IF(Agent04_Withdrawals!A71="","",Agent04_Withdrawals!J71)</f>
        <v/>
      </c>
      <c r="K666" s="37" t="str">
        <f>IF(Agent04_Withdrawals!A71="","",Agent04_Withdrawals!K71)</f>
        <v/>
      </c>
      <c r="L666" s="37" t="str">
        <f>IF(G666="","",IF(D666-G666&gt;=System_Config!$B$9,"✅ OK","⚠️ BREACH"))</f>
        <v/>
      </c>
      <c r="M666" s="37" t="str">
        <f>IFERROR(IF(Agent04_Withdrawals!A71="","",YEAR(Agent04_Withdrawals!D71)),"")</f>
        <v/>
      </c>
    </row>
    <row r="667" spans="1:13" ht="18" customHeight="1" x14ac:dyDescent="0.25">
      <c r="A667" s="37" t="str">
        <f>IF(Agent04_Withdrawals!A72="","",Agent04_Withdrawals!A72)</f>
        <v/>
      </c>
      <c r="B667" s="37" t="str">
        <f ca="1">IF(Agent04_Withdrawals!A72="","","WD"&amp;TEXT(667-3,"0000")&amp;"-"&amp;TEXT(TODAY(),"YYYYMMDD"))</f>
        <v/>
      </c>
      <c r="C667" s="37" t="str">
        <f>IF(Agent04_Withdrawals!A72="","",Agent04_Withdrawals!B72)</f>
        <v/>
      </c>
      <c r="D667" s="40" t="str">
        <f>IF(Agent04_Withdrawals!A72="","",Agent04_Withdrawals!C72)</f>
        <v/>
      </c>
      <c r="E667" s="38" t="str">
        <f>IF(Agent04_Withdrawals!A72="","",Agent04_Withdrawals!D72)</f>
        <v/>
      </c>
      <c r="F667" s="37" t="str">
        <f>IF(Agent04_Withdrawals!A72="","",Agent04_Withdrawals!F72)</f>
        <v/>
      </c>
      <c r="G667" s="39" t="str">
        <f>IF(Agent04_Withdrawals!A72="","",Agent04_Withdrawals!E72)</f>
        <v/>
      </c>
      <c r="H667" s="39" t="str">
        <f>IF(Agent04_Withdrawals!A72="","",Agent04_Withdrawals!G72)</f>
        <v/>
      </c>
      <c r="I667" s="37" t="str">
        <f>IF(Agent04_Withdrawals!A72="","",Agent04_Withdrawals!H72)</f>
        <v/>
      </c>
      <c r="J667" s="37" t="str">
        <f>IF(Agent04_Withdrawals!A72="","",Agent04_Withdrawals!J72)</f>
        <v/>
      </c>
      <c r="K667" s="37" t="str">
        <f>IF(Agent04_Withdrawals!A72="","",Agent04_Withdrawals!K72)</f>
        <v/>
      </c>
      <c r="L667" s="37" t="str">
        <f>IF(G667="","",IF(D667-G667&gt;=System_Config!$B$9,"✅ OK","⚠️ BREACH"))</f>
        <v/>
      </c>
      <c r="M667" s="37" t="str">
        <f>IFERROR(IF(Agent04_Withdrawals!A72="","",YEAR(Agent04_Withdrawals!D72)),"")</f>
        <v/>
      </c>
    </row>
    <row r="668" spans="1:13" ht="18" customHeight="1" x14ac:dyDescent="0.25">
      <c r="A668" s="37" t="str">
        <f>IF(Agent04_Withdrawals!A73="","",Agent04_Withdrawals!A73)</f>
        <v/>
      </c>
      <c r="B668" s="37" t="str">
        <f ca="1">IF(Agent04_Withdrawals!A73="","","WD"&amp;TEXT(668-3,"0000")&amp;"-"&amp;TEXT(TODAY(),"YYYYMMDD"))</f>
        <v/>
      </c>
      <c r="C668" s="37" t="str">
        <f>IF(Agent04_Withdrawals!A73="","",Agent04_Withdrawals!B73)</f>
        <v/>
      </c>
      <c r="D668" s="40" t="str">
        <f>IF(Agent04_Withdrawals!A73="","",Agent04_Withdrawals!C73)</f>
        <v/>
      </c>
      <c r="E668" s="38" t="str">
        <f>IF(Agent04_Withdrawals!A73="","",Agent04_Withdrawals!D73)</f>
        <v/>
      </c>
      <c r="F668" s="37" t="str">
        <f>IF(Agent04_Withdrawals!A73="","",Agent04_Withdrawals!F73)</f>
        <v/>
      </c>
      <c r="G668" s="39" t="str">
        <f>IF(Agent04_Withdrawals!A73="","",Agent04_Withdrawals!E73)</f>
        <v/>
      </c>
      <c r="H668" s="39" t="str">
        <f>IF(Agent04_Withdrawals!A73="","",Agent04_Withdrawals!G73)</f>
        <v/>
      </c>
      <c r="I668" s="37" t="str">
        <f>IF(Agent04_Withdrawals!A73="","",Agent04_Withdrawals!H73)</f>
        <v/>
      </c>
      <c r="J668" s="37" t="str">
        <f>IF(Agent04_Withdrawals!A73="","",Agent04_Withdrawals!J73)</f>
        <v/>
      </c>
      <c r="K668" s="37" t="str">
        <f>IF(Agent04_Withdrawals!A73="","",Agent04_Withdrawals!K73)</f>
        <v/>
      </c>
      <c r="L668" s="37" t="str">
        <f>IF(G668="","",IF(D668-G668&gt;=System_Config!$B$9,"✅ OK","⚠️ BREACH"))</f>
        <v/>
      </c>
      <c r="M668" s="37" t="str">
        <f>IFERROR(IF(Agent04_Withdrawals!A73="","",YEAR(Agent04_Withdrawals!D73)),"")</f>
        <v/>
      </c>
    </row>
    <row r="669" spans="1:13" ht="18" customHeight="1" x14ac:dyDescent="0.25">
      <c r="A669" s="37" t="str">
        <f>IF(Agent04_Withdrawals!A74="","",Agent04_Withdrawals!A74)</f>
        <v/>
      </c>
      <c r="B669" s="37" t="str">
        <f ca="1">IF(Agent04_Withdrawals!A74="","","WD"&amp;TEXT(669-3,"0000")&amp;"-"&amp;TEXT(TODAY(),"YYYYMMDD"))</f>
        <v/>
      </c>
      <c r="C669" s="37" t="str">
        <f>IF(Agent04_Withdrawals!A74="","",Agent04_Withdrawals!B74)</f>
        <v/>
      </c>
      <c r="D669" s="40" t="str">
        <f>IF(Agent04_Withdrawals!A74="","",Agent04_Withdrawals!C74)</f>
        <v/>
      </c>
      <c r="E669" s="38" t="str">
        <f>IF(Agent04_Withdrawals!A74="","",Agent04_Withdrawals!D74)</f>
        <v/>
      </c>
      <c r="F669" s="37" t="str">
        <f>IF(Agent04_Withdrawals!A74="","",Agent04_Withdrawals!F74)</f>
        <v/>
      </c>
      <c r="G669" s="39" t="str">
        <f>IF(Agent04_Withdrawals!A74="","",Agent04_Withdrawals!E74)</f>
        <v/>
      </c>
      <c r="H669" s="39" t="str">
        <f>IF(Agent04_Withdrawals!A74="","",Agent04_Withdrawals!G74)</f>
        <v/>
      </c>
      <c r="I669" s="37" t="str">
        <f>IF(Agent04_Withdrawals!A74="","",Agent04_Withdrawals!H74)</f>
        <v/>
      </c>
      <c r="J669" s="37" t="str">
        <f>IF(Agent04_Withdrawals!A74="","",Agent04_Withdrawals!J74)</f>
        <v/>
      </c>
      <c r="K669" s="37" t="str">
        <f>IF(Agent04_Withdrawals!A74="","",Agent04_Withdrawals!K74)</f>
        <v/>
      </c>
      <c r="L669" s="37" t="str">
        <f>IF(G669="","",IF(D669-G669&gt;=System_Config!$B$9,"✅ OK","⚠️ BREACH"))</f>
        <v/>
      </c>
      <c r="M669" s="37" t="str">
        <f>IFERROR(IF(Agent04_Withdrawals!A74="","",YEAR(Agent04_Withdrawals!D74)),"")</f>
        <v/>
      </c>
    </row>
    <row r="670" spans="1:13" ht="18" customHeight="1" x14ac:dyDescent="0.25">
      <c r="A670" s="37" t="str">
        <f>IF(Agent04_Withdrawals!A75="","",Agent04_Withdrawals!A75)</f>
        <v/>
      </c>
      <c r="B670" s="37" t="str">
        <f ca="1">IF(Agent04_Withdrawals!A75="","","WD"&amp;TEXT(670-3,"0000")&amp;"-"&amp;TEXT(TODAY(),"YYYYMMDD"))</f>
        <v/>
      </c>
      <c r="C670" s="37" t="str">
        <f>IF(Agent04_Withdrawals!A75="","",Agent04_Withdrawals!B75)</f>
        <v/>
      </c>
      <c r="D670" s="40" t="str">
        <f>IF(Agent04_Withdrawals!A75="","",Agent04_Withdrawals!C75)</f>
        <v/>
      </c>
      <c r="E670" s="38" t="str">
        <f>IF(Agent04_Withdrawals!A75="","",Agent04_Withdrawals!D75)</f>
        <v/>
      </c>
      <c r="F670" s="37" t="str">
        <f>IF(Agent04_Withdrawals!A75="","",Agent04_Withdrawals!F75)</f>
        <v/>
      </c>
      <c r="G670" s="39" t="str">
        <f>IF(Agent04_Withdrawals!A75="","",Agent04_Withdrawals!E75)</f>
        <v/>
      </c>
      <c r="H670" s="39" t="str">
        <f>IF(Agent04_Withdrawals!A75="","",Agent04_Withdrawals!G75)</f>
        <v/>
      </c>
      <c r="I670" s="37" t="str">
        <f>IF(Agent04_Withdrawals!A75="","",Agent04_Withdrawals!H75)</f>
        <v/>
      </c>
      <c r="J670" s="37" t="str">
        <f>IF(Agent04_Withdrawals!A75="","",Agent04_Withdrawals!J75)</f>
        <v/>
      </c>
      <c r="K670" s="37" t="str">
        <f>IF(Agent04_Withdrawals!A75="","",Agent04_Withdrawals!K75)</f>
        <v/>
      </c>
      <c r="L670" s="37" t="str">
        <f>IF(G670="","",IF(D670-G670&gt;=System_Config!$B$9,"✅ OK","⚠️ BREACH"))</f>
        <v/>
      </c>
      <c r="M670" s="37" t="str">
        <f>IFERROR(IF(Agent04_Withdrawals!A75="","",YEAR(Agent04_Withdrawals!D75)),"")</f>
        <v/>
      </c>
    </row>
    <row r="671" spans="1:13" ht="18" customHeight="1" x14ac:dyDescent="0.25">
      <c r="A671" s="37" t="str">
        <f>IF(Agent04_Withdrawals!A76="","",Agent04_Withdrawals!A76)</f>
        <v/>
      </c>
      <c r="B671" s="37" t="str">
        <f ca="1">IF(Agent04_Withdrawals!A76="","","WD"&amp;TEXT(671-3,"0000")&amp;"-"&amp;TEXT(TODAY(),"YYYYMMDD"))</f>
        <v/>
      </c>
      <c r="C671" s="37" t="str">
        <f>IF(Agent04_Withdrawals!A76="","",Agent04_Withdrawals!B76)</f>
        <v/>
      </c>
      <c r="D671" s="40" t="str">
        <f>IF(Agent04_Withdrawals!A76="","",Agent04_Withdrawals!C76)</f>
        <v/>
      </c>
      <c r="E671" s="38" t="str">
        <f>IF(Agent04_Withdrawals!A76="","",Agent04_Withdrawals!D76)</f>
        <v/>
      </c>
      <c r="F671" s="37" t="str">
        <f>IF(Agent04_Withdrawals!A76="","",Agent04_Withdrawals!F76)</f>
        <v/>
      </c>
      <c r="G671" s="39" t="str">
        <f>IF(Agent04_Withdrawals!A76="","",Agent04_Withdrawals!E76)</f>
        <v/>
      </c>
      <c r="H671" s="39" t="str">
        <f>IF(Agent04_Withdrawals!A76="","",Agent04_Withdrawals!G76)</f>
        <v/>
      </c>
      <c r="I671" s="37" t="str">
        <f>IF(Agent04_Withdrawals!A76="","",Agent04_Withdrawals!H76)</f>
        <v/>
      </c>
      <c r="J671" s="37" t="str">
        <f>IF(Agent04_Withdrawals!A76="","",Agent04_Withdrawals!J76)</f>
        <v/>
      </c>
      <c r="K671" s="37" t="str">
        <f>IF(Agent04_Withdrawals!A76="","",Agent04_Withdrawals!K76)</f>
        <v/>
      </c>
      <c r="L671" s="37" t="str">
        <f>IF(G671="","",IF(D671-G671&gt;=System_Config!$B$9,"✅ OK","⚠️ BREACH"))</f>
        <v/>
      </c>
      <c r="M671" s="37" t="str">
        <f>IFERROR(IF(Agent04_Withdrawals!A76="","",YEAR(Agent04_Withdrawals!D76)),"")</f>
        <v/>
      </c>
    </row>
    <row r="672" spans="1:13" ht="18" customHeight="1" x14ac:dyDescent="0.25">
      <c r="A672" s="37" t="str">
        <f>IF(Agent04_Withdrawals!A77="","",Agent04_Withdrawals!A77)</f>
        <v/>
      </c>
      <c r="B672" s="37" t="str">
        <f ca="1">IF(Agent04_Withdrawals!A77="","","WD"&amp;TEXT(672-3,"0000")&amp;"-"&amp;TEXT(TODAY(),"YYYYMMDD"))</f>
        <v/>
      </c>
      <c r="C672" s="37" t="str">
        <f>IF(Agent04_Withdrawals!A77="","",Agent04_Withdrawals!B77)</f>
        <v/>
      </c>
      <c r="D672" s="40" t="str">
        <f>IF(Agent04_Withdrawals!A77="","",Agent04_Withdrawals!C77)</f>
        <v/>
      </c>
      <c r="E672" s="38" t="str">
        <f>IF(Agent04_Withdrawals!A77="","",Agent04_Withdrawals!D77)</f>
        <v/>
      </c>
      <c r="F672" s="37" t="str">
        <f>IF(Agent04_Withdrawals!A77="","",Agent04_Withdrawals!F77)</f>
        <v/>
      </c>
      <c r="G672" s="39" t="str">
        <f>IF(Agent04_Withdrawals!A77="","",Agent04_Withdrawals!E77)</f>
        <v/>
      </c>
      <c r="H672" s="39" t="str">
        <f>IF(Agent04_Withdrawals!A77="","",Agent04_Withdrawals!G77)</f>
        <v/>
      </c>
      <c r="I672" s="37" t="str">
        <f>IF(Agent04_Withdrawals!A77="","",Agent04_Withdrawals!H77)</f>
        <v/>
      </c>
      <c r="J672" s="37" t="str">
        <f>IF(Agent04_Withdrawals!A77="","",Agent04_Withdrawals!J77)</f>
        <v/>
      </c>
      <c r="K672" s="37" t="str">
        <f>IF(Agent04_Withdrawals!A77="","",Agent04_Withdrawals!K77)</f>
        <v/>
      </c>
      <c r="L672" s="37" t="str">
        <f>IF(G672="","",IF(D672-G672&gt;=System_Config!$B$9,"✅ OK","⚠️ BREACH"))</f>
        <v/>
      </c>
      <c r="M672" s="37" t="str">
        <f>IFERROR(IF(Agent04_Withdrawals!A77="","",YEAR(Agent04_Withdrawals!D77)),"")</f>
        <v/>
      </c>
    </row>
    <row r="673" spans="1:13" ht="18" customHeight="1" x14ac:dyDescent="0.25">
      <c r="A673" s="37" t="str">
        <f>IF(Agent04_Withdrawals!A78="","",Agent04_Withdrawals!A78)</f>
        <v/>
      </c>
      <c r="B673" s="37" t="str">
        <f ca="1">IF(Agent04_Withdrawals!A78="","","WD"&amp;TEXT(673-3,"0000")&amp;"-"&amp;TEXT(TODAY(),"YYYYMMDD"))</f>
        <v/>
      </c>
      <c r="C673" s="37" t="str">
        <f>IF(Agent04_Withdrawals!A78="","",Agent04_Withdrawals!B78)</f>
        <v/>
      </c>
      <c r="D673" s="40" t="str">
        <f>IF(Agent04_Withdrawals!A78="","",Agent04_Withdrawals!C78)</f>
        <v/>
      </c>
      <c r="E673" s="38" t="str">
        <f>IF(Agent04_Withdrawals!A78="","",Agent04_Withdrawals!D78)</f>
        <v/>
      </c>
      <c r="F673" s="37" t="str">
        <f>IF(Agent04_Withdrawals!A78="","",Agent04_Withdrawals!F78)</f>
        <v/>
      </c>
      <c r="G673" s="39" t="str">
        <f>IF(Agent04_Withdrawals!A78="","",Agent04_Withdrawals!E78)</f>
        <v/>
      </c>
      <c r="H673" s="39" t="str">
        <f>IF(Agent04_Withdrawals!A78="","",Agent04_Withdrawals!G78)</f>
        <v/>
      </c>
      <c r="I673" s="37" t="str">
        <f>IF(Agent04_Withdrawals!A78="","",Agent04_Withdrawals!H78)</f>
        <v/>
      </c>
      <c r="J673" s="37" t="str">
        <f>IF(Agent04_Withdrawals!A78="","",Agent04_Withdrawals!J78)</f>
        <v/>
      </c>
      <c r="K673" s="37" t="str">
        <f>IF(Agent04_Withdrawals!A78="","",Agent04_Withdrawals!K78)</f>
        <v/>
      </c>
      <c r="L673" s="37" t="str">
        <f>IF(G673="","",IF(D673-G673&gt;=System_Config!$B$9,"✅ OK","⚠️ BREACH"))</f>
        <v/>
      </c>
      <c r="M673" s="37" t="str">
        <f>IFERROR(IF(Agent04_Withdrawals!A78="","",YEAR(Agent04_Withdrawals!D78)),"")</f>
        <v/>
      </c>
    </row>
    <row r="674" spans="1:13" ht="18" customHeight="1" x14ac:dyDescent="0.25">
      <c r="A674" s="37" t="str">
        <f>IF(Agent04_Withdrawals!A79="","",Agent04_Withdrawals!A79)</f>
        <v/>
      </c>
      <c r="B674" s="37" t="str">
        <f ca="1">IF(Agent04_Withdrawals!A79="","","WD"&amp;TEXT(674-3,"0000")&amp;"-"&amp;TEXT(TODAY(),"YYYYMMDD"))</f>
        <v/>
      </c>
      <c r="C674" s="37" t="str">
        <f>IF(Agent04_Withdrawals!A79="","",Agent04_Withdrawals!B79)</f>
        <v/>
      </c>
      <c r="D674" s="40" t="str">
        <f>IF(Agent04_Withdrawals!A79="","",Agent04_Withdrawals!C79)</f>
        <v/>
      </c>
      <c r="E674" s="38" t="str">
        <f>IF(Agent04_Withdrawals!A79="","",Agent04_Withdrawals!D79)</f>
        <v/>
      </c>
      <c r="F674" s="37" t="str">
        <f>IF(Agent04_Withdrawals!A79="","",Agent04_Withdrawals!F79)</f>
        <v/>
      </c>
      <c r="G674" s="39" t="str">
        <f>IF(Agent04_Withdrawals!A79="","",Agent04_Withdrawals!E79)</f>
        <v/>
      </c>
      <c r="H674" s="39" t="str">
        <f>IF(Agent04_Withdrawals!A79="","",Agent04_Withdrawals!G79)</f>
        <v/>
      </c>
      <c r="I674" s="37" t="str">
        <f>IF(Agent04_Withdrawals!A79="","",Agent04_Withdrawals!H79)</f>
        <v/>
      </c>
      <c r="J674" s="37" t="str">
        <f>IF(Agent04_Withdrawals!A79="","",Agent04_Withdrawals!J79)</f>
        <v/>
      </c>
      <c r="K674" s="37" t="str">
        <f>IF(Agent04_Withdrawals!A79="","",Agent04_Withdrawals!K79)</f>
        <v/>
      </c>
      <c r="L674" s="37" t="str">
        <f>IF(G674="","",IF(D674-G674&gt;=System_Config!$B$9,"✅ OK","⚠️ BREACH"))</f>
        <v/>
      </c>
      <c r="M674" s="37" t="str">
        <f>IFERROR(IF(Agent04_Withdrawals!A79="","",YEAR(Agent04_Withdrawals!D79)),"")</f>
        <v/>
      </c>
    </row>
    <row r="675" spans="1:13" ht="18" customHeight="1" x14ac:dyDescent="0.25">
      <c r="A675" s="37" t="str">
        <f>IF(Agent04_Withdrawals!A80="","",Agent04_Withdrawals!A80)</f>
        <v/>
      </c>
      <c r="B675" s="37" t="str">
        <f ca="1">IF(Agent04_Withdrawals!A80="","","WD"&amp;TEXT(675-3,"0000")&amp;"-"&amp;TEXT(TODAY(),"YYYYMMDD"))</f>
        <v/>
      </c>
      <c r="C675" s="37" t="str">
        <f>IF(Agent04_Withdrawals!A80="","",Agent04_Withdrawals!B80)</f>
        <v/>
      </c>
      <c r="D675" s="40" t="str">
        <f>IF(Agent04_Withdrawals!A80="","",Agent04_Withdrawals!C80)</f>
        <v/>
      </c>
      <c r="E675" s="38" t="str">
        <f>IF(Agent04_Withdrawals!A80="","",Agent04_Withdrawals!D80)</f>
        <v/>
      </c>
      <c r="F675" s="37" t="str">
        <f>IF(Agent04_Withdrawals!A80="","",Agent04_Withdrawals!F80)</f>
        <v/>
      </c>
      <c r="G675" s="39" t="str">
        <f>IF(Agent04_Withdrawals!A80="","",Agent04_Withdrawals!E80)</f>
        <v/>
      </c>
      <c r="H675" s="39" t="str">
        <f>IF(Agent04_Withdrawals!A80="","",Agent04_Withdrawals!G80)</f>
        <v/>
      </c>
      <c r="I675" s="37" t="str">
        <f>IF(Agent04_Withdrawals!A80="","",Agent04_Withdrawals!H80)</f>
        <v/>
      </c>
      <c r="J675" s="37" t="str">
        <f>IF(Agent04_Withdrawals!A80="","",Agent04_Withdrawals!J80)</f>
        <v/>
      </c>
      <c r="K675" s="37" t="str">
        <f>IF(Agent04_Withdrawals!A80="","",Agent04_Withdrawals!K80)</f>
        <v/>
      </c>
      <c r="L675" s="37" t="str">
        <f>IF(G675="","",IF(D675-G675&gt;=System_Config!$B$9,"✅ OK","⚠️ BREACH"))</f>
        <v/>
      </c>
      <c r="M675" s="37" t="str">
        <f>IFERROR(IF(Agent04_Withdrawals!A80="","",YEAR(Agent04_Withdrawals!D80)),"")</f>
        <v/>
      </c>
    </row>
    <row r="676" spans="1:13" ht="18" customHeight="1" x14ac:dyDescent="0.25">
      <c r="A676" s="37" t="str">
        <f>IF(Agent04_Withdrawals!A81="","",Agent04_Withdrawals!A81)</f>
        <v/>
      </c>
      <c r="B676" s="37" t="str">
        <f ca="1">IF(Agent04_Withdrawals!A81="","","WD"&amp;TEXT(676-3,"0000")&amp;"-"&amp;TEXT(TODAY(),"YYYYMMDD"))</f>
        <v/>
      </c>
      <c r="C676" s="37" t="str">
        <f>IF(Agent04_Withdrawals!A81="","",Agent04_Withdrawals!B81)</f>
        <v/>
      </c>
      <c r="D676" s="40" t="str">
        <f>IF(Agent04_Withdrawals!A81="","",Agent04_Withdrawals!C81)</f>
        <v/>
      </c>
      <c r="E676" s="38" t="str">
        <f>IF(Agent04_Withdrawals!A81="","",Agent04_Withdrawals!D81)</f>
        <v/>
      </c>
      <c r="F676" s="37" t="str">
        <f>IF(Agent04_Withdrawals!A81="","",Agent04_Withdrawals!F81)</f>
        <v/>
      </c>
      <c r="G676" s="39" t="str">
        <f>IF(Agent04_Withdrawals!A81="","",Agent04_Withdrawals!E81)</f>
        <v/>
      </c>
      <c r="H676" s="39" t="str">
        <f>IF(Agent04_Withdrawals!A81="","",Agent04_Withdrawals!G81)</f>
        <v/>
      </c>
      <c r="I676" s="37" t="str">
        <f>IF(Agent04_Withdrawals!A81="","",Agent04_Withdrawals!H81)</f>
        <v/>
      </c>
      <c r="J676" s="37" t="str">
        <f>IF(Agent04_Withdrawals!A81="","",Agent04_Withdrawals!J81)</f>
        <v/>
      </c>
      <c r="K676" s="37" t="str">
        <f>IF(Agent04_Withdrawals!A81="","",Agent04_Withdrawals!K81)</f>
        <v/>
      </c>
      <c r="L676" s="37" t="str">
        <f>IF(G676="","",IF(D676-G676&gt;=System_Config!$B$9,"✅ OK","⚠️ BREACH"))</f>
        <v/>
      </c>
      <c r="M676" s="37" t="str">
        <f>IFERROR(IF(Agent04_Withdrawals!A81="","",YEAR(Agent04_Withdrawals!D81)),"")</f>
        <v/>
      </c>
    </row>
    <row r="677" spans="1:13" ht="18" customHeight="1" x14ac:dyDescent="0.25">
      <c r="A677" s="37" t="str">
        <f>IF(Agent04_Withdrawals!A82="","",Agent04_Withdrawals!A82)</f>
        <v/>
      </c>
      <c r="B677" s="37" t="str">
        <f ca="1">IF(Agent04_Withdrawals!A82="","","WD"&amp;TEXT(677-3,"0000")&amp;"-"&amp;TEXT(TODAY(),"YYYYMMDD"))</f>
        <v/>
      </c>
      <c r="C677" s="37" t="str">
        <f>IF(Agent04_Withdrawals!A82="","",Agent04_Withdrawals!B82)</f>
        <v/>
      </c>
      <c r="D677" s="40" t="str">
        <f>IF(Agent04_Withdrawals!A82="","",Agent04_Withdrawals!C82)</f>
        <v/>
      </c>
      <c r="E677" s="38" t="str">
        <f>IF(Agent04_Withdrawals!A82="","",Agent04_Withdrawals!D82)</f>
        <v/>
      </c>
      <c r="F677" s="37" t="str">
        <f>IF(Agent04_Withdrawals!A82="","",Agent04_Withdrawals!F82)</f>
        <v/>
      </c>
      <c r="G677" s="39" t="str">
        <f>IF(Agent04_Withdrawals!A82="","",Agent04_Withdrawals!E82)</f>
        <v/>
      </c>
      <c r="H677" s="39" t="str">
        <f>IF(Agent04_Withdrawals!A82="","",Agent04_Withdrawals!G82)</f>
        <v/>
      </c>
      <c r="I677" s="37" t="str">
        <f>IF(Agent04_Withdrawals!A82="","",Agent04_Withdrawals!H82)</f>
        <v/>
      </c>
      <c r="J677" s="37" t="str">
        <f>IF(Agent04_Withdrawals!A82="","",Agent04_Withdrawals!J82)</f>
        <v/>
      </c>
      <c r="K677" s="37" t="str">
        <f>IF(Agent04_Withdrawals!A82="","",Agent04_Withdrawals!K82)</f>
        <v/>
      </c>
      <c r="L677" s="37" t="str">
        <f>IF(G677="","",IF(D677-G677&gt;=System_Config!$B$9,"✅ OK","⚠️ BREACH"))</f>
        <v/>
      </c>
      <c r="M677" s="37" t="str">
        <f>IFERROR(IF(Agent04_Withdrawals!A82="","",YEAR(Agent04_Withdrawals!D82)),"")</f>
        <v/>
      </c>
    </row>
    <row r="678" spans="1:13" ht="18" customHeight="1" x14ac:dyDescent="0.25">
      <c r="A678" s="37" t="str">
        <f>IF(Agent04_Withdrawals!A83="","",Agent04_Withdrawals!A83)</f>
        <v/>
      </c>
      <c r="B678" s="37" t="str">
        <f ca="1">IF(Agent04_Withdrawals!A83="","","WD"&amp;TEXT(678-3,"0000")&amp;"-"&amp;TEXT(TODAY(),"YYYYMMDD"))</f>
        <v/>
      </c>
      <c r="C678" s="37" t="str">
        <f>IF(Agent04_Withdrawals!A83="","",Agent04_Withdrawals!B83)</f>
        <v/>
      </c>
      <c r="D678" s="40" t="str">
        <f>IF(Agent04_Withdrawals!A83="","",Agent04_Withdrawals!C83)</f>
        <v/>
      </c>
      <c r="E678" s="38" t="str">
        <f>IF(Agent04_Withdrawals!A83="","",Agent04_Withdrawals!D83)</f>
        <v/>
      </c>
      <c r="F678" s="37" t="str">
        <f>IF(Agent04_Withdrawals!A83="","",Agent04_Withdrawals!F83)</f>
        <v/>
      </c>
      <c r="G678" s="39" t="str">
        <f>IF(Agent04_Withdrawals!A83="","",Agent04_Withdrawals!E83)</f>
        <v/>
      </c>
      <c r="H678" s="39" t="str">
        <f>IF(Agent04_Withdrawals!A83="","",Agent04_Withdrawals!G83)</f>
        <v/>
      </c>
      <c r="I678" s="37" t="str">
        <f>IF(Agent04_Withdrawals!A83="","",Agent04_Withdrawals!H83)</f>
        <v/>
      </c>
      <c r="J678" s="37" t="str">
        <f>IF(Agent04_Withdrawals!A83="","",Agent04_Withdrawals!J83)</f>
        <v/>
      </c>
      <c r="K678" s="37" t="str">
        <f>IF(Agent04_Withdrawals!A83="","",Agent04_Withdrawals!K83)</f>
        <v/>
      </c>
      <c r="L678" s="37" t="str">
        <f>IF(G678="","",IF(D678-G678&gt;=System_Config!$B$9,"✅ OK","⚠️ BREACH"))</f>
        <v/>
      </c>
      <c r="M678" s="37" t="str">
        <f>IFERROR(IF(Agent04_Withdrawals!A83="","",YEAR(Agent04_Withdrawals!D83)),"")</f>
        <v/>
      </c>
    </row>
    <row r="679" spans="1:13" ht="18" customHeight="1" x14ac:dyDescent="0.25">
      <c r="A679" s="37" t="str">
        <f>IF(Agent04_Withdrawals!A84="","",Agent04_Withdrawals!A84)</f>
        <v/>
      </c>
      <c r="B679" s="37" t="str">
        <f ca="1">IF(Agent04_Withdrawals!A84="","","WD"&amp;TEXT(679-3,"0000")&amp;"-"&amp;TEXT(TODAY(),"YYYYMMDD"))</f>
        <v/>
      </c>
      <c r="C679" s="37" t="str">
        <f>IF(Agent04_Withdrawals!A84="","",Agent04_Withdrawals!B84)</f>
        <v/>
      </c>
      <c r="D679" s="40" t="str">
        <f>IF(Agent04_Withdrawals!A84="","",Agent04_Withdrawals!C84)</f>
        <v/>
      </c>
      <c r="E679" s="38" t="str">
        <f>IF(Agent04_Withdrawals!A84="","",Agent04_Withdrawals!D84)</f>
        <v/>
      </c>
      <c r="F679" s="37" t="str">
        <f>IF(Agent04_Withdrawals!A84="","",Agent04_Withdrawals!F84)</f>
        <v/>
      </c>
      <c r="G679" s="39" t="str">
        <f>IF(Agent04_Withdrawals!A84="","",Agent04_Withdrawals!E84)</f>
        <v/>
      </c>
      <c r="H679" s="39" t="str">
        <f>IF(Agent04_Withdrawals!A84="","",Agent04_Withdrawals!G84)</f>
        <v/>
      </c>
      <c r="I679" s="37" t="str">
        <f>IF(Agent04_Withdrawals!A84="","",Agent04_Withdrawals!H84)</f>
        <v/>
      </c>
      <c r="J679" s="37" t="str">
        <f>IF(Agent04_Withdrawals!A84="","",Agent04_Withdrawals!J84)</f>
        <v/>
      </c>
      <c r="K679" s="37" t="str">
        <f>IF(Agent04_Withdrawals!A84="","",Agent04_Withdrawals!K84)</f>
        <v/>
      </c>
      <c r="L679" s="37" t="str">
        <f>IF(G679="","",IF(D679-G679&gt;=System_Config!$B$9,"✅ OK","⚠️ BREACH"))</f>
        <v/>
      </c>
      <c r="M679" s="37" t="str">
        <f>IFERROR(IF(Agent04_Withdrawals!A84="","",YEAR(Agent04_Withdrawals!D84)),"")</f>
        <v/>
      </c>
    </row>
    <row r="680" spans="1:13" ht="18" customHeight="1" x14ac:dyDescent="0.25">
      <c r="A680" s="37" t="str">
        <f>IF(Agent04_Withdrawals!A85="","",Agent04_Withdrawals!A85)</f>
        <v/>
      </c>
      <c r="B680" s="37" t="str">
        <f ca="1">IF(Agent04_Withdrawals!A85="","","WD"&amp;TEXT(680-3,"0000")&amp;"-"&amp;TEXT(TODAY(),"YYYYMMDD"))</f>
        <v/>
      </c>
      <c r="C680" s="37" t="str">
        <f>IF(Agent04_Withdrawals!A85="","",Agent04_Withdrawals!B85)</f>
        <v/>
      </c>
      <c r="D680" s="40" t="str">
        <f>IF(Agent04_Withdrawals!A85="","",Agent04_Withdrawals!C85)</f>
        <v/>
      </c>
      <c r="E680" s="38" t="str">
        <f>IF(Agent04_Withdrawals!A85="","",Agent04_Withdrawals!D85)</f>
        <v/>
      </c>
      <c r="F680" s="37" t="str">
        <f>IF(Agent04_Withdrawals!A85="","",Agent04_Withdrawals!F85)</f>
        <v/>
      </c>
      <c r="G680" s="39" t="str">
        <f>IF(Agent04_Withdrawals!A85="","",Agent04_Withdrawals!E85)</f>
        <v/>
      </c>
      <c r="H680" s="39" t="str">
        <f>IF(Agent04_Withdrawals!A85="","",Agent04_Withdrawals!G85)</f>
        <v/>
      </c>
      <c r="I680" s="37" t="str">
        <f>IF(Agent04_Withdrawals!A85="","",Agent04_Withdrawals!H85)</f>
        <v/>
      </c>
      <c r="J680" s="37" t="str">
        <f>IF(Agent04_Withdrawals!A85="","",Agent04_Withdrawals!J85)</f>
        <v/>
      </c>
      <c r="K680" s="37" t="str">
        <f>IF(Agent04_Withdrawals!A85="","",Agent04_Withdrawals!K85)</f>
        <v/>
      </c>
      <c r="L680" s="37" t="str">
        <f>IF(G680="","",IF(D680-G680&gt;=System_Config!$B$9,"✅ OK","⚠️ BREACH"))</f>
        <v/>
      </c>
      <c r="M680" s="37" t="str">
        <f>IFERROR(IF(Agent04_Withdrawals!A85="","",YEAR(Agent04_Withdrawals!D85)),"")</f>
        <v/>
      </c>
    </row>
    <row r="681" spans="1:13" ht="18" customHeight="1" x14ac:dyDescent="0.25">
      <c r="A681" s="37" t="str">
        <f>IF(Agent04_Withdrawals!A86="","",Agent04_Withdrawals!A86)</f>
        <v/>
      </c>
      <c r="B681" s="37" t="str">
        <f ca="1">IF(Agent04_Withdrawals!A86="","","WD"&amp;TEXT(681-3,"0000")&amp;"-"&amp;TEXT(TODAY(),"YYYYMMDD"))</f>
        <v/>
      </c>
      <c r="C681" s="37" t="str">
        <f>IF(Agent04_Withdrawals!A86="","",Agent04_Withdrawals!B86)</f>
        <v/>
      </c>
      <c r="D681" s="40" t="str">
        <f>IF(Agent04_Withdrawals!A86="","",Agent04_Withdrawals!C86)</f>
        <v/>
      </c>
      <c r="E681" s="38" t="str">
        <f>IF(Agent04_Withdrawals!A86="","",Agent04_Withdrawals!D86)</f>
        <v/>
      </c>
      <c r="F681" s="37" t="str">
        <f>IF(Agent04_Withdrawals!A86="","",Agent04_Withdrawals!F86)</f>
        <v/>
      </c>
      <c r="G681" s="39" t="str">
        <f>IF(Agent04_Withdrawals!A86="","",Agent04_Withdrawals!E86)</f>
        <v/>
      </c>
      <c r="H681" s="39" t="str">
        <f>IF(Agent04_Withdrawals!A86="","",Agent04_Withdrawals!G86)</f>
        <v/>
      </c>
      <c r="I681" s="37" t="str">
        <f>IF(Agent04_Withdrawals!A86="","",Agent04_Withdrawals!H86)</f>
        <v/>
      </c>
      <c r="J681" s="37" t="str">
        <f>IF(Agent04_Withdrawals!A86="","",Agent04_Withdrawals!J86)</f>
        <v/>
      </c>
      <c r="K681" s="37" t="str">
        <f>IF(Agent04_Withdrawals!A86="","",Agent04_Withdrawals!K86)</f>
        <v/>
      </c>
      <c r="L681" s="37" t="str">
        <f>IF(G681="","",IF(D681-G681&gt;=System_Config!$B$9,"✅ OK","⚠️ BREACH"))</f>
        <v/>
      </c>
      <c r="M681" s="37" t="str">
        <f>IFERROR(IF(Agent04_Withdrawals!A86="","",YEAR(Agent04_Withdrawals!D86)),"")</f>
        <v/>
      </c>
    </row>
    <row r="682" spans="1:13" ht="18" customHeight="1" x14ac:dyDescent="0.25">
      <c r="A682" s="37" t="str">
        <f>IF(Agent04_Withdrawals!A87="","",Agent04_Withdrawals!A87)</f>
        <v/>
      </c>
      <c r="B682" s="37" t="str">
        <f ca="1">IF(Agent04_Withdrawals!A87="","","WD"&amp;TEXT(682-3,"0000")&amp;"-"&amp;TEXT(TODAY(),"YYYYMMDD"))</f>
        <v/>
      </c>
      <c r="C682" s="37" t="str">
        <f>IF(Agent04_Withdrawals!A87="","",Agent04_Withdrawals!B87)</f>
        <v/>
      </c>
      <c r="D682" s="40" t="str">
        <f>IF(Agent04_Withdrawals!A87="","",Agent04_Withdrawals!C87)</f>
        <v/>
      </c>
      <c r="E682" s="38" t="str">
        <f>IF(Agent04_Withdrawals!A87="","",Agent04_Withdrawals!D87)</f>
        <v/>
      </c>
      <c r="F682" s="37" t="str">
        <f>IF(Agent04_Withdrawals!A87="","",Agent04_Withdrawals!F87)</f>
        <v/>
      </c>
      <c r="G682" s="39" t="str">
        <f>IF(Agent04_Withdrawals!A87="","",Agent04_Withdrawals!E87)</f>
        <v/>
      </c>
      <c r="H682" s="39" t="str">
        <f>IF(Agent04_Withdrawals!A87="","",Agent04_Withdrawals!G87)</f>
        <v/>
      </c>
      <c r="I682" s="37" t="str">
        <f>IF(Agent04_Withdrawals!A87="","",Agent04_Withdrawals!H87)</f>
        <v/>
      </c>
      <c r="J682" s="37" t="str">
        <f>IF(Agent04_Withdrawals!A87="","",Agent04_Withdrawals!J87)</f>
        <v/>
      </c>
      <c r="K682" s="37" t="str">
        <f>IF(Agent04_Withdrawals!A87="","",Agent04_Withdrawals!K87)</f>
        <v/>
      </c>
      <c r="L682" s="37" t="str">
        <f>IF(G682="","",IF(D682-G682&gt;=System_Config!$B$9,"✅ OK","⚠️ BREACH"))</f>
        <v/>
      </c>
      <c r="M682" s="37" t="str">
        <f>IFERROR(IF(Agent04_Withdrawals!A87="","",YEAR(Agent04_Withdrawals!D87)),"")</f>
        <v/>
      </c>
    </row>
    <row r="683" spans="1:13" ht="18" customHeight="1" x14ac:dyDescent="0.25">
      <c r="A683" s="37" t="str">
        <f>IF(Agent04_Withdrawals!A88="","",Agent04_Withdrawals!A88)</f>
        <v/>
      </c>
      <c r="B683" s="37" t="str">
        <f ca="1">IF(Agent04_Withdrawals!A88="","","WD"&amp;TEXT(683-3,"0000")&amp;"-"&amp;TEXT(TODAY(),"YYYYMMDD"))</f>
        <v/>
      </c>
      <c r="C683" s="37" t="str">
        <f>IF(Agent04_Withdrawals!A88="","",Agent04_Withdrawals!B88)</f>
        <v/>
      </c>
      <c r="D683" s="40" t="str">
        <f>IF(Agent04_Withdrawals!A88="","",Agent04_Withdrawals!C88)</f>
        <v/>
      </c>
      <c r="E683" s="38" t="str">
        <f>IF(Agent04_Withdrawals!A88="","",Agent04_Withdrawals!D88)</f>
        <v/>
      </c>
      <c r="F683" s="37" t="str">
        <f>IF(Agent04_Withdrawals!A88="","",Agent04_Withdrawals!F88)</f>
        <v/>
      </c>
      <c r="G683" s="39" t="str">
        <f>IF(Agent04_Withdrawals!A88="","",Agent04_Withdrawals!E88)</f>
        <v/>
      </c>
      <c r="H683" s="39" t="str">
        <f>IF(Agent04_Withdrawals!A88="","",Agent04_Withdrawals!G88)</f>
        <v/>
      </c>
      <c r="I683" s="37" t="str">
        <f>IF(Agent04_Withdrawals!A88="","",Agent04_Withdrawals!H88)</f>
        <v/>
      </c>
      <c r="J683" s="37" t="str">
        <f>IF(Agent04_Withdrawals!A88="","",Agent04_Withdrawals!J88)</f>
        <v/>
      </c>
      <c r="K683" s="37" t="str">
        <f>IF(Agent04_Withdrawals!A88="","",Agent04_Withdrawals!K88)</f>
        <v/>
      </c>
      <c r="L683" s="37" t="str">
        <f>IF(G683="","",IF(D683-G683&gt;=System_Config!$B$9,"✅ OK","⚠️ BREACH"))</f>
        <v/>
      </c>
      <c r="M683" s="37" t="str">
        <f>IFERROR(IF(Agent04_Withdrawals!A88="","",YEAR(Agent04_Withdrawals!D88)),"")</f>
        <v/>
      </c>
    </row>
    <row r="684" spans="1:13" ht="18" customHeight="1" x14ac:dyDescent="0.25">
      <c r="A684" s="37" t="str">
        <f>IF(Agent04_Withdrawals!A89="","",Agent04_Withdrawals!A89)</f>
        <v/>
      </c>
      <c r="B684" s="37" t="str">
        <f ca="1">IF(Agent04_Withdrawals!A89="","","WD"&amp;TEXT(684-3,"0000")&amp;"-"&amp;TEXT(TODAY(),"YYYYMMDD"))</f>
        <v/>
      </c>
      <c r="C684" s="37" t="str">
        <f>IF(Agent04_Withdrawals!A89="","",Agent04_Withdrawals!B89)</f>
        <v/>
      </c>
      <c r="D684" s="40" t="str">
        <f>IF(Agent04_Withdrawals!A89="","",Agent04_Withdrawals!C89)</f>
        <v/>
      </c>
      <c r="E684" s="38" t="str">
        <f>IF(Agent04_Withdrawals!A89="","",Agent04_Withdrawals!D89)</f>
        <v/>
      </c>
      <c r="F684" s="37" t="str">
        <f>IF(Agent04_Withdrawals!A89="","",Agent04_Withdrawals!F89)</f>
        <v/>
      </c>
      <c r="G684" s="39" t="str">
        <f>IF(Agent04_Withdrawals!A89="","",Agent04_Withdrawals!E89)</f>
        <v/>
      </c>
      <c r="H684" s="39" t="str">
        <f>IF(Agent04_Withdrawals!A89="","",Agent04_Withdrawals!G89)</f>
        <v/>
      </c>
      <c r="I684" s="37" t="str">
        <f>IF(Agent04_Withdrawals!A89="","",Agent04_Withdrawals!H89)</f>
        <v/>
      </c>
      <c r="J684" s="37" t="str">
        <f>IF(Agent04_Withdrawals!A89="","",Agent04_Withdrawals!J89)</f>
        <v/>
      </c>
      <c r="K684" s="37" t="str">
        <f>IF(Agent04_Withdrawals!A89="","",Agent04_Withdrawals!K89)</f>
        <v/>
      </c>
      <c r="L684" s="37" t="str">
        <f>IF(G684="","",IF(D684-G684&gt;=System_Config!$B$9,"✅ OK","⚠️ BREACH"))</f>
        <v/>
      </c>
      <c r="M684" s="37" t="str">
        <f>IFERROR(IF(Agent04_Withdrawals!A89="","",YEAR(Agent04_Withdrawals!D89)),"")</f>
        <v/>
      </c>
    </row>
    <row r="685" spans="1:13" ht="18" customHeight="1" x14ac:dyDescent="0.25">
      <c r="A685" s="37" t="str">
        <f>IF(Agent04_Withdrawals!A90="","",Agent04_Withdrawals!A90)</f>
        <v/>
      </c>
      <c r="B685" s="37" t="str">
        <f ca="1">IF(Agent04_Withdrawals!A90="","","WD"&amp;TEXT(685-3,"0000")&amp;"-"&amp;TEXT(TODAY(),"YYYYMMDD"))</f>
        <v/>
      </c>
      <c r="C685" s="37" t="str">
        <f>IF(Agent04_Withdrawals!A90="","",Agent04_Withdrawals!B90)</f>
        <v/>
      </c>
      <c r="D685" s="40" t="str">
        <f>IF(Agent04_Withdrawals!A90="","",Agent04_Withdrawals!C90)</f>
        <v/>
      </c>
      <c r="E685" s="38" t="str">
        <f>IF(Agent04_Withdrawals!A90="","",Agent04_Withdrawals!D90)</f>
        <v/>
      </c>
      <c r="F685" s="37" t="str">
        <f>IF(Agent04_Withdrawals!A90="","",Agent04_Withdrawals!F90)</f>
        <v/>
      </c>
      <c r="G685" s="39" t="str">
        <f>IF(Agent04_Withdrawals!A90="","",Agent04_Withdrawals!E90)</f>
        <v/>
      </c>
      <c r="H685" s="39" t="str">
        <f>IF(Agent04_Withdrawals!A90="","",Agent04_Withdrawals!G90)</f>
        <v/>
      </c>
      <c r="I685" s="37" t="str">
        <f>IF(Agent04_Withdrawals!A90="","",Agent04_Withdrawals!H90)</f>
        <v/>
      </c>
      <c r="J685" s="37" t="str">
        <f>IF(Agent04_Withdrawals!A90="","",Agent04_Withdrawals!J90)</f>
        <v/>
      </c>
      <c r="K685" s="37" t="str">
        <f>IF(Agent04_Withdrawals!A90="","",Agent04_Withdrawals!K90)</f>
        <v/>
      </c>
      <c r="L685" s="37" t="str">
        <f>IF(G685="","",IF(D685-G685&gt;=System_Config!$B$9,"✅ OK","⚠️ BREACH"))</f>
        <v/>
      </c>
      <c r="M685" s="37" t="str">
        <f>IFERROR(IF(Agent04_Withdrawals!A90="","",YEAR(Agent04_Withdrawals!D90)),"")</f>
        <v/>
      </c>
    </row>
    <row r="686" spans="1:13" ht="18" customHeight="1" x14ac:dyDescent="0.25">
      <c r="A686" s="37" t="str">
        <f>IF(Agent04_Withdrawals!A91="","",Agent04_Withdrawals!A91)</f>
        <v/>
      </c>
      <c r="B686" s="37" t="str">
        <f ca="1">IF(Agent04_Withdrawals!A91="","","WD"&amp;TEXT(686-3,"0000")&amp;"-"&amp;TEXT(TODAY(),"YYYYMMDD"))</f>
        <v/>
      </c>
      <c r="C686" s="37" t="str">
        <f>IF(Agent04_Withdrawals!A91="","",Agent04_Withdrawals!B91)</f>
        <v/>
      </c>
      <c r="D686" s="40" t="str">
        <f>IF(Agent04_Withdrawals!A91="","",Agent04_Withdrawals!C91)</f>
        <v/>
      </c>
      <c r="E686" s="38" t="str">
        <f>IF(Agent04_Withdrawals!A91="","",Agent04_Withdrawals!D91)</f>
        <v/>
      </c>
      <c r="F686" s="37" t="str">
        <f>IF(Agent04_Withdrawals!A91="","",Agent04_Withdrawals!F91)</f>
        <v/>
      </c>
      <c r="G686" s="39" t="str">
        <f>IF(Agent04_Withdrawals!A91="","",Agent04_Withdrawals!E91)</f>
        <v/>
      </c>
      <c r="H686" s="39" t="str">
        <f>IF(Agent04_Withdrawals!A91="","",Agent04_Withdrawals!G91)</f>
        <v/>
      </c>
      <c r="I686" s="37" t="str">
        <f>IF(Agent04_Withdrawals!A91="","",Agent04_Withdrawals!H91)</f>
        <v/>
      </c>
      <c r="J686" s="37" t="str">
        <f>IF(Agent04_Withdrawals!A91="","",Agent04_Withdrawals!J91)</f>
        <v/>
      </c>
      <c r="K686" s="37" t="str">
        <f>IF(Agent04_Withdrawals!A91="","",Agent04_Withdrawals!K91)</f>
        <v/>
      </c>
      <c r="L686" s="37" t="str">
        <f>IF(G686="","",IF(D686-G686&gt;=System_Config!$B$9,"✅ OK","⚠️ BREACH"))</f>
        <v/>
      </c>
      <c r="M686" s="37" t="str">
        <f>IFERROR(IF(Agent04_Withdrawals!A91="","",YEAR(Agent04_Withdrawals!D91)),"")</f>
        <v/>
      </c>
    </row>
    <row r="687" spans="1:13" ht="18" customHeight="1" x14ac:dyDescent="0.25">
      <c r="A687" s="37" t="str">
        <f>IF(Agent04_Withdrawals!A92="","",Agent04_Withdrawals!A92)</f>
        <v/>
      </c>
      <c r="B687" s="37" t="str">
        <f ca="1">IF(Agent04_Withdrawals!A92="","","WD"&amp;TEXT(687-3,"0000")&amp;"-"&amp;TEXT(TODAY(),"YYYYMMDD"))</f>
        <v/>
      </c>
      <c r="C687" s="37" t="str">
        <f>IF(Agent04_Withdrawals!A92="","",Agent04_Withdrawals!B92)</f>
        <v/>
      </c>
      <c r="D687" s="40" t="str">
        <f>IF(Agent04_Withdrawals!A92="","",Agent04_Withdrawals!C92)</f>
        <v/>
      </c>
      <c r="E687" s="38" t="str">
        <f>IF(Agent04_Withdrawals!A92="","",Agent04_Withdrawals!D92)</f>
        <v/>
      </c>
      <c r="F687" s="37" t="str">
        <f>IF(Agent04_Withdrawals!A92="","",Agent04_Withdrawals!F92)</f>
        <v/>
      </c>
      <c r="G687" s="39" t="str">
        <f>IF(Agent04_Withdrawals!A92="","",Agent04_Withdrawals!E92)</f>
        <v/>
      </c>
      <c r="H687" s="39" t="str">
        <f>IF(Agent04_Withdrawals!A92="","",Agent04_Withdrawals!G92)</f>
        <v/>
      </c>
      <c r="I687" s="37" t="str">
        <f>IF(Agent04_Withdrawals!A92="","",Agent04_Withdrawals!H92)</f>
        <v/>
      </c>
      <c r="J687" s="37" t="str">
        <f>IF(Agent04_Withdrawals!A92="","",Agent04_Withdrawals!J92)</f>
        <v/>
      </c>
      <c r="K687" s="37" t="str">
        <f>IF(Agent04_Withdrawals!A92="","",Agent04_Withdrawals!K92)</f>
        <v/>
      </c>
      <c r="L687" s="37" t="str">
        <f>IF(G687="","",IF(D687-G687&gt;=System_Config!$B$9,"✅ OK","⚠️ BREACH"))</f>
        <v/>
      </c>
      <c r="M687" s="37" t="str">
        <f>IFERROR(IF(Agent04_Withdrawals!A92="","",YEAR(Agent04_Withdrawals!D92)),"")</f>
        <v/>
      </c>
    </row>
    <row r="688" spans="1:13" ht="18" customHeight="1" x14ac:dyDescent="0.25">
      <c r="A688" s="37" t="str">
        <f>IF(Agent04_Withdrawals!A93="","",Agent04_Withdrawals!A93)</f>
        <v/>
      </c>
      <c r="B688" s="37" t="str">
        <f ca="1">IF(Agent04_Withdrawals!A93="","","WD"&amp;TEXT(688-3,"0000")&amp;"-"&amp;TEXT(TODAY(),"YYYYMMDD"))</f>
        <v/>
      </c>
      <c r="C688" s="37" t="str">
        <f>IF(Agent04_Withdrawals!A93="","",Agent04_Withdrawals!B93)</f>
        <v/>
      </c>
      <c r="D688" s="40" t="str">
        <f>IF(Agent04_Withdrawals!A93="","",Agent04_Withdrawals!C93)</f>
        <v/>
      </c>
      <c r="E688" s="38" t="str">
        <f>IF(Agent04_Withdrawals!A93="","",Agent04_Withdrawals!D93)</f>
        <v/>
      </c>
      <c r="F688" s="37" t="str">
        <f>IF(Agent04_Withdrawals!A93="","",Agent04_Withdrawals!F93)</f>
        <v/>
      </c>
      <c r="G688" s="39" t="str">
        <f>IF(Agent04_Withdrawals!A93="","",Agent04_Withdrawals!E93)</f>
        <v/>
      </c>
      <c r="H688" s="39" t="str">
        <f>IF(Agent04_Withdrawals!A93="","",Agent04_Withdrawals!G93)</f>
        <v/>
      </c>
      <c r="I688" s="37" t="str">
        <f>IF(Agent04_Withdrawals!A93="","",Agent04_Withdrawals!H93)</f>
        <v/>
      </c>
      <c r="J688" s="37" t="str">
        <f>IF(Agent04_Withdrawals!A93="","",Agent04_Withdrawals!J93)</f>
        <v/>
      </c>
      <c r="K688" s="37" t="str">
        <f>IF(Agent04_Withdrawals!A93="","",Agent04_Withdrawals!K93)</f>
        <v/>
      </c>
      <c r="L688" s="37" t="str">
        <f>IF(G688="","",IF(D688-G688&gt;=System_Config!$B$9,"✅ OK","⚠️ BREACH"))</f>
        <v/>
      </c>
      <c r="M688" s="37" t="str">
        <f>IFERROR(IF(Agent04_Withdrawals!A93="","",YEAR(Agent04_Withdrawals!D93)),"")</f>
        <v/>
      </c>
    </row>
    <row r="689" spans="1:13" ht="18" customHeight="1" x14ac:dyDescent="0.25">
      <c r="A689" s="37" t="str">
        <f>IF(Agent04_Withdrawals!A94="","",Agent04_Withdrawals!A94)</f>
        <v/>
      </c>
      <c r="B689" s="37" t="str">
        <f ca="1">IF(Agent04_Withdrawals!A94="","","WD"&amp;TEXT(689-3,"0000")&amp;"-"&amp;TEXT(TODAY(),"YYYYMMDD"))</f>
        <v/>
      </c>
      <c r="C689" s="37" t="str">
        <f>IF(Agent04_Withdrawals!A94="","",Agent04_Withdrawals!B94)</f>
        <v/>
      </c>
      <c r="D689" s="40" t="str">
        <f>IF(Agent04_Withdrawals!A94="","",Agent04_Withdrawals!C94)</f>
        <v/>
      </c>
      <c r="E689" s="38" t="str">
        <f>IF(Agent04_Withdrawals!A94="","",Agent04_Withdrawals!D94)</f>
        <v/>
      </c>
      <c r="F689" s="37" t="str">
        <f>IF(Agent04_Withdrawals!A94="","",Agent04_Withdrawals!F94)</f>
        <v/>
      </c>
      <c r="G689" s="39" t="str">
        <f>IF(Agent04_Withdrawals!A94="","",Agent04_Withdrawals!E94)</f>
        <v/>
      </c>
      <c r="H689" s="39" t="str">
        <f>IF(Agent04_Withdrawals!A94="","",Agent04_Withdrawals!G94)</f>
        <v/>
      </c>
      <c r="I689" s="37" t="str">
        <f>IF(Agent04_Withdrawals!A94="","",Agent04_Withdrawals!H94)</f>
        <v/>
      </c>
      <c r="J689" s="37" t="str">
        <f>IF(Agent04_Withdrawals!A94="","",Agent04_Withdrawals!J94)</f>
        <v/>
      </c>
      <c r="K689" s="37" t="str">
        <f>IF(Agent04_Withdrawals!A94="","",Agent04_Withdrawals!K94)</f>
        <v/>
      </c>
      <c r="L689" s="37" t="str">
        <f>IF(G689="","",IF(D689-G689&gt;=System_Config!$B$9,"✅ OK","⚠️ BREACH"))</f>
        <v/>
      </c>
      <c r="M689" s="37" t="str">
        <f>IFERROR(IF(Agent04_Withdrawals!A94="","",YEAR(Agent04_Withdrawals!D94)),"")</f>
        <v/>
      </c>
    </row>
    <row r="690" spans="1:13" ht="18" customHeight="1" x14ac:dyDescent="0.25">
      <c r="A690" s="37" t="str">
        <f>IF(Agent04_Withdrawals!A95="","",Agent04_Withdrawals!A95)</f>
        <v/>
      </c>
      <c r="B690" s="37" t="str">
        <f ca="1">IF(Agent04_Withdrawals!A95="","","WD"&amp;TEXT(690-3,"0000")&amp;"-"&amp;TEXT(TODAY(),"YYYYMMDD"))</f>
        <v/>
      </c>
      <c r="C690" s="37" t="str">
        <f>IF(Agent04_Withdrawals!A95="","",Agent04_Withdrawals!B95)</f>
        <v/>
      </c>
      <c r="D690" s="40" t="str">
        <f>IF(Agent04_Withdrawals!A95="","",Agent04_Withdrawals!C95)</f>
        <v/>
      </c>
      <c r="E690" s="38" t="str">
        <f>IF(Agent04_Withdrawals!A95="","",Agent04_Withdrawals!D95)</f>
        <v/>
      </c>
      <c r="F690" s="37" t="str">
        <f>IF(Agent04_Withdrawals!A95="","",Agent04_Withdrawals!F95)</f>
        <v/>
      </c>
      <c r="G690" s="39" t="str">
        <f>IF(Agent04_Withdrawals!A95="","",Agent04_Withdrawals!E95)</f>
        <v/>
      </c>
      <c r="H690" s="39" t="str">
        <f>IF(Agent04_Withdrawals!A95="","",Agent04_Withdrawals!G95)</f>
        <v/>
      </c>
      <c r="I690" s="37" t="str">
        <f>IF(Agent04_Withdrawals!A95="","",Agent04_Withdrawals!H95)</f>
        <v/>
      </c>
      <c r="J690" s="37" t="str">
        <f>IF(Agent04_Withdrawals!A95="","",Agent04_Withdrawals!J95)</f>
        <v/>
      </c>
      <c r="K690" s="37" t="str">
        <f>IF(Agent04_Withdrawals!A95="","",Agent04_Withdrawals!K95)</f>
        <v/>
      </c>
      <c r="L690" s="37" t="str">
        <f>IF(G690="","",IF(D690-G690&gt;=System_Config!$B$9,"✅ OK","⚠️ BREACH"))</f>
        <v/>
      </c>
      <c r="M690" s="37" t="str">
        <f>IFERROR(IF(Agent04_Withdrawals!A95="","",YEAR(Agent04_Withdrawals!D95)),"")</f>
        <v/>
      </c>
    </row>
    <row r="691" spans="1:13" ht="18" customHeight="1" x14ac:dyDescent="0.25">
      <c r="A691" s="37" t="str">
        <f>IF(Agent04_Withdrawals!A96="","",Agent04_Withdrawals!A96)</f>
        <v/>
      </c>
      <c r="B691" s="37" t="str">
        <f ca="1">IF(Agent04_Withdrawals!A96="","","WD"&amp;TEXT(691-3,"0000")&amp;"-"&amp;TEXT(TODAY(),"YYYYMMDD"))</f>
        <v/>
      </c>
      <c r="C691" s="37" t="str">
        <f>IF(Agent04_Withdrawals!A96="","",Agent04_Withdrawals!B96)</f>
        <v/>
      </c>
      <c r="D691" s="40" t="str">
        <f>IF(Agent04_Withdrawals!A96="","",Agent04_Withdrawals!C96)</f>
        <v/>
      </c>
      <c r="E691" s="38" t="str">
        <f>IF(Agent04_Withdrawals!A96="","",Agent04_Withdrawals!D96)</f>
        <v/>
      </c>
      <c r="F691" s="37" t="str">
        <f>IF(Agent04_Withdrawals!A96="","",Agent04_Withdrawals!F96)</f>
        <v/>
      </c>
      <c r="G691" s="39" t="str">
        <f>IF(Agent04_Withdrawals!A96="","",Agent04_Withdrawals!E96)</f>
        <v/>
      </c>
      <c r="H691" s="39" t="str">
        <f>IF(Agent04_Withdrawals!A96="","",Agent04_Withdrawals!G96)</f>
        <v/>
      </c>
      <c r="I691" s="37" t="str">
        <f>IF(Agent04_Withdrawals!A96="","",Agent04_Withdrawals!H96)</f>
        <v/>
      </c>
      <c r="J691" s="37" t="str">
        <f>IF(Agent04_Withdrawals!A96="","",Agent04_Withdrawals!J96)</f>
        <v/>
      </c>
      <c r="K691" s="37" t="str">
        <f>IF(Agent04_Withdrawals!A96="","",Agent04_Withdrawals!K96)</f>
        <v/>
      </c>
      <c r="L691" s="37" t="str">
        <f>IF(G691="","",IF(D691-G691&gt;=System_Config!$B$9,"✅ OK","⚠️ BREACH"))</f>
        <v/>
      </c>
      <c r="M691" s="37" t="str">
        <f>IFERROR(IF(Agent04_Withdrawals!A96="","",YEAR(Agent04_Withdrawals!D96)),"")</f>
        <v/>
      </c>
    </row>
    <row r="692" spans="1:13" ht="18" customHeight="1" x14ac:dyDescent="0.25">
      <c r="A692" s="37" t="str">
        <f>IF(Agent04_Withdrawals!A97="","",Agent04_Withdrawals!A97)</f>
        <v/>
      </c>
      <c r="B692" s="37" t="str">
        <f ca="1">IF(Agent04_Withdrawals!A97="","","WD"&amp;TEXT(692-3,"0000")&amp;"-"&amp;TEXT(TODAY(),"YYYYMMDD"))</f>
        <v/>
      </c>
      <c r="C692" s="37" t="str">
        <f>IF(Agent04_Withdrawals!A97="","",Agent04_Withdrawals!B97)</f>
        <v/>
      </c>
      <c r="D692" s="40" t="str">
        <f>IF(Agent04_Withdrawals!A97="","",Agent04_Withdrawals!C97)</f>
        <v/>
      </c>
      <c r="E692" s="38" t="str">
        <f>IF(Agent04_Withdrawals!A97="","",Agent04_Withdrawals!D97)</f>
        <v/>
      </c>
      <c r="F692" s="37" t="str">
        <f>IF(Agent04_Withdrawals!A97="","",Agent04_Withdrawals!F97)</f>
        <v/>
      </c>
      <c r="G692" s="39" t="str">
        <f>IF(Agent04_Withdrawals!A97="","",Agent04_Withdrawals!E97)</f>
        <v/>
      </c>
      <c r="H692" s="39" t="str">
        <f>IF(Agent04_Withdrawals!A97="","",Agent04_Withdrawals!G97)</f>
        <v/>
      </c>
      <c r="I692" s="37" t="str">
        <f>IF(Agent04_Withdrawals!A97="","",Agent04_Withdrawals!H97)</f>
        <v/>
      </c>
      <c r="J692" s="37" t="str">
        <f>IF(Agent04_Withdrawals!A97="","",Agent04_Withdrawals!J97)</f>
        <v/>
      </c>
      <c r="K692" s="37" t="str">
        <f>IF(Agent04_Withdrawals!A97="","",Agent04_Withdrawals!K97)</f>
        <v/>
      </c>
      <c r="L692" s="37" t="str">
        <f>IF(G692="","",IF(D692-G692&gt;=System_Config!$B$9,"✅ OK","⚠️ BREACH"))</f>
        <v/>
      </c>
      <c r="M692" s="37" t="str">
        <f>IFERROR(IF(Agent04_Withdrawals!A97="","",YEAR(Agent04_Withdrawals!D97)),"")</f>
        <v/>
      </c>
    </row>
    <row r="693" spans="1:13" ht="18" customHeight="1" x14ac:dyDescent="0.25">
      <c r="A693" s="37" t="str">
        <f>IF(Agent04_Withdrawals!A98="","",Agent04_Withdrawals!A98)</f>
        <v/>
      </c>
      <c r="B693" s="37" t="str">
        <f ca="1">IF(Agent04_Withdrawals!A98="","","WD"&amp;TEXT(693-3,"0000")&amp;"-"&amp;TEXT(TODAY(),"YYYYMMDD"))</f>
        <v/>
      </c>
      <c r="C693" s="37" t="str">
        <f>IF(Agent04_Withdrawals!A98="","",Agent04_Withdrawals!B98)</f>
        <v/>
      </c>
      <c r="D693" s="40" t="str">
        <f>IF(Agent04_Withdrawals!A98="","",Agent04_Withdrawals!C98)</f>
        <v/>
      </c>
      <c r="E693" s="38" t="str">
        <f>IF(Agent04_Withdrawals!A98="","",Agent04_Withdrawals!D98)</f>
        <v/>
      </c>
      <c r="F693" s="37" t="str">
        <f>IF(Agent04_Withdrawals!A98="","",Agent04_Withdrawals!F98)</f>
        <v/>
      </c>
      <c r="G693" s="39" t="str">
        <f>IF(Agent04_Withdrawals!A98="","",Agent04_Withdrawals!E98)</f>
        <v/>
      </c>
      <c r="H693" s="39" t="str">
        <f>IF(Agent04_Withdrawals!A98="","",Agent04_Withdrawals!G98)</f>
        <v/>
      </c>
      <c r="I693" s="37" t="str">
        <f>IF(Agent04_Withdrawals!A98="","",Agent04_Withdrawals!H98)</f>
        <v/>
      </c>
      <c r="J693" s="37" t="str">
        <f>IF(Agent04_Withdrawals!A98="","",Agent04_Withdrawals!J98)</f>
        <v/>
      </c>
      <c r="K693" s="37" t="str">
        <f>IF(Agent04_Withdrawals!A98="","",Agent04_Withdrawals!K98)</f>
        <v/>
      </c>
      <c r="L693" s="37" t="str">
        <f>IF(G693="","",IF(D693-G693&gt;=System_Config!$B$9,"✅ OK","⚠️ BREACH"))</f>
        <v/>
      </c>
      <c r="M693" s="37" t="str">
        <f>IFERROR(IF(Agent04_Withdrawals!A98="","",YEAR(Agent04_Withdrawals!D98)),"")</f>
        <v/>
      </c>
    </row>
    <row r="694" spans="1:13" ht="18" customHeight="1" x14ac:dyDescent="0.25">
      <c r="A694" s="37" t="str">
        <f>IF(Agent04_Withdrawals!A99="","",Agent04_Withdrawals!A99)</f>
        <v/>
      </c>
      <c r="B694" s="37" t="str">
        <f ca="1">IF(Agent04_Withdrawals!A99="","","WD"&amp;TEXT(694-3,"0000")&amp;"-"&amp;TEXT(TODAY(),"YYYYMMDD"))</f>
        <v/>
      </c>
      <c r="C694" s="37" t="str">
        <f>IF(Agent04_Withdrawals!A99="","",Agent04_Withdrawals!B99)</f>
        <v/>
      </c>
      <c r="D694" s="40" t="str">
        <f>IF(Agent04_Withdrawals!A99="","",Agent04_Withdrawals!C99)</f>
        <v/>
      </c>
      <c r="E694" s="38" t="str">
        <f>IF(Agent04_Withdrawals!A99="","",Agent04_Withdrawals!D99)</f>
        <v/>
      </c>
      <c r="F694" s="37" t="str">
        <f>IF(Agent04_Withdrawals!A99="","",Agent04_Withdrawals!F99)</f>
        <v/>
      </c>
      <c r="G694" s="39" t="str">
        <f>IF(Agent04_Withdrawals!A99="","",Agent04_Withdrawals!E99)</f>
        <v/>
      </c>
      <c r="H694" s="39" t="str">
        <f>IF(Agent04_Withdrawals!A99="","",Agent04_Withdrawals!G99)</f>
        <v/>
      </c>
      <c r="I694" s="37" t="str">
        <f>IF(Agent04_Withdrawals!A99="","",Agent04_Withdrawals!H99)</f>
        <v/>
      </c>
      <c r="J694" s="37" t="str">
        <f>IF(Agent04_Withdrawals!A99="","",Agent04_Withdrawals!J99)</f>
        <v/>
      </c>
      <c r="K694" s="37" t="str">
        <f>IF(Agent04_Withdrawals!A99="","",Agent04_Withdrawals!K99)</f>
        <v/>
      </c>
      <c r="L694" s="37" t="str">
        <f>IF(G694="","",IF(D694-G694&gt;=System_Config!$B$9,"✅ OK","⚠️ BREACH"))</f>
        <v/>
      </c>
      <c r="M694" s="37" t="str">
        <f>IFERROR(IF(Agent04_Withdrawals!A99="","",YEAR(Agent04_Withdrawals!D99)),"")</f>
        <v/>
      </c>
    </row>
    <row r="695" spans="1:13" ht="18" customHeight="1" x14ac:dyDescent="0.25">
      <c r="A695" s="37" t="str">
        <f>IF(Agent04_Withdrawals!A100="","",Agent04_Withdrawals!A100)</f>
        <v/>
      </c>
      <c r="B695" s="37" t="str">
        <f ca="1">IF(Agent04_Withdrawals!A100="","","WD"&amp;TEXT(695-3,"0000")&amp;"-"&amp;TEXT(TODAY(),"YYYYMMDD"))</f>
        <v/>
      </c>
      <c r="C695" s="37" t="str">
        <f>IF(Agent04_Withdrawals!A100="","",Agent04_Withdrawals!B100)</f>
        <v/>
      </c>
      <c r="D695" s="40" t="str">
        <f>IF(Agent04_Withdrawals!A100="","",Agent04_Withdrawals!C100)</f>
        <v/>
      </c>
      <c r="E695" s="38" t="str">
        <f>IF(Agent04_Withdrawals!A100="","",Agent04_Withdrawals!D100)</f>
        <v/>
      </c>
      <c r="F695" s="37" t="str">
        <f>IF(Agent04_Withdrawals!A100="","",Agent04_Withdrawals!F100)</f>
        <v/>
      </c>
      <c r="G695" s="39" t="str">
        <f>IF(Agent04_Withdrawals!A100="","",Agent04_Withdrawals!E100)</f>
        <v/>
      </c>
      <c r="H695" s="39" t="str">
        <f>IF(Agent04_Withdrawals!A100="","",Agent04_Withdrawals!G100)</f>
        <v/>
      </c>
      <c r="I695" s="37" t="str">
        <f>IF(Agent04_Withdrawals!A100="","",Agent04_Withdrawals!H100)</f>
        <v/>
      </c>
      <c r="J695" s="37" t="str">
        <f>IF(Agent04_Withdrawals!A100="","",Agent04_Withdrawals!J100)</f>
        <v/>
      </c>
      <c r="K695" s="37" t="str">
        <f>IF(Agent04_Withdrawals!A100="","",Agent04_Withdrawals!K100)</f>
        <v/>
      </c>
      <c r="L695" s="37" t="str">
        <f>IF(G695="","",IF(D695-G695&gt;=System_Config!$B$9,"✅ OK","⚠️ BREACH"))</f>
        <v/>
      </c>
      <c r="M695" s="37" t="str">
        <f>IFERROR(IF(Agent04_Withdrawals!A100="","",YEAR(Agent04_Withdrawals!D100)),"")</f>
        <v/>
      </c>
    </row>
    <row r="696" spans="1:13" ht="18" customHeight="1" x14ac:dyDescent="0.25">
      <c r="A696" s="37" t="str">
        <f>IF(Agent04_Withdrawals!A101="","",Agent04_Withdrawals!A101)</f>
        <v/>
      </c>
      <c r="B696" s="37" t="str">
        <f ca="1">IF(Agent04_Withdrawals!A101="","","WD"&amp;TEXT(696-3,"0000")&amp;"-"&amp;TEXT(TODAY(),"YYYYMMDD"))</f>
        <v/>
      </c>
      <c r="C696" s="37" t="str">
        <f>IF(Agent04_Withdrawals!A101="","",Agent04_Withdrawals!B101)</f>
        <v/>
      </c>
      <c r="D696" s="40" t="str">
        <f>IF(Agent04_Withdrawals!A101="","",Agent04_Withdrawals!C101)</f>
        <v/>
      </c>
      <c r="E696" s="38" t="str">
        <f>IF(Agent04_Withdrawals!A101="","",Agent04_Withdrawals!D101)</f>
        <v/>
      </c>
      <c r="F696" s="37" t="str">
        <f>IF(Agent04_Withdrawals!A101="","",Agent04_Withdrawals!F101)</f>
        <v/>
      </c>
      <c r="G696" s="39" t="str">
        <f>IF(Agent04_Withdrawals!A101="","",Agent04_Withdrawals!E101)</f>
        <v/>
      </c>
      <c r="H696" s="39" t="str">
        <f>IF(Agent04_Withdrawals!A101="","",Agent04_Withdrawals!G101)</f>
        <v/>
      </c>
      <c r="I696" s="37" t="str">
        <f>IF(Agent04_Withdrawals!A101="","",Agent04_Withdrawals!H101)</f>
        <v/>
      </c>
      <c r="J696" s="37" t="str">
        <f>IF(Agent04_Withdrawals!A101="","",Agent04_Withdrawals!J101)</f>
        <v/>
      </c>
      <c r="K696" s="37" t="str">
        <f>IF(Agent04_Withdrawals!A101="","",Agent04_Withdrawals!K101)</f>
        <v/>
      </c>
      <c r="L696" s="37" t="str">
        <f>IF(G696="","",IF(D696-G696&gt;=System_Config!$B$9,"✅ OK","⚠️ BREACH"))</f>
        <v/>
      </c>
      <c r="M696" s="37" t="str">
        <f>IFERROR(IF(Agent04_Withdrawals!A101="","",YEAR(Agent04_Withdrawals!D101)),"")</f>
        <v/>
      </c>
    </row>
    <row r="697" spans="1:13" ht="18" customHeight="1" x14ac:dyDescent="0.25">
      <c r="A697" s="37" t="str">
        <f>IF(Agent04_Withdrawals!A102="","",Agent04_Withdrawals!A102)</f>
        <v/>
      </c>
      <c r="B697" s="37" t="str">
        <f ca="1">IF(Agent04_Withdrawals!A102="","","WD"&amp;TEXT(697-3,"0000")&amp;"-"&amp;TEXT(TODAY(),"YYYYMMDD"))</f>
        <v/>
      </c>
      <c r="C697" s="37" t="str">
        <f>IF(Agent04_Withdrawals!A102="","",Agent04_Withdrawals!B102)</f>
        <v/>
      </c>
      <c r="D697" s="40" t="str">
        <f>IF(Agent04_Withdrawals!A102="","",Agent04_Withdrawals!C102)</f>
        <v/>
      </c>
      <c r="E697" s="38" t="str">
        <f>IF(Agent04_Withdrawals!A102="","",Agent04_Withdrawals!D102)</f>
        <v/>
      </c>
      <c r="F697" s="37" t="str">
        <f>IF(Agent04_Withdrawals!A102="","",Agent04_Withdrawals!F102)</f>
        <v/>
      </c>
      <c r="G697" s="39" t="str">
        <f>IF(Agent04_Withdrawals!A102="","",Agent04_Withdrawals!E102)</f>
        <v/>
      </c>
      <c r="H697" s="39" t="str">
        <f>IF(Agent04_Withdrawals!A102="","",Agent04_Withdrawals!G102)</f>
        <v/>
      </c>
      <c r="I697" s="37" t="str">
        <f>IF(Agent04_Withdrawals!A102="","",Agent04_Withdrawals!H102)</f>
        <v/>
      </c>
      <c r="J697" s="37" t="str">
        <f>IF(Agent04_Withdrawals!A102="","",Agent04_Withdrawals!J102)</f>
        <v/>
      </c>
      <c r="K697" s="37" t="str">
        <f>IF(Agent04_Withdrawals!A102="","",Agent04_Withdrawals!K102)</f>
        <v/>
      </c>
      <c r="L697" s="37" t="str">
        <f>IF(G697="","",IF(D697-G697&gt;=System_Config!$B$9,"✅ OK","⚠️ BREACH"))</f>
        <v/>
      </c>
      <c r="M697" s="37" t="str">
        <f>IFERROR(IF(Agent04_Withdrawals!A102="","",YEAR(Agent04_Withdrawals!D102)),"")</f>
        <v/>
      </c>
    </row>
    <row r="698" spans="1:13" ht="18" customHeight="1" x14ac:dyDescent="0.25">
      <c r="A698" s="37" t="str">
        <f>IF(Agent04_Withdrawals!A103="","",Agent04_Withdrawals!A103)</f>
        <v/>
      </c>
      <c r="B698" s="37" t="str">
        <f ca="1">IF(Agent04_Withdrawals!A103="","","WD"&amp;TEXT(698-3,"0000")&amp;"-"&amp;TEXT(TODAY(),"YYYYMMDD"))</f>
        <v/>
      </c>
      <c r="C698" s="37" t="str">
        <f>IF(Agent04_Withdrawals!A103="","",Agent04_Withdrawals!B103)</f>
        <v/>
      </c>
      <c r="D698" s="40" t="str">
        <f>IF(Agent04_Withdrawals!A103="","",Agent04_Withdrawals!C103)</f>
        <v/>
      </c>
      <c r="E698" s="38" t="str">
        <f>IF(Agent04_Withdrawals!A103="","",Agent04_Withdrawals!D103)</f>
        <v/>
      </c>
      <c r="F698" s="37" t="str">
        <f>IF(Agent04_Withdrawals!A103="","",Agent04_Withdrawals!F103)</f>
        <v/>
      </c>
      <c r="G698" s="39" t="str">
        <f>IF(Agent04_Withdrawals!A103="","",Agent04_Withdrawals!E103)</f>
        <v/>
      </c>
      <c r="H698" s="39" t="str">
        <f>IF(Agent04_Withdrawals!A103="","",Agent04_Withdrawals!G103)</f>
        <v/>
      </c>
      <c r="I698" s="37" t="str">
        <f>IF(Agent04_Withdrawals!A103="","",Agent04_Withdrawals!H103)</f>
        <v/>
      </c>
      <c r="J698" s="37" t="str">
        <f>IF(Agent04_Withdrawals!A103="","",Agent04_Withdrawals!J103)</f>
        <v/>
      </c>
      <c r="K698" s="37" t="str">
        <f>IF(Agent04_Withdrawals!A103="","",Agent04_Withdrawals!K103)</f>
        <v/>
      </c>
      <c r="L698" s="37" t="str">
        <f>IF(G698="","",IF(D698-G698&gt;=System_Config!$B$9,"✅ OK","⚠️ BREACH"))</f>
        <v/>
      </c>
      <c r="M698" s="37" t="str">
        <f>IFERROR(IF(Agent04_Withdrawals!A103="","",YEAR(Agent04_Withdrawals!D103)),"")</f>
        <v/>
      </c>
    </row>
    <row r="699" spans="1:13" ht="18" customHeight="1" x14ac:dyDescent="0.25">
      <c r="A699" s="37" t="str">
        <f>IF(Agent04_Withdrawals!A104="","",Agent04_Withdrawals!A104)</f>
        <v/>
      </c>
      <c r="B699" s="37" t="str">
        <f ca="1">IF(Agent04_Withdrawals!A104="","","WD"&amp;TEXT(699-3,"0000")&amp;"-"&amp;TEXT(TODAY(),"YYYYMMDD"))</f>
        <v/>
      </c>
      <c r="C699" s="37" t="str">
        <f>IF(Agent04_Withdrawals!A104="","",Agent04_Withdrawals!B104)</f>
        <v/>
      </c>
      <c r="D699" s="40" t="str">
        <f>IF(Agent04_Withdrawals!A104="","",Agent04_Withdrawals!C104)</f>
        <v/>
      </c>
      <c r="E699" s="38" t="str">
        <f>IF(Agent04_Withdrawals!A104="","",Agent04_Withdrawals!D104)</f>
        <v/>
      </c>
      <c r="F699" s="37" t="str">
        <f>IF(Agent04_Withdrawals!A104="","",Agent04_Withdrawals!F104)</f>
        <v/>
      </c>
      <c r="G699" s="39" t="str">
        <f>IF(Agent04_Withdrawals!A104="","",Agent04_Withdrawals!E104)</f>
        <v/>
      </c>
      <c r="H699" s="39" t="str">
        <f>IF(Agent04_Withdrawals!A104="","",Agent04_Withdrawals!G104)</f>
        <v/>
      </c>
      <c r="I699" s="37" t="str">
        <f>IF(Agent04_Withdrawals!A104="","",Agent04_Withdrawals!H104)</f>
        <v/>
      </c>
      <c r="J699" s="37" t="str">
        <f>IF(Agent04_Withdrawals!A104="","",Agent04_Withdrawals!J104)</f>
        <v/>
      </c>
      <c r="K699" s="37" t="str">
        <f>IF(Agent04_Withdrawals!A104="","",Agent04_Withdrawals!K104)</f>
        <v/>
      </c>
      <c r="L699" s="37" t="str">
        <f>IF(G699="","",IF(D699-G699&gt;=System_Config!$B$9,"✅ OK","⚠️ BREACH"))</f>
        <v/>
      </c>
      <c r="M699" s="37" t="str">
        <f>IFERROR(IF(Agent04_Withdrawals!A104="","",YEAR(Agent04_Withdrawals!D104)),"")</f>
        <v/>
      </c>
    </row>
    <row r="700" spans="1:13" ht="18" customHeight="1" x14ac:dyDescent="0.25">
      <c r="A700" s="37" t="str">
        <f>IF(Agent04_Withdrawals!A105="","",Agent04_Withdrawals!A105)</f>
        <v/>
      </c>
      <c r="B700" s="37" t="str">
        <f ca="1">IF(Agent04_Withdrawals!A105="","","WD"&amp;TEXT(700-3,"0000")&amp;"-"&amp;TEXT(TODAY(),"YYYYMMDD"))</f>
        <v/>
      </c>
      <c r="C700" s="37" t="str">
        <f>IF(Agent04_Withdrawals!A105="","",Agent04_Withdrawals!B105)</f>
        <v/>
      </c>
      <c r="D700" s="40" t="str">
        <f>IF(Agent04_Withdrawals!A105="","",Agent04_Withdrawals!C105)</f>
        <v/>
      </c>
      <c r="E700" s="38" t="str">
        <f>IF(Agent04_Withdrawals!A105="","",Agent04_Withdrawals!D105)</f>
        <v/>
      </c>
      <c r="F700" s="37" t="str">
        <f>IF(Agent04_Withdrawals!A105="","",Agent04_Withdrawals!F105)</f>
        <v/>
      </c>
      <c r="G700" s="39" t="str">
        <f>IF(Agent04_Withdrawals!A105="","",Agent04_Withdrawals!E105)</f>
        <v/>
      </c>
      <c r="H700" s="39" t="str">
        <f>IF(Agent04_Withdrawals!A105="","",Agent04_Withdrawals!G105)</f>
        <v/>
      </c>
      <c r="I700" s="37" t="str">
        <f>IF(Agent04_Withdrawals!A105="","",Agent04_Withdrawals!H105)</f>
        <v/>
      </c>
      <c r="J700" s="37" t="str">
        <f>IF(Agent04_Withdrawals!A105="","",Agent04_Withdrawals!J105)</f>
        <v/>
      </c>
      <c r="K700" s="37" t="str">
        <f>IF(Agent04_Withdrawals!A105="","",Agent04_Withdrawals!K105)</f>
        <v/>
      </c>
      <c r="L700" s="37" t="str">
        <f>IF(G700="","",IF(D700-G700&gt;=System_Config!$B$9,"✅ OK","⚠️ BREACH"))</f>
        <v/>
      </c>
      <c r="M700" s="37" t="str">
        <f>IFERROR(IF(Agent04_Withdrawals!A105="","",YEAR(Agent04_Withdrawals!D105)),"")</f>
        <v/>
      </c>
    </row>
    <row r="701" spans="1:13" ht="18" customHeight="1" x14ac:dyDescent="0.25">
      <c r="A701" s="37" t="str">
        <f>IF(Agent04_Withdrawals!A106="","",Agent04_Withdrawals!A106)</f>
        <v/>
      </c>
      <c r="B701" s="37" t="str">
        <f ca="1">IF(Agent04_Withdrawals!A106="","","WD"&amp;TEXT(701-3,"0000")&amp;"-"&amp;TEXT(TODAY(),"YYYYMMDD"))</f>
        <v/>
      </c>
      <c r="C701" s="37" t="str">
        <f>IF(Agent04_Withdrawals!A106="","",Agent04_Withdrawals!B106)</f>
        <v/>
      </c>
      <c r="D701" s="40" t="str">
        <f>IF(Agent04_Withdrawals!A106="","",Agent04_Withdrawals!C106)</f>
        <v/>
      </c>
      <c r="E701" s="38" t="str">
        <f>IF(Agent04_Withdrawals!A106="","",Agent04_Withdrawals!D106)</f>
        <v/>
      </c>
      <c r="F701" s="37" t="str">
        <f>IF(Agent04_Withdrawals!A106="","",Agent04_Withdrawals!F106)</f>
        <v/>
      </c>
      <c r="G701" s="39" t="str">
        <f>IF(Agent04_Withdrawals!A106="","",Agent04_Withdrawals!E106)</f>
        <v/>
      </c>
      <c r="H701" s="39" t="str">
        <f>IF(Agent04_Withdrawals!A106="","",Agent04_Withdrawals!G106)</f>
        <v/>
      </c>
      <c r="I701" s="37" t="str">
        <f>IF(Agent04_Withdrawals!A106="","",Agent04_Withdrawals!H106)</f>
        <v/>
      </c>
      <c r="J701" s="37" t="str">
        <f>IF(Agent04_Withdrawals!A106="","",Agent04_Withdrawals!J106)</f>
        <v/>
      </c>
      <c r="K701" s="37" t="str">
        <f>IF(Agent04_Withdrawals!A106="","",Agent04_Withdrawals!K106)</f>
        <v/>
      </c>
      <c r="L701" s="37" t="str">
        <f>IF(G701="","",IF(D701-G701&gt;=System_Config!$B$9,"✅ OK","⚠️ BREACH"))</f>
        <v/>
      </c>
      <c r="M701" s="37" t="str">
        <f>IFERROR(IF(Agent04_Withdrawals!A106="","",YEAR(Agent04_Withdrawals!D106)),"")</f>
        <v/>
      </c>
    </row>
    <row r="702" spans="1:13" ht="18" customHeight="1" x14ac:dyDescent="0.25">
      <c r="A702" s="37" t="str">
        <f>IF(Agent04_Withdrawals!A107="","",Agent04_Withdrawals!A107)</f>
        <v/>
      </c>
      <c r="B702" s="37" t="str">
        <f ca="1">IF(Agent04_Withdrawals!A107="","","WD"&amp;TEXT(702-3,"0000")&amp;"-"&amp;TEXT(TODAY(),"YYYYMMDD"))</f>
        <v/>
      </c>
      <c r="C702" s="37" t="str">
        <f>IF(Agent04_Withdrawals!A107="","",Agent04_Withdrawals!B107)</f>
        <v/>
      </c>
      <c r="D702" s="40" t="str">
        <f>IF(Agent04_Withdrawals!A107="","",Agent04_Withdrawals!C107)</f>
        <v/>
      </c>
      <c r="E702" s="38" t="str">
        <f>IF(Agent04_Withdrawals!A107="","",Agent04_Withdrawals!D107)</f>
        <v/>
      </c>
      <c r="F702" s="37" t="str">
        <f>IF(Agent04_Withdrawals!A107="","",Agent04_Withdrawals!F107)</f>
        <v/>
      </c>
      <c r="G702" s="39" t="str">
        <f>IF(Agent04_Withdrawals!A107="","",Agent04_Withdrawals!E107)</f>
        <v/>
      </c>
      <c r="H702" s="39" t="str">
        <f>IF(Agent04_Withdrawals!A107="","",Agent04_Withdrawals!G107)</f>
        <v/>
      </c>
      <c r="I702" s="37" t="str">
        <f>IF(Agent04_Withdrawals!A107="","",Agent04_Withdrawals!H107)</f>
        <v/>
      </c>
      <c r="J702" s="37" t="str">
        <f>IF(Agent04_Withdrawals!A107="","",Agent04_Withdrawals!J107)</f>
        <v/>
      </c>
      <c r="K702" s="37" t="str">
        <f>IF(Agent04_Withdrawals!A107="","",Agent04_Withdrawals!K107)</f>
        <v/>
      </c>
      <c r="L702" s="37" t="str">
        <f>IF(G702="","",IF(D702-G702&gt;=System_Config!$B$9,"✅ OK","⚠️ BREACH"))</f>
        <v/>
      </c>
      <c r="M702" s="37" t="str">
        <f>IFERROR(IF(Agent04_Withdrawals!A107="","",YEAR(Agent04_Withdrawals!D107)),"")</f>
        <v/>
      </c>
    </row>
    <row r="703" spans="1:13" ht="18" customHeight="1" x14ac:dyDescent="0.25">
      <c r="A703" s="37" t="str">
        <f>IF(Agent04_Withdrawals!A108="","",Agent04_Withdrawals!A108)</f>
        <v/>
      </c>
      <c r="B703" s="37" t="str">
        <f ca="1">IF(Agent04_Withdrawals!A108="","","WD"&amp;TEXT(703-3,"0000")&amp;"-"&amp;TEXT(TODAY(),"YYYYMMDD"))</f>
        <v/>
      </c>
      <c r="C703" s="37" t="str">
        <f>IF(Agent04_Withdrawals!A108="","",Agent04_Withdrawals!B108)</f>
        <v/>
      </c>
      <c r="D703" s="40" t="str">
        <f>IF(Agent04_Withdrawals!A108="","",Agent04_Withdrawals!C108)</f>
        <v/>
      </c>
      <c r="E703" s="38" t="str">
        <f>IF(Agent04_Withdrawals!A108="","",Agent04_Withdrawals!D108)</f>
        <v/>
      </c>
      <c r="F703" s="37" t="str">
        <f>IF(Agent04_Withdrawals!A108="","",Agent04_Withdrawals!F108)</f>
        <v/>
      </c>
      <c r="G703" s="39" t="str">
        <f>IF(Agent04_Withdrawals!A108="","",Agent04_Withdrawals!E108)</f>
        <v/>
      </c>
      <c r="H703" s="39" t="str">
        <f>IF(Agent04_Withdrawals!A108="","",Agent04_Withdrawals!G108)</f>
        <v/>
      </c>
      <c r="I703" s="37" t="str">
        <f>IF(Agent04_Withdrawals!A108="","",Agent04_Withdrawals!H108)</f>
        <v/>
      </c>
      <c r="J703" s="37" t="str">
        <f>IF(Agent04_Withdrawals!A108="","",Agent04_Withdrawals!J108)</f>
        <v/>
      </c>
      <c r="K703" s="37" t="str">
        <f>IF(Agent04_Withdrawals!A108="","",Agent04_Withdrawals!K108)</f>
        <v/>
      </c>
      <c r="L703" s="37" t="str">
        <f>IF(G703="","",IF(D703-G703&gt;=System_Config!$B$9,"✅ OK","⚠️ BREACH"))</f>
        <v/>
      </c>
      <c r="M703" s="37" t="str">
        <f>IFERROR(IF(Agent04_Withdrawals!A108="","",YEAR(Agent04_Withdrawals!D108)),"")</f>
        <v/>
      </c>
    </row>
    <row r="704" spans="1:13" ht="18" customHeight="1" x14ac:dyDescent="0.25">
      <c r="A704" s="37" t="str">
        <f>IF(Agent04_Withdrawals!A109="","",Agent04_Withdrawals!A109)</f>
        <v/>
      </c>
      <c r="B704" s="37" t="str">
        <f ca="1">IF(Agent04_Withdrawals!A109="","","WD"&amp;TEXT(704-3,"0000")&amp;"-"&amp;TEXT(TODAY(),"YYYYMMDD"))</f>
        <v/>
      </c>
      <c r="C704" s="37" t="str">
        <f>IF(Agent04_Withdrawals!A109="","",Agent04_Withdrawals!B109)</f>
        <v/>
      </c>
      <c r="D704" s="40" t="str">
        <f>IF(Agent04_Withdrawals!A109="","",Agent04_Withdrawals!C109)</f>
        <v/>
      </c>
      <c r="E704" s="38" t="str">
        <f>IF(Agent04_Withdrawals!A109="","",Agent04_Withdrawals!D109)</f>
        <v/>
      </c>
      <c r="F704" s="37" t="str">
        <f>IF(Agent04_Withdrawals!A109="","",Agent04_Withdrawals!F109)</f>
        <v/>
      </c>
      <c r="G704" s="39" t="str">
        <f>IF(Agent04_Withdrawals!A109="","",Agent04_Withdrawals!E109)</f>
        <v/>
      </c>
      <c r="H704" s="39" t="str">
        <f>IF(Agent04_Withdrawals!A109="","",Agent04_Withdrawals!G109)</f>
        <v/>
      </c>
      <c r="I704" s="37" t="str">
        <f>IF(Agent04_Withdrawals!A109="","",Agent04_Withdrawals!H109)</f>
        <v/>
      </c>
      <c r="J704" s="37" t="str">
        <f>IF(Agent04_Withdrawals!A109="","",Agent04_Withdrawals!J109)</f>
        <v/>
      </c>
      <c r="K704" s="37" t="str">
        <f>IF(Agent04_Withdrawals!A109="","",Agent04_Withdrawals!K109)</f>
        <v/>
      </c>
      <c r="L704" s="37" t="str">
        <f>IF(G704="","",IF(D704-G704&gt;=System_Config!$B$9,"✅ OK","⚠️ BREACH"))</f>
        <v/>
      </c>
      <c r="M704" s="37" t="str">
        <f>IFERROR(IF(Agent04_Withdrawals!A109="","",YEAR(Agent04_Withdrawals!D109)),"")</f>
        <v/>
      </c>
    </row>
    <row r="705" spans="1:13" ht="18" customHeight="1" x14ac:dyDescent="0.25">
      <c r="A705" s="37" t="str">
        <f>IF(Agent04_Withdrawals!A110="","",Agent04_Withdrawals!A110)</f>
        <v/>
      </c>
      <c r="B705" s="37" t="str">
        <f ca="1">IF(Agent04_Withdrawals!A110="","","WD"&amp;TEXT(705-3,"0000")&amp;"-"&amp;TEXT(TODAY(),"YYYYMMDD"))</f>
        <v/>
      </c>
      <c r="C705" s="37" t="str">
        <f>IF(Agent04_Withdrawals!A110="","",Agent04_Withdrawals!B110)</f>
        <v/>
      </c>
      <c r="D705" s="40" t="str">
        <f>IF(Agent04_Withdrawals!A110="","",Agent04_Withdrawals!C110)</f>
        <v/>
      </c>
      <c r="E705" s="38" t="str">
        <f>IF(Agent04_Withdrawals!A110="","",Agent04_Withdrawals!D110)</f>
        <v/>
      </c>
      <c r="F705" s="37" t="str">
        <f>IF(Agent04_Withdrawals!A110="","",Agent04_Withdrawals!F110)</f>
        <v/>
      </c>
      <c r="G705" s="39" t="str">
        <f>IF(Agent04_Withdrawals!A110="","",Agent04_Withdrawals!E110)</f>
        <v/>
      </c>
      <c r="H705" s="39" t="str">
        <f>IF(Agent04_Withdrawals!A110="","",Agent04_Withdrawals!G110)</f>
        <v/>
      </c>
      <c r="I705" s="37" t="str">
        <f>IF(Agent04_Withdrawals!A110="","",Agent04_Withdrawals!H110)</f>
        <v/>
      </c>
      <c r="J705" s="37" t="str">
        <f>IF(Agent04_Withdrawals!A110="","",Agent04_Withdrawals!J110)</f>
        <v/>
      </c>
      <c r="K705" s="37" t="str">
        <f>IF(Agent04_Withdrawals!A110="","",Agent04_Withdrawals!K110)</f>
        <v/>
      </c>
      <c r="L705" s="37" t="str">
        <f>IF(G705="","",IF(D705-G705&gt;=System_Config!$B$9,"✅ OK","⚠️ BREACH"))</f>
        <v/>
      </c>
      <c r="M705" s="37" t="str">
        <f>IFERROR(IF(Agent04_Withdrawals!A110="","",YEAR(Agent04_Withdrawals!D110)),"")</f>
        <v/>
      </c>
    </row>
    <row r="706" spans="1:13" ht="18" customHeight="1" x14ac:dyDescent="0.25">
      <c r="A706" s="37" t="str">
        <f>IF(Agent04_Withdrawals!A111="","",Agent04_Withdrawals!A111)</f>
        <v/>
      </c>
      <c r="B706" s="37" t="str">
        <f ca="1">IF(Agent04_Withdrawals!A111="","","WD"&amp;TEXT(706-3,"0000")&amp;"-"&amp;TEXT(TODAY(),"YYYYMMDD"))</f>
        <v/>
      </c>
      <c r="C706" s="37" t="str">
        <f>IF(Agent04_Withdrawals!A111="","",Agent04_Withdrawals!B111)</f>
        <v/>
      </c>
      <c r="D706" s="40" t="str">
        <f>IF(Agent04_Withdrawals!A111="","",Agent04_Withdrawals!C111)</f>
        <v/>
      </c>
      <c r="E706" s="38" t="str">
        <f>IF(Agent04_Withdrawals!A111="","",Agent04_Withdrawals!D111)</f>
        <v/>
      </c>
      <c r="F706" s="37" t="str">
        <f>IF(Agent04_Withdrawals!A111="","",Agent04_Withdrawals!F111)</f>
        <v/>
      </c>
      <c r="G706" s="39" t="str">
        <f>IF(Agent04_Withdrawals!A111="","",Agent04_Withdrawals!E111)</f>
        <v/>
      </c>
      <c r="H706" s="39" t="str">
        <f>IF(Agent04_Withdrawals!A111="","",Agent04_Withdrawals!G111)</f>
        <v/>
      </c>
      <c r="I706" s="37" t="str">
        <f>IF(Agent04_Withdrawals!A111="","",Agent04_Withdrawals!H111)</f>
        <v/>
      </c>
      <c r="J706" s="37" t="str">
        <f>IF(Agent04_Withdrawals!A111="","",Agent04_Withdrawals!J111)</f>
        <v/>
      </c>
      <c r="K706" s="37" t="str">
        <f>IF(Agent04_Withdrawals!A111="","",Agent04_Withdrawals!K111)</f>
        <v/>
      </c>
      <c r="L706" s="37" t="str">
        <f>IF(G706="","",IF(D706-G706&gt;=System_Config!$B$9,"✅ OK","⚠️ BREACH"))</f>
        <v/>
      </c>
      <c r="M706" s="37" t="str">
        <f>IFERROR(IF(Agent04_Withdrawals!A111="","",YEAR(Agent04_Withdrawals!D111)),"")</f>
        <v/>
      </c>
    </row>
    <row r="707" spans="1:13" ht="18" customHeight="1" x14ac:dyDescent="0.25">
      <c r="A707" s="37" t="str">
        <f>IF(Agent04_Withdrawals!A112="","",Agent04_Withdrawals!A112)</f>
        <v/>
      </c>
      <c r="B707" s="37" t="str">
        <f ca="1">IF(Agent04_Withdrawals!A112="","","WD"&amp;TEXT(707-3,"0000")&amp;"-"&amp;TEXT(TODAY(),"YYYYMMDD"))</f>
        <v/>
      </c>
      <c r="C707" s="37" t="str">
        <f>IF(Agent04_Withdrawals!A112="","",Agent04_Withdrawals!B112)</f>
        <v/>
      </c>
      <c r="D707" s="40" t="str">
        <f>IF(Agent04_Withdrawals!A112="","",Agent04_Withdrawals!C112)</f>
        <v/>
      </c>
      <c r="E707" s="38" t="str">
        <f>IF(Agent04_Withdrawals!A112="","",Agent04_Withdrawals!D112)</f>
        <v/>
      </c>
      <c r="F707" s="37" t="str">
        <f>IF(Agent04_Withdrawals!A112="","",Agent04_Withdrawals!F112)</f>
        <v/>
      </c>
      <c r="G707" s="39" t="str">
        <f>IF(Agent04_Withdrawals!A112="","",Agent04_Withdrawals!E112)</f>
        <v/>
      </c>
      <c r="H707" s="39" t="str">
        <f>IF(Agent04_Withdrawals!A112="","",Agent04_Withdrawals!G112)</f>
        <v/>
      </c>
      <c r="I707" s="37" t="str">
        <f>IF(Agent04_Withdrawals!A112="","",Agent04_Withdrawals!H112)</f>
        <v/>
      </c>
      <c r="J707" s="37" t="str">
        <f>IF(Agent04_Withdrawals!A112="","",Agent04_Withdrawals!J112)</f>
        <v/>
      </c>
      <c r="K707" s="37" t="str">
        <f>IF(Agent04_Withdrawals!A112="","",Agent04_Withdrawals!K112)</f>
        <v/>
      </c>
      <c r="L707" s="37" t="str">
        <f>IF(G707="","",IF(D707-G707&gt;=System_Config!$B$9,"✅ OK","⚠️ BREACH"))</f>
        <v/>
      </c>
      <c r="M707" s="37" t="str">
        <f>IFERROR(IF(Agent04_Withdrawals!A112="","",YEAR(Agent04_Withdrawals!D112)),"")</f>
        <v/>
      </c>
    </row>
    <row r="708" spans="1:13" ht="18" customHeight="1" x14ac:dyDescent="0.25">
      <c r="A708" s="37" t="str">
        <f>IF(Agent04_Withdrawals!A113="","",Agent04_Withdrawals!A113)</f>
        <v/>
      </c>
      <c r="B708" s="37" t="str">
        <f ca="1">IF(Agent04_Withdrawals!A113="","","WD"&amp;TEXT(708-3,"0000")&amp;"-"&amp;TEXT(TODAY(),"YYYYMMDD"))</f>
        <v/>
      </c>
      <c r="C708" s="37" t="str">
        <f>IF(Agent04_Withdrawals!A113="","",Agent04_Withdrawals!B113)</f>
        <v/>
      </c>
      <c r="D708" s="40" t="str">
        <f>IF(Agent04_Withdrawals!A113="","",Agent04_Withdrawals!C113)</f>
        <v/>
      </c>
      <c r="E708" s="38" t="str">
        <f>IF(Agent04_Withdrawals!A113="","",Agent04_Withdrawals!D113)</f>
        <v/>
      </c>
      <c r="F708" s="37" t="str">
        <f>IF(Agent04_Withdrawals!A113="","",Agent04_Withdrawals!F113)</f>
        <v/>
      </c>
      <c r="G708" s="39" t="str">
        <f>IF(Agent04_Withdrawals!A113="","",Agent04_Withdrawals!E113)</f>
        <v/>
      </c>
      <c r="H708" s="39" t="str">
        <f>IF(Agent04_Withdrawals!A113="","",Agent04_Withdrawals!G113)</f>
        <v/>
      </c>
      <c r="I708" s="37" t="str">
        <f>IF(Agent04_Withdrawals!A113="","",Agent04_Withdrawals!H113)</f>
        <v/>
      </c>
      <c r="J708" s="37" t="str">
        <f>IF(Agent04_Withdrawals!A113="","",Agent04_Withdrawals!J113)</f>
        <v/>
      </c>
      <c r="K708" s="37" t="str">
        <f>IF(Agent04_Withdrawals!A113="","",Agent04_Withdrawals!K113)</f>
        <v/>
      </c>
      <c r="L708" s="37" t="str">
        <f>IF(G708="","",IF(D708-G708&gt;=System_Config!$B$9,"✅ OK","⚠️ BREACH"))</f>
        <v/>
      </c>
      <c r="M708" s="37" t="str">
        <f>IFERROR(IF(Agent04_Withdrawals!A113="","",YEAR(Agent04_Withdrawals!D113)),"")</f>
        <v/>
      </c>
    </row>
    <row r="709" spans="1:13" ht="18" customHeight="1" x14ac:dyDescent="0.25">
      <c r="A709" s="37" t="str">
        <f>IF(Agent04_Withdrawals!A114="","",Agent04_Withdrawals!A114)</f>
        <v/>
      </c>
      <c r="B709" s="37" t="str">
        <f ca="1">IF(Agent04_Withdrawals!A114="","","WD"&amp;TEXT(709-3,"0000")&amp;"-"&amp;TEXT(TODAY(),"YYYYMMDD"))</f>
        <v/>
      </c>
      <c r="C709" s="37" t="str">
        <f>IF(Agent04_Withdrawals!A114="","",Agent04_Withdrawals!B114)</f>
        <v/>
      </c>
      <c r="D709" s="40" t="str">
        <f>IF(Agent04_Withdrawals!A114="","",Agent04_Withdrawals!C114)</f>
        <v/>
      </c>
      <c r="E709" s="38" t="str">
        <f>IF(Agent04_Withdrawals!A114="","",Agent04_Withdrawals!D114)</f>
        <v/>
      </c>
      <c r="F709" s="37" t="str">
        <f>IF(Agent04_Withdrawals!A114="","",Agent04_Withdrawals!F114)</f>
        <v/>
      </c>
      <c r="G709" s="39" t="str">
        <f>IF(Agent04_Withdrawals!A114="","",Agent04_Withdrawals!E114)</f>
        <v/>
      </c>
      <c r="H709" s="39" t="str">
        <f>IF(Agent04_Withdrawals!A114="","",Agent04_Withdrawals!G114)</f>
        <v/>
      </c>
      <c r="I709" s="37" t="str">
        <f>IF(Agent04_Withdrawals!A114="","",Agent04_Withdrawals!H114)</f>
        <v/>
      </c>
      <c r="J709" s="37" t="str">
        <f>IF(Agent04_Withdrawals!A114="","",Agent04_Withdrawals!J114)</f>
        <v/>
      </c>
      <c r="K709" s="37" t="str">
        <f>IF(Agent04_Withdrawals!A114="","",Agent04_Withdrawals!K114)</f>
        <v/>
      </c>
      <c r="L709" s="37" t="str">
        <f>IF(G709="","",IF(D709-G709&gt;=System_Config!$B$9,"✅ OK","⚠️ BREACH"))</f>
        <v/>
      </c>
      <c r="M709" s="37" t="str">
        <f>IFERROR(IF(Agent04_Withdrawals!A114="","",YEAR(Agent04_Withdrawals!D114)),"")</f>
        <v/>
      </c>
    </row>
    <row r="710" spans="1:13" ht="18" customHeight="1" x14ac:dyDescent="0.25">
      <c r="A710" s="37" t="str">
        <f>IF(Agent04_Withdrawals!A115="","",Agent04_Withdrawals!A115)</f>
        <v/>
      </c>
      <c r="B710" s="37" t="str">
        <f ca="1">IF(Agent04_Withdrawals!A115="","","WD"&amp;TEXT(710-3,"0000")&amp;"-"&amp;TEXT(TODAY(),"YYYYMMDD"))</f>
        <v/>
      </c>
      <c r="C710" s="37" t="str">
        <f>IF(Agent04_Withdrawals!A115="","",Agent04_Withdrawals!B115)</f>
        <v/>
      </c>
      <c r="D710" s="40" t="str">
        <f>IF(Agent04_Withdrawals!A115="","",Agent04_Withdrawals!C115)</f>
        <v/>
      </c>
      <c r="E710" s="38" t="str">
        <f>IF(Agent04_Withdrawals!A115="","",Agent04_Withdrawals!D115)</f>
        <v/>
      </c>
      <c r="F710" s="37" t="str">
        <f>IF(Agent04_Withdrawals!A115="","",Agent04_Withdrawals!F115)</f>
        <v/>
      </c>
      <c r="G710" s="39" t="str">
        <f>IF(Agent04_Withdrawals!A115="","",Agent04_Withdrawals!E115)</f>
        <v/>
      </c>
      <c r="H710" s="39" t="str">
        <f>IF(Agent04_Withdrawals!A115="","",Agent04_Withdrawals!G115)</f>
        <v/>
      </c>
      <c r="I710" s="37" t="str">
        <f>IF(Agent04_Withdrawals!A115="","",Agent04_Withdrawals!H115)</f>
        <v/>
      </c>
      <c r="J710" s="37" t="str">
        <f>IF(Agent04_Withdrawals!A115="","",Agent04_Withdrawals!J115)</f>
        <v/>
      </c>
      <c r="K710" s="37" t="str">
        <f>IF(Agent04_Withdrawals!A115="","",Agent04_Withdrawals!K115)</f>
        <v/>
      </c>
      <c r="L710" s="37" t="str">
        <f>IF(G710="","",IF(D710-G710&gt;=System_Config!$B$9,"✅ OK","⚠️ BREACH"))</f>
        <v/>
      </c>
      <c r="M710" s="37" t="str">
        <f>IFERROR(IF(Agent04_Withdrawals!A115="","",YEAR(Agent04_Withdrawals!D115)),"")</f>
        <v/>
      </c>
    </row>
    <row r="711" spans="1:13" ht="18" customHeight="1" x14ac:dyDescent="0.25">
      <c r="A711" s="37" t="str">
        <f>IF(Agent04_Withdrawals!A116="","",Agent04_Withdrawals!A116)</f>
        <v/>
      </c>
      <c r="B711" s="37" t="str">
        <f ca="1">IF(Agent04_Withdrawals!A116="","","WD"&amp;TEXT(711-3,"0000")&amp;"-"&amp;TEXT(TODAY(),"YYYYMMDD"))</f>
        <v/>
      </c>
      <c r="C711" s="37" t="str">
        <f>IF(Agent04_Withdrawals!A116="","",Agent04_Withdrawals!B116)</f>
        <v/>
      </c>
      <c r="D711" s="40" t="str">
        <f>IF(Agent04_Withdrawals!A116="","",Agent04_Withdrawals!C116)</f>
        <v/>
      </c>
      <c r="E711" s="38" t="str">
        <f>IF(Agent04_Withdrawals!A116="","",Agent04_Withdrawals!D116)</f>
        <v/>
      </c>
      <c r="F711" s="37" t="str">
        <f>IF(Agent04_Withdrawals!A116="","",Agent04_Withdrawals!F116)</f>
        <v/>
      </c>
      <c r="G711" s="39" t="str">
        <f>IF(Agent04_Withdrawals!A116="","",Agent04_Withdrawals!E116)</f>
        <v/>
      </c>
      <c r="H711" s="39" t="str">
        <f>IF(Agent04_Withdrawals!A116="","",Agent04_Withdrawals!G116)</f>
        <v/>
      </c>
      <c r="I711" s="37" t="str">
        <f>IF(Agent04_Withdrawals!A116="","",Agent04_Withdrawals!H116)</f>
        <v/>
      </c>
      <c r="J711" s="37" t="str">
        <f>IF(Agent04_Withdrawals!A116="","",Agent04_Withdrawals!J116)</f>
        <v/>
      </c>
      <c r="K711" s="37" t="str">
        <f>IF(Agent04_Withdrawals!A116="","",Agent04_Withdrawals!K116)</f>
        <v/>
      </c>
      <c r="L711" s="37" t="str">
        <f>IF(G711="","",IF(D711-G711&gt;=System_Config!$B$9,"✅ OK","⚠️ BREACH"))</f>
        <v/>
      </c>
      <c r="M711" s="37" t="str">
        <f>IFERROR(IF(Agent04_Withdrawals!A116="","",YEAR(Agent04_Withdrawals!D116)),"")</f>
        <v/>
      </c>
    </row>
    <row r="712" spans="1:13" ht="18" customHeight="1" x14ac:dyDescent="0.25">
      <c r="A712" s="37" t="str">
        <f>IF(Agent04_Withdrawals!A117="","",Agent04_Withdrawals!A117)</f>
        <v/>
      </c>
      <c r="B712" s="37" t="str">
        <f ca="1">IF(Agent04_Withdrawals!A117="","","WD"&amp;TEXT(712-3,"0000")&amp;"-"&amp;TEXT(TODAY(),"YYYYMMDD"))</f>
        <v/>
      </c>
      <c r="C712" s="37" t="str">
        <f>IF(Agent04_Withdrawals!A117="","",Agent04_Withdrawals!B117)</f>
        <v/>
      </c>
      <c r="D712" s="40" t="str">
        <f>IF(Agent04_Withdrawals!A117="","",Agent04_Withdrawals!C117)</f>
        <v/>
      </c>
      <c r="E712" s="38" t="str">
        <f>IF(Agent04_Withdrawals!A117="","",Agent04_Withdrawals!D117)</f>
        <v/>
      </c>
      <c r="F712" s="37" t="str">
        <f>IF(Agent04_Withdrawals!A117="","",Agent04_Withdrawals!F117)</f>
        <v/>
      </c>
      <c r="G712" s="39" t="str">
        <f>IF(Agent04_Withdrawals!A117="","",Agent04_Withdrawals!E117)</f>
        <v/>
      </c>
      <c r="H712" s="39" t="str">
        <f>IF(Agent04_Withdrawals!A117="","",Agent04_Withdrawals!G117)</f>
        <v/>
      </c>
      <c r="I712" s="37" t="str">
        <f>IF(Agent04_Withdrawals!A117="","",Agent04_Withdrawals!H117)</f>
        <v/>
      </c>
      <c r="J712" s="37" t="str">
        <f>IF(Agent04_Withdrawals!A117="","",Agent04_Withdrawals!J117)</f>
        <v/>
      </c>
      <c r="K712" s="37" t="str">
        <f>IF(Agent04_Withdrawals!A117="","",Agent04_Withdrawals!K117)</f>
        <v/>
      </c>
      <c r="L712" s="37" t="str">
        <f>IF(G712="","",IF(D712-G712&gt;=System_Config!$B$9,"✅ OK","⚠️ BREACH"))</f>
        <v/>
      </c>
      <c r="M712" s="37" t="str">
        <f>IFERROR(IF(Agent04_Withdrawals!A117="","",YEAR(Agent04_Withdrawals!D117)),"")</f>
        <v/>
      </c>
    </row>
    <row r="713" spans="1:13" ht="18" customHeight="1" x14ac:dyDescent="0.25">
      <c r="A713" s="37" t="str">
        <f>IF(Agent04_Withdrawals!A118="","",Agent04_Withdrawals!A118)</f>
        <v/>
      </c>
      <c r="B713" s="37" t="str">
        <f ca="1">IF(Agent04_Withdrawals!A118="","","WD"&amp;TEXT(713-3,"0000")&amp;"-"&amp;TEXT(TODAY(),"YYYYMMDD"))</f>
        <v/>
      </c>
      <c r="C713" s="37" t="str">
        <f>IF(Agent04_Withdrawals!A118="","",Agent04_Withdrawals!B118)</f>
        <v/>
      </c>
      <c r="D713" s="40" t="str">
        <f>IF(Agent04_Withdrawals!A118="","",Agent04_Withdrawals!C118)</f>
        <v/>
      </c>
      <c r="E713" s="38" t="str">
        <f>IF(Agent04_Withdrawals!A118="","",Agent04_Withdrawals!D118)</f>
        <v/>
      </c>
      <c r="F713" s="37" t="str">
        <f>IF(Agent04_Withdrawals!A118="","",Agent04_Withdrawals!F118)</f>
        <v/>
      </c>
      <c r="G713" s="39" t="str">
        <f>IF(Agent04_Withdrawals!A118="","",Agent04_Withdrawals!E118)</f>
        <v/>
      </c>
      <c r="H713" s="39" t="str">
        <f>IF(Agent04_Withdrawals!A118="","",Agent04_Withdrawals!G118)</f>
        <v/>
      </c>
      <c r="I713" s="37" t="str">
        <f>IF(Agent04_Withdrawals!A118="","",Agent04_Withdrawals!H118)</f>
        <v/>
      </c>
      <c r="J713" s="37" t="str">
        <f>IF(Agent04_Withdrawals!A118="","",Agent04_Withdrawals!J118)</f>
        <v/>
      </c>
      <c r="K713" s="37" t="str">
        <f>IF(Agent04_Withdrawals!A118="","",Agent04_Withdrawals!K118)</f>
        <v/>
      </c>
      <c r="L713" s="37" t="str">
        <f>IF(G713="","",IF(D713-G713&gt;=System_Config!$B$9,"✅ OK","⚠️ BREACH"))</f>
        <v/>
      </c>
      <c r="M713" s="37" t="str">
        <f>IFERROR(IF(Agent04_Withdrawals!A118="","",YEAR(Agent04_Withdrawals!D118)),"")</f>
        <v/>
      </c>
    </row>
    <row r="714" spans="1:13" ht="18" customHeight="1" x14ac:dyDescent="0.25">
      <c r="A714" s="37" t="str">
        <f>IF(Agent04_Withdrawals!A119="","",Agent04_Withdrawals!A119)</f>
        <v/>
      </c>
      <c r="B714" s="37" t="str">
        <f ca="1">IF(Agent04_Withdrawals!A119="","","WD"&amp;TEXT(714-3,"0000")&amp;"-"&amp;TEXT(TODAY(),"YYYYMMDD"))</f>
        <v/>
      </c>
      <c r="C714" s="37" t="str">
        <f>IF(Agent04_Withdrawals!A119="","",Agent04_Withdrawals!B119)</f>
        <v/>
      </c>
      <c r="D714" s="40" t="str">
        <f>IF(Agent04_Withdrawals!A119="","",Agent04_Withdrawals!C119)</f>
        <v/>
      </c>
      <c r="E714" s="38" t="str">
        <f>IF(Agent04_Withdrawals!A119="","",Agent04_Withdrawals!D119)</f>
        <v/>
      </c>
      <c r="F714" s="37" t="str">
        <f>IF(Agent04_Withdrawals!A119="","",Agent04_Withdrawals!F119)</f>
        <v/>
      </c>
      <c r="G714" s="39" t="str">
        <f>IF(Agent04_Withdrawals!A119="","",Agent04_Withdrawals!E119)</f>
        <v/>
      </c>
      <c r="H714" s="39" t="str">
        <f>IF(Agent04_Withdrawals!A119="","",Agent04_Withdrawals!G119)</f>
        <v/>
      </c>
      <c r="I714" s="37" t="str">
        <f>IF(Agent04_Withdrawals!A119="","",Agent04_Withdrawals!H119)</f>
        <v/>
      </c>
      <c r="J714" s="37" t="str">
        <f>IF(Agent04_Withdrawals!A119="","",Agent04_Withdrawals!J119)</f>
        <v/>
      </c>
      <c r="K714" s="37" t="str">
        <f>IF(Agent04_Withdrawals!A119="","",Agent04_Withdrawals!K119)</f>
        <v/>
      </c>
      <c r="L714" s="37" t="str">
        <f>IF(G714="","",IF(D714-G714&gt;=System_Config!$B$9,"✅ OK","⚠️ BREACH"))</f>
        <v/>
      </c>
      <c r="M714" s="37" t="str">
        <f>IFERROR(IF(Agent04_Withdrawals!A119="","",YEAR(Agent04_Withdrawals!D119)),"")</f>
        <v/>
      </c>
    </row>
    <row r="715" spans="1:13" ht="18" customHeight="1" x14ac:dyDescent="0.25">
      <c r="A715" s="37" t="str">
        <f>IF(Agent04_Withdrawals!A120="","",Agent04_Withdrawals!A120)</f>
        <v/>
      </c>
      <c r="B715" s="37" t="str">
        <f ca="1">IF(Agent04_Withdrawals!A120="","","WD"&amp;TEXT(715-3,"0000")&amp;"-"&amp;TEXT(TODAY(),"YYYYMMDD"))</f>
        <v/>
      </c>
      <c r="C715" s="37" t="str">
        <f>IF(Agent04_Withdrawals!A120="","",Agent04_Withdrawals!B120)</f>
        <v/>
      </c>
      <c r="D715" s="40" t="str">
        <f>IF(Agent04_Withdrawals!A120="","",Agent04_Withdrawals!C120)</f>
        <v/>
      </c>
      <c r="E715" s="38" t="str">
        <f>IF(Agent04_Withdrawals!A120="","",Agent04_Withdrawals!D120)</f>
        <v/>
      </c>
      <c r="F715" s="37" t="str">
        <f>IF(Agent04_Withdrawals!A120="","",Agent04_Withdrawals!F120)</f>
        <v/>
      </c>
      <c r="G715" s="39" t="str">
        <f>IF(Agent04_Withdrawals!A120="","",Agent04_Withdrawals!E120)</f>
        <v/>
      </c>
      <c r="H715" s="39" t="str">
        <f>IF(Agent04_Withdrawals!A120="","",Agent04_Withdrawals!G120)</f>
        <v/>
      </c>
      <c r="I715" s="37" t="str">
        <f>IF(Agent04_Withdrawals!A120="","",Agent04_Withdrawals!H120)</f>
        <v/>
      </c>
      <c r="J715" s="37" t="str">
        <f>IF(Agent04_Withdrawals!A120="","",Agent04_Withdrawals!J120)</f>
        <v/>
      </c>
      <c r="K715" s="37" t="str">
        <f>IF(Agent04_Withdrawals!A120="","",Agent04_Withdrawals!K120)</f>
        <v/>
      </c>
      <c r="L715" s="37" t="str">
        <f>IF(G715="","",IF(D715-G715&gt;=System_Config!$B$9,"✅ OK","⚠️ BREACH"))</f>
        <v/>
      </c>
      <c r="M715" s="37" t="str">
        <f>IFERROR(IF(Agent04_Withdrawals!A120="","",YEAR(Agent04_Withdrawals!D120)),"")</f>
        <v/>
      </c>
    </row>
    <row r="716" spans="1:13" ht="18" customHeight="1" x14ac:dyDescent="0.25">
      <c r="A716" s="37" t="str">
        <f>IF(Agent04_Withdrawals!A121="","",Agent04_Withdrawals!A121)</f>
        <v/>
      </c>
      <c r="B716" s="37" t="str">
        <f ca="1">IF(Agent04_Withdrawals!A121="","","WD"&amp;TEXT(716-3,"0000")&amp;"-"&amp;TEXT(TODAY(),"YYYYMMDD"))</f>
        <v/>
      </c>
      <c r="C716" s="37" t="str">
        <f>IF(Agent04_Withdrawals!A121="","",Agent04_Withdrawals!B121)</f>
        <v/>
      </c>
      <c r="D716" s="40" t="str">
        <f>IF(Agent04_Withdrawals!A121="","",Agent04_Withdrawals!C121)</f>
        <v/>
      </c>
      <c r="E716" s="38" t="str">
        <f>IF(Agent04_Withdrawals!A121="","",Agent04_Withdrawals!D121)</f>
        <v/>
      </c>
      <c r="F716" s="37" t="str">
        <f>IF(Agent04_Withdrawals!A121="","",Agent04_Withdrawals!F121)</f>
        <v/>
      </c>
      <c r="G716" s="39" t="str">
        <f>IF(Agent04_Withdrawals!A121="","",Agent04_Withdrawals!E121)</f>
        <v/>
      </c>
      <c r="H716" s="39" t="str">
        <f>IF(Agent04_Withdrawals!A121="","",Agent04_Withdrawals!G121)</f>
        <v/>
      </c>
      <c r="I716" s="37" t="str">
        <f>IF(Agent04_Withdrawals!A121="","",Agent04_Withdrawals!H121)</f>
        <v/>
      </c>
      <c r="J716" s="37" t="str">
        <f>IF(Agent04_Withdrawals!A121="","",Agent04_Withdrawals!J121)</f>
        <v/>
      </c>
      <c r="K716" s="37" t="str">
        <f>IF(Agent04_Withdrawals!A121="","",Agent04_Withdrawals!K121)</f>
        <v/>
      </c>
      <c r="L716" s="37" t="str">
        <f>IF(G716="","",IF(D716-G716&gt;=System_Config!$B$9,"✅ OK","⚠️ BREACH"))</f>
        <v/>
      </c>
      <c r="M716" s="37" t="str">
        <f>IFERROR(IF(Agent04_Withdrawals!A121="","",YEAR(Agent04_Withdrawals!D121)),"")</f>
        <v/>
      </c>
    </row>
    <row r="717" spans="1:13" ht="18" customHeight="1" x14ac:dyDescent="0.25">
      <c r="A717" s="37" t="str">
        <f>IF(Agent04_Withdrawals!A122="","",Agent04_Withdrawals!A122)</f>
        <v/>
      </c>
      <c r="B717" s="37" t="str">
        <f ca="1">IF(Agent04_Withdrawals!A122="","","WD"&amp;TEXT(717-3,"0000")&amp;"-"&amp;TEXT(TODAY(),"YYYYMMDD"))</f>
        <v/>
      </c>
      <c r="C717" s="37" t="str">
        <f>IF(Agent04_Withdrawals!A122="","",Agent04_Withdrawals!B122)</f>
        <v/>
      </c>
      <c r="D717" s="40" t="str">
        <f>IF(Agent04_Withdrawals!A122="","",Agent04_Withdrawals!C122)</f>
        <v/>
      </c>
      <c r="E717" s="38" t="str">
        <f>IF(Agent04_Withdrawals!A122="","",Agent04_Withdrawals!D122)</f>
        <v/>
      </c>
      <c r="F717" s="37" t="str">
        <f>IF(Agent04_Withdrawals!A122="","",Agent04_Withdrawals!F122)</f>
        <v/>
      </c>
      <c r="G717" s="39" t="str">
        <f>IF(Agent04_Withdrawals!A122="","",Agent04_Withdrawals!E122)</f>
        <v/>
      </c>
      <c r="H717" s="39" t="str">
        <f>IF(Agent04_Withdrawals!A122="","",Agent04_Withdrawals!G122)</f>
        <v/>
      </c>
      <c r="I717" s="37" t="str">
        <f>IF(Agent04_Withdrawals!A122="","",Agent04_Withdrawals!H122)</f>
        <v/>
      </c>
      <c r="J717" s="37" t="str">
        <f>IF(Agent04_Withdrawals!A122="","",Agent04_Withdrawals!J122)</f>
        <v/>
      </c>
      <c r="K717" s="37" t="str">
        <f>IF(Agent04_Withdrawals!A122="","",Agent04_Withdrawals!K122)</f>
        <v/>
      </c>
      <c r="L717" s="37" t="str">
        <f>IF(G717="","",IF(D717-G717&gt;=System_Config!$B$9,"✅ OK","⚠️ BREACH"))</f>
        <v/>
      </c>
      <c r="M717" s="37" t="str">
        <f>IFERROR(IF(Agent04_Withdrawals!A122="","",YEAR(Agent04_Withdrawals!D122)),"")</f>
        <v/>
      </c>
    </row>
    <row r="718" spans="1:13" ht="18" customHeight="1" x14ac:dyDescent="0.25">
      <c r="A718" s="37" t="str">
        <f>IF(Agent04_Withdrawals!A123="","",Agent04_Withdrawals!A123)</f>
        <v/>
      </c>
      <c r="B718" s="37" t="str">
        <f ca="1">IF(Agent04_Withdrawals!A123="","","WD"&amp;TEXT(718-3,"0000")&amp;"-"&amp;TEXT(TODAY(),"YYYYMMDD"))</f>
        <v/>
      </c>
      <c r="C718" s="37" t="str">
        <f>IF(Agent04_Withdrawals!A123="","",Agent04_Withdrawals!B123)</f>
        <v/>
      </c>
      <c r="D718" s="40" t="str">
        <f>IF(Agent04_Withdrawals!A123="","",Agent04_Withdrawals!C123)</f>
        <v/>
      </c>
      <c r="E718" s="38" t="str">
        <f>IF(Agent04_Withdrawals!A123="","",Agent04_Withdrawals!D123)</f>
        <v/>
      </c>
      <c r="F718" s="37" t="str">
        <f>IF(Agent04_Withdrawals!A123="","",Agent04_Withdrawals!F123)</f>
        <v/>
      </c>
      <c r="G718" s="39" t="str">
        <f>IF(Agent04_Withdrawals!A123="","",Agent04_Withdrawals!E123)</f>
        <v/>
      </c>
      <c r="H718" s="39" t="str">
        <f>IF(Agent04_Withdrawals!A123="","",Agent04_Withdrawals!G123)</f>
        <v/>
      </c>
      <c r="I718" s="37" t="str">
        <f>IF(Agent04_Withdrawals!A123="","",Agent04_Withdrawals!H123)</f>
        <v/>
      </c>
      <c r="J718" s="37" t="str">
        <f>IF(Agent04_Withdrawals!A123="","",Agent04_Withdrawals!J123)</f>
        <v/>
      </c>
      <c r="K718" s="37" t="str">
        <f>IF(Agent04_Withdrawals!A123="","",Agent04_Withdrawals!K123)</f>
        <v/>
      </c>
      <c r="L718" s="37" t="str">
        <f>IF(G718="","",IF(D718-G718&gt;=System_Config!$B$9,"✅ OK","⚠️ BREACH"))</f>
        <v/>
      </c>
      <c r="M718" s="37" t="str">
        <f>IFERROR(IF(Agent04_Withdrawals!A123="","",YEAR(Agent04_Withdrawals!D123)),"")</f>
        <v/>
      </c>
    </row>
    <row r="719" spans="1:13" ht="18" customHeight="1" x14ac:dyDescent="0.25">
      <c r="A719" s="37" t="str">
        <f>IF(Agent04_Withdrawals!A124="","",Agent04_Withdrawals!A124)</f>
        <v/>
      </c>
      <c r="B719" s="37" t="str">
        <f ca="1">IF(Agent04_Withdrawals!A124="","","WD"&amp;TEXT(719-3,"0000")&amp;"-"&amp;TEXT(TODAY(),"YYYYMMDD"))</f>
        <v/>
      </c>
      <c r="C719" s="37" t="str">
        <f>IF(Agent04_Withdrawals!A124="","",Agent04_Withdrawals!B124)</f>
        <v/>
      </c>
      <c r="D719" s="40" t="str">
        <f>IF(Agent04_Withdrawals!A124="","",Agent04_Withdrawals!C124)</f>
        <v/>
      </c>
      <c r="E719" s="38" t="str">
        <f>IF(Agent04_Withdrawals!A124="","",Agent04_Withdrawals!D124)</f>
        <v/>
      </c>
      <c r="F719" s="37" t="str">
        <f>IF(Agent04_Withdrawals!A124="","",Agent04_Withdrawals!F124)</f>
        <v/>
      </c>
      <c r="G719" s="39" t="str">
        <f>IF(Agent04_Withdrawals!A124="","",Agent04_Withdrawals!E124)</f>
        <v/>
      </c>
      <c r="H719" s="39" t="str">
        <f>IF(Agent04_Withdrawals!A124="","",Agent04_Withdrawals!G124)</f>
        <v/>
      </c>
      <c r="I719" s="37" t="str">
        <f>IF(Agent04_Withdrawals!A124="","",Agent04_Withdrawals!H124)</f>
        <v/>
      </c>
      <c r="J719" s="37" t="str">
        <f>IF(Agent04_Withdrawals!A124="","",Agent04_Withdrawals!J124)</f>
        <v/>
      </c>
      <c r="K719" s="37" t="str">
        <f>IF(Agent04_Withdrawals!A124="","",Agent04_Withdrawals!K124)</f>
        <v/>
      </c>
      <c r="L719" s="37" t="str">
        <f>IF(G719="","",IF(D719-G719&gt;=System_Config!$B$9,"✅ OK","⚠️ BREACH"))</f>
        <v/>
      </c>
      <c r="M719" s="37" t="str">
        <f>IFERROR(IF(Agent04_Withdrawals!A124="","",YEAR(Agent04_Withdrawals!D124)),"")</f>
        <v/>
      </c>
    </row>
    <row r="720" spans="1:13" ht="18" customHeight="1" x14ac:dyDescent="0.25">
      <c r="A720" s="37" t="str">
        <f>IF(Agent04_Withdrawals!A125="","",Agent04_Withdrawals!A125)</f>
        <v/>
      </c>
      <c r="B720" s="37" t="str">
        <f ca="1">IF(Agent04_Withdrawals!A125="","","WD"&amp;TEXT(720-3,"0000")&amp;"-"&amp;TEXT(TODAY(),"YYYYMMDD"))</f>
        <v/>
      </c>
      <c r="C720" s="37" t="str">
        <f>IF(Agent04_Withdrawals!A125="","",Agent04_Withdrawals!B125)</f>
        <v/>
      </c>
      <c r="D720" s="40" t="str">
        <f>IF(Agent04_Withdrawals!A125="","",Agent04_Withdrawals!C125)</f>
        <v/>
      </c>
      <c r="E720" s="38" t="str">
        <f>IF(Agent04_Withdrawals!A125="","",Agent04_Withdrawals!D125)</f>
        <v/>
      </c>
      <c r="F720" s="37" t="str">
        <f>IF(Agent04_Withdrawals!A125="","",Agent04_Withdrawals!F125)</f>
        <v/>
      </c>
      <c r="G720" s="39" t="str">
        <f>IF(Agent04_Withdrawals!A125="","",Agent04_Withdrawals!E125)</f>
        <v/>
      </c>
      <c r="H720" s="39" t="str">
        <f>IF(Agent04_Withdrawals!A125="","",Agent04_Withdrawals!G125)</f>
        <v/>
      </c>
      <c r="I720" s="37" t="str">
        <f>IF(Agent04_Withdrawals!A125="","",Agent04_Withdrawals!H125)</f>
        <v/>
      </c>
      <c r="J720" s="37" t="str">
        <f>IF(Agent04_Withdrawals!A125="","",Agent04_Withdrawals!J125)</f>
        <v/>
      </c>
      <c r="K720" s="37" t="str">
        <f>IF(Agent04_Withdrawals!A125="","",Agent04_Withdrawals!K125)</f>
        <v/>
      </c>
      <c r="L720" s="37" t="str">
        <f>IF(G720="","",IF(D720-G720&gt;=System_Config!$B$9,"✅ OK","⚠️ BREACH"))</f>
        <v/>
      </c>
      <c r="M720" s="37" t="str">
        <f>IFERROR(IF(Agent04_Withdrawals!A125="","",YEAR(Agent04_Withdrawals!D125)),"")</f>
        <v/>
      </c>
    </row>
    <row r="721" spans="1:13" ht="18" customHeight="1" x14ac:dyDescent="0.25">
      <c r="A721" s="37" t="str">
        <f>IF(Agent04_Withdrawals!A126="","",Agent04_Withdrawals!A126)</f>
        <v/>
      </c>
      <c r="B721" s="37" t="str">
        <f ca="1">IF(Agent04_Withdrawals!A126="","","WD"&amp;TEXT(721-3,"0000")&amp;"-"&amp;TEXT(TODAY(),"YYYYMMDD"))</f>
        <v/>
      </c>
      <c r="C721" s="37" t="str">
        <f>IF(Agent04_Withdrawals!A126="","",Agent04_Withdrawals!B126)</f>
        <v/>
      </c>
      <c r="D721" s="40" t="str">
        <f>IF(Agent04_Withdrawals!A126="","",Agent04_Withdrawals!C126)</f>
        <v/>
      </c>
      <c r="E721" s="38" t="str">
        <f>IF(Agent04_Withdrawals!A126="","",Agent04_Withdrawals!D126)</f>
        <v/>
      </c>
      <c r="F721" s="37" t="str">
        <f>IF(Agent04_Withdrawals!A126="","",Agent04_Withdrawals!F126)</f>
        <v/>
      </c>
      <c r="G721" s="39" t="str">
        <f>IF(Agent04_Withdrawals!A126="","",Agent04_Withdrawals!E126)</f>
        <v/>
      </c>
      <c r="H721" s="39" t="str">
        <f>IF(Agent04_Withdrawals!A126="","",Agent04_Withdrawals!G126)</f>
        <v/>
      </c>
      <c r="I721" s="37" t="str">
        <f>IF(Agent04_Withdrawals!A126="","",Agent04_Withdrawals!H126)</f>
        <v/>
      </c>
      <c r="J721" s="37" t="str">
        <f>IF(Agent04_Withdrawals!A126="","",Agent04_Withdrawals!J126)</f>
        <v/>
      </c>
      <c r="K721" s="37" t="str">
        <f>IF(Agent04_Withdrawals!A126="","",Agent04_Withdrawals!K126)</f>
        <v/>
      </c>
      <c r="L721" s="37" t="str">
        <f>IF(G721="","",IF(D721-G721&gt;=System_Config!$B$9,"✅ OK","⚠️ BREACH"))</f>
        <v/>
      </c>
      <c r="M721" s="37" t="str">
        <f>IFERROR(IF(Agent04_Withdrawals!A126="","",YEAR(Agent04_Withdrawals!D126)),"")</f>
        <v/>
      </c>
    </row>
    <row r="722" spans="1:13" ht="18" customHeight="1" x14ac:dyDescent="0.25">
      <c r="A722" s="37" t="str">
        <f>IF(Agent04_Withdrawals!A127="","",Agent04_Withdrawals!A127)</f>
        <v/>
      </c>
      <c r="B722" s="37" t="str">
        <f ca="1">IF(Agent04_Withdrawals!A127="","","WD"&amp;TEXT(722-3,"0000")&amp;"-"&amp;TEXT(TODAY(),"YYYYMMDD"))</f>
        <v/>
      </c>
      <c r="C722" s="37" t="str">
        <f>IF(Agent04_Withdrawals!A127="","",Agent04_Withdrawals!B127)</f>
        <v/>
      </c>
      <c r="D722" s="40" t="str">
        <f>IF(Agent04_Withdrawals!A127="","",Agent04_Withdrawals!C127)</f>
        <v/>
      </c>
      <c r="E722" s="38" t="str">
        <f>IF(Agent04_Withdrawals!A127="","",Agent04_Withdrawals!D127)</f>
        <v/>
      </c>
      <c r="F722" s="37" t="str">
        <f>IF(Agent04_Withdrawals!A127="","",Agent04_Withdrawals!F127)</f>
        <v/>
      </c>
      <c r="G722" s="39" t="str">
        <f>IF(Agent04_Withdrawals!A127="","",Agent04_Withdrawals!E127)</f>
        <v/>
      </c>
      <c r="H722" s="39" t="str">
        <f>IF(Agent04_Withdrawals!A127="","",Agent04_Withdrawals!G127)</f>
        <v/>
      </c>
      <c r="I722" s="37" t="str">
        <f>IF(Agent04_Withdrawals!A127="","",Agent04_Withdrawals!H127)</f>
        <v/>
      </c>
      <c r="J722" s="37" t="str">
        <f>IF(Agent04_Withdrawals!A127="","",Agent04_Withdrawals!J127)</f>
        <v/>
      </c>
      <c r="K722" s="37" t="str">
        <f>IF(Agent04_Withdrawals!A127="","",Agent04_Withdrawals!K127)</f>
        <v/>
      </c>
      <c r="L722" s="37" t="str">
        <f>IF(G722="","",IF(D722-G722&gt;=System_Config!$B$9,"✅ OK","⚠️ BREACH"))</f>
        <v/>
      </c>
      <c r="M722" s="37" t="str">
        <f>IFERROR(IF(Agent04_Withdrawals!A127="","",YEAR(Agent04_Withdrawals!D127)),"")</f>
        <v/>
      </c>
    </row>
    <row r="723" spans="1:13" ht="18" customHeight="1" x14ac:dyDescent="0.25">
      <c r="A723" s="37" t="str">
        <f>IF(Agent04_Withdrawals!A128="","",Agent04_Withdrawals!A128)</f>
        <v/>
      </c>
      <c r="B723" s="37" t="str">
        <f ca="1">IF(Agent04_Withdrawals!A128="","","WD"&amp;TEXT(723-3,"0000")&amp;"-"&amp;TEXT(TODAY(),"YYYYMMDD"))</f>
        <v/>
      </c>
      <c r="C723" s="37" t="str">
        <f>IF(Agent04_Withdrawals!A128="","",Agent04_Withdrawals!B128)</f>
        <v/>
      </c>
      <c r="D723" s="40" t="str">
        <f>IF(Agent04_Withdrawals!A128="","",Agent04_Withdrawals!C128)</f>
        <v/>
      </c>
      <c r="E723" s="38" t="str">
        <f>IF(Agent04_Withdrawals!A128="","",Agent04_Withdrawals!D128)</f>
        <v/>
      </c>
      <c r="F723" s="37" t="str">
        <f>IF(Agent04_Withdrawals!A128="","",Agent04_Withdrawals!F128)</f>
        <v/>
      </c>
      <c r="G723" s="39" t="str">
        <f>IF(Agent04_Withdrawals!A128="","",Agent04_Withdrawals!E128)</f>
        <v/>
      </c>
      <c r="H723" s="39" t="str">
        <f>IF(Agent04_Withdrawals!A128="","",Agent04_Withdrawals!G128)</f>
        <v/>
      </c>
      <c r="I723" s="37" t="str">
        <f>IF(Agent04_Withdrawals!A128="","",Agent04_Withdrawals!H128)</f>
        <v/>
      </c>
      <c r="J723" s="37" t="str">
        <f>IF(Agent04_Withdrawals!A128="","",Agent04_Withdrawals!J128)</f>
        <v/>
      </c>
      <c r="K723" s="37" t="str">
        <f>IF(Agent04_Withdrawals!A128="","",Agent04_Withdrawals!K128)</f>
        <v/>
      </c>
      <c r="L723" s="37" t="str">
        <f>IF(G723="","",IF(D723-G723&gt;=System_Config!$B$9,"✅ OK","⚠️ BREACH"))</f>
        <v/>
      </c>
      <c r="M723" s="37" t="str">
        <f>IFERROR(IF(Agent04_Withdrawals!A128="","",YEAR(Agent04_Withdrawals!D128)),"")</f>
        <v/>
      </c>
    </row>
    <row r="724" spans="1:13" ht="18" customHeight="1" x14ac:dyDescent="0.25">
      <c r="A724" s="37" t="str">
        <f>IF(Agent04_Withdrawals!A129="","",Agent04_Withdrawals!A129)</f>
        <v/>
      </c>
      <c r="B724" s="37" t="str">
        <f ca="1">IF(Agent04_Withdrawals!A129="","","WD"&amp;TEXT(724-3,"0000")&amp;"-"&amp;TEXT(TODAY(),"YYYYMMDD"))</f>
        <v/>
      </c>
      <c r="C724" s="37" t="str">
        <f>IF(Agent04_Withdrawals!A129="","",Agent04_Withdrawals!B129)</f>
        <v/>
      </c>
      <c r="D724" s="40" t="str">
        <f>IF(Agent04_Withdrawals!A129="","",Agent04_Withdrawals!C129)</f>
        <v/>
      </c>
      <c r="E724" s="38" t="str">
        <f>IF(Agent04_Withdrawals!A129="","",Agent04_Withdrawals!D129)</f>
        <v/>
      </c>
      <c r="F724" s="37" t="str">
        <f>IF(Agent04_Withdrawals!A129="","",Agent04_Withdrawals!F129)</f>
        <v/>
      </c>
      <c r="G724" s="39" t="str">
        <f>IF(Agent04_Withdrawals!A129="","",Agent04_Withdrawals!E129)</f>
        <v/>
      </c>
      <c r="H724" s="39" t="str">
        <f>IF(Agent04_Withdrawals!A129="","",Agent04_Withdrawals!G129)</f>
        <v/>
      </c>
      <c r="I724" s="37" t="str">
        <f>IF(Agent04_Withdrawals!A129="","",Agent04_Withdrawals!H129)</f>
        <v/>
      </c>
      <c r="J724" s="37" t="str">
        <f>IF(Agent04_Withdrawals!A129="","",Agent04_Withdrawals!J129)</f>
        <v/>
      </c>
      <c r="K724" s="37" t="str">
        <f>IF(Agent04_Withdrawals!A129="","",Agent04_Withdrawals!K129)</f>
        <v/>
      </c>
      <c r="L724" s="37" t="str">
        <f>IF(G724="","",IF(D724-G724&gt;=System_Config!$B$9,"✅ OK","⚠️ BREACH"))</f>
        <v/>
      </c>
      <c r="M724" s="37" t="str">
        <f>IFERROR(IF(Agent04_Withdrawals!A129="","",YEAR(Agent04_Withdrawals!D129)),"")</f>
        <v/>
      </c>
    </row>
    <row r="725" spans="1:13" ht="18" customHeight="1" x14ac:dyDescent="0.25">
      <c r="A725" s="37" t="str">
        <f>IF(Agent04_Withdrawals!A130="","",Agent04_Withdrawals!A130)</f>
        <v/>
      </c>
      <c r="B725" s="37" t="str">
        <f ca="1">IF(Agent04_Withdrawals!A130="","","WD"&amp;TEXT(725-3,"0000")&amp;"-"&amp;TEXT(TODAY(),"YYYYMMDD"))</f>
        <v/>
      </c>
      <c r="C725" s="37" t="str">
        <f>IF(Agent04_Withdrawals!A130="","",Agent04_Withdrawals!B130)</f>
        <v/>
      </c>
      <c r="D725" s="40" t="str">
        <f>IF(Agent04_Withdrawals!A130="","",Agent04_Withdrawals!C130)</f>
        <v/>
      </c>
      <c r="E725" s="38" t="str">
        <f>IF(Agent04_Withdrawals!A130="","",Agent04_Withdrawals!D130)</f>
        <v/>
      </c>
      <c r="F725" s="37" t="str">
        <f>IF(Agent04_Withdrawals!A130="","",Agent04_Withdrawals!F130)</f>
        <v/>
      </c>
      <c r="G725" s="39" t="str">
        <f>IF(Agent04_Withdrawals!A130="","",Agent04_Withdrawals!E130)</f>
        <v/>
      </c>
      <c r="H725" s="39" t="str">
        <f>IF(Agent04_Withdrawals!A130="","",Agent04_Withdrawals!G130)</f>
        <v/>
      </c>
      <c r="I725" s="37" t="str">
        <f>IF(Agent04_Withdrawals!A130="","",Agent04_Withdrawals!H130)</f>
        <v/>
      </c>
      <c r="J725" s="37" t="str">
        <f>IF(Agent04_Withdrawals!A130="","",Agent04_Withdrawals!J130)</f>
        <v/>
      </c>
      <c r="K725" s="37" t="str">
        <f>IF(Agent04_Withdrawals!A130="","",Agent04_Withdrawals!K130)</f>
        <v/>
      </c>
      <c r="L725" s="37" t="str">
        <f>IF(G725="","",IF(D725-G725&gt;=System_Config!$B$9,"✅ OK","⚠️ BREACH"))</f>
        <v/>
      </c>
      <c r="M725" s="37" t="str">
        <f>IFERROR(IF(Agent04_Withdrawals!A130="","",YEAR(Agent04_Withdrawals!D130)),"")</f>
        <v/>
      </c>
    </row>
    <row r="726" spans="1:13" ht="18" customHeight="1" x14ac:dyDescent="0.25">
      <c r="A726" s="37" t="str">
        <f>IF(Agent04_Withdrawals!A131="","",Agent04_Withdrawals!A131)</f>
        <v/>
      </c>
      <c r="B726" s="37" t="str">
        <f ca="1">IF(Agent04_Withdrawals!A131="","","WD"&amp;TEXT(726-3,"0000")&amp;"-"&amp;TEXT(TODAY(),"YYYYMMDD"))</f>
        <v/>
      </c>
      <c r="C726" s="37" t="str">
        <f>IF(Agent04_Withdrawals!A131="","",Agent04_Withdrawals!B131)</f>
        <v/>
      </c>
      <c r="D726" s="40" t="str">
        <f>IF(Agent04_Withdrawals!A131="","",Agent04_Withdrawals!C131)</f>
        <v/>
      </c>
      <c r="E726" s="38" t="str">
        <f>IF(Agent04_Withdrawals!A131="","",Agent04_Withdrawals!D131)</f>
        <v/>
      </c>
      <c r="F726" s="37" t="str">
        <f>IF(Agent04_Withdrawals!A131="","",Agent04_Withdrawals!F131)</f>
        <v/>
      </c>
      <c r="G726" s="39" t="str">
        <f>IF(Agent04_Withdrawals!A131="","",Agent04_Withdrawals!E131)</f>
        <v/>
      </c>
      <c r="H726" s="39" t="str">
        <f>IF(Agent04_Withdrawals!A131="","",Agent04_Withdrawals!G131)</f>
        <v/>
      </c>
      <c r="I726" s="37" t="str">
        <f>IF(Agent04_Withdrawals!A131="","",Agent04_Withdrawals!H131)</f>
        <v/>
      </c>
      <c r="J726" s="37" t="str">
        <f>IF(Agent04_Withdrawals!A131="","",Agent04_Withdrawals!J131)</f>
        <v/>
      </c>
      <c r="K726" s="37" t="str">
        <f>IF(Agent04_Withdrawals!A131="","",Agent04_Withdrawals!K131)</f>
        <v/>
      </c>
      <c r="L726" s="37" t="str">
        <f>IF(G726="","",IF(D726-G726&gt;=System_Config!$B$9,"✅ OK","⚠️ BREACH"))</f>
        <v/>
      </c>
      <c r="M726" s="37" t="str">
        <f>IFERROR(IF(Agent04_Withdrawals!A131="","",YEAR(Agent04_Withdrawals!D131)),"")</f>
        <v/>
      </c>
    </row>
    <row r="727" spans="1:13" ht="18" customHeight="1" x14ac:dyDescent="0.25">
      <c r="A727" s="37" t="str">
        <f>IF(Agent04_Withdrawals!A132="","",Agent04_Withdrawals!A132)</f>
        <v/>
      </c>
      <c r="B727" s="37" t="str">
        <f ca="1">IF(Agent04_Withdrawals!A132="","","WD"&amp;TEXT(727-3,"0000")&amp;"-"&amp;TEXT(TODAY(),"YYYYMMDD"))</f>
        <v/>
      </c>
      <c r="C727" s="37" t="str">
        <f>IF(Agent04_Withdrawals!A132="","",Agent04_Withdrawals!B132)</f>
        <v/>
      </c>
      <c r="D727" s="40" t="str">
        <f>IF(Agent04_Withdrawals!A132="","",Agent04_Withdrawals!C132)</f>
        <v/>
      </c>
      <c r="E727" s="38" t="str">
        <f>IF(Agent04_Withdrawals!A132="","",Agent04_Withdrawals!D132)</f>
        <v/>
      </c>
      <c r="F727" s="37" t="str">
        <f>IF(Agent04_Withdrawals!A132="","",Agent04_Withdrawals!F132)</f>
        <v/>
      </c>
      <c r="G727" s="39" t="str">
        <f>IF(Agent04_Withdrawals!A132="","",Agent04_Withdrawals!E132)</f>
        <v/>
      </c>
      <c r="H727" s="39" t="str">
        <f>IF(Agent04_Withdrawals!A132="","",Agent04_Withdrawals!G132)</f>
        <v/>
      </c>
      <c r="I727" s="37" t="str">
        <f>IF(Agent04_Withdrawals!A132="","",Agent04_Withdrawals!H132)</f>
        <v/>
      </c>
      <c r="J727" s="37" t="str">
        <f>IF(Agent04_Withdrawals!A132="","",Agent04_Withdrawals!J132)</f>
        <v/>
      </c>
      <c r="K727" s="37" t="str">
        <f>IF(Agent04_Withdrawals!A132="","",Agent04_Withdrawals!K132)</f>
        <v/>
      </c>
      <c r="L727" s="37" t="str">
        <f>IF(G727="","",IF(D727-G727&gt;=System_Config!$B$9,"✅ OK","⚠️ BREACH"))</f>
        <v/>
      </c>
      <c r="M727" s="37" t="str">
        <f>IFERROR(IF(Agent04_Withdrawals!A132="","",YEAR(Agent04_Withdrawals!D132)),"")</f>
        <v/>
      </c>
    </row>
    <row r="728" spans="1:13" ht="18" customHeight="1" x14ac:dyDescent="0.25">
      <c r="A728" s="37" t="str">
        <f>IF(Agent04_Withdrawals!A133="","",Agent04_Withdrawals!A133)</f>
        <v/>
      </c>
      <c r="B728" s="37" t="str">
        <f ca="1">IF(Agent04_Withdrawals!A133="","","WD"&amp;TEXT(728-3,"0000")&amp;"-"&amp;TEXT(TODAY(),"YYYYMMDD"))</f>
        <v/>
      </c>
      <c r="C728" s="37" t="str">
        <f>IF(Agent04_Withdrawals!A133="","",Agent04_Withdrawals!B133)</f>
        <v/>
      </c>
      <c r="D728" s="40" t="str">
        <f>IF(Agent04_Withdrawals!A133="","",Agent04_Withdrawals!C133)</f>
        <v/>
      </c>
      <c r="E728" s="38" t="str">
        <f>IF(Agent04_Withdrawals!A133="","",Agent04_Withdrawals!D133)</f>
        <v/>
      </c>
      <c r="F728" s="37" t="str">
        <f>IF(Agent04_Withdrawals!A133="","",Agent04_Withdrawals!F133)</f>
        <v/>
      </c>
      <c r="G728" s="39" t="str">
        <f>IF(Agent04_Withdrawals!A133="","",Agent04_Withdrawals!E133)</f>
        <v/>
      </c>
      <c r="H728" s="39" t="str">
        <f>IF(Agent04_Withdrawals!A133="","",Agent04_Withdrawals!G133)</f>
        <v/>
      </c>
      <c r="I728" s="37" t="str">
        <f>IF(Agent04_Withdrawals!A133="","",Agent04_Withdrawals!H133)</f>
        <v/>
      </c>
      <c r="J728" s="37" t="str">
        <f>IF(Agent04_Withdrawals!A133="","",Agent04_Withdrawals!J133)</f>
        <v/>
      </c>
      <c r="K728" s="37" t="str">
        <f>IF(Agent04_Withdrawals!A133="","",Agent04_Withdrawals!K133)</f>
        <v/>
      </c>
      <c r="L728" s="37" t="str">
        <f>IF(G728="","",IF(D728-G728&gt;=System_Config!$B$9,"✅ OK","⚠️ BREACH"))</f>
        <v/>
      </c>
      <c r="M728" s="37" t="str">
        <f>IFERROR(IF(Agent04_Withdrawals!A133="","",YEAR(Agent04_Withdrawals!D133)),"")</f>
        <v/>
      </c>
    </row>
    <row r="729" spans="1:13" ht="18" customHeight="1" x14ac:dyDescent="0.25">
      <c r="A729" s="37" t="str">
        <f>IF(Agent04_Withdrawals!A134="","",Agent04_Withdrawals!A134)</f>
        <v/>
      </c>
      <c r="B729" s="37" t="str">
        <f ca="1">IF(Agent04_Withdrawals!A134="","","WD"&amp;TEXT(729-3,"0000")&amp;"-"&amp;TEXT(TODAY(),"YYYYMMDD"))</f>
        <v/>
      </c>
      <c r="C729" s="37" t="str">
        <f>IF(Agent04_Withdrawals!A134="","",Agent04_Withdrawals!B134)</f>
        <v/>
      </c>
      <c r="D729" s="40" t="str">
        <f>IF(Agent04_Withdrawals!A134="","",Agent04_Withdrawals!C134)</f>
        <v/>
      </c>
      <c r="E729" s="38" t="str">
        <f>IF(Agent04_Withdrawals!A134="","",Agent04_Withdrawals!D134)</f>
        <v/>
      </c>
      <c r="F729" s="37" t="str">
        <f>IF(Agent04_Withdrawals!A134="","",Agent04_Withdrawals!F134)</f>
        <v/>
      </c>
      <c r="G729" s="39" t="str">
        <f>IF(Agent04_Withdrawals!A134="","",Agent04_Withdrawals!E134)</f>
        <v/>
      </c>
      <c r="H729" s="39" t="str">
        <f>IF(Agent04_Withdrawals!A134="","",Agent04_Withdrawals!G134)</f>
        <v/>
      </c>
      <c r="I729" s="37" t="str">
        <f>IF(Agent04_Withdrawals!A134="","",Agent04_Withdrawals!H134)</f>
        <v/>
      </c>
      <c r="J729" s="37" t="str">
        <f>IF(Agent04_Withdrawals!A134="","",Agent04_Withdrawals!J134)</f>
        <v/>
      </c>
      <c r="K729" s="37" t="str">
        <f>IF(Agent04_Withdrawals!A134="","",Agent04_Withdrawals!K134)</f>
        <v/>
      </c>
      <c r="L729" s="37" t="str">
        <f>IF(G729="","",IF(D729-G729&gt;=System_Config!$B$9,"✅ OK","⚠️ BREACH"))</f>
        <v/>
      </c>
      <c r="M729" s="37" t="str">
        <f>IFERROR(IF(Agent04_Withdrawals!A134="","",YEAR(Agent04_Withdrawals!D134)),"")</f>
        <v/>
      </c>
    </row>
    <row r="730" spans="1:13" ht="18" customHeight="1" x14ac:dyDescent="0.25">
      <c r="A730" s="37" t="str">
        <f>IF(Agent04_Withdrawals!A135="","",Agent04_Withdrawals!A135)</f>
        <v/>
      </c>
      <c r="B730" s="37" t="str">
        <f ca="1">IF(Agent04_Withdrawals!A135="","","WD"&amp;TEXT(730-3,"0000")&amp;"-"&amp;TEXT(TODAY(),"YYYYMMDD"))</f>
        <v/>
      </c>
      <c r="C730" s="37" t="str">
        <f>IF(Agent04_Withdrawals!A135="","",Agent04_Withdrawals!B135)</f>
        <v/>
      </c>
      <c r="D730" s="40" t="str">
        <f>IF(Agent04_Withdrawals!A135="","",Agent04_Withdrawals!C135)</f>
        <v/>
      </c>
      <c r="E730" s="38" t="str">
        <f>IF(Agent04_Withdrawals!A135="","",Agent04_Withdrawals!D135)</f>
        <v/>
      </c>
      <c r="F730" s="37" t="str">
        <f>IF(Agent04_Withdrawals!A135="","",Agent04_Withdrawals!F135)</f>
        <v/>
      </c>
      <c r="G730" s="39" t="str">
        <f>IF(Agent04_Withdrawals!A135="","",Agent04_Withdrawals!E135)</f>
        <v/>
      </c>
      <c r="H730" s="39" t="str">
        <f>IF(Agent04_Withdrawals!A135="","",Agent04_Withdrawals!G135)</f>
        <v/>
      </c>
      <c r="I730" s="37" t="str">
        <f>IF(Agent04_Withdrawals!A135="","",Agent04_Withdrawals!H135)</f>
        <v/>
      </c>
      <c r="J730" s="37" t="str">
        <f>IF(Agent04_Withdrawals!A135="","",Agent04_Withdrawals!J135)</f>
        <v/>
      </c>
      <c r="K730" s="37" t="str">
        <f>IF(Agent04_Withdrawals!A135="","",Agent04_Withdrawals!K135)</f>
        <v/>
      </c>
      <c r="L730" s="37" t="str">
        <f>IF(G730="","",IF(D730-G730&gt;=System_Config!$B$9,"✅ OK","⚠️ BREACH"))</f>
        <v/>
      </c>
      <c r="M730" s="37" t="str">
        <f>IFERROR(IF(Agent04_Withdrawals!A135="","",YEAR(Agent04_Withdrawals!D135)),"")</f>
        <v/>
      </c>
    </row>
    <row r="731" spans="1:13" ht="18" customHeight="1" x14ac:dyDescent="0.25">
      <c r="A731" s="37" t="str">
        <f>IF(Agent04_Withdrawals!A136="","",Agent04_Withdrawals!A136)</f>
        <v/>
      </c>
      <c r="B731" s="37" t="str">
        <f ca="1">IF(Agent04_Withdrawals!A136="","","WD"&amp;TEXT(731-3,"0000")&amp;"-"&amp;TEXT(TODAY(),"YYYYMMDD"))</f>
        <v/>
      </c>
      <c r="C731" s="37" t="str">
        <f>IF(Agent04_Withdrawals!A136="","",Agent04_Withdrawals!B136)</f>
        <v/>
      </c>
      <c r="D731" s="40" t="str">
        <f>IF(Agent04_Withdrawals!A136="","",Agent04_Withdrawals!C136)</f>
        <v/>
      </c>
      <c r="E731" s="38" t="str">
        <f>IF(Agent04_Withdrawals!A136="","",Agent04_Withdrawals!D136)</f>
        <v/>
      </c>
      <c r="F731" s="37" t="str">
        <f>IF(Agent04_Withdrawals!A136="","",Agent04_Withdrawals!F136)</f>
        <v/>
      </c>
      <c r="G731" s="39" t="str">
        <f>IF(Agent04_Withdrawals!A136="","",Agent04_Withdrawals!E136)</f>
        <v/>
      </c>
      <c r="H731" s="39" t="str">
        <f>IF(Agent04_Withdrawals!A136="","",Agent04_Withdrawals!G136)</f>
        <v/>
      </c>
      <c r="I731" s="37" t="str">
        <f>IF(Agent04_Withdrawals!A136="","",Agent04_Withdrawals!H136)</f>
        <v/>
      </c>
      <c r="J731" s="37" t="str">
        <f>IF(Agent04_Withdrawals!A136="","",Agent04_Withdrawals!J136)</f>
        <v/>
      </c>
      <c r="K731" s="37" t="str">
        <f>IF(Agent04_Withdrawals!A136="","",Agent04_Withdrawals!K136)</f>
        <v/>
      </c>
      <c r="L731" s="37" t="str">
        <f>IF(G731="","",IF(D731-G731&gt;=System_Config!$B$9,"✅ OK","⚠️ BREACH"))</f>
        <v/>
      </c>
      <c r="M731" s="37" t="str">
        <f>IFERROR(IF(Agent04_Withdrawals!A136="","",YEAR(Agent04_Withdrawals!D136)),"")</f>
        <v/>
      </c>
    </row>
    <row r="732" spans="1:13" ht="18" customHeight="1" x14ac:dyDescent="0.25">
      <c r="A732" s="37" t="str">
        <f>IF(Agent04_Withdrawals!A137="","",Agent04_Withdrawals!A137)</f>
        <v/>
      </c>
      <c r="B732" s="37" t="str">
        <f ca="1">IF(Agent04_Withdrawals!A137="","","WD"&amp;TEXT(732-3,"0000")&amp;"-"&amp;TEXT(TODAY(),"YYYYMMDD"))</f>
        <v/>
      </c>
      <c r="C732" s="37" t="str">
        <f>IF(Agent04_Withdrawals!A137="","",Agent04_Withdrawals!B137)</f>
        <v/>
      </c>
      <c r="D732" s="40" t="str">
        <f>IF(Agent04_Withdrawals!A137="","",Agent04_Withdrawals!C137)</f>
        <v/>
      </c>
      <c r="E732" s="38" t="str">
        <f>IF(Agent04_Withdrawals!A137="","",Agent04_Withdrawals!D137)</f>
        <v/>
      </c>
      <c r="F732" s="37" t="str">
        <f>IF(Agent04_Withdrawals!A137="","",Agent04_Withdrawals!F137)</f>
        <v/>
      </c>
      <c r="G732" s="39" t="str">
        <f>IF(Agent04_Withdrawals!A137="","",Agent04_Withdrawals!E137)</f>
        <v/>
      </c>
      <c r="H732" s="39" t="str">
        <f>IF(Agent04_Withdrawals!A137="","",Agent04_Withdrawals!G137)</f>
        <v/>
      </c>
      <c r="I732" s="37" t="str">
        <f>IF(Agent04_Withdrawals!A137="","",Agent04_Withdrawals!H137)</f>
        <v/>
      </c>
      <c r="J732" s="37" t="str">
        <f>IF(Agent04_Withdrawals!A137="","",Agent04_Withdrawals!J137)</f>
        <v/>
      </c>
      <c r="K732" s="37" t="str">
        <f>IF(Agent04_Withdrawals!A137="","",Agent04_Withdrawals!K137)</f>
        <v/>
      </c>
      <c r="L732" s="37" t="str">
        <f>IF(G732="","",IF(D732-G732&gt;=System_Config!$B$9,"✅ OK","⚠️ BREACH"))</f>
        <v/>
      </c>
      <c r="M732" s="37" t="str">
        <f>IFERROR(IF(Agent04_Withdrawals!A137="","",YEAR(Agent04_Withdrawals!D137)),"")</f>
        <v/>
      </c>
    </row>
    <row r="733" spans="1:13" ht="18" customHeight="1" x14ac:dyDescent="0.25">
      <c r="A733" s="37" t="str">
        <f>IF(Agent04_Withdrawals!A138="","",Agent04_Withdrawals!A138)</f>
        <v/>
      </c>
      <c r="B733" s="37" t="str">
        <f ca="1">IF(Agent04_Withdrawals!A138="","","WD"&amp;TEXT(733-3,"0000")&amp;"-"&amp;TEXT(TODAY(),"YYYYMMDD"))</f>
        <v/>
      </c>
      <c r="C733" s="37" t="str">
        <f>IF(Agent04_Withdrawals!A138="","",Agent04_Withdrawals!B138)</f>
        <v/>
      </c>
      <c r="D733" s="40" t="str">
        <f>IF(Agent04_Withdrawals!A138="","",Agent04_Withdrawals!C138)</f>
        <v/>
      </c>
      <c r="E733" s="38" t="str">
        <f>IF(Agent04_Withdrawals!A138="","",Agent04_Withdrawals!D138)</f>
        <v/>
      </c>
      <c r="F733" s="37" t="str">
        <f>IF(Agent04_Withdrawals!A138="","",Agent04_Withdrawals!F138)</f>
        <v/>
      </c>
      <c r="G733" s="39" t="str">
        <f>IF(Agent04_Withdrawals!A138="","",Agent04_Withdrawals!E138)</f>
        <v/>
      </c>
      <c r="H733" s="39" t="str">
        <f>IF(Agent04_Withdrawals!A138="","",Agent04_Withdrawals!G138)</f>
        <v/>
      </c>
      <c r="I733" s="37" t="str">
        <f>IF(Agent04_Withdrawals!A138="","",Agent04_Withdrawals!H138)</f>
        <v/>
      </c>
      <c r="J733" s="37" t="str">
        <f>IF(Agent04_Withdrawals!A138="","",Agent04_Withdrawals!J138)</f>
        <v/>
      </c>
      <c r="K733" s="37" t="str">
        <f>IF(Agent04_Withdrawals!A138="","",Agent04_Withdrawals!K138)</f>
        <v/>
      </c>
      <c r="L733" s="37" t="str">
        <f>IF(G733="","",IF(D733-G733&gt;=System_Config!$B$9,"✅ OK","⚠️ BREACH"))</f>
        <v/>
      </c>
      <c r="M733" s="37" t="str">
        <f>IFERROR(IF(Agent04_Withdrawals!A138="","",YEAR(Agent04_Withdrawals!D138)),"")</f>
        <v/>
      </c>
    </row>
    <row r="734" spans="1:13" ht="18" customHeight="1" x14ac:dyDescent="0.25">
      <c r="A734" s="37" t="str">
        <f>IF(Agent04_Withdrawals!A139="","",Agent04_Withdrawals!A139)</f>
        <v/>
      </c>
      <c r="B734" s="37" t="str">
        <f ca="1">IF(Agent04_Withdrawals!A139="","","WD"&amp;TEXT(734-3,"0000")&amp;"-"&amp;TEXT(TODAY(),"YYYYMMDD"))</f>
        <v/>
      </c>
      <c r="C734" s="37" t="str">
        <f>IF(Agent04_Withdrawals!A139="","",Agent04_Withdrawals!B139)</f>
        <v/>
      </c>
      <c r="D734" s="40" t="str">
        <f>IF(Agent04_Withdrawals!A139="","",Agent04_Withdrawals!C139)</f>
        <v/>
      </c>
      <c r="E734" s="38" t="str">
        <f>IF(Agent04_Withdrawals!A139="","",Agent04_Withdrawals!D139)</f>
        <v/>
      </c>
      <c r="F734" s="37" t="str">
        <f>IF(Agent04_Withdrawals!A139="","",Agent04_Withdrawals!F139)</f>
        <v/>
      </c>
      <c r="G734" s="39" t="str">
        <f>IF(Agent04_Withdrawals!A139="","",Agent04_Withdrawals!E139)</f>
        <v/>
      </c>
      <c r="H734" s="39" t="str">
        <f>IF(Agent04_Withdrawals!A139="","",Agent04_Withdrawals!G139)</f>
        <v/>
      </c>
      <c r="I734" s="37" t="str">
        <f>IF(Agent04_Withdrawals!A139="","",Agent04_Withdrawals!H139)</f>
        <v/>
      </c>
      <c r="J734" s="37" t="str">
        <f>IF(Agent04_Withdrawals!A139="","",Agent04_Withdrawals!J139)</f>
        <v/>
      </c>
      <c r="K734" s="37" t="str">
        <f>IF(Agent04_Withdrawals!A139="","",Agent04_Withdrawals!K139)</f>
        <v/>
      </c>
      <c r="L734" s="37" t="str">
        <f>IF(G734="","",IF(D734-G734&gt;=System_Config!$B$9,"✅ OK","⚠️ BREACH"))</f>
        <v/>
      </c>
      <c r="M734" s="37" t="str">
        <f>IFERROR(IF(Agent04_Withdrawals!A139="","",YEAR(Agent04_Withdrawals!D139)),"")</f>
        <v/>
      </c>
    </row>
    <row r="735" spans="1:13" ht="18" customHeight="1" x14ac:dyDescent="0.25">
      <c r="A735" s="37" t="str">
        <f>IF(Agent04_Withdrawals!A140="","",Agent04_Withdrawals!A140)</f>
        <v/>
      </c>
      <c r="B735" s="37" t="str">
        <f ca="1">IF(Agent04_Withdrawals!A140="","","WD"&amp;TEXT(735-3,"0000")&amp;"-"&amp;TEXT(TODAY(),"YYYYMMDD"))</f>
        <v/>
      </c>
      <c r="C735" s="37" t="str">
        <f>IF(Agent04_Withdrawals!A140="","",Agent04_Withdrawals!B140)</f>
        <v/>
      </c>
      <c r="D735" s="40" t="str">
        <f>IF(Agent04_Withdrawals!A140="","",Agent04_Withdrawals!C140)</f>
        <v/>
      </c>
      <c r="E735" s="38" t="str">
        <f>IF(Agent04_Withdrawals!A140="","",Agent04_Withdrawals!D140)</f>
        <v/>
      </c>
      <c r="F735" s="37" t="str">
        <f>IF(Agent04_Withdrawals!A140="","",Agent04_Withdrawals!F140)</f>
        <v/>
      </c>
      <c r="G735" s="39" t="str">
        <f>IF(Agent04_Withdrawals!A140="","",Agent04_Withdrawals!E140)</f>
        <v/>
      </c>
      <c r="H735" s="39" t="str">
        <f>IF(Agent04_Withdrawals!A140="","",Agent04_Withdrawals!G140)</f>
        <v/>
      </c>
      <c r="I735" s="37" t="str">
        <f>IF(Agent04_Withdrawals!A140="","",Agent04_Withdrawals!H140)</f>
        <v/>
      </c>
      <c r="J735" s="37" t="str">
        <f>IF(Agent04_Withdrawals!A140="","",Agent04_Withdrawals!J140)</f>
        <v/>
      </c>
      <c r="K735" s="37" t="str">
        <f>IF(Agent04_Withdrawals!A140="","",Agent04_Withdrawals!K140)</f>
        <v/>
      </c>
      <c r="L735" s="37" t="str">
        <f>IF(G735="","",IF(D735-G735&gt;=System_Config!$B$9,"✅ OK","⚠️ BREACH"))</f>
        <v/>
      </c>
      <c r="M735" s="37" t="str">
        <f>IFERROR(IF(Agent04_Withdrawals!A140="","",YEAR(Agent04_Withdrawals!D140)),"")</f>
        <v/>
      </c>
    </row>
    <row r="736" spans="1:13" ht="18" customHeight="1" x14ac:dyDescent="0.25">
      <c r="A736" s="37" t="str">
        <f>IF(Agent04_Withdrawals!A141="","",Agent04_Withdrawals!A141)</f>
        <v/>
      </c>
      <c r="B736" s="37" t="str">
        <f ca="1">IF(Agent04_Withdrawals!A141="","","WD"&amp;TEXT(736-3,"0000")&amp;"-"&amp;TEXT(TODAY(),"YYYYMMDD"))</f>
        <v/>
      </c>
      <c r="C736" s="37" t="str">
        <f>IF(Agent04_Withdrawals!A141="","",Agent04_Withdrawals!B141)</f>
        <v/>
      </c>
      <c r="D736" s="40" t="str">
        <f>IF(Agent04_Withdrawals!A141="","",Agent04_Withdrawals!C141)</f>
        <v/>
      </c>
      <c r="E736" s="38" t="str">
        <f>IF(Agent04_Withdrawals!A141="","",Agent04_Withdrawals!D141)</f>
        <v/>
      </c>
      <c r="F736" s="37" t="str">
        <f>IF(Agent04_Withdrawals!A141="","",Agent04_Withdrawals!F141)</f>
        <v/>
      </c>
      <c r="G736" s="39" t="str">
        <f>IF(Agent04_Withdrawals!A141="","",Agent04_Withdrawals!E141)</f>
        <v/>
      </c>
      <c r="H736" s="39" t="str">
        <f>IF(Agent04_Withdrawals!A141="","",Agent04_Withdrawals!G141)</f>
        <v/>
      </c>
      <c r="I736" s="37" t="str">
        <f>IF(Agent04_Withdrawals!A141="","",Agent04_Withdrawals!H141)</f>
        <v/>
      </c>
      <c r="J736" s="37" t="str">
        <f>IF(Agent04_Withdrawals!A141="","",Agent04_Withdrawals!J141)</f>
        <v/>
      </c>
      <c r="K736" s="37" t="str">
        <f>IF(Agent04_Withdrawals!A141="","",Agent04_Withdrawals!K141)</f>
        <v/>
      </c>
      <c r="L736" s="37" t="str">
        <f>IF(G736="","",IF(D736-G736&gt;=System_Config!$B$9,"✅ OK","⚠️ BREACH"))</f>
        <v/>
      </c>
      <c r="M736" s="37" t="str">
        <f>IFERROR(IF(Agent04_Withdrawals!A141="","",YEAR(Agent04_Withdrawals!D141)),"")</f>
        <v/>
      </c>
    </row>
    <row r="737" spans="1:13" ht="18" customHeight="1" x14ac:dyDescent="0.25">
      <c r="A737" s="37" t="str">
        <f>IF(Agent04_Withdrawals!A142="","",Agent04_Withdrawals!A142)</f>
        <v/>
      </c>
      <c r="B737" s="37" t="str">
        <f ca="1">IF(Agent04_Withdrawals!A142="","","WD"&amp;TEXT(737-3,"0000")&amp;"-"&amp;TEXT(TODAY(),"YYYYMMDD"))</f>
        <v/>
      </c>
      <c r="C737" s="37" t="str">
        <f>IF(Agent04_Withdrawals!A142="","",Agent04_Withdrawals!B142)</f>
        <v/>
      </c>
      <c r="D737" s="40" t="str">
        <f>IF(Agent04_Withdrawals!A142="","",Agent04_Withdrawals!C142)</f>
        <v/>
      </c>
      <c r="E737" s="38" t="str">
        <f>IF(Agent04_Withdrawals!A142="","",Agent04_Withdrawals!D142)</f>
        <v/>
      </c>
      <c r="F737" s="37" t="str">
        <f>IF(Agent04_Withdrawals!A142="","",Agent04_Withdrawals!F142)</f>
        <v/>
      </c>
      <c r="G737" s="39" t="str">
        <f>IF(Agent04_Withdrawals!A142="","",Agent04_Withdrawals!E142)</f>
        <v/>
      </c>
      <c r="H737" s="39" t="str">
        <f>IF(Agent04_Withdrawals!A142="","",Agent04_Withdrawals!G142)</f>
        <v/>
      </c>
      <c r="I737" s="37" t="str">
        <f>IF(Agent04_Withdrawals!A142="","",Agent04_Withdrawals!H142)</f>
        <v/>
      </c>
      <c r="J737" s="37" t="str">
        <f>IF(Agent04_Withdrawals!A142="","",Agent04_Withdrawals!J142)</f>
        <v/>
      </c>
      <c r="K737" s="37" t="str">
        <f>IF(Agent04_Withdrawals!A142="","",Agent04_Withdrawals!K142)</f>
        <v/>
      </c>
      <c r="L737" s="37" t="str">
        <f>IF(G737="","",IF(D737-G737&gt;=System_Config!$B$9,"✅ OK","⚠️ BREACH"))</f>
        <v/>
      </c>
      <c r="M737" s="37" t="str">
        <f>IFERROR(IF(Agent04_Withdrawals!A142="","",YEAR(Agent04_Withdrawals!D142)),"")</f>
        <v/>
      </c>
    </row>
    <row r="738" spans="1:13" ht="18" customHeight="1" x14ac:dyDescent="0.25">
      <c r="A738" s="37" t="str">
        <f>IF(Agent04_Withdrawals!A143="","",Agent04_Withdrawals!A143)</f>
        <v/>
      </c>
      <c r="B738" s="37" t="str">
        <f ca="1">IF(Agent04_Withdrawals!A143="","","WD"&amp;TEXT(738-3,"0000")&amp;"-"&amp;TEXT(TODAY(),"YYYYMMDD"))</f>
        <v/>
      </c>
      <c r="C738" s="37" t="str">
        <f>IF(Agent04_Withdrawals!A143="","",Agent04_Withdrawals!B143)</f>
        <v/>
      </c>
      <c r="D738" s="40" t="str">
        <f>IF(Agent04_Withdrawals!A143="","",Agent04_Withdrawals!C143)</f>
        <v/>
      </c>
      <c r="E738" s="38" t="str">
        <f>IF(Agent04_Withdrawals!A143="","",Agent04_Withdrawals!D143)</f>
        <v/>
      </c>
      <c r="F738" s="37" t="str">
        <f>IF(Agent04_Withdrawals!A143="","",Agent04_Withdrawals!F143)</f>
        <v/>
      </c>
      <c r="G738" s="39" t="str">
        <f>IF(Agent04_Withdrawals!A143="","",Agent04_Withdrawals!E143)</f>
        <v/>
      </c>
      <c r="H738" s="39" t="str">
        <f>IF(Agent04_Withdrawals!A143="","",Agent04_Withdrawals!G143)</f>
        <v/>
      </c>
      <c r="I738" s="37" t="str">
        <f>IF(Agent04_Withdrawals!A143="","",Agent04_Withdrawals!H143)</f>
        <v/>
      </c>
      <c r="J738" s="37" t="str">
        <f>IF(Agent04_Withdrawals!A143="","",Agent04_Withdrawals!J143)</f>
        <v/>
      </c>
      <c r="K738" s="37" t="str">
        <f>IF(Agent04_Withdrawals!A143="","",Agent04_Withdrawals!K143)</f>
        <v/>
      </c>
      <c r="L738" s="37" t="str">
        <f>IF(G738="","",IF(D738-G738&gt;=System_Config!$B$9,"✅ OK","⚠️ BREACH"))</f>
        <v/>
      </c>
      <c r="M738" s="37" t="str">
        <f>IFERROR(IF(Agent04_Withdrawals!A143="","",YEAR(Agent04_Withdrawals!D143)),"")</f>
        <v/>
      </c>
    </row>
    <row r="739" spans="1:13" ht="18" customHeight="1" x14ac:dyDescent="0.25">
      <c r="A739" s="37" t="str">
        <f>IF(Agent04_Withdrawals!A144="","",Agent04_Withdrawals!A144)</f>
        <v/>
      </c>
      <c r="B739" s="37" t="str">
        <f ca="1">IF(Agent04_Withdrawals!A144="","","WD"&amp;TEXT(739-3,"0000")&amp;"-"&amp;TEXT(TODAY(),"YYYYMMDD"))</f>
        <v/>
      </c>
      <c r="C739" s="37" t="str">
        <f>IF(Agent04_Withdrawals!A144="","",Agent04_Withdrawals!B144)</f>
        <v/>
      </c>
      <c r="D739" s="40" t="str">
        <f>IF(Agent04_Withdrawals!A144="","",Agent04_Withdrawals!C144)</f>
        <v/>
      </c>
      <c r="E739" s="38" t="str">
        <f>IF(Agent04_Withdrawals!A144="","",Agent04_Withdrawals!D144)</f>
        <v/>
      </c>
      <c r="F739" s="37" t="str">
        <f>IF(Agent04_Withdrawals!A144="","",Agent04_Withdrawals!F144)</f>
        <v/>
      </c>
      <c r="G739" s="39" t="str">
        <f>IF(Agent04_Withdrawals!A144="","",Agent04_Withdrawals!E144)</f>
        <v/>
      </c>
      <c r="H739" s="39" t="str">
        <f>IF(Agent04_Withdrawals!A144="","",Agent04_Withdrawals!G144)</f>
        <v/>
      </c>
      <c r="I739" s="37" t="str">
        <f>IF(Agent04_Withdrawals!A144="","",Agent04_Withdrawals!H144)</f>
        <v/>
      </c>
      <c r="J739" s="37" t="str">
        <f>IF(Agent04_Withdrawals!A144="","",Agent04_Withdrawals!J144)</f>
        <v/>
      </c>
      <c r="K739" s="37" t="str">
        <f>IF(Agent04_Withdrawals!A144="","",Agent04_Withdrawals!K144)</f>
        <v/>
      </c>
      <c r="L739" s="37" t="str">
        <f>IF(G739="","",IF(D739-G739&gt;=System_Config!$B$9,"✅ OK","⚠️ BREACH"))</f>
        <v/>
      </c>
      <c r="M739" s="37" t="str">
        <f>IFERROR(IF(Agent04_Withdrawals!A144="","",YEAR(Agent04_Withdrawals!D144)),"")</f>
        <v/>
      </c>
    </row>
    <row r="740" spans="1:13" ht="18" customHeight="1" x14ac:dyDescent="0.25">
      <c r="A740" s="37" t="str">
        <f>IF(Agent04_Withdrawals!A145="","",Agent04_Withdrawals!A145)</f>
        <v/>
      </c>
      <c r="B740" s="37" t="str">
        <f ca="1">IF(Agent04_Withdrawals!A145="","","WD"&amp;TEXT(740-3,"0000")&amp;"-"&amp;TEXT(TODAY(),"YYYYMMDD"))</f>
        <v/>
      </c>
      <c r="C740" s="37" t="str">
        <f>IF(Agent04_Withdrawals!A145="","",Agent04_Withdrawals!B145)</f>
        <v/>
      </c>
      <c r="D740" s="40" t="str">
        <f>IF(Agent04_Withdrawals!A145="","",Agent04_Withdrawals!C145)</f>
        <v/>
      </c>
      <c r="E740" s="38" t="str">
        <f>IF(Agent04_Withdrawals!A145="","",Agent04_Withdrawals!D145)</f>
        <v/>
      </c>
      <c r="F740" s="37" t="str">
        <f>IF(Agent04_Withdrawals!A145="","",Agent04_Withdrawals!F145)</f>
        <v/>
      </c>
      <c r="G740" s="39" t="str">
        <f>IF(Agent04_Withdrawals!A145="","",Agent04_Withdrawals!E145)</f>
        <v/>
      </c>
      <c r="H740" s="39" t="str">
        <f>IF(Agent04_Withdrawals!A145="","",Agent04_Withdrawals!G145)</f>
        <v/>
      </c>
      <c r="I740" s="37" t="str">
        <f>IF(Agent04_Withdrawals!A145="","",Agent04_Withdrawals!H145)</f>
        <v/>
      </c>
      <c r="J740" s="37" t="str">
        <f>IF(Agent04_Withdrawals!A145="","",Agent04_Withdrawals!J145)</f>
        <v/>
      </c>
      <c r="K740" s="37" t="str">
        <f>IF(Agent04_Withdrawals!A145="","",Agent04_Withdrawals!K145)</f>
        <v/>
      </c>
      <c r="L740" s="37" t="str">
        <f>IF(G740="","",IF(D740-G740&gt;=System_Config!$B$9,"✅ OK","⚠️ BREACH"))</f>
        <v/>
      </c>
      <c r="M740" s="37" t="str">
        <f>IFERROR(IF(Agent04_Withdrawals!A145="","",YEAR(Agent04_Withdrawals!D145)),"")</f>
        <v/>
      </c>
    </row>
    <row r="741" spans="1:13" ht="18" customHeight="1" x14ac:dyDescent="0.25">
      <c r="A741" s="37" t="str">
        <f>IF(Agent04_Withdrawals!A146="","",Agent04_Withdrawals!A146)</f>
        <v/>
      </c>
      <c r="B741" s="37" t="str">
        <f ca="1">IF(Agent04_Withdrawals!A146="","","WD"&amp;TEXT(741-3,"0000")&amp;"-"&amp;TEXT(TODAY(),"YYYYMMDD"))</f>
        <v/>
      </c>
      <c r="C741" s="37" t="str">
        <f>IF(Agent04_Withdrawals!A146="","",Agent04_Withdrawals!B146)</f>
        <v/>
      </c>
      <c r="D741" s="40" t="str">
        <f>IF(Agent04_Withdrawals!A146="","",Agent04_Withdrawals!C146)</f>
        <v/>
      </c>
      <c r="E741" s="38" t="str">
        <f>IF(Agent04_Withdrawals!A146="","",Agent04_Withdrawals!D146)</f>
        <v/>
      </c>
      <c r="F741" s="37" t="str">
        <f>IF(Agent04_Withdrawals!A146="","",Agent04_Withdrawals!F146)</f>
        <v/>
      </c>
      <c r="G741" s="39" t="str">
        <f>IF(Agent04_Withdrawals!A146="","",Agent04_Withdrawals!E146)</f>
        <v/>
      </c>
      <c r="H741" s="39" t="str">
        <f>IF(Agent04_Withdrawals!A146="","",Agent04_Withdrawals!G146)</f>
        <v/>
      </c>
      <c r="I741" s="37" t="str">
        <f>IF(Agent04_Withdrawals!A146="","",Agent04_Withdrawals!H146)</f>
        <v/>
      </c>
      <c r="J741" s="37" t="str">
        <f>IF(Agent04_Withdrawals!A146="","",Agent04_Withdrawals!J146)</f>
        <v/>
      </c>
      <c r="K741" s="37" t="str">
        <f>IF(Agent04_Withdrawals!A146="","",Agent04_Withdrawals!K146)</f>
        <v/>
      </c>
      <c r="L741" s="37" t="str">
        <f>IF(G741="","",IF(D741-G741&gt;=System_Config!$B$9,"✅ OK","⚠️ BREACH"))</f>
        <v/>
      </c>
      <c r="M741" s="37" t="str">
        <f>IFERROR(IF(Agent04_Withdrawals!A146="","",YEAR(Agent04_Withdrawals!D146)),"")</f>
        <v/>
      </c>
    </row>
    <row r="742" spans="1:13" ht="18" customHeight="1" x14ac:dyDescent="0.25">
      <c r="A742" s="37" t="str">
        <f>IF(Agent04_Withdrawals!A147="","",Agent04_Withdrawals!A147)</f>
        <v/>
      </c>
      <c r="B742" s="37" t="str">
        <f ca="1">IF(Agent04_Withdrawals!A147="","","WD"&amp;TEXT(742-3,"0000")&amp;"-"&amp;TEXT(TODAY(),"YYYYMMDD"))</f>
        <v/>
      </c>
      <c r="C742" s="37" t="str">
        <f>IF(Agent04_Withdrawals!A147="","",Agent04_Withdrawals!B147)</f>
        <v/>
      </c>
      <c r="D742" s="40" t="str">
        <f>IF(Agent04_Withdrawals!A147="","",Agent04_Withdrawals!C147)</f>
        <v/>
      </c>
      <c r="E742" s="38" t="str">
        <f>IF(Agent04_Withdrawals!A147="","",Agent04_Withdrawals!D147)</f>
        <v/>
      </c>
      <c r="F742" s="37" t="str">
        <f>IF(Agent04_Withdrawals!A147="","",Agent04_Withdrawals!F147)</f>
        <v/>
      </c>
      <c r="G742" s="39" t="str">
        <f>IF(Agent04_Withdrawals!A147="","",Agent04_Withdrawals!E147)</f>
        <v/>
      </c>
      <c r="H742" s="39" t="str">
        <f>IF(Agent04_Withdrawals!A147="","",Agent04_Withdrawals!G147)</f>
        <v/>
      </c>
      <c r="I742" s="37" t="str">
        <f>IF(Agent04_Withdrawals!A147="","",Agent04_Withdrawals!H147)</f>
        <v/>
      </c>
      <c r="J742" s="37" t="str">
        <f>IF(Agent04_Withdrawals!A147="","",Agent04_Withdrawals!J147)</f>
        <v/>
      </c>
      <c r="K742" s="37" t="str">
        <f>IF(Agent04_Withdrawals!A147="","",Agent04_Withdrawals!K147)</f>
        <v/>
      </c>
      <c r="L742" s="37" t="str">
        <f>IF(G742="","",IF(D742-G742&gt;=System_Config!$B$9,"✅ OK","⚠️ BREACH"))</f>
        <v/>
      </c>
      <c r="M742" s="37" t="str">
        <f>IFERROR(IF(Agent04_Withdrawals!A147="","",YEAR(Agent04_Withdrawals!D147)),"")</f>
        <v/>
      </c>
    </row>
    <row r="743" spans="1:13" ht="18" customHeight="1" x14ac:dyDescent="0.25">
      <c r="A743" s="37" t="str">
        <f>IF(Agent04_Withdrawals!A148="","",Agent04_Withdrawals!A148)</f>
        <v/>
      </c>
      <c r="B743" s="37" t="str">
        <f ca="1">IF(Agent04_Withdrawals!A148="","","WD"&amp;TEXT(743-3,"0000")&amp;"-"&amp;TEXT(TODAY(),"YYYYMMDD"))</f>
        <v/>
      </c>
      <c r="C743" s="37" t="str">
        <f>IF(Agent04_Withdrawals!A148="","",Agent04_Withdrawals!B148)</f>
        <v/>
      </c>
      <c r="D743" s="40" t="str">
        <f>IF(Agent04_Withdrawals!A148="","",Agent04_Withdrawals!C148)</f>
        <v/>
      </c>
      <c r="E743" s="38" t="str">
        <f>IF(Agent04_Withdrawals!A148="","",Agent04_Withdrawals!D148)</f>
        <v/>
      </c>
      <c r="F743" s="37" t="str">
        <f>IF(Agent04_Withdrawals!A148="","",Agent04_Withdrawals!F148)</f>
        <v/>
      </c>
      <c r="G743" s="39" t="str">
        <f>IF(Agent04_Withdrawals!A148="","",Agent04_Withdrawals!E148)</f>
        <v/>
      </c>
      <c r="H743" s="39" t="str">
        <f>IF(Agent04_Withdrawals!A148="","",Agent04_Withdrawals!G148)</f>
        <v/>
      </c>
      <c r="I743" s="37" t="str">
        <f>IF(Agent04_Withdrawals!A148="","",Agent04_Withdrawals!H148)</f>
        <v/>
      </c>
      <c r="J743" s="37" t="str">
        <f>IF(Agent04_Withdrawals!A148="","",Agent04_Withdrawals!J148)</f>
        <v/>
      </c>
      <c r="K743" s="37" t="str">
        <f>IF(Agent04_Withdrawals!A148="","",Agent04_Withdrawals!K148)</f>
        <v/>
      </c>
      <c r="L743" s="37" t="str">
        <f>IF(G743="","",IF(D743-G743&gt;=System_Config!$B$9,"✅ OK","⚠️ BREACH"))</f>
        <v/>
      </c>
      <c r="M743" s="37" t="str">
        <f>IFERROR(IF(Agent04_Withdrawals!A148="","",YEAR(Agent04_Withdrawals!D148)),"")</f>
        <v/>
      </c>
    </row>
    <row r="744" spans="1:13" ht="18" customHeight="1" x14ac:dyDescent="0.25">
      <c r="A744" s="37" t="str">
        <f>IF(Agent04_Withdrawals!A149="","",Agent04_Withdrawals!A149)</f>
        <v/>
      </c>
      <c r="B744" s="37" t="str">
        <f ca="1">IF(Agent04_Withdrawals!A149="","","WD"&amp;TEXT(744-3,"0000")&amp;"-"&amp;TEXT(TODAY(),"YYYYMMDD"))</f>
        <v/>
      </c>
      <c r="C744" s="37" t="str">
        <f>IF(Agent04_Withdrawals!A149="","",Agent04_Withdrawals!B149)</f>
        <v/>
      </c>
      <c r="D744" s="40" t="str">
        <f>IF(Agent04_Withdrawals!A149="","",Agent04_Withdrawals!C149)</f>
        <v/>
      </c>
      <c r="E744" s="38" t="str">
        <f>IF(Agent04_Withdrawals!A149="","",Agent04_Withdrawals!D149)</f>
        <v/>
      </c>
      <c r="F744" s="37" t="str">
        <f>IF(Agent04_Withdrawals!A149="","",Agent04_Withdrawals!F149)</f>
        <v/>
      </c>
      <c r="G744" s="39" t="str">
        <f>IF(Agent04_Withdrawals!A149="","",Agent04_Withdrawals!E149)</f>
        <v/>
      </c>
      <c r="H744" s="39" t="str">
        <f>IF(Agent04_Withdrawals!A149="","",Agent04_Withdrawals!G149)</f>
        <v/>
      </c>
      <c r="I744" s="37" t="str">
        <f>IF(Agent04_Withdrawals!A149="","",Agent04_Withdrawals!H149)</f>
        <v/>
      </c>
      <c r="J744" s="37" t="str">
        <f>IF(Agent04_Withdrawals!A149="","",Agent04_Withdrawals!J149)</f>
        <v/>
      </c>
      <c r="K744" s="37" t="str">
        <f>IF(Agent04_Withdrawals!A149="","",Agent04_Withdrawals!K149)</f>
        <v/>
      </c>
      <c r="L744" s="37" t="str">
        <f>IF(G744="","",IF(D744-G744&gt;=System_Config!$B$9,"✅ OK","⚠️ BREACH"))</f>
        <v/>
      </c>
      <c r="M744" s="37" t="str">
        <f>IFERROR(IF(Agent04_Withdrawals!A149="","",YEAR(Agent04_Withdrawals!D149)),"")</f>
        <v/>
      </c>
    </row>
    <row r="745" spans="1:13" ht="18" customHeight="1" x14ac:dyDescent="0.25">
      <c r="A745" s="37" t="str">
        <f>IF(Agent04_Withdrawals!A150="","",Agent04_Withdrawals!A150)</f>
        <v/>
      </c>
      <c r="B745" s="37" t="str">
        <f ca="1">IF(Agent04_Withdrawals!A150="","","WD"&amp;TEXT(745-3,"0000")&amp;"-"&amp;TEXT(TODAY(),"YYYYMMDD"))</f>
        <v/>
      </c>
      <c r="C745" s="37" t="str">
        <f>IF(Agent04_Withdrawals!A150="","",Agent04_Withdrawals!B150)</f>
        <v/>
      </c>
      <c r="D745" s="40" t="str">
        <f>IF(Agent04_Withdrawals!A150="","",Agent04_Withdrawals!C150)</f>
        <v/>
      </c>
      <c r="E745" s="38" t="str">
        <f>IF(Agent04_Withdrawals!A150="","",Agent04_Withdrawals!D150)</f>
        <v/>
      </c>
      <c r="F745" s="37" t="str">
        <f>IF(Agent04_Withdrawals!A150="","",Agent04_Withdrawals!F150)</f>
        <v/>
      </c>
      <c r="G745" s="39" t="str">
        <f>IF(Agent04_Withdrawals!A150="","",Agent04_Withdrawals!E150)</f>
        <v/>
      </c>
      <c r="H745" s="39" t="str">
        <f>IF(Agent04_Withdrawals!A150="","",Agent04_Withdrawals!G150)</f>
        <v/>
      </c>
      <c r="I745" s="37" t="str">
        <f>IF(Agent04_Withdrawals!A150="","",Agent04_Withdrawals!H150)</f>
        <v/>
      </c>
      <c r="J745" s="37" t="str">
        <f>IF(Agent04_Withdrawals!A150="","",Agent04_Withdrawals!J150)</f>
        <v/>
      </c>
      <c r="K745" s="37" t="str">
        <f>IF(Agent04_Withdrawals!A150="","",Agent04_Withdrawals!K150)</f>
        <v/>
      </c>
      <c r="L745" s="37" t="str">
        <f>IF(G745="","",IF(D745-G745&gt;=System_Config!$B$9,"✅ OK","⚠️ BREACH"))</f>
        <v/>
      </c>
      <c r="M745" s="37" t="str">
        <f>IFERROR(IF(Agent04_Withdrawals!A150="","",YEAR(Agent04_Withdrawals!D150)),"")</f>
        <v/>
      </c>
    </row>
    <row r="746" spans="1:13" ht="18" customHeight="1" x14ac:dyDescent="0.25">
      <c r="A746" s="37" t="str">
        <f>IF(Agent04_Withdrawals!A151="","",Agent04_Withdrawals!A151)</f>
        <v/>
      </c>
      <c r="B746" s="37" t="str">
        <f ca="1">IF(Agent04_Withdrawals!A151="","","WD"&amp;TEXT(746-3,"0000")&amp;"-"&amp;TEXT(TODAY(),"YYYYMMDD"))</f>
        <v/>
      </c>
      <c r="C746" s="37" t="str">
        <f>IF(Agent04_Withdrawals!A151="","",Agent04_Withdrawals!B151)</f>
        <v/>
      </c>
      <c r="D746" s="40" t="str">
        <f>IF(Agent04_Withdrawals!A151="","",Agent04_Withdrawals!C151)</f>
        <v/>
      </c>
      <c r="E746" s="38" t="str">
        <f>IF(Agent04_Withdrawals!A151="","",Agent04_Withdrawals!D151)</f>
        <v/>
      </c>
      <c r="F746" s="37" t="str">
        <f>IF(Agent04_Withdrawals!A151="","",Agent04_Withdrawals!F151)</f>
        <v/>
      </c>
      <c r="G746" s="39" t="str">
        <f>IF(Agent04_Withdrawals!A151="","",Agent04_Withdrawals!E151)</f>
        <v/>
      </c>
      <c r="H746" s="39" t="str">
        <f>IF(Agent04_Withdrawals!A151="","",Agent04_Withdrawals!G151)</f>
        <v/>
      </c>
      <c r="I746" s="37" t="str">
        <f>IF(Agent04_Withdrawals!A151="","",Agent04_Withdrawals!H151)</f>
        <v/>
      </c>
      <c r="J746" s="37" t="str">
        <f>IF(Agent04_Withdrawals!A151="","",Agent04_Withdrawals!J151)</f>
        <v/>
      </c>
      <c r="K746" s="37" t="str">
        <f>IF(Agent04_Withdrawals!A151="","",Agent04_Withdrawals!K151)</f>
        <v/>
      </c>
      <c r="L746" s="37" t="str">
        <f>IF(G746="","",IF(D746-G746&gt;=System_Config!$B$9,"✅ OK","⚠️ BREACH"))</f>
        <v/>
      </c>
      <c r="M746" s="37" t="str">
        <f>IFERROR(IF(Agent04_Withdrawals!A151="","",YEAR(Agent04_Withdrawals!D151)),"")</f>
        <v/>
      </c>
    </row>
    <row r="747" spans="1:13" ht="18" customHeight="1" x14ac:dyDescent="0.25">
      <c r="A747" s="37" t="str">
        <f>IF(Agent04_Withdrawals!A152="","",Agent04_Withdrawals!A152)</f>
        <v/>
      </c>
      <c r="B747" s="37" t="str">
        <f ca="1">IF(Agent04_Withdrawals!A152="","","WD"&amp;TEXT(747-3,"0000")&amp;"-"&amp;TEXT(TODAY(),"YYYYMMDD"))</f>
        <v/>
      </c>
      <c r="C747" s="37" t="str">
        <f>IF(Agent04_Withdrawals!A152="","",Agent04_Withdrawals!B152)</f>
        <v/>
      </c>
      <c r="D747" s="40" t="str">
        <f>IF(Agent04_Withdrawals!A152="","",Agent04_Withdrawals!C152)</f>
        <v/>
      </c>
      <c r="E747" s="38" t="str">
        <f>IF(Agent04_Withdrawals!A152="","",Agent04_Withdrawals!D152)</f>
        <v/>
      </c>
      <c r="F747" s="37" t="str">
        <f>IF(Agent04_Withdrawals!A152="","",Agent04_Withdrawals!F152)</f>
        <v/>
      </c>
      <c r="G747" s="39" t="str">
        <f>IF(Agent04_Withdrawals!A152="","",Agent04_Withdrawals!E152)</f>
        <v/>
      </c>
      <c r="H747" s="39" t="str">
        <f>IF(Agent04_Withdrawals!A152="","",Agent04_Withdrawals!G152)</f>
        <v/>
      </c>
      <c r="I747" s="37" t="str">
        <f>IF(Agent04_Withdrawals!A152="","",Agent04_Withdrawals!H152)</f>
        <v/>
      </c>
      <c r="J747" s="37" t="str">
        <f>IF(Agent04_Withdrawals!A152="","",Agent04_Withdrawals!J152)</f>
        <v/>
      </c>
      <c r="K747" s="37" t="str">
        <f>IF(Agent04_Withdrawals!A152="","",Agent04_Withdrawals!K152)</f>
        <v/>
      </c>
      <c r="L747" s="37" t="str">
        <f>IF(G747="","",IF(D747-G747&gt;=System_Config!$B$9,"✅ OK","⚠️ BREACH"))</f>
        <v/>
      </c>
      <c r="M747" s="37" t="str">
        <f>IFERROR(IF(Agent04_Withdrawals!A152="","",YEAR(Agent04_Withdrawals!D152)),"")</f>
        <v/>
      </c>
    </row>
    <row r="748" spans="1:13" ht="18" customHeight="1" x14ac:dyDescent="0.25">
      <c r="A748" s="37" t="str">
        <f>IF(Agent04_Withdrawals!A153="","",Agent04_Withdrawals!A153)</f>
        <v/>
      </c>
      <c r="B748" s="37" t="str">
        <f ca="1">IF(Agent04_Withdrawals!A153="","","WD"&amp;TEXT(748-3,"0000")&amp;"-"&amp;TEXT(TODAY(),"YYYYMMDD"))</f>
        <v/>
      </c>
      <c r="C748" s="37" t="str">
        <f>IF(Agent04_Withdrawals!A153="","",Agent04_Withdrawals!B153)</f>
        <v/>
      </c>
      <c r="D748" s="40" t="str">
        <f>IF(Agent04_Withdrawals!A153="","",Agent04_Withdrawals!C153)</f>
        <v/>
      </c>
      <c r="E748" s="38" t="str">
        <f>IF(Agent04_Withdrawals!A153="","",Agent04_Withdrawals!D153)</f>
        <v/>
      </c>
      <c r="F748" s="37" t="str">
        <f>IF(Agent04_Withdrawals!A153="","",Agent04_Withdrawals!F153)</f>
        <v/>
      </c>
      <c r="G748" s="39" t="str">
        <f>IF(Agent04_Withdrawals!A153="","",Agent04_Withdrawals!E153)</f>
        <v/>
      </c>
      <c r="H748" s="39" t="str">
        <f>IF(Agent04_Withdrawals!A153="","",Agent04_Withdrawals!G153)</f>
        <v/>
      </c>
      <c r="I748" s="37" t="str">
        <f>IF(Agent04_Withdrawals!A153="","",Agent04_Withdrawals!H153)</f>
        <v/>
      </c>
      <c r="J748" s="37" t="str">
        <f>IF(Agent04_Withdrawals!A153="","",Agent04_Withdrawals!J153)</f>
        <v/>
      </c>
      <c r="K748" s="37" t="str">
        <f>IF(Agent04_Withdrawals!A153="","",Agent04_Withdrawals!K153)</f>
        <v/>
      </c>
      <c r="L748" s="37" t="str">
        <f>IF(G748="","",IF(D748-G748&gt;=System_Config!$B$9,"✅ OK","⚠️ BREACH"))</f>
        <v/>
      </c>
      <c r="M748" s="37" t="str">
        <f>IFERROR(IF(Agent04_Withdrawals!A153="","",YEAR(Agent04_Withdrawals!D153)),"")</f>
        <v/>
      </c>
    </row>
    <row r="749" spans="1:13" ht="18" customHeight="1" x14ac:dyDescent="0.25">
      <c r="A749" s="37" t="str">
        <f>IF(Agent04_Withdrawals!A154="","",Agent04_Withdrawals!A154)</f>
        <v/>
      </c>
      <c r="B749" s="37" t="str">
        <f ca="1">IF(Agent04_Withdrawals!A154="","","WD"&amp;TEXT(749-3,"0000")&amp;"-"&amp;TEXT(TODAY(),"YYYYMMDD"))</f>
        <v/>
      </c>
      <c r="C749" s="37" t="str">
        <f>IF(Agent04_Withdrawals!A154="","",Agent04_Withdrawals!B154)</f>
        <v/>
      </c>
      <c r="D749" s="40" t="str">
        <f>IF(Agent04_Withdrawals!A154="","",Agent04_Withdrawals!C154)</f>
        <v/>
      </c>
      <c r="E749" s="38" t="str">
        <f>IF(Agent04_Withdrawals!A154="","",Agent04_Withdrawals!D154)</f>
        <v/>
      </c>
      <c r="F749" s="37" t="str">
        <f>IF(Agent04_Withdrawals!A154="","",Agent04_Withdrawals!F154)</f>
        <v/>
      </c>
      <c r="G749" s="39" t="str">
        <f>IF(Agent04_Withdrawals!A154="","",Agent04_Withdrawals!E154)</f>
        <v/>
      </c>
      <c r="H749" s="39" t="str">
        <f>IF(Agent04_Withdrawals!A154="","",Agent04_Withdrawals!G154)</f>
        <v/>
      </c>
      <c r="I749" s="37" t="str">
        <f>IF(Agent04_Withdrawals!A154="","",Agent04_Withdrawals!H154)</f>
        <v/>
      </c>
      <c r="J749" s="37" t="str">
        <f>IF(Agent04_Withdrawals!A154="","",Agent04_Withdrawals!J154)</f>
        <v/>
      </c>
      <c r="K749" s="37" t="str">
        <f>IF(Agent04_Withdrawals!A154="","",Agent04_Withdrawals!K154)</f>
        <v/>
      </c>
      <c r="L749" s="37" t="str">
        <f>IF(G749="","",IF(D749-G749&gt;=System_Config!$B$9,"✅ OK","⚠️ BREACH"))</f>
        <v/>
      </c>
      <c r="M749" s="37" t="str">
        <f>IFERROR(IF(Agent04_Withdrawals!A154="","",YEAR(Agent04_Withdrawals!D154)),"")</f>
        <v/>
      </c>
    </row>
    <row r="750" spans="1:13" ht="18" customHeight="1" x14ac:dyDescent="0.25">
      <c r="A750" s="37" t="str">
        <f>IF(Agent04_Withdrawals!A155="","",Agent04_Withdrawals!A155)</f>
        <v/>
      </c>
      <c r="B750" s="37" t="str">
        <f ca="1">IF(Agent04_Withdrawals!A155="","","WD"&amp;TEXT(750-3,"0000")&amp;"-"&amp;TEXT(TODAY(),"YYYYMMDD"))</f>
        <v/>
      </c>
      <c r="C750" s="37" t="str">
        <f>IF(Agent04_Withdrawals!A155="","",Agent04_Withdrawals!B155)</f>
        <v/>
      </c>
      <c r="D750" s="40" t="str">
        <f>IF(Agent04_Withdrawals!A155="","",Agent04_Withdrawals!C155)</f>
        <v/>
      </c>
      <c r="E750" s="38" t="str">
        <f>IF(Agent04_Withdrawals!A155="","",Agent04_Withdrawals!D155)</f>
        <v/>
      </c>
      <c r="F750" s="37" t="str">
        <f>IF(Agent04_Withdrawals!A155="","",Agent04_Withdrawals!F155)</f>
        <v/>
      </c>
      <c r="G750" s="39" t="str">
        <f>IF(Agent04_Withdrawals!A155="","",Agent04_Withdrawals!E155)</f>
        <v/>
      </c>
      <c r="H750" s="39" t="str">
        <f>IF(Agent04_Withdrawals!A155="","",Agent04_Withdrawals!G155)</f>
        <v/>
      </c>
      <c r="I750" s="37" t="str">
        <f>IF(Agent04_Withdrawals!A155="","",Agent04_Withdrawals!H155)</f>
        <v/>
      </c>
      <c r="J750" s="37" t="str">
        <f>IF(Agent04_Withdrawals!A155="","",Agent04_Withdrawals!J155)</f>
        <v/>
      </c>
      <c r="K750" s="37" t="str">
        <f>IF(Agent04_Withdrawals!A155="","",Agent04_Withdrawals!K155)</f>
        <v/>
      </c>
      <c r="L750" s="37" t="str">
        <f>IF(G750="","",IF(D750-G750&gt;=System_Config!$B$9,"✅ OK","⚠️ BREACH"))</f>
        <v/>
      </c>
      <c r="M750" s="37" t="str">
        <f>IFERROR(IF(Agent04_Withdrawals!A155="","",YEAR(Agent04_Withdrawals!D155)),"")</f>
        <v/>
      </c>
    </row>
    <row r="751" spans="1:13" ht="18" customHeight="1" x14ac:dyDescent="0.25">
      <c r="A751" s="37" t="str">
        <f>IF(Agent04_Withdrawals!A156="","",Agent04_Withdrawals!A156)</f>
        <v/>
      </c>
      <c r="B751" s="37" t="str">
        <f ca="1">IF(Agent04_Withdrawals!A156="","","WD"&amp;TEXT(751-3,"0000")&amp;"-"&amp;TEXT(TODAY(),"YYYYMMDD"))</f>
        <v/>
      </c>
      <c r="C751" s="37" t="str">
        <f>IF(Agent04_Withdrawals!A156="","",Agent04_Withdrawals!B156)</f>
        <v/>
      </c>
      <c r="D751" s="40" t="str">
        <f>IF(Agent04_Withdrawals!A156="","",Agent04_Withdrawals!C156)</f>
        <v/>
      </c>
      <c r="E751" s="38" t="str">
        <f>IF(Agent04_Withdrawals!A156="","",Agent04_Withdrawals!D156)</f>
        <v/>
      </c>
      <c r="F751" s="37" t="str">
        <f>IF(Agent04_Withdrawals!A156="","",Agent04_Withdrawals!F156)</f>
        <v/>
      </c>
      <c r="G751" s="39" t="str">
        <f>IF(Agent04_Withdrawals!A156="","",Agent04_Withdrawals!E156)</f>
        <v/>
      </c>
      <c r="H751" s="39" t="str">
        <f>IF(Agent04_Withdrawals!A156="","",Agent04_Withdrawals!G156)</f>
        <v/>
      </c>
      <c r="I751" s="37" t="str">
        <f>IF(Agent04_Withdrawals!A156="","",Agent04_Withdrawals!H156)</f>
        <v/>
      </c>
      <c r="J751" s="37" t="str">
        <f>IF(Agent04_Withdrawals!A156="","",Agent04_Withdrawals!J156)</f>
        <v/>
      </c>
      <c r="K751" s="37" t="str">
        <f>IF(Agent04_Withdrawals!A156="","",Agent04_Withdrawals!K156)</f>
        <v/>
      </c>
      <c r="L751" s="37" t="str">
        <f>IF(G751="","",IF(D751-G751&gt;=System_Config!$B$9,"✅ OK","⚠️ BREACH"))</f>
        <v/>
      </c>
      <c r="M751" s="37" t="str">
        <f>IFERROR(IF(Agent04_Withdrawals!A156="","",YEAR(Agent04_Withdrawals!D156)),"")</f>
        <v/>
      </c>
    </row>
    <row r="752" spans="1:13" ht="18" customHeight="1" x14ac:dyDescent="0.25">
      <c r="A752" s="37" t="str">
        <f>IF(Agent04_Withdrawals!A157="","",Agent04_Withdrawals!A157)</f>
        <v/>
      </c>
      <c r="B752" s="37" t="str">
        <f ca="1">IF(Agent04_Withdrawals!A157="","","WD"&amp;TEXT(752-3,"0000")&amp;"-"&amp;TEXT(TODAY(),"YYYYMMDD"))</f>
        <v/>
      </c>
      <c r="C752" s="37" t="str">
        <f>IF(Agent04_Withdrawals!A157="","",Agent04_Withdrawals!B157)</f>
        <v/>
      </c>
      <c r="D752" s="40" t="str">
        <f>IF(Agent04_Withdrawals!A157="","",Agent04_Withdrawals!C157)</f>
        <v/>
      </c>
      <c r="E752" s="38" t="str">
        <f>IF(Agent04_Withdrawals!A157="","",Agent04_Withdrawals!D157)</f>
        <v/>
      </c>
      <c r="F752" s="37" t="str">
        <f>IF(Agent04_Withdrawals!A157="","",Agent04_Withdrawals!F157)</f>
        <v/>
      </c>
      <c r="G752" s="39" t="str">
        <f>IF(Agent04_Withdrawals!A157="","",Agent04_Withdrawals!E157)</f>
        <v/>
      </c>
      <c r="H752" s="39" t="str">
        <f>IF(Agent04_Withdrawals!A157="","",Agent04_Withdrawals!G157)</f>
        <v/>
      </c>
      <c r="I752" s="37" t="str">
        <f>IF(Agent04_Withdrawals!A157="","",Agent04_Withdrawals!H157)</f>
        <v/>
      </c>
      <c r="J752" s="37" t="str">
        <f>IF(Agent04_Withdrawals!A157="","",Agent04_Withdrawals!J157)</f>
        <v/>
      </c>
      <c r="K752" s="37" t="str">
        <f>IF(Agent04_Withdrawals!A157="","",Agent04_Withdrawals!K157)</f>
        <v/>
      </c>
      <c r="L752" s="37" t="str">
        <f>IF(G752="","",IF(D752-G752&gt;=System_Config!$B$9,"✅ OK","⚠️ BREACH"))</f>
        <v/>
      </c>
      <c r="M752" s="37" t="str">
        <f>IFERROR(IF(Agent04_Withdrawals!A157="","",YEAR(Agent04_Withdrawals!D157)),"")</f>
        <v/>
      </c>
    </row>
    <row r="753" spans="1:13" ht="18" customHeight="1" x14ac:dyDescent="0.25">
      <c r="A753" s="37" t="str">
        <f>IF(Agent04_Withdrawals!A158="","",Agent04_Withdrawals!A158)</f>
        <v/>
      </c>
      <c r="B753" s="37" t="str">
        <f ca="1">IF(Agent04_Withdrawals!A158="","","WD"&amp;TEXT(753-3,"0000")&amp;"-"&amp;TEXT(TODAY(),"YYYYMMDD"))</f>
        <v/>
      </c>
      <c r="C753" s="37" t="str">
        <f>IF(Agent04_Withdrawals!A158="","",Agent04_Withdrawals!B158)</f>
        <v/>
      </c>
      <c r="D753" s="40" t="str">
        <f>IF(Agent04_Withdrawals!A158="","",Agent04_Withdrawals!C158)</f>
        <v/>
      </c>
      <c r="E753" s="38" t="str">
        <f>IF(Agent04_Withdrawals!A158="","",Agent04_Withdrawals!D158)</f>
        <v/>
      </c>
      <c r="F753" s="37" t="str">
        <f>IF(Agent04_Withdrawals!A158="","",Agent04_Withdrawals!F158)</f>
        <v/>
      </c>
      <c r="G753" s="39" t="str">
        <f>IF(Agent04_Withdrawals!A158="","",Agent04_Withdrawals!E158)</f>
        <v/>
      </c>
      <c r="H753" s="39" t="str">
        <f>IF(Agent04_Withdrawals!A158="","",Agent04_Withdrawals!G158)</f>
        <v/>
      </c>
      <c r="I753" s="37" t="str">
        <f>IF(Agent04_Withdrawals!A158="","",Agent04_Withdrawals!H158)</f>
        <v/>
      </c>
      <c r="J753" s="37" t="str">
        <f>IF(Agent04_Withdrawals!A158="","",Agent04_Withdrawals!J158)</f>
        <v/>
      </c>
      <c r="K753" s="37" t="str">
        <f>IF(Agent04_Withdrawals!A158="","",Agent04_Withdrawals!K158)</f>
        <v/>
      </c>
      <c r="L753" s="37" t="str">
        <f>IF(G753="","",IF(D753-G753&gt;=System_Config!$B$9,"✅ OK","⚠️ BREACH"))</f>
        <v/>
      </c>
      <c r="M753" s="37" t="str">
        <f>IFERROR(IF(Agent04_Withdrawals!A158="","",YEAR(Agent04_Withdrawals!D158)),"")</f>
        <v/>
      </c>
    </row>
    <row r="754" spans="1:13" ht="18" customHeight="1" x14ac:dyDescent="0.25">
      <c r="A754" s="37" t="str">
        <f>IF(Agent04_Withdrawals!A159="","",Agent04_Withdrawals!A159)</f>
        <v/>
      </c>
      <c r="B754" s="37" t="str">
        <f ca="1">IF(Agent04_Withdrawals!A159="","","WD"&amp;TEXT(754-3,"0000")&amp;"-"&amp;TEXT(TODAY(),"YYYYMMDD"))</f>
        <v/>
      </c>
      <c r="C754" s="37" t="str">
        <f>IF(Agent04_Withdrawals!A159="","",Agent04_Withdrawals!B159)</f>
        <v/>
      </c>
      <c r="D754" s="40" t="str">
        <f>IF(Agent04_Withdrawals!A159="","",Agent04_Withdrawals!C159)</f>
        <v/>
      </c>
      <c r="E754" s="38" t="str">
        <f>IF(Agent04_Withdrawals!A159="","",Agent04_Withdrawals!D159)</f>
        <v/>
      </c>
      <c r="F754" s="37" t="str">
        <f>IF(Agent04_Withdrawals!A159="","",Agent04_Withdrawals!F159)</f>
        <v/>
      </c>
      <c r="G754" s="39" t="str">
        <f>IF(Agent04_Withdrawals!A159="","",Agent04_Withdrawals!E159)</f>
        <v/>
      </c>
      <c r="H754" s="39" t="str">
        <f>IF(Agent04_Withdrawals!A159="","",Agent04_Withdrawals!G159)</f>
        <v/>
      </c>
      <c r="I754" s="37" t="str">
        <f>IF(Agent04_Withdrawals!A159="","",Agent04_Withdrawals!H159)</f>
        <v/>
      </c>
      <c r="J754" s="37" t="str">
        <f>IF(Agent04_Withdrawals!A159="","",Agent04_Withdrawals!J159)</f>
        <v/>
      </c>
      <c r="K754" s="37" t="str">
        <f>IF(Agent04_Withdrawals!A159="","",Agent04_Withdrawals!K159)</f>
        <v/>
      </c>
      <c r="L754" s="37" t="str">
        <f>IF(G754="","",IF(D754-G754&gt;=System_Config!$B$9,"✅ OK","⚠️ BREACH"))</f>
        <v/>
      </c>
      <c r="M754" s="37" t="str">
        <f>IFERROR(IF(Agent04_Withdrawals!A159="","",YEAR(Agent04_Withdrawals!D159)),"")</f>
        <v/>
      </c>
    </row>
    <row r="755" spans="1:13" ht="18" customHeight="1" x14ac:dyDescent="0.25">
      <c r="A755" s="37" t="str">
        <f>IF(Agent04_Withdrawals!A160="","",Agent04_Withdrawals!A160)</f>
        <v/>
      </c>
      <c r="B755" s="37" t="str">
        <f ca="1">IF(Agent04_Withdrawals!A160="","","WD"&amp;TEXT(755-3,"0000")&amp;"-"&amp;TEXT(TODAY(),"YYYYMMDD"))</f>
        <v/>
      </c>
      <c r="C755" s="37" t="str">
        <f>IF(Agent04_Withdrawals!A160="","",Agent04_Withdrawals!B160)</f>
        <v/>
      </c>
      <c r="D755" s="40" t="str">
        <f>IF(Agent04_Withdrawals!A160="","",Agent04_Withdrawals!C160)</f>
        <v/>
      </c>
      <c r="E755" s="38" t="str">
        <f>IF(Agent04_Withdrawals!A160="","",Agent04_Withdrawals!D160)</f>
        <v/>
      </c>
      <c r="F755" s="37" t="str">
        <f>IF(Agent04_Withdrawals!A160="","",Agent04_Withdrawals!F160)</f>
        <v/>
      </c>
      <c r="G755" s="39" t="str">
        <f>IF(Agent04_Withdrawals!A160="","",Agent04_Withdrawals!E160)</f>
        <v/>
      </c>
      <c r="H755" s="39" t="str">
        <f>IF(Agent04_Withdrawals!A160="","",Agent04_Withdrawals!G160)</f>
        <v/>
      </c>
      <c r="I755" s="37" t="str">
        <f>IF(Agent04_Withdrawals!A160="","",Agent04_Withdrawals!H160)</f>
        <v/>
      </c>
      <c r="J755" s="37" t="str">
        <f>IF(Agent04_Withdrawals!A160="","",Agent04_Withdrawals!J160)</f>
        <v/>
      </c>
      <c r="K755" s="37" t="str">
        <f>IF(Agent04_Withdrawals!A160="","",Agent04_Withdrawals!K160)</f>
        <v/>
      </c>
      <c r="L755" s="37" t="str">
        <f>IF(G755="","",IF(D755-G755&gt;=System_Config!$B$9,"✅ OK","⚠️ BREACH"))</f>
        <v/>
      </c>
      <c r="M755" s="37" t="str">
        <f>IFERROR(IF(Agent04_Withdrawals!A160="","",YEAR(Agent04_Withdrawals!D160)),"")</f>
        <v/>
      </c>
    </row>
    <row r="756" spans="1:13" ht="18" customHeight="1" x14ac:dyDescent="0.25">
      <c r="A756" s="37" t="str">
        <f>IF(Agent04_Withdrawals!A161="","",Agent04_Withdrawals!A161)</f>
        <v/>
      </c>
      <c r="B756" s="37" t="str">
        <f ca="1">IF(Agent04_Withdrawals!A161="","","WD"&amp;TEXT(756-3,"0000")&amp;"-"&amp;TEXT(TODAY(),"YYYYMMDD"))</f>
        <v/>
      </c>
      <c r="C756" s="37" t="str">
        <f>IF(Agent04_Withdrawals!A161="","",Agent04_Withdrawals!B161)</f>
        <v/>
      </c>
      <c r="D756" s="40" t="str">
        <f>IF(Agent04_Withdrawals!A161="","",Agent04_Withdrawals!C161)</f>
        <v/>
      </c>
      <c r="E756" s="38" t="str">
        <f>IF(Agent04_Withdrawals!A161="","",Agent04_Withdrawals!D161)</f>
        <v/>
      </c>
      <c r="F756" s="37" t="str">
        <f>IF(Agent04_Withdrawals!A161="","",Agent04_Withdrawals!F161)</f>
        <v/>
      </c>
      <c r="G756" s="39" t="str">
        <f>IF(Agent04_Withdrawals!A161="","",Agent04_Withdrawals!E161)</f>
        <v/>
      </c>
      <c r="H756" s="39" t="str">
        <f>IF(Agent04_Withdrawals!A161="","",Agent04_Withdrawals!G161)</f>
        <v/>
      </c>
      <c r="I756" s="37" t="str">
        <f>IF(Agent04_Withdrawals!A161="","",Agent04_Withdrawals!H161)</f>
        <v/>
      </c>
      <c r="J756" s="37" t="str">
        <f>IF(Agent04_Withdrawals!A161="","",Agent04_Withdrawals!J161)</f>
        <v/>
      </c>
      <c r="K756" s="37" t="str">
        <f>IF(Agent04_Withdrawals!A161="","",Agent04_Withdrawals!K161)</f>
        <v/>
      </c>
      <c r="L756" s="37" t="str">
        <f>IF(G756="","",IF(D756-G756&gt;=System_Config!$B$9,"✅ OK","⚠️ BREACH"))</f>
        <v/>
      </c>
      <c r="M756" s="37" t="str">
        <f>IFERROR(IF(Agent04_Withdrawals!A161="","",YEAR(Agent04_Withdrawals!D161)),"")</f>
        <v/>
      </c>
    </row>
    <row r="757" spans="1:13" ht="18" customHeight="1" x14ac:dyDescent="0.25">
      <c r="A757" s="37" t="str">
        <f>IF(Agent04_Withdrawals!A162="","",Agent04_Withdrawals!A162)</f>
        <v/>
      </c>
      <c r="B757" s="37" t="str">
        <f ca="1">IF(Agent04_Withdrawals!A162="","","WD"&amp;TEXT(757-3,"0000")&amp;"-"&amp;TEXT(TODAY(),"YYYYMMDD"))</f>
        <v/>
      </c>
      <c r="C757" s="37" t="str">
        <f>IF(Agent04_Withdrawals!A162="","",Agent04_Withdrawals!B162)</f>
        <v/>
      </c>
      <c r="D757" s="40" t="str">
        <f>IF(Agent04_Withdrawals!A162="","",Agent04_Withdrawals!C162)</f>
        <v/>
      </c>
      <c r="E757" s="38" t="str">
        <f>IF(Agent04_Withdrawals!A162="","",Agent04_Withdrawals!D162)</f>
        <v/>
      </c>
      <c r="F757" s="37" t="str">
        <f>IF(Agent04_Withdrawals!A162="","",Agent04_Withdrawals!F162)</f>
        <v/>
      </c>
      <c r="G757" s="39" t="str">
        <f>IF(Agent04_Withdrawals!A162="","",Agent04_Withdrawals!E162)</f>
        <v/>
      </c>
      <c r="H757" s="39" t="str">
        <f>IF(Agent04_Withdrawals!A162="","",Agent04_Withdrawals!G162)</f>
        <v/>
      </c>
      <c r="I757" s="37" t="str">
        <f>IF(Agent04_Withdrawals!A162="","",Agent04_Withdrawals!H162)</f>
        <v/>
      </c>
      <c r="J757" s="37" t="str">
        <f>IF(Agent04_Withdrawals!A162="","",Agent04_Withdrawals!J162)</f>
        <v/>
      </c>
      <c r="K757" s="37" t="str">
        <f>IF(Agent04_Withdrawals!A162="","",Agent04_Withdrawals!K162)</f>
        <v/>
      </c>
      <c r="L757" s="37" t="str">
        <f>IF(G757="","",IF(D757-G757&gt;=System_Config!$B$9,"✅ OK","⚠️ BREACH"))</f>
        <v/>
      </c>
      <c r="M757" s="37" t="str">
        <f>IFERROR(IF(Agent04_Withdrawals!A162="","",YEAR(Agent04_Withdrawals!D162)),"")</f>
        <v/>
      </c>
    </row>
    <row r="758" spans="1:13" ht="18" customHeight="1" x14ac:dyDescent="0.25">
      <c r="A758" s="37" t="str">
        <f>IF(Agent04_Withdrawals!A163="","",Agent04_Withdrawals!A163)</f>
        <v/>
      </c>
      <c r="B758" s="37" t="str">
        <f ca="1">IF(Agent04_Withdrawals!A163="","","WD"&amp;TEXT(758-3,"0000")&amp;"-"&amp;TEXT(TODAY(),"YYYYMMDD"))</f>
        <v/>
      </c>
      <c r="C758" s="37" t="str">
        <f>IF(Agent04_Withdrawals!A163="","",Agent04_Withdrawals!B163)</f>
        <v/>
      </c>
      <c r="D758" s="40" t="str">
        <f>IF(Agent04_Withdrawals!A163="","",Agent04_Withdrawals!C163)</f>
        <v/>
      </c>
      <c r="E758" s="38" t="str">
        <f>IF(Agent04_Withdrawals!A163="","",Agent04_Withdrawals!D163)</f>
        <v/>
      </c>
      <c r="F758" s="37" t="str">
        <f>IF(Agent04_Withdrawals!A163="","",Agent04_Withdrawals!F163)</f>
        <v/>
      </c>
      <c r="G758" s="39" t="str">
        <f>IF(Agent04_Withdrawals!A163="","",Agent04_Withdrawals!E163)</f>
        <v/>
      </c>
      <c r="H758" s="39" t="str">
        <f>IF(Agent04_Withdrawals!A163="","",Agent04_Withdrawals!G163)</f>
        <v/>
      </c>
      <c r="I758" s="37" t="str">
        <f>IF(Agent04_Withdrawals!A163="","",Agent04_Withdrawals!H163)</f>
        <v/>
      </c>
      <c r="J758" s="37" t="str">
        <f>IF(Agent04_Withdrawals!A163="","",Agent04_Withdrawals!J163)</f>
        <v/>
      </c>
      <c r="K758" s="37" t="str">
        <f>IF(Agent04_Withdrawals!A163="","",Agent04_Withdrawals!K163)</f>
        <v/>
      </c>
      <c r="L758" s="37" t="str">
        <f>IF(G758="","",IF(D758-G758&gt;=System_Config!$B$9,"✅ OK","⚠️ BREACH"))</f>
        <v/>
      </c>
      <c r="M758" s="37" t="str">
        <f>IFERROR(IF(Agent04_Withdrawals!A163="","",YEAR(Agent04_Withdrawals!D163)),"")</f>
        <v/>
      </c>
    </row>
    <row r="759" spans="1:13" ht="18" customHeight="1" x14ac:dyDescent="0.25">
      <c r="A759" s="37" t="str">
        <f>IF(Agent04_Withdrawals!A164="","",Agent04_Withdrawals!A164)</f>
        <v/>
      </c>
      <c r="B759" s="37" t="str">
        <f ca="1">IF(Agent04_Withdrawals!A164="","","WD"&amp;TEXT(759-3,"0000")&amp;"-"&amp;TEXT(TODAY(),"YYYYMMDD"))</f>
        <v/>
      </c>
      <c r="C759" s="37" t="str">
        <f>IF(Agent04_Withdrawals!A164="","",Agent04_Withdrawals!B164)</f>
        <v/>
      </c>
      <c r="D759" s="40" t="str">
        <f>IF(Agent04_Withdrawals!A164="","",Agent04_Withdrawals!C164)</f>
        <v/>
      </c>
      <c r="E759" s="38" t="str">
        <f>IF(Agent04_Withdrawals!A164="","",Agent04_Withdrawals!D164)</f>
        <v/>
      </c>
      <c r="F759" s="37" t="str">
        <f>IF(Agent04_Withdrawals!A164="","",Agent04_Withdrawals!F164)</f>
        <v/>
      </c>
      <c r="G759" s="39" t="str">
        <f>IF(Agent04_Withdrawals!A164="","",Agent04_Withdrawals!E164)</f>
        <v/>
      </c>
      <c r="H759" s="39" t="str">
        <f>IF(Agent04_Withdrawals!A164="","",Agent04_Withdrawals!G164)</f>
        <v/>
      </c>
      <c r="I759" s="37" t="str">
        <f>IF(Agent04_Withdrawals!A164="","",Agent04_Withdrawals!H164)</f>
        <v/>
      </c>
      <c r="J759" s="37" t="str">
        <f>IF(Agent04_Withdrawals!A164="","",Agent04_Withdrawals!J164)</f>
        <v/>
      </c>
      <c r="K759" s="37" t="str">
        <f>IF(Agent04_Withdrawals!A164="","",Agent04_Withdrawals!K164)</f>
        <v/>
      </c>
      <c r="L759" s="37" t="str">
        <f>IF(G759="","",IF(D759-G759&gt;=System_Config!$B$9,"✅ OK","⚠️ BREACH"))</f>
        <v/>
      </c>
      <c r="M759" s="37" t="str">
        <f>IFERROR(IF(Agent04_Withdrawals!A164="","",YEAR(Agent04_Withdrawals!D164)),"")</f>
        <v/>
      </c>
    </row>
    <row r="760" spans="1:13" ht="18" customHeight="1" x14ac:dyDescent="0.25">
      <c r="A760" s="37" t="str">
        <f>IF(Agent04_Withdrawals!A165="","",Agent04_Withdrawals!A165)</f>
        <v/>
      </c>
      <c r="B760" s="37" t="str">
        <f ca="1">IF(Agent04_Withdrawals!A165="","","WD"&amp;TEXT(760-3,"0000")&amp;"-"&amp;TEXT(TODAY(),"YYYYMMDD"))</f>
        <v/>
      </c>
      <c r="C760" s="37" t="str">
        <f>IF(Agent04_Withdrawals!A165="","",Agent04_Withdrawals!B165)</f>
        <v/>
      </c>
      <c r="D760" s="40" t="str">
        <f>IF(Agent04_Withdrawals!A165="","",Agent04_Withdrawals!C165)</f>
        <v/>
      </c>
      <c r="E760" s="38" t="str">
        <f>IF(Agent04_Withdrawals!A165="","",Agent04_Withdrawals!D165)</f>
        <v/>
      </c>
      <c r="F760" s="37" t="str">
        <f>IF(Agent04_Withdrawals!A165="","",Agent04_Withdrawals!F165)</f>
        <v/>
      </c>
      <c r="G760" s="39" t="str">
        <f>IF(Agent04_Withdrawals!A165="","",Agent04_Withdrawals!E165)</f>
        <v/>
      </c>
      <c r="H760" s="39" t="str">
        <f>IF(Agent04_Withdrawals!A165="","",Agent04_Withdrawals!G165)</f>
        <v/>
      </c>
      <c r="I760" s="37" t="str">
        <f>IF(Agent04_Withdrawals!A165="","",Agent04_Withdrawals!H165)</f>
        <v/>
      </c>
      <c r="J760" s="37" t="str">
        <f>IF(Agent04_Withdrawals!A165="","",Agent04_Withdrawals!J165)</f>
        <v/>
      </c>
      <c r="K760" s="37" t="str">
        <f>IF(Agent04_Withdrawals!A165="","",Agent04_Withdrawals!K165)</f>
        <v/>
      </c>
      <c r="L760" s="37" t="str">
        <f>IF(G760="","",IF(D760-G760&gt;=System_Config!$B$9,"✅ OK","⚠️ BREACH"))</f>
        <v/>
      </c>
      <c r="M760" s="37" t="str">
        <f>IFERROR(IF(Agent04_Withdrawals!A165="","",YEAR(Agent04_Withdrawals!D165)),"")</f>
        <v/>
      </c>
    </row>
    <row r="761" spans="1:13" ht="18" customHeight="1" x14ac:dyDescent="0.25">
      <c r="A761" s="37" t="str">
        <f>IF(Agent04_Withdrawals!A166="","",Agent04_Withdrawals!A166)</f>
        <v/>
      </c>
      <c r="B761" s="37" t="str">
        <f ca="1">IF(Agent04_Withdrawals!A166="","","WD"&amp;TEXT(761-3,"0000")&amp;"-"&amp;TEXT(TODAY(),"YYYYMMDD"))</f>
        <v/>
      </c>
      <c r="C761" s="37" t="str">
        <f>IF(Agent04_Withdrawals!A166="","",Agent04_Withdrawals!B166)</f>
        <v/>
      </c>
      <c r="D761" s="40" t="str">
        <f>IF(Agent04_Withdrawals!A166="","",Agent04_Withdrawals!C166)</f>
        <v/>
      </c>
      <c r="E761" s="38" t="str">
        <f>IF(Agent04_Withdrawals!A166="","",Agent04_Withdrawals!D166)</f>
        <v/>
      </c>
      <c r="F761" s="37" t="str">
        <f>IF(Agent04_Withdrawals!A166="","",Agent04_Withdrawals!F166)</f>
        <v/>
      </c>
      <c r="G761" s="39" t="str">
        <f>IF(Agent04_Withdrawals!A166="","",Agent04_Withdrawals!E166)</f>
        <v/>
      </c>
      <c r="H761" s="39" t="str">
        <f>IF(Agent04_Withdrawals!A166="","",Agent04_Withdrawals!G166)</f>
        <v/>
      </c>
      <c r="I761" s="37" t="str">
        <f>IF(Agent04_Withdrawals!A166="","",Agent04_Withdrawals!H166)</f>
        <v/>
      </c>
      <c r="J761" s="37" t="str">
        <f>IF(Agent04_Withdrawals!A166="","",Agent04_Withdrawals!J166)</f>
        <v/>
      </c>
      <c r="K761" s="37" t="str">
        <f>IF(Agent04_Withdrawals!A166="","",Agent04_Withdrawals!K166)</f>
        <v/>
      </c>
      <c r="L761" s="37" t="str">
        <f>IF(G761="","",IF(D761-G761&gt;=System_Config!$B$9,"✅ OK","⚠️ BREACH"))</f>
        <v/>
      </c>
      <c r="M761" s="37" t="str">
        <f>IFERROR(IF(Agent04_Withdrawals!A166="","",YEAR(Agent04_Withdrawals!D166)),"")</f>
        <v/>
      </c>
    </row>
    <row r="762" spans="1:13" ht="18" customHeight="1" x14ac:dyDescent="0.25">
      <c r="A762" s="37" t="str">
        <f>IF(Agent04_Withdrawals!A167="","",Agent04_Withdrawals!A167)</f>
        <v/>
      </c>
      <c r="B762" s="37" t="str">
        <f ca="1">IF(Agent04_Withdrawals!A167="","","WD"&amp;TEXT(762-3,"0000")&amp;"-"&amp;TEXT(TODAY(),"YYYYMMDD"))</f>
        <v/>
      </c>
      <c r="C762" s="37" t="str">
        <f>IF(Agent04_Withdrawals!A167="","",Agent04_Withdrawals!B167)</f>
        <v/>
      </c>
      <c r="D762" s="40" t="str">
        <f>IF(Agent04_Withdrawals!A167="","",Agent04_Withdrawals!C167)</f>
        <v/>
      </c>
      <c r="E762" s="38" t="str">
        <f>IF(Agent04_Withdrawals!A167="","",Agent04_Withdrawals!D167)</f>
        <v/>
      </c>
      <c r="F762" s="37" t="str">
        <f>IF(Agent04_Withdrawals!A167="","",Agent04_Withdrawals!F167)</f>
        <v/>
      </c>
      <c r="G762" s="39" t="str">
        <f>IF(Agent04_Withdrawals!A167="","",Agent04_Withdrawals!E167)</f>
        <v/>
      </c>
      <c r="H762" s="39" t="str">
        <f>IF(Agent04_Withdrawals!A167="","",Agent04_Withdrawals!G167)</f>
        <v/>
      </c>
      <c r="I762" s="37" t="str">
        <f>IF(Agent04_Withdrawals!A167="","",Agent04_Withdrawals!H167)</f>
        <v/>
      </c>
      <c r="J762" s="37" t="str">
        <f>IF(Agent04_Withdrawals!A167="","",Agent04_Withdrawals!J167)</f>
        <v/>
      </c>
      <c r="K762" s="37" t="str">
        <f>IF(Agent04_Withdrawals!A167="","",Agent04_Withdrawals!K167)</f>
        <v/>
      </c>
      <c r="L762" s="37" t="str">
        <f>IF(G762="","",IF(D762-G762&gt;=System_Config!$B$9,"✅ OK","⚠️ BREACH"))</f>
        <v/>
      </c>
      <c r="M762" s="37" t="str">
        <f>IFERROR(IF(Agent04_Withdrawals!A167="","",YEAR(Agent04_Withdrawals!D167)),"")</f>
        <v/>
      </c>
    </row>
    <row r="763" spans="1:13" ht="18" customHeight="1" x14ac:dyDescent="0.25">
      <c r="A763" s="37" t="str">
        <f>IF(Agent04_Withdrawals!A168="","",Agent04_Withdrawals!A168)</f>
        <v/>
      </c>
      <c r="B763" s="37" t="str">
        <f ca="1">IF(Agent04_Withdrawals!A168="","","WD"&amp;TEXT(763-3,"0000")&amp;"-"&amp;TEXT(TODAY(),"YYYYMMDD"))</f>
        <v/>
      </c>
      <c r="C763" s="37" t="str">
        <f>IF(Agent04_Withdrawals!A168="","",Agent04_Withdrawals!B168)</f>
        <v/>
      </c>
      <c r="D763" s="40" t="str">
        <f>IF(Agent04_Withdrawals!A168="","",Agent04_Withdrawals!C168)</f>
        <v/>
      </c>
      <c r="E763" s="38" t="str">
        <f>IF(Agent04_Withdrawals!A168="","",Agent04_Withdrawals!D168)</f>
        <v/>
      </c>
      <c r="F763" s="37" t="str">
        <f>IF(Agent04_Withdrawals!A168="","",Agent04_Withdrawals!F168)</f>
        <v/>
      </c>
      <c r="G763" s="39" t="str">
        <f>IF(Agent04_Withdrawals!A168="","",Agent04_Withdrawals!E168)</f>
        <v/>
      </c>
      <c r="H763" s="39" t="str">
        <f>IF(Agent04_Withdrawals!A168="","",Agent04_Withdrawals!G168)</f>
        <v/>
      </c>
      <c r="I763" s="37" t="str">
        <f>IF(Agent04_Withdrawals!A168="","",Agent04_Withdrawals!H168)</f>
        <v/>
      </c>
      <c r="J763" s="37" t="str">
        <f>IF(Agent04_Withdrawals!A168="","",Agent04_Withdrawals!J168)</f>
        <v/>
      </c>
      <c r="K763" s="37" t="str">
        <f>IF(Agent04_Withdrawals!A168="","",Agent04_Withdrawals!K168)</f>
        <v/>
      </c>
      <c r="L763" s="37" t="str">
        <f>IF(G763="","",IF(D763-G763&gt;=System_Config!$B$9,"✅ OK","⚠️ BREACH"))</f>
        <v/>
      </c>
      <c r="M763" s="37" t="str">
        <f>IFERROR(IF(Agent04_Withdrawals!A168="","",YEAR(Agent04_Withdrawals!D168)),"")</f>
        <v/>
      </c>
    </row>
    <row r="764" spans="1:13" ht="18" customHeight="1" x14ac:dyDescent="0.25">
      <c r="A764" s="37" t="str">
        <f>IF(Agent04_Withdrawals!A169="","",Agent04_Withdrawals!A169)</f>
        <v/>
      </c>
      <c r="B764" s="37" t="str">
        <f ca="1">IF(Agent04_Withdrawals!A169="","","WD"&amp;TEXT(764-3,"0000")&amp;"-"&amp;TEXT(TODAY(),"YYYYMMDD"))</f>
        <v/>
      </c>
      <c r="C764" s="37" t="str">
        <f>IF(Agent04_Withdrawals!A169="","",Agent04_Withdrawals!B169)</f>
        <v/>
      </c>
      <c r="D764" s="40" t="str">
        <f>IF(Agent04_Withdrawals!A169="","",Agent04_Withdrawals!C169)</f>
        <v/>
      </c>
      <c r="E764" s="38" t="str">
        <f>IF(Agent04_Withdrawals!A169="","",Agent04_Withdrawals!D169)</f>
        <v/>
      </c>
      <c r="F764" s="37" t="str">
        <f>IF(Agent04_Withdrawals!A169="","",Agent04_Withdrawals!F169)</f>
        <v/>
      </c>
      <c r="G764" s="39" t="str">
        <f>IF(Agent04_Withdrawals!A169="","",Agent04_Withdrawals!E169)</f>
        <v/>
      </c>
      <c r="H764" s="39" t="str">
        <f>IF(Agent04_Withdrawals!A169="","",Agent04_Withdrawals!G169)</f>
        <v/>
      </c>
      <c r="I764" s="37" t="str">
        <f>IF(Agent04_Withdrawals!A169="","",Agent04_Withdrawals!H169)</f>
        <v/>
      </c>
      <c r="J764" s="37" t="str">
        <f>IF(Agent04_Withdrawals!A169="","",Agent04_Withdrawals!J169)</f>
        <v/>
      </c>
      <c r="K764" s="37" t="str">
        <f>IF(Agent04_Withdrawals!A169="","",Agent04_Withdrawals!K169)</f>
        <v/>
      </c>
      <c r="L764" s="37" t="str">
        <f>IF(G764="","",IF(D764-G764&gt;=System_Config!$B$9,"✅ OK","⚠️ BREACH"))</f>
        <v/>
      </c>
      <c r="M764" s="37" t="str">
        <f>IFERROR(IF(Agent04_Withdrawals!A169="","",YEAR(Agent04_Withdrawals!D169)),"")</f>
        <v/>
      </c>
    </row>
    <row r="765" spans="1:13" ht="18" customHeight="1" x14ac:dyDescent="0.25">
      <c r="A765" s="37" t="str">
        <f>IF(Agent04_Withdrawals!A170="","",Agent04_Withdrawals!A170)</f>
        <v/>
      </c>
      <c r="B765" s="37" t="str">
        <f ca="1">IF(Agent04_Withdrawals!A170="","","WD"&amp;TEXT(765-3,"0000")&amp;"-"&amp;TEXT(TODAY(),"YYYYMMDD"))</f>
        <v/>
      </c>
      <c r="C765" s="37" t="str">
        <f>IF(Agent04_Withdrawals!A170="","",Agent04_Withdrawals!B170)</f>
        <v/>
      </c>
      <c r="D765" s="40" t="str">
        <f>IF(Agent04_Withdrawals!A170="","",Agent04_Withdrawals!C170)</f>
        <v/>
      </c>
      <c r="E765" s="38" t="str">
        <f>IF(Agent04_Withdrawals!A170="","",Agent04_Withdrawals!D170)</f>
        <v/>
      </c>
      <c r="F765" s="37" t="str">
        <f>IF(Agent04_Withdrawals!A170="","",Agent04_Withdrawals!F170)</f>
        <v/>
      </c>
      <c r="G765" s="39" t="str">
        <f>IF(Agent04_Withdrawals!A170="","",Agent04_Withdrawals!E170)</f>
        <v/>
      </c>
      <c r="H765" s="39" t="str">
        <f>IF(Agent04_Withdrawals!A170="","",Agent04_Withdrawals!G170)</f>
        <v/>
      </c>
      <c r="I765" s="37" t="str">
        <f>IF(Agent04_Withdrawals!A170="","",Agent04_Withdrawals!H170)</f>
        <v/>
      </c>
      <c r="J765" s="37" t="str">
        <f>IF(Agent04_Withdrawals!A170="","",Agent04_Withdrawals!J170)</f>
        <v/>
      </c>
      <c r="K765" s="37" t="str">
        <f>IF(Agent04_Withdrawals!A170="","",Agent04_Withdrawals!K170)</f>
        <v/>
      </c>
      <c r="L765" s="37" t="str">
        <f>IF(G765="","",IF(D765-G765&gt;=System_Config!$B$9,"✅ OK","⚠️ BREACH"))</f>
        <v/>
      </c>
      <c r="M765" s="37" t="str">
        <f>IFERROR(IF(Agent04_Withdrawals!A170="","",YEAR(Agent04_Withdrawals!D170)),"")</f>
        <v/>
      </c>
    </row>
    <row r="766" spans="1:13" ht="18" customHeight="1" x14ac:dyDescent="0.25">
      <c r="A766" s="37" t="str">
        <f>IF(Agent04_Withdrawals!A171="","",Agent04_Withdrawals!A171)</f>
        <v/>
      </c>
      <c r="B766" s="37" t="str">
        <f ca="1">IF(Agent04_Withdrawals!A171="","","WD"&amp;TEXT(766-3,"0000")&amp;"-"&amp;TEXT(TODAY(),"YYYYMMDD"))</f>
        <v/>
      </c>
      <c r="C766" s="37" t="str">
        <f>IF(Agent04_Withdrawals!A171="","",Agent04_Withdrawals!B171)</f>
        <v/>
      </c>
      <c r="D766" s="40" t="str">
        <f>IF(Agent04_Withdrawals!A171="","",Agent04_Withdrawals!C171)</f>
        <v/>
      </c>
      <c r="E766" s="38" t="str">
        <f>IF(Agent04_Withdrawals!A171="","",Agent04_Withdrawals!D171)</f>
        <v/>
      </c>
      <c r="F766" s="37" t="str">
        <f>IF(Agent04_Withdrawals!A171="","",Agent04_Withdrawals!F171)</f>
        <v/>
      </c>
      <c r="G766" s="39" t="str">
        <f>IF(Agent04_Withdrawals!A171="","",Agent04_Withdrawals!E171)</f>
        <v/>
      </c>
      <c r="H766" s="39" t="str">
        <f>IF(Agent04_Withdrawals!A171="","",Agent04_Withdrawals!G171)</f>
        <v/>
      </c>
      <c r="I766" s="37" t="str">
        <f>IF(Agent04_Withdrawals!A171="","",Agent04_Withdrawals!H171)</f>
        <v/>
      </c>
      <c r="J766" s="37" t="str">
        <f>IF(Agent04_Withdrawals!A171="","",Agent04_Withdrawals!J171)</f>
        <v/>
      </c>
      <c r="K766" s="37" t="str">
        <f>IF(Agent04_Withdrawals!A171="","",Agent04_Withdrawals!K171)</f>
        <v/>
      </c>
      <c r="L766" s="37" t="str">
        <f>IF(G766="","",IF(D766-G766&gt;=System_Config!$B$9,"✅ OK","⚠️ BREACH"))</f>
        <v/>
      </c>
      <c r="M766" s="37" t="str">
        <f>IFERROR(IF(Agent04_Withdrawals!A171="","",YEAR(Agent04_Withdrawals!D171)),"")</f>
        <v/>
      </c>
    </row>
    <row r="767" spans="1:13" ht="18" customHeight="1" x14ac:dyDescent="0.25">
      <c r="A767" s="37" t="str">
        <f>IF(Agent04_Withdrawals!A172="","",Agent04_Withdrawals!A172)</f>
        <v/>
      </c>
      <c r="B767" s="37" t="str">
        <f ca="1">IF(Agent04_Withdrawals!A172="","","WD"&amp;TEXT(767-3,"0000")&amp;"-"&amp;TEXT(TODAY(),"YYYYMMDD"))</f>
        <v/>
      </c>
      <c r="C767" s="37" t="str">
        <f>IF(Agent04_Withdrawals!A172="","",Agent04_Withdrawals!B172)</f>
        <v/>
      </c>
      <c r="D767" s="40" t="str">
        <f>IF(Agent04_Withdrawals!A172="","",Agent04_Withdrawals!C172)</f>
        <v/>
      </c>
      <c r="E767" s="38" t="str">
        <f>IF(Agent04_Withdrawals!A172="","",Agent04_Withdrawals!D172)</f>
        <v/>
      </c>
      <c r="F767" s="37" t="str">
        <f>IF(Agent04_Withdrawals!A172="","",Agent04_Withdrawals!F172)</f>
        <v/>
      </c>
      <c r="G767" s="39" t="str">
        <f>IF(Agent04_Withdrawals!A172="","",Agent04_Withdrawals!E172)</f>
        <v/>
      </c>
      <c r="H767" s="39" t="str">
        <f>IF(Agent04_Withdrawals!A172="","",Agent04_Withdrawals!G172)</f>
        <v/>
      </c>
      <c r="I767" s="37" t="str">
        <f>IF(Agent04_Withdrawals!A172="","",Agent04_Withdrawals!H172)</f>
        <v/>
      </c>
      <c r="J767" s="37" t="str">
        <f>IF(Agent04_Withdrawals!A172="","",Agent04_Withdrawals!J172)</f>
        <v/>
      </c>
      <c r="K767" s="37" t="str">
        <f>IF(Agent04_Withdrawals!A172="","",Agent04_Withdrawals!K172)</f>
        <v/>
      </c>
      <c r="L767" s="37" t="str">
        <f>IF(G767="","",IF(D767-G767&gt;=System_Config!$B$9,"✅ OK","⚠️ BREACH"))</f>
        <v/>
      </c>
      <c r="M767" s="37" t="str">
        <f>IFERROR(IF(Agent04_Withdrawals!A172="","",YEAR(Agent04_Withdrawals!D172)),"")</f>
        <v/>
      </c>
    </row>
    <row r="768" spans="1:13" ht="18" customHeight="1" x14ac:dyDescent="0.25">
      <c r="A768" s="37" t="str">
        <f>IF(Agent04_Withdrawals!A173="","",Agent04_Withdrawals!A173)</f>
        <v/>
      </c>
      <c r="B768" s="37" t="str">
        <f ca="1">IF(Agent04_Withdrawals!A173="","","WD"&amp;TEXT(768-3,"0000")&amp;"-"&amp;TEXT(TODAY(),"YYYYMMDD"))</f>
        <v/>
      </c>
      <c r="C768" s="37" t="str">
        <f>IF(Agent04_Withdrawals!A173="","",Agent04_Withdrawals!B173)</f>
        <v/>
      </c>
      <c r="D768" s="40" t="str">
        <f>IF(Agent04_Withdrawals!A173="","",Agent04_Withdrawals!C173)</f>
        <v/>
      </c>
      <c r="E768" s="38" t="str">
        <f>IF(Agent04_Withdrawals!A173="","",Agent04_Withdrawals!D173)</f>
        <v/>
      </c>
      <c r="F768" s="37" t="str">
        <f>IF(Agent04_Withdrawals!A173="","",Agent04_Withdrawals!F173)</f>
        <v/>
      </c>
      <c r="G768" s="39" t="str">
        <f>IF(Agent04_Withdrawals!A173="","",Agent04_Withdrawals!E173)</f>
        <v/>
      </c>
      <c r="H768" s="39" t="str">
        <f>IF(Agent04_Withdrawals!A173="","",Agent04_Withdrawals!G173)</f>
        <v/>
      </c>
      <c r="I768" s="37" t="str">
        <f>IF(Agent04_Withdrawals!A173="","",Agent04_Withdrawals!H173)</f>
        <v/>
      </c>
      <c r="J768" s="37" t="str">
        <f>IF(Agent04_Withdrawals!A173="","",Agent04_Withdrawals!J173)</f>
        <v/>
      </c>
      <c r="K768" s="37" t="str">
        <f>IF(Agent04_Withdrawals!A173="","",Agent04_Withdrawals!K173)</f>
        <v/>
      </c>
      <c r="L768" s="37" t="str">
        <f>IF(G768="","",IF(D768-G768&gt;=System_Config!$B$9,"✅ OK","⚠️ BREACH"))</f>
        <v/>
      </c>
      <c r="M768" s="37" t="str">
        <f>IFERROR(IF(Agent04_Withdrawals!A173="","",YEAR(Agent04_Withdrawals!D173)),"")</f>
        <v/>
      </c>
    </row>
    <row r="769" spans="1:13" ht="18" customHeight="1" x14ac:dyDescent="0.25">
      <c r="A769" s="37" t="str">
        <f>IF(Agent04_Withdrawals!A174="","",Agent04_Withdrawals!A174)</f>
        <v/>
      </c>
      <c r="B769" s="37" t="str">
        <f ca="1">IF(Agent04_Withdrawals!A174="","","WD"&amp;TEXT(769-3,"0000")&amp;"-"&amp;TEXT(TODAY(),"YYYYMMDD"))</f>
        <v/>
      </c>
      <c r="C769" s="37" t="str">
        <f>IF(Agent04_Withdrawals!A174="","",Agent04_Withdrawals!B174)</f>
        <v/>
      </c>
      <c r="D769" s="40" t="str">
        <f>IF(Agent04_Withdrawals!A174="","",Agent04_Withdrawals!C174)</f>
        <v/>
      </c>
      <c r="E769" s="38" t="str">
        <f>IF(Agent04_Withdrawals!A174="","",Agent04_Withdrawals!D174)</f>
        <v/>
      </c>
      <c r="F769" s="37" t="str">
        <f>IF(Agent04_Withdrawals!A174="","",Agent04_Withdrawals!F174)</f>
        <v/>
      </c>
      <c r="G769" s="39" t="str">
        <f>IF(Agent04_Withdrawals!A174="","",Agent04_Withdrawals!E174)</f>
        <v/>
      </c>
      <c r="H769" s="39" t="str">
        <f>IF(Agent04_Withdrawals!A174="","",Agent04_Withdrawals!G174)</f>
        <v/>
      </c>
      <c r="I769" s="37" t="str">
        <f>IF(Agent04_Withdrawals!A174="","",Agent04_Withdrawals!H174)</f>
        <v/>
      </c>
      <c r="J769" s="37" t="str">
        <f>IF(Agent04_Withdrawals!A174="","",Agent04_Withdrawals!J174)</f>
        <v/>
      </c>
      <c r="K769" s="37" t="str">
        <f>IF(Agent04_Withdrawals!A174="","",Agent04_Withdrawals!K174)</f>
        <v/>
      </c>
      <c r="L769" s="37" t="str">
        <f>IF(G769="","",IF(D769-G769&gt;=System_Config!$B$9,"✅ OK","⚠️ BREACH"))</f>
        <v/>
      </c>
      <c r="M769" s="37" t="str">
        <f>IFERROR(IF(Agent04_Withdrawals!A174="","",YEAR(Agent04_Withdrawals!D174)),"")</f>
        <v/>
      </c>
    </row>
    <row r="770" spans="1:13" ht="18" customHeight="1" x14ac:dyDescent="0.25">
      <c r="A770" s="37" t="str">
        <f>IF(Agent04_Withdrawals!A175="","",Agent04_Withdrawals!A175)</f>
        <v/>
      </c>
      <c r="B770" s="37" t="str">
        <f ca="1">IF(Agent04_Withdrawals!A175="","","WD"&amp;TEXT(770-3,"0000")&amp;"-"&amp;TEXT(TODAY(),"YYYYMMDD"))</f>
        <v/>
      </c>
      <c r="C770" s="37" t="str">
        <f>IF(Agent04_Withdrawals!A175="","",Agent04_Withdrawals!B175)</f>
        <v/>
      </c>
      <c r="D770" s="40" t="str">
        <f>IF(Agent04_Withdrawals!A175="","",Agent04_Withdrawals!C175)</f>
        <v/>
      </c>
      <c r="E770" s="38" t="str">
        <f>IF(Agent04_Withdrawals!A175="","",Agent04_Withdrawals!D175)</f>
        <v/>
      </c>
      <c r="F770" s="37" t="str">
        <f>IF(Agent04_Withdrawals!A175="","",Agent04_Withdrawals!F175)</f>
        <v/>
      </c>
      <c r="G770" s="39" t="str">
        <f>IF(Agent04_Withdrawals!A175="","",Agent04_Withdrawals!E175)</f>
        <v/>
      </c>
      <c r="H770" s="39" t="str">
        <f>IF(Agent04_Withdrawals!A175="","",Agent04_Withdrawals!G175)</f>
        <v/>
      </c>
      <c r="I770" s="37" t="str">
        <f>IF(Agent04_Withdrawals!A175="","",Agent04_Withdrawals!H175)</f>
        <v/>
      </c>
      <c r="J770" s="37" t="str">
        <f>IF(Agent04_Withdrawals!A175="","",Agent04_Withdrawals!J175)</f>
        <v/>
      </c>
      <c r="K770" s="37" t="str">
        <f>IF(Agent04_Withdrawals!A175="","",Agent04_Withdrawals!K175)</f>
        <v/>
      </c>
      <c r="L770" s="37" t="str">
        <f>IF(G770="","",IF(D770-G770&gt;=System_Config!$B$9,"✅ OK","⚠️ BREACH"))</f>
        <v/>
      </c>
      <c r="M770" s="37" t="str">
        <f>IFERROR(IF(Agent04_Withdrawals!A175="","",YEAR(Agent04_Withdrawals!D175)),"")</f>
        <v/>
      </c>
    </row>
    <row r="771" spans="1:13" ht="18" customHeight="1" x14ac:dyDescent="0.25">
      <c r="A771" s="37" t="str">
        <f>IF(Agent04_Withdrawals!A176="","",Agent04_Withdrawals!A176)</f>
        <v/>
      </c>
      <c r="B771" s="37" t="str">
        <f ca="1">IF(Agent04_Withdrawals!A176="","","WD"&amp;TEXT(771-3,"0000")&amp;"-"&amp;TEXT(TODAY(),"YYYYMMDD"))</f>
        <v/>
      </c>
      <c r="C771" s="37" t="str">
        <f>IF(Agent04_Withdrawals!A176="","",Agent04_Withdrawals!B176)</f>
        <v/>
      </c>
      <c r="D771" s="40" t="str">
        <f>IF(Agent04_Withdrawals!A176="","",Agent04_Withdrawals!C176)</f>
        <v/>
      </c>
      <c r="E771" s="38" t="str">
        <f>IF(Agent04_Withdrawals!A176="","",Agent04_Withdrawals!D176)</f>
        <v/>
      </c>
      <c r="F771" s="37" t="str">
        <f>IF(Agent04_Withdrawals!A176="","",Agent04_Withdrawals!F176)</f>
        <v/>
      </c>
      <c r="G771" s="39" t="str">
        <f>IF(Agent04_Withdrawals!A176="","",Agent04_Withdrawals!E176)</f>
        <v/>
      </c>
      <c r="H771" s="39" t="str">
        <f>IF(Agent04_Withdrawals!A176="","",Agent04_Withdrawals!G176)</f>
        <v/>
      </c>
      <c r="I771" s="37" t="str">
        <f>IF(Agent04_Withdrawals!A176="","",Agent04_Withdrawals!H176)</f>
        <v/>
      </c>
      <c r="J771" s="37" t="str">
        <f>IF(Agent04_Withdrawals!A176="","",Agent04_Withdrawals!J176)</f>
        <v/>
      </c>
      <c r="K771" s="37" t="str">
        <f>IF(Agent04_Withdrawals!A176="","",Agent04_Withdrawals!K176)</f>
        <v/>
      </c>
      <c r="L771" s="37" t="str">
        <f>IF(G771="","",IF(D771-G771&gt;=System_Config!$B$9,"✅ OK","⚠️ BREACH"))</f>
        <v/>
      </c>
      <c r="M771" s="37" t="str">
        <f>IFERROR(IF(Agent04_Withdrawals!A176="","",YEAR(Agent04_Withdrawals!D176)),"")</f>
        <v/>
      </c>
    </row>
    <row r="772" spans="1:13" ht="18" customHeight="1" x14ac:dyDescent="0.25">
      <c r="A772" s="37" t="str">
        <f>IF(Agent04_Withdrawals!A177="","",Agent04_Withdrawals!A177)</f>
        <v/>
      </c>
      <c r="B772" s="37" t="str">
        <f ca="1">IF(Agent04_Withdrawals!A177="","","WD"&amp;TEXT(772-3,"0000")&amp;"-"&amp;TEXT(TODAY(),"YYYYMMDD"))</f>
        <v/>
      </c>
      <c r="C772" s="37" t="str">
        <f>IF(Agent04_Withdrawals!A177="","",Agent04_Withdrawals!B177)</f>
        <v/>
      </c>
      <c r="D772" s="40" t="str">
        <f>IF(Agent04_Withdrawals!A177="","",Agent04_Withdrawals!C177)</f>
        <v/>
      </c>
      <c r="E772" s="38" t="str">
        <f>IF(Agent04_Withdrawals!A177="","",Agent04_Withdrawals!D177)</f>
        <v/>
      </c>
      <c r="F772" s="37" t="str">
        <f>IF(Agent04_Withdrawals!A177="","",Agent04_Withdrawals!F177)</f>
        <v/>
      </c>
      <c r="G772" s="39" t="str">
        <f>IF(Agent04_Withdrawals!A177="","",Agent04_Withdrawals!E177)</f>
        <v/>
      </c>
      <c r="H772" s="39" t="str">
        <f>IF(Agent04_Withdrawals!A177="","",Agent04_Withdrawals!G177)</f>
        <v/>
      </c>
      <c r="I772" s="37" t="str">
        <f>IF(Agent04_Withdrawals!A177="","",Agent04_Withdrawals!H177)</f>
        <v/>
      </c>
      <c r="J772" s="37" t="str">
        <f>IF(Agent04_Withdrawals!A177="","",Agent04_Withdrawals!J177)</f>
        <v/>
      </c>
      <c r="K772" s="37" t="str">
        <f>IF(Agent04_Withdrawals!A177="","",Agent04_Withdrawals!K177)</f>
        <v/>
      </c>
      <c r="L772" s="37" t="str">
        <f>IF(G772="","",IF(D772-G772&gt;=System_Config!$B$9,"✅ OK","⚠️ BREACH"))</f>
        <v/>
      </c>
      <c r="M772" s="37" t="str">
        <f>IFERROR(IF(Agent04_Withdrawals!A177="","",YEAR(Agent04_Withdrawals!D177)),"")</f>
        <v/>
      </c>
    </row>
    <row r="773" spans="1:13" ht="18" customHeight="1" x14ac:dyDescent="0.25">
      <c r="A773" s="37" t="str">
        <f>IF(Agent04_Withdrawals!A178="","",Agent04_Withdrawals!A178)</f>
        <v/>
      </c>
      <c r="B773" s="37" t="str">
        <f ca="1">IF(Agent04_Withdrawals!A178="","","WD"&amp;TEXT(773-3,"0000")&amp;"-"&amp;TEXT(TODAY(),"YYYYMMDD"))</f>
        <v/>
      </c>
      <c r="C773" s="37" t="str">
        <f>IF(Agent04_Withdrawals!A178="","",Agent04_Withdrawals!B178)</f>
        <v/>
      </c>
      <c r="D773" s="40" t="str">
        <f>IF(Agent04_Withdrawals!A178="","",Agent04_Withdrawals!C178)</f>
        <v/>
      </c>
      <c r="E773" s="38" t="str">
        <f>IF(Agent04_Withdrawals!A178="","",Agent04_Withdrawals!D178)</f>
        <v/>
      </c>
      <c r="F773" s="37" t="str">
        <f>IF(Agent04_Withdrawals!A178="","",Agent04_Withdrawals!F178)</f>
        <v/>
      </c>
      <c r="G773" s="39" t="str">
        <f>IF(Agent04_Withdrawals!A178="","",Agent04_Withdrawals!E178)</f>
        <v/>
      </c>
      <c r="H773" s="39" t="str">
        <f>IF(Agent04_Withdrawals!A178="","",Agent04_Withdrawals!G178)</f>
        <v/>
      </c>
      <c r="I773" s="37" t="str">
        <f>IF(Agent04_Withdrawals!A178="","",Agent04_Withdrawals!H178)</f>
        <v/>
      </c>
      <c r="J773" s="37" t="str">
        <f>IF(Agent04_Withdrawals!A178="","",Agent04_Withdrawals!J178)</f>
        <v/>
      </c>
      <c r="K773" s="37" t="str">
        <f>IF(Agent04_Withdrawals!A178="","",Agent04_Withdrawals!K178)</f>
        <v/>
      </c>
      <c r="L773" s="37" t="str">
        <f>IF(G773="","",IF(D773-G773&gt;=System_Config!$B$9,"✅ OK","⚠️ BREACH"))</f>
        <v/>
      </c>
      <c r="M773" s="37" t="str">
        <f>IFERROR(IF(Agent04_Withdrawals!A178="","",YEAR(Agent04_Withdrawals!D178)),"")</f>
        <v/>
      </c>
    </row>
    <row r="774" spans="1:13" ht="18" customHeight="1" x14ac:dyDescent="0.25">
      <c r="A774" s="37" t="str">
        <f>IF(Agent04_Withdrawals!A179="","",Agent04_Withdrawals!A179)</f>
        <v/>
      </c>
      <c r="B774" s="37" t="str">
        <f ca="1">IF(Agent04_Withdrawals!A179="","","WD"&amp;TEXT(774-3,"0000")&amp;"-"&amp;TEXT(TODAY(),"YYYYMMDD"))</f>
        <v/>
      </c>
      <c r="C774" s="37" t="str">
        <f>IF(Agent04_Withdrawals!A179="","",Agent04_Withdrawals!B179)</f>
        <v/>
      </c>
      <c r="D774" s="40" t="str">
        <f>IF(Agent04_Withdrawals!A179="","",Agent04_Withdrawals!C179)</f>
        <v/>
      </c>
      <c r="E774" s="38" t="str">
        <f>IF(Agent04_Withdrawals!A179="","",Agent04_Withdrawals!D179)</f>
        <v/>
      </c>
      <c r="F774" s="37" t="str">
        <f>IF(Agent04_Withdrawals!A179="","",Agent04_Withdrawals!F179)</f>
        <v/>
      </c>
      <c r="G774" s="39" t="str">
        <f>IF(Agent04_Withdrawals!A179="","",Agent04_Withdrawals!E179)</f>
        <v/>
      </c>
      <c r="H774" s="39" t="str">
        <f>IF(Agent04_Withdrawals!A179="","",Agent04_Withdrawals!G179)</f>
        <v/>
      </c>
      <c r="I774" s="37" t="str">
        <f>IF(Agent04_Withdrawals!A179="","",Agent04_Withdrawals!H179)</f>
        <v/>
      </c>
      <c r="J774" s="37" t="str">
        <f>IF(Agent04_Withdrawals!A179="","",Agent04_Withdrawals!J179)</f>
        <v/>
      </c>
      <c r="K774" s="37" t="str">
        <f>IF(Agent04_Withdrawals!A179="","",Agent04_Withdrawals!K179)</f>
        <v/>
      </c>
      <c r="L774" s="37" t="str">
        <f>IF(G774="","",IF(D774-G774&gt;=System_Config!$B$9,"✅ OK","⚠️ BREACH"))</f>
        <v/>
      </c>
      <c r="M774" s="37" t="str">
        <f>IFERROR(IF(Agent04_Withdrawals!A179="","",YEAR(Agent04_Withdrawals!D179)),"")</f>
        <v/>
      </c>
    </row>
    <row r="775" spans="1:13" ht="18" customHeight="1" x14ac:dyDescent="0.25">
      <c r="A775" s="37" t="str">
        <f>IF(Agent04_Withdrawals!A180="","",Agent04_Withdrawals!A180)</f>
        <v/>
      </c>
      <c r="B775" s="37" t="str">
        <f ca="1">IF(Agent04_Withdrawals!A180="","","WD"&amp;TEXT(775-3,"0000")&amp;"-"&amp;TEXT(TODAY(),"YYYYMMDD"))</f>
        <v/>
      </c>
      <c r="C775" s="37" t="str">
        <f>IF(Agent04_Withdrawals!A180="","",Agent04_Withdrawals!B180)</f>
        <v/>
      </c>
      <c r="D775" s="40" t="str">
        <f>IF(Agent04_Withdrawals!A180="","",Agent04_Withdrawals!C180)</f>
        <v/>
      </c>
      <c r="E775" s="38" t="str">
        <f>IF(Agent04_Withdrawals!A180="","",Agent04_Withdrawals!D180)</f>
        <v/>
      </c>
      <c r="F775" s="37" t="str">
        <f>IF(Agent04_Withdrawals!A180="","",Agent04_Withdrawals!F180)</f>
        <v/>
      </c>
      <c r="G775" s="39" t="str">
        <f>IF(Agent04_Withdrawals!A180="","",Agent04_Withdrawals!E180)</f>
        <v/>
      </c>
      <c r="H775" s="39" t="str">
        <f>IF(Agent04_Withdrawals!A180="","",Agent04_Withdrawals!G180)</f>
        <v/>
      </c>
      <c r="I775" s="37" t="str">
        <f>IF(Agent04_Withdrawals!A180="","",Agent04_Withdrawals!H180)</f>
        <v/>
      </c>
      <c r="J775" s="37" t="str">
        <f>IF(Agent04_Withdrawals!A180="","",Agent04_Withdrawals!J180)</f>
        <v/>
      </c>
      <c r="K775" s="37" t="str">
        <f>IF(Agent04_Withdrawals!A180="","",Agent04_Withdrawals!K180)</f>
        <v/>
      </c>
      <c r="L775" s="37" t="str">
        <f>IF(G775="","",IF(D775-G775&gt;=System_Config!$B$9,"✅ OK","⚠️ BREACH"))</f>
        <v/>
      </c>
      <c r="M775" s="37" t="str">
        <f>IFERROR(IF(Agent04_Withdrawals!A180="","",YEAR(Agent04_Withdrawals!D180)),"")</f>
        <v/>
      </c>
    </row>
    <row r="776" spans="1:13" ht="18" customHeight="1" x14ac:dyDescent="0.25">
      <c r="A776" s="37" t="str">
        <f>IF(Agent04_Withdrawals!A181="","",Agent04_Withdrawals!A181)</f>
        <v/>
      </c>
      <c r="B776" s="37" t="str">
        <f ca="1">IF(Agent04_Withdrawals!A181="","","WD"&amp;TEXT(776-3,"0000")&amp;"-"&amp;TEXT(TODAY(),"YYYYMMDD"))</f>
        <v/>
      </c>
      <c r="C776" s="37" t="str">
        <f>IF(Agent04_Withdrawals!A181="","",Agent04_Withdrawals!B181)</f>
        <v/>
      </c>
      <c r="D776" s="40" t="str">
        <f>IF(Agent04_Withdrawals!A181="","",Agent04_Withdrawals!C181)</f>
        <v/>
      </c>
      <c r="E776" s="38" t="str">
        <f>IF(Agent04_Withdrawals!A181="","",Agent04_Withdrawals!D181)</f>
        <v/>
      </c>
      <c r="F776" s="37" t="str">
        <f>IF(Agent04_Withdrawals!A181="","",Agent04_Withdrawals!F181)</f>
        <v/>
      </c>
      <c r="G776" s="39" t="str">
        <f>IF(Agent04_Withdrawals!A181="","",Agent04_Withdrawals!E181)</f>
        <v/>
      </c>
      <c r="H776" s="39" t="str">
        <f>IF(Agent04_Withdrawals!A181="","",Agent04_Withdrawals!G181)</f>
        <v/>
      </c>
      <c r="I776" s="37" t="str">
        <f>IF(Agent04_Withdrawals!A181="","",Agent04_Withdrawals!H181)</f>
        <v/>
      </c>
      <c r="J776" s="37" t="str">
        <f>IF(Agent04_Withdrawals!A181="","",Agent04_Withdrawals!J181)</f>
        <v/>
      </c>
      <c r="K776" s="37" t="str">
        <f>IF(Agent04_Withdrawals!A181="","",Agent04_Withdrawals!K181)</f>
        <v/>
      </c>
      <c r="L776" s="37" t="str">
        <f>IF(G776="","",IF(D776-G776&gt;=System_Config!$B$9,"✅ OK","⚠️ BREACH"))</f>
        <v/>
      </c>
      <c r="M776" s="37" t="str">
        <f>IFERROR(IF(Agent04_Withdrawals!A181="","",YEAR(Agent04_Withdrawals!D181)),"")</f>
        <v/>
      </c>
    </row>
    <row r="777" spans="1:13" ht="18" customHeight="1" x14ac:dyDescent="0.25">
      <c r="A777" s="37" t="str">
        <f>IF(Agent04_Withdrawals!A182="","",Agent04_Withdrawals!A182)</f>
        <v/>
      </c>
      <c r="B777" s="37" t="str">
        <f ca="1">IF(Agent04_Withdrawals!A182="","","WD"&amp;TEXT(777-3,"0000")&amp;"-"&amp;TEXT(TODAY(),"YYYYMMDD"))</f>
        <v/>
      </c>
      <c r="C777" s="37" t="str">
        <f>IF(Agent04_Withdrawals!A182="","",Agent04_Withdrawals!B182)</f>
        <v/>
      </c>
      <c r="D777" s="40" t="str">
        <f>IF(Agent04_Withdrawals!A182="","",Agent04_Withdrawals!C182)</f>
        <v/>
      </c>
      <c r="E777" s="38" t="str">
        <f>IF(Agent04_Withdrawals!A182="","",Agent04_Withdrawals!D182)</f>
        <v/>
      </c>
      <c r="F777" s="37" t="str">
        <f>IF(Agent04_Withdrawals!A182="","",Agent04_Withdrawals!F182)</f>
        <v/>
      </c>
      <c r="G777" s="39" t="str">
        <f>IF(Agent04_Withdrawals!A182="","",Agent04_Withdrawals!E182)</f>
        <v/>
      </c>
      <c r="H777" s="39" t="str">
        <f>IF(Agent04_Withdrawals!A182="","",Agent04_Withdrawals!G182)</f>
        <v/>
      </c>
      <c r="I777" s="37" t="str">
        <f>IF(Agent04_Withdrawals!A182="","",Agent04_Withdrawals!H182)</f>
        <v/>
      </c>
      <c r="J777" s="37" t="str">
        <f>IF(Agent04_Withdrawals!A182="","",Agent04_Withdrawals!J182)</f>
        <v/>
      </c>
      <c r="K777" s="37" t="str">
        <f>IF(Agent04_Withdrawals!A182="","",Agent04_Withdrawals!K182)</f>
        <v/>
      </c>
      <c r="L777" s="37" t="str">
        <f>IF(G777="","",IF(D777-G777&gt;=System_Config!$B$9,"✅ OK","⚠️ BREACH"))</f>
        <v/>
      </c>
      <c r="M777" s="37" t="str">
        <f>IFERROR(IF(Agent04_Withdrawals!A182="","",YEAR(Agent04_Withdrawals!D182)),"")</f>
        <v/>
      </c>
    </row>
    <row r="778" spans="1:13" ht="18" customHeight="1" x14ac:dyDescent="0.25">
      <c r="A778" s="37" t="str">
        <f>IF(Agent04_Withdrawals!A183="","",Agent04_Withdrawals!A183)</f>
        <v/>
      </c>
      <c r="B778" s="37" t="str">
        <f ca="1">IF(Agent04_Withdrawals!A183="","","WD"&amp;TEXT(778-3,"0000")&amp;"-"&amp;TEXT(TODAY(),"YYYYMMDD"))</f>
        <v/>
      </c>
      <c r="C778" s="37" t="str">
        <f>IF(Agent04_Withdrawals!A183="","",Agent04_Withdrawals!B183)</f>
        <v/>
      </c>
      <c r="D778" s="40" t="str">
        <f>IF(Agent04_Withdrawals!A183="","",Agent04_Withdrawals!C183)</f>
        <v/>
      </c>
      <c r="E778" s="38" t="str">
        <f>IF(Agent04_Withdrawals!A183="","",Agent04_Withdrawals!D183)</f>
        <v/>
      </c>
      <c r="F778" s="37" t="str">
        <f>IF(Agent04_Withdrawals!A183="","",Agent04_Withdrawals!F183)</f>
        <v/>
      </c>
      <c r="G778" s="39" t="str">
        <f>IF(Agent04_Withdrawals!A183="","",Agent04_Withdrawals!E183)</f>
        <v/>
      </c>
      <c r="H778" s="39" t="str">
        <f>IF(Agent04_Withdrawals!A183="","",Agent04_Withdrawals!G183)</f>
        <v/>
      </c>
      <c r="I778" s="37" t="str">
        <f>IF(Agent04_Withdrawals!A183="","",Agent04_Withdrawals!H183)</f>
        <v/>
      </c>
      <c r="J778" s="37" t="str">
        <f>IF(Agent04_Withdrawals!A183="","",Agent04_Withdrawals!J183)</f>
        <v/>
      </c>
      <c r="K778" s="37" t="str">
        <f>IF(Agent04_Withdrawals!A183="","",Agent04_Withdrawals!K183)</f>
        <v/>
      </c>
      <c r="L778" s="37" t="str">
        <f>IF(G778="","",IF(D778-G778&gt;=System_Config!$B$9,"✅ OK","⚠️ BREACH"))</f>
        <v/>
      </c>
      <c r="M778" s="37" t="str">
        <f>IFERROR(IF(Agent04_Withdrawals!A183="","",YEAR(Agent04_Withdrawals!D183)),"")</f>
        <v/>
      </c>
    </row>
    <row r="779" spans="1:13" ht="18" customHeight="1" x14ac:dyDescent="0.25">
      <c r="A779" s="37" t="str">
        <f>IF(Agent04_Withdrawals!A184="","",Agent04_Withdrawals!A184)</f>
        <v/>
      </c>
      <c r="B779" s="37" t="str">
        <f ca="1">IF(Agent04_Withdrawals!A184="","","WD"&amp;TEXT(779-3,"0000")&amp;"-"&amp;TEXT(TODAY(),"YYYYMMDD"))</f>
        <v/>
      </c>
      <c r="C779" s="37" t="str">
        <f>IF(Agent04_Withdrawals!A184="","",Agent04_Withdrawals!B184)</f>
        <v/>
      </c>
      <c r="D779" s="40" t="str">
        <f>IF(Agent04_Withdrawals!A184="","",Agent04_Withdrawals!C184)</f>
        <v/>
      </c>
      <c r="E779" s="38" t="str">
        <f>IF(Agent04_Withdrawals!A184="","",Agent04_Withdrawals!D184)</f>
        <v/>
      </c>
      <c r="F779" s="37" t="str">
        <f>IF(Agent04_Withdrawals!A184="","",Agent04_Withdrawals!F184)</f>
        <v/>
      </c>
      <c r="G779" s="39" t="str">
        <f>IF(Agent04_Withdrawals!A184="","",Agent04_Withdrawals!E184)</f>
        <v/>
      </c>
      <c r="H779" s="39" t="str">
        <f>IF(Agent04_Withdrawals!A184="","",Agent04_Withdrawals!G184)</f>
        <v/>
      </c>
      <c r="I779" s="37" t="str">
        <f>IF(Agent04_Withdrawals!A184="","",Agent04_Withdrawals!H184)</f>
        <v/>
      </c>
      <c r="J779" s="37" t="str">
        <f>IF(Agent04_Withdrawals!A184="","",Agent04_Withdrawals!J184)</f>
        <v/>
      </c>
      <c r="K779" s="37" t="str">
        <f>IF(Agent04_Withdrawals!A184="","",Agent04_Withdrawals!K184)</f>
        <v/>
      </c>
      <c r="L779" s="37" t="str">
        <f>IF(G779="","",IF(D779-G779&gt;=System_Config!$B$9,"✅ OK","⚠️ BREACH"))</f>
        <v/>
      </c>
      <c r="M779" s="37" t="str">
        <f>IFERROR(IF(Agent04_Withdrawals!A184="","",YEAR(Agent04_Withdrawals!D184)),"")</f>
        <v/>
      </c>
    </row>
    <row r="780" spans="1:13" ht="18" customHeight="1" x14ac:dyDescent="0.25">
      <c r="A780" s="37" t="str">
        <f>IF(Agent04_Withdrawals!A185="","",Agent04_Withdrawals!A185)</f>
        <v/>
      </c>
      <c r="B780" s="37" t="str">
        <f ca="1">IF(Agent04_Withdrawals!A185="","","WD"&amp;TEXT(780-3,"0000")&amp;"-"&amp;TEXT(TODAY(),"YYYYMMDD"))</f>
        <v/>
      </c>
      <c r="C780" s="37" t="str">
        <f>IF(Agent04_Withdrawals!A185="","",Agent04_Withdrawals!B185)</f>
        <v/>
      </c>
      <c r="D780" s="40" t="str">
        <f>IF(Agent04_Withdrawals!A185="","",Agent04_Withdrawals!C185)</f>
        <v/>
      </c>
      <c r="E780" s="38" t="str">
        <f>IF(Agent04_Withdrawals!A185="","",Agent04_Withdrawals!D185)</f>
        <v/>
      </c>
      <c r="F780" s="37" t="str">
        <f>IF(Agent04_Withdrawals!A185="","",Agent04_Withdrawals!F185)</f>
        <v/>
      </c>
      <c r="G780" s="39" t="str">
        <f>IF(Agent04_Withdrawals!A185="","",Agent04_Withdrawals!E185)</f>
        <v/>
      </c>
      <c r="H780" s="39" t="str">
        <f>IF(Agent04_Withdrawals!A185="","",Agent04_Withdrawals!G185)</f>
        <v/>
      </c>
      <c r="I780" s="37" t="str">
        <f>IF(Agent04_Withdrawals!A185="","",Agent04_Withdrawals!H185)</f>
        <v/>
      </c>
      <c r="J780" s="37" t="str">
        <f>IF(Agent04_Withdrawals!A185="","",Agent04_Withdrawals!J185)</f>
        <v/>
      </c>
      <c r="K780" s="37" t="str">
        <f>IF(Agent04_Withdrawals!A185="","",Agent04_Withdrawals!K185)</f>
        <v/>
      </c>
      <c r="L780" s="37" t="str">
        <f>IF(G780="","",IF(D780-G780&gt;=System_Config!$B$9,"✅ OK","⚠️ BREACH"))</f>
        <v/>
      </c>
      <c r="M780" s="37" t="str">
        <f>IFERROR(IF(Agent04_Withdrawals!A185="","",YEAR(Agent04_Withdrawals!D185)),"")</f>
        <v/>
      </c>
    </row>
    <row r="781" spans="1:13" ht="18" customHeight="1" x14ac:dyDescent="0.25">
      <c r="A781" s="37" t="str">
        <f>IF(Agent04_Withdrawals!A186="","",Agent04_Withdrawals!A186)</f>
        <v/>
      </c>
      <c r="B781" s="37" t="str">
        <f ca="1">IF(Agent04_Withdrawals!A186="","","WD"&amp;TEXT(781-3,"0000")&amp;"-"&amp;TEXT(TODAY(),"YYYYMMDD"))</f>
        <v/>
      </c>
      <c r="C781" s="37" t="str">
        <f>IF(Agent04_Withdrawals!A186="","",Agent04_Withdrawals!B186)</f>
        <v/>
      </c>
      <c r="D781" s="40" t="str">
        <f>IF(Agent04_Withdrawals!A186="","",Agent04_Withdrawals!C186)</f>
        <v/>
      </c>
      <c r="E781" s="38" t="str">
        <f>IF(Agent04_Withdrawals!A186="","",Agent04_Withdrawals!D186)</f>
        <v/>
      </c>
      <c r="F781" s="37" t="str">
        <f>IF(Agent04_Withdrawals!A186="","",Agent04_Withdrawals!F186)</f>
        <v/>
      </c>
      <c r="G781" s="39" t="str">
        <f>IF(Agent04_Withdrawals!A186="","",Agent04_Withdrawals!E186)</f>
        <v/>
      </c>
      <c r="H781" s="39" t="str">
        <f>IF(Agent04_Withdrawals!A186="","",Agent04_Withdrawals!G186)</f>
        <v/>
      </c>
      <c r="I781" s="37" t="str">
        <f>IF(Agent04_Withdrawals!A186="","",Agent04_Withdrawals!H186)</f>
        <v/>
      </c>
      <c r="J781" s="37" t="str">
        <f>IF(Agent04_Withdrawals!A186="","",Agent04_Withdrawals!J186)</f>
        <v/>
      </c>
      <c r="K781" s="37" t="str">
        <f>IF(Agent04_Withdrawals!A186="","",Agent04_Withdrawals!K186)</f>
        <v/>
      </c>
      <c r="L781" s="37" t="str">
        <f>IF(G781="","",IF(D781-G781&gt;=System_Config!$B$9,"✅ OK","⚠️ BREACH"))</f>
        <v/>
      </c>
      <c r="M781" s="37" t="str">
        <f>IFERROR(IF(Agent04_Withdrawals!A186="","",YEAR(Agent04_Withdrawals!D186)),"")</f>
        <v/>
      </c>
    </row>
    <row r="782" spans="1:13" ht="18" customHeight="1" x14ac:dyDescent="0.25">
      <c r="A782" s="37" t="str">
        <f>IF(Agent04_Withdrawals!A187="","",Agent04_Withdrawals!A187)</f>
        <v/>
      </c>
      <c r="B782" s="37" t="str">
        <f ca="1">IF(Agent04_Withdrawals!A187="","","WD"&amp;TEXT(782-3,"0000")&amp;"-"&amp;TEXT(TODAY(),"YYYYMMDD"))</f>
        <v/>
      </c>
      <c r="C782" s="37" t="str">
        <f>IF(Agent04_Withdrawals!A187="","",Agent04_Withdrawals!B187)</f>
        <v/>
      </c>
      <c r="D782" s="40" t="str">
        <f>IF(Agent04_Withdrawals!A187="","",Agent04_Withdrawals!C187)</f>
        <v/>
      </c>
      <c r="E782" s="38" t="str">
        <f>IF(Agent04_Withdrawals!A187="","",Agent04_Withdrawals!D187)</f>
        <v/>
      </c>
      <c r="F782" s="37" t="str">
        <f>IF(Agent04_Withdrawals!A187="","",Agent04_Withdrawals!F187)</f>
        <v/>
      </c>
      <c r="G782" s="39" t="str">
        <f>IF(Agent04_Withdrawals!A187="","",Agent04_Withdrawals!E187)</f>
        <v/>
      </c>
      <c r="H782" s="39" t="str">
        <f>IF(Agent04_Withdrawals!A187="","",Agent04_Withdrawals!G187)</f>
        <v/>
      </c>
      <c r="I782" s="37" t="str">
        <f>IF(Agent04_Withdrawals!A187="","",Agent04_Withdrawals!H187)</f>
        <v/>
      </c>
      <c r="J782" s="37" t="str">
        <f>IF(Agent04_Withdrawals!A187="","",Agent04_Withdrawals!J187)</f>
        <v/>
      </c>
      <c r="K782" s="37" t="str">
        <f>IF(Agent04_Withdrawals!A187="","",Agent04_Withdrawals!K187)</f>
        <v/>
      </c>
      <c r="L782" s="37" t="str">
        <f>IF(G782="","",IF(D782-G782&gt;=System_Config!$B$9,"✅ OK","⚠️ BREACH"))</f>
        <v/>
      </c>
      <c r="M782" s="37" t="str">
        <f>IFERROR(IF(Agent04_Withdrawals!A187="","",YEAR(Agent04_Withdrawals!D187)),"")</f>
        <v/>
      </c>
    </row>
    <row r="783" spans="1:13" ht="18" customHeight="1" x14ac:dyDescent="0.25">
      <c r="A783" s="37" t="str">
        <f>IF(Agent04_Withdrawals!A188="","",Agent04_Withdrawals!A188)</f>
        <v/>
      </c>
      <c r="B783" s="37" t="str">
        <f ca="1">IF(Agent04_Withdrawals!A188="","","WD"&amp;TEXT(783-3,"0000")&amp;"-"&amp;TEXT(TODAY(),"YYYYMMDD"))</f>
        <v/>
      </c>
      <c r="C783" s="37" t="str">
        <f>IF(Agent04_Withdrawals!A188="","",Agent04_Withdrawals!B188)</f>
        <v/>
      </c>
      <c r="D783" s="40" t="str">
        <f>IF(Agent04_Withdrawals!A188="","",Agent04_Withdrawals!C188)</f>
        <v/>
      </c>
      <c r="E783" s="38" t="str">
        <f>IF(Agent04_Withdrawals!A188="","",Agent04_Withdrawals!D188)</f>
        <v/>
      </c>
      <c r="F783" s="37" t="str">
        <f>IF(Agent04_Withdrawals!A188="","",Agent04_Withdrawals!F188)</f>
        <v/>
      </c>
      <c r="G783" s="39" t="str">
        <f>IF(Agent04_Withdrawals!A188="","",Agent04_Withdrawals!E188)</f>
        <v/>
      </c>
      <c r="H783" s="39" t="str">
        <f>IF(Agent04_Withdrawals!A188="","",Agent04_Withdrawals!G188)</f>
        <v/>
      </c>
      <c r="I783" s="37" t="str">
        <f>IF(Agent04_Withdrawals!A188="","",Agent04_Withdrawals!H188)</f>
        <v/>
      </c>
      <c r="J783" s="37" t="str">
        <f>IF(Agent04_Withdrawals!A188="","",Agent04_Withdrawals!J188)</f>
        <v/>
      </c>
      <c r="K783" s="37" t="str">
        <f>IF(Agent04_Withdrawals!A188="","",Agent04_Withdrawals!K188)</f>
        <v/>
      </c>
      <c r="L783" s="37" t="str">
        <f>IF(G783="","",IF(D783-G783&gt;=System_Config!$B$9,"✅ OK","⚠️ BREACH"))</f>
        <v/>
      </c>
      <c r="M783" s="37" t="str">
        <f>IFERROR(IF(Agent04_Withdrawals!A188="","",YEAR(Agent04_Withdrawals!D188)),"")</f>
        <v/>
      </c>
    </row>
    <row r="784" spans="1:13" ht="18" customHeight="1" x14ac:dyDescent="0.25">
      <c r="A784" s="37" t="str">
        <f>IF(Agent04_Withdrawals!A189="","",Agent04_Withdrawals!A189)</f>
        <v/>
      </c>
      <c r="B784" s="37" t="str">
        <f ca="1">IF(Agent04_Withdrawals!A189="","","WD"&amp;TEXT(784-3,"0000")&amp;"-"&amp;TEXT(TODAY(),"YYYYMMDD"))</f>
        <v/>
      </c>
      <c r="C784" s="37" t="str">
        <f>IF(Agent04_Withdrawals!A189="","",Agent04_Withdrawals!B189)</f>
        <v/>
      </c>
      <c r="D784" s="40" t="str">
        <f>IF(Agent04_Withdrawals!A189="","",Agent04_Withdrawals!C189)</f>
        <v/>
      </c>
      <c r="E784" s="38" t="str">
        <f>IF(Agent04_Withdrawals!A189="","",Agent04_Withdrawals!D189)</f>
        <v/>
      </c>
      <c r="F784" s="37" t="str">
        <f>IF(Agent04_Withdrawals!A189="","",Agent04_Withdrawals!F189)</f>
        <v/>
      </c>
      <c r="G784" s="39" t="str">
        <f>IF(Agent04_Withdrawals!A189="","",Agent04_Withdrawals!E189)</f>
        <v/>
      </c>
      <c r="H784" s="39" t="str">
        <f>IF(Agent04_Withdrawals!A189="","",Agent04_Withdrawals!G189)</f>
        <v/>
      </c>
      <c r="I784" s="37" t="str">
        <f>IF(Agent04_Withdrawals!A189="","",Agent04_Withdrawals!H189)</f>
        <v/>
      </c>
      <c r="J784" s="37" t="str">
        <f>IF(Agent04_Withdrawals!A189="","",Agent04_Withdrawals!J189)</f>
        <v/>
      </c>
      <c r="K784" s="37" t="str">
        <f>IF(Agent04_Withdrawals!A189="","",Agent04_Withdrawals!K189)</f>
        <v/>
      </c>
      <c r="L784" s="37" t="str">
        <f>IF(G784="","",IF(D784-G784&gt;=System_Config!$B$9,"✅ OK","⚠️ BREACH"))</f>
        <v/>
      </c>
      <c r="M784" s="37" t="str">
        <f>IFERROR(IF(Agent04_Withdrawals!A189="","",YEAR(Agent04_Withdrawals!D189)),"")</f>
        <v/>
      </c>
    </row>
    <row r="785" spans="1:13" ht="18" customHeight="1" x14ac:dyDescent="0.25">
      <c r="A785" s="37" t="str">
        <f>IF(Agent04_Withdrawals!A190="","",Agent04_Withdrawals!A190)</f>
        <v/>
      </c>
      <c r="B785" s="37" t="str">
        <f ca="1">IF(Agent04_Withdrawals!A190="","","WD"&amp;TEXT(785-3,"0000")&amp;"-"&amp;TEXT(TODAY(),"YYYYMMDD"))</f>
        <v/>
      </c>
      <c r="C785" s="37" t="str">
        <f>IF(Agent04_Withdrawals!A190="","",Agent04_Withdrawals!B190)</f>
        <v/>
      </c>
      <c r="D785" s="40" t="str">
        <f>IF(Agent04_Withdrawals!A190="","",Agent04_Withdrawals!C190)</f>
        <v/>
      </c>
      <c r="E785" s="38" t="str">
        <f>IF(Agent04_Withdrawals!A190="","",Agent04_Withdrawals!D190)</f>
        <v/>
      </c>
      <c r="F785" s="37" t="str">
        <f>IF(Agent04_Withdrawals!A190="","",Agent04_Withdrawals!F190)</f>
        <v/>
      </c>
      <c r="G785" s="39" t="str">
        <f>IF(Agent04_Withdrawals!A190="","",Agent04_Withdrawals!E190)</f>
        <v/>
      </c>
      <c r="H785" s="39" t="str">
        <f>IF(Agent04_Withdrawals!A190="","",Agent04_Withdrawals!G190)</f>
        <v/>
      </c>
      <c r="I785" s="37" t="str">
        <f>IF(Agent04_Withdrawals!A190="","",Agent04_Withdrawals!H190)</f>
        <v/>
      </c>
      <c r="J785" s="37" t="str">
        <f>IF(Agent04_Withdrawals!A190="","",Agent04_Withdrawals!J190)</f>
        <v/>
      </c>
      <c r="K785" s="37" t="str">
        <f>IF(Agent04_Withdrawals!A190="","",Agent04_Withdrawals!K190)</f>
        <v/>
      </c>
      <c r="L785" s="37" t="str">
        <f>IF(G785="","",IF(D785-G785&gt;=System_Config!$B$9,"✅ OK","⚠️ BREACH"))</f>
        <v/>
      </c>
      <c r="M785" s="37" t="str">
        <f>IFERROR(IF(Agent04_Withdrawals!A190="","",YEAR(Agent04_Withdrawals!D190)),"")</f>
        <v/>
      </c>
    </row>
    <row r="786" spans="1:13" ht="18" customHeight="1" x14ac:dyDescent="0.25">
      <c r="A786" s="37" t="str">
        <f>IF(Agent04_Withdrawals!A191="","",Agent04_Withdrawals!A191)</f>
        <v/>
      </c>
      <c r="B786" s="37" t="str">
        <f ca="1">IF(Agent04_Withdrawals!A191="","","WD"&amp;TEXT(786-3,"0000")&amp;"-"&amp;TEXT(TODAY(),"YYYYMMDD"))</f>
        <v/>
      </c>
      <c r="C786" s="37" t="str">
        <f>IF(Agent04_Withdrawals!A191="","",Agent04_Withdrawals!B191)</f>
        <v/>
      </c>
      <c r="D786" s="40" t="str">
        <f>IF(Agent04_Withdrawals!A191="","",Agent04_Withdrawals!C191)</f>
        <v/>
      </c>
      <c r="E786" s="38" t="str">
        <f>IF(Agent04_Withdrawals!A191="","",Agent04_Withdrawals!D191)</f>
        <v/>
      </c>
      <c r="F786" s="37" t="str">
        <f>IF(Agent04_Withdrawals!A191="","",Agent04_Withdrawals!F191)</f>
        <v/>
      </c>
      <c r="G786" s="39" t="str">
        <f>IF(Agent04_Withdrawals!A191="","",Agent04_Withdrawals!E191)</f>
        <v/>
      </c>
      <c r="H786" s="39" t="str">
        <f>IF(Agent04_Withdrawals!A191="","",Agent04_Withdrawals!G191)</f>
        <v/>
      </c>
      <c r="I786" s="37" t="str">
        <f>IF(Agent04_Withdrawals!A191="","",Agent04_Withdrawals!H191)</f>
        <v/>
      </c>
      <c r="J786" s="37" t="str">
        <f>IF(Agent04_Withdrawals!A191="","",Agent04_Withdrawals!J191)</f>
        <v/>
      </c>
      <c r="K786" s="37" t="str">
        <f>IF(Agent04_Withdrawals!A191="","",Agent04_Withdrawals!K191)</f>
        <v/>
      </c>
      <c r="L786" s="37" t="str">
        <f>IF(G786="","",IF(D786-G786&gt;=System_Config!$B$9,"✅ OK","⚠️ BREACH"))</f>
        <v/>
      </c>
      <c r="M786" s="37" t="str">
        <f>IFERROR(IF(Agent04_Withdrawals!A191="","",YEAR(Agent04_Withdrawals!D191)),"")</f>
        <v/>
      </c>
    </row>
    <row r="787" spans="1:13" ht="18" customHeight="1" x14ac:dyDescent="0.25">
      <c r="A787" s="37" t="str">
        <f>IF(Agent04_Withdrawals!A192="","",Agent04_Withdrawals!A192)</f>
        <v/>
      </c>
      <c r="B787" s="37" t="str">
        <f ca="1">IF(Agent04_Withdrawals!A192="","","WD"&amp;TEXT(787-3,"0000")&amp;"-"&amp;TEXT(TODAY(),"YYYYMMDD"))</f>
        <v/>
      </c>
      <c r="C787" s="37" t="str">
        <f>IF(Agent04_Withdrawals!A192="","",Agent04_Withdrawals!B192)</f>
        <v/>
      </c>
      <c r="D787" s="40" t="str">
        <f>IF(Agent04_Withdrawals!A192="","",Agent04_Withdrawals!C192)</f>
        <v/>
      </c>
      <c r="E787" s="38" t="str">
        <f>IF(Agent04_Withdrawals!A192="","",Agent04_Withdrawals!D192)</f>
        <v/>
      </c>
      <c r="F787" s="37" t="str">
        <f>IF(Agent04_Withdrawals!A192="","",Agent04_Withdrawals!F192)</f>
        <v/>
      </c>
      <c r="G787" s="39" t="str">
        <f>IF(Agent04_Withdrawals!A192="","",Agent04_Withdrawals!E192)</f>
        <v/>
      </c>
      <c r="H787" s="39" t="str">
        <f>IF(Agent04_Withdrawals!A192="","",Agent04_Withdrawals!G192)</f>
        <v/>
      </c>
      <c r="I787" s="37" t="str">
        <f>IF(Agent04_Withdrawals!A192="","",Agent04_Withdrawals!H192)</f>
        <v/>
      </c>
      <c r="J787" s="37" t="str">
        <f>IF(Agent04_Withdrawals!A192="","",Agent04_Withdrawals!J192)</f>
        <v/>
      </c>
      <c r="K787" s="37" t="str">
        <f>IF(Agent04_Withdrawals!A192="","",Agent04_Withdrawals!K192)</f>
        <v/>
      </c>
      <c r="L787" s="37" t="str">
        <f>IF(G787="","",IF(D787-G787&gt;=System_Config!$B$9,"✅ OK","⚠️ BREACH"))</f>
        <v/>
      </c>
      <c r="M787" s="37" t="str">
        <f>IFERROR(IF(Agent04_Withdrawals!A192="","",YEAR(Agent04_Withdrawals!D192)),"")</f>
        <v/>
      </c>
    </row>
    <row r="788" spans="1:13" ht="18" customHeight="1" x14ac:dyDescent="0.25">
      <c r="A788" s="37" t="str">
        <f>IF(Agent04_Withdrawals!A193="","",Agent04_Withdrawals!A193)</f>
        <v/>
      </c>
      <c r="B788" s="37" t="str">
        <f ca="1">IF(Agent04_Withdrawals!A193="","","WD"&amp;TEXT(788-3,"0000")&amp;"-"&amp;TEXT(TODAY(),"YYYYMMDD"))</f>
        <v/>
      </c>
      <c r="C788" s="37" t="str">
        <f>IF(Agent04_Withdrawals!A193="","",Agent04_Withdrawals!B193)</f>
        <v/>
      </c>
      <c r="D788" s="40" t="str">
        <f>IF(Agent04_Withdrawals!A193="","",Agent04_Withdrawals!C193)</f>
        <v/>
      </c>
      <c r="E788" s="38" t="str">
        <f>IF(Agent04_Withdrawals!A193="","",Agent04_Withdrawals!D193)</f>
        <v/>
      </c>
      <c r="F788" s="37" t="str">
        <f>IF(Agent04_Withdrawals!A193="","",Agent04_Withdrawals!F193)</f>
        <v/>
      </c>
      <c r="G788" s="39" t="str">
        <f>IF(Agent04_Withdrawals!A193="","",Agent04_Withdrawals!E193)</f>
        <v/>
      </c>
      <c r="H788" s="39" t="str">
        <f>IF(Agent04_Withdrawals!A193="","",Agent04_Withdrawals!G193)</f>
        <v/>
      </c>
      <c r="I788" s="37" t="str">
        <f>IF(Agent04_Withdrawals!A193="","",Agent04_Withdrawals!H193)</f>
        <v/>
      </c>
      <c r="J788" s="37" t="str">
        <f>IF(Agent04_Withdrawals!A193="","",Agent04_Withdrawals!J193)</f>
        <v/>
      </c>
      <c r="K788" s="37" t="str">
        <f>IF(Agent04_Withdrawals!A193="","",Agent04_Withdrawals!K193)</f>
        <v/>
      </c>
      <c r="L788" s="37" t="str">
        <f>IF(G788="","",IF(D788-G788&gt;=System_Config!$B$9,"✅ OK","⚠️ BREACH"))</f>
        <v/>
      </c>
      <c r="M788" s="37" t="str">
        <f>IFERROR(IF(Agent04_Withdrawals!A193="","",YEAR(Agent04_Withdrawals!D193)),"")</f>
        <v/>
      </c>
    </row>
    <row r="789" spans="1:13" ht="18" customHeight="1" x14ac:dyDescent="0.25">
      <c r="A789" s="37" t="str">
        <f>IF(Agent04_Withdrawals!A194="","",Agent04_Withdrawals!A194)</f>
        <v/>
      </c>
      <c r="B789" s="37" t="str">
        <f ca="1">IF(Agent04_Withdrawals!A194="","","WD"&amp;TEXT(789-3,"0000")&amp;"-"&amp;TEXT(TODAY(),"YYYYMMDD"))</f>
        <v/>
      </c>
      <c r="C789" s="37" t="str">
        <f>IF(Agent04_Withdrawals!A194="","",Agent04_Withdrawals!B194)</f>
        <v/>
      </c>
      <c r="D789" s="40" t="str">
        <f>IF(Agent04_Withdrawals!A194="","",Agent04_Withdrawals!C194)</f>
        <v/>
      </c>
      <c r="E789" s="38" t="str">
        <f>IF(Agent04_Withdrawals!A194="","",Agent04_Withdrawals!D194)</f>
        <v/>
      </c>
      <c r="F789" s="37" t="str">
        <f>IF(Agent04_Withdrawals!A194="","",Agent04_Withdrawals!F194)</f>
        <v/>
      </c>
      <c r="G789" s="39" t="str">
        <f>IF(Agent04_Withdrawals!A194="","",Agent04_Withdrawals!E194)</f>
        <v/>
      </c>
      <c r="H789" s="39" t="str">
        <f>IF(Agent04_Withdrawals!A194="","",Agent04_Withdrawals!G194)</f>
        <v/>
      </c>
      <c r="I789" s="37" t="str">
        <f>IF(Agent04_Withdrawals!A194="","",Agent04_Withdrawals!H194)</f>
        <v/>
      </c>
      <c r="J789" s="37" t="str">
        <f>IF(Agent04_Withdrawals!A194="","",Agent04_Withdrawals!J194)</f>
        <v/>
      </c>
      <c r="K789" s="37" t="str">
        <f>IF(Agent04_Withdrawals!A194="","",Agent04_Withdrawals!K194)</f>
        <v/>
      </c>
      <c r="L789" s="37" t="str">
        <f>IF(G789="","",IF(D789-G789&gt;=System_Config!$B$9,"✅ OK","⚠️ BREACH"))</f>
        <v/>
      </c>
      <c r="M789" s="37" t="str">
        <f>IFERROR(IF(Agent04_Withdrawals!A194="","",YEAR(Agent04_Withdrawals!D194)),"")</f>
        <v/>
      </c>
    </row>
    <row r="790" spans="1:13" ht="18" customHeight="1" x14ac:dyDescent="0.25">
      <c r="A790" s="37" t="str">
        <f>IF(Agent04_Withdrawals!A195="","",Agent04_Withdrawals!A195)</f>
        <v/>
      </c>
      <c r="B790" s="37" t="str">
        <f ca="1">IF(Agent04_Withdrawals!A195="","","WD"&amp;TEXT(790-3,"0000")&amp;"-"&amp;TEXT(TODAY(),"YYYYMMDD"))</f>
        <v/>
      </c>
      <c r="C790" s="37" t="str">
        <f>IF(Agent04_Withdrawals!A195="","",Agent04_Withdrawals!B195)</f>
        <v/>
      </c>
      <c r="D790" s="40" t="str">
        <f>IF(Agent04_Withdrawals!A195="","",Agent04_Withdrawals!C195)</f>
        <v/>
      </c>
      <c r="E790" s="38" t="str">
        <f>IF(Agent04_Withdrawals!A195="","",Agent04_Withdrawals!D195)</f>
        <v/>
      </c>
      <c r="F790" s="37" t="str">
        <f>IF(Agent04_Withdrawals!A195="","",Agent04_Withdrawals!F195)</f>
        <v/>
      </c>
      <c r="G790" s="39" t="str">
        <f>IF(Agent04_Withdrawals!A195="","",Agent04_Withdrawals!E195)</f>
        <v/>
      </c>
      <c r="H790" s="39" t="str">
        <f>IF(Agent04_Withdrawals!A195="","",Agent04_Withdrawals!G195)</f>
        <v/>
      </c>
      <c r="I790" s="37" t="str">
        <f>IF(Agent04_Withdrawals!A195="","",Agent04_Withdrawals!H195)</f>
        <v/>
      </c>
      <c r="J790" s="37" t="str">
        <f>IF(Agent04_Withdrawals!A195="","",Agent04_Withdrawals!J195)</f>
        <v/>
      </c>
      <c r="K790" s="37" t="str">
        <f>IF(Agent04_Withdrawals!A195="","",Agent04_Withdrawals!K195)</f>
        <v/>
      </c>
      <c r="L790" s="37" t="str">
        <f>IF(G790="","",IF(D790-G790&gt;=System_Config!$B$9,"✅ OK","⚠️ BREACH"))</f>
        <v/>
      </c>
      <c r="M790" s="37" t="str">
        <f>IFERROR(IF(Agent04_Withdrawals!A195="","",YEAR(Agent04_Withdrawals!D195)),"")</f>
        <v/>
      </c>
    </row>
    <row r="791" spans="1:13" ht="18" customHeight="1" x14ac:dyDescent="0.25">
      <c r="A791" s="37" t="str">
        <f>IF(Agent04_Withdrawals!A196="","",Agent04_Withdrawals!A196)</f>
        <v/>
      </c>
      <c r="B791" s="37" t="str">
        <f ca="1">IF(Agent04_Withdrawals!A196="","","WD"&amp;TEXT(791-3,"0000")&amp;"-"&amp;TEXT(TODAY(),"YYYYMMDD"))</f>
        <v/>
      </c>
      <c r="C791" s="37" t="str">
        <f>IF(Agent04_Withdrawals!A196="","",Agent04_Withdrawals!B196)</f>
        <v/>
      </c>
      <c r="D791" s="40" t="str">
        <f>IF(Agent04_Withdrawals!A196="","",Agent04_Withdrawals!C196)</f>
        <v/>
      </c>
      <c r="E791" s="38" t="str">
        <f>IF(Agent04_Withdrawals!A196="","",Agent04_Withdrawals!D196)</f>
        <v/>
      </c>
      <c r="F791" s="37" t="str">
        <f>IF(Agent04_Withdrawals!A196="","",Agent04_Withdrawals!F196)</f>
        <v/>
      </c>
      <c r="G791" s="39" t="str">
        <f>IF(Agent04_Withdrawals!A196="","",Agent04_Withdrawals!E196)</f>
        <v/>
      </c>
      <c r="H791" s="39" t="str">
        <f>IF(Agent04_Withdrawals!A196="","",Agent04_Withdrawals!G196)</f>
        <v/>
      </c>
      <c r="I791" s="37" t="str">
        <f>IF(Agent04_Withdrawals!A196="","",Agent04_Withdrawals!H196)</f>
        <v/>
      </c>
      <c r="J791" s="37" t="str">
        <f>IF(Agent04_Withdrawals!A196="","",Agent04_Withdrawals!J196)</f>
        <v/>
      </c>
      <c r="K791" s="37" t="str">
        <f>IF(Agent04_Withdrawals!A196="","",Agent04_Withdrawals!K196)</f>
        <v/>
      </c>
      <c r="L791" s="37" t="str">
        <f>IF(G791="","",IF(D791-G791&gt;=System_Config!$B$9,"✅ OK","⚠️ BREACH"))</f>
        <v/>
      </c>
      <c r="M791" s="37" t="str">
        <f>IFERROR(IF(Agent04_Withdrawals!A196="","",YEAR(Agent04_Withdrawals!D196)),"")</f>
        <v/>
      </c>
    </row>
    <row r="792" spans="1:13" ht="18" customHeight="1" x14ac:dyDescent="0.25">
      <c r="A792" s="37" t="str">
        <f>IF(Agent04_Withdrawals!A197="","",Agent04_Withdrawals!A197)</f>
        <v/>
      </c>
      <c r="B792" s="37" t="str">
        <f ca="1">IF(Agent04_Withdrawals!A197="","","WD"&amp;TEXT(792-3,"0000")&amp;"-"&amp;TEXT(TODAY(),"YYYYMMDD"))</f>
        <v/>
      </c>
      <c r="C792" s="37" t="str">
        <f>IF(Agent04_Withdrawals!A197="","",Agent04_Withdrawals!B197)</f>
        <v/>
      </c>
      <c r="D792" s="40" t="str">
        <f>IF(Agent04_Withdrawals!A197="","",Agent04_Withdrawals!C197)</f>
        <v/>
      </c>
      <c r="E792" s="38" t="str">
        <f>IF(Agent04_Withdrawals!A197="","",Agent04_Withdrawals!D197)</f>
        <v/>
      </c>
      <c r="F792" s="37" t="str">
        <f>IF(Agent04_Withdrawals!A197="","",Agent04_Withdrawals!F197)</f>
        <v/>
      </c>
      <c r="G792" s="39" t="str">
        <f>IF(Agent04_Withdrawals!A197="","",Agent04_Withdrawals!E197)</f>
        <v/>
      </c>
      <c r="H792" s="39" t="str">
        <f>IF(Agent04_Withdrawals!A197="","",Agent04_Withdrawals!G197)</f>
        <v/>
      </c>
      <c r="I792" s="37" t="str">
        <f>IF(Agent04_Withdrawals!A197="","",Agent04_Withdrawals!H197)</f>
        <v/>
      </c>
      <c r="J792" s="37" t="str">
        <f>IF(Agent04_Withdrawals!A197="","",Agent04_Withdrawals!J197)</f>
        <v/>
      </c>
      <c r="K792" s="37" t="str">
        <f>IF(Agent04_Withdrawals!A197="","",Agent04_Withdrawals!K197)</f>
        <v/>
      </c>
      <c r="L792" s="37" t="str">
        <f>IF(G792="","",IF(D792-G792&gt;=System_Config!$B$9,"✅ OK","⚠️ BREACH"))</f>
        <v/>
      </c>
      <c r="M792" s="37" t="str">
        <f>IFERROR(IF(Agent04_Withdrawals!A197="","",YEAR(Agent04_Withdrawals!D197)),"")</f>
        <v/>
      </c>
    </row>
    <row r="793" spans="1:13" ht="18" customHeight="1" x14ac:dyDescent="0.25">
      <c r="A793" s="37" t="str">
        <f>IF(Agent04_Withdrawals!A198="","",Agent04_Withdrawals!A198)</f>
        <v/>
      </c>
      <c r="B793" s="37" t="str">
        <f ca="1">IF(Agent04_Withdrawals!A198="","","WD"&amp;TEXT(793-3,"0000")&amp;"-"&amp;TEXT(TODAY(),"YYYYMMDD"))</f>
        <v/>
      </c>
      <c r="C793" s="37" t="str">
        <f>IF(Agent04_Withdrawals!A198="","",Agent04_Withdrawals!B198)</f>
        <v/>
      </c>
      <c r="D793" s="40" t="str">
        <f>IF(Agent04_Withdrawals!A198="","",Agent04_Withdrawals!C198)</f>
        <v/>
      </c>
      <c r="E793" s="38" t="str">
        <f>IF(Agent04_Withdrawals!A198="","",Agent04_Withdrawals!D198)</f>
        <v/>
      </c>
      <c r="F793" s="37" t="str">
        <f>IF(Agent04_Withdrawals!A198="","",Agent04_Withdrawals!F198)</f>
        <v/>
      </c>
      <c r="G793" s="39" t="str">
        <f>IF(Agent04_Withdrawals!A198="","",Agent04_Withdrawals!E198)</f>
        <v/>
      </c>
      <c r="H793" s="39" t="str">
        <f>IF(Agent04_Withdrawals!A198="","",Agent04_Withdrawals!G198)</f>
        <v/>
      </c>
      <c r="I793" s="37" t="str">
        <f>IF(Agent04_Withdrawals!A198="","",Agent04_Withdrawals!H198)</f>
        <v/>
      </c>
      <c r="J793" s="37" t="str">
        <f>IF(Agent04_Withdrawals!A198="","",Agent04_Withdrawals!J198)</f>
        <v/>
      </c>
      <c r="K793" s="37" t="str">
        <f>IF(Agent04_Withdrawals!A198="","",Agent04_Withdrawals!K198)</f>
        <v/>
      </c>
      <c r="L793" s="37" t="str">
        <f>IF(G793="","",IF(D793-G793&gt;=System_Config!$B$9,"✅ OK","⚠️ BREACH"))</f>
        <v/>
      </c>
      <c r="M793" s="37" t="str">
        <f>IFERROR(IF(Agent04_Withdrawals!A198="","",YEAR(Agent04_Withdrawals!D198)),"")</f>
        <v/>
      </c>
    </row>
    <row r="794" spans="1:13" ht="18" customHeight="1" x14ac:dyDescent="0.25">
      <c r="A794" s="37" t="str">
        <f>IF(Agent04_Withdrawals!A199="","",Agent04_Withdrawals!A199)</f>
        <v/>
      </c>
      <c r="B794" s="37" t="str">
        <f ca="1">IF(Agent04_Withdrawals!A199="","","WD"&amp;TEXT(794-3,"0000")&amp;"-"&amp;TEXT(TODAY(),"YYYYMMDD"))</f>
        <v/>
      </c>
      <c r="C794" s="37" t="str">
        <f>IF(Agent04_Withdrawals!A199="","",Agent04_Withdrawals!B199)</f>
        <v/>
      </c>
      <c r="D794" s="40" t="str">
        <f>IF(Agent04_Withdrawals!A199="","",Agent04_Withdrawals!C199)</f>
        <v/>
      </c>
      <c r="E794" s="38" t="str">
        <f>IF(Agent04_Withdrawals!A199="","",Agent04_Withdrawals!D199)</f>
        <v/>
      </c>
      <c r="F794" s="37" t="str">
        <f>IF(Agent04_Withdrawals!A199="","",Agent04_Withdrawals!F199)</f>
        <v/>
      </c>
      <c r="G794" s="39" t="str">
        <f>IF(Agent04_Withdrawals!A199="","",Agent04_Withdrawals!E199)</f>
        <v/>
      </c>
      <c r="H794" s="39" t="str">
        <f>IF(Agent04_Withdrawals!A199="","",Agent04_Withdrawals!G199)</f>
        <v/>
      </c>
      <c r="I794" s="37" t="str">
        <f>IF(Agent04_Withdrawals!A199="","",Agent04_Withdrawals!H199)</f>
        <v/>
      </c>
      <c r="J794" s="37" t="str">
        <f>IF(Agent04_Withdrawals!A199="","",Agent04_Withdrawals!J199)</f>
        <v/>
      </c>
      <c r="K794" s="37" t="str">
        <f>IF(Agent04_Withdrawals!A199="","",Agent04_Withdrawals!K199)</f>
        <v/>
      </c>
      <c r="L794" s="37" t="str">
        <f>IF(G794="","",IF(D794-G794&gt;=System_Config!$B$9,"✅ OK","⚠️ BREACH"))</f>
        <v/>
      </c>
      <c r="M794" s="37" t="str">
        <f>IFERROR(IF(Agent04_Withdrawals!A199="","",YEAR(Agent04_Withdrawals!D199)),"")</f>
        <v/>
      </c>
    </row>
    <row r="795" spans="1:13" ht="18" customHeight="1" x14ac:dyDescent="0.25">
      <c r="A795" s="37" t="str">
        <f>IF(Agent04_Withdrawals!A200="","",Agent04_Withdrawals!A200)</f>
        <v/>
      </c>
      <c r="B795" s="37" t="str">
        <f ca="1">IF(Agent04_Withdrawals!A200="","","WD"&amp;TEXT(795-3,"0000")&amp;"-"&amp;TEXT(TODAY(),"YYYYMMDD"))</f>
        <v/>
      </c>
      <c r="C795" s="37" t="str">
        <f>IF(Agent04_Withdrawals!A200="","",Agent04_Withdrawals!B200)</f>
        <v/>
      </c>
      <c r="D795" s="40" t="str">
        <f>IF(Agent04_Withdrawals!A200="","",Agent04_Withdrawals!C200)</f>
        <v/>
      </c>
      <c r="E795" s="38" t="str">
        <f>IF(Agent04_Withdrawals!A200="","",Agent04_Withdrawals!D200)</f>
        <v/>
      </c>
      <c r="F795" s="37" t="str">
        <f>IF(Agent04_Withdrawals!A200="","",Agent04_Withdrawals!F200)</f>
        <v/>
      </c>
      <c r="G795" s="39" t="str">
        <f>IF(Agent04_Withdrawals!A200="","",Agent04_Withdrawals!E200)</f>
        <v/>
      </c>
      <c r="H795" s="39" t="str">
        <f>IF(Agent04_Withdrawals!A200="","",Agent04_Withdrawals!G200)</f>
        <v/>
      </c>
      <c r="I795" s="37" t="str">
        <f>IF(Agent04_Withdrawals!A200="","",Agent04_Withdrawals!H200)</f>
        <v/>
      </c>
      <c r="J795" s="37" t="str">
        <f>IF(Agent04_Withdrawals!A200="","",Agent04_Withdrawals!J200)</f>
        <v/>
      </c>
      <c r="K795" s="37" t="str">
        <f>IF(Agent04_Withdrawals!A200="","",Agent04_Withdrawals!K200)</f>
        <v/>
      </c>
      <c r="L795" s="37" t="str">
        <f>IF(G795="","",IF(D795-G795&gt;=System_Config!$B$9,"✅ OK","⚠️ BREACH"))</f>
        <v/>
      </c>
      <c r="M795" s="37" t="str">
        <f>IFERROR(IF(Agent04_Withdrawals!A200="","",YEAR(Agent04_Withdrawals!D200)),"")</f>
        <v/>
      </c>
    </row>
    <row r="796" spans="1:13" ht="18" customHeight="1" x14ac:dyDescent="0.25">
      <c r="A796" s="37" t="str">
        <f>IF(Agent04_Withdrawals!A201="","",Agent04_Withdrawals!A201)</f>
        <v/>
      </c>
      <c r="B796" s="37" t="str">
        <f ca="1">IF(Agent04_Withdrawals!A201="","","WD"&amp;TEXT(796-3,"0000")&amp;"-"&amp;TEXT(TODAY(),"YYYYMMDD"))</f>
        <v/>
      </c>
      <c r="C796" s="37" t="str">
        <f>IF(Agent04_Withdrawals!A201="","",Agent04_Withdrawals!B201)</f>
        <v/>
      </c>
      <c r="D796" s="40" t="str">
        <f>IF(Agent04_Withdrawals!A201="","",Agent04_Withdrawals!C201)</f>
        <v/>
      </c>
      <c r="E796" s="38" t="str">
        <f>IF(Agent04_Withdrawals!A201="","",Agent04_Withdrawals!D201)</f>
        <v/>
      </c>
      <c r="F796" s="37" t="str">
        <f>IF(Agent04_Withdrawals!A201="","",Agent04_Withdrawals!F201)</f>
        <v/>
      </c>
      <c r="G796" s="39" t="str">
        <f>IF(Agent04_Withdrawals!A201="","",Agent04_Withdrawals!E201)</f>
        <v/>
      </c>
      <c r="H796" s="39" t="str">
        <f>IF(Agent04_Withdrawals!A201="","",Agent04_Withdrawals!G201)</f>
        <v/>
      </c>
      <c r="I796" s="37" t="str">
        <f>IF(Agent04_Withdrawals!A201="","",Agent04_Withdrawals!H201)</f>
        <v/>
      </c>
      <c r="J796" s="37" t="str">
        <f>IF(Agent04_Withdrawals!A201="","",Agent04_Withdrawals!J201)</f>
        <v/>
      </c>
      <c r="K796" s="37" t="str">
        <f>IF(Agent04_Withdrawals!A201="","",Agent04_Withdrawals!K201)</f>
        <v/>
      </c>
      <c r="L796" s="37" t="str">
        <f>IF(G796="","",IF(D796-G796&gt;=System_Config!$B$9,"✅ OK","⚠️ BREACH"))</f>
        <v/>
      </c>
      <c r="M796" s="37" t="str">
        <f>IFERROR(IF(Agent04_Withdrawals!A201="","",YEAR(Agent04_Withdrawals!D201)),"")</f>
        <v/>
      </c>
    </row>
    <row r="797" spans="1:13" ht="18" customHeight="1" x14ac:dyDescent="0.25">
      <c r="A797" s="37" t="str">
        <f>IF(Agent04_Withdrawals!A202="","",Agent04_Withdrawals!A202)</f>
        <v/>
      </c>
      <c r="B797" s="37" t="str">
        <f ca="1">IF(Agent04_Withdrawals!A202="","","WD"&amp;TEXT(797-3,"0000")&amp;"-"&amp;TEXT(TODAY(),"YYYYMMDD"))</f>
        <v/>
      </c>
      <c r="C797" s="37" t="str">
        <f>IF(Agent04_Withdrawals!A202="","",Agent04_Withdrawals!B202)</f>
        <v/>
      </c>
      <c r="D797" s="40" t="str">
        <f>IF(Agent04_Withdrawals!A202="","",Agent04_Withdrawals!C202)</f>
        <v/>
      </c>
      <c r="E797" s="38" t="str">
        <f>IF(Agent04_Withdrawals!A202="","",Agent04_Withdrawals!D202)</f>
        <v/>
      </c>
      <c r="F797" s="37" t="str">
        <f>IF(Agent04_Withdrawals!A202="","",Agent04_Withdrawals!F202)</f>
        <v/>
      </c>
      <c r="G797" s="39" t="str">
        <f>IF(Agent04_Withdrawals!A202="","",Agent04_Withdrawals!E202)</f>
        <v/>
      </c>
      <c r="H797" s="39" t="str">
        <f>IF(Agent04_Withdrawals!A202="","",Agent04_Withdrawals!G202)</f>
        <v/>
      </c>
      <c r="I797" s="37" t="str">
        <f>IF(Agent04_Withdrawals!A202="","",Agent04_Withdrawals!H202)</f>
        <v/>
      </c>
      <c r="J797" s="37" t="str">
        <f>IF(Agent04_Withdrawals!A202="","",Agent04_Withdrawals!J202)</f>
        <v/>
      </c>
      <c r="K797" s="37" t="str">
        <f>IF(Agent04_Withdrawals!A202="","",Agent04_Withdrawals!K202)</f>
        <v/>
      </c>
      <c r="L797" s="37" t="str">
        <f>IF(G797="","",IF(D797-G797&gt;=System_Config!$B$9,"✅ OK","⚠️ BREACH"))</f>
        <v/>
      </c>
      <c r="M797" s="37" t="str">
        <f>IFERROR(IF(Agent04_Withdrawals!A202="","",YEAR(Agent04_Withdrawals!D202)),"")</f>
        <v/>
      </c>
    </row>
    <row r="798" spans="1:13" ht="18" customHeight="1" x14ac:dyDescent="0.25">
      <c r="A798" s="37" t="str">
        <f>IF(Agent04_Withdrawals!A203="","",Agent04_Withdrawals!A203)</f>
        <v/>
      </c>
      <c r="B798" s="37" t="str">
        <f ca="1">IF(Agent04_Withdrawals!A203="","","WD"&amp;TEXT(798-3,"0000")&amp;"-"&amp;TEXT(TODAY(),"YYYYMMDD"))</f>
        <v/>
      </c>
      <c r="C798" s="37" t="str">
        <f>IF(Agent04_Withdrawals!A203="","",Agent04_Withdrawals!B203)</f>
        <v/>
      </c>
      <c r="D798" s="40" t="str">
        <f>IF(Agent04_Withdrawals!A203="","",Agent04_Withdrawals!C203)</f>
        <v/>
      </c>
      <c r="E798" s="38" t="str">
        <f>IF(Agent04_Withdrawals!A203="","",Agent04_Withdrawals!D203)</f>
        <v/>
      </c>
      <c r="F798" s="37" t="str">
        <f>IF(Agent04_Withdrawals!A203="","",Agent04_Withdrawals!F203)</f>
        <v/>
      </c>
      <c r="G798" s="39" t="str">
        <f>IF(Agent04_Withdrawals!A203="","",Agent04_Withdrawals!E203)</f>
        <v/>
      </c>
      <c r="H798" s="39" t="str">
        <f>IF(Agent04_Withdrawals!A203="","",Agent04_Withdrawals!G203)</f>
        <v/>
      </c>
      <c r="I798" s="37" t="str">
        <f>IF(Agent04_Withdrawals!A203="","",Agent04_Withdrawals!H203)</f>
        <v/>
      </c>
      <c r="J798" s="37" t="str">
        <f>IF(Agent04_Withdrawals!A203="","",Agent04_Withdrawals!J203)</f>
        <v/>
      </c>
      <c r="K798" s="37" t="str">
        <f>IF(Agent04_Withdrawals!A203="","",Agent04_Withdrawals!K203)</f>
        <v/>
      </c>
      <c r="L798" s="37" t="str">
        <f>IF(G798="","",IF(D798-G798&gt;=System_Config!$B$9,"✅ OK","⚠️ BREACH"))</f>
        <v/>
      </c>
      <c r="M798" s="37" t="str">
        <f>IFERROR(IF(Agent04_Withdrawals!A203="","",YEAR(Agent04_Withdrawals!D203)),"")</f>
        <v/>
      </c>
    </row>
    <row r="799" spans="1:13" ht="18" customHeight="1" x14ac:dyDescent="0.25">
      <c r="A799" s="37" t="str">
        <f>IF(Agent04_Withdrawals!A204="","",Agent04_Withdrawals!A204)</f>
        <v/>
      </c>
      <c r="B799" s="37" t="str">
        <f ca="1">IF(Agent04_Withdrawals!A204="","","WD"&amp;TEXT(799-3,"0000")&amp;"-"&amp;TEXT(TODAY(),"YYYYMMDD"))</f>
        <v/>
      </c>
      <c r="C799" s="37" t="str">
        <f>IF(Agent04_Withdrawals!A204="","",Agent04_Withdrawals!B204)</f>
        <v/>
      </c>
      <c r="D799" s="40" t="str">
        <f>IF(Agent04_Withdrawals!A204="","",Agent04_Withdrawals!C204)</f>
        <v/>
      </c>
      <c r="E799" s="38" t="str">
        <f>IF(Agent04_Withdrawals!A204="","",Agent04_Withdrawals!D204)</f>
        <v/>
      </c>
      <c r="F799" s="37" t="str">
        <f>IF(Agent04_Withdrawals!A204="","",Agent04_Withdrawals!F204)</f>
        <v/>
      </c>
      <c r="G799" s="39" t="str">
        <f>IF(Agent04_Withdrawals!A204="","",Agent04_Withdrawals!E204)</f>
        <v/>
      </c>
      <c r="H799" s="39" t="str">
        <f>IF(Agent04_Withdrawals!A204="","",Agent04_Withdrawals!G204)</f>
        <v/>
      </c>
      <c r="I799" s="37" t="str">
        <f>IF(Agent04_Withdrawals!A204="","",Agent04_Withdrawals!H204)</f>
        <v/>
      </c>
      <c r="J799" s="37" t="str">
        <f>IF(Agent04_Withdrawals!A204="","",Agent04_Withdrawals!J204)</f>
        <v/>
      </c>
      <c r="K799" s="37" t="str">
        <f>IF(Agent04_Withdrawals!A204="","",Agent04_Withdrawals!K204)</f>
        <v/>
      </c>
      <c r="L799" s="37" t="str">
        <f>IF(G799="","",IF(D799-G799&gt;=System_Config!$B$9,"✅ OK","⚠️ BREACH"))</f>
        <v/>
      </c>
      <c r="M799" s="37" t="str">
        <f>IFERROR(IF(Agent04_Withdrawals!A204="","",YEAR(Agent04_Withdrawals!D204)),"")</f>
        <v/>
      </c>
    </row>
    <row r="800" spans="1:13" ht="18" customHeight="1" x14ac:dyDescent="0.25">
      <c r="A800" s="37" t="str">
        <f>IF(Agent04_Withdrawals!A205="","",Agent04_Withdrawals!A205)</f>
        <v/>
      </c>
      <c r="B800" s="37" t="str">
        <f ca="1">IF(Agent04_Withdrawals!A205="","","WD"&amp;TEXT(800-3,"0000")&amp;"-"&amp;TEXT(TODAY(),"YYYYMMDD"))</f>
        <v/>
      </c>
      <c r="C800" s="37" t="str">
        <f>IF(Agent04_Withdrawals!A205="","",Agent04_Withdrawals!B205)</f>
        <v/>
      </c>
      <c r="D800" s="40" t="str">
        <f>IF(Agent04_Withdrawals!A205="","",Agent04_Withdrawals!C205)</f>
        <v/>
      </c>
      <c r="E800" s="38" t="str">
        <f>IF(Agent04_Withdrawals!A205="","",Agent04_Withdrawals!D205)</f>
        <v/>
      </c>
      <c r="F800" s="37" t="str">
        <f>IF(Agent04_Withdrawals!A205="","",Agent04_Withdrawals!F205)</f>
        <v/>
      </c>
      <c r="G800" s="39" t="str">
        <f>IF(Agent04_Withdrawals!A205="","",Agent04_Withdrawals!E205)</f>
        <v/>
      </c>
      <c r="H800" s="39" t="str">
        <f>IF(Agent04_Withdrawals!A205="","",Agent04_Withdrawals!G205)</f>
        <v/>
      </c>
      <c r="I800" s="37" t="str">
        <f>IF(Agent04_Withdrawals!A205="","",Agent04_Withdrawals!H205)</f>
        <v/>
      </c>
      <c r="J800" s="37" t="str">
        <f>IF(Agent04_Withdrawals!A205="","",Agent04_Withdrawals!J205)</f>
        <v/>
      </c>
      <c r="K800" s="37" t="str">
        <f>IF(Agent04_Withdrawals!A205="","",Agent04_Withdrawals!K205)</f>
        <v/>
      </c>
      <c r="L800" s="37" t="str">
        <f>IF(G800="","",IF(D800-G800&gt;=System_Config!$B$9,"✅ OK","⚠️ BREACH"))</f>
        <v/>
      </c>
      <c r="M800" s="37" t="str">
        <f>IFERROR(IF(Agent04_Withdrawals!A205="","",YEAR(Agent04_Withdrawals!D205)),"")</f>
        <v/>
      </c>
    </row>
    <row r="801" spans="1:13" ht="18" customHeight="1" x14ac:dyDescent="0.25">
      <c r="A801" s="37" t="str">
        <f>IF(Agent04_Withdrawals!A206="","",Agent04_Withdrawals!A206)</f>
        <v/>
      </c>
      <c r="B801" s="37" t="str">
        <f ca="1">IF(Agent04_Withdrawals!A206="","","WD"&amp;TEXT(801-3,"0000")&amp;"-"&amp;TEXT(TODAY(),"YYYYMMDD"))</f>
        <v/>
      </c>
      <c r="C801" s="37" t="str">
        <f>IF(Agent04_Withdrawals!A206="","",Agent04_Withdrawals!B206)</f>
        <v/>
      </c>
      <c r="D801" s="40" t="str">
        <f>IF(Agent04_Withdrawals!A206="","",Agent04_Withdrawals!C206)</f>
        <v/>
      </c>
      <c r="E801" s="38" t="str">
        <f>IF(Agent04_Withdrawals!A206="","",Agent04_Withdrawals!D206)</f>
        <v/>
      </c>
      <c r="F801" s="37" t="str">
        <f>IF(Agent04_Withdrawals!A206="","",Agent04_Withdrawals!F206)</f>
        <v/>
      </c>
      <c r="G801" s="39" t="str">
        <f>IF(Agent04_Withdrawals!A206="","",Agent04_Withdrawals!E206)</f>
        <v/>
      </c>
      <c r="H801" s="39" t="str">
        <f>IF(Agent04_Withdrawals!A206="","",Agent04_Withdrawals!G206)</f>
        <v/>
      </c>
      <c r="I801" s="37" t="str">
        <f>IF(Agent04_Withdrawals!A206="","",Agent04_Withdrawals!H206)</f>
        <v/>
      </c>
      <c r="J801" s="37" t="str">
        <f>IF(Agent04_Withdrawals!A206="","",Agent04_Withdrawals!J206)</f>
        <v/>
      </c>
      <c r="K801" s="37" t="str">
        <f>IF(Agent04_Withdrawals!A206="","",Agent04_Withdrawals!K206)</f>
        <v/>
      </c>
      <c r="L801" s="37" t="str">
        <f>IF(G801="","",IF(D801-G801&gt;=System_Config!$B$9,"✅ OK","⚠️ BREACH"))</f>
        <v/>
      </c>
      <c r="M801" s="37" t="str">
        <f>IFERROR(IF(Agent04_Withdrawals!A206="","",YEAR(Agent04_Withdrawals!D206)),"")</f>
        <v/>
      </c>
    </row>
    <row r="802" spans="1:13" ht="18" customHeight="1" x14ac:dyDescent="0.25">
      <c r="A802" s="37" t="str">
        <f>IF(Agent04_Withdrawals!A207="","",Agent04_Withdrawals!A207)</f>
        <v/>
      </c>
      <c r="B802" s="37" t="str">
        <f ca="1">IF(Agent04_Withdrawals!A207="","","WD"&amp;TEXT(802-3,"0000")&amp;"-"&amp;TEXT(TODAY(),"YYYYMMDD"))</f>
        <v/>
      </c>
      <c r="C802" s="37" t="str">
        <f>IF(Agent04_Withdrawals!A207="","",Agent04_Withdrawals!B207)</f>
        <v/>
      </c>
      <c r="D802" s="40" t="str">
        <f>IF(Agent04_Withdrawals!A207="","",Agent04_Withdrawals!C207)</f>
        <v/>
      </c>
      <c r="E802" s="38" t="str">
        <f>IF(Agent04_Withdrawals!A207="","",Agent04_Withdrawals!D207)</f>
        <v/>
      </c>
      <c r="F802" s="37" t="str">
        <f>IF(Agent04_Withdrawals!A207="","",Agent04_Withdrawals!F207)</f>
        <v/>
      </c>
      <c r="G802" s="39" t="str">
        <f>IF(Agent04_Withdrawals!A207="","",Agent04_Withdrawals!E207)</f>
        <v/>
      </c>
      <c r="H802" s="39" t="str">
        <f>IF(Agent04_Withdrawals!A207="","",Agent04_Withdrawals!G207)</f>
        <v/>
      </c>
      <c r="I802" s="37" t="str">
        <f>IF(Agent04_Withdrawals!A207="","",Agent04_Withdrawals!H207)</f>
        <v/>
      </c>
      <c r="J802" s="37" t="str">
        <f>IF(Agent04_Withdrawals!A207="","",Agent04_Withdrawals!J207)</f>
        <v/>
      </c>
      <c r="K802" s="37" t="str">
        <f>IF(Agent04_Withdrawals!A207="","",Agent04_Withdrawals!K207)</f>
        <v/>
      </c>
      <c r="L802" s="37" t="str">
        <f>IF(G802="","",IF(D802-G802&gt;=System_Config!$B$9,"✅ OK","⚠️ BREACH"))</f>
        <v/>
      </c>
      <c r="M802" s="37" t="str">
        <f>IFERROR(IF(Agent04_Withdrawals!A207="","",YEAR(Agent04_Withdrawals!D207)),"")</f>
        <v/>
      </c>
    </row>
    <row r="803" spans="1:13" ht="18" customHeight="1" x14ac:dyDescent="0.25">
      <c r="A803" s="37" t="str">
        <f>IF(Agent04_Withdrawals!A208="","",Agent04_Withdrawals!A208)</f>
        <v/>
      </c>
      <c r="B803" s="37" t="str">
        <f ca="1">IF(Agent04_Withdrawals!A208="","","WD"&amp;TEXT(803-3,"0000")&amp;"-"&amp;TEXT(TODAY(),"YYYYMMDD"))</f>
        <v/>
      </c>
      <c r="C803" s="37" t="str">
        <f>IF(Agent04_Withdrawals!A208="","",Agent04_Withdrawals!B208)</f>
        <v/>
      </c>
      <c r="D803" s="40" t="str">
        <f>IF(Agent04_Withdrawals!A208="","",Agent04_Withdrawals!C208)</f>
        <v/>
      </c>
      <c r="E803" s="38" t="str">
        <f>IF(Agent04_Withdrawals!A208="","",Agent04_Withdrawals!D208)</f>
        <v/>
      </c>
      <c r="F803" s="37" t="str">
        <f>IF(Agent04_Withdrawals!A208="","",Agent04_Withdrawals!F208)</f>
        <v/>
      </c>
      <c r="G803" s="39" t="str">
        <f>IF(Agent04_Withdrawals!A208="","",Agent04_Withdrawals!E208)</f>
        <v/>
      </c>
      <c r="H803" s="39" t="str">
        <f>IF(Agent04_Withdrawals!A208="","",Agent04_Withdrawals!G208)</f>
        <v/>
      </c>
      <c r="I803" s="37" t="str">
        <f>IF(Agent04_Withdrawals!A208="","",Agent04_Withdrawals!H208)</f>
        <v/>
      </c>
      <c r="J803" s="37" t="str">
        <f>IF(Agent04_Withdrawals!A208="","",Agent04_Withdrawals!J208)</f>
        <v/>
      </c>
      <c r="K803" s="37" t="str">
        <f>IF(Agent04_Withdrawals!A208="","",Agent04_Withdrawals!K208)</f>
        <v/>
      </c>
      <c r="L803" s="37" t="str">
        <f>IF(G803="","",IF(D803-G803&gt;=System_Config!$B$9,"✅ OK","⚠️ BREACH"))</f>
        <v/>
      </c>
      <c r="M803" s="37" t="str">
        <f>IFERROR(IF(Agent04_Withdrawals!A208="","",YEAR(Agent04_Withdrawals!D208)),"")</f>
        <v/>
      </c>
    </row>
    <row r="804" spans="1:13" ht="18" customHeight="1" x14ac:dyDescent="0.25">
      <c r="A804" s="37" t="str">
        <f>IF(Agent05_Withdrawals!A9="","",Agent05_Withdrawals!A9)</f>
        <v/>
      </c>
      <c r="B804" s="37" t="str">
        <f ca="1">IF(Agent05_Withdrawals!A9="","","WD"&amp;TEXT(804-3,"0000")&amp;"-"&amp;TEXT(TODAY(),"YYYYMMDD"))</f>
        <v/>
      </c>
      <c r="C804" s="37" t="str">
        <f>IF(Agent05_Withdrawals!A9="","",Agent05_Withdrawals!B9)</f>
        <v/>
      </c>
      <c r="D804" s="40" t="str">
        <f>IF(Agent05_Withdrawals!A9="","",Agent05_Withdrawals!C9)</f>
        <v/>
      </c>
      <c r="E804" s="38" t="str">
        <f>IF(Agent05_Withdrawals!A9="","",Agent05_Withdrawals!D9)</f>
        <v/>
      </c>
      <c r="F804" s="37" t="str">
        <f>IF(Agent05_Withdrawals!A9="","",Agent05_Withdrawals!F9)</f>
        <v/>
      </c>
      <c r="G804" s="39" t="str">
        <f>IF(Agent05_Withdrawals!A9="","",Agent05_Withdrawals!E9)</f>
        <v/>
      </c>
      <c r="H804" s="39" t="str">
        <f>IF(Agent05_Withdrawals!A9="","",Agent05_Withdrawals!G9)</f>
        <v/>
      </c>
      <c r="I804" s="37" t="str">
        <f>IF(Agent05_Withdrawals!A9="","",Agent05_Withdrawals!H9)</f>
        <v/>
      </c>
      <c r="J804" s="37" t="str">
        <f>IF(Agent05_Withdrawals!A9="","",Agent05_Withdrawals!J9)</f>
        <v/>
      </c>
      <c r="K804" s="37" t="str">
        <f>IF(Agent05_Withdrawals!A9="","",Agent05_Withdrawals!K9)</f>
        <v/>
      </c>
      <c r="L804" s="37" t="str">
        <f>IF(G804="","",IF(D804-G804&gt;=System_Config!$B$9,"✅ OK","⚠️ BREACH"))</f>
        <v/>
      </c>
      <c r="M804" s="37" t="str">
        <f>IFERROR(IF(Agent05_Withdrawals!A9="","",YEAR(Agent05_Withdrawals!D9)),"")</f>
        <v/>
      </c>
    </row>
    <row r="805" spans="1:13" ht="18" customHeight="1" x14ac:dyDescent="0.25">
      <c r="A805" s="37" t="str">
        <f>IF(Agent05_Withdrawals!A10="","",Agent05_Withdrawals!A10)</f>
        <v/>
      </c>
      <c r="B805" s="37" t="str">
        <f ca="1">IF(Agent05_Withdrawals!A10="","","WD"&amp;TEXT(805-3,"0000")&amp;"-"&amp;TEXT(TODAY(),"YYYYMMDD"))</f>
        <v/>
      </c>
      <c r="C805" s="37" t="str">
        <f>IF(Agent05_Withdrawals!A10="","",Agent05_Withdrawals!B10)</f>
        <v/>
      </c>
      <c r="D805" s="40" t="str">
        <f>IF(Agent05_Withdrawals!A10="","",Agent05_Withdrawals!C10)</f>
        <v/>
      </c>
      <c r="E805" s="38" t="str">
        <f>IF(Agent05_Withdrawals!A10="","",Agent05_Withdrawals!D10)</f>
        <v/>
      </c>
      <c r="F805" s="37" t="str">
        <f>IF(Agent05_Withdrawals!A10="","",Agent05_Withdrawals!F10)</f>
        <v/>
      </c>
      <c r="G805" s="39" t="str">
        <f>IF(Agent05_Withdrawals!A10="","",Agent05_Withdrawals!E10)</f>
        <v/>
      </c>
      <c r="H805" s="39" t="str">
        <f>IF(Agent05_Withdrawals!A10="","",Agent05_Withdrawals!G10)</f>
        <v/>
      </c>
      <c r="I805" s="37" t="str">
        <f>IF(Agent05_Withdrawals!A10="","",Agent05_Withdrawals!H10)</f>
        <v/>
      </c>
      <c r="J805" s="37" t="str">
        <f>IF(Agent05_Withdrawals!A10="","",Agent05_Withdrawals!J10)</f>
        <v/>
      </c>
      <c r="K805" s="37" t="str">
        <f>IF(Agent05_Withdrawals!A10="","",Agent05_Withdrawals!K10)</f>
        <v/>
      </c>
      <c r="L805" s="37" t="str">
        <f>IF(G805="","",IF(D805-G805&gt;=System_Config!$B$9,"✅ OK","⚠️ BREACH"))</f>
        <v/>
      </c>
      <c r="M805" s="37" t="str">
        <f>IFERROR(IF(Agent05_Withdrawals!A10="","",YEAR(Agent05_Withdrawals!D10)),"")</f>
        <v/>
      </c>
    </row>
    <row r="806" spans="1:13" ht="18" customHeight="1" x14ac:dyDescent="0.25">
      <c r="A806" s="37" t="str">
        <f>IF(Agent05_Withdrawals!A11="","",Agent05_Withdrawals!A11)</f>
        <v/>
      </c>
      <c r="B806" s="37" t="str">
        <f ca="1">IF(Agent05_Withdrawals!A11="","","WD"&amp;TEXT(806-3,"0000")&amp;"-"&amp;TEXT(TODAY(),"YYYYMMDD"))</f>
        <v/>
      </c>
      <c r="C806" s="37" t="str">
        <f>IF(Agent05_Withdrawals!A11="","",Agent05_Withdrawals!B11)</f>
        <v/>
      </c>
      <c r="D806" s="40" t="str">
        <f>IF(Agent05_Withdrawals!A11="","",Agent05_Withdrawals!C11)</f>
        <v/>
      </c>
      <c r="E806" s="38" t="str">
        <f>IF(Agent05_Withdrawals!A11="","",Agent05_Withdrawals!D11)</f>
        <v/>
      </c>
      <c r="F806" s="37" t="str">
        <f>IF(Agent05_Withdrawals!A11="","",Agent05_Withdrawals!F11)</f>
        <v/>
      </c>
      <c r="G806" s="39" t="str">
        <f>IF(Agent05_Withdrawals!A11="","",Agent05_Withdrawals!E11)</f>
        <v/>
      </c>
      <c r="H806" s="39" t="str">
        <f>IF(Agent05_Withdrawals!A11="","",Agent05_Withdrawals!G11)</f>
        <v/>
      </c>
      <c r="I806" s="37" t="str">
        <f>IF(Agent05_Withdrawals!A11="","",Agent05_Withdrawals!H11)</f>
        <v/>
      </c>
      <c r="J806" s="37" t="str">
        <f>IF(Agent05_Withdrawals!A11="","",Agent05_Withdrawals!J11)</f>
        <v/>
      </c>
      <c r="K806" s="37" t="str">
        <f>IF(Agent05_Withdrawals!A11="","",Agent05_Withdrawals!K11)</f>
        <v/>
      </c>
      <c r="L806" s="37" t="str">
        <f>IF(G806="","",IF(D806-G806&gt;=System_Config!$B$9,"✅ OK","⚠️ BREACH"))</f>
        <v/>
      </c>
      <c r="M806" s="37" t="str">
        <f>IFERROR(IF(Agent05_Withdrawals!A11="","",YEAR(Agent05_Withdrawals!D11)),"")</f>
        <v/>
      </c>
    </row>
    <row r="807" spans="1:13" ht="18" customHeight="1" x14ac:dyDescent="0.25">
      <c r="A807" s="37" t="str">
        <f>IF(Agent05_Withdrawals!A12="","",Agent05_Withdrawals!A12)</f>
        <v/>
      </c>
      <c r="B807" s="37" t="str">
        <f ca="1">IF(Agent05_Withdrawals!A12="","","WD"&amp;TEXT(807-3,"0000")&amp;"-"&amp;TEXT(TODAY(),"YYYYMMDD"))</f>
        <v/>
      </c>
      <c r="C807" s="37" t="str">
        <f>IF(Agent05_Withdrawals!A12="","",Agent05_Withdrawals!B12)</f>
        <v/>
      </c>
      <c r="D807" s="40" t="str">
        <f>IF(Agent05_Withdrawals!A12="","",Agent05_Withdrawals!C12)</f>
        <v/>
      </c>
      <c r="E807" s="38" t="str">
        <f>IF(Agent05_Withdrawals!A12="","",Agent05_Withdrawals!D12)</f>
        <v/>
      </c>
      <c r="F807" s="37" t="str">
        <f>IF(Agent05_Withdrawals!A12="","",Agent05_Withdrawals!F12)</f>
        <v/>
      </c>
      <c r="G807" s="39" t="str">
        <f>IF(Agent05_Withdrawals!A12="","",Agent05_Withdrawals!E12)</f>
        <v/>
      </c>
      <c r="H807" s="39" t="str">
        <f>IF(Agent05_Withdrawals!A12="","",Agent05_Withdrawals!G12)</f>
        <v/>
      </c>
      <c r="I807" s="37" t="str">
        <f>IF(Agent05_Withdrawals!A12="","",Agent05_Withdrawals!H12)</f>
        <v/>
      </c>
      <c r="J807" s="37" t="str">
        <f>IF(Agent05_Withdrawals!A12="","",Agent05_Withdrawals!J12)</f>
        <v/>
      </c>
      <c r="K807" s="37" t="str">
        <f>IF(Agent05_Withdrawals!A12="","",Agent05_Withdrawals!K12)</f>
        <v/>
      </c>
      <c r="L807" s="37" t="str">
        <f>IF(G807="","",IF(D807-G807&gt;=System_Config!$B$9,"✅ OK","⚠️ BREACH"))</f>
        <v/>
      </c>
      <c r="M807" s="37" t="str">
        <f>IFERROR(IF(Agent05_Withdrawals!A12="","",YEAR(Agent05_Withdrawals!D12)),"")</f>
        <v/>
      </c>
    </row>
    <row r="808" spans="1:13" ht="18" customHeight="1" x14ac:dyDescent="0.25">
      <c r="A808" s="37" t="str">
        <f>IF(Agent05_Withdrawals!A13="","",Agent05_Withdrawals!A13)</f>
        <v/>
      </c>
      <c r="B808" s="37" t="str">
        <f ca="1">IF(Agent05_Withdrawals!A13="","","WD"&amp;TEXT(808-3,"0000")&amp;"-"&amp;TEXT(TODAY(),"YYYYMMDD"))</f>
        <v/>
      </c>
      <c r="C808" s="37" t="str">
        <f>IF(Agent05_Withdrawals!A13="","",Agent05_Withdrawals!B13)</f>
        <v/>
      </c>
      <c r="D808" s="40" t="str">
        <f>IF(Agent05_Withdrawals!A13="","",Agent05_Withdrawals!C13)</f>
        <v/>
      </c>
      <c r="E808" s="38" t="str">
        <f>IF(Agent05_Withdrawals!A13="","",Agent05_Withdrawals!D13)</f>
        <v/>
      </c>
      <c r="F808" s="37" t="str">
        <f>IF(Agent05_Withdrawals!A13="","",Agent05_Withdrawals!F13)</f>
        <v/>
      </c>
      <c r="G808" s="39" t="str">
        <f>IF(Agent05_Withdrawals!A13="","",Agent05_Withdrawals!E13)</f>
        <v/>
      </c>
      <c r="H808" s="39" t="str">
        <f>IF(Agent05_Withdrawals!A13="","",Agent05_Withdrawals!G13)</f>
        <v/>
      </c>
      <c r="I808" s="37" t="str">
        <f>IF(Agent05_Withdrawals!A13="","",Agent05_Withdrawals!H13)</f>
        <v/>
      </c>
      <c r="J808" s="37" t="str">
        <f>IF(Agent05_Withdrawals!A13="","",Agent05_Withdrawals!J13)</f>
        <v/>
      </c>
      <c r="K808" s="37" t="str">
        <f>IF(Agent05_Withdrawals!A13="","",Agent05_Withdrawals!K13)</f>
        <v/>
      </c>
      <c r="L808" s="37" t="str">
        <f>IF(G808="","",IF(D808-G808&gt;=System_Config!$B$9,"✅ OK","⚠️ BREACH"))</f>
        <v/>
      </c>
      <c r="M808" s="37" t="str">
        <f>IFERROR(IF(Agent05_Withdrawals!A13="","",YEAR(Agent05_Withdrawals!D13)),"")</f>
        <v/>
      </c>
    </row>
    <row r="809" spans="1:13" ht="18" customHeight="1" x14ac:dyDescent="0.25">
      <c r="A809" s="37" t="str">
        <f>IF(Agent05_Withdrawals!A14="","",Agent05_Withdrawals!A14)</f>
        <v/>
      </c>
      <c r="B809" s="37" t="str">
        <f ca="1">IF(Agent05_Withdrawals!A14="","","WD"&amp;TEXT(809-3,"0000")&amp;"-"&amp;TEXT(TODAY(),"YYYYMMDD"))</f>
        <v/>
      </c>
      <c r="C809" s="37" t="str">
        <f>IF(Agent05_Withdrawals!A14="","",Agent05_Withdrawals!B14)</f>
        <v/>
      </c>
      <c r="D809" s="40" t="str">
        <f>IF(Agent05_Withdrawals!A14="","",Agent05_Withdrawals!C14)</f>
        <v/>
      </c>
      <c r="E809" s="38" t="str">
        <f>IF(Agent05_Withdrawals!A14="","",Agent05_Withdrawals!D14)</f>
        <v/>
      </c>
      <c r="F809" s="37" t="str">
        <f>IF(Agent05_Withdrawals!A14="","",Agent05_Withdrawals!F14)</f>
        <v/>
      </c>
      <c r="G809" s="39" t="str">
        <f>IF(Agent05_Withdrawals!A14="","",Agent05_Withdrawals!E14)</f>
        <v/>
      </c>
      <c r="H809" s="39" t="str">
        <f>IF(Agent05_Withdrawals!A14="","",Agent05_Withdrawals!G14)</f>
        <v/>
      </c>
      <c r="I809" s="37" t="str">
        <f>IF(Agent05_Withdrawals!A14="","",Agent05_Withdrawals!H14)</f>
        <v/>
      </c>
      <c r="J809" s="37" t="str">
        <f>IF(Agent05_Withdrawals!A14="","",Agent05_Withdrawals!J14)</f>
        <v/>
      </c>
      <c r="K809" s="37" t="str">
        <f>IF(Agent05_Withdrawals!A14="","",Agent05_Withdrawals!K14)</f>
        <v/>
      </c>
      <c r="L809" s="37" t="str">
        <f>IF(G809="","",IF(D809-G809&gt;=System_Config!$B$9,"✅ OK","⚠️ BREACH"))</f>
        <v/>
      </c>
      <c r="M809" s="37" t="str">
        <f>IFERROR(IF(Agent05_Withdrawals!A14="","",YEAR(Agent05_Withdrawals!D14)),"")</f>
        <v/>
      </c>
    </row>
    <row r="810" spans="1:13" ht="18" customHeight="1" x14ac:dyDescent="0.25">
      <c r="A810" s="37" t="str">
        <f>IF(Agent05_Withdrawals!A15="","",Agent05_Withdrawals!A15)</f>
        <v/>
      </c>
      <c r="B810" s="37" t="str">
        <f ca="1">IF(Agent05_Withdrawals!A15="","","WD"&amp;TEXT(810-3,"0000")&amp;"-"&amp;TEXT(TODAY(),"YYYYMMDD"))</f>
        <v/>
      </c>
      <c r="C810" s="37" t="str">
        <f>IF(Agent05_Withdrawals!A15="","",Agent05_Withdrawals!B15)</f>
        <v/>
      </c>
      <c r="D810" s="40" t="str">
        <f>IF(Agent05_Withdrawals!A15="","",Agent05_Withdrawals!C15)</f>
        <v/>
      </c>
      <c r="E810" s="38" t="str">
        <f>IF(Agent05_Withdrawals!A15="","",Agent05_Withdrawals!D15)</f>
        <v/>
      </c>
      <c r="F810" s="37" t="str">
        <f>IF(Agent05_Withdrawals!A15="","",Agent05_Withdrawals!F15)</f>
        <v/>
      </c>
      <c r="G810" s="39" t="str">
        <f>IF(Agent05_Withdrawals!A15="","",Agent05_Withdrawals!E15)</f>
        <v/>
      </c>
      <c r="H810" s="39" t="str">
        <f>IF(Agent05_Withdrawals!A15="","",Agent05_Withdrawals!G15)</f>
        <v/>
      </c>
      <c r="I810" s="37" t="str">
        <f>IF(Agent05_Withdrawals!A15="","",Agent05_Withdrawals!H15)</f>
        <v/>
      </c>
      <c r="J810" s="37" t="str">
        <f>IF(Agent05_Withdrawals!A15="","",Agent05_Withdrawals!J15)</f>
        <v/>
      </c>
      <c r="K810" s="37" t="str">
        <f>IF(Agent05_Withdrawals!A15="","",Agent05_Withdrawals!K15)</f>
        <v/>
      </c>
      <c r="L810" s="37" t="str">
        <f>IF(G810="","",IF(D810-G810&gt;=System_Config!$B$9,"✅ OK","⚠️ BREACH"))</f>
        <v/>
      </c>
      <c r="M810" s="37" t="str">
        <f>IFERROR(IF(Agent05_Withdrawals!A15="","",YEAR(Agent05_Withdrawals!D15)),"")</f>
        <v/>
      </c>
    </row>
    <row r="811" spans="1:13" ht="18" customHeight="1" x14ac:dyDescent="0.25">
      <c r="A811" s="37" t="str">
        <f>IF(Agent05_Withdrawals!A16="","",Agent05_Withdrawals!A16)</f>
        <v/>
      </c>
      <c r="B811" s="37" t="str">
        <f ca="1">IF(Agent05_Withdrawals!A16="","","WD"&amp;TEXT(811-3,"0000")&amp;"-"&amp;TEXT(TODAY(),"YYYYMMDD"))</f>
        <v/>
      </c>
      <c r="C811" s="37" t="str">
        <f>IF(Agent05_Withdrawals!A16="","",Agent05_Withdrawals!B16)</f>
        <v/>
      </c>
      <c r="D811" s="40" t="str">
        <f>IF(Agent05_Withdrawals!A16="","",Agent05_Withdrawals!C16)</f>
        <v/>
      </c>
      <c r="E811" s="38" t="str">
        <f>IF(Agent05_Withdrawals!A16="","",Agent05_Withdrawals!D16)</f>
        <v/>
      </c>
      <c r="F811" s="37" t="str">
        <f>IF(Agent05_Withdrawals!A16="","",Agent05_Withdrawals!F16)</f>
        <v/>
      </c>
      <c r="G811" s="39" t="str">
        <f>IF(Agent05_Withdrawals!A16="","",Agent05_Withdrawals!E16)</f>
        <v/>
      </c>
      <c r="H811" s="39" t="str">
        <f>IF(Agent05_Withdrawals!A16="","",Agent05_Withdrawals!G16)</f>
        <v/>
      </c>
      <c r="I811" s="37" t="str">
        <f>IF(Agent05_Withdrawals!A16="","",Agent05_Withdrawals!H16)</f>
        <v/>
      </c>
      <c r="J811" s="37" t="str">
        <f>IF(Agent05_Withdrawals!A16="","",Agent05_Withdrawals!J16)</f>
        <v/>
      </c>
      <c r="K811" s="37" t="str">
        <f>IF(Agent05_Withdrawals!A16="","",Agent05_Withdrawals!K16)</f>
        <v/>
      </c>
      <c r="L811" s="37" t="str">
        <f>IF(G811="","",IF(D811-G811&gt;=System_Config!$B$9,"✅ OK","⚠️ BREACH"))</f>
        <v/>
      </c>
      <c r="M811" s="37" t="str">
        <f>IFERROR(IF(Agent05_Withdrawals!A16="","",YEAR(Agent05_Withdrawals!D16)),"")</f>
        <v/>
      </c>
    </row>
    <row r="812" spans="1:13" ht="18" customHeight="1" x14ac:dyDescent="0.25">
      <c r="A812" s="37" t="str">
        <f>IF(Agent05_Withdrawals!A17="","",Agent05_Withdrawals!A17)</f>
        <v/>
      </c>
      <c r="B812" s="37" t="str">
        <f ca="1">IF(Agent05_Withdrawals!A17="","","WD"&amp;TEXT(812-3,"0000")&amp;"-"&amp;TEXT(TODAY(),"YYYYMMDD"))</f>
        <v/>
      </c>
      <c r="C812" s="37" t="str">
        <f>IF(Agent05_Withdrawals!A17="","",Agent05_Withdrawals!B17)</f>
        <v/>
      </c>
      <c r="D812" s="40" t="str">
        <f>IF(Agent05_Withdrawals!A17="","",Agent05_Withdrawals!C17)</f>
        <v/>
      </c>
      <c r="E812" s="38" t="str">
        <f>IF(Agent05_Withdrawals!A17="","",Agent05_Withdrawals!D17)</f>
        <v/>
      </c>
      <c r="F812" s="37" t="str">
        <f>IF(Agent05_Withdrawals!A17="","",Agent05_Withdrawals!F17)</f>
        <v/>
      </c>
      <c r="G812" s="39" t="str">
        <f>IF(Agent05_Withdrawals!A17="","",Agent05_Withdrawals!E17)</f>
        <v/>
      </c>
      <c r="H812" s="39" t="str">
        <f>IF(Agent05_Withdrawals!A17="","",Agent05_Withdrawals!G17)</f>
        <v/>
      </c>
      <c r="I812" s="37" t="str">
        <f>IF(Agent05_Withdrawals!A17="","",Agent05_Withdrawals!H17)</f>
        <v/>
      </c>
      <c r="J812" s="37" t="str">
        <f>IF(Agent05_Withdrawals!A17="","",Agent05_Withdrawals!J17)</f>
        <v/>
      </c>
      <c r="K812" s="37" t="str">
        <f>IF(Agent05_Withdrawals!A17="","",Agent05_Withdrawals!K17)</f>
        <v/>
      </c>
      <c r="L812" s="37" t="str">
        <f>IF(G812="","",IF(D812-G812&gt;=System_Config!$B$9,"✅ OK","⚠️ BREACH"))</f>
        <v/>
      </c>
      <c r="M812" s="37" t="str">
        <f>IFERROR(IF(Agent05_Withdrawals!A17="","",YEAR(Agent05_Withdrawals!D17)),"")</f>
        <v/>
      </c>
    </row>
    <row r="813" spans="1:13" ht="18" customHeight="1" x14ac:dyDescent="0.25">
      <c r="A813" s="37" t="str">
        <f>IF(Agent05_Withdrawals!A18="","",Agent05_Withdrawals!A18)</f>
        <v/>
      </c>
      <c r="B813" s="37" t="str">
        <f ca="1">IF(Agent05_Withdrawals!A18="","","WD"&amp;TEXT(813-3,"0000")&amp;"-"&amp;TEXT(TODAY(),"YYYYMMDD"))</f>
        <v/>
      </c>
      <c r="C813" s="37" t="str">
        <f>IF(Agent05_Withdrawals!A18="","",Agent05_Withdrawals!B18)</f>
        <v/>
      </c>
      <c r="D813" s="40" t="str">
        <f>IF(Agent05_Withdrawals!A18="","",Agent05_Withdrawals!C18)</f>
        <v/>
      </c>
      <c r="E813" s="38" t="str">
        <f>IF(Agent05_Withdrawals!A18="","",Agent05_Withdrawals!D18)</f>
        <v/>
      </c>
      <c r="F813" s="37" t="str">
        <f>IF(Agent05_Withdrawals!A18="","",Agent05_Withdrawals!F18)</f>
        <v/>
      </c>
      <c r="G813" s="39" t="str">
        <f>IF(Agent05_Withdrawals!A18="","",Agent05_Withdrawals!E18)</f>
        <v/>
      </c>
      <c r="H813" s="39" t="str">
        <f>IF(Agent05_Withdrawals!A18="","",Agent05_Withdrawals!G18)</f>
        <v/>
      </c>
      <c r="I813" s="37" t="str">
        <f>IF(Agent05_Withdrawals!A18="","",Agent05_Withdrawals!H18)</f>
        <v/>
      </c>
      <c r="J813" s="37" t="str">
        <f>IF(Agent05_Withdrawals!A18="","",Agent05_Withdrawals!J18)</f>
        <v/>
      </c>
      <c r="K813" s="37" t="str">
        <f>IF(Agent05_Withdrawals!A18="","",Agent05_Withdrawals!K18)</f>
        <v/>
      </c>
      <c r="L813" s="37" t="str">
        <f>IF(G813="","",IF(D813-G813&gt;=System_Config!$B$9,"✅ OK","⚠️ BREACH"))</f>
        <v/>
      </c>
      <c r="M813" s="37" t="str">
        <f>IFERROR(IF(Agent05_Withdrawals!A18="","",YEAR(Agent05_Withdrawals!D18)),"")</f>
        <v/>
      </c>
    </row>
    <row r="814" spans="1:13" ht="18" customHeight="1" x14ac:dyDescent="0.25">
      <c r="A814" s="37" t="str">
        <f>IF(Agent05_Withdrawals!A19="","",Agent05_Withdrawals!A19)</f>
        <v/>
      </c>
      <c r="B814" s="37" t="str">
        <f ca="1">IF(Agent05_Withdrawals!A19="","","WD"&amp;TEXT(814-3,"0000")&amp;"-"&amp;TEXT(TODAY(),"YYYYMMDD"))</f>
        <v/>
      </c>
      <c r="C814" s="37" t="str">
        <f>IF(Agent05_Withdrawals!A19="","",Agent05_Withdrawals!B19)</f>
        <v/>
      </c>
      <c r="D814" s="40" t="str">
        <f>IF(Agent05_Withdrawals!A19="","",Agent05_Withdrawals!C19)</f>
        <v/>
      </c>
      <c r="E814" s="38" t="str">
        <f>IF(Agent05_Withdrawals!A19="","",Agent05_Withdrawals!D19)</f>
        <v/>
      </c>
      <c r="F814" s="37" t="str">
        <f>IF(Agent05_Withdrawals!A19="","",Agent05_Withdrawals!F19)</f>
        <v/>
      </c>
      <c r="G814" s="39" t="str">
        <f>IF(Agent05_Withdrawals!A19="","",Agent05_Withdrawals!E19)</f>
        <v/>
      </c>
      <c r="H814" s="39" t="str">
        <f>IF(Agent05_Withdrawals!A19="","",Agent05_Withdrawals!G19)</f>
        <v/>
      </c>
      <c r="I814" s="37" t="str">
        <f>IF(Agent05_Withdrawals!A19="","",Agent05_Withdrawals!H19)</f>
        <v/>
      </c>
      <c r="J814" s="37" t="str">
        <f>IF(Agent05_Withdrawals!A19="","",Agent05_Withdrawals!J19)</f>
        <v/>
      </c>
      <c r="K814" s="37" t="str">
        <f>IF(Agent05_Withdrawals!A19="","",Agent05_Withdrawals!K19)</f>
        <v/>
      </c>
      <c r="L814" s="37" t="str">
        <f>IF(G814="","",IF(D814-G814&gt;=System_Config!$B$9,"✅ OK","⚠️ BREACH"))</f>
        <v/>
      </c>
      <c r="M814" s="37" t="str">
        <f>IFERROR(IF(Agent05_Withdrawals!A19="","",YEAR(Agent05_Withdrawals!D19)),"")</f>
        <v/>
      </c>
    </row>
    <row r="815" spans="1:13" ht="18" customHeight="1" x14ac:dyDescent="0.25">
      <c r="A815" s="37" t="str">
        <f>IF(Agent05_Withdrawals!A20="","",Agent05_Withdrawals!A20)</f>
        <v/>
      </c>
      <c r="B815" s="37" t="str">
        <f ca="1">IF(Agent05_Withdrawals!A20="","","WD"&amp;TEXT(815-3,"0000")&amp;"-"&amp;TEXT(TODAY(),"YYYYMMDD"))</f>
        <v/>
      </c>
      <c r="C815" s="37" t="str">
        <f>IF(Agent05_Withdrawals!A20="","",Agent05_Withdrawals!B20)</f>
        <v/>
      </c>
      <c r="D815" s="40" t="str">
        <f>IF(Agent05_Withdrawals!A20="","",Agent05_Withdrawals!C20)</f>
        <v/>
      </c>
      <c r="E815" s="38" t="str">
        <f>IF(Agent05_Withdrawals!A20="","",Agent05_Withdrawals!D20)</f>
        <v/>
      </c>
      <c r="F815" s="37" t="str">
        <f>IF(Agent05_Withdrawals!A20="","",Agent05_Withdrawals!F20)</f>
        <v/>
      </c>
      <c r="G815" s="39" t="str">
        <f>IF(Agent05_Withdrawals!A20="","",Agent05_Withdrawals!E20)</f>
        <v/>
      </c>
      <c r="H815" s="39" t="str">
        <f>IF(Agent05_Withdrawals!A20="","",Agent05_Withdrawals!G20)</f>
        <v/>
      </c>
      <c r="I815" s="37" t="str">
        <f>IF(Agent05_Withdrawals!A20="","",Agent05_Withdrawals!H20)</f>
        <v/>
      </c>
      <c r="J815" s="37" t="str">
        <f>IF(Agent05_Withdrawals!A20="","",Agent05_Withdrawals!J20)</f>
        <v/>
      </c>
      <c r="K815" s="37" t="str">
        <f>IF(Agent05_Withdrawals!A20="","",Agent05_Withdrawals!K20)</f>
        <v/>
      </c>
      <c r="L815" s="37" t="str">
        <f>IF(G815="","",IF(D815-G815&gt;=System_Config!$B$9,"✅ OK","⚠️ BREACH"))</f>
        <v/>
      </c>
      <c r="M815" s="37" t="str">
        <f>IFERROR(IF(Agent05_Withdrawals!A20="","",YEAR(Agent05_Withdrawals!D20)),"")</f>
        <v/>
      </c>
    </row>
    <row r="816" spans="1:13" ht="18" customHeight="1" x14ac:dyDescent="0.25">
      <c r="A816" s="37" t="str">
        <f>IF(Agent05_Withdrawals!A21="","",Agent05_Withdrawals!A21)</f>
        <v/>
      </c>
      <c r="B816" s="37" t="str">
        <f ca="1">IF(Agent05_Withdrawals!A21="","","WD"&amp;TEXT(816-3,"0000")&amp;"-"&amp;TEXT(TODAY(),"YYYYMMDD"))</f>
        <v/>
      </c>
      <c r="C816" s="37" t="str">
        <f>IF(Agent05_Withdrawals!A21="","",Agent05_Withdrawals!B21)</f>
        <v/>
      </c>
      <c r="D816" s="40" t="str">
        <f>IF(Agent05_Withdrawals!A21="","",Agent05_Withdrawals!C21)</f>
        <v/>
      </c>
      <c r="E816" s="38" t="str">
        <f>IF(Agent05_Withdrawals!A21="","",Agent05_Withdrawals!D21)</f>
        <v/>
      </c>
      <c r="F816" s="37" t="str">
        <f>IF(Agent05_Withdrawals!A21="","",Agent05_Withdrawals!F21)</f>
        <v/>
      </c>
      <c r="G816" s="39" t="str">
        <f>IF(Agent05_Withdrawals!A21="","",Agent05_Withdrawals!E21)</f>
        <v/>
      </c>
      <c r="H816" s="39" t="str">
        <f>IF(Agent05_Withdrawals!A21="","",Agent05_Withdrawals!G21)</f>
        <v/>
      </c>
      <c r="I816" s="37" t="str">
        <f>IF(Agent05_Withdrawals!A21="","",Agent05_Withdrawals!H21)</f>
        <v/>
      </c>
      <c r="J816" s="37" t="str">
        <f>IF(Agent05_Withdrawals!A21="","",Agent05_Withdrawals!J21)</f>
        <v/>
      </c>
      <c r="K816" s="37" t="str">
        <f>IF(Agent05_Withdrawals!A21="","",Agent05_Withdrawals!K21)</f>
        <v/>
      </c>
      <c r="L816" s="37" t="str">
        <f>IF(G816="","",IF(D816-G816&gt;=System_Config!$B$9,"✅ OK","⚠️ BREACH"))</f>
        <v/>
      </c>
      <c r="M816" s="37" t="str">
        <f>IFERROR(IF(Agent05_Withdrawals!A21="","",YEAR(Agent05_Withdrawals!D21)),"")</f>
        <v/>
      </c>
    </row>
    <row r="817" spans="1:13" ht="18" customHeight="1" x14ac:dyDescent="0.25">
      <c r="A817" s="37" t="str">
        <f>IF(Agent05_Withdrawals!A22="","",Agent05_Withdrawals!A22)</f>
        <v/>
      </c>
      <c r="B817" s="37" t="str">
        <f ca="1">IF(Agent05_Withdrawals!A22="","","WD"&amp;TEXT(817-3,"0000")&amp;"-"&amp;TEXT(TODAY(),"YYYYMMDD"))</f>
        <v/>
      </c>
      <c r="C817" s="37" t="str">
        <f>IF(Agent05_Withdrawals!A22="","",Agent05_Withdrawals!B22)</f>
        <v/>
      </c>
      <c r="D817" s="40" t="str">
        <f>IF(Agent05_Withdrawals!A22="","",Agent05_Withdrawals!C22)</f>
        <v/>
      </c>
      <c r="E817" s="38" t="str">
        <f>IF(Agent05_Withdrawals!A22="","",Agent05_Withdrawals!D22)</f>
        <v/>
      </c>
      <c r="F817" s="37" t="str">
        <f>IF(Agent05_Withdrawals!A22="","",Agent05_Withdrawals!F22)</f>
        <v/>
      </c>
      <c r="G817" s="39" t="str">
        <f>IF(Agent05_Withdrawals!A22="","",Agent05_Withdrawals!E22)</f>
        <v/>
      </c>
      <c r="H817" s="39" t="str">
        <f>IF(Agent05_Withdrawals!A22="","",Agent05_Withdrawals!G22)</f>
        <v/>
      </c>
      <c r="I817" s="37" t="str">
        <f>IF(Agent05_Withdrawals!A22="","",Agent05_Withdrawals!H22)</f>
        <v/>
      </c>
      <c r="J817" s="37" t="str">
        <f>IF(Agent05_Withdrawals!A22="","",Agent05_Withdrawals!J22)</f>
        <v/>
      </c>
      <c r="K817" s="37" t="str">
        <f>IF(Agent05_Withdrawals!A22="","",Agent05_Withdrawals!K22)</f>
        <v/>
      </c>
      <c r="L817" s="37" t="str">
        <f>IF(G817="","",IF(D817-G817&gt;=System_Config!$B$9,"✅ OK","⚠️ BREACH"))</f>
        <v/>
      </c>
      <c r="M817" s="37" t="str">
        <f>IFERROR(IF(Agent05_Withdrawals!A22="","",YEAR(Agent05_Withdrawals!D22)),"")</f>
        <v/>
      </c>
    </row>
    <row r="818" spans="1:13" ht="18" customHeight="1" x14ac:dyDescent="0.25">
      <c r="A818" s="37" t="str">
        <f>IF(Agent05_Withdrawals!A23="","",Agent05_Withdrawals!A23)</f>
        <v/>
      </c>
      <c r="B818" s="37" t="str">
        <f ca="1">IF(Agent05_Withdrawals!A23="","","WD"&amp;TEXT(818-3,"0000")&amp;"-"&amp;TEXT(TODAY(),"YYYYMMDD"))</f>
        <v/>
      </c>
      <c r="C818" s="37" t="str">
        <f>IF(Agent05_Withdrawals!A23="","",Agent05_Withdrawals!B23)</f>
        <v/>
      </c>
      <c r="D818" s="40" t="str">
        <f>IF(Agent05_Withdrawals!A23="","",Agent05_Withdrawals!C23)</f>
        <v/>
      </c>
      <c r="E818" s="38" t="str">
        <f>IF(Agent05_Withdrawals!A23="","",Agent05_Withdrawals!D23)</f>
        <v/>
      </c>
      <c r="F818" s="37" t="str">
        <f>IF(Agent05_Withdrawals!A23="","",Agent05_Withdrawals!F23)</f>
        <v/>
      </c>
      <c r="G818" s="39" t="str">
        <f>IF(Agent05_Withdrawals!A23="","",Agent05_Withdrawals!E23)</f>
        <v/>
      </c>
      <c r="H818" s="39" t="str">
        <f>IF(Agent05_Withdrawals!A23="","",Agent05_Withdrawals!G23)</f>
        <v/>
      </c>
      <c r="I818" s="37" t="str">
        <f>IF(Agent05_Withdrawals!A23="","",Agent05_Withdrawals!H23)</f>
        <v/>
      </c>
      <c r="J818" s="37" t="str">
        <f>IF(Agent05_Withdrawals!A23="","",Agent05_Withdrawals!J23)</f>
        <v/>
      </c>
      <c r="K818" s="37" t="str">
        <f>IF(Agent05_Withdrawals!A23="","",Agent05_Withdrawals!K23)</f>
        <v/>
      </c>
      <c r="L818" s="37" t="str">
        <f>IF(G818="","",IF(D818-G818&gt;=System_Config!$B$9,"✅ OK","⚠️ BREACH"))</f>
        <v/>
      </c>
      <c r="M818" s="37" t="str">
        <f>IFERROR(IF(Agent05_Withdrawals!A23="","",YEAR(Agent05_Withdrawals!D23)),"")</f>
        <v/>
      </c>
    </row>
    <row r="819" spans="1:13" ht="18" customHeight="1" x14ac:dyDescent="0.25">
      <c r="A819" s="37" t="str">
        <f>IF(Agent05_Withdrawals!A24="","",Agent05_Withdrawals!A24)</f>
        <v/>
      </c>
      <c r="B819" s="37" t="str">
        <f ca="1">IF(Agent05_Withdrawals!A24="","","WD"&amp;TEXT(819-3,"0000")&amp;"-"&amp;TEXT(TODAY(),"YYYYMMDD"))</f>
        <v/>
      </c>
      <c r="C819" s="37" t="str">
        <f>IF(Agent05_Withdrawals!A24="","",Agent05_Withdrawals!B24)</f>
        <v/>
      </c>
      <c r="D819" s="40" t="str">
        <f>IF(Agent05_Withdrawals!A24="","",Agent05_Withdrawals!C24)</f>
        <v/>
      </c>
      <c r="E819" s="38" t="str">
        <f>IF(Agent05_Withdrawals!A24="","",Agent05_Withdrawals!D24)</f>
        <v/>
      </c>
      <c r="F819" s="37" t="str">
        <f>IF(Agent05_Withdrawals!A24="","",Agent05_Withdrawals!F24)</f>
        <v/>
      </c>
      <c r="G819" s="39" t="str">
        <f>IF(Agent05_Withdrawals!A24="","",Agent05_Withdrawals!E24)</f>
        <v/>
      </c>
      <c r="H819" s="39" t="str">
        <f>IF(Agent05_Withdrawals!A24="","",Agent05_Withdrawals!G24)</f>
        <v/>
      </c>
      <c r="I819" s="37" t="str">
        <f>IF(Agent05_Withdrawals!A24="","",Agent05_Withdrawals!H24)</f>
        <v/>
      </c>
      <c r="J819" s="37" t="str">
        <f>IF(Agent05_Withdrawals!A24="","",Agent05_Withdrawals!J24)</f>
        <v/>
      </c>
      <c r="K819" s="37" t="str">
        <f>IF(Agent05_Withdrawals!A24="","",Agent05_Withdrawals!K24)</f>
        <v/>
      </c>
      <c r="L819" s="37" t="str">
        <f>IF(G819="","",IF(D819-G819&gt;=System_Config!$B$9,"✅ OK","⚠️ BREACH"))</f>
        <v/>
      </c>
      <c r="M819" s="37" t="str">
        <f>IFERROR(IF(Agent05_Withdrawals!A24="","",YEAR(Agent05_Withdrawals!D24)),"")</f>
        <v/>
      </c>
    </row>
    <row r="820" spans="1:13" ht="18" customHeight="1" x14ac:dyDescent="0.25">
      <c r="A820" s="37" t="str">
        <f>IF(Agent05_Withdrawals!A25="","",Agent05_Withdrawals!A25)</f>
        <v/>
      </c>
      <c r="B820" s="37" t="str">
        <f ca="1">IF(Agent05_Withdrawals!A25="","","WD"&amp;TEXT(820-3,"0000")&amp;"-"&amp;TEXT(TODAY(),"YYYYMMDD"))</f>
        <v/>
      </c>
      <c r="C820" s="37" t="str">
        <f>IF(Agent05_Withdrawals!A25="","",Agent05_Withdrawals!B25)</f>
        <v/>
      </c>
      <c r="D820" s="40" t="str">
        <f>IF(Agent05_Withdrawals!A25="","",Agent05_Withdrawals!C25)</f>
        <v/>
      </c>
      <c r="E820" s="38" t="str">
        <f>IF(Agent05_Withdrawals!A25="","",Agent05_Withdrawals!D25)</f>
        <v/>
      </c>
      <c r="F820" s="37" t="str">
        <f>IF(Agent05_Withdrawals!A25="","",Agent05_Withdrawals!F25)</f>
        <v/>
      </c>
      <c r="G820" s="39" t="str">
        <f>IF(Agent05_Withdrawals!A25="","",Agent05_Withdrawals!E25)</f>
        <v/>
      </c>
      <c r="H820" s="39" t="str">
        <f>IF(Agent05_Withdrawals!A25="","",Agent05_Withdrawals!G25)</f>
        <v/>
      </c>
      <c r="I820" s="37" t="str">
        <f>IF(Agent05_Withdrawals!A25="","",Agent05_Withdrawals!H25)</f>
        <v/>
      </c>
      <c r="J820" s="37" t="str">
        <f>IF(Agent05_Withdrawals!A25="","",Agent05_Withdrawals!J25)</f>
        <v/>
      </c>
      <c r="K820" s="37" t="str">
        <f>IF(Agent05_Withdrawals!A25="","",Agent05_Withdrawals!K25)</f>
        <v/>
      </c>
      <c r="L820" s="37" t="str">
        <f>IF(G820="","",IF(D820-G820&gt;=System_Config!$B$9,"✅ OK","⚠️ BREACH"))</f>
        <v/>
      </c>
      <c r="M820" s="37" t="str">
        <f>IFERROR(IF(Agent05_Withdrawals!A25="","",YEAR(Agent05_Withdrawals!D25)),"")</f>
        <v/>
      </c>
    </row>
    <row r="821" spans="1:13" ht="18" customHeight="1" x14ac:dyDescent="0.25">
      <c r="A821" s="37" t="str">
        <f>IF(Agent05_Withdrawals!A26="","",Agent05_Withdrawals!A26)</f>
        <v/>
      </c>
      <c r="B821" s="37" t="str">
        <f ca="1">IF(Agent05_Withdrawals!A26="","","WD"&amp;TEXT(821-3,"0000")&amp;"-"&amp;TEXT(TODAY(),"YYYYMMDD"))</f>
        <v/>
      </c>
      <c r="C821" s="37" t="str">
        <f>IF(Agent05_Withdrawals!A26="","",Agent05_Withdrawals!B26)</f>
        <v/>
      </c>
      <c r="D821" s="40" t="str">
        <f>IF(Agent05_Withdrawals!A26="","",Agent05_Withdrawals!C26)</f>
        <v/>
      </c>
      <c r="E821" s="38" t="str">
        <f>IF(Agent05_Withdrawals!A26="","",Agent05_Withdrawals!D26)</f>
        <v/>
      </c>
      <c r="F821" s="37" t="str">
        <f>IF(Agent05_Withdrawals!A26="","",Agent05_Withdrawals!F26)</f>
        <v/>
      </c>
      <c r="G821" s="39" t="str">
        <f>IF(Agent05_Withdrawals!A26="","",Agent05_Withdrawals!E26)</f>
        <v/>
      </c>
      <c r="H821" s="39" t="str">
        <f>IF(Agent05_Withdrawals!A26="","",Agent05_Withdrawals!G26)</f>
        <v/>
      </c>
      <c r="I821" s="37" t="str">
        <f>IF(Agent05_Withdrawals!A26="","",Agent05_Withdrawals!H26)</f>
        <v/>
      </c>
      <c r="J821" s="37" t="str">
        <f>IF(Agent05_Withdrawals!A26="","",Agent05_Withdrawals!J26)</f>
        <v/>
      </c>
      <c r="K821" s="37" t="str">
        <f>IF(Agent05_Withdrawals!A26="","",Agent05_Withdrawals!K26)</f>
        <v/>
      </c>
      <c r="L821" s="37" t="str">
        <f>IF(G821="","",IF(D821-G821&gt;=System_Config!$B$9,"✅ OK","⚠️ BREACH"))</f>
        <v/>
      </c>
      <c r="M821" s="37" t="str">
        <f>IFERROR(IF(Agent05_Withdrawals!A26="","",YEAR(Agent05_Withdrawals!D26)),"")</f>
        <v/>
      </c>
    </row>
    <row r="822" spans="1:13" ht="18" customHeight="1" x14ac:dyDescent="0.25">
      <c r="A822" s="37" t="str">
        <f>IF(Agent05_Withdrawals!A27="","",Agent05_Withdrawals!A27)</f>
        <v/>
      </c>
      <c r="B822" s="37" t="str">
        <f ca="1">IF(Agent05_Withdrawals!A27="","","WD"&amp;TEXT(822-3,"0000")&amp;"-"&amp;TEXT(TODAY(),"YYYYMMDD"))</f>
        <v/>
      </c>
      <c r="C822" s="37" t="str">
        <f>IF(Agent05_Withdrawals!A27="","",Agent05_Withdrawals!B27)</f>
        <v/>
      </c>
      <c r="D822" s="40" t="str">
        <f>IF(Agent05_Withdrawals!A27="","",Agent05_Withdrawals!C27)</f>
        <v/>
      </c>
      <c r="E822" s="38" t="str">
        <f>IF(Agent05_Withdrawals!A27="","",Agent05_Withdrawals!D27)</f>
        <v/>
      </c>
      <c r="F822" s="37" t="str">
        <f>IF(Agent05_Withdrawals!A27="","",Agent05_Withdrawals!F27)</f>
        <v/>
      </c>
      <c r="G822" s="39" t="str">
        <f>IF(Agent05_Withdrawals!A27="","",Agent05_Withdrawals!E27)</f>
        <v/>
      </c>
      <c r="H822" s="39" t="str">
        <f>IF(Agent05_Withdrawals!A27="","",Agent05_Withdrawals!G27)</f>
        <v/>
      </c>
      <c r="I822" s="37" t="str">
        <f>IF(Agent05_Withdrawals!A27="","",Agent05_Withdrawals!H27)</f>
        <v/>
      </c>
      <c r="J822" s="37" t="str">
        <f>IF(Agent05_Withdrawals!A27="","",Agent05_Withdrawals!J27)</f>
        <v/>
      </c>
      <c r="K822" s="37" t="str">
        <f>IF(Agent05_Withdrawals!A27="","",Agent05_Withdrawals!K27)</f>
        <v/>
      </c>
      <c r="L822" s="37" t="str">
        <f>IF(G822="","",IF(D822-G822&gt;=System_Config!$B$9,"✅ OK","⚠️ BREACH"))</f>
        <v/>
      </c>
      <c r="M822" s="37" t="str">
        <f>IFERROR(IF(Agent05_Withdrawals!A27="","",YEAR(Agent05_Withdrawals!D27)),"")</f>
        <v/>
      </c>
    </row>
    <row r="823" spans="1:13" ht="18" customHeight="1" x14ac:dyDescent="0.25">
      <c r="A823" s="37" t="str">
        <f>IF(Agent05_Withdrawals!A28="","",Agent05_Withdrawals!A28)</f>
        <v/>
      </c>
      <c r="B823" s="37" t="str">
        <f ca="1">IF(Agent05_Withdrawals!A28="","","WD"&amp;TEXT(823-3,"0000")&amp;"-"&amp;TEXT(TODAY(),"YYYYMMDD"))</f>
        <v/>
      </c>
      <c r="C823" s="37" t="str">
        <f>IF(Agent05_Withdrawals!A28="","",Agent05_Withdrawals!B28)</f>
        <v/>
      </c>
      <c r="D823" s="40" t="str">
        <f>IF(Agent05_Withdrawals!A28="","",Agent05_Withdrawals!C28)</f>
        <v/>
      </c>
      <c r="E823" s="38" t="str">
        <f>IF(Agent05_Withdrawals!A28="","",Agent05_Withdrawals!D28)</f>
        <v/>
      </c>
      <c r="F823" s="37" t="str">
        <f>IF(Agent05_Withdrawals!A28="","",Agent05_Withdrawals!F28)</f>
        <v/>
      </c>
      <c r="G823" s="39" t="str">
        <f>IF(Agent05_Withdrawals!A28="","",Agent05_Withdrawals!E28)</f>
        <v/>
      </c>
      <c r="H823" s="39" t="str">
        <f>IF(Agent05_Withdrawals!A28="","",Agent05_Withdrawals!G28)</f>
        <v/>
      </c>
      <c r="I823" s="37" t="str">
        <f>IF(Agent05_Withdrawals!A28="","",Agent05_Withdrawals!H28)</f>
        <v/>
      </c>
      <c r="J823" s="37" t="str">
        <f>IF(Agent05_Withdrawals!A28="","",Agent05_Withdrawals!J28)</f>
        <v/>
      </c>
      <c r="K823" s="37" t="str">
        <f>IF(Agent05_Withdrawals!A28="","",Agent05_Withdrawals!K28)</f>
        <v/>
      </c>
      <c r="L823" s="37" t="str">
        <f>IF(G823="","",IF(D823-G823&gt;=System_Config!$B$9,"✅ OK","⚠️ BREACH"))</f>
        <v/>
      </c>
      <c r="M823" s="37" t="str">
        <f>IFERROR(IF(Agent05_Withdrawals!A28="","",YEAR(Agent05_Withdrawals!D28)),"")</f>
        <v/>
      </c>
    </row>
    <row r="824" spans="1:13" ht="18" customHeight="1" x14ac:dyDescent="0.25">
      <c r="A824" s="37" t="str">
        <f>IF(Agent05_Withdrawals!A29="","",Agent05_Withdrawals!A29)</f>
        <v/>
      </c>
      <c r="B824" s="37" t="str">
        <f ca="1">IF(Agent05_Withdrawals!A29="","","WD"&amp;TEXT(824-3,"0000")&amp;"-"&amp;TEXT(TODAY(),"YYYYMMDD"))</f>
        <v/>
      </c>
      <c r="C824" s="37" t="str">
        <f>IF(Agent05_Withdrawals!A29="","",Agent05_Withdrawals!B29)</f>
        <v/>
      </c>
      <c r="D824" s="40" t="str">
        <f>IF(Agent05_Withdrawals!A29="","",Agent05_Withdrawals!C29)</f>
        <v/>
      </c>
      <c r="E824" s="38" t="str">
        <f>IF(Agent05_Withdrawals!A29="","",Agent05_Withdrawals!D29)</f>
        <v/>
      </c>
      <c r="F824" s="37" t="str">
        <f>IF(Agent05_Withdrawals!A29="","",Agent05_Withdrawals!F29)</f>
        <v/>
      </c>
      <c r="G824" s="39" t="str">
        <f>IF(Agent05_Withdrawals!A29="","",Agent05_Withdrawals!E29)</f>
        <v/>
      </c>
      <c r="H824" s="39" t="str">
        <f>IF(Agent05_Withdrawals!A29="","",Agent05_Withdrawals!G29)</f>
        <v/>
      </c>
      <c r="I824" s="37" t="str">
        <f>IF(Agent05_Withdrawals!A29="","",Agent05_Withdrawals!H29)</f>
        <v/>
      </c>
      <c r="J824" s="37" t="str">
        <f>IF(Agent05_Withdrawals!A29="","",Agent05_Withdrawals!J29)</f>
        <v/>
      </c>
      <c r="K824" s="37" t="str">
        <f>IF(Agent05_Withdrawals!A29="","",Agent05_Withdrawals!K29)</f>
        <v/>
      </c>
      <c r="L824" s="37" t="str">
        <f>IF(G824="","",IF(D824-G824&gt;=System_Config!$B$9,"✅ OK","⚠️ BREACH"))</f>
        <v/>
      </c>
      <c r="M824" s="37" t="str">
        <f>IFERROR(IF(Agent05_Withdrawals!A29="","",YEAR(Agent05_Withdrawals!D29)),"")</f>
        <v/>
      </c>
    </row>
    <row r="825" spans="1:13" ht="18" customHeight="1" x14ac:dyDescent="0.25">
      <c r="A825" s="37" t="str">
        <f>IF(Agent05_Withdrawals!A30="","",Agent05_Withdrawals!A30)</f>
        <v/>
      </c>
      <c r="B825" s="37" t="str">
        <f ca="1">IF(Agent05_Withdrawals!A30="","","WD"&amp;TEXT(825-3,"0000")&amp;"-"&amp;TEXT(TODAY(),"YYYYMMDD"))</f>
        <v/>
      </c>
      <c r="C825" s="37" t="str">
        <f>IF(Agent05_Withdrawals!A30="","",Agent05_Withdrawals!B30)</f>
        <v/>
      </c>
      <c r="D825" s="40" t="str">
        <f>IF(Agent05_Withdrawals!A30="","",Agent05_Withdrawals!C30)</f>
        <v/>
      </c>
      <c r="E825" s="38" t="str">
        <f>IF(Agent05_Withdrawals!A30="","",Agent05_Withdrawals!D30)</f>
        <v/>
      </c>
      <c r="F825" s="37" t="str">
        <f>IF(Agent05_Withdrawals!A30="","",Agent05_Withdrawals!F30)</f>
        <v/>
      </c>
      <c r="G825" s="39" t="str">
        <f>IF(Agent05_Withdrawals!A30="","",Agent05_Withdrawals!E30)</f>
        <v/>
      </c>
      <c r="H825" s="39" t="str">
        <f>IF(Agent05_Withdrawals!A30="","",Agent05_Withdrawals!G30)</f>
        <v/>
      </c>
      <c r="I825" s="37" t="str">
        <f>IF(Agent05_Withdrawals!A30="","",Agent05_Withdrawals!H30)</f>
        <v/>
      </c>
      <c r="J825" s="37" t="str">
        <f>IF(Agent05_Withdrawals!A30="","",Agent05_Withdrawals!J30)</f>
        <v/>
      </c>
      <c r="K825" s="37" t="str">
        <f>IF(Agent05_Withdrawals!A30="","",Agent05_Withdrawals!K30)</f>
        <v/>
      </c>
      <c r="L825" s="37" t="str">
        <f>IF(G825="","",IF(D825-G825&gt;=System_Config!$B$9,"✅ OK","⚠️ BREACH"))</f>
        <v/>
      </c>
      <c r="M825" s="37" t="str">
        <f>IFERROR(IF(Agent05_Withdrawals!A30="","",YEAR(Agent05_Withdrawals!D30)),"")</f>
        <v/>
      </c>
    </row>
    <row r="826" spans="1:13" ht="18" customHeight="1" x14ac:dyDescent="0.25">
      <c r="A826" s="37" t="str">
        <f>IF(Agent05_Withdrawals!A31="","",Agent05_Withdrawals!A31)</f>
        <v/>
      </c>
      <c r="B826" s="37" t="str">
        <f ca="1">IF(Agent05_Withdrawals!A31="","","WD"&amp;TEXT(826-3,"0000")&amp;"-"&amp;TEXT(TODAY(),"YYYYMMDD"))</f>
        <v/>
      </c>
      <c r="C826" s="37" t="str">
        <f>IF(Agent05_Withdrawals!A31="","",Agent05_Withdrawals!B31)</f>
        <v/>
      </c>
      <c r="D826" s="40" t="str">
        <f>IF(Agent05_Withdrawals!A31="","",Agent05_Withdrawals!C31)</f>
        <v/>
      </c>
      <c r="E826" s="38" t="str">
        <f>IF(Agent05_Withdrawals!A31="","",Agent05_Withdrawals!D31)</f>
        <v/>
      </c>
      <c r="F826" s="37" t="str">
        <f>IF(Agent05_Withdrawals!A31="","",Agent05_Withdrawals!F31)</f>
        <v/>
      </c>
      <c r="G826" s="39" t="str">
        <f>IF(Agent05_Withdrawals!A31="","",Agent05_Withdrawals!E31)</f>
        <v/>
      </c>
      <c r="H826" s="39" t="str">
        <f>IF(Agent05_Withdrawals!A31="","",Agent05_Withdrawals!G31)</f>
        <v/>
      </c>
      <c r="I826" s="37" t="str">
        <f>IF(Agent05_Withdrawals!A31="","",Agent05_Withdrawals!H31)</f>
        <v/>
      </c>
      <c r="J826" s="37" t="str">
        <f>IF(Agent05_Withdrawals!A31="","",Agent05_Withdrawals!J31)</f>
        <v/>
      </c>
      <c r="K826" s="37" t="str">
        <f>IF(Agent05_Withdrawals!A31="","",Agent05_Withdrawals!K31)</f>
        <v/>
      </c>
      <c r="L826" s="37" t="str">
        <f>IF(G826="","",IF(D826-G826&gt;=System_Config!$B$9,"✅ OK","⚠️ BREACH"))</f>
        <v/>
      </c>
      <c r="M826" s="37" t="str">
        <f>IFERROR(IF(Agent05_Withdrawals!A31="","",YEAR(Agent05_Withdrawals!D31)),"")</f>
        <v/>
      </c>
    </row>
    <row r="827" spans="1:13" ht="18" customHeight="1" x14ac:dyDescent="0.25">
      <c r="A827" s="37" t="str">
        <f>IF(Agent05_Withdrawals!A32="","",Agent05_Withdrawals!A32)</f>
        <v/>
      </c>
      <c r="B827" s="37" t="str">
        <f ca="1">IF(Agent05_Withdrawals!A32="","","WD"&amp;TEXT(827-3,"0000")&amp;"-"&amp;TEXT(TODAY(),"YYYYMMDD"))</f>
        <v/>
      </c>
      <c r="C827" s="37" t="str">
        <f>IF(Agent05_Withdrawals!A32="","",Agent05_Withdrawals!B32)</f>
        <v/>
      </c>
      <c r="D827" s="40" t="str">
        <f>IF(Agent05_Withdrawals!A32="","",Agent05_Withdrawals!C32)</f>
        <v/>
      </c>
      <c r="E827" s="38" t="str">
        <f>IF(Agent05_Withdrawals!A32="","",Agent05_Withdrawals!D32)</f>
        <v/>
      </c>
      <c r="F827" s="37" t="str">
        <f>IF(Agent05_Withdrawals!A32="","",Agent05_Withdrawals!F32)</f>
        <v/>
      </c>
      <c r="G827" s="39" t="str">
        <f>IF(Agent05_Withdrawals!A32="","",Agent05_Withdrawals!E32)</f>
        <v/>
      </c>
      <c r="H827" s="39" t="str">
        <f>IF(Agent05_Withdrawals!A32="","",Agent05_Withdrawals!G32)</f>
        <v/>
      </c>
      <c r="I827" s="37" t="str">
        <f>IF(Agent05_Withdrawals!A32="","",Agent05_Withdrawals!H32)</f>
        <v/>
      </c>
      <c r="J827" s="37" t="str">
        <f>IF(Agent05_Withdrawals!A32="","",Agent05_Withdrawals!J32)</f>
        <v/>
      </c>
      <c r="K827" s="37" t="str">
        <f>IF(Agent05_Withdrawals!A32="","",Agent05_Withdrawals!K32)</f>
        <v/>
      </c>
      <c r="L827" s="37" t="str">
        <f>IF(G827="","",IF(D827-G827&gt;=System_Config!$B$9,"✅ OK","⚠️ BREACH"))</f>
        <v/>
      </c>
      <c r="M827" s="37" t="str">
        <f>IFERROR(IF(Agent05_Withdrawals!A32="","",YEAR(Agent05_Withdrawals!D32)),"")</f>
        <v/>
      </c>
    </row>
    <row r="828" spans="1:13" ht="18" customHeight="1" x14ac:dyDescent="0.25">
      <c r="A828" s="37" t="str">
        <f>IF(Agent05_Withdrawals!A33="","",Agent05_Withdrawals!A33)</f>
        <v/>
      </c>
      <c r="B828" s="37" t="str">
        <f ca="1">IF(Agent05_Withdrawals!A33="","","WD"&amp;TEXT(828-3,"0000")&amp;"-"&amp;TEXT(TODAY(),"YYYYMMDD"))</f>
        <v/>
      </c>
      <c r="C828" s="37" t="str">
        <f>IF(Agent05_Withdrawals!A33="","",Agent05_Withdrawals!B33)</f>
        <v/>
      </c>
      <c r="D828" s="40" t="str">
        <f>IF(Agent05_Withdrawals!A33="","",Agent05_Withdrawals!C33)</f>
        <v/>
      </c>
      <c r="E828" s="38" t="str">
        <f>IF(Agent05_Withdrawals!A33="","",Agent05_Withdrawals!D33)</f>
        <v/>
      </c>
      <c r="F828" s="37" t="str">
        <f>IF(Agent05_Withdrawals!A33="","",Agent05_Withdrawals!F33)</f>
        <v/>
      </c>
      <c r="G828" s="39" t="str">
        <f>IF(Agent05_Withdrawals!A33="","",Agent05_Withdrawals!E33)</f>
        <v/>
      </c>
      <c r="H828" s="39" t="str">
        <f>IF(Agent05_Withdrawals!A33="","",Agent05_Withdrawals!G33)</f>
        <v/>
      </c>
      <c r="I828" s="37" t="str">
        <f>IF(Agent05_Withdrawals!A33="","",Agent05_Withdrawals!H33)</f>
        <v/>
      </c>
      <c r="J828" s="37" t="str">
        <f>IF(Agent05_Withdrawals!A33="","",Agent05_Withdrawals!J33)</f>
        <v/>
      </c>
      <c r="K828" s="37" t="str">
        <f>IF(Agent05_Withdrawals!A33="","",Agent05_Withdrawals!K33)</f>
        <v/>
      </c>
      <c r="L828" s="37" t="str">
        <f>IF(G828="","",IF(D828-G828&gt;=System_Config!$B$9,"✅ OK","⚠️ BREACH"))</f>
        <v/>
      </c>
      <c r="M828" s="37" t="str">
        <f>IFERROR(IF(Agent05_Withdrawals!A33="","",YEAR(Agent05_Withdrawals!D33)),"")</f>
        <v/>
      </c>
    </row>
    <row r="829" spans="1:13" ht="18" customHeight="1" x14ac:dyDescent="0.25">
      <c r="A829" s="37" t="str">
        <f>IF(Agent05_Withdrawals!A34="","",Agent05_Withdrawals!A34)</f>
        <v/>
      </c>
      <c r="B829" s="37" t="str">
        <f ca="1">IF(Agent05_Withdrawals!A34="","","WD"&amp;TEXT(829-3,"0000")&amp;"-"&amp;TEXT(TODAY(),"YYYYMMDD"))</f>
        <v/>
      </c>
      <c r="C829" s="37" t="str">
        <f>IF(Agent05_Withdrawals!A34="","",Agent05_Withdrawals!B34)</f>
        <v/>
      </c>
      <c r="D829" s="40" t="str">
        <f>IF(Agent05_Withdrawals!A34="","",Agent05_Withdrawals!C34)</f>
        <v/>
      </c>
      <c r="E829" s="38" t="str">
        <f>IF(Agent05_Withdrawals!A34="","",Agent05_Withdrawals!D34)</f>
        <v/>
      </c>
      <c r="F829" s="37" t="str">
        <f>IF(Agent05_Withdrawals!A34="","",Agent05_Withdrawals!F34)</f>
        <v/>
      </c>
      <c r="G829" s="39" t="str">
        <f>IF(Agent05_Withdrawals!A34="","",Agent05_Withdrawals!E34)</f>
        <v/>
      </c>
      <c r="H829" s="39" t="str">
        <f>IF(Agent05_Withdrawals!A34="","",Agent05_Withdrawals!G34)</f>
        <v/>
      </c>
      <c r="I829" s="37" t="str">
        <f>IF(Agent05_Withdrawals!A34="","",Agent05_Withdrawals!H34)</f>
        <v/>
      </c>
      <c r="J829" s="37" t="str">
        <f>IF(Agent05_Withdrawals!A34="","",Agent05_Withdrawals!J34)</f>
        <v/>
      </c>
      <c r="K829" s="37" t="str">
        <f>IF(Agent05_Withdrawals!A34="","",Agent05_Withdrawals!K34)</f>
        <v/>
      </c>
      <c r="L829" s="37" t="str">
        <f>IF(G829="","",IF(D829-G829&gt;=System_Config!$B$9,"✅ OK","⚠️ BREACH"))</f>
        <v/>
      </c>
      <c r="M829" s="37" t="str">
        <f>IFERROR(IF(Agent05_Withdrawals!A34="","",YEAR(Agent05_Withdrawals!D34)),"")</f>
        <v/>
      </c>
    </row>
    <row r="830" spans="1:13" ht="18" customHeight="1" x14ac:dyDescent="0.25">
      <c r="A830" s="37" t="str">
        <f>IF(Agent05_Withdrawals!A35="","",Agent05_Withdrawals!A35)</f>
        <v/>
      </c>
      <c r="B830" s="37" t="str">
        <f ca="1">IF(Agent05_Withdrawals!A35="","","WD"&amp;TEXT(830-3,"0000")&amp;"-"&amp;TEXT(TODAY(),"YYYYMMDD"))</f>
        <v/>
      </c>
      <c r="C830" s="37" t="str">
        <f>IF(Agent05_Withdrawals!A35="","",Agent05_Withdrawals!B35)</f>
        <v/>
      </c>
      <c r="D830" s="40" t="str">
        <f>IF(Agent05_Withdrawals!A35="","",Agent05_Withdrawals!C35)</f>
        <v/>
      </c>
      <c r="E830" s="38" t="str">
        <f>IF(Agent05_Withdrawals!A35="","",Agent05_Withdrawals!D35)</f>
        <v/>
      </c>
      <c r="F830" s="37" t="str">
        <f>IF(Agent05_Withdrawals!A35="","",Agent05_Withdrawals!F35)</f>
        <v/>
      </c>
      <c r="G830" s="39" t="str">
        <f>IF(Agent05_Withdrawals!A35="","",Agent05_Withdrawals!E35)</f>
        <v/>
      </c>
      <c r="H830" s="39" t="str">
        <f>IF(Agent05_Withdrawals!A35="","",Agent05_Withdrawals!G35)</f>
        <v/>
      </c>
      <c r="I830" s="37" t="str">
        <f>IF(Agent05_Withdrawals!A35="","",Agent05_Withdrawals!H35)</f>
        <v/>
      </c>
      <c r="J830" s="37" t="str">
        <f>IF(Agent05_Withdrawals!A35="","",Agent05_Withdrawals!J35)</f>
        <v/>
      </c>
      <c r="K830" s="37" t="str">
        <f>IF(Agent05_Withdrawals!A35="","",Agent05_Withdrawals!K35)</f>
        <v/>
      </c>
      <c r="L830" s="37" t="str">
        <f>IF(G830="","",IF(D830-G830&gt;=System_Config!$B$9,"✅ OK","⚠️ BREACH"))</f>
        <v/>
      </c>
      <c r="M830" s="37" t="str">
        <f>IFERROR(IF(Agent05_Withdrawals!A35="","",YEAR(Agent05_Withdrawals!D35)),"")</f>
        <v/>
      </c>
    </row>
    <row r="831" spans="1:13" ht="18" customHeight="1" x14ac:dyDescent="0.25">
      <c r="A831" s="37" t="str">
        <f>IF(Agent05_Withdrawals!A36="","",Agent05_Withdrawals!A36)</f>
        <v/>
      </c>
      <c r="B831" s="37" t="str">
        <f ca="1">IF(Agent05_Withdrawals!A36="","","WD"&amp;TEXT(831-3,"0000")&amp;"-"&amp;TEXT(TODAY(),"YYYYMMDD"))</f>
        <v/>
      </c>
      <c r="C831" s="37" t="str">
        <f>IF(Agent05_Withdrawals!A36="","",Agent05_Withdrawals!B36)</f>
        <v/>
      </c>
      <c r="D831" s="40" t="str">
        <f>IF(Agent05_Withdrawals!A36="","",Agent05_Withdrawals!C36)</f>
        <v/>
      </c>
      <c r="E831" s="38" t="str">
        <f>IF(Agent05_Withdrawals!A36="","",Agent05_Withdrawals!D36)</f>
        <v/>
      </c>
      <c r="F831" s="37" t="str">
        <f>IF(Agent05_Withdrawals!A36="","",Agent05_Withdrawals!F36)</f>
        <v/>
      </c>
      <c r="G831" s="39" t="str">
        <f>IF(Agent05_Withdrawals!A36="","",Agent05_Withdrawals!E36)</f>
        <v/>
      </c>
      <c r="H831" s="39" t="str">
        <f>IF(Agent05_Withdrawals!A36="","",Agent05_Withdrawals!G36)</f>
        <v/>
      </c>
      <c r="I831" s="37" t="str">
        <f>IF(Agent05_Withdrawals!A36="","",Agent05_Withdrawals!H36)</f>
        <v/>
      </c>
      <c r="J831" s="37" t="str">
        <f>IF(Agent05_Withdrawals!A36="","",Agent05_Withdrawals!J36)</f>
        <v/>
      </c>
      <c r="K831" s="37" t="str">
        <f>IF(Agent05_Withdrawals!A36="","",Agent05_Withdrawals!K36)</f>
        <v/>
      </c>
      <c r="L831" s="37" t="str">
        <f>IF(G831="","",IF(D831-G831&gt;=System_Config!$B$9,"✅ OK","⚠️ BREACH"))</f>
        <v/>
      </c>
      <c r="M831" s="37" t="str">
        <f>IFERROR(IF(Agent05_Withdrawals!A36="","",YEAR(Agent05_Withdrawals!D36)),"")</f>
        <v/>
      </c>
    </row>
    <row r="832" spans="1:13" ht="18" customHeight="1" x14ac:dyDescent="0.25">
      <c r="A832" s="37" t="str">
        <f>IF(Agent05_Withdrawals!A37="","",Agent05_Withdrawals!A37)</f>
        <v/>
      </c>
      <c r="B832" s="37" t="str">
        <f ca="1">IF(Agent05_Withdrawals!A37="","","WD"&amp;TEXT(832-3,"0000")&amp;"-"&amp;TEXT(TODAY(),"YYYYMMDD"))</f>
        <v/>
      </c>
      <c r="C832" s="37" t="str">
        <f>IF(Agent05_Withdrawals!A37="","",Agent05_Withdrawals!B37)</f>
        <v/>
      </c>
      <c r="D832" s="40" t="str">
        <f>IF(Agent05_Withdrawals!A37="","",Agent05_Withdrawals!C37)</f>
        <v/>
      </c>
      <c r="E832" s="38" t="str">
        <f>IF(Agent05_Withdrawals!A37="","",Agent05_Withdrawals!D37)</f>
        <v/>
      </c>
      <c r="F832" s="37" t="str">
        <f>IF(Agent05_Withdrawals!A37="","",Agent05_Withdrawals!F37)</f>
        <v/>
      </c>
      <c r="G832" s="39" t="str">
        <f>IF(Agent05_Withdrawals!A37="","",Agent05_Withdrawals!E37)</f>
        <v/>
      </c>
      <c r="H832" s="39" t="str">
        <f>IF(Agent05_Withdrawals!A37="","",Agent05_Withdrawals!G37)</f>
        <v/>
      </c>
      <c r="I832" s="37" t="str">
        <f>IF(Agent05_Withdrawals!A37="","",Agent05_Withdrawals!H37)</f>
        <v/>
      </c>
      <c r="J832" s="37" t="str">
        <f>IF(Agent05_Withdrawals!A37="","",Agent05_Withdrawals!J37)</f>
        <v/>
      </c>
      <c r="K832" s="37" t="str">
        <f>IF(Agent05_Withdrawals!A37="","",Agent05_Withdrawals!K37)</f>
        <v/>
      </c>
      <c r="L832" s="37" t="str">
        <f>IF(G832="","",IF(D832-G832&gt;=System_Config!$B$9,"✅ OK","⚠️ BREACH"))</f>
        <v/>
      </c>
      <c r="M832" s="37" t="str">
        <f>IFERROR(IF(Agent05_Withdrawals!A37="","",YEAR(Agent05_Withdrawals!D37)),"")</f>
        <v/>
      </c>
    </row>
    <row r="833" spans="1:13" ht="18" customHeight="1" x14ac:dyDescent="0.25">
      <c r="A833" s="37" t="str">
        <f>IF(Agent05_Withdrawals!A38="","",Agent05_Withdrawals!A38)</f>
        <v/>
      </c>
      <c r="B833" s="37" t="str">
        <f ca="1">IF(Agent05_Withdrawals!A38="","","WD"&amp;TEXT(833-3,"0000")&amp;"-"&amp;TEXT(TODAY(),"YYYYMMDD"))</f>
        <v/>
      </c>
      <c r="C833" s="37" t="str">
        <f>IF(Agent05_Withdrawals!A38="","",Agent05_Withdrawals!B38)</f>
        <v/>
      </c>
      <c r="D833" s="40" t="str">
        <f>IF(Agent05_Withdrawals!A38="","",Agent05_Withdrawals!C38)</f>
        <v/>
      </c>
      <c r="E833" s="38" t="str">
        <f>IF(Agent05_Withdrawals!A38="","",Agent05_Withdrawals!D38)</f>
        <v/>
      </c>
      <c r="F833" s="37" t="str">
        <f>IF(Agent05_Withdrawals!A38="","",Agent05_Withdrawals!F38)</f>
        <v/>
      </c>
      <c r="G833" s="39" t="str">
        <f>IF(Agent05_Withdrawals!A38="","",Agent05_Withdrawals!E38)</f>
        <v/>
      </c>
      <c r="H833" s="39" t="str">
        <f>IF(Agent05_Withdrawals!A38="","",Agent05_Withdrawals!G38)</f>
        <v/>
      </c>
      <c r="I833" s="37" t="str">
        <f>IF(Agent05_Withdrawals!A38="","",Agent05_Withdrawals!H38)</f>
        <v/>
      </c>
      <c r="J833" s="37" t="str">
        <f>IF(Agent05_Withdrawals!A38="","",Agent05_Withdrawals!J38)</f>
        <v/>
      </c>
      <c r="K833" s="37" t="str">
        <f>IF(Agent05_Withdrawals!A38="","",Agent05_Withdrawals!K38)</f>
        <v/>
      </c>
      <c r="L833" s="37" t="str">
        <f>IF(G833="","",IF(D833-G833&gt;=System_Config!$B$9,"✅ OK","⚠️ BREACH"))</f>
        <v/>
      </c>
      <c r="M833" s="37" t="str">
        <f>IFERROR(IF(Agent05_Withdrawals!A38="","",YEAR(Agent05_Withdrawals!D38)),"")</f>
        <v/>
      </c>
    </row>
    <row r="834" spans="1:13" ht="18" customHeight="1" x14ac:dyDescent="0.25">
      <c r="A834" s="37" t="str">
        <f>IF(Agent05_Withdrawals!A39="","",Agent05_Withdrawals!A39)</f>
        <v/>
      </c>
      <c r="B834" s="37" t="str">
        <f ca="1">IF(Agent05_Withdrawals!A39="","","WD"&amp;TEXT(834-3,"0000")&amp;"-"&amp;TEXT(TODAY(),"YYYYMMDD"))</f>
        <v/>
      </c>
      <c r="C834" s="37" t="str">
        <f>IF(Agent05_Withdrawals!A39="","",Agent05_Withdrawals!B39)</f>
        <v/>
      </c>
      <c r="D834" s="40" t="str">
        <f>IF(Agent05_Withdrawals!A39="","",Agent05_Withdrawals!C39)</f>
        <v/>
      </c>
      <c r="E834" s="38" t="str">
        <f>IF(Agent05_Withdrawals!A39="","",Agent05_Withdrawals!D39)</f>
        <v/>
      </c>
      <c r="F834" s="37" t="str">
        <f>IF(Agent05_Withdrawals!A39="","",Agent05_Withdrawals!F39)</f>
        <v/>
      </c>
      <c r="G834" s="39" t="str">
        <f>IF(Agent05_Withdrawals!A39="","",Agent05_Withdrawals!E39)</f>
        <v/>
      </c>
      <c r="H834" s="39" t="str">
        <f>IF(Agent05_Withdrawals!A39="","",Agent05_Withdrawals!G39)</f>
        <v/>
      </c>
      <c r="I834" s="37" t="str">
        <f>IF(Agent05_Withdrawals!A39="","",Agent05_Withdrawals!H39)</f>
        <v/>
      </c>
      <c r="J834" s="37" t="str">
        <f>IF(Agent05_Withdrawals!A39="","",Agent05_Withdrawals!J39)</f>
        <v/>
      </c>
      <c r="K834" s="37" t="str">
        <f>IF(Agent05_Withdrawals!A39="","",Agent05_Withdrawals!K39)</f>
        <v/>
      </c>
      <c r="L834" s="37" t="str">
        <f>IF(G834="","",IF(D834-G834&gt;=System_Config!$B$9,"✅ OK","⚠️ BREACH"))</f>
        <v/>
      </c>
      <c r="M834" s="37" t="str">
        <f>IFERROR(IF(Agent05_Withdrawals!A39="","",YEAR(Agent05_Withdrawals!D39)),"")</f>
        <v/>
      </c>
    </row>
    <row r="835" spans="1:13" ht="18" customHeight="1" x14ac:dyDescent="0.25">
      <c r="A835" s="37" t="str">
        <f>IF(Agent05_Withdrawals!A40="","",Agent05_Withdrawals!A40)</f>
        <v/>
      </c>
      <c r="B835" s="37" t="str">
        <f ca="1">IF(Agent05_Withdrawals!A40="","","WD"&amp;TEXT(835-3,"0000")&amp;"-"&amp;TEXT(TODAY(),"YYYYMMDD"))</f>
        <v/>
      </c>
      <c r="C835" s="37" t="str">
        <f>IF(Agent05_Withdrawals!A40="","",Agent05_Withdrawals!B40)</f>
        <v/>
      </c>
      <c r="D835" s="40" t="str">
        <f>IF(Agent05_Withdrawals!A40="","",Agent05_Withdrawals!C40)</f>
        <v/>
      </c>
      <c r="E835" s="38" t="str">
        <f>IF(Agent05_Withdrawals!A40="","",Agent05_Withdrawals!D40)</f>
        <v/>
      </c>
      <c r="F835" s="37" t="str">
        <f>IF(Agent05_Withdrawals!A40="","",Agent05_Withdrawals!F40)</f>
        <v/>
      </c>
      <c r="G835" s="39" t="str">
        <f>IF(Agent05_Withdrawals!A40="","",Agent05_Withdrawals!E40)</f>
        <v/>
      </c>
      <c r="H835" s="39" t="str">
        <f>IF(Agent05_Withdrawals!A40="","",Agent05_Withdrawals!G40)</f>
        <v/>
      </c>
      <c r="I835" s="37" t="str">
        <f>IF(Agent05_Withdrawals!A40="","",Agent05_Withdrawals!H40)</f>
        <v/>
      </c>
      <c r="J835" s="37" t="str">
        <f>IF(Agent05_Withdrawals!A40="","",Agent05_Withdrawals!J40)</f>
        <v/>
      </c>
      <c r="K835" s="37" t="str">
        <f>IF(Agent05_Withdrawals!A40="","",Agent05_Withdrawals!K40)</f>
        <v/>
      </c>
      <c r="L835" s="37" t="str">
        <f>IF(G835="","",IF(D835-G835&gt;=System_Config!$B$9,"✅ OK","⚠️ BREACH"))</f>
        <v/>
      </c>
      <c r="M835" s="37" t="str">
        <f>IFERROR(IF(Agent05_Withdrawals!A40="","",YEAR(Agent05_Withdrawals!D40)),"")</f>
        <v/>
      </c>
    </row>
    <row r="836" spans="1:13" ht="18" customHeight="1" x14ac:dyDescent="0.25">
      <c r="A836" s="37" t="str">
        <f>IF(Agent05_Withdrawals!A41="","",Agent05_Withdrawals!A41)</f>
        <v/>
      </c>
      <c r="B836" s="37" t="str">
        <f ca="1">IF(Agent05_Withdrawals!A41="","","WD"&amp;TEXT(836-3,"0000")&amp;"-"&amp;TEXT(TODAY(),"YYYYMMDD"))</f>
        <v/>
      </c>
      <c r="C836" s="37" t="str">
        <f>IF(Agent05_Withdrawals!A41="","",Agent05_Withdrawals!B41)</f>
        <v/>
      </c>
      <c r="D836" s="40" t="str">
        <f>IF(Agent05_Withdrawals!A41="","",Agent05_Withdrawals!C41)</f>
        <v/>
      </c>
      <c r="E836" s="38" t="str">
        <f>IF(Agent05_Withdrawals!A41="","",Agent05_Withdrawals!D41)</f>
        <v/>
      </c>
      <c r="F836" s="37" t="str">
        <f>IF(Agent05_Withdrawals!A41="","",Agent05_Withdrawals!F41)</f>
        <v/>
      </c>
      <c r="G836" s="39" t="str">
        <f>IF(Agent05_Withdrawals!A41="","",Agent05_Withdrawals!E41)</f>
        <v/>
      </c>
      <c r="H836" s="39" t="str">
        <f>IF(Agent05_Withdrawals!A41="","",Agent05_Withdrawals!G41)</f>
        <v/>
      </c>
      <c r="I836" s="37" t="str">
        <f>IF(Agent05_Withdrawals!A41="","",Agent05_Withdrawals!H41)</f>
        <v/>
      </c>
      <c r="J836" s="37" t="str">
        <f>IF(Agent05_Withdrawals!A41="","",Agent05_Withdrawals!J41)</f>
        <v/>
      </c>
      <c r="K836" s="37" t="str">
        <f>IF(Agent05_Withdrawals!A41="","",Agent05_Withdrawals!K41)</f>
        <v/>
      </c>
      <c r="L836" s="37" t="str">
        <f>IF(G836="","",IF(D836-G836&gt;=System_Config!$B$9,"✅ OK","⚠️ BREACH"))</f>
        <v/>
      </c>
      <c r="M836" s="37" t="str">
        <f>IFERROR(IF(Agent05_Withdrawals!A41="","",YEAR(Agent05_Withdrawals!D41)),"")</f>
        <v/>
      </c>
    </row>
    <row r="837" spans="1:13" ht="18" customHeight="1" x14ac:dyDescent="0.25">
      <c r="A837" s="37" t="str">
        <f>IF(Agent05_Withdrawals!A42="","",Agent05_Withdrawals!A42)</f>
        <v/>
      </c>
      <c r="B837" s="37" t="str">
        <f ca="1">IF(Agent05_Withdrawals!A42="","","WD"&amp;TEXT(837-3,"0000")&amp;"-"&amp;TEXT(TODAY(),"YYYYMMDD"))</f>
        <v/>
      </c>
      <c r="C837" s="37" t="str">
        <f>IF(Agent05_Withdrawals!A42="","",Agent05_Withdrawals!B42)</f>
        <v/>
      </c>
      <c r="D837" s="40" t="str">
        <f>IF(Agent05_Withdrawals!A42="","",Agent05_Withdrawals!C42)</f>
        <v/>
      </c>
      <c r="E837" s="38" t="str">
        <f>IF(Agent05_Withdrawals!A42="","",Agent05_Withdrawals!D42)</f>
        <v/>
      </c>
      <c r="F837" s="37" t="str">
        <f>IF(Agent05_Withdrawals!A42="","",Agent05_Withdrawals!F42)</f>
        <v/>
      </c>
      <c r="G837" s="39" t="str">
        <f>IF(Agent05_Withdrawals!A42="","",Agent05_Withdrawals!E42)</f>
        <v/>
      </c>
      <c r="H837" s="39" t="str">
        <f>IF(Agent05_Withdrawals!A42="","",Agent05_Withdrawals!G42)</f>
        <v/>
      </c>
      <c r="I837" s="37" t="str">
        <f>IF(Agent05_Withdrawals!A42="","",Agent05_Withdrawals!H42)</f>
        <v/>
      </c>
      <c r="J837" s="37" t="str">
        <f>IF(Agent05_Withdrawals!A42="","",Agent05_Withdrawals!J42)</f>
        <v/>
      </c>
      <c r="K837" s="37" t="str">
        <f>IF(Agent05_Withdrawals!A42="","",Agent05_Withdrawals!K42)</f>
        <v/>
      </c>
      <c r="L837" s="37" t="str">
        <f>IF(G837="","",IF(D837-G837&gt;=System_Config!$B$9,"✅ OK","⚠️ BREACH"))</f>
        <v/>
      </c>
      <c r="M837" s="37" t="str">
        <f>IFERROR(IF(Agent05_Withdrawals!A42="","",YEAR(Agent05_Withdrawals!D42)),"")</f>
        <v/>
      </c>
    </row>
    <row r="838" spans="1:13" ht="18" customHeight="1" x14ac:dyDescent="0.25">
      <c r="A838" s="37" t="str">
        <f>IF(Agent05_Withdrawals!A43="","",Agent05_Withdrawals!A43)</f>
        <v/>
      </c>
      <c r="B838" s="37" t="str">
        <f ca="1">IF(Agent05_Withdrawals!A43="","","WD"&amp;TEXT(838-3,"0000")&amp;"-"&amp;TEXT(TODAY(),"YYYYMMDD"))</f>
        <v/>
      </c>
      <c r="C838" s="37" t="str">
        <f>IF(Agent05_Withdrawals!A43="","",Agent05_Withdrawals!B43)</f>
        <v/>
      </c>
      <c r="D838" s="40" t="str">
        <f>IF(Agent05_Withdrawals!A43="","",Agent05_Withdrawals!C43)</f>
        <v/>
      </c>
      <c r="E838" s="38" t="str">
        <f>IF(Agent05_Withdrawals!A43="","",Agent05_Withdrawals!D43)</f>
        <v/>
      </c>
      <c r="F838" s="37" t="str">
        <f>IF(Agent05_Withdrawals!A43="","",Agent05_Withdrawals!F43)</f>
        <v/>
      </c>
      <c r="G838" s="39" t="str">
        <f>IF(Agent05_Withdrawals!A43="","",Agent05_Withdrawals!E43)</f>
        <v/>
      </c>
      <c r="H838" s="39" t="str">
        <f>IF(Agent05_Withdrawals!A43="","",Agent05_Withdrawals!G43)</f>
        <v/>
      </c>
      <c r="I838" s="37" t="str">
        <f>IF(Agent05_Withdrawals!A43="","",Agent05_Withdrawals!H43)</f>
        <v/>
      </c>
      <c r="J838" s="37" t="str">
        <f>IF(Agent05_Withdrawals!A43="","",Agent05_Withdrawals!J43)</f>
        <v/>
      </c>
      <c r="K838" s="37" t="str">
        <f>IF(Agent05_Withdrawals!A43="","",Agent05_Withdrawals!K43)</f>
        <v/>
      </c>
      <c r="L838" s="37" t="str">
        <f>IF(G838="","",IF(D838-G838&gt;=System_Config!$B$9,"✅ OK","⚠️ BREACH"))</f>
        <v/>
      </c>
      <c r="M838" s="37" t="str">
        <f>IFERROR(IF(Agent05_Withdrawals!A43="","",YEAR(Agent05_Withdrawals!D43)),"")</f>
        <v/>
      </c>
    </row>
    <row r="839" spans="1:13" ht="18" customHeight="1" x14ac:dyDescent="0.25">
      <c r="A839" s="37" t="str">
        <f>IF(Agent05_Withdrawals!A44="","",Agent05_Withdrawals!A44)</f>
        <v/>
      </c>
      <c r="B839" s="37" t="str">
        <f ca="1">IF(Agent05_Withdrawals!A44="","","WD"&amp;TEXT(839-3,"0000")&amp;"-"&amp;TEXT(TODAY(),"YYYYMMDD"))</f>
        <v/>
      </c>
      <c r="C839" s="37" t="str">
        <f>IF(Agent05_Withdrawals!A44="","",Agent05_Withdrawals!B44)</f>
        <v/>
      </c>
      <c r="D839" s="40" t="str">
        <f>IF(Agent05_Withdrawals!A44="","",Agent05_Withdrawals!C44)</f>
        <v/>
      </c>
      <c r="E839" s="38" t="str">
        <f>IF(Agent05_Withdrawals!A44="","",Agent05_Withdrawals!D44)</f>
        <v/>
      </c>
      <c r="F839" s="37" t="str">
        <f>IF(Agent05_Withdrawals!A44="","",Agent05_Withdrawals!F44)</f>
        <v/>
      </c>
      <c r="G839" s="39" t="str">
        <f>IF(Agent05_Withdrawals!A44="","",Agent05_Withdrawals!E44)</f>
        <v/>
      </c>
      <c r="H839" s="39" t="str">
        <f>IF(Agent05_Withdrawals!A44="","",Agent05_Withdrawals!G44)</f>
        <v/>
      </c>
      <c r="I839" s="37" t="str">
        <f>IF(Agent05_Withdrawals!A44="","",Agent05_Withdrawals!H44)</f>
        <v/>
      </c>
      <c r="J839" s="37" t="str">
        <f>IF(Agent05_Withdrawals!A44="","",Agent05_Withdrawals!J44)</f>
        <v/>
      </c>
      <c r="K839" s="37" t="str">
        <f>IF(Agent05_Withdrawals!A44="","",Agent05_Withdrawals!K44)</f>
        <v/>
      </c>
      <c r="L839" s="37" t="str">
        <f>IF(G839="","",IF(D839-G839&gt;=System_Config!$B$9,"✅ OK","⚠️ BREACH"))</f>
        <v/>
      </c>
      <c r="M839" s="37" t="str">
        <f>IFERROR(IF(Agent05_Withdrawals!A44="","",YEAR(Agent05_Withdrawals!D44)),"")</f>
        <v/>
      </c>
    </row>
    <row r="840" spans="1:13" ht="18" customHeight="1" x14ac:dyDescent="0.25">
      <c r="A840" s="37" t="str">
        <f>IF(Agent05_Withdrawals!A45="","",Agent05_Withdrawals!A45)</f>
        <v/>
      </c>
      <c r="B840" s="37" t="str">
        <f ca="1">IF(Agent05_Withdrawals!A45="","","WD"&amp;TEXT(840-3,"0000")&amp;"-"&amp;TEXT(TODAY(),"YYYYMMDD"))</f>
        <v/>
      </c>
      <c r="C840" s="37" t="str">
        <f>IF(Agent05_Withdrawals!A45="","",Agent05_Withdrawals!B45)</f>
        <v/>
      </c>
      <c r="D840" s="40" t="str">
        <f>IF(Agent05_Withdrawals!A45="","",Agent05_Withdrawals!C45)</f>
        <v/>
      </c>
      <c r="E840" s="38" t="str">
        <f>IF(Agent05_Withdrawals!A45="","",Agent05_Withdrawals!D45)</f>
        <v/>
      </c>
      <c r="F840" s="37" t="str">
        <f>IF(Agent05_Withdrawals!A45="","",Agent05_Withdrawals!F45)</f>
        <v/>
      </c>
      <c r="G840" s="39" t="str">
        <f>IF(Agent05_Withdrawals!A45="","",Agent05_Withdrawals!E45)</f>
        <v/>
      </c>
      <c r="H840" s="39" t="str">
        <f>IF(Agent05_Withdrawals!A45="","",Agent05_Withdrawals!G45)</f>
        <v/>
      </c>
      <c r="I840" s="37" t="str">
        <f>IF(Agent05_Withdrawals!A45="","",Agent05_Withdrawals!H45)</f>
        <v/>
      </c>
      <c r="J840" s="37" t="str">
        <f>IF(Agent05_Withdrawals!A45="","",Agent05_Withdrawals!J45)</f>
        <v/>
      </c>
      <c r="K840" s="37" t="str">
        <f>IF(Agent05_Withdrawals!A45="","",Agent05_Withdrawals!K45)</f>
        <v/>
      </c>
      <c r="L840" s="37" t="str">
        <f>IF(G840="","",IF(D840-G840&gt;=System_Config!$B$9,"✅ OK","⚠️ BREACH"))</f>
        <v/>
      </c>
      <c r="M840" s="37" t="str">
        <f>IFERROR(IF(Agent05_Withdrawals!A45="","",YEAR(Agent05_Withdrawals!D45)),"")</f>
        <v/>
      </c>
    </row>
    <row r="841" spans="1:13" ht="18" customHeight="1" x14ac:dyDescent="0.25">
      <c r="A841" s="37" t="str">
        <f>IF(Agent05_Withdrawals!A46="","",Agent05_Withdrawals!A46)</f>
        <v/>
      </c>
      <c r="B841" s="37" t="str">
        <f ca="1">IF(Agent05_Withdrawals!A46="","","WD"&amp;TEXT(841-3,"0000")&amp;"-"&amp;TEXT(TODAY(),"YYYYMMDD"))</f>
        <v/>
      </c>
      <c r="C841" s="37" t="str">
        <f>IF(Agent05_Withdrawals!A46="","",Agent05_Withdrawals!B46)</f>
        <v/>
      </c>
      <c r="D841" s="40" t="str">
        <f>IF(Agent05_Withdrawals!A46="","",Agent05_Withdrawals!C46)</f>
        <v/>
      </c>
      <c r="E841" s="38" t="str">
        <f>IF(Agent05_Withdrawals!A46="","",Agent05_Withdrawals!D46)</f>
        <v/>
      </c>
      <c r="F841" s="37" t="str">
        <f>IF(Agent05_Withdrawals!A46="","",Agent05_Withdrawals!F46)</f>
        <v/>
      </c>
      <c r="G841" s="39" t="str">
        <f>IF(Agent05_Withdrawals!A46="","",Agent05_Withdrawals!E46)</f>
        <v/>
      </c>
      <c r="H841" s="39" t="str">
        <f>IF(Agent05_Withdrawals!A46="","",Agent05_Withdrawals!G46)</f>
        <v/>
      </c>
      <c r="I841" s="37" t="str">
        <f>IF(Agent05_Withdrawals!A46="","",Agent05_Withdrawals!H46)</f>
        <v/>
      </c>
      <c r="J841" s="37" t="str">
        <f>IF(Agent05_Withdrawals!A46="","",Agent05_Withdrawals!J46)</f>
        <v/>
      </c>
      <c r="K841" s="37" t="str">
        <f>IF(Agent05_Withdrawals!A46="","",Agent05_Withdrawals!K46)</f>
        <v/>
      </c>
      <c r="L841" s="37" t="str">
        <f>IF(G841="","",IF(D841-G841&gt;=System_Config!$B$9,"✅ OK","⚠️ BREACH"))</f>
        <v/>
      </c>
      <c r="M841" s="37" t="str">
        <f>IFERROR(IF(Agent05_Withdrawals!A46="","",YEAR(Agent05_Withdrawals!D46)),"")</f>
        <v/>
      </c>
    </row>
    <row r="842" spans="1:13" ht="18" customHeight="1" x14ac:dyDescent="0.25">
      <c r="A842" s="37" t="str">
        <f>IF(Agent05_Withdrawals!A47="","",Agent05_Withdrawals!A47)</f>
        <v/>
      </c>
      <c r="B842" s="37" t="str">
        <f ca="1">IF(Agent05_Withdrawals!A47="","","WD"&amp;TEXT(842-3,"0000")&amp;"-"&amp;TEXT(TODAY(),"YYYYMMDD"))</f>
        <v/>
      </c>
      <c r="C842" s="37" t="str">
        <f>IF(Agent05_Withdrawals!A47="","",Agent05_Withdrawals!B47)</f>
        <v/>
      </c>
      <c r="D842" s="40" t="str">
        <f>IF(Agent05_Withdrawals!A47="","",Agent05_Withdrawals!C47)</f>
        <v/>
      </c>
      <c r="E842" s="38" t="str">
        <f>IF(Agent05_Withdrawals!A47="","",Agent05_Withdrawals!D47)</f>
        <v/>
      </c>
      <c r="F842" s="37" t="str">
        <f>IF(Agent05_Withdrawals!A47="","",Agent05_Withdrawals!F47)</f>
        <v/>
      </c>
      <c r="G842" s="39" t="str">
        <f>IF(Agent05_Withdrawals!A47="","",Agent05_Withdrawals!E47)</f>
        <v/>
      </c>
      <c r="H842" s="39" t="str">
        <f>IF(Agent05_Withdrawals!A47="","",Agent05_Withdrawals!G47)</f>
        <v/>
      </c>
      <c r="I842" s="37" t="str">
        <f>IF(Agent05_Withdrawals!A47="","",Agent05_Withdrawals!H47)</f>
        <v/>
      </c>
      <c r="J842" s="37" t="str">
        <f>IF(Agent05_Withdrawals!A47="","",Agent05_Withdrawals!J47)</f>
        <v/>
      </c>
      <c r="K842" s="37" t="str">
        <f>IF(Agent05_Withdrawals!A47="","",Agent05_Withdrawals!K47)</f>
        <v/>
      </c>
      <c r="L842" s="37" t="str">
        <f>IF(G842="","",IF(D842-G842&gt;=System_Config!$B$9,"✅ OK","⚠️ BREACH"))</f>
        <v/>
      </c>
      <c r="M842" s="37" t="str">
        <f>IFERROR(IF(Agent05_Withdrawals!A47="","",YEAR(Agent05_Withdrawals!D47)),"")</f>
        <v/>
      </c>
    </row>
    <row r="843" spans="1:13" ht="18" customHeight="1" x14ac:dyDescent="0.25">
      <c r="A843" s="37" t="str">
        <f>IF(Agent05_Withdrawals!A48="","",Agent05_Withdrawals!A48)</f>
        <v/>
      </c>
      <c r="B843" s="37" t="str">
        <f ca="1">IF(Agent05_Withdrawals!A48="","","WD"&amp;TEXT(843-3,"0000")&amp;"-"&amp;TEXT(TODAY(),"YYYYMMDD"))</f>
        <v/>
      </c>
      <c r="C843" s="37" t="str">
        <f>IF(Agent05_Withdrawals!A48="","",Agent05_Withdrawals!B48)</f>
        <v/>
      </c>
      <c r="D843" s="40" t="str">
        <f>IF(Agent05_Withdrawals!A48="","",Agent05_Withdrawals!C48)</f>
        <v/>
      </c>
      <c r="E843" s="38" t="str">
        <f>IF(Agent05_Withdrawals!A48="","",Agent05_Withdrawals!D48)</f>
        <v/>
      </c>
      <c r="F843" s="37" t="str">
        <f>IF(Agent05_Withdrawals!A48="","",Agent05_Withdrawals!F48)</f>
        <v/>
      </c>
      <c r="G843" s="39" t="str">
        <f>IF(Agent05_Withdrawals!A48="","",Agent05_Withdrawals!E48)</f>
        <v/>
      </c>
      <c r="H843" s="39" t="str">
        <f>IF(Agent05_Withdrawals!A48="","",Agent05_Withdrawals!G48)</f>
        <v/>
      </c>
      <c r="I843" s="37" t="str">
        <f>IF(Agent05_Withdrawals!A48="","",Agent05_Withdrawals!H48)</f>
        <v/>
      </c>
      <c r="J843" s="37" t="str">
        <f>IF(Agent05_Withdrawals!A48="","",Agent05_Withdrawals!J48)</f>
        <v/>
      </c>
      <c r="K843" s="37" t="str">
        <f>IF(Agent05_Withdrawals!A48="","",Agent05_Withdrawals!K48)</f>
        <v/>
      </c>
      <c r="L843" s="37" t="str">
        <f>IF(G843="","",IF(D843-G843&gt;=System_Config!$B$9,"✅ OK","⚠️ BREACH"))</f>
        <v/>
      </c>
      <c r="M843" s="37" t="str">
        <f>IFERROR(IF(Agent05_Withdrawals!A48="","",YEAR(Agent05_Withdrawals!D48)),"")</f>
        <v/>
      </c>
    </row>
    <row r="844" spans="1:13" ht="18" customHeight="1" x14ac:dyDescent="0.25">
      <c r="A844" s="37" t="str">
        <f>IF(Agent05_Withdrawals!A49="","",Agent05_Withdrawals!A49)</f>
        <v/>
      </c>
      <c r="B844" s="37" t="str">
        <f ca="1">IF(Agent05_Withdrawals!A49="","","WD"&amp;TEXT(844-3,"0000")&amp;"-"&amp;TEXT(TODAY(),"YYYYMMDD"))</f>
        <v/>
      </c>
      <c r="C844" s="37" t="str">
        <f>IF(Agent05_Withdrawals!A49="","",Agent05_Withdrawals!B49)</f>
        <v/>
      </c>
      <c r="D844" s="40" t="str">
        <f>IF(Agent05_Withdrawals!A49="","",Agent05_Withdrawals!C49)</f>
        <v/>
      </c>
      <c r="E844" s="38" t="str">
        <f>IF(Agent05_Withdrawals!A49="","",Agent05_Withdrawals!D49)</f>
        <v/>
      </c>
      <c r="F844" s="37" t="str">
        <f>IF(Agent05_Withdrawals!A49="","",Agent05_Withdrawals!F49)</f>
        <v/>
      </c>
      <c r="G844" s="39" t="str">
        <f>IF(Agent05_Withdrawals!A49="","",Agent05_Withdrawals!E49)</f>
        <v/>
      </c>
      <c r="H844" s="39" t="str">
        <f>IF(Agent05_Withdrawals!A49="","",Agent05_Withdrawals!G49)</f>
        <v/>
      </c>
      <c r="I844" s="37" t="str">
        <f>IF(Agent05_Withdrawals!A49="","",Agent05_Withdrawals!H49)</f>
        <v/>
      </c>
      <c r="J844" s="37" t="str">
        <f>IF(Agent05_Withdrawals!A49="","",Agent05_Withdrawals!J49)</f>
        <v/>
      </c>
      <c r="K844" s="37" t="str">
        <f>IF(Agent05_Withdrawals!A49="","",Agent05_Withdrawals!K49)</f>
        <v/>
      </c>
      <c r="L844" s="37" t="str">
        <f>IF(G844="","",IF(D844-G844&gt;=System_Config!$B$9,"✅ OK","⚠️ BREACH"))</f>
        <v/>
      </c>
      <c r="M844" s="37" t="str">
        <f>IFERROR(IF(Agent05_Withdrawals!A49="","",YEAR(Agent05_Withdrawals!D49)),"")</f>
        <v/>
      </c>
    </row>
    <row r="845" spans="1:13" ht="18" customHeight="1" x14ac:dyDescent="0.25">
      <c r="A845" s="37" t="str">
        <f>IF(Agent05_Withdrawals!A50="","",Agent05_Withdrawals!A50)</f>
        <v/>
      </c>
      <c r="B845" s="37" t="str">
        <f ca="1">IF(Agent05_Withdrawals!A50="","","WD"&amp;TEXT(845-3,"0000")&amp;"-"&amp;TEXT(TODAY(),"YYYYMMDD"))</f>
        <v/>
      </c>
      <c r="C845" s="37" t="str">
        <f>IF(Agent05_Withdrawals!A50="","",Agent05_Withdrawals!B50)</f>
        <v/>
      </c>
      <c r="D845" s="40" t="str">
        <f>IF(Agent05_Withdrawals!A50="","",Agent05_Withdrawals!C50)</f>
        <v/>
      </c>
      <c r="E845" s="38" t="str">
        <f>IF(Agent05_Withdrawals!A50="","",Agent05_Withdrawals!D50)</f>
        <v/>
      </c>
      <c r="F845" s="37" t="str">
        <f>IF(Agent05_Withdrawals!A50="","",Agent05_Withdrawals!F50)</f>
        <v/>
      </c>
      <c r="G845" s="39" t="str">
        <f>IF(Agent05_Withdrawals!A50="","",Agent05_Withdrawals!E50)</f>
        <v/>
      </c>
      <c r="H845" s="39" t="str">
        <f>IF(Agent05_Withdrawals!A50="","",Agent05_Withdrawals!G50)</f>
        <v/>
      </c>
      <c r="I845" s="37" t="str">
        <f>IF(Agent05_Withdrawals!A50="","",Agent05_Withdrawals!H50)</f>
        <v/>
      </c>
      <c r="J845" s="37" t="str">
        <f>IF(Agent05_Withdrawals!A50="","",Agent05_Withdrawals!J50)</f>
        <v/>
      </c>
      <c r="K845" s="37" t="str">
        <f>IF(Agent05_Withdrawals!A50="","",Agent05_Withdrawals!K50)</f>
        <v/>
      </c>
      <c r="L845" s="37" t="str">
        <f>IF(G845="","",IF(D845-G845&gt;=System_Config!$B$9,"✅ OK","⚠️ BREACH"))</f>
        <v/>
      </c>
      <c r="M845" s="37" t="str">
        <f>IFERROR(IF(Agent05_Withdrawals!A50="","",YEAR(Agent05_Withdrawals!D50)),"")</f>
        <v/>
      </c>
    </row>
    <row r="846" spans="1:13" ht="18" customHeight="1" x14ac:dyDescent="0.25">
      <c r="A846" s="37" t="str">
        <f>IF(Agent05_Withdrawals!A51="","",Agent05_Withdrawals!A51)</f>
        <v/>
      </c>
      <c r="B846" s="37" t="str">
        <f ca="1">IF(Agent05_Withdrawals!A51="","","WD"&amp;TEXT(846-3,"0000")&amp;"-"&amp;TEXT(TODAY(),"YYYYMMDD"))</f>
        <v/>
      </c>
      <c r="C846" s="37" t="str">
        <f>IF(Agent05_Withdrawals!A51="","",Agent05_Withdrawals!B51)</f>
        <v/>
      </c>
      <c r="D846" s="40" t="str">
        <f>IF(Agent05_Withdrawals!A51="","",Agent05_Withdrawals!C51)</f>
        <v/>
      </c>
      <c r="E846" s="38" t="str">
        <f>IF(Agent05_Withdrawals!A51="","",Agent05_Withdrawals!D51)</f>
        <v/>
      </c>
      <c r="F846" s="37" t="str">
        <f>IF(Agent05_Withdrawals!A51="","",Agent05_Withdrawals!F51)</f>
        <v/>
      </c>
      <c r="G846" s="39" t="str">
        <f>IF(Agent05_Withdrawals!A51="","",Agent05_Withdrawals!E51)</f>
        <v/>
      </c>
      <c r="H846" s="39" t="str">
        <f>IF(Agent05_Withdrawals!A51="","",Agent05_Withdrawals!G51)</f>
        <v/>
      </c>
      <c r="I846" s="37" t="str">
        <f>IF(Agent05_Withdrawals!A51="","",Agent05_Withdrawals!H51)</f>
        <v/>
      </c>
      <c r="J846" s="37" t="str">
        <f>IF(Agent05_Withdrawals!A51="","",Agent05_Withdrawals!J51)</f>
        <v/>
      </c>
      <c r="K846" s="37" t="str">
        <f>IF(Agent05_Withdrawals!A51="","",Agent05_Withdrawals!K51)</f>
        <v/>
      </c>
      <c r="L846" s="37" t="str">
        <f>IF(G846="","",IF(D846-G846&gt;=System_Config!$B$9,"✅ OK","⚠️ BREACH"))</f>
        <v/>
      </c>
      <c r="M846" s="37" t="str">
        <f>IFERROR(IF(Agent05_Withdrawals!A51="","",YEAR(Agent05_Withdrawals!D51)),"")</f>
        <v/>
      </c>
    </row>
    <row r="847" spans="1:13" ht="18" customHeight="1" x14ac:dyDescent="0.25">
      <c r="A847" s="37" t="str">
        <f>IF(Agent05_Withdrawals!A52="","",Agent05_Withdrawals!A52)</f>
        <v/>
      </c>
      <c r="B847" s="37" t="str">
        <f ca="1">IF(Agent05_Withdrawals!A52="","","WD"&amp;TEXT(847-3,"0000")&amp;"-"&amp;TEXT(TODAY(),"YYYYMMDD"))</f>
        <v/>
      </c>
      <c r="C847" s="37" t="str">
        <f>IF(Agent05_Withdrawals!A52="","",Agent05_Withdrawals!B52)</f>
        <v/>
      </c>
      <c r="D847" s="40" t="str">
        <f>IF(Agent05_Withdrawals!A52="","",Agent05_Withdrawals!C52)</f>
        <v/>
      </c>
      <c r="E847" s="38" t="str">
        <f>IF(Agent05_Withdrawals!A52="","",Agent05_Withdrawals!D52)</f>
        <v/>
      </c>
      <c r="F847" s="37" t="str">
        <f>IF(Agent05_Withdrawals!A52="","",Agent05_Withdrawals!F52)</f>
        <v/>
      </c>
      <c r="G847" s="39" t="str">
        <f>IF(Agent05_Withdrawals!A52="","",Agent05_Withdrawals!E52)</f>
        <v/>
      </c>
      <c r="H847" s="39" t="str">
        <f>IF(Agent05_Withdrawals!A52="","",Agent05_Withdrawals!G52)</f>
        <v/>
      </c>
      <c r="I847" s="37" t="str">
        <f>IF(Agent05_Withdrawals!A52="","",Agent05_Withdrawals!H52)</f>
        <v/>
      </c>
      <c r="J847" s="37" t="str">
        <f>IF(Agent05_Withdrawals!A52="","",Agent05_Withdrawals!J52)</f>
        <v/>
      </c>
      <c r="K847" s="37" t="str">
        <f>IF(Agent05_Withdrawals!A52="","",Agent05_Withdrawals!K52)</f>
        <v/>
      </c>
      <c r="L847" s="37" t="str">
        <f>IF(G847="","",IF(D847-G847&gt;=System_Config!$B$9,"✅ OK","⚠️ BREACH"))</f>
        <v/>
      </c>
      <c r="M847" s="37" t="str">
        <f>IFERROR(IF(Agent05_Withdrawals!A52="","",YEAR(Agent05_Withdrawals!D52)),"")</f>
        <v/>
      </c>
    </row>
    <row r="848" spans="1:13" ht="18" customHeight="1" x14ac:dyDescent="0.25">
      <c r="A848" s="37" t="str">
        <f>IF(Agent05_Withdrawals!A53="","",Agent05_Withdrawals!A53)</f>
        <v/>
      </c>
      <c r="B848" s="37" t="str">
        <f ca="1">IF(Agent05_Withdrawals!A53="","","WD"&amp;TEXT(848-3,"0000")&amp;"-"&amp;TEXT(TODAY(),"YYYYMMDD"))</f>
        <v/>
      </c>
      <c r="C848" s="37" t="str">
        <f>IF(Agent05_Withdrawals!A53="","",Agent05_Withdrawals!B53)</f>
        <v/>
      </c>
      <c r="D848" s="40" t="str">
        <f>IF(Agent05_Withdrawals!A53="","",Agent05_Withdrawals!C53)</f>
        <v/>
      </c>
      <c r="E848" s="38" t="str">
        <f>IF(Agent05_Withdrawals!A53="","",Agent05_Withdrawals!D53)</f>
        <v/>
      </c>
      <c r="F848" s="37" t="str">
        <f>IF(Agent05_Withdrawals!A53="","",Agent05_Withdrawals!F53)</f>
        <v/>
      </c>
      <c r="G848" s="39" t="str">
        <f>IF(Agent05_Withdrawals!A53="","",Agent05_Withdrawals!E53)</f>
        <v/>
      </c>
      <c r="H848" s="39" t="str">
        <f>IF(Agent05_Withdrawals!A53="","",Agent05_Withdrawals!G53)</f>
        <v/>
      </c>
      <c r="I848" s="37" t="str">
        <f>IF(Agent05_Withdrawals!A53="","",Agent05_Withdrawals!H53)</f>
        <v/>
      </c>
      <c r="J848" s="37" t="str">
        <f>IF(Agent05_Withdrawals!A53="","",Agent05_Withdrawals!J53)</f>
        <v/>
      </c>
      <c r="K848" s="37" t="str">
        <f>IF(Agent05_Withdrawals!A53="","",Agent05_Withdrawals!K53)</f>
        <v/>
      </c>
      <c r="L848" s="37" t="str">
        <f>IF(G848="","",IF(D848-G848&gt;=System_Config!$B$9,"✅ OK","⚠️ BREACH"))</f>
        <v/>
      </c>
      <c r="M848" s="37" t="str">
        <f>IFERROR(IF(Agent05_Withdrawals!A53="","",YEAR(Agent05_Withdrawals!D53)),"")</f>
        <v/>
      </c>
    </row>
    <row r="849" spans="1:13" ht="18" customHeight="1" x14ac:dyDescent="0.25">
      <c r="A849" s="37" t="str">
        <f>IF(Agent05_Withdrawals!A54="","",Agent05_Withdrawals!A54)</f>
        <v/>
      </c>
      <c r="B849" s="37" t="str">
        <f ca="1">IF(Agent05_Withdrawals!A54="","","WD"&amp;TEXT(849-3,"0000")&amp;"-"&amp;TEXT(TODAY(),"YYYYMMDD"))</f>
        <v/>
      </c>
      <c r="C849" s="37" t="str">
        <f>IF(Agent05_Withdrawals!A54="","",Agent05_Withdrawals!B54)</f>
        <v/>
      </c>
      <c r="D849" s="40" t="str">
        <f>IF(Agent05_Withdrawals!A54="","",Agent05_Withdrawals!C54)</f>
        <v/>
      </c>
      <c r="E849" s="38" t="str">
        <f>IF(Agent05_Withdrawals!A54="","",Agent05_Withdrawals!D54)</f>
        <v/>
      </c>
      <c r="F849" s="37" t="str">
        <f>IF(Agent05_Withdrawals!A54="","",Agent05_Withdrawals!F54)</f>
        <v/>
      </c>
      <c r="G849" s="39" t="str">
        <f>IF(Agent05_Withdrawals!A54="","",Agent05_Withdrawals!E54)</f>
        <v/>
      </c>
      <c r="H849" s="39" t="str">
        <f>IF(Agent05_Withdrawals!A54="","",Agent05_Withdrawals!G54)</f>
        <v/>
      </c>
      <c r="I849" s="37" t="str">
        <f>IF(Agent05_Withdrawals!A54="","",Agent05_Withdrawals!H54)</f>
        <v/>
      </c>
      <c r="J849" s="37" t="str">
        <f>IF(Agent05_Withdrawals!A54="","",Agent05_Withdrawals!J54)</f>
        <v/>
      </c>
      <c r="K849" s="37" t="str">
        <f>IF(Agent05_Withdrawals!A54="","",Agent05_Withdrawals!K54)</f>
        <v/>
      </c>
      <c r="L849" s="37" t="str">
        <f>IF(G849="","",IF(D849-G849&gt;=System_Config!$B$9,"✅ OK","⚠️ BREACH"))</f>
        <v/>
      </c>
      <c r="M849" s="37" t="str">
        <f>IFERROR(IF(Agent05_Withdrawals!A54="","",YEAR(Agent05_Withdrawals!D54)),"")</f>
        <v/>
      </c>
    </row>
    <row r="850" spans="1:13" ht="18" customHeight="1" x14ac:dyDescent="0.25">
      <c r="A850" s="37" t="str">
        <f>IF(Agent05_Withdrawals!A55="","",Agent05_Withdrawals!A55)</f>
        <v/>
      </c>
      <c r="B850" s="37" t="str">
        <f ca="1">IF(Agent05_Withdrawals!A55="","","WD"&amp;TEXT(850-3,"0000")&amp;"-"&amp;TEXT(TODAY(),"YYYYMMDD"))</f>
        <v/>
      </c>
      <c r="C850" s="37" t="str">
        <f>IF(Agent05_Withdrawals!A55="","",Agent05_Withdrawals!B55)</f>
        <v/>
      </c>
      <c r="D850" s="40" t="str">
        <f>IF(Agent05_Withdrawals!A55="","",Agent05_Withdrawals!C55)</f>
        <v/>
      </c>
      <c r="E850" s="38" t="str">
        <f>IF(Agent05_Withdrawals!A55="","",Agent05_Withdrawals!D55)</f>
        <v/>
      </c>
      <c r="F850" s="37" t="str">
        <f>IF(Agent05_Withdrawals!A55="","",Agent05_Withdrawals!F55)</f>
        <v/>
      </c>
      <c r="G850" s="39" t="str">
        <f>IF(Agent05_Withdrawals!A55="","",Agent05_Withdrawals!E55)</f>
        <v/>
      </c>
      <c r="H850" s="39" t="str">
        <f>IF(Agent05_Withdrawals!A55="","",Agent05_Withdrawals!G55)</f>
        <v/>
      </c>
      <c r="I850" s="37" t="str">
        <f>IF(Agent05_Withdrawals!A55="","",Agent05_Withdrawals!H55)</f>
        <v/>
      </c>
      <c r="J850" s="37" t="str">
        <f>IF(Agent05_Withdrawals!A55="","",Agent05_Withdrawals!J55)</f>
        <v/>
      </c>
      <c r="K850" s="37" t="str">
        <f>IF(Agent05_Withdrawals!A55="","",Agent05_Withdrawals!K55)</f>
        <v/>
      </c>
      <c r="L850" s="37" t="str">
        <f>IF(G850="","",IF(D850-G850&gt;=System_Config!$B$9,"✅ OK","⚠️ BREACH"))</f>
        <v/>
      </c>
      <c r="M850" s="37" t="str">
        <f>IFERROR(IF(Agent05_Withdrawals!A55="","",YEAR(Agent05_Withdrawals!D55)),"")</f>
        <v/>
      </c>
    </row>
    <row r="851" spans="1:13" ht="18" customHeight="1" x14ac:dyDescent="0.25">
      <c r="A851" s="37" t="str">
        <f>IF(Agent05_Withdrawals!A56="","",Agent05_Withdrawals!A56)</f>
        <v/>
      </c>
      <c r="B851" s="37" t="str">
        <f ca="1">IF(Agent05_Withdrawals!A56="","","WD"&amp;TEXT(851-3,"0000")&amp;"-"&amp;TEXT(TODAY(),"YYYYMMDD"))</f>
        <v/>
      </c>
      <c r="C851" s="37" t="str">
        <f>IF(Agent05_Withdrawals!A56="","",Agent05_Withdrawals!B56)</f>
        <v/>
      </c>
      <c r="D851" s="40" t="str">
        <f>IF(Agent05_Withdrawals!A56="","",Agent05_Withdrawals!C56)</f>
        <v/>
      </c>
      <c r="E851" s="38" t="str">
        <f>IF(Agent05_Withdrawals!A56="","",Agent05_Withdrawals!D56)</f>
        <v/>
      </c>
      <c r="F851" s="37" t="str">
        <f>IF(Agent05_Withdrawals!A56="","",Agent05_Withdrawals!F56)</f>
        <v/>
      </c>
      <c r="G851" s="39" t="str">
        <f>IF(Agent05_Withdrawals!A56="","",Agent05_Withdrawals!E56)</f>
        <v/>
      </c>
      <c r="H851" s="39" t="str">
        <f>IF(Agent05_Withdrawals!A56="","",Agent05_Withdrawals!G56)</f>
        <v/>
      </c>
      <c r="I851" s="37" t="str">
        <f>IF(Agent05_Withdrawals!A56="","",Agent05_Withdrawals!H56)</f>
        <v/>
      </c>
      <c r="J851" s="37" t="str">
        <f>IF(Agent05_Withdrawals!A56="","",Agent05_Withdrawals!J56)</f>
        <v/>
      </c>
      <c r="K851" s="37" t="str">
        <f>IF(Agent05_Withdrawals!A56="","",Agent05_Withdrawals!K56)</f>
        <v/>
      </c>
      <c r="L851" s="37" t="str">
        <f>IF(G851="","",IF(D851-G851&gt;=System_Config!$B$9,"✅ OK","⚠️ BREACH"))</f>
        <v/>
      </c>
      <c r="M851" s="37" t="str">
        <f>IFERROR(IF(Agent05_Withdrawals!A56="","",YEAR(Agent05_Withdrawals!D56)),"")</f>
        <v/>
      </c>
    </row>
    <row r="852" spans="1:13" ht="18" customHeight="1" x14ac:dyDescent="0.25">
      <c r="A852" s="37" t="str">
        <f>IF(Agent05_Withdrawals!A57="","",Agent05_Withdrawals!A57)</f>
        <v/>
      </c>
      <c r="B852" s="37" t="str">
        <f ca="1">IF(Agent05_Withdrawals!A57="","","WD"&amp;TEXT(852-3,"0000")&amp;"-"&amp;TEXT(TODAY(),"YYYYMMDD"))</f>
        <v/>
      </c>
      <c r="C852" s="37" t="str">
        <f>IF(Agent05_Withdrawals!A57="","",Agent05_Withdrawals!B57)</f>
        <v/>
      </c>
      <c r="D852" s="40" t="str">
        <f>IF(Agent05_Withdrawals!A57="","",Agent05_Withdrawals!C57)</f>
        <v/>
      </c>
      <c r="E852" s="38" t="str">
        <f>IF(Agent05_Withdrawals!A57="","",Agent05_Withdrawals!D57)</f>
        <v/>
      </c>
      <c r="F852" s="37" t="str">
        <f>IF(Agent05_Withdrawals!A57="","",Agent05_Withdrawals!F57)</f>
        <v/>
      </c>
      <c r="G852" s="39" t="str">
        <f>IF(Agent05_Withdrawals!A57="","",Agent05_Withdrawals!E57)</f>
        <v/>
      </c>
      <c r="H852" s="39" t="str">
        <f>IF(Agent05_Withdrawals!A57="","",Agent05_Withdrawals!G57)</f>
        <v/>
      </c>
      <c r="I852" s="37" t="str">
        <f>IF(Agent05_Withdrawals!A57="","",Agent05_Withdrawals!H57)</f>
        <v/>
      </c>
      <c r="J852" s="37" t="str">
        <f>IF(Agent05_Withdrawals!A57="","",Agent05_Withdrawals!J57)</f>
        <v/>
      </c>
      <c r="K852" s="37" t="str">
        <f>IF(Agent05_Withdrawals!A57="","",Agent05_Withdrawals!K57)</f>
        <v/>
      </c>
      <c r="L852" s="37" t="str">
        <f>IF(G852="","",IF(D852-G852&gt;=System_Config!$B$9,"✅ OK","⚠️ BREACH"))</f>
        <v/>
      </c>
      <c r="M852" s="37" t="str">
        <f>IFERROR(IF(Agent05_Withdrawals!A57="","",YEAR(Agent05_Withdrawals!D57)),"")</f>
        <v/>
      </c>
    </row>
    <row r="853" spans="1:13" ht="18" customHeight="1" x14ac:dyDescent="0.25">
      <c r="A853" s="37" t="str">
        <f>IF(Agent05_Withdrawals!A58="","",Agent05_Withdrawals!A58)</f>
        <v/>
      </c>
      <c r="B853" s="37" t="str">
        <f ca="1">IF(Agent05_Withdrawals!A58="","","WD"&amp;TEXT(853-3,"0000")&amp;"-"&amp;TEXT(TODAY(),"YYYYMMDD"))</f>
        <v/>
      </c>
      <c r="C853" s="37" t="str">
        <f>IF(Agent05_Withdrawals!A58="","",Agent05_Withdrawals!B58)</f>
        <v/>
      </c>
      <c r="D853" s="40" t="str">
        <f>IF(Agent05_Withdrawals!A58="","",Agent05_Withdrawals!C58)</f>
        <v/>
      </c>
      <c r="E853" s="38" t="str">
        <f>IF(Agent05_Withdrawals!A58="","",Agent05_Withdrawals!D58)</f>
        <v/>
      </c>
      <c r="F853" s="37" t="str">
        <f>IF(Agent05_Withdrawals!A58="","",Agent05_Withdrawals!F58)</f>
        <v/>
      </c>
      <c r="G853" s="39" t="str">
        <f>IF(Agent05_Withdrawals!A58="","",Agent05_Withdrawals!E58)</f>
        <v/>
      </c>
      <c r="H853" s="39" t="str">
        <f>IF(Agent05_Withdrawals!A58="","",Agent05_Withdrawals!G58)</f>
        <v/>
      </c>
      <c r="I853" s="37" t="str">
        <f>IF(Agent05_Withdrawals!A58="","",Agent05_Withdrawals!H58)</f>
        <v/>
      </c>
      <c r="J853" s="37" t="str">
        <f>IF(Agent05_Withdrawals!A58="","",Agent05_Withdrawals!J58)</f>
        <v/>
      </c>
      <c r="K853" s="37" t="str">
        <f>IF(Agent05_Withdrawals!A58="","",Agent05_Withdrawals!K58)</f>
        <v/>
      </c>
      <c r="L853" s="37" t="str">
        <f>IF(G853="","",IF(D853-G853&gt;=System_Config!$B$9,"✅ OK","⚠️ BREACH"))</f>
        <v/>
      </c>
      <c r="M853" s="37" t="str">
        <f>IFERROR(IF(Agent05_Withdrawals!A58="","",YEAR(Agent05_Withdrawals!D58)),"")</f>
        <v/>
      </c>
    </row>
    <row r="854" spans="1:13" ht="18" customHeight="1" x14ac:dyDescent="0.25">
      <c r="A854" s="37" t="str">
        <f>IF(Agent05_Withdrawals!A59="","",Agent05_Withdrawals!A59)</f>
        <v/>
      </c>
      <c r="B854" s="37" t="str">
        <f ca="1">IF(Agent05_Withdrawals!A59="","","WD"&amp;TEXT(854-3,"0000")&amp;"-"&amp;TEXT(TODAY(),"YYYYMMDD"))</f>
        <v/>
      </c>
      <c r="C854" s="37" t="str">
        <f>IF(Agent05_Withdrawals!A59="","",Agent05_Withdrawals!B59)</f>
        <v/>
      </c>
      <c r="D854" s="40" t="str">
        <f>IF(Agent05_Withdrawals!A59="","",Agent05_Withdrawals!C59)</f>
        <v/>
      </c>
      <c r="E854" s="38" t="str">
        <f>IF(Agent05_Withdrawals!A59="","",Agent05_Withdrawals!D59)</f>
        <v/>
      </c>
      <c r="F854" s="37" t="str">
        <f>IF(Agent05_Withdrawals!A59="","",Agent05_Withdrawals!F59)</f>
        <v/>
      </c>
      <c r="G854" s="39" t="str">
        <f>IF(Agent05_Withdrawals!A59="","",Agent05_Withdrawals!E59)</f>
        <v/>
      </c>
      <c r="H854" s="39" t="str">
        <f>IF(Agent05_Withdrawals!A59="","",Agent05_Withdrawals!G59)</f>
        <v/>
      </c>
      <c r="I854" s="37" t="str">
        <f>IF(Agent05_Withdrawals!A59="","",Agent05_Withdrawals!H59)</f>
        <v/>
      </c>
      <c r="J854" s="37" t="str">
        <f>IF(Agent05_Withdrawals!A59="","",Agent05_Withdrawals!J59)</f>
        <v/>
      </c>
      <c r="K854" s="37" t="str">
        <f>IF(Agent05_Withdrawals!A59="","",Agent05_Withdrawals!K59)</f>
        <v/>
      </c>
      <c r="L854" s="37" t="str">
        <f>IF(G854="","",IF(D854-G854&gt;=System_Config!$B$9,"✅ OK","⚠️ BREACH"))</f>
        <v/>
      </c>
      <c r="M854" s="37" t="str">
        <f>IFERROR(IF(Agent05_Withdrawals!A59="","",YEAR(Agent05_Withdrawals!D59)),"")</f>
        <v/>
      </c>
    </row>
    <row r="855" spans="1:13" ht="18" customHeight="1" x14ac:dyDescent="0.25">
      <c r="A855" s="37" t="str">
        <f>IF(Agent05_Withdrawals!A60="","",Agent05_Withdrawals!A60)</f>
        <v/>
      </c>
      <c r="B855" s="37" t="str">
        <f ca="1">IF(Agent05_Withdrawals!A60="","","WD"&amp;TEXT(855-3,"0000")&amp;"-"&amp;TEXT(TODAY(),"YYYYMMDD"))</f>
        <v/>
      </c>
      <c r="C855" s="37" t="str">
        <f>IF(Agent05_Withdrawals!A60="","",Agent05_Withdrawals!B60)</f>
        <v/>
      </c>
      <c r="D855" s="40" t="str">
        <f>IF(Agent05_Withdrawals!A60="","",Agent05_Withdrawals!C60)</f>
        <v/>
      </c>
      <c r="E855" s="38" t="str">
        <f>IF(Agent05_Withdrawals!A60="","",Agent05_Withdrawals!D60)</f>
        <v/>
      </c>
      <c r="F855" s="37" t="str">
        <f>IF(Agent05_Withdrawals!A60="","",Agent05_Withdrawals!F60)</f>
        <v/>
      </c>
      <c r="G855" s="39" t="str">
        <f>IF(Agent05_Withdrawals!A60="","",Agent05_Withdrawals!E60)</f>
        <v/>
      </c>
      <c r="H855" s="39" t="str">
        <f>IF(Agent05_Withdrawals!A60="","",Agent05_Withdrawals!G60)</f>
        <v/>
      </c>
      <c r="I855" s="37" t="str">
        <f>IF(Agent05_Withdrawals!A60="","",Agent05_Withdrawals!H60)</f>
        <v/>
      </c>
      <c r="J855" s="37" t="str">
        <f>IF(Agent05_Withdrawals!A60="","",Agent05_Withdrawals!J60)</f>
        <v/>
      </c>
      <c r="K855" s="37" t="str">
        <f>IF(Agent05_Withdrawals!A60="","",Agent05_Withdrawals!K60)</f>
        <v/>
      </c>
      <c r="L855" s="37" t="str">
        <f>IF(G855="","",IF(D855-G855&gt;=System_Config!$B$9,"✅ OK","⚠️ BREACH"))</f>
        <v/>
      </c>
      <c r="M855" s="37" t="str">
        <f>IFERROR(IF(Agent05_Withdrawals!A60="","",YEAR(Agent05_Withdrawals!D60)),"")</f>
        <v/>
      </c>
    </row>
    <row r="856" spans="1:13" ht="18" customHeight="1" x14ac:dyDescent="0.25">
      <c r="A856" s="37" t="str">
        <f>IF(Agent05_Withdrawals!A61="","",Agent05_Withdrawals!A61)</f>
        <v/>
      </c>
      <c r="B856" s="37" t="str">
        <f ca="1">IF(Agent05_Withdrawals!A61="","","WD"&amp;TEXT(856-3,"0000")&amp;"-"&amp;TEXT(TODAY(),"YYYYMMDD"))</f>
        <v/>
      </c>
      <c r="C856" s="37" t="str">
        <f>IF(Agent05_Withdrawals!A61="","",Agent05_Withdrawals!B61)</f>
        <v/>
      </c>
      <c r="D856" s="40" t="str">
        <f>IF(Agent05_Withdrawals!A61="","",Agent05_Withdrawals!C61)</f>
        <v/>
      </c>
      <c r="E856" s="38" t="str">
        <f>IF(Agent05_Withdrawals!A61="","",Agent05_Withdrawals!D61)</f>
        <v/>
      </c>
      <c r="F856" s="37" t="str">
        <f>IF(Agent05_Withdrawals!A61="","",Agent05_Withdrawals!F61)</f>
        <v/>
      </c>
      <c r="G856" s="39" t="str">
        <f>IF(Agent05_Withdrawals!A61="","",Agent05_Withdrawals!E61)</f>
        <v/>
      </c>
      <c r="H856" s="39" t="str">
        <f>IF(Agent05_Withdrawals!A61="","",Agent05_Withdrawals!G61)</f>
        <v/>
      </c>
      <c r="I856" s="37" t="str">
        <f>IF(Agent05_Withdrawals!A61="","",Agent05_Withdrawals!H61)</f>
        <v/>
      </c>
      <c r="J856" s="37" t="str">
        <f>IF(Agent05_Withdrawals!A61="","",Agent05_Withdrawals!J61)</f>
        <v/>
      </c>
      <c r="K856" s="37" t="str">
        <f>IF(Agent05_Withdrawals!A61="","",Agent05_Withdrawals!K61)</f>
        <v/>
      </c>
      <c r="L856" s="37" t="str">
        <f>IF(G856="","",IF(D856-G856&gt;=System_Config!$B$9,"✅ OK","⚠️ BREACH"))</f>
        <v/>
      </c>
      <c r="M856" s="37" t="str">
        <f>IFERROR(IF(Agent05_Withdrawals!A61="","",YEAR(Agent05_Withdrawals!D61)),"")</f>
        <v/>
      </c>
    </row>
    <row r="857" spans="1:13" ht="18" customHeight="1" x14ac:dyDescent="0.25">
      <c r="A857" s="37" t="str">
        <f>IF(Agent05_Withdrawals!A62="","",Agent05_Withdrawals!A62)</f>
        <v/>
      </c>
      <c r="B857" s="37" t="str">
        <f ca="1">IF(Agent05_Withdrawals!A62="","","WD"&amp;TEXT(857-3,"0000")&amp;"-"&amp;TEXT(TODAY(),"YYYYMMDD"))</f>
        <v/>
      </c>
      <c r="C857" s="37" t="str">
        <f>IF(Agent05_Withdrawals!A62="","",Agent05_Withdrawals!B62)</f>
        <v/>
      </c>
      <c r="D857" s="40" t="str">
        <f>IF(Agent05_Withdrawals!A62="","",Agent05_Withdrawals!C62)</f>
        <v/>
      </c>
      <c r="E857" s="38" t="str">
        <f>IF(Agent05_Withdrawals!A62="","",Agent05_Withdrawals!D62)</f>
        <v/>
      </c>
      <c r="F857" s="37" t="str">
        <f>IF(Agent05_Withdrawals!A62="","",Agent05_Withdrawals!F62)</f>
        <v/>
      </c>
      <c r="G857" s="39" t="str">
        <f>IF(Agent05_Withdrawals!A62="","",Agent05_Withdrawals!E62)</f>
        <v/>
      </c>
      <c r="H857" s="39" t="str">
        <f>IF(Agent05_Withdrawals!A62="","",Agent05_Withdrawals!G62)</f>
        <v/>
      </c>
      <c r="I857" s="37" t="str">
        <f>IF(Agent05_Withdrawals!A62="","",Agent05_Withdrawals!H62)</f>
        <v/>
      </c>
      <c r="J857" s="37" t="str">
        <f>IF(Agent05_Withdrawals!A62="","",Agent05_Withdrawals!J62)</f>
        <v/>
      </c>
      <c r="K857" s="37" t="str">
        <f>IF(Agent05_Withdrawals!A62="","",Agent05_Withdrawals!K62)</f>
        <v/>
      </c>
      <c r="L857" s="37" t="str">
        <f>IF(G857="","",IF(D857-G857&gt;=System_Config!$B$9,"✅ OK","⚠️ BREACH"))</f>
        <v/>
      </c>
      <c r="M857" s="37" t="str">
        <f>IFERROR(IF(Agent05_Withdrawals!A62="","",YEAR(Agent05_Withdrawals!D62)),"")</f>
        <v/>
      </c>
    </row>
    <row r="858" spans="1:13" ht="18" customHeight="1" x14ac:dyDescent="0.25">
      <c r="A858" s="37" t="str">
        <f>IF(Agent05_Withdrawals!A63="","",Agent05_Withdrawals!A63)</f>
        <v/>
      </c>
      <c r="B858" s="37" t="str">
        <f ca="1">IF(Agent05_Withdrawals!A63="","","WD"&amp;TEXT(858-3,"0000")&amp;"-"&amp;TEXT(TODAY(),"YYYYMMDD"))</f>
        <v/>
      </c>
      <c r="C858" s="37" t="str">
        <f>IF(Agent05_Withdrawals!A63="","",Agent05_Withdrawals!B63)</f>
        <v/>
      </c>
      <c r="D858" s="40" t="str">
        <f>IF(Agent05_Withdrawals!A63="","",Agent05_Withdrawals!C63)</f>
        <v/>
      </c>
      <c r="E858" s="38" t="str">
        <f>IF(Agent05_Withdrawals!A63="","",Agent05_Withdrawals!D63)</f>
        <v/>
      </c>
      <c r="F858" s="37" t="str">
        <f>IF(Agent05_Withdrawals!A63="","",Agent05_Withdrawals!F63)</f>
        <v/>
      </c>
      <c r="G858" s="39" t="str">
        <f>IF(Agent05_Withdrawals!A63="","",Agent05_Withdrawals!E63)</f>
        <v/>
      </c>
      <c r="H858" s="39" t="str">
        <f>IF(Agent05_Withdrawals!A63="","",Agent05_Withdrawals!G63)</f>
        <v/>
      </c>
      <c r="I858" s="37" t="str">
        <f>IF(Agent05_Withdrawals!A63="","",Agent05_Withdrawals!H63)</f>
        <v/>
      </c>
      <c r="J858" s="37" t="str">
        <f>IF(Agent05_Withdrawals!A63="","",Agent05_Withdrawals!J63)</f>
        <v/>
      </c>
      <c r="K858" s="37" t="str">
        <f>IF(Agent05_Withdrawals!A63="","",Agent05_Withdrawals!K63)</f>
        <v/>
      </c>
      <c r="L858" s="37" t="str">
        <f>IF(G858="","",IF(D858-G858&gt;=System_Config!$B$9,"✅ OK","⚠️ BREACH"))</f>
        <v/>
      </c>
      <c r="M858" s="37" t="str">
        <f>IFERROR(IF(Agent05_Withdrawals!A63="","",YEAR(Agent05_Withdrawals!D63)),"")</f>
        <v/>
      </c>
    </row>
    <row r="859" spans="1:13" ht="18" customHeight="1" x14ac:dyDescent="0.25">
      <c r="A859" s="37" t="str">
        <f>IF(Agent05_Withdrawals!A64="","",Agent05_Withdrawals!A64)</f>
        <v/>
      </c>
      <c r="B859" s="37" t="str">
        <f ca="1">IF(Agent05_Withdrawals!A64="","","WD"&amp;TEXT(859-3,"0000")&amp;"-"&amp;TEXT(TODAY(),"YYYYMMDD"))</f>
        <v/>
      </c>
      <c r="C859" s="37" t="str">
        <f>IF(Agent05_Withdrawals!A64="","",Agent05_Withdrawals!B64)</f>
        <v/>
      </c>
      <c r="D859" s="40" t="str">
        <f>IF(Agent05_Withdrawals!A64="","",Agent05_Withdrawals!C64)</f>
        <v/>
      </c>
      <c r="E859" s="38" t="str">
        <f>IF(Agent05_Withdrawals!A64="","",Agent05_Withdrawals!D64)</f>
        <v/>
      </c>
      <c r="F859" s="37" t="str">
        <f>IF(Agent05_Withdrawals!A64="","",Agent05_Withdrawals!F64)</f>
        <v/>
      </c>
      <c r="G859" s="39" t="str">
        <f>IF(Agent05_Withdrawals!A64="","",Agent05_Withdrawals!E64)</f>
        <v/>
      </c>
      <c r="H859" s="39" t="str">
        <f>IF(Agent05_Withdrawals!A64="","",Agent05_Withdrawals!G64)</f>
        <v/>
      </c>
      <c r="I859" s="37" t="str">
        <f>IF(Agent05_Withdrawals!A64="","",Agent05_Withdrawals!H64)</f>
        <v/>
      </c>
      <c r="J859" s="37" t="str">
        <f>IF(Agent05_Withdrawals!A64="","",Agent05_Withdrawals!J64)</f>
        <v/>
      </c>
      <c r="K859" s="37" t="str">
        <f>IF(Agent05_Withdrawals!A64="","",Agent05_Withdrawals!K64)</f>
        <v/>
      </c>
      <c r="L859" s="37" t="str">
        <f>IF(G859="","",IF(D859-G859&gt;=System_Config!$B$9,"✅ OK","⚠️ BREACH"))</f>
        <v/>
      </c>
      <c r="M859" s="37" t="str">
        <f>IFERROR(IF(Agent05_Withdrawals!A64="","",YEAR(Agent05_Withdrawals!D64)),"")</f>
        <v/>
      </c>
    </row>
    <row r="860" spans="1:13" ht="18" customHeight="1" x14ac:dyDescent="0.25">
      <c r="A860" s="37" t="str">
        <f>IF(Agent05_Withdrawals!A65="","",Agent05_Withdrawals!A65)</f>
        <v/>
      </c>
      <c r="B860" s="37" t="str">
        <f ca="1">IF(Agent05_Withdrawals!A65="","","WD"&amp;TEXT(860-3,"0000")&amp;"-"&amp;TEXT(TODAY(),"YYYYMMDD"))</f>
        <v/>
      </c>
      <c r="C860" s="37" t="str">
        <f>IF(Agent05_Withdrawals!A65="","",Agent05_Withdrawals!B65)</f>
        <v/>
      </c>
      <c r="D860" s="40" t="str">
        <f>IF(Agent05_Withdrawals!A65="","",Agent05_Withdrawals!C65)</f>
        <v/>
      </c>
      <c r="E860" s="38" t="str">
        <f>IF(Agent05_Withdrawals!A65="","",Agent05_Withdrawals!D65)</f>
        <v/>
      </c>
      <c r="F860" s="37" t="str">
        <f>IF(Agent05_Withdrawals!A65="","",Agent05_Withdrawals!F65)</f>
        <v/>
      </c>
      <c r="G860" s="39" t="str">
        <f>IF(Agent05_Withdrawals!A65="","",Agent05_Withdrawals!E65)</f>
        <v/>
      </c>
      <c r="H860" s="39" t="str">
        <f>IF(Agent05_Withdrawals!A65="","",Agent05_Withdrawals!G65)</f>
        <v/>
      </c>
      <c r="I860" s="37" t="str">
        <f>IF(Agent05_Withdrawals!A65="","",Agent05_Withdrawals!H65)</f>
        <v/>
      </c>
      <c r="J860" s="37" t="str">
        <f>IF(Agent05_Withdrawals!A65="","",Agent05_Withdrawals!J65)</f>
        <v/>
      </c>
      <c r="K860" s="37" t="str">
        <f>IF(Agent05_Withdrawals!A65="","",Agent05_Withdrawals!K65)</f>
        <v/>
      </c>
      <c r="L860" s="37" t="str">
        <f>IF(G860="","",IF(D860-G860&gt;=System_Config!$B$9,"✅ OK","⚠️ BREACH"))</f>
        <v/>
      </c>
      <c r="M860" s="37" t="str">
        <f>IFERROR(IF(Agent05_Withdrawals!A65="","",YEAR(Agent05_Withdrawals!D65)),"")</f>
        <v/>
      </c>
    </row>
    <row r="861" spans="1:13" ht="18" customHeight="1" x14ac:dyDescent="0.25">
      <c r="A861" s="37" t="str">
        <f>IF(Agent05_Withdrawals!A66="","",Agent05_Withdrawals!A66)</f>
        <v/>
      </c>
      <c r="B861" s="37" t="str">
        <f ca="1">IF(Agent05_Withdrawals!A66="","","WD"&amp;TEXT(861-3,"0000")&amp;"-"&amp;TEXT(TODAY(),"YYYYMMDD"))</f>
        <v/>
      </c>
      <c r="C861" s="37" t="str">
        <f>IF(Agent05_Withdrawals!A66="","",Agent05_Withdrawals!B66)</f>
        <v/>
      </c>
      <c r="D861" s="40" t="str">
        <f>IF(Agent05_Withdrawals!A66="","",Agent05_Withdrawals!C66)</f>
        <v/>
      </c>
      <c r="E861" s="38" t="str">
        <f>IF(Agent05_Withdrawals!A66="","",Agent05_Withdrawals!D66)</f>
        <v/>
      </c>
      <c r="F861" s="37" t="str">
        <f>IF(Agent05_Withdrawals!A66="","",Agent05_Withdrawals!F66)</f>
        <v/>
      </c>
      <c r="G861" s="39" t="str">
        <f>IF(Agent05_Withdrawals!A66="","",Agent05_Withdrawals!E66)</f>
        <v/>
      </c>
      <c r="H861" s="39" t="str">
        <f>IF(Agent05_Withdrawals!A66="","",Agent05_Withdrawals!G66)</f>
        <v/>
      </c>
      <c r="I861" s="37" t="str">
        <f>IF(Agent05_Withdrawals!A66="","",Agent05_Withdrawals!H66)</f>
        <v/>
      </c>
      <c r="J861" s="37" t="str">
        <f>IF(Agent05_Withdrawals!A66="","",Agent05_Withdrawals!J66)</f>
        <v/>
      </c>
      <c r="K861" s="37" t="str">
        <f>IF(Agent05_Withdrawals!A66="","",Agent05_Withdrawals!K66)</f>
        <v/>
      </c>
      <c r="L861" s="37" t="str">
        <f>IF(G861="","",IF(D861-G861&gt;=System_Config!$B$9,"✅ OK","⚠️ BREACH"))</f>
        <v/>
      </c>
      <c r="M861" s="37" t="str">
        <f>IFERROR(IF(Agent05_Withdrawals!A66="","",YEAR(Agent05_Withdrawals!D66)),"")</f>
        <v/>
      </c>
    </row>
    <row r="862" spans="1:13" ht="18" customHeight="1" x14ac:dyDescent="0.25">
      <c r="A862" s="37" t="str">
        <f>IF(Agent05_Withdrawals!A67="","",Agent05_Withdrawals!A67)</f>
        <v/>
      </c>
      <c r="B862" s="37" t="str">
        <f ca="1">IF(Agent05_Withdrawals!A67="","","WD"&amp;TEXT(862-3,"0000")&amp;"-"&amp;TEXT(TODAY(),"YYYYMMDD"))</f>
        <v/>
      </c>
      <c r="C862" s="37" t="str">
        <f>IF(Agent05_Withdrawals!A67="","",Agent05_Withdrawals!B67)</f>
        <v/>
      </c>
      <c r="D862" s="40" t="str">
        <f>IF(Agent05_Withdrawals!A67="","",Agent05_Withdrawals!C67)</f>
        <v/>
      </c>
      <c r="E862" s="38" t="str">
        <f>IF(Agent05_Withdrawals!A67="","",Agent05_Withdrawals!D67)</f>
        <v/>
      </c>
      <c r="F862" s="37" t="str">
        <f>IF(Agent05_Withdrawals!A67="","",Agent05_Withdrawals!F67)</f>
        <v/>
      </c>
      <c r="G862" s="39" t="str">
        <f>IF(Agent05_Withdrawals!A67="","",Agent05_Withdrawals!E67)</f>
        <v/>
      </c>
      <c r="H862" s="39" t="str">
        <f>IF(Agent05_Withdrawals!A67="","",Agent05_Withdrawals!G67)</f>
        <v/>
      </c>
      <c r="I862" s="37" t="str">
        <f>IF(Agent05_Withdrawals!A67="","",Agent05_Withdrawals!H67)</f>
        <v/>
      </c>
      <c r="J862" s="37" t="str">
        <f>IF(Agent05_Withdrawals!A67="","",Agent05_Withdrawals!J67)</f>
        <v/>
      </c>
      <c r="K862" s="37" t="str">
        <f>IF(Agent05_Withdrawals!A67="","",Agent05_Withdrawals!K67)</f>
        <v/>
      </c>
      <c r="L862" s="37" t="str">
        <f>IF(G862="","",IF(D862-G862&gt;=System_Config!$B$9,"✅ OK","⚠️ BREACH"))</f>
        <v/>
      </c>
      <c r="M862" s="37" t="str">
        <f>IFERROR(IF(Agent05_Withdrawals!A67="","",YEAR(Agent05_Withdrawals!D67)),"")</f>
        <v/>
      </c>
    </row>
    <row r="863" spans="1:13" ht="18" customHeight="1" x14ac:dyDescent="0.25">
      <c r="A863" s="37" t="str">
        <f>IF(Agent05_Withdrawals!A68="","",Agent05_Withdrawals!A68)</f>
        <v/>
      </c>
      <c r="B863" s="37" t="str">
        <f ca="1">IF(Agent05_Withdrawals!A68="","","WD"&amp;TEXT(863-3,"0000")&amp;"-"&amp;TEXT(TODAY(),"YYYYMMDD"))</f>
        <v/>
      </c>
      <c r="C863" s="37" t="str">
        <f>IF(Agent05_Withdrawals!A68="","",Agent05_Withdrawals!B68)</f>
        <v/>
      </c>
      <c r="D863" s="40" t="str">
        <f>IF(Agent05_Withdrawals!A68="","",Agent05_Withdrawals!C68)</f>
        <v/>
      </c>
      <c r="E863" s="38" t="str">
        <f>IF(Agent05_Withdrawals!A68="","",Agent05_Withdrawals!D68)</f>
        <v/>
      </c>
      <c r="F863" s="37" t="str">
        <f>IF(Agent05_Withdrawals!A68="","",Agent05_Withdrawals!F68)</f>
        <v/>
      </c>
      <c r="G863" s="39" t="str">
        <f>IF(Agent05_Withdrawals!A68="","",Agent05_Withdrawals!E68)</f>
        <v/>
      </c>
      <c r="H863" s="39" t="str">
        <f>IF(Agent05_Withdrawals!A68="","",Agent05_Withdrawals!G68)</f>
        <v/>
      </c>
      <c r="I863" s="37" t="str">
        <f>IF(Agent05_Withdrawals!A68="","",Agent05_Withdrawals!H68)</f>
        <v/>
      </c>
      <c r="J863" s="37" t="str">
        <f>IF(Agent05_Withdrawals!A68="","",Agent05_Withdrawals!J68)</f>
        <v/>
      </c>
      <c r="K863" s="37" t="str">
        <f>IF(Agent05_Withdrawals!A68="","",Agent05_Withdrawals!K68)</f>
        <v/>
      </c>
      <c r="L863" s="37" t="str">
        <f>IF(G863="","",IF(D863-G863&gt;=System_Config!$B$9,"✅ OK","⚠️ BREACH"))</f>
        <v/>
      </c>
      <c r="M863" s="37" t="str">
        <f>IFERROR(IF(Agent05_Withdrawals!A68="","",YEAR(Agent05_Withdrawals!D68)),"")</f>
        <v/>
      </c>
    </row>
    <row r="864" spans="1:13" ht="18" customHeight="1" x14ac:dyDescent="0.25">
      <c r="A864" s="37" t="str">
        <f>IF(Agent05_Withdrawals!A69="","",Agent05_Withdrawals!A69)</f>
        <v/>
      </c>
      <c r="B864" s="37" t="str">
        <f ca="1">IF(Agent05_Withdrawals!A69="","","WD"&amp;TEXT(864-3,"0000")&amp;"-"&amp;TEXT(TODAY(),"YYYYMMDD"))</f>
        <v/>
      </c>
      <c r="C864" s="37" t="str">
        <f>IF(Agent05_Withdrawals!A69="","",Agent05_Withdrawals!B69)</f>
        <v/>
      </c>
      <c r="D864" s="40" t="str">
        <f>IF(Agent05_Withdrawals!A69="","",Agent05_Withdrawals!C69)</f>
        <v/>
      </c>
      <c r="E864" s="38" t="str">
        <f>IF(Agent05_Withdrawals!A69="","",Agent05_Withdrawals!D69)</f>
        <v/>
      </c>
      <c r="F864" s="37" t="str">
        <f>IF(Agent05_Withdrawals!A69="","",Agent05_Withdrawals!F69)</f>
        <v/>
      </c>
      <c r="G864" s="39" t="str">
        <f>IF(Agent05_Withdrawals!A69="","",Agent05_Withdrawals!E69)</f>
        <v/>
      </c>
      <c r="H864" s="39" t="str">
        <f>IF(Agent05_Withdrawals!A69="","",Agent05_Withdrawals!G69)</f>
        <v/>
      </c>
      <c r="I864" s="37" t="str">
        <f>IF(Agent05_Withdrawals!A69="","",Agent05_Withdrawals!H69)</f>
        <v/>
      </c>
      <c r="J864" s="37" t="str">
        <f>IF(Agent05_Withdrawals!A69="","",Agent05_Withdrawals!J69)</f>
        <v/>
      </c>
      <c r="K864" s="37" t="str">
        <f>IF(Agent05_Withdrawals!A69="","",Agent05_Withdrawals!K69)</f>
        <v/>
      </c>
      <c r="L864" s="37" t="str">
        <f>IF(G864="","",IF(D864-G864&gt;=System_Config!$B$9,"✅ OK","⚠️ BREACH"))</f>
        <v/>
      </c>
      <c r="M864" s="37" t="str">
        <f>IFERROR(IF(Agent05_Withdrawals!A69="","",YEAR(Agent05_Withdrawals!D69)),"")</f>
        <v/>
      </c>
    </row>
    <row r="865" spans="1:13" ht="18" customHeight="1" x14ac:dyDescent="0.25">
      <c r="A865" s="37" t="str">
        <f>IF(Agent05_Withdrawals!A70="","",Agent05_Withdrawals!A70)</f>
        <v/>
      </c>
      <c r="B865" s="37" t="str">
        <f ca="1">IF(Agent05_Withdrawals!A70="","","WD"&amp;TEXT(865-3,"0000")&amp;"-"&amp;TEXT(TODAY(),"YYYYMMDD"))</f>
        <v/>
      </c>
      <c r="C865" s="37" t="str">
        <f>IF(Agent05_Withdrawals!A70="","",Agent05_Withdrawals!B70)</f>
        <v/>
      </c>
      <c r="D865" s="40" t="str">
        <f>IF(Agent05_Withdrawals!A70="","",Agent05_Withdrawals!C70)</f>
        <v/>
      </c>
      <c r="E865" s="38" t="str">
        <f>IF(Agent05_Withdrawals!A70="","",Agent05_Withdrawals!D70)</f>
        <v/>
      </c>
      <c r="F865" s="37" t="str">
        <f>IF(Agent05_Withdrawals!A70="","",Agent05_Withdrawals!F70)</f>
        <v/>
      </c>
      <c r="G865" s="39" t="str">
        <f>IF(Agent05_Withdrawals!A70="","",Agent05_Withdrawals!E70)</f>
        <v/>
      </c>
      <c r="H865" s="39" t="str">
        <f>IF(Agent05_Withdrawals!A70="","",Agent05_Withdrawals!G70)</f>
        <v/>
      </c>
      <c r="I865" s="37" t="str">
        <f>IF(Agent05_Withdrawals!A70="","",Agent05_Withdrawals!H70)</f>
        <v/>
      </c>
      <c r="J865" s="37" t="str">
        <f>IF(Agent05_Withdrawals!A70="","",Agent05_Withdrawals!J70)</f>
        <v/>
      </c>
      <c r="K865" s="37" t="str">
        <f>IF(Agent05_Withdrawals!A70="","",Agent05_Withdrawals!K70)</f>
        <v/>
      </c>
      <c r="L865" s="37" t="str">
        <f>IF(G865="","",IF(D865-G865&gt;=System_Config!$B$9,"✅ OK","⚠️ BREACH"))</f>
        <v/>
      </c>
      <c r="M865" s="37" t="str">
        <f>IFERROR(IF(Agent05_Withdrawals!A70="","",YEAR(Agent05_Withdrawals!D70)),"")</f>
        <v/>
      </c>
    </row>
    <row r="866" spans="1:13" ht="18" customHeight="1" x14ac:dyDescent="0.25">
      <c r="A866" s="37" t="str">
        <f>IF(Agent05_Withdrawals!A71="","",Agent05_Withdrawals!A71)</f>
        <v/>
      </c>
      <c r="B866" s="37" t="str">
        <f ca="1">IF(Agent05_Withdrawals!A71="","","WD"&amp;TEXT(866-3,"0000")&amp;"-"&amp;TEXT(TODAY(),"YYYYMMDD"))</f>
        <v/>
      </c>
      <c r="C866" s="37" t="str">
        <f>IF(Agent05_Withdrawals!A71="","",Agent05_Withdrawals!B71)</f>
        <v/>
      </c>
      <c r="D866" s="40" t="str">
        <f>IF(Agent05_Withdrawals!A71="","",Agent05_Withdrawals!C71)</f>
        <v/>
      </c>
      <c r="E866" s="38" t="str">
        <f>IF(Agent05_Withdrawals!A71="","",Agent05_Withdrawals!D71)</f>
        <v/>
      </c>
      <c r="F866" s="37" t="str">
        <f>IF(Agent05_Withdrawals!A71="","",Agent05_Withdrawals!F71)</f>
        <v/>
      </c>
      <c r="G866" s="39" t="str">
        <f>IF(Agent05_Withdrawals!A71="","",Agent05_Withdrawals!E71)</f>
        <v/>
      </c>
      <c r="H866" s="39" t="str">
        <f>IF(Agent05_Withdrawals!A71="","",Agent05_Withdrawals!G71)</f>
        <v/>
      </c>
      <c r="I866" s="37" t="str">
        <f>IF(Agent05_Withdrawals!A71="","",Agent05_Withdrawals!H71)</f>
        <v/>
      </c>
      <c r="J866" s="37" t="str">
        <f>IF(Agent05_Withdrawals!A71="","",Agent05_Withdrawals!J71)</f>
        <v/>
      </c>
      <c r="K866" s="37" t="str">
        <f>IF(Agent05_Withdrawals!A71="","",Agent05_Withdrawals!K71)</f>
        <v/>
      </c>
      <c r="L866" s="37" t="str">
        <f>IF(G866="","",IF(D866-G866&gt;=System_Config!$B$9,"✅ OK","⚠️ BREACH"))</f>
        <v/>
      </c>
      <c r="M866" s="37" t="str">
        <f>IFERROR(IF(Agent05_Withdrawals!A71="","",YEAR(Agent05_Withdrawals!D71)),"")</f>
        <v/>
      </c>
    </row>
    <row r="867" spans="1:13" ht="18" customHeight="1" x14ac:dyDescent="0.25">
      <c r="A867" s="37" t="str">
        <f>IF(Agent05_Withdrawals!A72="","",Agent05_Withdrawals!A72)</f>
        <v/>
      </c>
      <c r="B867" s="37" t="str">
        <f ca="1">IF(Agent05_Withdrawals!A72="","","WD"&amp;TEXT(867-3,"0000")&amp;"-"&amp;TEXT(TODAY(),"YYYYMMDD"))</f>
        <v/>
      </c>
      <c r="C867" s="37" t="str">
        <f>IF(Agent05_Withdrawals!A72="","",Agent05_Withdrawals!B72)</f>
        <v/>
      </c>
      <c r="D867" s="40" t="str">
        <f>IF(Agent05_Withdrawals!A72="","",Agent05_Withdrawals!C72)</f>
        <v/>
      </c>
      <c r="E867" s="38" t="str">
        <f>IF(Agent05_Withdrawals!A72="","",Agent05_Withdrawals!D72)</f>
        <v/>
      </c>
      <c r="F867" s="37" t="str">
        <f>IF(Agent05_Withdrawals!A72="","",Agent05_Withdrawals!F72)</f>
        <v/>
      </c>
      <c r="G867" s="39" t="str">
        <f>IF(Agent05_Withdrawals!A72="","",Agent05_Withdrawals!E72)</f>
        <v/>
      </c>
      <c r="H867" s="39" t="str">
        <f>IF(Agent05_Withdrawals!A72="","",Agent05_Withdrawals!G72)</f>
        <v/>
      </c>
      <c r="I867" s="37" t="str">
        <f>IF(Agent05_Withdrawals!A72="","",Agent05_Withdrawals!H72)</f>
        <v/>
      </c>
      <c r="J867" s="37" t="str">
        <f>IF(Agent05_Withdrawals!A72="","",Agent05_Withdrawals!J72)</f>
        <v/>
      </c>
      <c r="K867" s="37" t="str">
        <f>IF(Agent05_Withdrawals!A72="","",Agent05_Withdrawals!K72)</f>
        <v/>
      </c>
      <c r="L867" s="37" t="str">
        <f>IF(G867="","",IF(D867-G867&gt;=System_Config!$B$9,"✅ OK","⚠️ BREACH"))</f>
        <v/>
      </c>
      <c r="M867" s="37" t="str">
        <f>IFERROR(IF(Agent05_Withdrawals!A72="","",YEAR(Agent05_Withdrawals!D72)),"")</f>
        <v/>
      </c>
    </row>
    <row r="868" spans="1:13" ht="18" customHeight="1" x14ac:dyDescent="0.25">
      <c r="A868" s="37" t="str">
        <f>IF(Agent05_Withdrawals!A73="","",Agent05_Withdrawals!A73)</f>
        <v/>
      </c>
      <c r="B868" s="37" t="str">
        <f ca="1">IF(Agent05_Withdrawals!A73="","","WD"&amp;TEXT(868-3,"0000")&amp;"-"&amp;TEXT(TODAY(),"YYYYMMDD"))</f>
        <v/>
      </c>
      <c r="C868" s="37" t="str">
        <f>IF(Agent05_Withdrawals!A73="","",Agent05_Withdrawals!B73)</f>
        <v/>
      </c>
      <c r="D868" s="40" t="str">
        <f>IF(Agent05_Withdrawals!A73="","",Agent05_Withdrawals!C73)</f>
        <v/>
      </c>
      <c r="E868" s="38" t="str">
        <f>IF(Agent05_Withdrawals!A73="","",Agent05_Withdrawals!D73)</f>
        <v/>
      </c>
      <c r="F868" s="37" t="str">
        <f>IF(Agent05_Withdrawals!A73="","",Agent05_Withdrawals!F73)</f>
        <v/>
      </c>
      <c r="G868" s="39" t="str">
        <f>IF(Agent05_Withdrawals!A73="","",Agent05_Withdrawals!E73)</f>
        <v/>
      </c>
      <c r="H868" s="39" t="str">
        <f>IF(Agent05_Withdrawals!A73="","",Agent05_Withdrawals!G73)</f>
        <v/>
      </c>
      <c r="I868" s="37" t="str">
        <f>IF(Agent05_Withdrawals!A73="","",Agent05_Withdrawals!H73)</f>
        <v/>
      </c>
      <c r="J868" s="37" t="str">
        <f>IF(Agent05_Withdrawals!A73="","",Agent05_Withdrawals!J73)</f>
        <v/>
      </c>
      <c r="K868" s="37" t="str">
        <f>IF(Agent05_Withdrawals!A73="","",Agent05_Withdrawals!K73)</f>
        <v/>
      </c>
      <c r="L868" s="37" t="str">
        <f>IF(G868="","",IF(D868-G868&gt;=System_Config!$B$9,"✅ OK","⚠️ BREACH"))</f>
        <v/>
      </c>
      <c r="M868" s="37" t="str">
        <f>IFERROR(IF(Agent05_Withdrawals!A73="","",YEAR(Agent05_Withdrawals!D73)),"")</f>
        <v/>
      </c>
    </row>
    <row r="869" spans="1:13" ht="18" customHeight="1" x14ac:dyDescent="0.25">
      <c r="A869" s="37" t="str">
        <f>IF(Agent05_Withdrawals!A74="","",Agent05_Withdrawals!A74)</f>
        <v/>
      </c>
      <c r="B869" s="37" t="str">
        <f ca="1">IF(Agent05_Withdrawals!A74="","","WD"&amp;TEXT(869-3,"0000")&amp;"-"&amp;TEXT(TODAY(),"YYYYMMDD"))</f>
        <v/>
      </c>
      <c r="C869" s="37" t="str">
        <f>IF(Agent05_Withdrawals!A74="","",Agent05_Withdrawals!B74)</f>
        <v/>
      </c>
      <c r="D869" s="40" t="str">
        <f>IF(Agent05_Withdrawals!A74="","",Agent05_Withdrawals!C74)</f>
        <v/>
      </c>
      <c r="E869" s="38" t="str">
        <f>IF(Agent05_Withdrawals!A74="","",Agent05_Withdrawals!D74)</f>
        <v/>
      </c>
      <c r="F869" s="37" t="str">
        <f>IF(Agent05_Withdrawals!A74="","",Agent05_Withdrawals!F74)</f>
        <v/>
      </c>
      <c r="G869" s="39" t="str">
        <f>IF(Agent05_Withdrawals!A74="","",Agent05_Withdrawals!E74)</f>
        <v/>
      </c>
      <c r="H869" s="39" t="str">
        <f>IF(Agent05_Withdrawals!A74="","",Agent05_Withdrawals!G74)</f>
        <v/>
      </c>
      <c r="I869" s="37" t="str">
        <f>IF(Agent05_Withdrawals!A74="","",Agent05_Withdrawals!H74)</f>
        <v/>
      </c>
      <c r="J869" s="37" t="str">
        <f>IF(Agent05_Withdrawals!A74="","",Agent05_Withdrawals!J74)</f>
        <v/>
      </c>
      <c r="K869" s="37" t="str">
        <f>IF(Agent05_Withdrawals!A74="","",Agent05_Withdrawals!K74)</f>
        <v/>
      </c>
      <c r="L869" s="37" t="str">
        <f>IF(G869="","",IF(D869-G869&gt;=System_Config!$B$9,"✅ OK","⚠️ BREACH"))</f>
        <v/>
      </c>
      <c r="M869" s="37" t="str">
        <f>IFERROR(IF(Agent05_Withdrawals!A74="","",YEAR(Agent05_Withdrawals!D74)),"")</f>
        <v/>
      </c>
    </row>
    <row r="870" spans="1:13" ht="18" customHeight="1" x14ac:dyDescent="0.25">
      <c r="A870" s="37" t="str">
        <f>IF(Agent05_Withdrawals!A75="","",Agent05_Withdrawals!A75)</f>
        <v/>
      </c>
      <c r="B870" s="37" t="str">
        <f ca="1">IF(Agent05_Withdrawals!A75="","","WD"&amp;TEXT(870-3,"0000")&amp;"-"&amp;TEXT(TODAY(),"YYYYMMDD"))</f>
        <v/>
      </c>
      <c r="C870" s="37" t="str">
        <f>IF(Agent05_Withdrawals!A75="","",Agent05_Withdrawals!B75)</f>
        <v/>
      </c>
      <c r="D870" s="40" t="str">
        <f>IF(Agent05_Withdrawals!A75="","",Agent05_Withdrawals!C75)</f>
        <v/>
      </c>
      <c r="E870" s="38" t="str">
        <f>IF(Agent05_Withdrawals!A75="","",Agent05_Withdrawals!D75)</f>
        <v/>
      </c>
      <c r="F870" s="37" t="str">
        <f>IF(Agent05_Withdrawals!A75="","",Agent05_Withdrawals!F75)</f>
        <v/>
      </c>
      <c r="G870" s="39" t="str">
        <f>IF(Agent05_Withdrawals!A75="","",Agent05_Withdrawals!E75)</f>
        <v/>
      </c>
      <c r="H870" s="39" t="str">
        <f>IF(Agent05_Withdrawals!A75="","",Agent05_Withdrawals!G75)</f>
        <v/>
      </c>
      <c r="I870" s="37" t="str">
        <f>IF(Agent05_Withdrawals!A75="","",Agent05_Withdrawals!H75)</f>
        <v/>
      </c>
      <c r="J870" s="37" t="str">
        <f>IF(Agent05_Withdrawals!A75="","",Agent05_Withdrawals!J75)</f>
        <v/>
      </c>
      <c r="K870" s="37" t="str">
        <f>IF(Agent05_Withdrawals!A75="","",Agent05_Withdrawals!K75)</f>
        <v/>
      </c>
      <c r="L870" s="37" t="str">
        <f>IF(G870="","",IF(D870-G870&gt;=System_Config!$B$9,"✅ OK","⚠️ BREACH"))</f>
        <v/>
      </c>
      <c r="M870" s="37" t="str">
        <f>IFERROR(IF(Agent05_Withdrawals!A75="","",YEAR(Agent05_Withdrawals!D75)),"")</f>
        <v/>
      </c>
    </row>
    <row r="871" spans="1:13" ht="18" customHeight="1" x14ac:dyDescent="0.25">
      <c r="A871" s="37" t="str">
        <f>IF(Agent05_Withdrawals!A76="","",Agent05_Withdrawals!A76)</f>
        <v/>
      </c>
      <c r="B871" s="37" t="str">
        <f ca="1">IF(Agent05_Withdrawals!A76="","","WD"&amp;TEXT(871-3,"0000")&amp;"-"&amp;TEXT(TODAY(),"YYYYMMDD"))</f>
        <v/>
      </c>
      <c r="C871" s="37" t="str">
        <f>IF(Agent05_Withdrawals!A76="","",Agent05_Withdrawals!B76)</f>
        <v/>
      </c>
      <c r="D871" s="40" t="str">
        <f>IF(Agent05_Withdrawals!A76="","",Agent05_Withdrawals!C76)</f>
        <v/>
      </c>
      <c r="E871" s="38" t="str">
        <f>IF(Agent05_Withdrawals!A76="","",Agent05_Withdrawals!D76)</f>
        <v/>
      </c>
      <c r="F871" s="37" t="str">
        <f>IF(Agent05_Withdrawals!A76="","",Agent05_Withdrawals!F76)</f>
        <v/>
      </c>
      <c r="G871" s="39" t="str">
        <f>IF(Agent05_Withdrawals!A76="","",Agent05_Withdrawals!E76)</f>
        <v/>
      </c>
      <c r="H871" s="39" t="str">
        <f>IF(Agent05_Withdrawals!A76="","",Agent05_Withdrawals!G76)</f>
        <v/>
      </c>
      <c r="I871" s="37" t="str">
        <f>IF(Agent05_Withdrawals!A76="","",Agent05_Withdrawals!H76)</f>
        <v/>
      </c>
      <c r="J871" s="37" t="str">
        <f>IF(Agent05_Withdrawals!A76="","",Agent05_Withdrawals!J76)</f>
        <v/>
      </c>
      <c r="K871" s="37" t="str">
        <f>IF(Agent05_Withdrawals!A76="","",Agent05_Withdrawals!K76)</f>
        <v/>
      </c>
      <c r="L871" s="37" t="str">
        <f>IF(G871="","",IF(D871-G871&gt;=System_Config!$B$9,"✅ OK","⚠️ BREACH"))</f>
        <v/>
      </c>
      <c r="M871" s="37" t="str">
        <f>IFERROR(IF(Agent05_Withdrawals!A76="","",YEAR(Agent05_Withdrawals!D76)),"")</f>
        <v/>
      </c>
    </row>
    <row r="872" spans="1:13" ht="18" customHeight="1" x14ac:dyDescent="0.25">
      <c r="A872" s="37" t="str">
        <f>IF(Agent05_Withdrawals!A77="","",Agent05_Withdrawals!A77)</f>
        <v/>
      </c>
      <c r="B872" s="37" t="str">
        <f ca="1">IF(Agent05_Withdrawals!A77="","","WD"&amp;TEXT(872-3,"0000")&amp;"-"&amp;TEXT(TODAY(),"YYYYMMDD"))</f>
        <v/>
      </c>
      <c r="C872" s="37" t="str">
        <f>IF(Agent05_Withdrawals!A77="","",Agent05_Withdrawals!B77)</f>
        <v/>
      </c>
      <c r="D872" s="40" t="str">
        <f>IF(Agent05_Withdrawals!A77="","",Agent05_Withdrawals!C77)</f>
        <v/>
      </c>
      <c r="E872" s="38" t="str">
        <f>IF(Agent05_Withdrawals!A77="","",Agent05_Withdrawals!D77)</f>
        <v/>
      </c>
      <c r="F872" s="37" t="str">
        <f>IF(Agent05_Withdrawals!A77="","",Agent05_Withdrawals!F77)</f>
        <v/>
      </c>
      <c r="G872" s="39" t="str">
        <f>IF(Agent05_Withdrawals!A77="","",Agent05_Withdrawals!E77)</f>
        <v/>
      </c>
      <c r="H872" s="39" t="str">
        <f>IF(Agent05_Withdrawals!A77="","",Agent05_Withdrawals!G77)</f>
        <v/>
      </c>
      <c r="I872" s="37" t="str">
        <f>IF(Agent05_Withdrawals!A77="","",Agent05_Withdrawals!H77)</f>
        <v/>
      </c>
      <c r="J872" s="37" t="str">
        <f>IF(Agent05_Withdrawals!A77="","",Agent05_Withdrawals!J77)</f>
        <v/>
      </c>
      <c r="K872" s="37" t="str">
        <f>IF(Agent05_Withdrawals!A77="","",Agent05_Withdrawals!K77)</f>
        <v/>
      </c>
      <c r="L872" s="37" t="str">
        <f>IF(G872="","",IF(D872-G872&gt;=System_Config!$B$9,"✅ OK","⚠️ BREACH"))</f>
        <v/>
      </c>
      <c r="M872" s="37" t="str">
        <f>IFERROR(IF(Agent05_Withdrawals!A77="","",YEAR(Agent05_Withdrawals!D77)),"")</f>
        <v/>
      </c>
    </row>
    <row r="873" spans="1:13" ht="18" customHeight="1" x14ac:dyDescent="0.25">
      <c r="A873" s="37" t="str">
        <f>IF(Agent05_Withdrawals!A78="","",Agent05_Withdrawals!A78)</f>
        <v/>
      </c>
      <c r="B873" s="37" t="str">
        <f ca="1">IF(Agent05_Withdrawals!A78="","","WD"&amp;TEXT(873-3,"0000")&amp;"-"&amp;TEXT(TODAY(),"YYYYMMDD"))</f>
        <v/>
      </c>
      <c r="C873" s="37" t="str">
        <f>IF(Agent05_Withdrawals!A78="","",Agent05_Withdrawals!B78)</f>
        <v/>
      </c>
      <c r="D873" s="40" t="str">
        <f>IF(Agent05_Withdrawals!A78="","",Agent05_Withdrawals!C78)</f>
        <v/>
      </c>
      <c r="E873" s="38" t="str">
        <f>IF(Agent05_Withdrawals!A78="","",Agent05_Withdrawals!D78)</f>
        <v/>
      </c>
      <c r="F873" s="37" t="str">
        <f>IF(Agent05_Withdrawals!A78="","",Agent05_Withdrawals!F78)</f>
        <v/>
      </c>
      <c r="G873" s="39" t="str">
        <f>IF(Agent05_Withdrawals!A78="","",Agent05_Withdrawals!E78)</f>
        <v/>
      </c>
      <c r="H873" s="39" t="str">
        <f>IF(Agent05_Withdrawals!A78="","",Agent05_Withdrawals!G78)</f>
        <v/>
      </c>
      <c r="I873" s="37" t="str">
        <f>IF(Agent05_Withdrawals!A78="","",Agent05_Withdrawals!H78)</f>
        <v/>
      </c>
      <c r="J873" s="37" t="str">
        <f>IF(Agent05_Withdrawals!A78="","",Agent05_Withdrawals!J78)</f>
        <v/>
      </c>
      <c r="K873" s="37" t="str">
        <f>IF(Agent05_Withdrawals!A78="","",Agent05_Withdrawals!K78)</f>
        <v/>
      </c>
      <c r="L873" s="37" t="str">
        <f>IF(G873="","",IF(D873-G873&gt;=System_Config!$B$9,"✅ OK","⚠️ BREACH"))</f>
        <v/>
      </c>
      <c r="M873" s="37" t="str">
        <f>IFERROR(IF(Agent05_Withdrawals!A78="","",YEAR(Agent05_Withdrawals!D78)),"")</f>
        <v/>
      </c>
    </row>
    <row r="874" spans="1:13" ht="18" customHeight="1" x14ac:dyDescent="0.25">
      <c r="A874" s="37" t="str">
        <f>IF(Agent05_Withdrawals!A79="","",Agent05_Withdrawals!A79)</f>
        <v/>
      </c>
      <c r="B874" s="37" t="str">
        <f ca="1">IF(Agent05_Withdrawals!A79="","","WD"&amp;TEXT(874-3,"0000")&amp;"-"&amp;TEXT(TODAY(),"YYYYMMDD"))</f>
        <v/>
      </c>
      <c r="C874" s="37" t="str">
        <f>IF(Agent05_Withdrawals!A79="","",Agent05_Withdrawals!B79)</f>
        <v/>
      </c>
      <c r="D874" s="40" t="str">
        <f>IF(Agent05_Withdrawals!A79="","",Agent05_Withdrawals!C79)</f>
        <v/>
      </c>
      <c r="E874" s="38" t="str">
        <f>IF(Agent05_Withdrawals!A79="","",Agent05_Withdrawals!D79)</f>
        <v/>
      </c>
      <c r="F874" s="37" t="str">
        <f>IF(Agent05_Withdrawals!A79="","",Agent05_Withdrawals!F79)</f>
        <v/>
      </c>
      <c r="G874" s="39" t="str">
        <f>IF(Agent05_Withdrawals!A79="","",Agent05_Withdrawals!E79)</f>
        <v/>
      </c>
      <c r="H874" s="39" t="str">
        <f>IF(Agent05_Withdrawals!A79="","",Agent05_Withdrawals!G79)</f>
        <v/>
      </c>
      <c r="I874" s="37" t="str">
        <f>IF(Agent05_Withdrawals!A79="","",Agent05_Withdrawals!H79)</f>
        <v/>
      </c>
      <c r="J874" s="37" t="str">
        <f>IF(Agent05_Withdrawals!A79="","",Agent05_Withdrawals!J79)</f>
        <v/>
      </c>
      <c r="K874" s="37" t="str">
        <f>IF(Agent05_Withdrawals!A79="","",Agent05_Withdrawals!K79)</f>
        <v/>
      </c>
      <c r="L874" s="37" t="str">
        <f>IF(G874="","",IF(D874-G874&gt;=System_Config!$B$9,"✅ OK","⚠️ BREACH"))</f>
        <v/>
      </c>
      <c r="M874" s="37" t="str">
        <f>IFERROR(IF(Agent05_Withdrawals!A79="","",YEAR(Agent05_Withdrawals!D79)),"")</f>
        <v/>
      </c>
    </row>
    <row r="875" spans="1:13" ht="18" customHeight="1" x14ac:dyDescent="0.25">
      <c r="A875" s="37" t="str">
        <f>IF(Agent05_Withdrawals!A80="","",Agent05_Withdrawals!A80)</f>
        <v/>
      </c>
      <c r="B875" s="37" t="str">
        <f ca="1">IF(Agent05_Withdrawals!A80="","","WD"&amp;TEXT(875-3,"0000")&amp;"-"&amp;TEXT(TODAY(),"YYYYMMDD"))</f>
        <v/>
      </c>
      <c r="C875" s="37" t="str">
        <f>IF(Agent05_Withdrawals!A80="","",Agent05_Withdrawals!B80)</f>
        <v/>
      </c>
      <c r="D875" s="40" t="str">
        <f>IF(Agent05_Withdrawals!A80="","",Agent05_Withdrawals!C80)</f>
        <v/>
      </c>
      <c r="E875" s="38" t="str">
        <f>IF(Agent05_Withdrawals!A80="","",Agent05_Withdrawals!D80)</f>
        <v/>
      </c>
      <c r="F875" s="37" t="str">
        <f>IF(Agent05_Withdrawals!A80="","",Agent05_Withdrawals!F80)</f>
        <v/>
      </c>
      <c r="G875" s="39" t="str">
        <f>IF(Agent05_Withdrawals!A80="","",Agent05_Withdrawals!E80)</f>
        <v/>
      </c>
      <c r="H875" s="39" t="str">
        <f>IF(Agent05_Withdrawals!A80="","",Agent05_Withdrawals!G80)</f>
        <v/>
      </c>
      <c r="I875" s="37" t="str">
        <f>IF(Agent05_Withdrawals!A80="","",Agent05_Withdrawals!H80)</f>
        <v/>
      </c>
      <c r="J875" s="37" t="str">
        <f>IF(Agent05_Withdrawals!A80="","",Agent05_Withdrawals!J80)</f>
        <v/>
      </c>
      <c r="K875" s="37" t="str">
        <f>IF(Agent05_Withdrawals!A80="","",Agent05_Withdrawals!K80)</f>
        <v/>
      </c>
      <c r="L875" s="37" t="str">
        <f>IF(G875="","",IF(D875-G875&gt;=System_Config!$B$9,"✅ OK","⚠️ BREACH"))</f>
        <v/>
      </c>
      <c r="M875" s="37" t="str">
        <f>IFERROR(IF(Agent05_Withdrawals!A80="","",YEAR(Agent05_Withdrawals!D80)),"")</f>
        <v/>
      </c>
    </row>
    <row r="876" spans="1:13" ht="18" customHeight="1" x14ac:dyDescent="0.25">
      <c r="A876" s="37" t="str">
        <f>IF(Agent05_Withdrawals!A81="","",Agent05_Withdrawals!A81)</f>
        <v/>
      </c>
      <c r="B876" s="37" t="str">
        <f ca="1">IF(Agent05_Withdrawals!A81="","","WD"&amp;TEXT(876-3,"0000")&amp;"-"&amp;TEXT(TODAY(),"YYYYMMDD"))</f>
        <v/>
      </c>
      <c r="C876" s="37" t="str">
        <f>IF(Agent05_Withdrawals!A81="","",Agent05_Withdrawals!B81)</f>
        <v/>
      </c>
      <c r="D876" s="40" t="str">
        <f>IF(Agent05_Withdrawals!A81="","",Agent05_Withdrawals!C81)</f>
        <v/>
      </c>
      <c r="E876" s="38" t="str">
        <f>IF(Agent05_Withdrawals!A81="","",Agent05_Withdrawals!D81)</f>
        <v/>
      </c>
      <c r="F876" s="37" t="str">
        <f>IF(Agent05_Withdrawals!A81="","",Agent05_Withdrawals!F81)</f>
        <v/>
      </c>
      <c r="G876" s="39" t="str">
        <f>IF(Agent05_Withdrawals!A81="","",Agent05_Withdrawals!E81)</f>
        <v/>
      </c>
      <c r="H876" s="39" t="str">
        <f>IF(Agent05_Withdrawals!A81="","",Agent05_Withdrawals!G81)</f>
        <v/>
      </c>
      <c r="I876" s="37" t="str">
        <f>IF(Agent05_Withdrawals!A81="","",Agent05_Withdrawals!H81)</f>
        <v/>
      </c>
      <c r="J876" s="37" t="str">
        <f>IF(Agent05_Withdrawals!A81="","",Agent05_Withdrawals!J81)</f>
        <v/>
      </c>
      <c r="K876" s="37" t="str">
        <f>IF(Agent05_Withdrawals!A81="","",Agent05_Withdrawals!K81)</f>
        <v/>
      </c>
      <c r="L876" s="37" t="str">
        <f>IF(G876="","",IF(D876-G876&gt;=System_Config!$B$9,"✅ OK","⚠️ BREACH"))</f>
        <v/>
      </c>
      <c r="M876" s="37" t="str">
        <f>IFERROR(IF(Agent05_Withdrawals!A81="","",YEAR(Agent05_Withdrawals!D81)),"")</f>
        <v/>
      </c>
    </row>
    <row r="877" spans="1:13" ht="18" customHeight="1" x14ac:dyDescent="0.25">
      <c r="A877" s="37" t="str">
        <f>IF(Agent05_Withdrawals!A82="","",Agent05_Withdrawals!A82)</f>
        <v/>
      </c>
      <c r="B877" s="37" t="str">
        <f ca="1">IF(Agent05_Withdrawals!A82="","","WD"&amp;TEXT(877-3,"0000")&amp;"-"&amp;TEXT(TODAY(),"YYYYMMDD"))</f>
        <v/>
      </c>
      <c r="C877" s="37" t="str">
        <f>IF(Agent05_Withdrawals!A82="","",Agent05_Withdrawals!B82)</f>
        <v/>
      </c>
      <c r="D877" s="40" t="str">
        <f>IF(Agent05_Withdrawals!A82="","",Agent05_Withdrawals!C82)</f>
        <v/>
      </c>
      <c r="E877" s="38" t="str">
        <f>IF(Agent05_Withdrawals!A82="","",Agent05_Withdrawals!D82)</f>
        <v/>
      </c>
      <c r="F877" s="37" t="str">
        <f>IF(Agent05_Withdrawals!A82="","",Agent05_Withdrawals!F82)</f>
        <v/>
      </c>
      <c r="G877" s="39" t="str">
        <f>IF(Agent05_Withdrawals!A82="","",Agent05_Withdrawals!E82)</f>
        <v/>
      </c>
      <c r="H877" s="39" t="str">
        <f>IF(Agent05_Withdrawals!A82="","",Agent05_Withdrawals!G82)</f>
        <v/>
      </c>
      <c r="I877" s="37" t="str">
        <f>IF(Agent05_Withdrawals!A82="","",Agent05_Withdrawals!H82)</f>
        <v/>
      </c>
      <c r="J877" s="37" t="str">
        <f>IF(Agent05_Withdrawals!A82="","",Agent05_Withdrawals!J82)</f>
        <v/>
      </c>
      <c r="K877" s="37" t="str">
        <f>IF(Agent05_Withdrawals!A82="","",Agent05_Withdrawals!K82)</f>
        <v/>
      </c>
      <c r="L877" s="37" t="str">
        <f>IF(G877="","",IF(D877-G877&gt;=System_Config!$B$9,"✅ OK","⚠️ BREACH"))</f>
        <v/>
      </c>
      <c r="M877" s="37" t="str">
        <f>IFERROR(IF(Agent05_Withdrawals!A82="","",YEAR(Agent05_Withdrawals!D82)),"")</f>
        <v/>
      </c>
    </row>
    <row r="878" spans="1:13" ht="18" customHeight="1" x14ac:dyDescent="0.25">
      <c r="A878" s="37" t="str">
        <f>IF(Agent05_Withdrawals!A83="","",Agent05_Withdrawals!A83)</f>
        <v/>
      </c>
      <c r="B878" s="37" t="str">
        <f ca="1">IF(Agent05_Withdrawals!A83="","","WD"&amp;TEXT(878-3,"0000")&amp;"-"&amp;TEXT(TODAY(),"YYYYMMDD"))</f>
        <v/>
      </c>
      <c r="C878" s="37" t="str">
        <f>IF(Agent05_Withdrawals!A83="","",Agent05_Withdrawals!B83)</f>
        <v/>
      </c>
      <c r="D878" s="40" t="str">
        <f>IF(Agent05_Withdrawals!A83="","",Agent05_Withdrawals!C83)</f>
        <v/>
      </c>
      <c r="E878" s="38" t="str">
        <f>IF(Agent05_Withdrawals!A83="","",Agent05_Withdrawals!D83)</f>
        <v/>
      </c>
      <c r="F878" s="37" t="str">
        <f>IF(Agent05_Withdrawals!A83="","",Agent05_Withdrawals!F83)</f>
        <v/>
      </c>
      <c r="G878" s="39" t="str">
        <f>IF(Agent05_Withdrawals!A83="","",Agent05_Withdrawals!E83)</f>
        <v/>
      </c>
      <c r="H878" s="39" t="str">
        <f>IF(Agent05_Withdrawals!A83="","",Agent05_Withdrawals!G83)</f>
        <v/>
      </c>
      <c r="I878" s="37" t="str">
        <f>IF(Agent05_Withdrawals!A83="","",Agent05_Withdrawals!H83)</f>
        <v/>
      </c>
      <c r="J878" s="37" t="str">
        <f>IF(Agent05_Withdrawals!A83="","",Agent05_Withdrawals!J83)</f>
        <v/>
      </c>
      <c r="K878" s="37" t="str">
        <f>IF(Agent05_Withdrawals!A83="","",Agent05_Withdrawals!K83)</f>
        <v/>
      </c>
      <c r="L878" s="37" t="str">
        <f>IF(G878="","",IF(D878-G878&gt;=System_Config!$B$9,"✅ OK","⚠️ BREACH"))</f>
        <v/>
      </c>
      <c r="M878" s="37" t="str">
        <f>IFERROR(IF(Agent05_Withdrawals!A83="","",YEAR(Agent05_Withdrawals!D83)),"")</f>
        <v/>
      </c>
    </row>
    <row r="879" spans="1:13" ht="18" customHeight="1" x14ac:dyDescent="0.25">
      <c r="A879" s="37" t="str">
        <f>IF(Agent05_Withdrawals!A84="","",Agent05_Withdrawals!A84)</f>
        <v/>
      </c>
      <c r="B879" s="37" t="str">
        <f ca="1">IF(Agent05_Withdrawals!A84="","","WD"&amp;TEXT(879-3,"0000")&amp;"-"&amp;TEXT(TODAY(),"YYYYMMDD"))</f>
        <v/>
      </c>
      <c r="C879" s="37" t="str">
        <f>IF(Agent05_Withdrawals!A84="","",Agent05_Withdrawals!B84)</f>
        <v/>
      </c>
      <c r="D879" s="40" t="str">
        <f>IF(Agent05_Withdrawals!A84="","",Agent05_Withdrawals!C84)</f>
        <v/>
      </c>
      <c r="E879" s="38" t="str">
        <f>IF(Agent05_Withdrawals!A84="","",Agent05_Withdrawals!D84)</f>
        <v/>
      </c>
      <c r="F879" s="37" t="str">
        <f>IF(Agent05_Withdrawals!A84="","",Agent05_Withdrawals!F84)</f>
        <v/>
      </c>
      <c r="G879" s="39" t="str">
        <f>IF(Agent05_Withdrawals!A84="","",Agent05_Withdrawals!E84)</f>
        <v/>
      </c>
      <c r="H879" s="39" t="str">
        <f>IF(Agent05_Withdrawals!A84="","",Agent05_Withdrawals!G84)</f>
        <v/>
      </c>
      <c r="I879" s="37" t="str">
        <f>IF(Agent05_Withdrawals!A84="","",Agent05_Withdrawals!H84)</f>
        <v/>
      </c>
      <c r="J879" s="37" t="str">
        <f>IF(Agent05_Withdrawals!A84="","",Agent05_Withdrawals!J84)</f>
        <v/>
      </c>
      <c r="K879" s="37" t="str">
        <f>IF(Agent05_Withdrawals!A84="","",Agent05_Withdrawals!K84)</f>
        <v/>
      </c>
      <c r="L879" s="37" t="str">
        <f>IF(G879="","",IF(D879-G879&gt;=System_Config!$B$9,"✅ OK","⚠️ BREACH"))</f>
        <v/>
      </c>
      <c r="M879" s="37" t="str">
        <f>IFERROR(IF(Agent05_Withdrawals!A84="","",YEAR(Agent05_Withdrawals!D84)),"")</f>
        <v/>
      </c>
    </row>
    <row r="880" spans="1:13" ht="18" customHeight="1" x14ac:dyDescent="0.25">
      <c r="A880" s="37" t="str">
        <f>IF(Agent05_Withdrawals!A85="","",Agent05_Withdrawals!A85)</f>
        <v/>
      </c>
      <c r="B880" s="37" t="str">
        <f ca="1">IF(Agent05_Withdrawals!A85="","","WD"&amp;TEXT(880-3,"0000")&amp;"-"&amp;TEXT(TODAY(),"YYYYMMDD"))</f>
        <v/>
      </c>
      <c r="C880" s="37" t="str">
        <f>IF(Agent05_Withdrawals!A85="","",Agent05_Withdrawals!B85)</f>
        <v/>
      </c>
      <c r="D880" s="40" t="str">
        <f>IF(Agent05_Withdrawals!A85="","",Agent05_Withdrawals!C85)</f>
        <v/>
      </c>
      <c r="E880" s="38" t="str">
        <f>IF(Agent05_Withdrawals!A85="","",Agent05_Withdrawals!D85)</f>
        <v/>
      </c>
      <c r="F880" s="37" t="str">
        <f>IF(Agent05_Withdrawals!A85="","",Agent05_Withdrawals!F85)</f>
        <v/>
      </c>
      <c r="G880" s="39" t="str">
        <f>IF(Agent05_Withdrawals!A85="","",Agent05_Withdrawals!E85)</f>
        <v/>
      </c>
      <c r="H880" s="39" t="str">
        <f>IF(Agent05_Withdrawals!A85="","",Agent05_Withdrawals!G85)</f>
        <v/>
      </c>
      <c r="I880" s="37" t="str">
        <f>IF(Agent05_Withdrawals!A85="","",Agent05_Withdrawals!H85)</f>
        <v/>
      </c>
      <c r="J880" s="37" t="str">
        <f>IF(Agent05_Withdrawals!A85="","",Agent05_Withdrawals!J85)</f>
        <v/>
      </c>
      <c r="K880" s="37" t="str">
        <f>IF(Agent05_Withdrawals!A85="","",Agent05_Withdrawals!K85)</f>
        <v/>
      </c>
      <c r="L880" s="37" t="str">
        <f>IF(G880="","",IF(D880-G880&gt;=System_Config!$B$9,"✅ OK","⚠️ BREACH"))</f>
        <v/>
      </c>
      <c r="M880" s="37" t="str">
        <f>IFERROR(IF(Agent05_Withdrawals!A85="","",YEAR(Agent05_Withdrawals!D85)),"")</f>
        <v/>
      </c>
    </row>
    <row r="881" spans="1:13" ht="18" customHeight="1" x14ac:dyDescent="0.25">
      <c r="A881" s="37" t="str">
        <f>IF(Agent05_Withdrawals!A86="","",Agent05_Withdrawals!A86)</f>
        <v/>
      </c>
      <c r="B881" s="37" t="str">
        <f ca="1">IF(Agent05_Withdrawals!A86="","","WD"&amp;TEXT(881-3,"0000")&amp;"-"&amp;TEXT(TODAY(),"YYYYMMDD"))</f>
        <v/>
      </c>
      <c r="C881" s="37" t="str">
        <f>IF(Agent05_Withdrawals!A86="","",Agent05_Withdrawals!B86)</f>
        <v/>
      </c>
      <c r="D881" s="40" t="str">
        <f>IF(Agent05_Withdrawals!A86="","",Agent05_Withdrawals!C86)</f>
        <v/>
      </c>
      <c r="E881" s="38" t="str">
        <f>IF(Agent05_Withdrawals!A86="","",Agent05_Withdrawals!D86)</f>
        <v/>
      </c>
      <c r="F881" s="37" t="str">
        <f>IF(Agent05_Withdrawals!A86="","",Agent05_Withdrawals!F86)</f>
        <v/>
      </c>
      <c r="G881" s="39" t="str">
        <f>IF(Agent05_Withdrawals!A86="","",Agent05_Withdrawals!E86)</f>
        <v/>
      </c>
      <c r="H881" s="39" t="str">
        <f>IF(Agent05_Withdrawals!A86="","",Agent05_Withdrawals!G86)</f>
        <v/>
      </c>
      <c r="I881" s="37" t="str">
        <f>IF(Agent05_Withdrawals!A86="","",Agent05_Withdrawals!H86)</f>
        <v/>
      </c>
      <c r="J881" s="37" t="str">
        <f>IF(Agent05_Withdrawals!A86="","",Agent05_Withdrawals!J86)</f>
        <v/>
      </c>
      <c r="K881" s="37" t="str">
        <f>IF(Agent05_Withdrawals!A86="","",Agent05_Withdrawals!K86)</f>
        <v/>
      </c>
      <c r="L881" s="37" t="str">
        <f>IF(G881="","",IF(D881-G881&gt;=System_Config!$B$9,"✅ OK","⚠️ BREACH"))</f>
        <v/>
      </c>
      <c r="M881" s="37" t="str">
        <f>IFERROR(IF(Agent05_Withdrawals!A86="","",YEAR(Agent05_Withdrawals!D86)),"")</f>
        <v/>
      </c>
    </row>
    <row r="882" spans="1:13" ht="18" customHeight="1" x14ac:dyDescent="0.25">
      <c r="A882" s="37" t="str">
        <f>IF(Agent05_Withdrawals!A87="","",Agent05_Withdrawals!A87)</f>
        <v/>
      </c>
      <c r="B882" s="37" t="str">
        <f ca="1">IF(Agent05_Withdrawals!A87="","","WD"&amp;TEXT(882-3,"0000")&amp;"-"&amp;TEXT(TODAY(),"YYYYMMDD"))</f>
        <v/>
      </c>
      <c r="C882" s="37" t="str">
        <f>IF(Agent05_Withdrawals!A87="","",Agent05_Withdrawals!B87)</f>
        <v/>
      </c>
      <c r="D882" s="40" t="str">
        <f>IF(Agent05_Withdrawals!A87="","",Agent05_Withdrawals!C87)</f>
        <v/>
      </c>
      <c r="E882" s="38" t="str">
        <f>IF(Agent05_Withdrawals!A87="","",Agent05_Withdrawals!D87)</f>
        <v/>
      </c>
      <c r="F882" s="37" t="str">
        <f>IF(Agent05_Withdrawals!A87="","",Agent05_Withdrawals!F87)</f>
        <v/>
      </c>
      <c r="G882" s="39" t="str">
        <f>IF(Agent05_Withdrawals!A87="","",Agent05_Withdrawals!E87)</f>
        <v/>
      </c>
      <c r="H882" s="39" t="str">
        <f>IF(Agent05_Withdrawals!A87="","",Agent05_Withdrawals!G87)</f>
        <v/>
      </c>
      <c r="I882" s="37" t="str">
        <f>IF(Agent05_Withdrawals!A87="","",Agent05_Withdrawals!H87)</f>
        <v/>
      </c>
      <c r="J882" s="37" t="str">
        <f>IF(Agent05_Withdrawals!A87="","",Agent05_Withdrawals!J87)</f>
        <v/>
      </c>
      <c r="K882" s="37" t="str">
        <f>IF(Agent05_Withdrawals!A87="","",Agent05_Withdrawals!K87)</f>
        <v/>
      </c>
      <c r="L882" s="37" t="str">
        <f>IF(G882="","",IF(D882-G882&gt;=System_Config!$B$9,"✅ OK","⚠️ BREACH"))</f>
        <v/>
      </c>
      <c r="M882" s="37" t="str">
        <f>IFERROR(IF(Agent05_Withdrawals!A87="","",YEAR(Agent05_Withdrawals!D87)),"")</f>
        <v/>
      </c>
    </row>
    <row r="883" spans="1:13" ht="18" customHeight="1" x14ac:dyDescent="0.25">
      <c r="A883" s="37" t="str">
        <f>IF(Agent05_Withdrawals!A88="","",Agent05_Withdrawals!A88)</f>
        <v/>
      </c>
      <c r="B883" s="37" t="str">
        <f ca="1">IF(Agent05_Withdrawals!A88="","","WD"&amp;TEXT(883-3,"0000")&amp;"-"&amp;TEXT(TODAY(),"YYYYMMDD"))</f>
        <v/>
      </c>
      <c r="C883" s="37" t="str">
        <f>IF(Agent05_Withdrawals!A88="","",Agent05_Withdrawals!B88)</f>
        <v/>
      </c>
      <c r="D883" s="40" t="str">
        <f>IF(Agent05_Withdrawals!A88="","",Agent05_Withdrawals!C88)</f>
        <v/>
      </c>
      <c r="E883" s="38" t="str">
        <f>IF(Agent05_Withdrawals!A88="","",Agent05_Withdrawals!D88)</f>
        <v/>
      </c>
      <c r="F883" s="37" t="str">
        <f>IF(Agent05_Withdrawals!A88="","",Agent05_Withdrawals!F88)</f>
        <v/>
      </c>
      <c r="G883" s="39" t="str">
        <f>IF(Agent05_Withdrawals!A88="","",Agent05_Withdrawals!E88)</f>
        <v/>
      </c>
      <c r="H883" s="39" t="str">
        <f>IF(Agent05_Withdrawals!A88="","",Agent05_Withdrawals!G88)</f>
        <v/>
      </c>
      <c r="I883" s="37" t="str">
        <f>IF(Agent05_Withdrawals!A88="","",Agent05_Withdrawals!H88)</f>
        <v/>
      </c>
      <c r="J883" s="37" t="str">
        <f>IF(Agent05_Withdrawals!A88="","",Agent05_Withdrawals!J88)</f>
        <v/>
      </c>
      <c r="K883" s="37" t="str">
        <f>IF(Agent05_Withdrawals!A88="","",Agent05_Withdrawals!K88)</f>
        <v/>
      </c>
      <c r="L883" s="37" t="str">
        <f>IF(G883="","",IF(D883-G883&gt;=System_Config!$B$9,"✅ OK","⚠️ BREACH"))</f>
        <v/>
      </c>
      <c r="M883" s="37" t="str">
        <f>IFERROR(IF(Agent05_Withdrawals!A88="","",YEAR(Agent05_Withdrawals!D88)),"")</f>
        <v/>
      </c>
    </row>
    <row r="884" spans="1:13" ht="18" customHeight="1" x14ac:dyDescent="0.25">
      <c r="A884" s="37" t="str">
        <f>IF(Agent05_Withdrawals!A89="","",Agent05_Withdrawals!A89)</f>
        <v/>
      </c>
      <c r="B884" s="37" t="str">
        <f ca="1">IF(Agent05_Withdrawals!A89="","","WD"&amp;TEXT(884-3,"0000")&amp;"-"&amp;TEXT(TODAY(),"YYYYMMDD"))</f>
        <v/>
      </c>
      <c r="C884" s="37" t="str">
        <f>IF(Agent05_Withdrawals!A89="","",Agent05_Withdrawals!B89)</f>
        <v/>
      </c>
      <c r="D884" s="40" t="str">
        <f>IF(Agent05_Withdrawals!A89="","",Agent05_Withdrawals!C89)</f>
        <v/>
      </c>
      <c r="E884" s="38" t="str">
        <f>IF(Agent05_Withdrawals!A89="","",Agent05_Withdrawals!D89)</f>
        <v/>
      </c>
      <c r="F884" s="37" t="str">
        <f>IF(Agent05_Withdrawals!A89="","",Agent05_Withdrawals!F89)</f>
        <v/>
      </c>
      <c r="G884" s="39" t="str">
        <f>IF(Agent05_Withdrawals!A89="","",Agent05_Withdrawals!E89)</f>
        <v/>
      </c>
      <c r="H884" s="39" t="str">
        <f>IF(Agent05_Withdrawals!A89="","",Agent05_Withdrawals!G89)</f>
        <v/>
      </c>
      <c r="I884" s="37" t="str">
        <f>IF(Agent05_Withdrawals!A89="","",Agent05_Withdrawals!H89)</f>
        <v/>
      </c>
      <c r="J884" s="37" t="str">
        <f>IF(Agent05_Withdrawals!A89="","",Agent05_Withdrawals!J89)</f>
        <v/>
      </c>
      <c r="K884" s="37" t="str">
        <f>IF(Agent05_Withdrawals!A89="","",Agent05_Withdrawals!K89)</f>
        <v/>
      </c>
      <c r="L884" s="37" t="str">
        <f>IF(G884="","",IF(D884-G884&gt;=System_Config!$B$9,"✅ OK","⚠️ BREACH"))</f>
        <v/>
      </c>
      <c r="M884" s="37" t="str">
        <f>IFERROR(IF(Agent05_Withdrawals!A89="","",YEAR(Agent05_Withdrawals!D89)),"")</f>
        <v/>
      </c>
    </row>
    <row r="885" spans="1:13" ht="18" customHeight="1" x14ac:dyDescent="0.25">
      <c r="A885" s="37" t="str">
        <f>IF(Agent05_Withdrawals!A90="","",Agent05_Withdrawals!A90)</f>
        <v/>
      </c>
      <c r="B885" s="37" t="str">
        <f ca="1">IF(Agent05_Withdrawals!A90="","","WD"&amp;TEXT(885-3,"0000")&amp;"-"&amp;TEXT(TODAY(),"YYYYMMDD"))</f>
        <v/>
      </c>
      <c r="C885" s="37" t="str">
        <f>IF(Agent05_Withdrawals!A90="","",Agent05_Withdrawals!B90)</f>
        <v/>
      </c>
      <c r="D885" s="40" t="str">
        <f>IF(Agent05_Withdrawals!A90="","",Agent05_Withdrawals!C90)</f>
        <v/>
      </c>
      <c r="E885" s="38" t="str">
        <f>IF(Agent05_Withdrawals!A90="","",Agent05_Withdrawals!D90)</f>
        <v/>
      </c>
      <c r="F885" s="37" t="str">
        <f>IF(Agent05_Withdrawals!A90="","",Agent05_Withdrawals!F90)</f>
        <v/>
      </c>
      <c r="G885" s="39" t="str">
        <f>IF(Agent05_Withdrawals!A90="","",Agent05_Withdrawals!E90)</f>
        <v/>
      </c>
      <c r="H885" s="39" t="str">
        <f>IF(Agent05_Withdrawals!A90="","",Agent05_Withdrawals!G90)</f>
        <v/>
      </c>
      <c r="I885" s="37" t="str">
        <f>IF(Agent05_Withdrawals!A90="","",Agent05_Withdrawals!H90)</f>
        <v/>
      </c>
      <c r="J885" s="37" t="str">
        <f>IF(Agent05_Withdrawals!A90="","",Agent05_Withdrawals!J90)</f>
        <v/>
      </c>
      <c r="K885" s="37" t="str">
        <f>IF(Agent05_Withdrawals!A90="","",Agent05_Withdrawals!K90)</f>
        <v/>
      </c>
      <c r="L885" s="37" t="str">
        <f>IF(G885="","",IF(D885-G885&gt;=System_Config!$B$9,"✅ OK","⚠️ BREACH"))</f>
        <v/>
      </c>
      <c r="M885" s="37" t="str">
        <f>IFERROR(IF(Agent05_Withdrawals!A90="","",YEAR(Agent05_Withdrawals!D90)),"")</f>
        <v/>
      </c>
    </row>
    <row r="886" spans="1:13" ht="18" customHeight="1" x14ac:dyDescent="0.25">
      <c r="A886" s="37" t="str">
        <f>IF(Agent05_Withdrawals!A91="","",Agent05_Withdrawals!A91)</f>
        <v/>
      </c>
      <c r="B886" s="37" t="str">
        <f ca="1">IF(Agent05_Withdrawals!A91="","","WD"&amp;TEXT(886-3,"0000")&amp;"-"&amp;TEXT(TODAY(),"YYYYMMDD"))</f>
        <v/>
      </c>
      <c r="C886" s="37" t="str">
        <f>IF(Agent05_Withdrawals!A91="","",Agent05_Withdrawals!B91)</f>
        <v/>
      </c>
      <c r="D886" s="40" t="str">
        <f>IF(Agent05_Withdrawals!A91="","",Agent05_Withdrawals!C91)</f>
        <v/>
      </c>
      <c r="E886" s="38" t="str">
        <f>IF(Agent05_Withdrawals!A91="","",Agent05_Withdrawals!D91)</f>
        <v/>
      </c>
      <c r="F886" s="37" t="str">
        <f>IF(Agent05_Withdrawals!A91="","",Agent05_Withdrawals!F91)</f>
        <v/>
      </c>
      <c r="G886" s="39" t="str">
        <f>IF(Agent05_Withdrawals!A91="","",Agent05_Withdrawals!E91)</f>
        <v/>
      </c>
      <c r="H886" s="39" t="str">
        <f>IF(Agent05_Withdrawals!A91="","",Agent05_Withdrawals!G91)</f>
        <v/>
      </c>
      <c r="I886" s="37" t="str">
        <f>IF(Agent05_Withdrawals!A91="","",Agent05_Withdrawals!H91)</f>
        <v/>
      </c>
      <c r="J886" s="37" t="str">
        <f>IF(Agent05_Withdrawals!A91="","",Agent05_Withdrawals!J91)</f>
        <v/>
      </c>
      <c r="K886" s="37" t="str">
        <f>IF(Agent05_Withdrawals!A91="","",Agent05_Withdrawals!K91)</f>
        <v/>
      </c>
      <c r="L886" s="37" t="str">
        <f>IF(G886="","",IF(D886-G886&gt;=System_Config!$B$9,"✅ OK","⚠️ BREACH"))</f>
        <v/>
      </c>
      <c r="M886" s="37" t="str">
        <f>IFERROR(IF(Agent05_Withdrawals!A91="","",YEAR(Agent05_Withdrawals!D91)),"")</f>
        <v/>
      </c>
    </row>
    <row r="887" spans="1:13" ht="18" customHeight="1" x14ac:dyDescent="0.25">
      <c r="A887" s="37" t="str">
        <f>IF(Agent05_Withdrawals!A92="","",Agent05_Withdrawals!A92)</f>
        <v/>
      </c>
      <c r="B887" s="37" t="str">
        <f ca="1">IF(Agent05_Withdrawals!A92="","","WD"&amp;TEXT(887-3,"0000")&amp;"-"&amp;TEXT(TODAY(),"YYYYMMDD"))</f>
        <v/>
      </c>
      <c r="C887" s="37" t="str">
        <f>IF(Agent05_Withdrawals!A92="","",Agent05_Withdrawals!B92)</f>
        <v/>
      </c>
      <c r="D887" s="40" t="str">
        <f>IF(Agent05_Withdrawals!A92="","",Agent05_Withdrawals!C92)</f>
        <v/>
      </c>
      <c r="E887" s="38" t="str">
        <f>IF(Agent05_Withdrawals!A92="","",Agent05_Withdrawals!D92)</f>
        <v/>
      </c>
      <c r="F887" s="37" t="str">
        <f>IF(Agent05_Withdrawals!A92="","",Agent05_Withdrawals!F92)</f>
        <v/>
      </c>
      <c r="G887" s="39" t="str">
        <f>IF(Agent05_Withdrawals!A92="","",Agent05_Withdrawals!E92)</f>
        <v/>
      </c>
      <c r="H887" s="39" t="str">
        <f>IF(Agent05_Withdrawals!A92="","",Agent05_Withdrawals!G92)</f>
        <v/>
      </c>
      <c r="I887" s="37" t="str">
        <f>IF(Agent05_Withdrawals!A92="","",Agent05_Withdrawals!H92)</f>
        <v/>
      </c>
      <c r="J887" s="37" t="str">
        <f>IF(Agent05_Withdrawals!A92="","",Agent05_Withdrawals!J92)</f>
        <v/>
      </c>
      <c r="K887" s="37" t="str">
        <f>IF(Agent05_Withdrawals!A92="","",Agent05_Withdrawals!K92)</f>
        <v/>
      </c>
      <c r="L887" s="37" t="str">
        <f>IF(G887="","",IF(D887-G887&gt;=System_Config!$B$9,"✅ OK","⚠️ BREACH"))</f>
        <v/>
      </c>
      <c r="M887" s="37" t="str">
        <f>IFERROR(IF(Agent05_Withdrawals!A92="","",YEAR(Agent05_Withdrawals!D92)),"")</f>
        <v/>
      </c>
    </row>
    <row r="888" spans="1:13" ht="18" customHeight="1" x14ac:dyDescent="0.25">
      <c r="A888" s="37" t="str">
        <f>IF(Agent05_Withdrawals!A93="","",Agent05_Withdrawals!A93)</f>
        <v/>
      </c>
      <c r="B888" s="37" t="str">
        <f ca="1">IF(Agent05_Withdrawals!A93="","","WD"&amp;TEXT(888-3,"0000")&amp;"-"&amp;TEXT(TODAY(),"YYYYMMDD"))</f>
        <v/>
      </c>
      <c r="C888" s="37" t="str">
        <f>IF(Agent05_Withdrawals!A93="","",Agent05_Withdrawals!B93)</f>
        <v/>
      </c>
      <c r="D888" s="40" t="str">
        <f>IF(Agent05_Withdrawals!A93="","",Agent05_Withdrawals!C93)</f>
        <v/>
      </c>
      <c r="E888" s="38" t="str">
        <f>IF(Agent05_Withdrawals!A93="","",Agent05_Withdrawals!D93)</f>
        <v/>
      </c>
      <c r="F888" s="37" t="str">
        <f>IF(Agent05_Withdrawals!A93="","",Agent05_Withdrawals!F93)</f>
        <v/>
      </c>
      <c r="G888" s="39" t="str">
        <f>IF(Agent05_Withdrawals!A93="","",Agent05_Withdrawals!E93)</f>
        <v/>
      </c>
      <c r="H888" s="39" t="str">
        <f>IF(Agent05_Withdrawals!A93="","",Agent05_Withdrawals!G93)</f>
        <v/>
      </c>
      <c r="I888" s="37" t="str">
        <f>IF(Agent05_Withdrawals!A93="","",Agent05_Withdrawals!H93)</f>
        <v/>
      </c>
      <c r="J888" s="37" t="str">
        <f>IF(Agent05_Withdrawals!A93="","",Agent05_Withdrawals!J93)</f>
        <v/>
      </c>
      <c r="K888" s="37" t="str">
        <f>IF(Agent05_Withdrawals!A93="","",Agent05_Withdrawals!K93)</f>
        <v/>
      </c>
      <c r="L888" s="37" t="str">
        <f>IF(G888="","",IF(D888-G888&gt;=System_Config!$B$9,"✅ OK","⚠️ BREACH"))</f>
        <v/>
      </c>
      <c r="M888" s="37" t="str">
        <f>IFERROR(IF(Agent05_Withdrawals!A93="","",YEAR(Agent05_Withdrawals!D93)),"")</f>
        <v/>
      </c>
    </row>
    <row r="889" spans="1:13" ht="18" customHeight="1" x14ac:dyDescent="0.25">
      <c r="A889" s="37" t="str">
        <f>IF(Agent05_Withdrawals!A94="","",Agent05_Withdrawals!A94)</f>
        <v/>
      </c>
      <c r="B889" s="37" t="str">
        <f ca="1">IF(Agent05_Withdrawals!A94="","","WD"&amp;TEXT(889-3,"0000")&amp;"-"&amp;TEXT(TODAY(),"YYYYMMDD"))</f>
        <v/>
      </c>
      <c r="C889" s="37" t="str">
        <f>IF(Agent05_Withdrawals!A94="","",Agent05_Withdrawals!B94)</f>
        <v/>
      </c>
      <c r="D889" s="40" t="str">
        <f>IF(Agent05_Withdrawals!A94="","",Agent05_Withdrawals!C94)</f>
        <v/>
      </c>
      <c r="E889" s="38" t="str">
        <f>IF(Agent05_Withdrawals!A94="","",Agent05_Withdrawals!D94)</f>
        <v/>
      </c>
      <c r="F889" s="37" t="str">
        <f>IF(Agent05_Withdrawals!A94="","",Agent05_Withdrawals!F94)</f>
        <v/>
      </c>
      <c r="G889" s="39" t="str">
        <f>IF(Agent05_Withdrawals!A94="","",Agent05_Withdrawals!E94)</f>
        <v/>
      </c>
      <c r="H889" s="39" t="str">
        <f>IF(Agent05_Withdrawals!A94="","",Agent05_Withdrawals!G94)</f>
        <v/>
      </c>
      <c r="I889" s="37" t="str">
        <f>IF(Agent05_Withdrawals!A94="","",Agent05_Withdrawals!H94)</f>
        <v/>
      </c>
      <c r="J889" s="37" t="str">
        <f>IF(Agent05_Withdrawals!A94="","",Agent05_Withdrawals!J94)</f>
        <v/>
      </c>
      <c r="K889" s="37" t="str">
        <f>IF(Agent05_Withdrawals!A94="","",Agent05_Withdrawals!K94)</f>
        <v/>
      </c>
      <c r="L889" s="37" t="str">
        <f>IF(G889="","",IF(D889-G889&gt;=System_Config!$B$9,"✅ OK","⚠️ BREACH"))</f>
        <v/>
      </c>
      <c r="M889" s="37" t="str">
        <f>IFERROR(IF(Agent05_Withdrawals!A94="","",YEAR(Agent05_Withdrawals!D94)),"")</f>
        <v/>
      </c>
    </row>
    <row r="890" spans="1:13" ht="18" customHeight="1" x14ac:dyDescent="0.25">
      <c r="A890" s="37" t="str">
        <f>IF(Agent05_Withdrawals!A95="","",Agent05_Withdrawals!A95)</f>
        <v/>
      </c>
      <c r="B890" s="37" t="str">
        <f ca="1">IF(Agent05_Withdrawals!A95="","","WD"&amp;TEXT(890-3,"0000")&amp;"-"&amp;TEXT(TODAY(),"YYYYMMDD"))</f>
        <v/>
      </c>
      <c r="C890" s="37" t="str">
        <f>IF(Agent05_Withdrawals!A95="","",Agent05_Withdrawals!B95)</f>
        <v/>
      </c>
      <c r="D890" s="40" t="str">
        <f>IF(Agent05_Withdrawals!A95="","",Agent05_Withdrawals!C95)</f>
        <v/>
      </c>
      <c r="E890" s="38" t="str">
        <f>IF(Agent05_Withdrawals!A95="","",Agent05_Withdrawals!D95)</f>
        <v/>
      </c>
      <c r="F890" s="37" t="str">
        <f>IF(Agent05_Withdrawals!A95="","",Agent05_Withdrawals!F95)</f>
        <v/>
      </c>
      <c r="G890" s="39" t="str">
        <f>IF(Agent05_Withdrawals!A95="","",Agent05_Withdrawals!E95)</f>
        <v/>
      </c>
      <c r="H890" s="39" t="str">
        <f>IF(Agent05_Withdrawals!A95="","",Agent05_Withdrawals!G95)</f>
        <v/>
      </c>
      <c r="I890" s="37" t="str">
        <f>IF(Agent05_Withdrawals!A95="","",Agent05_Withdrawals!H95)</f>
        <v/>
      </c>
      <c r="J890" s="37" t="str">
        <f>IF(Agent05_Withdrawals!A95="","",Agent05_Withdrawals!J95)</f>
        <v/>
      </c>
      <c r="K890" s="37" t="str">
        <f>IF(Agent05_Withdrawals!A95="","",Agent05_Withdrawals!K95)</f>
        <v/>
      </c>
      <c r="L890" s="37" t="str">
        <f>IF(G890="","",IF(D890-G890&gt;=System_Config!$B$9,"✅ OK","⚠️ BREACH"))</f>
        <v/>
      </c>
      <c r="M890" s="37" t="str">
        <f>IFERROR(IF(Agent05_Withdrawals!A95="","",YEAR(Agent05_Withdrawals!D95)),"")</f>
        <v/>
      </c>
    </row>
    <row r="891" spans="1:13" ht="18" customHeight="1" x14ac:dyDescent="0.25">
      <c r="A891" s="37" t="str">
        <f>IF(Agent05_Withdrawals!A96="","",Agent05_Withdrawals!A96)</f>
        <v/>
      </c>
      <c r="B891" s="37" t="str">
        <f ca="1">IF(Agent05_Withdrawals!A96="","","WD"&amp;TEXT(891-3,"0000")&amp;"-"&amp;TEXT(TODAY(),"YYYYMMDD"))</f>
        <v/>
      </c>
      <c r="C891" s="37" t="str">
        <f>IF(Agent05_Withdrawals!A96="","",Agent05_Withdrawals!B96)</f>
        <v/>
      </c>
      <c r="D891" s="40" t="str">
        <f>IF(Agent05_Withdrawals!A96="","",Agent05_Withdrawals!C96)</f>
        <v/>
      </c>
      <c r="E891" s="38" t="str">
        <f>IF(Agent05_Withdrawals!A96="","",Agent05_Withdrawals!D96)</f>
        <v/>
      </c>
      <c r="F891" s="37" t="str">
        <f>IF(Agent05_Withdrawals!A96="","",Agent05_Withdrawals!F96)</f>
        <v/>
      </c>
      <c r="G891" s="39" t="str">
        <f>IF(Agent05_Withdrawals!A96="","",Agent05_Withdrawals!E96)</f>
        <v/>
      </c>
      <c r="H891" s="39" t="str">
        <f>IF(Agent05_Withdrawals!A96="","",Agent05_Withdrawals!G96)</f>
        <v/>
      </c>
      <c r="I891" s="37" t="str">
        <f>IF(Agent05_Withdrawals!A96="","",Agent05_Withdrawals!H96)</f>
        <v/>
      </c>
      <c r="J891" s="37" t="str">
        <f>IF(Agent05_Withdrawals!A96="","",Agent05_Withdrawals!J96)</f>
        <v/>
      </c>
      <c r="K891" s="37" t="str">
        <f>IF(Agent05_Withdrawals!A96="","",Agent05_Withdrawals!K96)</f>
        <v/>
      </c>
      <c r="L891" s="37" t="str">
        <f>IF(G891="","",IF(D891-G891&gt;=System_Config!$B$9,"✅ OK","⚠️ BREACH"))</f>
        <v/>
      </c>
      <c r="M891" s="37" t="str">
        <f>IFERROR(IF(Agent05_Withdrawals!A96="","",YEAR(Agent05_Withdrawals!D96)),"")</f>
        <v/>
      </c>
    </row>
    <row r="892" spans="1:13" ht="18" customHeight="1" x14ac:dyDescent="0.25">
      <c r="A892" s="37" t="str">
        <f>IF(Agent05_Withdrawals!A97="","",Agent05_Withdrawals!A97)</f>
        <v/>
      </c>
      <c r="B892" s="37" t="str">
        <f ca="1">IF(Agent05_Withdrawals!A97="","","WD"&amp;TEXT(892-3,"0000")&amp;"-"&amp;TEXT(TODAY(),"YYYYMMDD"))</f>
        <v/>
      </c>
      <c r="C892" s="37" t="str">
        <f>IF(Agent05_Withdrawals!A97="","",Agent05_Withdrawals!B97)</f>
        <v/>
      </c>
      <c r="D892" s="40" t="str">
        <f>IF(Agent05_Withdrawals!A97="","",Agent05_Withdrawals!C97)</f>
        <v/>
      </c>
      <c r="E892" s="38" t="str">
        <f>IF(Agent05_Withdrawals!A97="","",Agent05_Withdrawals!D97)</f>
        <v/>
      </c>
      <c r="F892" s="37" t="str">
        <f>IF(Agent05_Withdrawals!A97="","",Agent05_Withdrawals!F97)</f>
        <v/>
      </c>
      <c r="G892" s="39" t="str">
        <f>IF(Agent05_Withdrawals!A97="","",Agent05_Withdrawals!E97)</f>
        <v/>
      </c>
      <c r="H892" s="39" t="str">
        <f>IF(Agent05_Withdrawals!A97="","",Agent05_Withdrawals!G97)</f>
        <v/>
      </c>
      <c r="I892" s="37" t="str">
        <f>IF(Agent05_Withdrawals!A97="","",Agent05_Withdrawals!H97)</f>
        <v/>
      </c>
      <c r="J892" s="37" t="str">
        <f>IF(Agent05_Withdrawals!A97="","",Agent05_Withdrawals!J97)</f>
        <v/>
      </c>
      <c r="K892" s="37" t="str">
        <f>IF(Agent05_Withdrawals!A97="","",Agent05_Withdrawals!K97)</f>
        <v/>
      </c>
      <c r="L892" s="37" t="str">
        <f>IF(G892="","",IF(D892-G892&gt;=System_Config!$B$9,"✅ OK","⚠️ BREACH"))</f>
        <v/>
      </c>
      <c r="M892" s="37" t="str">
        <f>IFERROR(IF(Agent05_Withdrawals!A97="","",YEAR(Agent05_Withdrawals!D97)),"")</f>
        <v/>
      </c>
    </row>
    <row r="893" spans="1:13" ht="18" customHeight="1" x14ac:dyDescent="0.25">
      <c r="A893" s="37" t="str">
        <f>IF(Agent05_Withdrawals!A98="","",Agent05_Withdrawals!A98)</f>
        <v/>
      </c>
      <c r="B893" s="37" t="str">
        <f ca="1">IF(Agent05_Withdrawals!A98="","","WD"&amp;TEXT(893-3,"0000")&amp;"-"&amp;TEXT(TODAY(),"YYYYMMDD"))</f>
        <v/>
      </c>
      <c r="C893" s="37" t="str">
        <f>IF(Agent05_Withdrawals!A98="","",Agent05_Withdrawals!B98)</f>
        <v/>
      </c>
      <c r="D893" s="40" t="str">
        <f>IF(Agent05_Withdrawals!A98="","",Agent05_Withdrawals!C98)</f>
        <v/>
      </c>
      <c r="E893" s="38" t="str">
        <f>IF(Agent05_Withdrawals!A98="","",Agent05_Withdrawals!D98)</f>
        <v/>
      </c>
      <c r="F893" s="37" t="str">
        <f>IF(Agent05_Withdrawals!A98="","",Agent05_Withdrawals!F98)</f>
        <v/>
      </c>
      <c r="G893" s="39" t="str">
        <f>IF(Agent05_Withdrawals!A98="","",Agent05_Withdrawals!E98)</f>
        <v/>
      </c>
      <c r="H893" s="39" t="str">
        <f>IF(Agent05_Withdrawals!A98="","",Agent05_Withdrawals!G98)</f>
        <v/>
      </c>
      <c r="I893" s="37" t="str">
        <f>IF(Agent05_Withdrawals!A98="","",Agent05_Withdrawals!H98)</f>
        <v/>
      </c>
      <c r="J893" s="37" t="str">
        <f>IF(Agent05_Withdrawals!A98="","",Agent05_Withdrawals!J98)</f>
        <v/>
      </c>
      <c r="K893" s="37" t="str">
        <f>IF(Agent05_Withdrawals!A98="","",Agent05_Withdrawals!K98)</f>
        <v/>
      </c>
      <c r="L893" s="37" t="str">
        <f>IF(G893="","",IF(D893-G893&gt;=System_Config!$B$9,"✅ OK","⚠️ BREACH"))</f>
        <v/>
      </c>
      <c r="M893" s="37" t="str">
        <f>IFERROR(IF(Agent05_Withdrawals!A98="","",YEAR(Agent05_Withdrawals!D98)),"")</f>
        <v/>
      </c>
    </row>
    <row r="894" spans="1:13" ht="18" customHeight="1" x14ac:dyDescent="0.25">
      <c r="A894" s="37" t="str">
        <f>IF(Agent05_Withdrawals!A99="","",Agent05_Withdrawals!A99)</f>
        <v/>
      </c>
      <c r="B894" s="37" t="str">
        <f ca="1">IF(Agent05_Withdrawals!A99="","","WD"&amp;TEXT(894-3,"0000")&amp;"-"&amp;TEXT(TODAY(),"YYYYMMDD"))</f>
        <v/>
      </c>
      <c r="C894" s="37" t="str">
        <f>IF(Agent05_Withdrawals!A99="","",Agent05_Withdrawals!B99)</f>
        <v/>
      </c>
      <c r="D894" s="40" t="str">
        <f>IF(Agent05_Withdrawals!A99="","",Agent05_Withdrawals!C99)</f>
        <v/>
      </c>
      <c r="E894" s="38" t="str">
        <f>IF(Agent05_Withdrawals!A99="","",Agent05_Withdrawals!D99)</f>
        <v/>
      </c>
      <c r="F894" s="37" t="str">
        <f>IF(Agent05_Withdrawals!A99="","",Agent05_Withdrawals!F99)</f>
        <v/>
      </c>
      <c r="G894" s="39" t="str">
        <f>IF(Agent05_Withdrawals!A99="","",Agent05_Withdrawals!E99)</f>
        <v/>
      </c>
      <c r="H894" s="39" t="str">
        <f>IF(Agent05_Withdrawals!A99="","",Agent05_Withdrawals!G99)</f>
        <v/>
      </c>
      <c r="I894" s="37" t="str">
        <f>IF(Agent05_Withdrawals!A99="","",Agent05_Withdrawals!H99)</f>
        <v/>
      </c>
      <c r="J894" s="37" t="str">
        <f>IF(Agent05_Withdrawals!A99="","",Agent05_Withdrawals!J99)</f>
        <v/>
      </c>
      <c r="K894" s="37" t="str">
        <f>IF(Agent05_Withdrawals!A99="","",Agent05_Withdrawals!K99)</f>
        <v/>
      </c>
      <c r="L894" s="37" t="str">
        <f>IF(G894="","",IF(D894-G894&gt;=System_Config!$B$9,"✅ OK","⚠️ BREACH"))</f>
        <v/>
      </c>
      <c r="M894" s="37" t="str">
        <f>IFERROR(IF(Agent05_Withdrawals!A99="","",YEAR(Agent05_Withdrawals!D99)),"")</f>
        <v/>
      </c>
    </row>
    <row r="895" spans="1:13" ht="18" customHeight="1" x14ac:dyDescent="0.25">
      <c r="A895" s="37" t="str">
        <f>IF(Agent05_Withdrawals!A100="","",Agent05_Withdrawals!A100)</f>
        <v/>
      </c>
      <c r="B895" s="37" t="str">
        <f ca="1">IF(Agent05_Withdrawals!A100="","","WD"&amp;TEXT(895-3,"0000")&amp;"-"&amp;TEXT(TODAY(),"YYYYMMDD"))</f>
        <v/>
      </c>
      <c r="C895" s="37" t="str">
        <f>IF(Agent05_Withdrawals!A100="","",Agent05_Withdrawals!B100)</f>
        <v/>
      </c>
      <c r="D895" s="40" t="str">
        <f>IF(Agent05_Withdrawals!A100="","",Agent05_Withdrawals!C100)</f>
        <v/>
      </c>
      <c r="E895" s="38" t="str">
        <f>IF(Agent05_Withdrawals!A100="","",Agent05_Withdrawals!D100)</f>
        <v/>
      </c>
      <c r="F895" s="37" t="str">
        <f>IF(Agent05_Withdrawals!A100="","",Agent05_Withdrawals!F100)</f>
        <v/>
      </c>
      <c r="G895" s="39" t="str">
        <f>IF(Agent05_Withdrawals!A100="","",Agent05_Withdrawals!E100)</f>
        <v/>
      </c>
      <c r="H895" s="39" t="str">
        <f>IF(Agent05_Withdrawals!A100="","",Agent05_Withdrawals!G100)</f>
        <v/>
      </c>
      <c r="I895" s="37" t="str">
        <f>IF(Agent05_Withdrawals!A100="","",Agent05_Withdrawals!H100)</f>
        <v/>
      </c>
      <c r="J895" s="37" t="str">
        <f>IF(Agent05_Withdrawals!A100="","",Agent05_Withdrawals!J100)</f>
        <v/>
      </c>
      <c r="K895" s="37" t="str">
        <f>IF(Agent05_Withdrawals!A100="","",Agent05_Withdrawals!K100)</f>
        <v/>
      </c>
      <c r="L895" s="37" t="str">
        <f>IF(G895="","",IF(D895-G895&gt;=System_Config!$B$9,"✅ OK","⚠️ BREACH"))</f>
        <v/>
      </c>
      <c r="M895" s="37" t="str">
        <f>IFERROR(IF(Agent05_Withdrawals!A100="","",YEAR(Agent05_Withdrawals!D100)),"")</f>
        <v/>
      </c>
    </row>
    <row r="896" spans="1:13" ht="18" customHeight="1" x14ac:dyDescent="0.25">
      <c r="A896" s="37" t="str">
        <f>IF(Agent05_Withdrawals!A101="","",Agent05_Withdrawals!A101)</f>
        <v/>
      </c>
      <c r="B896" s="37" t="str">
        <f ca="1">IF(Agent05_Withdrawals!A101="","","WD"&amp;TEXT(896-3,"0000")&amp;"-"&amp;TEXT(TODAY(),"YYYYMMDD"))</f>
        <v/>
      </c>
      <c r="C896" s="37" t="str">
        <f>IF(Agent05_Withdrawals!A101="","",Agent05_Withdrawals!B101)</f>
        <v/>
      </c>
      <c r="D896" s="40" t="str">
        <f>IF(Agent05_Withdrawals!A101="","",Agent05_Withdrawals!C101)</f>
        <v/>
      </c>
      <c r="E896" s="38" t="str">
        <f>IF(Agent05_Withdrawals!A101="","",Agent05_Withdrawals!D101)</f>
        <v/>
      </c>
      <c r="F896" s="37" t="str">
        <f>IF(Agent05_Withdrawals!A101="","",Agent05_Withdrawals!F101)</f>
        <v/>
      </c>
      <c r="G896" s="39" t="str">
        <f>IF(Agent05_Withdrawals!A101="","",Agent05_Withdrawals!E101)</f>
        <v/>
      </c>
      <c r="H896" s="39" t="str">
        <f>IF(Agent05_Withdrawals!A101="","",Agent05_Withdrawals!G101)</f>
        <v/>
      </c>
      <c r="I896" s="37" t="str">
        <f>IF(Agent05_Withdrawals!A101="","",Agent05_Withdrawals!H101)</f>
        <v/>
      </c>
      <c r="J896" s="37" t="str">
        <f>IF(Agent05_Withdrawals!A101="","",Agent05_Withdrawals!J101)</f>
        <v/>
      </c>
      <c r="K896" s="37" t="str">
        <f>IF(Agent05_Withdrawals!A101="","",Agent05_Withdrawals!K101)</f>
        <v/>
      </c>
      <c r="L896" s="37" t="str">
        <f>IF(G896="","",IF(D896-G896&gt;=System_Config!$B$9,"✅ OK","⚠️ BREACH"))</f>
        <v/>
      </c>
      <c r="M896" s="37" t="str">
        <f>IFERROR(IF(Agent05_Withdrawals!A101="","",YEAR(Agent05_Withdrawals!D101)),"")</f>
        <v/>
      </c>
    </row>
    <row r="897" spans="1:13" ht="18" customHeight="1" x14ac:dyDescent="0.25">
      <c r="A897" s="37" t="str">
        <f>IF(Agent05_Withdrawals!A102="","",Agent05_Withdrawals!A102)</f>
        <v/>
      </c>
      <c r="B897" s="37" t="str">
        <f ca="1">IF(Agent05_Withdrawals!A102="","","WD"&amp;TEXT(897-3,"0000")&amp;"-"&amp;TEXT(TODAY(),"YYYYMMDD"))</f>
        <v/>
      </c>
      <c r="C897" s="37" t="str">
        <f>IF(Agent05_Withdrawals!A102="","",Agent05_Withdrawals!B102)</f>
        <v/>
      </c>
      <c r="D897" s="40" t="str">
        <f>IF(Agent05_Withdrawals!A102="","",Agent05_Withdrawals!C102)</f>
        <v/>
      </c>
      <c r="E897" s="38" t="str">
        <f>IF(Agent05_Withdrawals!A102="","",Agent05_Withdrawals!D102)</f>
        <v/>
      </c>
      <c r="F897" s="37" t="str">
        <f>IF(Agent05_Withdrawals!A102="","",Agent05_Withdrawals!F102)</f>
        <v/>
      </c>
      <c r="G897" s="39" t="str">
        <f>IF(Agent05_Withdrawals!A102="","",Agent05_Withdrawals!E102)</f>
        <v/>
      </c>
      <c r="H897" s="39" t="str">
        <f>IF(Agent05_Withdrawals!A102="","",Agent05_Withdrawals!G102)</f>
        <v/>
      </c>
      <c r="I897" s="37" t="str">
        <f>IF(Agent05_Withdrawals!A102="","",Agent05_Withdrawals!H102)</f>
        <v/>
      </c>
      <c r="J897" s="37" t="str">
        <f>IF(Agent05_Withdrawals!A102="","",Agent05_Withdrawals!J102)</f>
        <v/>
      </c>
      <c r="K897" s="37" t="str">
        <f>IF(Agent05_Withdrawals!A102="","",Agent05_Withdrawals!K102)</f>
        <v/>
      </c>
      <c r="L897" s="37" t="str">
        <f>IF(G897="","",IF(D897-G897&gt;=System_Config!$B$9,"✅ OK","⚠️ BREACH"))</f>
        <v/>
      </c>
      <c r="M897" s="37" t="str">
        <f>IFERROR(IF(Agent05_Withdrawals!A102="","",YEAR(Agent05_Withdrawals!D102)),"")</f>
        <v/>
      </c>
    </row>
    <row r="898" spans="1:13" ht="18" customHeight="1" x14ac:dyDescent="0.25">
      <c r="A898" s="37" t="str">
        <f>IF(Agent05_Withdrawals!A103="","",Agent05_Withdrawals!A103)</f>
        <v/>
      </c>
      <c r="B898" s="37" t="str">
        <f ca="1">IF(Agent05_Withdrawals!A103="","","WD"&amp;TEXT(898-3,"0000")&amp;"-"&amp;TEXT(TODAY(),"YYYYMMDD"))</f>
        <v/>
      </c>
      <c r="C898" s="37" t="str">
        <f>IF(Agent05_Withdrawals!A103="","",Agent05_Withdrawals!B103)</f>
        <v/>
      </c>
      <c r="D898" s="40" t="str">
        <f>IF(Agent05_Withdrawals!A103="","",Agent05_Withdrawals!C103)</f>
        <v/>
      </c>
      <c r="E898" s="38" t="str">
        <f>IF(Agent05_Withdrawals!A103="","",Agent05_Withdrawals!D103)</f>
        <v/>
      </c>
      <c r="F898" s="37" t="str">
        <f>IF(Agent05_Withdrawals!A103="","",Agent05_Withdrawals!F103)</f>
        <v/>
      </c>
      <c r="G898" s="39" t="str">
        <f>IF(Agent05_Withdrawals!A103="","",Agent05_Withdrawals!E103)</f>
        <v/>
      </c>
      <c r="H898" s="39" t="str">
        <f>IF(Agent05_Withdrawals!A103="","",Agent05_Withdrawals!G103)</f>
        <v/>
      </c>
      <c r="I898" s="37" t="str">
        <f>IF(Agent05_Withdrawals!A103="","",Agent05_Withdrawals!H103)</f>
        <v/>
      </c>
      <c r="J898" s="37" t="str">
        <f>IF(Agent05_Withdrawals!A103="","",Agent05_Withdrawals!J103)</f>
        <v/>
      </c>
      <c r="K898" s="37" t="str">
        <f>IF(Agent05_Withdrawals!A103="","",Agent05_Withdrawals!K103)</f>
        <v/>
      </c>
      <c r="L898" s="37" t="str">
        <f>IF(G898="","",IF(D898-G898&gt;=System_Config!$B$9,"✅ OK","⚠️ BREACH"))</f>
        <v/>
      </c>
      <c r="M898" s="37" t="str">
        <f>IFERROR(IF(Agent05_Withdrawals!A103="","",YEAR(Agent05_Withdrawals!D103)),"")</f>
        <v/>
      </c>
    </row>
    <row r="899" spans="1:13" ht="18" customHeight="1" x14ac:dyDescent="0.25">
      <c r="A899" s="37" t="str">
        <f>IF(Agent05_Withdrawals!A104="","",Agent05_Withdrawals!A104)</f>
        <v/>
      </c>
      <c r="B899" s="37" t="str">
        <f ca="1">IF(Agent05_Withdrawals!A104="","","WD"&amp;TEXT(899-3,"0000")&amp;"-"&amp;TEXT(TODAY(),"YYYYMMDD"))</f>
        <v/>
      </c>
      <c r="C899" s="37" t="str">
        <f>IF(Agent05_Withdrawals!A104="","",Agent05_Withdrawals!B104)</f>
        <v/>
      </c>
      <c r="D899" s="40" t="str">
        <f>IF(Agent05_Withdrawals!A104="","",Agent05_Withdrawals!C104)</f>
        <v/>
      </c>
      <c r="E899" s="38" t="str">
        <f>IF(Agent05_Withdrawals!A104="","",Agent05_Withdrawals!D104)</f>
        <v/>
      </c>
      <c r="F899" s="37" t="str">
        <f>IF(Agent05_Withdrawals!A104="","",Agent05_Withdrawals!F104)</f>
        <v/>
      </c>
      <c r="G899" s="39" t="str">
        <f>IF(Agent05_Withdrawals!A104="","",Agent05_Withdrawals!E104)</f>
        <v/>
      </c>
      <c r="H899" s="39" t="str">
        <f>IF(Agent05_Withdrawals!A104="","",Agent05_Withdrawals!G104)</f>
        <v/>
      </c>
      <c r="I899" s="37" t="str">
        <f>IF(Agent05_Withdrawals!A104="","",Agent05_Withdrawals!H104)</f>
        <v/>
      </c>
      <c r="J899" s="37" t="str">
        <f>IF(Agent05_Withdrawals!A104="","",Agent05_Withdrawals!J104)</f>
        <v/>
      </c>
      <c r="K899" s="37" t="str">
        <f>IF(Agent05_Withdrawals!A104="","",Agent05_Withdrawals!K104)</f>
        <v/>
      </c>
      <c r="L899" s="37" t="str">
        <f>IF(G899="","",IF(D899-G899&gt;=System_Config!$B$9,"✅ OK","⚠️ BREACH"))</f>
        <v/>
      </c>
      <c r="M899" s="37" t="str">
        <f>IFERROR(IF(Agent05_Withdrawals!A104="","",YEAR(Agent05_Withdrawals!D104)),"")</f>
        <v/>
      </c>
    </row>
    <row r="900" spans="1:13" ht="18" customHeight="1" x14ac:dyDescent="0.25">
      <c r="A900" s="37" t="str">
        <f>IF(Agent05_Withdrawals!A105="","",Agent05_Withdrawals!A105)</f>
        <v/>
      </c>
      <c r="B900" s="37" t="str">
        <f ca="1">IF(Agent05_Withdrawals!A105="","","WD"&amp;TEXT(900-3,"0000")&amp;"-"&amp;TEXT(TODAY(),"YYYYMMDD"))</f>
        <v/>
      </c>
      <c r="C900" s="37" t="str">
        <f>IF(Agent05_Withdrawals!A105="","",Agent05_Withdrawals!B105)</f>
        <v/>
      </c>
      <c r="D900" s="40" t="str">
        <f>IF(Agent05_Withdrawals!A105="","",Agent05_Withdrawals!C105)</f>
        <v/>
      </c>
      <c r="E900" s="38" t="str">
        <f>IF(Agent05_Withdrawals!A105="","",Agent05_Withdrawals!D105)</f>
        <v/>
      </c>
      <c r="F900" s="37" t="str">
        <f>IF(Agent05_Withdrawals!A105="","",Agent05_Withdrawals!F105)</f>
        <v/>
      </c>
      <c r="G900" s="39" t="str">
        <f>IF(Agent05_Withdrawals!A105="","",Agent05_Withdrawals!E105)</f>
        <v/>
      </c>
      <c r="H900" s="39" t="str">
        <f>IF(Agent05_Withdrawals!A105="","",Agent05_Withdrawals!G105)</f>
        <v/>
      </c>
      <c r="I900" s="37" t="str">
        <f>IF(Agent05_Withdrawals!A105="","",Agent05_Withdrawals!H105)</f>
        <v/>
      </c>
      <c r="J900" s="37" t="str">
        <f>IF(Agent05_Withdrawals!A105="","",Agent05_Withdrawals!J105)</f>
        <v/>
      </c>
      <c r="K900" s="37" t="str">
        <f>IF(Agent05_Withdrawals!A105="","",Agent05_Withdrawals!K105)</f>
        <v/>
      </c>
      <c r="L900" s="37" t="str">
        <f>IF(G900="","",IF(D900-G900&gt;=System_Config!$B$9,"✅ OK","⚠️ BREACH"))</f>
        <v/>
      </c>
      <c r="M900" s="37" t="str">
        <f>IFERROR(IF(Agent05_Withdrawals!A105="","",YEAR(Agent05_Withdrawals!D105)),"")</f>
        <v/>
      </c>
    </row>
    <row r="901" spans="1:13" ht="18" customHeight="1" x14ac:dyDescent="0.25">
      <c r="A901" s="37" t="str">
        <f>IF(Agent05_Withdrawals!A106="","",Agent05_Withdrawals!A106)</f>
        <v/>
      </c>
      <c r="B901" s="37" t="str">
        <f ca="1">IF(Agent05_Withdrawals!A106="","","WD"&amp;TEXT(901-3,"0000")&amp;"-"&amp;TEXT(TODAY(),"YYYYMMDD"))</f>
        <v/>
      </c>
      <c r="C901" s="37" t="str">
        <f>IF(Agent05_Withdrawals!A106="","",Agent05_Withdrawals!B106)</f>
        <v/>
      </c>
      <c r="D901" s="40" t="str">
        <f>IF(Agent05_Withdrawals!A106="","",Agent05_Withdrawals!C106)</f>
        <v/>
      </c>
      <c r="E901" s="38" t="str">
        <f>IF(Agent05_Withdrawals!A106="","",Agent05_Withdrawals!D106)</f>
        <v/>
      </c>
      <c r="F901" s="37" t="str">
        <f>IF(Agent05_Withdrawals!A106="","",Agent05_Withdrawals!F106)</f>
        <v/>
      </c>
      <c r="G901" s="39" t="str">
        <f>IF(Agent05_Withdrawals!A106="","",Agent05_Withdrawals!E106)</f>
        <v/>
      </c>
      <c r="H901" s="39" t="str">
        <f>IF(Agent05_Withdrawals!A106="","",Agent05_Withdrawals!G106)</f>
        <v/>
      </c>
      <c r="I901" s="37" t="str">
        <f>IF(Agent05_Withdrawals!A106="","",Agent05_Withdrawals!H106)</f>
        <v/>
      </c>
      <c r="J901" s="37" t="str">
        <f>IF(Agent05_Withdrawals!A106="","",Agent05_Withdrawals!J106)</f>
        <v/>
      </c>
      <c r="K901" s="37" t="str">
        <f>IF(Agent05_Withdrawals!A106="","",Agent05_Withdrawals!K106)</f>
        <v/>
      </c>
      <c r="L901" s="37" t="str">
        <f>IF(G901="","",IF(D901-G901&gt;=System_Config!$B$9,"✅ OK","⚠️ BREACH"))</f>
        <v/>
      </c>
      <c r="M901" s="37" t="str">
        <f>IFERROR(IF(Agent05_Withdrawals!A106="","",YEAR(Agent05_Withdrawals!D106)),"")</f>
        <v/>
      </c>
    </row>
    <row r="902" spans="1:13" ht="18" customHeight="1" x14ac:dyDescent="0.25">
      <c r="A902" s="37" t="str">
        <f>IF(Agent05_Withdrawals!A107="","",Agent05_Withdrawals!A107)</f>
        <v/>
      </c>
      <c r="B902" s="37" t="str">
        <f ca="1">IF(Agent05_Withdrawals!A107="","","WD"&amp;TEXT(902-3,"0000")&amp;"-"&amp;TEXT(TODAY(),"YYYYMMDD"))</f>
        <v/>
      </c>
      <c r="C902" s="37" t="str">
        <f>IF(Agent05_Withdrawals!A107="","",Agent05_Withdrawals!B107)</f>
        <v/>
      </c>
      <c r="D902" s="40" t="str">
        <f>IF(Agent05_Withdrawals!A107="","",Agent05_Withdrawals!C107)</f>
        <v/>
      </c>
      <c r="E902" s="38" t="str">
        <f>IF(Agent05_Withdrawals!A107="","",Agent05_Withdrawals!D107)</f>
        <v/>
      </c>
      <c r="F902" s="37" t="str">
        <f>IF(Agent05_Withdrawals!A107="","",Agent05_Withdrawals!F107)</f>
        <v/>
      </c>
      <c r="G902" s="39" t="str">
        <f>IF(Agent05_Withdrawals!A107="","",Agent05_Withdrawals!E107)</f>
        <v/>
      </c>
      <c r="H902" s="39" t="str">
        <f>IF(Agent05_Withdrawals!A107="","",Agent05_Withdrawals!G107)</f>
        <v/>
      </c>
      <c r="I902" s="37" t="str">
        <f>IF(Agent05_Withdrawals!A107="","",Agent05_Withdrawals!H107)</f>
        <v/>
      </c>
      <c r="J902" s="37" t="str">
        <f>IF(Agent05_Withdrawals!A107="","",Agent05_Withdrawals!J107)</f>
        <v/>
      </c>
      <c r="K902" s="37" t="str">
        <f>IF(Agent05_Withdrawals!A107="","",Agent05_Withdrawals!K107)</f>
        <v/>
      </c>
      <c r="L902" s="37" t="str">
        <f>IF(G902="","",IF(D902-G902&gt;=System_Config!$B$9,"✅ OK","⚠️ BREACH"))</f>
        <v/>
      </c>
      <c r="M902" s="37" t="str">
        <f>IFERROR(IF(Agent05_Withdrawals!A107="","",YEAR(Agent05_Withdrawals!D107)),"")</f>
        <v/>
      </c>
    </row>
    <row r="903" spans="1:13" ht="18" customHeight="1" x14ac:dyDescent="0.25">
      <c r="A903" s="37" t="str">
        <f>IF(Agent05_Withdrawals!A108="","",Agent05_Withdrawals!A108)</f>
        <v/>
      </c>
      <c r="B903" s="37" t="str">
        <f ca="1">IF(Agent05_Withdrawals!A108="","","WD"&amp;TEXT(903-3,"0000")&amp;"-"&amp;TEXT(TODAY(),"YYYYMMDD"))</f>
        <v/>
      </c>
      <c r="C903" s="37" t="str">
        <f>IF(Agent05_Withdrawals!A108="","",Agent05_Withdrawals!B108)</f>
        <v/>
      </c>
      <c r="D903" s="40" t="str">
        <f>IF(Agent05_Withdrawals!A108="","",Agent05_Withdrawals!C108)</f>
        <v/>
      </c>
      <c r="E903" s="38" t="str">
        <f>IF(Agent05_Withdrawals!A108="","",Agent05_Withdrawals!D108)</f>
        <v/>
      </c>
      <c r="F903" s="37" t="str">
        <f>IF(Agent05_Withdrawals!A108="","",Agent05_Withdrawals!F108)</f>
        <v/>
      </c>
      <c r="G903" s="39" t="str">
        <f>IF(Agent05_Withdrawals!A108="","",Agent05_Withdrawals!E108)</f>
        <v/>
      </c>
      <c r="H903" s="39" t="str">
        <f>IF(Agent05_Withdrawals!A108="","",Agent05_Withdrawals!G108)</f>
        <v/>
      </c>
      <c r="I903" s="37" t="str">
        <f>IF(Agent05_Withdrawals!A108="","",Agent05_Withdrawals!H108)</f>
        <v/>
      </c>
      <c r="J903" s="37" t="str">
        <f>IF(Agent05_Withdrawals!A108="","",Agent05_Withdrawals!J108)</f>
        <v/>
      </c>
      <c r="K903" s="37" t="str">
        <f>IF(Agent05_Withdrawals!A108="","",Agent05_Withdrawals!K108)</f>
        <v/>
      </c>
      <c r="L903" s="37" t="str">
        <f>IF(G903="","",IF(D903-G903&gt;=System_Config!$B$9,"✅ OK","⚠️ BREACH"))</f>
        <v/>
      </c>
      <c r="M903" s="37" t="str">
        <f>IFERROR(IF(Agent05_Withdrawals!A108="","",YEAR(Agent05_Withdrawals!D108)),"")</f>
        <v/>
      </c>
    </row>
    <row r="904" spans="1:13" ht="18" customHeight="1" x14ac:dyDescent="0.25">
      <c r="A904" s="37" t="str">
        <f>IF(Agent05_Withdrawals!A109="","",Agent05_Withdrawals!A109)</f>
        <v/>
      </c>
      <c r="B904" s="37" t="str">
        <f ca="1">IF(Agent05_Withdrawals!A109="","","WD"&amp;TEXT(904-3,"0000")&amp;"-"&amp;TEXT(TODAY(),"YYYYMMDD"))</f>
        <v/>
      </c>
      <c r="C904" s="37" t="str">
        <f>IF(Agent05_Withdrawals!A109="","",Agent05_Withdrawals!B109)</f>
        <v/>
      </c>
      <c r="D904" s="40" t="str">
        <f>IF(Agent05_Withdrawals!A109="","",Agent05_Withdrawals!C109)</f>
        <v/>
      </c>
      <c r="E904" s="38" t="str">
        <f>IF(Agent05_Withdrawals!A109="","",Agent05_Withdrawals!D109)</f>
        <v/>
      </c>
      <c r="F904" s="37" t="str">
        <f>IF(Agent05_Withdrawals!A109="","",Agent05_Withdrawals!F109)</f>
        <v/>
      </c>
      <c r="G904" s="39" t="str">
        <f>IF(Agent05_Withdrawals!A109="","",Agent05_Withdrawals!E109)</f>
        <v/>
      </c>
      <c r="H904" s="39" t="str">
        <f>IF(Agent05_Withdrawals!A109="","",Agent05_Withdrawals!G109)</f>
        <v/>
      </c>
      <c r="I904" s="37" t="str">
        <f>IF(Agent05_Withdrawals!A109="","",Agent05_Withdrawals!H109)</f>
        <v/>
      </c>
      <c r="J904" s="37" t="str">
        <f>IF(Agent05_Withdrawals!A109="","",Agent05_Withdrawals!J109)</f>
        <v/>
      </c>
      <c r="K904" s="37" t="str">
        <f>IF(Agent05_Withdrawals!A109="","",Agent05_Withdrawals!K109)</f>
        <v/>
      </c>
      <c r="L904" s="37" t="str">
        <f>IF(G904="","",IF(D904-G904&gt;=System_Config!$B$9,"✅ OK","⚠️ BREACH"))</f>
        <v/>
      </c>
      <c r="M904" s="37" t="str">
        <f>IFERROR(IF(Agent05_Withdrawals!A109="","",YEAR(Agent05_Withdrawals!D109)),"")</f>
        <v/>
      </c>
    </row>
    <row r="905" spans="1:13" ht="18" customHeight="1" x14ac:dyDescent="0.25">
      <c r="A905" s="37" t="str">
        <f>IF(Agent05_Withdrawals!A110="","",Agent05_Withdrawals!A110)</f>
        <v/>
      </c>
      <c r="B905" s="37" t="str">
        <f ca="1">IF(Agent05_Withdrawals!A110="","","WD"&amp;TEXT(905-3,"0000")&amp;"-"&amp;TEXT(TODAY(),"YYYYMMDD"))</f>
        <v/>
      </c>
      <c r="C905" s="37" t="str">
        <f>IF(Agent05_Withdrawals!A110="","",Agent05_Withdrawals!B110)</f>
        <v/>
      </c>
      <c r="D905" s="40" t="str">
        <f>IF(Agent05_Withdrawals!A110="","",Agent05_Withdrawals!C110)</f>
        <v/>
      </c>
      <c r="E905" s="38" t="str">
        <f>IF(Agent05_Withdrawals!A110="","",Agent05_Withdrawals!D110)</f>
        <v/>
      </c>
      <c r="F905" s="37" t="str">
        <f>IF(Agent05_Withdrawals!A110="","",Agent05_Withdrawals!F110)</f>
        <v/>
      </c>
      <c r="G905" s="39" t="str">
        <f>IF(Agent05_Withdrawals!A110="","",Agent05_Withdrawals!E110)</f>
        <v/>
      </c>
      <c r="H905" s="39" t="str">
        <f>IF(Agent05_Withdrawals!A110="","",Agent05_Withdrawals!G110)</f>
        <v/>
      </c>
      <c r="I905" s="37" t="str">
        <f>IF(Agent05_Withdrawals!A110="","",Agent05_Withdrawals!H110)</f>
        <v/>
      </c>
      <c r="J905" s="37" t="str">
        <f>IF(Agent05_Withdrawals!A110="","",Agent05_Withdrawals!J110)</f>
        <v/>
      </c>
      <c r="K905" s="37" t="str">
        <f>IF(Agent05_Withdrawals!A110="","",Agent05_Withdrawals!K110)</f>
        <v/>
      </c>
      <c r="L905" s="37" t="str">
        <f>IF(G905="","",IF(D905-G905&gt;=System_Config!$B$9,"✅ OK","⚠️ BREACH"))</f>
        <v/>
      </c>
      <c r="M905" s="37" t="str">
        <f>IFERROR(IF(Agent05_Withdrawals!A110="","",YEAR(Agent05_Withdrawals!D110)),"")</f>
        <v/>
      </c>
    </row>
    <row r="906" spans="1:13" ht="18" customHeight="1" x14ac:dyDescent="0.25">
      <c r="A906" s="37" t="str">
        <f>IF(Agent05_Withdrawals!A111="","",Agent05_Withdrawals!A111)</f>
        <v/>
      </c>
      <c r="B906" s="37" t="str">
        <f ca="1">IF(Agent05_Withdrawals!A111="","","WD"&amp;TEXT(906-3,"0000")&amp;"-"&amp;TEXT(TODAY(),"YYYYMMDD"))</f>
        <v/>
      </c>
      <c r="C906" s="37" t="str">
        <f>IF(Agent05_Withdrawals!A111="","",Agent05_Withdrawals!B111)</f>
        <v/>
      </c>
      <c r="D906" s="40" t="str">
        <f>IF(Agent05_Withdrawals!A111="","",Agent05_Withdrawals!C111)</f>
        <v/>
      </c>
      <c r="E906" s="38" t="str">
        <f>IF(Agent05_Withdrawals!A111="","",Agent05_Withdrawals!D111)</f>
        <v/>
      </c>
      <c r="F906" s="37" t="str">
        <f>IF(Agent05_Withdrawals!A111="","",Agent05_Withdrawals!F111)</f>
        <v/>
      </c>
      <c r="G906" s="39" t="str">
        <f>IF(Agent05_Withdrawals!A111="","",Agent05_Withdrawals!E111)</f>
        <v/>
      </c>
      <c r="H906" s="39" t="str">
        <f>IF(Agent05_Withdrawals!A111="","",Agent05_Withdrawals!G111)</f>
        <v/>
      </c>
      <c r="I906" s="37" t="str">
        <f>IF(Agent05_Withdrawals!A111="","",Agent05_Withdrawals!H111)</f>
        <v/>
      </c>
      <c r="J906" s="37" t="str">
        <f>IF(Agent05_Withdrawals!A111="","",Agent05_Withdrawals!J111)</f>
        <v/>
      </c>
      <c r="K906" s="37" t="str">
        <f>IF(Agent05_Withdrawals!A111="","",Agent05_Withdrawals!K111)</f>
        <v/>
      </c>
      <c r="L906" s="37" t="str">
        <f>IF(G906="","",IF(D906-G906&gt;=System_Config!$B$9,"✅ OK","⚠️ BREACH"))</f>
        <v/>
      </c>
      <c r="M906" s="37" t="str">
        <f>IFERROR(IF(Agent05_Withdrawals!A111="","",YEAR(Agent05_Withdrawals!D111)),"")</f>
        <v/>
      </c>
    </row>
    <row r="907" spans="1:13" ht="18" customHeight="1" x14ac:dyDescent="0.25">
      <c r="A907" s="37" t="str">
        <f>IF(Agent05_Withdrawals!A112="","",Agent05_Withdrawals!A112)</f>
        <v/>
      </c>
      <c r="B907" s="37" t="str">
        <f ca="1">IF(Agent05_Withdrawals!A112="","","WD"&amp;TEXT(907-3,"0000")&amp;"-"&amp;TEXT(TODAY(),"YYYYMMDD"))</f>
        <v/>
      </c>
      <c r="C907" s="37" t="str">
        <f>IF(Agent05_Withdrawals!A112="","",Agent05_Withdrawals!B112)</f>
        <v/>
      </c>
      <c r="D907" s="40" t="str">
        <f>IF(Agent05_Withdrawals!A112="","",Agent05_Withdrawals!C112)</f>
        <v/>
      </c>
      <c r="E907" s="38" t="str">
        <f>IF(Agent05_Withdrawals!A112="","",Agent05_Withdrawals!D112)</f>
        <v/>
      </c>
      <c r="F907" s="37" t="str">
        <f>IF(Agent05_Withdrawals!A112="","",Agent05_Withdrawals!F112)</f>
        <v/>
      </c>
      <c r="G907" s="39" t="str">
        <f>IF(Agent05_Withdrawals!A112="","",Agent05_Withdrawals!E112)</f>
        <v/>
      </c>
      <c r="H907" s="39" t="str">
        <f>IF(Agent05_Withdrawals!A112="","",Agent05_Withdrawals!G112)</f>
        <v/>
      </c>
      <c r="I907" s="37" t="str">
        <f>IF(Agent05_Withdrawals!A112="","",Agent05_Withdrawals!H112)</f>
        <v/>
      </c>
      <c r="J907" s="37" t="str">
        <f>IF(Agent05_Withdrawals!A112="","",Agent05_Withdrawals!J112)</f>
        <v/>
      </c>
      <c r="K907" s="37" t="str">
        <f>IF(Agent05_Withdrawals!A112="","",Agent05_Withdrawals!K112)</f>
        <v/>
      </c>
      <c r="L907" s="37" t="str">
        <f>IF(G907="","",IF(D907-G907&gt;=System_Config!$B$9,"✅ OK","⚠️ BREACH"))</f>
        <v/>
      </c>
      <c r="M907" s="37" t="str">
        <f>IFERROR(IF(Agent05_Withdrawals!A112="","",YEAR(Agent05_Withdrawals!D112)),"")</f>
        <v/>
      </c>
    </row>
    <row r="908" spans="1:13" ht="18" customHeight="1" x14ac:dyDescent="0.25">
      <c r="A908" s="37" t="str">
        <f>IF(Agent05_Withdrawals!A113="","",Agent05_Withdrawals!A113)</f>
        <v/>
      </c>
      <c r="B908" s="37" t="str">
        <f ca="1">IF(Agent05_Withdrawals!A113="","","WD"&amp;TEXT(908-3,"0000")&amp;"-"&amp;TEXT(TODAY(),"YYYYMMDD"))</f>
        <v/>
      </c>
      <c r="C908" s="37" t="str">
        <f>IF(Agent05_Withdrawals!A113="","",Agent05_Withdrawals!B113)</f>
        <v/>
      </c>
      <c r="D908" s="40" t="str">
        <f>IF(Agent05_Withdrawals!A113="","",Agent05_Withdrawals!C113)</f>
        <v/>
      </c>
      <c r="E908" s="38" t="str">
        <f>IF(Agent05_Withdrawals!A113="","",Agent05_Withdrawals!D113)</f>
        <v/>
      </c>
      <c r="F908" s="37" t="str">
        <f>IF(Agent05_Withdrawals!A113="","",Agent05_Withdrawals!F113)</f>
        <v/>
      </c>
      <c r="G908" s="39" t="str">
        <f>IF(Agent05_Withdrawals!A113="","",Agent05_Withdrawals!E113)</f>
        <v/>
      </c>
      <c r="H908" s="39" t="str">
        <f>IF(Agent05_Withdrawals!A113="","",Agent05_Withdrawals!G113)</f>
        <v/>
      </c>
      <c r="I908" s="37" t="str">
        <f>IF(Agent05_Withdrawals!A113="","",Agent05_Withdrawals!H113)</f>
        <v/>
      </c>
      <c r="J908" s="37" t="str">
        <f>IF(Agent05_Withdrawals!A113="","",Agent05_Withdrawals!J113)</f>
        <v/>
      </c>
      <c r="K908" s="37" t="str">
        <f>IF(Agent05_Withdrawals!A113="","",Agent05_Withdrawals!K113)</f>
        <v/>
      </c>
      <c r="L908" s="37" t="str">
        <f>IF(G908="","",IF(D908-G908&gt;=System_Config!$B$9,"✅ OK","⚠️ BREACH"))</f>
        <v/>
      </c>
      <c r="M908" s="37" t="str">
        <f>IFERROR(IF(Agent05_Withdrawals!A113="","",YEAR(Agent05_Withdrawals!D113)),"")</f>
        <v/>
      </c>
    </row>
    <row r="909" spans="1:13" ht="18" customHeight="1" x14ac:dyDescent="0.25">
      <c r="A909" s="37" t="str">
        <f>IF(Agent05_Withdrawals!A114="","",Agent05_Withdrawals!A114)</f>
        <v/>
      </c>
      <c r="B909" s="37" t="str">
        <f ca="1">IF(Agent05_Withdrawals!A114="","","WD"&amp;TEXT(909-3,"0000")&amp;"-"&amp;TEXT(TODAY(),"YYYYMMDD"))</f>
        <v/>
      </c>
      <c r="C909" s="37" t="str">
        <f>IF(Agent05_Withdrawals!A114="","",Agent05_Withdrawals!B114)</f>
        <v/>
      </c>
      <c r="D909" s="40" t="str">
        <f>IF(Agent05_Withdrawals!A114="","",Agent05_Withdrawals!C114)</f>
        <v/>
      </c>
      <c r="E909" s="38" t="str">
        <f>IF(Agent05_Withdrawals!A114="","",Agent05_Withdrawals!D114)</f>
        <v/>
      </c>
      <c r="F909" s="37" t="str">
        <f>IF(Agent05_Withdrawals!A114="","",Agent05_Withdrawals!F114)</f>
        <v/>
      </c>
      <c r="G909" s="39" t="str">
        <f>IF(Agent05_Withdrawals!A114="","",Agent05_Withdrawals!E114)</f>
        <v/>
      </c>
      <c r="H909" s="39" t="str">
        <f>IF(Agent05_Withdrawals!A114="","",Agent05_Withdrawals!G114)</f>
        <v/>
      </c>
      <c r="I909" s="37" t="str">
        <f>IF(Agent05_Withdrawals!A114="","",Agent05_Withdrawals!H114)</f>
        <v/>
      </c>
      <c r="J909" s="37" t="str">
        <f>IF(Agent05_Withdrawals!A114="","",Agent05_Withdrawals!J114)</f>
        <v/>
      </c>
      <c r="K909" s="37" t="str">
        <f>IF(Agent05_Withdrawals!A114="","",Agent05_Withdrawals!K114)</f>
        <v/>
      </c>
      <c r="L909" s="37" t="str">
        <f>IF(G909="","",IF(D909-G909&gt;=System_Config!$B$9,"✅ OK","⚠️ BREACH"))</f>
        <v/>
      </c>
      <c r="M909" s="37" t="str">
        <f>IFERROR(IF(Agent05_Withdrawals!A114="","",YEAR(Agent05_Withdrawals!D114)),"")</f>
        <v/>
      </c>
    </row>
    <row r="910" spans="1:13" ht="18" customHeight="1" x14ac:dyDescent="0.25">
      <c r="A910" s="37" t="str">
        <f>IF(Agent05_Withdrawals!A115="","",Agent05_Withdrawals!A115)</f>
        <v/>
      </c>
      <c r="B910" s="37" t="str">
        <f ca="1">IF(Agent05_Withdrawals!A115="","","WD"&amp;TEXT(910-3,"0000")&amp;"-"&amp;TEXT(TODAY(),"YYYYMMDD"))</f>
        <v/>
      </c>
      <c r="C910" s="37" t="str">
        <f>IF(Agent05_Withdrawals!A115="","",Agent05_Withdrawals!B115)</f>
        <v/>
      </c>
      <c r="D910" s="40" t="str">
        <f>IF(Agent05_Withdrawals!A115="","",Agent05_Withdrawals!C115)</f>
        <v/>
      </c>
      <c r="E910" s="38" t="str">
        <f>IF(Agent05_Withdrawals!A115="","",Agent05_Withdrawals!D115)</f>
        <v/>
      </c>
      <c r="F910" s="37" t="str">
        <f>IF(Agent05_Withdrawals!A115="","",Agent05_Withdrawals!F115)</f>
        <v/>
      </c>
      <c r="G910" s="39" t="str">
        <f>IF(Agent05_Withdrawals!A115="","",Agent05_Withdrawals!E115)</f>
        <v/>
      </c>
      <c r="H910" s="39" t="str">
        <f>IF(Agent05_Withdrawals!A115="","",Agent05_Withdrawals!G115)</f>
        <v/>
      </c>
      <c r="I910" s="37" t="str">
        <f>IF(Agent05_Withdrawals!A115="","",Agent05_Withdrawals!H115)</f>
        <v/>
      </c>
      <c r="J910" s="37" t="str">
        <f>IF(Agent05_Withdrawals!A115="","",Agent05_Withdrawals!J115)</f>
        <v/>
      </c>
      <c r="K910" s="37" t="str">
        <f>IF(Agent05_Withdrawals!A115="","",Agent05_Withdrawals!K115)</f>
        <v/>
      </c>
      <c r="L910" s="37" t="str">
        <f>IF(G910="","",IF(D910-G910&gt;=System_Config!$B$9,"✅ OK","⚠️ BREACH"))</f>
        <v/>
      </c>
      <c r="M910" s="37" t="str">
        <f>IFERROR(IF(Agent05_Withdrawals!A115="","",YEAR(Agent05_Withdrawals!D115)),"")</f>
        <v/>
      </c>
    </row>
    <row r="911" spans="1:13" ht="18" customHeight="1" x14ac:dyDescent="0.25">
      <c r="A911" s="37" t="str">
        <f>IF(Agent05_Withdrawals!A116="","",Agent05_Withdrawals!A116)</f>
        <v/>
      </c>
      <c r="B911" s="37" t="str">
        <f ca="1">IF(Agent05_Withdrawals!A116="","","WD"&amp;TEXT(911-3,"0000")&amp;"-"&amp;TEXT(TODAY(),"YYYYMMDD"))</f>
        <v/>
      </c>
      <c r="C911" s="37" t="str">
        <f>IF(Agent05_Withdrawals!A116="","",Agent05_Withdrawals!B116)</f>
        <v/>
      </c>
      <c r="D911" s="40" t="str">
        <f>IF(Agent05_Withdrawals!A116="","",Agent05_Withdrawals!C116)</f>
        <v/>
      </c>
      <c r="E911" s="38" t="str">
        <f>IF(Agent05_Withdrawals!A116="","",Agent05_Withdrawals!D116)</f>
        <v/>
      </c>
      <c r="F911" s="37" t="str">
        <f>IF(Agent05_Withdrawals!A116="","",Agent05_Withdrawals!F116)</f>
        <v/>
      </c>
      <c r="G911" s="39" t="str">
        <f>IF(Agent05_Withdrawals!A116="","",Agent05_Withdrawals!E116)</f>
        <v/>
      </c>
      <c r="H911" s="39" t="str">
        <f>IF(Agent05_Withdrawals!A116="","",Agent05_Withdrawals!G116)</f>
        <v/>
      </c>
      <c r="I911" s="37" t="str">
        <f>IF(Agent05_Withdrawals!A116="","",Agent05_Withdrawals!H116)</f>
        <v/>
      </c>
      <c r="J911" s="37" t="str">
        <f>IF(Agent05_Withdrawals!A116="","",Agent05_Withdrawals!J116)</f>
        <v/>
      </c>
      <c r="K911" s="37" t="str">
        <f>IF(Agent05_Withdrawals!A116="","",Agent05_Withdrawals!K116)</f>
        <v/>
      </c>
      <c r="L911" s="37" t="str">
        <f>IF(G911="","",IF(D911-G911&gt;=System_Config!$B$9,"✅ OK","⚠️ BREACH"))</f>
        <v/>
      </c>
      <c r="M911" s="37" t="str">
        <f>IFERROR(IF(Agent05_Withdrawals!A116="","",YEAR(Agent05_Withdrawals!D116)),"")</f>
        <v/>
      </c>
    </row>
    <row r="912" spans="1:13" ht="18" customHeight="1" x14ac:dyDescent="0.25">
      <c r="A912" s="37" t="str">
        <f>IF(Agent05_Withdrawals!A117="","",Agent05_Withdrawals!A117)</f>
        <v/>
      </c>
      <c r="B912" s="37" t="str">
        <f ca="1">IF(Agent05_Withdrawals!A117="","","WD"&amp;TEXT(912-3,"0000")&amp;"-"&amp;TEXT(TODAY(),"YYYYMMDD"))</f>
        <v/>
      </c>
      <c r="C912" s="37" t="str">
        <f>IF(Agent05_Withdrawals!A117="","",Agent05_Withdrawals!B117)</f>
        <v/>
      </c>
      <c r="D912" s="40" t="str">
        <f>IF(Agent05_Withdrawals!A117="","",Agent05_Withdrawals!C117)</f>
        <v/>
      </c>
      <c r="E912" s="38" t="str">
        <f>IF(Agent05_Withdrawals!A117="","",Agent05_Withdrawals!D117)</f>
        <v/>
      </c>
      <c r="F912" s="37" t="str">
        <f>IF(Agent05_Withdrawals!A117="","",Agent05_Withdrawals!F117)</f>
        <v/>
      </c>
      <c r="G912" s="39" t="str">
        <f>IF(Agent05_Withdrawals!A117="","",Agent05_Withdrawals!E117)</f>
        <v/>
      </c>
      <c r="H912" s="39" t="str">
        <f>IF(Agent05_Withdrawals!A117="","",Agent05_Withdrawals!G117)</f>
        <v/>
      </c>
      <c r="I912" s="37" t="str">
        <f>IF(Agent05_Withdrawals!A117="","",Agent05_Withdrawals!H117)</f>
        <v/>
      </c>
      <c r="J912" s="37" t="str">
        <f>IF(Agent05_Withdrawals!A117="","",Agent05_Withdrawals!J117)</f>
        <v/>
      </c>
      <c r="K912" s="37" t="str">
        <f>IF(Agent05_Withdrawals!A117="","",Agent05_Withdrawals!K117)</f>
        <v/>
      </c>
      <c r="L912" s="37" t="str">
        <f>IF(G912="","",IF(D912-G912&gt;=System_Config!$B$9,"✅ OK","⚠️ BREACH"))</f>
        <v/>
      </c>
      <c r="M912" s="37" t="str">
        <f>IFERROR(IF(Agent05_Withdrawals!A117="","",YEAR(Agent05_Withdrawals!D117)),"")</f>
        <v/>
      </c>
    </row>
    <row r="913" spans="1:13" ht="18" customHeight="1" x14ac:dyDescent="0.25">
      <c r="A913" s="37" t="str">
        <f>IF(Agent05_Withdrawals!A118="","",Agent05_Withdrawals!A118)</f>
        <v/>
      </c>
      <c r="B913" s="37" t="str">
        <f ca="1">IF(Agent05_Withdrawals!A118="","","WD"&amp;TEXT(913-3,"0000")&amp;"-"&amp;TEXT(TODAY(),"YYYYMMDD"))</f>
        <v/>
      </c>
      <c r="C913" s="37" t="str">
        <f>IF(Agent05_Withdrawals!A118="","",Agent05_Withdrawals!B118)</f>
        <v/>
      </c>
      <c r="D913" s="40" t="str">
        <f>IF(Agent05_Withdrawals!A118="","",Agent05_Withdrawals!C118)</f>
        <v/>
      </c>
      <c r="E913" s="38" t="str">
        <f>IF(Agent05_Withdrawals!A118="","",Agent05_Withdrawals!D118)</f>
        <v/>
      </c>
      <c r="F913" s="37" t="str">
        <f>IF(Agent05_Withdrawals!A118="","",Agent05_Withdrawals!F118)</f>
        <v/>
      </c>
      <c r="G913" s="39" t="str">
        <f>IF(Agent05_Withdrawals!A118="","",Agent05_Withdrawals!E118)</f>
        <v/>
      </c>
      <c r="H913" s="39" t="str">
        <f>IF(Agent05_Withdrawals!A118="","",Agent05_Withdrawals!G118)</f>
        <v/>
      </c>
      <c r="I913" s="37" t="str">
        <f>IF(Agent05_Withdrawals!A118="","",Agent05_Withdrawals!H118)</f>
        <v/>
      </c>
      <c r="J913" s="37" t="str">
        <f>IF(Agent05_Withdrawals!A118="","",Agent05_Withdrawals!J118)</f>
        <v/>
      </c>
      <c r="K913" s="37" t="str">
        <f>IF(Agent05_Withdrawals!A118="","",Agent05_Withdrawals!K118)</f>
        <v/>
      </c>
      <c r="L913" s="37" t="str">
        <f>IF(G913="","",IF(D913-G913&gt;=System_Config!$B$9,"✅ OK","⚠️ BREACH"))</f>
        <v/>
      </c>
      <c r="M913" s="37" t="str">
        <f>IFERROR(IF(Agent05_Withdrawals!A118="","",YEAR(Agent05_Withdrawals!D118)),"")</f>
        <v/>
      </c>
    </row>
    <row r="914" spans="1:13" ht="18" customHeight="1" x14ac:dyDescent="0.25">
      <c r="A914" s="37" t="str">
        <f>IF(Agent05_Withdrawals!A119="","",Agent05_Withdrawals!A119)</f>
        <v/>
      </c>
      <c r="B914" s="37" t="str">
        <f ca="1">IF(Agent05_Withdrawals!A119="","","WD"&amp;TEXT(914-3,"0000")&amp;"-"&amp;TEXT(TODAY(),"YYYYMMDD"))</f>
        <v/>
      </c>
      <c r="C914" s="37" t="str">
        <f>IF(Agent05_Withdrawals!A119="","",Agent05_Withdrawals!B119)</f>
        <v/>
      </c>
      <c r="D914" s="40" t="str">
        <f>IF(Agent05_Withdrawals!A119="","",Agent05_Withdrawals!C119)</f>
        <v/>
      </c>
      <c r="E914" s="38" t="str">
        <f>IF(Agent05_Withdrawals!A119="","",Agent05_Withdrawals!D119)</f>
        <v/>
      </c>
      <c r="F914" s="37" t="str">
        <f>IF(Agent05_Withdrawals!A119="","",Agent05_Withdrawals!F119)</f>
        <v/>
      </c>
      <c r="G914" s="39" t="str">
        <f>IF(Agent05_Withdrawals!A119="","",Agent05_Withdrawals!E119)</f>
        <v/>
      </c>
      <c r="H914" s="39" t="str">
        <f>IF(Agent05_Withdrawals!A119="","",Agent05_Withdrawals!G119)</f>
        <v/>
      </c>
      <c r="I914" s="37" t="str">
        <f>IF(Agent05_Withdrawals!A119="","",Agent05_Withdrawals!H119)</f>
        <v/>
      </c>
      <c r="J914" s="37" t="str">
        <f>IF(Agent05_Withdrawals!A119="","",Agent05_Withdrawals!J119)</f>
        <v/>
      </c>
      <c r="K914" s="37" t="str">
        <f>IF(Agent05_Withdrawals!A119="","",Agent05_Withdrawals!K119)</f>
        <v/>
      </c>
      <c r="L914" s="37" t="str">
        <f>IF(G914="","",IF(D914-G914&gt;=System_Config!$B$9,"✅ OK","⚠️ BREACH"))</f>
        <v/>
      </c>
      <c r="M914" s="37" t="str">
        <f>IFERROR(IF(Agent05_Withdrawals!A119="","",YEAR(Agent05_Withdrawals!D119)),"")</f>
        <v/>
      </c>
    </row>
    <row r="915" spans="1:13" ht="18" customHeight="1" x14ac:dyDescent="0.25">
      <c r="A915" s="37" t="str">
        <f>IF(Agent05_Withdrawals!A120="","",Agent05_Withdrawals!A120)</f>
        <v/>
      </c>
      <c r="B915" s="37" t="str">
        <f ca="1">IF(Agent05_Withdrawals!A120="","","WD"&amp;TEXT(915-3,"0000")&amp;"-"&amp;TEXT(TODAY(),"YYYYMMDD"))</f>
        <v/>
      </c>
      <c r="C915" s="37" t="str">
        <f>IF(Agent05_Withdrawals!A120="","",Agent05_Withdrawals!B120)</f>
        <v/>
      </c>
      <c r="D915" s="40" t="str">
        <f>IF(Agent05_Withdrawals!A120="","",Agent05_Withdrawals!C120)</f>
        <v/>
      </c>
      <c r="E915" s="38" t="str">
        <f>IF(Agent05_Withdrawals!A120="","",Agent05_Withdrawals!D120)</f>
        <v/>
      </c>
      <c r="F915" s="37" t="str">
        <f>IF(Agent05_Withdrawals!A120="","",Agent05_Withdrawals!F120)</f>
        <v/>
      </c>
      <c r="G915" s="39" t="str">
        <f>IF(Agent05_Withdrawals!A120="","",Agent05_Withdrawals!E120)</f>
        <v/>
      </c>
      <c r="H915" s="39" t="str">
        <f>IF(Agent05_Withdrawals!A120="","",Agent05_Withdrawals!G120)</f>
        <v/>
      </c>
      <c r="I915" s="37" t="str">
        <f>IF(Agent05_Withdrawals!A120="","",Agent05_Withdrawals!H120)</f>
        <v/>
      </c>
      <c r="J915" s="37" t="str">
        <f>IF(Agent05_Withdrawals!A120="","",Agent05_Withdrawals!J120)</f>
        <v/>
      </c>
      <c r="K915" s="37" t="str">
        <f>IF(Agent05_Withdrawals!A120="","",Agent05_Withdrawals!K120)</f>
        <v/>
      </c>
      <c r="L915" s="37" t="str">
        <f>IF(G915="","",IF(D915-G915&gt;=System_Config!$B$9,"✅ OK","⚠️ BREACH"))</f>
        <v/>
      </c>
      <c r="M915" s="37" t="str">
        <f>IFERROR(IF(Agent05_Withdrawals!A120="","",YEAR(Agent05_Withdrawals!D120)),"")</f>
        <v/>
      </c>
    </row>
    <row r="916" spans="1:13" ht="18" customHeight="1" x14ac:dyDescent="0.25">
      <c r="A916" s="37" t="str">
        <f>IF(Agent05_Withdrawals!A121="","",Agent05_Withdrawals!A121)</f>
        <v/>
      </c>
      <c r="B916" s="37" t="str">
        <f ca="1">IF(Agent05_Withdrawals!A121="","","WD"&amp;TEXT(916-3,"0000")&amp;"-"&amp;TEXT(TODAY(),"YYYYMMDD"))</f>
        <v/>
      </c>
      <c r="C916" s="37" t="str">
        <f>IF(Agent05_Withdrawals!A121="","",Agent05_Withdrawals!B121)</f>
        <v/>
      </c>
      <c r="D916" s="40" t="str">
        <f>IF(Agent05_Withdrawals!A121="","",Agent05_Withdrawals!C121)</f>
        <v/>
      </c>
      <c r="E916" s="38" t="str">
        <f>IF(Agent05_Withdrawals!A121="","",Agent05_Withdrawals!D121)</f>
        <v/>
      </c>
      <c r="F916" s="37" t="str">
        <f>IF(Agent05_Withdrawals!A121="","",Agent05_Withdrawals!F121)</f>
        <v/>
      </c>
      <c r="G916" s="39" t="str">
        <f>IF(Agent05_Withdrawals!A121="","",Agent05_Withdrawals!E121)</f>
        <v/>
      </c>
      <c r="H916" s="39" t="str">
        <f>IF(Agent05_Withdrawals!A121="","",Agent05_Withdrawals!G121)</f>
        <v/>
      </c>
      <c r="I916" s="37" t="str">
        <f>IF(Agent05_Withdrawals!A121="","",Agent05_Withdrawals!H121)</f>
        <v/>
      </c>
      <c r="J916" s="37" t="str">
        <f>IF(Agent05_Withdrawals!A121="","",Agent05_Withdrawals!J121)</f>
        <v/>
      </c>
      <c r="K916" s="37" t="str">
        <f>IF(Agent05_Withdrawals!A121="","",Agent05_Withdrawals!K121)</f>
        <v/>
      </c>
      <c r="L916" s="37" t="str">
        <f>IF(G916="","",IF(D916-G916&gt;=System_Config!$B$9,"✅ OK","⚠️ BREACH"))</f>
        <v/>
      </c>
      <c r="M916" s="37" t="str">
        <f>IFERROR(IF(Agent05_Withdrawals!A121="","",YEAR(Agent05_Withdrawals!D121)),"")</f>
        <v/>
      </c>
    </row>
    <row r="917" spans="1:13" ht="18" customHeight="1" x14ac:dyDescent="0.25">
      <c r="A917" s="37" t="str">
        <f>IF(Agent05_Withdrawals!A122="","",Agent05_Withdrawals!A122)</f>
        <v/>
      </c>
      <c r="B917" s="37" t="str">
        <f ca="1">IF(Agent05_Withdrawals!A122="","","WD"&amp;TEXT(917-3,"0000")&amp;"-"&amp;TEXT(TODAY(),"YYYYMMDD"))</f>
        <v/>
      </c>
      <c r="C917" s="37" t="str">
        <f>IF(Agent05_Withdrawals!A122="","",Agent05_Withdrawals!B122)</f>
        <v/>
      </c>
      <c r="D917" s="40" t="str">
        <f>IF(Agent05_Withdrawals!A122="","",Agent05_Withdrawals!C122)</f>
        <v/>
      </c>
      <c r="E917" s="38" t="str">
        <f>IF(Agent05_Withdrawals!A122="","",Agent05_Withdrawals!D122)</f>
        <v/>
      </c>
      <c r="F917" s="37" t="str">
        <f>IF(Agent05_Withdrawals!A122="","",Agent05_Withdrawals!F122)</f>
        <v/>
      </c>
      <c r="G917" s="39" t="str">
        <f>IF(Agent05_Withdrawals!A122="","",Agent05_Withdrawals!E122)</f>
        <v/>
      </c>
      <c r="H917" s="39" t="str">
        <f>IF(Agent05_Withdrawals!A122="","",Agent05_Withdrawals!G122)</f>
        <v/>
      </c>
      <c r="I917" s="37" t="str">
        <f>IF(Agent05_Withdrawals!A122="","",Agent05_Withdrawals!H122)</f>
        <v/>
      </c>
      <c r="J917" s="37" t="str">
        <f>IF(Agent05_Withdrawals!A122="","",Agent05_Withdrawals!J122)</f>
        <v/>
      </c>
      <c r="K917" s="37" t="str">
        <f>IF(Agent05_Withdrawals!A122="","",Agent05_Withdrawals!K122)</f>
        <v/>
      </c>
      <c r="L917" s="37" t="str">
        <f>IF(G917="","",IF(D917-G917&gt;=System_Config!$B$9,"✅ OK","⚠️ BREACH"))</f>
        <v/>
      </c>
      <c r="M917" s="37" t="str">
        <f>IFERROR(IF(Agent05_Withdrawals!A122="","",YEAR(Agent05_Withdrawals!D122)),"")</f>
        <v/>
      </c>
    </row>
    <row r="918" spans="1:13" ht="18" customHeight="1" x14ac:dyDescent="0.25">
      <c r="A918" s="37" t="str">
        <f>IF(Agent05_Withdrawals!A123="","",Agent05_Withdrawals!A123)</f>
        <v/>
      </c>
      <c r="B918" s="37" t="str">
        <f ca="1">IF(Agent05_Withdrawals!A123="","","WD"&amp;TEXT(918-3,"0000")&amp;"-"&amp;TEXT(TODAY(),"YYYYMMDD"))</f>
        <v/>
      </c>
      <c r="C918" s="37" t="str">
        <f>IF(Agent05_Withdrawals!A123="","",Agent05_Withdrawals!B123)</f>
        <v/>
      </c>
      <c r="D918" s="40" t="str">
        <f>IF(Agent05_Withdrawals!A123="","",Agent05_Withdrawals!C123)</f>
        <v/>
      </c>
      <c r="E918" s="38" t="str">
        <f>IF(Agent05_Withdrawals!A123="","",Agent05_Withdrawals!D123)</f>
        <v/>
      </c>
      <c r="F918" s="37" t="str">
        <f>IF(Agent05_Withdrawals!A123="","",Agent05_Withdrawals!F123)</f>
        <v/>
      </c>
      <c r="G918" s="39" t="str">
        <f>IF(Agent05_Withdrawals!A123="","",Agent05_Withdrawals!E123)</f>
        <v/>
      </c>
      <c r="H918" s="39" t="str">
        <f>IF(Agent05_Withdrawals!A123="","",Agent05_Withdrawals!G123)</f>
        <v/>
      </c>
      <c r="I918" s="37" t="str">
        <f>IF(Agent05_Withdrawals!A123="","",Agent05_Withdrawals!H123)</f>
        <v/>
      </c>
      <c r="J918" s="37" t="str">
        <f>IF(Agent05_Withdrawals!A123="","",Agent05_Withdrawals!J123)</f>
        <v/>
      </c>
      <c r="K918" s="37" t="str">
        <f>IF(Agent05_Withdrawals!A123="","",Agent05_Withdrawals!K123)</f>
        <v/>
      </c>
      <c r="L918" s="37" t="str">
        <f>IF(G918="","",IF(D918-G918&gt;=System_Config!$B$9,"✅ OK","⚠️ BREACH"))</f>
        <v/>
      </c>
      <c r="M918" s="37" t="str">
        <f>IFERROR(IF(Agent05_Withdrawals!A123="","",YEAR(Agent05_Withdrawals!D123)),"")</f>
        <v/>
      </c>
    </row>
    <row r="919" spans="1:13" ht="18" customHeight="1" x14ac:dyDescent="0.25">
      <c r="A919" s="37" t="str">
        <f>IF(Agent05_Withdrawals!A124="","",Agent05_Withdrawals!A124)</f>
        <v/>
      </c>
      <c r="B919" s="37" t="str">
        <f ca="1">IF(Agent05_Withdrawals!A124="","","WD"&amp;TEXT(919-3,"0000")&amp;"-"&amp;TEXT(TODAY(),"YYYYMMDD"))</f>
        <v/>
      </c>
      <c r="C919" s="37" t="str">
        <f>IF(Agent05_Withdrawals!A124="","",Agent05_Withdrawals!B124)</f>
        <v/>
      </c>
      <c r="D919" s="40" t="str">
        <f>IF(Agent05_Withdrawals!A124="","",Agent05_Withdrawals!C124)</f>
        <v/>
      </c>
      <c r="E919" s="38" t="str">
        <f>IF(Agent05_Withdrawals!A124="","",Agent05_Withdrawals!D124)</f>
        <v/>
      </c>
      <c r="F919" s="37" t="str">
        <f>IF(Agent05_Withdrawals!A124="","",Agent05_Withdrawals!F124)</f>
        <v/>
      </c>
      <c r="G919" s="39" t="str">
        <f>IF(Agent05_Withdrawals!A124="","",Agent05_Withdrawals!E124)</f>
        <v/>
      </c>
      <c r="H919" s="39" t="str">
        <f>IF(Agent05_Withdrawals!A124="","",Agent05_Withdrawals!G124)</f>
        <v/>
      </c>
      <c r="I919" s="37" t="str">
        <f>IF(Agent05_Withdrawals!A124="","",Agent05_Withdrawals!H124)</f>
        <v/>
      </c>
      <c r="J919" s="37" t="str">
        <f>IF(Agent05_Withdrawals!A124="","",Agent05_Withdrawals!J124)</f>
        <v/>
      </c>
      <c r="K919" s="37" t="str">
        <f>IF(Agent05_Withdrawals!A124="","",Agent05_Withdrawals!K124)</f>
        <v/>
      </c>
      <c r="L919" s="37" t="str">
        <f>IF(G919="","",IF(D919-G919&gt;=System_Config!$B$9,"✅ OK","⚠️ BREACH"))</f>
        <v/>
      </c>
      <c r="M919" s="37" t="str">
        <f>IFERROR(IF(Agent05_Withdrawals!A124="","",YEAR(Agent05_Withdrawals!D124)),"")</f>
        <v/>
      </c>
    </row>
    <row r="920" spans="1:13" ht="18" customHeight="1" x14ac:dyDescent="0.25">
      <c r="A920" s="37" t="str">
        <f>IF(Agent05_Withdrawals!A125="","",Agent05_Withdrawals!A125)</f>
        <v/>
      </c>
      <c r="B920" s="37" t="str">
        <f ca="1">IF(Agent05_Withdrawals!A125="","","WD"&amp;TEXT(920-3,"0000")&amp;"-"&amp;TEXT(TODAY(),"YYYYMMDD"))</f>
        <v/>
      </c>
      <c r="C920" s="37" t="str">
        <f>IF(Agent05_Withdrawals!A125="","",Agent05_Withdrawals!B125)</f>
        <v/>
      </c>
      <c r="D920" s="40" t="str">
        <f>IF(Agent05_Withdrawals!A125="","",Agent05_Withdrawals!C125)</f>
        <v/>
      </c>
      <c r="E920" s="38" t="str">
        <f>IF(Agent05_Withdrawals!A125="","",Agent05_Withdrawals!D125)</f>
        <v/>
      </c>
      <c r="F920" s="37" t="str">
        <f>IF(Agent05_Withdrawals!A125="","",Agent05_Withdrawals!F125)</f>
        <v/>
      </c>
      <c r="G920" s="39" t="str">
        <f>IF(Agent05_Withdrawals!A125="","",Agent05_Withdrawals!E125)</f>
        <v/>
      </c>
      <c r="H920" s="39" t="str">
        <f>IF(Agent05_Withdrawals!A125="","",Agent05_Withdrawals!G125)</f>
        <v/>
      </c>
      <c r="I920" s="37" t="str">
        <f>IF(Agent05_Withdrawals!A125="","",Agent05_Withdrawals!H125)</f>
        <v/>
      </c>
      <c r="J920" s="37" t="str">
        <f>IF(Agent05_Withdrawals!A125="","",Agent05_Withdrawals!J125)</f>
        <v/>
      </c>
      <c r="K920" s="37" t="str">
        <f>IF(Agent05_Withdrawals!A125="","",Agent05_Withdrawals!K125)</f>
        <v/>
      </c>
      <c r="L920" s="37" t="str">
        <f>IF(G920="","",IF(D920-G920&gt;=System_Config!$B$9,"✅ OK","⚠️ BREACH"))</f>
        <v/>
      </c>
      <c r="M920" s="37" t="str">
        <f>IFERROR(IF(Agent05_Withdrawals!A125="","",YEAR(Agent05_Withdrawals!D125)),"")</f>
        <v/>
      </c>
    </row>
    <row r="921" spans="1:13" ht="18" customHeight="1" x14ac:dyDescent="0.25">
      <c r="A921" s="37" t="str">
        <f>IF(Agent05_Withdrawals!A126="","",Agent05_Withdrawals!A126)</f>
        <v/>
      </c>
      <c r="B921" s="37" t="str">
        <f ca="1">IF(Agent05_Withdrawals!A126="","","WD"&amp;TEXT(921-3,"0000")&amp;"-"&amp;TEXT(TODAY(),"YYYYMMDD"))</f>
        <v/>
      </c>
      <c r="C921" s="37" t="str">
        <f>IF(Agent05_Withdrawals!A126="","",Agent05_Withdrawals!B126)</f>
        <v/>
      </c>
      <c r="D921" s="40" t="str">
        <f>IF(Agent05_Withdrawals!A126="","",Agent05_Withdrawals!C126)</f>
        <v/>
      </c>
      <c r="E921" s="38" t="str">
        <f>IF(Agent05_Withdrawals!A126="","",Agent05_Withdrawals!D126)</f>
        <v/>
      </c>
      <c r="F921" s="37" t="str">
        <f>IF(Agent05_Withdrawals!A126="","",Agent05_Withdrawals!F126)</f>
        <v/>
      </c>
      <c r="G921" s="39" t="str">
        <f>IF(Agent05_Withdrawals!A126="","",Agent05_Withdrawals!E126)</f>
        <v/>
      </c>
      <c r="H921" s="39" t="str">
        <f>IF(Agent05_Withdrawals!A126="","",Agent05_Withdrawals!G126)</f>
        <v/>
      </c>
      <c r="I921" s="37" t="str">
        <f>IF(Agent05_Withdrawals!A126="","",Agent05_Withdrawals!H126)</f>
        <v/>
      </c>
      <c r="J921" s="37" t="str">
        <f>IF(Agent05_Withdrawals!A126="","",Agent05_Withdrawals!J126)</f>
        <v/>
      </c>
      <c r="K921" s="37" t="str">
        <f>IF(Agent05_Withdrawals!A126="","",Agent05_Withdrawals!K126)</f>
        <v/>
      </c>
      <c r="L921" s="37" t="str">
        <f>IF(G921="","",IF(D921-G921&gt;=System_Config!$B$9,"✅ OK","⚠️ BREACH"))</f>
        <v/>
      </c>
      <c r="M921" s="37" t="str">
        <f>IFERROR(IF(Agent05_Withdrawals!A126="","",YEAR(Agent05_Withdrawals!D126)),"")</f>
        <v/>
      </c>
    </row>
    <row r="922" spans="1:13" ht="18" customHeight="1" x14ac:dyDescent="0.25">
      <c r="A922" s="37" t="str">
        <f>IF(Agent05_Withdrawals!A127="","",Agent05_Withdrawals!A127)</f>
        <v/>
      </c>
      <c r="B922" s="37" t="str">
        <f ca="1">IF(Agent05_Withdrawals!A127="","","WD"&amp;TEXT(922-3,"0000")&amp;"-"&amp;TEXT(TODAY(),"YYYYMMDD"))</f>
        <v/>
      </c>
      <c r="C922" s="37" t="str">
        <f>IF(Agent05_Withdrawals!A127="","",Agent05_Withdrawals!B127)</f>
        <v/>
      </c>
      <c r="D922" s="40" t="str">
        <f>IF(Agent05_Withdrawals!A127="","",Agent05_Withdrawals!C127)</f>
        <v/>
      </c>
      <c r="E922" s="38" t="str">
        <f>IF(Agent05_Withdrawals!A127="","",Agent05_Withdrawals!D127)</f>
        <v/>
      </c>
      <c r="F922" s="37" t="str">
        <f>IF(Agent05_Withdrawals!A127="","",Agent05_Withdrawals!F127)</f>
        <v/>
      </c>
      <c r="G922" s="39" t="str">
        <f>IF(Agent05_Withdrawals!A127="","",Agent05_Withdrawals!E127)</f>
        <v/>
      </c>
      <c r="H922" s="39" t="str">
        <f>IF(Agent05_Withdrawals!A127="","",Agent05_Withdrawals!G127)</f>
        <v/>
      </c>
      <c r="I922" s="37" t="str">
        <f>IF(Agent05_Withdrawals!A127="","",Agent05_Withdrawals!H127)</f>
        <v/>
      </c>
      <c r="J922" s="37" t="str">
        <f>IF(Agent05_Withdrawals!A127="","",Agent05_Withdrawals!J127)</f>
        <v/>
      </c>
      <c r="K922" s="37" t="str">
        <f>IF(Agent05_Withdrawals!A127="","",Agent05_Withdrawals!K127)</f>
        <v/>
      </c>
      <c r="L922" s="37" t="str">
        <f>IF(G922="","",IF(D922-G922&gt;=System_Config!$B$9,"✅ OK","⚠️ BREACH"))</f>
        <v/>
      </c>
      <c r="M922" s="37" t="str">
        <f>IFERROR(IF(Agent05_Withdrawals!A127="","",YEAR(Agent05_Withdrawals!D127)),"")</f>
        <v/>
      </c>
    </row>
    <row r="923" spans="1:13" ht="18" customHeight="1" x14ac:dyDescent="0.25">
      <c r="A923" s="37" t="str">
        <f>IF(Agent05_Withdrawals!A128="","",Agent05_Withdrawals!A128)</f>
        <v/>
      </c>
      <c r="B923" s="37" t="str">
        <f ca="1">IF(Agent05_Withdrawals!A128="","","WD"&amp;TEXT(923-3,"0000")&amp;"-"&amp;TEXT(TODAY(),"YYYYMMDD"))</f>
        <v/>
      </c>
      <c r="C923" s="37" t="str">
        <f>IF(Agent05_Withdrawals!A128="","",Agent05_Withdrawals!B128)</f>
        <v/>
      </c>
      <c r="D923" s="40" t="str">
        <f>IF(Agent05_Withdrawals!A128="","",Agent05_Withdrawals!C128)</f>
        <v/>
      </c>
      <c r="E923" s="38" t="str">
        <f>IF(Agent05_Withdrawals!A128="","",Agent05_Withdrawals!D128)</f>
        <v/>
      </c>
      <c r="F923" s="37" t="str">
        <f>IF(Agent05_Withdrawals!A128="","",Agent05_Withdrawals!F128)</f>
        <v/>
      </c>
      <c r="G923" s="39" t="str">
        <f>IF(Agent05_Withdrawals!A128="","",Agent05_Withdrawals!E128)</f>
        <v/>
      </c>
      <c r="H923" s="39" t="str">
        <f>IF(Agent05_Withdrawals!A128="","",Agent05_Withdrawals!G128)</f>
        <v/>
      </c>
      <c r="I923" s="37" t="str">
        <f>IF(Agent05_Withdrawals!A128="","",Agent05_Withdrawals!H128)</f>
        <v/>
      </c>
      <c r="J923" s="37" t="str">
        <f>IF(Agent05_Withdrawals!A128="","",Agent05_Withdrawals!J128)</f>
        <v/>
      </c>
      <c r="K923" s="37" t="str">
        <f>IF(Agent05_Withdrawals!A128="","",Agent05_Withdrawals!K128)</f>
        <v/>
      </c>
      <c r="L923" s="37" t="str">
        <f>IF(G923="","",IF(D923-G923&gt;=System_Config!$B$9,"✅ OK","⚠️ BREACH"))</f>
        <v/>
      </c>
      <c r="M923" s="37" t="str">
        <f>IFERROR(IF(Agent05_Withdrawals!A128="","",YEAR(Agent05_Withdrawals!D128)),"")</f>
        <v/>
      </c>
    </row>
    <row r="924" spans="1:13" ht="18" customHeight="1" x14ac:dyDescent="0.25">
      <c r="A924" s="37" t="str">
        <f>IF(Agent05_Withdrawals!A129="","",Agent05_Withdrawals!A129)</f>
        <v/>
      </c>
      <c r="B924" s="37" t="str">
        <f ca="1">IF(Agent05_Withdrawals!A129="","","WD"&amp;TEXT(924-3,"0000")&amp;"-"&amp;TEXT(TODAY(),"YYYYMMDD"))</f>
        <v/>
      </c>
      <c r="C924" s="37" t="str">
        <f>IF(Agent05_Withdrawals!A129="","",Agent05_Withdrawals!B129)</f>
        <v/>
      </c>
      <c r="D924" s="40" t="str">
        <f>IF(Agent05_Withdrawals!A129="","",Agent05_Withdrawals!C129)</f>
        <v/>
      </c>
      <c r="E924" s="38" t="str">
        <f>IF(Agent05_Withdrawals!A129="","",Agent05_Withdrawals!D129)</f>
        <v/>
      </c>
      <c r="F924" s="37" t="str">
        <f>IF(Agent05_Withdrawals!A129="","",Agent05_Withdrawals!F129)</f>
        <v/>
      </c>
      <c r="G924" s="39" t="str">
        <f>IF(Agent05_Withdrawals!A129="","",Agent05_Withdrawals!E129)</f>
        <v/>
      </c>
      <c r="H924" s="39" t="str">
        <f>IF(Agent05_Withdrawals!A129="","",Agent05_Withdrawals!G129)</f>
        <v/>
      </c>
      <c r="I924" s="37" t="str">
        <f>IF(Agent05_Withdrawals!A129="","",Agent05_Withdrawals!H129)</f>
        <v/>
      </c>
      <c r="J924" s="37" t="str">
        <f>IF(Agent05_Withdrawals!A129="","",Agent05_Withdrawals!J129)</f>
        <v/>
      </c>
      <c r="K924" s="37" t="str">
        <f>IF(Agent05_Withdrawals!A129="","",Agent05_Withdrawals!K129)</f>
        <v/>
      </c>
      <c r="L924" s="37" t="str">
        <f>IF(G924="","",IF(D924-G924&gt;=System_Config!$B$9,"✅ OK","⚠️ BREACH"))</f>
        <v/>
      </c>
      <c r="M924" s="37" t="str">
        <f>IFERROR(IF(Agent05_Withdrawals!A129="","",YEAR(Agent05_Withdrawals!D129)),"")</f>
        <v/>
      </c>
    </row>
    <row r="925" spans="1:13" ht="18" customHeight="1" x14ac:dyDescent="0.25">
      <c r="A925" s="37" t="str">
        <f>IF(Agent05_Withdrawals!A130="","",Agent05_Withdrawals!A130)</f>
        <v/>
      </c>
      <c r="B925" s="37" t="str">
        <f ca="1">IF(Agent05_Withdrawals!A130="","","WD"&amp;TEXT(925-3,"0000")&amp;"-"&amp;TEXT(TODAY(),"YYYYMMDD"))</f>
        <v/>
      </c>
      <c r="C925" s="37" t="str">
        <f>IF(Agent05_Withdrawals!A130="","",Agent05_Withdrawals!B130)</f>
        <v/>
      </c>
      <c r="D925" s="40" t="str">
        <f>IF(Agent05_Withdrawals!A130="","",Agent05_Withdrawals!C130)</f>
        <v/>
      </c>
      <c r="E925" s="38" t="str">
        <f>IF(Agent05_Withdrawals!A130="","",Agent05_Withdrawals!D130)</f>
        <v/>
      </c>
      <c r="F925" s="37" t="str">
        <f>IF(Agent05_Withdrawals!A130="","",Agent05_Withdrawals!F130)</f>
        <v/>
      </c>
      <c r="G925" s="39" t="str">
        <f>IF(Agent05_Withdrawals!A130="","",Agent05_Withdrawals!E130)</f>
        <v/>
      </c>
      <c r="H925" s="39" t="str">
        <f>IF(Agent05_Withdrawals!A130="","",Agent05_Withdrawals!G130)</f>
        <v/>
      </c>
      <c r="I925" s="37" t="str">
        <f>IF(Agent05_Withdrawals!A130="","",Agent05_Withdrawals!H130)</f>
        <v/>
      </c>
      <c r="J925" s="37" t="str">
        <f>IF(Agent05_Withdrawals!A130="","",Agent05_Withdrawals!J130)</f>
        <v/>
      </c>
      <c r="K925" s="37" t="str">
        <f>IF(Agent05_Withdrawals!A130="","",Agent05_Withdrawals!K130)</f>
        <v/>
      </c>
      <c r="L925" s="37" t="str">
        <f>IF(G925="","",IF(D925-G925&gt;=System_Config!$B$9,"✅ OK","⚠️ BREACH"))</f>
        <v/>
      </c>
      <c r="M925" s="37" t="str">
        <f>IFERROR(IF(Agent05_Withdrawals!A130="","",YEAR(Agent05_Withdrawals!D130)),"")</f>
        <v/>
      </c>
    </row>
    <row r="926" spans="1:13" ht="18" customHeight="1" x14ac:dyDescent="0.25">
      <c r="A926" s="37" t="str">
        <f>IF(Agent05_Withdrawals!A131="","",Agent05_Withdrawals!A131)</f>
        <v/>
      </c>
      <c r="B926" s="37" t="str">
        <f ca="1">IF(Agent05_Withdrawals!A131="","","WD"&amp;TEXT(926-3,"0000")&amp;"-"&amp;TEXT(TODAY(),"YYYYMMDD"))</f>
        <v/>
      </c>
      <c r="C926" s="37" t="str">
        <f>IF(Agent05_Withdrawals!A131="","",Agent05_Withdrawals!B131)</f>
        <v/>
      </c>
      <c r="D926" s="40" t="str">
        <f>IF(Agent05_Withdrawals!A131="","",Agent05_Withdrawals!C131)</f>
        <v/>
      </c>
      <c r="E926" s="38" t="str">
        <f>IF(Agent05_Withdrawals!A131="","",Agent05_Withdrawals!D131)</f>
        <v/>
      </c>
      <c r="F926" s="37" t="str">
        <f>IF(Agent05_Withdrawals!A131="","",Agent05_Withdrawals!F131)</f>
        <v/>
      </c>
      <c r="G926" s="39" t="str">
        <f>IF(Agent05_Withdrawals!A131="","",Agent05_Withdrawals!E131)</f>
        <v/>
      </c>
      <c r="H926" s="39" t="str">
        <f>IF(Agent05_Withdrawals!A131="","",Agent05_Withdrawals!G131)</f>
        <v/>
      </c>
      <c r="I926" s="37" t="str">
        <f>IF(Agent05_Withdrawals!A131="","",Agent05_Withdrawals!H131)</f>
        <v/>
      </c>
      <c r="J926" s="37" t="str">
        <f>IF(Agent05_Withdrawals!A131="","",Agent05_Withdrawals!J131)</f>
        <v/>
      </c>
      <c r="K926" s="37" t="str">
        <f>IF(Agent05_Withdrawals!A131="","",Agent05_Withdrawals!K131)</f>
        <v/>
      </c>
      <c r="L926" s="37" t="str">
        <f>IF(G926="","",IF(D926-G926&gt;=System_Config!$B$9,"✅ OK","⚠️ BREACH"))</f>
        <v/>
      </c>
      <c r="M926" s="37" t="str">
        <f>IFERROR(IF(Agent05_Withdrawals!A131="","",YEAR(Agent05_Withdrawals!D131)),"")</f>
        <v/>
      </c>
    </row>
    <row r="927" spans="1:13" ht="18" customHeight="1" x14ac:dyDescent="0.25">
      <c r="A927" s="37" t="str">
        <f>IF(Agent05_Withdrawals!A132="","",Agent05_Withdrawals!A132)</f>
        <v/>
      </c>
      <c r="B927" s="37" t="str">
        <f ca="1">IF(Agent05_Withdrawals!A132="","","WD"&amp;TEXT(927-3,"0000")&amp;"-"&amp;TEXT(TODAY(),"YYYYMMDD"))</f>
        <v/>
      </c>
      <c r="C927" s="37" t="str">
        <f>IF(Agent05_Withdrawals!A132="","",Agent05_Withdrawals!B132)</f>
        <v/>
      </c>
      <c r="D927" s="40" t="str">
        <f>IF(Agent05_Withdrawals!A132="","",Agent05_Withdrawals!C132)</f>
        <v/>
      </c>
      <c r="E927" s="38" t="str">
        <f>IF(Agent05_Withdrawals!A132="","",Agent05_Withdrawals!D132)</f>
        <v/>
      </c>
      <c r="F927" s="37" t="str">
        <f>IF(Agent05_Withdrawals!A132="","",Agent05_Withdrawals!F132)</f>
        <v/>
      </c>
      <c r="G927" s="39" t="str">
        <f>IF(Agent05_Withdrawals!A132="","",Agent05_Withdrawals!E132)</f>
        <v/>
      </c>
      <c r="H927" s="39" t="str">
        <f>IF(Agent05_Withdrawals!A132="","",Agent05_Withdrawals!G132)</f>
        <v/>
      </c>
      <c r="I927" s="37" t="str">
        <f>IF(Agent05_Withdrawals!A132="","",Agent05_Withdrawals!H132)</f>
        <v/>
      </c>
      <c r="J927" s="37" t="str">
        <f>IF(Agent05_Withdrawals!A132="","",Agent05_Withdrawals!J132)</f>
        <v/>
      </c>
      <c r="K927" s="37" t="str">
        <f>IF(Agent05_Withdrawals!A132="","",Agent05_Withdrawals!K132)</f>
        <v/>
      </c>
      <c r="L927" s="37" t="str">
        <f>IF(G927="","",IF(D927-G927&gt;=System_Config!$B$9,"✅ OK","⚠️ BREACH"))</f>
        <v/>
      </c>
      <c r="M927" s="37" t="str">
        <f>IFERROR(IF(Agent05_Withdrawals!A132="","",YEAR(Agent05_Withdrawals!D132)),"")</f>
        <v/>
      </c>
    </row>
    <row r="928" spans="1:13" ht="18" customHeight="1" x14ac:dyDescent="0.25">
      <c r="A928" s="37" t="str">
        <f>IF(Agent05_Withdrawals!A133="","",Agent05_Withdrawals!A133)</f>
        <v/>
      </c>
      <c r="B928" s="37" t="str">
        <f ca="1">IF(Agent05_Withdrawals!A133="","","WD"&amp;TEXT(928-3,"0000")&amp;"-"&amp;TEXT(TODAY(),"YYYYMMDD"))</f>
        <v/>
      </c>
      <c r="C928" s="37" t="str">
        <f>IF(Agent05_Withdrawals!A133="","",Agent05_Withdrawals!B133)</f>
        <v/>
      </c>
      <c r="D928" s="40" t="str">
        <f>IF(Agent05_Withdrawals!A133="","",Agent05_Withdrawals!C133)</f>
        <v/>
      </c>
      <c r="E928" s="38" t="str">
        <f>IF(Agent05_Withdrawals!A133="","",Agent05_Withdrawals!D133)</f>
        <v/>
      </c>
      <c r="F928" s="37" t="str">
        <f>IF(Agent05_Withdrawals!A133="","",Agent05_Withdrawals!F133)</f>
        <v/>
      </c>
      <c r="G928" s="39" t="str">
        <f>IF(Agent05_Withdrawals!A133="","",Agent05_Withdrawals!E133)</f>
        <v/>
      </c>
      <c r="H928" s="39" t="str">
        <f>IF(Agent05_Withdrawals!A133="","",Agent05_Withdrawals!G133)</f>
        <v/>
      </c>
      <c r="I928" s="37" t="str">
        <f>IF(Agent05_Withdrawals!A133="","",Agent05_Withdrawals!H133)</f>
        <v/>
      </c>
      <c r="J928" s="37" t="str">
        <f>IF(Agent05_Withdrawals!A133="","",Agent05_Withdrawals!J133)</f>
        <v/>
      </c>
      <c r="K928" s="37" t="str">
        <f>IF(Agent05_Withdrawals!A133="","",Agent05_Withdrawals!K133)</f>
        <v/>
      </c>
      <c r="L928" s="37" t="str">
        <f>IF(G928="","",IF(D928-G928&gt;=System_Config!$B$9,"✅ OK","⚠️ BREACH"))</f>
        <v/>
      </c>
      <c r="M928" s="37" t="str">
        <f>IFERROR(IF(Agent05_Withdrawals!A133="","",YEAR(Agent05_Withdrawals!D133)),"")</f>
        <v/>
      </c>
    </row>
    <row r="929" spans="1:13" ht="18" customHeight="1" x14ac:dyDescent="0.25">
      <c r="A929" s="37" t="str">
        <f>IF(Agent05_Withdrawals!A134="","",Agent05_Withdrawals!A134)</f>
        <v/>
      </c>
      <c r="B929" s="37" t="str">
        <f ca="1">IF(Agent05_Withdrawals!A134="","","WD"&amp;TEXT(929-3,"0000")&amp;"-"&amp;TEXT(TODAY(),"YYYYMMDD"))</f>
        <v/>
      </c>
      <c r="C929" s="37" t="str">
        <f>IF(Agent05_Withdrawals!A134="","",Agent05_Withdrawals!B134)</f>
        <v/>
      </c>
      <c r="D929" s="40" t="str">
        <f>IF(Agent05_Withdrawals!A134="","",Agent05_Withdrawals!C134)</f>
        <v/>
      </c>
      <c r="E929" s="38" t="str">
        <f>IF(Agent05_Withdrawals!A134="","",Agent05_Withdrawals!D134)</f>
        <v/>
      </c>
      <c r="F929" s="37" t="str">
        <f>IF(Agent05_Withdrawals!A134="","",Agent05_Withdrawals!F134)</f>
        <v/>
      </c>
      <c r="G929" s="39" t="str">
        <f>IF(Agent05_Withdrawals!A134="","",Agent05_Withdrawals!E134)</f>
        <v/>
      </c>
      <c r="H929" s="39" t="str">
        <f>IF(Agent05_Withdrawals!A134="","",Agent05_Withdrawals!G134)</f>
        <v/>
      </c>
      <c r="I929" s="37" t="str">
        <f>IF(Agent05_Withdrawals!A134="","",Agent05_Withdrawals!H134)</f>
        <v/>
      </c>
      <c r="J929" s="37" t="str">
        <f>IF(Agent05_Withdrawals!A134="","",Agent05_Withdrawals!J134)</f>
        <v/>
      </c>
      <c r="K929" s="37" t="str">
        <f>IF(Agent05_Withdrawals!A134="","",Agent05_Withdrawals!K134)</f>
        <v/>
      </c>
      <c r="L929" s="37" t="str">
        <f>IF(G929="","",IF(D929-G929&gt;=System_Config!$B$9,"✅ OK","⚠️ BREACH"))</f>
        <v/>
      </c>
      <c r="M929" s="37" t="str">
        <f>IFERROR(IF(Agent05_Withdrawals!A134="","",YEAR(Agent05_Withdrawals!D134)),"")</f>
        <v/>
      </c>
    </row>
    <row r="930" spans="1:13" ht="18" customHeight="1" x14ac:dyDescent="0.25">
      <c r="A930" s="37" t="str">
        <f>IF(Agent05_Withdrawals!A135="","",Agent05_Withdrawals!A135)</f>
        <v/>
      </c>
      <c r="B930" s="37" t="str">
        <f ca="1">IF(Agent05_Withdrawals!A135="","","WD"&amp;TEXT(930-3,"0000")&amp;"-"&amp;TEXT(TODAY(),"YYYYMMDD"))</f>
        <v/>
      </c>
      <c r="C930" s="37" t="str">
        <f>IF(Agent05_Withdrawals!A135="","",Agent05_Withdrawals!B135)</f>
        <v/>
      </c>
      <c r="D930" s="40" t="str">
        <f>IF(Agent05_Withdrawals!A135="","",Agent05_Withdrawals!C135)</f>
        <v/>
      </c>
      <c r="E930" s="38" t="str">
        <f>IF(Agent05_Withdrawals!A135="","",Agent05_Withdrawals!D135)</f>
        <v/>
      </c>
      <c r="F930" s="37" t="str">
        <f>IF(Agent05_Withdrawals!A135="","",Agent05_Withdrawals!F135)</f>
        <v/>
      </c>
      <c r="G930" s="39" t="str">
        <f>IF(Agent05_Withdrawals!A135="","",Agent05_Withdrawals!E135)</f>
        <v/>
      </c>
      <c r="H930" s="39" t="str">
        <f>IF(Agent05_Withdrawals!A135="","",Agent05_Withdrawals!G135)</f>
        <v/>
      </c>
      <c r="I930" s="37" t="str">
        <f>IF(Agent05_Withdrawals!A135="","",Agent05_Withdrawals!H135)</f>
        <v/>
      </c>
      <c r="J930" s="37" t="str">
        <f>IF(Agent05_Withdrawals!A135="","",Agent05_Withdrawals!J135)</f>
        <v/>
      </c>
      <c r="K930" s="37" t="str">
        <f>IF(Agent05_Withdrawals!A135="","",Agent05_Withdrawals!K135)</f>
        <v/>
      </c>
      <c r="L930" s="37" t="str">
        <f>IF(G930="","",IF(D930-G930&gt;=System_Config!$B$9,"✅ OK","⚠️ BREACH"))</f>
        <v/>
      </c>
      <c r="M930" s="37" t="str">
        <f>IFERROR(IF(Agent05_Withdrawals!A135="","",YEAR(Agent05_Withdrawals!D135)),"")</f>
        <v/>
      </c>
    </row>
    <row r="931" spans="1:13" ht="18" customHeight="1" x14ac:dyDescent="0.25">
      <c r="A931" s="37" t="str">
        <f>IF(Agent05_Withdrawals!A136="","",Agent05_Withdrawals!A136)</f>
        <v/>
      </c>
      <c r="B931" s="37" t="str">
        <f ca="1">IF(Agent05_Withdrawals!A136="","","WD"&amp;TEXT(931-3,"0000")&amp;"-"&amp;TEXT(TODAY(),"YYYYMMDD"))</f>
        <v/>
      </c>
      <c r="C931" s="37" t="str">
        <f>IF(Agent05_Withdrawals!A136="","",Agent05_Withdrawals!B136)</f>
        <v/>
      </c>
      <c r="D931" s="40" t="str">
        <f>IF(Agent05_Withdrawals!A136="","",Agent05_Withdrawals!C136)</f>
        <v/>
      </c>
      <c r="E931" s="38" t="str">
        <f>IF(Agent05_Withdrawals!A136="","",Agent05_Withdrawals!D136)</f>
        <v/>
      </c>
      <c r="F931" s="37" t="str">
        <f>IF(Agent05_Withdrawals!A136="","",Agent05_Withdrawals!F136)</f>
        <v/>
      </c>
      <c r="G931" s="39" t="str">
        <f>IF(Agent05_Withdrawals!A136="","",Agent05_Withdrawals!E136)</f>
        <v/>
      </c>
      <c r="H931" s="39" t="str">
        <f>IF(Agent05_Withdrawals!A136="","",Agent05_Withdrawals!G136)</f>
        <v/>
      </c>
      <c r="I931" s="37" t="str">
        <f>IF(Agent05_Withdrawals!A136="","",Agent05_Withdrawals!H136)</f>
        <v/>
      </c>
      <c r="J931" s="37" t="str">
        <f>IF(Agent05_Withdrawals!A136="","",Agent05_Withdrawals!J136)</f>
        <v/>
      </c>
      <c r="K931" s="37" t="str">
        <f>IF(Agent05_Withdrawals!A136="","",Agent05_Withdrawals!K136)</f>
        <v/>
      </c>
      <c r="L931" s="37" t="str">
        <f>IF(G931="","",IF(D931-G931&gt;=System_Config!$B$9,"✅ OK","⚠️ BREACH"))</f>
        <v/>
      </c>
      <c r="M931" s="37" t="str">
        <f>IFERROR(IF(Agent05_Withdrawals!A136="","",YEAR(Agent05_Withdrawals!D136)),"")</f>
        <v/>
      </c>
    </row>
    <row r="932" spans="1:13" ht="18" customHeight="1" x14ac:dyDescent="0.25">
      <c r="A932" s="37" t="str">
        <f>IF(Agent05_Withdrawals!A137="","",Agent05_Withdrawals!A137)</f>
        <v/>
      </c>
      <c r="B932" s="37" t="str">
        <f ca="1">IF(Agent05_Withdrawals!A137="","","WD"&amp;TEXT(932-3,"0000")&amp;"-"&amp;TEXT(TODAY(),"YYYYMMDD"))</f>
        <v/>
      </c>
      <c r="C932" s="37" t="str">
        <f>IF(Agent05_Withdrawals!A137="","",Agent05_Withdrawals!B137)</f>
        <v/>
      </c>
      <c r="D932" s="40" t="str">
        <f>IF(Agent05_Withdrawals!A137="","",Agent05_Withdrawals!C137)</f>
        <v/>
      </c>
      <c r="E932" s="38" t="str">
        <f>IF(Agent05_Withdrawals!A137="","",Agent05_Withdrawals!D137)</f>
        <v/>
      </c>
      <c r="F932" s="37" t="str">
        <f>IF(Agent05_Withdrawals!A137="","",Agent05_Withdrawals!F137)</f>
        <v/>
      </c>
      <c r="G932" s="39" t="str">
        <f>IF(Agent05_Withdrawals!A137="","",Agent05_Withdrawals!E137)</f>
        <v/>
      </c>
      <c r="H932" s="39" t="str">
        <f>IF(Agent05_Withdrawals!A137="","",Agent05_Withdrawals!G137)</f>
        <v/>
      </c>
      <c r="I932" s="37" t="str">
        <f>IF(Agent05_Withdrawals!A137="","",Agent05_Withdrawals!H137)</f>
        <v/>
      </c>
      <c r="J932" s="37" t="str">
        <f>IF(Agent05_Withdrawals!A137="","",Agent05_Withdrawals!J137)</f>
        <v/>
      </c>
      <c r="K932" s="37" t="str">
        <f>IF(Agent05_Withdrawals!A137="","",Agent05_Withdrawals!K137)</f>
        <v/>
      </c>
      <c r="L932" s="37" t="str">
        <f>IF(G932="","",IF(D932-G932&gt;=System_Config!$B$9,"✅ OK","⚠️ BREACH"))</f>
        <v/>
      </c>
      <c r="M932" s="37" t="str">
        <f>IFERROR(IF(Agent05_Withdrawals!A137="","",YEAR(Agent05_Withdrawals!D137)),"")</f>
        <v/>
      </c>
    </row>
    <row r="933" spans="1:13" ht="18" customHeight="1" x14ac:dyDescent="0.25">
      <c r="A933" s="37" t="str">
        <f>IF(Agent05_Withdrawals!A138="","",Agent05_Withdrawals!A138)</f>
        <v/>
      </c>
      <c r="B933" s="37" t="str">
        <f ca="1">IF(Agent05_Withdrawals!A138="","","WD"&amp;TEXT(933-3,"0000")&amp;"-"&amp;TEXT(TODAY(),"YYYYMMDD"))</f>
        <v/>
      </c>
      <c r="C933" s="37" t="str">
        <f>IF(Agent05_Withdrawals!A138="","",Agent05_Withdrawals!B138)</f>
        <v/>
      </c>
      <c r="D933" s="40" t="str">
        <f>IF(Agent05_Withdrawals!A138="","",Agent05_Withdrawals!C138)</f>
        <v/>
      </c>
      <c r="E933" s="38" t="str">
        <f>IF(Agent05_Withdrawals!A138="","",Agent05_Withdrawals!D138)</f>
        <v/>
      </c>
      <c r="F933" s="37" t="str">
        <f>IF(Agent05_Withdrawals!A138="","",Agent05_Withdrawals!F138)</f>
        <v/>
      </c>
      <c r="G933" s="39" t="str">
        <f>IF(Agent05_Withdrawals!A138="","",Agent05_Withdrawals!E138)</f>
        <v/>
      </c>
      <c r="H933" s="39" t="str">
        <f>IF(Agent05_Withdrawals!A138="","",Agent05_Withdrawals!G138)</f>
        <v/>
      </c>
      <c r="I933" s="37" t="str">
        <f>IF(Agent05_Withdrawals!A138="","",Agent05_Withdrawals!H138)</f>
        <v/>
      </c>
      <c r="J933" s="37" t="str">
        <f>IF(Agent05_Withdrawals!A138="","",Agent05_Withdrawals!J138)</f>
        <v/>
      </c>
      <c r="K933" s="37" t="str">
        <f>IF(Agent05_Withdrawals!A138="","",Agent05_Withdrawals!K138)</f>
        <v/>
      </c>
      <c r="L933" s="37" t="str">
        <f>IF(G933="","",IF(D933-G933&gt;=System_Config!$B$9,"✅ OK","⚠️ BREACH"))</f>
        <v/>
      </c>
      <c r="M933" s="37" t="str">
        <f>IFERROR(IF(Agent05_Withdrawals!A138="","",YEAR(Agent05_Withdrawals!D138)),"")</f>
        <v/>
      </c>
    </row>
    <row r="934" spans="1:13" ht="18" customHeight="1" x14ac:dyDescent="0.25">
      <c r="A934" s="37" t="str">
        <f>IF(Agent05_Withdrawals!A139="","",Agent05_Withdrawals!A139)</f>
        <v/>
      </c>
      <c r="B934" s="37" t="str">
        <f ca="1">IF(Agent05_Withdrawals!A139="","","WD"&amp;TEXT(934-3,"0000")&amp;"-"&amp;TEXT(TODAY(),"YYYYMMDD"))</f>
        <v/>
      </c>
      <c r="C934" s="37" t="str">
        <f>IF(Agent05_Withdrawals!A139="","",Agent05_Withdrawals!B139)</f>
        <v/>
      </c>
      <c r="D934" s="40" t="str">
        <f>IF(Agent05_Withdrawals!A139="","",Agent05_Withdrawals!C139)</f>
        <v/>
      </c>
      <c r="E934" s="38" t="str">
        <f>IF(Agent05_Withdrawals!A139="","",Agent05_Withdrawals!D139)</f>
        <v/>
      </c>
      <c r="F934" s="37" t="str">
        <f>IF(Agent05_Withdrawals!A139="","",Agent05_Withdrawals!F139)</f>
        <v/>
      </c>
      <c r="G934" s="39" t="str">
        <f>IF(Agent05_Withdrawals!A139="","",Agent05_Withdrawals!E139)</f>
        <v/>
      </c>
      <c r="H934" s="39" t="str">
        <f>IF(Agent05_Withdrawals!A139="","",Agent05_Withdrawals!G139)</f>
        <v/>
      </c>
      <c r="I934" s="37" t="str">
        <f>IF(Agent05_Withdrawals!A139="","",Agent05_Withdrawals!H139)</f>
        <v/>
      </c>
      <c r="J934" s="37" t="str">
        <f>IF(Agent05_Withdrawals!A139="","",Agent05_Withdrawals!J139)</f>
        <v/>
      </c>
      <c r="K934" s="37" t="str">
        <f>IF(Agent05_Withdrawals!A139="","",Agent05_Withdrawals!K139)</f>
        <v/>
      </c>
      <c r="L934" s="37" t="str">
        <f>IF(G934="","",IF(D934-G934&gt;=System_Config!$B$9,"✅ OK","⚠️ BREACH"))</f>
        <v/>
      </c>
      <c r="M934" s="37" t="str">
        <f>IFERROR(IF(Agent05_Withdrawals!A139="","",YEAR(Agent05_Withdrawals!D139)),"")</f>
        <v/>
      </c>
    </row>
    <row r="935" spans="1:13" ht="18" customHeight="1" x14ac:dyDescent="0.25">
      <c r="A935" s="37" t="str">
        <f>IF(Agent05_Withdrawals!A140="","",Agent05_Withdrawals!A140)</f>
        <v/>
      </c>
      <c r="B935" s="37" t="str">
        <f ca="1">IF(Agent05_Withdrawals!A140="","","WD"&amp;TEXT(935-3,"0000")&amp;"-"&amp;TEXT(TODAY(),"YYYYMMDD"))</f>
        <v/>
      </c>
      <c r="C935" s="37" t="str">
        <f>IF(Agent05_Withdrawals!A140="","",Agent05_Withdrawals!B140)</f>
        <v/>
      </c>
      <c r="D935" s="40" t="str">
        <f>IF(Agent05_Withdrawals!A140="","",Agent05_Withdrawals!C140)</f>
        <v/>
      </c>
      <c r="E935" s="38" t="str">
        <f>IF(Agent05_Withdrawals!A140="","",Agent05_Withdrawals!D140)</f>
        <v/>
      </c>
      <c r="F935" s="37" t="str">
        <f>IF(Agent05_Withdrawals!A140="","",Agent05_Withdrawals!F140)</f>
        <v/>
      </c>
      <c r="G935" s="39" t="str">
        <f>IF(Agent05_Withdrawals!A140="","",Agent05_Withdrawals!E140)</f>
        <v/>
      </c>
      <c r="H935" s="39" t="str">
        <f>IF(Agent05_Withdrawals!A140="","",Agent05_Withdrawals!G140)</f>
        <v/>
      </c>
      <c r="I935" s="37" t="str">
        <f>IF(Agent05_Withdrawals!A140="","",Agent05_Withdrawals!H140)</f>
        <v/>
      </c>
      <c r="J935" s="37" t="str">
        <f>IF(Agent05_Withdrawals!A140="","",Agent05_Withdrawals!J140)</f>
        <v/>
      </c>
      <c r="K935" s="37" t="str">
        <f>IF(Agent05_Withdrawals!A140="","",Agent05_Withdrawals!K140)</f>
        <v/>
      </c>
      <c r="L935" s="37" t="str">
        <f>IF(G935="","",IF(D935-G935&gt;=System_Config!$B$9,"✅ OK","⚠️ BREACH"))</f>
        <v/>
      </c>
      <c r="M935" s="37" t="str">
        <f>IFERROR(IF(Agent05_Withdrawals!A140="","",YEAR(Agent05_Withdrawals!D140)),"")</f>
        <v/>
      </c>
    </row>
    <row r="936" spans="1:13" ht="18" customHeight="1" x14ac:dyDescent="0.25">
      <c r="A936" s="37" t="str">
        <f>IF(Agent05_Withdrawals!A141="","",Agent05_Withdrawals!A141)</f>
        <v/>
      </c>
      <c r="B936" s="37" t="str">
        <f ca="1">IF(Agent05_Withdrawals!A141="","","WD"&amp;TEXT(936-3,"0000")&amp;"-"&amp;TEXT(TODAY(),"YYYYMMDD"))</f>
        <v/>
      </c>
      <c r="C936" s="37" t="str">
        <f>IF(Agent05_Withdrawals!A141="","",Agent05_Withdrawals!B141)</f>
        <v/>
      </c>
      <c r="D936" s="40" t="str">
        <f>IF(Agent05_Withdrawals!A141="","",Agent05_Withdrawals!C141)</f>
        <v/>
      </c>
      <c r="E936" s="38" t="str">
        <f>IF(Agent05_Withdrawals!A141="","",Agent05_Withdrawals!D141)</f>
        <v/>
      </c>
      <c r="F936" s="37" t="str">
        <f>IF(Agent05_Withdrawals!A141="","",Agent05_Withdrawals!F141)</f>
        <v/>
      </c>
      <c r="G936" s="39" t="str">
        <f>IF(Agent05_Withdrawals!A141="","",Agent05_Withdrawals!E141)</f>
        <v/>
      </c>
      <c r="H936" s="39" t="str">
        <f>IF(Agent05_Withdrawals!A141="","",Agent05_Withdrawals!G141)</f>
        <v/>
      </c>
      <c r="I936" s="37" t="str">
        <f>IF(Agent05_Withdrawals!A141="","",Agent05_Withdrawals!H141)</f>
        <v/>
      </c>
      <c r="J936" s="37" t="str">
        <f>IF(Agent05_Withdrawals!A141="","",Agent05_Withdrawals!J141)</f>
        <v/>
      </c>
      <c r="K936" s="37" t="str">
        <f>IF(Agent05_Withdrawals!A141="","",Agent05_Withdrawals!K141)</f>
        <v/>
      </c>
      <c r="L936" s="37" t="str">
        <f>IF(G936="","",IF(D936-G936&gt;=System_Config!$B$9,"✅ OK","⚠️ BREACH"))</f>
        <v/>
      </c>
      <c r="M936" s="37" t="str">
        <f>IFERROR(IF(Agent05_Withdrawals!A141="","",YEAR(Agent05_Withdrawals!D141)),"")</f>
        <v/>
      </c>
    </row>
    <row r="937" spans="1:13" ht="18" customHeight="1" x14ac:dyDescent="0.25">
      <c r="A937" s="37" t="str">
        <f>IF(Agent05_Withdrawals!A142="","",Agent05_Withdrawals!A142)</f>
        <v/>
      </c>
      <c r="B937" s="37" t="str">
        <f ca="1">IF(Agent05_Withdrawals!A142="","","WD"&amp;TEXT(937-3,"0000")&amp;"-"&amp;TEXT(TODAY(),"YYYYMMDD"))</f>
        <v/>
      </c>
      <c r="C937" s="37" t="str">
        <f>IF(Agent05_Withdrawals!A142="","",Agent05_Withdrawals!B142)</f>
        <v/>
      </c>
      <c r="D937" s="40" t="str">
        <f>IF(Agent05_Withdrawals!A142="","",Agent05_Withdrawals!C142)</f>
        <v/>
      </c>
      <c r="E937" s="38" t="str">
        <f>IF(Agent05_Withdrawals!A142="","",Agent05_Withdrawals!D142)</f>
        <v/>
      </c>
      <c r="F937" s="37" t="str">
        <f>IF(Agent05_Withdrawals!A142="","",Agent05_Withdrawals!F142)</f>
        <v/>
      </c>
      <c r="G937" s="39" t="str">
        <f>IF(Agent05_Withdrawals!A142="","",Agent05_Withdrawals!E142)</f>
        <v/>
      </c>
      <c r="H937" s="39" t="str">
        <f>IF(Agent05_Withdrawals!A142="","",Agent05_Withdrawals!G142)</f>
        <v/>
      </c>
      <c r="I937" s="37" t="str">
        <f>IF(Agent05_Withdrawals!A142="","",Agent05_Withdrawals!H142)</f>
        <v/>
      </c>
      <c r="J937" s="37" t="str">
        <f>IF(Agent05_Withdrawals!A142="","",Agent05_Withdrawals!J142)</f>
        <v/>
      </c>
      <c r="K937" s="37" t="str">
        <f>IF(Agent05_Withdrawals!A142="","",Agent05_Withdrawals!K142)</f>
        <v/>
      </c>
      <c r="L937" s="37" t="str">
        <f>IF(G937="","",IF(D937-G937&gt;=System_Config!$B$9,"✅ OK","⚠️ BREACH"))</f>
        <v/>
      </c>
      <c r="M937" s="37" t="str">
        <f>IFERROR(IF(Agent05_Withdrawals!A142="","",YEAR(Agent05_Withdrawals!D142)),"")</f>
        <v/>
      </c>
    </row>
    <row r="938" spans="1:13" ht="18" customHeight="1" x14ac:dyDescent="0.25">
      <c r="A938" s="37" t="str">
        <f>IF(Agent05_Withdrawals!A143="","",Agent05_Withdrawals!A143)</f>
        <v/>
      </c>
      <c r="B938" s="37" t="str">
        <f ca="1">IF(Agent05_Withdrawals!A143="","","WD"&amp;TEXT(938-3,"0000")&amp;"-"&amp;TEXT(TODAY(),"YYYYMMDD"))</f>
        <v/>
      </c>
      <c r="C938" s="37" t="str">
        <f>IF(Agent05_Withdrawals!A143="","",Agent05_Withdrawals!B143)</f>
        <v/>
      </c>
      <c r="D938" s="40" t="str">
        <f>IF(Agent05_Withdrawals!A143="","",Agent05_Withdrawals!C143)</f>
        <v/>
      </c>
      <c r="E938" s="38" t="str">
        <f>IF(Agent05_Withdrawals!A143="","",Agent05_Withdrawals!D143)</f>
        <v/>
      </c>
      <c r="F938" s="37" t="str">
        <f>IF(Agent05_Withdrawals!A143="","",Agent05_Withdrawals!F143)</f>
        <v/>
      </c>
      <c r="G938" s="39" t="str">
        <f>IF(Agent05_Withdrawals!A143="","",Agent05_Withdrawals!E143)</f>
        <v/>
      </c>
      <c r="H938" s="39" t="str">
        <f>IF(Agent05_Withdrawals!A143="","",Agent05_Withdrawals!G143)</f>
        <v/>
      </c>
      <c r="I938" s="37" t="str">
        <f>IF(Agent05_Withdrawals!A143="","",Agent05_Withdrawals!H143)</f>
        <v/>
      </c>
      <c r="J938" s="37" t="str">
        <f>IF(Agent05_Withdrawals!A143="","",Agent05_Withdrawals!J143)</f>
        <v/>
      </c>
      <c r="K938" s="37" t="str">
        <f>IF(Agent05_Withdrawals!A143="","",Agent05_Withdrawals!K143)</f>
        <v/>
      </c>
      <c r="L938" s="37" t="str">
        <f>IF(G938="","",IF(D938-G938&gt;=System_Config!$B$9,"✅ OK","⚠️ BREACH"))</f>
        <v/>
      </c>
      <c r="M938" s="37" t="str">
        <f>IFERROR(IF(Agent05_Withdrawals!A143="","",YEAR(Agent05_Withdrawals!D143)),"")</f>
        <v/>
      </c>
    </row>
    <row r="939" spans="1:13" ht="18" customHeight="1" x14ac:dyDescent="0.25">
      <c r="A939" s="37" t="str">
        <f>IF(Agent05_Withdrawals!A144="","",Agent05_Withdrawals!A144)</f>
        <v/>
      </c>
      <c r="B939" s="37" t="str">
        <f ca="1">IF(Agent05_Withdrawals!A144="","","WD"&amp;TEXT(939-3,"0000")&amp;"-"&amp;TEXT(TODAY(),"YYYYMMDD"))</f>
        <v/>
      </c>
      <c r="C939" s="37" t="str">
        <f>IF(Agent05_Withdrawals!A144="","",Agent05_Withdrawals!B144)</f>
        <v/>
      </c>
      <c r="D939" s="40" t="str">
        <f>IF(Agent05_Withdrawals!A144="","",Agent05_Withdrawals!C144)</f>
        <v/>
      </c>
      <c r="E939" s="38" t="str">
        <f>IF(Agent05_Withdrawals!A144="","",Agent05_Withdrawals!D144)</f>
        <v/>
      </c>
      <c r="F939" s="37" t="str">
        <f>IF(Agent05_Withdrawals!A144="","",Agent05_Withdrawals!F144)</f>
        <v/>
      </c>
      <c r="G939" s="39" t="str">
        <f>IF(Agent05_Withdrawals!A144="","",Agent05_Withdrawals!E144)</f>
        <v/>
      </c>
      <c r="H939" s="39" t="str">
        <f>IF(Agent05_Withdrawals!A144="","",Agent05_Withdrawals!G144)</f>
        <v/>
      </c>
      <c r="I939" s="37" t="str">
        <f>IF(Agent05_Withdrawals!A144="","",Agent05_Withdrawals!H144)</f>
        <v/>
      </c>
      <c r="J939" s="37" t="str">
        <f>IF(Agent05_Withdrawals!A144="","",Agent05_Withdrawals!J144)</f>
        <v/>
      </c>
      <c r="K939" s="37" t="str">
        <f>IF(Agent05_Withdrawals!A144="","",Agent05_Withdrawals!K144)</f>
        <v/>
      </c>
      <c r="L939" s="37" t="str">
        <f>IF(G939="","",IF(D939-G939&gt;=System_Config!$B$9,"✅ OK","⚠️ BREACH"))</f>
        <v/>
      </c>
      <c r="M939" s="37" t="str">
        <f>IFERROR(IF(Agent05_Withdrawals!A144="","",YEAR(Agent05_Withdrawals!D144)),"")</f>
        <v/>
      </c>
    </row>
    <row r="940" spans="1:13" ht="18" customHeight="1" x14ac:dyDescent="0.25">
      <c r="A940" s="37" t="str">
        <f>IF(Agent05_Withdrawals!A145="","",Agent05_Withdrawals!A145)</f>
        <v/>
      </c>
      <c r="B940" s="37" t="str">
        <f ca="1">IF(Agent05_Withdrawals!A145="","","WD"&amp;TEXT(940-3,"0000")&amp;"-"&amp;TEXT(TODAY(),"YYYYMMDD"))</f>
        <v/>
      </c>
      <c r="C940" s="37" t="str">
        <f>IF(Agent05_Withdrawals!A145="","",Agent05_Withdrawals!B145)</f>
        <v/>
      </c>
      <c r="D940" s="40" t="str">
        <f>IF(Agent05_Withdrawals!A145="","",Agent05_Withdrawals!C145)</f>
        <v/>
      </c>
      <c r="E940" s="38" t="str">
        <f>IF(Agent05_Withdrawals!A145="","",Agent05_Withdrawals!D145)</f>
        <v/>
      </c>
      <c r="F940" s="37" t="str">
        <f>IF(Agent05_Withdrawals!A145="","",Agent05_Withdrawals!F145)</f>
        <v/>
      </c>
      <c r="G940" s="39" t="str">
        <f>IF(Agent05_Withdrawals!A145="","",Agent05_Withdrawals!E145)</f>
        <v/>
      </c>
      <c r="H940" s="39" t="str">
        <f>IF(Agent05_Withdrawals!A145="","",Agent05_Withdrawals!G145)</f>
        <v/>
      </c>
      <c r="I940" s="37" t="str">
        <f>IF(Agent05_Withdrawals!A145="","",Agent05_Withdrawals!H145)</f>
        <v/>
      </c>
      <c r="J940" s="37" t="str">
        <f>IF(Agent05_Withdrawals!A145="","",Agent05_Withdrawals!J145)</f>
        <v/>
      </c>
      <c r="K940" s="37" t="str">
        <f>IF(Agent05_Withdrawals!A145="","",Agent05_Withdrawals!K145)</f>
        <v/>
      </c>
      <c r="L940" s="37" t="str">
        <f>IF(G940="","",IF(D940-G940&gt;=System_Config!$B$9,"✅ OK","⚠️ BREACH"))</f>
        <v/>
      </c>
      <c r="M940" s="37" t="str">
        <f>IFERROR(IF(Agent05_Withdrawals!A145="","",YEAR(Agent05_Withdrawals!D145)),"")</f>
        <v/>
      </c>
    </row>
    <row r="941" spans="1:13" ht="18" customHeight="1" x14ac:dyDescent="0.25">
      <c r="A941" s="37" t="str">
        <f>IF(Agent05_Withdrawals!A146="","",Agent05_Withdrawals!A146)</f>
        <v/>
      </c>
      <c r="B941" s="37" t="str">
        <f ca="1">IF(Agent05_Withdrawals!A146="","","WD"&amp;TEXT(941-3,"0000")&amp;"-"&amp;TEXT(TODAY(),"YYYYMMDD"))</f>
        <v/>
      </c>
      <c r="C941" s="37" t="str">
        <f>IF(Agent05_Withdrawals!A146="","",Agent05_Withdrawals!B146)</f>
        <v/>
      </c>
      <c r="D941" s="40" t="str">
        <f>IF(Agent05_Withdrawals!A146="","",Agent05_Withdrawals!C146)</f>
        <v/>
      </c>
      <c r="E941" s="38" t="str">
        <f>IF(Agent05_Withdrawals!A146="","",Agent05_Withdrawals!D146)</f>
        <v/>
      </c>
      <c r="F941" s="37" t="str">
        <f>IF(Agent05_Withdrawals!A146="","",Agent05_Withdrawals!F146)</f>
        <v/>
      </c>
      <c r="G941" s="39" t="str">
        <f>IF(Agent05_Withdrawals!A146="","",Agent05_Withdrawals!E146)</f>
        <v/>
      </c>
      <c r="H941" s="39" t="str">
        <f>IF(Agent05_Withdrawals!A146="","",Agent05_Withdrawals!G146)</f>
        <v/>
      </c>
      <c r="I941" s="37" t="str">
        <f>IF(Agent05_Withdrawals!A146="","",Agent05_Withdrawals!H146)</f>
        <v/>
      </c>
      <c r="J941" s="37" t="str">
        <f>IF(Agent05_Withdrawals!A146="","",Agent05_Withdrawals!J146)</f>
        <v/>
      </c>
      <c r="K941" s="37" t="str">
        <f>IF(Agent05_Withdrawals!A146="","",Agent05_Withdrawals!K146)</f>
        <v/>
      </c>
      <c r="L941" s="37" t="str">
        <f>IF(G941="","",IF(D941-G941&gt;=System_Config!$B$9,"✅ OK","⚠️ BREACH"))</f>
        <v/>
      </c>
      <c r="M941" s="37" t="str">
        <f>IFERROR(IF(Agent05_Withdrawals!A146="","",YEAR(Agent05_Withdrawals!D146)),"")</f>
        <v/>
      </c>
    </row>
    <row r="942" spans="1:13" ht="18" customHeight="1" x14ac:dyDescent="0.25">
      <c r="A942" s="37" t="str">
        <f>IF(Agent05_Withdrawals!A147="","",Agent05_Withdrawals!A147)</f>
        <v/>
      </c>
      <c r="B942" s="37" t="str">
        <f ca="1">IF(Agent05_Withdrawals!A147="","","WD"&amp;TEXT(942-3,"0000")&amp;"-"&amp;TEXT(TODAY(),"YYYYMMDD"))</f>
        <v/>
      </c>
      <c r="C942" s="37" t="str">
        <f>IF(Agent05_Withdrawals!A147="","",Agent05_Withdrawals!B147)</f>
        <v/>
      </c>
      <c r="D942" s="40" t="str">
        <f>IF(Agent05_Withdrawals!A147="","",Agent05_Withdrawals!C147)</f>
        <v/>
      </c>
      <c r="E942" s="38" t="str">
        <f>IF(Agent05_Withdrawals!A147="","",Agent05_Withdrawals!D147)</f>
        <v/>
      </c>
      <c r="F942" s="37" t="str">
        <f>IF(Agent05_Withdrawals!A147="","",Agent05_Withdrawals!F147)</f>
        <v/>
      </c>
      <c r="G942" s="39" t="str">
        <f>IF(Agent05_Withdrawals!A147="","",Agent05_Withdrawals!E147)</f>
        <v/>
      </c>
      <c r="H942" s="39" t="str">
        <f>IF(Agent05_Withdrawals!A147="","",Agent05_Withdrawals!G147)</f>
        <v/>
      </c>
      <c r="I942" s="37" t="str">
        <f>IF(Agent05_Withdrawals!A147="","",Agent05_Withdrawals!H147)</f>
        <v/>
      </c>
      <c r="J942" s="37" t="str">
        <f>IF(Agent05_Withdrawals!A147="","",Agent05_Withdrawals!J147)</f>
        <v/>
      </c>
      <c r="K942" s="37" t="str">
        <f>IF(Agent05_Withdrawals!A147="","",Agent05_Withdrawals!K147)</f>
        <v/>
      </c>
      <c r="L942" s="37" t="str">
        <f>IF(G942="","",IF(D942-G942&gt;=System_Config!$B$9,"✅ OK","⚠️ BREACH"))</f>
        <v/>
      </c>
      <c r="M942" s="37" t="str">
        <f>IFERROR(IF(Agent05_Withdrawals!A147="","",YEAR(Agent05_Withdrawals!D147)),"")</f>
        <v/>
      </c>
    </row>
    <row r="943" spans="1:13" ht="18" customHeight="1" x14ac:dyDescent="0.25">
      <c r="A943" s="37" t="str">
        <f>IF(Agent05_Withdrawals!A148="","",Agent05_Withdrawals!A148)</f>
        <v/>
      </c>
      <c r="B943" s="37" t="str">
        <f ca="1">IF(Agent05_Withdrawals!A148="","","WD"&amp;TEXT(943-3,"0000")&amp;"-"&amp;TEXT(TODAY(),"YYYYMMDD"))</f>
        <v/>
      </c>
      <c r="C943" s="37" t="str">
        <f>IF(Agent05_Withdrawals!A148="","",Agent05_Withdrawals!B148)</f>
        <v/>
      </c>
      <c r="D943" s="40" t="str">
        <f>IF(Agent05_Withdrawals!A148="","",Agent05_Withdrawals!C148)</f>
        <v/>
      </c>
      <c r="E943" s="38" t="str">
        <f>IF(Agent05_Withdrawals!A148="","",Agent05_Withdrawals!D148)</f>
        <v/>
      </c>
      <c r="F943" s="37" t="str">
        <f>IF(Agent05_Withdrawals!A148="","",Agent05_Withdrawals!F148)</f>
        <v/>
      </c>
      <c r="G943" s="39" t="str">
        <f>IF(Agent05_Withdrawals!A148="","",Agent05_Withdrawals!E148)</f>
        <v/>
      </c>
      <c r="H943" s="39" t="str">
        <f>IF(Agent05_Withdrawals!A148="","",Agent05_Withdrawals!G148)</f>
        <v/>
      </c>
      <c r="I943" s="37" t="str">
        <f>IF(Agent05_Withdrawals!A148="","",Agent05_Withdrawals!H148)</f>
        <v/>
      </c>
      <c r="J943" s="37" t="str">
        <f>IF(Agent05_Withdrawals!A148="","",Agent05_Withdrawals!J148)</f>
        <v/>
      </c>
      <c r="K943" s="37" t="str">
        <f>IF(Agent05_Withdrawals!A148="","",Agent05_Withdrawals!K148)</f>
        <v/>
      </c>
      <c r="L943" s="37" t="str">
        <f>IF(G943="","",IF(D943-G943&gt;=System_Config!$B$9,"✅ OK","⚠️ BREACH"))</f>
        <v/>
      </c>
      <c r="M943" s="37" t="str">
        <f>IFERROR(IF(Agent05_Withdrawals!A148="","",YEAR(Agent05_Withdrawals!D148)),"")</f>
        <v/>
      </c>
    </row>
    <row r="944" spans="1:13" ht="18" customHeight="1" x14ac:dyDescent="0.25">
      <c r="A944" s="37" t="str">
        <f>IF(Agent05_Withdrawals!A149="","",Agent05_Withdrawals!A149)</f>
        <v/>
      </c>
      <c r="B944" s="37" t="str">
        <f ca="1">IF(Agent05_Withdrawals!A149="","","WD"&amp;TEXT(944-3,"0000")&amp;"-"&amp;TEXT(TODAY(),"YYYYMMDD"))</f>
        <v/>
      </c>
      <c r="C944" s="37" t="str">
        <f>IF(Agent05_Withdrawals!A149="","",Agent05_Withdrawals!B149)</f>
        <v/>
      </c>
      <c r="D944" s="40" t="str">
        <f>IF(Agent05_Withdrawals!A149="","",Agent05_Withdrawals!C149)</f>
        <v/>
      </c>
      <c r="E944" s="38" t="str">
        <f>IF(Agent05_Withdrawals!A149="","",Agent05_Withdrawals!D149)</f>
        <v/>
      </c>
      <c r="F944" s="37" t="str">
        <f>IF(Agent05_Withdrawals!A149="","",Agent05_Withdrawals!F149)</f>
        <v/>
      </c>
      <c r="G944" s="39" t="str">
        <f>IF(Agent05_Withdrawals!A149="","",Agent05_Withdrawals!E149)</f>
        <v/>
      </c>
      <c r="H944" s="39" t="str">
        <f>IF(Agent05_Withdrawals!A149="","",Agent05_Withdrawals!G149)</f>
        <v/>
      </c>
      <c r="I944" s="37" t="str">
        <f>IF(Agent05_Withdrawals!A149="","",Agent05_Withdrawals!H149)</f>
        <v/>
      </c>
      <c r="J944" s="37" t="str">
        <f>IF(Agent05_Withdrawals!A149="","",Agent05_Withdrawals!J149)</f>
        <v/>
      </c>
      <c r="K944" s="37" t="str">
        <f>IF(Agent05_Withdrawals!A149="","",Agent05_Withdrawals!K149)</f>
        <v/>
      </c>
      <c r="L944" s="37" t="str">
        <f>IF(G944="","",IF(D944-G944&gt;=System_Config!$B$9,"✅ OK","⚠️ BREACH"))</f>
        <v/>
      </c>
      <c r="M944" s="37" t="str">
        <f>IFERROR(IF(Agent05_Withdrawals!A149="","",YEAR(Agent05_Withdrawals!D149)),"")</f>
        <v/>
      </c>
    </row>
    <row r="945" spans="1:13" ht="18" customHeight="1" x14ac:dyDescent="0.25">
      <c r="A945" s="37" t="str">
        <f>IF(Agent05_Withdrawals!A150="","",Agent05_Withdrawals!A150)</f>
        <v/>
      </c>
      <c r="B945" s="37" t="str">
        <f ca="1">IF(Agent05_Withdrawals!A150="","","WD"&amp;TEXT(945-3,"0000")&amp;"-"&amp;TEXT(TODAY(),"YYYYMMDD"))</f>
        <v/>
      </c>
      <c r="C945" s="37" t="str">
        <f>IF(Agent05_Withdrawals!A150="","",Agent05_Withdrawals!B150)</f>
        <v/>
      </c>
      <c r="D945" s="40" t="str">
        <f>IF(Agent05_Withdrawals!A150="","",Agent05_Withdrawals!C150)</f>
        <v/>
      </c>
      <c r="E945" s="38" t="str">
        <f>IF(Agent05_Withdrawals!A150="","",Agent05_Withdrawals!D150)</f>
        <v/>
      </c>
      <c r="F945" s="37" t="str">
        <f>IF(Agent05_Withdrawals!A150="","",Agent05_Withdrawals!F150)</f>
        <v/>
      </c>
      <c r="G945" s="39" t="str">
        <f>IF(Agent05_Withdrawals!A150="","",Agent05_Withdrawals!E150)</f>
        <v/>
      </c>
      <c r="H945" s="39" t="str">
        <f>IF(Agent05_Withdrawals!A150="","",Agent05_Withdrawals!G150)</f>
        <v/>
      </c>
      <c r="I945" s="37" t="str">
        <f>IF(Agent05_Withdrawals!A150="","",Agent05_Withdrawals!H150)</f>
        <v/>
      </c>
      <c r="J945" s="37" t="str">
        <f>IF(Agent05_Withdrawals!A150="","",Agent05_Withdrawals!J150)</f>
        <v/>
      </c>
      <c r="K945" s="37" t="str">
        <f>IF(Agent05_Withdrawals!A150="","",Agent05_Withdrawals!K150)</f>
        <v/>
      </c>
      <c r="L945" s="37" t="str">
        <f>IF(G945="","",IF(D945-G945&gt;=System_Config!$B$9,"✅ OK","⚠️ BREACH"))</f>
        <v/>
      </c>
      <c r="M945" s="37" t="str">
        <f>IFERROR(IF(Agent05_Withdrawals!A150="","",YEAR(Agent05_Withdrawals!D150)),"")</f>
        <v/>
      </c>
    </row>
    <row r="946" spans="1:13" ht="18" customHeight="1" x14ac:dyDescent="0.25">
      <c r="A946" s="37" t="str">
        <f>IF(Agent05_Withdrawals!A151="","",Agent05_Withdrawals!A151)</f>
        <v/>
      </c>
      <c r="B946" s="37" t="str">
        <f ca="1">IF(Agent05_Withdrawals!A151="","","WD"&amp;TEXT(946-3,"0000")&amp;"-"&amp;TEXT(TODAY(),"YYYYMMDD"))</f>
        <v/>
      </c>
      <c r="C946" s="37" t="str">
        <f>IF(Agent05_Withdrawals!A151="","",Agent05_Withdrawals!B151)</f>
        <v/>
      </c>
      <c r="D946" s="40" t="str">
        <f>IF(Agent05_Withdrawals!A151="","",Agent05_Withdrawals!C151)</f>
        <v/>
      </c>
      <c r="E946" s="38" t="str">
        <f>IF(Agent05_Withdrawals!A151="","",Agent05_Withdrawals!D151)</f>
        <v/>
      </c>
      <c r="F946" s="37" t="str">
        <f>IF(Agent05_Withdrawals!A151="","",Agent05_Withdrawals!F151)</f>
        <v/>
      </c>
      <c r="G946" s="39" t="str">
        <f>IF(Agent05_Withdrawals!A151="","",Agent05_Withdrawals!E151)</f>
        <v/>
      </c>
      <c r="H946" s="39" t="str">
        <f>IF(Agent05_Withdrawals!A151="","",Agent05_Withdrawals!G151)</f>
        <v/>
      </c>
      <c r="I946" s="37" t="str">
        <f>IF(Agent05_Withdrawals!A151="","",Agent05_Withdrawals!H151)</f>
        <v/>
      </c>
      <c r="J946" s="37" t="str">
        <f>IF(Agent05_Withdrawals!A151="","",Agent05_Withdrawals!J151)</f>
        <v/>
      </c>
      <c r="K946" s="37" t="str">
        <f>IF(Agent05_Withdrawals!A151="","",Agent05_Withdrawals!K151)</f>
        <v/>
      </c>
      <c r="L946" s="37" t="str">
        <f>IF(G946="","",IF(D946-G946&gt;=System_Config!$B$9,"✅ OK","⚠️ BREACH"))</f>
        <v/>
      </c>
      <c r="M946" s="37" t="str">
        <f>IFERROR(IF(Agent05_Withdrawals!A151="","",YEAR(Agent05_Withdrawals!D151)),"")</f>
        <v/>
      </c>
    </row>
    <row r="947" spans="1:13" ht="18" customHeight="1" x14ac:dyDescent="0.25">
      <c r="A947" s="37" t="str">
        <f>IF(Agent05_Withdrawals!A152="","",Agent05_Withdrawals!A152)</f>
        <v/>
      </c>
      <c r="B947" s="37" t="str">
        <f ca="1">IF(Agent05_Withdrawals!A152="","","WD"&amp;TEXT(947-3,"0000")&amp;"-"&amp;TEXT(TODAY(),"YYYYMMDD"))</f>
        <v/>
      </c>
      <c r="C947" s="37" t="str">
        <f>IF(Agent05_Withdrawals!A152="","",Agent05_Withdrawals!B152)</f>
        <v/>
      </c>
      <c r="D947" s="40" t="str">
        <f>IF(Agent05_Withdrawals!A152="","",Agent05_Withdrawals!C152)</f>
        <v/>
      </c>
      <c r="E947" s="38" t="str">
        <f>IF(Agent05_Withdrawals!A152="","",Agent05_Withdrawals!D152)</f>
        <v/>
      </c>
      <c r="F947" s="37" t="str">
        <f>IF(Agent05_Withdrawals!A152="","",Agent05_Withdrawals!F152)</f>
        <v/>
      </c>
      <c r="G947" s="39" t="str">
        <f>IF(Agent05_Withdrawals!A152="","",Agent05_Withdrawals!E152)</f>
        <v/>
      </c>
      <c r="H947" s="39" t="str">
        <f>IF(Agent05_Withdrawals!A152="","",Agent05_Withdrawals!G152)</f>
        <v/>
      </c>
      <c r="I947" s="37" t="str">
        <f>IF(Agent05_Withdrawals!A152="","",Agent05_Withdrawals!H152)</f>
        <v/>
      </c>
      <c r="J947" s="37" t="str">
        <f>IF(Agent05_Withdrawals!A152="","",Agent05_Withdrawals!J152)</f>
        <v/>
      </c>
      <c r="K947" s="37" t="str">
        <f>IF(Agent05_Withdrawals!A152="","",Agent05_Withdrawals!K152)</f>
        <v/>
      </c>
      <c r="L947" s="37" t="str">
        <f>IF(G947="","",IF(D947-G947&gt;=System_Config!$B$9,"✅ OK","⚠️ BREACH"))</f>
        <v/>
      </c>
      <c r="M947" s="37" t="str">
        <f>IFERROR(IF(Agent05_Withdrawals!A152="","",YEAR(Agent05_Withdrawals!D152)),"")</f>
        <v/>
      </c>
    </row>
    <row r="948" spans="1:13" ht="18" customHeight="1" x14ac:dyDescent="0.25">
      <c r="A948" s="37" t="str">
        <f>IF(Agent05_Withdrawals!A153="","",Agent05_Withdrawals!A153)</f>
        <v/>
      </c>
      <c r="B948" s="37" t="str">
        <f ca="1">IF(Agent05_Withdrawals!A153="","","WD"&amp;TEXT(948-3,"0000")&amp;"-"&amp;TEXT(TODAY(),"YYYYMMDD"))</f>
        <v/>
      </c>
      <c r="C948" s="37" t="str">
        <f>IF(Agent05_Withdrawals!A153="","",Agent05_Withdrawals!B153)</f>
        <v/>
      </c>
      <c r="D948" s="40" t="str">
        <f>IF(Agent05_Withdrawals!A153="","",Agent05_Withdrawals!C153)</f>
        <v/>
      </c>
      <c r="E948" s="38" t="str">
        <f>IF(Agent05_Withdrawals!A153="","",Agent05_Withdrawals!D153)</f>
        <v/>
      </c>
      <c r="F948" s="37" t="str">
        <f>IF(Agent05_Withdrawals!A153="","",Agent05_Withdrawals!F153)</f>
        <v/>
      </c>
      <c r="G948" s="39" t="str">
        <f>IF(Agent05_Withdrawals!A153="","",Agent05_Withdrawals!E153)</f>
        <v/>
      </c>
      <c r="H948" s="39" t="str">
        <f>IF(Agent05_Withdrawals!A153="","",Agent05_Withdrawals!G153)</f>
        <v/>
      </c>
      <c r="I948" s="37" t="str">
        <f>IF(Agent05_Withdrawals!A153="","",Agent05_Withdrawals!H153)</f>
        <v/>
      </c>
      <c r="J948" s="37" t="str">
        <f>IF(Agent05_Withdrawals!A153="","",Agent05_Withdrawals!J153)</f>
        <v/>
      </c>
      <c r="K948" s="37" t="str">
        <f>IF(Agent05_Withdrawals!A153="","",Agent05_Withdrawals!K153)</f>
        <v/>
      </c>
      <c r="L948" s="37" t="str">
        <f>IF(G948="","",IF(D948-G948&gt;=System_Config!$B$9,"✅ OK","⚠️ BREACH"))</f>
        <v/>
      </c>
      <c r="M948" s="37" t="str">
        <f>IFERROR(IF(Agent05_Withdrawals!A153="","",YEAR(Agent05_Withdrawals!D153)),"")</f>
        <v/>
      </c>
    </row>
    <row r="949" spans="1:13" ht="18" customHeight="1" x14ac:dyDescent="0.25">
      <c r="A949" s="37" t="str">
        <f>IF(Agent05_Withdrawals!A154="","",Agent05_Withdrawals!A154)</f>
        <v/>
      </c>
      <c r="B949" s="37" t="str">
        <f ca="1">IF(Agent05_Withdrawals!A154="","","WD"&amp;TEXT(949-3,"0000")&amp;"-"&amp;TEXT(TODAY(),"YYYYMMDD"))</f>
        <v/>
      </c>
      <c r="C949" s="37" t="str">
        <f>IF(Agent05_Withdrawals!A154="","",Agent05_Withdrawals!B154)</f>
        <v/>
      </c>
      <c r="D949" s="40" t="str">
        <f>IF(Agent05_Withdrawals!A154="","",Agent05_Withdrawals!C154)</f>
        <v/>
      </c>
      <c r="E949" s="38" t="str">
        <f>IF(Agent05_Withdrawals!A154="","",Agent05_Withdrawals!D154)</f>
        <v/>
      </c>
      <c r="F949" s="37" t="str">
        <f>IF(Agent05_Withdrawals!A154="","",Agent05_Withdrawals!F154)</f>
        <v/>
      </c>
      <c r="G949" s="39" t="str">
        <f>IF(Agent05_Withdrawals!A154="","",Agent05_Withdrawals!E154)</f>
        <v/>
      </c>
      <c r="H949" s="39" t="str">
        <f>IF(Agent05_Withdrawals!A154="","",Agent05_Withdrawals!G154)</f>
        <v/>
      </c>
      <c r="I949" s="37" t="str">
        <f>IF(Agent05_Withdrawals!A154="","",Agent05_Withdrawals!H154)</f>
        <v/>
      </c>
      <c r="J949" s="37" t="str">
        <f>IF(Agent05_Withdrawals!A154="","",Agent05_Withdrawals!J154)</f>
        <v/>
      </c>
      <c r="K949" s="37" t="str">
        <f>IF(Agent05_Withdrawals!A154="","",Agent05_Withdrawals!K154)</f>
        <v/>
      </c>
      <c r="L949" s="37" t="str">
        <f>IF(G949="","",IF(D949-G949&gt;=System_Config!$B$9,"✅ OK","⚠️ BREACH"))</f>
        <v/>
      </c>
      <c r="M949" s="37" t="str">
        <f>IFERROR(IF(Agent05_Withdrawals!A154="","",YEAR(Agent05_Withdrawals!D154)),"")</f>
        <v/>
      </c>
    </row>
    <row r="950" spans="1:13" ht="18" customHeight="1" x14ac:dyDescent="0.25">
      <c r="A950" s="37" t="str">
        <f>IF(Agent05_Withdrawals!A155="","",Agent05_Withdrawals!A155)</f>
        <v/>
      </c>
      <c r="B950" s="37" t="str">
        <f ca="1">IF(Agent05_Withdrawals!A155="","","WD"&amp;TEXT(950-3,"0000")&amp;"-"&amp;TEXT(TODAY(),"YYYYMMDD"))</f>
        <v/>
      </c>
      <c r="C950" s="37" t="str">
        <f>IF(Agent05_Withdrawals!A155="","",Agent05_Withdrawals!B155)</f>
        <v/>
      </c>
      <c r="D950" s="40" t="str">
        <f>IF(Agent05_Withdrawals!A155="","",Agent05_Withdrawals!C155)</f>
        <v/>
      </c>
      <c r="E950" s="38" t="str">
        <f>IF(Agent05_Withdrawals!A155="","",Agent05_Withdrawals!D155)</f>
        <v/>
      </c>
      <c r="F950" s="37" t="str">
        <f>IF(Agent05_Withdrawals!A155="","",Agent05_Withdrawals!F155)</f>
        <v/>
      </c>
      <c r="G950" s="39" t="str">
        <f>IF(Agent05_Withdrawals!A155="","",Agent05_Withdrawals!E155)</f>
        <v/>
      </c>
      <c r="H950" s="39" t="str">
        <f>IF(Agent05_Withdrawals!A155="","",Agent05_Withdrawals!G155)</f>
        <v/>
      </c>
      <c r="I950" s="37" t="str">
        <f>IF(Agent05_Withdrawals!A155="","",Agent05_Withdrawals!H155)</f>
        <v/>
      </c>
      <c r="J950" s="37" t="str">
        <f>IF(Agent05_Withdrawals!A155="","",Agent05_Withdrawals!J155)</f>
        <v/>
      </c>
      <c r="K950" s="37" t="str">
        <f>IF(Agent05_Withdrawals!A155="","",Agent05_Withdrawals!K155)</f>
        <v/>
      </c>
      <c r="L950" s="37" t="str">
        <f>IF(G950="","",IF(D950-G950&gt;=System_Config!$B$9,"✅ OK","⚠️ BREACH"))</f>
        <v/>
      </c>
      <c r="M950" s="37" t="str">
        <f>IFERROR(IF(Agent05_Withdrawals!A155="","",YEAR(Agent05_Withdrawals!D155)),"")</f>
        <v/>
      </c>
    </row>
    <row r="951" spans="1:13" ht="18" customHeight="1" x14ac:dyDescent="0.25">
      <c r="A951" s="37" t="str">
        <f>IF(Agent05_Withdrawals!A156="","",Agent05_Withdrawals!A156)</f>
        <v/>
      </c>
      <c r="B951" s="37" t="str">
        <f ca="1">IF(Agent05_Withdrawals!A156="","","WD"&amp;TEXT(951-3,"0000")&amp;"-"&amp;TEXT(TODAY(),"YYYYMMDD"))</f>
        <v/>
      </c>
      <c r="C951" s="37" t="str">
        <f>IF(Agent05_Withdrawals!A156="","",Agent05_Withdrawals!B156)</f>
        <v/>
      </c>
      <c r="D951" s="40" t="str">
        <f>IF(Agent05_Withdrawals!A156="","",Agent05_Withdrawals!C156)</f>
        <v/>
      </c>
      <c r="E951" s="38" t="str">
        <f>IF(Agent05_Withdrawals!A156="","",Agent05_Withdrawals!D156)</f>
        <v/>
      </c>
      <c r="F951" s="37" t="str">
        <f>IF(Agent05_Withdrawals!A156="","",Agent05_Withdrawals!F156)</f>
        <v/>
      </c>
      <c r="G951" s="39" t="str">
        <f>IF(Agent05_Withdrawals!A156="","",Agent05_Withdrawals!E156)</f>
        <v/>
      </c>
      <c r="H951" s="39" t="str">
        <f>IF(Agent05_Withdrawals!A156="","",Agent05_Withdrawals!G156)</f>
        <v/>
      </c>
      <c r="I951" s="37" t="str">
        <f>IF(Agent05_Withdrawals!A156="","",Agent05_Withdrawals!H156)</f>
        <v/>
      </c>
      <c r="J951" s="37" t="str">
        <f>IF(Agent05_Withdrawals!A156="","",Agent05_Withdrawals!J156)</f>
        <v/>
      </c>
      <c r="K951" s="37" t="str">
        <f>IF(Agent05_Withdrawals!A156="","",Agent05_Withdrawals!K156)</f>
        <v/>
      </c>
      <c r="L951" s="37" t="str">
        <f>IF(G951="","",IF(D951-G951&gt;=System_Config!$B$9,"✅ OK","⚠️ BREACH"))</f>
        <v/>
      </c>
      <c r="M951" s="37" t="str">
        <f>IFERROR(IF(Agent05_Withdrawals!A156="","",YEAR(Agent05_Withdrawals!D156)),"")</f>
        <v/>
      </c>
    </row>
    <row r="952" spans="1:13" ht="18" customHeight="1" x14ac:dyDescent="0.25">
      <c r="A952" s="37" t="str">
        <f>IF(Agent05_Withdrawals!A157="","",Agent05_Withdrawals!A157)</f>
        <v/>
      </c>
      <c r="B952" s="37" t="str">
        <f ca="1">IF(Agent05_Withdrawals!A157="","","WD"&amp;TEXT(952-3,"0000")&amp;"-"&amp;TEXT(TODAY(),"YYYYMMDD"))</f>
        <v/>
      </c>
      <c r="C952" s="37" t="str">
        <f>IF(Agent05_Withdrawals!A157="","",Agent05_Withdrawals!B157)</f>
        <v/>
      </c>
      <c r="D952" s="40" t="str">
        <f>IF(Agent05_Withdrawals!A157="","",Agent05_Withdrawals!C157)</f>
        <v/>
      </c>
      <c r="E952" s="38" t="str">
        <f>IF(Agent05_Withdrawals!A157="","",Agent05_Withdrawals!D157)</f>
        <v/>
      </c>
      <c r="F952" s="37" t="str">
        <f>IF(Agent05_Withdrawals!A157="","",Agent05_Withdrawals!F157)</f>
        <v/>
      </c>
      <c r="G952" s="39" t="str">
        <f>IF(Agent05_Withdrawals!A157="","",Agent05_Withdrawals!E157)</f>
        <v/>
      </c>
      <c r="H952" s="39" t="str">
        <f>IF(Agent05_Withdrawals!A157="","",Agent05_Withdrawals!G157)</f>
        <v/>
      </c>
      <c r="I952" s="37" t="str">
        <f>IF(Agent05_Withdrawals!A157="","",Agent05_Withdrawals!H157)</f>
        <v/>
      </c>
      <c r="J952" s="37" t="str">
        <f>IF(Agent05_Withdrawals!A157="","",Agent05_Withdrawals!J157)</f>
        <v/>
      </c>
      <c r="K952" s="37" t="str">
        <f>IF(Agent05_Withdrawals!A157="","",Agent05_Withdrawals!K157)</f>
        <v/>
      </c>
      <c r="L952" s="37" t="str">
        <f>IF(G952="","",IF(D952-G952&gt;=System_Config!$B$9,"✅ OK","⚠️ BREACH"))</f>
        <v/>
      </c>
      <c r="M952" s="37" t="str">
        <f>IFERROR(IF(Agent05_Withdrawals!A157="","",YEAR(Agent05_Withdrawals!D157)),"")</f>
        <v/>
      </c>
    </row>
    <row r="953" spans="1:13" ht="18" customHeight="1" x14ac:dyDescent="0.25">
      <c r="A953" s="37" t="str">
        <f>IF(Agent05_Withdrawals!A158="","",Agent05_Withdrawals!A158)</f>
        <v/>
      </c>
      <c r="B953" s="37" t="str">
        <f ca="1">IF(Agent05_Withdrawals!A158="","","WD"&amp;TEXT(953-3,"0000")&amp;"-"&amp;TEXT(TODAY(),"YYYYMMDD"))</f>
        <v/>
      </c>
      <c r="C953" s="37" t="str">
        <f>IF(Agent05_Withdrawals!A158="","",Agent05_Withdrawals!B158)</f>
        <v/>
      </c>
      <c r="D953" s="40" t="str">
        <f>IF(Agent05_Withdrawals!A158="","",Agent05_Withdrawals!C158)</f>
        <v/>
      </c>
      <c r="E953" s="38" t="str">
        <f>IF(Agent05_Withdrawals!A158="","",Agent05_Withdrawals!D158)</f>
        <v/>
      </c>
      <c r="F953" s="37" t="str">
        <f>IF(Agent05_Withdrawals!A158="","",Agent05_Withdrawals!F158)</f>
        <v/>
      </c>
      <c r="G953" s="39" t="str">
        <f>IF(Agent05_Withdrawals!A158="","",Agent05_Withdrawals!E158)</f>
        <v/>
      </c>
      <c r="H953" s="39" t="str">
        <f>IF(Agent05_Withdrawals!A158="","",Agent05_Withdrawals!G158)</f>
        <v/>
      </c>
      <c r="I953" s="37" t="str">
        <f>IF(Agent05_Withdrawals!A158="","",Agent05_Withdrawals!H158)</f>
        <v/>
      </c>
      <c r="J953" s="37" t="str">
        <f>IF(Agent05_Withdrawals!A158="","",Agent05_Withdrawals!J158)</f>
        <v/>
      </c>
      <c r="K953" s="37" t="str">
        <f>IF(Agent05_Withdrawals!A158="","",Agent05_Withdrawals!K158)</f>
        <v/>
      </c>
      <c r="L953" s="37" t="str">
        <f>IF(G953="","",IF(D953-G953&gt;=System_Config!$B$9,"✅ OK","⚠️ BREACH"))</f>
        <v/>
      </c>
      <c r="M953" s="37" t="str">
        <f>IFERROR(IF(Agent05_Withdrawals!A158="","",YEAR(Agent05_Withdrawals!D158)),"")</f>
        <v/>
      </c>
    </row>
    <row r="954" spans="1:13" ht="18" customHeight="1" x14ac:dyDescent="0.25">
      <c r="A954" s="37" t="str">
        <f>IF(Agent05_Withdrawals!A159="","",Agent05_Withdrawals!A159)</f>
        <v/>
      </c>
      <c r="B954" s="37" t="str">
        <f ca="1">IF(Agent05_Withdrawals!A159="","","WD"&amp;TEXT(954-3,"0000")&amp;"-"&amp;TEXT(TODAY(),"YYYYMMDD"))</f>
        <v/>
      </c>
      <c r="C954" s="37" t="str">
        <f>IF(Agent05_Withdrawals!A159="","",Agent05_Withdrawals!B159)</f>
        <v/>
      </c>
      <c r="D954" s="40" t="str">
        <f>IF(Agent05_Withdrawals!A159="","",Agent05_Withdrawals!C159)</f>
        <v/>
      </c>
      <c r="E954" s="38" t="str">
        <f>IF(Agent05_Withdrawals!A159="","",Agent05_Withdrawals!D159)</f>
        <v/>
      </c>
      <c r="F954" s="37" t="str">
        <f>IF(Agent05_Withdrawals!A159="","",Agent05_Withdrawals!F159)</f>
        <v/>
      </c>
      <c r="G954" s="39" t="str">
        <f>IF(Agent05_Withdrawals!A159="","",Agent05_Withdrawals!E159)</f>
        <v/>
      </c>
      <c r="H954" s="39" t="str">
        <f>IF(Agent05_Withdrawals!A159="","",Agent05_Withdrawals!G159)</f>
        <v/>
      </c>
      <c r="I954" s="37" t="str">
        <f>IF(Agent05_Withdrawals!A159="","",Agent05_Withdrawals!H159)</f>
        <v/>
      </c>
      <c r="J954" s="37" t="str">
        <f>IF(Agent05_Withdrawals!A159="","",Agent05_Withdrawals!J159)</f>
        <v/>
      </c>
      <c r="K954" s="37" t="str">
        <f>IF(Agent05_Withdrawals!A159="","",Agent05_Withdrawals!K159)</f>
        <v/>
      </c>
      <c r="L954" s="37" t="str">
        <f>IF(G954="","",IF(D954-G954&gt;=System_Config!$B$9,"✅ OK","⚠️ BREACH"))</f>
        <v/>
      </c>
      <c r="M954" s="37" t="str">
        <f>IFERROR(IF(Agent05_Withdrawals!A159="","",YEAR(Agent05_Withdrawals!D159)),"")</f>
        <v/>
      </c>
    </row>
    <row r="955" spans="1:13" ht="18" customHeight="1" x14ac:dyDescent="0.25">
      <c r="A955" s="37" t="str">
        <f>IF(Agent05_Withdrawals!A160="","",Agent05_Withdrawals!A160)</f>
        <v/>
      </c>
      <c r="B955" s="37" t="str">
        <f ca="1">IF(Agent05_Withdrawals!A160="","","WD"&amp;TEXT(955-3,"0000")&amp;"-"&amp;TEXT(TODAY(),"YYYYMMDD"))</f>
        <v/>
      </c>
      <c r="C955" s="37" t="str">
        <f>IF(Agent05_Withdrawals!A160="","",Agent05_Withdrawals!B160)</f>
        <v/>
      </c>
      <c r="D955" s="40" t="str">
        <f>IF(Agent05_Withdrawals!A160="","",Agent05_Withdrawals!C160)</f>
        <v/>
      </c>
      <c r="E955" s="38" t="str">
        <f>IF(Agent05_Withdrawals!A160="","",Agent05_Withdrawals!D160)</f>
        <v/>
      </c>
      <c r="F955" s="37" t="str">
        <f>IF(Agent05_Withdrawals!A160="","",Agent05_Withdrawals!F160)</f>
        <v/>
      </c>
      <c r="G955" s="39" t="str">
        <f>IF(Agent05_Withdrawals!A160="","",Agent05_Withdrawals!E160)</f>
        <v/>
      </c>
      <c r="H955" s="39" t="str">
        <f>IF(Agent05_Withdrawals!A160="","",Agent05_Withdrawals!G160)</f>
        <v/>
      </c>
      <c r="I955" s="37" t="str">
        <f>IF(Agent05_Withdrawals!A160="","",Agent05_Withdrawals!H160)</f>
        <v/>
      </c>
      <c r="J955" s="37" t="str">
        <f>IF(Agent05_Withdrawals!A160="","",Agent05_Withdrawals!J160)</f>
        <v/>
      </c>
      <c r="K955" s="37" t="str">
        <f>IF(Agent05_Withdrawals!A160="","",Agent05_Withdrawals!K160)</f>
        <v/>
      </c>
      <c r="L955" s="37" t="str">
        <f>IF(G955="","",IF(D955-G955&gt;=System_Config!$B$9,"✅ OK","⚠️ BREACH"))</f>
        <v/>
      </c>
      <c r="M955" s="37" t="str">
        <f>IFERROR(IF(Agent05_Withdrawals!A160="","",YEAR(Agent05_Withdrawals!D160)),"")</f>
        <v/>
      </c>
    </row>
    <row r="956" spans="1:13" ht="18" customHeight="1" x14ac:dyDescent="0.25">
      <c r="A956" s="37" t="str">
        <f>IF(Agent05_Withdrawals!A161="","",Agent05_Withdrawals!A161)</f>
        <v/>
      </c>
      <c r="B956" s="37" t="str">
        <f ca="1">IF(Agent05_Withdrawals!A161="","","WD"&amp;TEXT(956-3,"0000")&amp;"-"&amp;TEXT(TODAY(),"YYYYMMDD"))</f>
        <v/>
      </c>
      <c r="C956" s="37" t="str">
        <f>IF(Agent05_Withdrawals!A161="","",Agent05_Withdrawals!B161)</f>
        <v/>
      </c>
      <c r="D956" s="40" t="str">
        <f>IF(Agent05_Withdrawals!A161="","",Agent05_Withdrawals!C161)</f>
        <v/>
      </c>
      <c r="E956" s="38" t="str">
        <f>IF(Agent05_Withdrawals!A161="","",Agent05_Withdrawals!D161)</f>
        <v/>
      </c>
      <c r="F956" s="37" t="str">
        <f>IF(Agent05_Withdrawals!A161="","",Agent05_Withdrawals!F161)</f>
        <v/>
      </c>
      <c r="G956" s="39" t="str">
        <f>IF(Agent05_Withdrawals!A161="","",Agent05_Withdrawals!E161)</f>
        <v/>
      </c>
      <c r="H956" s="39" t="str">
        <f>IF(Agent05_Withdrawals!A161="","",Agent05_Withdrawals!G161)</f>
        <v/>
      </c>
      <c r="I956" s="37" t="str">
        <f>IF(Agent05_Withdrawals!A161="","",Agent05_Withdrawals!H161)</f>
        <v/>
      </c>
      <c r="J956" s="37" t="str">
        <f>IF(Agent05_Withdrawals!A161="","",Agent05_Withdrawals!J161)</f>
        <v/>
      </c>
      <c r="K956" s="37" t="str">
        <f>IF(Agent05_Withdrawals!A161="","",Agent05_Withdrawals!K161)</f>
        <v/>
      </c>
      <c r="L956" s="37" t="str">
        <f>IF(G956="","",IF(D956-G956&gt;=System_Config!$B$9,"✅ OK","⚠️ BREACH"))</f>
        <v/>
      </c>
      <c r="M956" s="37" t="str">
        <f>IFERROR(IF(Agent05_Withdrawals!A161="","",YEAR(Agent05_Withdrawals!D161)),"")</f>
        <v/>
      </c>
    </row>
    <row r="957" spans="1:13" ht="18" customHeight="1" x14ac:dyDescent="0.25">
      <c r="A957" s="37" t="str">
        <f>IF(Agent05_Withdrawals!A162="","",Agent05_Withdrawals!A162)</f>
        <v/>
      </c>
      <c r="B957" s="37" t="str">
        <f ca="1">IF(Agent05_Withdrawals!A162="","","WD"&amp;TEXT(957-3,"0000")&amp;"-"&amp;TEXT(TODAY(),"YYYYMMDD"))</f>
        <v/>
      </c>
      <c r="C957" s="37" t="str">
        <f>IF(Agent05_Withdrawals!A162="","",Agent05_Withdrawals!B162)</f>
        <v/>
      </c>
      <c r="D957" s="40" t="str">
        <f>IF(Agent05_Withdrawals!A162="","",Agent05_Withdrawals!C162)</f>
        <v/>
      </c>
      <c r="E957" s="38" t="str">
        <f>IF(Agent05_Withdrawals!A162="","",Agent05_Withdrawals!D162)</f>
        <v/>
      </c>
      <c r="F957" s="37" t="str">
        <f>IF(Agent05_Withdrawals!A162="","",Agent05_Withdrawals!F162)</f>
        <v/>
      </c>
      <c r="G957" s="39" t="str">
        <f>IF(Agent05_Withdrawals!A162="","",Agent05_Withdrawals!E162)</f>
        <v/>
      </c>
      <c r="H957" s="39" t="str">
        <f>IF(Agent05_Withdrawals!A162="","",Agent05_Withdrawals!G162)</f>
        <v/>
      </c>
      <c r="I957" s="37" t="str">
        <f>IF(Agent05_Withdrawals!A162="","",Agent05_Withdrawals!H162)</f>
        <v/>
      </c>
      <c r="J957" s="37" t="str">
        <f>IF(Agent05_Withdrawals!A162="","",Agent05_Withdrawals!J162)</f>
        <v/>
      </c>
      <c r="K957" s="37" t="str">
        <f>IF(Agent05_Withdrawals!A162="","",Agent05_Withdrawals!K162)</f>
        <v/>
      </c>
      <c r="L957" s="37" t="str">
        <f>IF(G957="","",IF(D957-G957&gt;=System_Config!$B$9,"✅ OK","⚠️ BREACH"))</f>
        <v/>
      </c>
      <c r="M957" s="37" t="str">
        <f>IFERROR(IF(Agent05_Withdrawals!A162="","",YEAR(Agent05_Withdrawals!D162)),"")</f>
        <v/>
      </c>
    </row>
    <row r="958" spans="1:13" ht="18" customHeight="1" x14ac:dyDescent="0.25">
      <c r="A958" s="37" t="str">
        <f>IF(Agent05_Withdrawals!A163="","",Agent05_Withdrawals!A163)</f>
        <v/>
      </c>
      <c r="B958" s="37" t="str">
        <f ca="1">IF(Agent05_Withdrawals!A163="","","WD"&amp;TEXT(958-3,"0000")&amp;"-"&amp;TEXT(TODAY(),"YYYYMMDD"))</f>
        <v/>
      </c>
      <c r="C958" s="37" t="str">
        <f>IF(Agent05_Withdrawals!A163="","",Agent05_Withdrawals!B163)</f>
        <v/>
      </c>
      <c r="D958" s="40" t="str">
        <f>IF(Agent05_Withdrawals!A163="","",Agent05_Withdrawals!C163)</f>
        <v/>
      </c>
      <c r="E958" s="38" t="str">
        <f>IF(Agent05_Withdrawals!A163="","",Agent05_Withdrawals!D163)</f>
        <v/>
      </c>
      <c r="F958" s="37" t="str">
        <f>IF(Agent05_Withdrawals!A163="","",Agent05_Withdrawals!F163)</f>
        <v/>
      </c>
      <c r="G958" s="39" t="str">
        <f>IF(Agent05_Withdrawals!A163="","",Agent05_Withdrawals!E163)</f>
        <v/>
      </c>
      <c r="H958" s="39" t="str">
        <f>IF(Agent05_Withdrawals!A163="","",Agent05_Withdrawals!G163)</f>
        <v/>
      </c>
      <c r="I958" s="37" t="str">
        <f>IF(Agent05_Withdrawals!A163="","",Agent05_Withdrawals!H163)</f>
        <v/>
      </c>
      <c r="J958" s="37" t="str">
        <f>IF(Agent05_Withdrawals!A163="","",Agent05_Withdrawals!J163)</f>
        <v/>
      </c>
      <c r="K958" s="37" t="str">
        <f>IF(Agent05_Withdrawals!A163="","",Agent05_Withdrawals!K163)</f>
        <v/>
      </c>
      <c r="L958" s="37" t="str">
        <f>IF(G958="","",IF(D958-G958&gt;=System_Config!$B$9,"✅ OK","⚠️ BREACH"))</f>
        <v/>
      </c>
      <c r="M958" s="37" t="str">
        <f>IFERROR(IF(Agent05_Withdrawals!A163="","",YEAR(Agent05_Withdrawals!D163)),"")</f>
        <v/>
      </c>
    </row>
    <row r="959" spans="1:13" ht="18" customHeight="1" x14ac:dyDescent="0.25">
      <c r="A959" s="37" t="str">
        <f>IF(Agent05_Withdrawals!A164="","",Agent05_Withdrawals!A164)</f>
        <v/>
      </c>
      <c r="B959" s="37" t="str">
        <f ca="1">IF(Agent05_Withdrawals!A164="","","WD"&amp;TEXT(959-3,"0000")&amp;"-"&amp;TEXT(TODAY(),"YYYYMMDD"))</f>
        <v/>
      </c>
      <c r="C959" s="37" t="str">
        <f>IF(Agent05_Withdrawals!A164="","",Agent05_Withdrawals!B164)</f>
        <v/>
      </c>
      <c r="D959" s="40" t="str">
        <f>IF(Agent05_Withdrawals!A164="","",Agent05_Withdrawals!C164)</f>
        <v/>
      </c>
      <c r="E959" s="38" t="str">
        <f>IF(Agent05_Withdrawals!A164="","",Agent05_Withdrawals!D164)</f>
        <v/>
      </c>
      <c r="F959" s="37" t="str">
        <f>IF(Agent05_Withdrawals!A164="","",Agent05_Withdrawals!F164)</f>
        <v/>
      </c>
      <c r="G959" s="39" t="str">
        <f>IF(Agent05_Withdrawals!A164="","",Agent05_Withdrawals!E164)</f>
        <v/>
      </c>
      <c r="H959" s="39" t="str">
        <f>IF(Agent05_Withdrawals!A164="","",Agent05_Withdrawals!G164)</f>
        <v/>
      </c>
      <c r="I959" s="37" t="str">
        <f>IF(Agent05_Withdrawals!A164="","",Agent05_Withdrawals!H164)</f>
        <v/>
      </c>
      <c r="J959" s="37" t="str">
        <f>IF(Agent05_Withdrawals!A164="","",Agent05_Withdrawals!J164)</f>
        <v/>
      </c>
      <c r="K959" s="37" t="str">
        <f>IF(Agent05_Withdrawals!A164="","",Agent05_Withdrawals!K164)</f>
        <v/>
      </c>
      <c r="L959" s="37" t="str">
        <f>IF(G959="","",IF(D959-G959&gt;=System_Config!$B$9,"✅ OK","⚠️ BREACH"))</f>
        <v/>
      </c>
      <c r="M959" s="37" t="str">
        <f>IFERROR(IF(Agent05_Withdrawals!A164="","",YEAR(Agent05_Withdrawals!D164)),"")</f>
        <v/>
      </c>
    </row>
    <row r="960" spans="1:13" ht="18" customHeight="1" x14ac:dyDescent="0.25">
      <c r="A960" s="37" t="str">
        <f>IF(Agent05_Withdrawals!A165="","",Agent05_Withdrawals!A165)</f>
        <v/>
      </c>
      <c r="B960" s="37" t="str">
        <f ca="1">IF(Agent05_Withdrawals!A165="","","WD"&amp;TEXT(960-3,"0000")&amp;"-"&amp;TEXT(TODAY(),"YYYYMMDD"))</f>
        <v/>
      </c>
      <c r="C960" s="37" t="str">
        <f>IF(Agent05_Withdrawals!A165="","",Agent05_Withdrawals!B165)</f>
        <v/>
      </c>
      <c r="D960" s="40" t="str">
        <f>IF(Agent05_Withdrawals!A165="","",Agent05_Withdrawals!C165)</f>
        <v/>
      </c>
      <c r="E960" s="38" t="str">
        <f>IF(Agent05_Withdrawals!A165="","",Agent05_Withdrawals!D165)</f>
        <v/>
      </c>
      <c r="F960" s="37" t="str">
        <f>IF(Agent05_Withdrawals!A165="","",Agent05_Withdrawals!F165)</f>
        <v/>
      </c>
      <c r="G960" s="39" t="str">
        <f>IF(Agent05_Withdrawals!A165="","",Agent05_Withdrawals!E165)</f>
        <v/>
      </c>
      <c r="H960" s="39" t="str">
        <f>IF(Agent05_Withdrawals!A165="","",Agent05_Withdrawals!G165)</f>
        <v/>
      </c>
      <c r="I960" s="37" t="str">
        <f>IF(Agent05_Withdrawals!A165="","",Agent05_Withdrawals!H165)</f>
        <v/>
      </c>
      <c r="J960" s="37" t="str">
        <f>IF(Agent05_Withdrawals!A165="","",Agent05_Withdrawals!J165)</f>
        <v/>
      </c>
      <c r="K960" s="37" t="str">
        <f>IF(Agent05_Withdrawals!A165="","",Agent05_Withdrawals!K165)</f>
        <v/>
      </c>
      <c r="L960" s="37" t="str">
        <f>IF(G960="","",IF(D960-G960&gt;=System_Config!$B$9,"✅ OK","⚠️ BREACH"))</f>
        <v/>
      </c>
      <c r="M960" s="37" t="str">
        <f>IFERROR(IF(Agent05_Withdrawals!A165="","",YEAR(Agent05_Withdrawals!D165)),"")</f>
        <v/>
      </c>
    </row>
    <row r="961" spans="1:13" ht="18" customHeight="1" x14ac:dyDescent="0.25">
      <c r="A961" s="37" t="str">
        <f>IF(Agent05_Withdrawals!A166="","",Agent05_Withdrawals!A166)</f>
        <v/>
      </c>
      <c r="B961" s="37" t="str">
        <f ca="1">IF(Agent05_Withdrawals!A166="","","WD"&amp;TEXT(961-3,"0000")&amp;"-"&amp;TEXT(TODAY(),"YYYYMMDD"))</f>
        <v/>
      </c>
      <c r="C961" s="37" t="str">
        <f>IF(Agent05_Withdrawals!A166="","",Agent05_Withdrawals!B166)</f>
        <v/>
      </c>
      <c r="D961" s="40" t="str">
        <f>IF(Agent05_Withdrawals!A166="","",Agent05_Withdrawals!C166)</f>
        <v/>
      </c>
      <c r="E961" s="38" t="str">
        <f>IF(Agent05_Withdrawals!A166="","",Agent05_Withdrawals!D166)</f>
        <v/>
      </c>
      <c r="F961" s="37" t="str">
        <f>IF(Agent05_Withdrawals!A166="","",Agent05_Withdrawals!F166)</f>
        <v/>
      </c>
      <c r="G961" s="39" t="str">
        <f>IF(Agent05_Withdrawals!A166="","",Agent05_Withdrawals!E166)</f>
        <v/>
      </c>
      <c r="H961" s="39" t="str">
        <f>IF(Agent05_Withdrawals!A166="","",Agent05_Withdrawals!G166)</f>
        <v/>
      </c>
      <c r="I961" s="37" t="str">
        <f>IF(Agent05_Withdrawals!A166="","",Agent05_Withdrawals!H166)</f>
        <v/>
      </c>
      <c r="J961" s="37" t="str">
        <f>IF(Agent05_Withdrawals!A166="","",Agent05_Withdrawals!J166)</f>
        <v/>
      </c>
      <c r="K961" s="37" t="str">
        <f>IF(Agent05_Withdrawals!A166="","",Agent05_Withdrawals!K166)</f>
        <v/>
      </c>
      <c r="L961" s="37" t="str">
        <f>IF(G961="","",IF(D961-G961&gt;=System_Config!$B$9,"✅ OK","⚠️ BREACH"))</f>
        <v/>
      </c>
      <c r="M961" s="37" t="str">
        <f>IFERROR(IF(Agent05_Withdrawals!A166="","",YEAR(Agent05_Withdrawals!D166)),"")</f>
        <v/>
      </c>
    </row>
    <row r="962" spans="1:13" ht="18" customHeight="1" x14ac:dyDescent="0.25">
      <c r="A962" s="37" t="str">
        <f>IF(Agent05_Withdrawals!A167="","",Agent05_Withdrawals!A167)</f>
        <v/>
      </c>
      <c r="B962" s="37" t="str">
        <f ca="1">IF(Agent05_Withdrawals!A167="","","WD"&amp;TEXT(962-3,"0000")&amp;"-"&amp;TEXT(TODAY(),"YYYYMMDD"))</f>
        <v/>
      </c>
      <c r="C962" s="37" t="str">
        <f>IF(Agent05_Withdrawals!A167="","",Agent05_Withdrawals!B167)</f>
        <v/>
      </c>
      <c r="D962" s="40" t="str">
        <f>IF(Agent05_Withdrawals!A167="","",Agent05_Withdrawals!C167)</f>
        <v/>
      </c>
      <c r="E962" s="38" t="str">
        <f>IF(Agent05_Withdrawals!A167="","",Agent05_Withdrawals!D167)</f>
        <v/>
      </c>
      <c r="F962" s="37" t="str">
        <f>IF(Agent05_Withdrawals!A167="","",Agent05_Withdrawals!F167)</f>
        <v/>
      </c>
      <c r="G962" s="39" t="str">
        <f>IF(Agent05_Withdrawals!A167="","",Agent05_Withdrawals!E167)</f>
        <v/>
      </c>
      <c r="H962" s="39" t="str">
        <f>IF(Agent05_Withdrawals!A167="","",Agent05_Withdrawals!G167)</f>
        <v/>
      </c>
      <c r="I962" s="37" t="str">
        <f>IF(Agent05_Withdrawals!A167="","",Agent05_Withdrawals!H167)</f>
        <v/>
      </c>
      <c r="J962" s="37" t="str">
        <f>IF(Agent05_Withdrawals!A167="","",Agent05_Withdrawals!J167)</f>
        <v/>
      </c>
      <c r="K962" s="37" t="str">
        <f>IF(Agent05_Withdrawals!A167="","",Agent05_Withdrawals!K167)</f>
        <v/>
      </c>
      <c r="L962" s="37" t="str">
        <f>IF(G962="","",IF(D962-G962&gt;=System_Config!$B$9,"✅ OK","⚠️ BREACH"))</f>
        <v/>
      </c>
      <c r="M962" s="37" t="str">
        <f>IFERROR(IF(Agent05_Withdrawals!A167="","",YEAR(Agent05_Withdrawals!D167)),"")</f>
        <v/>
      </c>
    </row>
    <row r="963" spans="1:13" ht="18" customHeight="1" x14ac:dyDescent="0.25">
      <c r="A963" s="37" t="str">
        <f>IF(Agent05_Withdrawals!A168="","",Agent05_Withdrawals!A168)</f>
        <v/>
      </c>
      <c r="B963" s="37" t="str">
        <f ca="1">IF(Agent05_Withdrawals!A168="","","WD"&amp;TEXT(963-3,"0000")&amp;"-"&amp;TEXT(TODAY(),"YYYYMMDD"))</f>
        <v/>
      </c>
      <c r="C963" s="37" t="str">
        <f>IF(Agent05_Withdrawals!A168="","",Agent05_Withdrawals!B168)</f>
        <v/>
      </c>
      <c r="D963" s="40" t="str">
        <f>IF(Agent05_Withdrawals!A168="","",Agent05_Withdrawals!C168)</f>
        <v/>
      </c>
      <c r="E963" s="38" t="str">
        <f>IF(Agent05_Withdrawals!A168="","",Agent05_Withdrawals!D168)</f>
        <v/>
      </c>
      <c r="F963" s="37" t="str">
        <f>IF(Agent05_Withdrawals!A168="","",Agent05_Withdrawals!F168)</f>
        <v/>
      </c>
      <c r="G963" s="39" t="str">
        <f>IF(Agent05_Withdrawals!A168="","",Agent05_Withdrawals!E168)</f>
        <v/>
      </c>
      <c r="H963" s="39" t="str">
        <f>IF(Agent05_Withdrawals!A168="","",Agent05_Withdrawals!G168)</f>
        <v/>
      </c>
      <c r="I963" s="37" t="str">
        <f>IF(Agent05_Withdrawals!A168="","",Agent05_Withdrawals!H168)</f>
        <v/>
      </c>
      <c r="J963" s="37" t="str">
        <f>IF(Agent05_Withdrawals!A168="","",Agent05_Withdrawals!J168)</f>
        <v/>
      </c>
      <c r="K963" s="37" t="str">
        <f>IF(Agent05_Withdrawals!A168="","",Agent05_Withdrawals!K168)</f>
        <v/>
      </c>
      <c r="L963" s="37" t="str">
        <f>IF(G963="","",IF(D963-G963&gt;=System_Config!$B$9,"✅ OK","⚠️ BREACH"))</f>
        <v/>
      </c>
      <c r="M963" s="37" t="str">
        <f>IFERROR(IF(Agent05_Withdrawals!A168="","",YEAR(Agent05_Withdrawals!D168)),"")</f>
        <v/>
      </c>
    </row>
    <row r="964" spans="1:13" ht="18" customHeight="1" x14ac:dyDescent="0.25">
      <c r="A964" s="37" t="str">
        <f>IF(Agent05_Withdrawals!A169="","",Agent05_Withdrawals!A169)</f>
        <v/>
      </c>
      <c r="B964" s="37" t="str">
        <f ca="1">IF(Agent05_Withdrawals!A169="","","WD"&amp;TEXT(964-3,"0000")&amp;"-"&amp;TEXT(TODAY(),"YYYYMMDD"))</f>
        <v/>
      </c>
      <c r="C964" s="37" t="str">
        <f>IF(Agent05_Withdrawals!A169="","",Agent05_Withdrawals!B169)</f>
        <v/>
      </c>
      <c r="D964" s="40" t="str">
        <f>IF(Agent05_Withdrawals!A169="","",Agent05_Withdrawals!C169)</f>
        <v/>
      </c>
      <c r="E964" s="38" t="str">
        <f>IF(Agent05_Withdrawals!A169="","",Agent05_Withdrawals!D169)</f>
        <v/>
      </c>
      <c r="F964" s="37" t="str">
        <f>IF(Agent05_Withdrawals!A169="","",Agent05_Withdrawals!F169)</f>
        <v/>
      </c>
      <c r="G964" s="39" t="str">
        <f>IF(Agent05_Withdrawals!A169="","",Agent05_Withdrawals!E169)</f>
        <v/>
      </c>
      <c r="H964" s="39" t="str">
        <f>IF(Agent05_Withdrawals!A169="","",Agent05_Withdrawals!G169)</f>
        <v/>
      </c>
      <c r="I964" s="37" t="str">
        <f>IF(Agent05_Withdrawals!A169="","",Agent05_Withdrawals!H169)</f>
        <v/>
      </c>
      <c r="J964" s="37" t="str">
        <f>IF(Agent05_Withdrawals!A169="","",Agent05_Withdrawals!J169)</f>
        <v/>
      </c>
      <c r="K964" s="37" t="str">
        <f>IF(Agent05_Withdrawals!A169="","",Agent05_Withdrawals!K169)</f>
        <v/>
      </c>
      <c r="L964" s="37" t="str">
        <f>IF(G964="","",IF(D964-G964&gt;=System_Config!$B$9,"✅ OK","⚠️ BREACH"))</f>
        <v/>
      </c>
      <c r="M964" s="37" t="str">
        <f>IFERROR(IF(Agent05_Withdrawals!A169="","",YEAR(Agent05_Withdrawals!D169)),"")</f>
        <v/>
      </c>
    </row>
    <row r="965" spans="1:13" ht="18" customHeight="1" x14ac:dyDescent="0.25">
      <c r="A965" s="37" t="str">
        <f>IF(Agent05_Withdrawals!A170="","",Agent05_Withdrawals!A170)</f>
        <v/>
      </c>
      <c r="B965" s="37" t="str">
        <f ca="1">IF(Agent05_Withdrawals!A170="","","WD"&amp;TEXT(965-3,"0000")&amp;"-"&amp;TEXT(TODAY(),"YYYYMMDD"))</f>
        <v/>
      </c>
      <c r="C965" s="37" t="str">
        <f>IF(Agent05_Withdrawals!A170="","",Agent05_Withdrawals!B170)</f>
        <v/>
      </c>
      <c r="D965" s="40" t="str">
        <f>IF(Agent05_Withdrawals!A170="","",Agent05_Withdrawals!C170)</f>
        <v/>
      </c>
      <c r="E965" s="38" t="str">
        <f>IF(Agent05_Withdrawals!A170="","",Agent05_Withdrawals!D170)</f>
        <v/>
      </c>
      <c r="F965" s="37" t="str">
        <f>IF(Agent05_Withdrawals!A170="","",Agent05_Withdrawals!F170)</f>
        <v/>
      </c>
      <c r="G965" s="39" t="str">
        <f>IF(Agent05_Withdrawals!A170="","",Agent05_Withdrawals!E170)</f>
        <v/>
      </c>
      <c r="H965" s="39" t="str">
        <f>IF(Agent05_Withdrawals!A170="","",Agent05_Withdrawals!G170)</f>
        <v/>
      </c>
      <c r="I965" s="37" t="str">
        <f>IF(Agent05_Withdrawals!A170="","",Agent05_Withdrawals!H170)</f>
        <v/>
      </c>
      <c r="J965" s="37" t="str">
        <f>IF(Agent05_Withdrawals!A170="","",Agent05_Withdrawals!J170)</f>
        <v/>
      </c>
      <c r="K965" s="37" t="str">
        <f>IF(Agent05_Withdrawals!A170="","",Agent05_Withdrawals!K170)</f>
        <v/>
      </c>
      <c r="L965" s="37" t="str">
        <f>IF(G965="","",IF(D965-G965&gt;=System_Config!$B$9,"✅ OK","⚠️ BREACH"))</f>
        <v/>
      </c>
      <c r="M965" s="37" t="str">
        <f>IFERROR(IF(Agent05_Withdrawals!A170="","",YEAR(Agent05_Withdrawals!D170)),"")</f>
        <v/>
      </c>
    </row>
    <row r="966" spans="1:13" ht="18" customHeight="1" x14ac:dyDescent="0.25">
      <c r="A966" s="37" t="str">
        <f>IF(Agent05_Withdrawals!A171="","",Agent05_Withdrawals!A171)</f>
        <v/>
      </c>
      <c r="B966" s="37" t="str">
        <f ca="1">IF(Agent05_Withdrawals!A171="","","WD"&amp;TEXT(966-3,"0000")&amp;"-"&amp;TEXT(TODAY(),"YYYYMMDD"))</f>
        <v/>
      </c>
      <c r="C966" s="37" t="str">
        <f>IF(Agent05_Withdrawals!A171="","",Agent05_Withdrawals!B171)</f>
        <v/>
      </c>
      <c r="D966" s="40" t="str">
        <f>IF(Agent05_Withdrawals!A171="","",Agent05_Withdrawals!C171)</f>
        <v/>
      </c>
      <c r="E966" s="38" t="str">
        <f>IF(Agent05_Withdrawals!A171="","",Agent05_Withdrawals!D171)</f>
        <v/>
      </c>
      <c r="F966" s="37" t="str">
        <f>IF(Agent05_Withdrawals!A171="","",Agent05_Withdrawals!F171)</f>
        <v/>
      </c>
      <c r="G966" s="39" t="str">
        <f>IF(Agent05_Withdrawals!A171="","",Agent05_Withdrawals!E171)</f>
        <v/>
      </c>
      <c r="H966" s="39" t="str">
        <f>IF(Agent05_Withdrawals!A171="","",Agent05_Withdrawals!G171)</f>
        <v/>
      </c>
      <c r="I966" s="37" t="str">
        <f>IF(Agent05_Withdrawals!A171="","",Agent05_Withdrawals!H171)</f>
        <v/>
      </c>
      <c r="J966" s="37" t="str">
        <f>IF(Agent05_Withdrawals!A171="","",Agent05_Withdrawals!J171)</f>
        <v/>
      </c>
      <c r="K966" s="37" t="str">
        <f>IF(Agent05_Withdrawals!A171="","",Agent05_Withdrawals!K171)</f>
        <v/>
      </c>
      <c r="L966" s="37" t="str">
        <f>IF(G966="","",IF(D966-G966&gt;=System_Config!$B$9,"✅ OK","⚠️ BREACH"))</f>
        <v/>
      </c>
      <c r="M966" s="37" t="str">
        <f>IFERROR(IF(Agent05_Withdrawals!A171="","",YEAR(Agent05_Withdrawals!D171)),"")</f>
        <v/>
      </c>
    </row>
    <row r="967" spans="1:13" ht="18" customHeight="1" x14ac:dyDescent="0.25">
      <c r="A967" s="37" t="str">
        <f>IF(Agent05_Withdrawals!A172="","",Agent05_Withdrawals!A172)</f>
        <v/>
      </c>
      <c r="B967" s="37" t="str">
        <f ca="1">IF(Agent05_Withdrawals!A172="","","WD"&amp;TEXT(967-3,"0000")&amp;"-"&amp;TEXT(TODAY(),"YYYYMMDD"))</f>
        <v/>
      </c>
      <c r="C967" s="37" t="str">
        <f>IF(Agent05_Withdrawals!A172="","",Agent05_Withdrawals!B172)</f>
        <v/>
      </c>
      <c r="D967" s="40" t="str">
        <f>IF(Agent05_Withdrawals!A172="","",Agent05_Withdrawals!C172)</f>
        <v/>
      </c>
      <c r="E967" s="38" t="str">
        <f>IF(Agent05_Withdrawals!A172="","",Agent05_Withdrawals!D172)</f>
        <v/>
      </c>
      <c r="F967" s="37" t="str">
        <f>IF(Agent05_Withdrawals!A172="","",Agent05_Withdrawals!F172)</f>
        <v/>
      </c>
      <c r="G967" s="39" t="str">
        <f>IF(Agent05_Withdrawals!A172="","",Agent05_Withdrawals!E172)</f>
        <v/>
      </c>
      <c r="H967" s="39" t="str">
        <f>IF(Agent05_Withdrawals!A172="","",Agent05_Withdrawals!G172)</f>
        <v/>
      </c>
      <c r="I967" s="37" t="str">
        <f>IF(Agent05_Withdrawals!A172="","",Agent05_Withdrawals!H172)</f>
        <v/>
      </c>
      <c r="J967" s="37" t="str">
        <f>IF(Agent05_Withdrawals!A172="","",Agent05_Withdrawals!J172)</f>
        <v/>
      </c>
      <c r="K967" s="37" t="str">
        <f>IF(Agent05_Withdrawals!A172="","",Agent05_Withdrawals!K172)</f>
        <v/>
      </c>
      <c r="L967" s="37" t="str">
        <f>IF(G967="","",IF(D967-G967&gt;=System_Config!$B$9,"✅ OK","⚠️ BREACH"))</f>
        <v/>
      </c>
      <c r="M967" s="37" t="str">
        <f>IFERROR(IF(Agent05_Withdrawals!A172="","",YEAR(Agent05_Withdrawals!D172)),"")</f>
        <v/>
      </c>
    </row>
    <row r="968" spans="1:13" ht="18" customHeight="1" x14ac:dyDescent="0.25">
      <c r="A968" s="37" t="str">
        <f>IF(Agent05_Withdrawals!A173="","",Agent05_Withdrawals!A173)</f>
        <v/>
      </c>
      <c r="B968" s="37" t="str">
        <f ca="1">IF(Agent05_Withdrawals!A173="","","WD"&amp;TEXT(968-3,"0000")&amp;"-"&amp;TEXT(TODAY(),"YYYYMMDD"))</f>
        <v/>
      </c>
      <c r="C968" s="37" t="str">
        <f>IF(Agent05_Withdrawals!A173="","",Agent05_Withdrawals!B173)</f>
        <v/>
      </c>
      <c r="D968" s="40" t="str">
        <f>IF(Agent05_Withdrawals!A173="","",Agent05_Withdrawals!C173)</f>
        <v/>
      </c>
      <c r="E968" s="38" t="str">
        <f>IF(Agent05_Withdrawals!A173="","",Agent05_Withdrawals!D173)</f>
        <v/>
      </c>
      <c r="F968" s="37" t="str">
        <f>IF(Agent05_Withdrawals!A173="","",Agent05_Withdrawals!F173)</f>
        <v/>
      </c>
      <c r="G968" s="39" t="str">
        <f>IF(Agent05_Withdrawals!A173="","",Agent05_Withdrawals!E173)</f>
        <v/>
      </c>
      <c r="H968" s="39" t="str">
        <f>IF(Agent05_Withdrawals!A173="","",Agent05_Withdrawals!G173)</f>
        <v/>
      </c>
      <c r="I968" s="37" t="str">
        <f>IF(Agent05_Withdrawals!A173="","",Agent05_Withdrawals!H173)</f>
        <v/>
      </c>
      <c r="J968" s="37" t="str">
        <f>IF(Agent05_Withdrawals!A173="","",Agent05_Withdrawals!J173)</f>
        <v/>
      </c>
      <c r="K968" s="37" t="str">
        <f>IF(Agent05_Withdrawals!A173="","",Agent05_Withdrawals!K173)</f>
        <v/>
      </c>
      <c r="L968" s="37" t="str">
        <f>IF(G968="","",IF(D968-G968&gt;=System_Config!$B$9,"✅ OK","⚠️ BREACH"))</f>
        <v/>
      </c>
      <c r="M968" s="37" t="str">
        <f>IFERROR(IF(Agent05_Withdrawals!A173="","",YEAR(Agent05_Withdrawals!D173)),"")</f>
        <v/>
      </c>
    </row>
    <row r="969" spans="1:13" ht="18" customHeight="1" x14ac:dyDescent="0.25">
      <c r="A969" s="37" t="str">
        <f>IF(Agent05_Withdrawals!A174="","",Agent05_Withdrawals!A174)</f>
        <v/>
      </c>
      <c r="B969" s="37" t="str">
        <f ca="1">IF(Agent05_Withdrawals!A174="","","WD"&amp;TEXT(969-3,"0000")&amp;"-"&amp;TEXT(TODAY(),"YYYYMMDD"))</f>
        <v/>
      </c>
      <c r="C969" s="37" t="str">
        <f>IF(Agent05_Withdrawals!A174="","",Agent05_Withdrawals!B174)</f>
        <v/>
      </c>
      <c r="D969" s="40" t="str">
        <f>IF(Agent05_Withdrawals!A174="","",Agent05_Withdrawals!C174)</f>
        <v/>
      </c>
      <c r="E969" s="38" t="str">
        <f>IF(Agent05_Withdrawals!A174="","",Agent05_Withdrawals!D174)</f>
        <v/>
      </c>
      <c r="F969" s="37" t="str">
        <f>IF(Agent05_Withdrawals!A174="","",Agent05_Withdrawals!F174)</f>
        <v/>
      </c>
      <c r="G969" s="39" t="str">
        <f>IF(Agent05_Withdrawals!A174="","",Agent05_Withdrawals!E174)</f>
        <v/>
      </c>
      <c r="H969" s="39" t="str">
        <f>IF(Agent05_Withdrawals!A174="","",Agent05_Withdrawals!G174)</f>
        <v/>
      </c>
      <c r="I969" s="37" t="str">
        <f>IF(Agent05_Withdrawals!A174="","",Agent05_Withdrawals!H174)</f>
        <v/>
      </c>
      <c r="J969" s="37" t="str">
        <f>IF(Agent05_Withdrawals!A174="","",Agent05_Withdrawals!J174)</f>
        <v/>
      </c>
      <c r="K969" s="37" t="str">
        <f>IF(Agent05_Withdrawals!A174="","",Agent05_Withdrawals!K174)</f>
        <v/>
      </c>
      <c r="L969" s="37" t="str">
        <f>IF(G969="","",IF(D969-G969&gt;=System_Config!$B$9,"✅ OK","⚠️ BREACH"))</f>
        <v/>
      </c>
      <c r="M969" s="37" t="str">
        <f>IFERROR(IF(Agent05_Withdrawals!A174="","",YEAR(Agent05_Withdrawals!D174)),"")</f>
        <v/>
      </c>
    </row>
    <row r="970" spans="1:13" ht="18" customHeight="1" x14ac:dyDescent="0.25">
      <c r="A970" s="37" t="str">
        <f>IF(Agent05_Withdrawals!A175="","",Agent05_Withdrawals!A175)</f>
        <v/>
      </c>
      <c r="B970" s="37" t="str">
        <f ca="1">IF(Agent05_Withdrawals!A175="","","WD"&amp;TEXT(970-3,"0000")&amp;"-"&amp;TEXT(TODAY(),"YYYYMMDD"))</f>
        <v/>
      </c>
      <c r="C970" s="37" t="str">
        <f>IF(Agent05_Withdrawals!A175="","",Agent05_Withdrawals!B175)</f>
        <v/>
      </c>
      <c r="D970" s="40" t="str">
        <f>IF(Agent05_Withdrawals!A175="","",Agent05_Withdrawals!C175)</f>
        <v/>
      </c>
      <c r="E970" s="38" t="str">
        <f>IF(Agent05_Withdrawals!A175="","",Agent05_Withdrawals!D175)</f>
        <v/>
      </c>
      <c r="F970" s="37" t="str">
        <f>IF(Agent05_Withdrawals!A175="","",Agent05_Withdrawals!F175)</f>
        <v/>
      </c>
      <c r="G970" s="39" t="str">
        <f>IF(Agent05_Withdrawals!A175="","",Agent05_Withdrawals!E175)</f>
        <v/>
      </c>
      <c r="H970" s="39" t="str">
        <f>IF(Agent05_Withdrawals!A175="","",Agent05_Withdrawals!G175)</f>
        <v/>
      </c>
      <c r="I970" s="37" t="str">
        <f>IF(Agent05_Withdrawals!A175="","",Agent05_Withdrawals!H175)</f>
        <v/>
      </c>
      <c r="J970" s="37" t="str">
        <f>IF(Agent05_Withdrawals!A175="","",Agent05_Withdrawals!J175)</f>
        <v/>
      </c>
      <c r="K970" s="37" t="str">
        <f>IF(Agent05_Withdrawals!A175="","",Agent05_Withdrawals!K175)</f>
        <v/>
      </c>
      <c r="L970" s="37" t="str">
        <f>IF(G970="","",IF(D970-G970&gt;=System_Config!$B$9,"✅ OK","⚠️ BREACH"))</f>
        <v/>
      </c>
      <c r="M970" s="37" t="str">
        <f>IFERROR(IF(Agent05_Withdrawals!A175="","",YEAR(Agent05_Withdrawals!D175)),"")</f>
        <v/>
      </c>
    </row>
    <row r="971" spans="1:13" ht="18" customHeight="1" x14ac:dyDescent="0.25">
      <c r="A971" s="37" t="str">
        <f>IF(Agent05_Withdrawals!A176="","",Agent05_Withdrawals!A176)</f>
        <v/>
      </c>
      <c r="B971" s="37" t="str">
        <f ca="1">IF(Agent05_Withdrawals!A176="","","WD"&amp;TEXT(971-3,"0000")&amp;"-"&amp;TEXT(TODAY(),"YYYYMMDD"))</f>
        <v/>
      </c>
      <c r="C971" s="37" t="str">
        <f>IF(Agent05_Withdrawals!A176="","",Agent05_Withdrawals!B176)</f>
        <v/>
      </c>
      <c r="D971" s="40" t="str">
        <f>IF(Agent05_Withdrawals!A176="","",Agent05_Withdrawals!C176)</f>
        <v/>
      </c>
      <c r="E971" s="38" t="str">
        <f>IF(Agent05_Withdrawals!A176="","",Agent05_Withdrawals!D176)</f>
        <v/>
      </c>
      <c r="F971" s="37" t="str">
        <f>IF(Agent05_Withdrawals!A176="","",Agent05_Withdrawals!F176)</f>
        <v/>
      </c>
      <c r="G971" s="39" t="str">
        <f>IF(Agent05_Withdrawals!A176="","",Agent05_Withdrawals!E176)</f>
        <v/>
      </c>
      <c r="H971" s="39" t="str">
        <f>IF(Agent05_Withdrawals!A176="","",Agent05_Withdrawals!G176)</f>
        <v/>
      </c>
      <c r="I971" s="37" t="str">
        <f>IF(Agent05_Withdrawals!A176="","",Agent05_Withdrawals!H176)</f>
        <v/>
      </c>
      <c r="J971" s="37" t="str">
        <f>IF(Agent05_Withdrawals!A176="","",Agent05_Withdrawals!J176)</f>
        <v/>
      </c>
      <c r="K971" s="37" t="str">
        <f>IF(Agent05_Withdrawals!A176="","",Agent05_Withdrawals!K176)</f>
        <v/>
      </c>
      <c r="L971" s="37" t="str">
        <f>IF(G971="","",IF(D971-G971&gt;=System_Config!$B$9,"✅ OK","⚠️ BREACH"))</f>
        <v/>
      </c>
      <c r="M971" s="37" t="str">
        <f>IFERROR(IF(Agent05_Withdrawals!A176="","",YEAR(Agent05_Withdrawals!D176)),"")</f>
        <v/>
      </c>
    </row>
    <row r="972" spans="1:13" ht="18" customHeight="1" x14ac:dyDescent="0.25">
      <c r="A972" s="37" t="str">
        <f>IF(Agent05_Withdrawals!A177="","",Agent05_Withdrawals!A177)</f>
        <v/>
      </c>
      <c r="B972" s="37" t="str">
        <f ca="1">IF(Agent05_Withdrawals!A177="","","WD"&amp;TEXT(972-3,"0000")&amp;"-"&amp;TEXT(TODAY(),"YYYYMMDD"))</f>
        <v/>
      </c>
      <c r="C972" s="37" t="str">
        <f>IF(Agent05_Withdrawals!A177="","",Agent05_Withdrawals!B177)</f>
        <v/>
      </c>
      <c r="D972" s="40" t="str">
        <f>IF(Agent05_Withdrawals!A177="","",Agent05_Withdrawals!C177)</f>
        <v/>
      </c>
      <c r="E972" s="38" t="str">
        <f>IF(Agent05_Withdrawals!A177="","",Agent05_Withdrawals!D177)</f>
        <v/>
      </c>
      <c r="F972" s="37" t="str">
        <f>IF(Agent05_Withdrawals!A177="","",Agent05_Withdrawals!F177)</f>
        <v/>
      </c>
      <c r="G972" s="39" t="str">
        <f>IF(Agent05_Withdrawals!A177="","",Agent05_Withdrawals!E177)</f>
        <v/>
      </c>
      <c r="H972" s="39" t="str">
        <f>IF(Agent05_Withdrawals!A177="","",Agent05_Withdrawals!G177)</f>
        <v/>
      </c>
      <c r="I972" s="37" t="str">
        <f>IF(Agent05_Withdrawals!A177="","",Agent05_Withdrawals!H177)</f>
        <v/>
      </c>
      <c r="J972" s="37" t="str">
        <f>IF(Agent05_Withdrawals!A177="","",Agent05_Withdrawals!J177)</f>
        <v/>
      </c>
      <c r="K972" s="37" t="str">
        <f>IF(Agent05_Withdrawals!A177="","",Agent05_Withdrawals!K177)</f>
        <v/>
      </c>
      <c r="L972" s="37" t="str">
        <f>IF(G972="","",IF(D972-G972&gt;=System_Config!$B$9,"✅ OK","⚠️ BREACH"))</f>
        <v/>
      </c>
      <c r="M972" s="37" t="str">
        <f>IFERROR(IF(Agent05_Withdrawals!A177="","",YEAR(Agent05_Withdrawals!D177)),"")</f>
        <v/>
      </c>
    </row>
    <row r="973" spans="1:13" ht="18" customHeight="1" x14ac:dyDescent="0.25">
      <c r="A973" s="37" t="str">
        <f>IF(Agent05_Withdrawals!A178="","",Agent05_Withdrawals!A178)</f>
        <v/>
      </c>
      <c r="B973" s="37" t="str">
        <f ca="1">IF(Agent05_Withdrawals!A178="","","WD"&amp;TEXT(973-3,"0000")&amp;"-"&amp;TEXT(TODAY(),"YYYYMMDD"))</f>
        <v/>
      </c>
      <c r="C973" s="37" t="str">
        <f>IF(Agent05_Withdrawals!A178="","",Agent05_Withdrawals!B178)</f>
        <v/>
      </c>
      <c r="D973" s="40" t="str">
        <f>IF(Agent05_Withdrawals!A178="","",Agent05_Withdrawals!C178)</f>
        <v/>
      </c>
      <c r="E973" s="38" t="str">
        <f>IF(Agent05_Withdrawals!A178="","",Agent05_Withdrawals!D178)</f>
        <v/>
      </c>
      <c r="F973" s="37" t="str">
        <f>IF(Agent05_Withdrawals!A178="","",Agent05_Withdrawals!F178)</f>
        <v/>
      </c>
      <c r="G973" s="39" t="str">
        <f>IF(Agent05_Withdrawals!A178="","",Agent05_Withdrawals!E178)</f>
        <v/>
      </c>
      <c r="H973" s="39" t="str">
        <f>IF(Agent05_Withdrawals!A178="","",Agent05_Withdrawals!G178)</f>
        <v/>
      </c>
      <c r="I973" s="37" t="str">
        <f>IF(Agent05_Withdrawals!A178="","",Agent05_Withdrawals!H178)</f>
        <v/>
      </c>
      <c r="J973" s="37" t="str">
        <f>IF(Agent05_Withdrawals!A178="","",Agent05_Withdrawals!J178)</f>
        <v/>
      </c>
      <c r="K973" s="37" t="str">
        <f>IF(Agent05_Withdrawals!A178="","",Agent05_Withdrawals!K178)</f>
        <v/>
      </c>
      <c r="L973" s="37" t="str">
        <f>IF(G973="","",IF(D973-G973&gt;=System_Config!$B$9,"✅ OK","⚠️ BREACH"))</f>
        <v/>
      </c>
      <c r="M973" s="37" t="str">
        <f>IFERROR(IF(Agent05_Withdrawals!A178="","",YEAR(Agent05_Withdrawals!D178)),"")</f>
        <v/>
      </c>
    </row>
    <row r="974" spans="1:13" ht="18" customHeight="1" x14ac:dyDescent="0.25">
      <c r="A974" s="37" t="str">
        <f>IF(Agent05_Withdrawals!A179="","",Agent05_Withdrawals!A179)</f>
        <v/>
      </c>
      <c r="B974" s="37" t="str">
        <f ca="1">IF(Agent05_Withdrawals!A179="","","WD"&amp;TEXT(974-3,"0000")&amp;"-"&amp;TEXT(TODAY(),"YYYYMMDD"))</f>
        <v/>
      </c>
      <c r="C974" s="37" t="str">
        <f>IF(Agent05_Withdrawals!A179="","",Agent05_Withdrawals!B179)</f>
        <v/>
      </c>
      <c r="D974" s="40" t="str">
        <f>IF(Agent05_Withdrawals!A179="","",Agent05_Withdrawals!C179)</f>
        <v/>
      </c>
      <c r="E974" s="38" t="str">
        <f>IF(Agent05_Withdrawals!A179="","",Agent05_Withdrawals!D179)</f>
        <v/>
      </c>
      <c r="F974" s="37" t="str">
        <f>IF(Agent05_Withdrawals!A179="","",Agent05_Withdrawals!F179)</f>
        <v/>
      </c>
      <c r="G974" s="39" t="str">
        <f>IF(Agent05_Withdrawals!A179="","",Agent05_Withdrawals!E179)</f>
        <v/>
      </c>
      <c r="H974" s="39" t="str">
        <f>IF(Agent05_Withdrawals!A179="","",Agent05_Withdrawals!G179)</f>
        <v/>
      </c>
      <c r="I974" s="37" t="str">
        <f>IF(Agent05_Withdrawals!A179="","",Agent05_Withdrawals!H179)</f>
        <v/>
      </c>
      <c r="J974" s="37" t="str">
        <f>IF(Agent05_Withdrawals!A179="","",Agent05_Withdrawals!J179)</f>
        <v/>
      </c>
      <c r="K974" s="37" t="str">
        <f>IF(Agent05_Withdrawals!A179="","",Agent05_Withdrawals!K179)</f>
        <v/>
      </c>
      <c r="L974" s="37" t="str">
        <f>IF(G974="","",IF(D974-G974&gt;=System_Config!$B$9,"✅ OK","⚠️ BREACH"))</f>
        <v/>
      </c>
      <c r="M974" s="37" t="str">
        <f>IFERROR(IF(Agent05_Withdrawals!A179="","",YEAR(Agent05_Withdrawals!D179)),"")</f>
        <v/>
      </c>
    </row>
    <row r="975" spans="1:13" ht="18" customHeight="1" x14ac:dyDescent="0.25">
      <c r="A975" s="37" t="str">
        <f>IF(Agent05_Withdrawals!A180="","",Agent05_Withdrawals!A180)</f>
        <v/>
      </c>
      <c r="B975" s="37" t="str">
        <f ca="1">IF(Agent05_Withdrawals!A180="","","WD"&amp;TEXT(975-3,"0000")&amp;"-"&amp;TEXT(TODAY(),"YYYYMMDD"))</f>
        <v/>
      </c>
      <c r="C975" s="37" t="str">
        <f>IF(Agent05_Withdrawals!A180="","",Agent05_Withdrawals!B180)</f>
        <v/>
      </c>
      <c r="D975" s="40" t="str">
        <f>IF(Agent05_Withdrawals!A180="","",Agent05_Withdrawals!C180)</f>
        <v/>
      </c>
      <c r="E975" s="38" t="str">
        <f>IF(Agent05_Withdrawals!A180="","",Agent05_Withdrawals!D180)</f>
        <v/>
      </c>
      <c r="F975" s="37" t="str">
        <f>IF(Agent05_Withdrawals!A180="","",Agent05_Withdrawals!F180)</f>
        <v/>
      </c>
      <c r="G975" s="39" t="str">
        <f>IF(Agent05_Withdrawals!A180="","",Agent05_Withdrawals!E180)</f>
        <v/>
      </c>
      <c r="H975" s="39" t="str">
        <f>IF(Agent05_Withdrawals!A180="","",Agent05_Withdrawals!G180)</f>
        <v/>
      </c>
      <c r="I975" s="37" t="str">
        <f>IF(Agent05_Withdrawals!A180="","",Agent05_Withdrawals!H180)</f>
        <v/>
      </c>
      <c r="J975" s="37" t="str">
        <f>IF(Agent05_Withdrawals!A180="","",Agent05_Withdrawals!J180)</f>
        <v/>
      </c>
      <c r="K975" s="37" t="str">
        <f>IF(Agent05_Withdrawals!A180="","",Agent05_Withdrawals!K180)</f>
        <v/>
      </c>
      <c r="L975" s="37" t="str">
        <f>IF(G975="","",IF(D975-G975&gt;=System_Config!$B$9,"✅ OK","⚠️ BREACH"))</f>
        <v/>
      </c>
      <c r="M975" s="37" t="str">
        <f>IFERROR(IF(Agent05_Withdrawals!A180="","",YEAR(Agent05_Withdrawals!D180)),"")</f>
        <v/>
      </c>
    </row>
    <row r="976" spans="1:13" ht="18" customHeight="1" x14ac:dyDescent="0.25">
      <c r="A976" s="37" t="str">
        <f>IF(Agent05_Withdrawals!A181="","",Agent05_Withdrawals!A181)</f>
        <v/>
      </c>
      <c r="B976" s="37" t="str">
        <f ca="1">IF(Agent05_Withdrawals!A181="","","WD"&amp;TEXT(976-3,"0000")&amp;"-"&amp;TEXT(TODAY(),"YYYYMMDD"))</f>
        <v/>
      </c>
      <c r="C976" s="37" t="str">
        <f>IF(Agent05_Withdrawals!A181="","",Agent05_Withdrawals!B181)</f>
        <v/>
      </c>
      <c r="D976" s="40" t="str">
        <f>IF(Agent05_Withdrawals!A181="","",Agent05_Withdrawals!C181)</f>
        <v/>
      </c>
      <c r="E976" s="38" t="str">
        <f>IF(Agent05_Withdrawals!A181="","",Agent05_Withdrawals!D181)</f>
        <v/>
      </c>
      <c r="F976" s="37" t="str">
        <f>IF(Agent05_Withdrawals!A181="","",Agent05_Withdrawals!F181)</f>
        <v/>
      </c>
      <c r="G976" s="39" t="str">
        <f>IF(Agent05_Withdrawals!A181="","",Agent05_Withdrawals!E181)</f>
        <v/>
      </c>
      <c r="H976" s="39" t="str">
        <f>IF(Agent05_Withdrawals!A181="","",Agent05_Withdrawals!G181)</f>
        <v/>
      </c>
      <c r="I976" s="37" t="str">
        <f>IF(Agent05_Withdrawals!A181="","",Agent05_Withdrawals!H181)</f>
        <v/>
      </c>
      <c r="J976" s="37" t="str">
        <f>IF(Agent05_Withdrawals!A181="","",Agent05_Withdrawals!J181)</f>
        <v/>
      </c>
      <c r="K976" s="37" t="str">
        <f>IF(Agent05_Withdrawals!A181="","",Agent05_Withdrawals!K181)</f>
        <v/>
      </c>
      <c r="L976" s="37" t="str">
        <f>IF(G976="","",IF(D976-G976&gt;=System_Config!$B$9,"✅ OK","⚠️ BREACH"))</f>
        <v/>
      </c>
      <c r="M976" s="37" t="str">
        <f>IFERROR(IF(Agent05_Withdrawals!A181="","",YEAR(Agent05_Withdrawals!D181)),"")</f>
        <v/>
      </c>
    </row>
    <row r="977" spans="1:13" ht="18" customHeight="1" x14ac:dyDescent="0.25">
      <c r="A977" s="37" t="str">
        <f>IF(Agent05_Withdrawals!A182="","",Agent05_Withdrawals!A182)</f>
        <v/>
      </c>
      <c r="B977" s="37" t="str">
        <f ca="1">IF(Agent05_Withdrawals!A182="","","WD"&amp;TEXT(977-3,"0000")&amp;"-"&amp;TEXT(TODAY(),"YYYYMMDD"))</f>
        <v/>
      </c>
      <c r="C977" s="37" t="str">
        <f>IF(Agent05_Withdrawals!A182="","",Agent05_Withdrawals!B182)</f>
        <v/>
      </c>
      <c r="D977" s="40" t="str">
        <f>IF(Agent05_Withdrawals!A182="","",Agent05_Withdrawals!C182)</f>
        <v/>
      </c>
      <c r="E977" s="38" t="str">
        <f>IF(Agent05_Withdrawals!A182="","",Agent05_Withdrawals!D182)</f>
        <v/>
      </c>
      <c r="F977" s="37" t="str">
        <f>IF(Agent05_Withdrawals!A182="","",Agent05_Withdrawals!F182)</f>
        <v/>
      </c>
      <c r="G977" s="39" t="str">
        <f>IF(Agent05_Withdrawals!A182="","",Agent05_Withdrawals!E182)</f>
        <v/>
      </c>
      <c r="H977" s="39" t="str">
        <f>IF(Agent05_Withdrawals!A182="","",Agent05_Withdrawals!G182)</f>
        <v/>
      </c>
      <c r="I977" s="37" t="str">
        <f>IF(Agent05_Withdrawals!A182="","",Agent05_Withdrawals!H182)</f>
        <v/>
      </c>
      <c r="J977" s="37" t="str">
        <f>IF(Agent05_Withdrawals!A182="","",Agent05_Withdrawals!J182)</f>
        <v/>
      </c>
      <c r="K977" s="37" t="str">
        <f>IF(Agent05_Withdrawals!A182="","",Agent05_Withdrawals!K182)</f>
        <v/>
      </c>
      <c r="L977" s="37" t="str">
        <f>IF(G977="","",IF(D977-G977&gt;=System_Config!$B$9,"✅ OK","⚠️ BREACH"))</f>
        <v/>
      </c>
      <c r="M977" s="37" t="str">
        <f>IFERROR(IF(Agent05_Withdrawals!A182="","",YEAR(Agent05_Withdrawals!D182)),"")</f>
        <v/>
      </c>
    </row>
    <row r="978" spans="1:13" ht="18" customHeight="1" x14ac:dyDescent="0.25">
      <c r="A978" s="37" t="str">
        <f>IF(Agent05_Withdrawals!A183="","",Agent05_Withdrawals!A183)</f>
        <v/>
      </c>
      <c r="B978" s="37" t="str">
        <f ca="1">IF(Agent05_Withdrawals!A183="","","WD"&amp;TEXT(978-3,"0000")&amp;"-"&amp;TEXT(TODAY(),"YYYYMMDD"))</f>
        <v/>
      </c>
      <c r="C978" s="37" t="str">
        <f>IF(Agent05_Withdrawals!A183="","",Agent05_Withdrawals!B183)</f>
        <v/>
      </c>
      <c r="D978" s="40" t="str">
        <f>IF(Agent05_Withdrawals!A183="","",Agent05_Withdrawals!C183)</f>
        <v/>
      </c>
      <c r="E978" s="38" t="str">
        <f>IF(Agent05_Withdrawals!A183="","",Agent05_Withdrawals!D183)</f>
        <v/>
      </c>
      <c r="F978" s="37" t="str">
        <f>IF(Agent05_Withdrawals!A183="","",Agent05_Withdrawals!F183)</f>
        <v/>
      </c>
      <c r="G978" s="39" t="str">
        <f>IF(Agent05_Withdrawals!A183="","",Agent05_Withdrawals!E183)</f>
        <v/>
      </c>
      <c r="H978" s="39" t="str">
        <f>IF(Agent05_Withdrawals!A183="","",Agent05_Withdrawals!G183)</f>
        <v/>
      </c>
      <c r="I978" s="37" t="str">
        <f>IF(Agent05_Withdrawals!A183="","",Agent05_Withdrawals!H183)</f>
        <v/>
      </c>
      <c r="J978" s="37" t="str">
        <f>IF(Agent05_Withdrawals!A183="","",Agent05_Withdrawals!J183)</f>
        <v/>
      </c>
      <c r="K978" s="37" t="str">
        <f>IF(Agent05_Withdrawals!A183="","",Agent05_Withdrawals!K183)</f>
        <v/>
      </c>
      <c r="L978" s="37" t="str">
        <f>IF(G978="","",IF(D978-G978&gt;=System_Config!$B$9,"✅ OK","⚠️ BREACH"))</f>
        <v/>
      </c>
      <c r="M978" s="37" t="str">
        <f>IFERROR(IF(Agent05_Withdrawals!A183="","",YEAR(Agent05_Withdrawals!D183)),"")</f>
        <v/>
      </c>
    </row>
    <row r="979" spans="1:13" ht="18" customHeight="1" x14ac:dyDescent="0.25">
      <c r="A979" s="37" t="str">
        <f>IF(Agent05_Withdrawals!A184="","",Agent05_Withdrawals!A184)</f>
        <v/>
      </c>
      <c r="B979" s="37" t="str">
        <f ca="1">IF(Agent05_Withdrawals!A184="","","WD"&amp;TEXT(979-3,"0000")&amp;"-"&amp;TEXT(TODAY(),"YYYYMMDD"))</f>
        <v/>
      </c>
      <c r="C979" s="37" t="str">
        <f>IF(Agent05_Withdrawals!A184="","",Agent05_Withdrawals!B184)</f>
        <v/>
      </c>
      <c r="D979" s="40" t="str">
        <f>IF(Agent05_Withdrawals!A184="","",Agent05_Withdrawals!C184)</f>
        <v/>
      </c>
      <c r="E979" s="38" t="str">
        <f>IF(Agent05_Withdrawals!A184="","",Agent05_Withdrawals!D184)</f>
        <v/>
      </c>
      <c r="F979" s="37" t="str">
        <f>IF(Agent05_Withdrawals!A184="","",Agent05_Withdrawals!F184)</f>
        <v/>
      </c>
      <c r="G979" s="39" t="str">
        <f>IF(Agent05_Withdrawals!A184="","",Agent05_Withdrawals!E184)</f>
        <v/>
      </c>
      <c r="H979" s="39" t="str">
        <f>IF(Agent05_Withdrawals!A184="","",Agent05_Withdrawals!G184)</f>
        <v/>
      </c>
      <c r="I979" s="37" t="str">
        <f>IF(Agent05_Withdrawals!A184="","",Agent05_Withdrawals!H184)</f>
        <v/>
      </c>
      <c r="J979" s="37" t="str">
        <f>IF(Agent05_Withdrawals!A184="","",Agent05_Withdrawals!J184)</f>
        <v/>
      </c>
      <c r="K979" s="37" t="str">
        <f>IF(Agent05_Withdrawals!A184="","",Agent05_Withdrawals!K184)</f>
        <v/>
      </c>
      <c r="L979" s="37" t="str">
        <f>IF(G979="","",IF(D979-G979&gt;=System_Config!$B$9,"✅ OK","⚠️ BREACH"))</f>
        <v/>
      </c>
      <c r="M979" s="37" t="str">
        <f>IFERROR(IF(Agent05_Withdrawals!A184="","",YEAR(Agent05_Withdrawals!D184)),"")</f>
        <v/>
      </c>
    </row>
    <row r="980" spans="1:13" ht="18" customHeight="1" x14ac:dyDescent="0.25">
      <c r="A980" s="37" t="str">
        <f>IF(Agent05_Withdrawals!A185="","",Agent05_Withdrawals!A185)</f>
        <v/>
      </c>
      <c r="B980" s="37" t="str">
        <f ca="1">IF(Agent05_Withdrawals!A185="","","WD"&amp;TEXT(980-3,"0000")&amp;"-"&amp;TEXT(TODAY(),"YYYYMMDD"))</f>
        <v/>
      </c>
      <c r="C980" s="37" t="str">
        <f>IF(Agent05_Withdrawals!A185="","",Agent05_Withdrawals!B185)</f>
        <v/>
      </c>
      <c r="D980" s="40" t="str">
        <f>IF(Agent05_Withdrawals!A185="","",Agent05_Withdrawals!C185)</f>
        <v/>
      </c>
      <c r="E980" s="38" t="str">
        <f>IF(Agent05_Withdrawals!A185="","",Agent05_Withdrawals!D185)</f>
        <v/>
      </c>
      <c r="F980" s="37" t="str">
        <f>IF(Agent05_Withdrawals!A185="","",Agent05_Withdrawals!F185)</f>
        <v/>
      </c>
      <c r="G980" s="39" t="str">
        <f>IF(Agent05_Withdrawals!A185="","",Agent05_Withdrawals!E185)</f>
        <v/>
      </c>
      <c r="H980" s="39" t="str">
        <f>IF(Agent05_Withdrawals!A185="","",Agent05_Withdrawals!G185)</f>
        <v/>
      </c>
      <c r="I980" s="37" t="str">
        <f>IF(Agent05_Withdrawals!A185="","",Agent05_Withdrawals!H185)</f>
        <v/>
      </c>
      <c r="J980" s="37" t="str">
        <f>IF(Agent05_Withdrawals!A185="","",Agent05_Withdrawals!J185)</f>
        <v/>
      </c>
      <c r="K980" s="37" t="str">
        <f>IF(Agent05_Withdrawals!A185="","",Agent05_Withdrawals!K185)</f>
        <v/>
      </c>
      <c r="L980" s="37" t="str">
        <f>IF(G980="","",IF(D980-G980&gt;=System_Config!$B$9,"✅ OK","⚠️ BREACH"))</f>
        <v/>
      </c>
      <c r="M980" s="37" t="str">
        <f>IFERROR(IF(Agent05_Withdrawals!A185="","",YEAR(Agent05_Withdrawals!D185)),"")</f>
        <v/>
      </c>
    </row>
    <row r="981" spans="1:13" ht="18" customHeight="1" x14ac:dyDescent="0.25">
      <c r="A981" s="37" t="str">
        <f>IF(Agent05_Withdrawals!A186="","",Agent05_Withdrawals!A186)</f>
        <v/>
      </c>
      <c r="B981" s="37" t="str">
        <f ca="1">IF(Agent05_Withdrawals!A186="","","WD"&amp;TEXT(981-3,"0000")&amp;"-"&amp;TEXT(TODAY(),"YYYYMMDD"))</f>
        <v/>
      </c>
      <c r="C981" s="37" t="str">
        <f>IF(Agent05_Withdrawals!A186="","",Agent05_Withdrawals!B186)</f>
        <v/>
      </c>
      <c r="D981" s="40" t="str">
        <f>IF(Agent05_Withdrawals!A186="","",Agent05_Withdrawals!C186)</f>
        <v/>
      </c>
      <c r="E981" s="38" t="str">
        <f>IF(Agent05_Withdrawals!A186="","",Agent05_Withdrawals!D186)</f>
        <v/>
      </c>
      <c r="F981" s="37" t="str">
        <f>IF(Agent05_Withdrawals!A186="","",Agent05_Withdrawals!F186)</f>
        <v/>
      </c>
      <c r="G981" s="39" t="str">
        <f>IF(Agent05_Withdrawals!A186="","",Agent05_Withdrawals!E186)</f>
        <v/>
      </c>
      <c r="H981" s="39" t="str">
        <f>IF(Agent05_Withdrawals!A186="","",Agent05_Withdrawals!G186)</f>
        <v/>
      </c>
      <c r="I981" s="37" t="str">
        <f>IF(Agent05_Withdrawals!A186="","",Agent05_Withdrawals!H186)</f>
        <v/>
      </c>
      <c r="J981" s="37" t="str">
        <f>IF(Agent05_Withdrawals!A186="","",Agent05_Withdrawals!J186)</f>
        <v/>
      </c>
      <c r="K981" s="37" t="str">
        <f>IF(Agent05_Withdrawals!A186="","",Agent05_Withdrawals!K186)</f>
        <v/>
      </c>
      <c r="L981" s="37" t="str">
        <f>IF(G981="","",IF(D981-G981&gt;=System_Config!$B$9,"✅ OK","⚠️ BREACH"))</f>
        <v/>
      </c>
      <c r="M981" s="37" t="str">
        <f>IFERROR(IF(Agent05_Withdrawals!A186="","",YEAR(Agent05_Withdrawals!D186)),"")</f>
        <v/>
      </c>
    </row>
    <row r="982" spans="1:13" ht="18" customHeight="1" x14ac:dyDescent="0.25">
      <c r="A982" s="37" t="str">
        <f>IF(Agent05_Withdrawals!A187="","",Agent05_Withdrawals!A187)</f>
        <v/>
      </c>
      <c r="B982" s="37" t="str">
        <f ca="1">IF(Agent05_Withdrawals!A187="","","WD"&amp;TEXT(982-3,"0000")&amp;"-"&amp;TEXT(TODAY(),"YYYYMMDD"))</f>
        <v/>
      </c>
      <c r="C982" s="37" t="str">
        <f>IF(Agent05_Withdrawals!A187="","",Agent05_Withdrawals!B187)</f>
        <v/>
      </c>
      <c r="D982" s="40" t="str">
        <f>IF(Agent05_Withdrawals!A187="","",Agent05_Withdrawals!C187)</f>
        <v/>
      </c>
      <c r="E982" s="38" t="str">
        <f>IF(Agent05_Withdrawals!A187="","",Agent05_Withdrawals!D187)</f>
        <v/>
      </c>
      <c r="F982" s="37" t="str">
        <f>IF(Agent05_Withdrawals!A187="","",Agent05_Withdrawals!F187)</f>
        <v/>
      </c>
      <c r="G982" s="39" t="str">
        <f>IF(Agent05_Withdrawals!A187="","",Agent05_Withdrawals!E187)</f>
        <v/>
      </c>
      <c r="H982" s="39" t="str">
        <f>IF(Agent05_Withdrawals!A187="","",Agent05_Withdrawals!G187)</f>
        <v/>
      </c>
      <c r="I982" s="37" t="str">
        <f>IF(Agent05_Withdrawals!A187="","",Agent05_Withdrawals!H187)</f>
        <v/>
      </c>
      <c r="J982" s="37" t="str">
        <f>IF(Agent05_Withdrawals!A187="","",Agent05_Withdrawals!J187)</f>
        <v/>
      </c>
      <c r="K982" s="37" t="str">
        <f>IF(Agent05_Withdrawals!A187="","",Agent05_Withdrawals!K187)</f>
        <v/>
      </c>
      <c r="L982" s="37" t="str">
        <f>IF(G982="","",IF(D982-G982&gt;=System_Config!$B$9,"✅ OK","⚠️ BREACH"))</f>
        <v/>
      </c>
      <c r="M982" s="37" t="str">
        <f>IFERROR(IF(Agent05_Withdrawals!A187="","",YEAR(Agent05_Withdrawals!D187)),"")</f>
        <v/>
      </c>
    </row>
    <row r="983" spans="1:13" ht="18" customHeight="1" x14ac:dyDescent="0.25">
      <c r="A983" s="37" t="str">
        <f>IF(Agent05_Withdrawals!A188="","",Agent05_Withdrawals!A188)</f>
        <v/>
      </c>
      <c r="B983" s="37" t="str">
        <f ca="1">IF(Agent05_Withdrawals!A188="","","WD"&amp;TEXT(983-3,"0000")&amp;"-"&amp;TEXT(TODAY(),"YYYYMMDD"))</f>
        <v/>
      </c>
      <c r="C983" s="37" t="str">
        <f>IF(Agent05_Withdrawals!A188="","",Agent05_Withdrawals!B188)</f>
        <v/>
      </c>
      <c r="D983" s="40" t="str">
        <f>IF(Agent05_Withdrawals!A188="","",Agent05_Withdrawals!C188)</f>
        <v/>
      </c>
      <c r="E983" s="38" t="str">
        <f>IF(Agent05_Withdrawals!A188="","",Agent05_Withdrawals!D188)</f>
        <v/>
      </c>
      <c r="F983" s="37" t="str">
        <f>IF(Agent05_Withdrawals!A188="","",Agent05_Withdrawals!F188)</f>
        <v/>
      </c>
      <c r="G983" s="39" t="str">
        <f>IF(Agent05_Withdrawals!A188="","",Agent05_Withdrawals!E188)</f>
        <v/>
      </c>
      <c r="H983" s="39" t="str">
        <f>IF(Agent05_Withdrawals!A188="","",Agent05_Withdrawals!G188)</f>
        <v/>
      </c>
      <c r="I983" s="37" t="str">
        <f>IF(Agent05_Withdrawals!A188="","",Agent05_Withdrawals!H188)</f>
        <v/>
      </c>
      <c r="J983" s="37" t="str">
        <f>IF(Agent05_Withdrawals!A188="","",Agent05_Withdrawals!J188)</f>
        <v/>
      </c>
      <c r="K983" s="37" t="str">
        <f>IF(Agent05_Withdrawals!A188="","",Agent05_Withdrawals!K188)</f>
        <v/>
      </c>
      <c r="L983" s="37" t="str">
        <f>IF(G983="","",IF(D983-G983&gt;=System_Config!$B$9,"✅ OK","⚠️ BREACH"))</f>
        <v/>
      </c>
      <c r="M983" s="37" t="str">
        <f>IFERROR(IF(Agent05_Withdrawals!A188="","",YEAR(Agent05_Withdrawals!D188)),"")</f>
        <v/>
      </c>
    </row>
    <row r="984" spans="1:13" ht="18" customHeight="1" x14ac:dyDescent="0.25">
      <c r="A984" s="37" t="str">
        <f>IF(Agent05_Withdrawals!A189="","",Agent05_Withdrawals!A189)</f>
        <v/>
      </c>
      <c r="B984" s="37" t="str">
        <f ca="1">IF(Agent05_Withdrawals!A189="","","WD"&amp;TEXT(984-3,"0000")&amp;"-"&amp;TEXT(TODAY(),"YYYYMMDD"))</f>
        <v/>
      </c>
      <c r="C984" s="37" t="str">
        <f>IF(Agent05_Withdrawals!A189="","",Agent05_Withdrawals!B189)</f>
        <v/>
      </c>
      <c r="D984" s="40" t="str">
        <f>IF(Agent05_Withdrawals!A189="","",Agent05_Withdrawals!C189)</f>
        <v/>
      </c>
      <c r="E984" s="38" t="str">
        <f>IF(Agent05_Withdrawals!A189="","",Agent05_Withdrawals!D189)</f>
        <v/>
      </c>
      <c r="F984" s="37" t="str">
        <f>IF(Agent05_Withdrawals!A189="","",Agent05_Withdrawals!F189)</f>
        <v/>
      </c>
      <c r="G984" s="39" t="str">
        <f>IF(Agent05_Withdrawals!A189="","",Agent05_Withdrawals!E189)</f>
        <v/>
      </c>
      <c r="H984" s="39" t="str">
        <f>IF(Agent05_Withdrawals!A189="","",Agent05_Withdrawals!G189)</f>
        <v/>
      </c>
      <c r="I984" s="37" t="str">
        <f>IF(Agent05_Withdrawals!A189="","",Agent05_Withdrawals!H189)</f>
        <v/>
      </c>
      <c r="J984" s="37" t="str">
        <f>IF(Agent05_Withdrawals!A189="","",Agent05_Withdrawals!J189)</f>
        <v/>
      </c>
      <c r="K984" s="37" t="str">
        <f>IF(Agent05_Withdrawals!A189="","",Agent05_Withdrawals!K189)</f>
        <v/>
      </c>
      <c r="L984" s="37" t="str">
        <f>IF(G984="","",IF(D984-G984&gt;=System_Config!$B$9,"✅ OK","⚠️ BREACH"))</f>
        <v/>
      </c>
      <c r="M984" s="37" t="str">
        <f>IFERROR(IF(Agent05_Withdrawals!A189="","",YEAR(Agent05_Withdrawals!D189)),"")</f>
        <v/>
      </c>
    </row>
    <row r="985" spans="1:13" ht="18" customHeight="1" x14ac:dyDescent="0.25">
      <c r="A985" s="37" t="str">
        <f>IF(Agent05_Withdrawals!A190="","",Agent05_Withdrawals!A190)</f>
        <v/>
      </c>
      <c r="B985" s="37" t="str">
        <f ca="1">IF(Agent05_Withdrawals!A190="","","WD"&amp;TEXT(985-3,"0000")&amp;"-"&amp;TEXT(TODAY(),"YYYYMMDD"))</f>
        <v/>
      </c>
      <c r="C985" s="37" t="str">
        <f>IF(Agent05_Withdrawals!A190="","",Agent05_Withdrawals!B190)</f>
        <v/>
      </c>
      <c r="D985" s="40" t="str">
        <f>IF(Agent05_Withdrawals!A190="","",Agent05_Withdrawals!C190)</f>
        <v/>
      </c>
      <c r="E985" s="38" t="str">
        <f>IF(Agent05_Withdrawals!A190="","",Agent05_Withdrawals!D190)</f>
        <v/>
      </c>
      <c r="F985" s="37" t="str">
        <f>IF(Agent05_Withdrawals!A190="","",Agent05_Withdrawals!F190)</f>
        <v/>
      </c>
      <c r="G985" s="39" t="str">
        <f>IF(Agent05_Withdrawals!A190="","",Agent05_Withdrawals!E190)</f>
        <v/>
      </c>
      <c r="H985" s="39" t="str">
        <f>IF(Agent05_Withdrawals!A190="","",Agent05_Withdrawals!G190)</f>
        <v/>
      </c>
      <c r="I985" s="37" t="str">
        <f>IF(Agent05_Withdrawals!A190="","",Agent05_Withdrawals!H190)</f>
        <v/>
      </c>
      <c r="J985" s="37" t="str">
        <f>IF(Agent05_Withdrawals!A190="","",Agent05_Withdrawals!J190)</f>
        <v/>
      </c>
      <c r="K985" s="37" t="str">
        <f>IF(Agent05_Withdrawals!A190="","",Agent05_Withdrawals!K190)</f>
        <v/>
      </c>
      <c r="L985" s="37" t="str">
        <f>IF(G985="","",IF(D985-G985&gt;=System_Config!$B$9,"✅ OK","⚠️ BREACH"))</f>
        <v/>
      </c>
      <c r="M985" s="37" t="str">
        <f>IFERROR(IF(Agent05_Withdrawals!A190="","",YEAR(Agent05_Withdrawals!D190)),"")</f>
        <v/>
      </c>
    </row>
    <row r="986" spans="1:13" ht="18" customHeight="1" x14ac:dyDescent="0.25">
      <c r="A986" s="37" t="str">
        <f>IF(Agent05_Withdrawals!A191="","",Agent05_Withdrawals!A191)</f>
        <v/>
      </c>
      <c r="B986" s="37" t="str">
        <f ca="1">IF(Agent05_Withdrawals!A191="","","WD"&amp;TEXT(986-3,"0000")&amp;"-"&amp;TEXT(TODAY(),"YYYYMMDD"))</f>
        <v/>
      </c>
      <c r="C986" s="37" t="str">
        <f>IF(Agent05_Withdrawals!A191="","",Agent05_Withdrawals!B191)</f>
        <v/>
      </c>
      <c r="D986" s="40" t="str">
        <f>IF(Agent05_Withdrawals!A191="","",Agent05_Withdrawals!C191)</f>
        <v/>
      </c>
      <c r="E986" s="38" t="str">
        <f>IF(Agent05_Withdrawals!A191="","",Agent05_Withdrawals!D191)</f>
        <v/>
      </c>
      <c r="F986" s="37" t="str">
        <f>IF(Agent05_Withdrawals!A191="","",Agent05_Withdrawals!F191)</f>
        <v/>
      </c>
      <c r="G986" s="39" t="str">
        <f>IF(Agent05_Withdrawals!A191="","",Agent05_Withdrawals!E191)</f>
        <v/>
      </c>
      <c r="H986" s="39" t="str">
        <f>IF(Agent05_Withdrawals!A191="","",Agent05_Withdrawals!G191)</f>
        <v/>
      </c>
      <c r="I986" s="37" t="str">
        <f>IF(Agent05_Withdrawals!A191="","",Agent05_Withdrawals!H191)</f>
        <v/>
      </c>
      <c r="J986" s="37" t="str">
        <f>IF(Agent05_Withdrawals!A191="","",Agent05_Withdrawals!J191)</f>
        <v/>
      </c>
      <c r="K986" s="37" t="str">
        <f>IF(Agent05_Withdrawals!A191="","",Agent05_Withdrawals!K191)</f>
        <v/>
      </c>
      <c r="L986" s="37" t="str">
        <f>IF(G986="","",IF(D986-G986&gt;=System_Config!$B$9,"✅ OK","⚠️ BREACH"))</f>
        <v/>
      </c>
      <c r="M986" s="37" t="str">
        <f>IFERROR(IF(Agent05_Withdrawals!A191="","",YEAR(Agent05_Withdrawals!D191)),"")</f>
        <v/>
      </c>
    </row>
    <row r="987" spans="1:13" ht="18" customHeight="1" x14ac:dyDescent="0.25">
      <c r="A987" s="37" t="str">
        <f>IF(Agent05_Withdrawals!A192="","",Agent05_Withdrawals!A192)</f>
        <v/>
      </c>
      <c r="B987" s="37" t="str">
        <f ca="1">IF(Agent05_Withdrawals!A192="","","WD"&amp;TEXT(987-3,"0000")&amp;"-"&amp;TEXT(TODAY(),"YYYYMMDD"))</f>
        <v/>
      </c>
      <c r="C987" s="37" t="str">
        <f>IF(Agent05_Withdrawals!A192="","",Agent05_Withdrawals!B192)</f>
        <v/>
      </c>
      <c r="D987" s="40" t="str">
        <f>IF(Agent05_Withdrawals!A192="","",Agent05_Withdrawals!C192)</f>
        <v/>
      </c>
      <c r="E987" s="38" t="str">
        <f>IF(Agent05_Withdrawals!A192="","",Agent05_Withdrawals!D192)</f>
        <v/>
      </c>
      <c r="F987" s="37" t="str">
        <f>IF(Agent05_Withdrawals!A192="","",Agent05_Withdrawals!F192)</f>
        <v/>
      </c>
      <c r="G987" s="39" t="str">
        <f>IF(Agent05_Withdrawals!A192="","",Agent05_Withdrawals!E192)</f>
        <v/>
      </c>
      <c r="H987" s="39" t="str">
        <f>IF(Agent05_Withdrawals!A192="","",Agent05_Withdrawals!G192)</f>
        <v/>
      </c>
      <c r="I987" s="37" t="str">
        <f>IF(Agent05_Withdrawals!A192="","",Agent05_Withdrawals!H192)</f>
        <v/>
      </c>
      <c r="J987" s="37" t="str">
        <f>IF(Agent05_Withdrawals!A192="","",Agent05_Withdrawals!J192)</f>
        <v/>
      </c>
      <c r="K987" s="37" t="str">
        <f>IF(Agent05_Withdrawals!A192="","",Agent05_Withdrawals!K192)</f>
        <v/>
      </c>
      <c r="L987" s="37" t="str">
        <f>IF(G987="","",IF(D987-G987&gt;=System_Config!$B$9,"✅ OK","⚠️ BREACH"))</f>
        <v/>
      </c>
      <c r="M987" s="37" t="str">
        <f>IFERROR(IF(Agent05_Withdrawals!A192="","",YEAR(Agent05_Withdrawals!D192)),"")</f>
        <v/>
      </c>
    </row>
    <row r="988" spans="1:13" ht="18" customHeight="1" x14ac:dyDescent="0.25">
      <c r="A988" s="37" t="str">
        <f>IF(Agent05_Withdrawals!A193="","",Agent05_Withdrawals!A193)</f>
        <v/>
      </c>
      <c r="B988" s="37" t="str">
        <f ca="1">IF(Agent05_Withdrawals!A193="","","WD"&amp;TEXT(988-3,"0000")&amp;"-"&amp;TEXT(TODAY(),"YYYYMMDD"))</f>
        <v/>
      </c>
      <c r="C988" s="37" t="str">
        <f>IF(Agent05_Withdrawals!A193="","",Agent05_Withdrawals!B193)</f>
        <v/>
      </c>
      <c r="D988" s="40" t="str">
        <f>IF(Agent05_Withdrawals!A193="","",Agent05_Withdrawals!C193)</f>
        <v/>
      </c>
      <c r="E988" s="38" t="str">
        <f>IF(Agent05_Withdrawals!A193="","",Agent05_Withdrawals!D193)</f>
        <v/>
      </c>
      <c r="F988" s="37" t="str">
        <f>IF(Agent05_Withdrawals!A193="","",Agent05_Withdrawals!F193)</f>
        <v/>
      </c>
      <c r="G988" s="39" t="str">
        <f>IF(Agent05_Withdrawals!A193="","",Agent05_Withdrawals!E193)</f>
        <v/>
      </c>
      <c r="H988" s="39" t="str">
        <f>IF(Agent05_Withdrawals!A193="","",Agent05_Withdrawals!G193)</f>
        <v/>
      </c>
      <c r="I988" s="37" t="str">
        <f>IF(Agent05_Withdrawals!A193="","",Agent05_Withdrawals!H193)</f>
        <v/>
      </c>
      <c r="J988" s="37" t="str">
        <f>IF(Agent05_Withdrawals!A193="","",Agent05_Withdrawals!J193)</f>
        <v/>
      </c>
      <c r="K988" s="37" t="str">
        <f>IF(Agent05_Withdrawals!A193="","",Agent05_Withdrawals!K193)</f>
        <v/>
      </c>
      <c r="L988" s="37" t="str">
        <f>IF(G988="","",IF(D988-G988&gt;=System_Config!$B$9,"✅ OK","⚠️ BREACH"))</f>
        <v/>
      </c>
      <c r="M988" s="37" t="str">
        <f>IFERROR(IF(Agent05_Withdrawals!A193="","",YEAR(Agent05_Withdrawals!D193)),"")</f>
        <v/>
      </c>
    </row>
    <row r="989" spans="1:13" ht="18" customHeight="1" x14ac:dyDescent="0.25">
      <c r="A989" s="37" t="str">
        <f>IF(Agent05_Withdrawals!A194="","",Agent05_Withdrawals!A194)</f>
        <v/>
      </c>
      <c r="B989" s="37" t="str">
        <f ca="1">IF(Agent05_Withdrawals!A194="","","WD"&amp;TEXT(989-3,"0000")&amp;"-"&amp;TEXT(TODAY(),"YYYYMMDD"))</f>
        <v/>
      </c>
      <c r="C989" s="37" t="str">
        <f>IF(Agent05_Withdrawals!A194="","",Agent05_Withdrawals!B194)</f>
        <v/>
      </c>
      <c r="D989" s="40" t="str">
        <f>IF(Agent05_Withdrawals!A194="","",Agent05_Withdrawals!C194)</f>
        <v/>
      </c>
      <c r="E989" s="38" t="str">
        <f>IF(Agent05_Withdrawals!A194="","",Agent05_Withdrawals!D194)</f>
        <v/>
      </c>
      <c r="F989" s="37" t="str">
        <f>IF(Agent05_Withdrawals!A194="","",Agent05_Withdrawals!F194)</f>
        <v/>
      </c>
      <c r="G989" s="39" t="str">
        <f>IF(Agent05_Withdrawals!A194="","",Agent05_Withdrawals!E194)</f>
        <v/>
      </c>
      <c r="H989" s="39" t="str">
        <f>IF(Agent05_Withdrawals!A194="","",Agent05_Withdrawals!G194)</f>
        <v/>
      </c>
      <c r="I989" s="37" t="str">
        <f>IF(Agent05_Withdrawals!A194="","",Agent05_Withdrawals!H194)</f>
        <v/>
      </c>
      <c r="J989" s="37" t="str">
        <f>IF(Agent05_Withdrawals!A194="","",Agent05_Withdrawals!J194)</f>
        <v/>
      </c>
      <c r="K989" s="37" t="str">
        <f>IF(Agent05_Withdrawals!A194="","",Agent05_Withdrawals!K194)</f>
        <v/>
      </c>
      <c r="L989" s="37" t="str">
        <f>IF(G989="","",IF(D989-G989&gt;=System_Config!$B$9,"✅ OK","⚠️ BREACH"))</f>
        <v/>
      </c>
      <c r="M989" s="37" t="str">
        <f>IFERROR(IF(Agent05_Withdrawals!A194="","",YEAR(Agent05_Withdrawals!D194)),"")</f>
        <v/>
      </c>
    </row>
    <row r="990" spans="1:13" ht="18" customHeight="1" x14ac:dyDescent="0.25">
      <c r="A990" s="37" t="str">
        <f>IF(Agent05_Withdrawals!A195="","",Agent05_Withdrawals!A195)</f>
        <v/>
      </c>
      <c r="B990" s="37" t="str">
        <f ca="1">IF(Agent05_Withdrawals!A195="","","WD"&amp;TEXT(990-3,"0000")&amp;"-"&amp;TEXT(TODAY(),"YYYYMMDD"))</f>
        <v/>
      </c>
      <c r="C990" s="37" t="str">
        <f>IF(Agent05_Withdrawals!A195="","",Agent05_Withdrawals!B195)</f>
        <v/>
      </c>
      <c r="D990" s="40" t="str">
        <f>IF(Agent05_Withdrawals!A195="","",Agent05_Withdrawals!C195)</f>
        <v/>
      </c>
      <c r="E990" s="38" t="str">
        <f>IF(Agent05_Withdrawals!A195="","",Agent05_Withdrawals!D195)</f>
        <v/>
      </c>
      <c r="F990" s="37" t="str">
        <f>IF(Agent05_Withdrawals!A195="","",Agent05_Withdrawals!F195)</f>
        <v/>
      </c>
      <c r="G990" s="39" t="str">
        <f>IF(Agent05_Withdrawals!A195="","",Agent05_Withdrawals!E195)</f>
        <v/>
      </c>
      <c r="H990" s="39" t="str">
        <f>IF(Agent05_Withdrawals!A195="","",Agent05_Withdrawals!G195)</f>
        <v/>
      </c>
      <c r="I990" s="37" t="str">
        <f>IF(Agent05_Withdrawals!A195="","",Agent05_Withdrawals!H195)</f>
        <v/>
      </c>
      <c r="J990" s="37" t="str">
        <f>IF(Agent05_Withdrawals!A195="","",Agent05_Withdrawals!J195)</f>
        <v/>
      </c>
      <c r="K990" s="37" t="str">
        <f>IF(Agent05_Withdrawals!A195="","",Agent05_Withdrawals!K195)</f>
        <v/>
      </c>
      <c r="L990" s="37" t="str">
        <f>IF(G990="","",IF(D990-G990&gt;=System_Config!$B$9,"✅ OK","⚠️ BREACH"))</f>
        <v/>
      </c>
      <c r="M990" s="37" t="str">
        <f>IFERROR(IF(Agent05_Withdrawals!A195="","",YEAR(Agent05_Withdrawals!D195)),"")</f>
        <v/>
      </c>
    </row>
    <row r="991" spans="1:13" ht="18" customHeight="1" x14ac:dyDescent="0.25">
      <c r="A991" s="37" t="str">
        <f>IF(Agent05_Withdrawals!A196="","",Agent05_Withdrawals!A196)</f>
        <v/>
      </c>
      <c r="B991" s="37" t="str">
        <f ca="1">IF(Agent05_Withdrawals!A196="","","WD"&amp;TEXT(991-3,"0000")&amp;"-"&amp;TEXT(TODAY(),"YYYYMMDD"))</f>
        <v/>
      </c>
      <c r="C991" s="37" t="str">
        <f>IF(Agent05_Withdrawals!A196="","",Agent05_Withdrawals!B196)</f>
        <v/>
      </c>
      <c r="D991" s="40" t="str">
        <f>IF(Agent05_Withdrawals!A196="","",Agent05_Withdrawals!C196)</f>
        <v/>
      </c>
      <c r="E991" s="38" t="str">
        <f>IF(Agent05_Withdrawals!A196="","",Agent05_Withdrawals!D196)</f>
        <v/>
      </c>
      <c r="F991" s="37" t="str">
        <f>IF(Agent05_Withdrawals!A196="","",Agent05_Withdrawals!F196)</f>
        <v/>
      </c>
      <c r="G991" s="39" t="str">
        <f>IF(Agent05_Withdrawals!A196="","",Agent05_Withdrawals!E196)</f>
        <v/>
      </c>
      <c r="H991" s="39" t="str">
        <f>IF(Agent05_Withdrawals!A196="","",Agent05_Withdrawals!G196)</f>
        <v/>
      </c>
      <c r="I991" s="37" t="str">
        <f>IF(Agent05_Withdrawals!A196="","",Agent05_Withdrawals!H196)</f>
        <v/>
      </c>
      <c r="J991" s="37" t="str">
        <f>IF(Agent05_Withdrawals!A196="","",Agent05_Withdrawals!J196)</f>
        <v/>
      </c>
      <c r="K991" s="37" t="str">
        <f>IF(Agent05_Withdrawals!A196="","",Agent05_Withdrawals!K196)</f>
        <v/>
      </c>
      <c r="L991" s="37" t="str">
        <f>IF(G991="","",IF(D991-G991&gt;=System_Config!$B$9,"✅ OK","⚠️ BREACH"))</f>
        <v/>
      </c>
      <c r="M991" s="37" t="str">
        <f>IFERROR(IF(Agent05_Withdrawals!A196="","",YEAR(Agent05_Withdrawals!D196)),"")</f>
        <v/>
      </c>
    </row>
    <row r="992" spans="1:13" ht="18" customHeight="1" x14ac:dyDescent="0.25">
      <c r="A992" s="37" t="str">
        <f>IF(Agent05_Withdrawals!A197="","",Agent05_Withdrawals!A197)</f>
        <v/>
      </c>
      <c r="B992" s="37" t="str">
        <f ca="1">IF(Agent05_Withdrawals!A197="","","WD"&amp;TEXT(992-3,"0000")&amp;"-"&amp;TEXT(TODAY(),"YYYYMMDD"))</f>
        <v/>
      </c>
      <c r="C992" s="37" t="str">
        <f>IF(Agent05_Withdrawals!A197="","",Agent05_Withdrawals!B197)</f>
        <v/>
      </c>
      <c r="D992" s="40" t="str">
        <f>IF(Agent05_Withdrawals!A197="","",Agent05_Withdrawals!C197)</f>
        <v/>
      </c>
      <c r="E992" s="38" t="str">
        <f>IF(Agent05_Withdrawals!A197="","",Agent05_Withdrawals!D197)</f>
        <v/>
      </c>
      <c r="F992" s="37" t="str">
        <f>IF(Agent05_Withdrawals!A197="","",Agent05_Withdrawals!F197)</f>
        <v/>
      </c>
      <c r="G992" s="39" t="str">
        <f>IF(Agent05_Withdrawals!A197="","",Agent05_Withdrawals!E197)</f>
        <v/>
      </c>
      <c r="H992" s="39" t="str">
        <f>IF(Agent05_Withdrawals!A197="","",Agent05_Withdrawals!G197)</f>
        <v/>
      </c>
      <c r="I992" s="37" t="str">
        <f>IF(Agent05_Withdrawals!A197="","",Agent05_Withdrawals!H197)</f>
        <v/>
      </c>
      <c r="J992" s="37" t="str">
        <f>IF(Agent05_Withdrawals!A197="","",Agent05_Withdrawals!J197)</f>
        <v/>
      </c>
      <c r="K992" s="37" t="str">
        <f>IF(Agent05_Withdrawals!A197="","",Agent05_Withdrawals!K197)</f>
        <v/>
      </c>
      <c r="L992" s="37" t="str">
        <f>IF(G992="","",IF(D992-G992&gt;=System_Config!$B$9,"✅ OK","⚠️ BREACH"))</f>
        <v/>
      </c>
      <c r="M992" s="37" t="str">
        <f>IFERROR(IF(Agent05_Withdrawals!A197="","",YEAR(Agent05_Withdrawals!D197)),"")</f>
        <v/>
      </c>
    </row>
    <row r="993" spans="1:13" ht="18" customHeight="1" x14ac:dyDescent="0.25">
      <c r="A993" s="37" t="str">
        <f>IF(Agent05_Withdrawals!A198="","",Agent05_Withdrawals!A198)</f>
        <v/>
      </c>
      <c r="B993" s="37" t="str">
        <f ca="1">IF(Agent05_Withdrawals!A198="","","WD"&amp;TEXT(993-3,"0000")&amp;"-"&amp;TEXT(TODAY(),"YYYYMMDD"))</f>
        <v/>
      </c>
      <c r="C993" s="37" t="str">
        <f>IF(Agent05_Withdrawals!A198="","",Agent05_Withdrawals!B198)</f>
        <v/>
      </c>
      <c r="D993" s="40" t="str">
        <f>IF(Agent05_Withdrawals!A198="","",Agent05_Withdrawals!C198)</f>
        <v/>
      </c>
      <c r="E993" s="38" t="str">
        <f>IF(Agent05_Withdrawals!A198="","",Agent05_Withdrawals!D198)</f>
        <v/>
      </c>
      <c r="F993" s="37" t="str">
        <f>IF(Agent05_Withdrawals!A198="","",Agent05_Withdrawals!F198)</f>
        <v/>
      </c>
      <c r="G993" s="39" t="str">
        <f>IF(Agent05_Withdrawals!A198="","",Agent05_Withdrawals!E198)</f>
        <v/>
      </c>
      <c r="H993" s="39" t="str">
        <f>IF(Agent05_Withdrawals!A198="","",Agent05_Withdrawals!G198)</f>
        <v/>
      </c>
      <c r="I993" s="37" t="str">
        <f>IF(Agent05_Withdrawals!A198="","",Agent05_Withdrawals!H198)</f>
        <v/>
      </c>
      <c r="J993" s="37" t="str">
        <f>IF(Agent05_Withdrawals!A198="","",Agent05_Withdrawals!J198)</f>
        <v/>
      </c>
      <c r="K993" s="37" t="str">
        <f>IF(Agent05_Withdrawals!A198="","",Agent05_Withdrawals!K198)</f>
        <v/>
      </c>
      <c r="L993" s="37" t="str">
        <f>IF(G993="","",IF(D993-G993&gt;=System_Config!$B$9,"✅ OK","⚠️ BREACH"))</f>
        <v/>
      </c>
      <c r="M993" s="37" t="str">
        <f>IFERROR(IF(Agent05_Withdrawals!A198="","",YEAR(Agent05_Withdrawals!D198)),"")</f>
        <v/>
      </c>
    </row>
    <row r="994" spans="1:13" ht="18" customHeight="1" x14ac:dyDescent="0.25">
      <c r="A994" s="37" t="str">
        <f>IF(Agent05_Withdrawals!A199="","",Agent05_Withdrawals!A199)</f>
        <v/>
      </c>
      <c r="B994" s="37" t="str">
        <f ca="1">IF(Agent05_Withdrawals!A199="","","WD"&amp;TEXT(994-3,"0000")&amp;"-"&amp;TEXT(TODAY(),"YYYYMMDD"))</f>
        <v/>
      </c>
      <c r="C994" s="37" t="str">
        <f>IF(Agent05_Withdrawals!A199="","",Agent05_Withdrawals!B199)</f>
        <v/>
      </c>
      <c r="D994" s="40" t="str">
        <f>IF(Agent05_Withdrawals!A199="","",Agent05_Withdrawals!C199)</f>
        <v/>
      </c>
      <c r="E994" s="38" t="str">
        <f>IF(Agent05_Withdrawals!A199="","",Agent05_Withdrawals!D199)</f>
        <v/>
      </c>
      <c r="F994" s="37" t="str">
        <f>IF(Agent05_Withdrawals!A199="","",Agent05_Withdrawals!F199)</f>
        <v/>
      </c>
      <c r="G994" s="39" t="str">
        <f>IF(Agent05_Withdrawals!A199="","",Agent05_Withdrawals!E199)</f>
        <v/>
      </c>
      <c r="H994" s="39" t="str">
        <f>IF(Agent05_Withdrawals!A199="","",Agent05_Withdrawals!G199)</f>
        <v/>
      </c>
      <c r="I994" s="37" t="str">
        <f>IF(Agent05_Withdrawals!A199="","",Agent05_Withdrawals!H199)</f>
        <v/>
      </c>
      <c r="J994" s="37" t="str">
        <f>IF(Agent05_Withdrawals!A199="","",Agent05_Withdrawals!J199)</f>
        <v/>
      </c>
      <c r="K994" s="37" t="str">
        <f>IF(Agent05_Withdrawals!A199="","",Agent05_Withdrawals!K199)</f>
        <v/>
      </c>
      <c r="L994" s="37" t="str">
        <f>IF(G994="","",IF(D994-G994&gt;=System_Config!$B$9,"✅ OK","⚠️ BREACH"))</f>
        <v/>
      </c>
      <c r="M994" s="37" t="str">
        <f>IFERROR(IF(Agent05_Withdrawals!A199="","",YEAR(Agent05_Withdrawals!D199)),"")</f>
        <v/>
      </c>
    </row>
    <row r="995" spans="1:13" ht="18" customHeight="1" x14ac:dyDescent="0.25">
      <c r="A995" s="37" t="str">
        <f>IF(Agent05_Withdrawals!A200="","",Agent05_Withdrawals!A200)</f>
        <v/>
      </c>
      <c r="B995" s="37" t="str">
        <f ca="1">IF(Agent05_Withdrawals!A200="","","WD"&amp;TEXT(995-3,"0000")&amp;"-"&amp;TEXT(TODAY(),"YYYYMMDD"))</f>
        <v/>
      </c>
      <c r="C995" s="37" t="str">
        <f>IF(Agent05_Withdrawals!A200="","",Agent05_Withdrawals!B200)</f>
        <v/>
      </c>
      <c r="D995" s="40" t="str">
        <f>IF(Agent05_Withdrawals!A200="","",Agent05_Withdrawals!C200)</f>
        <v/>
      </c>
      <c r="E995" s="38" t="str">
        <f>IF(Agent05_Withdrawals!A200="","",Agent05_Withdrawals!D200)</f>
        <v/>
      </c>
      <c r="F995" s="37" t="str">
        <f>IF(Agent05_Withdrawals!A200="","",Agent05_Withdrawals!F200)</f>
        <v/>
      </c>
      <c r="G995" s="39" t="str">
        <f>IF(Agent05_Withdrawals!A200="","",Agent05_Withdrawals!E200)</f>
        <v/>
      </c>
      <c r="H995" s="39" t="str">
        <f>IF(Agent05_Withdrawals!A200="","",Agent05_Withdrawals!G200)</f>
        <v/>
      </c>
      <c r="I995" s="37" t="str">
        <f>IF(Agent05_Withdrawals!A200="","",Agent05_Withdrawals!H200)</f>
        <v/>
      </c>
      <c r="J995" s="37" t="str">
        <f>IF(Agent05_Withdrawals!A200="","",Agent05_Withdrawals!J200)</f>
        <v/>
      </c>
      <c r="K995" s="37" t="str">
        <f>IF(Agent05_Withdrawals!A200="","",Agent05_Withdrawals!K200)</f>
        <v/>
      </c>
      <c r="L995" s="37" t="str">
        <f>IF(G995="","",IF(D995-G995&gt;=System_Config!$B$9,"✅ OK","⚠️ BREACH"))</f>
        <v/>
      </c>
      <c r="M995" s="37" t="str">
        <f>IFERROR(IF(Agent05_Withdrawals!A200="","",YEAR(Agent05_Withdrawals!D200)),"")</f>
        <v/>
      </c>
    </row>
    <row r="996" spans="1:13" ht="18" customHeight="1" x14ac:dyDescent="0.25">
      <c r="A996" s="37" t="str">
        <f>IF(Agent05_Withdrawals!A201="","",Agent05_Withdrawals!A201)</f>
        <v/>
      </c>
      <c r="B996" s="37" t="str">
        <f ca="1">IF(Agent05_Withdrawals!A201="","","WD"&amp;TEXT(996-3,"0000")&amp;"-"&amp;TEXT(TODAY(),"YYYYMMDD"))</f>
        <v/>
      </c>
      <c r="C996" s="37" t="str">
        <f>IF(Agent05_Withdrawals!A201="","",Agent05_Withdrawals!B201)</f>
        <v/>
      </c>
      <c r="D996" s="40" t="str">
        <f>IF(Agent05_Withdrawals!A201="","",Agent05_Withdrawals!C201)</f>
        <v/>
      </c>
      <c r="E996" s="38" t="str">
        <f>IF(Agent05_Withdrawals!A201="","",Agent05_Withdrawals!D201)</f>
        <v/>
      </c>
      <c r="F996" s="37" t="str">
        <f>IF(Agent05_Withdrawals!A201="","",Agent05_Withdrawals!F201)</f>
        <v/>
      </c>
      <c r="G996" s="39" t="str">
        <f>IF(Agent05_Withdrawals!A201="","",Agent05_Withdrawals!E201)</f>
        <v/>
      </c>
      <c r="H996" s="39" t="str">
        <f>IF(Agent05_Withdrawals!A201="","",Agent05_Withdrawals!G201)</f>
        <v/>
      </c>
      <c r="I996" s="37" t="str">
        <f>IF(Agent05_Withdrawals!A201="","",Agent05_Withdrawals!H201)</f>
        <v/>
      </c>
      <c r="J996" s="37" t="str">
        <f>IF(Agent05_Withdrawals!A201="","",Agent05_Withdrawals!J201)</f>
        <v/>
      </c>
      <c r="K996" s="37" t="str">
        <f>IF(Agent05_Withdrawals!A201="","",Agent05_Withdrawals!K201)</f>
        <v/>
      </c>
      <c r="L996" s="37" t="str">
        <f>IF(G996="","",IF(D996-G996&gt;=System_Config!$B$9,"✅ OK","⚠️ BREACH"))</f>
        <v/>
      </c>
      <c r="M996" s="37" t="str">
        <f>IFERROR(IF(Agent05_Withdrawals!A201="","",YEAR(Agent05_Withdrawals!D201)),"")</f>
        <v/>
      </c>
    </row>
    <row r="997" spans="1:13" ht="18" customHeight="1" x14ac:dyDescent="0.25">
      <c r="A997" s="37" t="str">
        <f>IF(Agent05_Withdrawals!A202="","",Agent05_Withdrawals!A202)</f>
        <v/>
      </c>
      <c r="B997" s="37" t="str">
        <f ca="1">IF(Agent05_Withdrawals!A202="","","WD"&amp;TEXT(997-3,"0000")&amp;"-"&amp;TEXT(TODAY(),"YYYYMMDD"))</f>
        <v/>
      </c>
      <c r="C997" s="37" t="str">
        <f>IF(Agent05_Withdrawals!A202="","",Agent05_Withdrawals!B202)</f>
        <v/>
      </c>
      <c r="D997" s="40" t="str">
        <f>IF(Agent05_Withdrawals!A202="","",Agent05_Withdrawals!C202)</f>
        <v/>
      </c>
      <c r="E997" s="38" t="str">
        <f>IF(Agent05_Withdrawals!A202="","",Agent05_Withdrawals!D202)</f>
        <v/>
      </c>
      <c r="F997" s="37" t="str">
        <f>IF(Agent05_Withdrawals!A202="","",Agent05_Withdrawals!F202)</f>
        <v/>
      </c>
      <c r="G997" s="39" t="str">
        <f>IF(Agent05_Withdrawals!A202="","",Agent05_Withdrawals!E202)</f>
        <v/>
      </c>
      <c r="H997" s="39" t="str">
        <f>IF(Agent05_Withdrawals!A202="","",Agent05_Withdrawals!G202)</f>
        <v/>
      </c>
      <c r="I997" s="37" t="str">
        <f>IF(Agent05_Withdrawals!A202="","",Agent05_Withdrawals!H202)</f>
        <v/>
      </c>
      <c r="J997" s="37" t="str">
        <f>IF(Agent05_Withdrawals!A202="","",Agent05_Withdrawals!J202)</f>
        <v/>
      </c>
      <c r="K997" s="37" t="str">
        <f>IF(Agent05_Withdrawals!A202="","",Agent05_Withdrawals!K202)</f>
        <v/>
      </c>
      <c r="L997" s="37" t="str">
        <f>IF(G997="","",IF(D997-G997&gt;=System_Config!$B$9,"✅ OK","⚠️ BREACH"))</f>
        <v/>
      </c>
      <c r="M997" s="37" t="str">
        <f>IFERROR(IF(Agent05_Withdrawals!A202="","",YEAR(Agent05_Withdrawals!D202)),"")</f>
        <v/>
      </c>
    </row>
    <row r="998" spans="1:13" ht="18" customHeight="1" x14ac:dyDescent="0.25">
      <c r="A998" s="37" t="str">
        <f>IF(Agent05_Withdrawals!A203="","",Agent05_Withdrawals!A203)</f>
        <v/>
      </c>
      <c r="B998" s="37" t="str">
        <f ca="1">IF(Agent05_Withdrawals!A203="","","WD"&amp;TEXT(998-3,"0000")&amp;"-"&amp;TEXT(TODAY(),"YYYYMMDD"))</f>
        <v/>
      </c>
      <c r="C998" s="37" t="str">
        <f>IF(Agent05_Withdrawals!A203="","",Agent05_Withdrawals!B203)</f>
        <v/>
      </c>
      <c r="D998" s="40" t="str">
        <f>IF(Agent05_Withdrawals!A203="","",Agent05_Withdrawals!C203)</f>
        <v/>
      </c>
      <c r="E998" s="38" t="str">
        <f>IF(Agent05_Withdrawals!A203="","",Agent05_Withdrawals!D203)</f>
        <v/>
      </c>
      <c r="F998" s="37" t="str">
        <f>IF(Agent05_Withdrawals!A203="","",Agent05_Withdrawals!F203)</f>
        <v/>
      </c>
      <c r="G998" s="39" t="str">
        <f>IF(Agent05_Withdrawals!A203="","",Agent05_Withdrawals!E203)</f>
        <v/>
      </c>
      <c r="H998" s="39" t="str">
        <f>IF(Agent05_Withdrawals!A203="","",Agent05_Withdrawals!G203)</f>
        <v/>
      </c>
      <c r="I998" s="37" t="str">
        <f>IF(Agent05_Withdrawals!A203="","",Agent05_Withdrawals!H203)</f>
        <v/>
      </c>
      <c r="J998" s="37" t="str">
        <f>IF(Agent05_Withdrawals!A203="","",Agent05_Withdrawals!J203)</f>
        <v/>
      </c>
      <c r="K998" s="37" t="str">
        <f>IF(Agent05_Withdrawals!A203="","",Agent05_Withdrawals!K203)</f>
        <v/>
      </c>
      <c r="L998" s="37" t="str">
        <f>IF(G998="","",IF(D998-G998&gt;=System_Config!$B$9,"✅ OK","⚠️ BREACH"))</f>
        <v/>
      </c>
      <c r="M998" s="37" t="str">
        <f>IFERROR(IF(Agent05_Withdrawals!A203="","",YEAR(Agent05_Withdrawals!D203)),"")</f>
        <v/>
      </c>
    </row>
    <row r="999" spans="1:13" ht="18" customHeight="1" x14ac:dyDescent="0.25">
      <c r="A999" s="37" t="str">
        <f>IF(Agent05_Withdrawals!A204="","",Agent05_Withdrawals!A204)</f>
        <v/>
      </c>
      <c r="B999" s="37" t="str">
        <f ca="1">IF(Agent05_Withdrawals!A204="","","WD"&amp;TEXT(999-3,"0000")&amp;"-"&amp;TEXT(TODAY(),"YYYYMMDD"))</f>
        <v/>
      </c>
      <c r="C999" s="37" t="str">
        <f>IF(Agent05_Withdrawals!A204="","",Agent05_Withdrawals!B204)</f>
        <v/>
      </c>
      <c r="D999" s="40" t="str">
        <f>IF(Agent05_Withdrawals!A204="","",Agent05_Withdrawals!C204)</f>
        <v/>
      </c>
      <c r="E999" s="38" t="str">
        <f>IF(Agent05_Withdrawals!A204="","",Agent05_Withdrawals!D204)</f>
        <v/>
      </c>
      <c r="F999" s="37" t="str">
        <f>IF(Agent05_Withdrawals!A204="","",Agent05_Withdrawals!F204)</f>
        <v/>
      </c>
      <c r="G999" s="39" t="str">
        <f>IF(Agent05_Withdrawals!A204="","",Agent05_Withdrawals!E204)</f>
        <v/>
      </c>
      <c r="H999" s="39" t="str">
        <f>IF(Agent05_Withdrawals!A204="","",Agent05_Withdrawals!G204)</f>
        <v/>
      </c>
      <c r="I999" s="37" t="str">
        <f>IF(Agent05_Withdrawals!A204="","",Agent05_Withdrawals!H204)</f>
        <v/>
      </c>
      <c r="J999" s="37" t="str">
        <f>IF(Agent05_Withdrawals!A204="","",Agent05_Withdrawals!J204)</f>
        <v/>
      </c>
      <c r="K999" s="37" t="str">
        <f>IF(Agent05_Withdrawals!A204="","",Agent05_Withdrawals!K204)</f>
        <v/>
      </c>
      <c r="L999" s="37" t="str">
        <f>IF(G999="","",IF(D999-G999&gt;=System_Config!$B$9,"✅ OK","⚠️ BREACH"))</f>
        <v/>
      </c>
      <c r="M999" s="37" t="str">
        <f>IFERROR(IF(Agent05_Withdrawals!A204="","",YEAR(Agent05_Withdrawals!D204)),"")</f>
        <v/>
      </c>
    </row>
    <row r="1000" spans="1:13" ht="18" customHeight="1" x14ac:dyDescent="0.25">
      <c r="A1000" s="37" t="str">
        <f>IF(Agent05_Withdrawals!A205="","",Agent05_Withdrawals!A205)</f>
        <v/>
      </c>
      <c r="B1000" s="37" t="str">
        <f ca="1">IF(Agent05_Withdrawals!A205="","","WD"&amp;TEXT(1000-3,"0000")&amp;"-"&amp;TEXT(TODAY(),"YYYYMMDD"))</f>
        <v/>
      </c>
      <c r="C1000" s="37" t="str">
        <f>IF(Agent05_Withdrawals!A205="","",Agent05_Withdrawals!B205)</f>
        <v/>
      </c>
      <c r="D1000" s="40" t="str">
        <f>IF(Agent05_Withdrawals!A205="","",Agent05_Withdrawals!C205)</f>
        <v/>
      </c>
      <c r="E1000" s="38" t="str">
        <f>IF(Agent05_Withdrawals!A205="","",Agent05_Withdrawals!D205)</f>
        <v/>
      </c>
      <c r="F1000" s="37" t="str">
        <f>IF(Agent05_Withdrawals!A205="","",Agent05_Withdrawals!F205)</f>
        <v/>
      </c>
      <c r="G1000" s="39" t="str">
        <f>IF(Agent05_Withdrawals!A205="","",Agent05_Withdrawals!E205)</f>
        <v/>
      </c>
      <c r="H1000" s="39" t="str">
        <f>IF(Agent05_Withdrawals!A205="","",Agent05_Withdrawals!G205)</f>
        <v/>
      </c>
      <c r="I1000" s="37" t="str">
        <f>IF(Agent05_Withdrawals!A205="","",Agent05_Withdrawals!H205)</f>
        <v/>
      </c>
      <c r="J1000" s="37" t="str">
        <f>IF(Agent05_Withdrawals!A205="","",Agent05_Withdrawals!J205)</f>
        <v/>
      </c>
      <c r="K1000" s="37" t="str">
        <f>IF(Agent05_Withdrawals!A205="","",Agent05_Withdrawals!K205)</f>
        <v/>
      </c>
      <c r="L1000" s="37" t="str">
        <f>IF(G1000="","",IF(D1000-G1000&gt;=System_Config!$B$9,"✅ OK","⚠️ BREACH"))</f>
        <v/>
      </c>
      <c r="M1000" s="37" t="str">
        <f>IFERROR(IF(Agent05_Withdrawals!A205="","",YEAR(Agent05_Withdrawals!D205)),"")</f>
        <v/>
      </c>
    </row>
    <row r="1001" spans="1:13" ht="18" customHeight="1" x14ac:dyDescent="0.25">
      <c r="A1001" s="37" t="str">
        <f>IF(Agent05_Withdrawals!A206="","",Agent05_Withdrawals!A206)</f>
        <v/>
      </c>
      <c r="B1001" s="37" t="str">
        <f ca="1">IF(Agent05_Withdrawals!A206="","","WD"&amp;TEXT(1001-3,"0000")&amp;"-"&amp;TEXT(TODAY(),"YYYYMMDD"))</f>
        <v/>
      </c>
      <c r="C1001" s="37" t="str">
        <f>IF(Agent05_Withdrawals!A206="","",Agent05_Withdrawals!B206)</f>
        <v/>
      </c>
      <c r="D1001" s="40" t="str">
        <f>IF(Agent05_Withdrawals!A206="","",Agent05_Withdrawals!C206)</f>
        <v/>
      </c>
      <c r="E1001" s="38" t="str">
        <f>IF(Agent05_Withdrawals!A206="","",Agent05_Withdrawals!D206)</f>
        <v/>
      </c>
      <c r="F1001" s="37" t="str">
        <f>IF(Agent05_Withdrawals!A206="","",Agent05_Withdrawals!F206)</f>
        <v/>
      </c>
      <c r="G1001" s="39" t="str">
        <f>IF(Agent05_Withdrawals!A206="","",Agent05_Withdrawals!E206)</f>
        <v/>
      </c>
      <c r="H1001" s="39" t="str">
        <f>IF(Agent05_Withdrawals!A206="","",Agent05_Withdrawals!G206)</f>
        <v/>
      </c>
      <c r="I1001" s="37" t="str">
        <f>IF(Agent05_Withdrawals!A206="","",Agent05_Withdrawals!H206)</f>
        <v/>
      </c>
      <c r="J1001" s="37" t="str">
        <f>IF(Agent05_Withdrawals!A206="","",Agent05_Withdrawals!J206)</f>
        <v/>
      </c>
      <c r="K1001" s="37" t="str">
        <f>IF(Agent05_Withdrawals!A206="","",Agent05_Withdrawals!K206)</f>
        <v/>
      </c>
      <c r="L1001" s="37" t="str">
        <f>IF(G1001="","",IF(D1001-G1001&gt;=System_Config!$B$9,"✅ OK","⚠️ BREACH"))</f>
        <v/>
      </c>
      <c r="M1001" s="37" t="str">
        <f>IFERROR(IF(Agent05_Withdrawals!A206="","",YEAR(Agent05_Withdrawals!D206)),"")</f>
        <v/>
      </c>
    </row>
    <row r="1002" spans="1:13" ht="18" customHeight="1" x14ac:dyDescent="0.25">
      <c r="A1002" s="37" t="str">
        <f>IF(Agent05_Withdrawals!A207="","",Agent05_Withdrawals!A207)</f>
        <v/>
      </c>
      <c r="B1002" s="37" t="str">
        <f ca="1">IF(Agent05_Withdrawals!A207="","","WD"&amp;TEXT(1002-3,"0000")&amp;"-"&amp;TEXT(TODAY(),"YYYYMMDD"))</f>
        <v/>
      </c>
      <c r="C1002" s="37" t="str">
        <f>IF(Agent05_Withdrawals!A207="","",Agent05_Withdrawals!B207)</f>
        <v/>
      </c>
      <c r="D1002" s="40" t="str">
        <f>IF(Agent05_Withdrawals!A207="","",Agent05_Withdrawals!C207)</f>
        <v/>
      </c>
      <c r="E1002" s="38" t="str">
        <f>IF(Agent05_Withdrawals!A207="","",Agent05_Withdrawals!D207)</f>
        <v/>
      </c>
      <c r="F1002" s="37" t="str">
        <f>IF(Agent05_Withdrawals!A207="","",Agent05_Withdrawals!F207)</f>
        <v/>
      </c>
      <c r="G1002" s="39" t="str">
        <f>IF(Agent05_Withdrawals!A207="","",Agent05_Withdrawals!E207)</f>
        <v/>
      </c>
      <c r="H1002" s="39" t="str">
        <f>IF(Agent05_Withdrawals!A207="","",Agent05_Withdrawals!G207)</f>
        <v/>
      </c>
      <c r="I1002" s="37" t="str">
        <f>IF(Agent05_Withdrawals!A207="","",Agent05_Withdrawals!H207)</f>
        <v/>
      </c>
      <c r="J1002" s="37" t="str">
        <f>IF(Agent05_Withdrawals!A207="","",Agent05_Withdrawals!J207)</f>
        <v/>
      </c>
      <c r="K1002" s="37" t="str">
        <f>IF(Agent05_Withdrawals!A207="","",Agent05_Withdrawals!K207)</f>
        <v/>
      </c>
      <c r="L1002" s="37" t="str">
        <f>IF(G1002="","",IF(D1002-G1002&gt;=System_Config!$B$9,"✅ OK","⚠️ BREACH"))</f>
        <v/>
      </c>
      <c r="M1002" s="37" t="str">
        <f>IFERROR(IF(Agent05_Withdrawals!A207="","",YEAR(Agent05_Withdrawals!D207)),"")</f>
        <v/>
      </c>
    </row>
    <row r="1003" spans="1:13" ht="18" customHeight="1" x14ac:dyDescent="0.25">
      <c r="A1003" s="37" t="str">
        <f>IF(Agent05_Withdrawals!A208="","",Agent05_Withdrawals!A208)</f>
        <v/>
      </c>
      <c r="B1003" s="37" t="str">
        <f ca="1">IF(Agent05_Withdrawals!A208="","","WD"&amp;TEXT(1003-3,"0000")&amp;"-"&amp;TEXT(TODAY(),"YYYYMMDD"))</f>
        <v/>
      </c>
      <c r="C1003" s="37" t="str">
        <f>IF(Agent05_Withdrawals!A208="","",Agent05_Withdrawals!B208)</f>
        <v/>
      </c>
      <c r="D1003" s="40" t="str">
        <f>IF(Agent05_Withdrawals!A208="","",Agent05_Withdrawals!C208)</f>
        <v/>
      </c>
      <c r="E1003" s="38" t="str">
        <f>IF(Agent05_Withdrawals!A208="","",Agent05_Withdrawals!D208)</f>
        <v/>
      </c>
      <c r="F1003" s="37" t="str">
        <f>IF(Agent05_Withdrawals!A208="","",Agent05_Withdrawals!F208)</f>
        <v/>
      </c>
      <c r="G1003" s="39" t="str">
        <f>IF(Agent05_Withdrawals!A208="","",Agent05_Withdrawals!E208)</f>
        <v/>
      </c>
      <c r="H1003" s="39" t="str">
        <f>IF(Agent05_Withdrawals!A208="","",Agent05_Withdrawals!G208)</f>
        <v/>
      </c>
      <c r="I1003" s="37" t="str">
        <f>IF(Agent05_Withdrawals!A208="","",Agent05_Withdrawals!H208)</f>
        <v/>
      </c>
      <c r="J1003" s="37" t="str">
        <f>IF(Agent05_Withdrawals!A208="","",Agent05_Withdrawals!J208)</f>
        <v/>
      </c>
      <c r="K1003" s="37" t="str">
        <f>IF(Agent05_Withdrawals!A208="","",Agent05_Withdrawals!K208)</f>
        <v/>
      </c>
      <c r="L1003" s="37" t="str">
        <f>IF(G1003="","",IF(D1003-G1003&gt;=System_Config!$B$9,"✅ OK","⚠️ BREACH"))</f>
        <v/>
      </c>
      <c r="M1003" s="37" t="str">
        <f>IFERROR(IF(Agent05_Withdrawals!A208="","",YEAR(Agent05_Withdrawals!D208)),"")</f>
        <v/>
      </c>
    </row>
    <row r="1004" spans="1:13" ht="18" customHeight="1" x14ac:dyDescent="0.25">
      <c r="A1004" s="37" t="str">
        <f>IF(Agent06_Withdrawals!A9="","",Agent06_Withdrawals!A9)</f>
        <v/>
      </c>
      <c r="B1004" s="37" t="str">
        <f ca="1">IF(Agent06_Withdrawals!A9="","","WD"&amp;TEXT(1004-3,"0000")&amp;"-"&amp;TEXT(TODAY(),"YYYYMMDD"))</f>
        <v/>
      </c>
      <c r="C1004" s="37" t="str">
        <f>IF(Agent06_Withdrawals!A9="","",Agent06_Withdrawals!B9)</f>
        <v/>
      </c>
      <c r="D1004" s="40" t="str">
        <f>IF(Agent06_Withdrawals!A9="","",Agent06_Withdrawals!C9)</f>
        <v/>
      </c>
      <c r="E1004" s="38" t="str">
        <f>IF(Agent06_Withdrawals!A9="","",Agent06_Withdrawals!D9)</f>
        <v/>
      </c>
      <c r="F1004" s="37" t="str">
        <f>IF(Agent06_Withdrawals!A9="","",Agent06_Withdrawals!F9)</f>
        <v/>
      </c>
      <c r="G1004" s="39" t="str">
        <f>IF(Agent06_Withdrawals!A9="","",Agent06_Withdrawals!E9)</f>
        <v/>
      </c>
      <c r="H1004" s="39" t="str">
        <f>IF(Agent06_Withdrawals!A9="","",Agent06_Withdrawals!G9)</f>
        <v/>
      </c>
      <c r="I1004" s="37" t="str">
        <f>IF(Agent06_Withdrawals!A9="","",Agent06_Withdrawals!H9)</f>
        <v/>
      </c>
      <c r="J1004" s="37" t="str">
        <f>IF(Agent06_Withdrawals!A9="","",Agent06_Withdrawals!J9)</f>
        <v/>
      </c>
      <c r="K1004" s="37" t="str">
        <f>IF(Agent06_Withdrawals!A9="","",Agent06_Withdrawals!K9)</f>
        <v/>
      </c>
      <c r="L1004" s="37" t="str">
        <f>IF(G1004="","",IF(D1004-G1004&gt;=System_Config!$B$9,"✅ OK","⚠️ BREACH"))</f>
        <v/>
      </c>
      <c r="M1004" s="37" t="str">
        <f>IFERROR(IF(Agent06_Withdrawals!A9="","",YEAR(Agent06_Withdrawals!D9)),"")</f>
        <v/>
      </c>
    </row>
    <row r="1005" spans="1:13" ht="18" customHeight="1" x14ac:dyDescent="0.25">
      <c r="A1005" s="37" t="str">
        <f>IF(Agent06_Withdrawals!A10="","",Agent06_Withdrawals!A10)</f>
        <v/>
      </c>
      <c r="B1005" s="37" t="str">
        <f ca="1">IF(Agent06_Withdrawals!A10="","","WD"&amp;TEXT(1005-3,"0000")&amp;"-"&amp;TEXT(TODAY(),"YYYYMMDD"))</f>
        <v/>
      </c>
      <c r="C1005" s="37" t="str">
        <f>IF(Agent06_Withdrawals!A10="","",Agent06_Withdrawals!B10)</f>
        <v/>
      </c>
      <c r="D1005" s="40" t="str">
        <f>IF(Agent06_Withdrawals!A10="","",Agent06_Withdrawals!C10)</f>
        <v/>
      </c>
      <c r="E1005" s="38" t="str">
        <f>IF(Agent06_Withdrawals!A10="","",Agent06_Withdrawals!D10)</f>
        <v/>
      </c>
      <c r="F1005" s="37" t="str">
        <f>IF(Agent06_Withdrawals!A10="","",Agent06_Withdrawals!F10)</f>
        <v/>
      </c>
      <c r="G1005" s="39" t="str">
        <f>IF(Agent06_Withdrawals!A10="","",Agent06_Withdrawals!E10)</f>
        <v/>
      </c>
      <c r="H1005" s="39" t="str">
        <f>IF(Agent06_Withdrawals!A10="","",Agent06_Withdrawals!G10)</f>
        <v/>
      </c>
      <c r="I1005" s="37" t="str">
        <f>IF(Agent06_Withdrawals!A10="","",Agent06_Withdrawals!H10)</f>
        <v/>
      </c>
      <c r="J1005" s="37" t="str">
        <f>IF(Agent06_Withdrawals!A10="","",Agent06_Withdrawals!J10)</f>
        <v/>
      </c>
      <c r="K1005" s="37" t="str">
        <f>IF(Agent06_Withdrawals!A10="","",Agent06_Withdrawals!K10)</f>
        <v/>
      </c>
      <c r="L1005" s="37" t="str">
        <f>IF(G1005="","",IF(D1005-G1005&gt;=System_Config!$B$9,"✅ OK","⚠️ BREACH"))</f>
        <v/>
      </c>
      <c r="M1005" s="37" t="str">
        <f>IFERROR(IF(Agent06_Withdrawals!A10="","",YEAR(Agent06_Withdrawals!D10)),"")</f>
        <v/>
      </c>
    </row>
    <row r="1006" spans="1:13" ht="18" customHeight="1" x14ac:dyDescent="0.25">
      <c r="A1006" s="37" t="str">
        <f>IF(Agent06_Withdrawals!A11="","",Agent06_Withdrawals!A11)</f>
        <v/>
      </c>
      <c r="B1006" s="37" t="str">
        <f ca="1">IF(Agent06_Withdrawals!A11="","","WD"&amp;TEXT(1006-3,"0000")&amp;"-"&amp;TEXT(TODAY(),"YYYYMMDD"))</f>
        <v/>
      </c>
      <c r="C1006" s="37" t="str">
        <f>IF(Agent06_Withdrawals!A11="","",Agent06_Withdrawals!B11)</f>
        <v/>
      </c>
      <c r="D1006" s="40" t="str">
        <f>IF(Agent06_Withdrawals!A11="","",Agent06_Withdrawals!C11)</f>
        <v/>
      </c>
      <c r="E1006" s="38" t="str">
        <f>IF(Agent06_Withdrawals!A11="","",Agent06_Withdrawals!D11)</f>
        <v/>
      </c>
      <c r="F1006" s="37" t="str">
        <f>IF(Agent06_Withdrawals!A11="","",Agent06_Withdrawals!F11)</f>
        <v/>
      </c>
      <c r="G1006" s="39" t="str">
        <f>IF(Agent06_Withdrawals!A11="","",Agent06_Withdrawals!E11)</f>
        <v/>
      </c>
      <c r="H1006" s="39" t="str">
        <f>IF(Agent06_Withdrawals!A11="","",Agent06_Withdrawals!G11)</f>
        <v/>
      </c>
      <c r="I1006" s="37" t="str">
        <f>IF(Agent06_Withdrawals!A11="","",Agent06_Withdrawals!H11)</f>
        <v/>
      </c>
      <c r="J1006" s="37" t="str">
        <f>IF(Agent06_Withdrawals!A11="","",Agent06_Withdrawals!J11)</f>
        <v/>
      </c>
      <c r="K1006" s="37" t="str">
        <f>IF(Agent06_Withdrawals!A11="","",Agent06_Withdrawals!K11)</f>
        <v/>
      </c>
      <c r="L1006" s="37" t="str">
        <f>IF(G1006="","",IF(D1006-G1006&gt;=System_Config!$B$9,"✅ OK","⚠️ BREACH"))</f>
        <v/>
      </c>
      <c r="M1006" s="37" t="str">
        <f>IFERROR(IF(Agent06_Withdrawals!A11="","",YEAR(Agent06_Withdrawals!D11)),"")</f>
        <v/>
      </c>
    </row>
    <row r="1007" spans="1:13" ht="18" customHeight="1" x14ac:dyDescent="0.25">
      <c r="A1007" s="37" t="str">
        <f>IF(Agent06_Withdrawals!A12="","",Agent06_Withdrawals!A12)</f>
        <v/>
      </c>
      <c r="B1007" s="37" t="str">
        <f ca="1">IF(Agent06_Withdrawals!A12="","","WD"&amp;TEXT(1007-3,"0000")&amp;"-"&amp;TEXT(TODAY(),"YYYYMMDD"))</f>
        <v/>
      </c>
      <c r="C1007" s="37" t="str">
        <f>IF(Agent06_Withdrawals!A12="","",Agent06_Withdrawals!B12)</f>
        <v/>
      </c>
      <c r="D1007" s="40" t="str">
        <f>IF(Agent06_Withdrawals!A12="","",Agent06_Withdrawals!C12)</f>
        <v/>
      </c>
      <c r="E1007" s="38" t="str">
        <f>IF(Agent06_Withdrawals!A12="","",Agent06_Withdrawals!D12)</f>
        <v/>
      </c>
      <c r="F1007" s="37" t="str">
        <f>IF(Agent06_Withdrawals!A12="","",Agent06_Withdrawals!F12)</f>
        <v/>
      </c>
      <c r="G1007" s="39" t="str">
        <f>IF(Agent06_Withdrawals!A12="","",Agent06_Withdrawals!E12)</f>
        <v/>
      </c>
      <c r="H1007" s="39" t="str">
        <f>IF(Agent06_Withdrawals!A12="","",Agent06_Withdrawals!G12)</f>
        <v/>
      </c>
      <c r="I1007" s="37" t="str">
        <f>IF(Agent06_Withdrawals!A12="","",Agent06_Withdrawals!H12)</f>
        <v/>
      </c>
      <c r="J1007" s="37" t="str">
        <f>IF(Agent06_Withdrawals!A12="","",Agent06_Withdrawals!J12)</f>
        <v/>
      </c>
      <c r="K1007" s="37" t="str">
        <f>IF(Agent06_Withdrawals!A12="","",Agent06_Withdrawals!K12)</f>
        <v/>
      </c>
      <c r="L1007" s="37" t="str">
        <f>IF(G1007="","",IF(D1007-G1007&gt;=System_Config!$B$9,"✅ OK","⚠️ BREACH"))</f>
        <v/>
      </c>
      <c r="M1007" s="37" t="str">
        <f>IFERROR(IF(Agent06_Withdrawals!A12="","",YEAR(Agent06_Withdrawals!D12)),"")</f>
        <v/>
      </c>
    </row>
    <row r="1008" spans="1:13" ht="18" customHeight="1" x14ac:dyDescent="0.25">
      <c r="A1008" s="37" t="str">
        <f>IF(Agent06_Withdrawals!A13="","",Agent06_Withdrawals!A13)</f>
        <v/>
      </c>
      <c r="B1008" s="37" t="str">
        <f ca="1">IF(Agent06_Withdrawals!A13="","","WD"&amp;TEXT(1008-3,"0000")&amp;"-"&amp;TEXT(TODAY(),"YYYYMMDD"))</f>
        <v/>
      </c>
      <c r="C1008" s="37" t="str">
        <f>IF(Agent06_Withdrawals!A13="","",Agent06_Withdrawals!B13)</f>
        <v/>
      </c>
      <c r="D1008" s="40" t="str">
        <f>IF(Agent06_Withdrawals!A13="","",Agent06_Withdrawals!C13)</f>
        <v/>
      </c>
      <c r="E1008" s="38" t="str">
        <f>IF(Agent06_Withdrawals!A13="","",Agent06_Withdrawals!D13)</f>
        <v/>
      </c>
      <c r="F1008" s="37" t="str">
        <f>IF(Agent06_Withdrawals!A13="","",Agent06_Withdrawals!F13)</f>
        <v/>
      </c>
      <c r="G1008" s="39" t="str">
        <f>IF(Agent06_Withdrawals!A13="","",Agent06_Withdrawals!E13)</f>
        <v/>
      </c>
      <c r="H1008" s="39" t="str">
        <f>IF(Agent06_Withdrawals!A13="","",Agent06_Withdrawals!G13)</f>
        <v/>
      </c>
      <c r="I1008" s="37" t="str">
        <f>IF(Agent06_Withdrawals!A13="","",Agent06_Withdrawals!H13)</f>
        <v/>
      </c>
      <c r="J1008" s="37" t="str">
        <f>IF(Agent06_Withdrawals!A13="","",Agent06_Withdrawals!J13)</f>
        <v/>
      </c>
      <c r="K1008" s="37" t="str">
        <f>IF(Agent06_Withdrawals!A13="","",Agent06_Withdrawals!K13)</f>
        <v/>
      </c>
      <c r="L1008" s="37" t="str">
        <f>IF(G1008="","",IF(D1008-G1008&gt;=System_Config!$B$9,"✅ OK","⚠️ BREACH"))</f>
        <v/>
      </c>
      <c r="M1008" s="37" t="str">
        <f>IFERROR(IF(Agent06_Withdrawals!A13="","",YEAR(Agent06_Withdrawals!D13)),"")</f>
        <v/>
      </c>
    </row>
    <row r="1009" spans="1:13" ht="18" customHeight="1" x14ac:dyDescent="0.25">
      <c r="A1009" s="37" t="str">
        <f>IF(Agent06_Withdrawals!A14="","",Agent06_Withdrawals!A14)</f>
        <v/>
      </c>
      <c r="B1009" s="37" t="str">
        <f ca="1">IF(Agent06_Withdrawals!A14="","","WD"&amp;TEXT(1009-3,"0000")&amp;"-"&amp;TEXT(TODAY(),"YYYYMMDD"))</f>
        <v/>
      </c>
      <c r="C1009" s="37" t="str">
        <f>IF(Agent06_Withdrawals!A14="","",Agent06_Withdrawals!B14)</f>
        <v/>
      </c>
      <c r="D1009" s="40" t="str">
        <f>IF(Agent06_Withdrawals!A14="","",Agent06_Withdrawals!C14)</f>
        <v/>
      </c>
      <c r="E1009" s="38" t="str">
        <f>IF(Agent06_Withdrawals!A14="","",Agent06_Withdrawals!D14)</f>
        <v/>
      </c>
      <c r="F1009" s="37" t="str">
        <f>IF(Agent06_Withdrawals!A14="","",Agent06_Withdrawals!F14)</f>
        <v/>
      </c>
      <c r="G1009" s="39" t="str">
        <f>IF(Agent06_Withdrawals!A14="","",Agent06_Withdrawals!E14)</f>
        <v/>
      </c>
      <c r="H1009" s="39" t="str">
        <f>IF(Agent06_Withdrawals!A14="","",Agent06_Withdrawals!G14)</f>
        <v/>
      </c>
      <c r="I1009" s="37" t="str">
        <f>IF(Agent06_Withdrawals!A14="","",Agent06_Withdrawals!H14)</f>
        <v/>
      </c>
      <c r="J1009" s="37" t="str">
        <f>IF(Agent06_Withdrawals!A14="","",Agent06_Withdrawals!J14)</f>
        <v/>
      </c>
      <c r="K1009" s="37" t="str">
        <f>IF(Agent06_Withdrawals!A14="","",Agent06_Withdrawals!K14)</f>
        <v/>
      </c>
      <c r="L1009" s="37" t="str">
        <f>IF(G1009="","",IF(D1009-G1009&gt;=System_Config!$B$9,"✅ OK","⚠️ BREACH"))</f>
        <v/>
      </c>
      <c r="M1009" s="37" t="str">
        <f>IFERROR(IF(Agent06_Withdrawals!A14="","",YEAR(Agent06_Withdrawals!D14)),"")</f>
        <v/>
      </c>
    </row>
    <row r="1010" spans="1:13" ht="18" customHeight="1" x14ac:dyDescent="0.25">
      <c r="A1010" s="37" t="str">
        <f>IF(Agent06_Withdrawals!A15="","",Agent06_Withdrawals!A15)</f>
        <v/>
      </c>
      <c r="B1010" s="37" t="str">
        <f ca="1">IF(Agent06_Withdrawals!A15="","","WD"&amp;TEXT(1010-3,"0000")&amp;"-"&amp;TEXT(TODAY(),"YYYYMMDD"))</f>
        <v/>
      </c>
      <c r="C1010" s="37" t="str">
        <f>IF(Agent06_Withdrawals!A15="","",Agent06_Withdrawals!B15)</f>
        <v/>
      </c>
      <c r="D1010" s="40" t="str">
        <f>IF(Agent06_Withdrawals!A15="","",Agent06_Withdrawals!C15)</f>
        <v/>
      </c>
      <c r="E1010" s="38" t="str">
        <f>IF(Agent06_Withdrawals!A15="","",Agent06_Withdrawals!D15)</f>
        <v/>
      </c>
      <c r="F1010" s="37" t="str">
        <f>IF(Agent06_Withdrawals!A15="","",Agent06_Withdrawals!F15)</f>
        <v/>
      </c>
      <c r="G1010" s="39" t="str">
        <f>IF(Agent06_Withdrawals!A15="","",Agent06_Withdrawals!E15)</f>
        <v/>
      </c>
      <c r="H1010" s="39" t="str">
        <f>IF(Agent06_Withdrawals!A15="","",Agent06_Withdrawals!G15)</f>
        <v/>
      </c>
      <c r="I1010" s="37" t="str">
        <f>IF(Agent06_Withdrawals!A15="","",Agent06_Withdrawals!H15)</f>
        <v/>
      </c>
      <c r="J1010" s="37" t="str">
        <f>IF(Agent06_Withdrawals!A15="","",Agent06_Withdrawals!J15)</f>
        <v/>
      </c>
      <c r="K1010" s="37" t="str">
        <f>IF(Agent06_Withdrawals!A15="","",Agent06_Withdrawals!K15)</f>
        <v/>
      </c>
      <c r="L1010" s="37" t="str">
        <f>IF(G1010="","",IF(D1010-G1010&gt;=System_Config!$B$9,"✅ OK","⚠️ BREACH"))</f>
        <v/>
      </c>
      <c r="M1010" s="37" t="str">
        <f>IFERROR(IF(Agent06_Withdrawals!A15="","",YEAR(Agent06_Withdrawals!D15)),"")</f>
        <v/>
      </c>
    </row>
    <row r="1011" spans="1:13" ht="18" customHeight="1" x14ac:dyDescent="0.25">
      <c r="A1011" s="37" t="str">
        <f>IF(Agent06_Withdrawals!A16="","",Agent06_Withdrawals!A16)</f>
        <v/>
      </c>
      <c r="B1011" s="37" t="str">
        <f ca="1">IF(Agent06_Withdrawals!A16="","","WD"&amp;TEXT(1011-3,"0000")&amp;"-"&amp;TEXT(TODAY(),"YYYYMMDD"))</f>
        <v/>
      </c>
      <c r="C1011" s="37" t="str">
        <f>IF(Agent06_Withdrawals!A16="","",Agent06_Withdrawals!B16)</f>
        <v/>
      </c>
      <c r="D1011" s="40" t="str">
        <f>IF(Agent06_Withdrawals!A16="","",Agent06_Withdrawals!C16)</f>
        <v/>
      </c>
      <c r="E1011" s="38" t="str">
        <f>IF(Agent06_Withdrawals!A16="","",Agent06_Withdrawals!D16)</f>
        <v/>
      </c>
      <c r="F1011" s="37" t="str">
        <f>IF(Agent06_Withdrawals!A16="","",Agent06_Withdrawals!F16)</f>
        <v/>
      </c>
      <c r="G1011" s="39" t="str">
        <f>IF(Agent06_Withdrawals!A16="","",Agent06_Withdrawals!E16)</f>
        <v/>
      </c>
      <c r="H1011" s="39" t="str">
        <f>IF(Agent06_Withdrawals!A16="","",Agent06_Withdrawals!G16)</f>
        <v/>
      </c>
      <c r="I1011" s="37" t="str">
        <f>IF(Agent06_Withdrawals!A16="","",Agent06_Withdrawals!H16)</f>
        <v/>
      </c>
      <c r="J1011" s="37" t="str">
        <f>IF(Agent06_Withdrawals!A16="","",Agent06_Withdrawals!J16)</f>
        <v/>
      </c>
      <c r="K1011" s="37" t="str">
        <f>IF(Agent06_Withdrawals!A16="","",Agent06_Withdrawals!K16)</f>
        <v/>
      </c>
      <c r="L1011" s="37" t="str">
        <f>IF(G1011="","",IF(D1011-G1011&gt;=System_Config!$B$9,"✅ OK","⚠️ BREACH"))</f>
        <v/>
      </c>
      <c r="M1011" s="37" t="str">
        <f>IFERROR(IF(Agent06_Withdrawals!A16="","",YEAR(Agent06_Withdrawals!D16)),"")</f>
        <v/>
      </c>
    </row>
    <row r="1012" spans="1:13" ht="18" customHeight="1" x14ac:dyDescent="0.25">
      <c r="A1012" s="37" t="str">
        <f>IF(Agent06_Withdrawals!A17="","",Agent06_Withdrawals!A17)</f>
        <v/>
      </c>
      <c r="B1012" s="37" t="str">
        <f ca="1">IF(Agent06_Withdrawals!A17="","","WD"&amp;TEXT(1012-3,"0000")&amp;"-"&amp;TEXT(TODAY(),"YYYYMMDD"))</f>
        <v/>
      </c>
      <c r="C1012" s="37" t="str">
        <f>IF(Agent06_Withdrawals!A17="","",Agent06_Withdrawals!B17)</f>
        <v/>
      </c>
      <c r="D1012" s="40" t="str">
        <f>IF(Agent06_Withdrawals!A17="","",Agent06_Withdrawals!C17)</f>
        <v/>
      </c>
      <c r="E1012" s="38" t="str">
        <f>IF(Agent06_Withdrawals!A17="","",Agent06_Withdrawals!D17)</f>
        <v/>
      </c>
      <c r="F1012" s="37" t="str">
        <f>IF(Agent06_Withdrawals!A17="","",Agent06_Withdrawals!F17)</f>
        <v/>
      </c>
      <c r="G1012" s="39" t="str">
        <f>IF(Agent06_Withdrawals!A17="","",Agent06_Withdrawals!E17)</f>
        <v/>
      </c>
      <c r="H1012" s="39" t="str">
        <f>IF(Agent06_Withdrawals!A17="","",Agent06_Withdrawals!G17)</f>
        <v/>
      </c>
      <c r="I1012" s="37" t="str">
        <f>IF(Agent06_Withdrawals!A17="","",Agent06_Withdrawals!H17)</f>
        <v/>
      </c>
      <c r="J1012" s="37" t="str">
        <f>IF(Agent06_Withdrawals!A17="","",Agent06_Withdrawals!J17)</f>
        <v/>
      </c>
      <c r="K1012" s="37" t="str">
        <f>IF(Agent06_Withdrawals!A17="","",Agent06_Withdrawals!K17)</f>
        <v/>
      </c>
      <c r="L1012" s="37" t="str">
        <f>IF(G1012="","",IF(D1012-G1012&gt;=System_Config!$B$9,"✅ OK","⚠️ BREACH"))</f>
        <v/>
      </c>
      <c r="M1012" s="37" t="str">
        <f>IFERROR(IF(Agent06_Withdrawals!A17="","",YEAR(Agent06_Withdrawals!D17)),"")</f>
        <v/>
      </c>
    </row>
    <row r="1013" spans="1:13" ht="18" customHeight="1" x14ac:dyDescent="0.25">
      <c r="A1013" s="37" t="str">
        <f>IF(Agent06_Withdrawals!A18="","",Agent06_Withdrawals!A18)</f>
        <v/>
      </c>
      <c r="B1013" s="37" t="str">
        <f ca="1">IF(Agent06_Withdrawals!A18="","","WD"&amp;TEXT(1013-3,"0000")&amp;"-"&amp;TEXT(TODAY(),"YYYYMMDD"))</f>
        <v/>
      </c>
      <c r="C1013" s="37" t="str">
        <f>IF(Agent06_Withdrawals!A18="","",Agent06_Withdrawals!B18)</f>
        <v/>
      </c>
      <c r="D1013" s="40" t="str">
        <f>IF(Agent06_Withdrawals!A18="","",Agent06_Withdrawals!C18)</f>
        <v/>
      </c>
      <c r="E1013" s="38" t="str">
        <f>IF(Agent06_Withdrawals!A18="","",Agent06_Withdrawals!D18)</f>
        <v/>
      </c>
      <c r="F1013" s="37" t="str">
        <f>IF(Agent06_Withdrawals!A18="","",Agent06_Withdrawals!F18)</f>
        <v/>
      </c>
      <c r="G1013" s="39" t="str">
        <f>IF(Agent06_Withdrawals!A18="","",Agent06_Withdrawals!E18)</f>
        <v/>
      </c>
      <c r="H1013" s="39" t="str">
        <f>IF(Agent06_Withdrawals!A18="","",Agent06_Withdrawals!G18)</f>
        <v/>
      </c>
      <c r="I1013" s="37" t="str">
        <f>IF(Agent06_Withdrawals!A18="","",Agent06_Withdrawals!H18)</f>
        <v/>
      </c>
      <c r="J1013" s="37" t="str">
        <f>IF(Agent06_Withdrawals!A18="","",Agent06_Withdrawals!J18)</f>
        <v/>
      </c>
      <c r="K1013" s="37" t="str">
        <f>IF(Agent06_Withdrawals!A18="","",Agent06_Withdrawals!K18)</f>
        <v/>
      </c>
      <c r="L1013" s="37" t="str">
        <f>IF(G1013="","",IF(D1013-G1013&gt;=System_Config!$B$9,"✅ OK","⚠️ BREACH"))</f>
        <v/>
      </c>
      <c r="M1013" s="37" t="str">
        <f>IFERROR(IF(Agent06_Withdrawals!A18="","",YEAR(Agent06_Withdrawals!D18)),"")</f>
        <v/>
      </c>
    </row>
    <row r="1014" spans="1:13" ht="18" customHeight="1" x14ac:dyDescent="0.25">
      <c r="A1014" s="37" t="str">
        <f>IF(Agent06_Withdrawals!A19="","",Agent06_Withdrawals!A19)</f>
        <v/>
      </c>
      <c r="B1014" s="37" t="str">
        <f ca="1">IF(Agent06_Withdrawals!A19="","","WD"&amp;TEXT(1014-3,"0000")&amp;"-"&amp;TEXT(TODAY(),"YYYYMMDD"))</f>
        <v/>
      </c>
      <c r="C1014" s="37" t="str">
        <f>IF(Agent06_Withdrawals!A19="","",Agent06_Withdrawals!B19)</f>
        <v/>
      </c>
      <c r="D1014" s="40" t="str">
        <f>IF(Agent06_Withdrawals!A19="","",Agent06_Withdrawals!C19)</f>
        <v/>
      </c>
      <c r="E1014" s="38" t="str">
        <f>IF(Agent06_Withdrawals!A19="","",Agent06_Withdrawals!D19)</f>
        <v/>
      </c>
      <c r="F1014" s="37" t="str">
        <f>IF(Agent06_Withdrawals!A19="","",Agent06_Withdrawals!F19)</f>
        <v/>
      </c>
      <c r="G1014" s="39" t="str">
        <f>IF(Agent06_Withdrawals!A19="","",Agent06_Withdrawals!E19)</f>
        <v/>
      </c>
      <c r="H1014" s="39" t="str">
        <f>IF(Agent06_Withdrawals!A19="","",Agent06_Withdrawals!G19)</f>
        <v/>
      </c>
      <c r="I1014" s="37" t="str">
        <f>IF(Agent06_Withdrawals!A19="","",Agent06_Withdrawals!H19)</f>
        <v/>
      </c>
      <c r="J1014" s="37" t="str">
        <f>IF(Agent06_Withdrawals!A19="","",Agent06_Withdrawals!J19)</f>
        <v/>
      </c>
      <c r="K1014" s="37" t="str">
        <f>IF(Agent06_Withdrawals!A19="","",Agent06_Withdrawals!K19)</f>
        <v/>
      </c>
      <c r="L1014" s="37" t="str">
        <f>IF(G1014="","",IF(D1014-G1014&gt;=System_Config!$B$9,"✅ OK","⚠️ BREACH"))</f>
        <v/>
      </c>
      <c r="M1014" s="37" t="str">
        <f>IFERROR(IF(Agent06_Withdrawals!A19="","",YEAR(Agent06_Withdrawals!D19)),"")</f>
        <v/>
      </c>
    </row>
    <row r="1015" spans="1:13" ht="18" customHeight="1" x14ac:dyDescent="0.25">
      <c r="A1015" s="37" t="str">
        <f>IF(Agent06_Withdrawals!A20="","",Agent06_Withdrawals!A20)</f>
        <v/>
      </c>
      <c r="B1015" s="37" t="str">
        <f ca="1">IF(Agent06_Withdrawals!A20="","","WD"&amp;TEXT(1015-3,"0000")&amp;"-"&amp;TEXT(TODAY(),"YYYYMMDD"))</f>
        <v/>
      </c>
      <c r="C1015" s="37" t="str">
        <f>IF(Agent06_Withdrawals!A20="","",Agent06_Withdrawals!B20)</f>
        <v/>
      </c>
      <c r="D1015" s="40" t="str">
        <f>IF(Agent06_Withdrawals!A20="","",Agent06_Withdrawals!C20)</f>
        <v/>
      </c>
      <c r="E1015" s="38" t="str">
        <f>IF(Agent06_Withdrawals!A20="","",Agent06_Withdrawals!D20)</f>
        <v/>
      </c>
      <c r="F1015" s="37" t="str">
        <f>IF(Agent06_Withdrawals!A20="","",Agent06_Withdrawals!F20)</f>
        <v/>
      </c>
      <c r="G1015" s="39" t="str">
        <f>IF(Agent06_Withdrawals!A20="","",Agent06_Withdrawals!E20)</f>
        <v/>
      </c>
      <c r="H1015" s="39" t="str">
        <f>IF(Agent06_Withdrawals!A20="","",Agent06_Withdrawals!G20)</f>
        <v/>
      </c>
      <c r="I1015" s="37" t="str">
        <f>IF(Agent06_Withdrawals!A20="","",Agent06_Withdrawals!H20)</f>
        <v/>
      </c>
      <c r="J1015" s="37" t="str">
        <f>IF(Agent06_Withdrawals!A20="","",Agent06_Withdrawals!J20)</f>
        <v/>
      </c>
      <c r="K1015" s="37" t="str">
        <f>IF(Agent06_Withdrawals!A20="","",Agent06_Withdrawals!K20)</f>
        <v/>
      </c>
      <c r="L1015" s="37" t="str">
        <f>IF(G1015="","",IF(D1015-G1015&gt;=System_Config!$B$9,"✅ OK","⚠️ BREACH"))</f>
        <v/>
      </c>
      <c r="M1015" s="37" t="str">
        <f>IFERROR(IF(Agent06_Withdrawals!A20="","",YEAR(Agent06_Withdrawals!D20)),"")</f>
        <v/>
      </c>
    </row>
    <row r="1016" spans="1:13" ht="18" customHeight="1" x14ac:dyDescent="0.25">
      <c r="A1016" s="37" t="str">
        <f>IF(Agent06_Withdrawals!A21="","",Agent06_Withdrawals!A21)</f>
        <v/>
      </c>
      <c r="B1016" s="37" t="str">
        <f ca="1">IF(Agent06_Withdrawals!A21="","","WD"&amp;TEXT(1016-3,"0000")&amp;"-"&amp;TEXT(TODAY(),"YYYYMMDD"))</f>
        <v/>
      </c>
      <c r="C1016" s="37" t="str">
        <f>IF(Agent06_Withdrawals!A21="","",Agent06_Withdrawals!B21)</f>
        <v/>
      </c>
      <c r="D1016" s="40" t="str">
        <f>IF(Agent06_Withdrawals!A21="","",Agent06_Withdrawals!C21)</f>
        <v/>
      </c>
      <c r="E1016" s="38" t="str">
        <f>IF(Agent06_Withdrawals!A21="","",Agent06_Withdrawals!D21)</f>
        <v/>
      </c>
      <c r="F1016" s="37" t="str">
        <f>IF(Agent06_Withdrawals!A21="","",Agent06_Withdrawals!F21)</f>
        <v/>
      </c>
      <c r="G1016" s="39" t="str">
        <f>IF(Agent06_Withdrawals!A21="","",Agent06_Withdrawals!E21)</f>
        <v/>
      </c>
      <c r="H1016" s="39" t="str">
        <f>IF(Agent06_Withdrawals!A21="","",Agent06_Withdrawals!G21)</f>
        <v/>
      </c>
      <c r="I1016" s="37" t="str">
        <f>IF(Agent06_Withdrawals!A21="","",Agent06_Withdrawals!H21)</f>
        <v/>
      </c>
      <c r="J1016" s="37" t="str">
        <f>IF(Agent06_Withdrawals!A21="","",Agent06_Withdrawals!J21)</f>
        <v/>
      </c>
      <c r="K1016" s="37" t="str">
        <f>IF(Agent06_Withdrawals!A21="","",Agent06_Withdrawals!K21)</f>
        <v/>
      </c>
      <c r="L1016" s="37" t="str">
        <f>IF(G1016="","",IF(D1016-G1016&gt;=System_Config!$B$9,"✅ OK","⚠️ BREACH"))</f>
        <v/>
      </c>
      <c r="M1016" s="37" t="str">
        <f>IFERROR(IF(Agent06_Withdrawals!A21="","",YEAR(Agent06_Withdrawals!D21)),"")</f>
        <v/>
      </c>
    </row>
    <row r="1017" spans="1:13" ht="18" customHeight="1" x14ac:dyDescent="0.25">
      <c r="A1017" s="37" t="str">
        <f>IF(Agent06_Withdrawals!A22="","",Agent06_Withdrawals!A22)</f>
        <v/>
      </c>
      <c r="B1017" s="37" t="str">
        <f ca="1">IF(Agent06_Withdrawals!A22="","","WD"&amp;TEXT(1017-3,"0000")&amp;"-"&amp;TEXT(TODAY(),"YYYYMMDD"))</f>
        <v/>
      </c>
      <c r="C1017" s="37" t="str">
        <f>IF(Agent06_Withdrawals!A22="","",Agent06_Withdrawals!B22)</f>
        <v/>
      </c>
      <c r="D1017" s="40" t="str">
        <f>IF(Agent06_Withdrawals!A22="","",Agent06_Withdrawals!C22)</f>
        <v/>
      </c>
      <c r="E1017" s="38" t="str">
        <f>IF(Agent06_Withdrawals!A22="","",Agent06_Withdrawals!D22)</f>
        <v/>
      </c>
      <c r="F1017" s="37" t="str">
        <f>IF(Agent06_Withdrawals!A22="","",Agent06_Withdrawals!F22)</f>
        <v/>
      </c>
      <c r="G1017" s="39" t="str">
        <f>IF(Agent06_Withdrawals!A22="","",Agent06_Withdrawals!E22)</f>
        <v/>
      </c>
      <c r="H1017" s="39" t="str">
        <f>IF(Agent06_Withdrawals!A22="","",Agent06_Withdrawals!G22)</f>
        <v/>
      </c>
      <c r="I1017" s="37" t="str">
        <f>IF(Agent06_Withdrawals!A22="","",Agent06_Withdrawals!H22)</f>
        <v/>
      </c>
      <c r="J1017" s="37" t="str">
        <f>IF(Agent06_Withdrawals!A22="","",Agent06_Withdrawals!J22)</f>
        <v/>
      </c>
      <c r="K1017" s="37" t="str">
        <f>IF(Agent06_Withdrawals!A22="","",Agent06_Withdrawals!K22)</f>
        <v/>
      </c>
      <c r="L1017" s="37" t="str">
        <f>IF(G1017="","",IF(D1017-G1017&gt;=System_Config!$B$9,"✅ OK","⚠️ BREACH"))</f>
        <v/>
      </c>
      <c r="M1017" s="37" t="str">
        <f>IFERROR(IF(Agent06_Withdrawals!A22="","",YEAR(Agent06_Withdrawals!D22)),"")</f>
        <v/>
      </c>
    </row>
    <row r="1018" spans="1:13" ht="18" customHeight="1" x14ac:dyDescent="0.25">
      <c r="A1018" s="37" t="str">
        <f>IF(Agent06_Withdrawals!A23="","",Agent06_Withdrawals!A23)</f>
        <v/>
      </c>
      <c r="B1018" s="37" t="str">
        <f ca="1">IF(Agent06_Withdrawals!A23="","","WD"&amp;TEXT(1018-3,"0000")&amp;"-"&amp;TEXT(TODAY(),"YYYYMMDD"))</f>
        <v/>
      </c>
      <c r="C1018" s="37" t="str">
        <f>IF(Agent06_Withdrawals!A23="","",Agent06_Withdrawals!B23)</f>
        <v/>
      </c>
      <c r="D1018" s="40" t="str">
        <f>IF(Agent06_Withdrawals!A23="","",Agent06_Withdrawals!C23)</f>
        <v/>
      </c>
      <c r="E1018" s="38" t="str">
        <f>IF(Agent06_Withdrawals!A23="","",Agent06_Withdrawals!D23)</f>
        <v/>
      </c>
      <c r="F1018" s="37" t="str">
        <f>IF(Agent06_Withdrawals!A23="","",Agent06_Withdrawals!F23)</f>
        <v/>
      </c>
      <c r="G1018" s="39" t="str">
        <f>IF(Agent06_Withdrawals!A23="","",Agent06_Withdrawals!E23)</f>
        <v/>
      </c>
      <c r="H1018" s="39" t="str">
        <f>IF(Agent06_Withdrawals!A23="","",Agent06_Withdrawals!G23)</f>
        <v/>
      </c>
      <c r="I1018" s="37" t="str">
        <f>IF(Agent06_Withdrawals!A23="","",Agent06_Withdrawals!H23)</f>
        <v/>
      </c>
      <c r="J1018" s="37" t="str">
        <f>IF(Agent06_Withdrawals!A23="","",Agent06_Withdrawals!J23)</f>
        <v/>
      </c>
      <c r="K1018" s="37" t="str">
        <f>IF(Agent06_Withdrawals!A23="","",Agent06_Withdrawals!K23)</f>
        <v/>
      </c>
      <c r="L1018" s="37" t="str">
        <f>IF(G1018="","",IF(D1018-G1018&gt;=System_Config!$B$9,"✅ OK","⚠️ BREACH"))</f>
        <v/>
      </c>
      <c r="M1018" s="37" t="str">
        <f>IFERROR(IF(Agent06_Withdrawals!A23="","",YEAR(Agent06_Withdrawals!D23)),"")</f>
        <v/>
      </c>
    </row>
    <row r="1019" spans="1:13" ht="18" customHeight="1" x14ac:dyDescent="0.25">
      <c r="A1019" s="37" t="str">
        <f>IF(Agent06_Withdrawals!A24="","",Agent06_Withdrawals!A24)</f>
        <v/>
      </c>
      <c r="B1019" s="37" t="str">
        <f ca="1">IF(Agent06_Withdrawals!A24="","","WD"&amp;TEXT(1019-3,"0000")&amp;"-"&amp;TEXT(TODAY(),"YYYYMMDD"))</f>
        <v/>
      </c>
      <c r="C1019" s="37" t="str">
        <f>IF(Agent06_Withdrawals!A24="","",Agent06_Withdrawals!B24)</f>
        <v/>
      </c>
      <c r="D1019" s="40" t="str">
        <f>IF(Agent06_Withdrawals!A24="","",Agent06_Withdrawals!C24)</f>
        <v/>
      </c>
      <c r="E1019" s="38" t="str">
        <f>IF(Agent06_Withdrawals!A24="","",Agent06_Withdrawals!D24)</f>
        <v/>
      </c>
      <c r="F1019" s="37" t="str">
        <f>IF(Agent06_Withdrawals!A24="","",Agent06_Withdrawals!F24)</f>
        <v/>
      </c>
      <c r="G1019" s="39" t="str">
        <f>IF(Agent06_Withdrawals!A24="","",Agent06_Withdrawals!E24)</f>
        <v/>
      </c>
      <c r="H1019" s="39" t="str">
        <f>IF(Agent06_Withdrawals!A24="","",Agent06_Withdrawals!G24)</f>
        <v/>
      </c>
      <c r="I1019" s="37" t="str">
        <f>IF(Agent06_Withdrawals!A24="","",Agent06_Withdrawals!H24)</f>
        <v/>
      </c>
      <c r="J1019" s="37" t="str">
        <f>IF(Agent06_Withdrawals!A24="","",Agent06_Withdrawals!J24)</f>
        <v/>
      </c>
      <c r="K1019" s="37" t="str">
        <f>IF(Agent06_Withdrawals!A24="","",Agent06_Withdrawals!K24)</f>
        <v/>
      </c>
      <c r="L1019" s="37" t="str">
        <f>IF(G1019="","",IF(D1019-G1019&gt;=System_Config!$B$9,"✅ OK","⚠️ BREACH"))</f>
        <v/>
      </c>
      <c r="M1019" s="37" t="str">
        <f>IFERROR(IF(Agent06_Withdrawals!A24="","",YEAR(Agent06_Withdrawals!D24)),"")</f>
        <v/>
      </c>
    </row>
    <row r="1020" spans="1:13" ht="18" customHeight="1" x14ac:dyDescent="0.25">
      <c r="A1020" s="37" t="str">
        <f>IF(Agent06_Withdrawals!A25="","",Agent06_Withdrawals!A25)</f>
        <v/>
      </c>
      <c r="B1020" s="37" t="str">
        <f ca="1">IF(Agent06_Withdrawals!A25="","","WD"&amp;TEXT(1020-3,"0000")&amp;"-"&amp;TEXT(TODAY(),"YYYYMMDD"))</f>
        <v/>
      </c>
      <c r="C1020" s="37" t="str">
        <f>IF(Agent06_Withdrawals!A25="","",Agent06_Withdrawals!B25)</f>
        <v/>
      </c>
      <c r="D1020" s="40" t="str">
        <f>IF(Agent06_Withdrawals!A25="","",Agent06_Withdrawals!C25)</f>
        <v/>
      </c>
      <c r="E1020" s="38" t="str">
        <f>IF(Agent06_Withdrawals!A25="","",Agent06_Withdrawals!D25)</f>
        <v/>
      </c>
      <c r="F1020" s="37" t="str">
        <f>IF(Agent06_Withdrawals!A25="","",Agent06_Withdrawals!F25)</f>
        <v/>
      </c>
      <c r="G1020" s="39" t="str">
        <f>IF(Agent06_Withdrawals!A25="","",Agent06_Withdrawals!E25)</f>
        <v/>
      </c>
      <c r="H1020" s="39" t="str">
        <f>IF(Agent06_Withdrawals!A25="","",Agent06_Withdrawals!G25)</f>
        <v/>
      </c>
      <c r="I1020" s="37" t="str">
        <f>IF(Agent06_Withdrawals!A25="","",Agent06_Withdrawals!H25)</f>
        <v/>
      </c>
      <c r="J1020" s="37" t="str">
        <f>IF(Agent06_Withdrawals!A25="","",Agent06_Withdrawals!J25)</f>
        <v/>
      </c>
      <c r="K1020" s="37" t="str">
        <f>IF(Agent06_Withdrawals!A25="","",Agent06_Withdrawals!K25)</f>
        <v/>
      </c>
      <c r="L1020" s="37" t="str">
        <f>IF(G1020="","",IF(D1020-G1020&gt;=System_Config!$B$9,"✅ OK","⚠️ BREACH"))</f>
        <v/>
      </c>
      <c r="M1020" s="37" t="str">
        <f>IFERROR(IF(Agent06_Withdrawals!A25="","",YEAR(Agent06_Withdrawals!D25)),"")</f>
        <v/>
      </c>
    </row>
    <row r="1021" spans="1:13" ht="18" customHeight="1" x14ac:dyDescent="0.25">
      <c r="A1021" s="37" t="str">
        <f>IF(Agent06_Withdrawals!A26="","",Agent06_Withdrawals!A26)</f>
        <v/>
      </c>
      <c r="B1021" s="37" t="str">
        <f ca="1">IF(Agent06_Withdrawals!A26="","","WD"&amp;TEXT(1021-3,"0000")&amp;"-"&amp;TEXT(TODAY(),"YYYYMMDD"))</f>
        <v/>
      </c>
      <c r="C1021" s="37" t="str">
        <f>IF(Agent06_Withdrawals!A26="","",Agent06_Withdrawals!B26)</f>
        <v/>
      </c>
      <c r="D1021" s="40" t="str">
        <f>IF(Agent06_Withdrawals!A26="","",Agent06_Withdrawals!C26)</f>
        <v/>
      </c>
      <c r="E1021" s="38" t="str">
        <f>IF(Agent06_Withdrawals!A26="","",Agent06_Withdrawals!D26)</f>
        <v/>
      </c>
      <c r="F1021" s="37" t="str">
        <f>IF(Agent06_Withdrawals!A26="","",Agent06_Withdrawals!F26)</f>
        <v/>
      </c>
      <c r="G1021" s="39" t="str">
        <f>IF(Agent06_Withdrawals!A26="","",Agent06_Withdrawals!E26)</f>
        <v/>
      </c>
      <c r="H1021" s="39" t="str">
        <f>IF(Agent06_Withdrawals!A26="","",Agent06_Withdrawals!G26)</f>
        <v/>
      </c>
      <c r="I1021" s="37" t="str">
        <f>IF(Agent06_Withdrawals!A26="","",Agent06_Withdrawals!H26)</f>
        <v/>
      </c>
      <c r="J1021" s="37" t="str">
        <f>IF(Agent06_Withdrawals!A26="","",Agent06_Withdrawals!J26)</f>
        <v/>
      </c>
      <c r="K1021" s="37" t="str">
        <f>IF(Agent06_Withdrawals!A26="","",Agent06_Withdrawals!K26)</f>
        <v/>
      </c>
      <c r="L1021" s="37" t="str">
        <f>IF(G1021="","",IF(D1021-G1021&gt;=System_Config!$B$9,"✅ OK","⚠️ BREACH"))</f>
        <v/>
      </c>
      <c r="M1021" s="37" t="str">
        <f>IFERROR(IF(Agent06_Withdrawals!A26="","",YEAR(Agent06_Withdrawals!D26)),"")</f>
        <v/>
      </c>
    </row>
    <row r="1022" spans="1:13" ht="18" customHeight="1" x14ac:dyDescent="0.25">
      <c r="A1022" s="37" t="str">
        <f>IF(Agent06_Withdrawals!A27="","",Agent06_Withdrawals!A27)</f>
        <v/>
      </c>
      <c r="B1022" s="37" t="str">
        <f ca="1">IF(Agent06_Withdrawals!A27="","","WD"&amp;TEXT(1022-3,"0000")&amp;"-"&amp;TEXT(TODAY(),"YYYYMMDD"))</f>
        <v/>
      </c>
      <c r="C1022" s="37" t="str">
        <f>IF(Agent06_Withdrawals!A27="","",Agent06_Withdrawals!B27)</f>
        <v/>
      </c>
      <c r="D1022" s="40" t="str">
        <f>IF(Agent06_Withdrawals!A27="","",Agent06_Withdrawals!C27)</f>
        <v/>
      </c>
      <c r="E1022" s="38" t="str">
        <f>IF(Agent06_Withdrawals!A27="","",Agent06_Withdrawals!D27)</f>
        <v/>
      </c>
      <c r="F1022" s="37" t="str">
        <f>IF(Agent06_Withdrawals!A27="","",Agent06_Withdrawals!F27)</f>
        <v/>
      </c>
      <c r="G1022" s="39" t="str">
        <f>IF(Agent06_Withdrawals!A27="","",Agent06_Withdrawals!E27)</f>
        <v/>
      </c>
      <c r="H1022" s="39" t="str">
        <f>IF(Agent06_Withdrawals!A27="","",Agent06_Withdrawals!G27)</f>
        <v/>
      </c>
      <c r="I1022" s="37" t="str">
        <f>IF(Agent06_Withdrawals!A27="","",Agent06_Withdrawals!H27)</f>
        <v/>
      </c>
      <c r="J1022" s="37" t="str">
        <f>IF(Agent06_Withdrawals!A27="","",Agent06_Withdrawals!J27)</f>
        <v/>
      </c>
      <c r="K1022" s="37" t="str">
        <f>IF(Agent06_Withdrawals!A27="","",Agent06_Withdrawals!K27)</f>
        <v/>
      </c>
      <c r="L1022" s="37" t="str">
        <f>IF(G1022="","",IF(D1022-G1022&gt;=System_Config!$B$9,"✅ OK","⚠️ BREACH"))</f>
        <v/>
      </c>
      <c r="M1022" s="37" t="str">
        <f>IFERROR(IF(Agent06_Withdrawals!A27="","",YEAR(Agent06_Withdrawals!D27)),"")</f>
        <v/>
      </c>
    </row>
    <row r="1023" spans="1:13" ht="18" customHeight="1" x14ac:dyDescent="0.25">
      <c r="A1023" s="37" t="str">
        <f>IF(Agent06_Withdrawals!A28="","",Agent06_Withdrawals!A28)</f>
        <v/>
      </c>
      <c r="B1023" s="37" t="str">
        <f ca="1">IF(Agent06_Withdrawals!A28="","","WD"&amp;TEXT(1023-3,"0000")&amp;"-"&amp;TEXT(TODAY(),"YYYYMMDD"))</f>
        <v/>
      </c>
      <c r="C1023" s="37" t="str">
        <f>IF(Agent06_Withdrawals!A28="","",Agent06_Withdrawals!B28)</f>
        <v/>
      </c>
      <c r="D1023" s="40" t="str">
        <f>IF(Agent06_Withdrawals!A28="","",Agent06_Withdrawals!C28)</f>
        <v/>
      </c>
      <c r="E1023" s="38" t="str">
        <f>IF(Agent06_Withdrawals!A28="","",Agent06_Withdrawals!D28)</f>
        <v/>
      </c>
      <c r="F1023" s="37" t="str">
        <f>IF(Agent06_Withdrawals!A28="","",Agent06_Withdrawals!F28)</f>
        <v/>
      </c>
      <c r="G1023" s="39" t="str">
        <f>IF(Agent06_Withdrawals!A28="","",Agent06_Withdrawals!E28)</f>
        <v/>
      </c>
      <c r="H1023" s="39" t="str">
        <f>IF(Agent06_Withdrawals!A28="","",Agent06_Withdrawals!G28)</f>
        <v/>
      </c>
      <c r="I1023" s="37" t="str">
        <f>IF(Agent06_Withdrawals!A28="","",Agent06_Withdrawals!H28)</f>
        <v/>
      </c>
      <c r="J1023" s="37" t="str">
        <f>IF(Agent06_Withdrawals!A28="","",Agent06_Withdrawals!J28)</f>
        <v/>
      </c>
      <c r="K1023" s="37" t="str">
        <f>IF(Agent06_Withdrawals!A28="","",Agent06_Withdrawals!K28)</f>
        <v/>
      </c>
      <c r="L1023" s="37" t="str">
        <f>IF(G1023="","",IF(D1023-G1023&gt;=System_Config!$B$9,"✅ OK","⚠️ BREACH"))</f>
        <v/>
      </c>
      <c r="M1023" s="37" t="str">
        <f>IFERROR(IF(Agent06_Withdrawals!A28="","",YEAR(Agent06_Withdrawals!D28)),"")</f>
        <v/>
      </c>
    </row>
    <row r="1024" spans="1:13" ht="18" customHeight="1" x14ac:dyDescent="0.25">
      <c r="A1024" s="37" t="str">
        <f>IF(Agent06_Withdrawals!A29="","",Agent06_Withdrawals!A29)</f>
        <v/>
      </c>
      <c r="B1024" s="37" t="str">
        <f ca="1">IF(Agent06_Withdrawals!A29="","","WD"&amp;TEXT(1024-3,"0000")&amp;"-"&amp;TEXT(TODAY(),"YYYYMMDD"))</f>
        <v/>
      </c>
      <c r="C1024" s="37" t="str">
        <f>IF(Agent06_Withdrawals!A29="","",Agent06_Withdrawals!B29)</f>
        <v/>
      </c>
      <c r="D1024" s="40" t="str">
        <f>IF(Agent06_Withdrawals!A29="","",Agent06_Withdrawals!C29)</f>
        <v/>
      </c>
      <c r="E1024" s="38" t="str">
        <f>IF(Agent06_Withdrawals!A29="","",Agent06_Withdrawals!D29)</f>
        <v/>
      </c>
      <c r="F1024" s="37" t="str">
        <f>IF(Agent06_Withdrawals!A29="","",Agent06_Withdrawals!F29)</f>
        <v/>
      </c>
      <c r="G1024" s="39" t="str">
        <f>IF(Agent06_Withdrawals!A29="","",Agent06_Withdrawals!E29)</f>
        <v/>
      </c>
      <c r="H1024" s="39" t="str">
        <f>IF(Agent06_Withdrawals!A29="","",Agent06_Withdrawals!G29)</f>
        <v/>
      </c>
      <c r="I1024" s="37" t="str">
        <f>IF(Agent06_Withdrawals!A29="","",Agent06_Withdrawals!H29)</f>
        <v/>
      </c>
      <c r="J1024" s="37" t="str">
        <f>IF(Agent06_Withdrawals!A29="","",Agent06_Withdrawals!J29)</f>
        <v/>
      </c>
      <c r="K1024" s="37" t="str">
        <f>IF(Agent06_Withdrawals!A29="","",Agent06_Withdrawals!K29)</f>
        <v/>
      </c>
      <c r="L1024" s="37" t="str">
        <f>IF(G1024="","",IF(D1024-G1024&gt;=System_Config!$B$9,"✅ OK","⚠️ BREACH"))</f>
        <v/>
      </c>
      <c r="M1024" s="37" t="str">
        <f>IFERROR(IF(Agent06_Withdrawals!A29="","",YEAR(Agent06_Withdrawals!D29)),"")</f>
        <v/>
      </c>
    </row>
    <row r="1025" spans="1:13" ht="18" customHeight="1" x14ac:dyDescent="0.25">
      <c r="A1025" s="37" t="str">
        <f>IF(Agent06_Withdrawals!A30="","",Agent06_Withdrawals!A30)</f>
        <v/>
      </c>
      <c r="B1025" s="37" t="str">
        <f ca="1">IF(Agent06_Withdrawals!A30="","","WD"&amp;TEXT(1025-3,"0000")&amp;"-"&amp;TEXT(TODAY(),"YYYYMMDD"))</f>
        <v/>
      </c>
      <c r="C1025" s="37" t="str">
        <f>IF(Agent06_Withdrawals!A30="","",Agent06_Withdrawals!B30)</f>
        <v/>
      </c>
      <c r="D1025" s="40" t="str">
        <f>IF(Agent06_Withdrawals!A30="","",Agent06_Withdrawals!C30)</f>
        <v/>
      </c>
      <c r="E1025" s="38" t="str">
        <f>IF(Agent06_Withdrawals!A30="","",Agent06_Withdrawals!D30)</f>
        <v/>
      </c>
      <c r="F1025" s="37" t="str">
        <f>IF(Agent06_Withdrawals!A30="","",Agent06_Withdrawals!F30)</f>
        <v/>
      </c>
      <c r="G1025" s="39" t="str">
        <f>IF(Agent06_Withdrawals!A30="","",Agent06_Withdrawals!E30)</f>
        <v/>
      </c>
      <c r="H1025" s="39" t="str">
        <f>IF(Agent06_Withdrawals!A30="","",Agent06_Withdrawals!G30)</f>
        <v/>
      </c>
      <c r="I1025" s="37" t="str">
        <f>IF(Agent06_Withdrawals!A30="","",Agent06_Withdrawals!H30)</f>
        <v/>
      </c>
      <c r="J1025" s="37" t="str">
        <f>IF(Agent06_Withdrawals!A30="","",Agent06_Withdrawals!J30)</f>
        <v/>
      </c>
      <c r="K1025" s="37" t="str">
        <f>IF(Agent06_Withdrawals!A30="","",Agent06_Withdrawals!K30)</f>
        <v/>
      </c>
      <c r="L1025" s="37" t="str">
        <f>IF(G1025="","",IF(D1025-G1025&gt;=System_Config!$B$9,"✅ OK","⚠️ BREACH"))</f>
        <v/>
      </c>
      <c r="M1025" s="37" t="str">
        <f>IFERROR(IF(Agent06_Withdrawals!A30="","",YEAR(Agent06_Withdrawals!D30)),"")</f>
        <v/>
      </c>
    </row>
    <row r="1026" spans="1:13" ht="18" customHeight="1" x14ac:dyDescent="0.25">
      <c r="A1026" s="37" t="str">
        <f>IF(Agent06_Withdrawals!A31="","",Agent06_Withdrawals!A31)</f>
        <v/>
      </c>
      <c r="B1026" s="37" t="str">
        <f ca="1">IF(Agent06_Withdrawals!A31="","","WD"&amp;TEXT(1026-3,"0000")&amp;"-"&amp;TEXT(TODAY(),"YYYYMMDD"))</f>
        <v/>
      </c>
      <c r="C1026" s="37" t="str">
        <f>IF(Agent06_Withdrawals!A31="","",Agent06_Withdrawals!B31)</f>
        <v/>
      </c>
      <c r="D1026" s="40" t="str">
        <f>IF(Agent06_Withdrawals!A31="","",Agent06_Withdrawals!C31)</f>
        <v/>
      </c>
      <c r="E1026" s="38" t="str">
        <f>IF(Agent06_Withdrawals!A31="","",Agent06_Withdrawals!D31)</f>
        <v/>
      </c>
      <c r="F1026" s="37" t="str">
        <f>IF(Agent06_Withdrawals!A31="","",Agent06_Withdrawals!F31)</f>
        <v/>
      </c>
      <c r="G1026" s="39" t="str">
        <f>IF(Agent06_Withdrawals!A31="","",Agent06_Withdrawals!E31)</f>
        <v/>
      </c>
      <c r="H1026" s="39" t="str">
        <f>IF(Agent06_Withdrawals!A31="","",Agent06_Withdrawals!G31)</f>
        <v/>
      </c>
      <c r="I1026" s="37" t="str">
        <f>IF(Agent06_Withdrawals!A31="","",Agent06_Withdrawals!H31)</f>
        <v/>
      </c>
      <c r="J1026" s="37" t="str">
        <f>IF(Agent06_Withdrawals!A31="","",Agent06_Withdrawals!J31)</f>
        <v/>
      </c>
      <c r="K1026" s="37" t="str">
        <f>IF(Agent06_Withdrawals!A31="","",Agent06_Withdrawals!K31)</f>
        <v/>
      </c>
      <c r="L1026" s="37" t="str">
        <f>IF(G1026="","",IF(D1026-G1026&gt;=System_Config!$B$9,"✅ OK","⚠️ BREACH"))</f>
        <v/>
      </c>
      <c r="M1026" s="37" t="str">
        <f>IFERROR(IF(Agent06_Withdrawals!A31="","",YEAR(Agent06_Withdrawals!D31)),"")</f>
        <v/>
      </c>
    </row>
    <row r="1027" spans="1:13" ht="18" customHeight="1" x14ac:dyDescent="0.25">
      <c r="A1027" s="37" t="str">
        <f>IF(Agent06_Withdrawals!A32="","",Agent06_Withdrawals!A32)</f>
        <v/>
      </c>
      <c r="B1027" s="37" t="str">
        <f ca="1">IF(Agent06_Withdrawals!A32="","","WD"&amp;TEXT(1027-3,"0000")&amp;"-"&amp;TEXT(TODAY(),"YYYYMMDD"))</f>
        <v/>
      </c>
      <c r="C1027" s="37" t="str">
        <f>IF(Agent06_Withdrawals!A32="","",Agent06_Withdrawals!B32)</f>
        <v/>
      </c>
      <c r="D1027" s="40" t="str">
        <f>IF(Agent06_Withdrawals!A32="","",Agent06_Withdrawals!C32)</f>
        <v/>
      </c>
      <c r="E1027" s="38" t="str">
        <f>IF(Agent06_Withdrawals!A32="","",Agent06_Withdrawals!D32)</f>
        <v/>
      </c>
      <c r="F1027" s="37" t="str">
        <f>IF(Agent06_Withdrawals!A32="","",Agent06_Withdrawals!F32)</f>
        <v/>
      </c>
      <c r="G1027" s="39" t="str">
        <f>IF(Agent06_Withdrawals!A32="","",Agent06_Withdrawals!E32)</f>
        <v/>
      </c>
      <c r="H1027" s="39" t="str">
        <f>IF(Agent06_Withdrawals!A32="","",Agent06_Withdrawals!G32)</f>
        <v/>
      </c>
      <c r="I1027" s="37" t="str">
        <f>IF(Agent06_Withdrawals!A32="","",Agent06_Withdrawals!H32)</f>
        <v/>
      </c>
      <c r="J1027" s="37" t="str">
        <f>IF(Agent06_Withdrawals!A32="","",Agent06_Withdrawals!J32)</f>
        <v/>
      </c>
      <c r="K1027" s="37" t="str">
        <f>IF(Agent06_Withdrawals!A32="","",Agent06_Withdrawals!K32)</f>
        <v/>
      </c>
      <c r="L1027" s="37" t="str">
        <f>IF(G1027="","",IF(D1027-G1027&gt;=System_Config!$B$9,"✅ OK","⚠️ BREACH"))</f>
        <v/>
      </c>
      <c r="M1027" s="37" t="str">
        <f>IFERROR(IF(Agent06_Withdrawals!A32="","",YEAR(Agent06_Withdrawals!D32)),"")</f>
        <v/>
      </c>
    </row>
    <row r="1028" spans="1:13" ht="18" customHeight="1" x14ac:dyDescent="0.25">
      <c r="A1028" s="37" t="str">
        <f>IF(Agent06_Withdrawals!A33="","",Agent06_Withdrawals!A33)</f>
        <v/>
      </c>
      <c r="B1028" s="37" t="str">
        <f ca="1">IF(Agent06_Withdrawals!A33="","","WD"&amp;TEXT(1028-3,"0000")&amp;"-"&amp;TEXT(TODAY(),"YYYYMMDD"))</f>
        <v/>
      </c>
      <c r="C1028" s="37" t="str">
        <f>IF(Agent06_Withdrawals!A33="","",Agent06_Withdrawals!B33)</f>
        <v/>
      </c>
      <c r="D1028" s="40" t="str">
        <f>IF(Agent06_Withdrawals!A33="","",Agent06_Withdrawals!C33)</f>
        <v/>
      </c>
      <c r="E1028" s="38" t="str">
        <f>IF(Agent06_Withdrawals!A33="","",Agent06_Withdrawals!D33)</f>
        <v/>
      </c>
      <c r="F1028" s="37" t="str">
        <f>IF(Agent06_Withdrawals!A33="","",Agent06_Withdrawals!F33)</f>
        <v/>
      </c>
      <c r="G1028" s="39" t="str">
        <f>IF(Agent06_Withdrawals!A33="","",Agent06_Withdrawals!E33)</f>
        <v/>
      </c>
      <c r="H1028" s="39" t="str">
        <f>IF(Agent06_Withdrawals!A33="","",Agent06_Withdrawals!G33)</f>
        <v/>
      </c>
      <c r="I1028" s="37" t="str">
        <f>IF(Agent06_Withdrawals!A33="","",Agent06_Withdrawals!H33)</f>
        <v/>
      </c>
      <c r="J1028" s="37" t="str">
        <f>IF(Agent06_Withdrawals!A33="","",Agent06_Withdrawals!J33)</f>
        <v/>
      </c>
      <c r="K1028" s="37" t="str">
        <f>IF(Agent06_Withdrawals!A33="","",Agent06_Withdrawals!K33)</f>
        <v/>
      </c>
      <c r="L1028" s="37" t="str">
        <f>IF(G1028="","",IF(D1028-G1028&gt;=System_Config!$B$9,"✅ OK","⚠️ BREACH"))</f>
        <v/>
      </c>
      <c r="M1028" s="37" t="str">
        <f>IFERROR(IF(Agent06_Withdrawals!A33="","",YEAR(Agent06_Withdrawals!D33)),"")</f>
        <v/>
      </c>
    </row>
    <row r="1029" spans="1:13" ht="18" customHeight="1" x14ac:dyDescent="0.25">
      <c r="A1029" s="37" t="str">
        <f>IF(Agent06_Withdrawals!A34="","",Agent06_Withdrawals!A34)</f>
        <v/>
      </c>
      <c r="B1029" s="37" t="str">
        <f ca="1">IF(Agent06_Withdrawals!A34="","","WD"&amp;TEXT(1029-3,"0000")&amp;"-"&amp;TEXT(TODAY(),"YYYYMMDD"))</f>
        <v/>
      </c>
      <c r="C1029" s="37" t="str">
        <f>IF(Agent06_Withdrawals!A34="","",Agent06_Withdrawals!B34)</f>
        <v/>
      </c>
      <c r="D1029" s="40" t="str">
        <f>IF(Agent06_Withdrawals!A34="","",Agent06_Withdrawals!C34)</f>
        <v/>
      </c>
      <c r="E1029" s="38" t="str">
        <f>IF(Agent06_Withdrawals!A34="","",Agent06_Withdrawals!D34)</f>
        <v/>
      </c>
      <c r="F1029" s="37" t="str">
        <f>IF(Agent06_Withdrawals!A34="","",Agent06_Withdrawals!F34)</f>
        <v/>
      </c>
      <c r="G1029" s="39" t="str">
        <f>IF(Agent06_Withdrawals!A34="","",Agent06_Withdrawals!E34)</f>
        <v/>
      </c>
      <c r="H1029" s="39" t="str">
        <f>IF(Agent06_Withdrawals!A34="","",Agent06_Withdrawals!G34)</f>
        <v/>
      </c>
      <c r="I1029" s="37" t="str">
        <f>IF(Agent06_Withdrawals!A34="","",Agent06_Withdrawals!H34)</f>
        <v/>
      </c>
      <c r="J1029" s="37" t="str">
        <f>IF(Agent06_Withdrawals!A34="","",Agent06_Withdrawals!J34)</f>
        <v/>
      </c>
      <c r="K1029" s="37" t="str">
        <f>IF(Agent06_Withdrawals!A34="","",Agent06_Withdrawals!K34)</f>
        <v/>
      </c>
      <c r="L1029" s="37" t="str">
        <f>IF(G1029="","",IF(D1029-G1029&gt;=System_Config!$B$9,"✅ OK","⚠️ BREACH"))</f>
        <v/>
      </c>
      <c r="M1029" s="37" t="str">
        <f>IFERROR(IF(Agent06_Withdrawals!A34="","",YEAR(Agent06_Withdrawals!D34)),"")</f>
        <v/>
      </c>
    </row>
    <row r="1030" spans="1:13" ht="18" customHeight="1" x14ac:dyDescent="0.25">
      <c r="A1030" s="37" t="str">
        <f>IF(Agent06_Withdrawals!A35="","",Agent06_Withdrawals!A35)</f>
        <v/>
      </c>
      <c r="B1030" s="37" t="str">
        <f ca="1">IF(Agent06_Withdrawals!A35="","","WD"&amp;TEXT(1030-3,"0000")&amp;"-"&amp;TEXT(TODAY(),"YYYYMMDD"))</f>
        <v/>
      </c>
      <c r="C1030" s="37" t="str">
        <f>IF(Agent06_Withdrawals!A35="","",Agent06_Withdrawals!B35)</f>
        <v/>
      </c>
      <c r="D1030" s="40" t="str">
        <f>IF(Agent06_Withdrawals!A35="","",Agent06_Withdrawals!C35)</f>
        <v/>
      </c>
      <c r="E1030" s="38" t="str">
        <f>IF(Agent06_Withdrawals!A35="","",Agent06_Withdrawals!D35)</f>
        <v/>
      </c>
      <c r="F1030" s="37" t="str">
        <f>IF(Agent06_Withdrawals!A35="","",Agent06_Withdrawals!F35)</f>
        <v/>
      </c>
      <c r="G1030" s="39" t="str">
        <f>IF(Agent06_Withdrawals!A35="","",Agent06_Withdrawals!E35)</f>
        <v/>
      </c>
      <c r="H1030" s="39" t="str">
        <f>IF(Agent06_Withdrawals!A35="","",Agent06_Withdrawals!G35)</f>
        <v/>
      </c>
      <c r="I1030" s="37" t="str">
        <f>IF(Agent06_Withdrawals!A35="","",Agent06_Withdrawals!H35)</f>
        <v/>
      </c>
      <c r="J1030" s="37" t="str">
        <f>IF(Agent06_Withdrawals!A35="","",Agent06_Withdrawals!J35)</f>
        <v/>
      </c>
      <c r="K1030" s="37" t="str">
        <f>IF(Agent06_Withdrawals!A35="","",Agent06_Withdrawals!K35)</f>
        <v/>
      </c>
      <c r="L1030" s="37" t="str">
        <f>IF(G1030="","",IF(D1030-G1030&gt;=System_Config!$B$9,"✅ OK","⚠️ BREACH"))</f>
        <v/>
      </c>
      <c r="M1030" s="37" t="str">
        <f>IFERROR(IF(Agent06_Withdrawals!A35="","",YEAR(Agent06_Withdrawals!D35)),"")</f>
        <v/>
      </c>
    </row>
    <row r="1031" spans="1:13" ht="18" customHeight="1" x14ac:dyDescent="0.25">
      <c r="A1031" s="37" t="str">
        <f>IF(Agent06_Withdrawals!A36="","",Agent06_Withdrawals!A36)</f>
        <v/>
      </c>
      <c r="B1031" s="37" t="str">
        <f ca="1">IF(Agent06_Withdrawals!A36="","","WD"&amp;TEXT(1031-3,"0000")&amp;"-"&amp;TEXT(TODAY(),"YYYYMMDD"))</f>
        <v/>
      </c>
      <c r="C1031" s="37" t="str">
        <f>IF(Agent06_Withdrawals!A36="","",Agent06_Withdrawals!B36)</f>
        <v/>
      </c>
      <c r="D1031" s="40" t="str">
        <f>IF(Agent06_Withdrawals!A36="","",Agent06_Withdrawals!C36)</f>
        <v/>
      </c>
      <c r="E1031" s="38" t="str">
        <f>IF(Agent06_Withdrawals!A36="","",Agent06_Withdrawals!D36)</f>
        <v/>
      </c>
      <c r="F1031" s="37" t="str">
        <f>IF(Agent06_Withdrawals!A36="","",Agent06_Withdrawals!F36)</f>
        <v/>
      </c>
      <c r="G1031" s="39" t="str">
        <f>IF(Agent06_Withdrawals!A36="","",Agent06_Withdrawals!E36)</f>
        <v/>
      </c>
      <c r="H1031" s="39" t="str">
        <f>IF(Agent06_Withdrawals!A36="","",Agent06_Withdrawals!G36)</f>
        <v/>
      </c>
      <c r="I1031" s="37" t="str">
        <f>IF(Agent06_Withdrawals!A36="","",Agent06_Withdrawals!H36)</f>
        <v/>
      </c>
      <c r="J1031" s="37" t="str">
        <f>IF(Agent06_Withdrawals!A36="","",Agent06_Withdrawals!J36)</f>
        <v/>
      </c>
      <c r="K1031" s="37" t="str">
        <f>IF(Agent06_Withdrawals!A36="","",Agent06_Withdrawals!K36)</f>
        <v/>
      </c>
      <c r="L1031" s="37" t="str">
        <f>IF(G1031="","",IF(D1031-G1031&gt;=System_Config!$B$9,"✅ OK","⚠️ BREACH"))</f>
        <v/>
      </c>
      <c r="M1031" s="37" t="str">
        <f>IFERROR(IF(Agent06_Withdrawals!A36="","",YEAR(Agent06_Withdrawals!D36)),"")</f>
        <v/>
      </c>
    </row>
    <row r="1032" spans="1:13" ht="18" customHeight="1" x14ac:dyDescent="0.25">
      <c r="A1032" s="37" t="str">
        <f>IF(Agent06_Withdrawals!A37="","",Agent06_Withdrawals!A37)</f>
        <v/>
      </c>
      <c r="B1032" s="37" t="str">
        <f ca="1">IF(Agent06_Withdrawals!A37="","","WD"&amp;TEXT(1032-3,"0000")&amp;"-"&amp;TEXT(TODAY(),"YYYYMMDD"))</f>
        <v/>
      </c>
      <c r="C1032" s="37" t="str">
        <f>IF(Agent06_Withdrawals!A37="","",Agent06_Withdrawals!B37)</f>
        <v/>
      </c>
      <c r="D1032" s="40" t="str">
        <f>IF(Agent06_Withdrawals!A37="","",Agent06_Withdrawals!C37)</f>
        <v/>
      </c>
      <c r="E1032" s="38" t="str">
        <f>IF(Agent06_Withdrawals!A37="","",Agent06_Withdrawals!D37)</f>
        <v/>
      </c>
      <c r="F1032" s="37" t="str">
        <f>IF(Agent06_Withdrawals!A37="","",Agent06_Withdrawals!F37)</f>
        <v/>
      </c>
      <c r="G1032" s="39" t="str">
        <f>IF(Agent06_Withdrawals!A37="","",Agent06_Withdrawals!E37)</f>
        <v/>
      </c>
      <c r="H1032" s="39" t="str">
        <f>IF(Agent06_Withdrawals!A37="","",Agent06_Withdrawals!G37)</f>
        <v/>
      </c>
      <c r="I1032" s="37" t="str">
        <f>IF(Agent06_Withdrawals!A37="","",Agent06_Withdrawals!H37)</f>
        <v/>
      </c>
      <c r="J1032" s="37" t="str">
        <f>IF(Agent06_Withdrawals!A37="","",Agent06_Withdrawals!J37)</f>
        <v/>
      </c>
      <c r="K1032" s="37" t="str">
        <f>IF(Agent06_Withdrawals!A37="","",Agent06_Withdrawals!K37)</f>
        <v/>
      </c>
      <c r="L1032" s="37" t="str">
        <f>IF(G1032="","",IF(D1032-G1032&gt;=System_Config!$B$9,"✅ OK","⚠️ BREACH"))</f>
        <v/>
      </c>
      <c r="M1032" s="37" t="str">
        <f>IFERROR(IF(Agent06_Withdrawals!A37="","",YEAR(Agent06_Withdrawals!D37)),"")</f>
        <v/>
      </c>
    </row>
    <row r="1033" spans="1:13" ht="18" customHeight="1" x14ac:dyDescent="0.25">
      <c r="A1033" s="37" t="str">
        <f>IF(Agent06_Withdrawals!A38="","",Agent06_Withdrawals!A38)</f>
        <v/>
      </c>
      <c r="B1033" s="37" t="str">
        <f ca="1">IF(Agent06_Withdrawals!A38="","","WD"&amp;TEXT(1033-3,"0000")&amp;"-"&amp;TEXT(TODAY(),"YYYYMMDD"))</f>
        <v/>
      </c>
      <c r="C1033" s="37" t="str">
        <f>IF(Agent06_Withdrawals!A38="","",Agent06_Withdrawals!B38)</f>
        <v/>
      </c>
      <c r="D1033" s="40" t="str">
        <f>IF(Agent06_Withdrawals!A38="","",Agent06_Withdrawals!C38)</f>
        <v/>
      </c>
      <c r="E1033" s="38" t="str">
        <f>IF(Agent06_Withdrawals!A38="","",Agent06_Withdrawals!D38)</f>
        <v/>
      </c>
      <c r="F1033" s="37" t="str">
        <f>IF(Agent06_Withdrawals!A38="","",Agent06_Withdrawals!F38)</f>
        <v/>
      </c>
      <c r="G1033" s="39" t="str">
        <f>IF(Agent06_Withdrawals!A38="","",Agent06_Withdrawals!E38)</f>
        <v/>
      </c>
      <c r="H1033" s="39" t="str">
        <f>IF(Agent06_Withdrawals!A38="","",Agent06_Withdrawals!G38)</f>
        <v/>
      </c>
      <c r="I1033" s="37" t="str">
        <f>IF(Agent06_Withdrawals!A38="","",Agent06_Withdrawals!H38)</f>
        <v/>
      </c>
      <c r="J1033" s="37" t="str">
        <f>IF(Agent06_Withdrawals!A38="","",Agent06_Withdrawals!J38)</f>
        <v/>
      </c>
      <c r="K1033" s="37" t="str">
        <f>IF(Agent06_Withdrawals!A38="","",Agent06_Withdrawals!K38)</f>
        <v/>
      </c>
      <c r="L1033" s="37" t="str">
        <f>IF(G1033="","",IF(D1033-G1033&gt;=System_Config!$B$9,"✅ OK","⚠️ BREACH"))</f>
        <v/>
      </c>
      <c r="M1033" s="37" t="str">
        <f>IFERROR(IF(Agent06_Withdrawals!A38="","",YEAR(Agent06_Withdrawals!D38)),"")</f>
        <v/>
      </c>
    </row>
    <row r="1034" spans="1:13" ht="18" customHeight="1" x14ac:dyDescent="0.25">
      <c r="A1034" s="37" t="str">
        <f>IF(Agent06_Withdrawals!A39="","",Agent06_Withdrawals!A39)</f>
        <v/>
      </c>
      <c r="B1034" s="37" t="str">
        <f ca="1">IF(Agent06_Withdrawals!A39="","","WD"&amp;TEXT(1034-3,"0000")&amp;"-"&amp;TEXT(TODAY(),"YYYYMMDD"))</f>
        <v/>
      </c>
      <c r="C1034" s="37" t="str">
        <f>IF(Agent06_Withdrawals!A39="","",Agent06_Withdrawals!B39)</f>
        <v/>
      </c>
      <c r="D1034" s="40" t="str">
        <f>IF(Agent06_Withdrawals!A39="","",Agent06_Withdrawals!C39)</f>
        <v/>
      </c>
      <c r="E1034" s="38" t="str">
        <f>IF(Agent06_Withdrawals!A39="","",Agent06_Withdrawals!D39)</f>
        <v/>
      </c>
      <c r="F1034" s="37" t="str">
        <f>IF(Agent06_Withdrawals!A39="","",Agent06_Withdrawals!F39)</f>
        <v/>
      </c>
      <c r="G1034" s="39" t="str">
        <f>IF(Agent06_Withdrawals!A39="","",Agent06_Withdrawals!E39)</f>
        <v/>
      </c>
      <c r="H1034" s="39" t="str">
        <f>IF(Agent06_Withdrawals!A39="","",Agent06_Withdrawals!G39)</f>
        <v/>
      </c>
      <c r="I1034" s="37" t="str">
        <f>IF(Agent06_Withdrawals!A39="","",Agent06_Withdrawals!H39)</f>
        <v/>
      </c>
      <c r="J1034" s="37" t="str">
        <f>IF(Agent06_Withdrawals!A39="","",Agent06_Withdrawals!J39)</f>
        <v/>
      </c>
      <c r="K1034" s="37" t="str">
        <f>IF(Agent06_Withdrawals!A39="","",Agent06_Withdrawals!K39)</f>
        <v/>
      </c>
      <c r="L1034" s="37" t="str">
        <f>IF(G1034="","",IF(D1034-G1034&gt;=System_Config!$B$9,"✅ OK","⚠️ BREACH"))</f>
        <v/>
      </c>
      <c r="M1034" s="37" t="str">
        <f>IFERROR(IF(Agent06_Withdrawals!A39="","",YEAR(Agent06_Withdrawals!D39)),"")</f>
        <v/>
      </c>
    </row>
    <row r="1035" spans="1:13" ht="18" customHeight="1" x14ac:dyDescent="0.25">
      <c r="A1035" s="37" t="str">
        <f>IF(Agent06_Withdrawals!A40="","",Agent06_Withdrawals!A40)</f>
        <v/>
      </c>
      <c r="B1035" s="37" t="str">
        <f ca="1">IF(Agent06_Withdrawals!A40="","","WD"&amp;TEXT(1035-3,"0000")&amp;"-"&amp;TEXT(TODAY(),"YYYYMMDD"))</f>
        <v/>
      </c>
      <c r="C1035" s="37" t="str">
        <f>IF(Agent06_Withdrawals!A40="","",Agent06_Withdrawals!B40)</f>
        <v/>
      </c>
      <c r="D1035" s="40" t="str">
        <f>IF(Agent06_Withdrawals!A40="","",Agent06_Withdrawals!C40)</f>
        <v/>
      </c>
      <c r="E1035" s="38" t="str">
        <f>IF(Agent06_Withdrawals!A40="","",Agent06_Withdrawals!D40)</f>
        <v/>
      </c>
      <c r="F1035" s="37" t="str">
        <f>IF(Agent06_Withdrawals!A40="","",Agent06_Withdrawals!F40)</f>
        <v/>
      </c>
      <c r="G1035" s="39" t="str">
        <f>IF(Agent06_Withdrawals!A40="","",Agent06_Withdrawals!E40)</f>
        <v/>
      </c>
      <c r="H1035" s="39" t="str">
        <f>IF(Agent06_Withdrawals!A40="","",Agent06_Withdrawals!G40)</f>
        <v/>
      </c>
      <c r="I1035" s="37" t="str">
        <f>IF(Agent06_Withdrawals!A40="","",Agent06_Withdrawals!H40)</f>
        <v/>
      </c>
      <c r="J1035" s="37" t="str">
        <f>IF(Agent06_Withdrawals!A40="","",Agent06_Withdrawals!J40)</f>
        <v/>
      </c>
      <c r="K1035" s="37" t="str">
        <f>IF(Agent06_Withdrawals!A40="","",Agent06_Withdrawals!K40)</f>
        <v/>
      </c>
      <c r="L1035" s="37" t="str">
        <f>IF(G1035="","",IF(D1035-G1035&gt;=System_Config!$B$9,"✅ OK","⚠️ BREACH"))</f>
        <v/>
      </c>
      <c r="M1035" s="37" t="str">
        <f>IFERROR(IF(Agent06_Withdrawals!A40="","",YEAR(Agent06_Withdrawals!D40)),"")</f>
        <v/>
      </c>
    </row>
    <row r="1036" spans="1:13" ht="18" customHeight="1" x14ac:dyDescent="0.25">
      <c r="A1036" s="37" t="str">
        <f>IF(Agent06_Withdrawals!A41="","",Agent06_Withdrawals!A41)</f>
        <v/>
      </c>
      <c r="B1036" s="37" t="str">
        <f ca="1">IF(Agent06_Withdrawals!A41="","","WD"&amp;TEXT(1036-3,"0000")&amp;"-"&amp;TEXT(TODAY(),"YYYYMMDD"))</f>
        <v/>
      </c>
      <c r="C1036" s="37" t="str">
        <f>IF(Agent06_Withdrawals!A41="","",Agent06_Withdrawals!B41)</f>
        <v/>
      </c>
      <c r="D1036" s="40" t="str">
        <f>IF(Agent06_Withdrawals!A41="","",Agent06_Withdrawals!C41)</f>
        <v/>
      </c>
      <c r="E1036" s="38" t="str">
        <f>IF(Agent06_Withdrawals!A41="","",Agent06_Withdrawals!D41)</f>
        <v/>
      </c>
      <c r="F1036" s="37" t="str">
        <f>IF(Agent06_Withdrawals!A41="","",Agent06_Withdrawals!F41)</f>
        <v/>
      </c>
      <c r="G1036" s="39" t="str">
        <f>IF(Agent06_Withdrawals!A41="","",Agent06_Withdrawals!E41)</f>
        <v/>
      </c>
      <c r="H1036" s="39" t="str">
        <f>IF(Agent06_Withdrawals!A41="","",Agent06_Withdrawals!G41)</f>
        <v/>
      </c>
      <c r="I1036" s="37" t="str">
        <f>IF(Agent06_Withdrawals!A41="","",Agent06_Withdrawals!H41)</f>
        <v/>
      </c>
      <c r="J1036" s="37" t="str">
        <f>IF(Agent06_Withdrawals!A41="","",Agent06_Withdrawals!J41)</f>
        <v/>
      </c>
      <c r="K1036" s="37" t="str">
        <f>IF(Agent06_Withdrawals!A41="","",Agent06_Withdrawals!K41)</f>
        <v/>
      </c>
      <c r="L1036" s="37" t="str">
        <f>IF(G1036="","",IF(D1036-G1036&gt;=System_Config!$B$9,"✅ OK","⚠️ BREACH"))</f>
        <v/>
      </c>
      <c r="M1036" s="37" t="str">
        <f>IFERROR(IF(Agent06_Withdrawals!A41="","",YEAR(Agent06_Withdrawals!D41)),"")</f>
        <v/>
      </c>
    </row>
    <row r="1037" spans="1:13" ht="18" customHeight="1" x14ac:dyDescent="0.25">
      <c r="A1037" s="37" t="str">
        <f>IF(Agent06_Withdrawals!A42="","",Agent06_Withdrawals!A42)</f>
        <v/>
      </c>
      <c r="B1037" s="37" t="str">
        <f ca="1">IF(Agent06_Withdrawals!A42="","","WD"&amp;TEXT(1037-3,"0000")&amp;"-"&amp;TEXT(TODAY(),"YYYYMMDD"))</f>
        <v/>
      </c>
      <c r="C1037" s="37" t="str">
        <f>IF(Agent06_Withdrawals!A42="","",Agent06_Withdrawals!B42)</f>
        <v/>
      </c>
      <c r="D1037" s="40" t="str">
        <f>IF(Agent06_Withdrawals!A42="","",Agent06_Withdrawals!C42)</f>
        <v/>
      </c>
      <c r="E1037" s="38" t="str">
        <f>IF(Agent06_Withdrawals!A42="","",Agent06_Withdrawals!D42)</f>
        <v/>
      </c>
      <c r="F1037" s="37" t="str">
        <f>IF(Agent06_Withdrawals!A42="","",Agent06_Withdrawals!F42)</f>
        <v/>
      </c>
      <c r="G1037" s="39" t="str">
        <f>IF(Agent06_Withdrawals!A42="","",Agent06_Withdrawals!E42)</f>
        <v/>
      </c>
      <c r="H1037" s="39" t="str">
        <f>IF(Agent06_Withdrawals!A42="","",Agent06_Withdrawals!G42)</f>
        <v/>
      </c>
      <c r="I1037" s="37" t="str">
        <f>IF(Agent06_Withdrawals!A42="","",Agent06_Withdrawals!H42)</f>
        <v/>
      </c>
      <c r="J1037" s="37" t="str">
        <f>IF(Agent06_Withdrawals!A42="","",Agent06_Withdrawals!J42)</f>
        <v/>
      </c>
      <c r="K1037" s="37" t="str">
        <f>IF(Agent06_Withdrawals!A42="","",Agent06_Withdrawals!K42)</f>
        <v/>
      </c>
      <c r="L1037" s="37" t="str">
        <f>IF(G1037="","",IF(D1037-G1037&gt;=System_Config!$B$9,"✅ OK","⚠️ BREACH"))</f>
        <v/>
      </c>
      <c r="M1037" s="37" t="str">
        <f>IFERROR(IF(Agent06_Withdrawals!A42="","",YEAR(Agent06_Withdrawals!D42)),"")</f>
        <v/>
      </c>
    </row>
    <row r="1038" spans="1:13" ht="18" customHeight="1" x14ac:dyDescent="0.25">
      <c r="A1038" s="37" t="str">
        <f>IF(Agent06_Withdrawals!A43="","",Agent06_Withdrawals!A43)</f>
        <v/>
      </c>
      <c r="B1038" s="37" t="str">
        <f ca="1">IF(Agent06_Withdrawals!A43="","","WD"&amp;TEXT(1038-3,"0000")&amp;"-"&amp;TEXT(TODAY(),"YYYYMMDD"))</f>
        <v/>
      </c>
      <c r="C1038" s="37" t="str">
        <f>IF(Agent06_Withdrawals!A43="","",Agent06_Withdrawals!B43)</f>
        <v/>
      </c>
      <c r="D1038" s="40" t="str">
        <f>IF(Agent06_Withdrawals!A43="","",Agent06_Withdrawals!C43)</f>
        <v/>
      </c>
      <c r="E1038" s="38" t="str">
        <f>IF(Agent06_Withdrawals!A43="","",Agent06_Withdrawals!D43)</f>
        <v/>
      </c>
      <c r="F1038" s="37" t="str">
        <f>IF(Agent06_Withdrawals!A43="","",Agent06_Withdrawals!F43)</f>
        <v/>
      </c>
      <c r="G1038" s="39" t="str">
        <f>IF(Agent06_Withdrawals!A43="","",Agent06_Withdrawals!E43)</f>
        <v/>
      </c>
      <c r="H1038" s="39" t="str">
        <f>IF(Agent06_Withdrawals!A43="","",Agent06_Withdrawals!G43)</f>
        <v/>
      </c>
      <c r="I1038" s="37" t="str">
        <f>IF(Agent06_Withdrawals!A43="","",Agent06_Withdrawals!H43)</f>
        <v/>
      </c>
      <c r="J1038" s="37" t="str">
        <f>IF(Agent06_Withdrawals!A43="","",Agent06_Withdrawals!J43)</f>
        <v/>
      </c>
      <c r="K1038" s="37" t="str">
        <f>IF(Agent06_Withdrawals!A43="","",Agent06_Withdrawals!K43)</f>
        <v/>
      </c>
      <c r="L1038" s="37" t="str">
        <f>IF(G1038="","",IF(D1038-G1038&gt;=System_Config!$B$9,"✅ OK","⚠️ BREACH"))</f>
        <v/>
      </c>
      <c r="M1038" s="37" t="str">
        <f>IFERROR(IF(Agent06_Withdrawals!A43="","",YEAR(Agent06_Withdrawals!D43)),"")</f>
        <v/>
      </c>
    </row>
    <row r="1039" spans="1:13" ht="18" customHeight="1" x14ac:dyDescent="0.25">
      <c r="A1039" s="37" t="str">
        <f>IF(Agent06_Withdrawals!A44="","",Agent06_Withdrawals!A44)</f>
        <v/>
      </c>
      <c r="B1039" s="37" t="str">
        <f ca="1">IF(Agent06_Withdrawals!A44="","","WD"&amp;TEXT(1039-3,"0000")&amp;"-"&amp;TEXT(TODAY(),"YYYYMMDD"))</f>
        <v/>
      </c>
      <c r="C1039" s="37" t="str">
        <f>IF(Agent06_Withdrawals!A44="","",Agent06_Withdrawals!B44)</f>
        <v/>
      </c>
      <c r="D1039" s="40" t="str">
        <f>IF(Agent06_Withdrawals!A44="","",Agent06_Withdrawals!C44)</f>
        <v/>
      </c>
      <c r="E1039" s="38" t="str">
        <f>IF(Agent06_Withdrawals!A44="","",Agent06_Withdrawals!D44)</f>
        <v/>
      </c>
      <c r="F1039" s="37" t="str">
        <f>IF(Agent06_Withdrawals!A44="","",Agent06_Withdrawals!F44)</f>
        <v/>
      </c>
      <c r="G1039" s="39" t="str">
        <f>IF(Agent06_Withdrawals!A44="","",Agent06_Withdrawals!E44)</f>
        <v/>
      </c>
      <c r="H1039" s="39" t="str">
        <f>IF(Agent06_Withdrawals!A44="","",Agent06_Withdrawals!G44)</f>
        <v/>
      </c>
      <c r="I1039" s="37" t="str">
        <f>IF(Agent06_Withdrawals!A44="","",Agent06_Withdrawals!H44)</f>
        <v/>
      </c>
      <c r="J1039" s="37" t="str">
        <f>IF(Agent06_Withdrawals!A44="","",Agent06_Withdrawals!J44)</f>
        <v/>
      </c>
      <c r="K1039" s="37" t="str">
        <f>IF(Agent06_Withdrawals!A44="","",Agent06_Withdrawals!K44)</f>
        <v/>
      </c>
      <c r="L1039" s="37" t="str">
        <f>IF(G1039="","",IF(D1039-G1039&gt;=System_Config!$B$9,"✅ OK","⚠️ BREACH"))</f>
        <v/>
      </c>
      <c r="M1039" s="37" t="str">
        <f>IFERROR(IF(Agent06_Withdrawals!A44="","",YEAR(Agent06_Withdrawals!D44)),"")</f>
        <v/>
      </c>
    </row>
    <row r="1040" spans="1:13" ht="18" customHeight="1" x14ac:dyDescent="0.25">
      <c r="A1040" s="37" t="str">
        <f>IF(Agent06_Withdrawals!A45="","",Agent06_Withdrawals!A45)</f>
        <v/>
      </c>
      <c r="B1040" s="37" t="str">
        <f ca="1">IF(Agent06_Withdrawals!A45="","","WD"&amp;TEXT(1040-3,"0000")&amp;"-"&amp;TEXT(TODAY(),"YYYYMMDD"))</f>
        <v/>
      </c>
      <c r="C1040" s="37" t="str">
        <f>IF(Agent06_Withdrawals!A45="","",Agent06_Withdrawals!B45)</f>
        <v/>
      </c>
      <c r="D1040" s="40" t="str">
        <f>IF(Agent06_Withdrawals!A45="","",Agent06_Withdrawals!C45)</f>
        <v/>
      </c>
      <c r="E1040" s="38" t="str">
        <f>IF(Agent06_Withdrawals!A45="","",Agent06_Withdrawals!D45)</f>
        <v/>
      </c>
      <c r="F1040" s="37" t="str">
        <f>IF(Agent06_Withdrawals!A45="","",Agent06_Withdrawals!F45)</f>
        <v/>
      </c>
      <c r="G1040" s="39" t="str">
        <f>IF(Agent06_Withdrawals!A45="","",Agent06_Withdrawals!E45)</f>
        <v/>
      </c>
      <c r="H1040" s="39" t="str">
        <f>IF(Agent06_Withdrawals!A45="","",Agent06_Withdrawals!G45)</f>
        <v/>
      </c>
      <c r="I1040" s="37" t="str">
        <f>IF(Agent06_Withdrawals!A45="","",Agent06_Withdrawals!H45)</f>
        <v/>
      </c>
      <c r="J1040" s="37" t="str">
        <f>IF(Agent06_Withdrawals!A45="","",Agent06_Withdrawals!J45)</f>
        <v/>
      </c>
      <c r="K1040" s="37" t="str">
        <f>IF(Agent06_Withdrawals!A45="","",Agent06_Withdrawals!K45)</f>
        <v/>
      </c>
      <c r="L1040" s="37" t="str">
        <f>IF(G1040="","",IF(D1040-G1040&gt;=System_Config!$B$9,"✅ OK","⚠️ BREACH"))</f>
        <v/>
      </c>
      <c r="M1040" s="37" t="str">
        <f>IFERROR(IF(Agent06_Withdrawals!A45="","",YEAR(Agent06_Withdrawals!D45)),"")</f>
        <v/>
      </c>
    </row>
    <row r="1041" spans="1:13" ht="18" customHeight="1" x14ac:dyDescent="0.25">
      <c r="A1041" s="37" t="str">
        <f>IF(Agent06_Withdrawals!A46="","",Agent06_Withdrawals!A46)</f>
        <v/>
      </c>
      <c r="B1041" s="37" t="str">
        <f ca="1">IF(Agent06_Withdrawals!A46="","","WD"&amp;TEXT(1041-3,"0000")&amp;"-"&amp;TEXT(TODAY(),"YYYYMMDD"))</f>
        <v/>
      </c>
      <c r="C1041" s="37" t="str">
        <f>IF(Agent06_Withdrawals!A46="","",Agent06_Withdrawals!B46)</f>
        <v/>
      </c>
      <c r="D1041" s="40" t="str">
        <f>IF(Agent06_Withdrawals!A46="","",Agent06_Withdrawals!C46)</f>
        <v/>
      </c>
      <c r="E1041" s="38" t="str">
        <f>IF(Agent06_Withdrawals!A46="","",Agent06_Withdrawals!D46)</f>
        <v/>
      </c>
      <c r="F1041" s="37" t="str">
        <f>IF(Agent06_Withdrawals!A46="","",Agent06_Withdrawals!F46)</f>
        <v/>
      </c>
      <c r="G1041" s="39" t="str">
        <f>IF(Agent06_Withdrawals!A46="","",Agent06_Withdrawals!E46)</f>
        <v/>
      </c>
      <c r="H1041" s="39" t="str">
        <f>IF(Agent06_Withdrawals!A46="","",Agent06_Withdrawals!G46)</f>
        <v/>
      </c>
      <c r="I1041" s="37" t="str">
        <f>IF(Agent06_Withdrawals!A46="","",Agent06_Withdrawals!H46)</f>
        <v/>
      </c>
      <c r="J1041" s="37" t="str">
        <f>IF(Agent06_Withdrawals!A46="","",Agent06_Withdrawals!J46)</f>
        <v/>
      </c>
      <c r="K1041" s="37" t="str">
        <f>IF(Agent06_Withdrawals!A46="","",Agent06_Withdrawals!K46)</f>
        <v/>
      </c>
      <c r="L1041" s="37" t="str">
        <f>IF(G1041="","",IF(D1041-G1041&gt;=System_Config!$B$9,"✅ OK","⚠️ BREACH"))</f>
        <v/>
      </c>
      <c r="M1041" s="37" t="str">
        <f>IFERROR(IF(Agent06_Withdrawals!A46="","",YEAR(Agent06_Withdrawals!D46)),"")</f>
        <v/>
      </c>
    </row>
    <row r="1042" spans="1:13" ht="18" customHeight="1" x14ac:dyDescent="0.25">
      <c r="A1042" s="37" t="str">
        <f>IF(Agent06_Withdrawals!A47="","",Agent06_Withdrawals!A47)</f>
        <v/>
      </c>
      <c r="B1042" s="37" t="str">
        <f ca="1">IF(Agent06_Withdrawals!A47="","","WD"&amp;TEXT(1042-3,"0000")&amp;"-"&amp;TEXT(TODAY(),"YYYYMMDD"))</f>
        <v/>
      </c>
      <c r="C1042" s="37" t="str">
        <f>IF(Agent06_Withdrawals!A47="","",Agent06_Withdrawals!B47)</f>
        <v/>
      </c>
      <c r="D1042" s="40" t="str">
        <f>IF(Agent06_Withdrawals!A47="","",Agent06_Withdrawals!C47)</f>
        <v/>
      </c>
      <c r="E1042" s="38" t="str">
        <f>IF(Agent06_Withdrawals!A47="","",Agent06_Withdrawals!D47)</f>
        <v/>
      </c>
      <c r="F1042" s="37" t="str">
        <f>IF(Agent06_Withdrawals!A47="","",Agent06_Withdrawals!F47)</f>
        <v/>
      </c>
      <c r="G1042" s="39" t="str">
        <f>IF(Agent06_Withdrawals!A47="","",Agent06_Withdrawals!E47)</f>
        <v/>
      </c>
      <c r="H1042" s="39" t="str">
        <f>IF(Agent06_Withdrawals!A47="","",Agent06_Withdrawals!G47)</f>
        <v/>
      </c>
      <c r="I1042" s="37" t="str">
        <f>IF(Agent06_Withdrawals!A47="","",Agent06_Withdrawals!H47)</f>
        <v/>
      </c>
      <c r="J1042" s="37" t="str">
        <f>IF(Agent06_Withdrawals!A47="","",Agent06_Withdrawals!J47)</f>
        <v/>
      </c>
      <c r="K1042" s="37" t="str">
        <f>IF(Agent06_Withdrawals!A47="","",Agent06_Withdrawals!K47)</f>
        <v/>
      </c>
      <c r="L1042" s="37" t="str">
        <f>IF(G1042="","",IF(D1042-G1042&gt;=System_Config!$B$9,"✅ OK","⚠️ BREACH"))</f>
        <v/>
      </c>
      <c r="M1042" s="37" t="str">
        <f>IFERROR(IF(Agent06_Withdrawals!A47="","",YEAR(Agent06_Withdrawals!D47)),"")</f>
        <v/>
      </c>
    </row>
    <row r="1043" spans="1:13" ht="18" customHeight="1" x14ac:dyDescent="0.25">
      <c r="A1043" s="37" t="str">
        <f>IF(Agent06_Withdrawals!A48="","",Agent06_Withdrawals!A48)</f>
        <v/>
      </c>
      <c r="B1043" s="37" t="str">
        <f ca="1">IF(Agent06_Withdrawals!A48="","","WD"&amp;TEXT(1043-3,"0000")&amp;"-"&amp;TEXT(TODAY(),"YYYYMMDD"))</f>
        <v/>
      </c>
      <c r="C1043" s="37" t="str">
        <f>IF(Agent06_Withdrawals!A48="","",Agent06_Withdrawals!B48)</f>
        <v/>
      </c>
      <c r="D1043" s="40" t="str">
        <f>IF(Agent06_Withdrawals!A48="","",Agent06_Withdrawals!C48)</f>
        <v/>
      </c>
      <c r="E1043" s="38" t="str">
        <f>IF(Agent06_Withdrawals!A48="","",Agent06_Withdrawals!D48)</f>
        <v/>
      </c>
      <c r="F1043" s="37" t="str">
        <f>IF(Agent06_Withdrawals!A48="","",Agent06_Withdrawals!F48)</f>
        <v/>
      </c>
      <c r="G1043" s="39" t="str">
        <f>IF(Agent06_Withdrawals!A48="","",Agent06_Withdrawals!E48)</f>
        <v/>
      </c>
      <c r="H1043" s="39" t="str">
        <f>IF(Agent06_Withdrawals!A48="","",Agent06_Withdrawals!G48)</f>
        <v/>
      </c>
      <c r="I1043" s="37" t="str">
        <f>IF(Agent06_Withdrawals!A48="","",Agent06_Withdrawals!H48)</f>
        <v/>
      </c>
      <c r="J1043" s="37" t="str">
        <f>IF(Agent06_Withdrawals!A48="","",Agent06_Withdrawals!J48)</f>
        <v/>
      </c>
      <c r="K1043" s="37" t="str">
        <f>IF(Agent06_Withdrawals!A48="","",Agent06_Withdrawals!K48)</f>
        <v/>
      </c>
      <c r="L1043" s="37" t="str">
        <f>IF(G1043="","",IF(D1043-G1043&gt;=System_Config!$B$9,"✅ OK","⚠️ BREACH"))</f>
        <v/>
      </c>
      <c r="M1043" s="37" t="str">
        <f>IFERROR(IF(Agent06_Withdrawals!A48="","",YEAR(Agent06_Withdrawals!D48)),"")</f>
        <v/>
      </c>
    </row>
    <row r="1044" spans="1:13" ht="18" customHeight="1" x14ac:dyDescent="0.25">
      <c r="A1044" s="37" t="str">
        <f>IF(Agent06_Withdrawals!A49="","",Agent06_Withdrawals!A49)</f>
        <v/>
      </c>
      <c r="B1044" s="37" t="str">
        <f ca="1">IF(Agent06_Withdrawals!A49="","","WD"&amp;TEXT(1044-3,"0000")&amp;"-"&amp;TEXT(TODAY(),"YYYYMMDD"))</f>
        <v/>
      </c>
      <c r="C1044" s="37" t="str">
        <f>IF(Agent06_Withdrawals!A49="","",Agent06_Withdrawals!B49)</f>
        <v/>
      </c>
      <c r="D1044" s="40" t="str">
        <f>IF(Agent06_Withdrawals!A49="","",Agent06_Withdrawals!C49)</f>
        <v/>
      </c>
      <c r="E1044" s="38" t="str">
        <f>IF(Agent06_Withdrawals!A49="","",Agent06_Withdrawals!D49)</f>
        <v/>
      </c>
      <c r="F1044" s="37" t="str">
        <f>IF(Agent06_Withdrawals!A49="","",Agent06_Withdrawals!F49)</f>
        <v/>
      </c>
      <c r="G1044" s="39" t="str">
        <f>IF(Agent06_Withdrawals!A49="","",Agent06_Withdrawals!E49)</f>
        <v/>
      </c>
      <c r="H1044" s="39" t="str">
        <f>IF(Agent06_Withdrawals!A49="","",Agent06_Withdrawals!G49)</f>
        <v/>
      </c>
      <c r="I1044" s="37" t="str">
        <f>IF(Agent06_Withdrawals!A49="","",Agent06_Withdrawals!H49)</f>
        <v/>
      </c>
      <c r="J1044" s="37" t="str">
        <f>IF(Agent06_Withdrawals!A49="","",Agent06_Withdrawals!J49)</f>
        <v/>
      </c>
      <c r="K1044" s="37" t="str">
        <f>IF(Agent06_Withdrawals!A49="","",Agent06_Withdrawals!K49)</f>
        <v/>
      </c>
      <c r="L1044" s="37" t="str">
        <f>IF(G1044="","",IF(D1044-G1044&gt;=System_Config!$B$9,"✅ OK","⚠️ BREACH"))</f>
        <v/>
      </c>
      <c r="M1044" s="37" t="str">
        <f>IFERROR(IF(Agent06_Withdrawals!A49="","",YEAR(Agent06_Withdrawals!D49)),"")</f>
        <v/>
      </c>
    </row>
    <row r="1045" spans="1:13" ht="18" customHeight="1" x14ac:dyDescent="0.25">
      <c r="A1045" s="37" t="str">
        <f>IF(Agent06_Withdrawals!A50="","",Agent06_Withdrawals!A50)</f>
        <v/>
      </c>
      <c r="B1045" s="37" t="str">
        <f ca="1">IF(Agent06_Withdrawals!A50="","","WD"&amp;TEXT(1045-3,"0000")&amp;"-"&amp;TEXT(TODAY(),"YYYYMMDD"))</f>
        <v/>
      </c>
      <c r="C1045" s="37" t="str">
        <f>IF(Agent06_Withdrawals!A50="","",Agent06_Withdrawals!B50)</f>
        <v/>
      </c>
      <c r="D1045" s="40" t="str">
        <f>IF(Agent06_Withdrawals!A50="","",Agent06_Withdrawals!C50)</f>
        <v/>
      </c>
      <c r="E1045" s="38" t="str">
        <f>IF(Agent06_Withdrawals!A50="","",Agent06_Withdrawals!D50)</f>
        <v/>
      </c>
      <c r="F1045" s="37" t="str">
        <f>IF(Agent06_Withdrawals!A50="","",Agent06_Withdrawals!F50)</f>
        <v/>
      </c>
      <c r="G1045" s="39" t="str">
        <f>IF(Agent06_Withdrawals!A50="","",Agent06_Withdrawals!E50)</f>
        <v/>
      </c>
      <c r="H1045" s="39" t="str">
        <f>IF(Agent06_Withdrawals!A50="","",Agent06_Withdrawals!G50)</f>
        <v/>
      </c>
      <c r="I1045" s="37" t="str">
        <f>IF(Agent06_Withdrawals!A50="","",Agent06_Withdrawals!H50)</f>
        <v/>
      </c>
      <c r="J1045" s="37" t="str">
        <f>IF(Agent06_Withdrawals!A50="","",Agent06_Withdrawals!J50)</f>
        <v/>
      </c>
      <c r="K1045" s="37" t="str">
        <f>IF(Agent06_Withdrawals!A50="","",Agent06_Withdrawals!K50)</f>
        <v/>
      </c>
      <c r="L1045" s="37" t="str">
        <f>IF(G1045="","",IF(D1045-G1045&gt;=System_Config!$B$9,"✅ OK","⚠️ BREACH"))</f>
        <v/>
      </c>
      <c r="M1045" s="37" t="str">
        <f>IFERROR(IF(Agent06_Withdrawals!A50="","",YEAR(Agent06_Withdrawals!D50)),"")</f>
        <v/>
      </c>
    </row>
    <row r="1046" spans="1:13" ht="18" customHeight="1" x14ac:dyDescent="0.25">
      <c r="A1046" s="37" t="str">
        <f>IF(Agent06_Withdrawals!A51="","",Agent06_Withdrawals!A51)</f>
        <v/>
      </c>
      <c r="B1046" s="37" t="str">
        <f ca="1">IF(Agent06_Withdrawals!A51="","","WD"&amp;TEXT(1046-3,"0000")&amp;"-"&amp;TEXT(TODAY(),"YYYYMMDD"))</f>
        <v/>
      </c>
      <c r="C1046" s="37" t="str">
        <f>IF(Agent06_Withdrawals!A51="","",Agent06_Withdrawals!B51)</f>
        <v/>
      </c>
      <c r="D1046" s="40" t="str">
        <f>IF(Agent06_Withdrawals!A51="","",Agent06_Withdrawals!C51)</f>
        <v/>
      </c>
      <c r="E1046" s="38" t="str">
        <f>IF(Agent06_Withdrawals!A51="","",Agent06_Withdrawals!D51)</f>
        <v/>
      </c>
      <c r="F1046" s="37" t="str">
        <f>IF(Agent06_Withdrawals!A51="","",Agent06_Withdrawals!F51)</f>
        <v/>
      </c>
      <c r="G1046" s="39" t="str">
        <f>IF(Agent06_Withdrawals!A51="","",Agent06_Withdrawals!E51)</f>
        <v/>
      </c>
      <c r="H1046" s="39" t="str">
        <f>IF(Agent06_Withdrawals!A51="","",Agent06_Withdrawals!G51)</f>
        <v/>
      </c>
      <c r="I1046" s="37" t="str">
        <f>IF(Agent06_Withdrawals!A51="","",Agent06_Withdrawals!H51)</f>
        <v/>
      </c>
      <c r="J1046" s="37" t="str">
        <f>IF(Agent06_Withdrawals!A51="","",Agent06_Withdrawals!J51)</f>
        <v/>
      </c>
      <c r="K1046" s="37" t="str">
        <f>IF(Agent06_Withdrawals!A51="","",Agent06_Withdrawals!K51)</f>
        <v/>
      </c>
      <c r="L1046" s="37" t="str">
        <f>IF(G1046="","",IF(D1046-G1046&gt;=System_Config!$B$9,"✅ OK","⚠️ BREACH"))</f>
        <v/>
      </c>
      <c r="M1046" s="37" t="str">
        <f>IFERROR(IF(Agent06_Withdrawals!A51="","",YEAR(Agent06_Withdrawals!D51)),"")</f>
        <v/>
      </c>
    </row>
    <row r="1047" spans="1:13" ht="18" customHeight="1" x14ac:dyDescent="0.25">
      <c r="A1047" s="37" t="str">
        <f>IF(Agent06_Withdrawals!A52="","",Agent06_Withdrawals!A52)</f>
        <v/>
      </c>
      <c r="B1047" s="37" t="str">
        <f ca="1">IF(Agent06_Withdrawals!A52="","","WD"&amp;TEXT(1047-3,"0000")&amp;"-"&amp;TEXT(TODAY(),"YYYYMMDD"))</f>
        <v/>
      </c>
      <c r="C1047" s="37" t="str">
        <f>IF(Agent06_Withdrawals!A52="","",Agent06_Withdrawals!B52)</f>
        <v/>
      </c>
      <c r="D1047" s="40" t="str">
        <f>IF(Agent06_Withdrawals!A52="","",Agent06_Withdrawals!C52)</f>
        <v/>
      </c>
      <c r="E1047" s="38" t="str">
        <f>IF(Agent06_Withdrawals!A52="","",Agent06_Withdrawals!D52)</f>
        <v/>
      </c>
      <c r="F1047" s="37" t="str">
        <f>IF(Agent06_Withdrawals!A52="","",Agent06_Withdrawals!F52)</f>
        <v/>
      </c>
      <c r="G1047" s="39" t="str">
        <f>IF(Agent06_Withdrawals!A52="","",Agent06_Withdrawals!E52)</f>
        <v/>
      </c>
      <c r="H1047" s="39" t="str">
        <f>IF(Agent06_Withdrawals!A52="","",Agent06_Withdrawals!G52)</f>
        <v/>
      </c>
      <c r="I1047" s="37" t="str">
        <f>IF(Agent06_Withdrawals!A52="","",Agent06_Withdrawals!H52)</f>
        <v/>
      </c>
      <c r="J1047" s="37" t="str">
        <f>IF(Agent06_Withdrawals!A52="","",Agent06_Withdrawals!J52)</f>
        <v/>
      </c>
      <c r="K1047" s="37" t="str">
        <f>IF(Agent06_Withdrawals!A52="","",Agent06_Withdrawals!K52)</f>
        <v/>
      </c>
      <c r="L1047" s="37" t="str">
        <f>IF(G1047="","",IF(D1047-G1047&gt;=System_Config!$B$9,"✅ OK","⚠️ BREACH"))</f>
        <v/>
      </c>
      <c r="M1047" s="37" t="str">
        <f>IFERROR(IF(Agent06_Withdrawals!A52="","",YEAR(Agent06_Withdrawals!D52)),"")</f>
        <v/>
      </c>
    </row>
    <row r="1048" spans="1:13" ht="18" customHeight="1" x14ac:dyDescent="0.25">
      <c r="A1048" s="37" t="str">
        <f>IF(Agent06_Withdrawals!A53="","",Agent06_Withdrawals!A53)</f>
        <v/>
      </c>
      <c r="B1048" s="37" t="str">
        <f ca="1">IF(Agent06_Withdrawals!A53="","","WD"&amp;TEXT(1048-3,"0000")&amp;"-"&amp;TEXT(TODAY(),"YYYYMMDD"))</f>
        <v/>
      </c>
      <c r="C1048" s="37" t="str">
        <f>IF(Agent06_Withdrawals!A53="","",Agent06_Withdrawals!B53)</f>
        <v/>
      </c>
      <c r="D1048" s="40" t="str">
        <f>IF(Agent06_Withdrawals!A53="","",Agent06_Withdrawals!C53)</f>
        <v/>
      </c>
      <c r="E1048" s="38" t="str">
        <f>IF(Agent06_Withdrawals!A53="","",Agent06_Withdrawals!D53)</f>
        <v/>
      </c>
      <c r="F1048" s="37" t="str">
        <f>IF(Agent06_Withdrawals!A53="","",Agent06_Withdrawals!F53)</f>
        <v/>
      </c>
      <c r="G1048" s="39" t="str">
        <f>IF(Agent06_Withdrawals!A53="","",Agent06_Withdrawals!E53)</f>
        <v/>
      </c>
      <c r="H1048" s="39" t="str">
        <f>IF(Agent06_Withdrawals!A53="","",Agent06_Withdrawals!G53)</f>
        <v/>
      </c>
      <c r="I1048" s="37" t="str">
        <f>IF(Agent06_Withdrawals!A53="","",Agent06_Withdrawals!H53)</f>
        <v/>
      </c>
      <c r="J1048" s="37" t="str">
        <f>IF(Agent06_Withdrawals!A53="","",Agent06_Withdrawals!J53)</f>
        <v/>
      </c>
      <c r="K1048" s="37" t="str">
        <f>IF(Agent06_Withdrawals!A53="","",Agent06_Withdrawals!K53)</f>
        <v/>
      </c>
      <c r="L1048" s="37" t="str">
        <f>IF(G1048="","",IF(D1048-G1048&gt;=System_Config!$B$9,"✅ OK","⚠️ BREACH"))</f>
        <v/>
      </c>
      <c r="M1048" s="37" t="str">
        <f>IFERROR(IF(Agent06_Withdrawals!A53="","",YEAR(Agent06_Withdrawals!D53)),"")</f>
        <v/>
      </c>
    </row>
    <row r="1049" spans="1:13" ht="18" customHeight="1" x14ac:dyDescent="0.25">
      <c r="A1049" s="37" t="str">
        <f>IF(Agent06_Withdrawals!A54="","",Agent06_Withdrawals!A54)</f>
        <v/>
      </c>
      <c r="B1049" s="37" t="str">
        <f ca="1">IF(Agent06_Withdrawals!A54="","","WD"&amp;TEXT(1049-3,"0000")&amp;"-"&amp;TEXT(TODAY(),"YYYYMMDD"))</f>
        <v/>
      </c>
      <c r="C1049" s="37" t="str">
        <f>IF(Agent06_Withdrawals!A54="","",Agent06_Withdrawals!B54)</f>
        <v/>
      </c>
      <c r="D1049" s="40" t="str">
        <f>IF(Agent06_Withdrawals!A54="","",Agent06_Withdrawals!C54)</f>
        <v/>
      </c>
      <c r="E1049" s="38" t="str">
        <f>IF(Agent06_Withdrawals!A54="","",Agent06_Withdrawals!D54)</f>
        <v/>
      </c>
      <c r="F1049" s="37" t="str">
        <f>IF(Agent06_Withdrawals!A54="","",Agent06_Withdrawals!F54)</f>
        <v/>
      </c>
      <c r="G1049" s="39" t="str">
        <f>IF(Agent06_Withdrawals!A54="","",Agent06_Withdrawals!E54)</f>
        <v/>
      </c>
      <c r="H1049" s="39" t="str">
        <f>IF(Agent06_Withdrawals!A54="","",Agent06_Withdrawals!G54)</f>
        <v/>
      </c>
      <c r="I1049" s="37" t="str">
        <f>IF(Agent06_Withdrawals!A54="","",Agent06_Withdrawals!H54)</f>
        <v/>
      </c>
      <c r="J1049" s="37" t="str">
        <f>IF(Agent06_Withdrawals!A54="","",Agent06_Withdrawals!J54)</f>
        <v/>
      </c>
      <c r="K1049" s="37" t="str">
        <f>IF(Agent06_Withdrawals!A54="","",Agent06_Withdrawals!K54)</f>
        <v/>
      </c>
      <c r="L1049" s="37" t="str">
        <f>IF(G1049="","",IF(D1049-G1049&gt;=System_Config!$B$9,"✅ OK","⚠️ BREACH"))</f>
        <v/>
      </c>
      <c r="M1049" s="37" t="str">
        <f>IFERROR(IF(Agent06_Withdrawals!A54="","",YEAR(Agent06_Withdrawals!D54)),"")</f>
        <v/>
      </c>
    </row>
    <row r="1050" spans="1:13" ht="18" customHeight="1" x14ac:dyDescent="0.25">
      <c r="A1050" s="37" t="str">
        <f>IF(Agent06_Withdrawals!A55="","",Agent06_Withdrawals!A55)</f>
        <v/>
      </c>
      <c r="B1050" s="37" t="str">
        <f ca="1">IF(Agent06_Withdrawals!A55="","","WD"&amp;TEXT(1050-3,"0000")&amp;"-"&amp;TEXT(TODAY(),"YYYYMMDD"))</f>
        <v/>
      </c>
      <c r="C1050" s="37" t="str">
        <f>IF(Agent06_Withdrawals!A55="","",Agent06_Withdrawals!B55)</f>
        <v/>
      </c>
      <c r="D1050" s="40" t="str">
        <f>IF(Agent06_Withdrawals!A55="","",Agent06_Withdrawals!C55)</f>
        <v/>
      </c>
      <c r="E1050" s="38" t="str">
        <f>IF(Agent06_Withdrawals!A55="","",Agent06_Withdrawals!D55)</f>
        <v/>
      </c>
      <c r="F1050" s="37" t="str">
        <f>IF(Agent06_Withdrawals!A55="","",Agent06_Withdrawals!F55)</f>
        <v/>
      </c>
      <c r="G1050" s="39" t="str">
        <f>IF(Agent06_Withdrawals!A55="","",Agent06_Withdrawals!E55)</f>
        <v/>
      </c>
      <c r="H1050" s="39" t="str">
        <f>IF(Agent06_Withdrawals!A55="","",Agent06_Withdrawals!G55)</f>
        <v/>
      </c>
      <c r="I1050" s="37" t="str">
        <f>IF(Agent06_Withdrawals!A55="","",Agent06_Withdrawals!H55)</f>
        <v/>
      </c>
      <c r="J1050" s="37" t="str">
        <f>IF(Agent06_Withdrawals!A55="","",Agent06_Withdrawals!J55)</f>
        <v/>
      </c>
      <c r="K1050" s="37" t="str">
        <f>IF(Agent06_Withdrawals!A55="","",Agent06_Withdrawals!K55)</f>
        <v/>
      </c>
      <c r="L1050" s="37" t="str">
        <f>IF(G1050="","",IF(D1050-G1050&gt;=System_Config!$B$9,"✅ OK","⚠️ BREACH"))</f>
        <v/>
      </c>
      <c r="M1050" s="37" t="str">
        <f>IFERROR(IF(Agent06_Withdrawals!A55="","",YEAR(Agent06_Withdrawals!D55)),"")</f>
        <v/>
      </c>
    </row>
    <row r="1051" spans="1:13" ht="18" customHeight="1" x14ac:dyDescent="0.25">
      <c r="A1051" s="37" t="str">
        <f>IF(Agent06_Withdrawals!A56="","",Agent06_Withdrawals!A56)</f>
        <v/>
      </c>
      <c r="B1051" s="37" t="str">
        <f ca="1">IF(Agent06_Withdrawals!A56="","","WD"&amp;TEXT(1051-3,"0000")&amp;"-"&amp;TEXT(TODAY(),"YYYYMMDD"))</f>
        <v/>
      </c>
      <c r="C1051" s="37" t="str">
        <f>IF(Agent06_Withdrawals!A56="","",Agent06_Withdrawals!B56)</f>
        <v/>
      </c>
      <c r="D1051" s="40" t="str">
        <f>IF(Agent06_Withdrawals!A56="","",Agent06_Withdrawals!C56)</f>
        <v/>
      </c>
      <c r="E1051" s="38" t="str">
        <f>IF(Agent06_Withdrawals!A56="","",Agent06_Withdrawals!D56)</f>
        <v/>
      </c>
      <c r="F1051" s="37" t="str">
        <f>IF(Agent06_Withdrawals!A56="","",Agent06_Withdrawals!F56)</f>
        <v/>
      </c>
      <c r="G1051" s="39" t="str">
        <f>IF(Agent06_Withdrawals!A56="","",Agent06_Withdrawals!E56)</f>
        <v/>
      </c>
      <c r="H1051" s="39" t="str">
        <f>IF(Agent06_Withdrawals!A56="","",Agent06_Withdrawals!G56)</f>
        <v/>
      </c>
      <c r="I1051" s="37" t="str">
        <f>IF(Agent06_Withdrawals!A56="","",Agent06_Withdrawals!H56)</f>
        <v/>
      </c>
      <c r="J1051" s="37" t="str">
        <f>IF(Agent06_Withdrawals!A56="","",Agent06_Withdrawals!J56)</f>
        <v/>
      </c>
      <c r="K1051" s="37" t="str">
        <f>IF(Agent06_Withdrawals!A56="","",Agent06_Withdrawals!K56)</f>
        <v/>
      </c>
      <c r="L1051" s="37" t="str">
        <f>IF(G1051="","",IF(D1051-G1051&gt;=System_Config!$B$9,"✅ OK","⚠️ BREACH"))</f>
        <v/>
      </c>
      <c r="M1051" s="37" t="str">
        <f>IFERROR(IF(Agent06_Withdrawals!A56="","",YEAR(Agent06_Withdrawals!D56)),"")</f>
        <v/>
      </c>
    </row>
    <row r="1052" spans="1:13" ht="18" customHeight="1" x14ac:dyDescent="0.25">
      <c r="A1052" s="37" t="str">
        <f>IF(Agent06_Withdrawals!A57="","",Agent06_Withdrawals!A57)</f>
        <v/>
      </c>
      <c r="B1052" s="37" t="str">
        <f ca="1">IF(Agent06_Withdrawals!A57="","","WD"&amp;TEXT(1052-3,"0000")&amp;"-"&amp;TEXT(TODAY(),"YYYYMMDD"))</f>
        <v/>
      </c>
      <c r="C1052" s="37" t="str">
        <f>IF(Agent06_Withdrawals!A57="","",Agent06_Withdrawals!B57)</f>
        <v/>
      </c>
      <c r="D1052" s="40" t="str">
        <f>IF(Agent06_Withdrawals!A57="","",Agent06_Withdrawals!C57)</f>
        <v/>
      </c>
      <c r="E1052" s="38" t="str">
        <f>IF(Agent06_Withdrawals!A57="","",Agent06_Withdrawals!D57)</f>
        <v/>
      </c>
      <c r="F1052" s="37" t="str">
        <f>IF(Agent06_Withdrawals!A57="","",Agent06_Withdrawals!F57)</f>
        <v/>
      </c>
      <c r="G1052" s="39" t="str">
        <f>IF(Agent06_Withdrawals!A57="","",Agent06_Withdrawals!E57)</f>
        <v/>
      </c>
      <c r="H1052" s="39" t="str">
        <f>IF(Agent06_Withdrawals!A57="","",Agent06_Withdrawals!G57)</f>
        <v/>
      </c>
      <c r="I1052" s="37" t="str">
        <f>IF(Agent06_Withdrawals!A57="","",Agent06_Withdrawals!H57)</f>
        <v/>
      </c>
      <c r="J1052" s="37" t="str">
        <f>IF(Agent06_Withdrawals!A57="","",Agent06_Withdrawals!J57)</f>
        <v/>
      </c>
      <c r="K1052" s="37" t="str">
        <f>IF(Agent06_Withdrawals!A57="","",Agent06_Withdrawals!K57)</f>
        <v/>
      </c>
      <c r="L1052" s="37" t="str">
        <f>IF(G1052="","",IF(D1052-G1052&gt;=System_Config!$B$9,"✅ OK","⚠️ BREACH"))</f>
        <v/>
      </c>
      <c r="M1052" s="37" t="str">
        <f>IFERROR(IF(Agent06_Withdrawals!A57="","",YEAR(Agent06_Withdrawals!D57)),"")</f>
        <v/>
      </c>
    </row>
    <row r="1053" spans="1:13" ht="18" customHeight="1" x14ac:dyDescent="0.25">
      <c r="A1053" s="37" t="str">
        <f>IF(Agent06_Withdrawals!A58="","",Agent06_Withdrawals!A58)</f>
        <v/>
      </c>
      <c r="B1053" s="37" t="str">
        <f ca="1">IF(Agent06_Withdrawals!A58="","","WD"&amp;TEXT(1053-3,"0000")&amp;"-"&amp;TEXT(TODAY(),"YYYYMMDD"))</f>
        <v/>
      </c>
      <c r="C1053" s="37" t="str">
        <f>IF(Agent06_Withdrawals!A58="","",Agent06_Withdrawals!B58)</f>
        <v/>
      </c>
      <c r="D1053" s="40" t="str">
        <f>IF(Agent06_Withdrawals!A58="","",Agent06_Withdrawals!C58)</f>
        <v/>
      </c>
      <c r="E1053" s="38" t="str">
        <f>IF(Agent06_Withdrawals!A58="","",Agent06_Withdrawals!D58)</f>
        <v/>
      </c>
      <c r="F1053" s="37" t="str">
        <f>IF(Agent06_Withdrawals!A58="","",Agent06_Withdrawals!F58)</f>
        <v/>
      </c>
      <c r="G1053" s="39" t="str">
        <f>IF(Agent06_Withdrawals!A58="","",Agent06_Withdrawals!E58)</f>
        <v/>
      </c>
      <c r="H1053" s="39" t="str">
        <f>IF(Agent06_Withdrawals!A58="","",Agent06_Withdrawals!G58)</f>
        <v/>
      </c>
      <c r="I1053" s="37" t="str">
        <f>IF(Agent06_Withdrawals!A58="","",Agent06_Withdrawals!H58)</f>
        <v/>
      </c>
      <c r="J1053" s="37" t="str">
        <f>IF(Agent06_Withdrawals!A58="","",Agent06_Withdrawals!J58)</f>
        <v/>
      </c>
      <c r="K1053" s="37" t="str">
        <f>IF(Agent06_Withdrawals!A58="","",Agent06_Withdrawals!K58)</f>
        <v/>
      </c>
      <c r="L1053" s="37" t="str">
        <f>IF(G1053="","",IF(D1053-G1053&gt;=System_Config!$B$9,"✅ OK","⚠️ BREACH"))</f>
        <v/>
      </c>
      <c r="M1053" s="37" t="str">
        <f>IFERROR(IF(Agent06_Withdrawals!A58="","",YEAR(Agent06_Withdrawals!D58)),"")</f>
        <v/>
      </c>
    </row>
    <row r="1054" spans="1:13" ht="18" customHeight="1" x14ac:dyDescent="0.25">
      <c r="A1054" s="37" t="str">
        <f>IF(Agent06_Withdrawals!A59="","",Agent06_Withdrawals!A59)</f>
        <v/>
      </c>
      <c r="B1054" s="37" t="str">
        <f ca="1">IF(Agent06_Withdrawals!A59="","","WD"&amp;TEXT(1054-3,"0000")&amp;"-"&amp;TEXT(TODAY(),"YYYYMMDD"))</f>
        <v/>
      </c>
      <c r="C1054" s="37" t="str">
        <f>IF(Agent06_Withdrawals!A59="","",Agent06_Withdrawals!B59)</f>
        <v/>
      </c>
      <c r="D1054" s="40" t="str">
        <f>IF(Agent06_Withdrawals!A59="","",Agent06_Withdrawals!C59)</f>
        <v/>
      </c>
      <c r="E1054" s="38" t="str">
        <f>IF(Agent06_Withdrawals!A59="","",Agent06_Withdrawals!D59)</f>
        <v/>
      </c>
      <c r="F1054" s="37" t="str">
        <f>IF(Agent06_Withdrawals!A59="","",Agent06_Withdrawals!F59)</f>
        <v/>
      </c>
      <c r="G1054" s="39" t="str">
        <f>IF(Agent06_Withdrawals!A59="","",Agent06_Withdrawals!E59)</f>
        <v/>
      </c>
      <c r="H1054" s="39" t="str">
        <f>IF(Agent06_Withdrawals!A59="","",Agent06_Withdrawals!G59)</f>
        <v/>
      </c>
      <c r="I1054" s="37" t="str">
        <f>IF(Agent06_Withdrawals!A59="","",Agent06_Withdrawals!H59)</f>
        <v/>
      </c>
      <c r="J1054" s="37" t="str">
        <f>IF(Agent06_Withdrawals!A59="","",Agent06_Withdrawals!J59)</f>
        <v/>
      </c>
      <c r="K1054" s="37" t="str">
        <f>IF(Agent06_Withdrawals!A59="","",Agent06_Withdrawals!K59)</f>
        <v/>
      </c>
      <c r="L1054" s="37" t="str">
        <f>IF(G1054="","",IF(D1054-G1054&gt;=System_Config!$B$9,"✅ OK","⚠️ BREACH"))</f>
        <v/>
      </c>
      <c r="M1054" s="37" t="str">
        <f>IFERROR(IF(Agent06_Withdrawals!A59="","",YEAR(Agent06_Withdrawals!D59)),"")</f>
        <v/>
      </c>
    </row>
    <row r="1055" spans="1:13" ht="18" customHeight="1" x14ac:dyDescent="0.25">
      <c r="A1055" s="37" t="str">
        <f>IF(Agent06_Withdrawals!A60="","",Agent06_Withdrawals!A60)</f>
        <v/>
      </c>
      <c r="B1055" s="37" t="str">
        <f ca="1">IF(Agent06_Withdrawals!A60="","","WD"&amp;TEXT(1055-3,"0000")&amp;"-"&amp;TEXT(TODAY(),"YYYYMMDD"))</f>
        <v/>
      </c>
      <c r="C1055" s="37" t="str">
        <f>IF(Agent06_Withdrawals!A60="","",Agent06_Withdrawals!B60)</f>
        <v/>
      </c>
      <c r="D1055" s="40" t="str">
        <f>IF(Agent06_Withdrawals!A60="","",Agent06_Withdrawals!C60)</f>
        <v/>
      </c>
      <c r="E1055" s="38" t="str">
        <f>IF(Agent06_Withdrawals!A60="","",Agent06_Withdrawals!D60)</f>
        <v/>
      </c>
      <c r="F1055" s="37" t="str">
        <f>IF(Agent06_Withdrawals!A60="","",Agent06_Withdrawals!F60)</f>
        <v/>
      </c>
      <c r="G1055" s="39" t="str">
        <f>IF(Agent06_Withdrawals!A60="","",Agent06_Withdrawals!E60)</f>
        <v/>
      </c>
      <c r="H1055" s="39" t="str">
        <f>IF(Agent06_Withdrawals!A60="","",Agent06_Withdrawals!G60)</f>
        <v/>
      </c>
      <c r="I1055" s="37" t="str">
        <f>IF(Agent06_Withdrawals!A60="","",Agent06_Withdrawals!H60)</f>
        <v/>
      </c>
      <c r="J1055" s="37" t="str">
        <f>IF(Agent06_Withdrawals!A60="","",Agent06_Withdrawals!J60)</f>
        <v/>
      </c>
      <c r="K1055" s="37" t="str">
        <f>IF(Agent06_Withdrawals!A60="","",Agent06_Withdrawals!K60)</f>
        <v/>
      </c>
      <c r="L1055" s="37" t="str">
        <f>IF(G1055="","",IF(D1055-G1055&gt;=System_Config!$B$9,"✅ OK","⚠️ BREACH"))</f>
        <v/>
      </c>
      <c r="M1055" s="37" t="str">
        <f>IFERROR(IF(Agent06_Withdrawals!A60="","",YEAR(Agent06_Withdrawals!D60)),"")</f>
        <v/>
      </c>
    </row>
    <row r="1056" spans="1:13" ht="18" customHeight="1" x14ac:dyDescent="0.25">
      <c r="A1056" s="37" t="str">
        <f>IF(Agent06_Withdrawals!A61="","",Agent06_Withdrawals!A61)</f>
        <v/>
      </c>
      <c r="B1056" s="37" t="str">
        <f ca="1">IF(Agent06_Withdrawals!A61="","","WD"&amp;TEXT(1056-3,"0000")&amp;"-"&amp;TEXT(TODAY(),"YYYYMMDD"))</f>
        <v/>
      </c>
      <c r="C1056" s="37" t="str">
        <f>IF(Agent06_Withdrawals!A61="","",Agent06_Withdrawals!B61)</f>
        <v/>
      </c>
      <c r="D1056" s="40" t="str">
        <f>IF(Agent06_Withdrawals!A61="","",Agent06_Withdrawals!C61)</f>
        <v/>
      </c>
      <c r="E1056" s="38" t="str">
        <f>IF(Agent06_Withdrawals!A61="","",Agent06_Withdrawals!D61)</f>
        <v/>
      </c>
      <c r="F1056" s="37" t="str">
        <f>IF(Agent06_Withdrawals!A61="","",Agent06_Withdrawals!F61)</f>
        <v/>
      </c>
      <c r="G1056" s="39" t="str">
        <f>IF(Agent06_Withdrawals!A61="","",Agent06_Withdrawals!E61)</f>
        <v/>
      </c>
      <c r="H1056" s="39" t="str">
        <f>IF(Agent06_Withdrawals!A61="","",Agent06_Withdrawals!G61)</f>
        <v/>
      </c>
      <c r="I1056" s="37" t="str">
        <f>IF(Agent06_Withdrawals!A61="","",Agent06_Withdrawals!H61)</f>
        <v/>
      </c>
      <c r="J1056" s="37" t="str">
        <f>IF(Agent06_Withdrawals!A61="","",Agent06_Withdrawals!J61)</f>
        <v/>
      </c>
      <c r="K1056" s="37" t="str">
        <f>IF(Agent06_Withdrawals!A61="","",Agent06_Withdrawals!K61)</f>
        <v/>
      </c>
      <c r="L1056" s="37" t="str">
        <f>IF(G1056="","",IF(D1056-G1056&gt;=System_Config!$B$9,"✅ OK","⚠️ BREACH"))</f>
        <v/>
      </c>
      <c r="M1056" s="37" t="str">
        <f>IFERROR(IF(Agent06_Withdrawals!A61="","",YEAR(Agent06_Withdrawals!D61)),"")</f>
        <v/>
      </c>
    </row>
    <row r="1057" spans="1:13" ht="18" customHeight="1" x14ac:dyDescent="0.25">
      <c r="A1057" s="37" t="str">
        <f>IF(Agent06_Withdrawals!A62="","",Agent06_Withdrawals!A62)</f>
        <v/>
      </c>
      <c r="B1057" s="37" t="str">
        <f ca="1">IF(Agent06_Withdrawals!A62="","","WD"&amp;TEXT(1057-3,"0000")&amp;"-"&amp;TEXT(TODAY(),"YYYYMMDD"))</f>
        <v/>
      </c>
      <c r="C1057" s="37" t="str">
        <f>IF(Agent06_Withdrawals!A62="","",Agent06_Withdrawals!B62)</f>
        <v/>
      </c>
      <c r="D1057" s="40" t="str">
        <f>IF(Agent06_Withdrawals!A62="","",Agent06_Withdrawals!C62)</f>
        <v/>
      </c>
      <c r="E1057" s="38" t="str">
        <f>IF(Agent06_Withdrawals!A62="","",Agent06_Withdrawals!D62)</f>
        <v/>
      </c>
      <c r="F1057" s="37" t="str">
        <f>IF(Agent06_Withdrawals!A62="","",Agent06_Withdrawals!F62)</f>
        <v/>
      </c>
      <c r="G1057" s="39" t="str">
        <f>IF(Agent06_Withdrawals!A62="","",Agent06_Withdrawals!E62)</f>
        <v/>
      </c>
      <c r="H1057" s="39" t="str">
        <f>IF(Agent06_Withdrawals!A62="","",Agent06_Withdrawals!G62)</f>
        <v/>
      </c>
      <c r="I1057" s="37" t="str">
        <f>IF(Agent06_Withdrawals!A62="","",Agent06_Withdrawals!H62)</f>
        <v/>
      </c>
      <c r="J1057" s="37" t="str">
        <f>IF(Agent06_Withdrawals!A62="","",Agent06_Withdrawals!J62)</f>
        <v/>
      </c>
      <c r="K1057" s="37" t="str">
        <f>IF(Agent06_Withdrawals!A62="","",Agent06_Withdrawals!K62)</f>
        <v/>
      </c>
      <c r="L1057" s="37" t="str">
        <f>IF(G1057="","",IF(D1057-G1057&gt;=System_Config!$B$9,"✅ OK","⚠️ BREACH"))</f>
        <v/>
      </c>
      <c r="M1057" s="37" t="str">
        <f>IFERROR(IF(Agent06_Withdrawals!A62="","",YEAR(Agent06_Withdrawals!D62)),"")</f>
        <v/>
      </c>
    </row>
    <row r="1058" spans="1:13" ht="18" customHeight="1" x14ac:dyDescent="0.25">
      <c r="A1058" s="37" t="str">
        <f>IF(Agent06_Withdrawals!A63="","",Agent06_Withdrawals!A63)</f>
        <v/>
      </c>
      <c r="B1058" s="37" t="str">
        <f ca="1">IF(Agent06_Withdrawals!A63="","","WD"&amp;TEXT(1058-3,"0000")&amp;"-"&amp;TEXT(TODAY(),"YYYYMMDD"))</f>
        <v/>
      </c>
      <c r="C1058" s="37" t="str">
        <f>IF(Agent06_Withdrawals!A63="","",Agent06_Withdrawals!B63)</f>
        <v/>
      </c>
      <c r="D1058" s="40" t="str">
        <f>IF(Agent06_Withdrawals!A63="","",Agent06_Withdrawals!C63)</f>
        <v/>
      </c>
      <c r="E1058" s="38" t="str">
        <f>IF(Agent06_Withdrawals!A63="","",Agent06_Withdrawals!D63)</f>
        <v/>
      </c>
      <c r="F1058" s="37" t="str">
        <f>IF(Agent06_Withdrawals!A63="","",Agent06_Withdrawals!F63)</f>
        <v/>
      </c>
      <c r="G1058" s="39" t="str">
        <f>IF(Agent06_Withdrawals!A63="","",Agent06_Withdrawals!E63)</f>
        <v/>
      </c>
      <c r="H1058" s="39" t="str">
        <f>IF(Agent06_Withdrawals!A63="","",Agent06_Withdrawals!G63)</f>
        <v/>
      </c>
      <c r="I1058" s="37" t="str">
        <f>IF(Agent06_Withdrawals!A63="","",Agent06_Withdrawals!H63)</f>
        <v/>
      </c>
      <c r="J1058" s="37" t="str">
        <f>IF(Agent06_Withdrawals!A63="","",Agent06_Withdrawals!J63)</f>
        <v/>
      </c>
      <c r="K1058" s="37" t="str">
        <f>IF(Agent06_Withdrawals!A63="","",Agent06_Withdrawals!K63)</f>
        <v/>
      </c>
      <c r="L1058" s="37" t="str">
        <f>IF(G1058="","",IF(D1058-G1058&gt;=System_Config!$B$9,"✅ OK","⚠️ BREACH"))</f>
        <v/>
      </c>
      <c r="M1058" s="37" t="str">
        <f>IFERROR(IF(Agent06_Withdrawals!A63="","",YEAR(Agent06_Withdrawals!D63)),"")</f>
        <v/>
      </c>
    </row>
    <row r="1059" spans="1:13" ht="18" customHeight="1" x14ac:dyDescent="0.25">
      <c r="A1059" s="37" t="str">
        <f>IF(Agent06_Withdrawals!A64="","",Agent06_Withdrawals!A64)</f>
        <v/>
      </c>
      <c r="B1059" s="37" t="str">
        <f ca="1">IF(Agent06_Withdrawals!A64="","","WD"&amp;TEXT(1059-3,"0000")&amp;"-"&amp;TEXT(TODAY(),"YYYYMMDD"))</f>
        <v/>
      </c>
      <c r="C1059" s="37" t="str">
        <f>IF(Agent06_Withdrawals!A64="","",Agent06_Withdrawals!B64)</f>
        <v/>
      </c>
      <c r="D1059" s="40" t="str">
        <f>IF(Agent06_Withdrawals!A64="","",Agent06_Withdrawals!C64)</f>
        <v/>
      </c>
      <c r="E1059" s="38" t="str">
        <f>IF(Agent06_Withdrawals!A64="","",Agent06_Withdrawals!D64)</f>
        <v/>
      </c>
      <c r="F1059" s="37" t="str">
        <f>IF(Agent06_Withdrawals!A64="","",Agent06_Withdrawals!F64)</f>
        <v/>
      </c>
      <c r="G1059" s="39" t="str">
        <f>IF(Agent06_Withdrawals!A64="","",Agent06_Withdrawals!E64)</f>
        <v/>
      </c>
      <c r="H1059" s="39" t="str">
        <f>IF(Agent06_Withdrawals!A64="","",Agent06_Withdrawals!G64)</f>
        <v/>
      </c>
      <c r="I1059" s="37" t="str">
        <f>IF(Agent06_Withdrawals!A64="","",Agent06_Withdrawals!H64)</f>
        <v/>
      </c>
      <c r="J1059" s="37" t="str">
        <f>IF(Agent06_Withdrawals!A64="","",Agent06_Withdrawals!J64)</f>
        <v/>
      </c>
      <c r="K1059" s="37" t="str">
        <f>IF(Agent06_Withdrawals!A64="","",Agent06_Withdrawals!K64)</f>
        <v/>
      </c>
      <c r="L1059" s="37" t="str">
        <f>IF(G1059="","",IF(D1059-G1059&gt;=System_Config!$B$9,"✅ OK","⚠️ BREACH"))</f>
        <v/>
      </c>
      <c r="M1059" s="37" t="str">
        <f>IFERROR(IF(Agent06_Withdrawals!A64="","",YEAR(Agent06_Withdrawals!D64)),"")</f>
        <v/>
      </c>
    </row>
    <row r="1060" spans="1:13" ht="18" customHeight="1" x14ac:dyDescent="0.25">
      <c r="A1060" s="37" t="str">
        <f>IF(Agent06_Withdrawals!A65="","",Agent06_Withdrawals!A65)</f>
        <v/>
      </c>
      <c r="B1060" s="37" t="str">
        <f ca="1">IF(Agent06_Withdrawals!A65="","","WD"&amp;TEXT(1060-3,"0000")&amp;"-"&amp;TEXT(TODAY(),"YYYYMMDD"))</f>
        <v/>
      </c>
      <c r="C1060" s="37" t="str">
        <f>IF(Agent06_Withdrawals!A65="","",Agent06_Withdrawals!B65)</f>
        <v/>
      </c>
      <c r="D1060" s="40" t="str">
        <f>IF(Agent06_Withdrawals!A65="","",Agent06_Withdrawals!C65)</f>
        <v/>
      </c>
      <c r="E1060" s="38" t="str">
        <f>IF(Agent06_Withdrawals!A65="","",Agent06_Withdrawals!D65)</f>
        <v/>
      </c>
      <c r="F1060" s="37" t="str">
        <f>IF(Agent06_Withdrawals!A65="","",Agent06_Withdrawals!F65)</f>
        <v/>
      </c>
      <c r="G1060" s="39" t="str">
        <f>IF(Agent06_Withdrawals!A65="","",Agent06_Withdrawals!E65)</f>
        <v/>
      </c>
      <c r="H1060" s="39" t="str">
        <f>IF(Agent06_Withdrawals!A65="","",Agent06_Withdrawals!G65)</f>
        <v/>
      </c>
      <c r="I1060" s="37" t="str">
        <f>IF(Agent06_Withdrawals!A65="","",Agent06_Withdrawals!H65)</f>
        <v/>
      </c>
      <c r="J1060" s="37" t="str">
        <f>IF(Agent06_Withdrawals!A65="","",Agent06_Withdrawals!J65)</f>
        <v/>
      </c>
      <c r="K1060" s="37" t="str">
        <f>IF(Agent06_Withdrawals!A65="","",Agent06_Withdrawals!K65)</f>
        <v/>
      </c>
      <c r="L1060" s="37" t="str">
        <f>IF(G1060="","",IF(D1060-G1060&gt;=System_Config!$B$9,"✅ OK","⚠️ BREACH"))</f>
        <v/>
      </c>
      <c r="M1060" s="37" t="str">
        <f>IFERROR(IF(Agent06_Withdrawals!A65="","",YEAR(Agent06_Withdrawals!D65)),"")</f>
        <v/>
      </c>
    </row>
    <row r="1061" spans="1:13" ht="18" customHeight="1" x14ac:dyDescent="0.25">
      <c r="A1061" s="37" t="str">
        <f>IF(Agent06_Withdrawals!A66="","",Agent06_Withdrawals!A66)</f>
        <v/>
      </c>
      <c r="B1061" s="37" t="str">
        <f ca="1">IF(Agent06_Withdrawals!A66="","","WD"&amp;TEXT(1061-3,"0000")&amp;"-"&amp;TEXT(TODAY(),"YYYYMMDD"))</f>
        <v/>
      </c>
      <c r="C1061" s="37" t="str">
        <f>IF(Agent06_Withdrawals!A66="","",Agent06_Withdrawals!B66)</f>
        <v/>
      </c>
      <c r="D1061" s="40" t="str">
        <f>IF(Agent06_Withdrawals!A66="","",Agent06_Withdrawals!C66)</f>
        <v/>
      </c>
      <c r="E1061" s="38" t="str">
        <f>IF(Agent06_Withdrawals!A66="","",Agent06_Withdrawals!D66)</f>
        <v/>
      </c>
      <c r="F1061" s="37" t="str">
        <f>IF(Agent06_Withdrawals!A66="","",Agent06_Withdrawals!F66)</f>
        <v/>
      </c>
      <c r="G1061" s="39" t="str">
        <f>IF(Agent06_Withdrawals!A66="","",Agent06_Withdrawals!E66)</f>
        <v/>
      </c>
      <c r="H1061" s="39" t="str">
        <f>IF(Agent06_Withdrawals!A66="","",Agent06_Withdrawals!G66)</f>
        <v/>
      </c>
      <c r="I1061" s="37" t="str">
        <f>IF(Agent06_Withdrawals!A66="","",Agent06_Withdrawals!H66)</f>
        <v/>
      </c>
      <c r="J1061" s="37" t="str">
        <f>IF(Agent06_Withdrawals!A66="","",Agent06_Withdrawals!J66)</f>
        <v/>
      </c>
      <c r="K1061" s="37" t="str">
        <f>IF(Agent06_Withdrawals!A66="","",Agent06_Withdrawals!K66)</f>
        <v/>
      </c>
      <c r="L1061" s="37" t="str">
        <f>IF(G1061="","",IF(D1061-G1061&gt;=System_Config!$B$9,"✅ OK","⚠️ BREACH"))</f>
        <v/>
      </c>
      <c r="M1061" s="37" t="str">
        <f>IFERROR(IF(Agent06_Withdrawals!A66="","",YEAR(Agent06_Withdrawals!D66)),"")</f>
        <v/>
      </c>
    </row>
    <row r="1062" spans="1:13" ht="18" customHeight="1" x14ac:dyDescent="0.25">
      <c r="A1062" s="37" t="str">
        <f>IF(Agent06_Withdrawals!A67="","",Agent06_Withdrawals!A67)</f>
        <v/>
      </c>
      <c r="B1062" s="37" t="str">
        <f ca="1">IF(Agent06_Withdrawals!A67="","","WD"&amp;TEXT(1062-3,"0000")&amp;"-"&amp;TEXT(TODAY(),"YYYYMMDD"))</f>
        <v/>
      </c>
      <c r="C1062" s="37" t="str">
        <f>IF(Agent06_Withdrawals!A67="","",Agent06_Withdrawals!B67)</f>
        <v/>
      </c>
      <c r="D1062" s="40" t="str">
        <f>IF(Agent06_Withdrawals!A67="","",Agent06_Withdrawals!C67)</f>
        <v/>
      </c>
      <c r="E1062" s="38" t="str">
        <f>IF(Agent06_Withdrawals!A67="","",Agent06_Withdrawals!D67)</f>
        <v/>
      </c>
      <c r="F1062" s="37" t="str">
        <f>IF(Agent06_Withdrawals!A67="","",Agent06_Withdrawals!F67)</f>
        <v/>
      </c>
      <c r="G1062" s="39" t="str">
        <f>IF(Agent06_Withdrawals!A67="","",Agent06_Withdrawals!E67)</f>
        <v/>
      </c>
      <c r="H1062" s="39" t="str">
        <f>IF(Agent06_Withdrawals!A67="","",Agent06_Withdrawals!G67)</f>
        <v/>
      </c>
      <c r="I1062" s="37" t="str">
        <f>IF(Agent06_Withdrawals!A67="","",Agent06_Withdrawals!H67)</f>
        <v/>
      </c>
      <c r="J1062" s="37" t="str">
        <f>IF(Agent06_Withdrawals!A67="","",Agent06_Withdrawals!J67)</f>
        <v/>
      </c>
      <c r="K1062" s="37" t="str">
        <f>IF(Agent06_Withdrawals!A67="","",Agent06_Withdrawals!K67)</f>
        <v/>
      </c>
      <c r="L1062" s="37" t="str">
        <f>IF(G1062="","",IF(D1062-G1062&gt;=System_Config!$B$9,"✅ OK","⚠️ BREACH"))</f>
        <v/>
      </c>
      <c r="M1062" s="37" t="str">
        <f>IFERROR(IF(Agent06_Withdrawals!A67="","",YEAR(Agent06_Withdrawals!D67)),"")</f>
        <v/>
      </c>
    </row>
    <row r="1063" spans="1:13" ht="18" customHeight="1" x14ac:dyDescent="0.25">
      <c r="A1063" s="37" t="str">
        <f>IF(Agent06_Withdrawals!A68="","",Agent06_Withdrawals!A68)</f>
        <v/>
      </c>
      <c r="B1063" s="37" t="str">
        <f ca="1">IF(Agent06_Withdrawals!A68="","","WD"&amp;TEXT(1063-3,"0000")&amp;"-"&amp;TEXT(TODAY(),"YYYYMMDD"))</f>
        <v/>
      </c>
      <c r="C1063" s="37" t="str">
        <f>IF(Agent06_Withdrawals!A68="","",Agent06_Withdrawals!B68)</f>
        <v/>
      </c>
      <c r="D1063" s="40" t="str">
        <f>IF(Agent06_Withdrawals!A68="","",Agent06_Withdrawals!C68)</f>
        <v/>
      </c>
      <c r="E1063" s="38" t="str">
        <f>IF(Agent06_Withdrawals!A68="","",Agent06_Withdrawals!D68)</f>
        <v/>
      </c>
      <c r="F1063" s="37" t="str">
        <f>IF(Agent06_Withdrawals!A68="","",Agent06_Withdrawals!F68)</f>
        <v/>
      </c>
      <c r="G1063" s="39" t="str">
        <f>IF(Agent06_Withdrawals!A68="","",Agent06_Withdrawals!E68)</f>
        <v/>
      </c>
      <c r="H1063" s="39" t="str">
        <f>IF(Agent06_Withdrawals!A68="","",Agent06_Withdrawals!G68)</f>
        <v/>
      </c>
      <c r="I1063" s="37" t="str">
        <f>IF(Agent06_Withdrawals!A68="","",Agent06_Withdrawals!H68)</f>
        <v/>
      </c>
      <c r="J1063" s="37" t="str">
        <f>IF(Agent06_Withdrawals!A68="","",Agent06_Withdrawals!J68)</f>
        <v/>
      </c>
      <c r="K1063" s="37" t="str">
        <f>IF(Agent06_Withdrawals!A68="","",Agent06_Withdrawals!K68)</f>
        <v/>
      </c>
      <c r="L1063" s="37" t="str">
        <f>IF(G1063="","",IF(D1063-G1063&gt;=System_Config!$B$9,"✅ OK","⚠️ BREACH"))</f>
        <v/>
      </c>
      <c r="M1063" s="37" t="str">
        <f>IFERROR(IF(Agent06_Withdrawals!A68="","",YEAR(Agent06_Withdrawals!D68)),"")</f>
        <v/>
      </c>
    </row>
    <row r="1064" spans="1:13" ht="18" customHeight="1" x14ac:dyDescent="0.25">
      <c r="A1064" s="37" t="str">
        <f>IF(Agent06_Withdrawals!A69="","",Agent06_Withdrawals!A69)</f>
        <v/>
      </c>
      <c r="B1064" s="37" t="str">
        <f ca="1">IF(Agent06_Withdrawals!A69="","","WD"&amp;TEXT(1064-3,"0000")&amp;"-"&amp;TEXT(TODAY(),"YYYYMMDD"))</f>
        <v/>
      </c>
      <c r="C1064" s="37" t="str">
        <f>IF(Agent06_Withdrawals!A69="","",Agent06_Withdrawals!B69)</f>
        <v/>
      </c>
      <c r="D1064" s="40" t="str">
        <f>IF(Agent06_Withdrawals!A69="","",Agent06_Withdrawals!C69)</f>
        <v/>
      </c>
      <c r="E1064" s="38" t="str">
        <f>IF(Agent06_Withdrawals!A69="","",Agent06_Withdrawals!D69)</f>
        <v/>
      </c>
      <c r="F1064" s="37" t="str">
        <f>IF(Agent06_Withdrawals!A69="","",Agent06_Withdrawals!F69)</f>
        <v/>
      </c>
      <c r="G1064" s="39" t="str">
        <f>IF(Agent06_Withdrawals!A69="","",Agent06_Withdrawals!E69)</f>
        <v/>
      </c>
      <c r="H1064" s="39" t="str">
        <f>IF(Agent06_Withdrawals!A69="","",Agent06_Withdrawals!G69)</f>
        <v/>
      </c>
      <c r="I1064" s="37" t="str">
        <f>IF(Agent06_Withdrawals!A69="","",Agent06_Withdrawals!H69)</f>
        <v/>
      </c>
      <c r="J1064" s="37" t="str">
        <f>IF(Agent06_Withdrawals!A69="","",Agent06_Withdrawals!J69)</f>
        <v/>
      </c>
      <c r="K1064" s="37" t="str">
        <f>IF(Agent06_Withdrawals!A69="","",Agent06_Withdrawals!K69)</f>
        <v/>
      </c>
      <c r="L1064" s="37" t="str">
        <f>IF(G1064="","",IF(D1064-G1064&gt;=System_Config!$B$9,"✅ OK","⚠️ BREACH"))</f>
        <v/>
      </c>
      <c r="M1064" s="37" t="str">
        <f>IFERROR(IF(Agent06_Withdrawals!A69="","",YEAR(Agent06_Withdrawals!D69)),"")</f>
        <v/>
      </c>
    </row>
    <row r="1065" spans="1:13" ht="18" customHeight="1" x14ac:dyDescent="0.25">
      <c r="A1065" s="37" t="str">
        <f>IF(Agent06_Withdrawals!A70="","",Agent06_Withdrawals!A70)</f>
        <v/>
      </c>
      <c r="B1065" s="37" t="str">
        <f ca="1">IF(Agent06_Withdrawals!A70="","","WD"&amp;TEXT(1065-3,"0000")&amp;"-"&amp;TEXT(TODAY(),"YYYYMMDD"))</f>
        <v/>
      </c>
      <c r="C1065" s="37" t="str">
        <f>IF(Agent06_Withdrawals!A70="","",Agent06_Withdrawals!B70)</f>
        <v/>
      </c>
      <c r="D1065" s="40" t="str">
        <f>IF(Agent06_Withdrawals!A70="","",Agent06_Withdrawals!C70)</f>
        <v/>
      </c>
      <c r="E1065" s="38" t="str">
        <f>IF(Agent06_Withdrawals!A70="","",Agent06_Withdrawals!D70)</f>
        <v/>
      </c>
      <c r="F1065" s="37" t="str">
        <f>IF(Agent06_Withdrawals!A70="","",Agent06_Withdrawals!F70)</f>
        <v/>
      </c>
      <c r="G1065" s="39" t="str">
        <f>IF(Agent06_Withdrawals!A70="","",Agent06_Withdrawals!E70)</f>
        <v/>
      </c>
      <c r="H1065" s="39" t="str">
        <f>IF(Agent06_Withdrawals!A70="","",Agent06_Withdrawals!G70)</f>
        <v/>
      </c>
      <c r="I1065" s="37" t="str">
        <f>IF(Agent06_Withdrawals!A70="","",Agent06_Withdrawals!H70)</f>
        <v/>
      </c>
      <c r="J1065" s="37" t="str">
        <f>IF(Agent06_Withdrawals!A70="","",Agent06_Withdrawals!J70)</f>
        <v/>
      </c>
      <c r="K1065" s="37" t="str">
        <f>IF(Agent06_Withdrawals!A70="","",Agent06_Withdrawals!K70)</f>
        <v/>
      </c>
      <c r="L1065" s="37" t="str">
        <f>IF(G1065="","",IF(D1065-G1065&gt;=System_Config!$B$9,"✅ OK","⚠️ BREACH"))</f>
        <v/>
      </c>
      <c r="M1065" s="37" t="str">
        <f>IFERROR(IF(Agent06_Withdrawals!A70="","",YEAR(Agent06_Withdrawals!D70)),"")</f>
        <v/>
      </c>
    </row>
    <row r="1066" spans="1:13" ht="18" customHeight="1" x14ac:dyDescent="0.25">
      <c r="A1066" s="37" t="str">
        <f>IF(Agent06_Withdrawals!A71="","",Agent06_Withdrawals!A71)</f>
        <v/>
      </c>
      <c r="B1066" s="37" t="str">
        <f ca="1">IF(Agent06_Withdrawals!A71="","","WD"&amp;TEXT(1066-3,"0000")&amp;"-"&amp;TEXT(TODAY(),"YYYYMMDD"))</f>
        <v/>
      </c>
      <c r="C1066" s="37" t="str">
        <f>IF(Agent06_Withdrawals!A71="","",Agent06_Withdrawals!B71)</f>
        <v/>
      </c>
      <c r="D1066" s="40" t="str">
        <f>IF(Agent06_Withdrawals!A71="","",Agent06_Withdrawals!C71)</f>
        <v/>
      </c>
      <c r="E1066" s="38" t="str">
        <f>IF(Agent06_Withdrawals!A71="","",Agent06_Withdrawals!D71)</f>
        <v/>
      </c>
      <c r="F1066" s="37" t="str">
        <f>IF(Agent06_Withdrawals!A71="","",Agent06_Withdrawals!F71)</f>
        <v/>
      </c>
      <c r="G1066" s="39" t="str">
        <f>IF(Agent06_Withdrawals!A71="","",Agent06_Withdrawals!E71)</f>
        <v/>
      </c>
      <c r="H1066" s="39" t="str">
        <f>IF(Agent06_Withdrawals!A71="","",Agent06_Withdrawals!G71)</f>
        <v/>
      </c>
      <c r="I1066" s="37" t="str">
        <f>IF(Agent06_Withdrawals!A71="","",Agent06_Withdrawals!H71)</f>
        <v/>
      </c>
      <c r="J1066" s="37" t="str">
        <f>IF(Agent06_Withdrawals!A71="","",Agent06_Withdrawals!J71)</f>
        <v/>
      </c>
      <c r="K1066" s="37" t="str">
        <f>IF(Agent06_Withdrawals!A71="","",Agent06_Withdrawals!K71)</f>
        <v/>
      </c>
      <c r="L1066" s="37" t="str">
        <f>IF(G1066="","",IF(D1066-G1066&gt;=System_Config!$B$9,"✅ OK","⚠️ BREACH"))</f>
        <v/>
      </c>
      <c r="M1066" s="37" t="str">
        <f>IFERROR(IF(Agent06_Withdrawals!A71="","",YEAR(Agent06_Withdrawals!D71)),"")</f>
        <v/>
      </c>
    </row>
    <row r="1067" spans="1:13" ht="18" customHeight="1" x14ac:dyDescent="0.25">
      <c r="A1067" s="37" t="str">
        <f>IF(Agent06_Withdrawals!A72="","",Agent06_Withdrawals!A72)</f>
        <v/>
      </c>
      <c r="B1067" s="37" t="str">
        <f ca="1">IF(Agent06_Withdrawals!A72="","","WD"&amp;TEXT(1067-3,"0000")&amp;"-"&amp;TEXT(TODAY(),"YYYYMMDD"))</f>
        <v/>
      </c>
      <c r="C1067" s="37" t="str">
        <f>IF(Agent06_Withdrawals!A72="","",Agent06_Withdrawals!B72)</f>
        <v/>
      </c>
      <c r="D1067" s="40" t="str">
        <f>IF(Agent06_Withdrawals!A72="","",Agent06_Withdrawals!C72)</f>
        <v/>
      </c>
      <c r="E1067" s="38" t="str">
        <f>IF(Agent06_Withdrawals!A72="","",Agent06_Withdrawals!D72)</f>
        <v/>
      </c>
      <c r="F1067" s="37" t="str">
        <f>IF(Agent06_Withdrawals!A72="","",Agent06_Withdrawals!F72)</f>
        <v/>
      </c>
      <c r="G1067" s="39" t="str">
        <f>IF(Agent06_Withdrawals!A72="","",Agent06_Withdrawals!E72)</f>
        <v/>
      </c>
      <c r="H1067" s="39" t="str">
        <f>IF(Agent06_Withdrawals!A72="","",Agent06_Withdrawals!G72)</f>
        <v/>
      </c>
      <c r="I1067" s="37" t="str">
        <f>IF(Agent06_Withdrawals!A72="","",Agent06_Withdrawals!H72)</f>
        <v/>
      </c>
      <c r="J1067" s="37" t="str">
        <f>IF(Agent06_Withdrawals!A72="","",Agent06_Withdrawals!J72)</f>
        <v/>
      </c>
      <c r="K1067" s="37" t="str">
        <f>IF(Agent06_Withdrawals!A72="","",Agent06_Withdrawals!K72)</f>
        <v/>
      </c>
      <c r="L1067" s="37" t="str">
        <f>IF(G1067="","",IF(D1067-G1067&gt;=System_Config!$B$9,"✅ OK","⚠️ BREACH"))</f>
        <v/>
      </c>
      <c r="M1067" s="37" t="str">
        <f>IFERROR(IF(Agent06_Withdrawals!A72="","",YEAR(Agent06_Withdrawals!D72)),"")</f>
        <v/>
      </c>
    </row>
    <row r="1068" spans="1:13" ht="18" customHeight="1" x14ac:dyDescent="0.25">
      <c r="A1068" s="37" t="str">
        <f>IF(Agent06_Withdrawals!A73="","",Agent06_Withdrawals!A73)</f>
        <v/>
      </c>
      <c r="B1068" s="37" t="str">
        <f ca="1">IF(Agent06_Withdrawals!A73="","","WD"&amp;TEXT(1068-3,"0000")&amp;"-"&amp;TEXT(TODAY(),"YYYYMMDD"))</f>
        <v/>
      </c>
      <c r="C1068" s="37" t="str">
        <f>IF(Agent06_Withdrawals!A73="","",Agent06_Withdrawals!B73)</f>
        <v/>
      </c>
      <c r="D1068" s="40" t="str">
        <f>IF(Agent06_Withdrawals!A73="","",Agent06_Withdrawals!C73)</f>
        <v/>
      </c>
      <c r="E1068" s="38" t="str">
        <f>IF(Agent06_Withdrawals!A73="","",Agent06_Withdrawals!D73)</f>
        <v/>
      </c>
      <c r="F1068" s="37" t="str">
        <f>IF(Agent06_Withdrawals!A73="","",Agent06_Withdrawals!F73)</f>
        <v/>
      </c>
      <c r="G1068" s="39" t="str">
        <f>IF(Agent06_Withdrawals!A73="","",Agent06_Withdrawals!E73)</f>
        <v/>
      </c>
      <c r="H1068" s="39" t="str">
        <f>IF(Agent06_Withdrawals!A73="","",Agent06_Withdrawals!G73)</f>
        <v/>
      </c>
      <c r="I1068" s="37" t="str">
        <f>IF(Agent06_Withdrawals!A73="","",Agent06_Withdrawals!H73)</f>
        <v/>
      </c>
      <c r="J1068" s="37" t="str">
        <f>IF(Agent06_Withdrawals!A73="","",Agent06_Withdrawals!J73)</f>
        <v/>
      </c>
      <c r="K1068" s="37" t="str">
        <f>IF(Agent06_Withdrawals!A73="","",Agent06_Withdrawals!K73)</f>
        <v/>
      </c>
      <c r="L1068" s="37" t="str">
        <f>IF(G1068="","",IF(D1068-G1068&gt;=System_Config!$B$9,"✅ OK","⚠️ BREACH"))</f>
        <v/>
      </c>
      <c r="M1068" s="37" t="str">
        <f>IFERROR(IF(Agent06_Withdrawals!A73="","",YEAR(Agent06_Withdrawals!D73)),"")</f>
        <v/>
      </c>
    </row>
    <row r="1069" spans="1:13" ht="18" customHeight="1" x14ac:dyDescent="0.25">
      <c r="A1069" s="37" t="str">
        <f>IF(Agent06_Withdrawals!A74="","",Agent06_Withdrawals!A74)</f>
        <v/>
      </c>
      <c r="B1069" s="37" t="str">
        <f ca="1">IF(Agent06_Withdrawals!A74="","","WD"&amp;TEXT(1069-3,"0000")&amp;"-"&amp;TEXT(TODAY(),"YYYYMMDD"))</f>
        <v/>
      </c>
      <c r="C1069" s="37" t="str">
        <f>IF(Agent06_Withdrawals!A74="","",Agent06_Withdrawals!B74)</f>
        <v/>
      </c>
      <c r="D1069" s="40" t="str">
        <f>IF(Agent06_Withdrawals!A74="","",Agent06_Withdrawals!C74)</f>
        <v/>
      </c>
      <c r="E1069" s="38" t="str">
        <f>IF(Agent06_Withdrawals!A74="","",Agent06_Withdrawals!D74)</f>
        <v/>
      </c>
      <c r="F1069" s="37" t="str">
        <f>IF(Agent06_Withdrawals!A74="","",Agent06_Withdrawals!F74)</f>
        <v/>
      </c>
      <c r="G1069" s="39" t="str">
        <f>IF(Agent06_Withdrawals!A74="","",Agent06_Withdrawals!E74)</f>
        <v/>
      </c>
      <c r="H1069" s="39" t="str">
        <f>IF(Agent06_Withdrawals!A74="","",Agent06_Withdrawals!G74)</f>
        <v/>
      </c>
      <c r="I1069" s="37" t="str">
        <f>IF(Agent06_Withdrawals!A74="","",Agent06_Withdrawals!H74)</f>
        <v/>
      </c>
      <c r="J1069" s="37" t="str">
        <f>IF(Agent06_Withdrawals!A74="","",Agent06_Withdrawals!J74)</f>
        <v/>
      </c>
      <c r="K1069" s="37" t="str">
        <f>IF(Agent06_Withdrawals!A74="","",Agent06_Withdrawals!K74)</f>
        <v/>
      </c>
      <c r="L1069" s="37" t="str">
        <f>IF(G1069="","",IF(D1069-G1069&gt;=System_Config!$B$9,"✅ OK","⚠️ BREACH"))</f>
        <v/>
      </c>
      <c r="M1069" s="37" t="str">
        <f>IFERROR(IF(Agent06_Withdrawals!A74="","",YEAR(Agent06_Withdrawals!D74)),"")</f>
        <v/>
      </c>
    </row>
    <row r="1070" spans="1:13" ht="18" customHeight="1" x14ac:dyDescent="0.25">
      <c r="A1070" s="37" t="str">
        <f>IF(Agent06_Withdrawals!A75="","",Agent06_Withdrawals!A75)</f>
        <v/>
      </c>
      <c r="B1070" s="37" t="str">
        <f ca="1">IF(Agent06_Withdrawals!A75="","","WD"&amp;TEXT(1070-3,"0000")&amp;"-"&amp;TEXT(TODAY(),"YYYYMMDD"))</f>
        <v/>
      </c>
      <c r="C1070" s="37" t="str">
        <f>IF(Agent06_Withdrawals!A75="","",Agent06_Withdrawals!B75)</f>
        <v/>
      </c>
      <c r="D1070" s="40" t="str">
        <f>IF(Agent06_Withdrawals!A75="","",Agent06_Withdrawals!C75)</f>
        <v/>
      </c>
      <c r="E1070" s="38" t="str">
        <f>IF(Agent06_Withdrawals!A75="","",Agent06_Withdrawals!D75)</f>
        <v/>
      </c>
      <c r="F1070" s="37" t="str">
        <f>IF(Agent06_Withdrawals!A75="","",Agent06_Withdrawals!F75)</f>
        <v/>
      </c>
      <c r="G1070" s="39" t="str">
        <f>IF(Agent06_Withdrawals!A75="","",Agent06_Withdrawals!E75)</f>
        <v/>
      </c>
      <c r="H1070" s="39" t="str">
        <f>IF(Agent06_Withdrawals!A75="","",Agent06_Withdrawals!G75)</f>
        <v/>
      </c>
      <c r="I1070" s="37" t="str">
        <f>IF(Agent06_Withdrawals!A75="","",Agent06_Withdrawals!H75)</f>
        <v/>
      </c>
      <c r="J1070" s="37" t="str">
        <f>IF(Agent06_Withdrawals!A75="","",Agent06_Withdrawals!J75)</f>
        <v/>
      </c>
      <c r="K1070" s="37" t="str">
        <f>IF(Agent06_Withdrawals!A75="","",Agent06_Withdrawals!K75)</f>
        <v/>
      </c>
      <c r="L1070" s="37" t="str">
        <f>IF(G1070="","",IF(D1070-G1070&gt;=System_Config!$B$9,"✅ OK","⚠️ BREACH"))</f>
        <v/>
      </c>
      <c r="M1070" s="37" t="str">
        <f>IFERROR(IF(Agent06_Withdrawals!A75="","",YEAR(Agent06_Withdrawals!D75)),"")</f>
        <v/>
      </c>
    </row>
    <row r="1071" spans="1:13" ht="18" customHeight="1" x14ac:dyDescent="0.25">
      <c r="A1071" s="37" t="str">
        <f>IF(Agent06_Withdrawals!A76="","",Agent06_Withdrawals!A76)</f>
        <v/>
      </c>
      <c r="B1071" s="37" t="str">
        <f ca="1">IF(Agent06_Withdrawals!A76="","","WD"&amp;TEXT(1071-3,"0000")&amp;"-"&amp;TEXT(TODAY(),"YYYYMMDD"))</f>
        <v/>
      </c>
      <c r="C1071" s="37" t="str">
        <f>IF(Agent06_Withdrawals!A76="","",Agent06_Withdrawals!B76)</f>
        <v/>
      </c>
      <c r="D1071" s="40" t="str">
        <f>IF(Agent06_Withdrawals!A76="","",Agent06_Withdrawals!C76)</f>
        <v/>
      </c>
      <c r="E1071" s="38" t="str">
        <f>IF(Agent06_Withdrawals!A76="","",Agent06_Withdrawals!D76)</f>
        <v/>
      </c>
      <c r="F1071" s="37" t="str">
        <f>IF(Agent06_Withdrawals!A76="","",Agent06_Withdrawals!F76)</f>
        <v/>
      </c>
      <c r="G1071" s="39" t="str">
        <f>IF(Agent06_Withdrawals!A76="","",Agent06_Withdrawals!E76)</f>
        <v/>
      </c>
      <c r="H1071" s="39" t="str">
        <f>IF(Agent06_Withdrawals!A76="","",Agent06_Withdrawals!G76)</f>
        <v/>
      </c>
      <c r="I1071" s="37" t="str">
        <f>IF(Agent06_Withdrawals!A76="","",Agent06_Withdrawals!H76)</f>
        <v/>
      </c>
      <c r="J1071" s="37" t="str">
        <f>IF(Agent06_Withdrawals!A76="","",Agent06_Withdrawals!J76)</f>
        <v/>
      </c>
      <c r="K1071" s="37" t="str">
        <f>IF(Agent06_Withdrawals!A76="","",Agent06_Withdrawals!K76)</f>
        <v/>
      </c>
      <c r="L1071" s="37" t="str">
        <f>IF(G1071="","",IF(D1071-G1071&gt;=System_Config!$B$9,"✅ OK","⚠️ BREACH"))</f>
        <v/>
      </c>
      <c r="M1071" s="37" t="str">
        <f>IFERROR(IF(Agent06_Withdrawals!A76="","",YEAR(Agent06_Withdrawals!D76)),"")</f>
        <v/>
      </c>
    </row>
    <row r="1072" spans="1:13" ht="18" customHeight="1" x14ac:dyDescent="0.25">
      <c r="A1072" s="37" t="str">
        <f>IF(Agent06_Withdrawals!A77="","",Agent06_Withdrawals!A77)</f>
        <v/>
      </c>
      <c r="B1072" s="37" t="str">
        <f ca="1">IF(Agent06_Withdrawals!A77="","","WD"&amp;TEXT(1072-3,"0000")&amp;"-"&amp;TEXT(TODAY(),"YYYYMMDD"))</f>
        <v/>
      </c>
      <c r="C1072" s="37" t="str">
        <f>IF(Agent06_Withdrawals!A77="","",Agent06_Withdrawals!B77)</f>
        <v/>
      </c>
      <c r="D1072" s="40" t="str">
        <f>IF(Agent06_Withdrawals!A77="","",Agent06_Withdrawals!C77)</f>
        <v/>
      </c>
      <c r="E1072" s="38" t="str">
        <f>IF(Agent06_Withdrawals!A77="","",Agent06_Withdrawals!D77)</f>
        <v/>
      </c>
      <c r="F1072" s="37" t="str">
        <f>IF(Agent06_Withdrawals!A77="","",Agent06_Withdrawals!F77)</f>
        <v/>
      </c>
      <c r="G1072" s="39" t="str">
        <f>IF(Agent06_Withdrawals!A77="","",Agent06_Withdrawals!E77)</f>
        <v/>
      </c>
      <c r="H1072" s="39" t="str">
        <f>IF(Agent06_Withdrawals!A77="","",Agent06_Withdrawals!G77)</f>
        <v/>
      </c>
      <c r="I1072" s="37" t="str">
        <f>IF(Agent06_Withdrawals!A77="","",Agent06_Withdrawals!H77)</f>
        <v/>
      </c>
      <c r="J1072" s="37" t="str">
        <f>IF(Agent06_Withdrawals!A77="","",Agent06_Withdrawals!J77)</f>
        <v/>
      </c>
      <c r="K1072" s="37" t="str">
        <f>IF(Agent06_Withdrawals!A77="","",Agent06_Withdrawals!K77)</f>
        <v/>
      </c>
      <c r="L1072" s="37" t="str">
        <f>IF(G1072="","",IF(D1072-G1072&gt;=System_Config!$B$9,"✅ OK","⚠️ BREACH"))</f>
        <v/>
      </c>
      <c r="M1072" s="37" t="str">
        <f>IFERROR(IF(Agent06_Withdrawals!A77="","",YEAR(Agent06_Withdrawals!D77)),"")</f>
        <v/>
      </c>
    </row>
    <row r="1073" spans="1:13" ht="18" customHeight="1" x14ac:dyDescent="0.25">
      <c r="A1073" s="37" t="str">
        <f>IF(Agent06_Withdrawals!A78="","",Agent06_Withdrawals!A78)</f>
        <v/>
      </c>
      <c r="B1073" s="37" t="str">
        <f ca="1">IF(Agent06_Withdrawals!A78="","","WD"&amp;TEXT(1073-3,"0000")&amp;"-"&amp;TEXT(TODAY(),"YYYYMMDD"))</f>
        <v/>
      </c>
      <c r="C1073" s="37" t="str">
        <f>IF(Agent06_Withdrawals!A78="","",Agent06_Withdrawals!B78)</f>
        <v/>
      </c>
      <c r="D1073" s="40" t="str">
        <f>IF(Agent06_Withdrawals!A78="","",Agent06_Withdrawals!C78)</f>
        <v/>
      </c>
      <c r="E1073" s="38" t="str">
        <f>IF(Agent06_Withdrawals!A78="","",Agent06_Withdrawals!D78)</f>
        <v/>
      </c>
      <c r="F1073" s="37" t="str">
        <f>IF(Agent06_Withdrawals!A78="","",Agent06_Withdrawals!F78)</f>
        <v/>
      </c>
      <c r="G1073" s="39" t="str">
        <f>IF(Agent06_Withdrawals!A78="","",Agent06_Withdrawals!E78)</f>
        <v/>
      </c>
      <c r="H1073" s="39" t="str">
        <f>IF(Agent06_Withdrawals!A78="","",Agent06_Withdrawals!G78)</f>
        <v/>
      </c>
      <c r="I1073" s="37" t="str">
        <f>IF(Agent06_Withdrawals!A78="","",Agent06_Withdrawals!H78)</f>
        <v/>
      </c>
      <c r="J1073" s="37" t="str">
        <f>IF(Agent06_Withdrawals!A78="","",Agent06_Withdrawals!J78)</f>
        <v/>
      </c>
      <c r="K1073" s="37" t="str">
        <f>IF(Agent06_Withdrawals!A78="","",Agent06_Withdrawals!K78)</f>
        <v/>
      </c>
      <c r="L1073" s="37" t="str">
        <f>IF(G1073="","",IF(D1073-G1073&gt;=System_Config!$B$9,"✅ OK","⚠️ BREACH"))</f>
        <v/>
      </c>
      <c r="M1073" s="37" t="str">
        <f>IFERROR(IF(Agent06_Withdrawals!A78="","",YEAR(Agent06_Withdrawals!D78)),"")</f>
        <v/>
      </c>
    </row>
    <row r="1074" spans="1:13" ht="18" customHeight="1" x14ac:dyDescent="0.25">
      <c r="A1074" s="37" t="str">
        <f>IF(Agent06_Withdrawals!A79="","",Agent06_Withdrawals!A79)</f>
        <v/>
      </c>
      <c r="B1074" s="37" t="str">
        <f ca="1">IF(Agent06_Withdrawals!A79="","","WD"&amp;TEXT(1074-3,"0000")&amp;"-"&amp;TEXT(TODAY(),"YYYYMMDD"))</f>
        <v/>
      </c>
      <c r="C1074" s="37" t="str">
        <f>IF(Agent06_Withdrawals!A79="","",Agent06_Withdrawals!B79)</f>
        <v/>
      </c>
      <c r="D1074" s="40" t="str">
        <f>IF(Agent06_Withdrawals!A79="","",Agent06_Withdrawals!C79)</f>
        <v/>
      </c>
      <c r="E1074" s="38" t="str">
        <f>IF(Agent06_Withdrawals!A79="","",Agent06_Withdrawals!D79)</f>
        <v/>
      </c>
      <c r="F1074" s="37" t="str">
        <f>IF(Agent06_Withdrawals!A79="","",Agent06_Withdrawals!F79)</f>
        <v/>
      </c>
      <c r="G1074" s="39" t="str">
        <f>IF(Agent06_Withdrawals!A79="","",Agent06_Withdrawals!E79)</f>
        <v/>
      </c>
      <c r="H1074" s="39" t="str">
        <f>IF(Agent06_Withdrawals!A79="","",Agent06_Withdrawals!G79)</f>
        <v/>
      </c>
      <c r="I1074" s="37" t="str">
        <f>IF(Agent06_Withdrawals!A79="","",Agent06_Withdrawals!H79)</f>
        <v/>
      </c>
      <c r="J1074" s="37" t="str">
        <f>IF(Agent06_Withdrawals!A79="","",Agent06_Withdrawals!J79)</f>
        <v/>
      </c>
      <c r="K1074" s="37" t="str">
        <f>IF(Agent06_Withdrawals!A79="","",Agent06_Withdrawals!K79)</f>
        <v/>
      </c>
      <c r="L1074" s="37" t="str">
        <f>IF(G1074="","",IF(D1074-G1074&gt;=System_Config!$B$9,"✅ OK","⚠️ BREACH"))</f>
        <v/>
      </c>
      <c r="M1074" s="37" t="str">
        <f>IFERROR(IF(Agent06_Withdrawals!A79="","",YEAR(Agent06_Withdrawals!D79)),"")</f>
        <v/>
      </c>
    </row>
    <row r="1075" spans="1:13" ht="18" customHeight="1" x14ac:dyDescent="0.25">
      <c r="A1075" s="37" t="str">
        <f>IF(Agent06_Withdrawals!A80="","",Agent06_Withdrawals!A80)</f>
        <v/>
      </c>
      <c r="B1075" s="37" t="str">
        <f ca="1">IF(Agent06_Withdrawals!A80="","","WD"&amp;TEXT(1075-3,"0000")&amp;"-"&amp;TEXT(TODAY(),"YYYYMMDD"))</f>
        <v/>
      </c>
      <c r="C1075" s="37" t="str">
        <f>IF(Agent06_Withdrawals!A80="","",Agent06_Withdrawals!B80)</f>
        <v/>
      </c>
      <c r="D1075" s="40" t="str">
        <f>IF(Agent06_Withdrawals!A80="","",Agent06_Withdrawals!C80)</f>
        <v/>
      </c>
      <c r="E1075" s="38" t="str">
        <f>IF(Agent06_Withdrawals!A80="","",Agent06_Withdrawals!D80)</f>
        <v/>
      </c>
      <c r="F1075" s="37" t="str">
        <f>IF(Agent06_Withdrawals!A80="","",Agent06_Withdrawals!F80)</f>
        <v/>
      </c>
      <c r="G1075" s="39" t="str">
        <f>IF(Agent06_Withdrawals!A80="","",Agent06_Withdrawals!E80)</f>
        <v/>
      </c>
      <c r="H1075" s="39" t="str">
        <f>IF(Agent06_Withdrawals!A80="","",Agent06_Withdrawals!G80)</f>
        <v/>
      </c>
      <c r="I1075" s="37" t="str">
        <f>IF(Agent06_Withdrawals!A80="","",Agent06_Withdrawals!H80)</f>
        <v/>
      </c>
      <c r="J1075" s="37" t="str">
        <f>IF(Agent06_Withdrawals!A80="","",Agent06_Withdrawals!J80)</f>
        <v/>
      </c>
      <c r="K1075" s="37" t="str">
        <f>IF(Agent06_Withdrawals!A80="","",Agent06_Withdrawals!K80)</f>
        <v/>
      </c>
      <c r="L1075" s="37" t="str">
        <f>IF(G1075="","",IF(D1075-G1075&gt;=System_Config!$B$9,"✅ OK","⚠️ BREACH"))</f>
        <v/>
      </c>
      <c r="M1075" s="37" t="str">
        <f>IFERROR(IF(Agent06_Withdrawals!A80="","",YEAR(Agent06_Withdrawals!D80)),"")</f>
        <v/>
      </c>
    </row>
    <row r="1076" spans="1:13" ht="18" customHeight="1" x14ac:dyDescent="0.25">
      <c r="A1076" s="37" t="str">
        <f>IF(Agent06_Withdrawals!A81="","",Agent06_Withdrawals!A81)</f>
        <v/>
      </c>
      <c r="B1076" s="37" t="str">
        <f ca="1">IF(Agent06_Withdrawals!A81="","","WD"&amp;TEXT(1076-3,"0000")&amp;"-"&amp;TEXT(TODAY(),"YYYYMMDD"))</f>
        <v/>
      </c>
      <c r="C1076" s="37" t="str">
        <f>IF(Agent06_Withdrawals!A81="","",Agent06_Withdrawals!B81)</f>
        <v/>
      </c>
      <c r="D1076" s="40" t="str">
        <f>IF(Agent06_Withdrawals!A81="","",Agent06_Withdrawals!C81)</f>
        <v/>
      </c>
      <c r="E1076" s="38" t="str">
        <f>IF(Agent06_Withdrawals!A81="","",Agent06_Withdrawals!D81)</f>
        <v/>
      </c>
      <c r="F1076" s="37" t="str">
        <f>IF(Agent06_Withdrawals!A81="","",Agent06_Withdrawals!F81)</f>
        <v/>
      </c>
      <c r="G1076" s="39" t="str">
        <f>IF(Agent06_Withdrawals!A81="","",Agent06_Withdrawals!E81)</f>
        <v/>
      </c>
      <c r="H1076" s="39" t="str">
        <f>IF(Agent06_Withdrawals!A81="","",Agent06_Withdrawals!G81)</f>
        <v/>
      </c>
      <c r="I1076" s="37" t="str">
        <f>IF(Agent06_Withdrawals!A81="","",Agent06_Withdrawals!H81)</f>
        <v/>
      </c>
      <c r="J1076" s="37" t="str">
        <f>IF(Agent06_Withdrawals!A81="","",Agent06_Withdrawals!J81)</f>
        <v/>
      </c>
      <c r="K1076" s="37" t="str">
        <f>IF(Agent06_Withdrawals!A81="","",Agent06_Withdrawals!K81)</f>
        <v/>
      </c>
      <c r="L1076" s="37" t="str">
        <f>IF(G1076="","",IF(D1076-G1076&gt;=System_Config!$B$9,"✅ OK","⚠️ BREACH"))</f>
        <v/>
      </c>
      <c r="M1076" s="37" t="str">
        <f>IFERROR(IF(Agent06_Withdrawals!A81="","",YEAR(Agent06_Withdrawals!D81)),"")</f>
        <v/>
      </c>
    </row>
    <row r="1077" spans="1:13" ht="18" customHeight="1" x14ac:dyDescent="0.25">
      <c r="A1077" s="37" t="str">
        <f>IF(Agent06_Withdrawals!A82="","",Agent06_Withdrawals!A82)</f>
        <v/>
      </c>
      <c r="B1077" s="37" t="str">
        <f ca="1">IF(Agent06_Withdrawals!A82="","","WD"&amp;TEXT(1077-3,"0000")&amp;"-"&amp;TEXT(TODAY(),"YYYYMMDD"))</f>
        <v/>
      </c>
      <c r="C1077" s="37" t="str">
        <f>IF(Agent06_Withdrawals!A82="","",Agent06_Withdrawals!B82)</f>
        <v/>
      </c>
      <c r="D1077" s="40" t="str">
        <f>IF(Agent06_Withdrawals!A82="","",Agent06_Withdrawals!C82)</f>
        <v/>
      </c>
      <c r="E1077" s="38" t="str">
        <f>IF(Agent06_Withdrawals!A82="","",Agent06_Withdrawals!D82)</f>
        <v/>
      </c>
      <c r="F1077" s="37" t="str">
        <f>IF(Agent06_Withdrawals!A82="","",Agent06_Withdrawals!F82)</f>
        <v/>
      </c>
      <c r="G1077" s="39" t="str">
        <f>IF(Agent06_Withdrawals!A82="","",Agent06_Withdrawals!E82)</f>
        <v/>
      </c>
      <c r="H1077" s="39" t="str">
        <f>IF(Agent06_Withdrawals!A82="","",Agent06_Withdrawals!G82)</f>
        <v/>
      </c>
      <c r="I1077" s="37" t="str">
        <f>IF(Agent06_Withdrawals!A82="","",Agent06_Withdrawals!H82)</f>
        <v/>
      </c>
      <c r="J1077" s="37" t="str">
        <f>IF(Agent06_Withdrawals!A82="","",Agent06_Withdrawals!J82)</f>
        <v/>
      </c>
      <c r="K1077" s="37" t="str">
        <f>IF(Agent06_Withdrawals!A82="","",Agent06_Withdrawals!K82)</f>
        <v/>
      </c>
      <c r="L1077" s="37" t="str">
        <f>IF(G1077="","",IF(D1077-G1077&gt;=System_Config!$B$9,"✅ OK","⚠️ BREACH"))</f>
        <v/>
      </c>
      <c r="M1077" s="37" t="str">
        <f>IFERROR(IF(Agent06_Withdrawals!A82="","",YEAR(Agent06_Withdrawals!D82)),"")</f>
        <v/>
      </c>
    </row>
    <row r="1078" spans="1:13" ht="18" customHeight="1" x14ac:dyDescent="0.25">
      <c r="A1078" s="37" t="str">
        <f>IF(Agent06_Withdrawals!A83="","",Agent06_Withdrawals!A83)</f>
        <v/>
      </c>
      <c r="B1078" s="37" t="str">
        <f ca="1">IF(Agent06_Withdrawals!A83="","","WD"&amp;TEXT(1078-3,"0000")&amp;"-"&amp;TEXT(TODAY(),"YYYYMMDD"))</f>
        <v/>
      </c>
      <c r="C1078" s="37" t="str">
        <f>IF(Agent06_Withdrawals!A83="","",Agent06_Withdrawals!B83)</f>
        <v/>
      </c>
      <c r="D1078" s="40" t="str">
        <f>IF(Agent06_Withdrawals!A83="","",Agent06_Withdrawals!C83)</f>
        <v/>
      </c>
      <c r="E1078" s="38" t="str">
        <f>IF(Agent06_Withdrawals!A83="","",Agent06_Withdrawals!D83)</f>
        <v/>
      </c>
      <c r="F1078" s="37" t="str">
        <f>IF(Agent06_Withdrawals!A83="","",Agent06_Withdrawals!F83)</f>
        <v/>
      </c>
      <c r="G1078" s="39" t="str">
        <f>IF(Agent06_Withdrawals!A83="","",Agent06_Withdrawals!E83)</f>
        <v/>
      </c>
      <c r="H1078" s="39" t="str">
        <f>IF(Agent06_Withdrawals!A83="","",Agent06_Withdrawals!G83)</f>
        <v/>
      </c>
      <c r="I1078" s="37" t="str">
        <f>IF(Agent06_Withdrawals!A83="","",Agent06_Withdrawals!H83)</f>
        <v/>
      </c>
      <c r="J1078" s="37" t="str">
        <f>IF(Agent06_Withdrawals!A83="","",Agent06_Withdrawals!J83)</f>
        <v/>
      </c>
      <c r="K1078" s="37" t="str">
        <f>IF(Agent06_Withdrawals!A83="","",Agent06_Withdrawals!K83)</f>
        <v/>
      </c>
      <c r="L1078" s="37" t="str">
        <f>IF(G1078="","",IF(D1078-G1078&gt;=System_Config!$B$9,"✅ OK","⚠️ BREACH"))</f>
        <v/>
      </c>
      <c r="M1078" s="37" t="str">
        <f>IFERROR(IF(Agent06_Withdrawals!A83="","",YEAR(Agent06_Withdrawals!D83)),"")</f>
        <v/>
      </c>
    </row>
    <row r="1079" spans="1:13" ht="18" customHeight="1" x14ac:dyDescent="0.25">
      <c r="A1079" s="37" t="str">
        <f>IF(Agent06_Withdrawals!A84="","",Agent06_Withdrawals!A84)</f>
        <v/>
      </c>
      <c r="B1079" s="37" t="str">
        <f ca="1">IF(Agent06_Withdrawals!A84="","","WD"&amp;TEXT(1079-3,"0000")&amp;"-"&amp;TEXT(TODAY(),"YYYYMMDD"))</f>
        <v/>
      </c>
      <c r="C1079" s="37" t="str">
        <f>IF(Agent06_Withdrawals!A84="","",Agent06_Withdrawals!B84)</f>
        <v/>
      </c>
      <c r="D1079" s="40" t="str">
        <f>IF(Agent06_Withdrawals!A84="","",Agent06_Withdrawals!C84)</f>
        <v/>
      </c>
      <c r="E1079" s="38" t="str">
        <f>IF(Agent06_Withdrawals!A84="","",Agent06_Withdrawals!D84)</f>
        <v/>
      </c>
      <c r="F1079" s="37" t="str">
        <f>IF(Agent06_Withdrawals!A84="","",Agent06_Withdrawals!F84)</f>
        <v/>
      </c>
      <c r="G1079" s="39" t="str">
        <f>IF(Agent06_Withdrawals!A84="","",Agent06_Withdrawals!E84)</f>
        <v/>
      </c>
      <c r="H1079" s="39" t="str">
        <f>IF(Agent06_Withdrawals!A84="","",Agent06_Withdrawals!G84)</f>
        <v/>
      </c>
      <c r="I1079" s="37" t="str">
        <f>IF(Agent06_Withdrawals!A84="","",Agent06_Withdrawals!H84)</f>
        <v/>
      </c>
      <c r="J1079" s="37" t="str">
        <f>IF(Agent06_Withdrawals!A84="","",Agent06_Withdrawals!J84)</f>
        <v/>
      </c>
      <c r="K1079" s="37" t="str">
        <f>IF(Agent06_Withdrawals!A84="","",Agent06_Withdrawals!K84)</f>
        <v/>
      </c>
      <c r="L1079" s="37" t="str">
        <f>IF(G1079="","",IF(D1079-G1079&gt;=System_Config!$B$9,"✅ OK","⚠️ BREACH"))</f>
        <v/>
      </c>
      <c r="M1079" s="37" t="str">
        <f>IFERROR(IF(Agent06_Withdrawals!A84="","",YEAR(Agent06_Withdrawals!D84)),"")</f>
        <v/>
      </c>
    </row>
    <row r="1080" spans="1:13" ht="18" customHeight="1" x14ac:dyDescent="0.25">
      <c r="A1080" s="37" t="str">
        <f>IF(Agent06_Withdrawals!A85="","",Agent06_Withdrawals!A85)</f>
        <v/>
      </c>
      <c r="B1080" s="37" t="str">
        <f ca="1">IF(Agent06_Withdrawals!A85="","","WD"&amp;TEXT(1080-3,"0000")&amp;"-"&amp;TEXT(TODAY(),"YYYYMMDD"))</f>
        <v/>
      </c>
      <c r="C1080" s="37" t="str">
        <f>IF(Agent06_Withdrawals!A85="","",Agent06_Withdrawals!B85)</f>
        <v/>
      </c>
      <c r="D1080" s="40" t="str">
        <f>IF(Agent06_Withdrawals!A85="","",Agent06_Withdrawals!C85)</f>
        <v/>
      </c>
      <c r="E1080" s="38" t="str">
        <f>IF(Agent06_Withdrawals!A85="","",Agent06_Withdrawals!D85)</f>
        <v/>
      </c>
      <c r="F1080" s="37" t="str">
        <f>IF(Agent06_Withdrawals!A85="","",Agent06_Withdrawals!F85)</f>
        <v/>
      </c>
      <c r="G1080" s="39" t="str">
        <f>IF(Agent06_Withdrawals!A85="","",Agent06_Withdrawals!E85)</f>
        <v/>
      </c>
      <c r="H1080" s="39" t="str">
        <f>IF(Agent06_Withdrawals!A85="","",Agent06_Withdrawals!G85)</f>
        <v/>
      </c>
      <c r="I1080" s="37" t="str">
        <f>IF(Agent06_Withdrawals!A85="","",Agent06_Withdrawals!H85)</f>
        <v/>
      </c>
      <c r="J1080" s="37" t="str">
        <f>IF(Agent06_Withdrawals!A85="","",Agent06_Withdrawals!J85)</f>
        <v/>
      </c>
      <c r="K1080" s="37" t="str">
        <f>IF(Agent06_Withdrawals!A85="","",Agent06_Withdrawals!K85)</f>
        <v/>
      </c>
      <c r="L1080" s="37" t="str">
        <f>IF(G1080="","",IF(D1080-G1080&gt;=System_Config!$B$9,"✅ OK","⚠️ BREACH"))</f>
        <v/>
      </c>
      <c r="M1080" s="37" t="str">
        <f>IFERROR(IF(Agent06_Withdrawals!A85="","",YEAR(Agent06_Withdrawals!D85)),"")</f>
        <v/>
      </c>
    </row>
    <row r="1081" spans="1:13" ht="18" customHeight="1" x14ac:dyDescent="0.25">
      <c r="A1081" s="37" t="str">
        <f>IF(Agent06_Withdrawals!A86="","",Agent06_Withdrawals!A86)</f>
        <v/>
      </c>
      <c r="B1081" s="37" t="str">
        <f ca="1">IF(Agent06_Withdrawals!A86="","","WD"&amp;TEXT(1081-3,"0000")&amp;"-"&amp;TEXT(TODAY(),"YYYYMMDD"))</f>
        <v/>
      </c>
      <c r="C1081" s="37" t="str">
        <f>IF(Agent06_Withdrawals!A86="","",Agent06_Withdrawals!B86)</f>
        <v/>
      </c>
      <c r="D1081" s="40" t="str">
        <f>IF(Agent06_Withdrawals!A86="","",Agent06_Withdrawals!C86)</f>
        <v/>
      </c>
      <c r="E1081" s="38" t="str">
        <f>IF(Agent06_Withdrawals!A86="","",Agent06_Withdrawals!D86)</f>
        <v/>
      </c>
      <c r="F1081" s="37" t="str">
        <f>IF(Agent06_Withdrawals!A86="","",Agent06_Withdrawals!F86)</f>
        <v/>
      </c>
      <c r="G1081" s="39" t="str">
        <f>IF(Agent06_Withdrawals!A86="","",Agent06_Withdrawals!E86)</f>
        <v/>
      </c>
      <c r="H1081" s="39" t="str">
        <f>IF(Agent06_Withdrawals!A86="","",Agent06_Withdrawals!G86)</f>
        <v/>
      </c>
      <c r="I1081" s="37" t="str">
        <f>IF(Agent06_Withdrawals!A86="","",Agent06_Withdrawals!H86)</f>
        <v/>
      </c>
      <c r="J1081" s="37" t="str">
        <f>IF(Agent06_Withdrawals!A86="","",Agent06_Withdrawals!J86)</f>
        <v/>
      </c>
      <c r="K1081" s="37" t="str">
        <f>IF(Agent06_Withdrawals!A86="","",Agent06_Withdrawals!K86)</f>
        <v/>
      </c>
      <c r="L1081" s="37" t="str">
        <f>IF(G1081="","",IF(D1081-G1081&gt;=System_Config!$B$9,"✅ OK","⚠️ BREACH"))</f>
        <v/>
      </c>
      <c r="M1081" s="37" t="str">
        <f>IFERROR(IF(Agent06_Withdrawals!A86="","",YEAR(Agent06_Withdrawals!D86)),"")</f>
        <v/>
      </c>
    </row>
    <row r="1082" spans="1:13" ht="18" customHeight="1" x14ac:dyDescent="0.25">
      <c r="A1082" s="37" t="str">
        <f>IF(Agent06_Withdrawals!A87="","",Agent06_Withdrawals!A87)</f>
        <v/>
      </c>
      <c r="B1082" s="37" t="str">
        <f ca="1">IF(Agent06_Withdrawals!A87="","","WD"&amp;TEXT(1082-3,"0000")&amp;"-"&amp;TEXT(TODAY(),"YYYYMMDD"))</f>
        <v/>
      </c>
      <c r="C1082" s="37" t="str">
        <f>IF(Agent06_Withdrawals!A87="","",Agent06_Withdrawals!B87)</f>
        <v/>
      </c>
      <c r="D1082" s="40" t="str">
        <f>IF(Agent06_Withdrawals!A87="","",Agent06_Withdrawals!C87)</f>
        <v/>
      </c>
      <c r="E1082" s="38" t="str">
        <f>IF(Agent06_Withdrawals!A87="","",Agent06_Withdrawals!D87)</f>
        <v/>
      </c>
      <c r="F1082" s="37" t="str">
        <f>IF(Agent06_Withdrawals!A87="","",Agent06_Withdrawals!F87)</f>
        <v/>
      </c>
      <c r="G1082" s="39" t="str">
        <f>IF(Agent06_Withdrawals!A87="","",Agent06_Withdrawals!E87)</f>
        <v/>
      </c>
      <c r="H1082" s="39" t="str">
        <f>IF(Agent06_Withdrawals!A87="","",Agent06_Withdrawals!G87)</f>
        <v/>
      </c>
      <c r="I1082" s="37" t="str">
        <f>IF(Agent06_Withdrawals!A87="","",Agent06_Withdrawals!H87)</f>
        <v/>
      </c>
      <c r="J1082" s="37" t="str">
        <f>IF(Agent06_Withdrawals!A87="","",Agent06_Withdrawals!J87)</f>
        <v/>
      </c>
      <c r="K1082" s="37" t="str">
        <f>IF(Agent06_Withdrawals!A87="","",Agent06_Withdrawals!K87)</f>
        <v/>
      </c>
      <c r="L1082" s="37" t="str">
        <f>IF(G1082="","",IF(D1082-G1082&gt;=System_Config!$B$9,"✅ OK","⚠️ BREACH"))</f>
        <v/>
      </c>
      <c r="M1082" s="37" t="str">
        <f>IFERROR(IF(Agent06_Withdrawals!A87="","",YEAR(Agent06_Withdrawals!D87)),"")</f>
        <v/>
      </c>
    </row>
    <row r="1083" spans="1:13" ht="18" customHeight="1" x14ac:dyDescent="0.25">
      <c r="A1083" s="37" t="str">
        <f>IF(Agent06_Withdrawals!A88="","",Agent06_Withdrawals!A88)</f>
        <v/>
      </c>
      <c r="B1083" s="37" t="str">
        <f ca="1">IF(Agent06_Withdrawals!A88="","","WD"&amp;TEXT(1083-3,"0000")&amp;"-"&amp;TEXT(TODAY(),"YYYYMMDD"))</f>
        <v/>
      </c>
      <c r="C1083" s="37" t="str">
        <f>IF(Agent06_Withdrawals!A88="","",Agent06_Withdrawals!B88)</f>
        <v/>
      </c>
      <c r="D1083" s="40" t="str">
        <f>IF(Agent06_Withdrawals!A88="","",Agent06_Withdrawals!C88)</f>
        <v/>
      </c>
      <c r="E1083" s="38" t="str">
        <f>IF(Agent06_Withdrawals!A88="","",Agent06_Withdrawals!D88)</f>
        <v/>
      </c>
      <c r="F1083" s="37" t="str">
        <f>IF(Agent06_Withdrawals!A88="","",Agent06_Withdrawals!F88)</f>
        <v/>
      </c>
      <c r="G1083" s="39" t="str">
        <f>IF(Agent06_Withdrawals!A88="","",Agent06_Withdrawals!E88)</f>
        <v/>
      </c>
      <c r="H1083" s="39" t="str">
        <f>IF(Agent06_Withdrawals!A88="","",Agent06_Withdrawals!G88)</f>
        <v/>
      </c>
      <c r="I1083" s="37" t="str">
        <f>IF(Agent06_Withdrawals!A88="","",Agent06_Withdrawals!H88)</f>
        <v/>
      </c>
      <c r="J1083" s="37" t="str">
        <f>IF(Agent06_Withdrawals!A88="","",Agent06_Withdrawals!J88)</f>
        <v/>
      </c>
      <c r="K1083" s="37" t="str">
        <f>IF(Agent06_Withdrawals!A88="","",Agent06_Withdrawals!K88)</f>
        <v/>
      </c>
      <c r="L1083" s="37" t="str">
        <f>IF(G1083="","",IF(D1083-G1083&gt;=System_Config!$B$9,"✅ OK","⚠️ BREACH"))</f>
        <v/>
      </c>
      <c r="M1083" s="37" t="str">
        <f>IFERROR(IF(Agent06_Withdrawals!A88="","",YEAR(Agent06_Withdrawals!D88)),"")</f>
        <v/>
      </c>
    </row>
    <row r="1084" spans="1:13" ht="18" customHeight="1" x14ac:dyDescent="0.25">
      <c r="A1084" s="37" t="str">
        <f>IF(Agent06_Withdrawals!A89="","",Agent06_Withdrawals!A89)</f>
        <v/>
      </c>
      <c r="B1084" s="37" t="str">
        <f ca="1">IF(Agent06_Withdrawals!A89="","","WD"&amp;TEXT(1084-3,"0000")&amp;"-"&amp;TEXT(TODAY(),"YYYYMMDD"))</f>
        <v/>
      </c>
      <c r="C1084" s="37" t="str">
        <f>IF(Agent06_Withdrawals!A89="","",Agent06_Withdrawals!B89)</f>
        <v/>
      </c>
      <c r="D1084" s="40" t="str">
        <f>IF(Agent06_Withdrawals!A89="","",Agent06_Withdrawals!C89)</f>
        <v/>
      </c>
      <c r="E1084" s="38" t="str">
        <f>IF(Agent06_Withdrawals!A89="","",Agent06_Withdrawals!D89)</f>
        <v/>
      </c>
      <c r="F1084" s="37" t="str">
        <f>IF(Agent06_Withdrawals!A89="","",Agent06_Withdrawals!F89)</f>
        <v/>
      </c>
      <c r="G1084" s="39" t="str">
        <f>IF(Agent06_Withdrawals!A89="","",Agent06_Withdrawals!E89)</f>
        <v/>
      </c>
      <c r="H1084" s="39" t="str">
        <f>IF(Agent06_Withdrawals!A89="","",Agent06_Withdrawals!G89)</f>
        <v/>
      </c>
      <c r="I1084" s="37" t="str">
        <f>IF(Agent06_Withdrawals!A89="","",Agent06_Withdrawals!H89)</f>
        <v/>
      </c>
      <c r="J1084" s="37" t="str">
        <f>IF(Agent06_Withdrawals!A89="","",Agent06_Withdrawals!J89)</f>
        <v/>
      </c>
      <c r="K1084" s="37" t="str">
        <f>IF(Agent06_Withdrawals!A89="","",Agent06_Withdrawals!K89)</f>
        <v/>
      </c>
      <c r="L1084" s="37" t="str">
        <f>IF(G1084="","",IF(D1084-G1084&gt;=System_Config!$B$9,"✅ OK","⚠️ BREACH"))</f>
        <v/>
      </c>
      <c r="M1084" s="37" t="str">
        <f>IFERROR(IF(Agent06_Withdrawals!A89="","",YEAR(Agent06_Withdrawals!D89)),"")</f>
        <v/>
      </c>
    </row>
    <row r="1085" spans="1:13" ht="18" customHeight="1" x14ac:dyDescent="0.25">
      <c r="A1085" s="37" t="str">
        <f>IF(Agent06_Withdrawals!A90="","",Agent06_Withdrawals!A90)</f>
        <v/>
      </c>
      <c r="B1085" s="37" t="str">
        <f ca="1">IF(Agent06_Withdrawals!A90="","","WD"&amp;TEXT(1085-3,"0000")&amp;"-"&amp;TEXT(TODAY(),"YYYYMMDD"))</f>
        <v/>
      </c>
      <c r="C1085" s="37" t="str">
        <f>IF(Agent06_Withdrawals!A90="","",Agent06_Withdrawals!B90)</f>
        <v/>
      </c>
      <c r="D1085" s="40" t="str">
        <f>IF(Agent06_Withdrawals!A90="","",Agent06_Withdrawals!C90)</f>
        <v/>
      </c>
      <c r="E1085" s="38" t="str">
        <f>IF(Agent06_Withdrawals!A90="","",Agent06_Withdrawals!D90)</f>
        <v/>
      </c>
      <c r="F1085" s="37" t="str">
        <f>IF(Agent06_Withdrawals!A90="","",Agent06_Withdrawals!F90)</f>
        <v/>
      </c>
      <c r="G1085" s="39" t="str">
        <f>IF(Agent06_Withdrawals!A90="","",Agent06_Withdrawals!E90)</f>
        <v/>
      </c>
      <c r="H1085" s="39" t="str">
        <f>IF(Agent06_Withdrawals!A90="","",Agent06_Withdrawals!G90)</f>
        <v/>
      </c>
      <c r="I1085" s="37" t="str">
        <f>IF(Agent06_Withdrawals!A90="","",Agent06_Withdrawals!H90)</f>
        <v/>
      </c>
      <c r="J1085" s="37" t="str">
        <f>IF(Agent06_Withdrawals!A90="","",Agent06_Withdrawals!J90)</f>
        <v/>
      </c>
      <c r="K1085" s="37" t="str">
        <f>IF(Agent06_Withdrawals!A90="","",Agent06_Withdrawals!K90)</f>
        <v/>
      </c>
      <c r="L1085" s="37" t="str">
        <f>IF(G1085="","",IF(D1085-G1085&gt;=System_Config!$B$9,"✅ OK","⚠️ BREACH"))</f>
        <v/>
      </c>
      <c r="M1085" s="37" t="str">
        <f>IFERROR(IF(Agent06_Withdrawals!A90="","",YEAR(Agent06_Withdrawals!D90)),"")</f>
        <v/>
      </c>
    </row>
    <row r="1086" spans="1:13" ht="18" customHeight="1" x14ac:dyDescent="0.25">
      <c r="A1086" s="37" t="str">
        <f>IF(Agent06_Withdrawals!A91="","",Agent06_Withdrawals!A91)</f>
        <v/>
      </c>
      <c r="B1086" s="37" t="str">
        <f ca="1">IF(Agent06_Withdrawals!A91="","","WD"&amp;TEXT(1086-3,"0000")&amp;"-"&amp;TEXT(TODAY(),"YYYYMMDD"))</f>
        <v/>
      </c>
      <c r="C1086" s="37" t="str">
        <f>IF(Agent06_Withdrawals!A91="","",Agent06_Withdrawals!B91)</f>
        <v/>
      </c>
      <c r="D1086" s="40" t="str">
        <f>IF(Agent06_Withdrawals!A91="","",Agent06_Withdrawals!C91)</f>
        <v/>
      </c>
      <c r="E1086" s="38" t="str">
        <f>IF(Agent06_Withdrawals!A91="","",Agent06_Withdrawals!D91)</f>
        <v/>
      </c>
      <c r="F1086" s="37" t="str">
        <f>IF(Agent06_Withdrawals!A91="","",Agent06_Withdrawals!F91)</f>
        <v/>
      </c>
      <c r="G1086" s="39" t="str">
        <f>IF(Agent06_Withdrawals!A91="","",Agent06_Withdrawals!E91)</f>
        <v/>
      </c>
      <c r="H1086" s="39" t="str">
        <f>IF(Agent06_Withdrawals!A91="","",Agent06_Withdrawals!G91)</f>
        <v/>
      </c>
      <c r="I1086" s="37" t="str">
        <f>IF(Agent06_Withdrawals!A91="","",Agent06_Withdrawals!H91)</f>
        <v/>
      </c>
      <c r="J1086" s="37" t="str">
        <f>IF(Agent06_Withdrawals!A91="","",Agent06_Withdrawals!J91)</f>
        <v/>
      </c>
      <c r="K1086" s="37" t="str">
        <f>IF(Agent06_Withdrawals!A91="","",Agent06_Withdrawals!K91)</f>
        <v/>
      </c>
      <c r="L1086" s="37" t="str">
        <f>IF(G1086="","",IF(D1086-G1086&gt;=System_Config!$B$9,"✅ OK","⚠️ BREACH"))</f>
        <v/>
      </c>
      <c r="M1086" s="37" t="str">
        <f>IFERROR(IF(Agent06_Withdrawals!A91="","",YEAR(Agent06_Withdrawals!D91)),"")</f>
        <v/>
      </c>
    </row>
    <row r="1087" spans="1:13" ht="18" customHeight="1" x14ac:dyDescent="0.25">
      <c r="A1087" s="37" t="str">
        <f>IF(Agent06_Withdrawals!A92="","",Agent06_Withdrawals!A92)</f>
        <v/>
      </c>
      <c r="B1087" s="37" t="str">
        <f ca="1">IF(Agent06_Withdrawals!A92="","","WD"&amp;TEXT(1087-3,"0000")&amp;"-"&amp;TEXT(TODAY(),"YYYYMMDD"))</f>
        <v/>
      </c>
      <c r="C1087" s="37" t="str">
        <f>IF(Agent06_Withdrawals!A92="","",Agent06_Withdrawals!B92)</f>
        <v/>
      </c>
      <c r="D1087" s="40" t="str">
        <f>IF(Agent06_Withdrawals!A92="","",Agent06_Withdrawals!C92)</f>
        <v/>
      </c>
      <c r="E1087" s="38" t="str">
        <f>IF(Agent06_Withdrawals!A92="","",Agent06_Withdrawals!D92)</f>
        <v/>
      </c>
      <c r="F1087" s="37" t="str">
        <f>IF(Agent06_Withdrawals!A92="","",Agent06_Withdrawals!F92)</f>
        <v/>
      </c>
      <c r="G1087" s="39" t="str">
        <f>IF(Agent06_Withdrawals!A92="","",Agent06_Withdrawals!E92)</f>
        <v/>
      </c>
      <c r="H1087" s="39" t="str">
        <f>IF(Agent06_Withdrawals!A92="","",Agent06_Withdrawals!G92)</f>
        <v/>
      </c>
      <c r="I1087" s="37" t="str">
        <f>IF(Agent06_Withdrawals!A92="","",Agent06_Withdrawals!H92)</f>
        <v/>
      </c>
      <c r="J1087" s="37" t="str">
        <f>IF(Agent06_Withdrawals!A92="","",Agent06_Withdrawals!J92)</f>
        <v/>
      </c>
      <c r="K1087" s="37" t="str">
        <f>IF(Agent06_Withdrawals!A92="","",Agent06_Withdrawals!K92)</f>
        <v/>
      </c>
      <c r="L1087" s="37" t="str">
        <f>IF(G1087="","",IF(D1087-G1087&gt;=System_Config!$B$9,"✅ OK","⚠️ BREACH"))</f>
        <v/>
      </c>
      <c r="M1087" s="37" t="str">
        <f>IFERROR(IF(Agent06_Withdrawals!A92="","",YEAR(Agent06_Withdrawals!D92)),"")</f>
        <v/>
      </c>
    </row>
    <row r="1088" spans="1:13" ht="18" customHeight="1" x14ac:dyDescent="0.25">
      <c r="A1088" s="37" t="str">
        <f>IF(Agent06_Withdrawals!A93="","",Agent06_Withdrawals!A93)</f>
        <v/>
      </c>
      <c r="B1088" s="37" t="str">
        <f ca="1">IF(Agent06_Withdrawals!A93="","","WD"&amp;TEXT(1088-3,"0000")&amp;"-"&amp;TEXT(TODAY(),"YYYYMMDD"))</f>
        <v/>
      </c>
      <c r="C1088" s="37" t="str">
        <f>IF(Agent06_Withdrawals!A93="","",Agent06_Withdrawals!B93)</f>
        <v/>
      </c>
      <c r="D1088" s="40" t="str">
        <f>IF(Agent06_Withdrawals!A93="","",Agent06_Withdrawals!C93)</f>
        <v/>
      </c>
      <c r="E1088" s="38" t="str">
        <f>IF(Agent06_Withdrawals!A93="","",Agent06_Withdrawals!D93)</f>
        <v/>
      </c>
      <c r="F1088" s="37" t="str">
        <f>IF(Agent06_Withdrawals!A93="","",Agent06_Withdrawals!F93)</f>
        <v/>
      </c>
      <c r="G1088" s="39" t="str">
        <f>IF(Agent06_Withdrawals!A93="","",Agent06_Withdrawals!E93)</f>
        <v/>
      </c>
      <c r="H1088" s="39" t="str">
        <f>IF(Agent06_Withdrawals!A93="","",Agent06_Withdrawals!G93)</f>
        <v/>
      </c>
      <c r="I1088" s="37" t="str">
        <f>IF(Agent06_Withdrawals!A93="","",Agent06_Withdrawals!H93)</f>
        <v/>
      </c>
      <c r="J1088" s="37" t="str">
        <f>IF(Agent06_Withdrawals!A93="","",Agent06_Withdrawals!J93)</f>
        <v/>
      </c>
      <c r="K1088" s="37" t="str">
        <f>IF(Agent06_Withdrawals!A93="","",Agent06_Withdrawals!K93)</f>
        <v/>
      </c>
      <c r="L1088" s="37" t="str">
        <f>IF(G1088="","",IF(D1088-G1088&gt;=System_Config!$B$9,"✅ OK","⚠️ BREACH"))</f>
        <v/>
      </c>
      <c r="M1088" s="37" t="str">
        <f>IFERROR(IF(Agent06_Withdrawals!A93="","",YEAR(Agent06_Withdrawals!D93)),"")</f>
        <v/>
      </c>
    </row>
    <row r="1089" spans="1:13" ht="18" customHeight="1" x14ac:dyDescent="0.25">
      <c r="A1089" s="37" t="str">
        <f>IF(Agent06_Withdrawals!A94="","",Agent06_Withdrawals!A94)</f>
        <v/>
      </c>
      <c r="B1089" s="37" t="str">
        <f ca="1">IF(Agent06_Withdrawals!A94="","","WD"&amp;TEXT(1089-3,"0000")&amp;"-"&amp;TEXT(TODAY(),"YYYYMMDD"))</f>
        <v/>
      </c>
      <c r="C1089" s="37" t="str">
        <f>IF(Agent06_Withdrawals!A94="","",Agent06_Withdrawals!B94)</f>
        <v/>
      </c>
      <c r="D1089" s="40" t="str">
        <f>IF(Agent06_Withdrawals!A94="","",Agent06_Withdrawals!C94)</f>
        <v/>
      </c>
      <c r="E1089" s="38" t="str">
        <f>IF(Agent06_Withdrawals!A94="","",Agent06_Withdrawals!D94)</f>
        <v/>
      </c>
      <c r="F1089" s="37" t="str">
        <f>IF(Agent06_Withdrawals!A94="","",Agent06_Withdrawals!F94)</f>
        <v/>
      </c>
      <c r="G1089" s="39" t="str">
        <f>IF(Agent06_Withdrawals!A94="","",Agent06_Withdrawals!E94)</f>
        <v/>
      </c>
      <c r="H1089" s="39" t="str">
        <f>IF(Agent06_Withdrawals!A94="","",Agent06_Withdrawals!G94)</f>
        <v/>
      </c>
      <c r="I1089" s="37" t="str">
        <f>IF(Agent06_Withdrawals!A94="","",Agent06_Withdrawals!H94)</f>
        <v/>
      </c>
      <c r="J1089" s="37" t="str">
        <f>IF(Agent06_Withdrawals!A94="","",Agent06_Withdrawals!J94)</f>
        <v/>
      </c>
      <c r="K1089" s="37" t="str">
        <f>IF(Agent06_Withdrawals!A94="","",Agent06_Withdrawals!K94)</f>
        <v/>
      </c>
      <c r="L1089" s="37" t="str">
        <f>IF(G1089="","",IF(D1089-G1089&gt;=System_Config!$B$9,"✅ OK","⚠️ BREACH"))</f>
        <v/>
      </c>
      <c r="M1089" s="37" t="str">
        <f>IFERROR(IF(Agent06_Withdrawals!A94="","",YEAR(Agent06_Withdrawals!D94)),"")</f>
        <v/>
      </c>
    </row>
    <row r="1090" spans="1:13" ht="18" customHeight="1" x14ac:dyDescent="0.25">
      <c r="A1090" s="37" t="str">
        <f>IF(Agent06_Withdrawals!A95="","",Agent06_Withdrawals!A95)</f>
        <v/>
      </c>
      <c r="B1090" s="37" t="str">
        <f ca="1">IF(Agent06_Withdrawals!A95="","","WD"&amp;TEXT(1090-3,"0000")&amp;"-"&amp;TEXT(TODAY(),"YYYYMMDD"))</f>
        <v/>
      </c>
      <c r="C1090" s="37" t="str">
        <f>IF(Agent06_Withdrawals!A95="","",Agent06_Withdrawals!B95)</f>
        <v/>
      </c>
      <c r="D1090" s="40" t="str">
        <f>IF(Agent06_Withdrawals!A95="","",Agent06_Withdrawals!C95)</f>
        <v/>
      </c>
      <c r="E1090" s="38" t="str">
        <f>IF(Agent06_Withdrawals!A95="","",Agent06_Withdrawals!D95)</f>
        <v/>
      </c>
      <c r="F1090" s="37" t="str">
        <f>IF(Agent06_Withdrawals!A95="","",Agent06_Withdrawals!F95)</f>
        <v/>
      </c>
      <c r="G1090" s="39" t="str">
        <f>IF(Agent06_Withdrawals!A95="","",Agent06_Withdrawals!E95)</f>
        <v/>
      </c>
      <c r="H1090" s="39" t="str">
        <f>IF(Agent06_Withdrawals!A95="","",Agent06_Withdrawals!G95)</f>
        <v/>
      </c>
      <c r="I1090" s="37" t="str">
        <f>IF(Agent06_Withdrawals!A95="","",Agent06_Withdrawals!H95)</f>
        <v/>
      </c>
      <c r="J1090" s="37" t="str">
        <f>IF(Agent06_Withdrawals!A95="","",Agent06_Withdrawals!J95)</f>
        <v/>
      </c>
      <c r="K1090" s="37" t="str">
        <f>IF(Agent06_Withdrawals!A95="","",Agent06_Withdrawals!K95)</f>
        <v/>
      </c>
      <c r="L1090" s="37" t="str">
        <f>IF(G1090="","",IF(D1090-G1090&gt;=System_Config!$B$9,"✅ OK","⚠️ BREACH"))</f>
        <v/>
      </c>
      <c r="M1090" s="37" t="str">
        <f>IFERROR(IF(Agent06_Withdrawals!A95="","",YEAR(Agent06_Withdrawals!D95)),"")</f>
        <v/>
      </c>
    </row>
    <row r="1091" spans="1:13" ht="18" customHeight="1" x14ac:dyDescent="0.25">
      <c r="A1091" s="37" t="str">
        <f>IF(Agent06_Withdrawals!A96="","",Agent06_Withdrawals!A96)</f>
        <v/>
      </c>
      <c r="B1091" s="37" t="str">
        <f ca="1">IF(Agent06_Withdrawals!A96="","","WD"&amp;TEXT(1091-3,"0000")&amp;"-"&amp;TEXT(TODAY(),"YYYYMMDD"))</f>
        <v/>
      </c>
      <c r="C1091" s="37" t="str">
        <f>IF(Agent06_Withdrawals!A96="","",Agent06_Withdrawals!B96)</f>
        <v/>
      </c>
      <c r="D1091" s="40" t="str">
        <f>IF(Agent06_Withdrawals!A96="","",Agent06_Withdrawals!C96)</f>
        <v/>
      </c>
      <c r="E1091" s="38" t="str">
        <f>IF(Agent06_Withdrawals!A96="","",Agent06_Withdrawals!D96)</f>
        <v/>
      </c>
      <c r="F1091" s="37" t="str">
        <f>IF(Agent06_Withdrawals!A96="","",Agent06_Withdrawals!F96)</f>
        <v/>
      </c>
      <c r="G1091" s="39" t="str">
        <f>IF(Agent06_Withdrawals!A96="","",Agent06_Withdrawals!E96)</f>
        <v/>
      </c>
      <c r="H1091" s="39" t="str">
        <f>IF(Agent06_Withdrawals!A96="","",Agent06_Withdrawals!G96)</f>
        <v/>
      </c>
      <c r="I1091" s="37" t="str">
        <f>IF(Agent06_Withdrawals!A96="","",Agent06_Withdrawals!H96)</f>
        <v/>
      </c>
      <c r="J1091" s="37" t="str">
        <f>IF(Agent06_Withdrawals!A96="","",Agent06_Withdrawals!J96)</f>
        <v/>
      </c>
      <c r="K1091" s="37" t="str">
        <f>IF(Agent06_Withdrawals!A96="","",Agent06_Withdrawals!K96)</f>
        <v/>
      </c>
      <c r="L1091" s="37" t="str">
        <f>IF(G1091="","",IF(D1091-G1091&gt;=System_Config!$B$9,"✅ OK","⚠️ BREACH"))</f>
        <v/>
      </c>
      <c r="M1091" s="37" t="str">
        <f>IFERROR(IF(Agent06_Withdrawals!A96="","",YEAR(Agent06_Withdrawals!D96)),"")</f>
        <v/>
      </c>
    </row>
    <row r="1092" spans="1:13" ht="18" customHeight="1" x14ac:dyDescent="0.25">
      <c r="A1092" s="37" t="str">
        <f>IF(Agent06_Withdrawals!A97="","",Agent06_Withdrawals!A97)</f>
        <v/>
      </c>
      <c r="B1092" s="37" t="str">
        <f ca="1">IF(Agent06_Withdrawals!A97="","","WD"&amp;TEXT(1092-3,"0000")&amp;"-"&amp;TEXT(TODAY(),"YYYYMMDD"))</f>
        <v/>
      </c>
      <c r="C1092" s="37" t="str">
        <f>IF(Agent06_Withdrawals!A97="","",Agent06_Withdrawals!B97)</f>
        <v/>
      </c>
      <c r="D1092" s="40" t="str">
        <f>IF(Agent06_Withdrawals!A97="","",Agent06_Withdrawals!C97)</f>
        <v/>
      </c>
      <c r="E1092" s="38" t="str">
        <f>IF(Agent06_Withdrawals!A97="","",Agent06_Withdrawals!D97)</f>
        <v/>
      </c>
      <c r="F1092" s="37" t="str">
        <f>IF(Agent06_Withdrawals!A97="","",Agent06_Withdrawals!F97)</f>
        <v/>
      </c>
      <c r="G1092" s="39" t="str">
        <f>IF(Agent06_Withdrawals!A97="","",Agent06_Withdrawals!E97)</f>
        <v/>
      </c>
      <c r="H1092" s="39" t="str">
        <f>IF(Agent06_Withdrawals!A97="","",Agent06_Withdrawals!G97)</f>
        <v/>
      </c>
      <c r="I1092" s="37" t="str">
        <f>IF(Agent06_Withdrawals!A97="","",Agent06_Withdrawals!H97)</f>
        <v/>
      </c>
      <c r="J1092" s="37" t="str">
        <f>IF(Agent06_Withdrawals!A97="","",Agent06_Withdrawals!J97)</f>
        <v/>
      </c>
      <c r="K1092" s="37" t="str">
        <f>IF(Agent06_Withdrawals!A97="","",Agent06_Withdrawals!K97)</f>
        <v/>
      </c>
      <c r="L1092" s="37" t="str">
        <f>IF(G1092="","",IF(D1092-G1092&gt;=System_Config!$B$9,"✅ OK","⚠️ BREACH"))</f>
        <v/>
      </c>
      <c r="M1092" s="37" t="str">
        <f>IFERROR(IF(Agent06_Withdrawals!A97="","",YEAR(Agent06_Withdrawals!D97)),"")</f>
        <v/>
      </c>
    </row>
    <row r="1093" spans="1:13" ht="18" customHeight="1" x14ac:dyDescent="0.25">
      <c r="A1093" s="37" t="str">
        <f>IF(Agent06_Withdrawals!A98="","",Agent06_Withdrawals!A98)</f>
        <v/>
      </c>
      <c r="B1093" s="37" t="str">
        <f ca="1">IF(Agent06_Withdrawals!A98="","","WD"&amp;TEXT(1093-3,"0000")&amp;"-"&amp;TEXT(TODAY(),"YYYYMMDD"))</f>
        <v/>
      </c>
      <c r="C1093" s="37" t="str">
        <f>IF(Agent06_Withdrawals!A98="","",Agent06_Withdrawals!B98)</f>
        <v/>
      </c>
      <c r="D1093" s="40" t="str">
        <f>IF(Agent06_Withdrawals!A98="","",Agent06_Withdrawals!C98)</f>
        <v/>
      </c>
      <c r="E1093" s="38" t="str">
        <f>IF(Agent06_Withdrawals!A98="","",Agent06_Withdrawals!D98)</f>
        <v/>
      </c>
      <c r="F1093" s="37" t="str">
        <f>IF(Agent06_Withdrawals!A98="","",Agent06_Withdrawals!F98)</f>
        <v/>
      </c>
      <c r="G1093" s="39" t="str">
        <f>IF(Agent06_Withdrawals!A98="","",Agent06_Withdrawals!E98)</f>
        <v/>
      </c>
      <c r="H1093" s="39" t="str">
        <f>IF(Agent06_Withdrawals!A98="","",Agent06_Withdrawals!G98)</f>
        <v/>
      </c>
      <c r="I1093" s="37" t="str">
        <f>IF(Agent06_Withdrawals!A98="","",Agent06_Withdrawals!H98)</f>
        <v/>
      </c>
      <c r="J1093" s="37" t="str">
        <f>IF(Agent06_Withdrawals!A98="","",Agent06_Withdrawals!J98)</f>
        <v/>
      </c>
      <c r="K1093" s="37" t="str">
        <f>IF(Agent06_Withdrawals!A98="","",Agent06_Withdrawals!K98)</f>
        <v/>
      </c>
      <c r="L1093" s="37" t="str">
        <f>IF(G1093="","",IF(D1093-G1093&gt;=System_Config!$B$9,"✅ OK","⚠️ BREACH"))</f>
        <v/>
      </c>
      <c r="M1093" s="37" t="str">
        <f>IFERROR(IF(Agent06_Withdrawals!A98="","",YEAR(Agent06_Withdrawals!D98)),"")</f>
        <v/>
      </c>
    </row>
    <row r="1094" spans="1:13" ht="18" customHeight="1" x14ac:dyDescent="0.25">
      <c r="A1094" s="37" t="str">
        <f>IF(Agent06_Withdrawals!A99="","",Agent06_Withdrawals!A99)</f>
        <v/>
      </c>
      <c r="B1094" s="37" t="str">
        <f ca="1">IF(Agent06_Withdrawals!A99="","","WD"&amp;TEXT(1094-3,"0000")&amp;"-"&amp;TEXT(TODAY(),"YYYYMMDD"))</f>
        <v/>
      </c>
      <c r="C1094" s="37" t="str">
        <f>IF(Agent06_Withdrawals!A99="","",Agent06_Withdrawals!B99)</f>
        <v/>
      </c>
      <c r="D1094" s="40" t="str">
        <f>IF(Agent06_Withdrawals!A99="","",Agent06_Withdrawals!C99)</f>
        <v/>
      </c>
      <c r="E1094" s="38" t="str">
        <f>IF(Agent06_Withdrawals!A99="","",Agent06_Withdrawals!D99)</f>
        <v/>
      </c>
      <c r="F1094" s="37" t="str">
        <f>IF(Agent06_Withdrawals!A99="","",Agent06_Withdrawals!F99)</f>
        <v/>
      </c>
      <c r="G1094" s="39" t="str">
        <f>IF(Agent06_Withdrawals!A99="","",Agent06_Withdrawals!E99)</f>
        <v/>
      </c>
      <c r="H1094" s="39" t="str">
        <f>IF(Agent06_Withdrawals!A99="","",Agent06_Withdrawals!G99)</f>
        <v/>
      </c>
      <c r="I1094" s="37" t="str">
        <f>IF(Agent06_Withdrawals!A99="","",Agent06_Withdrawals!H99)</f>
        <v/>
      </c>
      <c r="J1094" s="37" t="str">
        <f>IF(Agent06_Withdrawals!A99="","",Agent06_Withdrawals!J99)</f>
        <v/>
      </c>
      <c r="K1094" s="37" t="str">
        <f>IF(Agent06_Withdrawals!A99="","",Agent06_Withdrawals!K99)</f>
        <v/>
      </c>
      <c r="L1094" s="37" t="str">
        <f>IF(G1094="","",IF(D1094-G1094&gt;=System_Config!$B$9,"✅ OK","⚠️ BREACH"))</f>
        <v/>
      </c>
      <c r="M1094" s="37" t="str">
        <f>IFERROR(IF(Agent06_Withdrawals!A99="","",YEAR(Agent06_Withdrawals!D99)),"")</f>
        <v/>
      </c>
    </row>
    <row r="1095" spans="1:13" ht="18" customHeight="1" x14ac:dyDescent="0.25">
      <c r="A1095" s="37" t="str">
        <f>IF(Agent06_Withdrawals!A100="","",Agent06_Withdrawals!A100)</f>
        <v/>
      </c>
      <c r="B1095" s="37" t="str">
        <f ca="1">IF(Agent06_Withdrawals!A100="","","WD"&amp;TEXT(1095-3,"0000")&amp;"-"&amp;TEXT(TODAY(),"YYYYMMDD"))</f>
        <v/>
      </c>
      <c r="C1095" s="37" t="str">
        <f>IF(Agent06_Withdrawals!A100="","",Agent06_Withdrawals!B100)</f>
        <v/>
      </c>
      <c r="D1095" s="40" t="str">
        <f>IF(Agent06_Withdrawals!A100="","",Agent06_Withdrawals!C100)</f>
        <v/>
      </c>
      <c r="E1095" s="38" t="str">
        <f>IF(Agent06_Withdrawals!A100="","",Agent06_Withdrawals!D100)</f>
        <v/>
      </c>
      <c r="F1095" s="37" t="str">
        <f>IF(Agent06_Withdrawals!A100="","",Agent06_Withdrawals!F100)</f>
        <v/>
      </c>
      <c r="G1095" s="39" t="str">
        <f>IF(Agent06_Withdrawals!A100="","",Agent06_Withdrawals!E100)</f>
        <v/>
      </c>
      <c r="H1095" s="39" t="str">
        <f>IF(Agent06_Withdrawals!A100="","",Agent06_Withdrawals!G100)</f>
        <v/>
      </c>
      <c r="I1095" s="37" t="str">
        <f>IF(Agent06_Withdrawals!A100="","",Agent06_Withdrawals!H100)</f>
        <v/>
      </c>
      <c r="J1095" s="37" t="str">
        <f>IF(Agent06_Withdrawals!A100="","",Agent06_Withdrawals!J100)</f>
        <v/>
      </c>
      <c r="K1095" s="37" t="str">
        <f>IF(Agent06_Withdrawals!A100="","",Agent06_Withdrawals!K100)</f>
        <v/>
      </c>
      <c r="L1095" s="37" t="str">
        <f>IF(G1095="","",IF(D1095-G1095&gt;=System_Config!$B$9,"✅ OK","⚠️ BREACH"))</f>
        <v/>
      </c>
      <c r="M1095" s="37" t="str">
        <f>IFERROR(IF(Agent06_Withdrawals!A100="","",YEAR(Agent06_Withdrawals!D100)),"")</f>
        <v/>
      </c>
    </row>
    <row r="1096" spans="1:13" ht="18" customHeight="1" x14ac:dyDescent="0.25">
      <c r="A1096" s="37" t="str">
        <f>IF(Agent06_Withdrawals!A101="","",Agent06_Withdrawals!A101)</f>
        <v/>
      </c>
      <c r="B1096" s="37" t="str">
        <f ca="1">IF(Agent06_Withdrawals!A101="","","WD"&amp;TEXT(1096-3,"0000")&amp;"-"&amp;TEXT(TODAY(),"YYYYMMDD"))</f>
        <v/>
      </c>
      <c r="C1096" s="37" t="str">
        <f>IF(Agent06_Withdrawals!A101="","",Agent06_Withdrawals!B101)</f>
        <v/>
      </c>
      <c r="D1096" s="40" t="str">
        <f>IF(Agent06_Withdrawals!A101="","",Agent06_Withdrawals!C101)</f>
        <v/>
      </c>
      <c r="E1096" s="38" t="str">
        <f>IF(Agent06_Withdrawals!A101="","",Agent06_Withdrawals!D101)</f>
        <v/>
      </c>
      <c r="F1096" s="37" t="str">
        <f>IF(Agent06_Withdrawals!A101="","",Agent06_Withdrawals!F101)</f>
        <v/>
      </c>
      <c r="G1096" s="39" t="str">
        <f>IF(Agent06_Withdrawals!A101="","",Agent06_Withdrawals!E101)</f>
        <v/>
      </c>
      <c r="H1096" s="39" t="str">
        <f>IF(Agent06_Withdrawals!A101="","",Agent06_Withdrawals!G101)</f>
        <v/>
      </c>
      <c r="I1096" s="37" t="str">
        <f>IF(Agent06_Withdrawals!A101="","",Agent06_Withdrawals!H101)</f>
        <v/>
      </c>
      <c r="J1096" s="37" t="str">
        <f>IF(Agent06_Withdrawals!A101="","",Agent06_Withdrawals!J101)</f>
        <v/>
      </c>
      <c r="K1096" s="37" t="str">
        <f>IF(Agent06_Withdrawals!A101="","",Agent06_Withdrawals!K101)</f>
        <v/>
      </c>
      <c r="L1096" s="37" t="str">
        <f>IF(G1096="","",IF(D1096-G1096&gt;=System_Config!$B$9,"✅ OK","⚠️ BREACH"))</f>
        <v/>
      </c>
      <c r="M1096" s="37" t="str">
        <f>IFERROR(IF(Agent06_Withdrawals!A101="","",YEAR(Agent06_Withdrawals!D101)),"")</f>
        <v/>
      </c>
    </row>
    <row r="1097" spans="1:13" ht="18" customHeight="1" x14ac:dyDescent="0.25">
      <c r="A1097" s="37" t="str">
        <f>IF(Agent06_Withdrawals!A102="","",Agent06_Withdrawals!A102)</f>
        <v/>
      </c>
      <c r="B1097" s="37" t="str">
        <f ca="1">IF(Agent06_Withdrawals!A102="","","WD"&amp;TEXT(1097-3,"0000")&amp;"-"&amp;TEXT(TODAY(),"YYYYMMDD"))</f>
        <v/>
      </c>
      <c r="C1097" s="37" t="str">
        <f>IF(Agent06_Withdrawals!A102="","",Agent06_Withdrawals!B102)</f>
        <v/>
      </c>
      <c r="D1097" s="40" t="str">
        <f>IF(Agent06_Withdrawals!A102="","",Agent06_Withdrawals!C102)</f>
        <v/>
      </c>
      <c r="E1097" s="38" t="str">
        <f>IF(Agent06_Withdrawals!A102="","",Agent06_Withdrawals!D102)</f>
        <v/>
      </c>
      <c r="F1097" s="37" t="str">
        <f>IF(Agent06_Withdrawals!A102="","",Agent06_Withdrawals!F102)</f>
        <v/>
      </c>
      <c r="G1097" s="39" t="str">
        <f>IF(Agent06_Withdrawals!A102="","",Agent06_Withdrawals!E102)</f>
        <v/>
      </c>
      <c r="H1097" s="39" t="str">
        <f>IF(Agent06_Withdrawals!A102="","",Agent06_Withdrawals!G102)</f>
        <v/>
      </c>
      <c r="I1097" s="37" t="str">
        <f>IF(Agent06_Withdrawals!A102="","",Agent06_Withdrawals!H102)</f>
        <v/>
      </c>
      <c r="J1097" s="37" t="str">
        <f>IF(Agent06_Withdrawals!A102="","",Agent06_Withdrawals!J102)</f>
        <v/>
      </c>
      <c r="K1097" s="37" t="str">
        <f>IF(Agent06_Withdrawals!A102="","",Agent06_Withdrawals!K102)</f>
        <v/>
      </c>
      <c r="L1097" s="37" t="str">
        <f>IF(G1097="","",IF(D1097-G1097&gt;=System_Config!$B$9,"✅ OK","⚠️ BREACH"))</f>
        <v/>
      </c>
      <c r="M1097" s="37" t="str">
        <f>IFERROR(IF(Agent06_Withdrawals!A102="","",YEAR(Agent06_Withdrawals!D102)),"")</f>
        <v/>
      </c>
    </row>
    <row r="1098" spans="1:13" ht="18" customHeight="1" x14ac:dyDescent="0.25">
      <c r="A1098" s="37" t="str">
        <f>IF(Agent06_Withdrawals!A103="","",Agent06_Withdrawals!A103)</f>
        <v/>
      </c>
      <c r="B1098" s="37" t="str">
        <f ca="1">IF(Agent06_Withdrawals!A103="","","WD"&amp;TEXT(1098-3,"0000")&amp;"-"&amp;TEXT(TODAY(),"YYYYMMDD"))</f>
        <v/>
      </c>
      <c r="C1098" s="37" t="str">
        <f>IF(Agent06_Withdrawals!A103="","",Agent06_Withdrawals!B103)</f>
        <v/>
      </c>
      <c r="D1098" s="40" t="str">
        <f>IF(Agent06_Withdrawals!A103="","",Agent06_Withdrawals!C103)</f>
        <v/>
      </c>
      <c r="E1098" s="38" t="str">
        <f>IF(Agent06_Withdrawals!A103="","",Agent06_Withdrawals!D103)</f>
        <v/>
      </c>
      <c r="F1098" s="37" t="str">
        <f>IF(Agent06_Withdrawals!A103="","",Agent06_Withdrawals!F103)</f>
        <v/>
      </c>
      <c r="G1098" s="39" t="str">
        <f>IF(Agent06_Withdrawals!A103="","",Agent06_Withdrawals!E103)</f>
        <v/>
      </c>
      <c r="H1098" s="39" t="str">
        <f>IF(Agent06_Withdrawals!A103="","",Agent06_Withdrawals!G103)</f>
        <v/>
      </c>
      <c r="I1098" s="37" t="str">
        <f>IF(Agent06_Withdrawals!A103="","",Agent06_Withdrawals!H103)</f>
        <v/>
      </c>
      <c r="J1098" s="37" t="str">
        <f>IF(Agent06_Withdrawals!A103="","",Agent06_Withdrawals!J103)</f>
        <v/>
      </c>
      <c r="K1098" s="37" t="str">
        <f>IF(Agent06_Withdrawals!A103="","",Agent06_Withdrawals!K103)</f>
        <v/>
      </c>
      <c r="L1098" s="37" t="str">
        <f>IF(G1098="","",IF(D1098-G1098&gt;=System_Config!$B$9,"✅ OK","⚠️ BREACH"))</f>
        <v/>
      </c>
      <c r="M1098" s="37" t="str">
        <f>IFERROR(IF(Agent06_Withdrawals!A103="","",YEAR(Agent06_Withdrawals!D103)),"")</f>
        <v/>
      </c>
    </row>
    <row r="1099" spans="1:13" ht="18" customHeight="1" x14ac:dyDescent="0.25">
      <c r="A1099" s="37" t="str">
        <f>IF(Agent06_Withdrawals!A104="","",Agent06_Withdrawals!A104)</f>
        <v/>
      </c>
      <c r="B1099" s="37" t="str">
        <f ca="1">IF(Agent06_Withdrawals!A104="","","WD"&amp;TEXT(1099-3,"0000")&amp;"-"&amp;TEXT(TODAY(),"YYYYMMDD"))</f>
        <v/>
      </c>
      <c r="C1099" s="37" t="str">
        <f>IF(Agent06_Withdrawals!A104="","",Agent06_Withdrawals!B104)</f>
        <v/>
      </c>
      <c r="D1099" s="40" t="str">
        <f>IF(Agent06_Withdrawals!A104="","",Agent06_Withdrawals!C104)</f>
        <v/>
      </c>
      <c r="E1099" s="38" t="str">
        <f>IF(Agent06_Withdrawals!A104="","",Agent06_Withdrawals!D104)</f>
        <v/>
      </c>
      <c r="F1099" s="37" t="str">
        <f>IF(Agent06_Withdrawals!A104="","",Agent06_Withdrawals!F104)</f>
        <v/>
      </c>
      <c r="G1099" s="39" t="str">
        <f>IF(Agent06_Withdrawals!A104="","",Agent06_Withdrawals!E104)</f>
        <v/>
      </c>
      <c r="H1099" s="39" t="str">
        <f>IF(Agent06_Withdrawals!A104="","",Agent06_Withdrawals!G104)</f>
        <v/>
      </c>
      <c r="I1099" s="37" t="str">
        <f>IF(Agent06_Withdrawals!A104="","",Agent06_Withdrawals!H104)</f>
        <v/>
      </c>
      <c r="J1099" s="37" t="str">
        <f>IF(Agent06_Withdrawals!A104="","",Agent06_Withdrawals!J104)</f>
        <v/>
      </c>
      <c r="K1099" s="37" t="str">
        <f>IF(Agent06_Withdrawals!A104="","",Agent06_Withdrawals!K104)</f>
        <v/>
      </c>
      <c r="L1099" s="37" t="str">
        <f>IF(G1099="","",IF(D1099-G1099&gt;=System_Config!$B$9,"✅ OK","⚠️ BREACH"))</f>
        <v/>
      </c>
      <c r="M1099" s="37" t="str">
        <f>IFERROR(IF(Agent06_Withdrawals!A104="","",YEAR(Agent06_Withdrawals!D104)),"")</f>
        <v/>
      </c>
    </row>
    <row r="1100" spans="1:13" ht="18" customHeight="1" x14ac:dyDescent="0.25">
      <c r="A1100" s="37" t="str">
        <f>IF(Agent06_Withdrawals!A105="","",Agent06_Withdrawals!A105)</f>
        <v/>
      </c>
      <c r="B1100" s="37" t="str">
        <f ca="1">IF(Agent06_Withdrawals!A105="","","WD"&amp;TEXT(1100-3,"0000")&amp;"-"&amp;TEXT(TODAY(),"YYYYMMDD"))</f>
        <v/>
      </c>
      <c r="C1100" s="37" t="str">
        <f>IF(Agent06_Withdrawals!A105="","",Agent06_Withdrawals!B105)</f>
        <v/>
      </c>
      <c r="D1100" s="40" t="str">
        <f>IF(Agent06_Withdrawals!A105="","",Agent06_Withdrawals!C105)</f>
        <v/>
      </c>
      <c r="E1100" s="38" t="str">
        <f>IF(Agent06_Withdrawals!A105="","",Agent06_Withdrawals!D105)</f>
        <v/>
      </c>
      <c r="F1100" s="37" t="str">
        <f>IF(Agent06_Withdrawals!A105="","",Agent06_Withdrawals!F105)</f>
        <v/>
      </c>
      <c r="G1100" s="39" t="str">
        <f>IF(Agent06_Withdrawals!A105="","",Agent06_Withdrawals!E105)</f>
        <v/>
      </c>
      <c r="H1100" s="39" t="str">
        <f>IF(Agent06_Withdrawals!A105="","",Agent06_Withdrawals!G105)</f>
        <v/>
      </c>
      <c r="I1100" s="37" t="str">
        <f>IF(Agent06_Withdrawals!A105="","",Agent06_Withdrawals!H105)</f>
        <v/>
      </c>
      <c r="J1100" s="37" t="str">
        <f>IF(Agent06_Withdrawals!A105="","",Agent06_Withdrawals!J105)</f>
        <v/>
      </c>
      <c r="K1100" s="37" t="str">
        <f>IF(Agent06_Withdrawals!A105="","",Agent06_Withdrawals!K105)</f>
        <v/>
      </c>
      <c r="L1100" s="37" t="str">
        <f>IF(G1100="","",IF(D1100-G1100&gt;=System_Config!$B$9,"✅ OK","⚠️ BREACH"))</f>
        <v/>
      </c>
      <c r="M1100" s="37" t="str">
        <f>IFERROR(IF(Agent06_Withdrawals!A105="","",YEAR(Agent06_Withdrawals!D105)),"")</f>
        <v/>
      </c>
    </row>
    <row r="1101" spans="1:13" ht="18" customHeight="1" x14ac:dyDescent="0.25">
      <c r="A1101" s="37" t="str">
        <f>IF(Agent06_Withdrawals!A106="","",Agent06_Withdrawals!A106)</f>
        <v/>
      </c>
      <c r="B1101" s="37" t="str">
        <f ca="1">IF(Agent06_Withdrawals!A106="","","WD"&amp;TEXT(1101-3,"0000")&amp;"-"&amp;TEXT(TODAY(),"YYYYMMDD"))</f>
        <v/>
      </c>
      <c r="C1101" s="37" t="str">
        <f>IF(Agent06_Withdrawals!A106="","",Agent06_Withdrawals!B106)</f>
        <v/>
      </c>
      <c r="D1101" s="40" t="str">
        <f>IF(Agent06_Withdrawals!A106="","",Agent06_Withdrawals!C106)</f>
        <v/>
      </c>
      <c r="E1101" s="38" t="str">
        <f>IF(Agent06_Withdrawals!A106="","",Agent06_Withdrawals!D106)</f>
        <v/>
      </c>
      <c r="F1101" s="37" t="str">
        <f>IF(Agent06_Withdrawals!A106="","",Agent06_Withdrawals!F106)</f>
        <v/>
      </c>
      <c r="G1101" s="39" t="str">
        <f>IF(Agent06_Withdrawals!A106="","",Agent06_Withdrawals!E106)</f>
        <v/>
      </c>
      <c r="H1101" s="39" t="str">
        <f>IF(Agent06_Withdrawals!A106="","",Agent06_Withdrawals!G106)</f>
        <v/>
      </c>
      <c r="I1101" s="37" t="str">
        <f>IF(Agent06_Withdrawals!A106="","",Agent06_Withdrawals!H106)</f>
        <v/>
      </c>
      <c r="J1101" s="37" t="str">
        <f>IF(Agent06_Withdrawals!A106="","",Agent06_Withdrawals!J106)</f>
        <v/>
      </c>
      <c r="K1101" s="37" t="str">
        <f>IF(Agent06_Withdrawals!A106="","",Agent06_Withdrawals!K106)</f>
        <v/>
      </c>
      <c r="L1101" s="37" t="str">
        <f>IF(G1101="","",IF(D1101-G1101&gt;=System_Config!$B$9,"✅ OK","⚠️ BREACH"))</f>
        <v/>
      </c>
      <c r="M1101" s="37" t="str">
        <f>IFERROR(IF(Agent06_Withdrawals!A106="","",YEAR(Agent06_Withdrawals!D106)),"")</f>
        <v/>
      </c>
    </row>
    <row r="1102" spans="1:13" ht="18" customHeight="1" x14ac:dyDescent="0.25">
      <c r="A1102" s="37" t="str">
        <f>IF(Agent06_Withdrawals!A107="","",Agent06_Withdrawals!A107)</f>
        <v/>
      </c>
      <c r="B1102" s="37" t="str">
        <f ca="1">IF(Agent06_Withdrawals!A107="","","WD"&amp;TEXT(1102-3,"0000")&amp;"-"&amp;TEXT(TODAY(),"YYYYMMDD"))</f>
        <v/>
      </c>
      <c r="C1102" s="37" t="str">
        <f>IF(Agent06_Withdrawals!A107="","",Agent06_Withdrawals!B107)</f>
        <v/>
      </c>
      <c r="D1102" s="40" t="str">
        <f>IF(Agent06_Withdrawals!A107="","",Agent06_Withdrawals!C107)</f>
        <v/>
      </c>
      <c r="E1102" s="38" t="str">
        <f>IF(Agent06_Withdrawals!A107="","",Agent06_Withdrawals!D107)</f>
        <v/>
      </c>
      <c r="F1102" s="37" t="str">
        <f>IF(Agent06_Withdrawals!A107="","",Agent06_Withdrawals!F107)</f>
        <v/>
      </c>
      <c r="G1102" s="39" t="str">
        <f>IF(Agent06_Withdrawals!A107="","",Agent06_Withdrawals!E107)</f>
        <v/>
      </c>
      <c r="H1102" s="39" t="str">
        <f>IF(Agent06_Withdrawals!A107="","",Agent06_Withdrawals!G107)</f>
        <v/>
      </c>
      <c r="I1102" s="37" t="str">
        <f>IF(Agent06_Withdrawals!A107="","",Agent06_Withdrawals!H107)</f>
        <v/>
      </c>
      <c r="J1102" s="37" t="str">
        <f>IF(Agent06_Withdrawals!A107="","",Agent06_Withdrawals!J107)</f>
        <v/>
      </c>
      <c r="K1102" s="37" t="str">
        <f>IF(Agent06_Withdrawals!A107="","",Agent06_Withdrawals!K107)</f>
        <v/>
      </c>
      <c r="L1102" s="37" t="str">
        <f>IF(G1102="","",IF(D1102-G1102&gt;=System_Config!$B$9,"✅ OK","⚠️ BREACH"))</f>
        <v/>
      </c>
      <c r="M1102" s="37" t="str">
        <f>IFERROR(IF(Agent06_Withdrawals!A107="","",YEAR(Agent06_Withdrawals!D107)),"")</f>
        <v/>
      </c>
    </row>
    <row r="1103" spans="1:13" ht="18" customHeight="1" x14ac:dyDescent="0.25">
      <c r="A1103" s="37" t="str">
        <f>IF(Agent06_Withdrawals!A108="","",Agent06_Withdrawals!A108)</f>
        <v/>
      </c>
      <c r="B1103" s="37" t="str">
        <f ca="1">IF(Agent06_Withdrawals!A108="","","WD"&amp;TEXT(1103-3,"0000")&amp;"-"&amp;TEXT(TODAY(),"YYYYMMDD"))</f>
        <v/>
      </c>
      <c r="C1103" s="37" t="str">
        <f>IF(Agent06_Withdrawals!A108="","",Agent06_Withdrawals!B108)</f>
        <v/>
      </c>
      <c r="D1103" s="40" t="str">
        <f>IF(Agent06_Withdrawals!A108="","",Agent06_Withdrawals!C108)</f>
        <v/>
      </c>
      <c r="E1103" s="38" t="str">
        <f>IF(Agent06_Withdrawals!A108="","",Agent06_Withdrawals!D108)</f>
        <v/>
      </c>
      <c r="F1103" s="37" t="str">
        <f>IF(Agent06_Withdrawals!A108="","",Agent06_Withdrawals!F108)</f>
        <v/>
      </c>
      <c r="G1103" s="39" t="str">
        <f>IF(Agent06_Withdrawals!A108="","",Agent06_Withdrawals!E108)</f>
        <v/>
      </c>
      <c r="H1103" s="39" t="str">
        <f>IF(Agent06_Withdrawals!A108="","",Agent06_Withdrawals!G108)</f>
        <v/>
      </c>
      <c r="I1103" s="37" t="str">
        <f>IF(Agent06_Withdrawals!A108="","",Agent06_Withdrawals!H108)</f>
        <v/>
      </c>
      <c r="J1103" s="37" t="str">
        <f>IF(Agent06_Withdrawals!A108="","",Agent06_Withdrawals!J108)</f>
        <v/>
      </c>
      <c r="K1103" s="37" t="str">
        <f>IF(Agent06_Withdrawals!A108="","",Agent06_Withdrawals!K108)</f>
        <v/>
      </c>
      <c r="L1103" s="37" t="str">
        <f>IF(G1103="","",IF(D1103-G1103&gt;=System_Config!$B$9,"✅ OK","⚠️ BREACH"))</f>
        <v/>
      </c>
      <c r="M1103" s="37" t="str">
        <f>IFERROR(IF(Agent06_Withdrawals!A108="","",YEAR(Agent06_Withdrawals!D108)),"")</f>
        <v/>
      </c>
    </row>
    <row r="1104" spans="1:13" ht="18" customHeight="1" x14ac:dyDescent="0.25">
      <c r="A1104" s="37" t="str">
        <f>IF(Agent06_Withdrawals!A109="","",Agent06_Withdrawals!A109)</f>
        <v/>
      </c>
      <c r="B1104" s="37" t="str">
        <f ca="1">IF(Agent06_Withdrawals!A109="","","WD"&amp;TEXT(1104-3,"0000")&amp;"-"&amp;TEXT(TODAY(),"YYYYMMDD"))</f>
        <v/>
      </c>
      <c r="C1104" s="37" t="str">
        <f>IF(Agent06_Withdrawals!A109="","",Agent06_Withdrawals!B109)</f>
        <v/>
      </c>
      <c r="D1104" s="40" t="str">
        <f>IF(Agent06_Withdrawals!A109="","",Agent06_Withdrawals!C109)</f>
        <v/>
      </c>
      <c r="E1104" s="38" t="str">
        <f>IF(Agent06_Withdrawals!A109="","",Agent06_Withdrawals!D109)</f>
        <v/>
      </c>
      <c r="F1104" s="37" t="str">
        <f>IF(Agent06_Withdrawals!A109="","",Agent06_Withdrawals!F109)</f>
        <v/>
      </c>
      <c r="G1104" s="39" t="str">
        <f>IF(Agent06_Withdrawals!A109="","",Agent06_Withdrawals!E109)</f>
        <v/>
      </c>
      <c r="H1104" s="39" t="str">
        <f>IF(Agent06_Withdrawals!A109="","",Agent06_Withdrawals!G109)</f>
        <v/>
      </c>
      <c r="I1104" s="37" t="str">
        <f>IF(Agent06_Withdrawals!A109="","",Agent06_Withdrawals!H109)</f>
        <v/>
      </c>
      <c r="J1104" s="37" t="str">
        <f>IF(Agent06_Withdrawals!A109="","",Agent06_Withdrawals!J109)</f>
        <v/>
      </c>
      <c r="K1104" s="37" t="str">
        <f>IF(Agent06_Withdrawals!A109="","",Agent06_Withdrawals!K109)</f>
        <v/>
      </c>
      <c r="L1104" s="37" t="str">
        <f>IF(G1104="","",IF(D1104-G1104&gt;=System_Config!$B$9,"✅ OK","⚠️ BREACH"))</f>
        <v/>
      </c>
      <c r="M1104" s="37" t="str">
        <f>IFERROR(IF(Agent06_Withdrawals!A109="","",YEAR(Agent06_Withdrawals!D109)),"")</f>
        <v/>
      </c>
    </row>
    <row r="1105" spans="1:13" ht="18" customHeight="1" x14ac:dyDescent="0.25">
      <c r="A1105" s="37" t="str">
        <f>IF(Agent06_Withdrawals!A110="","",Agent06_Withdrawals!A110)</f>
        <v/>
      </c>
      <c r="B1105" s="37" t="str">
        <f ca="1">IF(Agent06_Withdrawals!A110="","","WD"&amp;TEXT(1105-3,"0000")&amp;"-"&amp;TEXT(TODAY(),"YYYYMMDD"))</f>
        <v/>
      </c>
      <c r="C1105" s="37" t="str">
        <f>IF(Agent06_Withdrawals!A110="","",Agent06_Withdrawals!B110)</f>
        <v/>
      </c>
      <c r="D1105" s="40" t="str">
        <f>IF(Agent06_Withdrawals!A110="","",Agent06_Withdrawals!C110)</f>
        <v/>
      </c>
      <c r="E1105" s="38" t="str">
        <f>IF(Agent06_Withdrawals!A110="","",Agent06_Withdrawals!D110)</f>
        <v/>
      </c>
      <c r="F1105" s="37" t="str">
        <f>IF(Agent06_Withdrawals!A110="","",Agent06_Withdrawals!F110)</f>
        <v/>
      </c>
      <c r="G1105" s="39" t="str">
        <f>IF(Agent06_Withdrawals!A110="","",Agent06_Withdrawals!E110)</f>
        <v/>
      </c>
      <c r="H1105" s="39" t="str">
        <f>IF(Agent06_Withdrawals!A110="","",Agent06_Withdrawals!G110)</f>
        <v/>
      </c>
      <c r="I1105" s="37" t="str">
        <f>IF(Agent06_Withdrawals!A110="","",Agent06_Withdrawals!H110)</f>
        <v/>
      </c>
      <c r="J1105" s="37" t="str">
        <f>IF(Agent06_Withdrawals!A110="","",Agent06_Withdrawals!J110)</f>
        <v/>
      </c>
      <c r="K1105" s="37" t="str">
        <f>IF(Agent06_Withdrawals!A110="","",Agent06_Withdrawals!K110)</f>
        <v/>
      </c>
      <c r="L1105" s="37" t="str">
        <f>IF(G1105="","",IF(D1105-G1105&gt;=System_Config!$B$9,"✅ OK","⚠️ BREACH"))</f>
        <v/>
      </c>
      <c r="M1105" s="37" t="str">
        <f>IFERROR(IF(Agent06_Withdrawals!A110="","",YEAR(Agent06_Withdrawals!D110)),"")</f>
        <v/>
      </c>
    </row>
    <row r="1106" spans="1:13" ht="18" customHeight="1" x14ac:dyDescent="0.25">
      <c r="A1106" s="37" t="str">
        <f>IF(Agent06_Withdrawals!A111="","",Agent06_Withdrawals!A111)</f>
        <v/>
      </c>
      <c r="B1106" s="37" t="str">
        <f ca="1">IF(Agent06_Withdrawals!A111="","","WD"&amp;TEXT(1106-3,"0000")&amp;"-"&amp;TEXT(TODAY(),"YYYYMMDD"))</f>
        <v/>
      </c>
      <c r="C1106" s="37" t="str">
        <f>IF(Agent06_Withdrawals!A111="","",Agent06_Withdrawals!B111)</f>
        <v/>
      </c>
      <c r="D1106" s="40" t="str">
        <f>IF(Agent06_Withdrawals!A111="","",Agent06_Withdrawals!C111)</f>
        <v/>
      </c>
      <c r="E1106" s="38" t="str">
        <f>IF(Agent06_Withdrawals!A111="","",Agent06_Withdrawals!D111)</f>
        <v/>
      </c>
      <c r="F1106" s="37" t="str">
        <f>IF(Agent06_Withdrawals!A111="","",Agent06_Withdrawals!F111)</f>
        <v/>
      </c>
      <c r="G1106" s="39" t="str">
        <f>IF(Agent06_Withdrawals!A111="","",Agent06_Withdrawals!E111)</f>
        <v/>
      </c>
      <c r="H1106" s="39" t="str">
        <f>IF(Agent06_Withdrawals!A111="","",Agent06_Withdrawals!G111)</f>
        <v/>
      </c>
      <c r="I1106" s="37" t="str">
        <f>IF(Agent06_Withdrawals!A111="","",Agent06_Withdrawals!H111)</f>
        <v/>
      </c>
      <c r="J1106" s="37" t="str">
        <f>IF(Agent06_Withdrawals!A111="","",Agent06_Withdrawals!J111)</f>
        <v/>
      </c>
      <c r="K1106" s="37" t="str">
        <f>IF(Agent06_Withdrawals!A111="","",Agent06_Withdrawals!K111)</f>
        <v/>
      </c>
      <c r="L1106" s="37" t="str">
        <f>IF(G1106="","",IF(D1106-G1106&gt;=System_Config!$B$9,"✅ OK","⚠️ BREACH"))</f>
        <v/>
      </c>
      <c r="M1106" s="37" t="str">
        <f>IFERROR(IF(Agent06_Withdrawals!A111="","",YEAR(Agent06_Withdrawals!D111)),"")</f>
        <v/>
      </c>
    </row>
    <row r="1107" spans="1:13" ht="18" customHeight="1" x14ac:dyDescent="0.25">
      <c r="A1107" s="37" t="str">
        <f>IF(Agent06_Withdrawals!A112="","",Agent06_Withdrawals!A112)</f>
        <v/>
      </c>
      <c r="B1107" s="37" t="str">
        <f ca="1">IF(Agent06_Withdrawals!A112="","","WD"&amp;TEXT(1107-3,"0000")&amp;"-"&amp;TEXT(TODAY(),"YYYYMMDD"))</f>
        <v/>
      </c>
      <c r="C1107" s="37" t="str">
        <f>IF(Agent06_Withdrawals!A112="","",Agent06_Withdrawals!B112)</f>
        <v/>
      </c>
      <c r="D1107" s="40" t="str">
        <f>IF(Agent06_Withdrawals!A112="","",Agent06_Withdrawals!C112)</f>
        <v/>
      </c>
      <c r="E1107" s="38" t="str">
        <f>IF(Agent06_Withdrawals!A112="","",Agent06_Withdrawals!D112)</f>
        <v/>
      </c>
      <c r="F1107" s="37" t="str">
        <f>IF(Agent06_Withdrawals!A112="","",Agent06_Withdrawals!F112)</f>
        <v/>
      </c>
      <c r="G1107" s="39" t="str">
        <f>IF(Agent06_Withdrawals!A112="","",Agent06_Withdrawals!E112)</f>
        <v/>
      </c>
      <c r="H1107" s="39" t="str">
        <f>IF(Agent06_Withdrawals!A112="","",Agent06_Withdrawals!G112)</f>
        <v/>
      </c>
      <c r="I1107" s="37" t="str">
        <f>IF(Agent06_Withdrawals!A112="","",Agent06_Withdrawals!H112)</f>
        <v/>
      </c>
      <c r="J1107" s="37" t="str">
        <f>IF(Agent06_Withdrawals!A112="","",Agent06_Withdrawals!J112)</f>
        <v/>
      </c>
      <c r="K1107" s="37" t="str">
        <f>IF(Agent06_Withdrawals!A112="","",Agent06_Withdrawals!K112)</f>
        <v/>
      </c>
      <c r="L1107" s="37" t="str">
        <f>IF(G1107="","",IF(D1107-G1107&gt;=System_Config!$B$9,"✅ OK","⚠️ BREACH"))</f>
        <v/>
      </c>
      <c r="M1107" s="37" t="str">
        <f>IFERROR(IF(Agent06_Withdrawals!A112="","",YEAR(Agent06_Withdrawals!D112)),"")</f>
        <v/>
      </c>
    </row>
    <row r="1108" spans="1:13" ht="18" customHeight="1" x14ac:dyDescent="0.25">
      <c r="A1108" s="37" t="str">
        <f>IF(Agent06_Withdrawals!A113="","",Agent06_Withdrawals!A113)</f>
        <v/>
      </c>
      <c r="B1108" s="37" t="str">
        <f ca="1">IF(Agent06_Withdrawals!A113="","","WD"&amp;TEXT(1108-3,"0000")&amp;"-"&amp;TEXT(TODAY(),"YYYYMMDD"))</f>
        <v/>
      </c>
      <c r="C1108" s="37" t="str">
        <f>IF(Agent06_Withdrawals!A113="","",Agent06_Withdrawals!B113)</f>
        <v/>
      </c>
      <c r="D1108" s="40" t="str">
        <f>IF(Agent06_Withdrawals!A113="","",Agent06_Withdrawals!C113)</f>
        <v/>
      </c>
      <c r="E1108" s="38" t="str">
        <f>IF(Agent06_Withdrawals!A113="","",Agent06_Withdrawals!D113)</f>
        <v/>
      </c>
      <c r="F1108" s="37" t="str">
        <f>IF(Agent06_Withdrawals!A113="","",Agent06_Withdrawals!F113)</f>
        <v/>
      </c>
      <c r="G1108" s="39" t="str">
        <f>IF(Agent06_Withdrawals!A113="","",Agent06_Withdrawals!E113)</f>
        <v/>
      </c>
      <c r="H1108" s="39" t="str">
        <f>IF(Agent06_Withdrawals!A113="","",Agent06_Withdrawals!G113)</f>
        <v/>
      </c>
      <c r="I1108" s="37" t="str">
        <f>IF(Agent06_Withdrawals!A113="","",Agent06_Withdrawals!H113)</f>
        <v/>
      </c>
      <c r="J1108" s="37" t="str">
        <f>IF(Agent06_Withdrawals!A113="","",Agent06_Withdrawals!J113)</f>
        <v/>
      </c>
      <c r="K1108" s="37" t="str">
        <f>IF(Agent06_Withdrawals!A113="","",Agent06_Withdrawals!K113)</f>
        <v/>
      </c>
      <c r="L1108" s="37" t="str">
        <f>IF(G1108="","",IF(D1108-G1108&gt;=System_Config!$B$9,"✅ OK","⚠️ BREACH"))</f>
        <v/>
      </c>
      <c r="M1108" s="37" t="str">
        <f>IFERROR(IF(Agent06_Withdrawals!A113="","",YEAR(Agent06_Withdrawals!D113)),"")</f>
        <v/>
      </c>
    </row>
    <row r="1109" spans="1:13" ht="18" customHeight="1" x14ac:dyDescent="0.25">
      <c r="A1109" s="37" t="str">
        <f>IF(Agent06_Withdrawals!A114="","",Agent06_Withdrawals!A114)</f>
        <v/>
      </c>
      <c r="B1109" s="37" t="str">
        <f ca="1">IF(Agent06_Withdrawals!A114="","","WD"&amp;TEXT(1109-3,"0000")&amp;"-"&amp;TEXT(TODAY(),"YYYYMMDD"))</f>
        <v/>
      </c>
      <c r="C1109" s="37" t="str">
        <f>IF(Agent06_Withdrawals!A114="","",Agent06_Withdrawals!B114)</f>
        <v/>
      </c>
      <c r="D1109" s="40" t="str">
        <f>IF(Agent06_Withdrawals!A114="","",Agent06_Withdrawals!C114)</f>
        <v/>
      </c>
      <c r="E1109" s="38" t="str">
        <f>IF(Agent06_Withdrawals!A114="","",Agent06_Withdrawals!D114)</f>
        <v/>
      </c>
      <c r="F1109" s="37" t="str">
        <f>IF(Agent06_Withdrawals!A114="","",Agent06_Withdrawals!F114)</f>
        <v/>
      </c>
      <c r="G1109" s="39" t="str">
        <f>IF(Agent06_Withdrawals!A114="","",Agent06_Withdrawals!E114)</f>
        <v/>
      </c>
      <c r="H1109" s="39" t="str">
        <f>IF(Agent06_Withdrawals!A114="","",Agent06_Withdrawals!G114)</f>
        <v/>
      </c>
      <c r="I1109" s="37" t="str">
        <f>IF(Agent06_Withdrawals!A114="","",Agent06_Withdrawals!H114)</f>
        <v/>
      </c>
      <c r="J1109" s="37" t="str">
        <f>IF(Agent06_Withdrawals!A114="","",Agent06_Withdrawals!J114)</f>
        <v/>
      </c>
      <c r="K1109" s="37" t="str">
        <f>IF(Agent06_Withdrawals!A114="","",Agent06_Withdrawals!K114)</f>
        <v/>
      </c>
      <c r="L1109" s="37" t="str">
        <f>IF(G1109="","",IF(D1109-G1109&gt;=System_Config!$B$9,"✅ OK","⚠️ BREACH"))</f>
        <v/>
      </c>
      <c r="M1109" s="37" t="str">
        <f>IFERROR(IF(Agent06_Withdrawals!A114="","",YEAR(Agent06_Withdrawals!D114)),"")</f>
        <v/>
      </c>
    </row>
    <row r="1110" spans="1:13" ht="18" customHeight="1" x14ac:dyDescent="0.25">
      <c r="A1110" s="37" t="str">
        <f>IF(Agent06_Withdrawals!A115="","",Agent06_Withdrawals!A115)</f>
        <v/>
      </c>
      <c r="B1110" s="37" t="str">
        <f ca="1">IF(Agent06_Withdrawals!A115="","","WD"&amp;TEXT(1110-3,"0000")&amp;"-"&amp;TEXT(TODAY(),"YYYYMMDD"))</f>
        <v/>
      </c>
      <c r="C1110" s="37" t="str">
        <f>IF(Agent06_Withdrawals!A115="","",Agent06_Withdrawals!B115)</f>
        <v/>
      </c>
      <c r="D1110" s="40" t="str">
        <f>IF(Agent06_Withdrawals!A115="","",Agent06_Withdrawals!C115)</f>
        <v/>
      </c>
      <c r="E1110" s="38" t="str">
        <f>IF(Agent06_Withdrawals!A115="","",Agent06_Withdrawals!D115)</f>
        <v/>
      </c>
      <c r="F1110" s="37" t="str">
        <f>IF(Agent06_Withdrawals!A115="","",Agent06_Withdrawals!F115)</f>
        <v/>
      </c>
      <c r="G1110" s="39" t="str">
        <f>IF(Agent06_Withdrawals!A115="","",Agent06_Withdrawals!E115)</f>
        <v/>
      </c>
      <c r="H1110" s="39" t="str">
        <f>IF(Agent06_Withdrawals!A115="","",Agent06_Withdrawals!G115)</f>
        <v/>
      </c>
      <c r="I1110" s="37" t="str">
        <f>IF(Agent06_Withdrawals!A115="","",Agent06_Withdrawals!H115)</f>
        <v/>
      </c>
      <c r="J1110" s="37" t="str">
        <f>IF(Agent06_Withdrawals!A115="","",Agent06_Withdrawals!J115)</f>
        <v/>
      </c>
      <c r="K1110" s="37" t="str">
        <f>IF(Agent06_Withdrawals!A115="","",Agent06_Withdrawals!K115)</f>
        <v/>
      </c>
      <c r="L1110" s="37" t="str">
        <f>IF(G1110="","",IF(D1110-G1110&gt;=System_Config!$B$9,"✅ OK","⚠️ BREACH"))</f>
        <v/>
      </c>
      <c r="M1110" s="37" t="str">
        <f>IFERROR(IF(Agent06_Withdrawals!A115="","",YEAR(Agent06_Withdrawals!D115)),"")</f>
        <v/>
      </c>
    </row>
    <row r="1111" spans="1:13" ht="18" customHeight="1" x14ac:dyDescent="0.25">
      <c r="A1111" s="37" t="str">
        <f>IF(Agent06_Withdrawals!A116="","",Agent06_Withdrawals!A116)</f>
        <v/>
      </c>
      <c r="B1111" s="37" t="str">
        <f ca="1">IF(Agent06_Withdrawals!A116="","","WD"&amp;TEXT(1111-3,"0000")&amp;"-"&amp;TEXT(TODAY(),"YYYYMMDD"))</f>
        <v/>
      </c>
      <c r="C1111" s="37" t="str">
        <f>IF(Agent06_Withdrawals!A116="","",Agent06_Withdrawals!B116)</f>
        <v/>
      </c>
      <c r="D1111" s="40" t="str">
        <f>IF(Agent06_Withdrawals!A116="","",Agent06_Withdrawals!C116)</f>
        <v/>
      </c>
      <c r="E1111" s="38" t="str">
        <f>IF(Agent06_Withdrawals!A116="","",Agent06_Withdrawals!D116)</f>
        <v/>
      </c>
      <c r="F1111" s="37" t="str">
        <f>IF(Agent06_Withdrawals!A116="","",Agent06_Withdrawals!F116)</f>
        <v/>
      </c>
      <c r="G1111" s="39" t="str">
        <f>IF(Agent06_Withdrawals!A116="","",Agent06_Withdrawals!E116)</f>
        <v/>
      </c>
      <c r="H1111" s="39" t="str">
        <f>IF(Agent06_Withdrawals!A116="","",Agent06_Withdrawals!G116)</f>
        <v/>
      </c>
      <c r="I1111" s="37" t="str">
        <f>IF(Agent06_Withdrawals!A116="","",Agent06_Withdrawals!H116)</f>
        <v/>
      </c>
      <c r="J1111" s="37" t="str">
        <f>IF(Agent06_Withdrawals!A116="","",Agent06_Withdrawals!J116)</f>
        <v/>
      </c>
      <c r="K1111" s="37" t="str">
        <f>IF(Agent06_Withdrawals!A116="","",Agent06_Withdrawals!K116)</f>
        <v/>
      </c>
      <c r="L1111" s="37" t="str">
        <f>IF(G1111="","",IF(D1111-G1111&gt;=System_Config!$B$9,"✅ OK","⚠️ BREACH"))</f>
        <v/>
      </c>
      <c r="M1111" s="37" t="str">
        <f>IFERROR(IF(Agent06_Withdrawals!A116="","",YEAR(Agent06_Withdrawals!D116)),"")</f>
        <v/>
      </c>
    </row>
    <row r="1112" spans="1:13" ht="18" customHeight="1" x14ac:dyDescent="0.25">
      <c r="A1112" s="37" t="str">
        <f>IF(Agent06_Withdrawals!A117="","",Agent06_Withdrawals!A117)</f>
        <v/>
      </c>
      <c r="B1112" s="37" t="str">
        <f ca="1">IF(Agent06_Withdrawals!A117="","","WD"&amp;TEXT(1112-3,"0000")&amp;"-"&amp;TEXT(TODAY(),"YYYYMMDD"))</f>
        <v/>
      </c>
      <c r="C1112" s="37" t="str">
        <f>IF(Agent06_Withdrawals!A117="","",Agent06_Withdrawals!B117)</f>
        <v/>
      </c>
      <c r="D1112" s="40" t="str">
        <f>IF(Agent06_Withdrawals!A117="","",Agent06_Withdrawals!C117)</f>
        <v/>
      </c>
      <c r="E1112" s="38" t="str">
        <f>IF(Agent06_Withdrawals!A117="","",Agent06_Withdrawals!D117)</f>
        <v/>
      </c>
      <c r="F1112" s="37" t="str">
        <f>IF(Agent06_Withdrawals!A117="","",Agent06_Withdrawals!F117)</f>
        <v/>
      </c>
      <c r="G1112" s="39" t="str">
        <f>IF(Agent06_Withdrawals!A117="","",Agent06_Withdrawals!E117)</f>
        <v/>
      </c>
      <c r="H1112" s="39" t="str">
        <f>IF(Agent06_Withdrawals!A117="","",Agent06_Withdrawals!G117)</f>
        <v/>
      </c>
      <c r="I1112" s="37" t="str">
        <f>IF(Agent06_Withdrawals!A117="","",Agent06_Withdrawals!H117)</f>
        <v/>
      </c>
      <c r="J1112" s="37" t="str">
        <f>IF(Agent06_Withdrawals!A117="","",Agent06_Withdrawals!J117)</f>
        <v/>
      </c>
      <c r="K1112" s="37" t="str">
        <f>IF(Agent06_Withdrawals!A117="","",Agent06_Withdrawals!K117)</f>
        <v/>
      </c>
      <c r="L1112" s="37" t="str">
        <f>IF(G1112="","",IF(D1112-G1112&gt;=System_Config!$B$9,"✅ OK","⚠️ BREACH"))</f>
        <v/>
      </c>
      <c r="M1112" s="37" t="str">
        <f>IFERROR(IF(Agent06_Withdrawals!A117="","",YEAR(Agent06_Withdrawals!D117)),"")</f>
        <v/>
      </c>
    </row>
    <row r="1113" spans="1:13" ht="18" customHeight="1" x14ac:dyDescent="0.25">
      <c r="A1113" s="37" t="str">
        <f>IF(Agent06_Withdrawals!A118="","",Agent06_Withdrawals!A118)</f>
        <v/>
      </c>
      <c r="B1113" s="37" t="str">
        <f ca="1">IF(Agent06_Withdrawals!A118="","","WD"&amp;TEXT(1113-3,"0000")&amp;"-"&amp;TEXT(TODAY(),"YYYYMMDD"))</f>
        <v/>
      </c>
      <c r="C1113" s="37" t="str">
        <f>IF(Agent06_Withdrawals!A118="","",Agent06_Withdrawals!B118)</f>
        <v/>
      </c>
      <c r="D1113" s="40" t="str">
        <f>IF(Agent06_Withdrawals!A118="","",Agent06_Withdrawals!C118)</f>
        <v/>
      </c>
      <c r="E1113" s="38" t="str">
        <f>IF(Agent06_Withdrawals!A118="","",Agent06_Withdrawals!D118)</f>
        <v/>
      </c>
      <c r="F1113" s="37" t="str">
        <f>IF(Agent06_Withdrawals!A118="","",Agent06_Withdrawals!F118)</f>
        <v/>
      </c>
      <c r="G1113" s="39" t="str">
        <f>IF(Agent06_Withdrawals!A118="","",Agent06_Withdrawals!E118)</f>
        <v/>
      </c>
      <c r="H1113" s="39" t="str">
        <f>IF(Agent06_Withdrawals!A118="","",Agent06_Withdrawals!G118)</f>
        <v/>
      </c>
      <c r="I1113" s="37" t="str">
        <f>IF(Agent06_Withdrawals!A118="","",Agent06_Withdrawals!H118)</f>
        <v/>
      </c>
      <c r="J1113" s="37" t="str">
        <f>IF(Agent06_Withdrawals!A118="","",Agent06_Withdrawals!J118)</f>
        <v/>
      </c>
      <c r="K1113" s="37" t="str">
        <f>IF(Agent06_Withdrawals!A118="","",Agent06_Withdrawals!K118)</f>
        <v/>
      </c>
      <c r="L1113" s="37" t="str">
        <f>IF(G1113="","",IF(D1113-G1113&gt;=System_Config!$B$9,"✅ OK","⚠️ BREACH"))</f>
        <v/>
      </c>
      <c r="M1113" s="37" t="str">
        <f>IFERROR(IF(Agent06_Withdrawals!A118="","",YEAR(Agent06_Withdrawals!D118)),"")</f>
        <v/>
      </c>
    </row>
    <row r="1114" spans="1:13" ht="18" customHeight="1" x14ac:dyDescent="0.25">
      <c r="A1114" s="37" t="str">
        <f>IF(Agent06_Withdrawals!A119="","",Agent06_Withdrawals!A119)</f>
        <v/>
      </c>
      <c r="B1114" s="37" t="str">
        <f ca="1">IF(Agent06_Withdrawals!A119="","","WD"&amp;TEXT(1114-3,"0000")&amp;"-"&amp;TEXT(TODAY(),"YYYYMMDD"))</f>
        <v/>
      </c>
      <c r="C1114" s="37" t="str">
        <f>IF(Agent06_Withdrawals!A119="","",Agent06_Withdrawals!B119)</f>
        <v/>
      </c>
      <c r="D1114" s="40" t="str">
        <f>IF(Agent06_Withdrawals!A119="","",Agent06_Withdrawals!C119)</f>
        <v/>
      </c>
      <c r="E1114" s="38" t="str">
        <f>IF(Agent06_Withdrawals!A119="","",Agent06_Withdrawals!D119)</f>
        <v/>
      </c>
      <c r="F1114" s="37" t="str">
        <f>IF(Agent06_Withdrawals!A119="","",Agent06_Withdrawals!F119)</f>
        <v/>
      </c>
      <c r="G1114" s="39" t="str">
        <f>IF(Agent06_Withdrawals!A119="","",Agent06_Withdrawals!E119)</f>
        <v/>
      </c>
      <c r="H1114" s="39" t="str">
        <f>IF(Agent06_Withdrawals!A119="","",Agent06_Withdrawals!G119)</f>
        <v/>
      </c>
      <c r="I1114" s="37" t="str">
        <f>IF(Agent06_Withdrawals!A119="","",Agent06_Withdrawals!H119)</f>
        <v/>
      </c>
      <c r="J1114" s="37" t="str">
        <f>IF(Agent06_Withdrawals!A119="","",Agent06_Withdrawals!J119)</f>
        <v/>
      </c>
      <c r="K1114" s="37" t="str">
        <f>IF(Agent06_Withdrawals!A119="","",Agent06_Withdrawals!K119)</f>
        <v/>
      </c>
      <c r="L1114" s="37" t="str">
        <f>IF(G1114="","",IF(D1114-G1114&gt;=System_Config!$B$9,"✅ OK","⚠️ BREACH"))</f>
        <v/>
      </c>
      <c r="M1114" s="37" t="str">
        <f>IFERROR(IF(Agent06_Withdrawals!A119="","",YEAR(Agent06_Withdrawals!D119)),"")</f>
        <v/>
      </c>
    </row>
    <row r="1115" spans="1:13" ht="18" customHeight="1" x14ac:dyDescent="0.25">
      <c r="A1115" s="37" t="str">
        <f>IF(Agent06_Withdrawals!A120="","",Agent06_Withdrawals!A120)</f>
        <v/>
      </c>
      <c r="B1115" s="37" t="str">
        <f ca="1">IF(Agent06_Withdrawals!A120="","","WD"&amp;TEXT(1115-3,"0000")&amp;"-"&amp;TEXT(TODAY(),"YYYYMMDD"))</f>
        <v/>
      </c>
      <c r="C1115" s="37" t="str">
        <f>IF(Agent06_Withdrawals!A120="","",Agent06_Withdrawals!B120)</f>
        <v/>
      </c>
      <c r="D1115" s="40" t="str">
        <f>IF(Agent06_Withdrawals!A120="","",Agent06_Withdrawals!C120)</f>
        <v/>
      </c>
      <c r="E1115" s="38" t="str">
        <f>IF(Agent06_Withdrawals!A120="","",Agent06_Withdrawals!D120)</f>
        <v/>
      </c>
      <c r="F1115" s="37" t="str">
        <f>IF(Agent06_Withdrawals!A120="","",Agent06_Withdrawals!F120)</f>
        <v/>
      </c>
      <c r="G1115" s="39" t="str">
        <f>IF(Agent06_Withdrawals!A120="","",Agent06_Withdrawals!E120)</f>
        <v/>
      </c>
      <c r="H1115" s="39" t="str">
        <f>IF(Agent06_Withdrawals!A120="","",Agent06_Withdrawals!G120)</f>
        <v/>
      </c>
      <c r="I1115" s="37" t="str">
        <f>IF(Agent06_Withdrawals!A120="","",Agent06_Withdrawals!H120)</f>
        <v/>
      </c>
      <c r="J1115" s="37" t="str">
        <f>IF(Agent06_Withdrawals!A120="","",Agent06_Withdrawals!J120)</f>
        <v/>
      </c>
      <c r="K1115" s="37" t="str">
        <f>IF(Agent06_Withdrawals!A120="","",Agent06_Withdrawals!K120)</f>
        <v/>
      </c>
      <c r="L1115" s="37" t="str">
        <f>IF(G1115="","",IF(D1115-G1115&gt;=System_Config!$B$9,"✅ OK","⚠️ BREACH"))</f>
        <v/>
      </c>
      <c r="M1115" s="37" t="str">
        <f>IFERROR(IF(Agent06_Withdrawals!A120="","",YEAR(Agent06_Withdrawals!D120)),"")</f>
        <v/>
      </c>
    </row>
    <row r="1116" spans="1:13" ht="18" customHeight="1" x14ac:dyDescent="0.25">
      <c r="A1116" s="37" t="str">
        <f>IF(Agent06_Withdrawals!A121="","",Agent06_Withdrawals!A121)</f>
        <v/>
      </c>
      <c r="B1116" s="37" t="str">
        <f ca="1">IF(Agent06_Withdrawals!A121="","","WD"&amp;TEXT(1116-3,"0000")&amp;"-"&amp;TEXT(TODAY(),"YYYYMMDD"))</f>
        <v/>
      </c>
      <c r="C1116" s="37" t="str">
        <f>IF(Agent06_Withdrawals!A121="","",Agent06_Withdrawals!B121)</f>
        <v/>
      </c>
      <c r="D1116" s="40" t="str">
        <f>IF(Agent06_Withdrawals!A121="","",Agent06_Withdrawals!C121)</f>
        <v/>
      </c>
      <c r="E1116" s="38" t="str">
        <f>IF(Agent06_Withdrawals!A121="","",Agent06_Withdrawals!D121)</f>
        <v/>
      </c>
      <c r="F1116" s="37" t="str">
        <f>IF(Agent06_Withdrawals!A121="","",Agent06_Withdrawals!F121)</f>
        <v/>
      </c>
      <c r="G1116" s="39" t="str">
        <f>IF(Agent06_Withdrawals!A121="","",Agent06_Withdrawals!E121)</f>
        <v/>
      </c>
      <c r="H1116" s="39" t="str">
        <f>IF(Agent06_Withdrawals!A121="","",Agent06_Withdrawals!G121)</f>
        <v/>
      </c>
      <c r="I1116" s="37" t="str">
        <f>IF(Agent06_Withdrawals!A121="","",Agent06_Withdrawals!H121)</f>
        <v/>
      </c>
      <c r="J1116" s="37" t="str">
        <f>IF(Agent06_Withdrawals!A121="","",Agent06_Withdrawals!J121)</f>
        <v/>
      </c>
      <c r="K1116" s="37" t="str">
        <f>IF(Agent06_Withdrawals!A121="","",Agent06_Withdrawals!K121)</f>
        <v/>
      </c>
      <c r="L1116" s="37" t="str">
        <f>IF(G1116="","",IF(D1116-G1116&gt;=System_Config!$B$9,"✅ OK","⚠️ BREACH"))</f>
        <v/>
      </c>
      <c r="M1116" s="37" t="str">
        <f>IFERROR(IF(Agent06_Withdrawals!A121="","",YEAR(Agent06_Withdrawals!D121)),"")</f>
        <v/>
      </c>
    </row>
    <row r="1117" spans="1:13" ht="18" customHeight="1" x14ac:dyDescent="0.25">
      <c r="A1117" s="37" t="str">
        <f>IF(Agent06_Withdrawals!A122="","",Agent06_Withdrawals!A122)</f>
        <v/>
      </c>
      <c r="B1117" s="37" t="str">
        <f ca="1">IF(Agent06_Withdrawals!A122="","","WD"&amp;TEXT(1117-3,"0000")&amp;"-"&amp;TEXT(TODAY(),"YYYYMMDD"))</f>
        <v/>
      </c>
      <c r="C1117" s="37" t="str">
        <f>IF(Agent06_Withdrawals!A122="","",Agent06_Withdrawals!B122)</f>
        <v/>
      </c>
      <c r="D1117" s="40" t="str">
        <f>IF(Agent06_Withdrawals!A122="","",Agent06_Withdrawals!C122)</f>
        <v/>
      </c>
      <c r="E1117" s="38" t="str">
        <f>IF(Agent06_Withdrawals!A122="","",Agent06_Withdrawals!D122)</f>
        <v/>
      </c>
      <c r="F1117" s="37" t="str">
        <f>IF(Agent06_Withdrawals!A122="","",Agent06_Withdrawals!F122)</f>
        <v/>
      </c>
      <c r="G1117" s="39" t="str">
        <f>IF(Agent06_Withdrawals!A122="","",Agent06_Withdrawals!E122)</f>
        <v/>
      </c>
      <c r="H1117" s="39" t="str">
        <f>IF(Agent06_Withdrawals!A122="","",Agent06_Withdrawals!G122)</f>
        <v/>
      </c>
      <c r="I1117" s="37" t="str">
        <f>IF(Agent06_Withdrawals!A122="","",Agent06_Withdrawals!H122)</f>
        <v/>
      </c>
      <c r="J1117" s="37" t="str">
        <f>IF(Agent06_Withdrawals!A122="","",Agent06_Withdrawals!J122)</f>
        <v/>
      </c>
      <c r="K1117" s="37" t="str">
        <f>IF(Agent06_Withdrawals!A122="","",Agent06_Withdrawals!K122)</f>
        <v/>
      </c>
      <c r="L1117" s="37" t="str">
        <f>IF(G1117="","",IF(D1117-G1117&gt;=System_Config!$B$9,"✅ OK","⚠️ BREACH"))</f>
        <v/>
      </c>
      <c r="M1117" s="37" t="str">
        <f>IFERROR(IF(Agent06_Withdrawals!A122="","",YEAR(Agent06_Withdrawals!D122)),"")</f>
        <v/>
      </c>
    </row>
    <row r="1118" spans="1:13" ht="18" customHeight="1" x14ac:dyDescent="0.25">
      <c r="A1118" s="37" t="str">
        <f>IF(Agent06_Withdrawals!A123="","",Agent06_Withdrawals!A123)</f>
        <v/>
      </c>
      <c r="B1118" s="37" t="str">
        <f ca="1">IF(Agent06_Withdrawals!A123="","","WD"&amp;TEXT(1118-3,"0000")&amp;"-"&amp;TEXT(TODAY(),"YYYYMMDD"))</f>
        <v/>
      </c>
      <c r="C1118" s="37" t="str">
        <f>IF(Agent06_Withdrawals!A123="","",Agent06_Withdrawals!B123)</f>
        <v/>
      </c>
      <c r="D1118" s="40" t="str">
        <f>IF(Agent06_Withdrawals!A123="","",Agent06_Withdrawals!C123)</f>
        <v/>
      </c>
      <c r="E1118" s="38" t="str">
        <f>IF(Agent06_Withdrawals!A123="","",Agent06_Withdrawals!D123)</f>
        <v/>
      </c>
      <c r="F1118" s="37" t="str">
        <f>IF(Agent06_Withdrawals!A123="","",Agent06_Withdrawals!F123)</f>
        <v/>
      </c>
      <c r="G1118" s="39" t="str">
        <f>IF(Agent06_Withdrawals!A123="","",Agent06_Withdrawals!E123)</f>
        <v/>
      </c>
      <c r="H1118" s="39" t="str">
        <f>IF(Agent06_Withdrawals!A123="","",Agent06_Withdrawals!G123)</f>
        <v/>
      </c>
      <c r="I1118" s="37" t="str">
        <f>IF(Agent06_Withdrawals!A123="","",Agent06_Withdrawals!H123)</f>
        <v/>
      </c>
      <c r="J1118" s="37" t="str">
        <f>IF(Agent06_Withdrawals!A123="","",Agent06_Withdrawals!J123)</f>
        <v/>
      </c>
      <c r="K1118" s="37" t="str">
        <f>IF(Agent06_Withdrawals!A123="","",Agent06_Withdrawals!K123)</f>
        <v/>
      </c>
      <c r="L1118" s="37" t="str">
        <f>IF(G1118="","",IF(D1118-G1118&gt;=System_Config!$B$9,"✅ OK","⚠️ BREACH"))</f>
        <v/>
      </c>
      <c r="M1118" s="37" t="str">
        <f>IFERROR(IF(Agent06_Withdrawals!A123="","",YEAR(Agent06_Withdrawals!D123)),"")</f>
        <v/>
      </c>
    </row>
    <row r="1119" spans="1:13" ht="18" customHeight="1" x14ac:dyDescent="0.25">
      <c r="A1119" s="37" t="str">
        <f>IF(Agent06_Withdrawals!A124="","",Agent06_Withdrawals!A124)</f>
        <v/>
      </c>
      <c r="B1119" s="37" t="str">
        <f ca="1">IF(Agent06_Withdrawals!A124="","","WD"&amp;TEXT(1119-3,"0000")&amp;"-"&amp;TEXT(TODAY(),"YYYYMMDD"))</f>
        <v/>
      </c>
      <c r="C1119" s="37" t="str">
        <f>IF(Agent06_Withdrawals!A124="","",Agent06_Withdrawals!B124)</f>
        <v/>
      </c>
      <c r="D1119" s="40" t="str">
        <f>IF(Agent06_Withdrawals!A124="","",Agent06_Withdrawals!C124)</f>
        <v/>
      </c>
      <c r="E1119" s="38" t="str">
        <f>IF(Agent06_Withdrawals!A124="","",Agent06_Withdrawals!D124)</f>
        <v/>
      </c>
      <c r="F1119" s="37" t="str">
        <f>IF(Agent06_Withdrawals!A124="","",Agent06_Withdrawals!F124)</f>
        <v/>
      </c>
      <c r="G1119" s="39" t="str">
        <f>IF(Agent06_Withdrawals!A124="","",Agent06_Withdrawals!E124)</f>
        <v/>
      </c>
      <c r="H1119" s="39" t="str">
        <f>IF(Agent06_Withdrawals!A124="","",Agent06_Withdrawals!G124)</f>
        <v/>
      </c>
      <c r="I1119" s="37" t="str">
        <f>IF(Agent06_Withdrawals!A124="","",Agent06_Withdrawals!H124)</f>
        <v/>
      </c>
      <c r="J1119" s="37" t="str">
        <f>IF(Agent06_Withdrawals!A124="","",Agent06_Withdrawals!J124)</f>
        <v/>
      </c>
      <c r="K1119" s="37" t="str">
        <f>IF(Agent06_Withdrawals!A124="","",Agent06_Withdrawals!K124)</f>
        <v/>
      </c>
      <c r="L1119" s="37" t="str">
        <f>IF(G1119="","",IF(D1119-G1119&gt;=System_Config!$B$9,"✅ OK","⚠️ BREACH"))</f>
        <v/>
      </c>
      <c r="M1119" s="37" t="str">
        <f>IFERROR(IF(Agent06_Withdrawals!A124="","",YEAR(Agent06_Withdrawals!D124)),"")</f>
        <v/>
      </c>
    </row>
    <row r="1120" spans="1:13" ht="18" customHeight="1" x14ac:dyDescent="0.25">
      <c r="A1120" s="37" t="str">
        <f>IF(Agent06_Withdrawals!A125="","",Agent06_Withdrawals!A125)</f>
        <v/>
      </c>
      <c r="B1120" s="37" t="str">
        <f ca="1">IF(Agent06_Withdrawals!A125="","","WD"&amp;TEXT(1120-3,"0000")&amp;"-"&amp;TEXT(TODAY(),"YYYYMMDD"))</f>
        <v/>
      </c>
      <c r="C1120" s="37" t="str">
        <f>IF(Agent06_Withdrawals!A125="","",Agent06_Withdrawals!B125)</f>
        <v/>
      </c>
      <c r="D1120" s="40" t="str">
        <f>IF(Agent06_Withdrawals!A125="","",Agent06_Withdrawals!C125)</f>
        <v/>
      </c>
      <c r="E1120" s="38" t="str">
        <f>IF(Agent06_Withdrawals!A125="","",Agent06_Withdrawals!D125)</f>
        <v/>
      </c>
      <c r="F1120" s="37" t="str">
        <f>IF(Agent06_Withdrawals!A125="","",Agent06_Withdrawals!F125)</f>
        <v/>
      </c>
      <c r="G1120" s="39" t="str">
        <f>IF(Agent06_Withdrawals!A125="","",Agent06_Withdrawals!E125)</f>
        <v/>
      </c>
      <c r="H1120" s="39" t="str">
        <f>IF(Agent06_Withdrawals!A125="","",Agent06_Withdrawals!G125)</f>
        <v/>
      </c>
      <c r="I1120" s="37" t="str">
        <f>IF(Agent06_Withdrawals!A125="","",Agent06_Withdrawals!H125)</f>
        <v/>
      </c>
      <c r="J1120" s="37" t="str">
        <f>IF(Agent06_Withdrawals!A125="","",Agent06_Withdrawals!J125)</f>
        <v/>
      </c>
      <c r="K1120" s="37" t="str">
        <f>IF(Agent06_Withdrawals!A125="","",Agent06_Withdrawals!K125)</f>
        <v/>
      </c>
      <c r="L1120" s="37" t="str">
        <f>IF(G1120="","",IF(D1120-G1120&gt;=System_Config!$B$9,"✅ OK","⚠️ BREACH"))</f>
        <v/>
      </c>
      <c r="M1120" s="37" t="str">
        <f>IFERROR(IF(Agent06_Withdrawals!A125="","",YEAR(Agent06_Withdrawals!D125)),"")</f>
        <v/>
      </c>
    </row>
    <row r="1121" spans="1:13" ht="18" customHeight="1" x14ac:dyDescent="0.25">
      <c r="A1121" s="37" t="str">
        <f>IF(Agent06_Withdrawals!A126="","",Agent06_Withdrawals!A126)</f>
        <v/>
      </c>
      <c r="B1121" s="37" t="str">
        <f ca="1">IF(Agent06_Withdrawals!A126="","","WD"&amp;TEXT(1121-3,"0000")&amp;"-"&amp;TEXT(TODAY(),"YYYYMMDD"))</f>
        <v/>
      </c>
      <c r="C1121" s="37" t="str">
        <f>IF(Agent06_Withdrawals!A126="","",Agent06_Withdrawals!B126)</f>
        <v/>
      </c>
      <c r="D1121" s="40" t="str">
        <f>IF(Agent06_Withdrawals!A126="","",Agent06_Withdrawals!C126)</f>
        <v/>
      </c>
      <c r="E1121" s="38" t="str">
        <f>IF(Agent06_Withdrawals!A126="","",Agent06_Withdrawals!D126)</f>
        <v/>
      </c>
      <c r="F1121" s="37" t="str">
        <f>IF(Agent06_Withdrawals!A126="","",Agent06_Withdrawals!F126)</f>
        <v/>
      </c>
      <c r="G1121" s="39" t="str">
        <f>IF(Agent06_Withdrawals!A126="","",Agent06_Withdrawals!E126)</f>
        <v/>
      </c>
      <c r="H1121" s="39" t="str">
        <f>IF(Agent06_Withdrawals!A126="","",Agent06_Withdrawals!G126)</f>
        <v/>
      </c>
      <c r="I1121" s="37" t="str">
        <f>IF(Agent06_Withdrawals!A126="","",Agent06_Withdrawals!H126)</f>
        <v/>
      </c>
      <c r="J1121" s="37" t="str">
        <f>IF(Agent06_Withdrawals!A126="","",Agent06_Withdrawals!J126)</f>
        <v/>
      </c>
      <c r="K1121" s="37" t="str">
        <f>IF(Agent06_Withdrawals!A126="","",Agent06_Withdrawals!K126)</f>
        <v/>
      </c>
      <c r="L1121" s="37" t="str">
        <f>IF(G1121="","",IF(D1121-G1121&gt;=System_Config!$B$9,"✅ OK","⚠️ BREACH"))</f>
        <v/>
      </c>
      <c r="M1121" s="37" t="str">
        <f>IFERROR(IF(Agent06_Withdrawals!A126="","",YEAR(Agent06_Withdrawals!D126)),"")</f>
        <v/>
      </c>
    </row>
    <row r="1122" spans="1:13" ht="18" customHeight="1" x14ac:dyDescent="0.25">
      <c r="A1122" s="37" t="str">
        <f>IF(Agent06_Withdrawals!A127="","",Agent06_Withdrawals!A127)</f>
        <v/>
      </c>
      <c r="B1122" s="37" t="str">
        <f ca="1">IF(Agent06_Withdrawals!A127="","","WD"&amp;TEXT(1122-3,"0000")&amp;"-"&amp;TEXT(TODAY(),"YYYYMMDD"))</f>
        <v/>
      </c>
      <c r="C1122" s="37" t="str">
        <f>IF(Agent06_Withdrawals!A127="","",Agent06_Withdrawals!B127)</f>
        <v/>
      </c>
      <c r="D1122" s="40" t="str">
        <f>IF(Agent06_Withdrawals!A127="","",Agent06_Withdrawals!C127)</f>
        <v/>
      </c>
      <c r="E1122" s="38" t="str">
        <f>IF(Agent06_Withdrawals!A127="","",Agent06_Withdrawals!D127)</f>
        <v/>
      </c>
      <c r="F1122" s="37" t="str">
        <f>IF(Agent06_Withdrawals!A127="","",Agent06_Withdrawals!F127)</f>
        <v/>
      </c>
      <c r="G1122" s="39" t="str">
        <f>IF(Agent06_Withdrawals!A127="","",Agent06_Withdrawals!E127)</f>
        <v/>
      </c>
      <c r="H1122" s="39" t="str">
        <f>IF(Agent06_Withdrawals!A127="","",Agent06_Withdrawals!G127)</f>
        <v/>
      </c>
      <c r="I1122" s="37" t="str">
        <f>IF(Agent06_Withdrawals!A127="","",Agent06_Withdrawals!H127)</f>
        <v/>
      </c>
      <c r="J1122" s="37" t="str">
        <f>IF(Agent06_Withdrawals!A127="","",Agent06_Withdrawals!J127)</f>
        <v/>
      </c>
      <c r="K1122" s="37" t="str">
        <f>IF(Agent06_Withdrawals!A127="","",Agent06_Withdrawals!K127)</f>
        <v/>
      </c>
      <c r="L1122" s="37" t="str">
        <f>IF(G1122="","",IF(D1122-G1122&gt;=System_Config!$B$9,"✅ OK","⚠️ BREACH"))</f>
        <v/>
      </c>
      <c r="M1122" s="37" t="str">
        <f>IFERROR(IF(Agent06_Withdrawals!A127="","",YEAR(Agent06_Withdrawals!D127)),"")</f>
        <v/>
      </c>
    </row>
    <row r="1123" spans="1:13" ht="18" customHeight="1" x14ac:dyDescent="0.25">
      <c r="A1123" s="37" t="str">
        <f>IF(Agent06_Withdrawals!A128="","",Agent06_Withdrawals!A128)</f>
        <v/>
      </c>
      <c r="B1123" s="37" t="str">
        <f ca="1">IF(Agent06_Withdrawals!A128="","","WD"&amp;TEXT(1123-3,"0000")&amp;"-"&amp;TEXT(TODAY(),"YYYYMMDD"))</f>
        <v/>
      </c>
      <c r="C1123" s="37" t="str">
        <f>IF(Agent06_Withdrawals!A128="","",Agent06_Withdrawals!B128)</f>
        <v/>
      </c>
      <c r="D1123" s="40" t="str">
        <f>IF(Agent06_Withdrawals!A128="","",Agent06_Withdrawals!C128)</f>
        <v/>
      </c>
      <c r="E1123" s="38" t="str">
        <f>IF(Agent06_Withdrawals!A128="","",Agent06_Withdrawals!D128)</f>
        <v/>
      </c>
      <c r="F1123" s="37" t="str">
        <f>IF(Agent06_Withdrawals!A128="","",Agent06_Withdrawals!F128)</f>
        <v/>
      </c>
      <c r="G1123" s="39" t="str">
        <f>IF(Agent06_Withdrawals!A128="","",Agent06_Withdrawals!E128)</f>
        <v/>
      </c>
      <c r="H1123" s="39" t="str">
        <f>IF(Agent06_Withdrawals!A128="","",Agent06_Withdrawals!G128)</f>
        <v/>
      </c>
      <c r="I1123" s="37" t="str">
        <f>IF(Agent06_Withdrawals!A128="","",Agent06_Withdrawals!H128)</f>
        <v/>
      </c>
      <c r="J1123" s="37" t="str">
        <f>IF(Agent06_Withdrawals!A128="","",Agent06_Withdrawals!J128)</f>
        <v/>
      </c>
      <c r="K1123" s="37" t="str">
        <f>IF(Agent06_Withdrawals!A128="","",Agent06_Withdrawals!K128)</f>
        <v/>
      </c>
      <c r="L1123" s="37" t="str">
        <f>IF(G1123="","",IF(D1123-G1123&gt;=System_Config!$B$9,"✅ OK","⚠️ BREACH"))</f>
        <v/>
      </c>
      <c r="M1123" s="37" t="str">
        <f>IFERROR(IF(Agent06_Withdrawals!A128="","",YEAR(Agent06_Withdrawals!D128)),"")</f>
        <v/>
      </c>
    </row>
    <row r="1124" spans="1:13" ht="18" customHeight="1" x14ac:dyDescent="0.25">
      <c r="A1124" s="37" t="str">
        <f>IF(Agent06_Withdrawals!A129="","",Agent06_Withdrawals!A129)</f>
        <v/>
      </c>
      <c r="B1124" s="37" t="str">
        <f ca="1">IF(Agent06_Withdrawals!A129="","","WD"&amp;TEXT(1124-3,"0000")&amp;"-"&amp;TEXT(TODAY(),"YYYYMMDD"))</f>
        <v/>
      </c>
      <c r="C1124" s="37" t="str">
        <f>IF(Agent06_Withdrawals!A129="","",Agent06_Withdrawals!B129)</f>
        <v/>
      </c>
      <c r="D1124" s="40" t="str">
        <f>IF(Agent06_Withdrawals!A129="","",Agent06_Withdrawals!C129)</f>
        <v/>
      </c>
      <c r="E1124" s="38" t="str">
        <f>IF(Agent06_Withdrawals!A129="","",Agent06_Withdrawals!D129)</f>
        <v/>
      </c>
      <c r="F1124" s="37" t="str">
        <f>IF(Agent06_Withdrawals!A129="","",Agent06_Withdrawals!F129)</f>
        <v/>
      </c>
      <c r="G1124" s="39" t="str">
        <f>IF(Agent06_Withdrawals!A129="","",Agent06_Withdrawals!E129)</f>
        <v/>
      </c>
      <c r="H1124" s="39" t="str">
        <f>IF(Agent06_Withdrawals!A129="","",Agent06_Withdrawals!G129)</f>
        <v/>
      </c>
      <c r="I1124" s="37" t="str">
        <f>IF(Agent06_Withdrawals!A129="","",Agent06_Withdrawals!H129)</f>
        <v/>
      </c>
      <c r="J1124" s="37" t="str">
        <f>IF(Agent06_Withdrawals!A129="","",Agent06_Withdrawals!J129)</f>
        <v/>
      </c>
      <c r="K1124" s="37" t="str">
        <f>IF(Agent06_Withdrawals!A129="","",Agent06_Withdrawals!K129)</f>
        <v/>
      </c>
      <c r="L1124" s="37" t="str">
        <f>IF(G1124="","",IF(D1124-G1124&gt;=System_Config!$B$9,"✅ OK","⚠️ BREACH"))</f>
        <v/>
      </c>
      <c r="M1124" s="37" t="str">
        <f>IFERROR(IF(Agent06_Withdrawals!A129="","",YEAR(Agent06_Withdrawals!D129)),"")</f>
        <v/>
      </c>
    </row>
    <row r="1125" spans="1:13" ht="18" customHeight="1" x14ac:dyDescent="0.25">
      <c r="A1125" s="37" t="str">
        <f>IF(Agent06_Withdrawals!A130="","",Agent06_Withdrawals!A130)</f>
        <v/>
      </c>
      <c r="B1125" s="37" t="str">
        <f ca="1">IF(Agent06_Withdrawals!A130="","","WD"&amp;TEXT(1125-3,"0000")&amp;"-"&amp;TEXT(TODAY(),"YYYYMMDD"))</f>
        <v/>
      </c>
      <c r="C1125" s="37" t="str">
        <f>IF(Agent06_Withdrawals!A130="","",Agent06_Withdrawals!B130)</f>
        <v/>
      </c>
      <c r="D1125" s="40" t="str">
        <f>IF(Agent06_Withdrawals!A130="","",Agent06_Withdrawals!C130)</f>
        <v/>
      </c>
      <c r="E1125" s="38" t="str">
        <f>IF(Agent06_Withdrawals!A130="","",Agent06_Withdrawals!D130)</f>
        <v/>
      </c>
      <c r="F1125" s="37" t="str">
        <f>IF(Agent06_Withdrawals!A130="","",Agent06_Withdrawals!F130)</f>
        <v/>
      </c>
      <c r="G1125" s="39" t="str">
        <f>IF(Agent06_Withdrawals!A130="","",Agent06_Withdrawals!E130)</f>
        <v/>
      </c>
      <c r="H1125" s="39" t="str">
        <f>IF(Agent06_Withdrawals!A130="","",Agent06_Withdrawals!G130)</f>
        <v/>
      </c>
      <c r="I1125" s="37" t="str">
        <f>IF(Agent06_Withdrawals!A130="","",Agent06_Withdrawals!H130)</f>
        <v/>
      </c>
      <c r="J1125" s="37" t="str">
        <f>IF(Agent06_Withdrawals!A130="","",Agent06_Withdrawals!J130)</f>
        <v/>
      </c>
      <c r="K1125" s="37" t="str">
        <f>IF(Agent06_Withdrawals!A130="","",Agent06_Withdrawals!K130)</f>
        <v/>
      </c>
      <c r="L1125" s="37" t="str">
        <f>IF(G1125="","",IF(D1125-G1125&gt;=System_Config!$B$9,"✅ OK","⚠️ BREACH"))</f>
        <v/>
      </c>
      <c r="M1125" s="37" t="str">
        <f>IFERROR(IF(Agent06_Withdrawals!A130="","",YEAR(Agent06_Withdrawals!D130)),"")</f>
        <v/>
      </c>
    </row>
    <row r="1126" spans="1:13" ht="18" customHeight="1" x14ac:dyDescent="0.25">
      <c r="A1126" s="37" t="str">
        <f>IF(Agent06_Withdrawals!A131="","",Agent06_Withdrawals!A131)</f>
        <v/>
      </c>
      <c r="B1126" s="37" t="str">
        <f ca="1">IF(Agent06_Withdrawals!A131="","","WD"&amp;TEXT(1126-3,"0000")&amp;"-"&amp;TEXT(TODAY(),"YYYYMMDD"))</f>
        <v/>
      </c>
      <c r="C1126" s="37" t="str">
        <f>IF(Agent06_Withdrawals!A131="","",Agent06_Withdrawals!B131)</f>
        <v/>
      </c>
      <c r="D1126" s="40" t="str">
        <f>IF(Agent06_Withdrawals!A131="","",Agent06_Withdrawals!C131)</f>
        <v/>
      </c>
      <c r="E1126" s="38" t="str">
        <f>IF(Agent06_Withdrawals!A131="","",Agent06_Withdrawals!D131)</f>
        <v/>
      </c>
      <c r="F1126" s="37" t="str">
        <f>IF(Agent06_Withdrawals!A131="","",Agent06_Withdrawals!F131)</f>
        <v/>
      </c>
      <c r="G1126" s="39" t="str">
        <f>IF(Agent06_Withdrawals!A131="","",Agent06_Withdrawals!E131)</f>
        <v/>
      </c>
      <c r="H1126" s="39" t="str">
        <f>IF(Agent06_Withdrawals!A131="","",Agent06_Withdrawals!G131)</f>
        <v/>
      </c>
      <c r="I1126" s="37" t="str">
        <f>IF(Agent06_Withdrawals!A131="","",Agent06_Withdrawals!H131)</f>
        <v/>
      </c>
      <c r="J1126" s="37" t="str">
        <f>IF(Agent06_Withdrawals!A131="","",Agent06_Withdrawals!J131)</f>
        <v/>
      </c>
      <c r="K1126" s="37" t="str">
        <f>IF(Agent06_Withdrawals!A131="","",Agent06_Withdrawals!K131)</f>
        <v/>
      </c>
      <c r="L1126" s="37" t="str">
        <f>IF(G1126="","",IF(D1126-G1126&gt;=System_Config!$B$9,"✅ OK","⚠️ BREACH"))</f>
        <v/>
      </c>
      <c r="M1126" s="37" t="str">
        <f>IFERROR(IF(Agent06_Withdrawals!A131="","",YEAR(Agent06_Withdrawals!D131)),"")</f>
        <v/>
      </c>
    </row>
    <row r="1127" spans="1:13" ht="18" customHeight="1" x14ac:dyDescent="0.25">
      <c r="A1127" s="37" t="str">
        <f>IF(Agent06_Withdrawals!A132="","",Agent06_Withdrawals!A132)</f>
        <v/>
      </c>
      <c r="B1127" s="37" t="str">
        <f ca="1">IF(Agent06_Withdrawals!A132="","","WD"&amp;TEXT(1127-3,"0000")&amp;"-"&amp;TEXT(TODAY(),"YYYYMMDD"))</f>
        <v/>
      </c>
      <c r="C1127" s="37" t="str">
        <f>IF(Agent06_Withdrawals!A132="","",Agent06_Withdrawals!B132)</f>
        <v/>
      </c>
      <c r="D1127" s="40" t="str">
        <f>IF(Agent06_Withdrawals!A132="","",Agent06_Withdrawals!C132)</f>
        <v/>
      </c>
      <c r="E1127" s="38" t="str">
        <f>IF(Agent06_Withdrawals!A132="","",Agent06_Withdrawals!D132)</f>
        <v/>
      </c>
      <c r="F1127" s="37" t="str">
        <f>IF(Agent06_Withdrawals!A132="","",Agent06_Withdrawals!F132)</f>
        <v/>
      </c>
      <c r="G1127" s="39" t="str">
        <f>IF(Agent06_Withdrawals!A132="","",Agent06_Withdrawals!E132)</f>
        <v/>
      </c>
      <c r="H1127" s="39" t="str">
        <f>IF(Agent06_Withdrawals!A132="","",Agent06_Withdrawals!G132)</f>
        <v/>
      </c>
      <c r="I1127" s="37" t="str">
        <f>IF(Agent06_Withdrawals!A132="","",Agent06_Withdrawals!H132)</f>
        <v/>
      </c>
      <c r="J1127" s="37" t="str">
        <f>IF(Agent06_Withdrawals!A132="","",Agent06_Withdrawals!J132)</f>
        <v/>
      </c>
      <c r="K1127" s="37" t="str">
        <f>IF(Agent06_Withdrawals!A132="","",Agent06_Withdrawals!K132)</f>
        <v/>
      </c>
      <c r="L1127" s="37" t="str">
        <f>IF(G1127="","",IF(D1127-G1127&gt;=System_Config!$B$9,"✅ OK","⚠️ BREACH"))</f>
        <v/>
      </c>
      <c r="M1127" s="37" t="str">
        <f>IFERROR(IF(Agent06_Withdrawals!A132="","",YEAR(Agent06_Withdrawals!D132)),"")</f>
        <v/>
      </c>
    </row>
    <row r="1128" spans="1:13" ht="18" customHeight="1" x14ac:dyDescent="0.25">
      <c r="A1128" s="37" t="str">
        <f>IF(Agent06_Withdrawals!A133="","",Agent06_Withdrawals!A133)</f>
        <v/>
      </c>
      <c r="B1128" s="37" t="str">
        <f ca="1">IF(Agent06_Withdrawals!A133="","","WD"&amp;TEXT(1128-3,"0000")&amp;"-"&amp;TEXT(TODAY(),"YYYYMMDD"))</f>
        <v/>
      </c>
      <c r="C1128" s="37" t="str">
        <f>IF(Agent06_Withdrawals!A133="","",Agent06_Withdrawals!B133)</f>
        <v/>
      </c>
      <c r="D1128" s="40" t="str">
        <f>IF(Agent06_Withdrawals!A133="","",Agent06_Withdrawals!C133)</f>
        <v/>
      </c>
      <c r="E1128" s="38" t="str">
        <f>IF(Agent06_Withdrawals!A133="","",Agent06_Withdrawals!D133)</f>
        <v/>
      </c>
      <c r="F1128" s="37" t="str">
        <f>IF(Agent06_Withdrawals!A133="","",Agent06_Withdrawals!F133)</f>
        <v/>
      </c>
      <c r="G1128" s="39" t="str">
        <f>IF(Agent06_Withdrawals!A133="","",Agent06_Withdrawals!E133)</f>
        <v/>
      </c>
      <c r="H1128" s="39" t="str">
        <f>IF(Agent06_Withdrawals!A133="","",Agent06_Withdrawals!G133)</f>
        <v/>
      </c>
      <c r="I1128" s="37" t="str">
        <f>IF(Agent06_Withdrawals!A133="","",Agent06_Withdrawals!H133)</f>
        <v/>
      </c>
      <c r="J1128" s="37" t="str">
        <f>IF(Agent06_Withdrawals!A133="","",Agent06_Withdrawals!J133)</f>
        <v/>
      </c>
      <c r="K1128" s="37" t="str">
        <f>IF(Agent06_Withdrawals!A133="","",Agent06_Withdrawals!K133)</f>
        <v/>
      </c>
      <c r="L1128" s="37" t="str">
        <f>IF(G1128="","",IF(D1128-G1128&gt;=System_Config!$B$9,"✅ OK","⚠️ BREACH"))</f>
        <v/>
      </c>
      <c r="M1128" s="37" t="str">
        <f>IFERROR(IF(Agent06_Withdrawals!A133="","",YEAR(Agent06_Withdrawals!D133)),"")</f>
        <v/>
      </c>
    </row>
    <row r="1129" spans="1:13" ht="18" customHeight="1" x14ac:dyDescent="0.25">
      <c r="A1129" s="37" t="str">
        <f>IF(Agent06_Withdrawals!A134="","",Agent06_Withdrawals!A134)</f>
        <v/>
      </c>
      <c r="B1129" s="37" t="str">
        <f ca="1">IF(Agent06_Withdrawals!A134="","","WD"&amp;TEXT(1129-3,"0000")&amp;"-"&amp;TEXT(TODAY(),"YYYYMMDD"))</f>
        <v/>
      </c>
      <c r="C1129" s="37" t="str">
        <f>IF(Agent06_Withdrawals!A134="","",Agent06_Withdrawals!B134)</f>
        <v/>
      </c>
      <c r="D1129" s="40" t="str">
        <f>IF(Agent06_Withdrawals!A134="","",Agent06_Withdrawals!C134)</f>
        <v/>
      </c>
      <c r="E1129" s="38" t="str">
        <f>IF(Agent06_Withdrawals!A134="","",Agent06_Withdrawals!D134)</f>
        <v/>
      </c>
      <c r="F1129" s="37" t="str">
        <f>IF(Agent06_Withdrawals!A134="","",Agent06_Withdrawals!F134)</f>
        <v/>
      </c>
      <c r="G1129" s="39" t="str">
        <f>IF(Agent06_Withdrawals!A134="","",Agent06_Withdrawals!E134)</f>
        <v/>
      </c>
      <c r="H1129" s="39" t="str">
        <f>IF(Agent06_Withdrawals!A134="","",Agent06_Withdrawals!G134)</f>
        <v/>
      </c>
      <c r="I1129" s="37" t="str">
        <f>IF(Agent06_Withdrawals!A134="","",Agent06_Withdrawals!H134)</f>
        <v/>
      </c>
      <c r="J1129" s="37" t="str">
        <f>IF(Agent06_Withdrawals!A134="","",Agent06_Withdrawals!J134)</f>
        <v/>
      </c>
      <c r="K1129" s="37" t="str">
        <f>IF(Agent06_Withdrawals!A134="","",Agent06_Withdrawals!K134)</f>
        <v/>
      </c>
      <c r="L1129" s="37" t="str">
        <f>IF(G1129="","",IF(D1129-G1129&gt;=System_Config!$B$9,"✅ OK","⚠️ BREACH"))</f>
        <v/>
      </c>
      <c r="M1129" s="37" t="str">
        <f>IFERROR(IF(Agent06_Withdrawals!A134="","",YEAR(Agent06_Withdrawals!D134)),"")</f>
        <v/>
      </c>
    </row>
    <row r="1130" spans="1:13" ht="18" customHeight="1" x14ac:dyDescent="0.25">
      <c r="A1130" s="37" t="str">
        <f>IF(Agent06_Withdrawals!A135="","",Agent06_Withdrawals!A135)</f>
        <v/>
      </c>
      <c r="B1130" s="37" t="str">
        <f ca="1">IF(Agent06_Withdrawals!A135="","","WD"&amp;TEXT(1130-3,"0000")&amp;"-"&amp;TEXT(TODAY(),"YYYYMMDD"))</f>
        <v/>
      </c>
      <c r="C1130" s="37" t="str">
        <f>IF(Agent06_Withdrawals!A135="","",Agent06_Withdrawals!B135)</f>
        <v/>
      </c>
      <c r="D1130" s="40" t="str">
        <f>IF(Agent06_Withdrawals!A135="","",Agent06_Withdrawals!C135)</f>
        <v/>
      </c>
      <c r="E1130" s="38" t="str">
        <f>IF(Agent06_Withdrawals!A135="","",Agent06_Withdrawals!D135)</f>
        <v/>
      </c>
      <c r="F1130" s="37" t="str">
        <f>IF(Agent06_Withdrawals!A135="","",Agent06_Withdrawals!F135)</f>
        <v/>
      </c>
      <c r="G1130" s="39" t="str">
        <f>IF(Agent06_Withdrawals!A135="","",Agent06_Withdrawals!E135)</f>
        <v/>
      </c>
      <c r="H1130" s="39" t="str">
        <f>IF(Agent06_Withdrawals!A135="","",Agent06_Withdrawals!G135)</f>
        <v/>
      </c>
      <c r="I1130" s="37" t="str">
        <f>IF(Agent06_Withdrawals!A135="","",Agent06_Withdrawals!H135)</f>
        <v/>
      </c>
      <c r="J1130" s="37" t="str">
        <f>IF(Agent06_Withdrawals!A135="","",Agent06_Withdrawals!J135)</f>
        <v/>
      </c>
      <c r="K1130" s="37" t="str">
        <f>IF(Agent06_Withdrawals!A135="","",Agent06_Withdrawals!K135)</f>
        <v/>
      </c>
      <c r="L1130" s="37" t="str">
        <f>IF(G1130="","",IF(D1130-G1130&gt;=System_Config!$B$9,"✅ OK","⚠️ BREACH"))</f>
        <v/>
      </c>
      <c r="M1130" s="37" t="str">
        <f>IFERROR(IF(Agent06_Withdrawals!A135="","",YEAR(Agent06_Withdrawals!D135)),"")</f>
        <v/>
      </c>
    </row>
    <row r="1131" spans="1:13" ht="18" customHeight="1" x14ac:dyDescent="0.25">
      <c r="A1131" s="37" t="str">
        <f>IF(Agent06_Withdrawals!A136="","",Agent06_Withdrawals!A136)</f>
        <v/>
      </c>
      <c r="B1131" s="37" t="str">
        <f ca="1">IF(Agent06_Withdrawals!A136="","","WD"&amp;TEXT(1131-3,"0000")&amp;"-"&amp;TEXT(TODAY(),"YYYYMMDD"))</f>
        <v/>
      </c>
      <c r="C1131" s="37" t="str">
        <f>IF(Agent06_Withdrawals!A136="","",Agent06_Withdrawals!B136)</f>
        <v/>
      </c>
      <c r="D1131" s="40" t="str">
        <f>IF(Agent06_Withdrawals!A136="","",Agent06_Withdrawals!C136)</f>
        <v/>
      </c>
      <c r="E1131" s="38" t="str">
        <f>IF(Agent06_Withdrawals!A136="","",Agent06_Withdrawals!D136)</f>
        <v/>
      </c>
      <c r="F1131" s="37" t="str">
        <f>IF(Agent06_Withdrawals!A136="","",Agent06_Withdrawals!F136)</f>
        <v/>
      </c>
      <c r="G1131" s="39" t="str">
        <f>IF(Agent06_Withdrawals!A136="","",Agent06_Withdrawals!E136)</f>
        <v/>
      </c>
      <c r="H1131" s="39" t="str">
        <f>IF(Agent06_Withdrawals!A136="","",Agent06_Withdrawals!G136)</f>
        <v/>
      </c>
      <c r="I1131" s="37" t="str">
        <f>IF(Agent06_Withdrawals!A136="","",Agent06_Withdrawals!H136)</f>
        <v/>
      </c>
      <c r="J1131" s="37" t="str">
        <f>IF(Agent06_Withdrawals!A136="","",Agent06_Withdrawals!J136)</f>
        <v/>
      </c>
      <c r="K1131" s="37" t="str">
        <f>IF(Agent06_Withdrawals!A136="","",Agent06_Withdrawals!K136)</f>
        <v/>
      </c>
      <c r="L1131" s="37" t="str">
        <f>IF(G1131="","",IF(D1131-G1131&gt;=System_Config!$B$9,"✅ OK","⚠️ BREACH"))</f>
        <v/>
      </c>
      <c r="M1131" s="37" t="str">
        <f>IFERROR(IF(Agent06_Withdrawals!A136="","",YEAR(Agent06_Withdrawals!D136)),"")</f>
        <v/>
      </c>
    </row>
    <row r="1132" spans="1:13" ht="18" customHeight="1" x14ac:dyDescent="0.25">
      <c r="A1132" s="37" t="str">
        <f>IF(Agent06_Withdrawals!A137="","",Agent06_Withdrawals!A137)</f>
        <v/>
      </c>
      <c r="B1132" s="37" t="str">
        <f ca="1">IF(Agent06_Withdrawals!A137="","","WD"&amp;TEXT(1132-3,"0000")&amp;"-"&amp;TEXT(TODAY(),"YYYYMMDD"))</f>
        <v/>
      </c>
      <c r="C1132" s="37" t="str">
        <f>IF(Agent06_Withdrawals!A137="","",Agent06_Withdrawals!B137)</f>
        <v/>
      </c>
      <c r="D1132" s="40" t="str">
        <f>IF(Agent06_Withdrawals!A137="","",Agent06_Withdrawals!C137)</f>
        <v/>
      </c>
      <c r="E1132" s="38" t="str">
        <f>IF(Agent06_Withdrawals!A137="","",Agent06_Withdrawals!D137)</f>
        <v/>
      </c>
      <c r="F1132" s="37" t="str">
        <f>IF(Agent06_Withdrawals!A137="","",Agent06_Withdrawals!F137)</f>
        <v/>
      </c>
      <c r="G1132" s="39" t="str">
        <f>IF(Agent06_Withdrawals!A137="","",Agent06_Withdrawals!E137)</f>
        <v/>
      </c>
      <c r="H1132" s="39" t="str">
        <f>IF(Agent06_Withdrawals!A137="","",Agent06_Withdrawals!G137)</f>
        <v/>
      </c>
      <c r="I1132" s="37" t="str">
        <f>IF(Agent06_Withdrawals!A137="","",Agent06_Withdrawals!H137)</f>
        <v/>
      </c>
      <c r="J1132" s="37" t="str">
        <f>IF(Agent06_Withdrawals!A137="","",Agent06_Withdrawals!J137)</f>
        <v/>
      </c>
      <c r="K1132" s="37" t="str">
        <f>IF(Agent06_Withdrawals!A137="","",Agent06_Withdrawals!K137)</f>
        <v/>
      </c>
      <c r="L1132" s="37" t="str">
        <f>IF(G1132="","",IF(D1132-G1132&gt;=System_Config!$B$9,"✅ OK","⚠️ BREACH"))</f>
        <v/>
      </c>
      <c r="M1132" s="37" t="str">
        <f>IFERROR(IF(Agent06_Withdrawals!A137="","",YEAR(Agent06_Withdrawals!D137)),"")</f>
        <v/>
      </c>
    </row>
    <row r="1133" spans="1:13" ht="18" customHeight="1" x14ac:dyDescent="0.25">
      <c r="A1133" s="37" t="str">
        <f>IF(Agent06_Withdrawals!A138="","",Agent06_Withdrawals!A138)</f>
        <v/>
      </c>
      <c r="B1133" s="37" t="str">
        <f ca="1">IF(Agent06_Withdrawals!A138="","","WD"&amp;TEXT(1133-3,"0000")&amp;"-"&amp;TEXT(TODAY(),"YYYYMMDD"))</f>
        <v/>
      </c>
      <c r="C1133" s="37" t="str">
        <f>IF(Agent06_Withdrawals!A138="","",Agent06_Withdrawals!B138)</f>
        <v/>
      </c>
      <c r="D1133" s="40" t="str">
        <f>IF(Agent06_Withdrawals!A138="","",Agent06_Withdrawals!C138)</f>
        <v/>
      </c>
      <c r="E1133" s="38" t="str">
        <f>IF(Agent06_Withdrawals!A138="","",Agent06_Withdrawals!D138)</f>
        <v/>
      </c>
      <c r="F1133" s="37" t="str">
        <f>IF(Agent06_Withdrawals!A138="","",Agent06_Withdrawals!F138)</f>
        <v/>
      </c>
      <c r="G1133" s="39" t="str">
        <f>IF(Agent06_Withdrawals!A138="","",Agent06_Withdrawals!E138)</f>
        <v/>
      </c>
      <c r="H1133" s="39" t="str">
        <f>IF(Agent06_Withdrawals!A138="","",Agent06_Withdrawals!G138)</f>
        <v/>
      </c>
      <c r="I1133" s="37" t="str">
        <f>IF(Agent06_Withdrawals!A138="","",Agent06_Withdrawals!H138)</f>
        <v/>
      </c>
      <c r="J1133" s="37" t="str">
        <f>IF(Agent06_Withdrawals!A138="","",Agent06_Withdrawals!J138)</f>
        <v/>
      </c>
      <c r="K1133" s="37" t="str">
        <f>IF(Agent06_Withdrawals!A138="","",Agent06_Withdrawals!K138)</f>
        <v/>
      </c>
      <c r="L1133" s="37" t="str">
        <f>IF(G1133="","",IF(D1133-G1133&gt;=System_Config!$B$9,"✅ OK","⚠️ BREACH"))</f>
        <v/>
      </c>
      <c r="M1133" s="37" t="str">
        <f>IFERROR(IF(Agent06_Withdrawals!A138="","",YEAR(Agent06_Withdrawals!D138)),"")</f>
        <v/>
      </c>
    </row>
    <row r="1134" spans="1:13" ht="18" customHeight="1" x14ac:dyDescent="0.25">
      <c r="A1134" s="37" t="str">
        <f>IF(Agent06_Withdrawals!A139="","",Agent06_Withdrawals!A139)</f>
        <v/>
      </c>
      <c r="B1134" s="37" t="str">
        <f ca="1">IF(Agent06_Withdrawals!A139="","","WD"&amp;TEXT(1134-3,"0000")&amp;"-"&amp;TEXT(TODAY(),"YYYYMMDD"))</f>
        <v/>
      </c>
      <c r="C1134" s="37" t="str">
        <f>IF(Agent06_Withdrawals!A139="","",Agent06_Withdrawals!B139)</f>
        <v/>
      </c>
      <c r="D1134" s="40" t="str">
        <f>IF(Agent06_Withdrawals!A139="","",Agent06_Withdrawals!C139)</f>
        <v/>
      </c>
      <c r="E1134" s="38" t="str">
        <f>IF(Agent06_Withdrawals!A139="","",Agent06_Withdrawals!D139)</f>
        <v/>
      </c>
      <c r="F1134" s="37" t="str">
        <f>IF(Agent06_Withdrawals!A139="","",Agent06_Withdrawals!F139)</f>
        <v/>
      </c>
      <c r="G1134" s="39" t="str">
        <f>IF(Agent06_Withdrawals!A139="","",Agent06_Withdrawals!E139)</f>
        <v/>
      </c>
      <c r="H1134" s="39" t="str">
        <f>IF(Agent06_Withdrawals!A139="","",Agent06_Withdrawals!G139)</f>
        <v/>
      </c>
      <c r="I1134" s="37" t="str">
        <f>IF(Agent06_Withdrawals!A139="","",Agent06_Withdrawals!H139)</f>
        <v/>
      </c>
      <c r="J1134" s="37" t="str">
        <f>IF(Agent06_Withdrawals!A139="","",Agent06_Withdrawals!J139)</f>
        <v/>
      </c>
      <c r="K1134" s="37" t="str">
        <f>IF(Agent06_Withdrawals!A139="","",Agent06_Withdrawals!K139)</f>
        <v/>
      </c>
      <c r="L1134" s="37" t="str">
        <f>IF(G1134="","",IF(D1134-G1134&gt;=System_Config!$B$9,"✅ OK","⚠️ BREACH"))</f>
        <v/>
      </c>
      <c r="M1134" s="37" t="str">
        <f>IFERROR(IF(Agent06_Withdrawals!A139="","",YEAR(Agent06_Withdrawals!D139)),"")</f>
        <v/>
      </c>
    </row>
    <row r="1135" spans="1:13" ht="18" customHeight="1" x14ac:dyDescent="0.25">
      <c r="A1135" s="37" t="str">
        <f>IF(Agent06_Withdrawals!A140="","",Agent06_Withdrawals!A140)</f>
        <v/>
      </c>
      <c r="B1135" s="37" t="str">
        <f ca="1">IF(Agent06_Withdrawals!A140="","","WD"&amp;TEXT(1135-3,"0000")&amp;"-"&amp;TEXT(TODAY(),"YYYYMMDD"))</f>
        <v/>
      </c>
      <c r="C1135" s="37" t="str">
        <f>IF(Agent06_Withdrawals!A140="","",Agent06_Withdrawals!B140)</f>
        <v/>
      </c>
      <c r="D1135" s="40" t="str">
        <f>IF(Agent06_Withdrawals!A140="","",Agent06_Withdrawals!C140)</f>
        <v/>
      </c>
      <c r="E1135" s="38" t="str">
        <f>IF(Agent06_Withdrawals!A140="","",Agent06_Withdrawals!D140)</f>
        <v/>
      </c>
      <c r="F1135" s="37" t="str">
        <f>IF(Agent06_Withdrawals!A140="","",Agent06_Withdrawals!F140)</f>
        <v/>
      </c>
      <c r="G1135" s="39" t="str">
        <f>IF(Agent06_Withdrawals!A140="","",Agent06_Withdrawals!E140)</f>
        <v/>
      </c>
      <c r="H1135" s="39" t="str">
        <f>IF(Agent06_Withdrawals!A140="","",Agent06_Withdrawals!G140)</f>
        <v/>
      </c>
      <c r="I1135" s="37" t="str">
        <f>IF(Agent06_Withdrawals!A140="","",Agent06_Withdrawals!H140)</f>
        <v/>
      </c>
      <c r="J1135" s="37" t="str">
        <f>IF(Agent06_Withdrawals!A140="","",Agent06_Withdrawals!J140)</f>
        <v/>
      </c>
      <c r="K1135" s="37" t="str">
        <f>IF(Agent06_Withdrawals!A140="","",Agent06_Withdrawals!K140)</f>
        <v/>
      </c>
      <c r="L1135" s="37" t="str">
        <f>IF(G1135="","",IF(D1135-G1135&gt;=System_Config!$B$9,"✅ OK","⚠️ BREACH"))</f>
        <v/>
      </c>
      <c r="M1135" s="37" t="str">
        <f>IFERROR(IF(Agent06_Withdrawals!A140="","",YEAR(Agent06_Withdrawals!D140)),"")</f>
        <v/>
      </c>
    </row>
    <row r="1136" spans="1:13" ht="18" customHeight="1" x14ac:dyDescent="0.25">
      <c r="A1136" s="37" t="str">
        <f>IF(Agent06_Withdrawals!A141="","",Agent06_Withdrawals!A141)</f>
        <v/>
      </c>
      <c r="B1136" s="37" t="str">
        <f ca="1">IF(Agent06_Withdrawals!A141="","","WD"&amp;TEXT(1136-3,"0000")&amp;"-"&amp;TEXT(TODAY(),"YYYYMMDD"))</f>
        <v/>
      </c>
      <c r="C1136" s="37" t="str">
        <f>IF(Agent06_Withdrawals!A141="","",Agent06_Withdrawals!B141)</f>
        <v/>
      </c>
      <c r="D1136" s="40" t="str">
        <f>IF(Agent06_Withdrawals!A141="","",Agent06_Withdrawals!C141)</f>
        <v/>
      </c>
      <c r="E1136" s="38" t="str">
        <f>IF(Agent06_Withdrawals!A141="","",Agent06_Withdrawals!D141)</f>
        <v/>
      </c>
      <c r="F1136" s="37" t="str">
        <f>IF(Agent06_Withdrawals!A141="","",Agent06_Withdrawals!F141)</f>
        <v/>
      </c>
      <c r="G1136" s="39" t="str">
        <f>IF(Agent06_Withdrawals!A141="","",Agent06_Withdrawals!E141)</f>
        <v/>
      </c>
      <c r="H1136" s="39" t="str">
        <f>IF(Agent06_Withdrawals!A141="","",Agent06_Withdrawals!G141)</f>
        <v/>
      </c>
      <c r="I1136" s="37" t="str">
        <f>IF(Agent06_Withdrawals!A141="","",Agent06_Withdrawals!H141)</f>
        <v/>
      </c>
      <c r="J1136" s="37" t="str">
        <f>IF(Agent06_Withdrawals!A141="","",Agent06_Withdrawals!J141)</f>
        <v/>
      </c>
      <c r="K1136" s="37" t="str">
        <f>IF(Agent06_Withdrawals!A141="","",Agent06_Withdrawals!K141)</f>
        <v/>
      </c>
      <c r="L1136" s="37" t="str">
        <f>IF(G1136="","",IF(D1136-G1136&gt;=System_Config!$B$9,"✅ OK","⚠️ BREACH"))</f>
        <v/>
      </c>
      <c r="M1136" s="37" t="str">
        <f>IFERROR(IF(Agent06_Withdrawals!A141="","",YEAR(Agent06_Withdrawals!D141)),"")</f>
        <v/>
      </c>
    </row>
    <row r="1137" spans="1:13" ht="18" customHeight="1" x14ac:dyDescent="0.25">
      <c r="A1137" s="37" t="str">
        <f>IF(Agent06_Withdrawals!A142="","",Agent06_Withdrawals!A142)</f>
        <v/>
      </c>
      <c r="B1137" s="37" t="str">
        <f ca="1">IF(Agent06_Withdrawals!A142="","","WD"&amp;TEXT(1137-3,"0000")&amp;"-"&amp;TEXT(TODAY(),"YYYYMMDD"))</f>
        <v/>
      </c>
      <c r="C1137" s="37" t="str">
        <f>IF(Agent06_Withdrawals!A142="","",Agent06_Withdrawals!B142)</f>
        <v/>
      </c>
      <c r="D1137" s="40" t="str">
        <f>IF(Agent06_Withdrawals!A142="","",Agent06_Withdrawals!C142)</f>
        <v/>
      </c>
      <c r="E1137" s="38" t="str">
        <f>IF(Agent06_Withdrawals!A142="","",Agent06_Withdrawals!D142)</f>
        <v/>
      </c>
      <c r="F1137" s="37" t="str">
        <f>IF(Agent06_Withdrawals!A142="","",Agent06_Withdrawals!F142)</f>
        <v/>
      </c>
      <c r="G1137" s="39" t="str">
        <f>IF(Agent06_Withdrawals!A142="","",Agent06_Withdrawals!E142)</f>
        <v/>
      </c>
      <c r="H1137" s="39" t="str">
        <f>IF(Agent06_Withdrawals!A142="","",Agent06_Withdrawals!G142)</f>
        <v/>
      </c>
      <c r="I1137" s="37" t="str">
        <f>IF(Agent06_Withdrawals!A142="","",Agent06_Withdrawals!H142)</f>
        <v/>
      </c>
      <c r="J1137" s="37" t="str">
        <f>IF(Agent06_Withdrawals!A142="","",Agent06_Withdrawals!J142)</f>
        <v/>
      </c>
      <c r="K1137" s="37" t="str">
        <f>IF(Agent06_Withdrawals!A142="","",Agent06_Withdrawals!K142)</f>
        <v/>
      </c>
      <c r="L1137" s="37" t="str">
        <f>IF(G1137="","",IF(D1137-G1137&gt;=System_Config!$B$9,"✅ OK","⚠️ BREACH"))</f>
        <v/>
      </c>
      <c r="M1137" s="37" t="str">
        <f>IFERROR(IF(Agent06_Withdrawals!A142="","",YEAR(Agent06_Withdrawals!D142)),"")</f>
        <v/>
      </c>
    </row>
    <row r="1138" spans="1:13" ht="18" customHeight="1" x14ac:dyDescent="0.25">
      <c r="A1138" s="37" t="str">
        <f>IF(Agent06_Withdrawals!A143="","",Agent06_Withdrawals!A143)</f>
        <v/>
      </c>
      <c r="B1138" s="37" t="str">
        <f ca="1">IF(Agent06_Withdrawals!A143="","","WD"&amp;TEXT(1138-3,"0000")&amp;"-"&amp;TEXT(TODAY(),"YYYYMMDD"))</f>
        <v/>
      </c>
      <c r="C1138" s="37" t="str">
        <f>IF(Agent06_Withdrawals!A143="","",Agent06_Withdrawals!B143)</f>
        <v/>
      </c>
      <c r="D1138" s="40" t="str">
        <f>IF(Agent06_Withdrawals!A143="","",Agent06_Withdrawals!C143)</f>
        <v/>
      </c>
      <c r="E1138" s="38" t="str">
        <f>IF(Agent06_Withdrawals!A143="","",Agent06_Withdrawals!D143)</f>
        <v/>
      </c>
      <c r="F1138" s="37" t="str">
        <f>IF(Agent06_Withdrawals!A143="","",Agent06_Withdrawals!F143)</f>
        <v/>
      </c>
      <c r="G1138" s="39" t="str">
        <f>IF(Agent06_Withdrawals!A143="","",Agent06_Withdrawals!E143)</f>
        <v/>
      </c>
      <c r="H1138" s="39" t="str">
        <f>IF(Agent06_Withdrawals!A143="","",Agent06_Withdrawals!G143)</f>
        <v/>
      </c>
      <c r="I1138" s="37" t="str">
        <f>IF(Agent06_Withdrawals!A143="","",Agent06_Withdrawals!H143)</f>
        <v/>
      </c>
      <c r="J1138" s="37" t="str">
        <f>IF(Agent06_Withdrawals!A143="","",Agent06_Withdrawals!J143)</f>
        <v/>
      </c>
      <c r="K1138" s="37" t="str">
        <f>IF(Agent06_Withdrawals!A143="","",Agent06_Withdrawals!K143)</f>
        <v/>
      </c>
      <c r="L1138" s="37" t="str">
        <f>IF(G1138="","",IF(D1138-G1138&gt;=System_Config!$B$9,"✅ OK","⚠️ BREACH"))</f>
        <v/>
      </c>
      <c r="M1138" s="37" t="str">
        <f>IFERROR(IF(Agent06_Withdrawals!A143="","",YEAR(Agent06_Withdrawals!D143)),"")</f>
        <v/>
      </c>
    </row>
    <row r="1139" spans="1:13" ht="18" customHeight="1" x14ac:dyDescent="0.25">
      <c r="A1139" s="37" t="str">
        <f>IF(Agent06_Withdrawals!A144="","",Agent06_Withdrawals!A144)</f>
        <v/>
      </c>
      <c r="B1139" s="37" t="str">
        <f ca="1">IF(Agent06_Withdrawals!A144="","","WD"&amp;TEXT(1139-3,"0000")&amp;"-"&amp;TEXT(TODAY(),"YYYYMMDD"))</f>
        <v/>
      </c>
      <c r="C1139" s="37" t="str">
        <f>IF(Agent06_Withdrawals!A144="","",Agent06_Withdrawals!B144)</f>
        <v/>
      </c>
      <c r="D1139" s="40" t="str">
        <f>IF(Agent06_Withdrawals!A144="","",Agent06_Withdrawals!C144)</f>
        <v/>
      </c>
      <c r="E1139" s="38" t="str">
        <f>IF(Agent06_Withdrawals!A144="","",Agent06_Withdrawals!D144)</f>
        <v/>
      </c>
      <c r="F1139" s="37" t="str">
        <f>IF(Agent06_Withdrawals!A144="","",Agent06_Withdrawals!F144)</f>
        <v/>
      </c>
      <c r="G1139" s="39" t="str">
        <f>IF(Agent06_Withdrawals!A144="","",Agent06_Withdrawals!E144)</f>
        <v/>
      </c>
      <c r="H1139" s="39" t="str">
        <f>IF(Agent06_Withdrawals!A144="","",Agent06_Withdrawals!G144)</f>
        <v/>
      </c>
      <c r="I1139" s="37" t="str">
        <f>IF(Agent06_Withdrawals!A144="","",Agent06_Withdrawals!H144)</f>
        <v/>
      </c>
      <c r="J1139" s="37" t="str">
        <f>IF(Agent06_Withdrawals!A144="","",Agent06_Withdrawals!J144)</f>
        <v/>
      </c>
      <c r="K1139" s="37" t="str">
        <f>IF(Agent06_Withdrawals!A144="","",Agent06_Withdrawals!K144)</f>
        <v/>
      </c>
      <c r="L1139" s="37" t="str">
        <f>IF(G1139="","",IF(D1139-G1139&gt;=System_Config!$B$9,"✅ OK","⚠️ BREACH"))</f>
        <v/>
      </c>
      <c r="M1139" s="37" t="str">
        <f>IFERROR(IF(Agent06_Withdrawals!A144="","",YEAR(Agent06_Withdrawals!D144)),"")</f>
        <v/>
      </c>
    </row>
    <row r="1140" spans="1:13" ht="18" customHeight="1" x14ac:dyDescent="0.25">
      <c r="A1140" s="37" t="str">
        <f>IF(Agent06_Withdrawals!A145="","",Agent06_Withdrawals!A145)</f>
        <v/>
      </c>
      <c r="B1140" s="37" t="str">
        <f ca="1">IF(Agent06_Withdrawals!A145="","","WD"&amp;TEXT(1140-3,"0000")&amp;"-"&amp;TEXT(TODAY(),"YYYYMMDD"))</f>
        <v/>
      </c>
      <c r="C1140" s="37" t="str">
        <f>IF(Agent06_Withdrawals!A145="","",Agent06_Withdrawals!B145)</f>
        <v/>
      </c>
      <c r="D1140" s="40" t="str">
        <f>IF(Agent06_Withdrawals!A145="","",Agent06_Withdrawals!C145)</f>
        <v/>
      </c>
      <c r="E1140" s="38" t="str">
        <f>IF(Agent06_Withdrawals!A145="","",Agent06_Withdrawals!D145)</f>
        <v/>
      </c>
      <c r="F1140" s="37" t="str">
        <f>IF(Agent06_Withdrawals!A145="","",Agent06_Withdrawals!F145)</f>
        <v/>
      </c>
      <c r="G1140" s="39" t="str">
        <f>IF(Agent06_Withdrawals!A145="","",Agent06_Withdrawals!E145)</f>
        <v/>
      </c>
      <c r="H1140" s="39" t="str">
        <f>IF(Agent06_Withdrawals!A145="","",Agent06_Withdrawals!G145)</f>
        <v/>
      </c>
      <c r="I1140" s="37" t="str">
        <f>IF(Agent06_Withdrawals!A145="","",Agent06_Withdrawals!H145)</f>
        <v/>
      </c>
      <c r="J1140" s="37" t="str">
        <f>IF(Agent06_Withdrawals!A145="","",Agent06_Withdrawals!J145)</f>
        <v/>
      </c>
      <c r="K1140" s="37" t="str">
        <f>IF(Agent06_Withdrawals!A145="","",Agent06_Withdrawals!K145)</f>
        <v/>
      </c>
      <c r="L1140" s="37" t="str">
        <f>IF(G1140="","",IF(D1140-G1140&gt;=System_Config!$B$9,"✅ OK","⚠️ BREACH"))</f>
        <v/>
      </c>
      <c r="M1140" s="37" t="str">
        <f>IFERROR(IF(Agent06_Withdrawals!A145="","",YEAR(Agent06_Withdrawals!D145)),"")</f>
        <v/>
      </c>
    </row>
    <row r="1141" spans="1:13" ht="18" customHeight="1" x14ac:dyDescent="0.25">
      <c r="A1141" s="37" t="str">
        <f>IF(Agent06_Withdrawals!A146="","",Agent06_Withdrawals!A146)</f>
        <v/>
      </c>
      <c r="B1141" s="37" t="str">
        <f ca="1">IF(Agent06_Withdrawals!A146="","","WD"&amp;TEXT(1141-3,"0000")&amp;"-"&amp;TEXT(TODAY(),"YYYYMMDD"))</f>
        <v/>
      </c>
      <c r="C1141" s="37" t="str">
        <f>IF(Agent06_Withdrawals!A146="","",Agent06_Withdrawals!B146)</f>
        <v/>
      </c>
      <c r="D1141" s="40" t="str">
        <f>IF(Agent06_Withdrawals!A146="","",Agent06_Withdrawals!C146)</f>
        <v/>
      </c>
      <c r="E1141" s="38" t="str">
        <f>IF(Agent06_Withdrawals!A146="","",Agent06_Withdrawals!D146)</f>
        <v/>
      </c>
      <c r="F1141" s="37" t="str">
        <f>IF(Agent06_Withdrawals!A146="","",Agent06_Withdrawals!F146)</f>
        <v/>
      </c>
      <c r="G1141" s="39" t="str">
        <f>IF(Agent06_Withdrawals!A146="","",Agent06_Withdrawals!E146)</f>
        <v/>
      </c>
      <c r="H1141" s="39" t="str">
        <f>IF(Agent06_Withdrawals!A146="","",Agent06_Withdrawals!G146)</f>
        <v/>
      </c>
      <c r="I1141" s="37" t="str">
        <f>IF(Agent06_Withdrawals!A146="","",Agent06_Withdrawals!H146)</f>
        <v/>
      </c>
      <c r="J1141" s="37" t="str">
        <f>IF(Agent06_Withdrawals!A146="","",Agent06_Withdrawals!J146)</f>
        <v/>
      </c>
      <c r="K1141" s="37" t="str">
        <f>IF(Agent06_Withdrawals!A146="","",Agent06_Withdrawals!K146)</f>
        <v/>
      </c>
      <c r="L1141" s="37" t="str">
        <f>IF(G1141="","",IF(D1141-G1141&gt;=System_Config!$B$9,"✅ OK","⚠️ BREACH"))</f>
        <v/>
      </c>
      <c r="M1141" s="37" t="str">
        <f>IFERROR(IF(Agent06_Withdrawals!A146="","",YEAR(Agent06_Withdrawals!D146)),"")</f>
        <v/>
      </c>
    </row>
    <row r="1142" spans="1:13" ht="18" customHeight="1" x14ac:dyDescent="0.25">
      <c r="A1142" s="37" t="str">
        <f>IF(Agent06_Withdrawals!A147="","",Agent06_Withdrawals!A147)</f>
        <v/>
      </c>
      <c r="B1142" s="37" t="str">
        <f ca="1">IF(Agent06_Withdrawals!A147="","","WD"&amp;TEXT(1142-3,"0000")&amp;"-"&amp;TEXT(TODAY(),"YYYYMMDD"))</f>
        <v/>
      </c>
      <c r="C1142" s="37" t="str">
        <f>IF(Agent06_Withdrawals!A147="","",Agent06_Withdrawals!B147)</f>
        <v/>
      </c>
      <c r="D1142" s="40" t="str">
        <f>IF(Agent06_Withdrawals!A147="","",Agent06_Withdrawals!C147)</f>
        <v/>
      </c>
      <c r="E1142" s="38" t="str">
        <f>IF(Agent06_Withdrawals!A147="","",Agent06_Withdrawals!D147)</f>
        <v/>
      </c>
      <c r="F1142" s="37" t="str">
        <f>IF(Agent06_Withdrawals!A147="","",Agent06_Withdrawals!F147)</f>
        <v/>
      </c>
      <c r="G1142" s="39" t="str">
        <f>IF(Agent06_Withdrawals!A147="","",Agent06_Withdrawals!E147)</f>
        <v/>
      </c>
      <c r="H1142" s="39" t="str">
        <f>IF(Agent06_Withdrawals!A147="","",Agent06_Withdrawals!G147)</f>
        <v/>
      </c>
      <c r="I1142" s="37" t="str">
        <f>IF(Agent06_Withdrawals!A147="","",Agent06_Withdrawals!H147)</f>
        <v/>
      </c>
      <c r="J1142" s="37" t="str">
        <f>IF(Agent06_Withdrawals!A147="","",Agent06_Withdrawals!J147)</f>
        <v/>
      </c>
      <c r="K1142" s="37" t="str">
        <f>IF(Agent06_Withdrawals!A147="","",Agent06_Withdrawals!K147)</f>
        <v/>
      </c>
      <c r="L1142" s="37" t="str">
        <f>IF(G1142="","",IF(D1142-G1142&gt;=System_Config!$B$9,"✅ OK","⚠️ BREACH"))</f>
        <v/>
      </c>
      <c r="M1142" s="37" t="str">
        <f>IFERROR(IF(Agent06_Withdrawals!A147="","",YEAR(Agent06_Withdrawals!D147)),"")</f>
        <v/>
      </c>
    </row>
    <row r="1143" spans="1:13" ht="18" customHeight="1" x14ac:dyDescent="0.25">
      <c r="A1143" s="37" t="str">
        <f>IF(Agent06_Withdrawals!A148="","",Agent06_Withdrawals!A148)</f>
        <v/>
      </c>
      <c r="B1143" s="37" t="str">
        <f ca="1">IF(Agent06_Withdrawals!A148="","","WD"&amp;TEXT(1143-3,"0000")&amp;"-"&amp;TEXT(TODAY(),"YYYYMMDD"))</f>
        <v/>
      </c>
      <c r="C1143" s="37" t="str">
        <f>IF(Agent06_Withdrawals!A148="","",Agent06_Withdrawals!B148)</f>
        <v/>
      </c>
      <c r="D1143" s="40" t="str">
        <f>IF(Agent06_Withdrawals!A148="","",Agent06_Withdrawals!C148)</f>
        <v/>
      </c>
      <c r="E1143" s="38" t="str">
        <f>IF(Agent06_Withdrawals!A148="","",Agent06_Withdrawals!D148)</f>
        <v/>
      </c>
      <c r="F1143" s="37" t="str">
        <f>IF(Agent06_Withdrawals!A148="","",Agent06_Withdrawals!F148)</f>
        <v/>
      </c>
      <c r="G1143" s="39" t="str">
        <f>IF(Agent06_Withdrawals!A148="","",Agent06_Withdrawals!E148)</f>
        <v/>
      </c>
      <c r="H1143" s="39" t="str">
        <f>IF(Agent06_Withdrawals!A148="","",Agent06_Withdrawals!G148)</f>
        <v/>
      </c>
      <c r="I1143" s="37" t="str">
        <f>IF(Agent06_Withdrawals!A148="","",Agent06_Withdrawals!H148)</f>
        <v/>
      </c>
      <c r="J1143" s="37" t="str">
        <f>IF(Agent06_Withdrawals!A148="","",Agent06_Withdrawals!J148)</f>
        <v/>
      </c>
      <c r="K1143" s="37" t="str">
        <f>IF(Agent06_Withdrawals!A148="","",Agent06_Withdrawals!K148)</f>
        <v/>
      </c>
      <c r="L1143" s="37" t="str">
        <f>IF(G1143="","",IF(D1143-G1143&gt;=System_Config!$B$9,"✅ OK","⚠️ BREACH"))</f>
        <v/>
      </c>
      <c r="M1143" s="37" t="str">
        <f>IFERROR(IF(Agent06_Withdrawals!A148="","",YEAR(Agent06_Withdrawals!D148)),"")</f>
        <v/>
      </c>
    </row>
    <row r="1144" spans="1:13" ht="18" customHeight="1" x14ac:dyDescent="0.25">
      <c r="A1144" s="37" t="str">
        <f>IF(Agent06_Withdrawals!A149="","",Agent06_Withdrawals!A149)</f>
        <v/>
      </c>
      <c r="B1144" s="37" t="str">
        <f ca="1">IF(Agent06_Withdrawals!A149="","","WD"&amp;TEXT(1144-3,"0000")&amp;"-"&amp;TEXT(TODAY(),"YYYYMMDD"))</f>
        <v/>
      </c>
      <c r="C1144" s="37" t="str">
        <f>IF(Agent06_Withdrawals!A149="","",Agent06_Withdrawals!B149)</f>
        <v/>
      </c>
      <c r="D1144" s="40" t="str">
        <f>IF(Agent06_Withdrawals!A149="","",Agent06_Withdrawals!C149)</f>
        <v/>
      </c>
      <c r="E1144" s="38" t="str">
        <f>IF(Agent06_Withdrawals!A149="","",Agent06_Withdrawals!D149)</f>
        <v/>
      </c>
      <c r="F1144" s="37" t="str">
        <f>IF(Agent06_Withdrawals!A149="","",Agent06_Withdrawals!F149)</f>
        <v/>
      </c>
      <c r="G1144" s="39" t="str">
        <f>IF(Agent06_Withdrawals!A149="","",Agent06_Withdrawals!E149)</f>
        <v/>
      </c>
      <c r="H1144" s="39" t="str">
        <f>IF(Agent06_Withdrawals!A149="","",Agent06_Withdrawals!G149)</f>
        <v/>
      </c>
      <c r="I1144" s="37" t="str">
        <f>IF(Agent06_Withdrawals!A149="","",Agent06_Withdrawals!H149)</f>
        <v/>
      </c>
      <c r="J1144" s="37" t="str">
        <f>IF(Agent06_Withdrawals!A149="","",Agent06_Withdrawals!J149)</f>
        <v/>
      </c>
      <c r="K1144" s="37" t="str">
        <f>IF(Agent06_Withdrawals!A149="","",Agent06_Withdrawals!K149)</f>
        <v/>
      </c>
      <c r="L1144" s="37" t="str">
        <f>IF(G1144="","",IF(D1144-G1144&gt;=System_Config!$B$9,"✅ OK","⚠️ BREACH"))</f>
        <v/>
      </c>
      <c r="M1144" s="37" t="str">
        <f>IFERROR(IF(Agent06_Withdrawals!A149="","",YEAR(Agent06_Withdrawals!D149)),"")</f>
        <v/>
      </c>
    </row>
    <row r="1145" spans="1:13" ht="18" customHeight="1" x14ac:dyDescent="0.25">
      <c r="A1145" s="37" t="str">
        <f>IF(Agent06_Withdrawals!A150="","",Agent06_Withdrawals!A150)</f>
        <v/>
      </c>
      <c r="B1145" s="37" t="str">
        <f ca="1">IF(Agent06_Withdrawals!A150="","","WD"&amp;TEXT(1145-3,"0000")&amp;"-"&amp;TEXT(TODAY(),"YYYYMMDD"))</f>
        <v/>
      </c>
      <c r="C1145" s="37" t="str">
        <f>IF(Agent06_Withdrawals!A150="","",Agent06_Withdrawals!B150)</f>
        <v/>
      </c>
      <c r="D1145" s="40" t="str">
        <f>IF(Agent06_Withdrawals!A150="","",Agent06_Withdrawals!C150)</f>
        <v/>
      </c>
      <c r="E1145" s="38" t="str">
        <f>IF(Agent06_Withdrawals!A150="","",Agent06_Withdrawals!D150)</f>
        <v/>
      </c>
      <c r="F1145" s="37" t="str">
        <f>IF(Agent06_Withdrawals!A150="","",Agent06_Withdrawals!F150)</f>
        <v/>
      </c>
      <c r="G1145" s="39" t="str">
        <f>IF(Agent06_Withdrawals!A150="","",Agent06_Withdrawals!E150)</f>
        <v/>
      </c>
      <c r="H1145" s="39" t="str">
        <f>IF(Agent06_Withdrawals!A150="","",Agent06_Withdrawals!G150)</f>
        <v/>
      </c>
      <c r="I1145" s="37" t="str">
        <f>IF(Agent06_Withdrawals!A150="","",Agent06_Withdrawals!H150)</f>
        <v/>
      </c>
      <c r="J1145" s="37" t="str">
        <f>IF(Agent06_Withdrawals!A150="","",Agent06_Withdrawals!J150)</f>
        <v/>
      </c>
      <c r="K1145" s="37" t="str">
        <f>IF(Agent06_Withdrawals!A150="","",Agent06_Withdrawals!K150)</f>
        <v/>
      </c>
      <c r="L1145" s="37" t="str">
        <f>IF(G1145="","",IF(D1145-G1145&gt;=System_Config!$B$9,"✅ OK","⚠️ BREACH"))</f>
        <v/>
      </c>
      <c r="M1145" s="37" t="str">
        <f>IFERROR(IF(Agent06_Withdrawals!A150="","",YEAR(Agent06_Withdrawals!D150)),"")</f>
        <v/>
      </c>
    </row>
    <row r="1146" spans="1:13" ht="18" customHeight="1" x14ac:dyDescent="0.25">
      <c r="A1146" s="37" t="str">
        <f>IF(Agent06_Withdrawals!A151="","",Agent06_Withdrawals!A151)</f>
        <v/>
      </c>
      <c r="B1146" s="37" t="str">
        <f ca="1">IF(Agent06_Withdrawals!A151="","","WD"&amp;TEXT(1146-3,"0000")&amp;"-"&amp;TEXT(TODAY(),"YYYYMMDD"))</f>
        <v/>
      </c>
      <c r="C1146" s="37" t="str">
        <f>IF(Agent06_Withdrawals!A151="","",Agent06_Withdrawals!B151)</f>
        <v/>
      </c>
      <c r="D1146" s="40" t="str">
        <f>IF(Agent06_Withdrawals!A151="","",Agent06_Withdrawals!C151)</f>
        <v/>
      </c>
      <c r="E1146" s="38" t="str">
        <f>IF(Agent06_Withdrawals!A151="","",Agent06_Withdrawals!D151)</f>
        <v/>
      </c>
      <c r="F1146" s="37" t="str">
        <f>IF(Agent06_Withdrawals!A151="","",Agent06_Withdrawals!F151)</f>
        <v/>
      </c>
      <c r="G1146" s="39" t="str">
        <f>IF(Agent06_Withdrawals!A151="","",Agent06_Withdrawals!E151)</f>
        <v/>
      </c>
      <c r="H1146" s="39" t="str">
        <f>IF(Agent06_Withdrawals!A151="","",Agent06_Withdrawals!G151)</f>
        <v/>
      </c>
      <c r="I1146" s="37" t="str">
        <f>IF(Agent06_Withdrawals!A151="","",Agent06_Withdrawals!H151)</f>
        <v/>
      </c>
      <c r="J1146" s="37" t="str">
        <f>IF(Agent06_Withdrawals!A151="","",Agent06_Withdrawals!J151)</f>
        <v/>
      </c>
      <c r="K1146" s="37" t="str">
        <f>IF(Agent06_Withdrawals!A151="","",Agent06_Withdrawals!K151)</f>
        <v/>
      </c>
      <c r="L1146" s="37" t="str">
        <f>IF(G1146="","",IF(D1146-G1146&gt;=System_Config!$B$9,"✅ OK","⚠️ BREACH"))</f>
        <v/>
      </c>
      <c r="M1146" s="37" t="str">
        <f>IFERROR(IF(Agent06_Withdrawals!A151="","",YEAR(Agent06_Withdrawals!D151)),"")</f>
        <v/>
      </c>
    </row>
    <row r="1147" spans="1:13" ht="18" customHeight="1" x14ac:dyDescent="0.25">
      <c r="A1147" s="37" t="str">
        <f>IF(Agent06_Withdrawals!A152="","",Agent06_Withdrawals!A152)</f>
        <v/>
      </c>
      <c r="B1147" s="37" t="str">
        <f ca="1">IF(Agent06_Withdrawals!A152="","","WD"&amp;TEXT(1147-3,"0000")&amp;"-"&amp;TEXT(TODAY(),"YYYYMMDD"))</f>
        <v/>
      </c>
      <c r="C1147" s="37" t="str">
        <f>IF(Agent06_Withdrawals!A152="","",Agent06_Withdrawals!B152)</f>
        <v/>
      </c>
      <c r="D1147" s="40" t="str">
        <f>IF(Agent06_Withdrawals!A152="","",Agent06_Withdrawals!C152)</f>
        <v/>
      </c>
      <c r="E1147" s="38" t="str">
        <f>IF(Agent06_Withdrawals!A152="","",Agent06_Withdrawals!D152)</f>
        <v/>
      </c>
      <c r="F1147" s="37" t="str">
        <f>IF(Agent06_Withdrawals!A152="","",Agent06_Withdrawals!F152)</f>
        <v/>
      </c>
      <c r="G1147" s="39" t="str">
        <f>IF(Agent06_Withdrawals!A152="","",Agent06_Withdrawals!E152)</f>
        <v/>
      </c>
      <c r="H1147" s="39" t="str">
        <f>IF(Agent06_Withdrawals!A152="","",Agent06_Withdrawals!G152)</f>
        <v/>
      </c>
      <c r="I1147" s="37" t="str">
        <f>IF(Agent06_Withdrawals!A152="","",Agent06_Withdrawals!H152)</f>
        <v/>
      </c>
      <c r="J1147" s="37" t="str">
        <f>IF(Agent06_Withdrawals!A152="","",Agent06_Withdrawals!J152)</f>
        <v/>
      </c>
      <c r="K1147" s="37" t="str">
        <f>IF(Agent06_Withdrawals!A152="","",Agent06_Withdrawals!K152)</f>
        <v/>
      </c>
      <c r="L1147" s="37" t="str">
        <f>IF(G1147="","",IF(D1147-G1147&gt;=System_Config!$B$9,"✅ OK","⚠️ BREACH"))</f>
        <v/>
      </c>
      <c r="M1147" s="37" t="str">
        <f>IFERROR(IF(Agent06_Withdrawals!A152="","",YEAR(Agent06_Withdrawals!D152)),"")</f>
        <v/>
      </c>
    </row>
    <row r="1148" spans="1:13" ht="18" customHeight="1" x14ac:dyDescent="0.25">
      <c r="A1148" s="37" t="str">
        <f>IF(Agent06_Withdrawals!A153="","",Agent06_Withdrawals!A153)</f>
        <v/>
      </c>
      <c r="B1148" s="37" t="str">
        <f ca="1">IF(Agent06_Withdrawals!A153="","","WD"&amp;TEXT(1148-3,"0000")&amp;"-"&amp;TEXT(TODAY(),"YYYYMMDD"))</f>
        <v/>
      </c>
      <c r="C1148" s="37" t="str">
        <f>IF(Agent06_Withdrawals!A153="","",Agent06_Withdrawals!B153)</f>
        <v/>
      </c>
      <c r="D1148" s="40" t="str">
        <f>IF(Agent06_Withdrawals!A153="","",Agent06_Withdrawals!C153)</f>
        <v/>
      </c>
      <c r="E1148" s="38" t="str">
        <f>IF(Agent06_Withdrawals!A153="","",Agent06_Withdrawals!D153)</f>
        <v/>
      </c>
      <c r="F1148" s="37" t="str">
        <f>IF(Agent06_Withdrawals!A153="","",Agent06_Withdrawals!F153)</f>
        <v/>
      </c>
      <c r="G1148" s="39" t="str">
        <f>IF(Agent06_Withdrawals!A153="","",Agent06_Withdrawals!E153)</f>
        <v/>
      </c>
      <c r="H1148" s="39" t="str">
        <f>IF(Agent06_Withdrawals!A153="","",Agent06_Withdrawals!G153)</f>
        <v/>
      </c>
      <c r="I1148" s="37" t="str">
        <f>IF(Agent06_Withdrawals!A153="","",Agent06_Withdrawals!H153)</f>
        <v/>
      </c>
      <c r="J1148" s="37" t="str">
        <f>IF(Agent06_Withdrawals!A153="","",Agent06_Withdrawals!J153)</f>
        <v/>
      </c>
      <c r="K1148" s="37" t="str">
        <f>IF(Agent06_Withdrawals!A153="","",Agent06_Withdrawals!K153)</f>
        <v/>
      </c>
      <c r="L1148" s="37" t="str">
        <f>IF(G1148="","",IF(D1148-G1148&gt;=System_Config!$B$9,"✅ OK","⚠️ BREACH"))</f>
        <v/>
      </c>
      <c r="M1148" s="37" t="str">
        <f>IFERROR(IF(Agent06_Withdrawals!A153="","",YEAR(Agent06_Withdrawals!D153)),"")</f>
        <v/>
      </c>
    </row>
    <row r="1149" spans="1:13" ht="18" customHeight="1" x14ac:dyDescent="0.25">
      <c r="A1149" s="37" t="str">
        <f>IF(Agent06_Withdrawals!A154="","",Agent06_Withdrawals!A154)</f>
        <v/>
      </c>
      <c r="B1149" s="37" t="str">
        <f ca="1">IF(Agent06_Withdrawals!A154="","","WD"&amp;TEXT(1149-3,"0000")&amp;"-"&amp;TEXT(TODAY(),"YYYYMMDD"))</f>
        <v/>
      </c>
      <c r="C1149" s="37" t="str">
        <f>IF(Agent06_Withdrawals!A154="","",Agent06_Withdrawals!B154)</f>
        <v/>
      </c>
      <c r="D1149" s="40" t="str">
        <f>IF(Agent06_Withdrawals!A154="","",Agent06_Withdrawals!C154)</f>
        <v/>
      </c>
      <c r="E1149" s="38" t="str">
        <f>IF(Agent06_Withdrawals!A154="","",Agent06_Withdrawals!D154)</f>
        <v/>
      </c>
      <c r="F1149" s="37" t="str">
        <f>IF(Agent06_Withdrawals!A154="","",Agent06_Withdrawals!F154)</f>
        <v/>
      </c>
      <c r="G1149" s="39" t="str">
        <f>IF(Agent06_Withdrawals!A154="","",Agent06_Withdrawals!E154)</f>
        <v/>
      </c>
      <c r="H1149" s="39" t="str">
        <f>IF(Agent06_Withdrawals!A154="","",Agent06_Withdrawals!G154)</f>
        <v/>
      </c>
      <c r="I1149" s="37" t="str">
        <f>IF(Agent06_Withdrawals!A154="","",Agent06_Withdrawals!H154)</f>
        <v/>
      </c>
      <c r="J1149" s="37" t="str">
        <f>IF(Agent06_Withdrawals!A154="","",Agent06_Withdrawals!J154)</f>
        <v/>
      </c>
      <c r="K1149" s="37" t="str">
        <f>IF(Agent06_Withdrawals!A154="","",Agent06_Withdrawals!K154)</f>
        <v/>
      </c>
      <c r="L1149" s="37" t="str">
        <f>IF(G1149="","",IF(D1149-G1149&gt;=System_Config!$B$9,"✅ OK","⚠️ BREACH"))</f>
        <v/>
      </c>
      <c r="M1149" s="37" t="str">
        <f>IFERROR(IF(Agent06_Withdrawals!A154="","",YEAR(Agent06_Withdrawals!D154)),"")</f>
        <v/>
      </c>
    </row>
    <row r="1150" spans="1:13" ht="18" customHeight="1" x14ac:dyDescent="0.25">
      <c r="A1150" s="37" t="str">
        <f>IF(Agent06_Withdrawals!A155="","",Agent06_Withdrawals!A155)</f>
        <v/>
      </c>
      <c r="B1150" s="37" t="str">
        <f ca="1">IF(Agent06_Withdrawals!A155="","","WD"&amp;TEXT(1150-3,"0000")&amp;"-"&amp;TEXT(TODAY(),"YYYYMMDD"))</f>
        <v/>
      </c>
      <c r="C1150" s="37" t="str">
        <f>IF(Agent06_Withdrawals!A155="","",Agent06_Withdrawals!B155)</f>
        <v/>
      </c>
      <c r="D1150" s="40" t="str">
        <f>IF(Agent06_Withdrawals!A155="","",Agent06_Withdrawals!C155)</f>
        <v/>
      </c>
      <c r="E1150" s="38" t="str">
        <f>IF(Agent06_Withdrawals!A155="","",Agent06_Withdrawals!D155)</f>
        <v/>
      </c>
      <c r="F1150" s="37" t="str">
        <f>IF(Agent06_Withdrawals!A155="","",Agent06_Withdrawals!F155)</f>
        <v/>
      </c>
      <c r="G1150" s="39" t="str">
        <f>IF(Agent06_Withdrawals!A155="","",Agent06_Withdrawals!E155)</f>
        <v/>
      </c>
      <c r="H1150" s="39" t="str">
        <f>IF(Agent06_Withdrawals!A155="","",Agent06_Withdrawals!G155)</f>
        <v/>
      </c>
      <c r="I1150" s="37" t="str">
        <f>IF(Agent06_Withdrawals!A155="","",Agent06_Withdrawals!H155)</f>
        <v/>
      </c>
      <c r="J1150" s="37" t="str">
        <f>IF(Agent06_Withdrawals!A155="","",Agent06_Withdrawals!J155)</f>
        <v/>
      </c>
      <c r="K1150" s="37" t="str">
        <f>IF(Agent06_Withdrawals!A155="","",Agent06_Withdrawals!K155)</f>
        <v/>
      </c>
      <c r="L1150" s="37" t="str">
        <f>IF(G1150="","",IF(D1150-G1150&gt;=System_Config!$B$9,"✅ OK","⚠️ BREACH"))</f>
        <v/>
      </c>
      <c r="M1150" s="37" t="str">
        <f>IFERROR(IF(Agent06_Withdrawals!A155="","",YEAR(Agent06_Withdrawals!D155)),"")</f>
        <v/>
      </c>
    </row>
    <row r="1151" spans="1:13" ht="18" customHeight="1" x14ac:dyDescent="0.25">
      <c r="A1151" s="37" t="str">
        <f>IF(Agent06_Withdrawals!A156="","",Agent06_Withdrawals!A156)</f>
        <v/>
      </c>
      <c r="B1151" s="37" t="str">
        <f ca="1">IF(Agent06_Withdrawals!A156="","","WD"&amp;TEXT(1151-3,"0000")&amp;"-"&amp;TEXT(TODAY(),"YYYYMMDD"))</f>
        <v/>
      </c>
      <c r="C1151" s="37" t="str">
        <f>IF(Agent06_Withdrawals!A156="","",Agent06_Withdrawals!B156)</f>
        <v/>
      </c>
      <c r="D1151" s="40" t="str">
        <f>IF(Agent06_Withdrawals!A156="","",Agent06_Withdrawals!C156)</f>
        <v/>
      </c>
      <c r="E1151" s="38" t="str">
        <f>IF(Agent06_Withdrawals!A156="","",Agent06_Withdrawals!D156)</f>
        <v/>
      </c>
      <c r="F1151" s="37" t="str">
        <f>IF(Agent06_Withdrawals!A156="","",Agent06_Withdrawals!F156)</f>
        <v/>
      </c>
      <c r="G1151" s="39" t="str">
        <f>IF(Agent06_Withdrawals!A156="","",Agent06_Withdrawals!E156)</f>
        <v/>
      </c>
      <c r="H1151" s="39" t="str">
        <f>IF(Agent06_Withdrawals!A156="","",Agent06_Withdrawals!G156)</f>
        <v/>
      </c>
      <c r="I1151" s="37" t="str">
        <f>IF(Agent06_Withdrawals!A156="","",Agent06_Withdrawals!H156)</f>
        <v/>
      </c>
      <c r="J1151" s="37" t="str">
        <f>IF(Agent06_Withdrawals!A156="","",Agent06_Withdrawals!J156)</f>
        <v/>
      </c>
      <c r="K1151" s="37" t="str">
        <f>IF(Agent06_Withdrawals!A156="","",Agent06_Withdrawals!K156)</f>
        <v/>
      </c>
      <c r="L1151" s="37" t="str">
        <f>IF(G1151="","",IF(D1151-G1151&gt;=System_Config!$B$9,"✅ OK","⚠️ BREACH"))</f>
        <v/>
      </c>
      <c r="M1151" s="37" t="str">
        <f>IFERROR(IF(Agent06_Withdrawals!A156="","",YEAR(Agent06_Withdrawals!D156)),"")</f>
        <v/>
      </c>
    </row>
    <row r="1152" spans="1:13" ht="18" customHeight="1" x14ac:dyDescent="0.25">
      <c r="A1152" s="37" t="str">
        <f>IF(Agent06_Withdrawals!A157="","",Agent06_Withdrawals!A157)</f>
        <v/>
      </c>
      <c r="B1152" s="37" t="str">
        <f ca="1">IF(Agent06_Withdrawals!A157="","","WD"&amp;TEXT(1152-3,"0000")&amp;"-"&amp;TEXT(TODAY(),"YYYYMMDD"))</f>
        <v/>
      </c>
      <c r="C1152" s="37" t="str">
        <f>IF(Agent06_Withdrawals!A157="","",Agent06_Withdrawals!B157)</f>
        <v/>
      </c>
      <c r="D1152" s="40" t="str">
        <f>IF(Agent06_Withdrawals!A157="","",Agent06_Withdrawals!C157)</f>
        <v/>
      </c>
      <c r="E1152" s="38" t="str">
        <f>IF(Agent06_Withdrawals!A157="","",Agent06_Withdrawals!D157)</f>
        <v/>
      </c>
      <c r="F1152" s="37" t="str">
        <f>IF(Agent06_Withdrawals!A157="","",Agent06_Withdrawals!F157)</f>
        <v/>
      </c>
      <c r="G1152" s="39" t="str">
        <f>IF(Agent06_Withdrawals!A157="","",Agent06_Withdrawals!E157)</f>
        <v/>
      </c>
      <c r="H1152" s="39" t="str">
        <f>IF(Agent06_Withdrawals!A157="","",Agent06_Withdrawals!G157)</f>
        <v/>
      </c>
      <c r="I1152" s="37" t="str">
        <f>IF(Agent06_Withdrawals!A157="","",Agent06_Withdrawals!H157)</f>
        <v/>
      </c>
      <c r="J1152" s="37" t="str">
        <f>IF(Agent06_Withdrawals!A157="","",Agent06_Withdrawals!J157)</f>
        <v/>
      </c>
      <c r="K1152" s="37" t="str">
        <f>IF(Agent06_Withdrawals!A157="","",Agent06_Withdrawals!K157)</f>
        <v/>
      </c>
      <c r="L1152" s="37" t="str">
        <f>IF(G1152="","",IF(D1152-G1152&gt;=System_Config!$B$9,"✅ OK","⚠️ BREACH"))</f>
        <v/>
      </c>
      <c r="M1152" s="37" t="str">
        <f>IFERROR(IF(Agent06_Withdrawals!A157="","",YEAR(Agent06_Withdrawals!D157)),"")</f>
        <v/>
      </c>
    </row>
    <row r="1153" spans="1:13" ht="18" customHeight="1" x14ac:dyDescent="0.25">
      <c r="A1153" s="37" t="str">
        <f>IF(Agent06_Withdrawals!A158="","",Agent06_Withdrawals!A158)</f>
        <v/>
      </c>
      <c r="B1153" s="37" t="str">
        <f ca="1">IF(Agent06_Withdrawals!A158="","","WD"&amp;TEXT(1153-3,"0000")&amp;"-"&amp;TEXT(TODAY(),"YYYYMMDD"))</f>
        <v/>
      </c>
      <c r="C1153" s="37" t="str">
        <f>IF(Agent06_Withdrawals!A158="","",Agent06_Withdrawals!B158)</f>
        <v/>
      </c>
      <c r="D1153" s="40" t="str">
        <f>IF(Agent06_Withdrawals!A158="","",Agent06_Withdrawals!C158)</f>
        <v/>
      </c>
      <c r="E1153" s="38" t="str">
        <f>IF(Agent06_Withdrawals!A158="","",Agent06_Withdrawals!D158)</f>
        <v/>
      </c>
      <c r="F1153" s="37" t="str">
        <f>IF(Agent06_Withdrawals!A158="","",Agent06_Withdrawals!F158)</f>
        <v/>
      </c>
      <c r="G1153" s="39" t="str">
        <f>IF(Agent06_Withdrawals!A158="","",Agent06_Withdrawals!E158)</f>
        <v/>
      </c>
      <c r="H1153" s="39" t="str">
        <f>IF(Agent06_Withdrawals!A158="","",Agent06_Withdrawals!G158)</f>
        <v/>
      </c>
      <c r="I1153" s="37" t="str">
        <f>IF(Agent06_Withdrawals!A158="","",Agent06_Withdrawals!H158)</f>
        <v/>
      </c>
      <c r="J1153" s="37" t="str">
        <f>IF(Agent06_Withdrawals!A158="","",Agent06_Withdrawals!J158)</f>
        <v/>
      </c>
      <c r="K1153" s="37" t="str">
        <f>IF(Agent06_Withdrawals!A158="","",Agent06_Withdrawals!K158)</f>
        <v/>
      </c>
      <c r="L1153" s="37" t="str">
        <f>IF(G1153="","",IF(D1153-G1153&gt;=System_Config!$B$9,"✅ OK","⚠️ BREACH"))</f>
        <v/>
      </c>
      <c r="M1153" s="37" t="str">
        <f>IFERROR(IF(Agent06_Withdrawals!A158="","",YEAR(Agent06_Withdrawals!D158)),"")</f>
        <v/>
      </c>
    </row>
    <row r="1154" spans="1:13" ht="18" customHeight="1" x14ac:dyDescent="0.25">
      <c r="A1154" s="37" t="str">
        <f>IF(Agent06_Withdrawals!A159="","",Agent06_Withdrawals!A159)</f>
        <v/>
      </c>
      <c r="B1154" s="37" t="str">
        <f ca="1">IF(Agent06_Withdrawals!A159="","","WD"&amp;TEXT(1154-3,"0000")&amp;"-"&amp;TEXT(TODAY(),"YYYYMMDD"))</f>
        <v/>
      </c>
      <c r="C1154" s="37" t="str">
        <f>IF(Agent06_Withdrawals!A159="","",Agent06_Withdrawals!B159)</f>
        <v/>
      </c>
      <c r="D1154" s="40" t="str">
        <f>IF(Agent06_Withdrawals!A159="","",Agent06_Withdrawals!C159)</f>
        <v/>
      </c>
      <c r="E1154" s="38" t="str">
        <f>IF(Agent06_Withdrawals!A159="","",Agent06_Withdrawals!D159)</f>
        <v/>
      </c>
      <c r="F1154" s="37" t="str">
        <f>IF(Agent06_Withdrawals!A159="","",Agent06_Withdrawals!F159)</f>
        <v/>
      </c>
      <c r="G1154" s="39" t="str">
        <f>IF(Agent06_Withdrawals!A159="","",Agent06_Withdrawals!E159)</f>
        <v/>
      </c>
      <c r="H1154" s="39" t="str">
        <f>IF(Agent06_Withdrawals!A159="","",Agent06_Withdrawals!G159)</f>
        <v/>
      </c>
      <c r="I1154" s="37" t="str">
        <f>IF(Agent06_Withdrawals!A159="","",Agent06_Withdrawals!H159)</f>
        <v/>
      </c>
      <c r="J1154" s="37" t="str">
        <f>IF(Agent06_Withdrawals!A159="","",Agent06_Withdrawals!J159)</f>
        <v/>
      </c>
      <c r="K1154" s="37" t="str">
        <f>IF(Agent06_Withdrawals!A159="","",Agent06_Withdrawals!K159)</f>
        <v/>
      </c>
      <c r="L1154" s="37" t="str">
        <f>IF(G1154="","",IF(D1154-G1154&gt;=System_Config!$B$9,"✅ OK","⚠️ BREACH"))</f>
        <v/>
      </c>
      <c r="M1154" s="37" t="str">
        <f>IFERROR(IF(Agent06_Withdrawals!A159="","",YEAR(Agent06_Withdrawals!D159)),"")</f>
        <v/>
      </c>
    </row>
    <row r="1155" spans="1:13" ht="18" customHeight="1" x14ac:dyDescent="0.25">
      <c r="A1155" s="37" t="str">
        <f>IF(Agent06_Withdrawals!A160="","",Agent06_Withdrawals!A160)</f>
        <v/>
      </c>
      <c r="B1155" s="37" t="str">
        <f ca="1">IF(Agent06_Withdrawals!A160="","","WD"&amp;TEXT(1155-3,"0000")&amp;"-"&amp;TEXT(TODAY(),"YYYYMMDD"))</f>
        <v/>
      </c>
      <c r="C1155" s="37" t="str">
        <f>IF(Agent06_Withdrawals!A160="","",Agent06_Withdrawals!B160)</f>
        <v/>
      </c>
      <c r="D1155" s="40" t="str">
        <f>IF(Agent06_Withdrawals!A160="","",Agent06_Withdrawals!C160)</f>
        <v/>
      </c>
      <c r="E1155" s="38" t="str">
        <f>IF(Agent06_Withdrawals!A160="","",Agent06_Withdrawals!D160)</f>
        <v/>
      </c>
      <c r="F1155" s="37" t="str">
        <f>IF(Agent06_Withdrawals!A160="","",Agent06_Withdrawals!F160)</f>
        <v/>
      </c>
      <c r="G1155" s="39" t="str">
        <f>IF(Agent06_Withdrawals!A160="","",Agent06_Withdrawals!E160)</f>
        <v/>
      </c>
      <c r="H1155" s="39" t="str">
        <f>IF(Agent06_Withdrawals!A160="","",Agent06_Withdrawals!G160)</f>
        <v/>
      </c>
      <c r="I1155" s="37" t="str">
        <f>IF(Agent06_Withdrawals!A160="","",Agent06_Withdrawals!H160)</f>
        <v/>
      </c>
      <c r="J1155" s="37" t="str">
        <f>IF(Agent06_Withdrawals!A160="","",Agent06_Withdrawals!J160)</f>
        <v/>
      </c>
      <c r="K1155" s="37" t="str">
        <f>IF(Agent06_Withdrawals!A160="","",Agent06_Withdrawals!K160)</f>
        <v/>
      </c>
      <c r="L1155" s="37" t="str">
        <f>IF(G1155="","",IF(D1155-G1155&gt;=System_Config!$B$9,"✅ OK","⚠️ BREACH"))</f>
        <v/>
      </c>
      <c r="M1155" s="37" t="str">
        <f>IFERROR(IF(Agent06_Withdrawals!A160="","",YEAR(Agent06_Withdrawals!D160)),"")</f>
        <v/>
      </c>
    </row>
    <row r="1156" spans="1:13" ht="18" customHeight="1" x14ac:dyDescent="0.25">
      <c r="A1156" s="37" t="str">
        <f>IF(Agent06_Withdrawals!A161="","",Agent06_Withdrawals!A161)</f>
        <v/>
      </c>
      <c r="B1156" s="37" t="str">
        <f ca="1">IF(Agent06_Withdrawals!A161="","","WD"&amp;TEXT(1156-3,"0000")&amp;"-"&amp;TEXT(TODAY(),"YYYYMMDD"))</f>
        <v/>
      </c>
      <c r="C1156" s="37" t="str">
        <f>IF(Agent06_Withdrawals!A161="","",Agent06_Withdrawals!B161)</f>
        <v/>
      </c>
      <c r="D1156" s="40" t="str">
        <f>IF(Agent06_Withdrawals!A161="","",Agent06_Withdrawals!C161)</f>
        <v/>
      </c>
      <c r="E1156" s="38" t="str">
        <f>IF(Agent06_Withdrawals!A161="","",Agent06_Withdrawals!D161)</f>
        <v/>
      </c>
      <c r="F1156" s="37" t="str">
        <f>IF(Agent06_Withdrawals!A161="","",Agent06_Withdrawals!F161)</f>
        <v/>
      </c>
      <c r="G1156" s="39" t="str">
        <f>IF(Agent06_Withdrawals!A161="","",Agent06_Withdrawals!E161)</f>
        <v/>
      </c>
      <c r="H1156" s="39" t="str">
        <f>IF(Agent06_Withdrawals!A161="","",Agent06_Withdrawals!G161)</f>
        <v/>
      </c>
      <c r="I1156" s="37" t="str">
        <f>IF(Agent06_Withdrawals!A161="","",Agent06_Withdrawals!H161)</f>
        <v/>
      </c>
      <c r="J1156" s="37" t="str">
        <f>IF(Agent06_Withdrawals!A161="","",Agent06_Withdrawals!J161)</f>
        <v/>
      </c>
      <c r="K1156" s="37" t="str">
        <f>IF(Agent06_Withdrawals!A161="","",Agent06_Withdrawals!K161)</f>
        <v/>
      </c>
      <c r="L1156" s="37" t="str">
        <f>IF(G1156="","",IF(D1156-G1156&gt;=System_Config!$B$9,"✅ OK","⚠️ BREACH"))</f>
        <v/>
      </c>
      <c r="M1156" s="37" t="str">
        <f>IFERROR(IF(Agent06_Withdrawals!A161="","",YEAR(Agent06_Withdrawals!D161)),"")</f>
        <v/>
      </c>
    </row>
    <row r="1157" spans="1:13" ht="18" customHeight="1" x14ac:dyDescent="0.25">
      <c r="A1157" s="37" t="str">
        <f>IF(Agent06_Withdrawals!A162="","",Agent06_Withdrawals!A162)</f>
        <v/>
      </c>
      <c r="B1157" s="37" t="str">
        <f ca="1">IF(Agent06_Withdrawals!A162="","","WD"&amp;TEXT(1157-3,"0000")&amp;"-"&amp;TEXT(TODAY(),"YYYYMMDD"))</f>
        <v/>
      </c>
      <c r="C1157" s="37" t="str">
        <f>IF(Agent06_Withdrawals!A162="","",Agent06_Withdrawals!B162)</f>
        <v/>
      </c>
      <c r="D1157" s="40" t="str">
        <f>IF(Agent06_Withdrawals!A162="","",Agent06_Withdrawals!C162)</f>
        <v/>
      </c>
      <c r="E1157" s="38" t="str">
        <f>IF(Agent06_Withdrawals!A162="","",Agent06_Withdrawals!D162)</f>
        <v/>
      </c>
      <c r="F1157" s="37" t="str">
        <f>IF(Agent06_Withdrawals!A162="","",Agent06_Withdrawals!F162)</f>
        <v/>
      </c>
      <c r="G1157" s="39" t="str">
        <f>IF(Agent06_Withdrawals!A162="","",Agent06_Withdrawals!E162)</f>
        <v/>
      </c>
      <c r="H1157" s="39" t="str">
        <f>IF(Agent06_Withdrawals!A162="","",Agent06_Withdrawals!G162)</f>
        <v/>
      </c>
      <c r="I1157" s="37" t="str">
        <f>IF(Agent06_Withdrawals!A162="","",Agent06_Withdrawals!H162)</f>
        <v/>
      </c>
      <c r="J1157" s="37" t="str">
        <f>IF(Agent06_Withdrawals!A162="","",Agent06_Withdrawals!J162)</f>
        <v/>
      </c>
      <c r="K1157" s="37" t="str">
        <f>IF(Agent06_Withdrawals!A162="","",Agent06_Withdrawals!K162)</f>
        <v/>
      </c>
      <c r="L1157" s="37" t="str">
        <f>IF(G1157="","",IF(D1157-G1157&gt;=System_Config!$B$9,"✅ OK","⚠️ BREACH"))</f>
        <v/>
      </c>
      <c r="M1157" s="37" t="str">
        <f>IFERROR(IF(Agent06_Withdrawals!A162="","",YEAR(Agent06_Withdrawals!D162)),"")</f>
        <v/>
      </c>
    </row>
    <row r="1158" spans="1:13" ht="18" customHeight="1" x14ac:dyDescent="0.25">
      <c r="A1158" s="37" t="str">
        <f>IF(Agent06_Withdrawals!A163="","",Agent06_Withdrawals!A163)</f>
        <v/>
      </c>
      <c r="B1158" s="37" t="str">
        <f ca="1">IF(Agent06_Withdrawals!A163="","","WD"&amp;TEXT(1158-3,"0000")&amp;"-"&amp;TEXT(TODAY(),"YYYYMMDD"))</f>
        <v/>
      </c>
      <c r="C1158" s="37" t="str">
        <f>IF(Agent06_Withdrawals!A163="","",Agent06_Withdrawals!B163)</f>
        <v/>
      </c>
      <c r="D1158" s="40" t="str">
        <f>IF(Agent06_Withdrawals!A163="","",Agent06_Withdrawals!C163)</f>
        <v/>
      </c>
      <c r="E1158" s="38" t="str">
        <f>IF(Agent06_Withdrawals!A163="","",Agent06_Withdrawals!D163)</f>
        <v/>
      </c>
      <c r="F1158" s="37" t="str">
        <f>IF(Agent06_Withdrawals!A163="","",Agent06_Withdrawals!F163)</f>
        <v/>
      </c>
      <c r="G1158" s="39" t="str">
        <f>IF(Agent06_Withdrawals!A163="","",Agent06_Withdrawals!E163)</f>
        <v/>
      </c>
      <c r="H1158" s="39" t="str">
        <f>IF(Agent06_Withdrawals!A163="","",Agent06_Withdrawals!G163)</f>
        <v/>
      </c>
      <c r="I1158" s="37" t="str">
        <f>IF(Agent06_Withdrawals!A163="","",Agent06_Withdrawals!H163)</f>
        <v/>
      </c>
      <c r="J1158" s="37" t="str">
        <f>IF(Agent06_Withdrawals!A163="","",Agent06_Withdrawals!J163)</f>
        <v/>
      </c>
      <c r="K1158" s="37" t="str">
        <f>IF(Agent06_Withdrawals!A163="","",Agent06_Withdrawals!K163)</f>
        <v/>
      </c>
      <c r="L1158" s="37" t="str">
        <f>IF(G1158="","",IF(D1158-G1158&gt;=System_Config!$B$9,"✅ OK","⚠️ BREACH"))</f>
        <v/>
      </c>
      <c r="M1158" s="37" t="str">
        <f>IFERROR(IF(Agent06_Withdrawals!A163="","",YEAR(Agent06_Withdrawals!D163)),"")</f>
        <v/>
      </c>
    </row>
    <row r="1159" spans="1:13" ht="18" customHeight="1" x14ac:dyDescent="0.25">
      <c r="A1159" s="37" t="str">
        <f>IF(Agent06_Withdrawals!A164="","",Agent06_Withdrawals!A164)</f>
        <v/>
      </c>
      <c r="B1159" s="37" t="str">
        <f ca="1">IF(Agent06_Withdrawals!A164="","","WD"&amp;TEXT(1159-3,"0000")&amp;"-"&amp;TEXT(TODAY(),"YYYYMMDD"))</f>
        <v/>
      </c>
      <c r="C1159" s="37" t="str">
        <f>IF(Agent06_Withdrawals!A164="","",Agent06_Withdrawals!B164)</f>
        <v/>
      </c>
      <c r="D1159" s="40" t="str">
        <f>IF(Agent06_Withdrawals!A164="","",Agent06_Withdrawals!C164)</f>
        <v/>
      </c>
      <c r="E1159" s="38" t="str">
        <f>IF(Agent06_Withdrawals!A164="","",Agent06_Withdrawals!D164)</f>
        <v/>
      </c>
      <c r="F1159" s="37" t="str">
        <f>IF(Agent06_Withdrawals!A164="","",Agent06_Withdrawals!F164)</f>
        <v/>
      </c>
      <c r="G1159" s="39" t="str">
        <f>IF(Agent06_Withdrawals!A164="","",Agent06_Withdrawals!E164)</f>
        <v/>
      </c>
      <c r="H1159" s="39" t="str">
        <f>IF(Agent06_Withdrawals!A164="","",Agent06_Withdrawals!G164)</f>
        <v/>
      </c>
      <c r="I1159" s="37" t="str">
        <f>IF(Agent06_Withdrawals!A164="","",Agent06_Withdrawals!H164)</f>
        <v/>
      </c>
      <c r="J1159" s="37" t="str">
        <f>IF(Agent06_Withdrawals!A164="","",Agent06_Withdrawals!J164)</f>
        <v/>
      </c>
      <c r="K1159" s="37" t="str">
        <f>IF(Agent06_Withdrawals!A164="","",Agent06_Withdrawals!K164)</f>
        <v/>
      </c>
      <c r="L1159" s="37" t="str">
        <f>IF(G1159="","",IF(D1159-G1159&gt;=System_Config!$B$9,"✅ OK","⚠️ BREACH"))</f>
        <v/>
      </c>
      <c r="M1159" s="37" t="str">
        <f>IFERROR(IF(Agent06_Withdrawals!A164="","",YEAR(Agent06_Withdrawals!D164)),"")</f>
        <v/>
      </c>
    </row>
    <row r="1160" spans="1:13" ht="18" customHeight="1" x14ac:dyDescent="0.25">
      <c r="A1160" s="37" t="str">
        <f>IF(Agent06_Withdrawals!A165="","",Agent06_Withdrawals!A165)</f>
        <v/>
      </c>
      <c r="B1160" s="37" t="str">
        <f ca="1">IF(Agent06_Withdrawals!A165="","","WD"&amp;TEXT(1160-3,"0000")&amp;"-"&amp;TEXT(TODAY(),"YYYYMMDD"))</f>
        <v/>
      </c>
      <c r="C1160" s="37" t="str">
        <f>IF(Agent06_Withdrawals!A165="","",Agent06_Withdrawals!B165)</f>
        <v/>
      </c>
      <c r="D1160" s="40" t="str">
        <f>IF(Agent06_Withdrawals!A165="","",Agent06_Withdrawals!C165)</f>
        <v/>
      </c>
      <c r="E1160" s="38" t="str">
        <f>IF(Agent06_Withdrawals!A165="","",Agent06_Withdrawals!D165)</f>
        <v/>
      </c>
      <c r="F1160" s="37" t="str">
        <f>IF(Agent06_Withdrawals!A165="","",Agent06_Withdrawals!F165)</f>
        <v/>
      </c>
      <c r="G1160" s="39" t="str">
        <f>IF(Agent06_Withdrawals!A165="","",Agent06_Withdrawals!E165)</f>
        <v/>
      </c>
      <c r="H1160" s="39" t="str">
        <f>IF(Agent06_Withdrawals!A165="","",Agent06_Withdrawals!G165)</f>
        <v/>
      </c>
      <c r="I1160" s="37" t="str">
        <f>IF(Agent06_Withdrawals!A165="","",Agent06_Withdrawals!H165)</f>
        <v/>
      </c>
      <c r="J1160" s="37" t="str">
        <f>IF(Agent06_Withdrawals!A165="","",Agent06_Withdrawals!J165)</f>
        <v/>
      </c>
      <c r="K1160" s="37" t="str">
        <f>IF(Agent06_Withdrawals!A165="","",Agent06_Withdrawals!K165)</f>
        <v/>
      </c>
      <c r="L1160" s="37" t="str">
        <f>IF(G1160="","",IF(D1160-G1160&gt;=System_Config!$B$9,"✅ OK","⚠️ BREACH"))</f>
        <v/>
      </c>
      <c r="M1160" s="37" t="str">
        <f>IFERROR(IF(Agent06_Withdrawals!A165="","",YEAR(Agent06_Withdrawals!D165)),"")</f>
        <v/>
      </c>
    </row>
    <row r="1161" spans="1:13" ht="18" customHeight="1" x14ac:dyDescent="0.25">
      <c r="A1161" s="37" t="str">
        <f>IF(Agent06_Withdrawals!A166="","",Agent06_Withdrawals!A166)</f>
        <v/>
      </c>
      <c r="B1161" s="37" t="str">
        <f ca="1">IF(Agent06_Withdrawals!A166="","","WD"&amp;TEXT(1161-3,"0000")&amp;"-"&amp;TEXT(TODAY(),"YYYYMMDD"))</f>
        <v/>
      </c>
      <c r="C1161" s="37" t="str">
        <f>IF(Agent06_Withdrawals!A166="","",Agent06_Withdrawals!B166)</f>
        <v/>
      </c>
      <c r="D1161" s="40" t="str">
        <f>IF(Agent06_Withdrawals!A166="","",Agent06_Withdrawals!C166)</f>
        <v/>
      </c>
      <c r="E1161" s="38" t="str">
        <f>IF(Agent06_Withdrawals!A166="","",Agent06_Withdrawals!D166)</f>
        <v/>
      </c>
      <c r="F1161" s="37" t="str">
        <f>IF(Agent06_Withdrawals!A166="","",Agent06_Withdrawals!F166)</f>
        <v/>
      </c>
      <c r="G1161" s="39" t="str">
        <f>IF(Agent06_Withdrawals!A166="","",Agent06_Withdrawals!E166)</f>
        <v/>
      </c>
      <c r="H1161" s="39" t="str">
        <f>IF(Agent06_Withdrawals!A166="","",Agent06_Withdrawals!G166)</f>
        <v/>
      </c>
      <c r="I1161" s="37" t="str">
        <f>IF(Agent06_Withdrawals!A166="","",Agent06_Withdrawals!H166)</f>
        <v/>
      </c>
      <c r="J1161" s="37" t="str">
        <f>IF(Agent06_Withdrawals!A166="","",Agent06_Withdrawals!J166)</f>
        <v/>
      </c>
      <c r="K1161" s="37" t="str">
        <f>IF(Agent06_Withdrawals!A166="","",Agent06_Withdrawals!K166)</f>
        <v/>
      </c>
      <c r="L1161" s="37" t="str">
        <f>IF(G1161="","",IF(D1161-G1161&gt;=System_Config!$B$9,"✅ OK","⚠️ BREACH"))</f>
        <v/>
      </c>
      <c r="M1161" s="37" t="str">
        <f>IFERROR(IF(Agent06_Withdrawals!A166="","",YEAR(Agent06_Withdrawals!D166)),"")</f>
        <v/>
      </c>
    </row>
    <row r="1162" spans="1:13" ht="18" customHeight="1" x14ac:dyDescent="0.25">
      <c r="A1162" s="37" t="str">
        <f>IF(Agent06_Withdrawals!A167="","",Agent06_Withdrawals!A167)</f>
        <v/>
      </c>
      <c r="B1162" s="37" t="str">
        <f ca="1">IF(Agent06_Withdrawals!A167="","","WD"&amp;TEXT(1162-3,"0000")&amp;"-"&amp;TEXT(TODAY(),"YYYYMMDD"))</f>
        <v/>
      </c>
      <c r="C1162" s="37" t="str">
        <f>IF(Agent06_Withdrawals!A167="","",Agent06_Withdrawals!B167)</f>
        <v/>
      </c>
      <c r="D1162" s="40" t="str">
        <f>IF(Agent06_Withdrawals!A167="","",Agent06_Withdrawals!C167)</f>
        <v/>
      </c>
      <c r="E1162" s="38" t="str">
        <f>IF(Agent06_Withdrawals!A167="","",Agent06_Withdrawals!D167)</f>
        <v/>
      </c>
      <c r="F1162" s="37" t="str">
        <f>IF(Agent06_Withdrawals!A167="","",Agent06_Withdrawals!F167)</f>
        <v/>
      </c>
      <c r="G1162" s="39" t="str">
        <f>IF(Agent06_Withdrawals!A167="","",Agent06_Withdrawals!E167)</f>
        <v/>
      </c>
      <c r="H1162" s="39" t="str">
        <f>IF(Agent06_Withdrawals!A167="","",Agent06_Withdrawals!G167)</f>
        <v/>
      </c>
      <c r="I1162" s="37" t="str">
        <f>IF(Agent06_Withdrawals!A167="","",Agent06_Withdrawals!H167)</f>
        <v/>
      </c>
      <c r="J1162" s="37" t="str">
        <f>IF(Agent06_Withdrawals!A167="","",Agent06_Withdrawals!J167)</f>
        <v/>
      </c>
      <c r="K1162" s="37" t="str">
        <f>IF(Agent06_Withdrawals!A167="","",Agent06_Withdrawals!K167)</f>
        <v/>
      </c>
      <c r="L1162" s="37" t="str">
        <f>IF(G1162="","",IF(D1162-G1162&gt;=System_Config!$B$9,"✅ OK","⚠️ BREACH"))</f>
        <v/>
      </c>
      <c r="M1162" s="37" t="str">
        <f>IFERROR(IF(Agent06_Withdrawals!A167="","",YEAR(Agent06_Withdrawals!D167)),"")</f>
        <v/>
      </c>
    </row>
    <row r="1163" spans="1:13" ht="18" customHeight="1" x14ac:dyDescent="0.25">
      <c r="A1163" s="37" t="str">
        <f>IF(Agent06_Withdrawals!A168="","",Agent06_Withdrawals!A168)</f>
        <v/>
      </c>
      <c r="B1163" s="37" t="str">
        <f ca="1">IF(Agent06_Withdrawals!A168="","","WD"&amp;TEXT(1163-3,"0000")&amp;"-"&amp;TEXT(TODAY(),"YYYYMMDD"))</f>
        <v/>
      </c>
      <c r="C1163" s="37" t="str">
        <f>IF(Agent06_Withdrawals!A168="","",Agent06_Withdrawals!B168)</f>
        <v/>
      </c>
      <c r="D1163" s="40" t="str">
        <f>IF(Agent06_Withdrawals!A168="","",Agent06_Withdrawals!C168)</f>
        <v/>
      </c>
      <c r="E1163" s="38" t="str">
        <f>IF(Agent06_Withdrawals!A168="","",Agent06_Withdrawals!D168)</f>
        <v/>
      </c>
      <c r="F1163" s="37" t="str">
        <f>IF(Agent06_Withdrawals!A168="","",Agent06_Withdrawals!F168)</f>
        <v/>
      </c>
      <c r="G1163" s="39" t="str">
        <f>IF(Agent06_Withdrawals!A168="","",Agent06_Withdrawals!E168)</f>
        <v/>
      </c>
      <c r="H1163" s="39" t="str">
        <f>IF(Agent06_Withdrawals!A168="","",Agent06_Withdrawals!G168)</f>
        <v/>
      </c>
      <c r="I1163" s="37" t="str">
        <f>IF(Agent06_Withdrawals!A168="","",Agent06_Withdrawals!H168)</f>
        <v/>
      </c>
      <c r="J1163" s="37" t="str">
        <f>IF(Agent06_Withdrawals!A168="","",Agent06_Withdrawals!J168)</f>
        <v/>
      </c>
      <c r="K1163" s="37" t="str">
        <f>IF(Agent06_Withdrawals!A168="","",Agent06_Withdrawals!K168)</f>
        <v/>
      </c>
      <c r="L1163" s="37" t="str">
        <f>IF(G1163="","",IF(D1163-G1163&gt;=System_Config!$B$9,"✅ OK","⚠️ BREACH"))</f>
        <v/>
      </c>
      <c r="M1163" s="37" t="str">
        <f>IFERROR(IF(Agent06_Withdrawals!A168="","",YEAR(Agent06_Withdrawals!D168)),"")</f>
        <v/>
      </c>
    </row>
    <row r="1164" spans="1:13" ht="18" customHeight="1" x14ac:dyDescent="0.25">
      <c r="A1164" s="37" t="str">
        <f>IF(Agent06_Withdrawals!A169="","",Agent06_Withdrawals!A169)</f>
        <v/>
      </c>
      <c r="B1164" s="37" t="str">
        <f ca="1">IF(Agent06_Withdrawals!A169="","","WD"&amp;TEXT(1164-3,"0000")&amp;"-"&amp;TEXT(TODAY(),"YYYYMMDD"))</f>
        <v/>
      </c>
      <c r="C1164" s="37" t="str">
        <f>IF(Agent06_Withdrawals!A169="","",Agent06_Withdrawals!B169)</f>
        <v/>
      </c>
      <c r="D1164" s="40" t="str">
        <f>IF(Agent06_Withdrawals!A169="","",Agent06_Withdrawals!C169)</f>
        <v/>
      </c>
      <c r="E1164" s="38" t="str">
        <f>IF(Agent06_Withdrawals!A169="","",Agent06_Withdrawals!D169)</f>
        <v/>
      </c>
      <c r="F1164" s="37" t="str">
        <f>IF(Agent06_Withdrawals!A169="","",Agent06_Withdrawals!F169)</f>
        <v/>
      </c>
      <c r="G1164" s="39" t="str">
        <f>IF(Agent06_Withdrawals!A169="","",Agent06_Withdrawals!E169)</f>
        <v/>
      </c>
      <c r="H1164" s="39" t="str">
        <f>IF(Agent06_Withdrawals!A169="","",Agent06_Withdrawals!G169)</f>
        <v/>
      </c>
      <c r="I1164" s="37" t="str">
        <f>IF(Agent06_Withdrawals!A169="","",Agent06_Withdrawals!H169)</f>
        <v/>
      </c>
      <c r="J1164" s="37" t="str">
        <f>IF(Agent06_Withdrawals!A169="","",Agent06_Withdrawals!J169)</f>
        <v/>
      </c>
      <c r="K1164" s="37" t="str">
        <f>IF(Agent06_Withdrawals!A169="","",Agent06_Withdrawals!K169)</f>
        <v/>
      </c>
      <c r="L1164" s="37" t="str">
        <f>IF(G1164="","",IF(D1164-G1164&gt;=System_Config!$B$9,"✅ OK","⚠️ BREACH"))</f>
        <v/>
      </c>
      <c r="M1164" s="37" t="str">
        <f>IFERROR(IF(Agent06_Withdrawals!A169="","",YEAR(Agent06_Withdrawals!D169)),"")</f>
        <v/>
      </c>
    </row>
    <row r="1165" spans="1:13" ht="18" customHeight="1" x14ac:dyDescent="0.25">
      <c r="A1165" s="37" t="str">
        <f>IF(Agent06_Withdrawals!A170="","",Agent06_Withdrawals!A170)</f>
        <v/>
      </c>
      <c r="B1165" s="37" t="str">
        <f ca="1">IF(Agent06_Withdrawals!A170="","","WD"&amp;TEXT(1165-3,"0000")&amp;"-"&amp;TEXT(TODAY(),"YYYYMMDD"))</f>
        <v/>
      </c>
      <c r="C1165" s="37" t="str">
        <f>IF(Agent06_Withdrawals!A170="","",Agent06_Withdrawals!B170)</f>
        <v/>
      </c>
      <c r="D1165" s="40" t="str">
        <f>IF(Agent06_Withdrawals!A170="","",Agent06_Withdrawals!C170)</f>
        <v/>
      </c>
      <c r="E1165" s="38" t="str">
        <f>IF(Agent06_Withdrawals!A170="","",Agent06_Withdrawals!D170)</f>
        <v/>
      </c>
      <c r="F1165" s="37" t="str">
        <f>IF(Agent06_Withdrawals!A170="","",Agent06_Withdrawals!F170)</f>
        <v/>
      </c>
      <c r="G1165" s="39" t="str">
        <f>IF(Agent06_Withdrawals!A170="","",Agent06_Withdrawals!E170)</f>
        <v/>
      </c>
      <c r="H1165" s="39" t="str">
        <f>IF(Agent06_Withdrawals!A170="","",Agent06_Withdrawals!G170)</f>
        <v/>
      </c>
      <c r="I1165" s="37" t="str">
        <f>IF(Agent06_Withdrawals!A170="","",Agent06_Withdrawals!H170)</f>
        <v/>
      </c>
      <c r="J1165" s="37" t="str">
        <f>IF(Agent06_Withdrawals!A170="","",Agent06_Withdrawals!J170)</f>
        <v/>
      </c>
      <c r="K1165" s="37" t="str">
        <f>IF(Agent06_Withdrawals!A170="","",Agent06_Withdrawals!K170)</f>
        <v/>
      </c>
      <c r="L1165" s="37" t="str">
        <f>IF(G1165="","",IF(D1165-G1165&gt;=System_Config!$B$9,"✅ OK","⚠️ BREACH"))</f>
        <v/>
      </c>
      <c r="M1165" s="37" t="str">
        <f>IFERROR(IF(Agent06_Withdrawals!A170="","",YEAR(Agent06_Withdrawals!D170)),"")</f>
        <v/>
      </c>
    </row>
    <row r="1166" spans="1:13" ht="18" customHeight="1" x14ac:dyDescent="0.25">
      <c r="A1166" s="37" t="str">
        <f>IF(Agent06_Withdrawals!A171="","",Agent06_Withdrawals!A171)</f>
        <v/>
      </c>
      <c r="B1166" s="37" t="str">
        <f ca="1">IF(Agent06_Withdrawals!A171="","","WD"&amp;TEXT(1166-3,"0000")&amp;"-"&amp;TEXT(TODAY(),"YYYYMMDD"))</f>
        <v/>
      </c>
      <c r="C1166" s="37" t="str">
        <f>IF(Agent06_Withdrawals!A171="","",Agent06_Withdrawals!B171)</f>
        <v/>
      </c>
      <c r="D1166" s="40" t="str">
        <f>IF(Agent06_Withdrawals!A171="","",Agent06_Withdrawals!C171)</f>
        <v/>
      </c>
      <c r="E1166" s="38" t="str">
        <f>IF(Agent06_Withdrawals!A171="","",Agent06_Withdrawals!D171)</f>
        <v/>
      </c>
      <c r="F1166" s="37" t="str">
        <f>IF(Agent06_Withdrawals!A171="","",Agent06_Withdrawals!F171)</f>
        <v/>
      </c>
      <c r="G1166" s="39" t="str">
        <f>IF(Agent06_Withdrawals!A171="","",Agent06_Withdrawals!E171)</f>
        <v/>
      </c>
      <c r="H1166" s="39" t="str">
        <f>IF(Agent06_Withdrawals!A171="","",Agent06_Withdrawals!G171)</f>
        <v/>
      </c>
      <c r="I1166" s="37" t="str">
        <f>IF(Agent06_Withdrawals!A171="","",Agent06_Withdrawals!H171)</f>
        <v/>
      </c>
      <c r="J1166" s="37" t="str">
        <f>IF(Agent06_Withdrawals!A171="","",Agent06_Withdrawals!J171)</f>
        <v/>
      </c>
      <c r="K1166" s="37" t="str">
        <f>IF(Agent06_Withdrawals!A171="","",Agent06_Withdrawals!K171)</f>
        <v/>
      </c>
      <c r="L1166" s="37" t="str">
        <f>IF(G1166="","",IF(D1166-G1166&gt;=System_Config!$B$9,"✅ OK","⚠️ BREACH"))</f>
        <v/>
      </c>
      <c r="M1166" s="37" t="str">
        <f>IFERROR(IF(Agent06_Withdrawals!A171="","",YEAR(Agent06_Withdrawals!D171)),"")</f>
        <v/>
      </c>
    </row>
    <row r="1167" spans="1:13" ht="18" customHeight="1" x14ac:dyDescent="0.25">
      <c r="A1167" s="37" t="str">
        <f>IF(Agent06_Withdrawals!A172="","",Agent06_Withdrawals!A172)</f>
        <v/>
      </c>
      <c r="B1167" s="37" t="str">
        <f ca="1">IF(Agent06_Withdrawals!A172="","","WD"&amp;TEXT(1167-3,"0000")&amp;"-"&amp;TEXT(TODAY(),"YYYYMMDD"))</f>
        <v/>
      </c>
      <c r="C1167" s="37" t="str">
        <f>IF(Agent06_Withdrawals!A172="","",Agent06_Withdrawals!B172)</f>
        <v/>
      </c>
      <c r="D1167" s="40" t="str">
        <f>IF(Agent06_Withdrawals!A172="","",Agent06_Withdrawals!C172)</f>
        <v/>
      </c>
      <c r="E1167" s="38" t="str">
        <f>IF(Agent06_Withdrawals!A172="","",Agent06_Withdrawals!D172)</f>
        <v/>
      </c>
      <c r="F1167" s="37" t="str">
        <f>IF(Agent06_Withdrawals!A172="","",Agent06_Withdrawals!F172)</f>
        <v/>
      </c>
      <c r="G1167" s="39" t="str">
        <f>IF(Agent06_Withdrawals!A172="","",Agent06_Withdrawals!E172)</f>
        <v/>
      </c>
      <c r="H1167" s="39" t="str">
        <f>IF(Agent06_Withdrawals!A172="","",Agent06_Withdrawals!G172)</f>
        <v/>
      </c>
      <c r="I1167" s="37" t="str">
        <f>IF(Agent06_Withdrawals!A172="","",Agent06_Withdrawals!H172)</f>
        <v/>
      </c>
      <c r="J1167" s="37" t="str">
        <f>IF(Agent06_Withdrawals!A172="","",Agent06_Withdrawals!J172)</f>
        <v/>
      </c>
      <c r="K1167" s="37" t="str">
        <f>IF(Agent06_Withdrawals!A172="","",Agent06_Withdrawals!K172)</f>
        <v/>
      </c>
      <c r="L1167" s="37" t="str">
        <f>IF(G1167="","",IF(D1167-G1167&gt;=System_Config!$B$9,"✅ OK","⚠️ BREACH"))</f>
        <v/>
      </c>
      <c r="M1167" s="37" t="str">
        <f>IFERROR(IF(Agent06_Withdrawals!A172="","",YEAR(Agent06_Withdrawals!D172)),"")</f>
        <v/>
      </c>
    </row>
    <row r="1168" spans="1:13" ht="18" customHeight="1" x14ac:dyDescent="0.25">
      <c r="A1168" s="37" t="str">
        <f>IF(Agent06_Withdrawals!A173="","",Agent06_Withdrawals!A173)</f>
        <v/>
      </c>
      <c r="B1168" s="37" t="str">
        <f ca="1">IF(Agent06_Withdrawals!A173="","","WD"&amp;TEXT(1168-3,"0000")&amp;"-"&amp;TEXT(TODAY(),"YYYYMMDD"))</f>
        <v/>
      </c>
      <c r="C1168" s="37" t="str">
        <f>IF(Agent06_Withdrawals!A173="","",Agent06_Withdrawals!B173)</f>
        <v/>
      </c>
      <c r="D1168" s="40" t="str">
        <f>IF(Agent06_Withdrawals!A173="","",Agent06_Withdrawals!C173)</f>
        <v/>
      </c>
      <c r="E1168" s="38" t="str">
        <f>IF(Agent06_Withdrawals!A173="","",Agent06_Withdrawals!D173)</f>
        <v/>
      </c>
      <c r="F1168" s="37" t="str">
        <f>IF(Agent06_Withdrawals!A173="","",Agent06_Withdrawals!F173)</f>
        <v/>
      </c>
      <c r="G1168" s="39" t="str">
        <f>IF(Agent06_Withdrawals!A173="","",Agent06_Withdrawals!E173)</f>
        <v/>
      </c>
      <c r="H1168" s="39" t="str">
        <f>IF(Agent06_Withdrawals!A173="","",Agent06_Withdrawals!G173)</f>
        <v/>
      </c>
      <c r="I1168" s="37" t="str">
        <f>IF(Agent06_Withdrawals!A173="","",Agent06_Withdrawals!H173)</f>
        <v/>
      </c>
      <c r="J1168" s="37" t="str">
        <f>IF(Agent06_Withdrawals!A173="","",Agent06_Withdrawals!J173)</f>
        <v/>
      </c>
      <c r="K1168" s="37" t="str">
        <f>IF(Agent06_Withdrawals!A173="","",Agent06_Withdrawals!K173)</f>
        <v/>
      </c>
      <c r="L1168" s="37" t="str">
        <f>IF(G1168="","",IF(D1168-G1168&gt;=System_Config!$B$9,"✅ OK","⚠️ BREACH"))</f>
        <v/>
      </c>
      <c r="M1168" s="37" t="str">
        <f>IFERROR(IF(Agent06_Withdrawals!A173="","",YEAR(Agent06_Withdrawals!D173)),"")</f>
        <v/>
      </c>
    </row>
    <row r="1169" spans="1:13" ht="18" customHeight="1" x14ac:dyDescent="0.25">
      <c r="A1169" s="37" t="str">
        <f>IF(Agent06_Withdrawals!A174="","",Agent06_Withdrawals!A174)</f>
        <v/>
      </c>
      <c r="B1169" s="37" t="str">
        <f ca="1">IF(Agent06_Withdrawals!A174="","","WD"&amp;TEXT(1169-3,"0000")&amp;"-"&amp;TEXT(TODAY(),"YYYYMMDD"))</f>
        <v/>
      </c>
      <c r="C1169" s="37" t="str">
        <f>IF(Agent06_Withdrawals!A174="","",Agent06_Withdrawals!B174)</f>
        <v/>
      </c>
      <c r="D1169" s="40" t="str">
        <f>IF(Agent06_Withdrawals!A174="","",Agent06_Withdrawals!C174)</f>
        <v/>
      </c>
      <c r="E1169" s="38" t="str">
        <f>IF(Agent06_Withdrawals!A174="","",Agent06_Withdrawals!D174)</f>
        <v/>
      </c>
      <c r="F1169" s="37" t="str">
        <f>IF(Agent06_Withdrawals!A174="","",Agent06_Withdrawals!F174)</f>
        <v/>
      </c>
      <c r="G1169" s="39" t="str">
        <f>IF(Agent06_Withdrawals!A174="","",Agent06_Withdrawals!E174)</f>
        <v/>
      </c>
      <c r="H1169" s="39" t="str">
        <f>IF(Agent06_Withdrawals!A174="","",Agent06_Withdrawals!G174)</f>
        <v/>
      </c>
      <c r="I1169" s="37" t="str">
        <f>IF(Agent06_Withdrawals!A174="","",Agent06_Withdrawals!H174)</f>
        <v/>
      </c>
      <c r="J1169" s="37" t="str">
        <f>IF(Agent06_Withdrawals!A174="","",Agent06_Withdrawals!J174)</f>
        <v/>
      </c>
      <c r="K1169" s="37" t="str">
        <f>IF(Agent06_Withdrawals!A174="","",Agent06_Withdrawals!K174)</f>
        <v/>
      </c>
      <c r="L1169" s="37" t="str">
        <f>IF(G1169="","",IF(D1169-G1169&gt;=System_Config!$B$9,"✅ OK","⚠️ BREACH"))</f>
        <v/>
      </c>
      <c r="M1169" s="37" t="str">
        <f>IFERROR(IF(Agent06_Withdrawals!A174="","",YEAR(Agent06_Withdrawals!D174)),"")</f>
        <v/>
      </c>
    </row>
    <row r="1170" spans="1:13" ht="18" customHeight="1" x14ac:dyDescent="0.25">
      <c r="A1170" s="37" t="str">
        <f>IF(Agent06_Withdrawals!A175="","",Agent06_Withdrawals!A175)</f>
        <v/>
      </c>
      <c r="B1170" s="37" t="str">
        <f ca="1">IF(Agent06_Withdrawals!A175="","","WD"&amp;TEXT(1170-3,"0000")&amp;"-"&amp;TEXT(TODAY(),"YYYYMMDD"))</f>
        <v/>
      </c>
      <c r="C1170" s="37" t="str">
        <f>IF(Agent06_Withdrawals!A175="","",Agent06_Withdrawals!B175)</f>
        <v/>
      </c>
      <c r="D1170" s="40" t="str">
        <f>IF(Agent06_Withdrawals!A175="","",Agent06_Withdrawals!C175)</f>
        <v/>
      </c>
      <c r="E1170" s="38" t="str">
        <f>IF(Agent06_Withdrawals!A175="","",Agent06_Withdrawals!D175)</f>
        <v/>
      </c>
      <c r="F1170" s="37" t="str">
        <f>IF(Agent06_Withdrawals!A175="","",Agent06_Withdrawals!F175)</f>
        <v/>
      </c>
      <c r="G1170" s="39" t="str">
        <f>IF(Agent06_Withdrawals!A175="","",Agent06_Withdrawals!E175)</f>
        <v/>
      </c>
      <c r="H1170" s="39" t="str">
        <f>IF(Agent06_Withdrawals!A175="","",Agent06_Withdrawals!G175)</f>
        <v/>
      </c>
      <c r="I1170" s="37" t="str">
        <f>IF(Agent06_Withdrawals!A175="","",Agent06_Withdrawals!H175)</f>
        <v/>
      </c>
      <c r="J1170" s="37" t="str">
        <f>IF(Agent06_Withdrawals!A175="","",Agent06_Withdrawals!J175)</f>
        <v/>
      </c>
      <c r="K1170" s="37" t="str">
        <f>IF(Agent06_Withdrawals!A175="","",Agent06_Withdrawals!K175)</f>
        <v/>
      </c>
      <c r="L1170" s="37" t="str">
        <f>IF(G1170="","",IF(D1170-G1170&gt;=System_Config!$B$9,"✅ OK","⚠️ BREACH"))</f>
        <v/>
      </c>
      <c r="M1170" s="37" t="str">
        <f>IFERROR(IF(Agent06_Withdrawals!A175="","",YEAR(Agent06_Withdrawals!D175)),"")</f>
        <v/>
      </c>
    </row>
    <row r="1171" spans="1:13" ht="18" customHeight="1" x14ac:dyDescent="0.25">
      <c r="A1171" s="37" t="str">
        <f>IF(Agent06_Withdrawals!A176="","",Agent06_Withdrawals!A176)</f>
        <v/>
      </c>
      <c r="B1171" s="37" t="str">
        <f ca="1">IF(Agent06_Withdrawals!A176="","","WD"&amp;TEXT(1171-3,"0000")&amp;"-"&amp;TEXT(TODAY(),"YYYYMMDD"))</f>
        <v/>
      </c>
      <c r="C1171" s="37" t="str">
        <f>IF(Agent06_Withdrawals!A176="","",Agent06_Withdrawals!B176)</f>
        <v/>
      </c>
      <c r="D1171" s="40" t="str">
        <f>IF(Agent06_Withdrawals!A176="","",Agent06_Withdrawals!C176)</f>
        <v/>
      </c>
      <c r="E1171" s="38" t="str">
        <f>IF(Agent06_Withdrawals!A176="","",Agent06_Withdrawals!D176)</f>
        <v/>
      </c>
      <c r="F1171" s="37" t="str">
        <f>IF(Agent06_Withdrawals!A176="","",Agent06_Withdrawals!F176)</f>
        <v/>
      </c>
      <c r="G1171" s="39" t="str">
        <f>IF(Agent06_Withdrawals!A176="","",Agent06_Withdrawals!E176)</f>
        <v/>
      </c>
      <c r="H1171" s="39" t="str">
        <f>IF(Agent06_Withdrawals!A176="","",Agent06_Withdrawals!G176)</f>
        <v/>
      </c>
      <c r="I1171" s="37" t="str">
        <f>IF(Agent06_Withdrawals!A176="","",Agent06_Withdrawals!H176)</f>
        <v/>
      </c>
      <c r="J1171" s="37" t="str">
        <f>IF(Agent06_Withdrawals!A176="","",Agent06_Withdrawals!J176)</f>
        <v/>
      </c>
      <c r="K1171" s="37" t="str">
        <f>IF(Agent06_Withdrawals!A176="","",Agent06_Withdrawals!K176)</f>
        <v/>
      </c>
      <c r="L1171" s="37" t="str">
        <f>IF(G1171="","",IF(D1171-G1171&gt;=System_Config!$B$9,"✅ OK","⚠️ BREACH"))</f>
        <v/>
      </c>
      <c r="M1171" s="37" t="str">
        <f>IFERROR(IF(Agent06_Withdrawals!A176="","",YEAR(Agent06_Withdrawals!D176)),"")</f>
        <v/>
      </c>
    </row>
    <row r="1172" spans="1:13" ht="18" customHeight="1" x14ac:dyDescent="0.25">
      <c r="A1172" s="37" t="str">
        <f>IF(Agent06_Withdrawals!A177="","",Agent06_Withdrawals!A177)</f>
        <v/>
      </c>
      <c r="B1172" s="37" t="str">
        <f ca="1">IF(Agent06_Withdrawals!A177="","","WD"&amp;TEXT(1172-3,"0000")&amp;"-"&amp;TEXT(TODAY(),"YYYYMMDD"))</f>
        <v/>
      </c>
      <c r="C1172" s="37" t="str">
        <f>IF(Agent06_Withdrawals!A177="","",Agent06_Withdrawals!B177)</f>
        <v/>
      </c>
      <c r="D1172" s="40" t="str">
        <f>IF(Agent06_Withdrawals!A177="","",Agent06_Withdrawals!C177)</f>
        <v/>
      </c>
      <c r="E1172" s="38" t="str">
        <f>IF(Agent06_Withdrawals!A177="","",Agent06_Withdrawals!D177)</f>
        <v/>
      </c>
      <c r="F1172" s="37" t="str">
        <f>IF(Agent06_Withdrawals!A177="","",Agent06_Withdrawals!F177)</f>
        <v/>
      </c>
      <c r="G1172" s="39" t="str">
        <f>IF(Agent06_Withdrawals!A177="","",Agent06_Withdrawals!E177)</f>
        <v/>
      </c>
      <c r="H1172" s="39" t="str">
        <f>IF(Agent06_Withdrawals!A177="","",Agent06_Withdrawals!G177)</f>
        <v/>
      </c>
      <c r="I1172" s="37" t="str">
        <f>IF(Agent06_Withdrawals!A177="","",Agent06_Withdrawals!H177)</f>
        <v/>
      </c>
      <c r="J1172" s="37" t="str">
        <f>IF(Agent06_Withdrawals!A177="","",Agent06_Withdrawals!J177)</f>
        <v/>
      </c>
      <c r="K1172" s="37" t="str">
        <f>IF(Agent06_Withdrawals!A177="","",Agent06_Withdrawals!K177)</f>
        <v/>
      </c>
      <c r="L1172" s="37" t="str">
        <f>IF(G1172="","",IF(D1172-G1172&gt;=System_Config!$B$9,"✅ OK","⚠️ BREACH"))</f>
        <v/>
      </c>
      <c r="M1172" s="37" t="str">
        <f>IFERROR(IF(Agent06_Withdrawals!A177="","",YEAR(Agent06_Withdrawals!D177)),"")</f>
        <v/>
      </c>
    </row>
    <row r="1173" spans="1:13" ht="18" customHeight="1" x14ac:dyDescent="0.25">
      <c r="A1173" s="37" t="str">
        <f>IF(Agent06_Withdrawals!A178="","",Agent06_Withdrawals!A178)</f>
        <v/>
      </c>
      <c r="B1173" s="37" t="str">
        <f ca="1">IF(Agent06_Withdrawals!A178="","","WD"&amp;TEXT(1173-3,"0000")&amp;"-"&amp;TEXT(TODAY(),"YYYYMMDD"))</f>
        <v/>
      </c>
      <c r="C1173" s="37" t="str">
        <f>IF(Agent06_Withdrawals!A178="","",Agent06_Withdrawals!B178)</f>
        <v/>
      </c>
      <c r="D1173" s="40" t="str">
        <f>IF(Agent06_Withdrawals!A178="","",Agent06_Withdrawals!C178)</f>
        <v/>
      </c>
      <c r="E1173" s="38" t="str">
        <f>IF(Agent06_Withdrawals!A178="","",Agent06_Withdrawals!D178)</f>
        <v/>
      </c>
      <c r="F1173" s="37" t="str">
        <f>IF(Agent06_Withdrawals!A178="","",Agent06_Withdrawals!F178)</f>
        <v/>
      </c>
      <c r="G1173" s="39" t="str">
        <f>IF(Agent06_Withdrawals!A178="","",Agent06_Withdrawals!E178)</f>
        <v/>
      </c>
      <c r="H1173" s="39" t="str">
        <f>IF(Agent06_Withdrawals!A178="","",Agent06_Withdrawals!G178)</f>
        <v/>
      </c>
      <c r="I1173" s="37" t="str">
        <f>IF(Agent06_Withdrawals!A178="","",Agent06_Withdrawals!H178)</f>
        <v/>
      </c>
      <c r="J1173" s="37" t="str">
        <f>IF(Agent06_Withdrawals!A178="","",Agent06_Withdrawals!J178)</f>
        <v/>
      </c>
      <c r="K1173" s="37" t="str">
        <f>IF(Agent06_Withdrawals!A178="","",Agent06_Withdrawals!K178)</f>
        <v/>
      </c>
      <c r="L1173" s="37" t="str">
        <f>IF(G1173="","",IF(D1173-G1173&gt;=System_Config!$B$9,"✅ OK","⚠️ BREACH"))</f>
        <v/>
      </c>
      <c r="M1173" s="37" t="str">
        <f>IFERROR(IF(Agent06_Withdrawals!A178="","",YEAR(Agent06_Withdrawals!D178)),"")</f>
        <v/>
      </c>
    </row>
    <row r="1174" spans="1:13" ht="18" customHeight="1" x14ac:dyDescent="0.25">
      <c r="A1174" s="37" t="str">
        <f>IF(Agent06_Withdrawals!A179="","",Agent06_Withdrawals!A179)</f>
        <v/>
      </c>
      <c r="B1174" s="37" t="str">
        <f ca="1">IF(Agent06_Withdrawals!A179="","","WD"&amp;TEXT(1174-3,"0000")&amp;"-"&amp;TEXT(TODAY(),"YYYYMMDD"))</f>
        <v/>
      </c>
      <c r="C1174" s="37" t="str">
        <f>IF(Agent06_Withdrawals!A179="","",Agent06_Withdrawals!B179)</f>
        <v/>
      </c>
      <c r="D1174" s="40" t="str">
        <f>IF(Agent06_Withdrawals!A179="","",Agent06_Withdrawals!C179)</f>
        <v/>
      </c>
      <c r="E1174" s="38" t="str">
        <f>IF(Agent06_Withdrawals!A179="","",Agent06_Withdrawals!D179)</f>
        <v/>
      </c>
      <c r="F1174" s="37" t="str">
        <f>IF(Agent06_Withdrawals!A179="","",Agent06_Withdrawals!F179)</f>
        <v/>
      </c>
      <c r="G1174" s="39" t="str">
        <f>IF(Agent06_Withdrawals!A179="","",Agent06_Withdrawals!E179)</f>
        <v/>
      </c>
      <c r="H1174" s="39" t="str">
        <f>IF(Agent06_Withdrawals!A179="","",Agent06_Withdrawals!G179)</f>
        <v/>
      </c>
      <c r="I1174" s="37" t="str">
        <f>IF(Agent06_Withdrawals!A179="","",Agent06_Withdrawals!H179)</f>
        <v/>
      </c>
      <c r="J1174" s="37" t="str">
        <f>IF(Agent06_Withdrawals!A179="","",Agent06_Withdrawals!J179)</f>
        <v/>
      </c>
      <c r="K1174" s="37" t="str">
        <f>IF(Agent06_Withdrawals!A179="","",Agent06_Withdrawals!K179)</f>
        <v/>
      </c>
      <c r="L1174" s="37" t="str">
        <f>IF(G1174="","",IF(D1174-G1174&gt;=System_Config!$B$9,"✅ OK","⚠️ BREACH"))</f>
        <v/>
      </c>
      <c r="M1174" s="37" t="str">
        <f>IFERROR(IF(Agent06_Withdrawals!A179="","",YEAR(Agent06_Withdrawals!D179)),"")</f>
        <v/>
      </c>
    </row>
    <row r="1175" spans="1:13" ht="18" customHeight="1" x14ac:dyDescent="0.25">
      <c r="A1175" s="37" t="str">
        <f>IF(Agent06_Withdrawals!A180="","",Agent06_Withdrawals!A180)</f>
        <v/>
      </c>
      <c r="B1175" s="37" t="str">
        <f ca="1">IF(Agent06_Withdrawals!A180="","","WD"&amp;TEXT(1175-3,"0000")&amp;"-"&amp;TEXT(TODAY(),"YYYYMMDD"))</f>
        <v/>
      </c>
      <c r="C1175" s="37" t="str">
        <f>IF(Agent06_Withdrawals!A180="","",Agent06_Withdrawals!B180)</f>
        <v/>
      </c>
      <c r="D1175" s="40" t="str">
        <f>IF(Agent06_Withdrawals!A180="","",Agent06_Withdrawals!C180)</f>
        <v/>
      </c>
      <c r="E1175" s="38" t="str">
        <f>IF(Agent06_Withdrawals!A180="","",Agent06_Withdrawals!D180)</f>
        <v/>
      </c>
      <c r="F1175" s="37" t="str">
        <f>IF(Agent06_Withdrawals!A180="","",Agent06_Withdrawals!F180)</f>
        <v/>
      </c>
      <c r="G1175" s="39" t="str">
        <f>IF(Agent06_Withdrawals!A180="","",Agent06_Withdrawals!E180)</f>
        <v/>
      </c>
      <c r="H1175" s="39" t="str">
        <f>IF(Agent06_Withdrawals!A180="","",Agent06_Withdrawals!G180)</f>
        <v/>
      </c>
      <c r="I1175" s="37" t="str">
        <f>IF(Agent06_Withdrawals!A180="","",Agent06_Withdrawals!H180)</f>
        <v/>
      </c>
      <c r="J1175" s="37" t="str">
        <f>IF(Agent06_Withdrawals!A180="","",Agent06_Withdrawals!J180)</f>
        <v/>
      </c>
      <c r="K1175" s="37" t="str">
        <f>IF(Agent06_Withdrawals!A180="","",Agent06_Withdrawals!K180)</f>
        <v/>
      </c>
      <c r="L1175" s="37" t="str">
        <f>IF(G1175="","",IF(D1175-G1175&gt;=System_Config!$B$9,"✅ OK","⚠️ BREACH"))</f>
        <v/>
      </c>
      <c r="M1175" s="37" t="str">
        <f>IFERROR(IF(Agent06_Withdrawals!A180="","",YEAR(Agent06_Withdrawals!D180)),"")</f>
        <v/>
      </c>
    </row>
    <row r="1176" spans="1:13" ht="18" customHeight="1" x14ac:dyDescent="0.25">
      <c r="A1176" s="37" t="str">
        <f>IF(Agent06_Withdrawals!A181="","",Agent06_Withdrawals!A181)</f>
        <v/>
      </c>
      <c r="B1176" s="37" t="str">
        <f ca="1">IF(Agent06_Withdrawals!A181="","","WD"&amp;TEXT(1176-3,"0000")&amp;"-"&amp;TEXT(TODAY(),"YYYYMMDD"))</f>
        <v/>
      </c>
      <c r="C1176" s="37" t="str">
        <f>IF(Agent06_Withdrawals!A181="","",Agent06_Withdrawals!B181)</f>
        <v/>
      </c>
      <c r="D1176" s="40" t="str">
        <f>IF(Agent06_Withdrawals!A181="","",Agent06_Withdrawals!C181)</f>
        <v/>
      </c>
      <c r="E1176" s="38" t="str">
        <f>IF(Agent06_Withdrawals!A181="","",Agent06_Withdrawals!D181)</f>
        <v/>
      </c>
      <c r="F1176" s="37" t="str">
        <f>IF(Agent06_Withdrawals!A181="","",Agent06_Withdrawals!F181)</f>
        <v/>
      </c>
      <c r="G1176" s="39" t="str">
        <f>IF(Agent06_Withdrawals!A181="","",Agent06_Withdrawals!E181)</f>
        <v/>
      </c>
      <c r="H1176" s="39" t="str">
        <f>IF(Agent06_Withdrawals!A181="","",Agent06_Withdrawals!G181)</f>
        <v/>
      </c>
      <c r="I1176" s="37" t="str">
        <f>IF(Agent06_Withdrawals!A181="","",Agent06_Withdrawals!H181)</f>
        <v/>
      </c>
      <c r="J1176" s="37" t="str">
        <f>IF(Agent06_Withdrawals!A181="","",Agent06_Withdrawals!J181)</f>
        <v/>
      </c>
      <c r="K1176" s="37" t="str">
        <f>IF(Agent06_Withdrawals!A181="","",Agent06_Withdrawals!K181)</f>
        <v/>
      </c>
      <c r="L1176" s="37" t="str">
        <f>IF(G1176="","",IF(D1176-G1176&gt;=System_Config!$B$9,"✅ OK","⚠️ BREACH"))</f>
        <v/>
      </c>
      <c r="M1176" s="37" t="str">
        <f>IFERROR(IF(Agent06_Withdrawals!A181="","",YEAR(Agent06_Withdrawals!D181)),"")</f>
        <v/>
      </c>
    </row>
    <row r="1177" spans="1:13" ht="18" customHeight="1" x14ac:dyDescent="0.25">
      <c r="A1177" s="37" t="str">
        <f>IF(Agent06_Withdrawals!A182="","",Agent06_Withdrawals!A182)</f>
        <v/>
      </c>
      <c r="B1177" s="37" t="str">
        <f ca="1">IF(Agent06_Withdrawals!A182="","","WD"&amp;TEXT(1177-3,"0000")&amp;"-"&amp;TEXT(TODAY(),"YYYYMMDD"))</f>
        <v/>
      </c>
      <c r="C1177" s="37" t="str">
        <f>IF(Agent06_Withdrawals!A182="","",Agent06_Withdrawals!B182)</f>
        <v/>
      </c>
      <c r="D1177" s="40" t="str">
        <f>IF(Agent06_Withdrawals!A182="","",Agent06_Withdrawals!C182)</f>
        <v/>
      </c>
      <c r="E1177" s="38" t="str">
        <f>IF(Agent06_Withdrawals!A182="","",Agent06_Withdrawals!D182)</f>
        <v/>
      </c>
      <c r="F1177" s="37" t="str">
        <f>IF(Agent06_Withdrawals!A182="","",Agent06_Withdrawals!F182)</f>
        <v/>
      </c>
      <c r="G1177" s="39" t="str">
        <f>IF(Agent06_Withdrawals!A182="","",Agent06_Withdrawals!E182)</f>
        <v/>
      </c>
      <c r="H1177" s="39" t="str">
        <f>IF(Agent06_Withdrawals!A182="","",Agent06_Withdrawals!G182)</f>
        <v/>
      </c>
      <c r="I1177" s="37" t="str">
        <f>IF(Agent06_Withdrawals!A182="","",Agent06_Withdrawals!H182)</f>
        <v/>
      </c>
      <c r="J1177" s="37" t="str">
        <f>IF(Agent06_Withdrawals!A182="","",Agent06_Withdrawals!J182)</f>
        <v/>
      </c>
      <c r="K1177" s="37" t="str">
        <f>IF(Agent06_Withdrawals!A182="","",Agent06_Withdrawals!K182)</f>
        <v/>
      </c>
      <c r="L1177" s="37" t="str">
        <f>IF(G1177="","",IF(D1177-G1177&gt;=System_Config!$B$9,"✅ OK","⚠️ BREACH"))</f>
        <v/>
      </c>
      <c r="M1177" s="37" t="str">
        <f>IFERROR(IF(Agent06_Withdrawals!A182="","",YEAR(Agent06_Withdrawals!D182)),"")</f>
        <v/>
      </c>
    </row>
    <row r="1178" spans="1:13" ht="18" customHeight="1" x14ac:dyDescent="0.25">
      <c r="A1178" s="37" t="str">
        <f>IF(Agent06_Withdrawals!A183="","",Agent06_Withdrawals!A183)</f>
        <v/>
      </c>
      <c r="B1178" s="37" t="str">
        <f ca="1">IF(Agent06_Withdrawals!A183="","","WD"&amp;TEXT(1178-3,"0000")&amp;"-"&amp;TEXT(TODAY(),"YYYYMMDD"))</f>
        <v/>
      </c>
      <c r="C1178" s="37" t="str">
        <f>IF(Agent06_Withdrawals!A183="","",Agent06_Withdrawals!B183)</f>
        <v/>
      </c>
      <c r="D1178" s="40" t="str">
        <f>IF(Agent06_Withdrawals!A183="","",Agent06_Withdrawals!C183)</f>
        <v/>
      </c>
      <c r="E1178" s="38" t="str">
        <f>IF(Agent06_Withdrawals!A183="","",Agent06_Withdrawals!D183)</f>
        <v/>
      </c>
      <c r="F1178" s="37" t="str">
        <f>IF(Agent06_Withdrawals!A183="","",Agent06_Withdrawals!F183)</f>
        <v/>
      </c>
      <c r="G1178" s="39" t="str">
        <f>IF(Agent06_Withdrawals!A183="","",Agent06_Withdrawals!E183)</f>
        <v/>
      </c>
      <c r="H1178" s="39" t="str">
        <f>IF(Agent06_Withdrawals!A183="","",Agent06_Withdrawals!G183)</f>
        <v/>
      </c>
      <c r="I1178" s="37" t="str">
        <f>IF(Agent06_Withdrawals!A183="","",Agent06_Withdrawals!H183)</f>
        <v/>
      </c>
      <c r="J1178" s="37" t="str">
        <f>IF(Agent06_Withdrawals!A183="","",Agent06_Withdrawals!J183)</f>
        <v/>
      </c>
      <c r="K1178" s="37" t="str">
        <f>IF(Agent06_Withdrawals!A183="","",Agent06_Withdrawals!K183)</f>
        <v/>
      </c>
      <c r="L1178" s="37" t="str">
        <f>IF(G1178="","",IF(D1178-G1178&gt;=System_Config!$B$9,"✅ OK","⚠️ BREACH"))</f>
        <v/>
      </c>
      <c r="M1178" s="37" t="str">
        <f>IFERROR(IF(Agent06_Withdrawals!A183="","",YEAR(Agent06_Withdrawals!D183)),"")</f>
        <v/>
      </c>
    </row>
    <row r="1179" spans="1:13" ht="18" customHeight="1" x14ac:dyDescent="0.25">
      <c r="A1179" s="37" t="str">
        <f>IF(Agent06_Withdrawals!A184="","",Agent06_Withdrawals!A184)</f>
        <v/>
      </c>
      <c r="B1179" s="37" t="str">
        <f ca="1">IF(Agent06_Withdrawals!A184="","","WD"&amp;TEXT(1179-3,"0000")&amp;"-"&amp;TEXT(TODAY(),"YYYYMMDD"))</f>
        <v/>
      </c>
      <c r="C1179" s="37" t="str">
        <f>IF(Agent06_Withdrawals!A184="","",Agent06_Withdrawals!B184)</f>
        <v/>
      </c>
      <c r="D1179" s="40" t="str">
        <f>IF(Agent06_Withdrawals!A184="","",Agent06_Withdrawals!C184)</f>
        <v/>
      </c>
      <c r="E1179" s="38" t="str">
        <f>IF(Agent06_Withdrawals!A184="","",Agent06_Withdrawals!D184)</f>
        <v/>
      </c>
      <c r="F1179" s="37" t="str">
        <f>IF(Agent06_Withdrawals!A184="","",Agent06_Withdrawals!F184)</f>
        <v/>
      </c>
      <c r="G1179" s="39" t="str">
        <f>IF(Agent06_Withdrawals!A184="","",Agent06_Withdrawals!E184)</f>
        <v/>
      </c>
      <c r="H1179" s="39" t="str">
        <f>IF(Agent06_Withdrawals!A184="","",Agent06_Withdrawals!G184)</f>
        <v/>
      </c>
      <c r="I1179" s="37" t="str">
        <f>IF(Agent06_Withdrawals!A184="","",Agent06_Withdrawals!H184)</f>
        <v/>
      </c>
      <c r="J1179" s="37" t="str">
        <f>IF(Agent06_Withdrawals!A184="","",Agent06_Withdrawals!J184)</f>
        <v/>
      </c>
      <c r="K1179" s="37" t="str">
        <f>IF(Agent06_Withdrawals!A184="","",Agent06_Withdrawals!K184)</f>
        <v/>
      </c>
      <c r="L1179" s="37" t="str">
        <f>IF(G1179="","",IF(D1179-G1179&gt;=System_Config!$B$9,"✅ OK","⚠️ BREACH"))</f>
        <v/>
      </c>
      <c r="M1179" s="37" t="str">
        <f>IFERROR(IF(Agent06_Withdrawals!A184="","",YEAR(Agent06_Withdrawals!D184)),"")</f>
        <v/>
      </c>
    </row>
    <row r="1180" spans="1:13" ht="18" customHeight="1" x14ac:dyDescent="0.25">
      <c r="A1180" s="37" t="str">
        <f>IF(Agent06_Withdrawals!A185="","",Agent06_Withdrawals!A185)</f>
        <v/>
      </c>
      <c r="B1180" s="37" t="str">
        <f ca="1">IF(Agent06_Withdrawals!A185="","","WD"&amp;TEXT(1180-3,"0000")&amp;"-"&amp;TEXT(TODAY(),"YYYYMMDD"))</f>
        <v/>
      </c>
      <c r="C1180" s="37" t="str">
        <f>IF(Agent06_Withdrawals!A185="","",Agent06_Withdrawals!B185)</f>
        <v/>
      </c>
      <c r="D1180" s="40" t="str">
        <f>IF(Agent06_Withdrawals!A185="","",Agent06_Withdrawals!C185)</f>
        <v/>
      </c>
      <c r="E1180" s="38" t="str">
        <f>IF(Agent06_Withdrawals!A185="","",Agent06_Withdrawals!D185)</f>
        <v/>
      </c>
      <c r="F1180" s="37" t="str">
        <f>IF(Agent06_Withdrawals!A185="","",Agent06_Withdrawals!F185)</f>
        <v/>
      </c>
      <c r="G1180" s="39" t="str">
        <f>IF(Agent06_Withdrawals!A185="","",Agent06_Withdrawals!E185)</f>
        <v/>
      </c>
      <c r="H1180" s="39" t="str">
        <f>IF(Agent06_Withdrawals!A185="","",Agent06_Withdrawals!G185)</f>
        <v/>
      </c>
      <c r="I1180" s="37" t="str">
        <f>IF(Agent06_Withdrawals!A185="","",Agent06_Withdrawals!H185)</f>
        <v/>
      </c>
      <c r="J1180" s="37" t="str">
        <f>IF(Agent06_Withdrawals!A185="","",Agent06_Withdrawals!J185)</f>
        <v/>
      </c>
      <c r="K1180" s="37" t="str">
        <f>IF(Agent06_Withdrawals!A185="","",Agent06_Withdrawals!K185)</f>
        <v/>
      </c>
      <c r="L1180" s="37" t="str">
        <f>IF(G1180="","",IF(D1180-G1180&gt;=System_Config!$B$9,"✅ OK","⚠️ BREACH"))</f>
        <v/>
      </c>
      <c r="M1180" s="37" t="str">
        <f>IFERROR(IF(Agent06_Withdrawals!A185="","",YEAR(Agent06_Withdrawals!D185)),"")</f>
        <v/>
      </c>
    </row>
    <row r="1181" spans="1:13" ht="18" customHeight="1" x14ac:dyDescent="0.25">
      <c r="A1181" s="37" t="str">
        <f>IF(Agent06_Withdrawals!A186="","",Agent06_Withdrawals!A186)</f>
        <v/>
      </c>
      <c r="B1181" s="37" t="str">
        <f ca="1">IF(Agent06_Withdrawals!A186="","","WD"&amp;TEXT(1181-3,"0000")&amp;"-"&amp;TEXT(TODAY(),"YYYYMMDD"))</f>
        <v/>
      </c>
      <c r="C1181" s="37" t="str">
        <f>IF(Agent06_Withdrawals!A186="","",Agent06_Withdrawals!B186)</f>
        <v/>
      </c>
      <c r="D1181" s="40" t="str">
        <f>IF(Agent06_Withdrawals!A186="","",Agent06_Withdrawals!C186)</f>
        <v/>
      </c>
      <c r="E1181" s="38" t="str">
        <f>IF(Agent06_Withdrawals!A186="","",Agent06_Withdrawals!D186)</f>
        <v/>
      </c>
      <c r="F1181" s="37" t="str">
        <f>IF(Agent06_Withdrawals!A186="","",Agent06_Withdrawals!F186)</f>
        <v/>
      </c>
      <c r="G1181" s="39" t="str">
        <f>IF(Agent06_Withdrawals!A186="","",Agent06_Withdrawals!E186)</f>
        <v/>
      </c>
      <c r="H1181" s="39" t="str">
        <f>IF(Agent06_Withdrawals!A186="","",Agent06_Withdrawals!G186)</f>
        <v/>
      </c>
      <c r="I1181" s="37" t="str">
        <f>IF(Agent06_Withdrawals!A186="","",Agent06_Withdrawals!H186)</f>
        <v/>
      </c>
      <c r="J1181" s="37" t="str">
        <f>IF(Agent06_Withdrawals!A186="","",Agent06_Withdrawals!J186)</f>
        <v/>
      </c>
      <c r="K1181" s="37" t="str">
        <f>IF(Agent06_Withdrawals!A186="","",Agent06_Withdrawals!K186)</f>
        <v/>
      </c>
      <c r="L1181" s="37" t="str">
        <f>IF(G1181="","",IF(D1181-G1181&gt;=System_Config!$B$9,"✅ OK","⚠️ BREACH"))</f>
        <v/>
      </c>
      <c r="M1181" s="37" t="str">
        <f>IFERROR(IF(Agent06_Withdrawals!A186="","",YEAR(Agent06_Withdrawals!D186)),"")</f>
        <v/>
      </c>
    </row>
    <row r="1182" spans="1:13" ht="18" customHeight="1" x14ac:dyDescent="0.25">
      <c r="A1182" s="37" t="str">
        <f>IF(Agent06_Withdrawals!A187="","",Agent06_Withdrawals!A187)</f>
        <v/>
      </c>
      <c r="B1182" s="37" t="str">
        <f ca="1">IF(Agent06_Withdrawals!A187="","","WD"&amp;TEXT(1182-3,"0000")&amp;"-"&amp;TEXT(TODAY(),"YYYYMMDD"))</f>
        <v/>
      </c>
      <c r="C1182" s="37" t="str">
        <f>IF(Agent06_Withdrawals!A187="","",Agent06_Withdrawals!B187)</f>
        <v/>
      </c>
      <c r="D1182" s="40" t="str">
        <f>IF(Agent06_Withdrawals!A187="","",Agent06_Withdrawals!C187)</f>
        <v/>
      </c>
      <c r="E1182" s="38" t="str">
        <f>IF(Agent06_Withdrawals!A187="","",Agent06_Withdrawals!D187)</f>
        <v/>
      </c>
      <c r="F1182" s="37" t="str">
        <f>IF(Agent06_Withdrawals!A187="","",Agent06_Withdrawals!F187)</f>
        <v/>
      </c>
      <c r="G1182" s="39" t="str">
        <f>IF(Agent06_Withdrawals!A187="","",Agent06_Withdrawals!E187)</f>
        <v/>
      </c>
      <c r="H1182" s="39" t="str">
        <f>IF(Agent06_Withdrawals!A187="","",Agent06_Withdrawals!G187)</f>
        <v/>
      </c>
      <c r="I1182" s="37" t="str">
        <f>IF(Agent06_Withdrawals!A187="","",Agent06_Withdrawals!H187)</f>
        <v/>
      </c>
      <c r="J1182" s="37" t="str">
        <f>IF(Agent06_Withdrawals!A187="","",Agent06_Withdrawals!J187)</f>
        <v/>
      </c>
      <c r="K1182" s="37" t="str">
        <f>IF(Agent06_Withdrawals!A187="","",Agent06_Withdrawals!K187)</f>
        <v/>
      </c>
      <c r="L1182" s="37" t="str">
        <f>IF(G1182="","",IF(D1182-G1182&gt;=System_Config!$B$9,"✅ OK","⚠️ BREACH"))</f>
        <v/>
      </c>
      <c r="M1182" s="37" t="str">
        <f>IFERROR(IF(Agent06_Withdrawals!A187="","",YEAR(Agent06_Withdrawals!D187)),"")</f>
        <v/>
      </c>
    </row>
    <row r="1183" spans="1:13" ht="18" customHeight="1" x14ac:dyDescent="0.25">
      <c r="A1183" s="37" t="str">
        <f>IF(Agent06_Withdrawals!A188="","",Agent06_Withdrawals!A188)</f>
        <v/>
      </c>
      <c r="B1183" s="37" t="str">
        <f ca="1">IF(Agent06_Withdrawals!A188="","","WD"&amp;TEXT(1183-3,"0000")&amp;"-"&amp;TEXT(TODAY(),"YYYYMMDD"))</f>
        <v/>
      </c>
      <c r="C1183" s="37" t="str">
        <f>IF(Agent06_Withdrawals!A188="","",Agent06_Withdrawals!B188)</f>
        <v/>
      </c>
      <c r="D1183" s="40" t="str">
        <f>IF(Agent06_Withdrawals!A188="","",Agent06_Withdrawals!C188)</f>
        <v/>
      </c>
      <c r="E1183" s="38" t="str">
        <f>IF(Agent06_Withdrawals!A188="","",Agent06_Withdrawals!D188)</f>
        <v/>
      </c>
      <c r="F1183" s="37" t="str">
        <f>IF(Agent06_Withdrawals!A188="","",Agent06_Withdrawals!F188)</f>
        <v/>
      </c>
      <c r="G1183" s="39" t="str">
        <f>IF(Agent06_Withdrawals!A188="","",Agent06_Withdrawals!E188)</f>
        <v/>
      </c>
      <c r="H1183" s="39" t="str">
        <f>IF(Agent06_Withdrawals!A188="","",Agent06_Withdrawals!G188)</f>
        <v/>
      </c>
      <c r="I1183" s="37" t="str">
        <f>IF(Agent06_Withdrawals!A188="","",Agent06_Withdrawals!H188)</f>
        <v/>
      </c>
      <c r="J1183" s="37" t="str">
        <f>IF(Agent06_Withdrawals!A188="","",Agent06_Withdrawals!J188)</f>
        <v/>
      </c>
      <c r="K1183" s="37" t="str">
        <f>IF(Agent06_Withdrawals!A188="","",Agent06_Withdrawals!K188)</f>
        <v/>
      </c>
      <c r="L1183" s="37" t="str">
        <f>IF(G1183="","",IF(D1183-G1183&gt;=System_Config!$B$9,"✅ OK","⚠️ BREACH"))</f>
        <v/>
      </c>
      <c r="M1183" s="37" t="str">
        <f>IFERROR(IF(Agent06_Withdrawals!A188="","",YEAR(Agent06_Withdrawals!D188)),"")</f>
        <v/>
      </c>
    </row>
    <row r="1184" spans="1:13" ht="18" customHeight="1" x14ac:dyDescent="0.25">
      <c r="A1184" s="37" t="str">
        <f>IF(Agent06_Withdrawals!A189="","",Agent06_Withdrawals!A189)</f>
        <v/>
      </c>
      <c r="B1184" s="37" t="str">
        <f ca="1">IF(Agent06_Withdrawals!A189="","","WD"&amp;TEXT(1184-3,"0000")&amp;"-"&amp;TEXT(TODAY(),"YYYYMMDD"))</f>
        <v/>
      </c>
      <c r="C1184" s="37" t="str">
        <f>IF(Agent06_Withdrawals!A189="","",Agent06_Withdrawals!B189)</f>
        <v/>
      </c>
      <c r="D1184" s="40" t="str">
        <f>IF(Agent06_Withdrawals!A189="","",Agent06_Withdrawals!C189)</f>
        <v/>
      </c>
      <c r="E1184" s="38" t="str">
        <f>IF(Agent06_Withdrawals!A189="","",Agent06_Withdrawals!D189)</f>
        <v/>
      </c>
      <c r="F1184" s="37" t="str">
        <f>IF(Agent06_Withdrawals!A189="","",Agent06_Withdrawals!F189)</f>
        <v/>
      </c>
      <c r="G1184" s="39" t="str">
        <f>IF(Agent06_Withdrawals!A189="","",Agent06_Withdrawals!E189)</f>
        <v/>
      </c>
      <c r="H1184" s="39" t="str">
        <f>IF(Agent06_Withdrawals!A189="","",Agent06_Withdrawals!G189)</f>
        <v/>
      </c>
      <c r="I1184" s="37" t="str">
        <f>IF(Agent06_Withdrawals!A189="","",Agent06_Withdrawals!H189)</f>
        <v/>
      </c>
      <c r="J1184" s="37" t="str">
        <f>IF(Agent06_Withdrawals!A189="","",Agent06_Withdrawals!J189)</f>
        <v/>
      </c>
      <c r="K1184" s="37" t="str">
        <f>IF(Agent06_Withdrawals!A189="","",Agent06_Withdrawals!K189)</f>
        <v/>
      </c>
      <c r="L1184" s="37" t="str">
        <f>IF(G1184="","",IF(D1184-G1184&gt;=System_Config!$B$9,"✅ OK","⚠️ BREACH"))</f>
        <v/>
      </c>
      <c r="M1184" s="37" t="str">
        <f>IFERROR(IF(Agent06_Withdrawals!A189="","",YEAR(Agent06_Withdrawals!D189)),"")</f>
        <v/>
      </c>
    </row>
    <row r="1185" spans="1:13" ht="18" customHeight="1" x14ac:dyDescent="0.25">
      <c r="A1185" s="37" t="str">
        <f>IF(Agent06_Withdrawals!A190="","",Agent06_Withdrawals!A190)</f>
        <v/>
      </c>
      <c r="B1185" s="37" t="str">
        <f ca="1">IF(Agent06_Withdrawals!A190="","","WD"&amp;TEXT(1185-3,"0000")&amp;"-"&amp;TEXT(TODAY(),"YYYYMMDD"))</f>
        <v/>
      </c>
      <c r="C1185" s="37" t="str">
        <f>IF(Agent06_Withdrawals!A190="","",Agent06_Withdrawals!B190)</f>
        <v/>
      </c>
      <c r="D1185" s="40" t="str">
        <f>IF(Agent06_Withdrawals!A190="","",Agent06_Withdrawals!C190)</f>
        <v/>
      </c>
      <c r="E1185" s="38" t="str">
        <f>IF(Agent06_Withdrawals!A190="","",Agent06_Withdrawals!D190)</f>
        <v/>
      </c>
      <c r="F1185" s="37" t="str">
        <f>IF(Agent06_Withdrawals!A190="","",Agent06_Withdrawals!F190)</f>
        <v/>
      </c>
      <c r="G1185" s="39" t="str">
        <f>IF(Agent06_Withdrawals!A190="","",Agent06_Withdrawals!E190)</f>
        <v/>
      </c>
      <c r="H1185" s="39" t="str">
        <f>IF(Agent06_Withdrawals!A190="","",Agent06_Withdrawals!G190)</f>
        <v/>
      </c>
      <c r="I1185" s="37" t="str">
        <f>IF(Agent06_Withdrawals!A190="","",Agent06_Withdrawals!H190)</f>
        <v/>
      </c>
      <c r="J1185" s="37" t="str">
        <f>IF(Agent06_Withdrawals!A190="","",Agent06_Withdrawals!J190)</f>
        <v/>
      </c>
      <c r="K1185" s="37" t="str">
        <f>IF(Agent06_Withdrawals!A190="","",Agent06_Withdrawals!K190)</f>
        <v/>
      </c>
      <c r="L1185" s="37" t="str">
        <f>IF(G1185="","",IF(D1185-G1185&gt;=System_Config!$B$9,"✅ OK","⚠️ BREACH"))</f>
        <v/>
      </c>
      <c r="M1185" s="37" t="str">
        <f>IFERROR(IF(Agent06_Withdrawals!A190="","",YEAR(Agent06_Withdrawals!D190)),"")</f>
        <v/>
      </c>
    </row>
    <row r="1186" spans="1:13" ht="18" customHeight="1" x14ac:dyDescent="0.25">
      <c r="A1186" s="37" t="str">
        <f>IF(Agent06_Withdrawals!A191="","",Agent06_Withdrawals!A191)</f>
        <v/>
      </c>
      <c r="B1186" s="37" t="str">
        <f ca="1">IF(Agent06_Withdrawals!A191="","","WD"&amp;TEXT(1186-3,"0000")&amp;"-"&amp;TEXT(TODAY(),"YYYYMMDD"))</f>
        <v/>
      </c>
      <c r="C1186" s="37" t="str">
        <f>IF(Agent06_Withdrawals!A191="","",Agent06_Withdrawals!B191)</f>
        <v/>
      </c>
      <c r="D1186" s="40" t="str">
        <f>IF(Agent06_Withdrawals!A191="","",Agent06_Withdrawals!C191)</f>
        <v/>
      </c>
      <c r="E1186" s="38" t="str">
        <f>IF(Agent06_Withdrawals!A191="","",Agent06_Withdrawals!D191)</f>
        <v/>
      </c>
      <c r="F1186" s="37" t="str">
        <f>IF(Agent06_Withdrawals!A191="","",Agent06_Withdrawals!F191)</f>
        <v/>
      </c>
      <c r="G1186" s="39" t="str">
        <f>IF(Agent06_Withdrawals!A191="","",Agent06_Withdrawals!E191)</f>
        <v/>
      </c>
      <c r="H1186" s="39" t="str">
        <f>IF(Agent06_Withdrawals!A191="","",Agent06_Withdrawals!G191)</f>
        <v/>
      </c>
      <c r="I1186" s="37" t="str">
        <f>IF(Agent06_Withdrawals!A191="","",Agent06_Withdrawals!H191)</f>
        <v/>
      </c>
      <c r="J1186" s="37" t="str">
        <f>IF(Agent06_Withdrawals!A191="","",Agent06_Withdrawals!J191)</f>
        <v/>
      </c>
      <c r="K1186" s="37" t="str">
        <f>IF(Agent06_Withdrawals!A191="","",Agent06_Withdrawals!K191)</f>
        <v/>
      </c>
      <c r="L1186" s="37" t="str">
        <f>IF(G1186="","",IF(D1186-G1186&gt;=System_Config!$B$9,"✅ OK","⚠️ BREACH"))</f>
        <v/>
      </c>
      <c r="M1186" s="37" t="str">
        <f>IFERROR(IF(Agent06_Withdrawals!A191="","",YEAR(Agent06_Withdrawals!D191)),"")</f>
        <v/>
      </c>
    </row>
    <row r="1187" spans="1:13" ht="18" customHeight="1" x14ac:dyDescent="0.25">
      <c r="A1187" s="37" t="str">
        <f>IF(Agent06_Withdrawals!A192="","",Agent06_Withdrawals!A192)</f>
        <v/>
      </c>
      <c r="B1187" s="37" t="str">
        <f ca="1">IF(Agent06_Withdrawals!A192="","","WD"&amp;TEXT(1187-3,"0000")&amp;"-"&amp;TEXT(TODAY(),"YYYYMMDD"))</f>
        <v/>
      </c>
      <c r="C1187" s="37" t="str">
        <f>IF(Agent06_Withdrawals!A192="","",Agent06_Withdrawals!B192)</f>
        <v/>
      </c>
      <c r="D1187" s="40" t="str">
        <f>IF(Agent06_Withdrawals!A192="","",Agent06_Withdrawals!C192)</f>
        <v/>
      </c>
      <c r="E1187" s="38" t="str">
        <f>IF(Agent06_Withdrawals!A192="","",Agent06_Withdrawals!D192)</f>
        <v/>
      </c>
      <c r="F1187" s="37" t="str">
        <f>IF(Agent06_Withdrawals!A192="","",Agent06_Withdrawals!F192)</f>
        <v/>
      </c>
      <c r="G1187" s="39" t="str">
        <f>IF(Agent06_Withdrawals!A192="","",Agent06_Withdrawals!E192)</f>
        <v/>
      </c>
      <c r="H1187" s="39" t="str">
        <f>IF(Agent06_Withdrawals!A192="","",Agent06_Withdrawals!G192)</f>
        <v/>
      </c>
      <c r="I1187" s="37" t="str">
        <f>IF(Agent06_Withdrawals!A192="","",Agent06_Withdrawals!H192)</f>
        <v/>
      </c>
      <c r="J1187" s="37" t="str">
        <f>IF(Agent06_Withdrawals!A192="","",Agent06_Withdrawals!J192)</f>
        <v/>
      </c>
      <c r="K1187" s="37" t="str">
        <f>IF(Agent06_Withdrawals!A192="","",Agent06_Withdrawals!K192)</f>
        <v/>
      </c>
      <c r="L1187" s="37" t="str">
        <f>IF(G1187="","",IF(D1187-G1187&gt;=System_Config!$B$9,"✅ OK","⚠️ BREACH"))</f>
        <v/>
      </c>
      <c r="M1187" s="37" t="str">
        <f>IFERROR(IF(Agent06_Withdrawals!A192="","",YEAR(Agent06_Withdrawals!D192)),"")</f>
        <v/>
      </c>
    </row>
    <row r="1188" spans="1:13" ht="18" customHeight="1" x14ac:dyDescent="0.25">
      <c r="A1188" s="37" t="str">
        <f>IF(Agent06_Withdrawals!A193="","",Agent06_Withdrawals!A193)</f>
        <v/>
      </c>
      <c r="B1188" s="37" t="str">
        <f ca="1">IF(Agent06_Withdrawals!A193="","","WD"&amp;TEXT(1188-3,"0000")&amp;"-"&amp;TEXT(TODAY(),"YYYYMMDD"))</f>
        <v/>
      </c>
      <c r="C1188" s="37" t="str">
        <f>IF(Agent06_Withdrawals!A193="","",Agent06_Withdrawals!B193)</f>
        <v/>
      </c>
      <c r="D1188" s="40" t="str">
        <f>IF(Agent06_Withdrawals!A193="","",Agent06_Withdrawals!C193)</f>
        <v/>
      </c>
      <c r="E1188" s="38" t="str">
        <f>IF(Agent06_Withdrawals!A193="","",Agent06_Withdrawals!D193)</f>
        <v/>
      </c>
      <c r="F1188" s="37" t="str">
        <f>IF(Agent06_Withdrawals!A193="","",Agent06_Withdrawals!F193)</f>
        <v/>
      </c>
      <c r="G1188" s="39" t="str">
        <f>IF(Agent06_Withdrawals!A193="","",Agent06_Withdrawals!E193)</f>
        <v/>
      </c>
      <c r="H1188" s="39" t="str">
        <f>IF(Agent06_Withdrawals!A193="","",Agent06_Withdrawals!G193)</f>
        <v/>
      </c>
      <c r="I1188" s="37" t="str">
        <f>IF(Agent06_Withdrawals!A193="","",Agent06_Withdrawals!H193)</f>
        <v/>
      </c>
      <c r="J1188" s="37" t="str">
        <f>IF(Agent06_Withdrawals!A193="","",Agent06_Withdrawals!J193)</f>
        <v/>
      </c>
      <c r="K1188" s="37" t="str">
        <f>IF(Agent06_Withdrawals!A193="","",Agent06_Withdrawals!K193)</f>
        <v/>
      </c>
      <c r="L1188" s="37" t="str">
        <f>IF(G1188="","",IF(D1188-G1188&gt;=System_Config!$B$9,"✅ OK","⚠️ BREACH"))</f>
        <v/>
      </c>
      <c r="M1188" s="37" t="str">
        <f>IFERROR(IF(Agent06_Withdrawals!A193="","",YEAR(Agent06_Withdrawals!D193)),"")</f>
        <v/>
      </c>
    </row>
    <row r="1189" spans="1:13" ht="18" customHeight="1" x14ac:dyDescent="0.25">
      <c r="A1189" s="37" t="str">
        <f>IF(Agent06_Withdrawals!A194="","",Agent06_Withdrawals!A194)</f>
        <v/>
      </c>
      <c r="B1189" s="37" t="str">
        <f ca="1">IF(Agent06_Withdrawals!A194="","","WD"&amp;TEXT(1189-3,"0000")&amp;"-"&amp;TEXT(TODAY(),"YYYYMMDD"))</f>
        <v/>
      </c>
      <c r="C1189" s="37" t="str">
        <f>IF(Agent06_Withdrawals!A194="","",Agent06_Withdrawals!B194)</f>
        <v/>
      </c>
      <c r="D1189" s="40" t="str">
        <f>IF(Agent06_Withdrawals!A194="","",Agent06_Withdrawals!C194)</f>
        <v/>
      </c>
      <c r="E1189" s="38" t="str">
        <f>IF(Agent06_Withdrawals!A194="","",Agent06_Withdrawals!D194)</f>
        <v/>
      </c>
      <c r="F1189" s="37" t="str">
        <f>IF(Agent06_Withdrawals!A194="","",Agent06_Withdrawals!F194)</f>
        <v/>
      </c>
      <c r="G1189" s="39" t="str">
        <f>IF(Agent06_Withdrawals!A194="","",Agent06_Withdrawals!E194)</f>
        <v/>
      </c>
      <c r="H1189" s="39" t="str">
        <f>IF(Agent06_Withdrawals!A194="","",Agent06_Withdrawals!G194)</f>
        <v/>
      </c>
      <c r="I1189" s="37" t="str">
        <f>IF(Agent06_Withdrawals!A194="","",Agent06_Withdrawals!H194)</f>
        <v/>
      </c>
      <c r="J1189" s="37" t="str">
        <f>IF(Agent06_Withdrawals!A194="","",Agent06_Withdrawals!J194)</f>
        <v/>
      </c>
      <c r="K1189" s="37" t="str">
        <f>IF(Agent06_Withdrawals!A194="","",Agent06_Withdrawals!K194)</f>
        <v/>
      </c>
      <c r="L1189" s="37" t="str">
        <f>IF(G1189="","",IF(D1189-G1189&gt;=System_Config!$B$9,"✅ OK","⚠️ BREACH"))</f>
        <v/>
      </c>
      <c r="M1189" s="37" t="str">
        <f>IFERROR(IF(Agent06_Withdrawals!A194="","",YEAR(Agent06_Withdrawals!D194)),"")</f>
        <v/>
      </c>
    </row>
    <row r="1190" spans="1:13" ht="18" customHeight="1" x14ac:dyDescent="0.25">
      <c r="A1190" s="37" t="str">
        <f>IF(Agent06_Withdrawals!A195="","",Agent06_Withdrawals!A195)</f>
        <v/>
      </c>
      <c r="B1190" s="37" t="str">
        <f ca="1">IF(Agent06_Withdrawals!A195="","","WD"&amp;TEXT(1190-3,"0000")&amp;"-"&amp;TEXT(TODAY(),"YYYYMMDD"))</f>
        <v/>
      </c>
      <c r="C1190" s="37" t="str">
        <f>IF(Agent06_Withdrawals!A195="","",Agent06_Withdrawals!B195)</f>
        <v/>
      </c>
      <c r="D1190" s="40" t="str">
        <f>IF(Agent06_Withdrawals!A195="","",Agent06_Withdrawals!C195)</f>
        <v/>
      </c>
      <c r="E1190" s="38" t="str">
        <f>IF(Agent06_Withdrawals!A195="","",Agent06_Withdrawals!D195)</f>
        <v/>
      </c>
      <c r="F1190" s="37" t="str">
        <f>IF(Agent06_Withdrawals!A195="","",Agent06_Withdrawals!F195)</f>
        <v/>
      </c>
      <c r="G1190" s="39" t="str">
        <f>IF(Agent06_Withdrawals!A195="","",Agent06_Withdrawals!E195)</f>
        <v/>
      </c>
      <c r="H1190" s="39" t="str">
        <f>IF(Agent06_Withdrawals!A195="","",Agent06_Withdrawals!G195)</f>
        <v/>
      </c>
      <c r="I1190" s="37" t="str">
        <f>IF(Agent06_Withdrawals!A195="","",Agent06_Withdrawals!H195)</f>
        <v/>
      </c>
      <c r="J1190" s="37" t="str">
        <f>IF(Agent06_Withdrawals!A195="","",Agent06_Withdrawals!J195)</f>
        <v/>
      </c>
      <c r="K1190" s="37" t="str">
        <f>IF(Agent06_Withdrawals!A195="","",Agent06_Withdrawals!K195)</f>
        <v/>
      </c>
      <c r="L1190" s="37" t="str">
        <f>IF(G1190="","",IF(D1190-G1190&gt;=System_Config!$B$9,"✅ OK","⚠️ BREACH"))</f>
        <v/>
      </c>
      <c r="M1190" s="37" t="str">
        <f>IFERROR(IF(Agent06_Withdrawals!A195="","",YEAR(Agent06_Withdrawals!D195)),"")</f>
        <v/>
      </c>
    </row>
    <row r="1191" spans="1:13" ht="18" customHeight="1" x14ac:dyDescent="0.25">
      <c r="A1191" s="37" t="str">
        <f>IF(Agent06_Withdrawals!A196="","",Agent06_Withdrawals!A196)</f>
        <v/>
      </c>
      <c r="B1191" s="37" t="str">
        <f ca="1">IF(Agent06_Withdrawals!A196="","","WD"&amp;TEXT(1191-3,"0000")&amp;"-"&amp;TEXT(TODAY(),"YYYYMMDD"))</f>
        <v/>
      </c>
      <c r="C1191" s="37" t="str">
        <f>IF(Agent06_Withdrawals!A196="","",Agent06_Withdrawals!B196)</f>
        <v/>
      </c>
      <c r="D1191" s="40" t="str">
        <f>IF(Agent06_Withdrawals!A196="","",Agent06_Withdrawals!C196)</f>
        <v/>
      </c>
      <c r="E1191" s="38" t="str">
        <f>IF(Agent06_Withdrawals!A196="","",Agent06_Withdrawals!D196)</f>
        <v/>
      </c>
      <c r="F1191" s="37" t="str">
        <f>IF(Agent06_Withdrawals!A196="","",Agent06_Withdrawals!F196)</f>
        <v/>
      </c>
      <c r="G1191" s="39" t="str">
        <f>IF(Agent06_Withdrawals!A196="","",Agent06_Withdrawals!E196)</f>
        <v/>
      </c>
      <c r="H1191" s="39" t="str">
        <f>IF(Agent06_Withdrawals!A196="","",Agent06_Withdrawals!G196)</f>
        <v/>
      </c>
      <c r="I1191" s="37" t="str">
        <f>IF(Agent06_Withdrawals!A196="","",Agent06_Withdrawals!H196)</f>
        <v/>
      </c>
      <c r="J1191" s="37" t="str">
        <f>IF(Agent06_Withdrawals!A196="","",Agent06_Withdrawals!J196)</f>
        <v/>
      </c>
      <c r="K1191" s="37" t="str">
        <f>IF(Agent06_Withdrawals!A196="","",Agent06_Withdrawals!K196)</f>
        <v/>
      </c>
      <c r="L1191" s="37" t="str">
        <f>IF(G1191="","",IF(D1191-G1191&gt;=System_Config!$B$9,"✅ OK","⚠️ BREACH"))</f>
        <v/>
      </c>
      <c r="M1191" s="37" t="str">
        <f>IFERROR(IF(Agent06_Withdrawals!A196="","",YEAR(Agent06_Withdrawals!D196)),"")</f>
        <v/>
      </c>
    </row>
    <row r="1192" spans="1:13" ht="18" customHeight="1" x14ac:dyDescent="0.25">
      <c r="A1192" s="37" t="str">
        <f>IF(Agent06_Withdrawals!A197="","",Agent06_Withdrawals!A197)</f>
        <v/>
      </c>
      <c r="B1192" s="37" t="str">
        <f ca="1">IF(Agent06_Withdrawals!A197="","","WD"&amp;TEXT(1192-3,"0000")&amp;"-"&amp;TEXT(TODAY(),"YYYYMMDD"))</f>
        <v/>
      </c>
      <c r="C1192" s="37" t="str">
        <f>IF(Agent06_Withdrawals!A197="","",Agent06_Withdrawals!B197)</f>
        <v/>
      </c>
      <c r="D1192" s="40" t="str">
        <f>IF(Agent06_Withdrawals!A197="","",Agent06_Withdrawals!C197)</f>
        <v/>
      </c>
      <c r="E1192" s="38" t="str">
        <f>IF(Agent06_Withdrawals!A197="","",Agent06_Withdrawals!D197)</f>
        <v/>
      </c>
      <c r="F1192" s="37" t="str">
        <f>IF(Agent06_Withdrawals!A197="","",Agent06_Withdrawals!F197)</f>
        <v/>
      </c>
      <c r="G1192" s="39" t="str">
        <f>IF(Agent06_Withdrawals!A197="","",Agent06_Withdrawals!E197)</f>
        <v/>
      </c>
      <c r="H1192" s="39" t="str">
        <f>IF(Agent06_Withdrawals!A197="","",Agent06_Withdrawals!G197)</f>
        <v/>
      </c>
      <c r="I1192" s="37" t="str">
        <f>IF(Agent06_Withdrawals!A197="","",Agent06_Withdrawals!H197)</f>
        <v/>
      </c>
      <c r="J1192" s="37" t="str">
        <f>IF(Agent06_Withdrawals!A197="","",Agent06_Withdrawals!J197)</f>
        <v/>
      </c>
      <c r="K1192" s="37" t="str">
        <f>IF(Agent06_Withdrawals!A197="","",Agent06_Withdrawals!K197)</f>
        <v/>
      </c>
      <c r="L1192" s="37" t="str">
        <f>IF(G1192="","",IF(D1192-G1192&gt;=System_Config!$B$9,"✅ OK","⚠️ BREACH"))</f>
        <v/>
      </c>
      <c r="M1192" s="37" t="str">
        <f>IFERROR(IF(Agent06_Withdrawals!A197="","",YEAR(Agent06_Withdrawals!D197)),"")</f>
        <v/>
      </c>
    </row>
    <row r="1193" spans="1:13" ht="18" customHeight="1" x14ac:dyDescent="0.25">
      <c r="A1193" s="37" t="str">
        <f>IF(Agent06_Withdrawals!A198="","",Agent06_Withdrawals!A198)</f>
        <v/>
      </c>
      <c r="B1193" s="37" t="str">
        <f ca="1">IF(Agent06_Withdrawals!A198="","","WD"&amp;TEXT(1193-3,"0000")&amp;"-"&amp;TEXT(TODAY(),"YYYYMMDD"))</f>
        <v/>
      </c>
      <c r="C1193" s="37" t="str">
        <f>IF(Agent06_Withdrawals!A198="","",Agent06_Withdrawals!B198)</f>
        <v/>
      </c>
      <c r="D1193" s="40" t="str">
        <f>IF(Agent06_Withdrawals!A198="","",Agent06_Withdrawals!C198)</f>
        <v/>
      </c>
      <c r="E1193" s="38" t="str">
        <f>IF(Agent06_Withdrawals!A198="","",Agent06_Withdrawals!D198)</f>
        <v/>
      </c>
      <c r="F1193" s="37" t="str">
        <f>IF(Agent06_Withdrawals!A198="","",Agent06_Withdrawals!F198)</f>
        <v/>
      </c>
      <c r="G1193" s="39" t="str">
        <f>IF(Agent06_Withdrawals!A198="","",Agent06_Withdrawals!E198)</f>
        <v/>
      </c>
      <c r="H1193" s="39" t="str">
        <f>IF(Agent06_Withdrawals!A198="","",Agent06_Withdrawals!G198)</f>
        <v/>
      </c>
      <c r="I1193" s="37" t="str">
        <f>IF(Agent06_Withdrawals!A198="","",Agent06_Withdrawals!H198)</f>
        <v/>
      </c>
      <c r="J1193" s="37" t="str">
        <f>IF(Agent06_Withdrawals!A198="","",Agent06_Withdrawals!J198)</f>
        <v/>
      </c>
      <c r="K1193" s="37" t="str">
        <f>IF(Agent06_Withdrawals!A198="","",Agent06_Withdrawals!K198)</f>
        <v/>
      </c>
      <c r="L1193" s="37" t="str">
        <f>IF(G1193="","",IF(D1193-G1193&gt;=System_Config!$B$9,"✅ OK","⚠️ BREACH"))</f>
        <v/>
      </c>
      <c r="M1193" s="37" t="str">
        <f>IFERROR(IF(Agent06_Withdrawals!A198="","",YEAR(Agent06_Withdrawals!D198)),"")</f>
        <v/>
      </c>
    </row>
    <row r="1194" spans="1:13" ht="18" customHeight="1" x14ac:dyDescent="0.25">
      <c r="A1194" s="37" t="str">
        <f>IF(Agent06_Withdrawals!A199="","",Agent06_Withdrawals!A199)</f>
        <v/>
      </c>
      <c r="B1194" s="37" t="str">
        <f ca="1">IF(Agent06_Withdrawals!A199="","","WD"&amp;TEXT(1194-3,"0000")&amp;"-"&amp;TEXT(TODAY(),"YYYYMMDD"))</f>
        <v/>
      </c>
      <c r="C1194" s="37" t="str">
        <f>IF(Agent06_Withdrawals!A199="","",Agent06_Withdrawals!B199)</f>
        <v/>
      </c>
      <c r="D1194" s="40" t="str">
        <f>IF(Agent06_Withdrawals!A199="","",Agent06_Withdrawals!C199)</f>
        <v/>
      </c>
      <c r="E1194" s="38" t="str">
        <f>IF(Agent06_Withdrawals!A199="","",Agent06_Withdrawals!D199)</f>
        <v/>
      </c>
      <c r="F1194" s="37" t="str">
        <f>IF(Agent06_Withdrawals!A199="","",Agent06_Withdrawals!F199)</f>
        <v/>
      </c>
      <c r="G1194" s="39" t="str">
        <f>IF(Agent06_Withdrawals!A199="","",Agent06_Withdrawals!E199)</f>
        <v/>
      </c>
      <c r="H1194" s="39" t="str">
        <f>IF(Agent06_Withdrawals!A199="","",Agent06_Withdrawals!G199)</f>
        <v/>
      </c>
      <c r="I1194" s="37" t="str">
        <f>IF(Agent06_Withdrawals!A199="","",Agent06_Withdrawals!H199)</f>
        <v/>
      </c>
      <c r="J1194" s="37" t="str">
        <f>IF(Agent06_Withdrawals!A199="","",Agent06_Withdrawals!J199)</f>
        <v/>
      </c>
      <c r="K1194" s="37" t="str">
        <f>IF(Agent06_Withdrawals!A199="","",Agent06_Withdrawals!K199)</f>
        <v/>
      </c>
      <c r="L1194" s="37" t="str">
        <f>IF(G1194="","",IF(D1194-G1194&gt;=System_Config!$B$9,"✅ OK","⚠️ BREACH"))</f>
        <v/>
      </c>
      <c r="M1194" s="37" t="str">
        <f>IFERROR(IF(Agent06_Withdrawals!A199="","",YEAR(Agent06_Withdrawals!D199)),"")</f>
        <v/>
      </c>
    </row>
    <row r="1195" spans="1:13" ht="18" customHeight="1" x14ac:dyDescent="0.25">
      <c r="A1195" s="37" t="str">
        <f>IF(Agent06_Withdrawals!A200="","",Agent06_Withdrawals!A200)</f>
        <v/>
      </c>
      <c r="B1195" s="37" t="str">
        <f ca="1">IF(Agent06_Withdrawals!A200="","","WD"&amp;TEXT(1195-3,"0000")&amp;"-"&amp;TEXT(TODAY(),"YYYYMMDD"))</f>
        <v/>
      </c>
      <c r="C1195" s="37" t="str">
        <f>IF(Agent06_Withdrawals!A200="","",Agent06_Withdrawals!B200)</f>
        <v/>
      </c>
      <c r="D1195" s="40" t="str">
        <f>IF(Agent06_Withdrawals!A200="","",Agent06_Withdrawals!C200)</f>
        <v/>
      </c>
      <c r="E1195" s="38" t="str">
        <f>IF(Agent06_Withdrawals!A200="","",Agent06_Withdrawals!D200)</f>
        <v/>
      </c>
      <c r="F1195" s="37" t="str">
        <f>IF(Agent06_Withdrawals!A200="","",Agent06_Withdrawals!F200)</f>
        <v/>
      </c>
      <c r="G1195" s="39" t="str">
        <f>IF(Agent06_Withdrawals!A200="","",Agent06_Withdrawals!E200)</f>
        <v/>
      </c>
      <c r="H1195" s="39" t="str">
        <f>IF(Agent06_Withdrawals!A200="","",Agent06_Withdrawals!G200)</f>
        <v/>
      </c>
      <c r="I1195" s="37" t="str">
        <f>IF(Agent06_Withdrawals!A200="","",Agent06_Withdrawals!H200)</f>
        <v/>
      </c>
      <c r="J1195" s="37" t="str">
        <f>IF(Agent06_Withdrawals!A200="","",Agent06_Withdrawals!J200)</f>
        <v/>
      </c>
      <c r="K1195" s="37" t="str">
        <f>IF(Agent06_Withdrawals!A200="","",Agent06_Withdrawals!K200)</f>
        <v/>
      </c>
      <c r="L1195" s="37" t="str">
        <f>IF(G1195="","",IF(D1195-G1195&gt;=System_Config!$B$9,"✅ OK","⚠️ BREACH"))</f>
        <v/>
      </c>
      <c r="M1195" s="37" t="str">
        <f>IFERROR(IF(Agent06_Withdrawals!A200="","",YEAR(Agent06_Withdrawals!D200)),"")</f>
        <v/>
      </c>
    </row>
    <row r="1196" spans="1:13" ht="18" customHeight="1" x14ac:dyDescent="0.25">
      <c r="A1196" s="37" t="str">
        <f>IF(Agent06_Withdrawals!A201="","",Agent06_Withdrawals!A201)</f>
        <v/>
      </c>
      <c r="B1196" s="37" t="str">
        <f ca="1">IF(Agent06_Withdrawals!A201="","","WD"&amp;TEXT(1196-3,"0000")&amp;"-"&amp;TEXT(TODAY(),"YYYYMMDD"))</f>
        <v/>
      </c>
      <c r="C1196" s="37" t="str">
        <f>IF(Agent06_Withdrawals!A201="","",Agent06_Withdrawals!B201)</f>
        <v/>
      </c>
      <c r="D1196" s="40" t="str">
        <f>IF(Agent06_Withdrawals!A201="","",Agent06_Withdrawals!C201)</f>
        <v/>
      </c>
      <c r="E1196" s="38" t="str">
        <f>IF(Agent06_Withdrawals!A201="","",Agent06_Withdrawals!D201)</f>
        <v/>
      </c>
      <c r="F1196" s="37" t="str">
        <f>IF(Agent06_Withdrawals!A201="","",Agent06_Withdrawals!F201)</f>
        <v/>
      </c>
      <c r="G1196" s="39" t="str">
        <f>IF(Agent06_Withdrawals!A201="","",Agent06_Withdrawals!E201)</f>
        <v/>
      </c>
      <c r="H1196" s="39" t="str">
        <f>IF(Agent06_Withdrawals!A201="","",Agent06_Withdrawals!G201)</f>
        <v/>
      </c>
      <c r="I1196" s="37" t="str">
        <f>IF(Agent06_Withdrawals!A201="","",Agent06_Withdrawals!H201)</f>
        <v/>
      </c>
      <c r="J1196" s="37" t="str">
        <f>IF(Agent06_Withdrawals!A201="","",Agent06_Withdrawals!J201)</f>
        <v/>
      </c>
      <c r="K1196" s="37" t="str">
        <f>IF(Agent06_Withdrawals!A201="","",Agent06_Withdrawals!K201)</f>
        <v/>
      </c>
      <c r="L1196" s="37" t="str">
        <f>IF(G1196="","",IF(D1196-G1196&gt;=System_Config!$B$9,"✅ OK","⚠️ BREACH"))</f>
        <v/>
      </c>
      <c r="M1196" s="37" t="str">
        <f>IFERROR(IF(Agent06_Withdrawals!A201="","",YEAR(Agent06_Withdrawals!D201)),"")</f>
        <v/>
      </c>
    </row>
    <row r="1197" spans="1:13" ht="18" customHeight="1" x14ac:dyDescent="0.25">
      <c r="A1197" s="37" t="str">
        <f>IF(Agent06_Withdrawals!A202="","",Agent06_Withdrawals!A202)</f>
        <v/>
      </c>
      <c r="B1197" s="37" t="str">
        <f ca="1">IF(Agent06_Withdrawals!A202="","","WD"&amp;TEXT(1197-3,"0000")&amp;"-"&amp;TEXT(TODAY(),"YYYYMMDD"))</f>
        <v/>
      </c>
      <c r="C1197" s="37" t="str">
        <f>IF(Agent06_Withdrawals!A202="","",Agent06_Withdrawals!B202)</f>
        <v/>
      </c>
      <c r="D1197" s="40" t="str">
        <f>IF(Agent06_Withdrawals!A202="","",Agent06_Withdrawals!C202)</f>
        <v/>
      </c>
      <c r="E1197" s="38" t="str">
        <f>IF(Agent06_Withdrawals!A202="","",Agent06_Withdrawals!D202)</f>
        <v/>
      </c>
      <c r="F1197" s="37" t="str">
        <f>IF(Agent06_Withdrawals!A202="","",Agent06_Withdrawals!F202)</f>
        <v/>
      </c>
      <c r="G1197" s="39" t="str">
        <f>IF(Agent06_Withdrawals!A202="","",Agent06_Withdrawals!E202)</f>
        <v/>
      </c>
      <c r="H1197" s="39" t="str">
        <f>IF(Agent06_Withdrawals!A202="","",Agent06_Withdrawals!G202)</f>
        <v/>
      </c>
      <c r="I1197" s="37" t="str">
        <f>IF(Agent06_Withdrawals!A202="","",Agent06_Withdrawals!H202)</f>
        <v/>
      </c>
      <c r="J1197" s="37" t="str">
        <f>IF(Agent06_Withdrawals!A202="","",Agent06_Withdrawals!J202)</f>
        <v/>
      </c>
      <c r="K1197" s="37" t="str">
        <f>IF(Agent06_Withdrawals!A202="","",Agent06_Withdrawals!K202)</f>
        <v/>
      </c>
      <c r="L1197" s="37" t="str">
        <f>IF(G1197="","",IF(D1197-G1197&gt;=System_Config!$B$9,"✅ OK","⚠️ BREACH"))</f>
        <v/>
      </c>
      <c r="M1197" s="37" t="str">
        <f>IFERROR(IF(Agent06_Withdrawals!A202="","",YEAR(Agent06_Withdrawals!D202)),"")</f>
        <v/>
      </c>
    </row>
    <row r="1198" spans="1:13" ht="18" customHeight="1" x14ac:dyDescent="0.25">
      <c r="A1198" s="37" t="str">
        <f>IF(Agent06_Withdrawals!A203="","",Agent06_Withdrawals!A203)</f>
        <v/>
      </c>
      <c r="B1198" s="37" t="str">
        <f ca="1">IF(Agent06_Withdrawals!A203="","","WD"&amp;TEXT(1198-3,"0000")&amp;"-"&amp;TEXT(TODAY(),"YYYYMMDD"))</f>
        <v/>
      </c>
      <c r="C1198" s="37" t="str">
        <f>IF(Agent06_Withdrawals!A203="","",Agent06_Withdrawals!B203)</f>
        <v/>
      </c>
      <c r="D1198" s="40" t="str">
        <f>IF(Agent06_Withdrawals!A203="","",Agent06_Withdrawals!C203)</f>
        <v/>
      </c>
      <c r="E1198" s="38" t="str">
        <f>IF(Agent06_Withdrawals!A203="","",Agent06_Withdrawals!D203)</f>
        <v/>
      </c>
      <c r="F1198" s="37" t="str">
        <f>IF(Agent06_Withdrawals!A203="","",Agent06_Withdrawals!F203)</f>
        <v/>
      </c>
      <c r="G1198" s="39" t="str">
        <f>IF(Agent06_Withdrawals!A203="","",Agent06_Withdrawals!E203)</f>
        <v/>
      </c>
      <c r="H1198" s="39" t="str">
        <f>IF(Agent06_Withdrawals!A203="","",Agent06_Withdrawals!G203)</f>
        <v/>
      </c>
      <c r="I1198" s="37" t="str">
        <f>IF(Agent06_Withdrawals!A203="","",Agent06_Withdrawals!H203)</f>
        <v/>
      </c>
      <c r="J1198" s="37" t="str">
        <f>IF(Agent06_Withdrawals!A203="","",Agent06_Withdrawals!J203)</f>
        <v/>
      </c>
      <c r="K1198" s="37" t="str">
        <f>IF(Agent06_Withdrawals!A203="","",Agent06_Withdrawals!K203)</f>
        <v/>
      </c>
      <c r="L1198" s="37" t="str">
        <f>IF(G1198="","",IF(D1198-G1198&gt;=System_Config!$B$9,"✅ OK","⚠️ BREACH"))</f>
        <v/>
      </c>
      <c r="M1198" s="37" t="str">
        <f>IFERROR(IF(Agent06_Withdrawals!A203="","",YEAR(Agent06_Withdrawals!D203)),"")</f>
        <v/>
      </c>
    </row>
    <row r="1199" spans="1:13" ht="18" customHeight="1" x14ac:dyDescent="0.25">
      <c r="A1199" s="37" t="str">
        <f>IF(Agent06_Withdrawals!A204="","",Agent06_Withdrawals!A204)</f>
        <v/>
      </c>
      <c r="B1199" s="37" t="str">
        <f ca="1">IF(Agent06_Withdrawals!A204="","","WD"&amp;TEXT(1199-3,"0000")&amp;"-"&amp;TEXT(TODAY(),"YYYYMMDD"))</f>
        <v/>
      </c>
      <c r="C1199" s="37" t="str">
        <f>IF(Agent06_Withdrawals!A204="","",Agent06_Withdrawals!B204)</f>
        <v/>
      </c>
      <c r="D1199" s="40" t="str">
        <f>IF(Agent06_Withdrawals!A204="","",Agent06_Withdrawals!C204)</f>
        <v/>
      </c>
      <c r="E1199" s="38" t="str">
        <f>IF(Agent06_Withdrawals!A204="","",Agent06_Withdrawals!D204)</f>
        <v/>
      </c>
      <c r="F1199" s="37" t="str">
        <f>IF(Agent06_Withdrawals!A204="","",Agent06_Withdrawals!F204)</f>
        <v/>
      </c>
      <c r="G1199" s="39" t="str">
        <f>IF(Agent06_Withdrawals!A204="","",Agent06_Withdrawals!E204)</f>
        <v/>
      </c>
      <c r="H1199" s="39" t="str">
        <f>IF(Agent06_Withdrawals!A204="","",Agent06_Withdrawals!G204)</f>
        <v/>
      </c>
      <c r="I1199" s="37" t="str">
        <f>IF(Agent06_Withdrawals!A204="","",Agent06_Withdrawals!H204)</f>
        <v/>
      </c>
      <c r="J1199" s="37" t="str">
        <f>IF(Agent06_Withdrawals!A204="","",Agent06_Withdrawals!J204)</f>
        <v/>
      </c>
      <c r="K1199" s="37" t="str">
        <f>IF(Agent06_Withdrawals!A204="","",Agent06_Withdrawals!K204)</f>
        <v/>
      </c>
      <c r="L1199" s="37" t="str">
        <f>IF(G1199="","",IF(D1199-G1199&gt;=System_Config!$B$9,"✅ OK","⚠️ BREACH"))</f>
        <v/>
      </c>
      <c r="M1199" s="37" t="str">
        <f>IFERROR(IF(Agent06_Withdrawals!A204="","",YEAR(Agent06_Withdrawals!D204)),"")</f>
        <v/>
      </c>
    </row>
    <row r="1200" spans="1:13" ht="18" customHeight="1" x14ac:dyDescent="0.25">
      <c r="A1200" s="37" t="str">
        <f>IF(Agent06_Withdrawals!A205="","",Agent06_Withdrawals!A205)</f>
        <v/>
      </c>
      <c r="B1200" s="37" t="str">
        <f ca="1">IF(Agent06_Withdrawals!A205="","","WD"&amp;TEXT(1200-3,"0000")&amp;"-"&amp;TEXT(TODAY(),"YYYYMMDD"))</f>
        <v/>
      </c>
      <c r="C1200" s="37" t="str">
        <f>IF(Agent06_Withdrawals!A205="","",Agent06_Withdrawals!B205)</f>
        <v/>
      </c>
      <c r="D1200" s="40" t="str">
        <f>IF(Agent06_Withdrawals!A205="","",Agent06_Withdrawals!C205)</f>
        <v/>
      </c>
      <c r="E1200" s="38" t="str">
        <f>IF(Agent06_Withdrawals!A205="","",Agent06_Withdrawals!D205)</f>
        <v/>
      </c>
      <c r="F1200" s="37" t="str">
        <f>IF(Agent06_Withdrawals!A205="","",Agent06_Withdrawals!F205)</f>
        <v/>
      </c>
      <c r="G1200" s="39" t="str">
        <f>IF(Agent06_Withdrawals!A205="","",Agent06_Withdrawals!E205)</f>
        <v/>
      </c>
      <c r="H1200" s="39" t="str">
        <f>IF(Agent06_Withdrawals!A205="","",Agent06_Withdrawals!G205)</f>
        <v/>
      </c>
      <c r="I1200" s="37" t="str">
        <f>IF(Agent06_Withdrawals!A205="","",Agent06_Withdrawals!H205)</f>
        <v/>
      </c>
      <c r="J1200" s="37" t="str">
        <f>IF(Agent06_Withdrawals!A205="","",Agent06_Withdrawals!J205)</f>
        <v/>
      </c>
      <c r="K1200" s="37" t="str">
        <f>IF(Agent06_Withdrawals!A205="","",Agent06_Withdrawals!K205)</f>
        <v/>
      </c>
      <c r="L1200" s="37" t="str">
        <f>IF(G1200="","",IF(D1200-G1200&gt;=System_Config!$B$9,"✅ OK","⚠️ BREACH"))</f>
        <v/>
      </c>
      <c r="M1200" s="37" t="str">
        <f>IFERROR(IF(Agent06_Withdrawals!A205="","",YEAR(Agent06_Withdrawals!D205)),"")</f>
        <v/>
      </c>
    </row>
    <row r="1201" spans="1:13" ht="18" customHeight="1" x14ac:dyDescent="0.25">
      <c r="A1201" s="37" t="str">
        <f>IF(Agent06_Withdrawals!A206="","",Agent06_Withdrawals!A206)</f>
        <v/>
      </c>
      <c r="B1201" s="37" t="str">
        <f ca="1">IF(Agent06_Withdrawals!A206="","","WD"&amp;TEXT(1201-3,"0000")&amp;"-"&amp;TEXT(TODAY(),"YYYYMMDD"))</f>
        <v/>
      </c>
      <c r="C1201" s="37" t="str">
        <f>IF(Agent06_Withdrawals!A206="","",Agent06_Withdrawals!B206)</f>
        <v/>
      </c>
      <c r="D1201" s="40" t="str">
        <f>IF(Agent06_Withdrawals!A206="","",Agent06_Withdrawals!C206)</f>
        <v/>
      </c>
      <c r="E1201" s="38" t="str">
        <f>IF(Agent06_Withdrawals!A206="","",Agent06_Withdrawals!D206)</f>
        <v/>
      </c>
      <c r="F1201" s="37" t="str">
        <f>IF(Agent06_Withdrawals!A206="","",Agent06_Withdrawals!F206)</f>
        <v/>
      </c>
      <c r="G1201" s="39" t="str">
        <f>IF(Agent06_Withdrawals!A206="","",Agent06_Withdrawals!E206)</f>
        <v/>
      </c>
      <c r="H1201" s="39" t="str">
        <f>IF(Agent06_Withdrawals!A206="","",Agent06_Withdrawals!G206)</f>
        <v/>
      </c>
      <c r="I1201" s="37" t="str">
        <f>IF(Agent06_Withdrawals!A206="","",Agent06_Withdrawals!H206)</f>
        <v/>
      </c>
      <c r="J1201" s="37" t="str">
        <f>IF(Agent06_Withdrawals!A206="","",Agent06_Withdrawals!J206)</f>
        <v/>
      </c>
      <c r="K1201" s="37" t="str">
        <f>IF(Agent06_Withdrawals!A206="","",Agent06_Withdrawals!K206)</f>
        <v/>
      </c>
      <c r="L1201" s="37" t="str">
        <f>IF(G1201="","",IF(D1201-G1201&gt;=System_Config!$B$9,"✅ OK","⚠️ BREACH"))</f>
        <v/>
      </c>
      <c r="M1201" s="37" t="str">
        <f>IFERROR(IF(Agent06_Withdrawals!A206="","",YEAR(Agent06_Withdrawals!D206)),"")</f>
        <v/>
      </c>
    </row>
    <row r="1202" spans="1:13" ht="18" customHeight="1" x14ac:dyDescent="0.25">
      <c r="A1202" s="37" t="str">
        <f>IF(Agent06_Withdrawals!A207="","",Agent06_Withdrawals!A207)</f>
        <v/>
      </c>
      <c r="B1202" s="37" t="str">
        <f ca="1">IF(Agent06_Withdrawals!A207="","","WD"&amp;TEXT(1202-3,"0000")&amp;"-"&amp;TEXT(TODAY(),"YYYYMMDD"))</f>
        <v/>
      </c>
      <c r="C1202" s="37" t="str">
        <f>IF(Agent06_Withdrawals!A207="","",Agent06_Withdrawals!B207)</f>
        <v/>
      </c>
      <c r="D1202" s="40" t="str">
        <f>IF(Agent06_Withdrawals!A207="","",Agent06_Withdrawals!C207)</f>
        <v/>
      </c>
      <c r="E1202" s="38" t="str">
        <f>IF(Agent06_Withdrawals!A207="","",Agent06_Withdrawals!D207)</f>
        <v/>
      </c>
      <c r="F1202" s="37" t="str">
        <f>IF(Agent06_Withdrawals!A207="","",Agent06_Withdrawals!F207)</f>
        <v/>
      </c>
      <c r="G1202" s="39" t="str">
        <f>IF(Agent06_Withdrawals!A207="","",Agent06_Withdrawals!E207)</f>
        <v/>
      </c>
      <c r="H1202" s="39" t="str">
        <f>IF(Agent06_Withdrawals!A207="","",Agent06_Withdrawals!G207)</f>
        <v/>
      </c>
      <c r="I1202" s="37" t="str">
        <f>IF(Agent06_Withdrawals!A207="","",Agent06_Withdrawals!H207)</f>
        <v/>
      </c>
      <c r="J1202" s="37" t="str">
        <f>IF(Agent06_Withdrawals!A207="","",Agent06_Withdrawals!J207)</f>
        <v/>
      </c>
      <c r="K1202" s="37" t="str">
        <f>IF(Agent06_Withdrawals!A207="","",Agent06_Withdrawals!K207)</f>
        <v/>
      </c>
      <c r="L1202" s="37" t="str">
        <f>IF(G1202="","",IF(D1202-G1202&gt;=System_Config!$B$9,"✅ OK","⚠️ BREACH"))</f>
        <v/>
      </c>
      <c r="M1202" s="37" t="str">
        <f>IFERROR(IF(Agent06_Withdrawals!A207="","",YEAR(Agent06_Withdrawals!D207)),"")</f>
        <v/>
      </c>
    </row>
    <row r="1203" spans="1:13" ht="18" customHeight="1" x14ac:dyDescent="0.25">
      <c r="A1203" s="37" t="str">
        <f>IF(Agent06_Withdrawals!A208="","",Agent06_Withdrawals!A208)</f>
        <v/>
      </c>
      <c r="B1203" s="37" t="str">
        <f ca="1">IF(Agent06_Withdrawals!A208="","","WD"&amp;TEXT(1203-3,"0000")&amp;"-"&amp;TEXT(TODAY(),"YYYYMMDD"))</f>
        <v/>
      </c>
      <c r="C1203" s="37" t="str">
        <f>IF(Agent06_Withdrawals!A208="","",Agent06_Withdrawals!B208)</f>
        <v/>
      </c>
      <c r="D1203" s="40" t="str">
        <f>IF(Agent06_Withdrawals!A208="","",Agent06_Withdrawals!C208)</f>
        <v/>
      </c>
      <c r="E1203" s="38" t="str">
        <f>IF(Agent06_Withdrawals!A208="","",Agent06_Withdrawals!D208)</f>
        <v/>
      </c>
      <c r="F1203" s="37" t="str">
        <f>IF(Agent06_Withdrawals!A208="","",Agent06_Withdrawals!F208)</f>
        <v/>
      </c>
      <c r="G1203" s="39" t="str">
        <f>IF(Agent06_Withdrawals!A208="","",Agent06_Withdrawals!E208)</f>
        <v/>
      </c>
      <c r="H1203" s="39" t="str">
        <f>IF(Agent06_Withdrawals!A208="","",Agent06_Withdrawals!G208)</f>
        <v/>
      </c>
      <c r="I1203" s="37" t="str">
        <f>IF(Agent06_Withdrawals!A208="","",Agent06_Withdrawals!H208)</f>
        <v/>
      </c>
      <c r="J1203" s="37" t="str">
        <f>IF(Agent06_Withdrawals!A208="","",Agent06_Withdrawals!J208)</f>
        <v/>
      </c>
      <c r="K1203" s="37" t="str">
        <f>IF(Agent06_Withdrawals!A208="","",Agent06_Withdrawals!K208)</f>
        <v/>
      </c>
      <c r="L1203" s="37" t="str">
        <f>IF(G1203="","",IF(D1203-G1203&gt;=System_Config!$B$9,"✅ OK","⚠️ BREACH"))</f>
        <v/>
      </c>
      <c r="M1203" s="37" t="str">
        <f>IFERROR(IF(Agent06_Withdrawals!A208="","",YEAR(Agent06_Withdrawals!D208)),"")</f>
        <v/>
      </c>
    </row>
    <row r="1204" spans="1:13" ht="18" customHeight="1" x14ac:dyDescent="0.25">
      <c r="A1204" s="37" t="str">
        <f>IF(Agent07_Withdrawals!A9="","",Agent07_Withdrawals!A9)</f>
        <v/>
      </c>
      <c r="B1204" s="37" t="str">
        <f ca="1">IF(Agent07_Withdrawals!A9="","","WD"&amp;TEXT(1204-3,"0000")&amp;"-"&amp;TEXT(TODAY(),"YYYYMMDD"))</f>
        <v/>
      </c>
      <c r="C1204" s="37" t="str">
        <f>IF(Agent07_Withdrawals!A9="","",Agent07_Withdrawals!B9)</f>
        <v/>
      </c>
      <c r="D1204" s="40" t="str">
        <f>IF(Agent07_Withdrawals!A9="","",Agent07_Withdrawals!C9)</f>
        <v/>
      </c>
      <c r="E1204" s="38" t="str">
        <f>IF(Agent07_Withdrawals!A9="","",Agent07_Withdrawals!D9)</f>
        <v/>
      </c>
      <c r="F1204" s="37" t="str">
        <f>IF(Agent07_Withdrawals!A9="","",Agent07_Withdrawals!F9)</f>
        <v/>
      </c>
      <c r="G1204" s="39" t="str">
        <f>IF(Agent07_Withdrawals!A9="","",Agent07_Withdrawals!E9)</f>
        <v/>
      </c>
      <c r="H1204" s="39" t="str">
        <f>IF(Agent07_Withdrawals!A9="","",Agent07_Withdrawals!G9)</f>
        <v/>
      </c>
      <c r="I1204" s="37" t="str">
        <f>IF(Agent07_Withdrawals!A9="","",Agent07_Withdrawals!H9)</f>
        <v/>
      </c>
      <c r="J1204" s="37" t="str">
        <f>IF(Agent07_Withdrawals!A9="","",Agent07_Withdrawals!J9)</f>
        <v/>
      </c>
      <c r="K1204" s="37" t="str">
        <f>IF(Agent07_Withdrawals!A9="","",Agent07_Withdrawals!K9)</f>
        <v/>
      </c>
      <c r="L1204" s="37" t="str">
        <f>IF(G1204="","",IF(D1204-G1204&gt;=System_Config!$B$9,"✅ OK","⚠️ BREACH"))</f>
        <v/>
      </c>
      <c r="M1204" s="37" t="str">
        <f>IFERROR(IF(Agent07_Withdrawals!A9="","",YEAR(Agent07_Withdrawals!D9)),"")</f>
        <v/>
      </c>
    </row>
    <row r="1205" spans="1:13" ht="18" customHeight="1" x14ac:dyDescent="0.25">
      <c r="A1205" s="37" t="str">
        <f>IF(Agent07_Withdrawals!A10="","",Agent07_Withdrawals!A10)</f>
        <v/>
      </c>
      <c r="B1205" s="37" t="str">
        <f ca="1">IF(Agent07_Withdrawals!A10="","","WD"&amp;TEXT(1205-3,"0000")&amp;"-"&amp;TEXT(TODAY(),"YYYYMMDD"))</f>
        <v/>
      </c>
      <c r="C1205" s="37" t="str">
        <f>IF(Agent07_Withdrawals!A10="","",Agent07_Withdrawals!B10)</f>
        <v/>
      </c>
      <c r="D1205" s="40" t="str">
        <f>IF(Agent07_Withdrawals!A10="","",Agent07_Withdrawals!C10)</f>
        <v/>
      </c>
      <c r="E1205" s="38" t="str">
        <f>IF(Agent07_Withdrawals!A10="","",Agent07_Withdrawals!D10)</f>
        <v/>
      </c>
      <c r="F1205" s="37" t="str">
        <f>IF(Agent07_Withdrawals!A10="","",Agent07_Withdrawals!F10)</f>
        <v/>
      </c>
      <c r="G1205" s="39" t="str">
        <f>IF(Agent07_Withdrawals!A10="","",Agent07_Withdrawals!E10)</f>
        <v/>
      </c>
      <c r="H1205" s="39" t="str">
        <f>IF(Agent07_Withdrawals!A10="","",Agent07_Withdrawals!G10)</f>
        <v/>
      </c>
      <c r="I1205" s="37" t="str">
        <f>IF(Agent07_Withdrawals!A10="","",Agent07_Withdrawals!H10)</f>
        <v/>
      </c>
      <c r="J1205" s="37" t="str">
        <f>IF(Agent07_Withdrawals!A10="","",Agent07_Withdrawals!J10)</f>
        <v/>
      </c>
      <c r="K1205" s="37" t="str">
        <f>IF(Agent07_Withdrawals!A10="","",Agent07_Withdrawals!K10)</f>
        <v/>
      </c>
      <c r="L1205" s="37" t="str">
        <f>IF(G1205="","",IF(D1205-G1205&gt;=System_Config!$B$9,"✅ OK","⚠️ BREACH"))</f>
        <v/>
      </c>
      <c r="M1205" s="37" t="str">
        <f>IFERROR(IF(Agent07_Withdrawals!A10="","",YEAR(Agent07_Withdrawals!D10)),"")</f>
        <v/>
      </c>
    </row>
    <row r="1206" spans="1:13" ht="18" customHeight="1" x14ac:dyDescent="0.25">
      <c r="A1206" s="37" t="str">
        <f>IF(Agent07_Withdrawals!A11="","",Agent07_Withdrawals!A11)</f>
        <v/>
      </c>
      <c r="B1206" s="37" t="str">
        <f ca="1">IF(Agent07_Withdrawals!A11="","","WD"&amp;TEXT(1206-3,"0000")&amp;"-"&amp;TEXT(TODAY(),"YYYYMMDD"))</f>
        <v/>
      </c>
      <c r="C1206" s="37" t="str">
        <f>IF(Agent07_Withdrawals!A11="","",Agent07_Withdrawals!B11)</f>
        <v/>
      </c>
      <c r="D1206" s="40" t="str">
        <f>IF(Agent07_Withdrawals!A11="","",Agent07_Withdrawals!C11)</f>
        <v/>
      </c>
      <c r="E1206" s="38" t="str">
        <f>IF(Agent07_Withdrawals!A11="","",Agent07_Withdrawals!D11)</f>
        <v/>
      </c>
      <c r="F1206" s="37" t="str">
        <f>IF(Agent07_Withdrawals!A11="","",Agent07_Withdrawals!F11)</f>
        <v/>
      </c>
      <c r="G1206" s="39" t="str">
        <f>IF(Agent07_Withdrawals!A11="","",Agent07_Withdrawals!E11)</f>
        <v/>
      </c>
      <c r="H1206" s="39" t="str">
        <f>IF(Agent07_Withdrawals!A11="","",Agent07_Withdrawals!G11)</f>
        <v/>
      </c>
      <c r="I1206" s="37" t="str">
        <f>IF(Agent07_Withdrawals!A11="","",Agent07_Withdrawals!H11)</f>
        <v/>
      </c>
      <c r="J1206" s="37" t="str">
        <f>IF(Agent07_Withdrawals!A11="","",Agent07_Withdrawals!J11)</f>
        <v/>
      </c>
      <c r="K1206" s="37" t="str">
        <f>IF(Agent07_Withdrawals!A11="","",Agent07_Withdrawals!K11)</f>
        <v/>
      </c>
      <c r="L1206" s="37" t="str">
        <f>IF(G1206="","",IF(D1206-G1206&gt;=System_Config!$B$9,"✅ OK","⚠️ BREACH"))</f>
        <v/>
      </c>
      <c r="M1206" s="37" t="str">
        <f>IFERROR(IF(Agent07_Withdrawals!A11="","",YEAR(Agent07_Withdrawals!D11)),"")</f>
        <v/>
      </c>
    </row>
    <row r="1207" spans="1:13" ht="18" customHeight="1" x14ac:dyDescent="0.25">
      <c r="A1207" s="37" t="str">
        <f>IF(Agent07_Withdrawals!A12="","",Agent07_Withdrawals!A12)</f>
        <v/>
      </c>
      <c r="B1207" s="37" t="str">
        <f ca="1">IF(Agent07_Withdrawals!A12="","","WD"&amp;TEXT(1207-3,"0000")&amp;"-"&amp;TEXT(TODAY(),"YYYYMMDD"))</f>
        <v/>
      </c>
      <c r="C1207" s="37" t="str">
        <f>IF(Agent07_Withdrawals!A12="","",Agent07_Withdrawals!B12)</f>
        <v/>
      </c>
      <c r="D1207" s="40" t="str">
        <f>IF(Agent07_Withdrawals!A12="","",Agent07_Withdrawals!C12)</f>
        <v/>
      </c>
      <c r="E1207" s="38" t="str">
        <f>IF(Agent07_Withdrawals!A12="","",Agent07_Withdrawals!D12)</f>
        <v/>
      </c>
      <c r="F1207" s="37" t="str">
        <f>IF(Agent07_Withdrawals!A12="","",Agent07_Withdrawals!F12)</f>
        <v/>
      </c>
      <c r="G1207" s="39" t="str">
        <f>IF(Agent07_Withdrawals!A12="","",Agent07_Withdrawals!E12)</f>
        <v/>
      </c>
      <c r="H1207" s="39" t="str">
        <f>IF(Agent07_Withdrawals!A12="","",Agent07_Withdrawals!G12)</f>
        <v/>
      </c>
      <c r="I1207" s="37" t="str">
        <f>IF(Agent07_Withdrawals!A12="","",Agent07_Withdrawals!H12)</f>
        <v/>
      </c>
      <c r="J1207" s="37" t="str">
        <f>IF(Agent07_Withdrawals!A12="","",Agent07_Withdrawals!J12)</f>
        <v/>
      </c>
      <c r="K1207" s="37" t="str">
        <f>IF(Agent07_Withdrawals!A12="","",Agent07_Withdrawals!K12)</f>
        <v/>
      </c>
      <c r="L1207" s="37" t="str">
        <f>IF(G1207="","",IF(D1207-G1207&gt;=System_Config!$B$9,"✅ OK","⚠️ BREACH"))</f>
        <v/>
      </c>
      <c r="M1207" s="37" t="str">
        <f>IFERROR(IF(Agent07_Withdrawals!A12="","",YEAR(Agent07_Withdrawals!D12)),"")</f>
        <v/>
      </c>
    </row>
    <row r="1208" spans="1:13" ht="18" customHeight="1" x14ac:dyDescent="0.25">
      <c r="A1208" s="37" t="str">
        <f>IF(Agent07_Withdrawals!A13="","",Agent07_Withdrawals!A13)</f>
        <v/>
      </c>
      <c r="B1208" s="37" t="str">
        <f ca="1">IF(Agent07_Withdrawals!A13="","","WD"&amp;TEXT(1208-3,"0000")&amp;"-"&amp;TEXT(TODAY(),"YYYYMMDD"))</f>
        <v/>
      </c>
      <c r="C1208" s="37" t="str">
        <f>IF(Agent07_Withdrawals!A13="","",Agent07_Withdrawals!B13)</f>
        <v/>
      </c>
      <c r="D1208" s="40" t="str">
        <f>IF(Agent07_Withdrawals!A13="","",Agent07_Withdrawals!C13)</f>
        <v/>
      </c>
      <c r="E1208" s="38" t="str">
        <f>IF(Agent07_Withdrawals!A13="","",Agent07_Withdrawals!D13)</f>
        <v/>
      </c>
      <c r="F1208" s="37" t="str">
        <f>IF(Agent07_Withdrawals!A13="","",Agent07_Withdrawals!F13)</f>
        <v/>
      </c>
      <c r="G1208" s="39" t="str">
        <f>IF(Agent07_Withdrawals!A13="","",Agent07_Withdrawals!E13)</f>
        <v/>
      </c>
      <c r="H1208" s="39" t="str">
        <f>IF(Agent07_Withdrawals!A13="","",Agent07_Withdrawals!G13)</f>
        <v/>
      </c>
      <c r="I1208" s="37" t="str">
        <f>IF(Agent07_Withdrawals!A13="","",Agent07_Withdrawals!H13)</f>
        <v/>
      </c>
      <c r="J1208" s="37" t="str">
        <f>IF(Agent07_Withdrawals!A13="","",Agent07_Withdrawals!J13)</f>
        <v/>
      </c>
      <c r="K1208" s="37" t="str">
        <f>IF(Agent07_Withdrawals!A13="","",Agent07_Withdrawals!K13)</f>
        <v/>
      </c>
      <c r="L1208" s="37" t="str">
        <f>IF(G1208="","",IF(D1208-G1208&gt;=System_Config!$B$9,"✅ OK","⚠️ BREACH"))</f>
        <v/>
      </c>
      <c r="M1208" s="37" t="str">
        <f>IFERROR(IF(Agent07_Withdrawals!A13="","",YEAR(Agent07_Withdrawals!D13)),"")</f>
        <v/>
      </c>
    </row>
    <row r="1209" spans="1:13" ht="18" customHeight="1" x14ac:dyDescent="0.25">
      <c r="A1209" s="37" t="str">
        <f>IF(Agent07_Withdrawals!A14="","",Agent07_Withdrawals!A14)</f>
        <v/>
      </c>
      <c r="B1209" s="37" t="str">
        <f ca="1">IF(Agent07_Withdrawals!A14="","","WD"&amp;TEXT(1209-3,"0000")&amp;"-"&amp;TEXT(TODAY(),"YYYYMMDD"))</f>
        <v/>
      </c>
      <c r="C1209" s="37" t="str">
        <f>IF(Agent07_Withdrawals!A14="","",Agent07_Withdrawals!B14)</f>
        <v/>
      </c>
      <c r="D1209" s="40" t="str">
        <f>IF(Agent07_Withdrawals!A14="","",Agent07_Withdrawals!C14)</f>
        <v/>
      </c>
      <c r="E1209" s="38" t="str">
        <f>IF(Agent07_Withdrawals!A14="","",Agent07_Withdrawals!D14)</f>
        <v/>
      </c>
      <c r="F1209" s="37" t="str">
        <f>IF(Agent07_Withdrawals!A14="","",Agent07_Withdrawals!F14)</f>
        <v/>
      </c>
      <c r="G1209" s="39" t="str">
        <f>IF(Agent07_Withdrawals!A14="","",Agent07_Withdrawals!E14)</f>
        <v/>
      </c>
      <c r="H1209" s="39" t="str">
        <f>IF(Agent07_Withdrawals!A14="","",Agent07_Withdrawals!G14)</f>
        <v/>
      </c>
      <c r="I1209" s="37" t="str">
        <f>IF(Agent07_Withdrawals!A14="","",Agent07_Withdrawals!H14)</f>
        <v/>
      </c>
      <c r="J1209" s="37" t="str">
        <f>IF(Agent07_Withdrawals!A14="","",Agent07_Withdrawals!J14)</f>
        <v/>
      </c>
      <c r="K1209" s="37" t="str">
        <f>IF(Agent07_Withdrawals!A14="","",Agent07_Withdrawals!K14)</f>
        <v/>
      </c>
      <c r="L1209" s="37" t="str">
        <f>IF(G1209="","",IF(D1209-G1209&gt;=System_Config!$B$9,"✅ OK","⚠️ BREACH"))</f>
        <v/>
      </c>
      <c r="M1209" s="37" t="str">
        <f>IFERROR(IF(Agent07_Withdrawals!A14="","",YEAR(Agent07_Withdrawals!D14)),"")</f>
        <v/>
      </c>
    </row>
    <row r="1210" spans="1:13" ht="18" customHeight="1" x14ac:dyDescent="0.25">
      <c r="A1210" s="37" t="str">
        <f>IF(Agent07_Withdrawals!A15="","",Agent07_Withdrawals!A15)</f>
        <v/>
      </c>
      <c r="B1210" s="37" t="str">
        <f ca="1">IF(Agent07_Withdrawals!A15="","","WD"&amp;TEXT(1210-3,"0000")&amp;"-"&amp;TEXT(TODAY(),"YYYYMMDD"))</f>
        <v/>
      </c>
      <c r="C1210" s="37" t="str">
        <f>IF(Agent07_Withdrawals!A15="","",Agent07_Withdrawals!B15)</f>
        <v/>
      </c>
      <c r="D1210" s="40" t="str">
        <f>IF(Agent07_Withdrawals!A15="","",Agent07_Withdrawals!C15)</f>
        <v/>
      </c>
      <c r="E1210" s="38" t="str">
        <f>IF(Agent07_Withdrawals!A15="","",Agent07_Withdrawals!D15)</f>
        <v/>
      </c>
      <c r="F1210" s="37" t="str">
        <f>IF(Agent07_Withdrawals!A15="","",Agent07_Withdrawals!F15)</f>
        <v/>
      </c>
      <c r="G1210" s="39" t="str">
        <f>IF(Agent07_Withdrawals!A15="","",Agent07_Withdrawals!E15)</f>
        <v/>
      </c>
      <c r="H1210" s="39" t="str">
        <f>IF(Agent07_Withdrawals!A15="","",Agent07_Withdrawals!G15)</f>
        <v/>
      </c>
      <c r="I1210" s="37" t="str">
        <f>IF(Agent07_Withdrawals!A15="","",Agent07_Withdrawals!H15)</f>
        <v/>
      </c>
      <c r="J1210" s="37" t="str">
        <f>IF(Agent07_Withdrawals!A15="","",Agent07_Withdrawals!J15)</f>
        <v/>
      </c>
      <c r="K1210" s="37" t="str">
        <f>IF(Agent07_Withdrawals!A15="","",Agent07_Withdrawals!K15)</f>
        <v/>
      </c>
      <c r="L1210" s="37" t="str">
        <f>IF(G1210="","",IF(D1210-G1210&gt;=System_Config!$B$9,"✅ OK","⚠️ BREACH"))</f>
        <v/>
      </c>
      <c r="M1210" s="37" t="str">
        <f>IFERROR(IF(Agent07_Withdrawals!A15="","",YEAR(Agent07_Withdrawals!D15)),"")</f>
        <v/>
      </c>
    </row>
    <row r="1211" spans="1:13" ht="18" customHeight="1" x14ac:dyDescent="0.25">
      <c r="A1211" s="37" t="str">
        <f>IF(Agent07_Withdrawals!A16="","",Agent07_Withdrawals!A16)</f>
        <v/>
      </c>
      <c r="B1211" s="37" t="str">
        <f ca="1">IF(Agent07_Withdrawals!A16="","","WD"&amp;TEXT(1211-3,"0000")&amp;"-"&amp;TEXT(TODAY(),"YYYYMMDD"))</f>
        <v/>
      </c>
      <c r="C1211" s="37" t="str">
        <f>IF(Agent07_Withdrawals!A16="","",Agent07_Withdrawals!B16)</f>
        <v/>
      </c>
      <c r="D1211" s="40" t="str">
        <f>IF(Agent07_Withdrawals!A16="","",Agent07_Withdrawals!C16)</f>
        <v/>
      </c>
      <c r="E1211" s="38" t="str">
        <f>IF(Agent07_Withdrawals!A16="","",Agent07_Withdrawals!D16)</f>
        <v/>
      </c>
      <c r="F1211" s="37" t="str">
        <f>IF(Agent07_Withdrawals!A16="","",Agent07_Withdrawals!F16)</f>
        <v/>
      </c>
      <c r="G1211" s="39" t="str">
        <f>IF(Agent07_Withdrawals!A16="","",Agent07_Withdrawals!E16)</f>
        <v/>
      </c>
      <c r="H1211" s="39" t="str">
        <f>IF(Agent07_Withdrawals!A16="","",Agent07_Withdrawals!G16)</f>
        <v/>
      </c>
      <c r="I1211" s="37" t="str">
        <f>IF(Agent07_Withdrawals!A16="","",Agent07_Withdrawals!H16)</f>
        <v/>
      </c>
      <c r="J1211" s="37" t="str">
        <f>IF(Agent07_Withdrawals!A16="","",Agent07_Withdrawals!J16)</f>
        <v/>
      </c>
      <c r="K1211" s="37" t="str">
        <f>IF(Agent07_Withdrawals!A16="","",Agent07_Withdrawals!K16)</f>
        <v/>
      </c>
      <c r="L1211" s="37" t="str">
        <f>IF(G1211="","",IF(D1211-G1211&gt;=System_Config!$B$9,"✅ OK","⚠️ BREACH"))</f>
        <v/>
      </c>
      <c r="M1211" s="37" t="str">
        <f>IFERROR(IF(Agent07_Withdrawals!A16="","",YEAR(Agent07_Withdrawals!D16)),"")</f>
        <v/>
      </c>
    </row>
    <row r="1212" spans="1:13" ht="18" customHeight="1" x14ac:dyDescent="0.25">
      <c r="A1212" s="37" t="str">
        <f>IF(Agent07_Withdrawals!A17="","",Agent07_Withdrawals!A17)</f>
        <v/>
      </c>
      <c r="B1212" s="37" t="str">
        <f ca="1">IF(Agent07_Withdrawals!A17="","","WD"&amp;TEXT(1212-3,"0000")&amp;"-"&amp;TEXT(TODAY(),"YYYYMMDD"))</f>
        <v/>
      </c>
      <c r="C1212" s="37" t="str">
        <f>IF(Agent07_Withdrawals!A17="","",Agent07_Withdrawals!B17)</f>
        <v/>
      </c>
      <c r="D1212" s="40" t="str">
        <f>IF(Agent07_Withdrawals!A17="","",Agent07_Withdrawals!C17)</f>
        <v/>
      </c>
      <c r="E1212" s="38" t="str">
        <f>IF(Agent07_Withdrawals!A17="","",Agent07_Withdrawals!D17)</f>
        <v/>
      </c>
      <c r="F1212" s="37" t="str">
        <f>IF(Agent07_Withdrawals!A17="","",Agent07_Withdrawals!F17)</f>
        <v/>
      </c>
      <c r="G1212" s="39" t="str">
        <f>IF(Agent07_Withdrawals!A17="","",Agent07_Withdrawals!E17)</f>
        <v/>
      </c>
      <c r="H1212" s="39" t="str">
        <f>IF(Agent07_Withdrawals!A17="","",Agent07_Withdrawals!G17)</f>
        <v/>
      </c>
      <c r="I1212" s="37" t="str">
        <f>IF(Agent07_Withdrawals!A17="","",Agent07_Withdrawals!H17)</f>
        <v/>
      </c>
      <c r="J1212" s="37" t="str">
        <f>IF(Agent07_Withdrawals!A17="","",Agent07_Withdrawals!J17)</f>
        <v/>
      </c>
      <c r="K1212" s="37" t="str">
        <f>IF(Agent07_Withdrawals!A17="","",Agent07_Withdrawals!K17)</f>
        <v/>
      </c>
      <c r="L1212" s="37" t="str">
        <f>IF(G1212="","",IF(D1212-G1212&gt;=System_Config!$B$9,"✅ OK","⚠️ BREACH"))</f>
        <v/>
      </c>
      <c r="M1212" s="37" t="str">
        <f>IFERROR(IF(Agent07_Withdrawals!A17="","",YEAR(Agent07_Withdrawals!D17)),"")</f>
        <v/>
      </c>
    </row>
    <row r="1213" spans="1:13" ht="18" customHeight="1" x14ac:dyDescent="0.25">
      <c r="A1213" s="37" t="str">
        <f>IF(Agent07_Withdrawals!A18="","",Agent07_Withdrawals!A18)</f>
        <v/>
      </c>
      <c r="B1213" s="37" t="str">
        <f ca="1">IF(Agent07_Withdrawals!A18="","","WD"&amp;TEXT(1213-3,"0000")&amp;"-"&amp;TEXT(TODAY(),"YYYYMMDD"))</f>
        <v/>
      </c>
      <c r="C1213" s="37" t="str">
        <f>IF(Agent07_Withdrawals!A18="","",Agent07_Withdrawals!B18)</f>
        <v/>
      </c>
      <c r="D1213" s="40" t="str">
        <f>IF(Agent07_Withdrawals!A18="","",Agent07_Withdrawals!C18)</f>
        <v/>
      </c>
      <c r="E1213" s="38" t="str">
        <f>IF(Agent07_Withdrawals!A18="","",Agent07_Withdrawals!D18)</f>
        <v/>
      </c>
      <c r="F1213" s="37" t="str">
        <f>IF(Agent07_Withdrawals!A18="","",Agent07_Withdrawals!F18)</f>
        <v/>
      </c>
      <c r="G1213" s="39" t="str">
        <f>IF(Agent07_Withdrawals!A18="","",Agent07_Withdrawals!E18)</f>
        <v/>
      </c>
      <c r="H1213" s="39" t="str">
        <f>IF(Agent07_Withdrawals!A18="","",Agent07_Withdrawals!G18)</f>
        <v/>
      </c>
      <c r="I1213" s="37" t="str">
        <f>IF(Agent07_Withdrawals!A18="","",Agent07_Withdrawals!H18)</f>
        <v/>
      </c>
      <c r="J1213" s="37" t="str">
        <f>IF(Agent07_Withdrawals!A18="","",Agent07_Withdrawals!J18)</f>
        <v/>
      </c>
      <c r="K1213" s="37" t="str">
        <f>IF(Agent07_Withdrawals!A18="","",Agent07_Withdrawals!K18)</f>
        <v/>
      </c>
      <c r="L1213" s="37" t="str">
        <f>IF(G1213="","",IF(D1213-G1213&gt;=System_Config!$B$9,"✅ OK","⚠️ BREACH"))</f>
        <v/>
      </c>
      <c r="M1213" s="37" t="str">
        <f>IFERROR(IF(Agent07_Withdrawals!A18="","",YEAR(Agent07_Withdrawals!D18)),"")</f>
        <v/>
      </c>
    </row>
    <row r="1214" spans="1:13" ht="18" customHeight="1" x14ac:dyDescent="0.25">
      <c r="A1214" s="37" t="str">
        <f>IF(Agent07_Withdrawals!A19="","",Agent07_Withdrawals!A19)</f>
        <v/>
      </c>
      <c r="B1214" s="37" t="str">
        <f ca="1">IF(Agent07_Withdrawals!A19="","","WD"&amp;TEXT(1214-3,"0000")&amp;"-"&amp;TEXT(TODAY(),"YYYYMMDD"))</f>
        <v/>
      </c>
      <c r="C1214" s="37" t="str">
        <f>IF(Agent07_Withdrawals!A19="","",Agent07_Withdrawals!B19)</f>
        <v/>
      </c>
      <c r="D1214" s="40" t="str">
        <f>IF(Agent07_Withdrawals!A19="","",Agent07_Withdrawals!C19)</f>
        <v/>
      </c>
      <c r="E1214" s="38" t="str">
        <f>IF(Agent07_Withdrawals!A19="","",Agent07_Withdrawals!D19)</f>
        <v/>
      </c>
      <c r="F1214" s="37" t="str">
        <f>IF(Agent07_Withdrawals!A19="","",Agent07_Withdrawals!F19)</f>
        <v/>
      </c>
      <c r="G1214" s="39" t="str">
        <f>IF(Agent07_Withdrawals!A19="","",Agent07_Withdrawals!E19)</f>
        <v/>
      </c>
      <c r="H1214" s="39" t="str">
        <f>IF(Agent07_Withdrawals!A19="","",Agent07_Withdrawals!G19)</f>
        <v/>
      </c>
      <c r="I1214" s="37" t="str">
        <f>IF(Agent07_Withdrawals!A19="","",Agent07_Withdrawals!H19)</f>
        <v/>
      </c>
      <c r="J1214" s="37" t="str">
        <f>IF(Agent07_Withdrawals!A19="","",Agent07_Withdrawals!J19)</f>
        <v/>
      </c>
      <c r="K1214" s="37" t="str">
        <f>IF(Agent07_Withdrawals!A19="","",Agent07_Withdrawals!K19)</f>
        <v/>
      </c>
      <c r="L1214" s="37" t="str">
        <f>IF(G1214="","",IF(D1214-G1214&gt;=System_Config!$B$9,"✅ OK","⚠️ BREACH"))</f>
        <v/>
      </c>
      <c r="M1214" s="37" t="str">
        <f>IFERROR(IF(Agent07_Withdrawals!A19="","",YEAR(Agent07_Withdrawals!D19)),"")</f>
        <v/>
      </c>
    </row>
    <row r="1215" spans="1:13" ht="18" customHeight="1" x14ac:dyDescent="0.25">
      <c r="A1215" s="37" t="str">
        <f>IF(Agent07_Withdrawals!A20="","",Agent07_Withdrawals!A20)</f>
        <v/>
      </c>
      <c r="B1215" s="37" t="str">
        <f ca="1">IF(Agent07_Withdrawals!A20="","","WD"&amp;TEXT(1215-3,"0000")&amp;"-"&amp;TEXT(TODAY(),"YYYYMMDD"))</f>
        <v/>
      </c>
      <c r="C1215" s="37" t="str">
        <f>IF(Agent07_Withdrawals!A20="","",Agent07_Withdrawals!B20)</f>
        <v/>
      </c>
      <c r="D1215" s="40" t="str">
        <f>IF(Agent07_Withdrawals!A20="","",Agent07_Withdrawals!C20)</f>
        <v/>
      </c>
      <c r="E1215" s="38" t="str">
        <f>IF(Agent07_Withdrawals!A20="","",Agent07_Withdrawals!D20)</f>
        <v/>
      </c>
      <c r="F1215" s="37" t="str">
        <f>IF(Agent07_Withdrawals!A20="","",Agent07_Withdrawals!F20)</f>
        <v/>
      </c>
      <c r="G1215" s="39" t="str">
        <f>IF(Agent07_Withdrawals!A20="","",Agent07_Withdrawals!E20)</f>
        <v/>
      </c>
      <c r="H1215" s="39" t="str">
        <f>IF(Agent07_Withdrawals!A20="","",Agent07_Withdrawals!G20)</f>
        <v/>
      </c>
      <c r="I1215" s="37" t="str">
        <f>IF(Agent07_Withdrawals!A20="","",Agent07_Withdrawals!H20)</f>
        <v/>
      </c>
      <c r="J1215" s="37" t="str">
        <f>IF(Agent07_Withdrawals!A20="","",Agent07_Withdrawals!J20)</f>
        <v/>
      </c>
      <c r="K1215" s="37" t="str">
        <f>IF(Agent07_Withdrawals!A20="","",Agent07_Withdrawals!K20)</f>
        <v/>
      </c>
      <c r="L1215" s="37" t="str">
        <f>IF(G1215="","",IF(D1215-G1215&gt;=System_Config!$B$9,"✅ OK","⚠️ BREACH"))</f>
        <v/>
      </c>
      <c r="M1215" s="37" t="str">
        <f>IFERROR(IF(Agent07_Withdrawals!A20="","",YEAR(Agent07_Withdrawals!D20)),"")</f>
        <v/>
      </c>
    </row>
    <row r="1216" spans="1:13" ht="18" customHeight="1" x14ac:dyDescent="0.25">
      <c r="A1216" s="37" t="str">
        <f>IF(Agent07_Withdrawals!A21="","",Agent07_Withdrawals!A21)</f>
        <v/>
      </c>
      <c r="B1216" s="37" t="str">
        <f ca="1">IF(Agent07_Withdrawals!A21="","","WD"&amp;TEXT(1216-3,"0000")&amp;"-"&amp;TEXT(TODAY(),"YYYYMMDD"))</f>
        <v/>
      </c>
      <c r="C1216" s="37" t="str">
        <f>IF(Agent07_Withdrawals!A21="","",Agent07_Withdrawals!B21)</f>
        <v/>
      </c>
      <c r="D1216" s="40" t="str">
        <f>IF(Agent07_Withdrawals!A21="","",Agent07_Withdrawals!C21)</f>
        <v/>
      </c>
      <c r="E1216" s="38" t="str">
        <f>IF(Agent07_Withdrawals!A21="","",Agent07_Withdrawals!D21)</f>
        <v/>
      </c>
      <c r="F1216" s="37" t="str">
        <f>IF(Agent07_Withdrawals!A21="","",Agent07_Withdrawals!F21)</f>
        <v/>
      </c>
      <c r="G1216" s="39" t="str">
        <f>IF(Agent07_Withdrawals!A21="","",Agent07_Withdrawals!E21)</f>
        <v/>
      </c>
      <c r="H1216" s="39" t="str">
        <f>IF(Agent07_Withdrawals!A21="","",Agent07_Withdrawals!G21)</f>
        <v/>
      </c>
      <c r="I1216" s="37" t="str">
        <f>IF(Agent07_Withdrawals!A21="","",Agent07_Withdrawals!H21)</f>
        <v/>
      </c>
      <c r="J1216" s="37" t="str">
        <f>IF(Agent07_Withdrawals!A21="","",Agent07_Withdrawals!J21)</f>
        <v/>
      </c>
      <c r="K1216" s="37" t="str">
        <f>IF(Agent07_Withdrawals!A21="","",Agent07_Withdrawals!K21)</f>
        <v/>
      </c>
      <c r="L1216" s="37" t="str">
        <f>IF(G1216="","",IF(D1216-G1216&gt;=System_Config!$B$9,"✅ OK","⚠️ BREACH"))</f>
        <v/>
      </c>
      <c r="M1216" s="37" t="str">
        <f>IFERROR(IF(Agent07_Withdrawals!A21="","",YEAR(Agent07_Withdrawals!D21)),"")</f>
        <v/>
      </c>
    </row>
    <row r="1217" spans="1:13" ht="18" customHeight="1" x14ac:dyDescent="0.25">
      <c r="A1217" s="37" t="str">
        <f>IF(Agent07_Withdrawals!A22="","",Agent07_Withdrawals!A22)</f>
        <v/>
      </c>
      <c r="B1217" s="37" t="str">
        <f ca="1">IF(Agent07_Withdrawals!A22="","","WD"&amp;TEXT(1217-3,"0000")&amp;"-"&amp;TEXT(TODAY(),"YYYYMMDD"))</f>
        <v/>
      </c>
      <c r="C1217" s="37" t="str">
        <f>IF(Agent07_Withdrawals!A22="","",Agent07_Withdrawals!B22)</f>
        <v/>
      </c>
      <c r="D1217" s="40" t="str">
        <f>IF(Agent07_Withdrawals!A22="","",Agent07_Withdrawals!C22)</f>
        <v/>
      </c>
      <c r="E1217" s="38" t="str">
        <f>IF(Agent07_Withdrawals!A22="","",Agent07_Withdrawals!D22)</f>
        <v/>
      </c>
      <c r="F1217" s="37" t="str">
        <f>IF(Agent07_Withdrawals!A22="","",Agent07_Withdrawals!F22)</f>
        <v/>
      </c>
      <c r="G1217" s="39" t="str">
        <f>IF(Agent07_Withdrawals!A22="","",Agent07_Withdrawals!E22)</f>
        <v/>
      </c>
      <c r="H1217" s="39" t="str">
        <f>IF(Agent07_Withdrawals!A22="","",Agent07_Withdrawals!G22)</f>
        <v/>
      </c>
      <c r="I1217" s="37" t="str">
        <f>IF(Agent07_Withdrawals!A22="","",Agent07_Withdrawals!H22)</f>
        <v/>
      </c>
      <c r="J1217" s="37" t="str">
        <f>IF(Agent07_Withdrawals!A22="","",Agent07_Withdrawals!J22)</f>
        <v/>
      </c>
      <c r="K1217" s="37" t="str">
        <f>IF(Agent07_Withdrawals!A22="","",Agent07_Withdrawals!K22)</f>
        <v/>
      </c>
      <c r="L1217" s="37" t="str">
        <f>IF(G1217="","",IF(D1217-G1217&gt;=System_Config!$B$9,"✅ OK","⚠️ BREACH"))</f>
        <v/>
      </c>
      <c r="M1217" s="37" t="str">
        <f>IFERROR(IF(Agent07_Withdrawals!A22="","",YEAR(Agent07_Withdrawals!D22)),"")</f>
        <v/>
      </c>
    </row>
    <row r="1218" spans="1:13" ht="18" customHeight="1" x14ac:dyDescent="0.25">
      <c r="A1218" s="37" t="str">
        <f>IF(Agent07_Withdrawals!A23="","",Agent07_Withdrawals!A23)</f>
        <v/>
      </c>
      <c r="B1218" s="37" t="str">
        <f ca="1">IF(Agent07_Withdrawals!A23="","","WD"&amp;TEXT(1218-3,"0000")&amp;"-"&amp;TEXT(TODAY(),"YYYYMMDD"))</f>
        <v/>
      </c>
      <c r="C1218" s="37" t="str">
        <f>IF(Agent07_Withdrawals!A23="","",Agent07_Withdrawals!B23)</f>
        <v/>
      </c>
      <c r="D1218" s="40" t="str">
        <f>IF(Agent07_Withdrawals!A23="","",Agent07_Withdrawals!C23)</f>
        <v/>
      </c>
      <c r="E1218" s="38" t="str">
        <f>IF(Agent07_Withdrawals!A23="","",Agent07_Withdrawals!D23)</f>
        <v/>
      </c>
      <c r="F1218" s="37" t="str">
        <f>IF(Agent07_Withdrawals!A23="","",Agent07_Withdrawals!F23)</f>
        <v/>
      </c>
      <c r="G1218" s="39" t="str">
        <f>IF(Agent07_Withdrawals!A23="","",Agent07_Withdrawals!E23)</f>
        <v/>
      </c>
      <c r="H1218" s="39" t="str">
        <f>IF(Agent07_Withdrawals!A23="","",Agent07_Withdrawals!G23)</f>
        <v/>
      </c>
      <c r="I1218" s="37" t="str">
        <f>IF(Agent07_Withdrawals!A23="","",Agent07_Withdrawals!H23)</f>
        <v/>
      </c>
      <c r="J1218" s="37" t="str">
        <f>IF(Agent07_Withdrawals!A23="","",Agent07_Withdrawals!J23)</f>
        <v/>
      </c>
      <c r="K1218" s="37" t="str">
        <f>IF(Agent07_Withdrawals!A23="","",Agent07_Withdrawals!K23)</f>
        <v/>
      </c>
      <c r="L1218" s="37" t="str">
        <f>IF(G1218="","",IF(D1218-G1218&gt;=System_Config!$B$9,"✅ OK","⚠️ BREACH"))</f>
        <v/>
      </c>
      <c r="M1218" s="37" t="str">
        <f>IFERROR(IF(Agent07_Withdrawals!A23="","",YEAR(Agent07_Withdrawals!D23)),"")</f>
        <v/>
      </c>
    </row>
    <row r="1219" spans="1:13" ht="18" customHeight="1" x14ac:dyDescent="0.25">
      <c r="A1219" s="37" t="str">
        <f>IF(Agent07_Withdrawals!A24="","",Agent07_Withdrawals!A24)</f>
        <v/>
      </c>
      <c r="B1219" s="37" t="str">
        <f ca="1">IF(Agent07_Withdrawals!A24="","","WD"&amp;TEXT(1219-3,"0000")&amp;"-"&amp;TEXT(TODAY(),"YYYYMMDD"))</f>
        <v/>
      </c>
      <c r="C1219" s="37" t="str">
        <f>IF(Agent07_Withdrawals!A24="","",Agent07_Withdrawals!B24)</f>
        <v/>
      </c>
      <c r="D1219" s="40" t="str">
        <f>IF(Agent07_Withdrawals!A24="","",Agent07_Withdrawals!C24)</f>
        <v/>
      </c>
      <c r="E1219" s="38" t="str">
        <f>IF(Agent07_Withdrawals!A24="","",Agent07_Withdrawals!D24)</f>
        <v/>
      </c>
      <c r="F1219" s="37" t="str">
        <f>IF(Agent07_Withdrawals!A24="","",Agent07_Withdrawals!F24)</f>
        <v/>
      </c>
      <c r="G1219" s="39" t="str">
        <f>IF(Agent07_Withdrawals!A24="","",Agent07_Withdrawals!E24)</f>
        <v/>
      </c>
      <c r="H1219" s="39" t="str">
        <f>IF(Agent07_Withdrawals!A24="","",Agent07_Withdrawals!G24)</f>
        <v/>
      </c>
      <c r="I1219" s="37" t="str">
        <f>IF(Agent07_Withdrawals!A24="","",Agent07_Withdrawals!H24)</f>
        <v/>
      </c>
      <c r="J1219" s="37" t="str">
        <f>IF(Agent07_Withdrawals!A24="","",Agent07_Withdrawals!J24)</f>
        <v/>
      </c>
      <c r="K1219" s="37" t="str">
        <f>IF(Agent07_Withdrawals!A24="","",Agent07_Withdrawals!K24)</f>
        <v/>
      </c>
      <c r="L1219" s="37" t="str">
        <f>IF(G1219="","",IF(D1219-G1219&gt;=System_Config!$B$9,"✅ OK","⚠️ BREACH"))</f>
        <v/>
      </c>
      <c r="M1219" s="37" t="str">
        <f>IFERROR(IF(Agent07_Withdrawals!A24="","",YEAR(Agent07_Withdrawals!D24)),"")</f>
        <v/>
      </c>
    </row>
    <row r="1220" spans="1:13" ht="18" customHeight="1" x14ac:dyDescent="0.25">
      <c r="A1220" s="37" t="str">
        <f>IF(Agent07_Withdrawals!A25="","",Agent07_Withdrawals!A25)</f>
        <v/>
      </c>
      <c r="B1220" s="37" t="str">
        <f ca="1">IF(Agent07_Withdrawals!A25="","","WD"&amp;TEXT(1220-3,"0000")&amp;"-"&amp;TEXT(TODAY(),"YYYYMMDD"))</f>
        <v/>
      </c>
      <c r="C1220" s="37" t="str">
        <f>IF(Agent07_Withdrawals!A25="","",Agent07_Withdrawals!B25)</f>
        <v/>
      </c>
      <c r="D1220" s="40" t="str">
        <f>IF(Agent07_Withdrawals!A25="","",Agent07_Withdrawals!C25)</f>
        <v/>
      </c>
      <c r="E1220" s="38" t="str">
        <f>IF(Agent07_Withdrawals!A25="","",Agent07_Withdrawals!D25)</f>
        <v/>
      </c>
      <c r="F1220" s="37" t="str">
        <f>IF(Agent07_Withdrawals!A25="","",Agent07_Withdrawals!F25)</f>
        <v/>
      </c>
      <c r="G1220" s="39" t="str">
        <f>IF(Agent07_Withdrawals!A25="","",Agent07_Withdrawals!E25)</f>
        <v/>
      </c>
      <c r="H1220" s="39" t="str">
        <f>IF(Agent07_Withdrawals!A25="","",Agent07_Withdrawals!G25)</f>
        <v/>
      </c>
      <c r="I1220" s="37" t="str">
        <f>IF(Agent07_Withdrawals!A25="","",Agent07_Withdrawals!H25)</f>
        <v/>
      </c>
      <c r="J1220" s="37" t="str">
        <f>IF(Agent07_Withdrawals!A25="","",Agent07_Withdrawals!J25)</f>
        <v/>
      </c>
      <c r="K1220" s="37" t="str">
        <f>IF(Agent07_Withdrawals!A25="","",Agent07_Withdrawals!K25)</f>
        <v/>
      </c>
      <c r="L1220" s="37" t="str">
        <f>IF(G1220="","",IF(D1220-G1220&gt;=System_Config!$B$9,"✅ OK","⚠️ BREACH"))</f>
        <v/>
      </c>
      <c r="M1220" s="37" t="str">
        <f>IFERROR(IF(Agent07_Withdrawals!A25="","",YEAR(Agent07_Withdrawals!D25)),"")</f>
        <v/>
      </c>
    </row>
    <row r="1221" spans="1:13" ht="18" customHeight="1" x14ac:dyDescent="0.25">
      <c r="A1221" s="37" t="str">
        <f>IF(Agent07_Withdrawals!A26="","",Agent07_Withdrawals!A26)</f>
        <v/>
      </c>
      <c r="B1221" s="37" t="str">
        <f ca="1">IF(Agent07_Withdrawals!A26="","","WD"&amp;TEXT(1221-3,"0000")&amp;"-"&amp;TEXT(TODAY(),"YYYYMMDD"))</f>
        <v/>
      </c>
      <c r="C1221" s="37" t="str">
        <f>IF(Agent07_Withdrawals!A26="","",Agent07_Withdrawals!B26)</f>
        <v/>
      </c>
      <c r="D1221" s="40" t="str">
        <f>IF(Agent07_Withdrawals!A26="","",Agent07_Withdrawals!C26)</f>
        <v/>
      </c>
      <c r="E1221" s="38" t="str">
        <f>IF(Agent07_Withdrawals!A26="","",Agent07_Withdrawals!D26)</f>
        <v/>
      </c>
      <c r="F1221" s="37" t="str">
        <f>IF(Agent07_Withdrawals!A26="","",Agent07_Withdrawals!F26)</f>
        <v/>
      </c>
      <c r="G1221" s="39" t="str">
        <f>IF(Agent07_Withdrawals!A26="","",Agent07_Withdrawals!E26)</f>
        <v/>
      </c>
      <c r="H1221" s="39" t="str">
        <f>IF(Agent07_Withdrawals!A26="","",Agent07_Withdrawals!G26)</f>
        <v/>
      </c>
      <c r="I1221" s="37" t="str">
        <f>IF(Agent07_Withdrawals!A26="","",Agent07_Withdrawals!H26)</f>
        <v/>
      </c>
      <c r="J1221" s="37" t="str">
        <f>IF(Agent07_Withdrawals!A26="","",Agent07_Withdrawals!J26)</f>
        <v/>
      </c>
      <c r="K1221" s="37" t="str">
        <f>IF(Agent07_Withdrawals!A26="","",Agent07_Withdrawals!K26)</f>
        <v/>
      </c>
      <c r="L1221" s="37" t="str">
        <f>IF(G1221="","",IF(D1221-G1221&gt;=System_Config!$B$9,"✅ OK","⚠️ BREACH"))</f>
        <v/>
      </c>
      <c r="M1221" s="37" t="str">
        <f>IFERROR(IF(Agent07_Withdrawals!A26="","",YEAR(Agent07_Withdrawals!D26)),"")</f>
        <v/>
      </c>
    </row>
    <row r="1222" spans="1:13" ht="18" customHeight="1" x14ac:dyDescent="0.25">
      <c r="A1222" s="37" t="str">
        <f>IF(Agent07_Withdrawals!A27="","",Agent07_Withdrawals!A27)</f>
        <v/>
      </c>
      <c r="B1222" s="37" t="str">
        <f ca="1">IF(Agent07_Withdrawals!A27="","","WD"&amp;TEXT(1222-3,"0000")&amp;"-"&amp;TEXT(TODAY(),"YYYYMMDD"))</f>
        <v/>
      </c>
      <c r="C1222" s="37" t="str">
        <f>IF(Agent07_Withdrawals!A27="","",Agent07_Withdrawals!B27)</f>
        <v/>
      </c>
      <c r="D1222" s="40" t="str">
        <f>IF(Agent07_Withdrawals!A27="","",Agent07_Withdrawals!C27)</f>
        <v/>
      </c>
      <c r="E1222" s="38" t="str">
        <f>IF(Agent07_Withdrawals!A27="","",Agent07_Withdrawals!D27)</f>
        <v/>
      </c>
      <c r="F1222" s="37" t="str">
        <f>IF(Agent07_Withdrawals!A27="","",Agent07_Withdrawals!F27)</f>
        <v/>
      </c>
      <c r="G1222" s="39" t="str">
        <f>IF(Agent07_Withdrawals!A27="","",Agent07_Withdrawals!E27)</f>
        <v/>
      </c>
      <c r="H1222" s="39" t="str">
        <f>IF(Agent07_Withdrawals!A27="","",Agent07_Withdrawals!G27)</f>
        <v/>
      </c>
      <c r="I1222" s="37" t="str">
        <f>IF(Agent07_Withdrawals!A27="","",Agent07_Withdrawals!H27)</f>
        <v/>
      </c>
      <c r="J1222" s="37" t="str">
        <f>IF(Agent07_Withdrawals!A27="","",Agent07_Withdrawals!J27)</f>
        <v/>
      </c>
      <c r="K1222" s="37" t="str">
        <f>IF(Agent07_Withdrawals!A27="","",Agent07_Withdrawals!K27)</f>
        <v/>
      </c>
      <c r="L1222" s="37" t="str">
        <f>IF(G1222="","",IF(D1222-G1222&gt;=System_Config!$B$9,"✅ OK","⚠️ BREACH"))</f>
        <v/>
      </c>
      <c r="M1222" s="37" t="str">
        <f>IFERROR(IF(Agent07_Withdrawals!A27="","",YEAR(Agent07_Withdrawals!D27)),"")</f>
        <v/>
      </c>
    </row>
    <row r="1223" spans="1:13" ht="18" customHeight="1" x14ac:dyDescent="0.25">
      <c r="A1223" s="37" t="str">
        <f>IF(Agent07_Withdrawals!A28="","",Agent07_Withdrawals!A28)</f>
        <v/>
      </c>
      <c r="B1223" s="37" t="str">
        <f ca="1">IF(Agent07_Withdrawals!A28="","","WD"&amp;TEXT(1223-3,"0000")&amp;"-"&amp;TEXT(TODAY(),"YYYYMMDD"))</f>
        <v/>
      </c>
      <c r="C1223" s="37" t="str">
        <f>IF(Agent07_Withdrawals!A28="","",Agent07_Withdrawals!B28)</f>
        <v/>
      </c>
      <c r="D1223" s="40" t="str">
        <f>IF(Agent07_Withdrawals!A28="","",Agent07_Withdrawals!C28)</f>
        <v/>
      </c>
      <c r="E1223" s="38" t="str">
        <f>IF(Agent07_Withdrawals!A28="","",Agent07_Withdrawals!D28)</f>
        <v/>
      </c>
      <c r="F1223" s="37" t="str">
        <f>IF(Agent07_Withdrawals!A28="","",Agent07_Withdrawals!F28)</f>
        <v/>
      </c>
      <c r="G1223" s="39" t="str">
        <f>IF(Agent07_Withdrawals!A28="","",Agent07_Withdrawals!E28)</f>
        <v/>
      </c>
      <c r="H1223" s="39" t="str">
        <f>IF(Agent07_Withdrawals!A28="","",Agent07_Withdrawals!G28)</f>
        <v/>
      </c>
      <c r="I1223" s="37" t="str">
        <f>IF(Agent07_Withdrawals!A28="","",Agent07_Withdrawals!H28)</f>
        <v/>
      </c>
      <c r="J1223" s="37" t="str">
        <f>IF(Agent07_Withdrawals!A28="","",Agent07_Withdrawals!J28)</f>
        <v/>
      </c>
      <c r="K1223" s="37" t="str">
        <f>IF(Agent07_Withdrawals!A28="","",Agent07_Withdrawals!K28)</f>
        <v/>
      </c>
      <c r="L1223" s="37" t="str">
        <f>IF(G1223="","",IF(D1223-G1223&gt;=System_Config!$B$9,"✅ OK","⚠️ BREACH"))</f>
        <v/>
      </c>
      <c r="M1223" s="37" t="str">
        <f>IFERROR(IF(Agent07_Withdrawals!A28="","",YEAR(Agent07_Withdrawals!D28)),"")</f>
        <v/>
      </c>
    </row>
    <row r="1224" spans="1:13" ht="18" customHeight="1" x14ac:dyDescent="0.25">
      <c r="A1224" s="37" t="str">
        <f>IF(Agent07_Withdrawals!A29="","",Agent07_Withdrawals!A29)</f>
        <v/>
      </c>
      <c r="B1224" s="37" t="str">
        <f ca="1">IF(Agent07_Withdrawals!A29="","","WD"&amp;TEXT(1224-3,"0000")&amp;"-"&amp;TEXT(TODAY(),"YYYYMMDD"))</f>
        <v/>
      </c>
      <c r="C1224" s="37" t="str">
        <f>IF(Agent07_Withdrawals!A29="","",Agent07_Withdrawals!B29)</f>
        <v/>
      </c>
      <c r="D1224" s="40" t="str">
        <f>IF(Agent07_Withdrawals!A29="","",Agent07_Withdrawals!C29)</f>
        <v/>
      </c>
      <c r="E1224" s="38" t="str">
        <f>IF(Agent07_Withdrawals!A29="","",Agent07_Withdrawals!D29)</f>
        <v/>
      </c>
      <c r="F1224" s="37" t="str">
        <f>IF(Agent07_Withdrawals!A29="","",Agent07_Withdrawals!F29)</f>
        <v/>
      </c>
      <c r="G1224" s="39" t="str">
        <f>IF(Agent07_Withdrawals!A29="","",Agent07_Withdrawals!E29)</f>
        <v/>
      </c>
      <c r="H1224" s="39" t="str">
        <f>IF(Agent07_Withdrawals!A29="","",Agent07_Withdrawals!G29)</f>
        <v/>
      </c>
      <c r="I1224" s="37" t="str">
        <f>IF(Agent07_Withdrawals!A29="","",Agent07_Withdrawals!H29)</f>
        <v/>
      </c>
      <c r="J1224" s="37" t="str">
        <f>IF(Agent07_Withdrawals!A29="","",Agent07_Withdrawals!J29)</f>
        <v/>
      </c>
      <c r="K1224" s="37" t="str">
        <f>IF(Agent07_Withdrawals!A29="","",Agent07_Withdrawals!K29)</f>
        <v/>
      </c>
      <c r="L1224" s="37" t="str">
        <f>IF(G1224="","",IF(D1224-G1224&gt;=System_Config!$B$9,"✅ OK","⚠️ BREACH"))</f>
        <v/>
      </c>
      <c r="M1224" s="37" t="str">
        <f>IFERROR(IF(Agent07_Withdrawals!A29="","",YEAR(Agent07_Withdrawals!D29)),"")</f>
        <v/>
      </c>
    </row>
    <row r="1225" spans="1:13" ht="18" customHeight="1" x14ac:dyDescent="0.25">
      <c r="A1225" s="37" t="str">
        <f>IF(Agent07_Withdrawals!A30="","",Agent07_Withdrawals!A30)</f>
        <v/>
      </c>
      <c r="B1225" s="37" t="str">
        <f ca="1">IF(Agent07_Withdrawals!A30="","","WD"&amp;TEXT(1225-3,"0000")&amp;"-"&amp;TEXT(TODAY(),"YYYYMMDD"))</f>
        <v/>
      </c>
      <c r="C1225" s="37" t="str">
        <f>IF(Agent07_Withdrawals!A30="","",Agent07_Withdrawals!B30)</f>
        <v/>
      </c>
      <c r="D1225" s="40" t="str">
        <f>IF(Agent07_Withdrawals!A30="","",Agent07_Withdrawals!C30)</f>
        <v/>
      </c>
      <c r="E1225" s="38" t="str">
        <f>IF(Agent07_Withdrawals!A30="","",Agent07_Withdrawals!D30)</f>
        <v/>
      </c>
      <c r="F1225" s="37" t="str">
        <f>IF(Agent07_Withdrawals!A30="","",Agent07_Withdrawals!F30)</f>
        <v/>
      </c>
      <c r="G1225" s="39" t="str">
        <f>IF(Agent07_Withdrawals!A30="","",Agent07_Withdrawals!E30)</f>
        <v/>
      </c>
      <c r="H1225" s="39" t="str">
        <f>IF(Agent07_Withdrawals!A30="","",Agent07_Withdrawals!G30)</f>
        <v/>
      </c>
      <c r="I1225" s="37" t="str">
        <f>IF(Agent07_Withdrawals!A30="","",Agent07_Withdrawals!H30)</f>
        <v/>
      </c>
      <c r="J1225" s="37" t="str">
        <f>IF(Agent07_Withdrawals!A30="","",Agent07_Withdrawals!J30)</f>
        <v/>
      </c>
      <c r="K1225" s="37" t="str">
        <f>IF(Agent07_Withdrawals!A30="","",Agent07_Withdrawals!K30)</f>
        <v/>
      </c>
      <c r="L1225" s="37" t="str">
        <f>IF(G1225="","",IF(D1225-G1225&gt;=System_Config!$B$9,"✅ OK","⚠️ BREACH"))</f>
        <v/>
      </c>
      <c r="M1225" s="37" t="str">
        <f>IFERROR(IF(Agent07_Withdrawals!A30="","",YEAR(Agent07_Withdrawals!D30)),"")</f>
        <v/>
      </c>
    </row>
    <row r="1226" spans="1:13" ht="18" customHeight="1" x14ac:dyDescent="0.25">
      <c r="A1226" s="37" t="str">
        <f>IF(Agent07_Withdrawals!A31="","",Agent07_Withdrawals!A31)</f>
        <v/>
      </c>
      <c r="B1226" s="37" t="str">
        <f ca="1">IF(Agent07_Withdrawals!A31="","","WD"&amp;TEXT(1226-3,"0000")&amp;"-"&amp;TEXT(TODAY(),"YYYYMMDD"))</f>
        <v/>
      </c>
      <c r="C1226" s="37" t="str">
        <f>IF(Agent07_Withdrawals!A31="","",Agent07_Withdrawals!B31)</f>
        <v/>
      </c>
      <c r="D1226" s="40" t="str">
        <f>IF(Agent07_Withdrawals!A31="","",Agent07_Withdrawals!C31)</f>
        <v/>
      </c>
      <c r="E1226" s="38" t="str">
        <f>IF(Agent07_Withdrawals!A31="","",Agent07_Withdrawals!D31)</f>
        <v/>
      </c>
      <c r="F1226" s="37" t="str">
        <f>IF(Agent07_Withdrawals!A31="","",Agent07_Withdrawals!F31)</f>
        <v/>
      </c>
      <c r="G1226" s="39" t="str">
        <f>IF(Agent07_Withdrawals!A31="","",Agent07_Withdrawals!E31)</f>
        <v/>
      </c>
      <c r="H1226" s="39" t="str">
        <f>IF(Agent07_Withdrawals!A31="","",Agent07_Withdrawals!G31)</f>
        <v/>
      </c>
      <c r="I1226" s="37" t="str">
        <f>IF(Agent07_Withdrawals!A31="","",Agent07_Withdrawals!H31)</f>
        <v/>
      </c>
      <c r="J1226" s="37" t="str">
        <f>IF(Agent07_Withdrawals!A31="","",Agent07_Withdrawals!J31)</f>
        <v/>
      </c>
      <c r="K1226" s="37" t="str">
        <f>IF(Agent07_Withdrawals!A31="","",Agent07_Withdrawals!K31)</f>
        <v/>
      </c>
      <c r="L1226" s="37" t="str">
        <f>IF(G1226="","",IF(D1226-G1226&gt;=System_Config!$B$9,"✅ OK","⚠️ BREACH"))</f>
        <v/>
      </c>
      <c r="M1226" s="37" t="str">
        <f>IFERROR(IF(Agent07_Withdrawals!A31="","",YEAR(Agent07_Withdrawals!D31)),"")</f>
        <v/>
      </c>
    </row>
    <row r="1227" spans="1:13" ht="18" customHeight="1" x14ac:dyDescent="0.25">
      <c r="A1227" s="37" t="str">
        <f>IF(Agent07_Withdrawals!A32="","",Agent07_Withdrawals!A32)</f>
        <v/>
      </c>
      <c r="B1227" s="37" t="str">
        <f ca="1">IF(Agent07_Withdrawals!A32="","","WD"&amp;TEXT(1227-3,"0000")&amp;"-"&amp;TEXT(TODAY(),"YYYYMMDD"))</f>
        <v/>
      </c>
      <c r="C1227" s="37" t="str">
        <f>IF(Agent07_Withdrawals!A32="","",Agent07_Withdrawals!B32)</f>
        <v/>
      </c>
      <c r="D1227" s="40" t="str">
        <f>IF(Agent07_Withdrawals!A32="","",Agent07_Withdrawals!C32)</f>
        <v/>
      </c>
      <c r="E1227" s="38" t="str">
        <f>IF(Agent07_Withdrawals!A32="","",Agent07_Withdrawals!D32)</f>
        <v/>
      </c>
      <c r="F1227" s="37" t="str">
        <f>IF(Agent07_Withdrawals!A32="","",Agent07_Withdrawals!F32)</f>
        <v/>
      </c>
      <c r="G1227" s="39" t="str">
        <f>IF(Agent07_Withdrawals!A32="","",Agent07_Withdrawals!E32)</f>
        <v/>
      </c>
      <c r="H1227" s="39" t="str">
        <f>IF(Agent07_Withdrawals!A32="","",Agent07_Withdrawals!G32)</f>
        <v/>
      </c>
      <c r="I1227" s="37" t="str">
        <f>IF(Agent07_Withdrawals!A32="","",Agent07_Withdrawals!H32)</f>
        <v/>
      </c>
      <c r="J1227" s="37" t="str">
        <f>IF(Agent07_Withdrawals!A32="","",Agent07_Withdrawals!J32)</f>
        <v/>
      </c>
      <c r="K1227" s="37" t="str">
        <f>IF(Agent07_Withdrawals!A32="","",Agent07_Withdrawals!K32)</f>
        <v/>
      </c>
      <c r="L1227" s="37" t="str">
        <f>IF(G1227="","",IF(D1227-G1227&gt;=System_Config!$B$9,"✅ OK","⚠️ BREACH"))</f>
        <v/>
      </c>
      <c r="M1227" s="37" t="str">
        <f>IFERROR(IF(Agent07_Withdrawals!A32="","",YEAR(Agent07_Withdrawals!D32)),"")</f>
        <v/>
      </c>
    </row>
    <row r="1228" spans="1:13" ht="18" customHeight="1" x14ac:dyDescent="0.25">
      <c r="A1228" s="37" t="str">
        <f>IF(Agent07_Withdrawals!A33="","",Agent07_Withdrawals!A33)</f>
        <v/>
      </c>
      <c r="B1228" s="37" t="str">
        <f ca="1">IF(Agent07_Withdrawals!A33="","","WD"&amp;TEXT(1228-3,"0000")&amp;"-"&amp;TEXT(TODAY(),"YYYYMMDD"))</f>
        <v/>
      </c>
      <c r="C1228" s="37" t="str">
        <f>IF(Agent07_Withdrawals!A33="","",Agent07_Withdrawals!B33)</f>
        <v/>
      </c>
      <c r="D1228" s="40" t="str">
        <f>IF(Agent07_Withdrawals!A33="","",Agent07_Withdrawals!C33)</f>
        <v/>
      </c>
      <c r="E1228" s="38" t="str">
        <f>IF(Agent07_Withdrawals!A33="","",Agent07_Withdrawals!D33)</f>
        <v/>
      </c>
      <c r="F1228" s="37" t="str">
        <f>IF(Agent07_Withdrawals!A33="","",Agent07_Withdrawals!F33)</f>
        <v/>
      </c>
      <c r="G1228" s="39" t="str">
        <f>IF(Agent07_Withdrawals!A33="","",Agent07_Withdrawals!E33)</f>
        <v/>
      </c>
      <c r="H1228" s="39" t="str">
        <f>IF(Agent07_Withdrawals!A33="","",Agent07_Withdrawals!G33)</f>
        <v/>
      </c>
      <c r="I1228" s="37" t="str">
        <f>IF(Agent07_Withdrawals!A33="","",Agent07_Withdrawals!H33)</f>
        <v/>
      </c>
      <c r="J1228" s="37" t="str">
        <f>IF(Agent07_Withdrawals!A33="","",Agent07_Withdrawals!J33)</f>
        <v/>
      </c>
      <c r="K1228" s="37" t="str">
        <f>IF(Agent07_Withdrawals!A33="","",Agent07_Withdrawals!K33)</f>
        <v/>
      </c>
      <c r="L1228" s="37" t="str">
        <f>IF(G1228="","",IF(D1228-G1228&gt;=System_Config!$B$9,"✅ OK","⚠️ BREACH"))</f>
        <v/>
      </c>
      <c r="M1228" s="37" t="str">
        <f>IFERROR(IF(Agent07_Withdrawals!A33="","",YEAR(Agent07_Withdrawals!D33)),"")</f>
        <v/>
      </c>
    </row>
    <row r="1229" spans="1:13" ht="18" customHeight="1" x14ac:dyDescent="0.25">
      <c r="A1229" s="37" t="str">
        <f>IF(Agent07_Withdrawals!A34="","",Agent07_Withdrawals!A34)</f>
        <v/>
      </c>
      <c r="B1229" s="37" t="str">
        <f ca="1">IF(Agent07_Withdrawals!A34="","","WD"&amp;TEXT(1229-3,"0000")&amp;"-"&amp;TEXT(TODAY(),"YYYYMMDD"))</f>
        <v/>
      </c>
      <c r="C1229" s="37" t="str">
        <f>IF(Agent07_Withdrawals!A34="","",Agent07_Withdrawals!B34)</f>
        <v/>
      </c>
      <c r="D1229" s="40" t="str">
        <f>IF(Agent07_Withdrawals!A34="","",Agent07_Withdrawals!C34)</f>
        <v/>
      </c>
      <c r="E1229" s="38" t="str">
        <f>IF(Agent07_Withdrawals!A34="","",Agent07_Withdrawals!D34)</f>
        <v/>
      </c>
      <c r="F1229" s="37" t="str">
        <f>IF(Agent07_Withdrawals!A34="","",Agent07_Withdrawals!F34)</f>
        <v/>
      </c>
      <c r="G1229" s="39" t="str">
        <f>IF(Agent07_Withdrawals!A34="","",Agent07_Withdrawals!E34)</f>
        <v/>
      </c>
      <c r="H1229" s="39" t="str">
        <f>IF(Agent07_Withdrawals!A34="","",Agent07_Withdrawals!G34)</f>
        <v/>
      </c>
      <c r="I1229" s="37" t="str">
        <f>IF(Agent07_Withdrawals!A34="","",Agent07_Withdrawals!H34)</f>
        <v/>
      </c>
      <c r="J1229" s="37" t="str">
        <f>IF(Agent07_Withdrawals!A34="","",Agent07_Withdrawals!J34)</f>
        <v/>
      </c>
      <c r="K1229" s="37" t="str">
        <f>IF(Agent07_Withdrawals!A34="","",Agent07_Withdrawals!K34)</f>
        <v/>
      </c>
      <c r="L1229" s="37" t="str">
        <f>IF(G1229="","",IF(D1229-G1229&gt;=System_Config!$B$9,"✅ OK","⚠️ BREACH"))</f>
        <v/>
      </c>
      <c r="M1229" s="37" t="str">
        <f>IFERROR(IF(Agent07_Withdrawals!A34="","",YEAR(Agent07_Withdrawals!D34)),"")</f>
        <v/>
      </c>
    </row>
    <row r="1230" spans="1:13" ht="18" customHeight="1" x14ac:dyDescent="0.25">
      <c r="A1230" s="37" t="str">
        <f>IF(Agent07_Withdrawals!A35="","",Agent07_Withdrawals!A35)</f>
        <v/>
      </c>
      <c r="B1230" s="37" t="str">
        <f ca="1">IF(Agent07_Withdrawals!A35="","","WD"&amp;TEXT(1230-3,"0000")&amp;"-"&amp;TEXT(TODAY(),"YYYYMMDD"))</f>
        <v/>
      </c>
      <c r="C1230" s="37" t="str">
        <f>IF(Agent07_Withdrawals!A35="","",Agent07_Withdrawals!B35)</f>
        <v/>
      </c>
      <c r="D1230" s="40" t="str">
        <f>IF(Agent07_Withdrawals!A35="","",Agent07_Withdrawals!C35)</f>
        <v/>
      </c>
      <c r="E1230" s="38" t="str">
        <f>IF(Agent07_Withdrawals!A35="","",Agent07_Withdrawals!D35)</f>
        <v/>
      </c>
      <c r="F1230" s="37" t="str">
        <f>IF(Agent07_Withdrawals!A35="","",Agent07_Withdrawals!F35)</f>
        <v/>
      </c>
      <c r="G1230" s="39" t="str">
        <f>IF(Agent07_Withdrawals!A35="","",Agent07_Withdrawals!E35)</f>
        <v/>
      </c>
      <c r="H1230" s="39" t="str">
        <f>IF(Agent07_Withdrawals!A35="","",Agent07_Withdrawals!G35)</f>
        <v/>
      </c>
      <c r="I1230" s="37" t="str">
        <f>IF(Agent07_Withdrawals!A35="","",Agent07_Withdrawals!H35)</f>
        <v/>
      </c>
      <c r="J1230" s="37" t="str">
        <f>IF(Agent07_Withdrawals!A35="","",Agent07_Withdrawals!J35)</f>
        <v/>
      </c>
      <c r="K1230" s="37" t="str">
        <f>IF(Agent07_Withdrawals!A35="","",Agent07_Withdrawals!K35)</f>
        <v/>
      </c>
      <c r="L1230" s="37" t="str">
        <f>IF(G1230="","",IF(D1230-G1230&gt;=System_Config!$B$9,"✅ OK","⚠️ BREACH"))</f>
        <v/>
      </c>
      <c r="M1230" s="37" t="str">
        <f>IFERROR(IF(Agent07_Withdrawals!A35="","",YEAR(Agent07_Withdrawals!D35)),"")</f>
        <v/>
      </c>
    </row>
    <row r="1231" spans="1:13" ht="18" customHeight="1" x14ac:dyDescent="0.25">
      <c r="A1231" s="37" t="str">
        <f>IF(Agent07_Withdrawals!A36="","",Agent07_Withdrawals!A36)</f>
        <v/>
      </c>
      <c r="B1231" s="37" t="str">
        <f ca="1">IF(Agent07_Withdrawals!A36="","","WD"&amp;TEXT(1231-3,"0000")&amp;"-"&amp;TEXT(TODAY(),"YYYYMMDD"))</f>
        <v/>
      </c>
      <c r="C1231" s="37" t="str">
        <f>IF(Agent07_Withdrawals!A36="","",Agent07_Withdrawals!B36)</f>
        <v/>
      </c>
      <c r="D1231" s="40" t="str">
        <f>IF(Agent07_Withdrawals!A36="","",Agent07_Withdrawals!C36)</f>
        <v/>
      </c>
      <c r="E1231" s="38" t="str">
        <f>IF(Agent07_Withdrawals!A36="","",Agent07_Withdrawals!D36)</f>
        <v/>
      </c>
      <c r="F1231" s="37" t="str">
        <f>IF(Agent07_Withdrawals!A36="","",Agent07_Withdrawals!F36)</f>
        <v/>
      </c>
      <c r="G1231" s="39" t="str">
        <f>IF(Agent07_Withdrawals!A36="","",Agent07_Withdrawals!E36)</f>
        <v/>
      </c>
      <c r="H1231" s="39" t="str">
        <f>IF(Agent07_Withdrawals!A36="","",Agent07_Withdrawals!G36)</f>
        <v/>
      </c>
      <c r="I1231" s="37" t="str">
        <f>IF(Agent07_Withdrawals!A36="","",Agent07_Withdrawals!H36)</f>
        <v/>
      </c>
      <c r="J1231" s="37" t="str">
        <f>IF(Agent07_Withdrawals!A36="","",Agent07_Withdrawals!J36)</f>
        <v/>
      </c>
      <c r="K1231" s="37" t="str">
        <f>IF(Agent07_Withdrawals!A36="","",Agent07_Withdrawals!K36)</f>
        <v/>
      </c>
      <c r="L1231" s="37" t="str">
        <f>IF(G1231="","",IF(D1231-G1231&gt;=System_Config!$B$9,"✅ OK","⚠️ BREACH"))</f>
        <v/>
      </c>
      <c r="M1231" s="37" t="str">
        <f>IFERROR(IF(Agent07_Withdrawals!A36="","",YEAR(Agent07_Withdrawals!D36)),"")</f>
        <v/>
      </c>
    </row>
    <row r="1232" spans="1:13" ht="18" customHeight="1" x14ac:dyDescent="0.25">
      <c r="A1232" s="37" t="str">
        <f>IF(Agent07_Withdrawals!A37="","",Agent07_Withdrawals!A37)</f>
        <v/>
      </c>
      <c r="B1232" s="37" t="str">
        <f ca="1">IF(Agent07_Withdrawals!A37="","","WD"&amp;TEXT(1232-3,"0000")&amp;"-"&amp;TEXT(TODAY(),"YYYYMMDD"))</f>
        <v/>
      </c>
      <c r="C1232" s="37" t="str">
        <f>IF(Agent07_Withdrawals!A37="","",Agent07_Withdrawals!B37)</f>
        <v/>
      </c>
      <c r="D1232" s="40" t="str">
        <f>IF(Agent07_Withdrawals!A37="","",Agent07_Withdrawals!C37)</f>
        <v/>
      </c>
      <c r="E1232" s="38" t="str">
        <f>IF(Agent07_Withdrawals!A37="","",Agent07_Withdrawals!D37)</f>
        <v/>
      </c>
      <c r="F1232" s="37" t="str">
        <f>IF(Agent07_Withdrawals!A37="","",Agent07_Withdrawals!F37)</f>
        <v/>
      </c>
      <c r="G1232" s="39" t="str">
        <f>IF(Agent07_Withdrawals!A37="","",Agent07_Withdrawals!E37)</f>
        <v/>
      </c>
      <c r="H1232" s="39" t="str">
        <f>IF(Agent07_Withdrawals!A37="","",Agent07_Withdrawals!G37)</f>
        <v/>
      </c>
      <c r="I1232" s="37" t="str">
        <f>IF(Agent07_Withdrawals!A37="","",Agent07_Withdrawals!H37)</f>
        <v/>
      </c>
      <c r="J1232" s="37" t="str">
        <f>IF(Agent07_Withdrawals!A37="","",Agent07_Withdrawals!J37)</f>
        <v/>
      </c>
      <c r="K1232" s="37" t="str">
        <f>IF(Agent07_Withdrawals!A37="","",Agent07_Withdrawals!K37)</f>
        <v/>
      </c>
      <c r="L1232" s="37" t="str">
        <f>IF(G1232="","",IF(D1232-G1232&gt;=System_Config!$B$9,"✅ OK","⚠️ BREACH"))</f>
        <v/>
      </c>
      <c r="M1232" s="37" t="str">
        <f>IFERROR(IF(Agent07_Withdrawals!A37="","",YEAR(Agent07_Withdrawals!D37)),"")</f>
        <v/>
      </c>
    </row>
    <row r="1233" spans="1:13" ht="18" customHeight="1" x14ac:dyDescent="0.25">
      <c r="A1233" s="37" t="str">
        <f>IF(Agent07_Withdrawals!A38="","",Agent07_Withdrawals!A38)</f>
        <v/>
      </c>
      <c r="B1233" s="37" t="str">
        <f ca="1">IF(Agent07_Withdrawals!A38="","","WD"&amp;TEXT(1233-3,"0000")&amp;"-"&amp;TEXT(TODAY(),"YYYYMMDD"))</f>
        <v/>
      </c>
      <c r="C1233" s="37" t="str">
        <f>IF(Agent07_Withdrawals!A38="","",Agent07_Withdrawals!B38)</f>
        <v/>
      </c>
      <c r="D1233" s="40" t="str">
        <f>IF(Agent07_Withdrawals!A38="","",Agent07_Withdrawals!C38)</f>
        <v/>
      </c>
      <c r="E1233" s="38" t="str">
        <f>IF(Agent07_Withdrawals!A38="","",Agent07_Withdrawals!D38)</f>
        <v/>
      </c>
      <c r="F1233" s="37" t="str">
        <f>IF(Agent07_Withdrawals!A38="","",Agent07_Withdrawals!F38)</f>
        <v/>
      </c>
      <c r="G1233" s="39" t="str">
        <f>IF(Agent07_Withdrawals!A38="","",Agent07_Withdrawals!E38)</f>
        <v/>
      </c>
      <c r="H1233" s="39" t="str">
        <f>IF(Agent07_Withdrawals!A38="","",Agent07_Withdrawals!G38)</f>
        <v/>
      </c>
      <c r="I1233" s="37" t="str">
        <f>IF(Agent07_Withdrawals!A38="","",Agent07_Withdrawals!H38)</f>
        <v/>
      </c>
      <c r="J1233" s="37" t="str">
        <f>IF(Agent07_Withdrawals!A38="","",Agent07_Withdrawals!J38)</f>
        <v/>
      </c>
      <c r="K1233" s="37" t="str">
        <f>IF(Agent07_Withdrawals!A38="","",Agent07_Withdrawals!K38)</f>
        <v/>
      </c>
      <c r="L1233" s="37" t="str">
        <f>IF(G1233="","",IF(D1233-G1233&gt;=System_Config!$B$9,"✅ OK","⚠️ BREACH"))</f>
        <v/>
      </c>
      <c r="M1233" s="37" t="str">
        <f>IFERROR(IF(Agent07_Withdrawals!A38="","",YEAR(Agent07_Withdrawals!D38)),"")</f>
        <v/>
      </c>
    </row>
    <row r="1234" spans="1:13" ht="18" customHeight="1" x14ac:dyDescent="0.25">
      <c r="A1234" s="37" t="str">
        <f>IF(Agent07_Withdrawals!A39="","",Agent07_Withdrawals!A39)</f>
        <v/>
      </c>
      <c r="B1234" s="37" t="str">
        <f ca="1">IF(Agent07_Withdrawals!A39="","","WD"&amp;TEXT(1234-3,"0000")&amp;"-"&amp;TEXT(TODAY(),"YYYYMMDD"))</f>
        <v/>
      </c>
      <c r="C1234" s="37" t="str">
        <f>IF(Agent07_Withdrawals!A39="","",Agent07_Withdrawals!B39)</f>
        <v/>
      </c>
      <c r="D1234" s="40" t="str">
        <f>IF(Agent07_Withdrawals!A39="","",Agent07_Withdrawals!C39)</f>
        <v/>
      </c>
      <c r="E1234" s="38" t="str">
        <f>IF(Agent07_Withdrawals!A39="","",Agent07_Withdrawals!D39)</f>
        <v/>
      </c>
      <c r="F1234" s="37" t="str">
        <f>IF(Agent07_Withdrawals!A39="","",Agent07_Withdrawals!F39)</f>
        <v/>
      </c>
      <c r="G1234" s="39" t="str">
        <f>IF(Agent07_Withdrawals!A39="","",Agent07_Withdrawals!E39)</f>
        <v/>
      </c>
      <c r="H1234" s="39" t="str">
        <f>IF(Agent07_Withdrawals!A39="","",Agent07_Withdrawals!G39)</f>
        <v/>
      </c>
      <c r="I1234" s="37" t="str">
        <f>IF(Agent07_Withdrawals!A39="","",Agent07_Withdrawals!H39)</f>
        <v/>
      </c>
      <c r="J1234" s="37" t="str">
        <f>IF(Agent07_Withdrawals!A39="","",Agent07_Withdrawals!J39)</f>
        <v/>
      </c>
      <c r="K1234" s="37" t="str">
        <f>IF(Agent07_Withdrawals!A39="","",Agent07_Withdrawals!K39)</f>
        <v/>
      </c>
      <c r="L1234" s="37" t="str">
        <f>IF(G1234="","",IF(D1234-G1234&gt;=System_Config!$B$9,"✅ OK","⚠️ BREACH"))</f>
        <v/>
      </c>
      <c r="M1234" s="37" t="str">
        <f>IFERROR(IF(Agent07_Withdrawals!A39="","",YEAR(Agent07_Withdrawals!D39)),"")</f>
        <v/>
      </c>
    </row>
    <row r="1235" spans="1:13" ht="18" customHeight="1" x14ac:dyDescent="0.25">
      <c r="A1235" s="37" t="str">
        <f>IF(Agent07_Withdrawals!A40="","",Agent07_Withdrawals!A40)</f>
        <v/>
      </c>
      <c r="B1235" s="37" t="str">
        <f ca="1">IF(Agent07_Withdrawals!A40="","","WD"&amp;TEXT(1235-3,"0000")&amp;"-"&amp;TEXT(TODAY(),"YYYYMMDD"))</f>
        <v/>
      </c>
      <c r="C1235" s="37" t="str">
        <f>IF(Agent07_Withdrawals!A40="","",Agent07_Withdrawals!B40)</f>
        <v/>
      </c>
      <c r="D1235" s="40" t="str">
        <f>IF(Agent07_Withdrawals!A40="","",Agent07_Withdrawals!C40)</f>
        <v/>
      </c>
      <c r="E1235" s="38" t="str">
        <f>IF(Agent07_Withdrawals!A40="","",Agent07_Withdrawals!D40)</f>
        <v/>
      </c>
      <c r="F1235" s="37" t="str">
        <f>IF(Agent07_Withdrawals!A40="","",Agent07_Withdrawals!F40)</f>
        <v/>
      </c>
      <c r="G1235" s="39" t="str">
        <f>IF(Agent07_Withdrawals!A40="","",Agent07_Withdrawals!E40)</f>
        <v/>
      </c>
      <c r="H1235" s="39" t="str">
        <f>IF(Agent07_Withdrawals!A40="","",Agent07_Withdrawals!G40)</f>
        <v/>
      </c>
      <c r="I1235" s="37" t="str">
        <f>IF(Agent07_Withdrawals!A40="","",Agent07_Withdrawals!H40)</f>
        <v/>
      </c>
      <c r="J1235" s="37" t="str">
        <f>IF(Agent07_Withdrawals!A40="","",Agent07_Withdrawals!J40)</f>
        <v/>
      </c>
      <c r="K1235" s="37" t="str">
        <f>IF(Agent07_Withdrawals!A40="","",Agent07_Withdrawals!K40)</f>
        <v/>
      </c>
      <c r="L1235" s="37" t="str">
        <f>IF(G1235="","",IF(D1235-G1235&gt;=System_Config!$B$9,"✅ OK","⚠️ BREACH"))</f>
        <v/>
      </c>
      <c r="M1235" s="37" t="str">
        <f>IFERROR(IF(Agent07_Withdrawals!A40="","",YEAR(Agent07_Withdrawals!D40)),"")</f>
        <v/>
      </c>
    </row>
    <row r="1236" spans="1:13" ht="18" customHeight="1" x14ac:dyDescent="0.25">
      <c r="A1236" s="37" t="str">
        <f>IF(Agent07_Withdrawals!A41="","",Agent07_Withdrawals!A41)</f>
        <v/>
      </c>
      <c r="B1236" s="37" t="str">
        <f ca="1">IF(Agent07_Withdrawals!A41="","","WD"&amp;TEXT(1236-3,"0000")&amp;"-"&amp;TEXT(TODAY(),"YYYYMMDD"))</f>
        <v/>
      </c>
      <c r="C1236" s="37" t="str">
        <f>IF(Agent07_Withdrawals!A41="","",Agent07_Withdrawals!B41)</f>
        <v/>
      </c>
      <c r="D1236" s="40" t="str">
        <f>IF(Agent07_Withdrawals!A41="","",Agent07_Withdrawals!C41)</f>
        <v/>
      </c>
      <c r="E1236" s="38" t="str">
        <f>IF(Agent07_Withdrawals!A41="","",Agent07_Withdrawals!D41)</f>
        <v/>
      </c>
      <c r="F1236" s="37" t="str">
        <f>IF(Agent07_Withdrawals!A41="","",Agent07_Withdrawals!F41)</f>
        <v/>
      </c>
      <c r="G1236" s="39" t="str">
        <f>IF(Agent07_Withdrawals!A41="","",Agent07_Withdrawals!E41)</f>
        <v/>
      </c>
      <c r="H1236" s="39" t="str">
        <f>IF(Agent07_Withdrawals!A41="","",Agent07_Withdrawals!G41)</f>
        <v/>
      </c>
      <c r="I1236" s="37" t="str">
        <f>IF(Agent07_Withdrawals!A41="","",Agent07_Withdrawals!H41)</f>
        <v/>
      </c>
      <c r="J1236" s="37" t="str">
        <f>IF(Agent07_Withdrawals!A41="","",Agent07_Withdrawals!J41)</f>
        <v/>
      </c>
      <c r="K1236" s="37" t="str">
        <f>IF(Agent07_Withdrawals!A41="","",Agent07_Withdrawals!K41)</f>
        <v/>
      </c>
      <c r="L1236" s="37" t="str">
        <f>IF(G1236="","",IF(D1236-G1236&gt;=System_Config!$B$9,"✅ OK","⚠️ BREACH"))</f>
        <v/>
      </c>
      <c r="M1236" s="37" t="str">
        <f>IFERROR(IF(Agent07_Withdrawals!A41="","",YEAR(Agent07_Withdrawals!D41)),"")</f>
        <v/>
      </c>
    </row>
    <row r="1237" spans="1:13" ht="18" customHeight="1" x14ac:dyDescent="0.25">
      <c r="A1237" s="37" t="str">
        <f>IF(Agent07_Withdrawals!A42="","",Agent07_Withdrawals!A42)</f>
        <v/>
      </c>
      <c r="B1237" s="37" t="str">
        <f ca="1">IF(Agent07_Withdrawals!A42="","","WD"&amp;TEXT(1237-3,"0000")&amp;"-"&amp;TEXT(TODAY(),"YYYYMMDD"))</f>
        <v/>
      </c>
      <c r="C1237" s="37" t="str">
        <f>IF(Agent07_Withdrawals!A42="","",Agent07_Withdrawals!B42)</f>
        <v/>
      </c>
      <c r="D1237" s="40" t="str">
        <f>IF(Agent07_Withdrawals!A42="","",Agent07_Withdrawals!C42)</f>
        <v/>
      </c>
      <c r="E1237" s="38" t="str">
        <f>IF(Agent07_Withdrawals!A42="","",Agent07_Withdrawals!D42)</f>
        <v/>
      </c>
      <c r="F1237" s="37" t="str">
        <f>IF(Agent07_Withdrawals!A42="","",Agent07_Withdrawals!F42)</f>
        <v/>
      </c>
      <c r="G1237" s="39" t="str">
        <f>IF(Agent07_Withdrawals!A42="","",Agent07_Withdrawals!E42)</f>
        <v/>
      </c>
      <c r="H1237" s="39" t="str">
        <f>IF(Agent07_Withdrawals!A42="","",Agent07_Withdrawals!G42)</f>
        <v/>
      </c>
      <c r="I1237" s="37" t="str">
        <f>IF(Agent07_Withdrawals!A42="","",Agent07_Withdrawals!H42)</f>
        <v/>
      </c>
      <c r="J1237" s="37" t="str">
        <f>IF(Agent07_Withdrawals!A42="","",Agent07_Withdrawals!J42)</f>
        <v/>
      </c>
      <c r="K1237" s="37" t="str">
        <f>IF(Agent07_Withdrawals!A42="","",Agent07_Withdrawals!K42)</f>
        <v/>
      </c>
      <c r="L1237" s="37" t="str">
        <f>IF(G1237="","",IF(D1237-G1237&gt;=System_Config!$B$9,"✅ OK","⚠️ BREACH"))</f>
        <v/>
      </c>
      <c r="M1237" s="37" t="str">
        <f>IFERROR(IF(Agent07_Withdrawals!A42="","",YEAR(Agent07_Withdrawals!D42)),"")</f>
        <v/>
      </c>
    </row>
    <row r="1238" spans="1:13" ht="18" customHeight="1" x14ac:dyDescent="0.25">
      <c r="A1238" s="37" t="str">
        <f>IF(Agent07_Withdrawals!A43="","",Agent07_Withdrawals!A43)</f>
        <v/>
      </c>
      <c r="B1238" s="37" t="str">
        <f ca="1">IF(Agent07_Withdrawals!A43="","","WD"&amp;TEXT(1238-3,"0000")&amp;"-"&amp;TEXT(TODAY(),"YYYYMMDD"))</f>
        <v/>
      </c>
      <c r="C1238" s="37" t="str">
        <f>IF(Agent07_Withdrawals!A43="","",Agent07_Withdrawals!B43)</f>
        <v/>
      </c>
      <c r="D1238" s="40" t="str">
        <f>IF(Agent07_Withdrawals!A43="","",Agent07_Withdrawals!C43)</f>
        <v/>
      </c>
      <c r="E1238" s="38" t="str">
        <f>IF(Agent07_Withdrawals!A43="","",Agent07_Withdrawals!D43)</f>
        <v/>
      </c>
      <c r="F1238" s="37" t="str">
        <f>IF(Agent07_Withdrawals!A43="","",Agent07_Withdrawals!F43)</f>
        <v/>
      </c>
      <c r="G1238" s="39" t="str">
        <f>IF(Agent07_Withdrawals!A43="","",Agent07_Withdrawals!E43)</f>
        <v/>
      </c>
      <c r="H1238" s="39" t="str">
        <f>IF(Agent07_Withdrawals!A43="","",Agent07_Withdrawals!G43)</f>
        <v/>
      </c>
      <c r="I1238" s="37" t="str">
        <f>IF(Agent07_Withdrawals!A43="","",Agent07_Withdrawals!H43)</f>
        <v/>
      </c>
      <c r="J1238" s="37" t="str">
        <f>IF(Agent07_Withdrawals!A43="","",Agent07_Withdrawals!J43)</f>
        <v/>
      </c>
      <c r="K1238" s="37" t="str">
        <f>IF(Agent07_Withdrawals!A43="","",Agent07_Withdrawals!K43)</f>
        <v/>
      </c>
      <c r="L1238" s="37" t="str">
        <f>IF(G1238="","",IF(D1238-G1238&gt;=System_Config!$B$9,"✅ OK","⚠️ BREACH"))</f>
        <v/>
      </c>
      <c r="M1238" s="37" t="str">
        <f>IFERROR(IF(Agent07_Withdrawals!A43="","",YEAR(Agent07_Withdrawals!D43)),"")</f>
        <v/>
      </c>
    </row>
    <row r="1239" spans="1:13" ht="18" customHeight="1" x14ac:dyDescent="0.25">
      <c r="A1239" s="37" t="str">
        <f>IF(Agent07_Withdrawals!A44="","",Agent07_Withdrawals!A44)</f>
        <v/>
      </c>
      <c r="B1239" s="37" t="str">
        <f ca="1">IF(Agent07_Withdrawals!A44="","","WD"&amp;TEXT(1239-3,"0000")&amp;"-"&amp;TEXT(TODAY(),"YYYYMMDD"))</f>
        <v/>
      </c>
      <c r="C1239" s="37" t="str">
        <f>IF(Agent07_Withdrawals!A44="","",Agent07_Withdrawals!B44)</f>
        <v/>
      </c>
      <c r="D1239" s="40" t="str">
        <f>IF(Agent07_Withdrawals!A44="","",Agent07_Withdrawals!C44)</f>
        <v/>
      </c>
      <c r="E1239" s="38" t="str">
        <f>IF(Agent07_Withdrawals!A44="","",Agent07_Withdrawals!D44)</f>
        <v/>
      </c>
      <c r="F1239" s="37" t="str">
        <f>IF(Agent07_Withdrawals!A44="","",Agent07_Withdrawals!F44)</f>
        <v/>
      </c>
      <c r="G1239" s="39" t="str">
        <f>IF(Agent07_Withdrawals!A44="","",Agent07_Withdrawals!E44)</f>
        <v/>
      </c>
      <c r="H1239" s="39" t="str">
        <f>IF(Agent07_Withdrawals!A44="","",Agent07_Withdrawals!G44)</f>
        <v/>
      </c>
      <c r="I1239" s="37" t="str">
        <f>IF(Agent07_Withdrawals!A44="","",Agent07_Withdrawals!H44)</f>
        <v/>
      </c>
      <c r="J1239" s="37" t="str">
        <f>IF(Agent07_Withdrawals!A44="","",Agent07_Withdrawals!J44)</f>
        <v/>
      </c>
      <c r="K1239" s="37" t="str">
        <f>IF(Agent07_Withdrawals!A44="","",Agent07_Withdrawals!K44)</f>
        <v/>
      </c>
      <c r="L1239" s="37" t="str">
        <f>IF(G1239="","",IF(D1239-G1239&gt;=System_Config!$B$9,"✅ OK","⚠️ BREACH"))</f>
        <v/>
      </c>
      <c r="M1239" s="37" t="str">
        <f>IFERROR(IF(Agent07_Withdrawals!A44="","",YEAR(Agent07_Withdrawals!D44)),"")</f>
        <v/>
      </c>
    </row>
    <row r="1240" spans="1:13" ht="18" customHeight="1" x14ac:dyDescent="0.25">
      <c r="A1240" s="37" t="str">
        <f>IF(Agent07_Withdrawals!A45="","",Agent07_Withdrawals!A45)</f>
        <v/>
      </c>
      <c r="B1240" s="37" t="str">
        <f ca="1">IF(Agent07_Withdrawals!A45="","","WD"&amp;TEXT(1240-3,"0000")&amp;"-"&amp;TEXT(TODAY(),"YYYYMMDD"))</f>
        <v/>
      </c>
      <c r="C1240" s="37" t="str">
        <f>IF(Agent07_Withdrawals!A45="","",Agent07_Withdrawals!B45)</f>
        <v/>
      </c>
      <c r="D1240" s="40" t="str">
        <f>IF(Agent07_Withdrawals!A45="","",Agent07_Withdrawals!C45)</f>
        <v/>
      </c>
      <c r="E1240" s="38" t="str">
        <f>IF(Agent07_Withdrawals!A45="","",Agent07_Withdrawals!D45)</f>
        <v/>
      </c>
      <c r="F1240" s="37" t="str">
        <f>IF(Agent07_Withdrawals!A45="","",Agent07_Withdrawals!F45)</f>
        <v/>
      </c>
      <c r="G1240" s="39" t="str">
        <f>IF(Agent07_Withdrawals!A45="","",Agent07_Withdrawals!E45)</f>
        <v/>
      </c>
      <c r="H1240" s="39" t="str">
        <f>IF(Agent07_Withdrawals!A45="","",Agent07_Withdrawals!G45)</f>
        <v/>
      </c>
      <c r="I1240" s="37" t="str">
        <f>IF(Agent07_Withdrawals!A45="","",Agent07_Withdrawals!H45)</f>
        <v/>
      </c>
      <c r="J1240" s="37" t="str">
        <f>IF(Agent07_Withdrawals!A45="","",Agent07_Withdrawals!J45)</f>
        <v/>
      </c>
      <c r="K1240" s="37" t="str">
        <f>IF(Agent07_Withdrawals!A45="","",Agent07_Withdrawals!K45)</f>
        <v/>
      </c>
      <c r="L1240" s="37" t="str">
        <f>IF(G1240="","",IF(D1240-G1240&gt;=System_Config!$B$9,"✅ OK","⚠️ BREACH"))</f>
        <v/>
      </c>
      <c r="M1240" s="37" t="str">
        <f>IFERROR(IF(Agent07_Withdrawals!A45="","",YEAR(Agent07_Withdrawals!D45)),"")</f>
        <v/>
      </c>
    </row>
    <row r="1241" spans="1:13" ht="18" customHeight="1" x14ac:dyDescent="0.25">
      <c r="A1241" s="37" t="str">
        <f>IF(Agent07_Withdrawals!A46="","",Agent07_Withdrawals!A46)</f>
        <v/>
      </c>
      <c r="B1241" s="37" t="str">
        <f ca="1">IF(Agent07_Withdrawals!A46="","","WD"&amp;TEXT(1241-3,"0000")&amp;"-"&amp;TEXT(TODAY(),"YYYYMMDD"))</f>
        <v/>
      </c>
      <c r="C1241" s="37" t="str">
        <f>IF(Agent07_Withdrawals!A46="","",Agent07_Withdrawals!B46)</f>
        <v/>
      </c>
      <c r="D1241" s="40" t="str">
        <f>IF(Agent07_Withdrawals!A46="","",Agent07_Withdrawals!C46)</f>
        <v/>
      </c>
      <c r="E1241" s="38" t="str">
        <f>IF(Agent07_Withdrawals!A46="","",Agent07_Withdrawals!D46)</f>
        <v/>
      </c>
      <c r="F1241" s="37" t="str">
        <f>IF(Agent07_Withdrawals!A46="","",Agent07_Withdrawals!F46)</f>
        <v/>
      </c>
      <c r="G1241" s="39" t="str">
        <f>IF(Agent07_Withdrawals!A46="","",Agent07_Withdrawals!E46)</f>
        <v/>
      </c>
      <c r="H1241" s="39" t="str">
        <f>IF(Agent07_Withdrawals!A46="","",Agent07_Withdrawals!G46)</f>
        <v/>
      </c>
      <c r="I1241" s="37" t="str">
        <f>IF(Agent07_Withdrawals!A46="","",Agent07_Withdrawals!H46)</f>
        <v/>
      </c>
      <c r="J1241" s="37" t="str">
        <f>IF(Agent07_Withdrawals!A46="","",Agent07_Withdrawals!J46)</f>
        <v/>
      </c>
      <c r="K1241" s="37" t="str">
        <f>IF(Agent07_Withdrawals!A46="","",Agent07_Withdrawals!K46)</f>
        <v/>
      </c>
      <c r="L1241" s="37" t="str">
        <f>IF(G1241="","",IF(D1241-G1241&gt;=System_Config!$B$9,"✅ OK","⚠️ BREACH"))</f>
        <v/>
      </c>
      <c r="M1241" s="37" t="str">
        <f>IFERROR(IF(Agent07_Withdrawals!A46="","",YEAR(Agent07_Withdrawals!D46)),"")</f>
        <v/>
      </c>
    </row>
    <row r="1242" spans="1:13" ht="18" customHeight="1" x14ac:dyDescent="0.25">
      <c r="A1242" s="37" t="str">
        <f>IF(Agent07_Withdrawals!A47="","",Agent07_Withdrawals!A47)</f>
        <v/>
      </c>
      <c r="B1242" s="37" t="str">
        <f ca="1">IF(Agent07_Withdrawals!A47="","","WD"&amp;TEXT(1242-3,"0000")&amp;"-"&amp;TEXT(TODAY(),"YYYYMMDD"))</f>
        <v/>
      </c>
      <c r="C1242" s="37" t="str">
        <f>IF(Agent07_Withdrawals!A47="","",Agent07_Withdrawals!B47)</f>
        <v/>
      </c>
      <c r="D1242" s="40" t="str">
        <f>IF(Agent07_Withdrawals!A47="","",Agent07_Withdrawals!C47)</f>
        <v/>
      </c>
      <c r="E1242" s="38" t="str">
        <f>IF(Agent07_Withdrawals!A47="","",Agent07_Withdrawals!D47)</f>
        <v/>
      </c>
      <c r="F1242" s="37" t="str">
        <f>IF(Agent07_Withdrawals!A47="","",Agent07_Withdrawals!F47)</f>
        <v/>
      </c>
      <c r="G1242" s="39" t="str">
        <f>IF(Agent07_Withdrawals!A47="","",Agent07_Withdrawals!E47)</f>
        <v/>
      </c>
      <c r="H1242" s="39" t="str">
        <f>IF(Agent07_Withdrawals!A47="","",Agent07_Withdrawals!G47)</f>
        <v/>
      </c>
      <c r="I1242" s="37" t="str">
        <f>IF(Agent07_Withdrawals!A47="","",Agent07_Withdrawals!H47)</f>
        <v/>
      </c>
      <c r="J1242" s="37" t="str">
        <f>IF(Agent07_Withdrawals!A47="","",Agent07_Withdrawals!J47)</f>
        <v/>
      </c>
      <c r="K1242" s="37" t="str">
        <f>IF(Agent07_Withdrawals!A47="","",Agent07_Withdrawals!K47)</f>
        <v/>
      </c>
      <c r="L1242" s="37" t="str">
        <f>IF(G1242="","",IF(D1242-G1242&gt;=System_Config!$B$9,"✅ OK","⚠️ BREACH"))</f>
        <v/>
      </c>
      <c r="M1242" s="37" t="str">
        <f>IFERROR(IF(Agent07_Withdrawals!A47="","",YEAR(Agent07_Withdrawals!D47)),"")</f>
        <v/>
      </c>
    </row>
    <row r="1243" spans="1:13" ht="18" customHeight="1" x14ac:dyDescent="0.25">
      <c r="A1243" s="37" t="str">
        <f>IF(Agent07_Withdrawals!A48="","",Agent07_Withdrawals!A48)</f>
        <v/>
      </c>
      <c r="B1243" s="37" t="str">
        <f ca="1">IF(Agent07_Withdrawals!A48="","","WD"&amp;TEXT(1243-3,"0000")&amp;"-"&amp;TEXT(TODAY(),"YYYYMMDD"))</f>
        <v/>
      </c>
      <c r="C1243" s="37" t="str">
        <f>IF(Agent07_Withdrawals!A48="","",Agent07_Withdrawals!B48)</f>
        <v/>
      </c>
      <c r="D1243" s="40" t="str">
        <f>IF(Agent07_Withdrawals!A48="","",Agent07_Withdrawals!C48)</f>
        <v/>
      </c>
      <c r="E1243" s="38" t="str">
        <f>IF(Agent07_Withdrawals!A48="","",Agent07_Withdrawals!D48)</f>
        <v/>
      </c>
      <c r="F1243" s="37" t="str">
        <f>IF(Agent07_Withdrawals!A48="","",Agent07_Withdrawals!F48)</f>
        <v/>
      </c>
      <c r="G1243" s="39" t="str">
        <f>IF(Agent07_Withdrawals!A48="","",Agent07_Withdrawals!E48)</f>
        <v/>
      </c>
      <c r="H1243" s="39" t="str">
        <f>IF(Agent07_Withdrawals!A48="","",Agent07_Withdrawals!G48)</f>
        <v/>
      </c>
      <c r="I1243" s="37" t="str">
        <f>IF(Agent07_Withdrawals!A48="","",Agent07_Withdrawals!H48)</f>
        <v/>
      </c>
      <c r="J1243" s="37" t="str">
        <f>IF(Agent07_Withdrawals!A48="","",Agent07_Withdrawals!J48)</f>
        <v/>
      </c>
      <c r="K1243" s="37" t="str">
        <f>IF(Agent07_Withdrawals!A48="","",Agent07_Withdrawals!K48)</f>
        <v/>
      </c>
      <c r="L1243" s="37" t="str">
        <f>IF(G1243="","",IF(D1243-G1243&gt;=System_Config!$B$9,"✅ OK","⚠️ BREACH"))</f>
        <v/>
      </c>
      <c r="M1243" s="37" t="str">
        <f>IFERROR(IF(Agent07_Withdrawals!A48="","",YEAR(Agent07_Withdrawals!D48)),"")</f>
        <v/>
      </c>
    </row>
    <row r="1244" spans="1:13" ht="18" customHeight="1" x14ac:dyDescent="0.25">
      <c r="A1244" s="37" t="str">
        <f>IF(Agent07_Withdrawals!A49="","",Agent07_Withdrawals!A49)</f>
        <v/>
      </c>
      <c r="B1244" s="37" t="str">
        <f ca="1">IF(Agent07_Withdrawals!A49="","","WD"&amp;TEXT(1244-3,"0000")&amp;"-"&amp;TEXT(TODAY(),"YYYYMMDD"))</f>
        <v/>
      </c>
      <c r="C1244" s="37" t="str">
        <f>IF(Agent07_Withdrawals!A49="","",Agent07_Withdrawals!B49)</f>
        <v/>
      </c>
      <c r="D1244" s="40" t="str">
        <f>IF(Agent07_Withdrawals!A49="","",Agent07_Withdrawals!C49)</f>
        <v/>
      </c>
      <c r="E1244" s="38" t="str">
        <f>IF(Agent07_Withdrawals!A49="","",Agent07_Withdrawals!D49)</f>
        <v/>
      </c>
      <c r="F1244" s="37" t="str">
        <f>IF(Agent07_Withdrawals!A49="","",Agent07_Withdrawals!F49)</f>
        <v/>
      </c>
      <c r="G1244" s="39" t="str">
        <f>IF(Agent07_Withdrawals!A49="","",Agent07_Withdrawals!E49)</f>
        <v/>
      </c>
      <c r="H1244" s="39" t="str">
        <f>IF(Agent07_Withdrawals!A49="","",Agent07_Withdrawals!G49)</f>
        <v/>
      </c>
      <c r="I1244" s="37" t="str">
        <f>IF(Agent07_Withdrawals!A49="","",Agent07_Withdrawals!H49)</f>
        <v/>
      </c>
      <c r="J1244" s="37" t="str">
        <f>IF(Agent07_Withdrawals!A49="","",Agent07_Withdrawals!J49)</f>
        <v/>
      </c>
      <c r="K1244" s="37" t="str">
        <f>IF(Agent07_Withdrawals!A49="","",Agent07_Withdrawals!K49)</f>
        <v/>
      </c>
      <c r="L1244" s="37" t="str">
        <f>IF(G1244="","",IF(D1244-G1244&gt;=System_Config!$B$9,"✅ OK","⚠️ BREACH"))</f>
        <v/>
      </c>
      <c r="M1244" s="37" t="str">
        <f>IFERROR(IF(Agent07_Withdrawals!A49="","",YEAR(Agent07_Withdrawals!D49)),"")</f>
        <v/>
      </c>
    </row>
    <row r="1245" spans="1:13" ht="18" customHeight="1" x14ac:dyDescent="0.25">
      <c r="A1245" s="37" t="str">
        <f>IF(Agent07_Withdrawals!A50="","",Agent07_Withdrawals!A50)</f>
        <v/>
      </c>
      <c r="B1245" s="37" t="str">
        <f ca="1">IF(Agent07_Withdrawals!A50="","","WD"&amp;TEXT(1245-3,"0000")&amp;"-"&amp;TEXT(TODAY(),"YYYYMMDD"))</f>
        <v/>
      </c>
      <c r="C1245" s="37" t="str">
        <f>IF(Agent07_Withdrawals!A50="","",Agent07_Withdrawals!B50)</f>
        <v/>
      </c>
      <c r="D1245" s="40" t="str">
        <f>IF(Agent07_Withdrawals!A50="","",Agent07_Withdrawals!C50)</f>
        <v/>
      </c>
      <c r="E1245" s="38" t="str">
        <f>IF(Agent07_Withdrawals!A50="","",Agent07_Withdrawals!D50)</f>
        <v/>
      </c>
      <c r="F1245" s="37" t="str">
        <f>IF(Agent07_Withdrawals!A50="","",Agent07_Withdrawals!F50)</f>
        <v/>
      </c>
      <c r="G1245" s="39" t="str">
        <f>IF(Agent07_Withdrawals!A50="","",Agent07_Withdrawals!E50)</f>
        <v/>
      </c>
      <c r="H1245" s="39" t="str">
        <f>IF(Agent07_Withdrawals!A50="","",Agent07_Withdrawals!G50)</f>
        <v/>
      </c>
      <c r="I1245" s="37" t="str">
        <f>IF(Agent07_Withdrawals!A50="","",Agent07_Withdrawals!H50)</f>
        <v/>
      </c>
      <c r="J1245" s="37" t="str">
        <f>IF(Agent07_Withdrawals!A50="","",Agent07_Withdrawals!J50)</f>
        <v/>
      </c>
      <c r="K1245" s="37" t="str">
        <f>IF(Agent07_Withdrawals!A50="","",Agent07_Withdrawals!K50)</f>
        <v/>
      </c>
      <c r="L1245" s="37" t="str">
        <f>IF(G1245="","",IF(D1245-G1245&gt;=System_Config!$B$9,"✅ OK","⚠️ BREACH"))</f>
        <v/>
      </c>
      <c r="M1245" s="37" t="str">
        <f>IFERROR(IF(Agent07_Withdrawals!A50="","",YEAR(Agent07_Withdrawals!D50)),"")</f>
        <v/>
      </c>
    </row>
    <row r="1246" spans="1:13" ht="18" customHeight="1" x14ac:dyDescent="0.25">
      <c r="A1246" s="37" t="str">
        <f>IF(Agent07_Withdrawals!A51="","",Agent07_Withdrawals!A51)</f>
        <v/>
      </c>
      <c r="B1246" s="37" t="str">
        <f ca="1">IF(Agent07_Withdrawals!A51="","","WD"&amp;TEXT(1246-3,"0000")&amp;"-"&amp;TEXT(TODAY(),"YYYYMMDD"))</f>
        <v/>
      </c>
      <c r="C1246" s="37" t="str">
        <f>IF(Agent07_Withdrawals!A51="","",Agent07_Withdrawals!B51)</f>
        <v/>
      </c>
      <c r="D1246" s="40" t="str">
        <f>IF(Agent07_Withdrawals!A51="","",Agent07_Withdrawals!C51)</f>
        <v/>
      </c>
      <c r="E1246" s="38" t="str">
        <f>IF(Agent07_Withdrawals!A51="","",Agent07_Withdrawals!D51)</f>
        <v/>
      </c>
      <c r="F1246" s="37" t="str">
        <f>IF(Agent07_Withdrawals!A51="","",Agent07_Withdrawals!F51)</f>
        <v/>
      </c>
      <c r="G1246" s="39" t="str">
        <f>IF(Agent07_Withdrawals!A51="","",Agent07_Withdrawals!E51)</f>
        <v/>
      </c>
      <c r="H1246" s="39" t="str">
        <f>IF(Agent07_Withdrawals!A51="","",Agent07_Withdrawals!G51)</f>
        <v/>
      </c>
      <c r="I1246" s="37" t="str">
        <f>IF(Agent07_Withdrawals!A51="","",Agent07_Withdrawals!H51)</f>
        <v/>
      </c>
      <c r="J1246" s="37" t="str">
        <f>IF(Agent07_Withdrawals!A51="","",Agent07_Withdrawals!J51)</f>
        <v/>
      </c>
      <c r="K1246" s="37" t="str">
        <f>IF(Agent07_Withdrawals!A51="","",Agent07_Withdrawals!K51)</f>
        <v/>
      </c>
      <c r="L1246" s="37" t="str">
        <f>IF(G1246="","",IF(D1246-G1246&gt;=System_Config!$B$9,"✅ OK","⚠️ BREACH"))</f>
        <v/>
      </c>
      <c r="M1246" s="37" t="str">
        <f>IFERROR(IF(Agent07_Withdrawals!A51="","",YEAR(Agent07_Withdrawals!D51)),"")</f>
        <v/>
      </c>
    </row>
    <row r="1247" spans="1:13" ht="18" customHeight="1" x14ac:dyDescent="0.25">
      <c r="A1247" s="37" t="str">
        <f>IF(Agent07_Withdrawals!A52="","",Agent07_Withdrawals!A52)</f>
        <v/>
      </c>
      <c r="B1247" s="37" t="str">
        <f ca="1">IF(Agent07_Withdrawals!A52="","","WD"&amp;TEXT(1247-3,"0000")&amp;"-"&amp;TEXT(TODAY(),"YYYYMMDD"))</f>
        <v/>
      </c>
      <c r="C1247" s="37" t="str">
        <f>IF(Agent07_Withdrawals!A52="","",Agent07_Withdrawals!B52)</f>
        <v/>
      </c>
      <c r="D1247" s="40" t="str">
        <f>IF(Agent07_Withdrawals!A52="","",Agent07_Withdrawals!C52)</f>
        <v/>
      </c>
      <c r="E1247" s="38" t="str">
        <f>IF(Agent07_Withdrawals!A52="","",Agent07_Withdrawals!D52)</f>
        <v/>
      </c>
      <c r="F1247" s="37" t="str">
        <f>IF(Agent07_Withdrawals!A52="","",Agent07_Withdrawals!F52)</f>
        <v/>
      </c>
      <c r="G1247" s="39" t="str">
        <f>IF(Agent07_Withdrawals!A52="","",Agent07_Withdrawals!E52)</f>
        <v/>
      </c>
      <c r="H1247" s="39" t="str">
        <f>IF(Agent07_Withdrawals!A52="","",Agent07_Withdrawals!G52)</f>
        <v/>
      </c>
      <c r="I1247" s="37" t="str">
        <f>IF(Agent07_Withdrawals!A52="","",Agent07_Withdrawals!H52)</f>
        <v/>
      </c>
      <c r="J1247" s="37" t="str">
        <f>IF(Agent07_Withdrawals!A52="","",Agent07_Withdrawals!J52)</f>
        <v/>
      </c>
      <c r="K1247" s="37" t="str">
        <f>IF(Agent07_Withdrawals!A52="","",Agent07_Withdrawals!K52)</f>
        <v/>
      </c>
      <c r="L1247" s="37" t="str">
        <f>IF(G1247="","",IF(D1247-G1247&gt;=System_Config!$B$9,"✅ OK","⚠️ BREACH"))</f>
        <v/>
      </c>
      <c r="M1247" s="37" t="str">
        <f>IFERROR(IF(Agent07_Withdrawals!A52="","",YEAR(Agent07_Withdrawals!D52)),"")</f>
        <v/>
      </c>
    </row>
    <row r="1248" spans="1:13" ht="18" customHeight="1" x14ac:dyDescent="0.25">
      <c r="A1248" s="37" t="str">
        <f>IF(Agent07_Withdrawals!A53="","",Agent07_Withdrawals!A53)</f>
        <v/>
      </c>
      <c r="B1248" s="37" t="str">
        <f ca="1">IF(Agent07_Withdrawals!A53="","","WD"&amp;TEXT(1248-3,"0000")&amp;"-"&amp;TEXT(TODAY(),"YYYYMMDD"))</f>
        <v/>
      </c>
      <c r="C1248" s="37" t="str">
        <f>IF(Agent07_Withdrawals!A53="","",Agent07_Withdrawals!B53)</f>
        <v/>
      </c>
      <c r="D1248" s="40" t="str">
        <f>IF(Agent07_Withdrawals!A53="","",Agent07_Withdrawals!C53)</f>
        <v/>
      </c>
      <c r="E1248" s="38" t="str">
        <f>IF(Agent07_Withdrawals!A53="","",Agent07_Withdrawals!D53)</f>
        <v/>
      </c>
      <c r="F1248" s="37" t="str">
        <f>IF(Agent07_Withdrawals!A53="","",Agent07_Withdrawals!F53)</f>
        <v/>
      </c>
      <c r="G1248" s="39" t="str">
        <f>IF(Agent07_Withdrawals!A53="","",Agent07_Withdrawals!E53)</f>
        <v/>
      </c>
      <c r="H1248" s="39" t="str">
        <f>IF(Agent07_Withdrawals!A53="","",Agent07_Withdrawals!G53)</f>
        <v/>
      </c>
      <c r="I1248" s="37" t="str">
        <f>IF(Agent07_Withdrawals!A53="","",Agent07_Withdrawals!H53)</f>
        <v/>
      </c>
      <c r="J1248" s="37" t="str">
        <f>IF(Agent07_Withdrawals!A53="","",Agent07_Withdrawals!J53)</f>
        <v/>
      </c>
      <c r="K1248" s="37" t="str">
        <f>IF(Agent07_Withdrawals!A53="","",Agent07_Withdrawals!K53)</f>
        <v/>
      </c>
      <c r="L1248" s="37" t="str">
        <f>IF(G1248="","",IF(D1248-G1248&gt;=System_Config!$B$9,"✅ OK","⚠️ BREACH"))</f>
        <v/>
      </c>
      <c r="M1248" s="37" t="str">
        <f>IFERROR(IF(Agent07_Withdrawals!A53="","",YEAR(Agent07_Withdrawals!D53)),"")</f>
        <v/>
      </c>
    </row>
    <row r="1249" spans="1:13" ht="18" customHeight="1" x14ac:dyDescent="0.25">
      <c r="A1249" s="37" t="str">
        <f>IF(Agent07_Withdrawals!A54="","",Agent07_Withdrawals!A54)</f>
        <v/>
      </c>
      <c r="B1249" s="37" t="str">
        <f ca="1">IF(Agent07_Withdrawals!A54="","","WD"&amp;TEXT(1249-3,"0000")&amp;"-"&amp;TEXT(TODAY(),"YYYYMMDD"))</f>
        <v/>
      </c>
      <c r="C1249" s="37" t="str">
        <f>IF(Agent07_Withdrawals!A54="","",Agent07_Withdrawals!B54)</f>
        <v/>
      </c>
      <c r="D1249" s="40" t="str">
        <f>IF(Agent07_Withdrawals!A54="","",Agent07_Withdrawals!C54)</f>
        <v/>
      </c>
      <c r="E1249" s="38" t="str">
        <f>IF(Agent07_Withdrawals!A54="","",Agent07_Withdrawals!D54)</f>
        <v/>
      </c>
      <c r="F1249" s="37" t="str">
        <f>IF(Agent07_Withdrawals!A54="","",Agent07_Withdrawals!F54)</f>
        <v/>
      </c>
      <c r="G1249" s="39" t="str">
        <f>IF(Agent07_Withdrawals!A54="","",Agent07_Withdrawals!E54)</f>
        <v/>
      </c>
      <c r="H1249" s="39" t="str">
        <f>IF(Agent07_Withdrawals!A54="","",Agent07_Withdrawals!G54)</f>
        <v/>
      </c>
      <c r="I1249" s="37" t="str">
        <f>IF(Agent07_Withdrawals!A54="","",Agent07_Withdrawals!H54)</f>
        <v/>
      </c>
      <c r="J1249" s="37" t="str">
        <f>IF(Agent07_Withdrawals!A54="","",Agent07_Withdrawals!J54)</f>
        <v/>
      </c>
      <c r="K1249" s="37" t="str">
        <f>IF(Agent07_Withdrawals!A54="","",Agent07_Withdrawals!K54)</f>
        <v/>
      </c>
      <c r="L1249" s="37" t="str">
        <f>IF(G1249="","",IF(D1249-G1249&gt;=System_Config!$B$9,"✅ OK","⚠️ BREACH"))</f>
        <v/>
      </c>
      <c r="M1249" s="37" t="str">
        <f>IFERROR(IF(Agent07_Withdrawals!A54="","",YEAR(Agent07_Withdrawals!D54)),"")</f>
        <v/>
      </c>
    </row>
    <row r="1250" spans="1:13" ht="18" customHeight="1" x14ac:dyDescent="0.25">
      <c r="A1250" s="37" t="str">
        <f>IF(Agent07_Withdrawals!A55="","",Agent07_Withdrawals!A55)</f>
        <v/>
      </c>
      <c r="B1250" s="37" t="str">
        <f ca="1">IF(Agent07_Withdrawals!A55="","","WD"&amp;TEXT(1250-3,"0000")&amp;"-"&amp;TEXT(TODAY(),"YYYYMMDD"))</f>
        <v/>
      </c>
      <c r="C1250" s="37" t="str">
        <f>IF(Agent07_Withdrawals!A55="","",Agent07_Withdrawals!B55)</f>
        <v/>
      </c>
      <c r="D1250" s="40" t="str">
        <f>IF(Agent07_Withdrawals!A55="","",Agent07_Withdrawals!C55)</f>
        <v/>
      </c>
      <c r="E1250" s="38" t="str">
        <f>IF(Agent07_Withdrawals!A55="","",Agent07_Withdrawals!D55)</f>
        <v/>
      </c>
      <c r="F1250" s="37" t="str">
        <f>IF(Agent07_Withdrawals!A55="","",Agent07_Withdrawals!F55)</f>
        <v/>
      </c>
      <c r="G1250" s="39" t="str">
        <f>IF(Agent07_Withdrawals!A55="","",Agent07_Withdrawals!E55)</f>
        <v/>
      </c>
      <c r="H1250" s="39" t="str">
        <f>IF(Agent07_Withdrawals!A55="","",Agent07_Withdrawals!G55)</f>
        <v/>
      </c>
      <c r="I1250" s="37" t="str">
        <f>IF(Agent07_Withdrawals!A55="","",Agent07_Withdrawals!H55)</f>
        <v/>
      </c>
      <c r="J1250" s="37" t="str">
        <f>IF(Agent07_Withdrawals!A55="","",Agent07_Withdrawals!J55)</f>
        <v/>
      </c>
      <c r="K1250" s="37" t="str">
        <f>IF(Agent07_Withdrawals!A55="","",Agent07_Withdrawals!K55)</f>
        <v/>
      </c>
      <c r="L1250" s="37" t="str">
        <f>IF(G1250="","",IF(D1250-G1250&gt;=System_Config!$B$9,"✅ OK","⚠️ BREACH"))</f>
        <v/>
      </c>
      <c r="M1250" s="37" t="str">
        <f>IFERROR(IF(Agent07_Withdrawals!A55="","",YEAR(Agent07_Withdrawals!D55)),"")</f>
        <v/>
      </c>
    </row>
    <row r="1251" spans="1:13" ht="18" customHeight="1" x14ac:dyDescent="0.25">
      <c r="A1251" s="37" t="str">
        <f>IF(Agent07_Withdrawals!A56="","",Agent07_Withdrawals!A56)</f>
        <v/>
      </c>
      <c r="B1251" s="37" t="str">
        <f ca="1">IF(Agent07_Withdrawals!A56="","","WD"&amp;TEXT(1251-3,"0000")&amp;"-"&amp;TEXT(TODAY(),"YYYYMMDD"))</f>
        <v/>
      </c>
      <c r="C1251" s="37" t="str">
        <f>IF(Agent07_Withdrawals!A56="","",Agent07_Withdrawals!B56)</f>
        <v/>
      </c>
      <c r="D1251" s="40" t="str">
        <f>IF(Agent07_Withdrawals!A56="","",Agent07_Withdrawals!C56)</f>
        <v/>
      </c>
      <c r="E1251" s="38" t="str">
        <f>IF(Agent07_Withdrawals!A56="","",Agent07_Withdrawals!D56)</f>
        <v/>
      </c>
      <c r="F1251" s="37" t="str">
        <f>IF(Agent07_Withdrawals!A56="","",Agent07_Withdrawals!F56)</f>
        <v/>
      </c>
      <c r="G1251" s="39" t="str">
        <f>IF(Agent07_Withdrawals!A56="","",Agent07_Withdrawals!E56)</f>
        <v/>
      </c>
      <c r="H1251" s="39" t="str">
        <f>IF(Agent07_Withdrawals!A56="","",Agent07_Withdrawals!G56)</f>
        <v/>
      </c>
      <c r="I1251" s="37" t="str">
        <f>IF(Agent07_Withdrawals!A56="","",Agent07_Withdrawals!H56)</f>
        <v/>
      </c>
      <c r="J1251" s="37" t="str">
        <f>IF(Agent07_Withdrawals!A56="","",Agent07_Withdrawals!J56)</f>
        <v/>
      </c>
      <c r="K1251" s="37" t="str">
        <f>IF(Agent07_Withdrawals!A56="","",Agent07_Withdrawals!K56)</f>
        <v/>
      </c>
      <c r="L1251" s="37" t="str">
        <f>IF(G1251="","",IF(D1251-G1251&gt;=System_Config!$B$9,"✅ OK","⚠️ BREACH"))</f>
        <v/>
      </c>
      <c r="M1251" s="37" t="str">
        <f>IFERROR(IF(Agent07_Withdrawals!A56="","",YEAR(Agent07_Withdrawals!D56)),"")</f>
        <v/>
      </c>
    </row>
    <row r="1252" spans="1:13" ht="18" customHeight="1" x14ac:dyDescent="0.25">
      <c r="A1252" s="37" t="str">
        <f>IF(Agent07_Withdrawals!A57="","",Agent07_Withdrawals!A57)</f>
        <v/>
      </c>
      <c r="B1252" s="37" t="str">
        <f ca="1">IF(Agent07_Withdrawals!A57="","","WD"&amp;TEXT(1252-3,"0000")&amp;"-"&amp;TEXT(TODAY(),"YYYYMMDD"))</f>
        <v/>
      </c>
      <c r="C1252" s="37" t="str">
        <f>IF(Agent07_Withdrawals!A57="","",Agent07_Withdrawals!B57)</f>
        <v/>
      </c>
      <c r="D1252" s="40" t="str">
        <f>IF(Agent07_Withdrawals!A57="","",Agent07_Withdrawals!C57)</f>
        <v/>
      </c>
      <c r="E1252" s="38" t="str">
        <f>IF(Agent07_Withdrawals!A57="","",Agent07_Withdrawals!D57)</f>
        <v/>
      </c>
      <c r="F1252" s="37" t="str">
        <f>IF(Agent07_Withdrawals!A57="","",Agent07_Withdrawals!F57)</f>
        <v/>
      </c>
      <c r="G1252" s="39" t="str">
        <f>IF(Agent07_Withdrawals!A57="","",Agent07_Withdrawals!E57)</f>
        <v/>
      </c>
      <c r="H1252" s="39" t="str">
        <f>IF(Agent07_Withdrawals!A57="","",Agent07_Withdrawals!G57)</f>
        <v/>
      </c>
      <c r="I1252" s="37" t="str">
        <f>IF(Agent07_Withdrawals!A57="","",Agent07_Withdrawals!H57)</f>
        <v/>
      </c>
      <c r="J1252" s="37" t="str">
        <f>IF(Agent07_Withdrawals!A57="","",Agent07_Withdrawals!J57)</f>
        <v/>
      </c>
      <c r="K1252" s="37" t="str">
        <f>IF(Agent07_Withdrawals!A57="","",Agent07_Withdrawals!K57)</f>
        <v/>
      </c>
      <c r="L1252" s="37" t="str">
        <f>IF(G1252="","",IF(D1252-G1252&gt;=System_Config!$B$9,"✅ OK","⚠️ BREACH"))</f>
        <v/>
      </c>
      <c r="M1252" s="37" t="str">
        <f>IFERROR(IF(Agent07_Withdrawals!A57="","",YEAR(Agent07_Withdrawals!D57)),"")</f>
        <v/>
      </c>
    </row>
    <row r="1253" spans="1:13" ht="18" customHeight="1" x14ac:dyDescent="0.25">
      <c r="A1253" s="37" t="str">
        <f>IF(Agent07_Withdrawals!A58="","",Agent07_Withdrawals!A58)</f>
        <v/>
      </c>
      <c r="B1253" s="37" t="str">
        <f ca="1">IF(Agent07_Withdrawals!A58="","","WD"&amp;TEXT(1253-3,"0000")&amp;"-"&amp;TEXT(TODAY(),"YYYYMMDD"))</f>
        <v/>
      </c>
      <c r="C1253" s="37" t="str">
        <f>IF(Agent07_Withdrawals!A58="","",Agent07_Withdrawals!B58)</f>
        <v/>
      </c>
      <c r="D1253" s="40" t="str">
        <f>IF(Agent07_Withdrawals!A58="","",Agent07_Withdrawals!C58)</f>
        <v/>
      </c>
      <c r="E1253" s="38" t="str">
        <f>IF(Agent07_Withdrawals!A58="","",Agent07_Withdrawals!D58)</f>
        <v/>
      </c>
      <c r="F1253" s="37" t="str">
        <f>IF(Agent07_Withdrawals!A58="","",Agent07_Withdrawals!F58)</f>
        <v/>
      </c>
      <c r="G1253" s="39" t="str">
        <f>IF(Agent07_Withdrawals!A58="","",Agent07_Withdrawals!E58)</f>
        <v/>
      </c>
      <c r="H1253" s="39" t="str">
        <f>IF(Agent07_Withdrawals!A58="","",Agent07_Withdrawals!G58)</f>
        <v/>
      </c>
      <c r="I1253" s="37" t="str">
        <f>IF(Agent07_Withdrawals!A58="","",Agent07_Withdrawals!H58)</f>
        <v/>
      </c>
      <c r="J1253" s="37" t="str">
        <f>IF(Agent07_Withdrawals!A58="","",Agent07_Withdrawals!J58)</f>
        <v/>
      </c>
      <c r="K1253" s="37" t="str">
        <f>IF(Agent07_Withdrawals!A58="","",Agent07_Withdrawals!K58)</f>
        <v/>
      </c>
      <c r="L1253" s="37" t="str">
        <f>IF(G1253="","",IF(D1253-G1253&gt;=System_Config!$B$9,"✅ OK","⚠️ BREACH"))</f>
        <v/>
      </c>
      <c r="M1253" s="37" t="str">
        <f>IFERROR(IF(Agent07_Withdrawals!A58="","",YEAR(Agent07_Withdrawals!D58)),"")</f>
        <v/>
      </c>
    </row>
    <row r="1254" spans="1:13" ht="18" customHeight="1" x14ac:dyDescent="0.25">
      <c r="A1254" s="37" t="str">
        <f>IF(Agent07_Withdrawals!A59="","",Agent07_Withdrawals!A59)</f>
        <v/>
      </c>
      <c r="B1254" s="37" t="str">
        <f ca="1">IF(Agent07_Withdrawals!A59="","","WD"&amp;TEXT(1254-3,"0000")&amp;"-"&amp;TEXT(TODAY(),"YYYYMMDD"))</f>
        <v/>
      </c>
      <c r="C1254" s="37" t="str">
        <f>IF(Agent07_Withdrawals!A59="","",Agent07_Withdrawals!B59)</f>
        <v/>
      </c>
      <c r="D1254" s="40" t="str">
        <f>IF(Agent07_Withdrawals!A59="","",Agent07_Withdrawals!C59)</f>
        <v/>
      </c>
      <c r="E1254" s="38" t="str">
        <f>IF(Agent07_Withdrawals!A59="","",Agent07_Withdrawals!D59)</f>
        <v/>
      </c>
      <c r="F1254" s="37" t="str">
        <f>IF(Agent07_Withdrawals!A59="","",Agent07_Withdrawals!F59)</f>
        <v/>
      </c>
      <c r="G1254" s="39" t="str">
        <f>IF(Agent07_Withdrawals!A59="","",Agent07_Withdrawals!E59)</f>
        <v/>
      </c>
      <c r="H1254" s="39" t="str">
        <f>IF(Agent07_Withdrawals!A59="","",Agent07_Withdrawals!G59)</f>
        <v/>
      </c>
      <c r="I1254" s="37" t="str">
        <f>IF(Agent07_Withdrawals!A59="","",Agent07_Withdrawals!H59)</f>
        <v/>
      </c>
      <c r="J1254" s="37" t="str">
        <f>IF(Agent07_Withdrawals!A59="","",Agent07_Withdrawals!J59)</f>
        <v/>
      </c>
      <c r="K1254" s="37" t="str">
        <f>IF(Agent07_Withdrawals!A59="","",Agent07_Withdrawals!K59)</f>
        <v/>
      </c>
      <c r="L1254" s="37" t="str">
        <f>IF(G1254="","",IF(D1254-G1254&gt;=System_Config!$B$9,"✅ OK","⚠️ BREACH"))</f>
        <v/>
      </c>
      <c r="M1254" s="37" t="str">
        <f>IFERROR(IF(Agent07_Withdrawals!A59="","",YEAR(Agent07_Withdrawals!D59)),"")</f>
        <v/>
      </c>
    </row>
    <row r="1255" spans="1:13" ht="18" customHeight="1" x14ac:dyDescent="0.25">
      <c r="A1255" s="37" t="str">
        <f>IF(Agent07_Withdrawals!A60="","",Agent07_Withdrawals!A60)</f>
        <v/>
      </c>
      <c r="B1255" s="37" t="str">
        <f ca="1">IF(Agent07_Withdrawals!A60="","","WD"&amp;TEXT(1255-3,"0000")&amp;"-"&amp;TEXT(TODAY(),"YYYYMMDD"))</f>
        <v/>
      </c>
      <c r="C1255" s="37" t="str">
        <f>IF(Agent07_Withdrawals!A60="","",Agent07_Withdrawals!B60)</f>
        <v/>
      </c>
      <c r="D1255" s="40" t="str">
        <f>IF(Agent07_Withdrawals!A60="","",Agent07_Withdrawals!C60)</f>
        <v/>
      </c>
      <c r="E1255" s="38" t="str">
        <f>IF(Agent07_Withdrawals!A60="","",Agent07_Withdrawals!D60)</f>
        <v/>
      </c>
      <c r="F1255" s="37" t="str">
        <f>IF(Agent07_Withdrawals!A60="","",Agent07_Withdrawals!F60)</f>
        <v/>
      </c>
      <c r="G1255" s="39" t="str">
        <f>IF(Agent07_Withdrawals!A60="","",Agent07_Withdrawals!E60)</f>
        <v/>
      </c>
      <c r="H1255" s="39" t="str">
        <f>IF(Agent07_Withdrawals!A60="","",Agent07_Withdrawals!G60)</f>
        <v/>
      </c>
      <c r="I1255" s="37" t="str">
        <f>IF(Agent07_Withdrawals!A60="","",Agent07_Withdrawals!H60)</f>
        <v/>
      </c>
      <c r="J1255" s="37" t="str">
        <f>IF(Agent07_Withdrawals!A60="","",Agent07_Withdrawals!J60)</f>
        <v/>
      </c>
      <c r="K1255" s="37" t="str">
        <f>IF(Agent07_Withdrawals!A60="","",Agent07_Withdrawals!K60)</f>
        <v/>
      </c>
      <c r="L1255" s="37" t="str">
        <f>IF(G1255="","",IF(D1255-G1255&gt;=System_Config!$B$9,"✅ OK","⚠️ BREACH"))</f>
        <v/>
      </c>
      <c r="M1255" s="37" t="str">
        <f>IFERROR(IF(Agent07_Withdrawals!A60="","",YEAR(Agent07_Withdrawals!D60)),"")</f>
        <v/>
      </c>
    </row>
    <row r="1256" spans="1:13" ht="18" customHeight="1" x14ac:dyDescent="0.25">
      <c r="A1256" s="37" t="str">
        <f>IF(Agent07_Withdrawals!A61="","",Agent07_Withdrawals!A61)</f>
        <v/>
      </c>
      <c r="B1256" s="37" t="str">
        <f ca="1">IF(Agent07_Withdrawals!A61="","","WD"&amp;TEXT(1256-3,"0000")&amp;"-"&amp;TEXT(TODAY(),"YYYYMMDD"))</f>
        <v/>
      </c>
      <c r="C1256" s="37" t="str">
        <f>IF(Agent07_Withdrawals!A61="","",Agent07_Withdrawals!B61)</f>
        <v/>
      </c>
      <c r="D1256" s="40" t="str">
        <f>IF(Agent07_Withdrawals!A61="","",Agent07_Withdrawals!C61)</f>
        <v/>
      </c>
      <c r="E1256" s="38" t="str">
        <f>IF(Agent07_Withdrawals!A61="","",Agent07_Withdrawals!D61)</f>
        <v/>
      </c>
      <c r="F1256" s="37" t="str">
        <f>IF(Agent07_Withdrawals!A61="","",Agent07_Withdrawals!F61)</f>
        <v/>
      </c>
      <c r="G1256" s="39" t="str">
        <f>IF(Agent07_Withdrawals!A61="","",Agent07_Withdrawals!E61)</f>
        <v/>
      </c>
      <c r="H1256" s="39" t="str">
        <f>IF(Agent07_Withdrawals!A61="","",Agent07_Withdrawals!G61)</f>
        <v/>
      </c>
      <c r="I1256" s="37" t="str">
        <f>IF(Agent07_Withdrawals!A61="","",Agent07_Withdrawals!H61)</f>
        <v/>
      </c>
      <c r="J1256" s="37" t="str">
        <f>IF(Agent07_Withdrawals!A61="","",Agent07_Withdrawals!J61)</f>
        <v/>
      </c>
      <c r="K1256" s="37" t="str">
        <f>IF(Agent07_Withdrawals!A61="","",Agent07_Withdrawals!K61)</f>
        <v/>
      </c>
      <c r="L1256" s="37" t="str">
        <f>IF(G1256="","",IF(D1256-G1256&gt;=System_Config!$B$9,"✅ OK","⚠️ BREACH"))</f>
        <v/>
      </c>
      <c r="M1256" s="37" t="str">
        <f>IFERROR(IF(Agent07_Withdrawals!A61="","",YEAR(Agent07_Withdrawals!D61)),"")</f>
        <v/>
      </c>
    </row>
    <row r="1257" spans="1:13" ht="18" customHeight="1" x14ac:dyDescent="0.25">
      <c r="A1257" s="37" t="str">
        <f>IF(Agent07_Withdrawals!A62="","",Agent07_Withdrawals!A62)</f>
        <v/>
      </c>
      <c r="B1257" s="37" t="str">
        <f ca="1">IF(Agent07_Withdrawals!A62="","","WD"&amp;TEXT(1257-3,"0000")&amp;"-"&amp;TEXT(TODAY(),"YYYYMMDD"))</f>
        <v/>
      </c>
      <c r="C1257" s="37" t="str">
        <f>IF(Agent07_Withdrawals!A62="","",Agent07_Withdrawals!B62)</f>
        <v/>
      </c>
      <c r="D1257" s="40" t="str">
        <f>IF(Agent07_Withdrawals!A62="","",Agent07_Withdrawals!C62)</f>
        <v/>
      </c>
      <c r="E1257" s="38" t="str">
        <f>IF(Agent07_Withdrawals!A62="","",Agent07_Withdrawals!D62)</f>
        <v/>
      </c>
      <c r="F1257" s="37" t="str">
        <f>IF(Agent07_Withdrawals!A62="","",Agent07_Withdrawals!F62)</f>
        <v/>
      </c>
      <c r="G1257" s="39" t="str">
        <f>IF(Agent07_Withdrawals!A62="","",Agent07_Withdrawals!E62)</f>
        <v/>
      </c>
      <c r="H1257" s="39" t="str">
        <f>IF(Agent07_Withdrawals!A62="","",Agent07_Withdrawals!G62)</f>
        <v/>
      </c>
      <c r="I1257" s="37" t="str">
        <f>IF(Agent07_Withdrawals!A62="","",Agent07_Withdrawals!H62)</f>
        <v/>
      </c>
      <c r="J1257" s="37" t="str">
        <f>IF(Agent07_Withdrawals!A62="","",Agent07_Withdrawals!J62)</f>
        <v/>
      </c>
      <c r="K1257" s="37" t="str">
        <f>IF(Agent07_Withdrawals!A62="","",Agent07_Withdrawals!K62)</f>
        <v/>
      </c>
      <c r="L1257" s="37" t="str">
        <f>IF(G1257="","",IF(D1257-G1257&gt;=System_Config!$B$9,"✅ OK","⚠️ BREACH"))</f>
        <v/>
      </c>
      <c r="M1257" s="37" t="str">
        <f>IFERROR(IF(Agent07_Withdrawals!A62="","",YEAR(Agent07_Withdrawals!D62)),"")</f>
        <v/>
      </c>
    </row>
    <row r="1258" spans="1:13" ht="18" customHeight="1" x14ac:dyDescent="0.25">
      <c r="A1258" s="37" t="str">
        <f>IF(Agent07_Withdrawals!A63="","",Agent07_Withdrawals!A63)</f>
        <v/>
      </c>
      <c r="B1258" s="37" t="str">
        <f ca="1">IF(Agent07_Withdrawals!A63="","","WD"&amp;TEXT(1258-3,"0000")&amp;"-"&amp;TEXT(TODAY(),"YYYYMMDD"))</f>
        <v/>
      </c>
      <c r="C1258" s="37" t="str">
        <f>IF(Agent07_Withdrawals!A63="","",Agent07_Withdrawals!B63)</f>
        <v/>
      </c>
      <c r="D1258" s="40" t="str">
        <f>IF(Agent07_Withdrawals!A63="","",Agent07_Withdrawals!C63)</f>
        <v/>
      </c>
      <c r="E1258" s="38" t="str">
        <f>IF(Agent07_Withdrawals!A63="","",Agent07_Withdrawals!D63)</f>
        <v/>
      </c>
      <c r="F1258" s="37" t="str">
        <f>IF(Agent07_Withdrawals!A63="","",Agent07_Withdrawals!F63)</f>
        <v/>
      </c>
      <c r="G1258" s="39" t="str">
        <f>IF(Agent07_Withdrawals!A63="","",Agent07_Withdrawals!E63)</f>
        <v/>
      </c>
      <c r="H1258" s="39" t="str">
        <f>IF(Agent07_Withdrawals!A63="","",Agent07_Withdrawals!G63)</f>
        <v/>
      </c>
      <c r="I1258" s="37" t="str">
        <f>IF(Agent07_Withdrawals!A63="","",Agent07_Withdrawals!H63)</f>
        <v/>
      </c>
      <c r="J1258" s="37" t="str">
        <f>IF(Agent07_Withdrawals!A63="","",Agent07_Withdrawals!J63)</f>
        <v/>
      </c>
      <c r="K1258" s="37" t="str">
        <f>IF(Agent07_Withdrawals!A63="","",Agent07_Withdrawals!K63)</f>
        <v/>
      </c>
      <c r="L1258" s="37" t="str">
        <f>IF(G1258="","",IF(D1258-G1258&gt;=System_Config!$B$9,"✅ OK","⚠️ BREACH"))</f>
        <v/>
      </c>
      <c r="M1258" s="37" t="str">
        <f>IFERROR(IF(Agent07_Withdrawals!A63="","",YEAR(Agent07_Withdrawals!D63)),"")</f>
        <v/>
      </c>
    </row>
    <row r="1259" spans="1:13" ht="18" customHeight="1" x14ac:dyDescent="0.25">
      <c r="A1259" s="37" t="str">
        <f>IF(Agent07_Withdrawals!A64="","",Agent07_Withdrawals!A64)</f>
        <v/>
      </c>
      <c r="B1259" s="37" t="str">
        <f ca="1">IF(Agent07_Withdrawals!A64="","","WD"&amp;TEXT(1259-3,"0000")&amp;"-"&amp;TEXT(TODAY(),"YYYYMMDD"))</f>
        <v/>
      </c>
      <c r="C1259" s="37" t="str">
        <f>IF(Agent07_Withdrawals!A64="","",Agent07_Withdrawals!B64)</f>
        <v/>
      </c>
      <c r="D1259" s="40" t="str">
        <f>IF(Agent07_Withdrawals!A64="","",Agent07_Withdrawals!C64)</f>
        <v/>
      </c>
      <c r="E1259" s="38" t="str">
        <f>IF(Agent07_Withdrawals!A64="","",Agent07_Withdrawals!D64)</f>
        <v/>
      </c>
      <c r="F1259" s="37" t="str">
        <f>IF(Agent07_Withdrawals!A64="","",Agent07_Withdrawals!F64)</f>
        <v/>
      </c>
      <c r="G1259" s="39" t="str">
        <f>IF(Agent07_Withdrawals!A64="","",Agent07_Withdrawals!E64)</f>
        <v/>
      </c>
      <c r="H1259" s="39" t="str">
        <f>IF(Agent07_Withdrawals!A64="","",Agent07_Withdrawals!G64)</f>
        <v/>
      </c>
      <c r="I1259" s="37" t="str">
        <f>IF(Agent07_Withdrawals!A64="","",Agent07_Withdrawals!H64)</f>
        <v/>
      </c>
      <c r="J1259" s="37" t="str">
        <f>IF(Agent07_Withdrawals!A64="","",Agent07_Withdrawals!J64)</f>
        <v/>
      </c>
      <c r="K1259" s="37" t="str">
        <f>IF(Agent07_Withdrawals!A64="","",Agent07_Withdrawals!K64)</f>
        <v/>
      </c>
      <c r="L1259" s="37" t="str">
        <f>IF(G1259="","",IF(D1259-G1259&gt;=System_Config!$B$9,"✅ OK","⚠️ BREACH"))</f>
        <v/>
      </c>
      <c r="M1259" s="37" t="str">
        <f>IFERROR(IF(Agent07_Withdrawals!A64="","",YEAR(Agent07_Withdrawals!D64)),"")</f>
        <v/>
      </c>
    </row>
    <row r="1260" spans="1:13" ht="18" customHeight="1" x14ac:dyDescent="0.25">
      <c r="A1260" s="37" t="str">
        <f>IF(Agent07_Withdrawals!A65="","",Agent07_Withdrawals!A65)</f>
        <v/>
      </c>
      <c r="B1260" s="37" t="str">
        <f ca="1">IF(Agent07_Withdrawals!A65="","","WD"&amp;TEXT(1260-3,"0000")&amp;"-"&amp;TEXT(TODAY(),"YYYYMMDD"))</f>
        <v/>
      </c>
      <c r="C1260" s="37" t="str">
        <f>IF(Agent07_Withdrawals!A65="","",Agent07_Withdrawals!B65)</f>
        <v/>
      </c>
      <c r="D1260" s="40" t="str">
        <f>IF(Agent07_Withdrawals!A65="","",Agent07_Withdrawals!C65)</f>
        <v/>
      </c>
      <c r="E1260" s="38" t="str">
        <f>IF(Agent07_Withdrawals!A65="","",Agent07_Withdrawals!D65)</f>
        <v/>
      </c>
      <c r="F1260" s="37" t="str">
        <f>IF(Agent07_Withdrawals!A65="","",Agent07_Withdrawals!F65)</f>
        <v/>
      </c>
      <c r="G1260" s="39" t="str">
        <f>IF(Agent07_Withdrawals!A65="","",Agent07_Withdrawals!E65)</f>
        <v/>
      </c>
      <c r="H1260" s="39" t="str">
        <f>IF(Agent07_Withdrawals!A65="","",Agent07_Withdrawals!G65)</f>
        <v/>
      </c>
      <c r="I1260" s="37" t="str">
        <f>IF(Agent07_Withdrawals!A65="","",Agent07_Withdrawals!H65)</f>
        <v/>
      </c>
      <c r="J1260" s="37" t="str">
        <f>IF(Agent07_Withdrawals!A65="","",Agent07_Withdrawals!J65)</f>
        <v/>
      </c>
      <c r="K1260" s="37" t="str">
        <f>IF(Agent07_Withdrawals!A65="","",Agent07_Withdrawals!K65)</f>
        <v/>
      </c>
      <c r="L1260" s="37" t="str">
        <f>IF(G1260="","",IF(D1260-G1260&gt;=System_Config!$B$9,"✅ OK","⚠️ BREACH"))</f>
        <v/>
      </c>
      <c r="M1260" s="37" t="str">
        <f>IFERROR(IF(Agent07_Withdrawals!A65="","",YEAR(Agent07_Withdrawals!D65)),"")</f>
        <v/>
      </c>
    </row>
    <row r="1261" spans="1:13" ht="18" customHeight="1" x14ac:dyDescent="0.25">
      <c r="A1261" s="37" t="str">
        <f>IF(Agent07_Withdrawals!A66="","",Agent07_Withdrawals!A66)</f>
        <v/>
      </c>
      <c r="B1261" s="37" t="str">
        <f ca="1">IF(Agent07_Withdrawals!A66="","","WD"&amp;TEXT(1261-3,"0000")&amp;"-"&amp;TEXT(TODAY(),"YYYYMMDD"))</f>
        <v/>
      </c>
      <c r="C1261" s="37" t="str">
        <f>IF(Agent07_Withdrawals!A66="","",Agent07_Withdrawals!B66)</f>
        <v/>
      </c>
      <c r="D1261" s="40" t="str">
        <f>IF(Agent07_Withdrawals!A66="","",Agent07_Withdrawals!C66)</f>
        <v/>
      </c>
      <c r="E1261" s="38" t="str">
        <f>IF(Agent07_Withdrawals!A66="","",Agent07_Withdrawals!D66)</f>
        <v/>
      </c>
      <c r="F1261" s="37" t="str">
        <f>IF(Agent07_Withdrawals!A66="","",Agent07_Withdrawals!F66)</f>
        <v/>
      </c>
      <c r="G1261" s="39" t="str">
        <f>IF(Agent07_Withdrawals!A66="","",Agent07_Withdrawals!E66)</f>
        <v/>
      </c>
      <c r="H1261" s="39" t="str">
        <f>IF(Agent07_Withdrawals!A66="","",Agent07_Withdrawals!G66)</f>
        <v/>
      </c>
      <c r="I1261" s="37" t="str">
        <f>IF(Agent07_Withdrawals!A66="","",Agent07_Withdrawals!H66)</f>
        <v/>
      </c>
      <c r="J1261" s="37" t="str">
        <f>IF(Agent07_Withdrawals!A66="","",Agent07_Withdrawals!J66)</f>
        <v/>
      </c>
      <c r="K1261" s="37" t="str">
        <f>IF(Agent07_Withdrawals!A66="","",Agent07_Withdrawals!K66)</f>
        <v/>
      </c>
      <c r="L1261" s="37" t="str">
        <f>IF(G1261="","",IF(D1261-G1261&gt;=System_Config!$B$9,"✅ OK","⚠️ BREACH"))</f>
        <v/>
      </c>
      <c r="M1261" s="37" t="str">
        <f>IFERROR(IF(Agent07_Withdrawals!A66="","",YEAR(Agent07_Withdrawals!D66)),"")</f>
        <v/>
      </c>
    </row>
    <row r="1262" spans="1:13" ht="18" customHeight="1" x14ac:dyDescent="0.25">
      <c r="A1262" s="37" t="str">
        <f>IF(Agent07_Withdrawals!A67="","",Agent07_Withdrawals!A67)</f>
        <v/>
      </c>
      <c r="B1262" s="37" t="str">
        <f ca="1">IF(Agent07_Withdrawals!A67="","","WD"&amp;TEXT(1262-3,"0000")&amp;"-"&amp;TEXT(TODAY(),"YYYYMMDD"))</f>
        <v/>
      </c>
      <c r="C1262" s="37" t="str">
        <f>IF(Agent07_Withdrawals!A67="","",Agent07_Withdrawals!B67)</f>
        <v/>
      </c>
      <c r="D1262" s="40" t="str">
        <f>IF(Agent07_Withdrawals!A67="","",Agent07_Withdrawals!C67)</f>
        <v/>
      </c>
      <c r="E1262" s="38" t="str">
        <f>IF(Agent07_Withdrawals!A67="","",Agent07_Withdrawals!D67)</f>
        <v/>
      </c>
      <c r="F1262" s="37" t="str">
        <f>IF(Agent07_Withdrawals!A67="","",Agent07_Withdrawals!F67)</f>
        <v/>
      </c>
      <c r="G1262" s="39" t="str">
        <f>IF(Agent07_Withdrawals!A67="","",Agent07_Withdrawals!E67)</f>
        <v/>
      </c>
      <c r="H1262" s="39" t="str">
        <f>IF(Agent07_Withdrawals!A67="","",Agent07_Withdrawals!G67)</f>
        <v/>
      </c>
      <c r="I1262" s="37" t="str">
        <f>IF(Agent07_Withdrawals!A67="","",Agent07_Withdrawals!H67)</f>
        <v/>
      </c>
      <c r="J1262" s="37" t="str">
        <f>IF(Agent07_Withdrawals!A67="","",Agent07_Withdrawals!J67)</f>
        <v/>
      </c>
      <c r="K1262" s="37" t="str">
        <f>IF(Agent07_Withdrawals!A67="","",Agent07_Withdrawals!K67)</f>
        <v/>
      </c>
      <c r="L1262" s="37" t="str">
        <f>IF(G1262="","",IF(D1262-G1262&gt;=System_Config!$B$9,"✅ OK","⚠️ BREACH"))</f>
        <v/>
      </c>
      <c r="M1262" s="37" t="str">
        <f>IFERROR(IF(Agent07_Withdrawals!A67="","",YEAR(Agent07_Withdrawals!D67)),"")</f>
        <v/>
      </c>
    </row>
    <row r="1263" spans="1:13" ht="18" customHeight="1" x14ac:dyDescent="0.25">
      <c r="A1263" s="37" t="str">
        <f>IF(Agent07_Withdrawals!A68="","",Agent07_Withdrawals!A68)</f>
        <v/>
      </c>
      <c r="B1263" s="37" t="str">
        <f ca="1">IF(Agent07_Withdrawals!A68="","","WD"&amp;TEXT(1263-3,"0000")&amp;"-"&amp;TEXT(TODAY(),"YYYYMMDD"))</f>
        <v/>
      </c>
      <c r="C1263" s="37" t="str">
        <f>IF(Agent07_Withdrawals!A68="","",Agent07_Withdrawals!B68)</f>
        <v/>
      </c>
      <c r="D1263" s="40" t="str">
        <f>IF(Agent07_Withdrawals!A68="","",Agent07_Withdrawals!C68)</f>
        <v/>
      </c>
      <c r="E1263" s="38" t="str">
        <f>IF(Agent07_Withdrawals!A68="","",Agent07_Withdrawals!D68)</f>
        <v/>
      </c>
      <c r="F1263" s="37" t="str">
        <f>IF(Agent07_Withdrawals!A68="","",Agent07_Withdrawals!F68)</f>
        <v/>
      </c>
      <c r="G1263" s="39" t="str">
        <f>IF(Agent07_Withdrawals!A68="","",Agent07_Withdrawals!E68)</f>
        <v/>
      </c>
      <c r="H1263" s="39" t="str">
        <f>IF(Agent07_Withdrawals!A68="","",Agent07_Withdrawals!G68)</f>
        <v/>
      </c>
      <c r="I1263" s="37" t="str">
        <f>IF(Agent07_Withdrawals!A68="","",Agent07_Withdrawals!H68)</f>
        <v/>
      </c>
      <c r="J1263" s="37" t="str">
        <f>IF(Agent07_Withdrawals!A68="","",Agent07_Withdrawals!J68)</f>
        <v/>
      </c>
      <c r="K1263" s="37" t="str">
        <f>IF(Agent07_Withdrawals!A68="","",Agent07_Withdrawals!K68)</f>
        <v/>
      </c>
      <c r="L1263" s="37" t="str">
        <f>IF(G1263="","",IF(D1263-G1263&gt;=System_Config!$B$9,"✅ OK","⚠️ BREACH"))</f>
        <v/>
      </c>
      <c r="M1263" s="37" t="str">
        <f>IFERROR(IF(Agent07_Withdrawals!A68="","",YEAR(Agent07_Withdrawals!D68)),"")</f>
        <v/>
      </c>
    </row>
    <row r="1264" spans="1:13" ht="18" customHeight="1" x14ac:dyDescent="0.25">
      <c r="A1264" s="37" t="str">
        <f>IF(Agent07_Withdrawals!A69="","",Agent07_Withdrawals!A69)</f>
        <v/>
      </c>
      <c r="B1264" s="37" t="str">
        <f ca="1">IF(Agent07_Withdrawals!A69="","","WD"&amp;TEXT(1264-3,"0000")&amp;"-"&amp;TEXT(TODAY(),"YYYYMMDD"))</f>
        <v/>
      </c>
      <c r="C1264" s="37" t="str">
        <f>IF(Agent07_Withdrawals!A69="","",Agent07_Withdrawals!B69)</f>
        <v/>
      </c>
      <c r="D1264" s="40" t="str">
        <f>IF(Agent07_Withdrawals!A69="","",Agent07_Withdrawals!C69)</f>
        <v/>
      </c>
      <c r="E1264" s="38" t="str">
        <f>IF(Agent07_Withdrawals!A69="","",Agent07_Withdrawals!D69)</f>
        <v/>
      </c>
      <c r="F1264" s="37" t="str">
        <f>IF(Agent07_Withdrawals!A69="","",Agent07_Withdrawals!F69)</f>
        <v/>
      </c>
      <c r="G1264" s="39" t="str">
        <f>IF(Agent07_Withdrawals!A69="","",Agent07_Withdrawals!E69)</f>
        <v/>
      </c>
      <c r="H1264" s="39" t="str">
        <f>IF(Agent07_Withdrawals!A69="","",Agent07_Withdrawals!G69)</f>
        <v/>
      </c>
      <c r="I1264" s="37" t="str">
        <f>IF(Agent07_Withdrawals!A69="","",Agent07_Withdrawals!H69)</f>
        <v/>
      </c>
      <c r="J1264" s="37" t="str">
        <f>IF(Agent07_Withdrawals!A69="","",Agent07_Withdrawals!J69)</f>
        <v/>
      </c>
      <c r="K1264" s="37" t="str">
        <f>IF(Agent07_Withdrawals!A69="","",Agent07_Withdrawals!K69)</f>
        <v/>
      </c>
      <c r="L1264" s="37" t="str">
        <f>IF(G1264="","",IF(D1264-G1264&gt;=System_Config!$B$9,"✅ OK","⚠️ BREACH"))</f>
        <v/>
      </c>
      <c r="M1264" s="37" t="str">
        <f>IFERROR(IF(Agent07_Withdrawals!A69="","",YEAR(Agent07_Withdrawals!D69)),"")</f>
        <v/>
      </c>
    </row>
    <row r="1265" spans="1:13" ht="18" customHeight="1" x14ac:dyDescent="0.25">
      <c r="A1265" s="37" t="str">
        <f>IF(Agent07_Withdrawals!A70="","",Agent07_Withdrawals!A70)</f>
        <v/>
      </c>
      <c r="B1265" s="37" t="str">
        <f ca="1">IF(Agent07_Withdrawals!A70="","","WD"&amp;TEXT(1265-3,"0000")&amp;"-"&amp;TEXT(TODAY(),"YYYYMMDD"))</f>
        <v/>
      </c>
      <c r="C1265" s="37" t="str">
        <f>IF(Agent07_Withdrawals!A70="","",Agent07_Withdrawals!B70)</f>
        <v/>
      </c>
      <c r="D1265" s="40" t="str">
        <f>IF(Agent07_Withdrawals!A70="","",Agent07_Withdrawals!C70)</f>
        <v/>
      </c>
      <c r="E1265" s="38" t="str">
        <f>IF(Agent07_Withdrawals!A70="","",Agent07_Withdrawals!D70)</f>
        <v/>
      </c>
      <c r="F1265" s="37" t="str">
        <f>IF(Agent07_Withdrawals!A70="","",Agent07_Withdrawals!F70)</f>
        <v/>
      </c>
      <c r="G1265" s="39" t="str">
        <f>IF(Agent07_Withdrawals!A70="","",Agent07_Withdrawals!E70)</f>
        <v/>
      </c>
      <c r="H1265" s="39" t="str">
        <f>IF(Agent07_Withdrawals!A70="","",Agent07_Withdrawals!G70)</f>
        <v/>
      </c>
      <c r="I1265" s="37" t="str">
        <f>IF(Agent07_Withdrawals!A70="","",Agent07_Withdrawals!H70)</f>
        <v/>
      </c>
      <c r="J1265" s="37" t="str">
        <f>IF(Agent07_Withdrawals!A70="","",Agent07_Withdrawals!J70)</f>
        <v/>
      </c>
      <c r="K1265" s="37" t="str">
        <f>IF(Agent07_Withdrawals!A70="","",Agent07_Withdrawals!K70)</f>
        <v/>
      </c>
      <c r="L1265" s="37" t="str">
        <f>IF(G1265="","",IF(D1265-G1265&gt;=System_Config!$B$9,"✅ OK","⚠️ BREACH"))</f>
        <v/>
      </c>
      <c r="M1265" s="37" t="str">
        <f>IFERROR(IF(Agent07_Withdrawals!A70="","",YEAR(Agent07_Withdrawals!D70)),"")</f>
        <v/>
      </c>
    </row>
    <row r="1266" spans="1:13" ht="18" customHeight="1" x14ac:dyDescent="0.25">
      <c r="A1266" s="37" t="str">
        <f>IF(Agent07_Withdrawals!A71="","",Agent07_Withdrawals!A71)</f>
        <v/>
      </c>
      <c r="B1266" s="37" t="str">
        <f ca="1">IF(Agent07_Withdrawals!A71="","","WD"&amp;TEXT(1266-3,"0000")&amp;"-"&amp;TEXT(TODAY(),"YYYYMMDD"))</f>
        <v/>
      </c>
      <c r="C1266" s="37" t="str">
        <f>IF(Agent07_Withdrawals!A71="","",Agent07_Withdrawals!B71)</f>
        <v/>
      </c>
      <c r="D1266" s="40" t="str">
        <f>IF(Agent07_Withdrawals!A71="","",Agent07_Withdrawals!C71)</f>
        <v/>
      </c>
      <c r="E1266" s="38" t="str">
        <f>IF(Agent07_Withdrawals!A71="","",Agent07_Withdrawals!D71)</f>
        <v/>
      </c>
      <c r="F1266" s="37" t="str">
        <f>IF(Agent07_Withdrawals!A71="","",Agent07_Withdrawals!F71)</f>
        <v/>
      </c>
      <c r="G1266" s="39" t="str">
        <f>IF(Agent07_Withdrawals!A71="","",Agent07_Withdrawals!E71)</f>
        <v/>
      </c>
      <c r="H1266" s="39" t="str">
        <f>IF(Agent07_Withdrawals!A71="","",Agent07_Withdrawals!G71)</f>
        <v/>
      </c>
      <c r="I1266" s="37" t="str">
        <f>IF(Agent07_Withdrawals!A71="","",Agent07_Withdrawals!H71)</f>
        <v/>
      </c>
      <c r="J1266" s="37" t="str">
        <f>IF(Agent07_Withdrawals!A71="","",Agent07_Withdrawals!J71)</f>
        <v/>
      </c>
      <c r="K1266" s="37" t="str">
        <f>IF(Agent07_Withdrawals!A71="","",Agent07_Withdrawals!K71)</f>
        <v/>
      </c>
      <c r="L1266" s="37" t="str">
        <f>IF(G1266="","",IF(D1266-G1266&gt;=System_Config!$B$9,"✅ OK","⚠️ BREACH"))</f>
        <v/>
      </c>
      <c r="M1266" s="37" t="str">
        <f>IFERROR(IF(Agent07_Withdrawals!A71="","",YEAR(Agent07_Withdrawals!D71)),"")</f>
        <v/>
      </c>
    </row>
    <row r="1267" spans="1:13" ht="18" customHeight="1" x14ac:dyDescent="0.25">
      <c r="A1267" s="37" t="str">
        <f>IF(Agent07_Withdrawals!A72="","",Agent07_Withdrawals!A72)</f>
        <v/>
      </c>
      <c r="B1267" s="37" t="str">
        <f ca="1">IF(Agent07_Withdrawals!A72="","","WD"&amp;TEXT(1267-3,"0000")&amp;"-"&amp;TEXT(TODAY(),"YYYYMMDD"))</f>
        <v/>
      </c>
      <c r="C1267" s="37" t="str">
        <f>IF(Agent07_Withdrawals!A72="","",Agent07_Withdrawals!B72)</f>
        <v/>
      </c>
      <c r="D1267" s="40" t="str">
        <f>IF(Agent07_Withdrawals!A72="","",Agent07_Withdrawals!C72)</f>
        <v/>
      </c>
      <c r="E1267" s="38" t="str">
        <f>IF(Agent07_Withdrawals!A72="","",Agent07_Withdrawals!D72)</f>
        <v/>
      </c>
      <c r="F1267" s="37" t="str">
        <f>IF(Agent07_Withdrawals!A72="","",Agent07_Withdrawals!F72)</f>
        <v/>
      </c>
      <c r="G1267" s="39" t="str">
        <f>IF(Agent07_Withdrawals!A72="","",Agent07_Withdrawals!E72)</f>
        <v/>
      </c>
      <c r="H1267" s="39" t="str">
        <f>IF(Agent07_Withdrawals!A72="","",Agent07_Withdrawals!G72)</f>
        <v/>
      </c>
      <c r="I1267" s="37" t="str">
        <f>IF(Agent07_Withdrawals!A72="","",Agent07_Withdrawals!H72)</f>
        <v/>
      </c>
      <c r="J1267" s="37" t="str">
        <f>IF(Agent07_Withdrawals!A72="","",Agent07_Withdrawals!J72)</f>
        <v/>
      </c>
      <c r="K1267" s="37" t="str">
        <f>IF(Agent07_Withdrawals!A72="","",Agent07_Withdrawals!K72)</f>
        <v/>
      </c>
      <c r="L1267" s="37" t="str">
        <f>IF(G1267="","",IF(D1267-G1267&gt;=System_Config!$B$9,"✅ OK","⚠️ BREACH"))</f>
        <v/>
      </c>
      <c r="M1267" s="37" t="str">
        <f>IFERROR(IF(Agent07_Withdrawals!A72="","",YEAR(Agent07_Withdrawals!D72)),"")</f>
        <v/>
      </c>
    </row>
    <row r="1268" spans="1:13" ht="18" customHeight="1" x14ac:dyDescent="0.25">
      <c r="A1268" s="37" t="str">
        <f>IF(Agent07_Withdrawals!A73="","",Agent07_Withdrawals!A73)</f>
        <v/>
      </c>
      <c r="B1268" s="37" t="str">
        <f ca="1">IF(Agent07_Withdrawals!A73="","","WD"&amp;TEXT(1268-3,"0000")&amp;"-"&amp;TEXT(TODAY(),"YYYYMMDD"))</f>
        <v/>
      </c>
      <c r="C1268" s="37" t="str">
        <f>IF(Agent07_Withdrawals!A73="","",Agent07_Withdrawals!B73)</f>
        <v/>
      </c>
      <c r="D1268" s="40" t="str">
        <f>IF(Agent07_Withdrawals!A73="","",Agent07_Withdrawals!C73)</f>
        <v/>
      </c>
      <c r="E1268" s="38" t="str">
        <f>IF(Agent07_Withdrawals!A73="","",Agent07_Withdrawals!D73)</f>
        <v/>
      </c>
      <c r="F1268" s="37" t="str">
        <f>IF(Agent07_Withdrawals!A73="","",Agent07_Withdrawals!F73)</f>
        <v/>
      </c>
      <c r="G1268" s="39" t="str">
        <f>IF(Agent07_Withdrawals!A73="","",Agent07_Withdrawals!E73)</f>
        <v/>
      </c>
      <c r="H1268" s="39" t="str">
        <f>IF(Agent07_Withdrawals!A73="","",Agent07_Withdrawals!G73)</f>
        <v/>
      </c>
      <c r="I1268" s="37" t="str">
        <f>IF(Agent07_Withdrawals!A73="","",Agent07_Withdrawals!H73)</f>
        <v/>
      </c>
      <c r="J1268" s="37" t="str">
        <f>IF(Agent07_Withdrawals!A73="","",Agent07_Withdrawals!J73)</f>
        <v/>
      </c>
      <c r="K1268" s="37" t="str">
        <f>IF(Agent07_Withdrawals!A73="","",Agent07_Withdrawals!K73)</f>
        <v/>
      </c>
      <c r="L1268" s="37" t="str">
        <f>IF(G1268="","",IF(D1268-G1268&gt;=System_Config!$B$9,"✅ OK","⚠️ BREACH"))</f>
        <v/>
      </c>
      <c r="M1268" s="37" t="str">
        <f>IFERROR(IF(Agent07_Withdrawals!A73="","",YEAR(Agent07_Withdrawals!D73)),"")</f>
        <v/>
      </c>
    </row>
    <row r="1269" spans="1:13" ht="18" customHeight="1" x14ac:dyDescent="0.25">
      <c r="A1269" s="37" t="str">
        <f>IF(Agent07_Withdrawals!A74="","",Agent07_Withdrawals!A74)</f>
        <v/>
      </c>
      <c r="B1269" s="37" t="str">
        <f ca="1">IF(Agent07_Withdrawals!A74="","","WD"&amp;TEXT(1269-3,"0000")&amp;"-"&amp;TEXT(TODAY(),"YYYYMMDD"))</f>
        <v/>
      </c>
      <c r="C1269" s="37" t="str">
        <f>IF(Agent07_Withdrawals!A74="","",Agent07_Withdrawals!B74)</f>
        <v/>
      </c>
      <c r="D1269" s="40" t="str">
        <f>IF(Agent07_Withdrawals!A74="","",Agent07_Withdrawals!C74)</f>
        <v/>
      </c>
      <c r="E1269" s="38" t="str">
        <f>IF(Agent07_Withdrawals!A74="","",Agent07_Withdrawals!D74)</f>
        <v/>
      </c>
      <c r="F1269" s="37" t="str">
        <f>IF(Agent07_Withdrawals!A74="","",Agent07_Withdrawals!F74)</f>
        <v/>
      </c>
      <c r="G1269" s="39" t="str">
        <f>IF(Agent07_Withdrawals!A74="","",Agent07_Withdrawals!E74)</f>
        <v/>
      </c>
      <c r="H1269" s="39" t="str">
        <f>IF(Agent07_Withdrawals!A74="","",Agent07_Withdrawals!G74)</f>
        <v/>
      </c>
      <c r="I1269" s="37" t="str">
        <f>IF(Agent07_Withdrawals!A74="","",Agent07_Withdrawals!H74)</f>
        <v/>
      </c>
      <c r="J1269" s="37" t="str">
        <f>IF(Agent07_Withdrawals!A74="","",Agent07_Withdrawals!J74)</f>
        <v/>
      </c>
      <c r="K1269" s="37" t="str">
        <f>IF(Agent07_Withdrawals!A74="","",Agent07_Withdrawals!K74)</f>
        <v/>
      </c>
      <c r="L1269" s="37" t="str">
        <f>IF(G1269="","",IF(D1269-G1269&gt;=System_Config!$B$9,"✅ OK","⚠️ BREACH"))</f>
        <v/>
      </c>
      <c r="M1269" s="37" t="str">
        <f>IFERROR(IF(Agent07_Withdrawals!A74="","",YEAR(Agent07_Withdrawals!D74)),"")</f>
        <v/>
      </c>
    </row>
    <row r="1270" spans="1:13" ht="18" customHeight="1" x14ac:dyDescent="0.25">
      <c r="A1270" s="37" t="str">
        <f>IF(Agent07_Withdrawals!A75="","",Agent07_Withdrawals!A75)</f>
        <v/>
      </c>
      <c r="B1270" s="37" t="str">
        <f ca="1">IF(Agent07_Withdrawals!A75="","","WD"&amp;TEXT(1270-3,"0000")&amp;"-"&amp;TEXT(TODAY(),"YYYYMMDD"))</f>
        <v/>
      </c>
      <c r="C1270" s="37" t="str">
        <f>IF(Agent07_Withdrawals!A75="","",Agent07_Withdrawals!B75)</f>
        <v/>
      </c>
      <c r="D1270" s="40" t="str">
        <f>IF(Agent07_Withdrawals!A75="","",Agent07_Withdrawals!C75)</f>
        <v/>
      </c>
      <c r="E1270" s="38" t="str">
        <f>IF(Agent07_Withdrawals!A75="","",Agent07_Withdrawals!D75)</f>
        <v/>
      </c>
      <c r="F1270" s="37" t="str">
        <f>IF(Agent07_Withdrawals!A75="","",Agent07_Withdrawals!F75)</f>
        <v/>
      </c>
      <c r="G1270" s="39" t="str">
        <f>IF(Agent07_Withdrawals!A75="","",Agent07_Withdrawals!E75)</f>
        <v/>
      </c>
      <c r="H1270" s="39" t="str">
        <f>IF(Agent07_Withdrawals!A75="","",Agent07_Withdrawals!G75)</f>
        <v/>
      </c>
      <c r="I1270" s="37" t="str">
        <f>IF(Agent07_Withdrawals!A75="","",Agent07_Withdrawals!H75)</f>
        <v/>
      </c>
      <c r="J1270" s="37" t="str">
        <f>IF(Agent07_Withdrawals!A75="","",Agent07_Withdrawals!J75)</f>
        <v/>
      </c>
      <c r="K1270" s="37" t="str">
        <f>IF(Agent07_Withdrawals!A75="","",Agent07_Withdrawals!K75)</f>
        <v/>
      </c>
      <c r="L1270" s="37" t="str">
        <f>IF(G1270="","",IF(D1270-G1270&gt;=System_Config!$B$9,"✅ OK","⚠️ BREACH"))</f>
        <v/>
      </c>
      <c r="M1270" s="37" t="str">
        <f>IFERROR(IF(Agent07_Withdrawals!A75="","",YEAR(Agent07_Withdrawals!D75)),"")</f>
        <v/>
      </c>
    </row>
    <row r="1271" spans="1:13" ht="18" customHeight="1" x14ac:dyDescent="0.25">
      <c r="A1271" s="37" t="str">
        <f>IF(Agent07_Withdrawals!A76="","",Agent07_Withdrawals!A76)</f>
        <v/>
      </c>
      <c r="B1271" s="37" t="str">
        <f ca="1">IF(Agent07_Withdrawals!A76="","","WD"&amp;TEXT(1271-3,"0000")&amp;"-"&amp;TEXT(TODAY(),"YYYYMMDD"))</f>
        <v/>
      </c>
      <c r="C1271" s="37" t="str">
        <f>IF(Agent07_Withdrawals!A76="","",Agent07_Withdrawals!B76)</f>
        <v/>
      </c>
      <c r="D1271" s="40" t="str">
        <f>IF(Agent07_Withdrawals!A76="","",Agent07_Withdrawals!C76)</f>
        <v/>
      </c>
      <c r="E1271" s="38" t="str">
        <f>IF(Agent07_Withdrawals!A76="","",Agent07_Withdrawals!D76)</f>
        <v/>
      </c>
      <c r="F1271" s="37" t="str">
        <f>IF(Agent07_Withdrawals!A76="","",Agent07_Withdrawals!F76)</f>
        <v/>
      </c>
      <c r="G1271" s="39" t="str">
        <f>IF(Agent07_Withdrawals!A76="","",Agent07_Withdrawals!E76)</f>
        <v/>
      </c>
      <c r="H1271" s="39" t="str">
        <f>IF(Agent07_Withdrawals!A76="","",Agent07_Withdrawals!G76)</f>
        <v/>
      </c>
      <c r="I1271" s="37" t="str">
        <f>IF(Agent07_Withdrawals!A76="","",Agent07_Withdrawals!H76)</f>
        <v/>
      </c>
      <c r="J1271" s="37" t="str">
        <f>IF(Agent07_Withdrawals!A76="","",Agent07_Withdrawals!J76)</f>
        <v/>
      </c>
      <c r="K1271" s="37" t="str">
        <f>IF(Agent07_Withdrawals!A76="","",Agent07_Withdrawals!K76)</f>
        <v/>
      </c>
      <c r="L1271" s="37" t="str">
        <f>IF(G1271="","",IF(D1271-G1271&gt;=System_Config!$B$9,"✅ OK","⚠️ BREACH"))</f>
        <v/>
      </c>
      <c r="M1271" s="37" t="str">
        <f>IFERROR(IF(Agent07_Withdrawals!A76="","",YEAR(Agent07_Withdrawals!D76)),"")</f>
        <v/>
      </c>
    </row>
    <row r="1272" spans="1:13" ht="18" customHeight="1" x14ac:dyDescent="0.25">
      <c r="A1272" s="37" t="str">
        <f>IF(Agent07_Withdrawals!A77="","",Agent07_Withdrawals!A77)</f>
        <v/>
      </c>
      <c r="B1272" s="37" t="str">
        <f ca="1">IF(Agent07_Withdrawals!A77="","","WD"&amp;TEXT(1272-3,"0000")&amp;"-"&amp;TEXT(TODAY(),"YYYYMMDD"))</f>
        <v/>
      </c>
      <c r="C1272" s="37" t="str">
        <f>IF(Agent07_Withdrawals!A77="","",Agent07_Withdrawals!B77)</f>
        <v/>
      </c>
      <c r="D1272" s="40" t="str">
        <f>IF(Agent07_Withdrawals!A77="","",Agent07_Withdrawals!C77)</f>
        <v/>
      </c>
      <c r="E1272" s="38" t="str">
        <f>IF(Agent07_Withdrawals!A77="","",Agent07_Withdrawals!D77)</f>
        <v/>
      </c>
      <c r="F1272" s="37" t="str">
        <f>IF(Agent07_Withdrawals!A77="","",Agent07_Withdrawals!F77)</f>
        <v/>
      </c>
      <c r="G1272" s="39" t="str">
        <f>IF(Agent07_Withdrawals!A77="","",Agent07_Withdrawals!E77)</f>
        <v/>
      </c>
      <c r="H1272" s="39" t="str">
        <f>IF(Agent07_Withdrawals!A77="","",Agent07_Withdrawals!G77)</f>
        <v/>
      </c>
      <c r="I1272" s="37" t="str">
        <f>IF(Agent07_Withdrawals!A77="","",Agent07_Withdrawals!H77)</f>
        <v/>
      </c>
      <c r="J1272" s="37" t="str">
        <f>IF(Agent07_Withdrawals!A77="","",Agent07_Withdrawals!J77)</f>
        <v/>
      </c>
      <c r="K1272" s="37" t="str">
        <f>IF(Agent07_Withdrawals!A77="","",Agent07_Withdrawals!K77)</f>
        <v/>
      </c>
      <c r="L1272" s="37" t="str">
        <f>IF(G1272="","",IF(D1272-G1272&gt;=System_Config!$B$9,"✅ OK","⚠️ BREACH"))</f>
        <v/>
      </c>
      <c r="M1272" s="37" t="str">
        <f>IFERROR(IF(Agent07_Withdrawals!A77="","",YEAR(Agent07_Withdrawals!D77)),"")</f>
        <v/>
      </c>
    </row>
    <row r="1273" spans="1:13" ht="18" customHeight="1" x14ac:dyDescent="0.25">
      <c r="A1273" s="37" t="str">
        <f>IF(Agent07_Withdrawals!A78="","",Agent07_Withdrawals!A78)</f>
        <v/>
      </c>
      <c r="B1273" s="37" t="str">
        <f ca="1">IF(Agent07_Withdrawals!A78="","","WD"&amp;TEXT(1273-3,"0000")&amp;"-"&amp;TEXT(TODAY(),"YYYYMMDD"))</f>
        <v/>
      </c>
      <c r="C1273" s="37" t="str">
        <f>IF(Agent07_Withdrawals!A78="","",Agent07_Withdrawals!B78)</f>
        <v/>
      </c>
      <c r="D1273" s="40" t="str">
        <f>IF(Agent07_Withdrawals!A78="","",Agent07_Withdrawals!C78)</f>
        <v/>
      </c>
      <c r="E1273" s="38" t="str">
        <f>IF(Agent07_Withdrawals!A78="","",Agent07_Withdrawals!D78)</f>
        <v/>
      </c>
      <c r="F1273" s="37" t="str">
        <f>IF(Agent07_Withdrawals!A78="","",Agent07_Withdrawals!F78)</f>
        <v/>
      </c>
      <c r="G1273" s="39" t="str">
        <f>IF(Agent07_Withdrawals!A78="","",Agent07_Withdrawals!E78)</f>
        <v/>
      </c>
      <c r="H1273" s="39" t="str">
        <f>IF(Agent07_Withdrawals!A78="","",Agent07_Withdrawals!G78)</f>
        <v/>
      </c>
      <c r="I1273" s="37" t="str">
        <f>IF(Agent07_Withdrawals!A78="","",Agent07_Withdrawals!H78)</f>
        <v/>
      </c>
      <c r="J1273" s="37" t="str">
        <f>IF(Agent07_Withdrawals!A78="","",Agent07_Withdrawals!J78)</f>
        <v/>
      </c>
      <c r="K1273" s="37" t="str">
        <f>IF(Agent07_Withdrawals!A78="","",Agent07_Withdrawals!K78)</f>
        <v/>
      </c>
      <c r="L1273" s="37" t="str">
        <f>IF(G1273="","",IF(D1273-G1273&gt;=System_Config!$B$9,"✅ OK","⚠️ BREACH"))</f>
        <v/>
      </c>
      <c r="M1273" s="37" t="str">
        <f>IFERROR(IF(Agent07_Withdrawals!A78="","",YEAR(Agent07_Withdrawals!D78)),"")</f>
        <v/>
      </c>
    </row>
    <row r="1274" spans="1:13" ht="18" customHeight="1" x14ac:dyDescent="0.25">
      <c r="A1274" s="37" t="str">
        <f>IF(Agent07_Withdrawals!A79="","",Agent07_Withdrawals!A79)</f>
        <v/>
      </c>
      <c r="B1274" s="37" t="str">
        <f ca="1">IF(Agent07_Withdrawals!A79="","","WD"&amp;TEXT(1274-3,"0000")&amp;"-"&amp;TEXT(TODAY(),"YYYYMMDD"))</f>
        <v/>
      </c>
      <c r="C1274" s="37" t="str">
        <f>IF(Agent07_Withdrawals!A79="","",Agent07_Withdrawals!B79)</f>
        <v/>
      </c>
      <c r="D1274" s="40" t="str">
        <f>IF(Agent07_Withdrawals!A79="","",Agent07_Withdrawals!C79)</f>
        <v/>
      </c>
      <c r="E1274" s="38" t="str">
        <f>IF(Agent07_Withdrawals!A79="","",Agent07_Withdrawals!D79)</f>
        <v/>
      </c>
      <c r="F1274" s="37" t="str">
        <f>IF(Agent07_Withdrawals!A79="","",Agent07_Withdrawals!F79)</f>
        <v/>
      </c>
      <c r="G1274" s="39" t="str">
        <f>IF(Agent07_Withdrawals!A79="","",Agent07_Withdrawals!E79)</f>
        <v/>
      </c>
      <c r="H1274" s="39" t="str">
        <f>IF(Agent07_Withdrawals!A79="","",Agent07_Withdrawals!G79)</f>
        <v/>
      </c>
      <c r="I1274" s="37" t="str">
        <f>IF(Agent07_Withdrawals!A79="","",Agent07_Withdrawals!H79)</f>
        <v/>
      </c>
      <c r="J1274" s="37" t="str">
        <f>IF(Agent07_Withdrawals!A79="","",Agent07_Withdrawals!J79)</f>
        <v/>
      </c>
      <c r="K1274" s="37" t="str">
        <f>IF(Agent07_Withdrawals!A79="","",Agent07_Withdrawals!K79)</f>
        <v/>
      </c>
      <c r="L1274" s="37" t="str">
        <f>IF(G1274="","",IF(D1274-G1274&gt;=System_Config!$B$9,"✅ OK","⚠️ BREACH"))</f>
        <v/>
      </c>
      <c r="M1274" s="37" t="str">
        <f>IFERROR(IF(Agent07_Withdrawals!A79="","",YEAR(Agent07_Withdrawals!D79)),"")</f>
        <v/>
      </c>
    </row>
    <row r="1275" spans="1:13" ht="18" customHeight="1" x14ac:dyDescent="0.25">
      <c r="A1275" s="37" t="str">
        <f>IF(Agent07_Withdrawals!A80="","",Agent07_Withdrawals!A80)</f>
        <v/>
      </c>
      <c r="B1275" s="37" t="str">
        <f ca="1">IF(Agent07_Withdrawals!A80="","","WD"&amp;TEXT(1275-3,"0000")&amp;"-"&amp;TEXT(TODAY(),"YYYYMMDD"))</f>
        <v/>
      </c>
      <c r="C1275" s="37" t="str">
        <f>IF(Agent07_Withdrawals!A80="","",Agent07_Withdrawals!B80)</f>
        <v/>
      </c>
      <c r="D1275" s="40" t="str">
        <f>IF(Agent07_Withdrawals!A80="","",Agent07_Withdrawals!C80)</f>
        <v/>
      </c>
      <c r="E1275" s="38" t="str">
        <f>IF(Agent07_Withdrawals!A80="","",Agent07_Withdrawals!D80)</f>
        <v/>
      </c>
      <c r="F1275" s="37" t="str">
        <f>IF(Agent07_Withdrawals!A80="","",Agent07_Withdrawals!F80)</f>
        <v/>
      </c>
      <c r="G1275" s="39" t="str">
        <f>IF(Agent07_Withdrawals!A80="","",Agent07_Withdrawals!E80)</f>
        <v/>
      </c>
      <c r="H1275" s="39" t="str">
        <f>IF(Agent07_Withdrawals!A80="","",Agent07_Withdrawals!G80)</f>
        <v/>
      </c>
      <c r="I1275" s="37" t="str">
        <f>IF(Agent07_Withdrawals!A80="","",Agent07_Withdrawals!H80)</f>
        <v/>
      </c>
      <c r="J1275" s="37" t="str">
        <f>IF(Agent07_Withdrawals!A80="","",Agent07_Withdrawals!J80)</f>
        <v/>
      </c>
      <c r="K1275" s="37" t="str">
        <f>IF(Agent07_Withdrawals!A80="","",Agent07_Withdrawals!K80)</f>
        <v/>
      </c>
      <c r="L1275" s="37" t="str">
        <f>IF(G1275="","",IF(D1275-G1275&gt;=System_Config!$B$9,"✅ OK","⚠️ BREACH"))</f>
        <v/>
      </c>
      <c r="M1275" s="37" t="str">
        <f>IFERROR(IF(Agent07_Withdrawals!A80="","",YEAR(Agent07_Withdrawals!D80)),"")</f>
        <v/>
      </c>
    </row>
    <row r="1276" spans="1:13" ht="18" customHeight="1" x14ac:dyDescent="0.25">
      <c r="A1276" s="37" t="str">
        <f>IF(Agent07_Withdrawals!A81="","",Agent07_Withdrawals!A81)</f>
        <v/>
      </c>
      <c r="B1276" s="37" t="str">
        <f ca="1">IF(Agent07_Withdrawals!A81="","","WD"&amp;TEXT(1276-3,"0000")&amp;"-"&amp;TEXT(TODAY(),"YYYYMMDD"))</f>
        <v/>
      </c>
      <c r="C1276" s="37" t="str">
        <f>IF(Agent07_Withdrawals!A81="","",Agent07_Withdrawals!B81)</f>
        <v/>
      </c>
      <c r="D1276" s="40" t="str">
        <f>IF(Agent07_Withdrawals!A81="","",Agent07_Withdrawals!C81)</f>
        <v/>
      </c>
      <c r="E1276" s="38" t="str">
        <f>IF(Agent07_Withdrawals!A81="","",Agent07_Withdrawals!D81)</f>
        <v/>
      </c>
      <c r="F1276" s="37" t="str">
        <f>IF(Agent07_Withdrawals!A81="","",Agent07_Withdrawals!F81)</f>
        <v/>
      </c>
      <c r="G1276" s="39" t="str">
        <f>IF(Agent07_Withdrawals!A81="","",Agent07_Withdrawals!E81)</f>
        <v/>
      </c>
      <c r="H1276" s="39" t="str">
        <f>IF(Agent07_Withdrawals!A81="","",Agent07_Withdrawals!G81)</f>
        <v/>
      </c>
      <c r="I1276" s="37" t="str">
        <f>IF(Agent07_Withdrawals!A81="","",Agent07_Withdrawals!H81)</f>
        <v/>
      </c>
      <c r="J1276" s="37" t="str">
        <f>IF(Agent07_Withdrawals!A81="","",Agent07_Withdrawals!J81)</f>
        <v/>
      </c>
      <c r="K1276" s="37" t="str">
        <f>IF(Agent07_Withdrawals!A81="","",Agent07_Withdrawals!K81)</f>
        <v/>
      </c>
      <c r="L1276" s="37" t="str">
        <f>IF(G1276="","",IF(D1276-G1276&gt;=System_Config!$B$9,"✅ OK","⚠️ BREACH"))</f>
        <v/>
      </c>
      <c r="M1276" s="37" t="str">
        <f>IFERROR(IF(Agent07_Withdrawals!A81="","",YEAR(Agent07_Withdrawals!D81)),"")</f>
        <v/>
      </c>
    </row>
    <row r="1277" spans="1:13" ht="18" customHeight="1" x14ac:dyDescent="0.25">
      <c r="A1277" s="37" t="str">
        <f>IF(Agent07_Withdrawals!A82="","",Agent07_Withdrawals!A82)</f>
        <v/>
      </c>
      <c r="B1277" s="37" t="str">
        <f ca="1">IF(Agent07_Withdrawals!A82="","","WD"&amp;TEXT(1277-3,"0000")&amp;"-"&amp;TEXT(TODAY(),"YYYYMMDD"))</f>
        <v/>
      </c>
      <c r="C1277" s="37" t="str">
        <f>IF(Agent07_Withdrawals!A82="","",Agent07_Withdrawals!B82)</f>
        <v/>
      </c>
      <c r="D1277" s="40" t="str">
        <f>IF(Agent07_Withdrawals!A82="","",Agent07_Withdrawals!C82)</f>
        <v/>
      </c>
      <c r="E1277" s="38" t="str">
        <f>IF(Agent07_Withdrawals!A82="","",Agent07_Withdrawals!D82)</f>
        <v/>
      </c>
      <c r="F1277" s="37" t="str">
        <f>IF(Agent07_Withdrawals!A82="","",Agent07_Withdrawals!F82)</f>
        <v/>
      </c>
      <c r="G1277" s="39" t="str">
        <f>IF(Agent07_Withdrawals!A82="","",Agent07_Withdrawals!E82)</f>
        <v/>
      </c>
      <c r="H1277" s="39" t="str">
        <f>IF(Agent07_Withdrawals!A82="","",Agent07_Withdrawals!G82)</f>
        <v/>
      </c>
      <c r="I1277" s="37" t="str">
        <f>IF(Agent07_Withdrawals!A82="","",Agent07_Withdrawals!H82)</f>
        <v/>
      </c>
      <c r="J1277" s="37" t="str">
        <f>IF(Agent07_Withdrawals!A82="","",Agent07_Withdrawals!J82)</f>
        <v/>
      </c>
      <c r="K1277" s="37" t="str">
        <f>IF(Agent07_Withdrawals!A82="","",Agent07_Withdrawals!K82)</f>
        <v/>
      </c>
      <c r="L1277" s="37" t="str">
        <f>IF(G1277="","",IF(D1277-G1277&gt;=System_Config!$B$9,"✅ OK","⚠️ BREACH"))</f>
        <v/>
      </c>
      <c r="M1277" s="37" t="str">
        <f>IFERROR(IF(Agent07_Withdrawals!A82="","",YEAR(Agent07_Withdrawals!D82)),"")</f>
        <v/>
      </c>
    </row>
    <row r="1278" spans="1:13" ht="18" customHeight="1" x14ac:dyDescent="0.25">
      <c r="A1278" s="37" t="str">
        <f>IF(Agent07_Withdrawals!A83="","",Agent07_Withdrawals!A83)</f>
        <v/>
      </c>
      <c r="B1278" s="37" t="str">
        <f ca="1">IF(Agent07_Withdrawals!A83="","","WD"&amp;TEXT(1278-3,"0000")&amp;"-"&amp;TEXT(TODAY(),"YYYYMMDD"))</f>
        <v/>
      </c>
      <c r="C1278" s="37" t="str">
        <f>IF(Agent07_Withdrawals!A83="","",Agent07_Withdrawals!B83)</f>
        <v/>
      </c>
      <c r="D1278" s="40" t="str">
        <f>IF(Agent07_Withdrawals!A83="","",Agent07_Withdrawals!C83)</f>
        <v/>
      </c>
      <c r="E1278" s="38" t="str">
        <f>IF(Agent07_Withdrawals!A83="","",Agent07_Withdrawals!D83)</f>
        <v/>
      </c>
      <c r="F1278" s="37" t="str">
        <f>IF(Agent07_Withdrawals!A83="","",Agent07_Withdrawals!F83)</f>
        <v/>
      </c>
      <c r="G1278" s="39" t="str">
        <f>IF(Agent07_Withdrawals!A83="","",Agent07_Withdrawals!E83)</f>
        <v/>
      </c>
      <c r="H1278" s="39" t="str">
        <f>IF(Agent07_Withdrawals!A83="","",Agent07_Withdrawals!G83)</f>
        <v/>
      </c>
      <c r="I1278" s="37" t="str">
        <f>IF(Agent07_Withdrawals!A83="","",Agent07_Withdrawals!H83)</f>
        <v/>
      </c>
      <c r="J1278" s="37" t="str">
        <f>IF(Agent07_Withdrawals!A83="","",Agent07_Withdrawals!J83)</f>
        <v/>
      </c>
      <c r="K1278" s="37" t="str">
        <f>IF(Agent07_Withdrawals!A83="","",Agent07_Withdrawals!K83)</f>
        <v/>
      </c>
      <c r="L1278" s="37" t="str">
        <f>IF(G1278="","",IF(D1278-G1278&gt;=System_Config!$B$9,"✅ OK","⚠️ BREACH"))</f>
        <v/>
      </c>
      <c r="M1278" s="37" t="str">
        <f>IFERROR(IF(Agent07_Withdrawals!A83="","",YEAR(Agent07_Withdrawals!D83)),"")</f>
        <v/>
      </c>
    </row>
    <row r="1279" spans="1:13" ht="18" customHeight="1" x14ac:dyDescent="0.25">
      <c r="A1279" s="37" t="str">
        <f>IF(Agent07_Withdrawals!A84="","",Agent07_Withdrawals!A84)</f>
        <v/>
      </c>
      <c r="B1279" s="37" t="str">
        <f ca="1">IF(Agent07_Withdrawals!A84="","","WD"&amp;TEXT(1279-3,"0000")&amp;"-"&amp;TEXT(TODAY(),"YYYYMMDD"))</f>
        <v/>
      </c>
      <c r="C1279" s="37" t="str">
        <f>IF(Agent07_Withdrawals!A84="","",Agent07_Withdrawals!B84)</f>
        <v/>
      </c>
      <c r="D1279" s="40" t="str">
        <f>IF(Agent07_Withdrawals!A84="","",Agent07_Withdrawals!C84)</f>
        <v/>
      </c>
      <c r="E1279" s="38" t="str">
        <f>IF(Agent07_Withdrawals!A84="","",Agent07_Withdrawals!D84)</f>
        <v/>
      </c>
      <c r="F1279" s="37" t="str">
        <f>IF(Agent07_Withdrawals!A84="","",Agent07_Withdrawals!F84)</f>
        <v/>
      </c>
      <c r="G1279" s="39" t="str">
        <f>IF(Agent07_Withdrawals!A84="","",Agent07_Withdrawals!E84)</f>
        <v/>
      </c>
      <c r="H1279" s="39" t="str">
        <f>IF(Agent07_Withdrawals!A84="","",Agent07_Withdrawals!G84)</f>
        <v/>
      </c>
      <c r="I1279" s="37" t="str">
        <f>IF(Agent07_Withdrawals!A84="","",Agent07_Withdrawals!H84)</f>
        <v/>
      </c>
      <c r="J1279" s="37" t="str">
        <f>IF(Agent07_Withdrawals!A84="","",Agent07_Withdrawals!J84)</f>
        <v/>
      </c>
      <c r="K1279" s="37" t="str">
        <f>IF(Agent07_Withdrawals!A84="","",Agent07_Withdrawals!K84)</f>
        <v/>
      </c>
      <c r="L1279" s="37" t="str">
        <f>IF(G1279="","",IF(D1279-G1279&gt;=System_Config!$B$9,"✅ OK","⚠️ BREACH"))</f>
        <v/>
      </c>
      <c r="M1279" s="37" t="str">
        <f>IFERROR(IF(Agent07_Withdrawals!A84="","",YEAR(Agent07_Withdrawals!D84)),"")</f>
        <v/>
      </c>
    </row>
    <row r="1280" spans="1:13" ht="18" customHeight="1" x14ac:dyDescent="0.25">
      <c r="A1280" s="37" t="str">
        <f>IF(Agent07_Withdrawals!A85="","",Agent07_Withdrawals!A85)</f>
        <v/>
      </c>
      <c r="B1280" s="37" t="str">
        <f ca="1">IF(Agent07_Withdrawals!A85="","","WD"&amp;TEXT(1280-3,"0000")&amp;"-"&amp;TEXT(TODAY(),"YYYYMMDD"))</f>
        <v/>
      </c>
      <c r="C1280" s="37" t="str">
        <f>IF(Agent07_Withdrawals!A85="","",Agent07_Withdrawals!B85)</f>
        <v/>
      </c>
      <c r="D1280" s="40" t="str">
        <f>IF(Agent07_Withdrawals!A85="","",Agent07_Withdrawals!C85)</f>
        <v/>
      </c>
      <c r="E1280" s="38" t="str">
        <f>IF(Agent07_Withdrawals!A85="","",Agent07_Withdrawals!D85)</f>
        <v/>
      </c>
      <c r="F1280" s="37" t="str">
        <f>IF(Agent07_Withdrawals!A85="","",Agent07_Withdrawals!F85)</f>
        <v/>
      </c>
      <c r="G1280" s="39" t="str">
        <f>IF(Agent07_Withdrawals!A85="","",Agent07_Withdrawals!E85)</f>
        <v/>
      </c>
      <c r="H1280" s="39" t="str">
        <f>IF(Agent07_Withdrawals!A85="","",Agent07_Withdrawals!G85)</f>
        <v/>
      </c>
      <c r="I1280" s="37" t="str">
        <f>IF(Agent07_Withdrawals!A85="","",Agent07_Withdrawals!H85)</f>
        <v/>
      </c>
      <c r="J1280" s="37" t="str">
        <f>IF(Agent07_Withdrawals!A85="","",Agent07_Withdrawals!J85)</f>
        <v/>
      </c>
      <c r="K1280" s="37" t="str">
        <f>IF(Agent07_Withdrawals!A85="","",Agent07_Withdrawals!K85)</f>
        <v/>
      </c>
      <c r="L1280" s="37" t="str">
        <f>IF(G1280="","",IF(D1280-G1280&gt;=System_Config!$B$9,"✅ OK","⚠️ BREACH"))</f>
        <v/>
      </c>
      <c r="M1280" s="37" t="str">
        <f>IFERROR(IF(Agent07_Withdrawals!A85="","",YEAR(Agent07_Withdrawals!D85)),"")</f>
        <v/>
      </c>
    </row>
    <row r="1281" spans="1:13" ht="18" customHeight="1" x14ac:dyDescent="0.25">
      <c r="A1281" s="37" t="str">
        <f>IF(Agent07_Withdrawals!A86="","",Agent07_Withdrawals!A86)</f>
        <v/>
      </c>
      <c r="B1281" s="37" t="str">
        <f ca="1">IF(Agent07_Withdrawals!A86="","","WD"&amp;TEXT(1281-3,"0000")&amp;"-"&amp;TEXT(TODAY(),"YYYYMMDD"))</f>
        <v/>
      </c>
      <c r="C1281" s="37" t="str">
        <f>IF(Agent07_Withdrawals!A86="","",Agent07_Withdrawals!B86)</f>
        <v/>
      </c>
      <c r="D1281" s="40" t="str">
        <f>IF(Agent07_Withdrawals!A86="","",Agent07_Withdrawals!C86)</f>
        <v/>
      </c>
      <c r="E1281" s="38" t="str">
        <f>IF(Agent07_Withdrawals!A86="","",Agent07_Withdrawals!D86)</f>
        <v/>
      </c>
      <c r="F1281" s="37" t="str">
        <f>IF(Agent07_Withdrawals!A86="","",Agent07_Withdrawals!F86)</f>
        <v/>
      </c>
      <c r="G1281" s="39" t="str">
        <f>IF(Agent07_Withdrawals!A86="","",Agent07_Withdrawals!E86)</f>
        <v/>
      </c>
      <c r="H1281" s="39" t="str">
        <f>IF(Agent07_Withdrawals!A86="","",Agent07_Withdrawals!G86)</f>
        <v/>
      </c>
      <c r="I1281" s="37" t="str">
        <f>IF(Agent07_Withdrawals!A86="","",Agent07_Withdrawals!H86)</f>
        <v/>
      </c>
      <c r="J1281" s="37" t="str">
        <f>IF(Agent07_Withdrawals!A86="","",Agent07_Withdrawals!J86)</f>
        <v/>
      </c>
      <c r="K1281" s="37" t="str">
        <f>IF(Agent07_Withdrawals!A86="","",Agent07_Withdrawals!K86)</f>
        <v/>
      </c>
      <c r="L1281" s="37" t="str">
        <f>IF(G1281="","",IF(D1281-G1281&gt;=System_Config!$B$9,"✅ OK","⚠️ BREACH"))</f>
        <v/>
      </c>
      <c r="M1281" s="37" t="str">
        <f>IFERROR(IF(Agent07_Withdrawals!A86="","",YEAR(Agent07_Withdrawals!D86)),"")</f>
        <v/>
      </c>
    </row>
    <row r="1282" spans="1:13" ht="18" customHeight="1" x14ac:dyDescent="0.25">
      <c r="A1282" s="37" t="str">
        <f>IF(Agent07_Withdrawals!A87="","",Agent07_Withdrawals!A87)</f>
        <v/>
      </c>
      <c r="B1282" s="37" t="str">
        <f ca="1">IF(Agent07_Withdrawals!A87="","","WD"&amp;TEXT(1282-3,"0000")&amp;"-"&amp;TEXT(TODAY(),"YYYYMMDD"))</f>
        <v/>
      </c>
      <c r="C1282" s="37" t="str">
        <f>IF(Agent07_Withdrawals!A87="","",Agent07_Withdrawals!B87)</f>
        <v/>
      </c>
      <c r="D1282" s="40" t="str">
        <f>IF(Agent07_Withdrawals!A87="","",Agent07_Withdrawals!C87)</f>
        <v/>
      </c>
      <c r="E1282" s="38" t="str">
        <f>IF(Agent07_Withdrawals!A87="","",Agent07_Withdrawals!D87)</f>
        <v/>
      </c>
      <c r="F1282" s="37" t="str">
        <f>IF(Agent07_Withdrawals!A87="","",Agent07_Withdrawals!F87)</f>
        <v/>
      </c>
      <c r="G1282" s="39" t="str">
        <f>IF(Agent07_Withdrawals!A87="","",Agent07_Withdrawals!E87)</f>
        <v/>
      </c>
      <c r="H1282" s="39" t="str">
        <f>IF(Agent07_Withdrawals!A87="","",Agent07_Withdrawals!G87)</f>
        <v/>
      </c>
      <c r="I1282" s="37" t="str">
        <f>IF(Agent07_Withdrawals!A87="","",Agent07_Withdrawals!H87)</f>
        <v/>
      </c>
      <c r="J1282" s="37" t="str">
        <f>IF(Agent07_Withdrawals!A87="","",Agent07_Withdrawals!J87)</f>
        <v/>
      </c>
      <c r="K1282" s="37" t="str">
        <f>IF(Agent07_Withdrawals!A87="","",Agent07_Withdrawals!K87)</f>
        <v/>
      </c>
      <c r="L1282" s="37" t="str">
        <f>IF(G1282="","",IF(D1282-G1282&gt;=System_Config!$B$9,"✅ OK","⚠️ BREACH"))</f>
        <v/>
      </c>
      <c r="M1282" s="37" t="str">
        <f>IFERROR(IF(Agent07_Withdrawals!A87="","",YEAR(Agent07_Withdrawals!D87)),"")</f>
        <v/>
      </c>
    </row>
    <row r="1283" spans="1:13" ht="18" customHeight="1" x14ac:dyDescent="0.25">
      <c r="A1283" s="37" t="str">
        <f>IF(Agent07_Withdrawals!A88="","",Agent07_Withdrawals!A88)</f>
        <v/>
      </c>
      <c r="B1283" s="37" t="str">
        <f ca="1">IF(Agent07_Withdrawals!A88="","","WD"&amp;TEXT(1283-3,"0000")&amp;"-"&amp;TEXT(TODAY(),"YYYYMMDD"))</f>
        <v/>
      </c>
      <c r="C1283" s="37" t="str">
        <f>IF(Agent07_Withdrawals!A88="","",Agent07_Withdrawals!B88)</f>
        <v/>
      </c>
      <c r="D1283" s="40" t="str">
        <f>IF(Agent07_Withdrawals!A88="","",Agent07_Withdrawals!C88)</f>
        <v/>
      </c>
      <c r="E1283" s="38" t="str">
        <f>IF(Agent07_Withdrawals!A88="","",Agent07_Withdrawals!D88)</f>
        <v/>
      </c>
      <c r="F1283" s="37" t="str">
        <f>IF(Agent07_Withdrawals!A88="","",Agent07_Withdrawals!F88)</f>
        <v/>
      </c>
      <c r="G1283" s="39" t="str">
        <f>IF(Agent07_Withdrawals!A88="","",Agent07_Withdrawals!E88)</f>
        <v/>
      </c>
      <c r="H1283" s="39" t="str">
        <f>IF(Agent07_Withdrawals!A88="","",Agent07_Withdrawals!G88)</f>
        <v/>
      </c>
      <c r="I1283" s="37" t="str">
        <f>IF(Agent07_Withdrawals!A88="","",Agent07_Withdrawals!H88)</f>
        <v/>
      </c>
      <c r="J1283" s="37" t="str">
        <f>IF(Agent07_Withdrawals!A88="","",Agent07_Withdrawals!J88)</f>
        <v/>
      </c>
      <c r="K1283" s="37" t="str">
        <f>IF(Agent07_Withdrawals!A88="","",Agent07_Withdrawals!K88)</f>
        <v/>
      </c>
      <c r="L1283" s="37" t="str">
        <f>IF(G1283="","",IF(D1283-G1283&gt;=System_Config!$B$9,"✅ OK","⚠️ BREACH"))</f>
        <v/>
      </c>
      <c r="M1283" s="37" t="str">
        <f>IFERROR(IF(Agent07_Withdrawals!A88="","",YEAR(Agent07_Withdrawals!D88)),"")</f>
        <v/>
      </c>
    </row>
    <row r="1284" spans="1:13" ht="18" customHeight="1" x14ac:dyDescent="0.25">
      <c r="A1284" s="37" t="str">
        <f>IF(Agent07_Withdrawals!A89="","",Agent07_Withdrawals!A89)</f>
        <v/>
      </c>
      <c r="B1284" s="37" t="str">
        <f ca="1">IF(Agent07_Withdrawals!A89="","","WD"&amp;TEXT(1284-3,"0000")&amp;"-"&amp;TEXT(TODAY(),"YYYYMMDD"))</f>
        <v/>
      </c>
      <c r="C1284" s="37" t="str">
        <f>IF(Agent07_Withdrawals!A89="","",Agent07_Withdrawals!B89)</f>
        <v/>
      </c>
      <c r="D1284" s="40" t="str">
        <f>IF(Agent07_Withdrawals!A89="","",Agent07_Withdrawals!C89)</f>
        <v/>
      </c>
      <c r="E1284" s="38" t="str">
        <f>IF(Agent07_Withdrawals!A89="","",Agent07_Withdrawals!D89)</f>
        <v/>
      </c>
      <c r="F1284" s="37" t="str">
        <f>IF(Agent07_Withdrawals!A89="","",Agent07_Withdrawals!F89)</f>
        <v/>
      </c>
      <c r="G1284" s="39" t="str">
        <f>IF(Agent07_Withdrawals!A89="","",Agent07_Withdrawals!E89)</f>
        <v/>
      </c>
      <c r="H1284" s="39" t="str">
        <f>IF(Agent07_Withdrawals!A89="","",Agent07_Withdrawals!G89)</f>
        <v/>
      </c>
      <c r="I1284" s="37" t="str">
        <f>IF(Agent07_Withdrawals!A89="","",Agent07_Withdrawals!H89)</f>
        <v/>
      </c>
      <c r="J1284" s="37" t="str">
        <f>IF(Agent07_Withdrawals!A89="","",Agent07_Withdrawals!J89)</f>
        <v/>
      </c>
      <c r="K1284" s="37" t="str">
        <f>IF(Agent07_Withdrawals!A89="","",Agent07_Withdrawals!K89)</f>
        <v/>
      </c>
      <c r="L1284" s="37" t="str">
        <f>IF(G1284="","",IF(D1284-G1284&gt;=System_Config!$B$9,"✅ OK","⚠️ BREACH"))</f>
        <v/>
      </c>
      <c r="M1284" s="37" t="str">
        <f>IFERROR(IF(Agent07_Withdrawals!A89="","",YEAR(Agent07_Withdrawals!D89)),"")</f>
        <v/>
      </c>
    </row>
    <row r="1285" spans="1:13" ht="18" customHeight="1" x14ac:dyDescent="0.25">
      <c r="A1285" s="37" t="str">
        <f>IF(Agent07_Withdrawals!A90="","",Agent07_Withdrawals!A90)</f>
        <v/>
      </c>
      <c r="B1285" s="37" t="str">
        <f ca="1">IF(Agent07_Withdrawals!A90="","","WD"&amp;TEXT(1285-3,"0000")&amp;"-"&amp;TEXT(TODAY(),"YYYYMMDD"))</f>
        <v/>
      </c>
      <c r="C1285" s="37" t="str">
        <f>IF(Agent07_Withdrawals!A90="","",Agent07_Withdrawals!B90)</f>
        <v/>
      </c>
      <c r="D1285" s="40" t="str">
        <f>IF(Agent07_Withdrawals!A90="","",Agent07_Withdrawals!C90)</f>
        <v/>
      </c>
      <c r="E1285" s="38" t="str">
        <f>IF(Agent07_Withdrawals!A90="","",Agent07_Withdrawals!D90)</f>
        <v/>
      </c>
      <c r="F1285" s="37" t="str">
        <f>IF(Agent07_Withdrawals!A90="","",Agent07_Withdrawals!F90)</f>
        <v/>
      </c>
      <c r="G1285" s="39" t="str">
        <f>IF(Agent07_Withdrawals!A90="","",Agent07_Withdrawals!E90)</f>
        <v/>
      </c>
      <c r="H1285" s="39" t="str">
        <f>IF(Agent07_Withdrawals!A90="","",Agent07_Withdrawals!G90)</f>
        <v/>
      </c>
      <c r="I1285" s="37" t="str">
        <f>IF(Agent07_Withdrawals!A90="","",Agent07_Withdrawals!H90)</f>
        <v/>
      </c>
      <c r="J1285" s="37" t="str">
        <f>IF(Agent07_Withdrawals!A90="","",Agent07_Withdrawals!J90)</f>
        <v/>
      </c>
      <c r="K1285" s="37" t="str">
        <f>IF(Agent07_Withdrawals!A90="","",Agent07_Withdrawals!K90)</f>
        <v/>
      </c>
      <c r="L1285" s="37" t="str">
        <f>IF(G1285="","",IF(D1285-G1285&gt;=System_Config!$B$9,"✅ OK","⚠️ BREACH"))</f>
        <v/>
      </c>
      <c r="M1285" s="37" t="str">
        <f>IFERROR(IF(Agent07_Withdrawals!A90="","",YEAR(Agent07_Withdrawals!D90)),"")</f>
        <v/>
      </c>
    </row>
    <row r="1286" spans="1:13" ht="18" customHeight="1" x14ac:dyDescent="0.25">
      <c r="A1286" s="37" t="str">
        <f>IF(Agent07_Withdrawals!A91="","",Agent07_Withdrawals!A91)</f>
        <v/>
      </c>
      <c r="B1286" s="37" t="str">
        <f ca="1">IF(Agent07_Withdrawals!A91="","","WD"&amp;TEXT(1286-3,"0000")&amp;"-"&amp;TEXT(TODAY(),"YYYYMMDD"))</f>
        <v/>
      </c>
      <c r="C1286" s="37" t="str">
        <f>IF(Agent07_Withdrawals!A91="","",Agent07_Withdrawals!B91)</f>
        <v/>
      </c>
      <c r="D1286" s="40" t="str">
        <f>IF(Agent07_Withdrawals!A91="","",Agent07_Withdrawals!C91)</f>
        <v/>
      </c>
      <c r="E1286" s="38" t="str">
        <f>IF(Agent07_Withdrawals!A91="","",Agent07_Withdrawals!D91)</f>
        <v/>
      </c>
      <c r="F1286" s="37" t="str">
        <f>IF(Agent07_Withdrawals!A91="","",Agent07_Withdrawals!F91)</f>
        <v/>
      </c>
      <c r="G1286" s="39" t="str">
        <f>IF(Agent07_Withdrawals!A91="","",Agent07_Withdrawals!E91)</f>
        <v/>
      </c>
      <c r="H1286" s="39" t="str">
        <f>IF(Agent07_Withdrawals!A91="","",Agent07_Withdrawals!G91)</f>
        <v/>
      </c>
      <c r="I1286" s="37" t="str">
        <f>IF(Agent07_Withdrawals!A91="","",Agent07_Withdrawals!H91)</f>
        <v/>
      </c>
      <c r="J1286" s="37" t="str">
        <f>IF(Agent07_Withdrawals!A91="","",Agent07_Withdrawals!J91)</f>
        <v/>
      </c>
      <c r="K1286" s="37" t="str">
        <f>IF(Agent07_Withdrawals!A91="","",Agent07_Withdrawals!K91)</f>
        <v/>
      </c>
      <c r="L1286" s="37" t="str">
        <f>IF(G1286="","",IF(D1286-G1286&gt;=System_Config!$B$9,"✅ OK","⚠️ BREACH"))</f>
        <v/>
      </c>
      <c r="M1286" s="37" t="str">
        <f>IFERROR(IF(Agent07_Withdrawals!A91="","",YEAR(Agent07_Withdrawals!D91)),"")</f>
        <v/>
      </c>
    </row>
    <row r="1287" spans="1:13" ht="18" customHeight="1" x14ac:dyDescent="0.25">
      <c r="A1287" s="37" t="str">
        <f>IF(Agent07_Withdrawals!A92="","",Agent07_Withdrawals!A92)</f>
        <v/>
      </c>
      <c r="B1287" s="37" t="str">
        <f ca="1">IF(Agent07_Withdrawals!A92="","","WD"&amp;TEXT(1287-3,"0000")&amp;"-"&amp;TEXT(TODAY(),"YYYYMMDD"))</f>
        <v/>
      </c>
      <c r="C1287" s="37" t="str">
        <f>IF(Agent07_Withdrawals!A92="","",Agent07_Withdrawals!B92)</f>
        <v/>
      </c>
      <c r="D1287" s="40" t="str">
        <f>IF(Agent07_Withdrawals!A92="","",Agent07_Withdrawals!C92)</f>
        <v/>
      </c>
      <c r="E1287" s="38" t="str">
        <f>IF(Agent07_Withdrawals!A92="","",Agent07_Withdrawals!D92)</f>
        <v/>
      </c>
      <c r="F1287" s="37" t="str">
        <f>IF(Agent07_Withdrawals!A92="","",Agent07_Withdrawals!F92)</f>
        <v/>
      </c>
      <c r="G1287" s="39" t="str">
        <f>IF(Agent07_Withdrawals!A92="","",Agent07_Withdrawals!E92)</f>
        <v/>
      </c>
      <c r="H1287" s="39" t="str">
        <f>IF(Agent07_Withdrawals!A92="","",Agent07_Withdrawals!G92)</f>
        <v/>
      </c>
      <c r="I1287" s="37" t="str">
        <f>IF(Agent07_Withdrawals!A92="","",Agent07_Withdrawals!H92)</f>
        <v/>
      </c>
      <c r="J1287" s="37" t="str">
        <f>IF(Agent07_Withdrawals!A92="","",Agent07_Withdrawals!J92)</f>
        <v/>
      </c>
      <c r="K1287" s="37" t="str">
        <f>IF(Agent07_Withdrawals!A92="","",Agent07_Withdrawals!K92)</f>
        <v/>
      </c>
      <c r="L1287" s="37" t="str">
        <f>IF(G1287="","",IF(D1287-G1287&gt;=System_Config!$B$9,"✅ OK","⚠️ BREACH"))</f>
        <v/>
      </c>
      <c r="M1287" s="37" t="str">
        <f>IFERROR(IF(Agent07_Withdrawals!A92="","",YEAR(Agent07_Withdrawals!D92)),"")</f>
        <v/>
      </c>
    </row>
    <row r="1288" spans="1:13" ht="18" customHeight="1" x14ac:dyDescent="0.25">
      <c r="A1288" s="37" t="str">
        <f>IF(Agent07_Withdrawals!A93="","",Agent07_Withdrawals!A93)</f>
        <v/>
      </c>
      <c r="B1288" s="37" t="str">
        <f ca="1">IF(Agent07_Withdrawals!A93="","","WD"&amp;TEXT(1288-3,"0000")&amp;"-"&amp;TEXT(TODAY(),"YYYYMMDD"))</f>
        <v/>
      </c>
      <c r="C1288" s="37" t="str">
        <f>IF(Agent07_Withdrawals!A93="","",Agent07_Withdrawals!B93)</f>
        <v/>
      </c>
      <c r="D1288" s="40" t="str">
        <f>IF(Agent07_Withdrawals!A93="","",Agent07_Withdrawals!C93)</f>
        <v/>
      </c>
      <c r="E1288" s="38" t="str">
        <f>IF(Agent07_Withdrawals!A93="","",Agent07_Withdrawals!D93)</f>
        <v/>
      </c>
      <c r="F1288" s="37" t="str">
        <f>IF(Agent07_Withdrawals!A93="","",Agent07_Withdrawals!F93)</f>
        <v/>
      </c>
      <c r="G1288" s="39" t="str">
        <f>IF(Agent07_Withdrawals!A93="","",Agent07_Withdrawals!E93)</f>
        <v/>
      </c>
      <c r="H1288" s="39" t="str">
        <f>IF(Agent07_Withdrawals!A93="","",Agent07_Withdrawals!G93)</f>
        <v/>
      </c>
      <c r="I1288" s="37" t="str">
        <f>IF(Agent07_Withdrawals!A93="","",Agent07_Withdrawals!H93)</f>
        <v/>
      </c>
      <c r="J1288" s="37" t="str">
        <f>IF(Agent07_Withdrawals!A93="","",Agent07_Withdrawals!J93)</f>
        <v/>
      </c>
      <c r="K1288" s="37" t="str">
        <f>IF(Agent07_Withdrawals!A93="","",Agent07_Withdrawals!K93)</f>
        <v/>
      </c>
      <c r="L1288" s="37" t="str">
        <f>IF(G1288="","",IF(D1288-G1288&gt;=System_Config!$B$9,"✅ OK","⚠️ BREACH"))</f>
        <v/>
      </c>
      <c r="M1288" s="37" t="str">
        <f>IFERROR(IF(Agent07_Withdrawals!A93="","",YEAR(Agent07_Withdrawals!D93)),"")</f>
        <v/>
      </c>
    </row>
    <row r="1289" spans="1:13" ht="18" customHeight="1" x14ac:dyDescent="0.25">
      <c r="A1289" s="37" t="str">
        <f>IF(Agent07_Withdrawals!A94="","",Agent07_Withdrawals!A94)</f>
        <v/>
      </c>
      <c r="B1289" s="37" t="str">
        <f ca="1">IF(Agent07_Withdrawals!A94="","","WD"&amp;TEXT(1289-3,"0000")&amp;"-"&amp;TEXT(TODAY(),"YYYYMMDD"))</f>
        <v/>
      </c>
      <c r="C1289" s="37" t="str">
        <f>IF(Agent07_Withdrawals!A94="","",Agent07_Withdrawals!B94)</f>
        <v/>
      </c>
      <c r="D1289" s="40" t="str">
        <f>IF(Agent07_Withdrawals!A94="","",Agent07_Withdrawals!C94)</f>
        <v/>
      </c>
      <c r="E1289" s="38" t="str">
        <f>IF(Agent07_Withdrawals!A94="","",Agent07_Withdrawals!D94)</f>
        <v/>
      </c>
      <c r="F1289" s="37" t="str">
        <f>IF(Agent07_Withdrawals!A94="","",Agent07_Withdrawals!F94)</f>
        <v/>
      </c>
      <c r="G1289" s="39" t="str">
        <f>IF(Agent07_Withdrawals!A94="","",Agent07_Withdrawals!E94)</f>
        <v/>
      </c>
      <c r="H1289" s="39" t="str">
        <f>IF(Agent07_Withdrawals!A94="","",Agent07_Withdrawals!G94)</f>
        <v/>
      </c>
      <c r="I1289" s="37" t="str">
        <f>IF(Agent07_Withdrawals!A94="","",Agent07_Withdrawals!H94)</f>
        <v/>
      </c>
      <c r="J1289" s="37" t="str">
        <f>IF(Agent07_Withdrawals!A94="","",Agent07_Withdrawals!J94)</f>
        <v/>
      </c>
      <c r="K1289" s="37" t="str">
        <f>IF(Agent07_Withdrawals!A94="","",Agent07_Withdrawals!K94)</f>
        <v/>
      </c>
      <c r="L1289" s="37" t="str">
        <f>IF(G1289="","",IF(D1289-G1289&gt;=System_Config!$B$9,"✅ OK","⚠️ BREACH"))</f>
        <v/>
      </c>
      <c r="M1289" s="37" t="str">
        <f>IFERROR(IF(Agent07_Withdrawals!A94="","",YEAR(Agent07_Withdrawals!D94)),"")</f>
        <v/>
      </c>
    </row>
    <row r="1290" spans="1:13" ht="18" customHeight="1" x14ac:dyDescent="0.25">
      <c r="A1290" s="37" t="str">
        <f>IF(Agent07_Withdrawals!A95="","",Agent07_Withdrawals!A95)</f>
        <v/>
      </c>
      <c r="B1290" s="37" t="str">
        <f ca="1">IF(Agent07_Withdrawals!A95="","","WD"&amp;TEXT(1290-3,"0000")&amp;"-"&amp;TEXT(TODAY(),"YYYYMMDD"))</f>
        <v/>
      </c>
      <c r="C1290" s="37" t="str">
        <f>IF(Agent07_Withdrawals!A95="","",Agent07_Withdrawals!B95)</f>
        <v/>
      </c>
      <c r="D1290" s="40" t="str">
        <f>IF(Agent07_Withdrawals!A95="","",Agent07_Withdrawals!C95)</f>
        <v/>
      </c>
      <c r="E1290" s="38" t="str">
        <f>IF(Agent07_Withdrawals!A95="","",Agent07_Withdrawals!D95)</f>
        <v/>
      </c>
      <c r="F1290" s="37" t="str">
        <f>IF(Agent07_Withdrawals!A95="","",Agent07_Withdrawals!F95)</f>
        <v/>
      </c>
      <c r="G1290" s="39" t="str">
        <f>IF(Agent07_Withdrawals!A95="","",Agent07_Withdrawals!E95)</f>
        <v/>
      </c>
      <c r="H1290" s="39" t="str">
        <f>IF(Agent07_Withdrawals!A95="","",Agent07_Withdrawals!G95)</f>
        <v/>
      </c>
      <c r="I1290" s="37" t="str">
        <f>IF(Agent07_Withdrawals!A95="","",Agent07_Withdrawals!H95)</f>
        <v/>
      </c>
      <c r="J1290" s="37" t="str">
        <f>IF(Agent07_Withdrawals!A95="","",Agent07_Withdrawals!J95)</f>
        <v/>
      </c>
      <c r="K1290" s="37" t="str">
        <f>IF(Agent07_Withdrawals!A95="","",Agent07_Withdrawals!K95)</f>
        <v/>
      </c>
      <c r="L1290" s="37" t="str">
        <f>IF(G1290="","",IF(D1290-G1290&gt;=System_Config!$B$9,"✅ OK","⚠️ BREACH"))</f>
        <v/>
      </c>
      <c r="M1290" s="37" t="str">
        <f>IFERROR(IF(Agent07_Withdrawals!A95="","",YEAR(Agent07_Withdrawals!D95)),"")</f>
        <v/>
      </c>
    </row>
    <row r="1291" spans="1:13" ht="18" customHeight="1" x14ac:dyDescent="0.25">
      <c r="A1291" s="37" t="str">
        <f>IF(Agent07_Withdrawals!A96="","",Agent07_Withdrawals!A96)</f>
        <v/>
      </c>
      <c r="B1291" s="37" t="str">
        <f ca="1">IF(Agent07_Withdrawals!A96="","","WD"&amp;TEXT(1291-3,"0000")&amp;"-"&amp;TEXT(TODAY(),"YYYYMMDD"))</f>
        <v/>
      </c>
      <c r="C1291" s="37" t="str">
        <f>IF(Agent07_Withdrawals!A96="","",Agent07_Withdrawals!B96)</f>
        <v/>
      </c>
      <c r="D1291" s="40" t="str">
        <f>IF(Agent07_Withdrawals!A96="","",Agent07_Withdrawals!C96)</f>
        <v/>
      </c>
      <c r="E1291" s="38" t="str">
        <f>IF(Agent07_Withdrawals!A96="","",Agent07_Withdrawals!D96)</f>
        <v/>
      </c>
      <c r="F1291" s="37" t="str">
        <f>IF(Agent07_Withdrawals!A96="","",Agent07_Withdrawals!F96)</f>
        <v/>
      </c>
      <c r="G1291" s="39" t="str">
        <f>IF(Agent07_Withdrawals!A96="","",Agent07_Withdrawals!E96)</f>
        <v/>
      </c>
      <c r="H1291" s="39" t="str">
        <f>IF(Agent07_Withdrawals!A96="","",Agent07_Withdrawals!G96)</f>
        <v/>
      </c>
      <c r="I1291" s="37" t="str">
        <f>IF(Agent07_Withdrawals!A96="","",Agent07_Withdrawals!H96)</f>
        <v/>
      </c>
      <c r="J1291" s="37" t="str">
        <f>IF(Agent07_Withdrawals!A96="","",Agent07_Withdrawals!J96)</f>
        <v/>
      </c>
      <c r="K1291" s="37" t="str">
        <f>IF(Agent07_Withdrawals!A96="","",Agent07_Withdrawals!K96)</f>
        <v/>
      </c>
      <c r="L1291" s="37" t="str">
        <f>IF(G1291="","",IF(D1291-G1291&gt;=System_Config!$B$9,"✅ OK","⚠️ BREACH"))</f>
        <v/>
      </c>
      <c r="M1291" s="37" t="str">
        <f>IFERROR(IF(Agent07_Withdrawals!A96="","",YEAR(Agent07_Withdrawals!D96)),"")</f>
        <v/>
      </c>
    </row>
    <row r="1292" spans="1:13" ht="18" customHeight="1" x14ac:dyDescent="0.25">
      <c r="A1292" s="37" t="str">
        <f>IF(Agent07_Withdrawals!A97="","",Agent07_Withdrawals!A97)</f>
        <v/>
      </c>
      <c r="B1292" s="37" t="str">
        <f ca="1">IF(Agent07_Withdrawals!A97="","","WD"&amp;TEXT(1292-3,"0000")&amp;"-"&amp;TEXT(TODAY(),"YYYYMMDD"))</f>
        <v/>
      </c>
      <c r="C1292" s="37" t="str">
        <f>IF(Agent07_Withdrawals!A97="","",Agent07_Withdrawals!B97)</f>
        <v/>
      </c>
      <c r="D1292" s="40" t="str">
        <f>IF(Agent07_Withdrawals!A97="","",Agent07_Withdrawals!C97)</f>
        <v/>
      </c>
      <c r="E1292" s="38" t="str">
        <f>IF(Agent07_Withdrawals!A97="","",Agent07_Withdrawals!D97)</f>
        <v/>
      </c>
      <c r="F1292" s="37" t="str">
        <f>IF(Agent07_Withdrawals!A97="","",Agent07_Withdrawals!F97)</f>
        <v/>
      </c>
      <c r="G1292" s="39" t="str">
        <f>IF(Agent07_Withdrawals!A97="","",Agent07_Withdrawals!E97)</f>
        <v/>
      </c>
      <c r="H1292" s="39" t="str">
        <f>IF(Agent07_Withdrawals!A97="","",Agent07_Withdrawals!G97)</f>
        <v/>
      </c>
      <c r="I1292" s="37" t="str">
        <f>IF(Agent07_Withdrawals!A97="","",Agent07_Withdrawals!H97)</f>
        <v/>
      </c>
      <c r="J1292" s="37" t="str">
        <f>IF(Agent07_Withdrawals!A97="","",Agent07_Withdrawals!J97)</f>
        <v/>
      </c>
      <c r="K1292" s="37" t="str">
        <f>IF(Agent07_Withdrawals!A97="","",Agent07_Withdrawals!K97)</f>
        <v/>
      </c>
      <c r="L1292" s="37" t="str">
        <f>IF(G1292="","",IF(D1292-G1292&gt;=System_Config!$B$9,"✅ OK","⚠️ BREACH"))</f>
        <v/>
      </c>
      <c r="M1292" s="37" t="str">
        <f>IFERROR(IF(Agent07_Withdrawals!A97="","",YEAR(Agent07_Withdrawals!D97)),"")</f>
        <v/>
      </c>
    </row>
    <row r="1293" spans="1:13" ht="18" customHeight="1" x14ac:dyDescent="0.25">
      <c r="A1293" s="37" t="str">
        <f>IF(Agent07_Withdrawals!A98="","",Agent07_Withdrawals!A98)</f>
        <v/>
      </c>
      <c r="B1293" s="37" t="str">
        <f ca="1">IF(Agent07_Withdrawals!A98="","","WD"&amp;TEXT(1293-3,"0000")&amp;"-"&amp;TEXT(TODAY(),"YYYYMMDD"))</f>
        <v/>
      </c>
      <c r="C1293" s="37" t="str">
        <f>IF(Agent07_Withdrawals!A98="","",Agent07_Withdrawals!B98)</f>
        <v/>
      </c>
      <c r="D1293" s="40" t="str">
        <f>IF(Agent07_Withdrawals!A98="","",Agent07_Withdrawals!C98)</f>
        <v/>
      </c>
      <c r="E1293" s="38" t="str">
        <f>IF(Agent07_Withdrawals!A98="","",Agent07_Withdrawals!D98)</f>
        <v/>
      </c>
      <c r="F1293" s="37" t="str">
        <f>IF(Agent07_Withdrawals!A98="","",Agent07_Withdrawals!F98)</f>
        <v/>
      </c>
      <c r="G1293" s="39" t="str">
        <f>IF(Agent07_Withdrawals!A98="","",Agent07_Withdrawals!E98)</f>
        <v/>
      </c>
      <c r="H1293" s="39" t="str">
        <f>IF(Agent07_Withdrawals!A98="","",Agent07_Withdrawals!G98)</f>
        <v/>
      </c>
      <c r="I1293" s="37" t="str">
        <f>IF(Agent07_Withdrawals!A98="","",Agent07_Withdrawals!H98)</f>
        <v/>
      </c>
      <c r="J1293" s="37" t="str">
        <f>IF(Agent07_Withdrawals!A98="","",Agent07_Withdrawals!J98)</f>
        <v/>
      </c>
      <c r="K1293" s="37" t="str">
        <f>IF(Agent07_Withdrawals!A98="","",Agent07_Withdrawals!K98)</f>
        <v/>
      </c>
      <c r="L1293" s="37" t="str">
        <f>IF(G1293="","",IF(D1293-G1293&gt;=System_Config!$B$9,"✅ OK","⚠️ BREACH"))</f>
        <v/>
      </c>
      <c r="M1293" s="37" t="str">
        <f>IFERROR(IF(Agent07_Withdrawals!A98="","",YEAR(Agent07_Withdrawals!D98)),"")</f>
        <v/>
      </c>
    </row>
    <row r="1294" spans="1:13" ht="18" customHeight="1" x14ac:dyDescent="0.25">
      <c r="A1294" s="37" t="str">
        <f>IF(Agent07_Withdrawals!A99="","",Agent07_Withdrawals!A99)</f>
        <v/>
      </c>
      <c r="B1294" s="37" t="str">
        <f ca="1">IF(Agent07_Withdrawals!A99="","","WD"&amp;TEXT(1294-3,"0000")&amp;"-"&amp;TEXT(TODAY(),"YYYYMMDD"))</f>
        <v/>
      </c>
      <c r="C1294" s="37" t="str">
        <f>IF(Agent07_Withdrawals!A99="","",Agent07_Withdrawals!B99)</f>
        <v/>
      </c>
      <c r="D1294" s="40" t="str">
        <f>IF(Agent07_Withdrawals!A99="","",Agent07_Withdrawals!C99)</f>
        <v/>
      </c>
      <c r="E1294" s="38" t="str">
        <f>IF(Agent07_Withdrawals!A99="","",Agent07_Withdrawals!D99)</f>
        <v/>
      </c>
      <c r="F1294" s="37" t="str">
        <f>IF(Agent07_Withdrawals!A99="","",Agent07_Withdrawals!F99)</f>
        <v/>
      </c>
      <c r="G1294" s="39" t="str">
        <f>IF(Agent07_Withdrawals!A99="","",Agent07_Withdrawals!E99)</f>
        <v/>
      </c>
      <c r="H1294" s="39" t="str">
        <f>IF(Agent07_Withdrawals!A99="","",Agent07_Withdrawals!G99)</f>
        <v/>
      </c>
      <c r="I1294" s="37" t="str">
        <f>IF(Agent07_Withdrawals!A99="","",Agent07_Withdrawals!H99)</f>
        <v/>
      </c>
      <c r="J1294" s="37" t="str">
        <f>IF(Agent07_Withdrawals!A99="","",Agent07_Withdrawals!J99)</f>
        <v/>
      </c>
      <c r="K1294" s="37" t="str">
        <f>IF(Agent07_Withdrawals!A99="","",Agent07_Withdrawals!K99)</f>
        <v/>
      </c>
      <c r="L1294" s="37" t="str">
        <f>IF(G1294="","",IF(D1294-G1294&gt;=System_Config!$B$9,"✅ OK","⚠️ BREACH"))</f>
        <v/>
      </c>
      <c r="M1294" s="37" t="str">
        <f>IFERROR(IF(Agent07_Withdrawals!A99="","",YEAR(Agent07_Withdrawals!D99)),"")</f>
        <v/>
      </c>
    </row>
    <row r="1295" spans="1:13" ht="18" customHeight="1" x14ac:dyDescent="0.25">
      <c r="A1295" s="37" t="str">
        <f>IF(Agent07_Withdrawals!A100="","",Agent07_Withdrawals!A100)</f>
        <v/>
      </c>
      <c r="B1295" s="37" t="str">
        <f ca="1">IF(Agent07_Withdrawals!A100="","","WD"&amp;TEXT(1295-3,"0000")&amp;"-"&amp;TEXT(TODAY(),"YYYYMMDD"))</f>
        <v/>
      </c>
      <c r="C1295" s="37" t="str">
        <f>IF(Agent07_Withdrawals!A100="","",Agent07_Withdrawals!B100)</f>
        <v/>
      </c>
      <c r="D1295" s="40" t="str">
        <f>IF(Agent07_Withdrawals!A100="","",Agent07_Withdrawals!C100)</f>
        <v/>
      </c>
      <c r="E1295" s="38" t="str">
        <f>IF(Agent07_Withdrawals!A100="","",Agent07_Withdrawals!D100)</f>
        <v/>
      </c>
      <c r="F1295" s="37" t="str">
        <f>IF(Agent07_Withdrawals!A100="","",Agent07_Withdrawals!F100)</f>
        <v/>
      </c>
      <c r="G1295" s="39" t="str">
        <f>IF(Agent07_Withdrawals!A100="","",Agent07_Withdrawals!E100)</f>
        <v/>
      </c>
      <c r="H1295" s="39" t="str">
        <f>IF(Agent07_Withdrawals!A100="","",Agent07_Withdrawals!G100)</f>
        <v/>
      </c>
      <c r="I1295" s="37" t="str">
        <f>IF(Agent07_Withdrawals!A100="","",Agent07_Withdrawals!H100)</f>
        <v/>
      </c>
      <c r="J1295" s="37" t="str">
        <f>IF(Agent07_Withdrawals!A100="","",Agent07_Withdrawals!J100)</f>
        <v/>
      </c>
      <c r="K1295" s="37" t="str">
        <f>IF(Agent07_Withdrawals!A100="","",Agent07_Withdrawals!K100)</f>
        <v/>
      </c>
      <c r="L1295" s="37" t="str">
        <f>IF(G1295="","",IF(D1295-G1295&gt;=System_Config!$B$9,"✅ OK","⚠️ BREACH"))</f>
        <v/>
      </c>
      <c r="M1295" s="37" t="str">
        <f>IFERROR(IF(Agent07_Withdrawals!A100="","",YEAR(Agent07_Withdrawals!D100)),"")</f>
        <v/>
      </c>
    </row>
    <row r="1296" spans="1:13" ht="18" customHeight="1" x14ac:dyDescent="0.25">
      <c r="A1296" s="37" t="str">
        <f>IF(Agent07_Withdrawals!A101="","",Agent07_Withdrawals!A101)</f>
        <v/>
      </c>
      <c r="B1296" s="37" t="str">
        <f ca="1">IF(Agent07_Withdrawals!A101="","","WD"&amp;TEXT(1296-3,"0000")&amp;"-"&amp;TEXT(TODAY(),"YYYYMMDD"))</f>
        <v/>
      </c>
      <c r="C1296" s="37" t="str">
        <f>IF(Agent07_Withdrawals!A101="","",Agent07_Withdrawals!B101)</f>
        <v/>
      </c>
      <c r="D1296" s="40" t="str">
        <f>IF(Agent07_Withdrawals!A101="","",Agent07_Withdrawals!C101)</f>
        <v/>
      </c>
      <c r="E1296" s="38" t="str">
        <f>IF(Agent07_Withdrawals!A101="","",Agent07_Withdrawals!D101)</f>
        <v/>
      </c>
      <c r="F1296" s="37" t="str">
        <f>IF(Agent07_Withdrawals!A101="","",Agent07_Withdrawals!F101)</f>
        <v/>
      </c>
      <c r="G1296" s="39" t="str">
        <f>IF(Agent07_Withdrawals!A101="","",Agent07_Withdrawals!E101)</f>
        <v/>
      </c>
      <c r="H1296" s="39" t="str">
        <f>IF(Agent07_Withdrawals!A101="","",Agent07_Withdrawals!G101)</f>
        <v/>
      </c>
      <c r="I1296" s="37" t="str">
        <f>IF(Agent07_Withdrawals!A101="","",Agent07_Withdrawals!H101)</f>
        <v/>
      </c>
      <c r="J1296" s="37" t="str">
        <f>IF(Agent07_Withdrawals!A101="","",Agent07_Withdrawals!J101)</f>
        <v/>
      </c>
      <c r="K1296" s="37" t="str">
        <f>IF(Agent07_Withdrawals!A101="","",Agent07_Withdrawals!K101)</f>
        <v/>
      </c>
      <c r="L1296" s="37" t="str">
        <f>IF(G1296="","",IF(D1296-G1296&gt;=System_Config!$B$9,"✅ OK","⚠️ BREACH"))</f>
        <v/>
      </c>
      <c r="M1296" s="37" t="str">
        <f>IFERROR(IF(Agent07_Withdrawals!A101="","",YEAR(Agent07_Withdrawals!D101)),"")</f>
        <v/>
      </c>
    </row>
    <row r="1297" spans="1:13" ht="18" customHeight="1" x14ac:dyDescent="0.25">
      <c r="A1297" s="37" t="str">
        <f>IF(Agent07_Withdrawals!A102="","",Agent07_Withdrawals!A102)</f>
        <v/>
      </c>
      <c r="B1297" s="37" t="str">
        <f ca="1">IF(Agent07_Withdrawals!A102="","","WD"&amp;TEXT(1297-3,"0000")&amp;"-"&amp;TEXT(TODAY(),"YYYYMMDD"))</f>
        <v/>
      </c>
      <c r="C1297" s="37" t="str">
        <f>IF(Agent07_Withdrawals!A102="","",Agent07_Withdrawals!B102)</f>
        <v/>
      </c>
      <c r="D1297" s="40" t="str">
        <f>IF(Agent07_Withdrawals!A102="","",Agent07_Withdrawals!C102)</f>
        <v/>
      </c>
      <c r="E1297" s="38" t="str">
        <f>IF(Agent07_Withdrawals!A102="","",Agent07_Withdrawals!D102)</f>
        <v/>
      </c>
      <c r="F1297" s="37" t="str">
        <f>IF(Agent07_Withdrawals!A102="","",Agent07_Withdrawals!F102)</f>
        <v/>
      </c>
      <c r="G1297" s="39" t="str">
        <f>IF(Agent07_Withdrawals!A102="","",Agent07_Withdrawals!E102)</f>
        <v/>
      </c>
      <c r="H1297" s="39" t="str">
        <f>IF(Agent07_Withdrawals!A102="","",Agent07_Withdrawals!G102)</f>
        <v/>
      </c>
      <c r="I1297" s="37" t="str">
        <f>IF(Agent07_Withdrawals!A102="","",Agent07_Withdrawals!H102)</f>
        <v/>
      </c>
      <c r="J1297" s="37" t="str">
        <f>IF(Agent07_Withdrawals!A102="","",Agent07_Withdrawals!J102)</f>
        <v/>
      </c>
      <c r="K1297" s="37" t="str">
        <f>IF(Agent07_Withdrawals!A102="","",Agent07_Withdrawals!K102)</f>
        <v/>
      </c>
      <c r="L1297" s="37" t="str">
        <f>IF(G1297="","",IF(D1297-G1297&gt;=System_Config!$B$9,"✅ OK","⚠️ BREACH"))</f>
        <v/>
      </c>
      <c r="M1297" s="37" t="str">
        <f>IFERROR(IF(Agent07_Withdrawals!A102="","",YEAR(Agent07_Withdrawals!D102)),"")</f>
        <v/>
      </c>
    </row>
    <row r="1298" spans="1:13" ht="18" customHeight="1" x14ac:dyDescent="0.25">
      <c r="A1298" s="37" t="str">
        <f>IF(Agent07_Withdrawals!A103="","",Agent07_Withdrawals!A103)</f>
        <v/>
      </c>
      <c r="B1298" s="37" t="str">
        <f ca="1">IF(Agent07_Withdrawals!A103="","","WD"&amp;TEXT(1298-3,"0000")&amp;"-"&amp;TEXT(TODAY(),"YYYYMMDD"))</f>
        <v/>
      </c>
      <c r="C1298" s="37" t="str">
        <f>IF(Agent07_Withdrawals!A103="","",Agent07_Withdrawals!B103)</f>
        <v/>
      </c>
      <c r="D1298" s="40" t="str">
        <f>IF(Agent07_Withdrawals!A103="","",Agent07_Withdrawals!C103)</f>
        <v/>
      </c>
      <c r="E1298" s="38" t="str">
        <f>IF(Agent07_Withdrawals!A103="","",Agent07_Withdrawals!D103)</f>
        <v/>
      </c>
      <c r="F1298" s="37" t="str">
        <f>IF(Agent07_Withdrawals!A103="","",Agent07_Withdrawals!F103)</f>
        <v/>
      </c>
      <c r="G1298" s="39" t="str">
        <f>IF(Agent07_Withdrawals!A103="","",Agent07_Withdrawals!E103)</f>
        <v/>
      </c>
      <c r="H1298" s="39" t="str">
        <f>IF(Agent07_Withdrawals!A103="","",Agent07_Withdrawals!G103)</f>
        <v/>
      </c>
      <c r="I1298" s="37" t="str">
        <f>IF(Agent07_Withdrawals!A103="","",Agent07_Withdrawals!H103)</f>
        <v/>
      </c>
      <c r="J1298" s="37" t="str">
        <f>IF(Agent07_Withdrawals!A103="","",Agent07_Withdrawals!J103)</f>
        <v/>
      </c>
      <c r="K1298" s="37" t="str">
        <f>IF(Agent07_Withdrawals!A103="","",Agent07_Withdrawals!K103)</f>
        <v/>
      </c>
      <c r="L1298" s="37" t="str">
        <f>IF(G1298="","",IF(D1298-G1298&gt;=System_Config!$B$9,"✅ OK","⚠️ BREACH"))</f>
        <v/>
      </c>
      <c r="M1298" s="37" t="str">
        <f>IFERROR(IF(Agent07_Withdrawals!A103="","",YEAR(Agent07_Withdrawals!D103)),"")</f>
        <v/>
      </c>
    </row>
    <row r="1299" spans="1:13" ht="18" customHeight="1" x14ac:dyDescent="0.25">
      <c r="A1299" s="37" t="str">
        <f>IF(Agent07_Withdrawals!A104="","",Agent07_Withdrawals!A104)</f>
        <v/>
      </c>
      <c r="B1299" s="37" t="str">
        <f ca="1">IF(Agent07_Withdrawals!A104="","","WD"&amp;TEXT(1299-3,"0000")&amp;"-"&amp;TEXT(TODAY(),"YYYYMMDD"))</f>
        <v/>
      </c>
      <c r="C1299" s="37" t="str">
        <f>IF(Agent07_Withdrawals!A104="","",Agent07_Withdrawals!B104)</f>
        <v/>
      </c>
      <c r="D1299" s="40" t="str">
        <f>IF(Agent07_Withdrawals!A104="","",Agent07_Withdrawals!C104)</f>
        <v/>
      </c>
      <c r="E1299" s="38" t="str">
        <f>IF(Agent07_Withdrawals!A104="","",Agent07_Withdrawals!D104)</f>
        <v/>
      </c>
      <c r="F1299" s="37" t="str">
        <f>IF(Agent07_Withdrawals!A104="","",Agent07_Withdrawals!F104)</f>
        <v/>
      </c>
      <c r="G1299" s="39" t="str">
        <f>IF(Agent07_Withdrawals!A104="","",Agent07_Withdrawals!E104)</f>
        <v/>
      </c>
      <c r="H1299" s="39" t="str">
        <f>IF(Agent07_Withdrawals!A104="","",Agent07_Withdrawals!G104)</f>
        <v/>
      </c>
      <c r="I1299" s="37" t="str">
        <f>IF(Agent07_Withdrawals!A104="","",Agent07_Withdrawals!H104)</f>
        <v/>
      </c>
      <c r="J1299" s="37" t="str">
        <f>IF(Agent07_Withdrawals!A104="","",Agent07_Withdrawals!J104)</f>
        <v/>
      </c>
      <c r="K1299" s="37" t="str">
        <f>IF(Agent07_Withdrawals!A104="","",Agent07_Withdrawals!K104)</f>
        <v/>
      </c>
      <c r="L1299" s="37" t="str">
        <f>IF(G1299="","",IF(D1299-G1299&gt;=System_Config!$B$9,"✅ OK","⚠️ BREACH"))</f>
        <v/>
      </c>
      <c r="M1299" s="37" t="str">
        <f>IFERROR(IF(Agent07_Withdrawals!A104="","",YEAR(Agent07_Withdrawals!D104)),"")</f>
        <v/>
      </c>
    </row>
    <row r="1300" spans="1:13" ht="18" customHeight="1" x14ac:dyDescent="0.25">
      <c r="A1300" s="37" t="str">
        <f>IF(Agent07_Withdrawals!A105="","",Agent07_Withdrawals!A105)</f>
        <v/>
      </c>
      <c r="B1300" s="37" t="str">
        <f ca="1">IF(Agent07_Withdrawals!A105="","","WD"&amp;TEXT(1300-3,"0000")&amp;"-"&amp;TEXT(TODAY(),"YYYYMMDD"))</f>
        <v/>
      </c>
      <c r="C1300" s="37" t="str">
        <f>IF(Agent07_Withdrawals!A105="","",Agent07_Withdrawals!B105)</f>
        <v/>
      </c>
      <c r="D1300" s="40" t="str">
        <f>IF(Agent07_Withdrawals!A105="","",Agent07_Withdrawals!C105)</f>
        <v/>
      </c>
      <c r="E1300" s="38" t="str">
        <f>IF(Agent07_Withdrawals!A105="","",Agent07_Withdrawals!D105)</f>
        <v/>
      </c>
      <c r="F1300" s="37" t="str">
        <f>IF(Agent07_Withdrawals!A105="","",Agent07_Withdrawals!F105)</f>
        <v/>
      </c>
      <c r="G1300" s="39" t="str">
        <f>IF(Agent07_Withdrawals!A105="","",Agent07_Withdrawals!E105)</f>
        <v/>
      </c>
      <c r="H1300" s="39" t="str">
        <f>IF(Agent07_Withdrawals!A105="","",Agent07_Withdrawals!G105)</f>
        <v/>
      </c>
      <c r="I1300" s="37" t="str">
        <f>IF(Agent07_Withdrawals!A105="","",Agent07_Withdrawals!H105)</f>
        <v/>
      </c>
      <c r="J1300" s="37" t="str">
        <f>IF(Agent07_Withdrawals!A105="","",Agent07_Withdrawals!J105)</f>
        <v/>
      </c>
      <c r="K1300" s="37" t="str">
        <f>IF(Agent07_Withdrawals!A105="","",Agent07_Withdrawals!K105)</f>
        <v/>
      </c>
      <c r="L1300" s="37" t="str">
        <f>IF(G1300="","",IF(D1300-G1300&gt;=System_Config!$B$9,"✅ OK","⚠️ BREACH"))</f>
        <v/>
      </c>
      <c r="M1300" s="37" t="str">
        <f>IFERROR(IF(Agent07_Withdrawals!A105="","",YEAR(Agent07_Withdrawals!D105)),"")</f>
        <v/>
      </c>
    </row>
    <row r="1301" spans="1:13" ht="18" customHeight="1" x14ac:dyDescent="0.25">
      <c r="A1301" s="37" t="str">
        <f>IF(Agent07_Withdrawals!A106="","",Agent07_Withdrawals!A106)</f>
        <v/>
      </c>
      <c r="B1301" s="37" t="str">
        <f ca="1">IF(Agent07_Withdrawals!A106="","","WD"&amp;TEXT(1301-3,"0000")&amp;"-"&amp;TEXT(TODAY(),"YYYYMMDD"))</f>
        <v/>
      </c>
      <c r="C1301" s="37" t="str">
        <f>IF(Agent07_Withdrawals!A106="","",Agent07_Withdrawals!B106)</f>
        <v/>
      </c>
      <c r="D1301" s="40" t="str">
        <f>IF(Agent07_Withdrawals!A106="","",Agent07_Withdrawals!C106)</f>
        <v/>
      </c>
      <c r="E1301" s="38" t="str">
        <f>IF(Agent07_Withdrawals!A106="","",Agent07_Withdrawals!D106)</f>
        <v/>
      </c>
      <c r="F1301" s="37" t="str">
        <f>IF(Agent07_Withdrawals!A106="","",Agent07_Withdrawals!F106)</f>
        <v/>
      </c>
      <c r="G1301" s="39" t="str">
        <f>IF(Agent07_Withdrawals!A106="","",Agent07_Withdrawals!E106)</f>
        <v/>
      </c>
      <c r="H1301" s="39" t="str">
        <f>IF(Agent07_Withdrawals!A106="","",Agent07_Withdrawals!G106)</f>
        <v/>
      </c>
      <c r="I1301" s="37" t="str">
        <f>IF(Agent07_Withdrawals!A106="","",Agent07_Withdrawals!H106)</f>
        <v/>
      </c>
      <c r="J1301" s="37" t="str">
        <f>IF(Agent07_Withdrawals!A106="","",Agent07_Withdrawals!J106)</f>
        <v/>
      </c>
      <c r="K1301" s="37" t="str">
        <f>IF(Agent07_Withdrawals!A106="","",Agent07_Withdrawals!K106)</f>
        <v/>
      </c>
      <c r="L1301" s="37" t="str">
        <f>IF(G1301="","",IF(D1301-G1301&gt;=System_Config!$B$9,"✅ OK","⚠️ BREACH"))</f>
        <v/>
      </c>
      <c r="M1301" s="37" t="str">
        <f>IFERROR(IF(Agent07_Withdrawals!A106="","",YEAR(Agent07_Withdrawals!D106)),"")</f>
        <v/>
      </c>
    </row>
    <row r="1302" spans="1:13" ht="18" customHeight="1" x14ac:dyDescent="0.25">
      <c r="A1302" s="37" t="str">
        <f>IF(Agent07_Withdrawals!A107="","",Agent07_Withdrawals!A107)</f>
        <v/>
      </c>
      <c r="B1302" s="37" t="str">
        <f ca="1">IF(Agent07_Withdrawals!A107="","","WD"&amp;TEXT(1302-3,"0000")&amp;"-"&amp;TEXT(TODAY(),"YYYYMMDD"))</f>
        <v/>
      </c>
      <c r="C1302" s="37" t="str">
        <f>IF(Agent07_Withdrawals!A107="","",Agent07_Withdrawals!B107)</f>
        <v/>
      </c>
      <c r="D1302" s="40" t="str">
        <f>IF(Agent07_Withdrawals!A107="","",Agent07_Withdrawals!C107)</f>
        <v/>
      </c>
      <c r="E1302" s="38" t="str">
        <f>IF(Agent07_Withdrawals!A107="","",Agent07_Withdrawals!D107)</f>
        <v/>
      </c>
      <c r="F1302" s="37" t="str">
        <f>IF(Agent07_Withdrawals!A107="","",Agent07_Withdrawals!F107)</f>
        <v/>
      </c>
      <c r="G1302" s="39" t="str">
        <f>IF(Agent07_Withdrawals!A107="","",Agent07_Withdrawals!E107)</f>
        <v/>
      </c>
      <c r="H1302" s="39" t="str">
        <f>IF(Agent07_Withdrawals!A107="","",Agent07_Withdrawals!G107)</f>
        <v/>
      </c>
      <c r="I1302" s="37" t="str">
        <f>IF(Agent07_Withdrawals!A107="","",Agent07_Withdrawals!H107)</f>
        <v/>
      </c>
      <c r="J1302" s="37" t="str">
        <f>IF(Agent07_Withdrawals!A107="","",Agent07_Withdrawals!J107)</f>
        <v/>
      </c>
      <c r="K1302" s="37" t="str">
        <f>IF(Agent07_Withdrawals!A107="","",Agent07_Withdrawals!K107)</f>
        <v/>
      </c>
      <c r="L1302" s="37" t="str">
        <f>IF(G1302="","",IF(D1302-G1302&gt;=System_Config!$B$9,"✅ OK","⚠️ BREACH"))</f>
        <v/>
      </c>
      <c r="M1302" s="37" t="str">
        <f>IFERROR(IF(Agent07_Withdrawals!A107="","",YEAR(Agent07_Withdrawals!D107)),"")</f>
        <v/>
      </c>
    </row>
    <row r="1303" spans="1:13" ht="18" customHeight="1" x14ac:dyDescent="0.25">
      <c r="A1303" s="37" t="str">
        <f>IF(Agent07_Withdrawals!A108="","",Agent07_Withdrawals!A108)</f>
        <v/>
      </c>
      <c r="B1303" s="37" t="str">
        <f ca="1">IF(Agent07_Withdrawals!A108="","","WD"&amp;TEXT(1303-3,"0000")&amp;"-"&amp;TEXT(TODAY(),"YYYYMMDD"))</f>
        <v/>
      </c>
      <c r="C1303" s="37" t="str">
        <f>IF(Agent07_Withdrawals!A108="","",Agent07_Withdrawals!B108)</f>
        <v/>
      </c>
      <c r="D1303" s="40" t="str">
        <f>IF(Agent07_Withdrawals!A108="","",Agent07_Withdrawals!C108)</f>
        <v/>
      </c>
      <c r="E1303" s="38" t="str">
        <f>IF(Agent07_Withdrawals!A108="","",Agent07_Withdrawals!D108)</f>
        <v/>
      </c>
      <c r="F1303" s="37" t="str">
        <f>IF(Agent07_Withdrawals!A108="","",Agent07_Withdrawals!F108)</f>
        <v/>
      </c>
      <c r="G1303" s="39" t="str">
        <f>IF(Agent07_Withdrawals!A108="","",Agent07_Withdrawals!E108)</f>
        <v/>
      </c>
      <c r="H1303" s="39" t="str">
        <f>IF(Agent07_Withdrawals!A108="","",Agent07_Withdrawals!G108)</f>
        <v/>
      </c>
      <c r="I1303" s="37" t="str">
        <f>IF(Agent07_Withdrawals!A108="","",Agent07_Withdrawals!H108)</f>
        <v/>
      </c>
      <c r="J1303" s="37" t="str">
        <f>IF(Agent07_Withdrawals!A108="","",Agent07_Withdrawals!J108)</f>
        <v/>
      </c>
      <c r="K1303" s="37" t="str">
        <f>IF(Agent07_Withdrawals!A108="","",Agent07_Withdrawals!K108)</f>
        <v/>
      </c>
      <c r="L1303" s="37" t="str">
        <f>IF(G1303="","",IF(D1303-G1303&gt;=System_Config!$B$9,"✅ OK","⚠️ BREACH"))</f>
        <v/>
      </c>
      <c r="M1303" s="37" t="str">
        <f>IFERROR(IF(Agent07_Withdrawals!A108="","",YEAR(Agent07_Withdrawals!D108)),"")</f>
        <v/>
      </c>
    </row>
    <row r="1304" spans="1:13" ht="18" customHeight="1" x14ac:dyDescent="0.25">
      <c r="A1304" s="37" t="str">
        <f>IF(Agent07_Withdrawals!A109="","",Agent07_Withdrawals!A109)</f>
        <v/>
      </c>
      <c r="B1304" s="37" t="str">
        <f ca="1">IF(Agent07_Withdrawals!A109="","","WD"&amp;TEXT(1304-3,"0000")&amp;"-"&amp;TEXT(TODAY(),"YYYYMMDD"))</f>
        <v/>
      </c>
      <c r="C1304" s="37" t="str">
        <f>IF(Agent07_Withdrawals!A109="","",Agent07_Withdrawals!B109)</f>
        <v/>
      </c>
      <c r="D1304" s="40" t="str">
        <f>IF(Agent07_Withdrawals!A109="","",Agent07_Withdrawals!C109)</f>
        <v/>
      </c>
      <c r="E1304" s="38" t="str">
        <f>IF(Agent07_Withdrawals!A109="","",Agent07_Withdrawals!D109)</f>
        <v/>
      </c>
      <c r="F1304" s="37" t="str">
        <f>IF(Agent07_Withdrawals!A109="","",Agent07_Withdrawals!F109)</f>
        <v/>
      </c>
      <c r="G1304" s="39" t="str">
        <f>IF(Agent07_Withdrawals!A109="","",Agent07_Withdrawals!E109)</f>
        <v/>
      </c>
      <c r="H1304" s="39" t="str">
        <f>IF(Agent07_Withdrawals!A109="","",Agent07_Withdrawals!G109)</f>
        <v/>
      </c>
      <c r="I1304" s="37" t="str">
        <f>IF(Agent07_Withdrawals!A109="","",Agent07_Withdrawals!H109)</f>
        <v/>
      </c>
      <c r="J1304" s="37" t="str">
        <f>IF(Agent07_Withdrawals!A109="","",Agent07_Withdrawals!J109)</f>
        <v/>
      </c>
      <c r="K1304" s="37" t="str">
        <f>IF(Agent07_Withdrawals!A109="","",Agent07_Withdrawals!K109)</f>
        <v/>
      </c>
      <c r="L1304" s="37" t="str">
        <f>IF(G1304="","",IF(D1304-G1304&gt;=System_Config!$B$9,"✅ OK","⚠️ BREACH"))</f>
        <v/>
      </c>
      <c r="M1304" s="37" t="str">
        <f>IFERROR(IF(Agent07_Withdrawals!A109="","",YEAR(Agent07_Withdrawals!D109)),"")</f>
        <v/>
      </c>
    </row>
    <row r="1305" spans="1:13" ht="18" customHeight="1" x14ac:dyDescent="0.25">
      <c r="A1305" s="37" t="str">
        <f>IF(Agent07_Withdrawals!A110="","",Agent07_Withdrawals!A110)</f>
        <v/>
      </c>
      <c r="B1305" s="37" t="str">
        <f ca="1">IF(Agent07_Withdrawals!A110="","","WD"&amp;TEXT(1305-3,"0000")&amp;"-"&amp;TEXT(TODAY(),"YYYYMMDD"))</f>
        <v/>
      </c>
      <c r="C1305" s="37" t="str">
        <f>IF(Agent07_Withdrawals!A110="","",Agent07_Withdrawals!B110)</f>
        <v/>
      </c>
      <c r="D1305" s="40" t="str">
        <f>IF(Agent07_Withdrawals!A110="","",Agent07_Withdrawals!C110)</f>
        <v/>
      </c>
      <c r="E1305" s="38" t="str">
        <f>IF(Agent07_Withdrawals!A110="","",Agent07_Withdrawals!D110)</f>
        <v/>
      </c>
      <c r="F1305" s="37" t="str">
        <f>IF(Agent07_Withdrawals!A110="","",Agent07_Withdrawals!F110)</f>
        <v/>
      </c>
      <c r="G1305" s="39" t="str">
        <f>IF(Agent07_Withdrawals!A110="","",Agent07_Withdrawals!E110)</f>
        <v/>
      </c>
      <c r="H1305" s="39" t="str">
        <f>IF(Agent07_Withdrawals!A110="","",Agent07_Withdrawals!G110)</f>
        <v/>
      </c>
      <c r="I1305" s="37" t="str">
        <f>IF(Agent07_Withdrawals!A110="","",Agent07_Withdrawals!H110)</f>
        <v/>
      </c>
      <c r="J1305" s="37" t="str">
        <f>IF(Agent07_Withdrawals!A110="","",Agent07_Withdrawals!J110)</f>
        <v/>
      </c>
      <c r="K1305" s="37" t="str">
        <f>IF(Agent07_Withdrawals!A110="","",Agent07_Withdrawals!K110)</f>
        <v/>
      </c>
      <c r="L1305" s="37" t="str">
        <f>IF(G1305="","",IF(D1305-G1305&gt;=System_Config!$B$9,"✅ OK","⚠️ BREACH"))</f>
        <v/>
      </c>
      <c r="M1305" s="37" t="str">
        <f>IFERROR(IF(Agent07_Withdrawals!A110="","",YEAR(Agent07_Withdrawals!D110)),"")</f>
        <v/>
      </c>
    </row>
    <row r="1306" spans="1:13" ht="18" customHeight="1" x14ac:dyDescent="0.25">
      <c r="A1306" s="37" t="str">
        <f>IF(Agent07_Withdrawals!A111="","",Agent07_Withdrawals!A111)</f>
        <v/>
      </c>
      <c r="B1306" s="37" t="str">
        <f ca="1">IF(Agent07_Withdrawals!A111="","","WD"&amp;TEXT(1306-3,"0000")&amp;"-"&amp;TEXT(TODAY(),"YYYYMMDD"))</f>
        <v/>
      </c>
      <c r="C1306" s="37" t="str">
        <f>IF(Agent07_Withdrawals!A111="","",Agent07_Withdrawals!B111)</f>
        <v/>
      </c>
      <c r="D1306" s="40" t="str">
        <f>IF(Agent07_Withdrawals!A111="","",Agent07_Withdrawals!C111)</f>
        <v/>
      </c>
      <c r="E1306" s="38" t="str">
        <f>IF(Agent07_Withdrawals!A111="","",Agent07_Withdrawals!D111)</f>
        <v/>
      </c>
      <c r="F1306" s="37" t="str">
        <f>IF(Agent07_Withdrawals!A111="","",Agent07_Withdrawals!F111)</f>
        <v/>
      </c>
      <c r="G1306" s="39" t="str">
        <f>IF(Agent07_Withdrawals!A111="","",Agent07_Withdrawals!E111)</f>
        <v/>
      </c>
      <c r="H1306" s="39" t="str">
        <f>IF(Agent07_Withdrawals!A111="","",Agent07_Withdrawals!G111)</f>
        <v/>
      </c>
      <c r="I1306" s="37" t="str">
        <f>IF(Agent07_Withdrawals!A111="","",Agent07_Withdrawals!H111)</f>
        <v/>
      </c>
      <c r="J1306" s="37" t="str">
        <f>IF(Agent07_Withdrawals!A111="","",Agent07_Withdrawals!J111)</f>
        <v/>
      </c>
      <c r="K1306" s="37" t="str">
        <f>IF(Agent07_Withdrawals!A111="","",Agent07_Withdrawals!K111)</f>
        <v/>
      </c>
      <c r="L1306" s="37" t="str">
        <f>IF(G1306="","",IF(D1306-G1306&gt;=System_Config!$B$9,"✅ OK","⚠️ BREACH"))</f>
        <v/>
      </c>
      <c r="M1306" s="37" t="str">
        <f>IFERROR(IF(Agent07_Withdrawals!A111="","",YEAR(Agent07_Withdrawals!D111)),"")</f>
        <v/>
      </c>
    </row>
    <row r="1307" spans="1:13" ht="18" customHeight="1" x14ac:dyDescent="0.25">
      <c r="A1307" s="37" t="str">
        <f>IF(Agent07_Withdrawals!A112="","",Agent07_Withdrawals!A112)</f>
        <v/>
      </c>
      <c r="B1307" s="37" t="str">
        <f ca="1">IF(Agent07_Withdrawals!A112="","","WD"&amp;TEXT(1307-3,"0000")&amp;"-"&amp;TEXT(TODAY(),"YYYYMMDD"))</f>
        <v/>
      </c>
      <c r="C1307" s="37" t="str">
        <f>IF(Agent07_Withdrawals!A112="","",Agent07_Withdrawals!B112)</f>
        <v/>
      </c>
      <c r="D1307" s="40" t="str">
        <f>IF(Agent07_Withdrawals!A112="","",Agent07_Withdrawals!C112)</f>
        <v/>
      </c>
      <c r="E1307" s="38" t="str">
        <f>IF(Agent07_Withdrawals!A112="","",Agent07_Withdrawals!D112)</f>
        <v/>
      </c>
      <c r="F1307" s="37" t="str">
        <f>IF(Agent07_Withdrawals!A112="","",Agent07_Withdrawals!F112)</f>
        <v/>
      </c>
      <c r="G1307" s="39" t="str">
        <f>IF(Agent07_Withdrawals!A112="","",Agent07_Withdrawals!E112)</f>
        <v/>
      </c>
      <c r="H1307" s="39" t="str">
        <f>IF(Agent07_Withdrawals!A112="","",Agent07_Withdrawals!G112)</f>
        <v/>
      </c>
      <c r="I1307" s="37" t="str">
        <f>IF(Agent07_Withdrawals!A112="","",Agent07_Withdrawals!H112)</f>
        <v/>
      </c>
      <c r="J1307" s="37" t="str">
        <f>IF(Agent07_Withdrawals!A112="","",Agent07_Withdrawals!J112)</f>
        <v/>
      </c>
      <c r="K1307" s="37" t="str">
        <f>IF(Agent07_Withdrawals!A112="","",Agent07_Withdrawals!K112)</f>
        <v/>
      </c>
      <c r="L1307" s="37" t="str">
        <f>IF(G1307="","",IF(D1307-G1307&gt;=System_Config!$B$9,"✅ OK","⚠️ BREACH"))</f>
        <v/>
      </c>
      <c r="M1307" s="37" t="str">
        <f>IFERROR(IF(Agent07_Withdrawals!A112="","",YEAR(Agent07_Withdrawals!D112)),"")</f>
        <v/>
      </c>
    </row>
    <row r="1308" spans="1:13" ht="18" customHeight="1" x14ac:dyDescent="0.25">
      <c r="A1308" s="37" t="str">
        <f>IF(Agent07_Withdrawals!A113="","",Agent07_Withdrawals!A113)</f>
        <v/>
      </c>
      <c r="B1308" s="37" t="str">
        <f ca="1">IF(Agent07_Withdrawals!A113="","","WD"&amp;TEXT(1308-3,"0000")&amp;"-"&amp;TEXT(TODAY(),"YYYYMMDD"))</f>
        <v/>
      </c>
      <c r="C1308" s="37" t="str">
        <f>IF(Agent07_Withdrawals!A113="","",Agent07_Withdrawals!B113)</f>
        <v/>
      </c>
      <c r="D1308" s="40" t="str">
        <f>IF(Agent07_Withdrawals!A113="","",Agent07_Withdrawals!C113)</f>
        <v/>
      </c>
      <c r="E1308" s="38" t="str">
        <f>IF(Agent07_Withdrawals!A113="","",Agent07_Withdrawals!D113)</f>
        <v/>
      </c>
      <c r="F1308" s="37" t="str">
        <f>IF(Agent07_Withdrawals!A113="","",Agent07_Withdrawals!F113)</f>
        <v/>
      </c>
      <c r="G1308" s="39" t="str">
        <f>IF(Agent07_Withdrawals!A113="","",Agent07_Withdrawals!E113)</f>
        <v/>
      </c>
      <c r="H1308" s="39" t="str">
        <f>IF(Agent07_Withdrawals!A113="","",Agent07_Withdrawals!G113)</f>
        <v/>
      </c>
      <c r="I1308" s="37" t="str">
        <f>IF(Agent07_Withdrawals!A113="","",Agent07_Withdrawals!H113)</f>
        <v/>
      </c>
      <c r="J1308" s="37" t="str">
        <f>IF(Agent07_Withdrawals!A113="","",Agent07_Withdrawals!J113)</f>
        <v/>
      </c>
      <c r="K1308" s="37" t="str">
        <f>IF(Agent07_Withdrawals!A113="","",Agent07_Withdrawals!K113)</f>
        <v/>
      </c>
      <c r="L1308" s="37" t="str">
        <f>IF(G1308="","",IF(D1308-G1308&gt;=System_Config!$B$9,"✅ OK","⚠️ BREACH"))</f>
        <v/>
      </c>
      <c r="M1308" s="37" t="str">
        <f>IFERROR(IF(Agent07_Withdrawals!A113="","",YEAR(Agent07_Withdrawals!D113)),"")</f>
        <v/>
      </c>
    </row>
    <row r="1309" spans="1:13" ht="18" customHeight="1" x14ac:dyDescent="0.25">
      <c r="A1309" s="37" t="str">
        <f>IF(Agent07_Withdrawals!A114="","",Agent07_Withdrawals!A114)</f>
        <v/>
      </c>
      <c r="B1309" s="37" t="str">
        <f ca="1">IF(Agent07_Withdrawals!A114="","","WD"&amp;TEXT(1309-3,"0000")&amp;"-"&amp;TEXT(TODAY(),"YYYYMMDD"))</f>
        <v/>
      </c>
      <c r="C1309" s="37" t="str">
        <f>IF(Agent07_Withdrawals!A114="","",Agent07_Withdrawals!B114)</f>
        <v/>
      </c>
      <c r="D1309" s="40" t="str">
        <f>IF(Agent07_Withdrawals!A114="","",Agent07_Withdrawals!C114)</f>
        <v/>
      </c>
      <c r="E1309" s="38" t="str">
        <f>IF(Agent07_Withdrawals!A114="","",Agent07_Withdrawals!D114)</f>
        <v/>
      </c>
      <c r="F1309" s="37" t="str">
        <f>IF(Agent07_Withdrawals!A114="","",Agent07_Withdrawals!F114)</f>
        <v/>
      </c>
      <c r="G1309" s="39" t="str">
        <f>IF(Agent07_Withdrawals!A114="","",Agent07_Withdrawals!E114)</f>
        <v/>
      </c>
      <c r="H1309" s="39" t="str">
        <f>IF(Agent07_Withdrawals!A114="","",Agent07_Withdrawals!G114)</f>
        <v/>
      </c>
      <c r="I1309" s="37" t="str">
        <f>IF(Agent07_Withdrawals!A114="","",Agent07_Withdrawals!H114)</f>
        <v/>
      </c>
      <c r="J1309" s="37" t="str">
        <f>IF(Agent07_Withdrawals!A114="","",Agent07_Withdrawals!J114)</f>
        <v/>
      </c>
      <c r="K1309" s="37" t="str">
        <f>IF(Agent07_Withdrawals!A114="","",Agent07_Withdrawals!K114)</f>
        <v/>
      </c>
      <c r="L1309" s="37" t="str">
        <f>IF(G1309="","",IF(D1309-G1309&gt;=System_Config!$B$9,"✅ OK","⚠️ BREACH"))</f>
        <v/>
      </c>
      <c r="M1309" s="37" t="str">
        <f>IFERROR(IF(Agent07_Withdrawals!A114="","",YEAR(Agent07_Withdrawals!D114)),"")</f>
        <v/>
      </c>
    </row>
    <row r="1310" spans="1:13" ht="18" customHeight="1" x14ac:dyDescent="0.25">
      <c r="A1310" s="37" t="str">
        <f>IF(Agent07_Withdrawals!A115="","",Agent07_Withdrawals!A115)</f>
        <v/>
      </c>
      <c r="B1310" s="37" t="str">
        <f ca="1">IF(Agent07_Withdrawals!A115="","","WD"&amp;TEXT(1310-3,"0000")&amp;"-"&amp;TEXT(TODAY(),"YYYYMMDD"))</f>
        <v/>
      </c>
      <c r="C1310" s="37" t="str">
        <f>IF(Agent07_Withdrawals!A115="","",Agent07_Withdrawals!B115)</f>
        <v/>
      </c>
      <c r="D1310" s="40" t="str">
        <f>IF(Agent07_Withdrawals!A115="","",Agent07_Withdrawals!C115)</f>
        <v/>
      </c>
      <c r="E1310" s="38" t="str">
        <f>IF(Agent07_Withdrawals!A115="","",Agent07_Withdrawals!D115)</f>
        <v/>
      </c>
      <c r="F1310" s="37" t="str">
        <f>IF(Agent07_Withdrawals!A115="","",Agent07_Withdrawals!F115)</f>
        <v/>
      </c>
      <c r="G1310" s="39" t="str">
        <f>IF(Agent07_Withdrawals!A115="","",Agent07_Withdrawals!E115)</f>
        <v/>
      </c>
      <c r="H1310" s="39" t="str">
        <f>IF(Agent07_Withdrawals!A115="","",Agent07_Withdrawals!G115)</f>
        <v/>
      </c>
      <c r="I1310" s="37" t="str">
        <f>IF(Agent07_Withdrawals!A115="","",Agent07_Withdrawals!H115)</f>
        <v/>
      </c>
      <c r="J1310" s="37" t="str">
        <f>IF(Agent07_Withdrawals!A115="","",Agent07_Withdrawals!J115)</f>
        <v/>
      </c>
      <c r="K1310" s="37" t="str">
        <f>IF(Agent07_Withdrawals!A115="","",Agent07_Withdrawals!K115)</f>
        <v/>
      </c>
      <c r="L1310" s="37" t="str">
        <f>IF(G1310="","",IF(D1310-G1310&gt;=System_Config!$B$9,"✅ OK","⚠️ BREACH"))</f>
        <v/>
      </c>
      <c r="M1310" s="37" t="str">
        <f>IFERROR(IF(Agent07_Withdrawals!A115="","",YEAR(Agent07_Withdrawals!D115)),"")</f>
        <v/>
      </c>
    </row>
    <row r="1311" spans="1:13" ht="18" customHeight="1" x14ac:dyDescent="0.25">
      <c r="A1311" s="37" t="str">
        <f>IF(Agent07_Withdrawals!A116="","",Agent07_Withdrawals!A116)</f>
        <v/>
      </c>
      <c r="B1311" s="37" t="str">
        <f ca="1">IF(Agent07_Withdrawals!A116="","","WD"&amp;TEXT(1311-3,"0000")&amp;"-"&amp;TEXT(TODAY(),"YYYYMMDD"))</f>
        <v/>
      </c>
      <c r="C1311" s="37" t="str">
        <f>IF(Agent07_Withdrawals!A116="","",Agent07_Withdrawals!B116)</f>
        <v/>
      </c>
      <c r="D1311" s="40" t="str">
        <f>IF(Agent07_Withdrawals!A116="","",Agent07_Withdrawals!C116)</f>
        <v/>
      </c>
      <c r="E1311" s="38" t="str">
        <f>IF(Agent07_Withdrawals!A116="","",Agent07_Withdrawals!D116)</f>
        <v/>
      </c>
      <c r="F1311" s="37" t="str">
        <f>IF(Agent07_Withdrawals!A116="","",Agent07_Withdrawals!F116)</f>
        <v/>
      </c>
      <c r="G1311" s="39" t="str">
        <f>IF(Agent07_Withdrawals!A116="","",Agent07_Withdrawals!E116)</f>
        <v/>
      </c>
      <c r="H1311" s="39" t="str">
        <f>IF(Agent07_Withdrawals!A116="","",Agent07_Withdrawals!G116)</f>
        <v/>
      </c>
      <c r="I1311" s="37" t="str">
        <f>IF(Agent07_Withdrawals!A116="","",Agent07_Withdrawals!H116)</f>
        <v/>
      </c>
      <c r="J1311" s="37" t="str">
        <f>IF(Agent07_Withdrawals!A116="","",Agent07_Withdrawals!J116)</f>
        <v/>
      </c>
      <c r="K1311" s="37" t="str">
        <f>IF(Agent07_Withdrawals!A116="","",Agent07_Withdrawals!K116)</f>
        <v/>
      </c>
      <c r="L1311" s="37" t="str">
        <f>IF(G1311="","",IF(D1311-G1311&gt;=System_Config!$B$9,"✅ OK","⚠️ BREACH"))</f>
        <v/>
      </c>
      <c r="M1311" s="37" t="str">
        <f>IFERROR(IF(Agent07_Withdrawals!A116="","",YEAR(Agent07_Withdrawals!D116)),"")</f>
        <v/>
      </c>
    </row>
    <row r="1312" spans="1:13" ht="18" customHeight="1" x14ac:dyDescent="0.25">
      <c r="A1312" s="37" t="str">
        <f>IF(Agent07_Withdrawals!A117="","",Agent07_Withdrawals!A117)</f>
        <v/>
      </c>
      <c r="B1312" s="37" t="str">
        <f ca="1">IF(Agent07_Withdrawals!A117="","","WD"&amp;TEXT(1312-3,"0000")&amp;"-"&amp;TEXT(TODAY(),"YYYYMMDD"))</f>
        <v/>
      </c>
      <c r="C1312" s="37" t="str">
        <f>IF(Agent07_Withdrawals!A117="","",Agent07_Withdrawals!B117)</f>
        <v/>
      </c>
      <c r="D1312" s="40" t="str">
        <f>IF(Agent07_Withdrawals!A117="","",Agent07_Withdrawals!C117)</f>
        <v/>
      </c>
      <c r="E1312" s="38" t="str">
        <f>IF(Agent07_Withdrawals!A117="","",Agent07_Withdrawals!D117)</f>
        <v/>
      </c>
      <c r="F1312" s="37" t="str">
        <f>IF(Agent07_Withdrawals!A117="","",Agent07_Withdrawals!F117)</f>
        <v/>
      </c>
      <c r="G1312" s="39" t="str">
        <f>IF(Agent07_Withdrawals!A117="","",Agent07_Withdrawals!E117)</f>
        <v/>
      </c>
      <c r="H1312" s="39" t="str">
        <f>IF(Agent07_Withdrawals!A117="","",Agent07_Withdrawals!G117)</f>
        <v/>
      </c>
      <c r="I1312" s="37" t="str">
        <f>IF(Agent07_Withdrawals!A117="","",Agent07_Withdrawals!H117)</f>
        <v/>
      </c>
      <c r="J1312" s="37" t="str">
        <f>IF(Agent07_Withdrawals!A117="","",Agent07_Withdrawals!J117)</f>
        <v/>
      </c>
      <c r="K1312" s="37" t="str">
        <f>IF(Agent07_Withdrawals!A117="","",Agent07_Withdrawals!K117)</f>
        <v/>
      </c>
      <c r="L1312" s="37" t="str">
        <f>IF(G1312="","",IF(D1312-G1312&gt;=System_Config!$B$9,"✅ OK","⚠️ BREACH"))</f>
        <v/>
      </c>
      <c r="M1312" s="37" t="str">
        <f>IFERROR(IF(Agent07_Withdrawals!A117="","",YEAR(Agent07_Withdrawals!D117)),"")</f>
        <v/>
      </c>
    </row>
    <row r="1313" spans="1:13" ht="18" customHeight="1" x14ac:dyDescent="0.25">
      <c r="A1313" s="37" t="str">
        <f>IF(Agent07_Withdrawals!A118="","",Agent07_Withdrawals!A118)</f>
        <v/>
      </c>
      <c r="B1313" s="37" t="str">
        <f ca="1">IF(Agent07_Withdrawals!A118="","","WD"&amp;TEXT(1313-3,"0000")&amp;"-"&amp;TEXT(TODAY(),"YYYYMMDD"))</f>
        <v/>
      </c>
      <c r="C1313" s="37" t="str">
        <f>IF(Agent07_Withdrawals!A118="","",Agent07_Withdrawals!B118)</f>
        <v/>
      </c>
      <c r="D1313" s="40" t="str">
        <f>IF(Agent07_Withdrawals!A118="","",Agent07_Withdrawals!C118)</f>
        <v/>
      </c>
      <c r="E1313" s="38" t="str">
        <f>IF(Agent07_Withdrawals!A118="","",Agent07_Withdrawals!D118)</f>
        <v/>
      </c>
      <c r="F1313" s="37" t="str">
        <f>IF(Agent07_Withdrawals!A118="","",Agent07_Withdrawals!F118)</f>
        <v/>
      </c>
      <c r="G1313" s="39" t="str">
        <f>IF(Agent07_Withdrawals!A118="","",Agent07_Withdrawals!E118)</f>
        <v/>
      </c>
      <c r="H1313" s="39" t="str">
        <f>IF(Agent07_Withdrawals!A118="","",Agent07_Withdrawals!G118)</f>
        <v/>
      </c>
      <c r="I1313" s="37" t="str">
        <f>IF(Agent07_Withdrawals!A118="","",Agent07_Withdrawals!H118)</f>
        <v/>
      </c>
      <c r="J1313" s="37" t="str">
        <f>IF(Agent07_Withdrawals!A118="","",Agent07_Withdrawals!J118)</f>
        <v/>
      </c>
      <c r="K1313" s="37" t="str">
        <f>IF(Agent07_Withdrawals!A118="","",Agent07_Withdrawals!K118)</f>
        <v/>
      </c>
      <c r="L1313" s="37" t="str">
        <f>IF(G1313="","",IF(D1313-G1313&gt;=System_Config!$B$9,"✅ OK","⚠️ BREACH"))</f>
        <v/>
      </c>
      <c r="M1313" s="37" t="str">
        <f>IFERROR(IF(Agent07_Withdrawals!A118="","",YEAR(Agent07_Withdrawals!D118)),"")</f>
        <v/>
      </c>
    </row>
    <row r="1314" spans="1:13" ht="18" customHeight="1" x14ac:dyDescent="0.25">
      <c r="A1314" s="37" t="str">
        <f>IF(Agent07_Withdrawals!A119="","",Agent07_Withdrawals!A119)</f>
        <v/>
      </c>
      <c r="B1314" s="37" t="str">
        <f ca="1">IF(Agent07_Withdrawals!A119="","","WD"&amp;TEXT(1314-3,"0000")&amp;"-"&amp;TEXT(TODAY(),"YYYYMMDD"))</f>
        <v/>
      </c>
      <c r="C1314" s="37" t="str">
        <f>IF(Agent07_Withdrawals!A119="","",Agent07_Withdrawals!B119)</f>
        <v/>
      </c>
      <c r="D1314" s="40" t="str">
        <f>IF(Agent07_Withdrawals!A119="","",Agent07_Withdrawals!C119)</f>
        <v/>
      </c>
      <c r="E1314" s="38" t="str">
        <f>IF(Agent07_Withdrawals!A119="","",Agent07_Withdrawals!D119)</f>
        <v/>
      </c>
      <c r="F1314" s="37" t="str">
        <f>IF(Agent07_Withdrawals!A119="","",Agent07_Withdrawals!F119)</f>
        <v/>
      </c>
      <c r="G1314" s="39" t="str">
        <f>IF(Agent07_Withdrawals!A119="","",Agent07_Withdrawals!E119)</f>
        <v/>
      </c>
      <c r="H1314" s="39" t="str">
        <f>IF(Agent07_Withdrawals!A119="","",Agent07_Withdrawals!G119)</f>
        <v/>
      </c>
      <c r="I1314" s="37" t="str">
        <f>IF(Agent07_Withdrawals!A119="","",Agent07_Withdrawals!H119)</f>
        <v/>
      </c>
      <c r="J1314" s="37" t="str">
        <f>IF(Agent07_Withdrawals!A119="","",Agent07_Withdrawals!J119)</f>
        <v/>
      </c>
      <c r="K1314" s="37" t="str">
        <f>IF(Agent07_Withdrawals!A119="","",Agent07_Withdrawals!K119)</f>
        <v/>
      </c>
      <c r="L1314" s="37" t="str">
        <f>IF(G1314="","",IF(D1314-G1314&gt;=System_Config!$B$9,"✅ OK","⚠️ BREACH"))</f>
        <v/>
      </c>
      <c r="M1314" s="37" t="str">
        <f>IFERROR(IF(Agent07_Withdrawals!A119="","",YEAR(Agent07_Withdrawals!D119)),"")</f>
        <v/>
      </c>
    </row>
    <row r="1315" spans="1:13" ht="18" customHeight="1" x14ac:dyDescent="0.25">
      <c r="A1315" s="37" t="str">
        <f>IF(Agent07_Withdrawals!A120="","",Agent07_Withdrawals!A120)</f>
        <v/>
      </c>
      <c r="B1315" s="37" t="str">
        <f ca="1">IF(Agent07_Withdrawals!A120="","","WD"&amp;TEXT(1315-3,"0000")&amp;"-"&amp;TEXT(TODAY(),"YYYYMMDD"))</f>
        <v/>
      </c>
      <c r="C1315" s="37" t="str">
        <f>IF(Agent07_Withdrawals!A120="","",Agent07_Withdrawals!B120)</f>
        <v/>
      </c>
      <c r="D1315" s="40" t="str">
        <f>IF(Agent07_Withdrawals!A120="","",Agent07_Withdrawals!C120)</f>
        <v/>
      </c>
      <c r="E1315" s="38" t="str">
        <f>IF(Agent07_Withdrawals!A120="","",Agent07_Withdrawals!D120)</f>
        <v/>
      </c>
      <c r="F1315" s="37" t="str">
        <f>IF(Agent07_Withdrawals!A120="","",Agent07_Withdrawals!F120)</f>
        <v/>
      </c>
      <c r="G1315" s="39" t="str">
        <f>IF(Agent07_Withdrawals!A120="","",Agent07_Withdrawals!E120)</f>
        <v/>
      </c>
      <c r="H1315" s="39" t="str">
        <f>IF(Agent07_Withdrawals!A120="","",Agent07_Withdrawals!G120)</f>
        <v/>
      </c>
      <c r="I1315" s="37" t="str">
        <f>IF(Agent07_Withdrawals!A120="","",Agent07_Withdrawals!H120)</f>
        <v/>
      </c>
      <c r="J1315" s="37" t="str">
        <f>IF(Agent07_Withdrawals!A120="","",Agent07_Withdrawals!J120)</f>
        <v/>
      </c>
      <c r="K1315" s="37" t="str">
        <f>IF(Agent07_Withdrawals!A120="","",Agent07_Withdrawals!K120)</f>
        <v/>
      </c>
      <c r="L1315" s="37" t="str">
        <f>IF(G1315="","",IF(D1315-G1315&gt;=System_Config!$B$9,"✅ OK","⚠️ BREACH"))</f>
        <v/>
      </c>
      <c r="M1315" s="37" t="str">
        <f>IFERROR(IF(Agent07_Withdrawals!A120="","",YEAR(Agent07_Withdrawals!D120)),"")</f>
        <v/>
      </c>
    </row>
    <row r="1316" spans="1:13" ht="18" customHeight="1" x14ac:dyDescent="0.25">
      <c r="A1316" s="37" t="str">
        <f>IF(Agent07_Withdrawals!A121="","",Agent07_Withdrawals!A121)</f>
        <v/>
      </c>
      <c r="B1316" s="37" t="str">
        <f ca="1">IF(Agent07_Withdrawals!A121="","","WD"&amp;TEXT(1316-3,"0000")&amp;"-"&amp;TEXT(TODAY(),"YYYYMMDD"))</f>
        <v/>
      </c>
      <c r="C1316" s="37" t="str">
        <f>IF(Agent07_Withdrawals!A121="","",Agent07_Withdrawals!B121)</f>
        <v/>
      </c>
      <c r="D1316" s="40" t="str">
        <f>IF(Agent07_Withdrawals!A121="","",Agent07_Withdrawals!C121)</f>
        <v/>
      </c>
      <c r="E1316" s="38" t="str">
        <f>IF(Agent07_Withdrawals!A121="","",Agent07_Withdrawals!D121)</f>
        <v/>
      </c>
      <c r="F1316" s="37" t="str">
        <f>IF(Agent07_Withdrawals!A121="","",Agent07_Withdrawals!F121)</f>
        <v/>
      </c>
      <c r="G1316" s="39" t="str">
        <f>IF(Agent07_Withdrawals!A121="","",Agent07_Withdrawals!E121)</f>
        <v/>
      </c>
      <c r="H1316" s="39" t="str">
        <f>IF(Agent07_Withdrawals!A121="","",Agent07_Withdrawals!G121)</f>
        <v/>
      </c>
      <c r="I1316" s="37" t="str">
        <f>IF(Agent07_Withdrawals!A121="","",Agent07_Withdrawals!H121)</f>
        <v/>
      </c>
      <c r="J1316" s="37" t="str">
        <f>IF(Agent07_Withdrawals!A121="","",Agent07_Withdrawals!J121)</f>
        <v/>
      </c>
      <c r="K1316" s="37" t="str">
        <f>IF(Agent07_Withdrawals!A121="","",Agent07_Withdrawals!K121)</f>
        <v/>
      </c>
      <c r="L1316" s="37" t="str">
        <f>IF(G1316="","",IF(D1316-G1316&gt;=System_Config!$B$9,"✅ OK","⚠️ BREACH"))</f>
        <v/>
      </c>
      <c r="M1316" s="37" t="str">
        <f>IFERROR(IF(Agent07_Withdrawals!A121="","",YEAR(Agent07_Withdrawals!D121)),"")</f>
        <v/>
      </c>
    </row>
    <row r="1317" spans="1:13" ht="18" customHeight="1" x14ac:dyDescent="0.25">
      <c r="A1317" s="37" t="str">
        <f>IF(Agent07_Withdrawals!A122="","",Agent07_Withdrawals!A122)</f>
        <v/>
      </c>
      <c r="B1317" s="37" t="str">
        <f ca="1">IF(Agent07_Withdrawals!A122="","","WD"&amp;TEXT(1317-3,"0000")&amp;"-"&amp;TEXT(TODAY(),"YYYYMMDD"))</f>
        <v/>
      </c>
      <c r="C1317" s="37" t="str">
        <f>IF(Agent07_Withdrawals!A122="","",Agent07_Withdrawals!B122)</f>
        <v/>
      </c>
      <c r="D1317" s="40" t="str">
        <f>IF(Agent07_Withdrawals!A122="","",Agent07_Withdrawals!C122)</f>
        <v/>
      </c>
      <c r="E1317" s="38" t="str">
        <f>IF(Agent07_Withdrawals!A122="","",Agent07_Withdrawals!D122)</f>
        <v/>
      </c>
      <c r="F1317" s="37" t="str">
        <f>IF(Agent07_Withdrawals!A122="","",Agent07_Withdrawals!F122)</f>
        <v/>
      </c>
      <c r="G1317" s="39" t="str">
        <f>IF(Agent07_Withdrawals!A122="","",Agent07_Withdrawals!E122)</f>
        <v/>
      </c>
      <c r="H1317" s="39" t="str">
        <f>IF(Agent07_Withdrawals!A122="","",Agent07_Withdrawals!G122)</f>
        <v/>
      </c>
      <c r="I1317" s="37" t="str">
        <f>IF(Agent07_Withdrawals!A122="","",Agent07_Withdrawals!H122)</f>
        <v/>
      </c>
      <c r="J1317" s="37" t="str">
        <f>IF(Agent07_Withdrawals!A122="","",Agent07_Withdrawals!J122)</f>
        <v/>
      </c>
      <c r="K1317" s="37" t="str">
        <f>IF(Agent07_Withdrawals!A122="","",Agent07_Withdrawals!K122)</f>
        <v/>
      </c>
      <c r="L1317" s="37" t="str">
        <f>IF(G1317="","",IF(D1317-G1317&gt;=System_Config!$B$9,"✅ OK","⚠️ BREACH"))</f>
        <v/>
      </c>
      <c r="M1317" s="37" t="str">
        <f>IFERROR(IF(Agent07_Withdrawals!A122="","",YEAR(Agent07_Withdrawals!D122)),"")</f>
        <v/>
      </c>
    </row>
    <row r="1318" spans="1:13" ht="18" customHeight="1" x14ac:dyDescent="0.25">
      <c r="A1318" s="37" t="str">
        <f>IF(Agent07_Withdrawals!A123="","",Agent07_Withdrawals!A123)</f>
        <v/>
      </c>
      <c r="B1318" s="37" t="str">
        <f ca="1">IF(Agent07_Withdrawals!A123="","","WD"&amp;TEXT(1318-3,"0000")&amp;"-"&amp;TEXT(TODAY(),"YYYYMMDD"))</f>
        <v/>
      </c>
      <c r="C1318" s="37" t="str">
        <f>IF(Agent07_Withdrawals!A123="","",Agent07_Withdrawals!B123)</f>
        <v/>
      </c>
      <c r="D1318" s="40" t="str">
        <f>IF(Agent07_Withdrawals!A123="","",Agent07_Withdrawals!C123)</f>
        <v/>
      </c>
      <c r="E1318" s="38" t="str">
        <f>IF(Agent07_Withdrawals!A123="","",Agent07_Withdrawals!D123)</f>
        <v/>
      </c>
      <c r="F1318" s="37" t="str">
        <f>IF(Agent07_Withdrawals!A123="","",Agent07_Withdrawals!F123)</f>
        <v/>
      </c>
      <c r="G1318" s="39" t="str">
        <f>IF(Agent07_Withdrawals!A123="","",Agent07_Withdrawals!E123)</f>
        <v/>
      </c>
      <c r="H1318" s="39" t="str">
        <f>IF(Agent07_Withdrawals!A123="","",Agent07_Withdrawals!G123)</f>
        <v/>
      </c>
      <c r="I1318" s="37" t="str">
        <f>IF(Agent07_Withdrawals!A123="","",Agent07_Withdrawals!H123)</f>
        <v/>
      </c>
      <c r="J1318" s="37" t="str">
        <f>IF(Agent07_Withdrawals!A123="","",Agent07_Withdrawals!J123)</f>
        <v/>
      </c>
      <c r="K1318" s="37" t="str">
        <f>IF(Agent07_Withdrawals!A123="","",Agent07_Withdrawals!K123)</f>
        <v/>
      </c>
      <c r="L1318" s="37" t="str">
        <f>IF(G1318="","",IF(D1318-G1318&gt;=System_Config!$B$9,"✅ OK","⚠️ BREACH"))</f>
        <v/>
      </c>
      <c r="M1318" s="37" t="str">
        <f>IFERROR(IF(Agent07_Withdrawals!A123="","",YEAR(Agent07_Withdrawals!D123)),"")</f>
        <v/>
      </c>
    </row>
    <row r="1319" spans="1:13" ht="18" customHeight="1" x14ac:dyDescent="0.25">
      <c r="A1319" s="37" t="str">
        <f>IF(Agent07_Withdrawals!A124="","",Agent07_Withdrawals!A124)</f>
        <v/>
      </c>
      <c r="B1319" s="37" t="str">
        <f ca="1">IF(Agent07_Withdrawals!A124="","","WD"&amp;TEXT(1319-3,"0000")&amp;"-"&amp;TEXT(TODAY(),"YYYYMMDD"))</f>
        <v/>
      </c>
      <c r="C1319" s="37" t="str">
        <f>IF(Agent07_Withdrawals!A124="","",Agent07_Withdrawals!B124)</f>
        <v/>
      </c>
      <c r="D1319" s="40" t="str">
        <f>IF(Agent07_Withdrawals!A124="","",Agent07_Withdrawals!C124)</f>
        <v/>
      </c>
      <c r="E1319" s="38" t="str">
        <f>IF(Agent07_Withdrawals!A124="","",Agent07_Withdrawals!D124)</f>
        <v/>
      </c>
      <c r="F1319" s="37" t="str">
        <f>IF(Agent07_Withdrawals!A124="","",Agent07_Withdrawals!F124)</f>
        <v/>
      </c>
      <c r="G1319" s="39" t="str">
        <f>IF(Agent07_Withdrawals!A124="","",Agent07_Withdrawals!E124)</f>
        <v/>
      </c>
      <c r="H1319" s="39" t="str">
        <f>IF(Agent07_Withdrawals!A124="","",Agent07_Withdrawals!G124)</f>
        <v/>
      </c>
      <c r="I1319" s="37" t="str">
        <f>IF(Agent07_Withdrawals!A124="","",Agent07_Withdrawals!H124)</f>
        <v/>
      </c>
      <c r="J1319" s="37" t="str">
        <f>IF(Agent07_Withdrawals!A124="","",Agent07_Withdrawals!J124)</f>
        <v/>
      </c>
      <c r="K1319" s="37" t="str">
        <f>IF(Agent07_Withdrawals!A124="","",Agent07_Withdrawals!K124)</f>
        <v/>
      </c>
      <c r="L1319" s="37" t="str">
        <f>IF(G1319="","",IF(D1319-G1319&gt;=System_Config!$B$9,"✅ OK","⚠️ BREACH"))</f>
        <v/>
      </c>
      <c r="M1319" s="37" t="str">
        <f>IFERROR(IF(Agent07_Withdrawals!A124="","",YEAR(Agent07_Withdrawals!D124)),"")</f>
        <v/>
      </c>
    </row>
    <row r="1320" spans="1:13" ht="18" customHeight="1" x14ac:dyDescent="0.25">
      <c r="A1320" s="37" t="str">
        <f>IF(Agent07_Withdrawals!A125="","",Agent07_Withdrawals!A125)</f>
        <v/>
      </c>
      <c r="B1320" s="37" t="str">
        <f ca="1">IF(Agent07_Withdrawals!A125="","","WD"&amp;TEXT(1320-3,"0000")&amp;"-"&amp;TEXT(TODAY(),"YYYYMMDD"))</f>
        <v/>
      </c>
      <c r="C1320" s="37" t="str">
        <f>IF(Agent07_Withdrawals!A125="","",Agent07_Withdrawals!B125)</f>
        <v/>
      </c>
      <c r="D1320" s="40" t="str">
        <f>IF(Agent07_Withdrawals!A125="","",Agent07_Withdrawals!C125)</f>
        <v/>
      </c>
      <c r="E1320" s="38" t="str">
        <f>IF(Agent07_Withdrawals!A125="","",Agent07_Withdrawals!D125)</f>
        <v/>
      </c>
      <c r="F1320" s="37" t="str">
        <f>IF(Agent07_Withdrawals!A125="","",Agent07_Withdrawals!F125)</f>
        <v/>
      </c>
      <c r="G1320" s="39" t="str">
        <f>IF(Agent07_Withdrawals!A125="","",Agent07_Withdrawals!E125)</f>
        <v/>
      </c>
      <c r="H1320" s="39" t="str">
        <f>IF(Agent07_Withdrawals!A125="","",Agent07_Withdrawals!G125)</f>
        <v/>
      </c>
      <c r="I1320" s="37" t="str">
        <f>IF(Agent07_Withdrawals!A125="","",Agent07_Withdrawals!H125)</f>
        <v/>
      </c>
      <c r="J1320" s="37" t="str">
        <f>IF(Agent07_Withdrawals!A125="","",Agent07_Withdrawals!J125)</f>
        <v/>
      </c>
      <c r="K1320" s="37" t="str">
        <f>IF(Agent07_Withdrawals!A125="","",Agent07_Withdrawals!K125)</f>
        <v/>
      </c>
      <c r="L1320" s="37" t="str">
        <f>IF(G1320="","",IF(D1320-G1320&gt;=System_Config!$B$9,"✅ OK","⚠️ BREACH"))</f>
        <v/>
      </c>
      <c r="M1320" s="37" t="str">
        <f>IFERROR(IF(Agent07_Withdrawals!A125="","",YEAR(Agent07_Withdrawals!D125)),"")</f>
        <v/>
      </c>
    </row>
    <row r="1321" spans="1:13" ht="18" customHeight="1" x14ac:dyDescent="0.25">
      <c r="A1321" s="37" t="str">
        <f>IF(Agent07_Withdrawals!A126="","",Agent07_Withdrawals!A126)</f>
        <v/>
      </c>
      <c r="B1321" s="37" t="str">
        <f ca="1">IF(Agent07_Withdrawals!A126="","","WD"&amp;TEXT(1321-3,"0000")&amp;"-"&amp;TEXT(TODAY(),"YYYYMMDD"))</f>
        <v/>
      </c>
      <c r="C1321" s="37" t="str">
        <f>IF(Agent07_Withdrawals!A126="","",Agent07_Withdrawals!B126)</f>
        <v/>
      </c>
      <c r="D1321" s="40" t="str">
        <f>IF(Agent07_Withdrawals!A126="","",Agent07_Withdrawals!C126)</f>
        <v/>
      </c>
      <c r="E1321" s="38" t="str">
        <f>IF(Agent07_Withdrawals!A126="","",Agent07_Withdrawals!D126)</f>
        <v/>
      </c>
      <c r="F1321" s="37" t="str">
        <f>IF(Agent07_Withdrawals!A126="","",Agent07_Withdrawals!F126)</f>
        <v/>
      </c>
      <c r="G1321" s="39" t="str">
        <f>IF(Agent07_Withdrawals!A126="","",Agent07_Withdrawals!E126)</f>
        <v/>
      </c>
      <c r="H1321" s="39" t="str">
        <f>IF(Agent07_Withdrawals!A126="","",Agent07_Withdrawals!G126)</f>
        <v/>
      </c>
      <c r="I1321" s="37" t="str">
        <f>IF(Agent07_Withdrawals!A126="","",Agent07_Withdrawals!H126)</f>
        <v/>
      </c>
      <c r="J1321" s="37" t="str">
        <f>IF(Agent07_Withdrawals!A126="","",Agent07_Withdrawals!J126)</f>
        <v/>
      </c>
      <c r="K1321" s="37" t="str">
        <f>IF(Agent07_Withdrawals!A126="","",Agent07_Withdrawals!K126)</f>
        <v/>
      </c>
      <c r="L1321" s="37" t="str">
        <f>IF(G1321="","",IF(D1321-G1321&gt;=System_Config!$B$9,"✅ OK","⚠️ BREACH"))</f>
        <v/>
      </c>
      <c r="M1321" s="37" t="str">
        <f>IFERROR(IF(Agent07_Withdrawals!A126="","",YEAR(Agent07_Withdrawals!D126)),"")</f>
        <v/>
      </c>
    </row>
    <row r="1322" spans="1:13" ht="18" customHeight="1" x14ac:dyDescent="0.25">
      <c r="A1322" s="37" t="str">
        <f>IF(Agent07_Withdrawals!A127="","",Agent07_Withdrawals!A127)</f>
        <v/>
      </c>
      <c r="B1322" s="37" t="str">
        <f ca="1">IF(Agent07_Withdrawals!A127="","","WD"&amp;TEXT(1322-3,"0000")&amp;"-"&amp;TEXT(TODAY(),"YYYYMMDD"))</f>
        <v/>
      </c>
      <c r="C1322" s="37" t="str">
        <f>IF(Agent07_Withdrawals!A127="","",Agent07_Withdrawals!B127)</f>
        <v/>
      </c>
      <c r="D1322" s="40" t="str">
        <f>IF(Agent07_Withdrawals!A127="","",Agent07_Withdrawals!C127)</f>
        <v/>
      </c>
      <c r="E1322" s="38" t="str">
        <f>IF(Agent07_Withdrawals!A127="","",Agent07_Withdrawals!D127)</f>
        <v/>
      </c>
      <c r="F1322" s="37" t="str">
        <f>IF(Agent07_Withdrawals!A127="","",Agent07_Withdrawals!F127)</f>
        <v/>
      </c>
      <c r="G1322" s="39" t="str">
        <f>IF(Agent07_Withdrawals!A127="","",Agent07_Withdrawals!E127)</f>
        <v/>
      </c>
      <c r="H1322" s="39" t="str">
        <f>IF(Agent07_Withdrawals!A127="","",Agent07_Withdrawals!G127)</f>
        <v/>
      </c>
      <c r="I1322" s="37" t="str">
        <f>IF(Agent07_Withdrawals!A127="","",Agent07_Withdrawals!H127)</f>
        <v/>
      </c>
      <c r="J1322" s="37" t="str">
        <f>IF(Agent07_Withdrawals!A127="","",Agent07_Withdrawals!J127)</f>
        <v/>
      </c>
      <c r="K1322" s="37" t="str">
        <f>IF(Agent07_Withdrawals!A127="","",Agent07_Withdrawals!K127)</f>
        <v/>
      </c>
      <c r="L1322" s="37" t="str">
        <f>IF(G1322="","",IF(D1322-G1322&gt;=System_Config!$B$9,"✅ OK","⚠️ BREACH"))</f>
        <v/>
      </c>
      <c r="M1322" s="37" t="str">
        <f>IFERROR(IF(Agent07_Withdrawals!A127="","",YEAR(Agent07_Withdrawals!D127)),"")</f>
        <v/>
      </c>
    </row>
    <row r="1323" spans="1:13" ht="18" customHeight="1" x14ac:dyDescent="0.25">
      <c r="A1323" s="37" t="str">
        <f>IF(Agent07_Withdrawals!A128="","",Agent07_Withdrawals!A128)</f>
        <v/>
      </c>
      <c r="B1323" s="37" t="str">
        <f ca="1">IF(Agent07_Withdrawals!A128="","","WD"&amp;TEXT(1323-3,"0000")&amp;"-"&amp;TEXT(TODAY(),"YYYYMMDD"))</f>
        <v/>
      </c>
      <c r="C1323" s="37" t="str">
        <f>IF(Agent07_Withdrawals!A128="","",Agent07_Withdrawals!B128)</f>
        <v/>
      </c>
      <c r="D1323" s="40" t="str">
        <f>IF(Agent07_Withdrawals!A128="","",Agent07_Withdrawals!C128)</f>
        <v/>
      </c>
      <c r="E1323" s="38" t="str">
        <f>IF(Agent07_Withdrawals!A128="","",Agent07_Withdrawals!D128)</f>
        <v/>
      </c>
      <c r="F1323" s="37" t="str">
        <f>IF(Agent07_Withdrawals!A128="","",Agent07_Withdrawals!F128)</f>
        <v/>
      </c>
      <c r="G1323" s="39" t="str">
        <f>IF(Agent07_Withdrawals!A128="","",Agent07_Withdrawals!E128)</f>
        <v/>
      </c>
      <c r="H1323" s="39" t="str">
        <f>IF(Agent07_Withdrawals!A128="","",Agent07_Withdrawals!G128)</f>
        <v/>
      </c>
      <c r="I1323" s="37" t="str">
        <f>IF(Agent07_Withdrawals!A128="","",Agent07_Withdrawals!H128)</f>
        <v/>
      </c>
      <c r="J1323" s="37" t="str">
        <f>IF(Agent07_Withdrawals!A128="","",Agent07_Withdrawals!J128)</f>
        <v/>
      </c>
      <c r="K1323" s="37" t="str">
        <f>IF(Agent07_Withdrawals!A128="","",Agent07_Withdrawals!K128)</f>
        <v/>
      </c>
      <c r="L1323" s="37" t="str">
        <f>IF(G1323="","",IF(D1323-G1323&gt;=System_Config!$B$9,"✅ OK","⚠️ BREACH"))</f>
        <v/>
      </c>
      <c r="M1323" s="37" t="str">
        <f>IFERROR(IF(Agent07_Withdrawals!A128="","",YEAR(Agent07_Withdrawals!D128)),"")</f>
        <v/>
      </c>
    </row>
    <row r="1324" spans="1:13" ht="18" customHeight="1" x14ac:dyDescent="0.25">
      <c r="A1324" s="37" t="str">
        <f>IF(Agent07_Withdrawals!A129="","",Agent07_Withdrawals!A129)</f>
        <v/>
      </c>
      <c r="B1324" s="37" t="str">
        <f ca="1">IF(Agent07_Withdrawals!A129="","","WD"&amp;TEXT(1324-3,"0000")&amp;"-"&amp;TEXT(TODAY(),"YYYYMMDD"))</f>
        <v/>
      </c>
      <c r="C1324" s="37" t="str">
        <f>IF(Agent07_Withdrawals!A129="","",Agent07_Withdrawals!B129)</f>
        <v/>
      </c>
      <c r="D1324" s="40" t="str">
        <f>IF(Agent07_Withdrawals!A129="","",Agent07_Withdrawals!C129)</f>
        <v/>
      </c>
      <c r="E1324" s="38" t="str">
        <f>IF(Agent07_Withdrawals!A129="","",Agent07_Withdrawals!D129)</f>
        <v/>
      </c>
      <c r="F1324" s="37" t="str">
        <f>IF(Agent07_Withdrawals!A129="","",Agent07_Withdrawals!F129)</f>
        <v/>
      </c>
      <c r="G1324" s="39" t="str">
        <f>IF(Agent07_Withdrawals!A129="","",Agent07_Withdrawals!E129)</f>
        <v/>
      </c>
      <c r="H1324" s="39" t="str">
        <f>IF(Agent07_Withdrawals!A129="","",Agent07_Withdrawals!G129)</f>
        <v/>
      </c>
      <c r="I1324" s="37" t="str">
        <f>IF(Agent07_Withdrawals!A129="","",Agent07_Withdrawals!H129)</f>
        <v/>
      </c>
      <c r="J1324" s="37" t="str">
        <f>IF(Agent07_Withdrawals!A129="","",Agent07_Withdrawals!J129)</f>
        <v/>
      </c>
      <c r="K1324" s="37" t="str">
        <f>IF(Agent07_Withdrawals!A129="","",Agent07_Withdrawals!K129)</f>
        <v/>
      </c>
      <c r="L1324" s="37" t="str">
        <f>IF(G1324="","",IF(D1324-G1324&gt;=System_Config!$B$9,"✅ OK","⚠️ BREACH"))</f>
        <v/>
      </c>
      <c r="M1324" s="37" t="str">
        <f>IFERROR(IF(Agent07_Withdrawals!A129="","",YEAR(Agent07_Withdrawals!D129)),"")</f>
        <v/>
      </c>
    </row>
    <row r="1325" spans="1:13" ht="18" customHeight="1" x14ac:dyDescent="0.25">
      <c r="A1325" s="37" t="str">
        <f>IF(Agent07_Withdrawals!A130="","",Agent07_Withdrawals!A130)</f>
        <v/>
      </c>
      <c r="B1325" s="37" t="str">
        <f ca="1">IF(Agent07_Withdrawals!A130="","","WD"&amp;TEXT(1325-3,"0000")&amp;"-"&amp;TEXT(TODAY(),"YYYYMMDD"))</f>
        <v/>
      </c>
      <c r="C1325" s="37" t="str">
        <f>IF(Agent07_Withdrawals!A130="","",Agent07_Withdrawals!B130)</f>
        <v/>
      </c>
      <c r="D1325" s="40" t="str">
        <f>IF(Agent07_Withdrawals!A130="","",Agent07_Withdrawals!C130)</f>
        <v/>
      </c>
      <c r="E1325" s="38" t="str">
        <f>IF(Agent07_Withdrawals!A130="","",Agent07_Withdrawals!D130)</f>
        <v/>
      </c>
      <c r="F1325" s="37" t="str">
        <f>IF(Agent07_Withdrawals!A130="","",Agent07_Withdrawals!F130)</f>
        <v/>
      </c>
      <c r="G1325" s="39" t="str">
        <f>IF(Agent07_Withdrawals!A130="","",Agent07_Withdrawals!E130)</f>
        <v/>
      </c>
      <c r="H1325" s="39" t="str">
        <f>IF(Agent07_Withdrawals!A130="","",Agent07_Withdrawals!G130)</f>
        <v/>
      </c>
      <c r="I1325" s="37" t="str">
        <f>IF(Agent07_Withdrawals!A130="","",Agent07_Withdrawals!H130)</f>
        <v/>
      </c>
      <c r="J1325" s="37" t="str">
        <f>IF(Agent07_Withdrawals!A130="","",Agent07_Withdrawals!J130)</f>
        <v/>
      </c>
      <c r="K1325" s="37" t="str">
        <f>IF(Agent07_Withdrawals!A130="","",Agent07_Withdrawals!K130)</f>
        <v/>
      </c>
      <c r="L1325" s="37" t="str">
        <f>IF(G1325="","",IF(D1325-G1325&gt;=System_Config!$B$9,"✅ OK","⚠️ BREACH"))</f>
        <v/>
      </c>
      <c r="M1325" s="37" t="str">
        <f>IFERROR(IF(Agent07_Withdrawals!A130="","",YEAR(Agent07_Withdrawals!D130)),"")</f>
        <v/>
      </c>
    </row>
    <row r="1326" spans="1:13" ht="18" customHeight="1" x14ac:dyDescent="0.25">
      <c r="A1326" s="37" t="str">
        <f>IF(Agent07_Withdrawals!A131="","",Agent07_Withdrawals!A131)</f>
        <v/>
      </c>
      <c r="B1326" s="37" t="str">
        <f ca="1">IF(Agent07_Withdrawals!A131="","","WD"&amp;TEXT(1326-3,"0000")&amp;"-"&amp;TEXT(TODAY(),"YYYYMMDD"))</f>
        <v/>
      </c>
      <c r="C1326" s="37" t="str">
        <f>IF(Agent07_Withdrawals!A131="","",Agent07_Withdrawals!B131)</f>
        <v/>
      </c>
      <c r="D1326" s="40" t="str">
        <f>IF(Agent07_Withdrawals!A131="","",Agent07_Withdrawals!C131)</f>
        <v/>
      </c>
      <c r="E1326" s="38" t="str">
        <f>IF(Agent07_Withdrawals!A131="","",Agent07_Withdrawals!D131)</f>
        <v/>
      </c>
      <c r="F1326" s="37" t="str">
        <f>IF(Agent07_Withdrawals!A131="","",Agent07_Withdrawals!F131)</f>
        <v/>
      </c>
      <c r="G1326" s="39" t="str">
        <f>IF(Agent07_Withdrawals!A131="","",Agent07_Withdrawals!E131)</f>
        <v/>
      </c>
      <c r="H1326" s="39" t="str">
        <f>IF(Agent07_Withdrawals!A131="","",Agent07_Withdrawals!G131)</f>
        <v/>
      </c>
      <c r="I1326" s="37" t="str">
        <f>IF(Agent07_Withdrawals!A131="","",Agent07_Withdrawals!H131)</f>
        <v/>
      </c>
      <c r="J1326" s="37" t="str">
        <f>IF(Agent07_Withdrawals!A131="","",Agent07_Withdrawals!J131)</f>
        <v/>
      </c>
      <c r="K1326" s="37" t="str">
        <f>IF(Agent07_Withdrawals!A131="","",Agent07_Withdrawals!K131)</f>
        <v/>
      </c>
      <c r="L1326" s="37" t="str">
        <f>IF(G1326="","",IF(D1326-G1326&gt;=System_Config!$B$9,"✅ OK","⚠️ BREACH"))</f>
        <v/>
      </c>
      <c r="M1326" s="37" t="str">
        <f>IFERROR(IF(Agent07_Withdrawals!A131="","",YEAR(Agent07_Withdrawals!D131)),"")</f>
        <v/>
      </c>
    </row>
    <row r="1327" spans="1:13" ht="18" customHeight="1" x14ac:dyDescent="0.25">
      <c r="A1327" s="37" t="str">
        <f>IF(Agent07_Withdrawals!A132="","",Agent07_Withdrawals!A132)</f>
        <v/>
      </c>
      <c r="B1327" s="37" t="str">
        <f ca="1">IF(Agent07_Withdrawals!A132="","","WD"&amp;TEXT(1327-3,"0000")&amp;"-"&amp;TEXT(TODAY(),"YYYYMMDD"))</f>
        <v/>
      </c>
      <c r="C1327" s="37" t="str">
        <f>IF(Agent07_Withdrawals!A132="","",Agent07_Withdrawals!B132)</f>
        <v/>
      </c>
      <c r="D1327" s="40" t="str">
        <f>IF(Agent07_Withdrawals!A132="","",Agent07_Withdrawals!C132)</f>
        <v/>
      </c>
      <c r="E1327" s="38" t="str">
        <f>IF(Agent07_Withdrawals!A132="","",Agent07_Withdrawals!D132)</f>
        <v/>
      </c>
      <c r="F1327" s="37" t="str">
        <f>IF(Agent07_Withdrawals!A132="","",Agent07_Withdrawals!F132)</f>
        <v/>
      </c>
      <c r="G1327" s="39" t="str">
        <f>IF(Agent07_Withdrawals!A132="","",Agent07_Withdrawals!E132)</f>
        <v/>
      </c>
      <c r="H1327" s="39" t="str">
        <f>IF(Agent07_Withdrawals!A132="","",Agent07_Withdrawals!G132)</f>
        <v/>
      </c>
      <c r="I1327" s="37" t="str">
        <f>IF(Agent07_Withdrawals!A132="","",Agent07_Withdrawals!H132)</f>
        <v/>
      </c>
      <c r="J1327" s="37" t="str">
        <f>IF(Agent07_Withdrawals!A132="","",Agent07_Withdrawals!J132)</f>
        <v/>
      </c>
      <c r="K1327" s="37" t="str">
        <f>IF(Agent07_Withdrawals!A132="","",Agent07_Withdrawals!K132)</f>
        <v/>
      </c>
      <c r="L1327" s="37" t="str">
        <f>IF(G1327="","",IF(D1327-G1327&gt;=System_Config!$B$9,"✅ OK","⚠️ BREACH"))</f>
        <v/>
      </c>
      <c r="M1327" s="37" t="str">
        <f>IFERROR(IF(Agent07_Withdrawals!A132="","",YEAR(Agent07_Withdrawals!D132)),"")</f>
        <v/>
      </c>
    </row>
    <row r="1328" spans="1:13" ht="18" customHeight="1" x14ac:dyDescent="0.25">
      <c r="A1328" s="37" t="str">
        <f>IF(Agent07_Withdrawals!A133="","",Agent07_Withdrawals!A133)</f>
        <v/>
      </c>
      <c r="B1328" s="37" t="str">
        <f ca="1">IF(Agent07_Withdrawals!A133="","","WD"&amp;TEXT(1328-3,"0000")&amp;"-"&amp;TEXT(TODAY(),"YYYYMMDD"))</f>
        <v/>
      </c>
      <c r="C1328" s="37" t="str">
        <f>IF(Agent07_Withdrawals!A133="","",Agent07_Withdrawals!B133)</f>
        <v/>
      </c>
      <c r="D1328" s="40" t="str">
        <f>IF(Agent07_Withdrawals!A133="","",Agent07_Withdrawals!C133)</f>
        <v/>
      </c>
      <c r="E1328" s="38" t="str">
        <f>IF(Agent07_Withdrawals!A133="","",Agent07_Withdrawals!D133)</f>
        <v/>
      </c>
      <c r="F1328" s="37" t="str">
        <f>IF(Agent07_Withdrawals!A133="","",Agent07_Withdrawals!F133)</f>
        <v/>
      </c>
      <c r="G1328" s="39" t="str">
        <f>IF(Agent07_Withdrawals!A133="","",Agent07_Withdrawals!E133)</f>
        <v/>
      </c>
      <c r="H1328" s="39" t="str">
        <f>IF(Agent07_Withdrawals!A133="","",Agent07_Withdrawals!G133)</f>
        <v/>
      </c>
      <c r="I1328" s="37" t="str">
        <f>IF(Agent07_Withdrawals!A133="","",Agent07_Withdrawals!H133)</f>
        <v/>
      </c>
      <c r="J1328" s="37" t="str">
        <f>IF(Agent07_Withdrawals!A133="","",Agent07_Withdrawals!J133)</f>
        <v/>
      </c>
      <c r="K1328" s="37" t="str">
        <f>IF(Agent07_Withdrawals!A133="","",Agent07_Withdrawals!K133)</f>
        <v/>
      </c>
      <c r="L1328" s="37" t="str">
        <f>IF(G1328="","",IF(D1328-G1328&gt;=System_Config!$B$9,"✅ OK","⚠️ BREACH"))</f>
        <v/>
      </c>
      <c r="M1328" s="37" t="str">
        <f>IFERROR(IF(Agent07_Withdrawals!A133="","",YEAR(Agent07_Withdrawals!D133)),"")</f>
        <v/>
      </c>
    </row>
    <row r="1329" spans="1:13" ht="18" customHeight="1" x14ac:dyDescent="0.25">
      <c r="A1329" s="37" t="str">
        <f>IF(Agent07_Withdrawals!A134="","",Agent07_Withdrawals!A134)</f>
        <v/>
      </c>
      <c r="B1329" s="37" t="str">
        <f ca="1">IF(Agent07_Withdrawals!A134="","","WD"&amp;TEXT(1329-3,"0000")&amp;"-"&amp;TEXT(TODAY(),"YYYYMMDD"))</f>
        <v/>
      </c>
      <c r="C1329" s="37" t="str">
        <f>IF(Agent07_Withdrawals!A134="","",Agent07_Withdrawals!B134)</f>
        <v/>
      </c>
      <c r="D1329" s="40" t="str">
        <f>IF(Agent07_Withdrawals!A134="","",Agent07_Withdrawals!C134)</f>
        <v/>
      </c>
      <c r="E1329" s="38" t="str">
        <f>IF(Agent07_Withdrawals!A134="","",Agent07_Withdrawals!D134)</f>
        <v/>
      </c>
      <c r="F1329" s="37" t="str">
        <f>IF(Agent07_Withdrawals!A134="","",Agent07_Withdrawals!F134)</f>
        <v/>
      </c>
      <c r="G1329" s="39" t="str">
        <f>IF(Agent07_Withdrawals!A134="","",Agent07_Withdrawals!E134)</f>
        <v/>
      </c>
      <c r="H1329" s="39" t="str">
        <f>IF(Agent07_Withdrawals!A134="","",Agent07_Withdrawals!G134)</f>
        <v/>
      </c>
      <c r="I1329" s="37" t="str">
        <f>IF(Agent07_Withdrawals!A134="","",Agent07_Withdrawals!H134)</f>
        <v/>
      </c>
      <c r="J1329" s="37" t="str">
        <f>IF(Agent07_Withdrawals!A134="","",Agent07_Withdrawals!J134)</f>
        <v/>
      </c>
      <c r="K1329" s="37" t="str">
        <f>IF(Agent07_Withdrawals!A134="","",Agent07_Withdrawals!K134)</f>
        <v/>
      </c>
      <c r="L1329" s="37" t="str">
        <f>IF(G1329="","",IF(D1329-G1329&gt;=System_Config!$B$9,"✅ OK","⚠️ BREACH"))</f>
        <v/>
      </c>
      <c r="M1329" s="37" t="str">
        <f>IFERROR(IF(Agent07_Withdrawals!A134="","",YEAR(Agent07_Withdrawals!D134)),"")</f>
        <v/>
      </c>
    </row>
    <row r="1330" spans="1:13" ht="18" customHeight="1" x14ac:dyDescent="0.25">
      <c r="A1330" s="37" t="str">
        <f>IF(Agent07_Withdrawals!A135="","",Agent07_Withdrawals!A135)</f>
        <v/>
      </c>
      <c r="B1330" s="37" t="str">
        <f ca="1">IF(Agent07_Withdrawals!A135="","","WD"&amp;TEXT(1330-3,"0000")&amp;"-"&amp;TEXT(TODAY(),"YYYYMMDD"))</f>
        <v/>
      </c>
      <c r="C1330" s="37" t="str">
        <f>IF(Agent07_Withdrawals!A135="","",Agent07_Withdrawals!B135)</f>
        <v/>
      </c>
      <c r="D1330" s="40" t="str">
        <f>IF(Agent07_Withdrawals!A135="","",Agent07_Withdrawals!C135)</f>
        <v/>
      </c>
      <c r="E1330" s="38" t="str">
        <f>IF(Agent07_Withdrawals!A135="","",Agent07_Withdrawals!D135)</f>
        <v/>
      </c>
      <c r="F1330" s="37" t="str">
        <f>IF(Agent07_Withdrawals!A135="","",Agent07_Withdrawals!F135)</f>
        <v/>
      </c>
      <c r="G1330" s="39" t="str">
        <f>IF(Agent07_Withdrawals!A135="","",Agent07_Withdrawals!E135)</f>
        <v/>
      </c>
      <c r="H1330" s="39" t="str">
        <f>IF(Agent07_Withdrawals!A135="","",Agent07_Withdrawals!G135)</f>
        <v/>
      </c>
      <c r="I1330" s="37" t="str">
        <f>IF(Agent07_Withdrawals!A135="","",Agent07_Withdrawals!H135)</f>
        <v/>
      </c>
      <c r="J1330" s="37" t="str">
        <f>IF(Agent07_Withdrawals!A135="","",Agent07_Withdrawals!J135)</f>
        <v/>
      </c>
      <c r="K1330" s="37" t="str">
        <f>IF(Agent07_Withdrawals!A135="","",Agent07_Withdrawals!K135)</f>
        <v/>
      </c>
      <c r="L1330" s="37" t="str">
        <f>IF(G1330="","",IF(D1330-G1330&gt;=System_Config!$B$9,"✅ OK","⚠️ BREACH"))</f>
        <v/>
      </c>
      <c r="M1330" s="37" t="str">
        <f>IFERROR(IF(Agent07_Withdrawals!A135="","",YEAR(Agent07_Withdrawals!D135)),"")</f>
        <v/>
      </c>
    </row>
    <row r="1331" spans="1:13" ht="18" customHeight="1" x14ac:dyDescent="0.25">
      <c r="A1331" s="37" t="str">
        <f>IF(Agent07_Withdrawals!A136="","",Agent07_Withdrawals!A136)</f>
        <v/>
      </c>
      <c r="B1331" s="37" t="str">
        <f ca="1">IF(Agent07_Withdrawals!A136="","","WD"&amp;TEXT(1331-3,"0000")&amp;"-"&amp;TEXT(TODAY(),"YYYYMMDD"))</f>
        <v/>
      </c>
      <c r="C1331" s="37" t="str">
        <f>IF(Agent07_Withdrawals!A136="","",Agent07_Withdrawals!B136)</f>
        <v/>
      </c>
      <c r="D1331" s="40" t="str">
        <f>IF(Agent07_Withdrawals!A136="","",Agent07_Withdrawals!C136)</f>
        <v/>
      </c>
      <c r="E1331" s="38" t="str">
        <f>IF(Agent07_Withdrawals!A136="","",Agent07_Withdrawals!D136)</f>
        <v/>
      </c>
      <c r="F1331" s="37" t="str">
        <f>IF(Agent07_Withdrawals!A136="","",Agent07_Withdrawals!F136)</f>
        <v/>
      </c>
      <c r="G1331" s="39" t="str">
        <f>IF(Agent07_Withdrawals!A136="","",Agent07_Withdrawals!E136)</f>
        <v/>
      </c>
      <c r="H1331" s="39" t="str">
        <f>IF(Agent07_Withdrawals!A136="","",Agent07_Withdrawals!G136)</f>
        <v/>
      </c>
      <c r="I1331" s="37" t="str">
        <f>IF(Agent07_Withdrawals!A136="","",Agent07_Withdrawals!H136)</f>
        <v/>
      </c>
      <c r="J1331" s="37" t="str">
        <f>IF(Agent07_Withdrawals!A136="","",Agent07_Withdrawals!J136)</f>
        <v/>
      </c>
      <c r="K1331" s="37" t="str">
        <f>IF(Agent07_Withdrawals!A136="","",Agent07_Withdrawals!K136)</f>
        <v/>
      </c>
      <c r="L1331" s="37" t="str">
        <f>IF(G1331="","",IF(D1331-G1331&gt;=System_Config!$B$9,"✅ OK","⚠️ BREACH"))</f>
        <v/>
      </c>
      <c r="M1331" s="37" t="str">
        <f>IFERROR(IF(Agent07_Withdrawals!A136="","",YEAR(Agent07_Withdrawals!D136)),"")</f>
        <v/>
      </c>
    </row>
    <row r="1332" spans="1:13" ht="18" customHeight="1" x14ac:dyDescent="0.25">
      <c r="A1332" s="37" t="str">
        <f>IF(Agent07_Withdrawals!A137="","",Agent07_Withdrawals!A137)</f>
        <v/>
      </c>
      <c r="B1332" s="37" t="str">
        <f ca="1">IF(Agent07_Withdrawals!A137="","","WD"&amp;TEXT(1332-3,"0000")&amp;"-"&amp;TEXT(TODAY(),"YYYYMMDD"))</f>
        <v/>
      </c>
      <c r="C1332" s="37" t="str">
        <f>IF(Agent07_Withdrawals!A137="","",Agent07_Withdrawals!B137)</f>
        <v/>
      </c>
      <c r="D1332" s="40" t="str">
        <f>IF(Agent07_Withdrawals!A137="","",Agent07_Withdrawals!C137)</f>
        <v/>
      </c>
      <c r="E1332" s="38" t="str">
        <f>IF(Agent07_Withdrawals!A137="","",Agent07_Withdrawals!D137)</f>
        <v/>
      </c>
      <c r="F1332" s="37" t="str">
        <f>IF(Agent07_Withdrawals!A137="","",Agent07_Withdrawals!F137)</f>
        <v/>
      </c>
      <c r="G1332" s="39" t="str">
        <f>IF(Agent07_Withdrawals!A137="","",Agent07_Withdrawals!E137)</f>
        <v/>
      </c>
      <c r="H1332" s="39" t="str">
        <f>IF(Agent07_Withdrawals!A137="","",Agent07_Withdrawals!G137)</f>
        <v/>
      </c>
      <c r="I1332" s="37" t="str">
        <f>IF(Agent07_Withdrawals!A137="","",Agent07_Withdrawals!H137)</f>
        <v/>
      </c>
      <c r="J1332" s="37" t="str">
        <f>IF(Agent07_Withdrawals!A137="","",Agent07_Withdrawals!J137)</f>
        <v/>
      </c>
      <c r="K1332" s="37" t="str">
        <f>IF(Agent07_Withdrawals!A137="","",Agent07_Withdrawals!K137)</f>
        <v/>
      </c>
      <c r="L1332" s="37" t="str">
        <f>IF(G1332="","",IF(D1332-G1332&gt;=System_Config!$B$9,"✅ OK","⚠️ BREACH"))</f>
        <v/>
      </c>
      <c r="M1332" s="37" t="str">
        <f>IFERROR(IF(Agent07_Withdrawals!A137="","",YEAR(Agent07_Withdrawals!D137)),"")</f>
        <v/>
      </c>
    </row>
    <row r="1333" spans="1:13" ht="18" customHeight="1" x14ac:dyDescent="0.25">
      <c r="A1333" s="37" t="str">
        <f>IF(Agent07_Withdrawals!A138="","",Agent07_Withdrawals!A138)</f>
        <v/>
      </c>
      <c r="B1333" s="37" t="str">
        <f ca="1">IF(Agent07_Withdrawals!A138="","","WD"&amp;TEXT(1333-3,"0000")&amp;"-"&amp;TEXT(TODAY(),"YYYYMMDD"))</f>
        <v/>
      </c>
      <c r="C1333" s="37" t="str">
        <f>IF(Agent07_Withdrawals!A138="","",Agent07_Withdrawals!B138)</f>
        <v/>
      </c>
      <c r="D1333" s="40" t="str">
        <f>IF(Agent07_Withdrawals!A138="","",Agent07_Withdrawals!C138)</f>
        <v/>
      </c>
      <c r="E1333" s="38" t="str">
        <f>IF(Agent07_Withdrawals!A138="","",Agent07_Withdrawals!D138)</f>
        <v/>
      </c>
      <c r="F1333" s="37" t="str">
        <f>IF(Agent07_Withdrawals!A138="","",Agent07_Withdrawals!F138)</f>
        <v/>
      </c>
      <c r="G1333" s="39" t="str">
        <f>IF(Agent07_Withdrawals!A138="","",Agent07_Withdrawals!E138)</f>
        <v/>
      </c>
      <c r="H1333" s="39" t="str">
        <f>IF(Agent07_Withdrawals!A138="","",Agent07_Withdrawals!G138)</f>
        <v/>
      </c>
      <c r="I1333" s="37" t="str">
        <f>IF(Agent07_Withdrawals!A138="","",Agent07_Withdrawals!H138)</f>
        <v/>
      </c>
      <c r="J1333" s="37" t="str">
        <f>IF(Agent07_Withdrawals!A138="","",Agent07_Withdrawals!J138)</f>
        <v/>
      </c>
      <c r="K1333" s="37" t="str">
        <f>IF(Agent07_Withdrawals!A138="","",Agent07_Withdrawals!K138)</f>
        <v/>
      </c>
      <c r="L1333" s="37" t="str">
        <f>IF(G1333="","",IF(D1333-G1333&gt;=System_Config!$B$9,"✅ OK","⚠️ BREACH"))</f>
        <v/>
      </c>
      <c r="M1333" s="37" t="str">
        <f>IFERROR(IF(Agent07_Withdrawals!A138="","",YEAR(Agent07_Withdrawals!D138)),"")</f>
        <v/>
      </c>
    </row>
    <row r="1334" spans="1:13" ht="18" customHeight="1" x14ac:dyDescent="0.25">
      <c r="A1334" s="37" t="str">
        <f>IF(Agent07_Withdrawals!A139="","",Agent07_Withdrawals!A139)</f>
        <v/>
      </c>
      <c r="B1334" s="37" t="str">
        <f ca="1">IF(Agent07_Withdrawals!A139="","","WD"&amp;TEXT(1334-3,"0000")&amp;"-"&amp;TEXT(TODAY(),"YYYYMMDD"))</f>
        <v/>
      </c>
      <c r="C1334" s="37" t="str">
        <f>IF(Agent07_Withdrawals!A139="","",Agent07_Withdrawals!B139)</f>
        <v/>
      </c>
      <c r="D1334" s="40" t="str">
        <f>IF(Agent07_Withdrawals!A139="","",Agent07_Withdrawals!C139)</f>
        <v/>
      </c>
      <c r="E1334" s="38" t="str">
        <f>IF(Agent07_Withdrawals!A139="","",Agent07_Withdrawals!D139)</f>
        <v/>
      </c>
      <c r="F1334" s="37" t="str">
        <f>IF(Agent07_Withdrawals!A139="","",Agent07_Withdrawals!F139)</f>
        <v/>
      </c>
      <c r="G1334" s="39" t="str">
        <f>IF(Agent07_Withdrawals!A139="","",Agent07_Withdrawals!E139)</f>
        <v/>
      </c>
      <c r="H1334" s="39" t="str">
        <f>IF(Agent07_Withdrawals!A139="","",Agent07_Withdrawals!G139)</f>
        <v/>
      </c>
      <c r="I1334" s="37" t="str">
        <f>IF(Agent07_Withdrawals!A139="","",Agent07_Withdrawals!H139)</f>
        <v/>
      </c>
      <c r="J1334" s="37" t="str">
        <f>IF(Agent07_Withdrawals!A139="","",Agent07_Withdrawals!J139)</f>
        <v/>
      </c>
      <c r="K1334" s="37" t="str">
        <f>IF(Agent07_Withdrawals!A139="","",Agent07_Withdrawals!K139)</f>
        <v/>
      </c>
      <c r="L1334" s="37" t="str">
        <f>IF(G1334="","",IF(D1334-G1334&gt;=System_Config!$B$9,"✅ OK","⚠️ BREACH"))</f>
        <v/>
      </c>
      <c r="M1334" s="37" t="str">
        <f>IFERROR(IF(Agent07_Withdrawals!A139="","",YEAR(Agent07_Withdrawals!D139)),"")</f>
        <v/>
      </c>
    </row>
    <row r="1335" spans="1:13" ht="18" customHeight="1" x14ac:dyDescent="0.25">
      <c r="A1335" s="37" t="str">
        <f>IF(Agent07_Withdrawals!A140="","",Agent07_Withdrawals!A140)</f>
        <v/>
      </c>
      <c r="B1335" s="37" t="str">
        <f ca="1">IF(Agent07_Withdrawals!A140="","","WD"&amp;TEXT(1335-3,"0000")&amp;"-"&amp;TEXT(TODAY(),"YYYYMMDD"))</f>
        <v/>
      </c>
      <c r="C1335" s="37" t="str">
        <f>IF(Agent07_Withdrawals!A140="","",Agent07_Withdrawals!B140)</f>
        <v/>
      </c>
      <c r="D1335" s="40" t="str">
        <f>IF(Agent07_Withdrawals!A140="","",Agent07_Withdrawals!C140)</f>
        <v/>
      </c>
      <c r="E1335" s="38" t="str">
        <f>IF(Agent07_Withdrawals!A140="","",Agent07_Withdrawals!D140)</f>
        <v/>
      </c>
      <c r="F1335" s="37" t="str">
        <f>IF(Agent07_Withdrawals!A140="","",Agent07_Withdrawals!F140)</f>
        <v/>
      </c>
      <c r="G1335" s="39" t="str">
        <f>IF(Agent07_Withdrawals!A140="","",Agent07_Withdrawals!E140)</f>
        <v/>
      </c>
      <c r="H1335" s="39" t="str">
        <f>IF(Agent07_Withdrawals!A140="","",Agent07_Withdrawals!G140)</f>
        <v/>
      </c>
      <c r="I1335" s="37" t="str">
        <f>IF(Agent07_Withdrawals!A140="","",Agent07_Withdrawals!H140)</f>
        <v/>
      </c>
      <c r="J1335" s="37" t="str">
        <f>IF(Agent07_Withdrawals!A140="","",Agent07_Withdrawals!J140)</f>
        <v/>
      </c>
      <c r="K1335" s="37" t="str">
        <f>IF(Agent07_Withdrawals!A140="","",Agent07_Withdrawals!K140)</f>
        <v/>
      </c>
      <c r="L1335" s="37" t="str">
        <f>IF(G1335="","",IF(D1335-G1335&gt;=System_Config!$B$9,"✅ OK","⚠️ BREACH"))</f>
        <v/>
      </c>
      <c r="M1335" s="37" t="str">
        <f>IFERROR(IF(Agent07_Withdrawals!A140="","",YEAR(Agent07_Withdrawals!D140)),"")</f>
        <v/>
      </c>
    </row>
    <row r="1336" spans="1:13" ht="18" customHeight="1" x14ac:dyDescent="0.25">
      <c r="A1336" s="37" t="str">
        <f>IF(Agent07_Withdrawals!A141="","",Agent07_Withdrawals!A141)</f>
        <v/>
      </c>
      <c r="B1336" s="37" t="str">
        <f ca="1">IF(Agent07_Withdrawals!A141="","","WD"&amp;TEXT(1336-3,"0000")&amp;"-"&amp;TEXT(TODAY(),"YYYYMMDD"))</f>
        <v/>
      </c>
      <c r="C1336" s="37" t="str">
        <f>IF(Agent07_Withdrawals!A141="","",Agent07_Withdrawals!B141)</f>
        <v/>
      </c>
      <c r="D1336" s="40" t="str">
        <f>IF(Agent07_Withdrawals!A141="","",Agent07_Withdrawals!C141)</f>
        <v/>
      </c>
      <c r="E1336" s="38" t="str">
        <f>IF(Agent07_Withdrawals!A141="","",Agent07_Withdrawals!D141)</f>
        <v/>
      </c>
      <c r="F1336" s="37" t="str">
        <f>IF(Agent07_Withdrawals!A141="","",Agent07_Withdrawals!F141)</f>
        <v/>
      </c>
      <c r="G1336" s="39" t="str">
        <f>IF(Agent07_Withdrawals!A141="","",Agent07_Withdrawals!E141)</f>
        <v/>
      </c>
      <c r="H1336" s="39" t="str">
        <f>IF(Agent07_Withdrawals!A141="","",Agent07_Withdrawals!G141)</f>
        <v/>
      </c>
      <c r="I1336" s="37" t="str">
        <f>IF(Agent07_Withdrawals!A141="","",Agent07_Withdrawals!H141)</f>
        <v/>
      </c>
      <c r="J1336" s="37" t="str">
        <f>IF(Agent07_Withdrawals!A141="","",Agent07_Withdrawals!J141)</f>
        <v/>
      </c>
      <c r="K1336" s="37" t="str">
        <f>IF(Agent07_Withdrawals!A141="","",Agent07_Withdrawals!K141)</f>
        <v/>
      </c>
      <c r="L1336" s="37" t="str">
        <f>IF(G1336="","",IF(D1336-G1336&gt;=System_Config!$B$9,"✅ OK","⚠️ BREACH"))</f>
        <v/>
      </c>
      <c r="M1336" s="37" t="str">
        <f>IFERROR(IF(Agent07_Withdrawals!A141="","",YEAR(Agent07_Withdrawals!D141)),"")</f>
        <v/>
      </c>
    </row>
    <row r="1337" spans="1:13" ht="18" customHeight="1" x14ac:dyDescent="0.25">
      <c r="A1337" s="37" t="str">
        <f>IF(Agent07_Withdrawals!A142="","",Agent07_Withdrawals!A142)</f>
        <v/>
      </c>
      <c r="B1337" s="37" t="str">
        <f ca="1">IF(Agent07_Withdrawals!A142="","","WD"&amp;TEXT(1337-3,"0000")&amp;"-"&amp;TEXT(TODAY(),"YYYYMMDD"))</f>
        <v/>
      </c>
      <c r="C1337" s="37" t="str">
        <f>IF(Agent07_Withdrawals!A142="","",Agent07_Withdrawals!B142)</f>
        <v/>
      </c>
      <c r="D1337" s="40" t="str">
        <f>IF(Agent07_Withdrawals!A142="","",Agent07_Withdrawals!C142)</f>
        <v/>
      </c>
      <c r="E1337" s="38" t="str">
        <f>IF(Agent07_Withdrawals!A142="","",Agent07_Withdrawals!D142)</f>
        <v/>
      </c>
      <c r="F1337" s="37" t="str">
        <f>IF(Agent07_Withdrawals!A142="","",Agent07_Withdrawals!F142)</f>
        <v/>
      </c>
      <c r="G1337" s="39" t="str">
        <f>IF(Agent07_Withdrawals!A142="","",Agent07_Withdrawals!E142)</f>
        <v/>
      </c>
      <c r="H1337" s="39" t="str">
        <f>IF(Agent07_Withdrawals!A142="","",Agent07_Withdrawals!G142)</f>
        <v/>
      </c>
      <c r="I1337" s="37" t="str">
        <f>IF(Agent07_Withdrawals!A142="","",Agent07_Withdrawals!H142)</f>
        <v/>
      </c>
      <c r="J1337" s="37" t="str">
        <f>IF(Agent07_Withdrawals!A142="","",Agent07_Withdrawals!J142)</f>
        <v/>
      </c>
      <c r="K1337" s="37" t="str">
        <f>IF(Agent07_Withdrawals!A142="","",Agent07_Withdrawals!K142)</f>
        <v/>
      </c>
      <c r="L1337" s="37" t="str">
        <f>IF(G1337="","",IF(D1337-G1337&gt;=System_Config!$B$9,"✅ OK","⚠️ BREACH"))</f>
        <v/>
      </c>
      <c r="M1337" s="37" t="str">
        <f>IFERROR(IF(Agent07_Withdrawals!A142="","",YEAR(Agent07_Withdrawals!D142)),"")</f>
        <v/>
      </c>
    </row>
    <row r="1338" spans="1:13" ht="18" customHeight="1" x14ac:dyDescent="0.25">
      <c r="A1338" s="37" t="str">
        <f>IF(Agent07_Withdrawals!A143="","",Agent07_Withdrawals!A143)</f>
        <v/>
      </c>
      <c r="B1338" s="37" t="str">
        <f ca="1">IF(Agent07_Withdrawals!A143="","","WD"&amp;TEXT(1338-3,"0000")&amp;"-"&amp;TEXT(TODAY(),"YYYYMMDD"))</f>
        <v/>
      </c>
      <c r="C1338" s="37" t="str">
        <f>IF(Agent07_Withdrawals!A143="","",Agent07_Withdrawals!B143)</f>
        <v/>
      </c>
      <c r="D1338" s="40" t="str">
        <f>IF(Agent07_Withdrawals!A143="","",Agent07_Withdrawals!C143)</f>
        <v/>
      </c>
      <c r="E1338" s="38" t="str">
        <f>IF(Agent07_Withdrawals!A143="","",Agent07_Withdrawals!D143)</f>
        <v/>
      </c>
      <c r="F1338" s="37" t="str">
        <f>IF(Agent07_Withdrawals!A143="","",Agent07_Withdrawals!F143)</f>
        <v/>
      </c>
      <c r="G1338" s="39" t="str">
        <f>IF(Agent07_Withdrawals!A143="","",Agent07_Withdrawals!E143)</f>
        <v/>
      </c>
      <c r="H1338" s="39" t="str">
        <f>IF(Agent07_Withdrawals!A143="","",Agent07_Withdrawals!G143)</f>
        <v/>
      </c>
      <c r="I1338" s="37" t="str">
        <f>IF(Agent07_Withdrawals!A143="","",Agent07_Withdrawals!H143)</f>
        <v/>
      </c>
      <c r="J1338" s="37" t="str">
        <f>IF(Agent07_Withdrawals!A143="","",Agent07_Withdrawals!J143)</f>
        <v/>
      </c>
      <c r="K1338" s="37" t="str">
        <f>IF(Agent07_Withdrawals!A143="","",Agent07_Withdrawals!K143)</f>
        <v/>
      </c>
      <c r="L1338" s="37" t="str">
        <f>IF(G1338="","",IF(D1338-G1338&gt;=System_Config!$B$9,"✅ OK","⚠️ BREACH"))</f>
        <v/>
      </c>
      <c r="M1338" s="37" t="str">
        <f>IFERROR(IF(Agent07_Withdrawals!A143="","",YEAR(Agent07_Withdrawals!D143)),"")</f>
        <v/>
      </c>
    </row>
    <row r="1339" spans="1:13" ht="18" customHeight="1" x14ac:dyDescent="0.25">
      <c r="A1339" s="37" t="str">
        <f>IF(Agent07_Withdrawals!A144="","",Agent07_Withdrawals!A144)</f>
        <v/>
      </c>
      <c r="B1339" s="37" t="str">
        <f ca="1">IF(Agent07_Withdrawals!A144="","","WD"&amp;TEXT(1339-3,"0000")&amp;"-"&amp;TEXT(TODAY(),"YYYYMMDD"))</f>
        <v/>
      </c>
      <c r="C1339" s="37" t="str">
        <f>IF(Agent07_Withdrawals!A144="","",Agent07_Withdrawals!B144)</f>
        <v/>
      </c>
      <c r="D1339" s="40" t="str">
        <f>IF(Agent07_Withdrawals!A144="","",Agent07_Withdrawals!C144)</f>
        <v/>
      </c>
      <c r="E1339" s="38" t="str">
        <f>IF(Agent07_Withdrawals!A144="","",Agent07_Withdrawals!D144)</f>
        <v/>
      </c>
      <c r="F1339" s="37" t="str">
        <f>IF(Agent07_Withdrawals!A144="","",Agent07_Withdrawals!F144)</f>
        <v/>
      </c>
      <c r="G1339" s="39" t="str">
        <f>IF(Agent07_Withdrawals!A144="","",Agent07_Withdrawals!E144)</f>
        <v/>
      </c>
      <c r="H1339" s="39" t="str">
        <f>IF(Agent07_Withdrawals!A144="","",Agent07_Withdrawals!G144)</f>
        <v/>
      </c>
      <c r="I1339" s="37" t="str">
        <f>IF(Agent07_Withdrawals!A144="","",Agent07_Withdrawals!H144)</f>
        <v/>
      </c>
      <c r="J1339" s="37" t="str">
        <f>IF(Agent07_Withdrawals!A144="","",Agent07_Withdrawals!J144)</f>
        <v/>
      </c>
      <c r="K1339" s="37" t="str">
        <f>IF(Agent07_Withdrawals!A144="","",Agent07_Withdrawals!K144)</f>
        <v/>
      </c>
      <c r="L1339" s="37" t="str">
        <f>IF(G1339="","",IF(D1339-G1339&gt;=System_Config!$B$9,"✅ OK","⚠️ BREACH"))</f>
        <v/>
      </c>
      <c r="M1339" s="37" t="str">
        <f>IFERROR(IF(Agent07_Withdrawals!A144="","",YEAR(Agent07_Withdrawals!D144)),"")</f>
        <v/>
      </c>
    </row>
    <row r="1340" spans="1:13" ht="18" customHeight="1" x14ac:dyDescent="0.25">
      <c r="A1340" s="37" t="str">
        <f>IF(Agent07_Withdrawals!A145="","",Agent07_Withdrawals!A145)</f>
        <v/>
      </c>
      <c r="B1340" s="37" t="str">
        <f ca="1">IF(Agent07_Withdrawals!A145="","","WD"&amp;TEXT(1340-3,"0000")&amp;"-"&amp;TEXT(TODAY(),"YYYYMMDD"))</f>
        <v/>
      </c>
      <c r="C1340" s="37" t="str">
        <f>IF(Agent07_Withdrawals!A145="","",Agent07_Withdrawals!B145)</f>
        <v/>
      </c>
      <c r="D1340" s="40" t="str">
        <f>IF(Agent07_Withdrawals!A145="","",Agent07_Withdrawals!C145)</f>
        <v/>
      </c>
      <c r="E1340" s="38" t="str">
        <f>IF(Agent07_Withdrawals!A145="","",Agent07_Withdrawals!D145)</f>
        <v/>
      </c>
      <c r="F1340" s="37" t="str">
        <f>IF(Agent07_Withdrawals!A145="","",Agent07_Withdrawals!F145)</f>
        <v/>
      </c>
      <c r="G1340" s="39" t="str">
        <f>IF(Agent07_Withdrawals!A145="","",Agent07_Withdrawals!E145)</f>
        <v/>
      </c>
      <c r="H1340" s="39" t="str">
        <f>IF(Agent07_Withdrawals!A145="","",Agent07_Withdrawals!G145)</f>
        <v/>
      </c>
      <c r="I1340" s="37" t="str">
        <f>IF(Agent07_Withdrawals!A145="","",Agent07_Withdrawals!H145)</f>
        <v/>
      </c>
      <c r="J1340" s="37" t="str">
        <f>IF(Agent07_Withdrawals!A145="","",Agent07_Withdrawals!J145)</f>
        <v/>
      </c>
      <c r="K1340" s="37" t="str">
        <f>IF(Agent07_Withdrawals!A145="","",Agent07_Withdrawals!K145)</f>
        <v/>
      </c>
      <c r="L1340" s="37" t="str">
        <f>IF(G1340="","",IF(D1340-G1340&gt;=System_Config!$B$9,"✅ OK","⚠️ BREACH"))</f>
        <v/>
      </c>
      <c r="M1340" s="37" t="str">
        <f>IFERROR(IF(Agent07_Withdrawals!A145="","",YEAR(Agent07_Withdrawals!D145)),"")</f>
        <v/>
      </c>
    </row>
    <row r="1341" spans="1:13" ht="18" customHeight="1" x14ac:dyDescent="0.25">
      <c r="A1341" s="37" t="str">
        <f>IF(Agent07_Withdrawals!A146="","",Agent07_Withdrawals!A146)</f>
        <v/>
      </c>
      <c r="B1341" s="37" t="str">
        <f ca="1">IF(Agent07_Withdrawals!A146="","","WD"&amp;TEXT(1341-3,"0000")&amp;"-"&amp;TEXT(TODAY(),"YYYYMMDD"))</f>
        <v/>
      </c>
      <c r="C1341" s="37" t="str">
        <f>IF(Agent07_Withdrawals!A146="","",Agent07_Withdrawals!B146)</f>
        <v/>
      </c>
      <c r="D1341" s="40" t="str">
        <f>IF(Agent07_Withdrawals!A146="","",Agent07_Withdrawals!C146)</f>
        <v/>
      </c>
      <c r="E1341" s="38" t="str">
        <f>IF(Agent07_Withdrawals!A146="","",Agent07_Withdrawals!D146)</f>
        <v/>
      </c>
      <c r="F1341" s="37" t="str">
        <f>IF(Agent07_Withdrawals!A146="","",Agent07_Withdrawals!F146)</f>
        <v/>
      </c>
      <c r="G1341" s="39" t="str">
        <f>IF(Agent07_Withdrawals!A146="","",Agent07_Withdrawals!E146)</f>
        <v/>
      </c>
      <c r="H1341" s="39" t="str">
        <f>IF(Agent07_Withdrawals!A146="","",Agent07_Withdrawals!G146)</f>
        <v/>
      </c>
      <c r="I1341" s="37" t="str">
        <f>IF(Agent07_Withdrawals!A146="","",Agent07_Withdrawals!H146)</f>
        <v/>
      </c>
      <c r="J1341" s="37" t="str">
        <f>IF(Agent07_Withdrawals!A146="","",Agent07_Withdrawals!J146)</f>
        <v/>
      </c>
      <c r="K1341" s="37" t="str">
        <f>IF(Agent07_Withdrawals!A146="","",Agent07_Withdrawals!K146)</f>
        <v/>
      </c>
      <c r="L1341" s="37" t="str">
        <f>IF(G1341="","",IF(D1341-G1341&gt;=System_Config!$B$9,"✅ OK","⚠️ BREACH"))</f>
        <v/>
      </c>
      <c r="M1341" s="37" t="str">
        <f>IFERROR(IF(Agent07_Withdrawals!A146="","",YEAR(Agent07_Withdrawals!D146)),"")</f>
        <v/>
      </c>
    </row>
    <row r="1342" spans="1:13" ht="18" customHeight="1" x14ac:dyDescent="0.25">
      <c r="A1342" s="37" t="str">
        <f>IF(Agent07_Withdrawals!A147="","",Agent07_Withdrawals!A147)</f>
        <v/>
      </c>
      <c r="B1342" s="37" t="str">
        <f ca="1">IF(Agent07_Withdrawals!A147="","","WD"&amp;TEXT(1342-3,"0000")&amp;"-"&amp;TEXT(TODAY(),"YYYYMMDD"))</f>
        <v/>
      </c>
      <c r="C1342" s="37" t="str">
        <f>IF(Agent07_Withdrawals!A147="","",Agent07_Withdrawals!B147)</f>
        <v/>
      </c>
      <c r="D1342" s="40" t="str">
        <f>IF(Agent07_Withdrawals!A147="","",Agent07_Withdrawals!C147)</f>
        <v/>
      </c>
      <c r="E1342" s="38" t="str">
        <f>IF(Agent07_Withdrawals!A147="","",Agent07_Withdrawals!D147)</f>
        <v/>
      </c>
      <c r="F1342" s="37" t="str">
        <f>IF(Agent07_Withdrawals!A147="","",Agent07_Withdrawals!F147)</f>
        <v/>
      </c>
      <c r="G1342" s="39" t="str">
        <f>IF(Agent07_Withdrawals!A147="","",Agent07_Withdrawals!E147)</f>
        <v/>
      </c>
      <c r="H1342" s="39" t="str">
        <f>IF(Agent07_Withdrawals!A147="","",Agent07_Withdrawals!G147)</f>
        <v/>
      </c>
      <c r="I1342" s="37" t="str">
        <f>IF(Agent07_Withdrawals!A147="","",Agent07_Withdrawals!H147)</f>
        <v/>
      </c>
      <c r="J1342" s="37" t="str">
        <f>IF(Agent07_Withdrawals!A147="","",Agent07_Withdrawals!J147)</f>
        <v/>
      </c>
      <c r="K1342" s="37" t="str">
        <f>IF(Agent07_Withdrawals!A147="","",Agent07_Withdrawals!K147)</f>
        <v/>
      </c>
      <c r="L1342" s="37" t="str">
        <f>IF(G1342="","",IF(D1342-G1342&gt;=System_Config!$B$9,"✅ OK","⚠️ BREACH"))</f>
        <v/>
      </c>
      <c r="M1342" s="37" t="str">
        <f>IFERROR(IF(Agent07_Withdrawals!A147="","",YEAR(Agent07_Withdrawals!D147)),"")</f>
        <v/>
      </c>
    </row>
    <row r="1343" spans="1:13" ht="18" customHeight="1" x14ac:dyDescent="0.25">
      <c r="A1343" s="37" t="str">
        <f>IF(Agent07_Withdrawals!A148="","",Agent07_Withdrawals!A148)</f>
        <v/>
      </c>
      <c r="B1343" s="37" t="str">
        <f ca="1">IF(Agent07_Withdrawals!A148="","","WD"&amp;TEXT(1343-3,"0000")&amp;"-"&amp;TEXT(TODAY(),"YYYYMMDD"))</f>
        <v/>
      </c>
      <c r="C1343" s="37" t="str">
        <f>IF(Agent07_Withdrawals!A148="","",Agent07_Withdrawals!B148)</f>
        <v/>
      </c>
      <c r="D1343" s="40" t="str">
        <f>IF(Agent07_Withdrawals!A148="","",Agent07_Withdrawals!C148)</f>
        <v/>
      </c>
      <c r="E1343" s="38" t="str">
        <f>IF(Agent07_Withdrawals!A148="","",Agent07_Withdrawals!D148)</f>
        <v/>
      </c>
      <c r="F1343" s="37" t="str">
        <f>IF(Agent07_Withdrawals!A148="","",Agent07_Withdrawals!F148)</f>
        <v/>
      </c>
      <c r="G1343" s="39" t="str">
        <f>IF(Agent07_Withdrawals!A148="","",Agent07_Withdrawals!E148)</f>
        <v/>
      </c>
      <c r="H1343" s="39" t="str">
        <f>IF(Agent07_Withdrawals!A148="","",Agent07_Withdrawals!G148)</f>
        <v/>
      </c>
      <c r="I1343" s="37" t="str">
        <f>IF(Agent07_Withdrawals!A148="","",Agent07_Withdrawals!H148)</f>
        <v/>
      </c>
      <c r="J1343" s="37" t="str">
        <f>IF(Agent07_Withdrawals!A148="","",Agent07_Withdrawals!J148)</f>
        <v/>
      </c>
      <c r="K1343" s="37" t="str">
        <f>IF(Agent07_Withdrawals!A148="","",Agent07_Withdrawals!K148)</f>
        <v/>
      </c>
      <c r="L1343" s="37" t="str">
        <f>IF(G1343="","",IF(D1343-G1343&gt;=System_Config!$B$9,"✅ OK","⚠️ BREACH"))</f>
        <v/>
      </c>
      <c r="M1343" s="37" t="str">
        <f>IFERROR(IF(Agent07_Withdrawals!A148="","",YEAR(Agent07_Withdrawals!D148)),"")</f>
        <v/>
      </c>
    </row>
    <row r="1344" spans="1:13" ht="18" customHeight="1" x14ac:dyDescent="0.25">
      <c r="A1344" s="37" t="str">
        <f>IF(Agent07_Withdrawals!A149="","",Agent07_Withdrawals!A149)</f>
        <v/>
      </c>
      <c r="B1344" s="37" t="str">
        <f ca="1">IF(Agent07_Withdrawals!A149="","","WD"&amp;TEXT(1344-3,"0000")&amp;"-"&amp;TEXT(TODAY(),"YYYYMMDD"))</f>
        <v/>
      </c>
      <c r="C1344" s="37" t="str">
        <f>IF(Agent07_Withdrawals!A149="","",Agent07_Withdrawals!B149)</f>
        <v/>
      </c>
      <c r="D1344" s="40" t="str">
        <f>IF(Agent07_Withdrawals!A149="","",Agent07_Withdrawals!C149)</f>
        <v/>
      </c>
      <c r="E1344" s="38" t="str">
        <f>IF(Agent07_Withdrawals!A149="","",Agent07_Withdrawals!D149)</f>
        <v/>
      </c>
      <c r="F1344" s="37" t="str">
        <f>IF(Agent07_Withdrawals!A149="","",Agent07_Withdrawals!F149)</f>
        <v/>
      </c>
      <c r="G1344" s="39" t="str">
        <f>IF(Agent07_Withdrawals!A149="","",Agent07_Withdrawals!E149)</f>
        <v/>
      </c>
      <c r="H1344" s="39" t="str">
        <f>IF(Agent07_Withdrawals!A149="","",Agent07_Withdrawals!G149)</f>
        <v/>
      </c>
      <c r="I1344" s="37" t="str">
        <f>IF(Agent07_Withdrawals!A149="","",Agent07_Withdrawals!H149)</f>
        <v/>
      </c>
      <c r="J1344" s="37" t="str">
        <f>IF(Agent07_Withdrawals!A149="","",Agent07_Withdrawals!J149)</f>
        <v/>
      </c>
      <c r="K1344" s="37" t="str">
        <f>IF(Agent07_Withdrawals!A149="","",Agent07_Withdrawals!K149)</f>
        <v/>
      </c>
      <c r="L1344" s="37" t="str">
        <f>IF(G1344="","",IF(D1344-G1344&gt;=System_Config!$B$9,"✅ OK","⚠️ BREACH"))</f>
        <v/>
      </c>
      <c r="M1344" s="37" t="str">
        <f>IFERROR(IF(Agent07_Withdrawals!A149="","",YEAR(Agent07_Withdrawals!D149)),"")</f>
        <v/>
      </c>
    </row>
    <row r="1345" spans="1:13" ht="18" customHeight="1" x14ac:dyDescent="0.25">
      <c r="A1345" s="37" t="str">
        <f>IF(Agent07_Withdrawals!A150="","",Agent07_Withdrawals!A150)</f>
        <v/>
      </c>
      <c r="B1345" s="37" t="str">
        <f ca="1">IF(Agent07_Withdrawals!A150="","","WD"&amp;TEXT(1345-3,"0000")&amp;"-"&amp;TEXT(TODAY(),"YYYYMMDD"))</f>
        <v/>
      </c>
      <c r="C1345" s="37" t="str">
        <f>IF(Agent07_Withdrawals!A150="","",Agent07_Withdrawals!B150)</f>
        <v/>
      </c>
      <c r="D1345" s="40" t="str">
        <f>IF(Agent07_Withdrawals!A150="","",Agent07_Withdrawals!C150)</f>
        <v/>
      </c>
      <c r="E1345" s="38" t="str">
        <f>IF(Agent07_Withdrawals!A150="","",Agent07_Withdrawals!D150)</f>
        <v/>
      </c>
      <c r="F1345" s="37" t="str">
        <f>IF(Agent07_Withdrawals!A150="","",Agent07_Withdrawals!F150)</f>
        <v/>
      </c>
      <c r="G1345" s="39" t="str">
        <f>IF(Agent07_Withdrawals!A150="","",Agent07_Withdrawals!E150)</f>
        <v/>
      </c>
      <c r="H1345" s="39" t="str">
        <f>IF(Agent07_Withdrawals!A150="","",Agent07_Withdrawals!G150)</f>
        <v/>
      </c>
      <c r="I1345" s="37" t="str">
        <f>IF(Agent07_Withdrawals!A150="","",Agent07_Withdrawals!H150)</f>
        <v/>
      </c>
      <c r="J1345" s="37" t="str">
        <f>IF(Agent07_Withdrawals!A150="","",Agent07_Withdrawals!J150)</f>
        <v/>
      </c>
      <c r="K1345" s="37" t="str">
        <f>IF(Agent07_Withdrawals!A150="","",Agent07_Withdrawals!K150)</f>
        <v/>
      </c>
      <c r="L1345" s="37" t="str">
        <f>IF(G1345="","",IF(D1345-G1345&gt;=System_Config!$B$9,"✅ OK","⚠️ BREACH"))</f>
        <v/>
      </c>
      <c r="M1345" s="37" t="str">
        <f>IFERROR(IF(Agent07_Withdrawals!A150="","",YEAR(Agent07_Withdrawals!D150)),"")</f>
        <v/>
      </c>
    </row>
    <row r="1346" spans="1:13" ht="18" customHeight="1" x14ac:dyDescent="0.25">
      <c r="A1346" s="37" t="str">
        <f>IF(Agent07_Withdrawals!A151="","",Agent07_Withdrawals!A151)</f>
        <v/>
      </c>
      <c r="B1346" s="37" t="str">
        <f ca="1">IF(Agent07_Withdrawals!A151="","","WD"&amp;TEXT(1346-3,"0000")&amp;"-"&amp;TEXT(TODAY(),"YYYYMMDD"))</f>
        <v/>
      </c>
      <c r="C1346" s="37" t="str">
        <f>IF(Agent07_Withdrawals!A151="","",Agent07_Withdrawals!B151)</f>
        <v/>
      </c>
      <c r="D1346" s="40" t="str">
        <f>IF(Agent07_Withdrawals!A151="","",Agent07_Withdrawals!C151)</f>
        <v/>
      </c>
      <c r="E1346" s="38" t="str">
        <f>IF(Agent07_Withdrawals!A151="","",Agent07_Withdrawals!D151)</f>
        <v/>
      </c>
      <c r="F1346" s="37" t="str">
        <f>IF(Agent07_Withdrawals!A151="","",Agent07_Withdrawals!F151)</f>
        <v/>
      </c>
      <c r="G1346" s="39" t="str">
        <f>IF(Agent07_Withdrawals!A151="","",Agent07_Withdrawals!E151)</f>
        <v/>
      </c>
      <c r="H1346" s="39" t="str">
        <f>IF(Agent07_Withdrawals!A151="","",Agent07_Withdrawals!G151)</f>
        <v/>
      </c>
      <c r="I1346" s="37" t="str">
        <f>IF(Agent07_Withdrawals!A151="","",Agent07_Withdrawals!H151)</f>
        <v/>
      </c>
      <c r="J1346" s="37" t="str">
        <f>IF(Agent07_Withdrawals!A151="","",Agent07_Withdrawals!J151)</f>
        <v/>
      </c>
      <c r="K1346" s="37" t="str">
        <f>IF(Agent07_Withdrawals!A151="","",Agent07_Withdrawals!K151)</f>
        <v/>
      </c>
      <c r="L1346" s="37" t="str">
        <f>IF(G1346="","",IF(D1346-G1346&gt;=System_Config!$B$9,"✅ OK","⚠️ BREACH"))</f>
        <v/>
      </c>
      <c r="M1346" s="37" t="str">
        <f>IFERROR(IF(Agent07_Withdrawals!A151="","",YEAR(Agent07_Withdrawals!D151)),"")</f>
        <v/>
      </c>
    </row>
    <row r="1347" spans="1:13" ht="18" customHeight="1" x14ac:dyDescent="0.25">
      <c r="A1347" s="37" t="str">
        <f>IF(Agent07_Withdrawals!A152="","",Agent07_Withdrawals!A152)</f>
        <v/>
      </c>
      <c r="B1347" s="37" t="str">
        <f ca="1">IF(Agent07_Withdrawals!A152="","","WD"&amp;TEXT(1347-3,"0000")&amp;"-"&amp;TEXT(TODAY(),"YYYYMMDD"))</f>
        <v/>
      </c>
      <c r="C1347" s="37" t="str">
        <f>IF(Agent07_Withdrawals!A152="","",Agent07_Withdrawals!B152)</f>
        <v/>
      </c>
      <c r="D1347" s="40" t="str">
        <f>IF(Agent07_Withdrawals!A152="","",Agent07_Withdrawals!C152)</f>
        <v/>
      </c>
      <c r="E1347" s="38" t="str">
        <f>IF(Agent07_Withdrawals!A152="","",Agent07_Withdrawals!D152)</f>
        <v/>
      </c>
      <c r="F1347" s="37" t="str">
        <f>IF(Agent07_Withdrawals!A152="","",Agent07_Withdrawals!F152)</f>
        <v/>
      </c>
      <c r="G1347" s="39" t="str">
        <f>IF(Agent07_Withdrawals!A152="","",Agent07_Withdrawals!E152)</f>
        <v/>
      </c>
      <c r="H1347" s="39" t="str">
        <f>IF(Agent07_Withdrawals!A152="","",Agent07_Withdrawals!G152)</f>
        <v/>
      </c>
      <c r="I1347" s="37" t="str">
        <f>IF(Agent07_Withdrawals!A152="","",Agent07_Withdrawals!H152)</f>
        <v/>
      </c>
      <c r="J1347" s="37" t="str">
        <f>IF(Agent07_Withdrawals!A152="","",Agent07_Withdrawals!J152)</f>
        <v/>
      </c>
      <c r="K1347" s="37" t="str">
        <f>IF(Agent07_Withdrawals!A152="","",Agent07_Withdrawals!K152)</f>
        <v/>
      </c>
      <c r="L1347" s="37" t="str">
        <f>IF(G1347="","",IF(D1347-G1347&gt;=System_Config!$B$9,"✅ OK","⚠️ BREACH"))</f>
        <v/>
      </c>
      <c r="M1347" s="37" t="str">
        <f>IFERROR(IF(Agent07_Withdrawals!A152="","",YEAR(Agent07_Withdrawals!D152)),"")</f>
        <v/>
      </c>
    </row>
    <row r="1348" spans="1:13" ht="18" customHeight="1" x14ac:dyDescent="0.25">
      <c r="A1348" s="37" t="str">
        <f>IF(Agent07_Withdrawals!A153="","",Agent07_Withdrawals!A153)</f>
        <v/>
      </c>
      <c r="B1348" s="37" t="str">
        <f ca="1">IF(Agent07_Withdrawals!A153="","","WD"&amp;TEXT(1348-3,"0000")&amp;"-"&amp;TEXT(TODAY(),"YYYYMMDD"))</f>
        <v/>
      </c>
      <c r="C1348" s="37" t="str">
        <f>IF(Agent07_Withdrawals!A153="","",Agent07_Withdrawals!B153)</f>
        <v/>
      </c>
      <c r="D1348" s="40" t="str">
        <f>IF(Agent07_Withdrawals!A153="","",Agent07_Withdrawals!C153)</f>
        <v/>
      </c>
      <c r="E1348" s="38" t="str">
        <f>IF(Agent07_Withdrawals!A153="","",Agent07_Withdrawals!D153)</f>
        <v/>
      </c>
      <c r="F1348" s="37" t="str">
        <f>IF(Agent07_Withdrawals!A153="","",Agent07_Withdrawals!F153)</f>
        <v/>
      </c>
      <c r="G1348" s="39" t="str">
        <f>IF(Agent07_Withdrawals!A153="","",Agent07_Withdrawals!E153)</f>
        <v/>
      </c>
      <c r="H1348" s="39" t="str">
        <f>IF(Agent07_Withdrawals!A153="","",Agent07_Withdrawals!G153)</f>
        <v/>
      </c>
      <c r="I1348" s="37" t="str">
        <f>IF(Agent07_Withdrawals!A153="","",Agent07_Withdrawals!H153)</f>
        <v/>
      </c>
      <c r="J1348" s="37" t="str">
        <f>IF(Agent07_Withdrawals!A153="","",Agent07_Withdrawals!J153)</f>
        <v/>
      </c>
      <c r="K1348" s="37" t="str">
        <f>IF(Agent07_Withdrawals!A153="","",Agent07_Withdrawals!K153)</f>
        <v/>
      </c>
      <c r="L1348" s="37" t="str">
        <f>IF(G1348="","",IF(D1348-G1348&gt;=System_Config!$B$9,"✅ OK","⚠️ BREACH"))</f>
        <v/>
      </c>
      <c r="M1348" s="37" t="str">
        <f>IFERROR(IF(Agent07_Withdrawals!A153="","",YEAR(Agent07_Withdrawals!D153)),"")</f>
        <v/>
      </c>
    </row>
    <row r="1349" spans="1:13" ht="18" customHeight="1" x14ac:dyDescent="0.25">
      <c r="A1349" s="37" t="str">
        <f>IF(Agent07_Withdrawals!A154="","",Agent07_Withdrawals!A154)</f>
        <v/>
      </c>
      <c r="B1349" s="37" t="str">
        <f ca="1">IF(Agent07_Withdrawals!A154="","","WD"&amp;TEXT(1349-3,"0000")&amp;"-"&amp;TEXT(TODAY(),"YYYYMMDD"))</f>
        <v/>
      </c>
      <c r="C1349" s="37" t="str">
        <f>IF(Agent07_Withdrawals!A154="","",Agent07_Withdrawals!B154)</f>
        <v/>
      </c>
      <c r="D1349" s="40" t="str">
        <f>IF(Agent07_Withdrawals!A154="","",Agent07_Withdrawals!C154)</f>
        <v/>
      </c>
      <c r="E1349" s="38" t="str">
        <f>IF(Agent07_Withdrawals!A154="","",Agent07_Withdrawals!D154)</f>
        <v/>
      </c>
      <c r="F1349" s="37" t="str">
        <f>IF(Agent07_Withdrawals!A154="","",Agent07_Withdrawals!F154)</f>
        <v/>
      </c>
      <c r="G1349" s="39" t="str">
        <f>IF(Agent07_Withdrawals!A154="","",Agent07_Withdrawals!E154)</f>
        <v/>
      </c>
      <c r="H1349" s="39" t="str">
        <f>IF(Agent07_Withdrawals!A154="","",Agent07_Withdrawals!G154)</f>
        <v/>
      </c>
      <c r="I1349" s="37" t="str">
        <f>IF(Agent07_Withdrawals!A154="","",Agent07_Withdrawals!H154)</f>
        <v/>
      </c>
      <c r="J1349" s="37" t="str">
        <f>IF(Agent07_Withdrawals!A154="","",Agent07_Withdrawals!J154)</f>
        <v/>
      </c>
      <c r="K1349" s="37" t="str">
        <f>IF(Agent07_Withdrawals!A154="","",Agent07_Withdrawals!K154)</f>
        <v/>
      </c>
      <c r="L1349" s="37" t="str">
        <f>IF(G1349="","",IF(D1349-G1349&gt;=System_Config!$B$9,"✅ OK","⚠️ BREACH"))</f>
        <v/>
      </c>
      <c r="M1349" s="37" t="str">
        <f>IFERROR(IF(Agent07_Withdrawals!A154="","",YEAR(Agent07_Withdrawals!D154)),"")</f>
        <v/>
      </c>
    </row>
    <row r="1350" spans="1:13" ht="18" customHeight="1" x14ac:dyDescent="0.25">
      <c r="A1350" s="37" t="str">
        <f>IF(Agent07_Withdrawals!A155="","",Agent07_Withdrawals!A155)</f>
        <v/>
      </c>
      <c r="B1350" s="37" t="str">
        <f ca="1">IF(Agent07_Withdrawals!A155="","","WD"&amp;TEXT(1350-3,"0000")&amp;"-"&amp;TEXT(TODAY(),"YYYYMMDD"))</f>
        <v/>
      </c>
      <c r="C1350" s="37" t="str">
        <f>IF(Agent07_Withdrawals!A155="","",Agent07_Withdrawals!B155)</f>
        <v/>
      </c>
      <c r="D1350" s="40" t="str">
        <f>IF(Agent07_Withdrawals!A155="","",Agent07_Withdrawals!C155)</f>
        <v/>
      </c>
      <c r="E1350" s="38" t="str">
        <f>IF(Agent07_Withdrawals!A155="","",Agent07_Withdrawals!D155)</f>
        <v/>
      </c>
      <c r="F1350" s="37" t="str">
        <f>IF(Agent07_Withdrawals!A155="","",Agent07_Withdrawals!F155)</f>
        <v/>
      </c>
      <c r="G1350" s="39" t="str">
        <f>IF(Agent07_Withdrawals!A155="","",Agent07_Withdrawals!E155)</f>
        <v/>
      </c>
      <c r="H1350" s="39" t="str">
        <f>IF(Agent07_Withdrawals!A155="","",Agent07_Withdrawals!G155)</f>
        <v/>
      </c>
      <c r="I1350" s="37" t="str">
        <f>IF(Agent07_Withdrawals!A155="","",Agent07_Withdrawals!H155)</f>
        <v/>
      </c>
      <c r="J1350" s="37" t="str">
        <f>IF(Agent07_Withdrawals!A155="","",Agent07_Withdrawals!J155)</f>
        <v/>
      </c>
      <c r="K1350" s="37" t="str">
        <f>IF(Agent07_Withdrawals!A155="","",Agent07_Withdrawals!K155)</f>
        <v/>
      </c>
      <c r="L1350" s="37" t="str">
        <f>IF(G1350="","",IF(D1350-G1350&gt;=System_Config!$B$9,"✅ OK","⚠️ BREACH"))</f>
        <v/>
      </c>
      <c r="M1350" s="37" t="str">
        <f>IFERROR(IF(Agent07_Withdrawals!A155="","",YEAR(Agent07_Withdrawals!D155)),"")</f>
        <v/>
      </c>
    </row>
    <row r="1351" spans="1:13" ht="18" customHeight="1" x14ac:dyDescent="0.25">
      <c r="A1351" s="37" t="str">
        <f>IF(Agent07_Withdrawals!A156="","",Agent07_Withdrawals!A156)</f>
        <v/>
      </c>
      <c r="B1351" s="37" t="str">
        <f ca="1">IF(Agent07_Withdrawals!A156="","","WD"&amp;TEXT(1351-3,"0000")&amp;"-"&amp;TEXT(TODAY(),"YYYYMMDD"))</f>
        <v/>
      </c>
      <c r="C1351" s="37" t="str">
        <f>IF(Agent07_Withdrawals!A156="","",Agent07_Withdrawals!B156)</f>
        <v/>
      </c>
      <c r="D1351" s="40" t="str">
        <f>IF(Agent07_Withdrawals!A156="","",Agent07_Withdrawals!C156)</f>
        <v/>
      </c>
      <c r="E1351" s="38" t="str">
        <f>IF(Agent07_Withdrawals!A156="","",Agent07_Withdrawals!D156)</f>
        <v/>
      </c>
      <c r="F1351" s="37" t="str">
        <f>IF(Agent07_Withdrawals!A156="","",Agent07_Withdrawals!F156)</f>
        <v/>
      </c>
      <c r="G1351" s="39" t="str">
        <f>IF(Agent07_Withdrawals!A156="","",Agent07_Withdrawals!E156)</f>
        <v/>
      </c>
      <c r="H1351" s="39" t="str">
        <f>IF(Agent07_Withdrawals!A156="","",Agent07_Withdrawals!G156)</f>
        <v/>
      </c>
      <c r="I1351" s="37" t="str">
        <f>IF(Agent07_Withdrawals!A156="","",Agent07_Withdrawals!H156)</f>
        <v/>
      </c>
      <c r="J1351" s="37" t="str">
        <f>IF(Agent07_Withdrawals!A156="","",Agent07_Withdrawals!J156)</f>
        <v/>
      </c>
      <c r="K1351" s="37" t="str">
        <f>IF(Agent07_Withdrawals!A156="","",Agent07_Withdrawals!K156)</f>
        <v/>
      </c>
      <c r="L1351" s="37" t="str">
        <f>IF(G1351="","",IF(D1351-G1351&gt;=System_Config!$B$9,"✅ OK","⚠️ BREACH"))</f>
        <v/>
      </c>
      <c r="M1351" s="37" t="str">
        <f>IFERROR(IF(Agent07_Withdrawals!A156="","",YEAR(Agent07_Withdrawals!D156)),"")</f>
        <v/>
      </c>
    </row>
    <row r="1352" spans="1:13" ht="18" customHeight="1" x14ac:dyDescent="0.25">
      <c r="A1352" s="37" t="str">
        <f>IF(Agent07_Withdrawals!A157="","",Agent07_Withdrawals!A157)</f>
        <v/>
      </c>
      <c r="B1352" s="37" t="str">
        <f ca="1">IF(Agent07_Withdrawals!A157="","","WD"&amp;TEXT(1352-3,"0000")&amp;"-"&amp;TEXT(TODAY(),"YYYYMMDD"))</f>
        <v/>
      </c>
      <c r="C1352" s="37" t="str">
        <f>IF(Agent07_Withdrawals!A157="","",Agent07_Withdrawals!B157)</f>
        <v/>
      </c>
      <c r="D1352" s="40" t="str">
        <f>IF(Agent07_Withdrawals!A157="","",Agent07_Withdrawals!C157)</f>
        <v/>
      </c>
      <c r="E1352" s="38" t="str">
        <f>IF(Agent07_Withdrawals!A157="","",Agent07_Withdrawals!D157)</f>
        <v/>
      </c>
      <c r="F1352" s="37" t="str">
        <f>IF(Agent07_Withdrawals!A157="","",Agent07_Withdrawals!F157)</f>
        <v/>
      </c>
      <c r="G1352" s="39" t="str">
        <f>IF(Agent07_Withdrawals!A157="","",Agent07_Withdrawals!E157)</f>
        <v/>
      </c>
      <c r="H1352" s="39" t="str">
        <f>IF(Agent07_Withdrawals!A157="","",Agent07_Withdrawals!G157)</f>
        <v/>
      </c>
      <c r="I1352" s="37" t="str">
        <f>IF(Agent07_Withdrawals!A157="","",Agent07_Withdrawals!H157)</f>
        <v/>
      </c>
      <c r="J1352" s="37" t="str">
        <f>IF(Agent07_Withdrawals!A157="","",Agent07_Withdrawals!J157)</f>
        <v/>
      </c>
      <c r="K1352" s="37" t="str">
        <f>IF(Agent07_Withdrawals!A157="","",Agent07_Withdrawals!K157)</f>
        <v/>
      </c>
      <c r="L1352" s="37" t="str">
        <f>IF(G1352="","",IF(D1352-G1352&gt;=System_Config!$B$9,"✅ OK","⚠️ BREACH"))</f>
        <v/>
      </c>
      <c r="M1352" s="37" t="str">
        <f>IFERROR(IF(Agent07_Withdrawals!A157="","",YEAR(Agent07_Withdrawals!D157)),"")</f>
        <v/>
      </c>
    </row>
    <row r="1353" spans="1:13" ht="18" customHeight="1" x14ac:dyDescent="0.25">
      <c r="A1353" s="37" t="str">
        <f>IF(Agent07_Withdrawals!A158="","",Agent07_Withdrawals!A158)</f>
        <v/>
      </c>
      <c r="B1353" s="37" t="str">
        <f ca="1">IF(Agent07_Withdrawals!A158="","","WD"&amp;TEXT(1353-3,"0000")&amp;"-"&amp;TEXT(TODAY(),"YYYYMMDD"))</f>
        <v/>
      </c>
      <c r="C1353" s="37" t="str">
        <f>IF(Agent07_Withdrawals!A158="","",Agent07_Withdrawals!B158)</f>
        <v/>
      </c>
      <c r="D1353" s="40" t="str">
        <f>IF(Agent07_Withdrawals!A158="","",Agent07_Withdrawals!C158)</f>
        <v/>
      </c>
      <c r="E1353" s="38" t="str">
        <f>IF(Agent07_Withdrawals!A158="","",Agent07_Withdrawals!D158)</f>
        <v/>
      </c>
      <c r="F1353" s="37" t="str">
        <f>IF(Agent07_Withdrawals!A158="","",Agent07_Withdrawals!F158)</f>
        <v/>
      </c>
      <c r="G1353" s="39" t="str">
        <f>IF(Agent07_Withdrawals!A158="","",Agent07_Withdrawals!E158)</f>
        <v/>
      </c>
      <c r="H1353" s="39" t="str">
        <f>IF(Agent07_Withdrawals!A158="","",Agent07_Withdrawals!G158)</f>
        <v/>
      </c>
      <c r="I1353" s="37" t="str">
        <f>IF(Agent07_Withdrawals!A158="","",Agent07_Withdrawals!H158)</f>
        <v/>
      </c>
      <c r="J1353" s="37" t="str">
        <f>IF(Agent07_Withdrawals!A158="","",Agent07_Withdrawals!J158)</f>
        <v/>
      </c>
      <c r="K1353" s="37" t="str">
        <f>IF(Agent07_Withdrawals!A158="","",Agent07_Withdrawals!K158)</f>
        <v/>
      </c>
      <c r="L1353" s="37" t="str">
        <f>IF(G1353="","",IF(D1353-G1353&gt;=System_Config!$B$9,"✅ OK","⚠️ BREACH"))</f>
        <v/>
      </c>
      <c r="M1353" s="37" t="str">
        <f>IFERROR(IF(Agent07_Withdrawals!A158="","",YEAR(Agent07_Withdrawals!D158)),"")</f>
        <v/>
      </c>
    </row>
    <row r="1354" spans="1:13" ht="18" customHeight="1" x14ac:dyDescent="0.25">
      <c r="A1354" s="37" t="str">
        <f>IF(Agent07_Withdrawals!A159="","",Agent07_Withdrawals!A159)</f>
        <v/>
      </c>
      <c r="B1354" s="37" t="str">
        <f ca="1">IF(Agent07_Withdrawals!A159="","","WD"&amp;TEXT(1354-3,"0000")&amp;"-"&amp;TEXT(TODAY(),"YYYYMMDD"))</f>
        <v/>
      </c>
      <c r="C1354" s="37" t="str">
        <f>IF(Agent07_Withdrawals!A159="","",Agent07_Withdrawals!B159)</f>
        <v/>
      </c>
      <c r="D1354" s="40" t="str">
        <f>IF(Agent07_Withdrawals!A159="","",Agent07_Withdrawals!C159)</f>
        <v/>
      </c>
      <c r="E1354" s="38" t="str">
        <f>IF(Agent07_Withdrawals!A159="","",Agent07_Withdrawals!D159)</f>
        <v/>
      </c>
      <c r="F1354" s="37" t="str">
        <f>IF(Agent07_Withdrawals!A159="","",Agent07_Withdrawals!F159)</f>
        <v/>
      </c>
      <c r="G1354" s="39" t="str">
        <f>IF(Agent07_Withdrawals!A159="","",Agent07_Withdrawals!E159)</f>
        <v/>
      </c>
      <c r="H1354" s="39" t="str">
        <f>IF(Agent07_Withdrawals!A159="","",Agent07_Withdrawals!G159)</f>
        <v/>
      </c>
      <c r="I1354" s="37" t="str">
        <f>IF(Agent07_Withdrawals!A159="","",Agent07_Withdrawals!H159)</f>
        <v/>
      </c>
      <c r="J1354" s="37" t="str">
        <f>IF(Agent07_Withdrawals!A159="","",Agent07_Withdrawals!J159)</f>
        <v/>
      </c>
      <c r="K1354" s="37" t="str">
        <f>IF(Agent07_Withdrawals!A159="","",Agent07_Withdrawals!K159)</f>
        <v/>
      </c>
      <c r="L1354" s="37" t="str">
        <f>IF(G1354="","",IF(D1354-G1354&gt;=System_Config!$B$9,"✅ OK","⚠️ BREACH"))</f>
        <v/>
      </c>
      <c r="M1354" s="37" t="str">
        <f>IFERROR(IF(Agent07_Withdrawals!A159="","",YEAR(Agent07_Withdrawals!D159)),"")</f>
        <v/>
      </c>
    </row>
    <row r="1355" spans="1:13" ht="18" customHeight="1" x14ac:dyDescent="0.25">
      <c r="A1355" s="37" t="str">
        <f>IF(Agent07_Withdrawals!A160="","",Agent07_Withdrawals!A160)</f>
        <v/>
      </c>
      <c r="B1355" s="37" t="str">
        <f ca="1">IF(Agent07_Withdrawals!A160="","","WD"&amp;TEXT(1355-3,"0000")&amp;"-"&amp;TEXT(TODAY(),"YYYYMMDD"))</f>
        <v/>
      </c>
      <c r="C1355" s="37" t="str">
        <f>IF(Agent07_Withdrawals!A160="","",Agent07_Withdrawals!B160)</f>
        <v/>
      </c>
      <c r="D1355" s="40" t="str">
        <f>IF(Agent07_Withdrawals!A160="","",Agent07_Withdrawals!C160)</f>
        <v/>
      </c>
      <c r="E1355" s="38" t="str">
        <f>IF(Agent07_Withdrawals!A160="","",Agent07_Withdrawals!D160)</f>
        <v/>
      </c>
      <c r="F1355" s="37" t="str">
        <f>IF(Agent07_Withdrawals!A160="","",Agent07_Withdrawals!F160)</f>
        <v/>
      </c>
      <c r="G1355" s="39" t="str">
        <f>IF(Agent07_Withdrawals!A160="","",Agent07_Withdrawals!E160)</f>
        <v/>
      </c>
      <c r="H1355" s="39" t="str">
        <f>IF(Agent07_Withdrawals!A160="","",Agent07_Withdrawals!G160)</f>
        <v/>
      </c>
      <c r="I1355" s="37" t="str">
        <f>IF(Agent07_Withdrawals!A160="","",Agent07_Withdrawals!H160)</f>
        <v/>
      </c>
      <c r="J1355" s="37" t="str">
        <f>IF(Agent07_Withdrawals!A160="","",Agent07_Withdrawals!J160)</f>
        <v/>
      </c>
      <c r="K1355" s="37" t="str">
        <f>IF(Agent07_Withdrawals!A160="","",Agent07_Withdrawals!K160)</f>
        <v/>
      </c>
      <c r="L1355" s="37" t="str">
        <f>IF(G1355="","",IF(D1355-G1355&gt;=System_Config!$B$9,"✅ OK","⚠️ BREACH"))</f>
        <v/>
      </c>
      <c r="M1355" s="37" t="str">
        <f>IFERROR(IF(Agent07_Withdrawals!A160="","",YEAR(Agent07_Withdrawals!D160)),"")</f>
        <v/>
      </c>
    </row>
    <row r="1356" spans="1:13" ht="18" customHeight="1" x14ac:dyDescent="0.25">
      <c r="A1356" s="37" t="str">
        <f>IF(Agent07_Withdrawals!A161="","",Agent07_Withdrawals!A161)</f>
        <v/>
      </c>
      <c r="B1356" s="37" t="str">
        <f ca="1">IF(Agent07_Withdrawals!A161="","","WD"&amp;TEXT(1356-3,"0000")&amp;"-"&amp;TEXT(TODAY(),"YYYYMMDD"))</f>
        <v/>
      </c>
      <c r="C1356" s="37" t="str">
        <f>IF(Agent07_Withdrawals!A161="","",Agent07_Withdrawals!B161)</f>
        <v/>
      </c>
      <c r="D1356" s="40" t="str">
        <f>IF(Agent07_Withdrawals!A161="","",Agent07_Withdrawals!C161)</f>
        <v/>
      </c>
      <c r="E1356" s="38" t="str">
        <f>IF(Agent07_Withdrawals!A161="","",Agent07_Withdrawals!D161)</f>
        <v/>
      </c>
      <c r="F1356" s="37" t="str">
        <f>IF(Agent07_Withdrawals!A161="","",Agent07_Withdrawals!F161)</f>
        <v/>
      </c>
      <c r="G1356" s="39" t="str">
        <f>IF(Agent07_Withdrawals!A161="","",Agent07_Withdrawals!E161)</f>
        <v/>
      </c>
      <c r="H1356" s="39" t="str">
        <f>IF(Agent07_Withdrawals!A161="","",Agent07_Withdrawals!G161)</f>
        <v/>
      </c>
      <c r="I1356" s="37" t="str">
        <f>IF(Agent07_Withdrawals!A161="","",Agent07_Withdrawals!H161)</f>
        <v/>
      </c>
      <c r="J1356" s="37" t="str">
        <f>IF(Agent07_Withdrawals!A161="","",Agent07_Withdrawals!J161)</f>
        <v/>
      </c>
      <c r="K1356" s="37" t="str">
        <f>IF(Agent07_Withdrawals!A161="","",Agent07_Withdrawals!K161)</f>
        <v/>
      </c>
      <c r="L1356" s="37" t="str">
        <f>IF(G1356="","",IF(D1356-G1356&gt;=System_Config!$B$9,"✅ OK","⚠️ BREACH"))</f>
        <v/>
      </c>
      <c r="M1356" s="37" t="str">
        <f>IFERROR(IF(Agent07_Withdrawals!A161="","",YEAR(Agent07_Withdrawals!D161)),"")</f>
        <v/>
      </c>
    </row>
    <row r="1357" spans="1:13" ht="18" customHeight="1" x14ac:dyDescent="0.25">
      <c r="A1357" s="37" t="str">
        <f>IF(Agent07_Withdrawals!A162="","",Agent07_Withdrawals!A162)</f>
        <v/>
      </c>
      <c r="B1357" s="37" t="str">
        <f ca="1">IF(Agent07_Withdrawals!A162="","","WD"&amp;TEXT(1357-3,"0000")&amp;"-"&amp;TEXT(TODAY(),"YYYYMMDD"))</f>
        <v/>
      </c>
      <c r="C1357" s="37" t="str">
        <f>IF(Agent07_Withdrawals!A162="","",Agent07_Withdrawals!B162)</f>
        <v/>
      </c>
      <c r="D1357" s="40" t="str">
        <f>IF(Agent07_Withdrawals!A162="","",Agent07_Withdrawals!C162)</f>
        <v/>
      </c>
      <c r="E1357" s="38" t="str">
        <f>IF(Agent07_Withdrawals!A162="","",Agent07_Withdrawals!D162)</f>
        <v/>
      </c>
      <c r="F1357" s="37" t="str">
        <f>IF(Agent07_Withdrawals!A162="","",Agent07_Withdrawals!F162)</f>
        <v/>
      </c>
      <c r="G1357" s="39" t="str">
        <f>IF(Agent07_Withdrawals!A162="","",Agent07_Withdrawals!E162)</f>
        <v/>
      </c>
      <c r="H1357" s="39" t="str">
        <f>IF(Agent07_Withdrawals!A162="","",Agent07_Withdrawals!G162)</f>
        <v/>
      </c>
      <c r="I1357" s="37" t="str">
        <f>IF(Agent07_Withdrawals!A162="","",Agent07_Withdrawals!H162)</f>
        <v/>
      </c>
      <c r="J1357" s="37" t="str">
        <f>IF(Agent07_Withdrawals!A162="","",Agent07_Withdrawals!J162)</f>
        <v/>
      </c>
      <c r="K1357" s="37" t="str">
        <f>IF(Agent07_Withdrawals!A162="","",Agent07_Withdrawals!K162)</f>
        <v/>
      </c>
      <c r="L1357" s="37" t="str">
        <f>IF(G1357="","",IF(D1357-G1357&gt;=System_Config!$B$9,"✅ OK","⚠️ BREACH"))</f>
        <v/>
      </c>
      <c r="M1357" s="37" t="str">
        <f>IFERROR(IF(Agent07_Withdrawals!A162="","",YEAR(Agent07_Withdrawals!D162)),"")</f>
        <v/>
      </c>
    </row>
    <row r="1358" spans="1:13" ht="18" customHeight="1" x14ac:dyDescent="0.25">
      <c r="A1358" s="37" t="str">
        <f>IF(Agent07_Withdrawals!A163="","",Agent07_Withdrawals!A163)</f>
        <v/>
      </c>
      <c r="B1358" s="37" t="str">
        <f ca="1">IF(Agent07_Withdrawals!A163="","","WD"&amp;TEXT(1358-3,"0000")&amp;"-"&amp;TEXT(TODAY(),"YYYYMMDD"))</f>
        <v/>
      </c>
      <c r="C1358" s="37" t="str">
        <f>IF(Agent07_Withdrawals!A163="","",Agent07_Withdrawals!B163)</f>
        <v/>
      </c>
      <c r="D1358" s="40" t="str">
        <f>IF(Agent07_Withdrawals!A163="","",Agent07_Withdrawals!C163)</f>
        <v/>
      </c>
      <c r="E1358" s="38" t="str">
        <f>IF(Agent07_Withdrawals!A163="","",Agent07_Withdrawals!D163)</f>
        <v/>
      </c>
      <c r="F1358" s="37" t="str">
        <f>IF(Agent07_Withdrawals!A163="","",Agent07_Withdrawals!F163)</f>
        <v/>
      </c>
      <c r="G1358" s="39" t="str">
        <f>IF(Agent07_Withdrawals!A163="","",Agent07_Withdrawals!E163)</f>
        <v/>
      </c>
      <c r="H1358" s="39" t="str">
        <f>IF(Agent07_Withdrawals!A163="","",Agent07_Withdrawals!G163)</f>
        <v/>
      </c>
      <c r="I1358" s="37" t="str">
        <f>IF(Agent07_Withdrawals!A163="","",Agent07_Withdrawals!H163)</f>
        <v/>
      </c>
      <c r="J1358" s="37" t="str">
        <f>IF(Agent07_Withdrawals!A163="","",Agent07_Withdrawals!J163)</f>
        <v/>
      </c>
      <c r="K1358" s="37" t="str">
        <f>IF(Agent07_Withdrawals!A163="","",Agent07_Withdrawals!K163)</f>
        <v/>
      </c>
      <c r="L1358" s="37" t="str">
        <f>IF(G1358="","",IF(D1358-G1358&gt;=System_Config!$B$9,"✅ OK","⚠️ BREACH"))</f>
        <v/>
      </c>
      <c r="M1358" s="37" t="str">
        <f>IFERROR(IF(Agent07_Withdrawals!A163="","",YEAR(Agent07_Withdrawals!D163)),"")</f>
        <v/>
      </c>
    </row>
    <row r="1359" spans="1:13" ht="18" customHeight="1" x14ac:dyDescent="0.25">
      <c r="A1359" s="37" t="str">
        <f>IF(Agent07_Withdrawals!A164="","",Agent07_Withdrawals!A164)</f>
        <v/>
      </c>
      <c r="B1359" s="37" t="str">
        <f ca="1">IF(Agent07_Withdrawals!A164="","","WD"&amp;TEXT(1359-3,"0000")&amp;"-"&amp;TEXT(TODAY(),"YYYYMMDD"))</f>
        <v/>
      </c>
      <c r="C1359" s="37" t="str">
        <f>IF(Agent07_Withdrawals!A164="","",Agent07_Withdrawals!B164)</f>
        <v/>
      </c>
      <c r="D1359" s="40" t="str">
        <f>IF(Agent07_Withdrawals!A164="","",Agent07_Withdrawals!C164)</f>
        <v/>
      </c>
      <c r="E1359" s="38" t="str">
        <f>IF(Agent07_Withdrawals!A164="","",Agent07_Withdrawals!D164)</f>
        <v/>
      </c>
      <c r="F1359" s="37" t="str">
        <f>IF(Agent07_Withdrawals!A164="","",Agent07_Withdrawals!F164)</f>
        <v/>
      </c>
      <c r="G1359" s="39" t="str">
        <f>IF(Agent07_Withdrawals!A164="","",Agent07_Withdrawals!E164)</f>
        <v/>
      </c>
      <c r="H1359" s="39" t="str">
        <f>IF(Agent07_Withdrawals!A164="","",Agent07_Withdrawals!G164)</f>
        <v/>
      </c>
      <c r="I1359" s="37" t="str">
        <f>IF(Agent07_Withdrawals!A164="","",Agent07_Withdrawals!H164)</f>
        <v/>
      </c>
      <c r="J1359" s="37" t="str">
        <f>IF(Agent07_Withdrawals!A164="","",Agent07_Withdrawals!J164)</f>
        <v/>
      </c>
      <c r="K1359" s="37" t="str">
        <f>IF(Agent07_Withdrawals!A164="","",Agent07_Withdrawals!K164)</f>
        <v/>
      </c>
      <c r="L1359" s="37" t="str">
        <f>IF(G1359="","",IF(D1359-G1359&gt;=System_Config!$B$9,"✅ OK","⚠️ BREACH"))</f>
        <v/>
      </c>
      <c r="M1359" s="37" t="str">
        <f>IFERROR(IF(Agent07_Withdrawals!A164="","",YEAR(Agent07_Withdrawals!D164)),"")</f>
        <v/>
      </c>
    </row>
    <row r="1360" spans="1:13" ht="18" customHeight="1" x14ac:dyDescent="0.25">
      <c r="A1360" s="37" t="str">
        <f>IF(Agent07_Withdrawals!A165="","",Agent07_Withdrawals!A165)</f>
        <v/>
      </c>
      <c r="B1360" s="37" t="str">
        <f ca="1">IF(Agent07_Withdrawals!A165="","","WD"&amp;TEXT(1360-3,"0000")&amp;"-"&amp;TEXT(TODAY(),"YYYYMMDD"))</f>
        <v/>
      </c>
      <c r="C1360" s="37" t="str">
        <f>IF(Agent07_Withdrawals!A165="","",Agent07_Withdrawals!B165)</f>
        <v/>
      </c>
      <c r="D1360" s="40" t="str">
        <f>IF(Agent07_Withdrawals!A165="","",Agent07_Withdrawals!C165)</f>
        <v/>
      </c>
      <c r="E1360" s="38" t="str">
        <f>IF(Agent07_Withdrawals!A165="","",Agent07_Withdrawals!D165)</f>
        <v/>
      </c>
      <c r="F1360" s="37" t="str">
        <f>IF(Agent07_Withdrawals!A165="","",Agent07_Withdrawals!F165)</f>
        <v/>
      </c>
      <c r="G1360" s="39" t="str">
        <f>IF(Agent07_Withdrawals!A165="","",Agent07_Withdrawals!E165)</f>
        <v/>
      </c>
      <c r="H1360" s="39" t="str">
        <f>IF(Agent07_Withdrawals!A165="","",Agent07_Withdrawals!G165)</f>
        <v/>
      </c>
      <c r="I1360" s="37" t="str">
        <f>IF(Agent07_Withdrawals!A165="","",Agent07_Withdrawals!H165)</f>
        <v/>
      </c>
      <c r="J1360" s="37" t="str">
        <f>IF(Agent07_Withdrawals!A165="","",Agent07_Withdrawals!J165)</f>
        <v/>
      </c>
      <c r="K1360" s="37" t="str">
        <f>IF(Agent07_Withdrawals!A165="","",Agent07_Withdrawals!K165)</f>
        <v/>
      </c>
      <c r="L1360" s="37" t="str">
        <f>IF(G1360="","",IF(D1360-G1360&gt;=System_Config!$B$9,"✅ OK","⚠️ BREACH"))</f>
        <v/>
      </c>
      <c r="M1360" s="37" t="str">
        <f>IFERROR(IF(Agent07_Withdrawals!A165="","",YEAR(Agent07_Withdrawals!D165)),"")</f>
        <v/>
      </c>
    </row>
    <row r="1361" spans="1:13" ht="18" customHeight="1" x14ac:dyDescent="0.25">
      <c r="A1361" s="37" t="str">
        <f>IF(Agent07_Withdrawals!A166="","",Agent07_Withdrawals!A166)</f>
        <v/>
      </c>
      <c r="B1361" s="37" t="str">
        <f ca="1">IF(Agent07_Withdrawals!A166="","","WD"&amp;TEXT(1361-3,"0000")&amp;"-"&amp;TEXT(TODAY(),"YYYYMMDD"))</f>
        <v/>
      </c>
      <c r="C1361" s="37" t="str">
        <f>IF(Agent07_Withdrawals!A166="","",Agent07_Withdrawals!B166)</f>
        <v/>
      </c>
      <c r="D1361" s="40" t="str">
        <f>IF(Agent07_Withdrawals!A166="","",Agent07_Withdrawals!C166)</f>
        <v/>
      </c>
      <c r="E1361" s="38" t="str">
        <f>IF(Agent07_Withdrawals!A166="","",Agent07_Withdrawals!D166)</f>
        <v/>
      </c>
      <c r="F1361" s="37" t="str">
        <f>IF(Agent07_Withdrawals!A166="","",Agent07_Withdrawals!F166)</f>
        <v/>
      </c>
      <c r="G1361" s="39" t="str">
        <f>IF(Agent07_Withdrawals!A166="","",Agent07_Withdrawals!E166)</f>
        <v/>
      </c>
      <c r="H1361" s="39" t="str">
        <f>IF(Agent07_Withdrawals!A166="","",Agent07_Withdrawals!G166)</f>
        <v/>
      </c>
      <c r="I1361" s="37" t="str">
        <f>IF(Agent07_Withdrawals!A166="","",Agent07_Withdrawals!H166)</f>
        <v/>
      </c>
      <c r="J1361" s="37" t="str">
        <f>IF(Agent07_Withdrawals!A166="","",Agent07_Withdrawals!J166)</f>
        <v/>
      </c>
      <c r="K1361" s="37" t="str">
        <f>IF(Agent07_Withdrawals!A166="","",Agent07_Withdrawals!K166)</f>
        <v/>
      </c>
      <c r="L1361" s="37" t="str">
        <f>IF(G1361="","",IF(D1361-G1361&gt;=System_Config!$B$9,"✅ OK","⚠️ BREACH"))</f>
        <v/>
      </c>
      <c r="M1361" s="37" t="str">
        <f>IFERROR(IF(Agent07_Withdrawals!A166="","",YEAR(Agent07_Withdrawals!D166)),"")</f>
        <v/>
      </c>
    </row>
    <row r="1362" spans="1:13" ht="18" customHeight="1" x14ac:dyDescent="0.25">
      <c r="A1362" s="37" t="str">
        <f>IF(Agent07_Withdrawals!A167="","",Agent07_Withdrawals!A167)</f>
        <v/>
      </c>
      <c r="B1362" s="37" t="str">
        <f ca="1">IF(Agent07_Withdrawals!A167="","","WD"&amp;TEXT(1362-3,"0000")&amp;"-"&amp;TEXT(TODAY(),"YYYYMMDD"))</f>
        <v/>
      </c>
      <c r="C1362" s="37" t="str">
        <f>IF(Agent07_Withdrawals!A167="","",Agent07_Withdrawals!B167)</f>
        <v/>
      </c>
      <c r="D1362" s="40" t="str">
        <f>IF(Agent07_Withdrawals!A167="","",Agent07_Withdrawals!C167)</f>
        <v/>
      </c>
      <c r="E1362" s="38" t="str">
        <f>IF(Agent07_Withdrawals!A167="","",Agent07_Withdrawals!D167)</f>
        <v/>
      </c>
      <c r="F1362" s="37" t="str">
        <f>IF(Agent07_Withdrawals!A167="","",Agent07_Withdrawals!F167)</f>
        <v/>
      </c>
      <c r="G1362" s="39" t="str">
        <f>IF(Agent07_Withdrawals!A167="","",Agent07_Withdrawals!E167)</f>
        <v/>
      </c>
      <c r="H1362" s="39" t="str">
        <f>IF(Agent07_Withdrawals!A167="","",Agent07_Withdrawals!G167)</f>
        <v/>
      </c>
      <c r="I1362" s="37" t="str">
        <f>IF(Agent07_Withdrawals!A167="","",Agent07_Withdrawals!H167)</f>
        <v/>
      </c>
      <c r="J1362" s="37" t="str">
        <f>IF(Agent07_Withdrawals!A167="","",Agent07_Withdrawals!J167)</f>
        <v/>
      </c>
      <c r="K1362" s="37" t="str">
        <f>IF(Agent07_Withdrawals!A167="","",Agent07_Withdrawals!K167)</f>
        <v/>
      </c>
      <c r="L1362" s="37" t="str">
        <f>IF(G1362="","",IF(D1362-G1362&gt;=System_Config!$B$9,"✅ OK","⚠️ BREACH"))</f>
        <v/>
      </c>
      <c r="M1362" s="37" t="str">
        <f>IFERROR(IF(Agent07_Withdrawals!A167="","",YEAR(Agent07_Withdrawals!D167)),"")</f>
        <v/>
      </c>
    </row>
    <row r="1363" spans="1:13" ht="18" customHeight="1" x14ac:dyDescent="0.25">
      <c r="A1363" s="37" t="str">
        <f>IF(Agent07_Withdrawals!A168="","",Agent07_Withdrawals!A168)</f>
        <v/>
      </c>
      <c r="B1363" s="37" t="str">
        <f ca="1">IF(Agent07_Withdrawals!A168="","","WD"&amp;TEXT(1363-3,"0000")&amp;"-"&amp;TEXT(TODAY(),"YYYYMMDD"))</f>
        <v/>
      </c>
      <c r="C1363" s="37" t="str">
        <f>IF(Agent07_Withdrawals!A168="","",Agent07_Withdrawals!B168)</f>
        <v/>
      </c>
      <c r="D1363" s="40" t="str">
        <f>IF(Agent07_Withdrawals!A168="","",Agent07_Withdrawals!C168)</f>
        <v/>
      </c>
      <c r="E1363" s="38" t="str">
        <f>IF(Agent07_Withdrawals!A168="","",Agent07_Withdrawals!D168)</f>
        <v/>
      </c>
      <c r="F1363" s="37" t="str">
        <f>IF(Agent07_Withdrawals!A168="","",Agent07_Withdrawals!F168)</f>
        <v/>
      </c>
      <c r="G1363" s="39" t="str">
        <f>IF(Agent07_Withdrawals!A168="","",Agent07_Withdrawals!E168)</f>
        <v/>
      </c>
      <c r="H1363" s="39" t="str">
        <f>IF(Agent07_Withdrawals!A168="","",Agent07_Withdrawals!G168)</f>
        <v/>
      </c>
      <c r="I1363" s="37" t="str">
        <f>IF(Agent07_Withdrawals!A168="","",Agent07_Withdrawals!H168)</f>
        <v/>
      </c>
      <c r="J1363" s="37" t="str">
        <f>IF(Agent07_Withdrawals!A168="","",Agent07_Withdrawals!J168)</f>
        <v/>
      </c>
      <c r="K1363" s="37" t="str">
        <f>IF(Agent07_Withdrawals!A168="","",Agent07_Withdrawals!K168)</f>
        <v/>
      </c>
      <c r="L1363" s="37" t="str">
        <f>IF(G1363="","",IF(D1363-G1363&gt;=System_Config!$B$9,"✅ OK","⚠️ BREACH"))</f>
        <v/>
      </c>
      <c r="M1363" s="37" t="str">
        <f>IFERROR(IF(Agent07_Withdrawals!A168="","",YEAR(Agent07_Withdrawals!D168)),"")</f>
        <v/>
      </c>
    </row>
    <row r="1364" spans="1:13" ht="18" customHeight="1" x14ac:dyDescent="0.25">
      <c r="A1364" s="37" t="str">
        <f>IF(Agent07_Withdrawals!A169="","",Agent07_Withdrawals!A169)</f>
        <v/>
      </c>
      <c r="B1364" s="37" t="str">
        <f ca="1">IF(Agent07_Withdrawals!A169="","","WD"&amp;TEXT(1364-3,"0000")&amp;"-"&amp;TEXT(TODAY(),"YYYYMMDD"))</f>
        <v/>
      </c>
      <c r="C1364" s="37" t="str">
        <f>IF(Agent07_Withdrawals!A169="","",Agent07_Withdrawals!B169)</f>
        <v/>
      </c>
      <c r="D1364" s="40" t="str">
        <f>IF(Agent07_Withdrawals!A169="","",Agent07_Withdrawals!C169)</f>
        <v/>
      </c>
      <c r="E1364" s="38" t="str">
        <f>IF(Agent07_Withdrawals!A169="","",Agent07_Withdrawals!D169)</f>
        <v/>
      </c>
      <c r="F1364" s="37" t="str">
        <f>IF(Agent07_Withdrawals!A169="","",Agent07_Withdrawals!F169)</f>
        <v/>
      </c>
      <c r="G1364" s="39" t="str">
        <f>IF(Agent07_Withdrawals!A169="","",Agent07_Withdrawals!E169)</f>
        <v/>
      </c>
      <c r="H1364" s="39" t="str">
        <f>IF(Agent07_Withdrawals!A169="","",Agent07_Withdrawals!G169)</f>
        <v/>
      </c>
      <c r="I1364" s="37" t="str">
        <f>IF(Agent07_Withdrawals!A169="","",Agent07_Withdrawals!H169)</f>
        <v/>
      </c>
      <c r="J1364" s="37" t="str">
        <f>IF(Agent07_Withdrawals!A169="","",Agent07_Withdrawals!J169)</f>
        <v/>
      </c>
      <c r="K1364" s="37" t="str">
        <f>IF(Agent07_Withdrawals!A169="","",Agent07_Withdrawals!K169)</f>
        <v/>
      </c>
      <c r="L1364" s="37" t="str">
        <f>IF(G1364="","",IF(D1364-G1364&gt;=System_Config!$B$9,"✅ OK","⚠️ BREACH"))</f>
        <v/>
      </c>
      <c r="M1364" s="37" t="str">
        <f>IFERROR(IF(Agent07_Withdrawals!A169="","",YEAR(Agent07_Withdrawals!D169)),"")</f>
        <v/>
      </c>
    </row>
    <row r="1365" spans="1:13" ht="18" customHeight="1" x14ac:dyDescent="0.25">
      <c r="A1365" s="37" t="str">
        <f>IF(Agent07_Withdrawals!A170="","",Agent07_Withdrawals!A170)</f>
        <v/>
      </c>
      <c r="B1365" s="37" t="str">
        <f ca="1">IF(Agent07_Withdrawals!A170="","","WD"&amp;TEXT(1365-3,"0000")&amp;"-"&amp;TEXT(TODAY(),"YYYYMMDD"))</f>
        <v/>
      </c>
      <c r="C1365" s="37" t="str">
        <f>IF(Agent07_Withdrawals!A170="","",Agent07_Withdrawals!B170)</f>
        <v/>
      </c>
      <c r="D1365" s="40" t="str">
        <f>IF(Agent07_Withdrawals!A170="","",Agent07_Withdrawals!C170)</f>
        <v/>
      </c>
      <c r="E1365" s="38" t="str">
        <f>IF(Agent07_Withdrawals!A170="","",Agent07_Withdrawals!D170)</f>
        <v/>
      </c>
      <c r="F1365" s="37" t="str">
        <f>IF(Agent07_Withdrawals!A170="","",Agent07_Withdrawals!F170)</f>
        <v/>
      </c>
      <c r="G1365" s="39" t="str">
        <f>IF(Agent07_Withdrawals!A170="","",Agent07_Withdrawals!E170)</f>
        <v/>
      </c>
      <c r="H1365" s="39" t="str">
        <f>IF(Agent07_Withdrawals!A170="","",Agent07_Withdrawals!G170)</f>
        <v/>
      </c>
      <c r="I1365" s="37" t="str">
        <f>IF(Agent07_Withdrawals!A170="","",Agent07_Withdrawals!H170)</f>
        <v/>
      </c>
      <c r="J1365" s="37" t="str">
        <f>IF(Agent07_Withdrawals!A170="","",Agent07_Withdrawals!J170)</f>
        <v/>
      </c>
      <c r="K1365" s="37" t="str">
        <f>IF(Agent07_Withdrawals!A170="","",Agent07_Withdrawals!K170)</f>
        <v/>
      </c>
      <c r="L1365" s="37" t="str">
        <f>IF(G1365="","",IF(D1365-G1365&gt;=System_Config!$B$9,"✅ OK","⚠️ BREACH"))</f>
        <v/>
      </c>
      <c r="M1365" s="37" t="str">
        <f>IFERROR(IF(Agent07_Withdrawals!A170="","",YEAR(Agent07_Withdrawals!D170)),"")</f>
        <v/>
      </c>
    </row>
    <row r="1366" spans="1:13" ht="18" customHeight="1" x14ac:dyDescent="0.25">
      <c r="A1366" s="37" t="str">
        <f>IF(Agent07_Withdrawals!A171="","",Agent07_Withdrawals!A171)</f>
        <v/>
      </c>
      <c r="B1366" s="37" t="str">
        <f ca="1">IF(Agent07_Withdrawals!A171="","","WD"&amp;TEXT(1366-3,"0000")&amp;"-"&amp;TEXT(TODAY(),"YYYYMMDD"))</f>
        <v/>
      </c>
      <c r="C1366" s="37" t="str">
        <f>IF(Agent07_Withdrawals!A171="","",Agent07_Withdrawals!B171)</f>
        <v/>
      </c>
      <c r="D1366" s="40" t="str">
        <f>IF(Agent07_Withdrawals!A171="","",Agent07_Withdrawals!C171)</f>
        <v/>
      </c>
      <c r="E1366" s="38" t="str">
        <f>IF(Agent07_Withdrawals!A171="","",Agent07_Withdrawals!D171)</f>
        <v/>
      </c>
      <c r="F1366" s="37" t="str">
        <f>IF(Agent07_Withdrawals!A171="","",Agent07_Withdrawals!F171)</f>
        <v/>
      </c>
      <c r="G1366" s="39" t="str">
        <f>IF(Agent07_Withdrawals!A171="","",Agent07_Withdrawals!E171)</f>
        <v/>
      </c>
      <c r="H1366" s="39" t="str">
        <f>IF(Agent07_Withdrawals!A171="","",Agent07_Withdrawals!G171)</f>
        <v/>
      </c>
      <c r="I1366" s="37" t="str">
        <f>IF(Agent07_Withdrawals!A171="","",Agent07_Withdrawals!H171)</f>
        <v/>
      </c>
      <c r="J1366" s="37" t="str">
        <f>IF(Agent07_Withdrawals!A171="","",Agent07_Withdrawals!J171)</f>
        <v/>
      </c>
      <c r="K1366" s="37" t="str">
        <f>IF(Agent07_Withdrawals!A171="","",Agent07_Withdrawals!K171)</f>
        <v/>
      </c>
      <c r="L1366" s="37" t="str">
        <f>IF(G1366="","",IF(D1366-G1366&gt;=System_Config!$B$9,"✅ OK","⚠️ BREACH"))</f>
        <v/>
      </c>
      <c r="M1366" s="37" t="str">
        <f>IFERROR(IF(Agent07_Withdrawals!A171="","",YEAR(Agent07_Withdrawals!D171)),"")</f>
        <v/>
      </c>
    </row>
    <row r="1367" spans="1:13" ht="18" customHeight="1" x14ac:dyDescent="0.25">
      <c r="A1367" s="37" t="str">
        <f>IF(Agent07_Withdrawals!A172="","",Agent07_Withdrawals!A172)</f>
        <v/>
      </c>
      <c r="B1367" s="37" t="str">
        <f ca="1">IF(Agent07_Withdrawals!A172="","","WD"&amp;TEXT(1367-3,"0000")&amp;"-"&amp;TEXT(TODAY(),"YYYYMMDD"))</f>
        <v/>
      </c>
      <c r="C1367" s="37" t="str">
        <f>IF(Agent07_Withdrawals!A172="","",Agent07_Withdrawals!B172)</f>
        <v/>
      </c>
      <c r="D1367" s="40" t="str">
        <f>IF(Agent07_Withdrawals!A172="","",Agent07_Withdrawals!C172)</f>
        <v/>
      </c>
      <c r="E1367" s="38" t="str">
        <f>IF(Agent07_Withdrawals!A172="","",Agent07_Withdrawals!D172)</f>
        <v/>
      </c>
      <c r="F1367" s="37" t="str">
        <f>IF(Agent07_Withdrawals!A172="","",Agent07_Withdrawals!F172)</f>
        <v/>
      </c>
      <c r="G1367" s="39" t="str">
        <f>IF(Agent07_Withdrawals!A172="","",Agent07_Withdrawals!E172)</f>
        <v/>
      </c>
      <c r="H1367" s="39" t="str">
        <f>IF(Agent07_Withdrawals!A172="","",Agent07_Withdrawals!G172)</f>
        <v/>
      </c>
      <c r="I1367" s="37" t="str">
        <f>IF(Agent07_Withdrawals!A172="","",Agent07_Withdrawals!H172)</f>
        <v/>
      </c>
      <c r="J1367" s="37" t="str">
        <f>IF(Agent07_Withdrawals!A172="","",Agent07_Withdrawals!J172)</f>
        <v/>
      </c>
      <c r="K1367" s="37" t="str">
        <f>IF(Agent07_Withdrawals!A172="","",Agent07_Withdrawals!K172)</f>
        <v/>
      </c>
      <c r="L1367" s="37" t="str">
        <f>IF(G1367="","",IF(D1367-G1367&gt;=System_Config!$B$9,"✅ OK","⚠️ BREACH"))</f>
        <v/>
      </c>
      <c r="M1367" s="37" t="str">
        <f>IFERROR(IF(Agent07_Withdrawals!A172="","",YEAR(Agent07_Withdrawals!D172)),"")</f>
        <v/>
      </c>
    </row>
    <row r="1368" spans="1:13" ht="18" customHeight="1" x14ac:dyDescent="0.25">
      <c r="A1368" s="37" t="str">
        <f>IF(Agent07_Withdrawals!A173="","",Agent07_Withdrawals!A173)</f>
        <v/>
      </c>
      <c r="B1368" s="37" t="str">
        <f ca="1">IF(Agent07_Withdrawals!A173="","","WD"&amp;TEXT(1368-3,"0000")&amp;"-"&amp;TEXT(TODAY(),"YYYYMMDD"))</f>
        <v/>
      </c>
      <c r="C1368" s="37" t="str">
        <f>IF(Agent07_Withdrawals!A173="","",Agent07_Withdrawals!B173)</f>
        <v/>
      </c>
      <c r="D1368" s="40" t="str">
        <f>IF(Agent07_Withdrawals!A173="","",Agent07_Withdrawals!C173)</f>
        <v/>
      </c>
      <c r="E1368" s="38" t="str">
        <f>IF(Agent07_Withdrawals!A173="","",Agent07_Withdrawals!D173)</f>
        <v/>
      </c>
      <c r="F1368" s="37" t="str">
        <f>IF(Agent07_Withdrawals!A173="","",Agent07_Withdrawals!F173)</f>
        <v/>
      </c>
      <c r="G1368" s="39" t="str">
        <f>IF(Agent07_Withdrawals!A173="","",Agent07_Withdrawals!E173)</f>
        <v/>
      </c>
      <c r="H1368" s="39" t="str">
        <f>IF(Agent07_Withdrawals!A173="","",Agent07_Withdrawals!G173)</f>
        <v/>
      </c>
      <c r="I1368" s="37" t="str">
        <f>IF(Agent07_Withdrawals!A173="","",Agent07_Withdrawals!H173)</f>
        <v/>
      </c>
      <c r="J1368" s="37" t="str">
        <f>IF(Agent07_Withdrawals!A173="","",Agent07_Withdrawals!J173)</f>
        <v/>
      </c>
      <c r="K1368" s="37" t="str">
        <f>IF(Agent07_Withdrawals!A173="","",Agent07_Withdrawals!K173)</f>
        <v/>
      </c>
      <c r="L1368" s="37" t="str">
        <f>IF(G1368="","",IF(D1368-G1368&gt;=System_Config!$B$9,"✅ OK","⚠️ BREACH"))</f>
        <v/>
      </c>
      <c r="M1368" s="37" t="str">
        <f>IFERROR(IF(Agent07_Withdrawals!A173="","",YEAR(Agent07_Withdrawals!D173)),"")</f>
        <v/>
      </c>
    </row>
    <row r="1369" spans="1:13" ht="18" customHeight="1" x14ac:dyDescent="0.25">
      <c r="A1369" s="37" t="str">
        <f>IF(Agent07_Withdrawals!A174="","",Agent07_Withdrawals!A174)</f>
        <v/>
      </c>
      <c r="B1369" s="37" t="str">
        <f ca="1">IF(Agent07_Withdrawals!A174="","","WD"&amp;TEXT(1369-3,"0000")&amp;"-"&amp;TEXT(TODAY(),"YYYYMMDD"))</f>
        <v/>
      </c>
      <c r="C1369" s="37" t="str">
        <f>IF(Agent07_Withdrawals!A174="","",Agent07_Withdrawals!B174)</f>
        <v/>
      </c>
      <c r="D1369" s="40" t="str">
        <f>IF(Agent07_Withdrawals!A174="","",Agent07_Withdrawals!C174)</f>
        <v/>
      </c>
      <c r="E1369" s="38" t="str">
        <f>IF(Agent07_Withdrawals!A174="","",Agent07_Withdrawals!D174)</f>
        <v/>
      </c>
      <c r="F1369" s="37" t="str">
        <f>IF(Agent07_Withdrawals!A174="","",Agent07_Withdrawals!F174)</f>
        <v/>
      </c>
      <c r="G1369" s="39" t="str">
        <f>IF(Agent07_Withdrawals!A174="","",Agent07_Withdrawals!E174)</f>
        <v/>
      </c>
      <c r="H1369" s="39" t="str">
        <f>IF(Agent07_Withdrawals!A174="","",Agent07_Withdrawals!G174)</f>
        <v/>
      </c>
      <c r="I1369" s="37" t="str">
        <f>IF(Agent07_Withdrawals!A174="","",Agent07_Withdrawals!H174)</f>
        <v/>
      </c>
      <c r="J1369" s="37" t="str">
        <f>IF(Agent07_Withdrawals!A174="","",Agent07_Withdrawals!J174)</f>
        <v/>
      </c>
      <c r="K1369" s="37" t="str">
        <f>IF(Agent07_Withdrawals!A174="","",Agent07_Withdrawals!K174)</f>
        <v/>
      </c>
      <c r="L1369" s="37" t="str">
        <f>IF(G1369="","",IF(D1369-G1369&gt;=System_Config!$B$9,"✅ OK","⚠️ BREACH"))</f>
        <v/>
      </c>
      <c r="M1369" s="37" t="str">
        <f>IFERROR(IF(Agent07_Withdrawals!A174="","",YEAR(Agent07_Withdrawals!D174)),"")</f>
        <v/>
      </c>
    </row>
    <row r="1370" spans="1:13" ht="18" customHeight="1" x14ac:dyDescent="0.25">
      <c r="A1370" s="37" t="str">
        <f>IF(Agent07_Withdrawals!A175="","",Agent07_Withdrawals!A175)</f>
        <v/>
      </c>
      <c r="B1370" s="37" t="str">
        <f ca="1">IF(Agent07_Withdrawals!A175="","","WD"&amp;TEXT(1370-3,"0000")&amp;"-"&amp;TEXT(TODAY(),"YYYYMMDD"))</f>
        <v/>
      </c>
      <c r="C1370" s="37" t="str">
        <f>IF(Agent07_Withdrawals!A175="","",Agent07_Withdrawals!B175)</f>
        <v/>
      </c>
      <c r="D1370" s="40" t="str">
        <f>IF(Agent07_Withdrawals!A175="","",Agent07_Withdrawals!C175)</f>
        <v/>
      </c>
      <c r="E1370" s="38" t="str">
        <f>IF(Agent07_Withdrawals!A175="","",Agent07_Withdrawals!D175)</f>
        <v/>
      </c>
      <c r="F1370" s="37" t="str">
        <f>IF(Agent07_Withdrawals!A175="","",Agent07_Withdrawals!F175)</f>
        <v/>
      </c>
      <c r="G1370" s="39" t="str">
        <f>IF(Agent07_Withdrawals!A175="","",Agent07_Withdrawals!E175)</f>
        <v/>
      </c>
      <c r="H1370" s="39" t="str">
        <f>IF(Agent07_Withdrawals!A175="","",Agent07_Withdrawals!G175)</f>
        <v/>
      </c>
      <c r="I1370" s="37" t="str">
        <f>IF(Agent07_Withdrawals!A175="","",Agent07_Withdrawals!H175)</f>
        <v/>
      </c>
      <c r="J1370" s="37" t="str">
        <f>IF(Agent07_Withdrawals!A175="","",Agent07_Withdrawals!J175)</f>
        <v/>
      </c>
      <c r="K1370" s="37" t="str">
        <f>IF(Agent07_Withdrawals!A175="","",Agent07_Withdrawals!K175)</f>
        <v/>
      </c>
      <c r="L1370" s="37" t="str">
        <f>IF(G1370="","",IF(D1370-G1370&gt;=System_Config!$B$9,"✅ OK","⚠️ BREACH"))</f>
        <v/>
      </c>
      <c r="M1370" s="37" t="str">
        <f>IFERROR(IF(Agent07_Withdrawals!A175="","",YEAR(Agent07_Withdrawals!D175)),"")</f>
        <v/>
      </c>
    </row>
    <row r="1371" spans="1:13" ht="18" customHeight="1" x14ac:dyDescent="0.25">
      <c r="A1371" s="37" t="str">
        <f>IF(Agent07_Withdrawals!A176="","",Agent07_Withdrawals!A176)</f>
        <v/>
      </c>
      <c r="B1371" s="37" t="str">
        <f ca="1">IF(Agent07_Withdrawals!A176="","","WD"&amp;TEXT(1371-3,"0000")&amp;"-"&amp;TEXT(TODAY(),"YYYYMMDD"))</f>
        <v/>
      </c>
      <c r="C1371" s="37" t="str">
        <f>IF(Agent07_Withdrawals!A176="","",Agent07_Withdrawals!B176)</f>
        <v/>
      </c>
      <c r="D1371" s="40" t="str">
        <f>IF(Agent07_Withdrawals!A176="","",Agent07_Withdrawals!C176)</f>
        <v/>
      </c>
      <c r="E1371" s="38" t="str">
        <f>IF(Agent07_Withdrawals!A176="","",Agent07_Withdrawals!D176)</f>
        <v/>
      </c>
      <c r="F1371" s="37" t="str">
        <f>IF(Agent07_Withdrawals!A176="","",Agent07_Withdrawals!F176)</f>
        <v/>
      </c>
      <c r="G1371" s="39" t="str">
        <f>IF(Agent07_Withdrawals!A176="","",Agent07_Withdrawals!E176)</f>
        <v/>
      </c>
      <c r="H1371" s="39" t="str">
        <f>IF(Agent07_Withdrawals!A176="","",Agent07_Withdrawals!G176)</f>
        <v/>
      </c>
      <c r="I1371" s="37" t="str">
        <f>IF(Agent07_Withdrawals!A176="","",Agent07_Withdrawals!H176)</f>
        <v/>
      </c>
      <c r="J1371" s="37" t="str">
        <f>IF(Agent07_Withdrawals!A176="","",Agent07_Withdrawals!J176)</f>
        <v/>
      </c>
      <c r="K1371" s="37" t="str">
        <f>IF(Agent07_Withdrawals!A176="","",Agent07_Withdrawals!K176)</f>
        <v/>
      </c>
      <c r="L1371" s="37" t="str">
        <f>IF(G1371="","",IF(D1371-G1371&gt;=System_Config!$B$9,"✅ OK","⚠️ BREACH"))</f>
        <v/>
      </c>
      <c r="M1371" s="37" t="str">
        <f>IFERROR(IF(Agent07_Withdrawals!A176="","",YEAR(Agent07_Withdrawals!D176)),"")</f>
        <v/>
      </c>
    </row>
    <row r="1372" spans="1:13" ht="18" customHeight="1" x14ac:dyDescent="0.25">
      <c r="A1372" s="37" t="str">
        <f>IF(Agent07_Withdrawals!A177="","",Agent07_Withdrawals!A177)</f>
        <v/>
      </c>
      <c r="B1372" s="37" t="str">
        <f ca="1">IF(Agent07_Withdrawals!A177="","","WD"&amp;TEXT(1372-3,"0000")&amp;"-"&amp;TEXT(TODAY(),"YYYYMMDD"))</f>
        <v/>
      </c>
      <c r="C1372" s="37" t="str">
        <f>IF(Agent07_Withdrawals!A177="","",Agent07_Withdrawals!B177)</f>
        <v/>
      </c>
      <c r="D1372" s="40" t="str">
        <f>IF(Agent07_Withdrawals!A177="","",Agent07_Withdrawals!C177)</f>
        <v/>
      </c>
      <c r="E1372" s="38" t="str">
        <f>IF(Agent07_Withdrawals!A177="","",Agent07_Withdrawals!D177)</f>
        <v/>
      </c>
      <c r="F1372" s="37" t="str">
        <f>IF(Agent07_Withdrawals!A177="","",Agent07_Withdrawals!F177)</f>
        <v/>
      </c>
      <c r="G1372" s="39" t="str">
        <f>IF(Agent07_Withdrawals!A177="","",Agent07_Withdrawals!E177)</f>
        <v/>
      </c>
      <c r="H1372" s="39" t="str">
        <f>IF(Agent07_Withdrawals!A177="","",Agent07_Withdrawals!G177)</f>
        <v/>
      </c>
      <c r="I1372" s="37" t="str">
        <f>IF(Agent07_Withdrawals!A177="","",Agent07_Withdrawals!H177)</f>
        <v/>
      </c>
      <c r="J1372" s="37" t="str">
        <f>IF(Agent07_Withdrawals!A177="","",Agent07_Withdrawals!J177)</f>
        <v/>
      </c>
      <c r="K1372" s="37" t="str">
        <f>IF(Agent07_Withdrawals!A177="","",Agent07_Withdrawals!K177)</f>
        <v/>
      </c>
      <c r="L1372" s="37" t="str">
        <f>IF(G1372="","",IF(D1372-G1372&gt;=System_Config!$B$9,"✅ OK","⚠️ BREACH"))</f>
        <v/>
      </c>
      <c r="M1372" s="37" t="str">
        <f>IFERROR(IF(Agent07_Withdrawals!A177="","",YEAR(Agent07_Withdrawals!D177)),"")</f>
        <v/>
      </c>
    </row>
    <row r="1373" spans="1:13" ht="18" customHeight="1" x14ac:dyDescent="0.25">
      <c r="A1373" s="37" t="str">
        <f>IF(Agent07_Withdrawals!A178="","",Agent07_Withdrawals!A178)</f>
        <v/>
      </c>
      <c r="B1373" s="37" t="str">
        <f ca="1">IF(Agent07_Withdrawals!A178="","","WD"&amp;TEXT(1373-3,"0000")&amp;"-"&amp;TEXT(TODAY(),"YYYYMMDD"))</f>
        <v/>
      </c>
      <c r="C1373" s="37" t="str">
        <f>IF(Agent07_Withdrawals!A178="","",Agent07_Withdrawals!B178)</f>
        <v/>
      </c>
      <c r="D1373" s="40" t="str">
        <f>IF(Agent07_Withdrawals!A178="","",Agent07_Withdrawals!C178)</f>
        <v/>
      </c>
      <c r="E1373" s="38" t="str">
        <f>IF(Agent07_Withdrawals!A178="","",Agent07_Withdrawals!D178)</f>
        <v/>
      </c>
      <c r="F1373" s="37" t="str">
        <f>IF(Agent07_Withdrawals!A178="","",Agent07_Withdrawals!F178)</f>
        <v/>
      </c>
      <c r="G1373" s="39" t="str">
        <f>IF(Agent07_Withdrawals!A178="","",Agent07_Withdrawals!E178)</f>
        <v/>
      </c>
      <c r="H1373" s="39" t="str">
        <f>IF(Agent07_Withdrawals!A178="","",Agent07_Withdrawals!G178)</f>
        <v/>
      </c>
      <c r="I1373" s="37" t="str">
        <f>IF(Agent07_Withdrawals!A178="","",Agent07_Withdrawals!H178)</f>
        <v/>
      </c>
      <c r="J1373" s="37" t="str">
        <f>IF(Agent07_Withdrawals!A178="","",Agent07_Withdrawals!J178)</f>
        <v/>
      </c>
      <c r="K1373" s="37" t="str">
        <f>IF(Agent07_Withdrawals!A178="","",Agent07_Withdrawals!K178)</f>
        <v/>
      </c>
      <c r="L1373" s="37" t="str">
        <f>IF(G1373="","",IF(D1373-G1373&gt;=System_Config!$B$9,"✅ OK","⚠️ BREACH"))</f>
        <v/>
      </c>
      <c r="M1373" s="37" t="str">
        <f>IFERROR(IF(Agent07_Withdrawals!A178="","",YEAR(Agent07_Withdrawals!D178)),"")</f>
        <v/>
      </c>
    </row>
    <row r="1374" spans="1:13" ht="18" customHeight="1" x14ac:dyDescent="0.25">
      <c r="A1374" s="37" t="str">
        <f>IF(Agent07_Withdrawals!A179="","",Agent07_Withdrawals!A179)</f>
        <v/>
      </c>
      <c r="B1374" s="37" t="str">
        <f ca="1">IF(Agent07_Withdrawals!A179="","","WD"&amp;TEXT(1374-3,"0000")&amp;"-"&amp;TEXT(TODAY(),"YYYYMMDD"))</f>
        <v/>
      </c>
      <c r="C1374" s="37" t="str">
        <f>IF(Agent07_Withdrawals!A179="","",Agent07_Withdrawals!B179)</f>
        <v/>
      </c>
      <c r="D1374" s="40" t="str">
        <f>IF(Agent07_Withdrawals!A179="","",Agent07_Withdrawals!C179)</f>
        <v/>
      </c>
      <c r="E1374" s="38" t="str">
        <f>IF(Agent07_Withdrawals!A179="","",Agent07_Withdrawals!D179)</f>
        <v/>
      </c>
      <c r="F1374" s="37" t="str">
        <f>IF(Agent07_Withdrawals!A179="","",Agent07_Withdrawals!F179)</f>
        <v/>
      </c>
      <c r="G1374" s="39" t="str">
        <f>IF(Agent07_Withdrawals!A179="","",Agent07_Withdrawals!E179)</f>
        <v/>
      </c>
      <c r="H1374" s="39" t="str">
        <f>IF(Agent07_Withdrawals!A179="","",Agent07_Withdrawals!G179)</f>
        <v/>
      </c>
      <c r="I1374" s="37" t="str">
        <f>IF(Agent07_Withdrawals!A179="","",Agent07_Withdrawals!H179)</f>
        <v/>
      </c>
      <c r="J1374" s="37" t="str">
        <f>IF(Agent07_Withdrawals!A179="","",Agent07_Withdrawals!J179)</f>
        <v/>
      </c>
      <c r="K1374" s="37" t="str">
        <f>IF(Agent07_Withdrawals!A179="","",Agent07_Withdrawals!K179)</f>
        <v/>
      </c>
      <c r="L1374" s="37" t="str">
        <f>IF(G1374="","",IF(D1374-G1374&gt;=System_Config!$B$9,"✅ OK","⚠️ BREACH"))</f>
        <v/>
      </c>
      <c r="M1374" s="37" t="str">
        <f>IFERROR(IF(Agent07_Withdrawals!A179="","",YEAR(Agent07_Withdrawals!D179)),"")</f>
        <v/>
      </c>
    </row>
    <row r="1375" spans="1:13" ht="18" customHeight="1" x14ac:dyDescent="0.25">
      <c r="A1375" s="37" t="str">
        <f>IF(Agent07_Withdrawals!A180="","",Agent07_Withdrawals!A180)</f>
        <v/>
      </c>
      <c r="B1375" s="37" t="str">
        <f ca="1">IF(Agent07_Withdrawals!A180="","","WD"&amp;TEXT(1375-3,"0000")&amp;"-"&amp;TEXT(TODAY(),"YYYYMMDD"))</f>
        <v/>
      </c>
      <c r="C1375" s="37" t="str">
        <f>IF(Agent07_Withdrawals!A180="","",Agent07_Withdrawals!B180)</f>
        <v/>
      </c>
      <c r="D1375" s="40" t="str">
        <f>IF(Agent07_Withdrawals!A180="","",Agent07_Withdrawals!C180)</f>
        <v/>
      </c>
      <c r="E1375" s="38" t="str">
        <f>IF(Agent07_Withdrawals!A180="","",Agent07_Withdrawals!D180)</f>
        <v/>
      </c>
      <c r="F1375" s="37" t="str">
        <f>IF(Agent07_Withdrawals!A180="","",Agent07_Withdrawals!F180)</f>
        <v/>
      </c>
      <c r="G1375" s="39" t="str">
        <f>IF(Agent07_Withdrawals!A180="","",Agent07_Withdrawals!E180)</f>
        <v/>
      </c>
      <c r="H1375" s="39" t="str">
        <f>IF(Agent07_Withdrawals!A180="","",Agent07_Withdrawals!G180)</f>
        <v/>
      </c>
      <c r="I1375" s="37" t="str">
        <f>IF(Agent07_Withdrawals!A180="","",Agent07_Withdrawals!H180)</f>
        <v/>
      </c>
      <c r="J1375" s="37" t="str">
        <f>IF(Agent07_Withdrawals!A180="","",Agent07_Withdrawals!J180)</f>
        <v/>
      </c>
      <c r="K1375" s="37" t="str">
        <f>IF(Agent07_Withdrawals!A180="","",Agent07_Withdrawals!K180)</f>
        <v/>
      </c>
      <c r="L1375" s="37" t="str">
        <f>IF(G1375="","",IF(D1375-G1375&gt;=System_Config!$B$9,"✅ OK","⚠️ BREACH"))</f>
        <v/>
      </c>
      <c r="M1375" s="37" t="str">
        <f>IFERROR(IF(Agent07_Withdrawals!A180="","",YEAR(Agent07_Withdrawals!D180)),"")</f>
        <v/>
      </c>
    </row>
    <row r="1376" spans="1:13" ht="18" customHeight="1" x14ac:dyDescent="0.25">
      <c r="A1376" s="37" t="str">
        <f>IF(Agent07_Withdrawals!A181="","",Agent07_Withdrawals!A181)</f>
        <v/>
      </c>
      <c r="B1376" s="37" t="str">
        <f ca="1">IF(Agent07_Withdrawals!A181="","","WD"&amp;TEXT(1376-3,"0000")&amp;"-"&amp;TEXT(TODAY(),"YYYYMMDD"))</f>
        <v/>
      </c>
      <c r="C1376" s="37" t="str">
        <f>IF(Agent07_Withdrawals!A181="","",Agent07_Withdrawals!B181)</f>
        <v/>
      </c>
      <c r="D1376" s="40" t="str">
        <f>IF(Agent07_Withdrawals!A181="","",Agent07_Withdrawals!C181)</f>
        <v/>
      </c>
      <c r="E1376" s="38" t="str">
        <f>IF(Agent07_Withdrawals!A181="","",Agent07_Withdrawals!D181)</f>
        <v/>
      </c>
      <c r="F1376" s="37" t="str">
        <f>IF(Agent07_Withdrawals!A181="","",Agent07_Withdrawals!F181)</f>
        <v/>
      </c>
      <c r="G1376" s="39" t="str">
        <f>IF(Agent07_Withdrawals!A181="","",Agent07_Withdrawals!E181)</f>
        <v/>
      </c>
      <c r="H1376" s="39" t="str">
        <f>IF(Agent07_Withdrawals!A181="","",Agent07_Withdrawals!G181)</f>
        <v/>
      </c>
      <c r="I1376" s="37" t="str">
        <f>IF(Agent07_Withdrawals!A181="","",Agent07_Withdrawals!H181)</f>
        <v/>
      </c>
      <c r="J1376" s="37" t="str">
        <f>IF(Agent07_Withdrawals!A181="","",Agent07_Withdrawals!J181)</f>
        <v/>
      </c>
      <c r="K1376" s="37" t="str">
        <f>IF(Agent07_Withdrawals!A181="","",Agent07_Withdrawals!K181)</f>
        <v/>
      </c>
      <c r="L1376" s="37" t="str">
        <f>IF(G1376="","",IF(D1376-G1376&gt;=System_Config!$B$9,"✅ OK","⚠️ BREACH"))</f>
        <v/>
      </c>
      <c r="M1376" s="37" t="str">
        <f>IFERROR(IF(Agent07_Withdrawals!A181="","",YEAR(Agent07_Withdrawals!D181)),"")</f>
        <v/>
      </c>
    </row>
    <row r="1377" spans="1:13" ht="18" customHeight="1" x14ac:dyDescent="0.25">
      <c r="A1377" s="37" t="str">
        <f>IF(Agent07_Withdrawals!A182="","",Agent07_Withdrawals!A182)</f>
        <v/>
      </c>
      <c r="B1377" s="37" t="str">
        <f ca="1">IF(Agent07_Withdrawals!A182="","","WD"&amp;TEXT(1377-3,"0000")&amp;"-"&amp;TEXT(TODAY(),"YYYYMMDD"))</f>
        <v/>
      </c>
      <c r="C1377" s="37" t="str">
        <f>IF(Agent07_Withdrawals!A182="","",Agent07_Withdrawals!B182)</f>
        <v/>
      </c>
      <c r="D1377" s="40" t="str">
        <f>IF(Agent07_Withdrawals!A182="","",Agent07_Withdrawals!C182)</f>
        <v/>
      </c>
      <c r="E1377" s="38" t="str">
        <f>IF(Agent07_Withdrawals!A182="","",Agent07_Withdrawals!D182)</f>
        <v/>
      </c>
      <c r="F1377" s="37" t="str">
        <f>IF(Agent07_Withdrawals!A182="","",Agent07_Withdrawals!F182)</f>
        <v/>
      </c>
      <c r="G1377" s="39" t="str">
        <f>IF(Agent07_Withdrawals!A182="","",Agent07_Withdrawals!E182)</f>
        <v/>
      </c>
      <c r="H1377" s="39" t="str">
        <f>IF(Agent07_Withdrawals!A182="","",Agent07_Withdrawals!G182)</f>
        <v/>
      </c>
      <c r="I1377" s="37" t="str">
        <f>IF(Agent07_Withdrawals!A182="","",Agent07_Withdrawals!H182)</f>
        <v/>
      </c>
      <c r="J1377" s="37" t="str">
        <f>IF(Agent07_Withdrawals!A182="","",Agent07_Withdrawals!J182)</f>
        <v/>
      </c>
      <c r="K1377" s="37" t="str">
        <f>IF(Agent07_Withdrawals!A182="","",Agent07_Withdrawals!K182)</f>
        <v/>
      </c>
      <c r="L1377" s="37" t="str">
        <f>IF(G1377="","",IF(D1377-G1377&gt;=System_Config!$B$9,"✅ OK","⚠️ BREACH"))</f>
        <v/>
      </c>
      <c r="M1377" s="37" t="str">
        <f>IFERROR(IF(Agent07_Withdrawals!A182="","",YEAR(Agent07_Withdrawals!D182)),"")</f>
        <v/>
      </c>
    </row>
    <row r="1378" spans="1:13" ht="18" customHeight="1" x14ac:dyDescent="0.25">
      <c r="A1378" s="37" t="str">
        <f>IF(Agent07_Withdrawals!A183="","",Agent07_Withdrawals!A183)</f>
        <v/>
      </c>
      <c r="B1378" s="37" t="str">
        <f ca="1">IF(Agent07_Withdrawals!A183="","","WD"&amp;TEXT(1378-3,"0000")&amp;"-"&amp;TEXT(TODAY(),"YYYYMMDD"))</f>
        <v/>
      </c>
      <c r="C1378" s="37" t="str">
        <f>IF(Agent07_Withdrawals!A183="","",Agent07_Withdrawals!B183)</f>
        <v/>
      </c>
      <c r="D1378" s="40" t="str">
        <f>IF(Agent07_Withdrawals!A183="","",Agent07_Withdrawals!C183)</f>
        <v/>
      </c>
      <c r="E1378" s="38" t="str">
        <f>IF(Agent07_Withdrawals!A183="","",Agent07_Withdrawals!D183)</f>
        <v/>
      </c>
      <c r="F1378" s="37" t="str">
        <f>IF(Agent07_Withdrawals!A183="","",Agent07_Withdrawals!F183)</f>
        <v/>
      </c>
      <c r="G1378" s="39" t="str">
        <f>IF(Agent07_Withdrawals!A183="","",Agent07_Withdrawals!E183)</f>
        <v/>
      </c>
      <c r="H1378" s="39" t="str">
        <f>IF(Agent07_Withdrawals!A183="","",Agent07_Withdrawals!G183)</f>
        <v/>
      </c>
      <c r="I1378" s="37" t="str">
        <f>IF(Agent07_Withdrawals!A183="","",Agent07_Withdrawals!H183)</f>
        <v/>
      </c>
      <c r="J1378" s="37" t="str">
        <f>IF(Agent07_Withdrawals!A183="","",Agent07_Withdrawals!J183)</f>
        <v/>
      </c>
      <c r="K1378" s="37" t="str">
        <f>IF(Agent07_Withdrawals!A183="","",Agent07_Withdrawals!K183)</f>
        <v/>
      </c>
      <c r="L1378" s="37" t="str">
        <f>IF(G1378="","",IF(D1378-G1378&gt;=System_Config!$B$9,"✅ OK","⚠️ BREACH"))</f>
        <v/>
      </c>
      <c r="M1378" s="37" t="str">
        <f>IFERROR(IF(Agent07_Withdrawals!A183="","",YEAR(Agent07_Withdrawals!D183)),"")</f>
        <v/>
      </c>
    </row>
    <row r="1379" spans="1:13" ht="18" customHeight="1" x14ac:dyDescent="0.25">
      <c r="A1379" s="37" t="str">
        <f>IF(Agent07_Withdrawals!A184="","",Agent07_Withdrawals!A184)</f>
        <v/>
      </c>
      <c r="B1379" s="37" t="str">
        <f ca="1">IF(Agent07_Withdrawals!A184="","","WD"&amp;TEXT(1379-3,"0000")&amp;"-"&amp;TEXT(TODAY(),"YYYYMMDD"))</f>
        <v/>
      </c>
      <c r="C1379" s="37" t="str">
        <f>IF(Agent07_Withdrawals!A184="","",Agent07_Withdrawals!B184)</f>
        <v/>
      </c>
      <c r="D1379" s="40" t="str">
        <f>IF(Agent07_Withdrawals!A184="","",Agent07_Withdrawals!C184)</f>
        <v/>
      </c>
      <c r="E1379" s="38" t="str">
        <f>IF(Agent07_Withdrawals!A184="","",Agent07_Withdrawals!D184)</f>
        <v/>
      </c>
      <c r="F1379" s="37" t="str">
        <f>IF(Agent07_Withdrawals!A184="","",Agent07_Withdrawals!F184)</f>
        <v/>
      </c>
      <c r="G1379" s="39" t="str">
        <f>IF(Agent07_Withdrawals!A184="","",Agent07_Withdrawals!E184)</f>
        <v/>
      </c>
      <c r="H1379" s="39" t="str">
        <f>IF(Agent07_Withdrawals!A184="","",Agent07_Withdrawals!G184)</f>
        <v/>
      </c>
      <c r="I1379" s="37" t="str">
        <f>IF(Agent07_Withdrawals!A184="","",Agent07_Withdrawals!H184)</f>
        <v/>
      </c>
      <c r="J1379" s="37" t="str">
        <f>IF(Agent07_Withdrawals!A184="","",Agent07_Withdrawals!J184)</f>
        <v/>
      </c>
      <c r="K1379" s="37" t="str">
        <f>IF(Agent07_Withdrawals!A184="","",Agent07_Withdrawals!K184)</f>
        <v/>
      </c>
      <c r="L1379" s="37" t="str">
        <f>IF(G1379="","",IF(D1379-G1379&gt;=System_Config!$B$9,"✅ OK","⚠️ BREACH"))</f>
        <v/>
      </c>
      <c r="M1379" s="37" t="str">
        <f>IFERROR(IF(Agent07_Withdrawals!A184="","",YEAR(Agent07_Withdrawals!D184)),"")</f>
        <v/>
      </c>
    </row>
    <row r="1380" spans="1:13" ht="18" customHeight="1" x14ac:dyDescent="0.25">
      <c r="A1380" s="37" t="str">
        <f>IF(Agent07_Withdrawals!A185="","",Agent07_Withdrawals!A185)</f>
        <v/>
      </c>
      <c r="B1380" s="37" t="str">
        <f ca="1">IF(Agent07_Withdrawals!A185="","","WD"&amp;TEXT(1380-3,"0000")&amp;"-"&amp;TEXT(TODAY(),"YYYYMMDD"))</f>
        <v/>
      </c>
      <c r="C1380" s="37" t="str">
        <f>IF(Agent07_Withdrawals!A185="","",Agent07_Withdrawals!B185)</f>
        <v/>
      </c>
      <c r="D1380" s="40" t="str">
        <f>IF(Agent07_Withdrawals!A185="","",Agent07_Withdrawals!C185)</f>
        <v/>
      </c>
      <c r="E1380" s="38" t="str">
        <f>IF(Agent07_Withdrawals!A185="","",Agent07_Withdrawals!D185)</f>
        <v/>
      </c>
      <c r="F1380" s="37" t="str">
        <f>IF(Agent07_Withdrawals!A185="","",Agent07_Withdrawals!F185)</f>
        <v/>
      </c>
      <c r="G1380" s="39" t="str">
        <f>IF(Agent07_Withdrawals!A185="","",Agent07_Withdrawals!E185)</f>
        <v/>
      </c>
      <c r="H1380" s="39" t="str">
        <f>IF(Agent07_Withdrawals!A185="","",Agent07_Withdrawals!G185)</f>
        <v/>
      </c>
      <c r="I1380" s="37" t="str">
        <f>IF(Agent07_Withdrawals!A185="","",Agent07_Withdrawals!H185)</f>
        <v/>
      </c>
      <c r="J1380" s="37" t="str">
        <f>IF(Agent07_Withdrawals!A185="","",Agent07_Withdrawals!J185)</f>
        <v/>
      </c>
      <c r="K1380" s="37" t="str">
        <f>IF(Agent07_Withdrawals!A185="","",Agent07_Withdrawals!K185)</f>
        <v/>
      </c>
      <c r="L1380" s="37" t="str">
        <f>IF(G1380="","",IF(D1380-G1380&gt;=System_Config!$B$9,"✅ OK","⚠️ BREACH"))</f>
        <v/>
      </c>
      <c r="M1380" s="37" t="str">
        <f>IFERROR(IF(Agent07_Withdrawals!A185="","",YEAR(Agent07_Withdrawals!D185)),"")</f>
        <v/>
      </c>
    </row>
    <row r="1381" spans="1:13" ht="18" customHeight="1" x14ac:dyDescent="0.25">
      <c r="A1381" s="37" t="str">
        <f>IF(Agent07_Withdrawals!A186="","",Agent07_Withdrawals!A186)</f>
        <v/>
      </c>
      <c r="B1381" s="37" t="str">
        <f ca="1">IF(Agent07_Withdrawals!A186="","","WD"&amp;TEXT(1381-3,"0000")&amp;"-"&amp;TEXT(TODAY(),"YYYYMMDD"))</f>
        <v/>
      </c>
      <c r="C1381" s="37" t="str">
        <f>IF(Agent07_Withdrawals!A186="","",Agent07_Withdrawals!B186)</f>
        <v/>
      </c>
      <c r="D1381" s="40" t="str">
        <f>IF(Agent07_Withdrawals!A186="","",Agent07_Withdrawals!C186)</f>
        <v/>
      </c>
      <c r="E1381" s="38" t="str">
        <f>IF(Agent07_Withdrawals!A186="","",Agent07_Withdrawals!D186)</f>
        <v/>
      </c>
      <c r="F1381" s="37" t="str">
        <f>IF(Agent07_Withdrawals!A186="","",Agent07_Withdrawals!F186)</f>
        <v/>
      </c>
      <c r="G1381" s="39" t="str">
        <f>IF(Agent07_Withdrawals!A186="","",Agent07_Withdrawals!E186)</f>
        <v/>
      </c>
      <c r="H1381" s="39" t="str">
        <f>IF(Agent07_Withdrawals!A186="","",Agent07_Withdrawals!G186)</f>
        <v/>
      </c>
      <c r="I1381" s="37" t="str">
        <f>IF(Agent07_Withdrawals!A186="","",Agent07_Withdrawals!H186)</f>
        <v/>
      </c>
      <c r="J1381" s="37" t="str">
        <f>IF(Agent07_Withdrawals!A186="","",Agent07_Withdrawals!J186)</f>
        <v/>
      </c>
      <c r="K1381" s="37" t="str">
        <f>IF(Agent07_Withdrawals!A186="","",Agent07_Withdrawals!K186)</f>
        <v/>
      </c>
      <c r="L1381" s="37" t="str">
        <f>IF(G1381="","",IF(D1381-G1381&gt;=System_Config!$B$9,"✅ OK","⚠️ BREACH"))</f>
        <v/>
      </c>
      <c r="M1381" s="37" t="str">
        <f>IFERROR(IF(Agent07_Withdrawals!A186="","",YEAR(Agent07_Withdrawals!D186)),"")</f>
        <v/>
      </c>
    </row>
    <row r="1382" spans="1:13" ht="18" customHeight="1" x14ac:dyDescent="0.25">
      <c r="A1382" s="37" t="str">
        <f>IF(Agent07_Withdrawals!A187="","",Agent07_Withdrawals!A187)</f>
        <v/>
      </c>
      <c r="B1382" s="37" t="str">
        <f ca="1">IF(Agent07_Withdrawals!A187="","","WD"&amp;TEXT(1382-3,"0000")&amp;"-"&amp;TEXT(TODAY(),"YYYYMMDD"))</f>
        <v/>
      </c>
      <c r="C1382" s="37" t="str">
        <f>IF(Agent07_Withdrawals!A187="","",Agent07_Withdrawals!B187)</f>
        <v/>
      </c>
      <c r="D1382" s="40" t="str">
        <f>IF(Agent07_Withdrawals!A187="","",Agent07_Withdrawals!C187)</f>
        <v/>
      </c>
      <c r="E1382" s="38" t="str">
        <f>IF(Agent07_Withdrawals!A187="","",Agent07_Withdrawals!D187)</f>
        <v/>
      </c>
      <c r="F1382" s="37" t="str">
        <f>IF(Agent07_Withdrawals!A187="","",Agent07_Withdrawals!F187)</f>
        <v/>
      </c>
      <c r="G1382" s="39" t="str">
        <f>IF(Agent07_Withdrawals!A187="","",Agent07_Withdrawals!E187)</f>
        <v/>
      </c>
      <c r="H1382" s="39" t="str">
        <f>IF(Agent07_Withdrawals!A187="","",Agent07_Withdrawals!G187)</f>
        <v/>
      </c>
      <c r="I1382" s="37" t="str">
        <f>IF(Agent07_Withdrawals!A187="","",Agent07_Withdrawals!H187)</f>
        <v/>
      </c>
      <c r="J1382" s="37" t="str">
        <f>IF(Agent07_Withdrawals!A187="","",Agent07_Withdrawals!J187)</f>
        <v/>
      </c>
      <c r="K1382" s="37" t="str">
        <f>IF(Agent07_Withdrawals!A187="","",Agent07_Withdrawals!K187)</f>
        <v/>
      </c>
      <c r="L1382" s="37" t="str">
        <f>IF(G1382="","",IF(D1382-G1382&gt;=System_Config!$B$9,"✅ OK","⚠️ BREACH"))</f>
        <v/>
      </c>
      <c r="M1382" s="37" t="str">
        <f>IFERROR(IF(Agent07_Withdrawals!A187="","",YEAR(Agent07_Withdrawals!D187)),"")</f>
        <v/>
      </c>
    </row>
    <row r="1383" spans="1:13" ht="18" customHeight="1" x14ac:dyDescent="0.25">
      <c r="A1383" s="37" t="str">
        <f>IF(Agent07_Withdrawals!A188="","",Agent07_Withdrawals!A188)</f>
        <v/>
      </c>
      <c r="B1383" s="37" t="str">
        <f ca="1">IF(Agent07_Withdrawals!A188="","","WD"&amp;TEXT(1383-3,"0000")&amp;"-"&amp;TEXT(TODAY(),"YYYYMMDD"))</f>
        <v/>
      </c>
      <c r="C1383" s="37" t="str">
        <f>IF(Agent07_Withdrawals!A188="","",Agent07_Withdrawals!B188)</f>
        <v/>
      </c>
      <c r="D1383" s="40" t="str">
        <f>IF(Agent07_Withdrawals!A188="","",Agent07_Withdrawals!C188)</f>
        <v/>
      </c>
      <c r="E1383" s="38" t="str">
        <f>IF(Agent07_Withdrawals!A188="","",Agent07_Withdrawals!D188)</f>
        <v/>
      </c>
      <c r="F1383" s="37" t="str">
        <f>IF(Agent07_Withdrawals!A188="","",Agent07_Withdrawals!F188)</f>
        <v/>
      </c>
      <c r="G1383" s="39" t="str">
        <f>IF(Agent07_Withdrawals!A188="","",Agent07_Withdrawals!E188)</f>
        <v/>
      </c>
      <c r="H1383" s="39" t="str">
        <f>IF(Agent07_Withdrawals!A188="","",Agent07_Withdrawals!G188)</f>
        <v/>
      </c>
      <c r="I1383" s="37" t="str">
        <f>IF(Agent07_Withdrawals!A188="","",Agent07_Withdrawals!H188)</f>
        <v/>
      </c>
      <c r="J1383" s="37" t="str">
        <f>IF(Agent07_Withdrawals!A188="","",Agent07_Withdrawals!J188)</f>
        <v/>
      </c>
      <c r="K1383" s="37" t="str">
        <f>IF(Agent07_Withdrawals!A188="","",Agent07_Withdrawals!K188)</f>
        <v/>
      </c>
      <c r="L1383" s="37" t="str">
        <f>IF(G1383="","",IF(D1383-G1383&gt;=System_Config!$B$9,"✅ OK","⚠️ BREACH"))</f>
        <v/>
      </c>
      <c r="M1383" s="37" t="str">
        <f>IFERROR(IF(Agent07_Withdrawals!A188="","",YEAR(Agent07_Withdrawals!D188)),"")</f>
        <v/>
      </c>
    </row>
    <row r="1384" spans="1:13" ht="18" customHeight="1" x14ac:dyDescent="0.25">
      <c r="A1384" s="37" t="str">
        <f>IF(Agent07_Withdrawals!A189="","",Agent07_Withdrawals!A189)</f>
        <v/>
      </c>
      <c r="B1384" s="37" t="str">
        <f ca="1">IF(Agent07_Withdrawals!A189="","","WD"&amp;TEXT(1384-3,"0000")&amp;"-"&amp;TEXT(TODAY(),"YYYYMMDD"))</f>
        <v/>
      </c>
      <c r="C1384" s="37" t="str">
        <f>IF(Agent07_Withdrawals!A189="","",Agent07_Withdrawals!B189)</f>
        <v/>
      </c>
      <c r="D1384" s="40" t="str">
        <f>IF(Agent07_Withdrawals!A189="","",Agent07_Withdrawals!C189)</f>
        <v/>
      </c>
      <c r="E1384" s="38" t="str">
        <f>IF(Agent07_Withdrawals!A189="","",Agent07_Withdrawals!D189)</f>
        <v/>
      </c>
      <c r="F1384" s="37" t="str">
        <f>IF(Agent07_Withdrawals!A189="","",Agent07_Withdrawals!F189)</f>
        <v/>
      </c>
      <c r="G1384" s="39" t="str">
        <f>IF(Agent07_Withdrawals!A189="","",Agent07_Withdrawals!E189)</f>
        <v/>
      </c>
      <c r="H1384" s="39" t="str">
        <f>IF(Agent07_Withdrawals!A189="","",Agent07_Withdrawals!G189)</f>
        <v/>
      </c>
      <c r="I1384" s="37" t="str">
        <f>IF(Agent07_Withdrawals!A189="","",Agent07_Withdrawals!H189)</f>
        <v/>
      </c>
      <c r="J1384" s="37" t="str">
        <f>IF(Agent07_Withdrawals!A189="","",Agent07_Withdrawals!J189)</f>
        <v/>
      </c>
      <c r="K1384" s="37" t="str">
        <f>IF(Agent07_Withdrawals!A189="","",Agent07_Withdrawals!K189)</f>
        <v/>
      </c>
      <c r="L1384" s="37" t="str">
        <f>IF(G1384="","",IF(D1384-G1384&gt;=System_Config!$B$9,"✅ OK","⚠️ BREACH"))</f>
        <v/>
      </c>
      <c r="M1384" s="37" t="str">
        <f>IFERROR(IF(Agent07_Withdrawals!A189="","",YEAR(Agent07_Withdrawals!D189)),"")</f>
        <v/>
      </c>
    </row>
    <row r="1385" spans="1:13" ht="18" customHeight="1" x14ac:dyDescent="0.25">
      <c r="A1385" s="37" t="str">
        <f>IF(Agent07_Withdrawals!A190="","",Agent07_Withdrawals!A190)</f>
        <v/>
      </c>
      <c r="B1385" s="37" t="str">
        <f ca="1">IF(Agent07_Withdrawals!A190="","","WD"&amp;TEXT(1385-3,"0000")&amp;"-"&amp;TEXT(TODAY(),"YYYYMMDD"))</f>
        <v/>
      </c>
      <c r="C1385" s="37" t="str">
        <f>IF(Agent07_Withdrawals!A190="","",Agent07_Withdrawals!B190)</f>
        <v/>
      </c>
      <c r="D1385" s="40" t="str">
        <f>IF(Agent07_Withdrawals!A190="","",Agent07_Withdrawals!C190)</f>
        <v/>
      </c>
      <c r="E1385" s="38" t="str">
        <f>IF(Agent07_Withdrawals!A190="","",Agent07_Withdrawals!D190)</f>
        <v/>
      </c>
      <c r="F1385" s="37" t="str">
        <f>IF(Agent07_Withdrawals!A190="","",Agent07_Withdrawals!F190)</f>
        <v/>
      </c>
      <c r="G1385" s="39" t="str">
        <f>IF(Agent07_Withdrawals!A190="","",Agent07_Withdrawals!E190)</f>
        <v/>
      </c>
      <c r="H1385" s="39" t="str">
        <f>IF(Agent07_Withdrawals!A190="","",Agent07_Withdrawals!G190)</f>
        <v/>
      </c>
      <c r="I1385" s="37" t="str">
        <f>IF(Agent07_Withdrawals!A190="","",Agent07_Withdrawals!H190)</f>
        <v/>
      </c>
      <c r="J1385" s="37" t="str">
        <f>IF(Agent07_Withdrawals!A190="","",Agent07_Withdrawals!J190)</f>
        <v/>
      </c>
      <c r="K1385" s="37" t="str">
        <f>IF(Agent07_Withdrawals!A190="","",Agent07_Withdrawals!K190)</f>
        <v/>
      </c>
      <c r="L1385" s="37" t="str">
        <f>IF(G1385="","",IF(D1385-G1385&gt;=System_Config!$B$9,"✅ OK","⚠️ BREACH"))</f>
        <v/>
      </c>
      <c r="M1385" s="37" t="str">
        <f>IFERROR(IF(Agent07_Withdrawals!A190="","",YEAR(Agent07_Withdrawals!D190)),"")</f>
        <v/>
      </c>
    </row>
    <row r="1386" spans="1:13" ht="18" customHeight="1" x14ac:dyDescent="0.25">
      <c r="A1386" s="37" t="str">
        <f>IF(Agent07_Withdrawals!A191="","",Agent07_Withdrawals!A191)</f>
        <v/>
      </c>
      <c r="B1386" s="37" t="str">
        <f ca="1">IF(Agent07_Withdrawals!A191="","","WD"&amp;TEXT(1386-3,"0000")&amp;"-"&amp;TEXT(TODAY(),"YYYYMMDD"))</f>
        <v/>
      </c>
      <c r="C1386" s="37" t="str">
        <f>IF(Agent07_Withdrawals!A191="","",Agent07_Withdrawals!B191)</f>
        <v/>
      </c>
      <c r="D1386" s="40" t="str">
        <f>IF(Agent07_Withdrawals!A191="","",Agent07_Withdrawals!C191)</f>
        <v/>
      </c>
      <c r="E1386" s="38" t="str">
        <f>IF(Agent07_Withdrawals!A191="","",Agent07_Withdrawals!D191)</f>
        <v/>
      </c>
      <c r="F1386" s="37" t="str">
        <f>IF(Agent07_Withdrawals!A191="","",Agent07_Withdrawals!F191)</f>
        <v/>
      </c>
      <c r="G1386" s="39" t="str">
        <f>IF(Agent07_Withdrawals!A191="","",Agent07_Withdrawals!E191)</f>
        <v/>
      </c>
      <c r="H1386" s="39" t="str">
        <f>IF(Agent07_Withdrawals!A191="","",Agent07_Withdrawals!G191)</f>
        <v/>
      </c>
      <c r="I1386" s="37" t="str">
        <f>IF(Agent07_Withdrawals!A191="","",Agent07_Withdrawals!H191)</f>
        <v/>
      </c>
      <c r="J1386" s="37" t="str">
        <f>IF(Agent07_Withdrawals!A191="","",Agent07_Withdrawals!J191)</f>
        <v/>
      </c>
      <c r="K1386" s="37" t="str">
        <f>IF(Agent07_Withdrawals!A191="","",Agent07_Withdrawals!K191)</f>
        <v/>
      </c>
      <c r="L1386" s="37" t="str">
        <f>IF(G1386="","",IF(D1386-G1386&gt;=System_Config!$B$9,"✅ OK","⚠️ BREACH"))</f>
        <v/>
      </c>
      <c r="M1386" s="37" t="str">
        <f>IFERROR(IF(Agent07_Withdrawals!A191="","",YEAR(Agent07_Withdrawals!D191)),"")</f>
        <v/>
      </c>
    </row>
    <row r="1387" spans="1:13" ht="18" customHeight="1" x14ac:dyDescent="0.25">
      <c r="A1387" s="37" t="str">
        <f>IF(Agent07_Withdrawals!A192="","",Agent07_Withdrawals!A192)</f>
        <v/>
      </c>
      <c r="B1387" s="37" t="str">
        <f ca="1">IF(Agent07_Withdrawals!A192="","","WD"&amp;TEXT(1387-3,"0000")&amp;"-"&amp;TEXT(TODAY(),"YYYYMMDD"))</f>
        <v/>
      </c>
      <c r="C1387" s="37" t="str">
        <f>IF(Agent07_Withdrawals!A192="","",Agent07_Withdrawals!B192)</f>
        <v/>
      </c>
      <c r="D1387" s="40" t="str">
        <f>IF(Agent07_Withdrawals!A192="","",Agent07_Withdrawals!C192)</f>
        <v/>
      </c>
      <c r="E1387" s="38" t="str">
        <f>IF(Agent07_Withdrawals!A192="","",Agent07_Withdrawals!D192)</f>
        <v/>
      </c>
      <c r="F1387" s="37" t="str">
        <f>IF(Agent07_Withdrawals!A192="","",Agent07_Withdrawals!F192)</f>
        <v/>
      </c>
      <c r="G1387" s="39" t="str">
        <f>IF(Agent07_Withdrawals!A192="","",Agent07_Withdrawals!E192)</f>
        <v/>
      </c>
      <c r="H1387" s="39" t="str">
        <f>IF(Agent07_Withdrawals!A192="","",Agent07_Withdrawals!G192)</f>
        <v/>
      </c>
      <c r="I1387" s="37" t="str">
        <f>IF(Agent07_Withdrawals!A192="","",Agent07_Withdrawals!H192)</f>
        <v/>
      </c>
      <c r="J1387" s="37" t="str">
        <f>IF(Agent07_Withdrawals!A192="","",Agent07_Withdrawals!J192)</f>
        <v/>
      </c>
      <c r="K1387" s="37" t="str">
        <f>IF(Agent07_Withdrawals!A192="","",Agent07_Withdrawals!K192)</f>
        <v/>
      </c>
      <c r="L1387" s="37" t="str">
        <f>IF(G1387="","",IF(D1387-G1387&gt;=System_Config!$B$9,"✅ OK","⚠️ BREACH"))</f>
        <v/>
      </c>
      <c r="M1387" s="37" t="str">
        <f>IFERROR(IF(Agent07_Withdrawals!A192="","",YEAR(Agent07_Withdrawals!D192)),"")</f>
        <v/>
      </c>
    </row>
    <row r="1388" spans="1:13" ht="18" customHeight="1" x14ac:dyDescent="0.25">
      <c r="A1388" s="37" t="str">
        <f>IF(Agent07_Withdrawals!A193="","",Agent07_Withdrawals!A193)</f>
        <v/>
      </c>
      <c r="B1388" s="37" t="str">
        <f ca="1">IF(Agent07_Withdrawals!A193="","","WD"&amp;TEXT(1388-3,"0000")&amp;"-"&amp;TEXT(TODAY(),"YYYYMMDD"))</f>
        <v/>
      </c>
      <c r="C1388" s="37" t="str">
        <f>IF(Agent07_Withdrawals!A193="","",Agent07_Withdrawals!B193)</f>
        <v/>
      </c>
      <c r="D1388" s="40" t="str">
        <f>IF(Agent07_Withdrawals!A193="","",Agent07_Withdrawals!C193)</f>
        <v/>
      </c>
      <c r="E1388" s="38" t="str">
        <f>IF(Agent07_Withdrawals!A193="","",Agent07_Withdrawals!D193)</f>
        <v/>
      </c>
      <c r="F1388" s="37" t="str">
        <f>IF(Agent07_Withdrawals!A193="","",Agent07_Withdrawals!F193)</f>
        <v/>
      </c>
      <c r="G1388" s="39" t="str">
        <f>IF(Agent07_Withdrawals!A193="","",Agent07_Withdrawals!E193)</f>
        <v/>
      </c>
      <c r="H1388" s="39" t="str">
        <f>IF(Agent07_Withdrawals!A193="","",Agent07_Withdrawals!G193)</f>
        <v/>
      </c>
      <c r="I1388" s="37" t="str">
        <f>IF(Agent07_Withdrawals!A193="","",Agent07_Withdrawals!H193)</f>
        <v/>
      </c>
      <c r="J1388" s="37" t="str">
        <f>IF(Agent07_Withdrawals!A193="","",Agent07_Withdrawals!J193)</f>
        <v/>
      </c>
      <c r="K1388" s="37" t="str">
        <f>IF(Agent07_Withdrawals!A193="","",Agent07_Withdrawals!K193)</f>
        <v/>
      </c>
      <c r="L1388" s="37" t="str">
        <f>IF(G1388="","",IF(D1388-G1388&gt;=System_Config!$B$9,"✅ OK","⚠️ BREACH"))</f>
        <v/>
      </c>
      <c r="M1388" s="37" t="str">
        <f>IFERROR(IF(Agent07_Withdrawals!A193="","",YEAR(Agent07_Withdrawals!D193)),"")</f>
        <v/>
      </c>
    </row>
    <row r="1389" spans="1:13" ht="18" customHeight="1" x14ac:dyDescent="0.25">
      <c r="A1389" s="37" t="str">
        <f>IF(Agent07_Withdrawals!A194="","",Agent07_Withdrawals!A194)</f>
        <v/>
      </c>
      <c r="B1389" s="37" t="str">
        <f ca="1">IF(Agent07_Withdrawals!A194="","","WD"&amp;TEXT(1389-3,"0000")&amp;"-"&amp;TEXT(TODAY(),"YYYYMMDD"))</f>
        <v/>
      </c>
      <c r="C1389" s="37" t="str">
        <f>IF(Agent07_Withdrawals!A194="","",Agent07_Withdrawals!B194)</f>
        <v/>
      </c>
      <c r="D1389" s="40" t="str">
        <f>IF(Agent07_Withdrawals!A194="","",Agent07_Withdrawals!C194)</f>
        <v/>
      </c>
      <c r="E1389" s="38" t="str">
        <f>IF(Agent07_Withdrawals!A194="","",Agent07_Withdrawals!D194)</f>
        <v/>
      </c>
      <c r="F1389" s="37" t="str">
        <f>IF(Agent07_Withdrawals!A194="","",Agent07_Withdrawals!F194)</f>
        <v/>
      </c>
      <c r="G1389" s="39" t="str">
        <f>IF(Agent07_Withdrawals!A194="","",Agent07_Withdrawals!E194)</f>
        <v/>
      </c>
      <c r="H1389" s="39" t="str">
        <f>IF(Agent07_Withdrawals!A194="","",Agent07_Withdrawals!G194)</f>
        <v/>
      </c>
      <c r="I1389" s="37" t="str">
        <f>IF(Agent07_Withdrawals!A194="","",Agent07_Withdrawals!H194)</f>
        <v/>
      </c>
      <c r="J1389" s="37" t="str">
        <f>IF(Agent07_Withdrawals!A194="","",Agent07_Withdrawals!J194)</f>
        <v/>
      </c>
      <c r="K1389" s="37" t="str">
        <f>IF(Agent07_Withdrawals!A194="","",Agent07_Withdrawals!K194)</f>
        <v/>
      </c>
      <c r="L1389" s="37" t="str">
        <f>IF(G1389="","",IF(D1389-G1389&gt;=System_Config!$B$9,"✅ OK","⚠️ BREACH"))</f>
        <v/>
      </c>
      <c r="M1389" s="37" t="str">
        <f>IFERROR(IF(Agent07_Withdrawals!A194="","",YEAR(Agent07_Withdrawals!D194)),"")</f>
        <v/>
      </c>
    </row>
    <row r="1390" spans="1:13" ht="18" customHeight="1" x14ac:dyDescent="0.25">
      <c r="A1390" s="37" t="str">
        <f>IF(Agent07_Withdrawals!A195="","",Agent07_Withdrawals!A195)</f>
        <v/>
      </c>
      <c r="B1390" s="37" t="str">
        <f ca="1">IF(Agent07_Withdrawals!A195="","","WD"&amp;TEXT(1390-3,"0000")&amp;"-"&amp;TEXT(TODAY(),"YYYYMMDD"))</f>
        <v/>
      </c>
      <c r="C1390" s="37" t="str">
        <f>IF(Agent07_Withdrawals!A195="","",Agent07_Withdrawals!B195)</f>
        <v/>
      </c>
      <c r="D1390" s="40" t="str">
        <f>IF(Agent07_Withdrawals!A195="","",Agent07_Withdrawals!C195)</f>
        <v/>
      </c>
      <c r="E1390" s="38" t="str">
        <f>IF(Agent07_Withdrawals!A195="","",Agent07_Withdrawals!D195)</f>
        <v/>
      </c>
      <c r="F1390" s="37" t="str">
        <f>IF(Agent07_Withdrawals!A195="","",Agent07_Withdrawals!F195)</f>
        <v/>
      </c>
      <c r="G1390" s="39" t="str">
        <f>IF(Agent07_Withdrawals!A195="","",Agent07_Withdrawals!E195)</f>
        <v/>
      </c>
      <c r="H1390" s="39" t="str">
        <f>IF(Agent07_Withdrawals!A195="","",Agent07_Withdrawals!G195)</f>
        <v/>
      </c>
      <c r="I1390" s="37" t="str">
        <f>IF(Agent07_Withdrawals!A195="","",Agent07_Withdrawals!H195)</f>
        <v/>
      </c>
      <c r="J1390" s="37" t="str">
        <f>IF(Agent07_Withdrawals!A195="","",Agent07_Withdrawals!J195)</f>
        <v/>
      </c>
      <c r="K1390" s="37" t="str">
        <f>IF(Agent07_Withdrawals!A195="","",Agent07_Withdrawals!K195)</f>
        <v/>
      </c>
      <c r="L1390" s="37" t="str">
        <f>IF(G1390="","",IF(D1390-G1390&gt;=System_Config!$B$9,"✅ OK","⚠️ BREACH"))</f>
        <v/>
      </c>
      <c r="M1390" s="37" t="str">
        <f>IFERROR(IF(Agent07_Withdrawals!A195="","",YEAR(Agent07_Withdrawals!D195)),"")</f>
        <v/>
      </c>
    </row>
    <row r="1391" spans="1:13" ht="18" customHeight="1" x14ac:dyDescent="0.25">
      <c r="A1391" s="37" t="str">
        <f>IF(Agent07_Withdrawals!A196="","",Agent07_Withdrawals!A196)</f>
        <v/>
      </c>
      <c r="B1391" s="37" t="str">
        <f ca="1">IF(Agent07_Withdrawals!A196="","","WD"&amp;TEXT(1391-3,"0000")&amp;"-"&amp;TEXT(TODAY(),"YYYYMMDD"))</f>
        <v/>
      </c>
      <c r="C1391" s="37" t="str">
        <f>IF(Agent07_Withdrawals!A196="","",Agent07_Withdrawals!B196)</f>
        <v/>
      </c>
      <c r="D1391" s="40" t="str">
        <f>IF(Agent07_Withdrawals!A196="","",Agent07_Withdrawals!C196)</f>
        <v/>
      </c>
      <c r="E1391" s="38" t="str">
        <f>IF(Agent07_Withdrawals!A196="","",Agent07_Withdrawals!D196)</f>
        <v/>
      </c>
      <c r="F1391" s="37" t="str">
        <f>IF(Agent07_Withdrawals!A196="","",Agent07_Withdrawals!F196)</f>
        <v/>
      </c>
      <c r="G1391" s="39" t="str">
        <f>IF(Agent07_Withdrawals!A196="","",Agent07_Withdrawals!E196)</f>
        <v/>
      </c>
      <c r="H1391" s="39" t="str">
        <f>IF(Agent07_Withdrawals!A196="","",Agent07_Withdrawals!G196)</f>
        <v/>
      </c>
      <c r="I1391" s="37" t="str">
        <f>IF(Agent07_Withdrawals!A196="","",Agent07_Withdrawals!H196)</f>
        <v/>
      </c>
      <c r="J1391" s="37" t="str">
        <f>IF(Agent07_Withdrawals!A196="","",Agent07_Withdrawals!J196)</f>
        <v/>
      </c>
      <c r="K1391" s="37" t="str">
        <f>IF(Agent07_Withdrawals!A196="","",Agent07_Withdrawals!K196)</f>
        <v/>
      </c>
      <c r="L1391" s="37" t="str">
        <f>IF(G1391="","",IF(D1391-G1391&gt;=System_Config!$B$9,"✅ OK","⚠️ BREACH"))</f>
        <v/>
      </c>
      <c r="M1391" s="37" t="str">
        <f>IFERROR(IF(Agent07_Withdrawals!A196="","",YEAR(Agent07_Withdrawals!D196)),"")</f>
        <v/>
      </c>
    </row>
    <row r="1392" spans="1:13" ht="18" customHeight="1" x14ac:dyDescent="0.25">
      <c r="A1392" s="37" t="str">
        <f>IF(Agent07_Withdrawals!A197="","",Agent07_Withdrawals!A197)</f>
        <v/>
      </c>
      <c r="B1392" s="37" t="str">
        <f ca="1">IF(Agent07_Withdrawals!A197="","","WD"&amp;TEXT(1392-3,"0000")&amp;"-"&amp;TEXT(TODAY(),"YYYYMMDD"))</f>
        <v/>
      </c>
      <c r="C1392" s="37" t="str">
        <f>IF(Agent07_Withdrawals!A197="","",Agent07_Withdrawals!B197)</f>
        <v/>
      </c>
      <c r="D1392" s="40" t="str">
        <f>IF(Agent07_Withdrawals!A197="","",Agent07_Withdrawals!C197)</f>
        <v/>
      </c>
      <c r="E1392" s="38" t="str">
        <f>IF(Agent07_Withdrawals!A197="","",Agent07_Withdrawals!D197)</f>
        <v/>
      </c>
      <c r="F1392" s="37" t="str">
        <f>IF(Agent07_Withdrawals!A197="","",Agent07_Withdrawals!F197)</f>
        <v/>
      </c>
      <c r="G1392" s="39" t="str">
        <f>IF(Agent07_Withdrawals!A197="","",Agent07_Withdrawals!E197)</f>
        <v/>
      </c>
      <c r="H1392" s="39" t="str">
        <f>IF(Agent07_Withdrawals!A197="","",Agent07_Withdrawals!G197)</f>
        <v/>
      </c>
      <c r="I1392" s="37" t="str">
        <f>IF(Agent07_Withdrawals!A197="","",Agent07_Withdrawals!H197)</f>
        <v/>
      </c>
      <c r="J1392" s="37" t="str">
        <f>IF(Agent07_Withdrawals!A197="","",Agent07_Withdrawals!J197)</f>
        <v/>
      </c>
      <c r="K1392" s="37" t="str">
        <f>IF(Agent07_Withdrawals!A197="","",Agent07_Withdrawals!K197)</f>
        <v/>
      </c>
      <c r="L1392" s="37" t="str">
        <f>IF(G1392="","",IF(D1392-G1392&gt;=System_Config!$B$9,"✅ OK","⚠️ BREACH"))</f>
        <v/>
      </c>
      <c r="M1392" s="37" t="str">
        <f>IFERROR(IF(Agent07_Withdrawals!A197="","",YEAR(Agent07_Withdrawals!D197)),"")</f>
        <v/>
      </c>
    </row>
    <row r="1393" spans="1:13" ht="18" customHeight="1" x14ac:dyDescent="0.25">
      <c r="A1393" s="37" t="str">
        <f>IF(Agent07_Withdrawals!A198="","",Agent07_Withdrawals!A198)</f>
        <v/>
      </c>
      <c r="B1393" s="37" t="str">
        <f ca="1">IF(Agent07_Withdrawals!A198="","","WD"&amp;TEXT(1393-3,"0000")&amp;"-"&amp;TEXT(TODAY(),"YYYYMMDD"))</f>
        <v/>
      </c>
      <c r="C1393" s="37" t="str">
        <f>IF(Agent07_Withdrawals!A198="","",Agent07_Withdrawals!B198)</f>
        <v/>
      </c>
      <c r="D1393" s="40" t="str">
        <f>IF(Agent07_Withdrawals!A198="","",Agent07_Withdrawals!C198)</f>
        <v/>
      </c>
      <c r="E1393" s="38" t="str">
        <f>IF(Agent07_Withdrawals!A198="","",Agent07_Withdrawals!D198)</f>
        <v/>
      </c>
      <c r="F1393" s="37" t="str">
        <f>IF(Agent07_Withdrawals!A198="","",Agent07_Withdrawals!F198)</f>
        <v/>
      </c>
      <c r="G1393" s="39" t="str">
        <f>IF(Agent07_Withdrawals!A198="","",Agent07_Withdrawals!E198)</f>
        <v/>
      </c>
      <c r="H1393" s="39" t="str">
        <f>IF(Agent07_Withdrawals!A198="","",Agent07_Withdrawals!G198)</f>
        <v/>
      </c>
      <c r="I1393" s="37" t="str">
        <f>IF(Agent07_Withdrawals!A198="","",Agent07_Withdrawals!H198)</f>
        <v/>
      </c>
      <c r="J1393" s="37" t="str">
        <f>IF(Agent07_Withdrawals!A198="","",Agent07_Withdrawals!J198)</f>
        <v/>
      </c>
      <c r="K1393" s="37" t="str">
        <f>IF(Agent07_Withdrawals!A198="","",Agent07_Withdrawals!K198)</f>
        <v/>
      </c>
      <c r="L1393" s="37" t="str">
        <f>IF(G1393="","",IF(D1393-G1393&gt;=System_Config!$B$9,"✅ OK","⚠️ BREACH"))</f>
        <v/>
      </c>
      <c r="M1393" s="37" t="str">
        <f>IFERROR(IF(Agent07_Withdrawals!A198="","",YEAR(Agent07_Withdrawals!D198)),"")</f>
        <v/>
      </c>
    </row>
    <row r="1394" spans="1:13" ht="18" customHeight="1" x14ac:dyDescent="0.25">
      <c r="A1394" s="37" t="str">
        <f>IF(Agent07_Withdrawals!A199="","",Agent07_Withdrawals!A199)</f>
        <v/>
      </c>
      <c r="B1394" s="37" t="str">
        <f ca="1">IF(Agent07_Withdrawals!A199="","","WD"&amp;TEXT(1394-3,"0000")&amp;"-"&amp;TEXT(TODAY(),"YYYYMMDD"))</f>
        <v/>
      </c>
      <c r="C1394" s="37" t="str">
        <f>IF(Agent07_Withdrawals!A199="","",Agent07_Withdrawals!B199)</f>
        <v/>
      </c>
      <c r="D1394" s="40" t="str">
        <f>IF(Agent07_Withdrawals!A199="","",Agent07_Withdrawals!C199)</f>
        <v/>
      </c>
      <c r="E1394" s="38" t="str">
        <f>IF(Agent07_Withdrawals!A199="","",Agent07_Withdrawals!D199)</f>
        <v/>
      </c>
      <c r="F1394" s="37" t="str">
        <f>IF(Agent07_Withdrawals!A199="","",Agent07_Withdrawals!F199)</f>
        <v/>
      </c>
      <c r="G1394" s="39" t="str">
        <f>IF(Agent07_Withdrawals!A199="","",Agent07_Withdrawals!E199)</f>
        <v/>
      </c>
      <c r="H1394" s="39" t="str">
        <f>IF(Agent07_Withdrawals!A199="","",Agent07_Withdrawals!G199)</f>
        <v/>
      </c>
      <c r="I1394" s="37" t="str">
        <f>IF(Agent07_Withdrawals!A199="","",Agent07_Withdrawals!H199)</f>
        <v/>
      </c>
      <c r="J1394" s="37" t="str">
        <f>IF(Agent07_Withdrawals!A199="","",Agent07_Withdrawals!J199)</f>
        <v/>
      </c>
      <c r="K1394" s="37" t="str">
        <f>IF(Agent07_Withdrawals!A199="","",Agent07_Withdrawals!K199)</f>
        <v/>
      </c>
      <c r="L1394" s="37" t="str">
        <f>IF(G1394="","",IF(D1394-G1394&gt;=System_Config!$B$9,"✅ OK","⚠️ BREACH"))</f>
        <v/>
      </c>
      <c r="M1394" s="37" t="str">
        <f>IFERROR(IF(Agent07_Withdrawals!A199="","",YEAR(Agent07_Withdrawals!D199)),"")</f>
        <v/>
      </c>
    </row>
    <row r="1395" spans="1:13" ht="18" customHeight="1" x14ac:dyDescent="0.25">
      <c r="A1395" s="37" t="str">
        <f>IF(Agent07_Withdrawals!A200="","",Agent07_Withdrawals!A200)</f>
        <v/>
      </c>
      <c r="B1395" s="37" t="str">
        <f ca="1">IF(Agent07_Withdrawals!A200="","","WD"&amp;TEXT(1395-3,"0000")&amp;"-"&amp;TEXT(TODAY(),"YYYYMMDD"))</f>
        <v/>
      </c>
      <c r="C1395" s="37" t="str">
        <f>IF(Agent07_Withdrawals!A200="","",Agent07_Withdrawals!B200)</f>
        <v/>
      </c>
      <c r="D1395" s="40" t="str">
        <f>IF(Agent07_Withdrawals!A200="","",Agent07_Withdrawals!C200)</f>
        <v/>
      </c>
      <c r="E1395" s="38" t="str">
        <f>IF(Agent07_Withdrawals!A200="","",Agent07_Withdrawals!D200)</f>
        <v/>
      </c>
      <c r="F1395" s="37" t="str">
        <f>IF(Agent07_Withdrawals!A200="","",Agent07_Withdrawals!F200)</f>
        <v/>
      </c>
      <c r="G1395" s="39" t="str">
        <f>IF(Agent07_Withdrawals!A200="","",Agent07_Withdrawals!E200)</f>
        <v/>
      </c>
      <c r="H1395" s="39" t="str">
        <f>IF(Agent07_Withdrawals!A200="","",Agent07_Withdrawals!G200)</f>
        <v/>
      </c>
      <c r="I1395" s="37" t="str">
        <f>IF(Agent07_Withdrawals!A200="","",Agent07_Withdrawals!H200)</f>
        <v/>
      </c>
      <c r="J1395" s="37" t="str">
        <f>IF(Agent07_Withdrawals!A200="","",Agent07_Withdrawals!J200)</f>
        <v/>
      </c>
      <c r="K1395" s="37" t="str">
        <f>IF(Agent07_Withdrawals!A200="","",Agent07_Withdrawals!K200)</f>
        <v/>
      </c>
      <c r="L1395" s="37" t="str">
        <f>IF(G1395="","",IF(D1395-G1395&gt;=System_Config!$B$9,"✅ OK","⚠️ BREACH"))</f>
        <v/>
      </c>
      <c r="M1395" s="37" t="str">
        <f>IFERROR(IF(Agent07_Withdrawals!A200="","",YEAR(Agent07_Withdrawals!D200)),"")</f>
        <v/>
      </c>
    </row>
    <row r="1396" spans="1:13" ht="18" customHeight="1" x14ac:dyDescent="0.25">
      <c r="A1396" s="37" t="str">
        <f>IF(Agent07_Withdrawals!A201="","",Agent07_Withdrawals!A201)</f>
        <v/>
      </c>
      <c r="B1396" s="37" t="str">
        <f ca="1">IF(Agent07_Withdrawals!A201="","","WD"&amp;TEXT(1396-3,"0000")&amp;"-"&amp;TEXT(TODAY(),"YYYYMMDD"))</f>
        <v/>
      </c>
      <c r="C1396" s="37" t="str">
        <f>IF(Agent07_Withdrawals!A201="","",Agent07_Withdrawals!B201)</f>
        <v/>
      </c>
      <c r="D1396" s="40" t="str">
        <f>IF(Agent07_Withdrawals!A201="","",Agent07_Withdrawals!C201)</f>
        <v/>
      </c>
      <c r="E1396" s="38" t="str">
        <f>IF(Agent07_Withdrawals!A201="","",Agent07_Withdrawals!D201)</f>
        <v/>
      </c>
      <c r="F1396" s="37" t="str">
        <f>IF(Agent07_Withdrawals!A201="","",Agent07_Withdrawals!F201)</f>
        <v/>
      </c>
      <c r="G1396" s="39" t="str">
        <f>IF(Agent07_Withdrawals!A201="","",Agent07_Withdrawals!E201)</f>
        <v/>
      </c>
      <c r="H1396" s="39" t="str">
        <f>IF(Agent07_Withdrawals!A201="","",Agent07_Withdrawals!G201)</f>
        <v/>
      </c>
      <c r="I1396" s="37" t="str">
        <f>IF(Agent07_Withdrawals!A201="","",Agent07_Withdrawals!H201)</f>
        <v/>
      </c>
      <c r="J1396" s="37" t="str">
        <f>IF(Agent07_Withdrawals!A201="","",Agent07_Withdrawals!J201)</f>
        <v/>
      </c>
      <c r="K1396" s="37" t="str">
        <f>IF(Agent07_Withdrawals!A201="","",Agent07_Withdrawals!K201)</f>
        <v/>
      </c>
      <c r="L1396" s="37" t="str">
        <f>IF(G1396="","",IF(D1396-G1396&gt;=System_Config!$B$9,"✅ OK","⚠️ BREACH"))</f>
        <v/>
      </c>
      <c r="M1396" s="37" t="str">
        <f>IFERROR(IF(Agent07_Withdrawals!A201="","",YEAR(Agent07_Withdrawals!D201)),"")</f>
        <v/>
      </c>
    </row>
    <row r="1397" spans="1:13" ht="18" customHeight="1" x14ac:dyDescent="0.25">
      <c r="A1397" s="37" t="str">
        <f>IF(Agent07_Withdrawals!A202="","",Agent07_Withdrawals!A202)</f>
        <v/>
      </c>
      <c r="B1397" s="37" t="str">
        <f ca="1">IF(Agent07_Withdrawals!A202="","","WD"&amp;TEXT(1397-3,"0000")&amp;"-"&amp;TEXT(TODAY(),"YYYYMMDD"))</f>
        <v/>
      </c>
      <c r="C1397" s="37" t="str">
        <f>IF(Agent07_Withdrawals!A202="","",Agent07_Withdrawals!B202)</f>
        <v/>
      </c>
      <c r="D1397" s="40" t="str">
        <f>IF(Agent07_Withdrawals!A202="","",Agent07_Withdrawals!C202)</f>
        <v/>
      </c>
      <c r="E1397" s="38" t="str">
        <f>IF(Agent07_Withdrawals!A202="","",Agent07_Withdrawals!D202)</f>
        <v/>
      </c>
      <c r="F1397" s="37" t="str">
        <f>IF(Agent07_Withdrawals!A202="","",Agent07_Withdrawals!F202)</f>
        <v/>
      </c>
      <c r="G1397" s="39" t="str">
        <f>IF(Agent07_Withdrawals!A202="","",Agent07_Withdrawals!E202)</f>
        <v/>
      </c>
      <c r="H1397" s="39" t="str">
        <f>IF(Agent07_Withdrawals!A202="","",Agent07_Withdrawals!G202)</f>
        <v/>
      </c>
      <c r="I1397" s="37" t="str">
        <f>IF(Agent07_Withdrawals!A202="","",Agent07_Withdrawals!H202)</f>
        <v/>
      </c>
      <c r="J1397" s="37" t="str">
        <f>IF(Agent07_Withdrawals!A202="","",Agent07_Withdrawals!J202)</f>
        <v/>
      </c>
      <c r="K1397" s="37" t="str">
        <f>IF(Agent07_Withdrawals!A202="","",Agent07_Withdrawals!K202)</f>
        <v/>
      </c>
      <c r="L1397" s="37" t="str">
        <f>IF(G1397="","",IF(D1397-G1397&gt;=System_Config!$B$9,"✅ OK","⚠️ BREACH"))</f>
        <v/>
      </c>
      <c r="M1397" s="37" t="str">
        <f>IFERROR(IF(Agent07_Withdrawals!A202="","",YEAR(Agent07_Withdrawals!D202)),"")</f>
        <v/>
      </c>
    </row>
    <row r="1398" spans="1:13" ht="18" customHeight="1" x14ac:dyDescent="0.25">
      <c r="A1398" s="37" t="str">
        <f>IF(Agent07_Withdrawals!A203="","",Agent07_Withdrawals!A203)</f>
        <v/>
      </c>
      <c r="B1398" s="37" t="str">
        <f ca="1">IF(Agent07_Withdrawals!A203="","","WD"&amp;TEXT(1398-3,"0000")&amp;"-"&amp;TEXT(TODAY(),"YYYYMMDD"))</f>
        <v/>
      </c>
      <c r="C1398" s="37" t="str">
        <f>IF(Agent07_Withdrawals!A203="","",Agent07_Withdrawals!B203)</f>
        <v/>
      </c>
      <c r="D1398" s="40" t="str">
        <f>IF(Agent07_Withdrawals!A203="","",Agent07_Withdrawals!C203)</f>
        <v/>
      </c>
      <c r="E1398" s="38" t="str">
        <f>IF(Agent07_Withdrawals!A203="","",Agent07_Withdrawals!D203)</f>
        <v/>
      </c>
      <c r="F1398" s="37" t="str">
        <f>IF(Agent07_Withdrawals!A203="","",Agent07_Withdrawals!F203)</f>
        <v/>
      </c>
      <c r="G1398" s="39" t="str">
        <f>IF(Agent07_Withdrawals!A203="","",Agent07_Withdrawals!E203)</f>
        <v/>
      </c>
      <c r="H1398" s="39" t="str">
        <f>IF(Agent07_Withdrawals!A203="","",Agent07_Withdrawals!G203)</f>
        <v/>
      </c>
      <c r="I1398" s="37" t="str">
        <f>IF(Agent07_Withdrawals!A203="","",Agent07_Withdrawals!H203)</f>
        <v/>
      </c>
      <c r="J1398" s="37" t="str">
        <f>IF(Agent07_Withdrawals!A203="","",Agent07_Withdrawals!J203)</f>
        <v/>
      </c>
      <c r="K1398" s="37" t="str">
        <f>IF(Agent07_Withdrawals!A203="","",Agent07_Withdrawals!K203)</f>
        <v/>
      </c>
      <c r="L1398" s="37" t="str">
        <f>IF(G1398="","",IF(D1398-G1398&gt;=System_Config!$B$9,"✅ OK","⚠️ BREACH"))</f>
        <v/>
      </c>
      <c r="M1398" s="37" t="str">
        <f>IFERROR(IF(Agent07_Withdrawals!A203="","",YEAR(Agent07_Withdrawals!D203)),"")</f>
        <v/>
      </c>
    </row>
    <row r="1399" spans="1:13" ht="18" customHeight="1" x14ac:dyDescent="0.25">
      <c r="A1399" s="37" t="str">
        <f>IF(Agent07_Withdrawals!A204="","",Agent07_Withdrawals!A204)</f>
        <v/>
      </c>
      <c r="B1399" s="37" t="str">
        <f ca="1">IF(Agent07_Withdrawals!A204="","","WD"&amp;TEXT(1399-3,"0000")&amp;"-"&amp;TEXT(TODAY(),"YYYYMMDD"))</f>
        <v/>
      </c>
      <c r="C1399" s="37" t="str">
        <f>IF(Agent07_Withdrawals!A204="","",Agent07_Withdrawals!B204)</f>
        <v/>
      </c>
      <c r="D1399" s="40" t="str">
        <f>IF(Agent07_Withdrawals!A204="","",Agent07_Withdrawals!C204)</f>
        <v/>
      </c>
      <c r="E1399" s="38" t="str">
        <f>IF(Agent07_Withdrawals!A204="","",Agent07_Withdrawals!D204)</f>
        <v/>
      </c>
      <c r="F1399" s="37" t="str">
        <f>IF(Agent07_Withdrawals!A204="","",Agent07_Withdrawals!F204)</f>
        <v/>
      </c>
      <c r="G1399" s="39" t="str">
        <f>IF(Agent07_Withdrawals!A204="","",Agent07_Withdrawals!E204)</f>
        <v/>
      </c>
      <c r="H1399" s="39" t="str">
        <f>IF(Agent07_Withdrawals!A204="","",Agent07_Withdrawals!G204)</f>
        <v/>
      </c>
      <c r="I1399" s="37" t="str">
        <f>IF(Agent07_Withdrawals!A204="","",Agent07_Withdrawals!H204)</f>
        <v/>
      </c>
      <c r="J1399" s="37" t="str">
        <f>IF(Agent07_Withdrawals!A204="","",Agent07_Withdrawals!J204)</f>
        <v/>
      </c>
      <c r="K1399" s="37" t="str">
        <f>IF(Agent07_Withdrawals!A204="","",Agent07_Withdrawals!K204)</f>
        <v/>
      </c>
      <c r="L1399" s="37" t="str">
        <f>IF(G1399="","",IF(D1399-G1399&gt;=System_Config!$B$9,"✅ OK","⚠️ BREACH"))</f>
        <v/>
      </c>
      <c r="M1399" s="37" t="str">
        <f>IFERROR(IF(Agent07_Withdrawals!A204="","",YEAR(Agent07_Withdrawals!D204)),"")</f>
        <v/>
      </c>
    </row>
    <row r="1400" spans="1:13" ht="18" customHeight="1" x14ac:dyDescent="0.25">
      <c r="A1400" s="37" t="str">
        <f>IF(Agent07_Withdrawals!A205="","",Agent07_Withdrawals!A205)</f>
        <v/>
      </c>
      <c r="B1400" s="37" t="str">
        <f ca="1">IF(Agent07_Withdrawals!A205="","","WD"&amp;TEXT(1400-3,"0000")&amp;"-"&amp;TEXT(TODAY(),"YYYYMMDD"))</f>
        <v/>
      </c>
      <c r="C1400" s="37" t="str">
        <f>IF(Agent07_Withdrawals!A205="","",Agent07_Withdrawals!B205)</f>
        <v/>
      </c>
      <c r="D1400" s="40" t="str">
        <f>IF(Agent07_Withdrawals!A205="","",Agent07_Withdrawals!C205)</f>
        <v/>
      </c>
      <c r="E1400" s="38" t="str">
        <f>IF(Agent07_Withdrawals!A205="","",Agent07_Withdrawals!D205)</f>
        <v/>
      </c>
      <c r="F1400" s="37" t="str">
        <f>IF(Agent07_Withdrawals!A205="","",Agent07_Withdrawals!F205)</f>
        <v/>
      </c>
      <c r="G1400" s="39" t="str">
        <f>IF(Agent07_Withdrawals!A205="","",Agent07_Withdrawals!E205)</f>
        <v/>
      </c>
      <c r="H1400" s="39" t="str">
        <f>IF(Agent07_Withdrawals!A205="","",Agent07_Withdrawals!G205)</f>
        <v/>
      </c>
      <c r="I1400" s="37" t="str">
        <f>IF(Agent07_Withdrawals!A205="","",Agent07_Withdrawals!H205)</f>
        <v/>
      </c>
      <c r="J1400" s="37" t="str">
        <f>IF(Agent07_Withdrawals!A205="","",Agent07_Withdrawals!J205)</f>
        <v/>
      </c>
      <c r="K1400" s="37" t="str">
        <f>IF(Agent07_Withdrawals!A205="","",Agent07_Withdrawals!K205)</f>
        <v/>
      </c>
      <c r="L1400" s="37" t="str">
        <f>IF(G1400="","",IF(D1400-G1400&gt;=System_Config!$B$9,"✅ OK","⚠️ BREACH"))</f>
        <v/>
      </c>
      <c r="M1400" s="37" t="str">
        <f>IFERROR(IF(Agent07_Withdrawals!A205="","",YEAR(Agent07_Withdrawals!D205)),"")</f>
        <v/>
      </c>
    </row>
    <row r="1401" spans="1:13" ht="18" customHeight="1" x14ac:dyDescent="0.25">
      <c r="A1401" s="37" t="str">
        <f>IF(Agent07_Withdrawals!A206="","",Agent07_Withdrawals!A206)</f>
        <v/>
      </c>
      <c r="B1401" s="37" t="str">
        <f ca="1">IF(Agent07_Withdrawals!A206="","","WD"&amp;TEXT(1401-3,"0000")&amp;"-"&amp;TEXT(TODAY(),"YYYYMMDD"))</f>
        <v/>
      </c>
      <c r="C1401" s="37" t="str">
        <f>IF(Agent07_Withdrawals!A206="","",Agent07_Withdrawals!B206)</f>
        <v/>
      </c>
      <c r="D1401" s="40" t="str">
        <f>IF(Agent07_Withdrawals!A206="","",Agent07_Withdrawals!C206)</f>
        <v/>
      </c>
      <c r="E1401" s="38" t="str">
        <f>IF(Agent07_Withdrawals!A206="","",Agent07_Withdrawals!D206)</f>
        <v/>
      </c>
      <c r="F1401" s="37" t="str">
        <f>IF(Agent07_Withdrawals!A206="","",Agent07_Withdrawals!F206)</f>
        <v/>
      </c>
      <c r="G1401" s="39" t="str">
        <f>IF(Agent07_Withdrawals!A206="","",Agent07_Withdrawals!E206)</f>
        <v/>
      </c>
      <c r="H1401" s="39" t="str">
        <f>IF(Agent07_Withdrawals!A206="","",Agent07_Withdrawals!G206)</f>
        <v/>
      </c>
      <c r="I1401" s="37" t="str">
        <f>IF(Agent07_Withdrawals!A206="","",Agent07_Withdrawals!H206)</f>
        <v/>
      </c>
      <c r="J1401" s="37" t="str">
        <f>IF(Agent07_Withdrawals!A206="","",Agent07_Withdrawals!J206)</f>
        <v/>
      </c>
      <c r="K1401" s="37" t="str">
        <f>IF(Agent07_Withdrawals!A206="","",Agent07_Withdrawals!K206)</f>
        <v/>
      </c>
      <c r="L1401" s="37" t="str">
        <f>IF(G1401="","",IF(D1401-G1401&gt;=System_Config!$B$9,"✅ OK","⚠️ BREACH"))</f>
        <v/>
      </c>
      <c r="M1401" s="37" t="str">
        <f>IFERROR(IF(Agent07_Withdrawals!A206="","",YEAR(Agent07_Withdrawals!D206)),"")</f>
        <v/>
      </c>
    </row>
    <row r="1402" spans="1:13" ht="18" customHeight="1" x14ac:dyDescent="0.25">
      <c r="A1402" s="37" t="str">
        <f>IF(Agent07_Withdrawals!A207="","",Agent07_Withdrawals!A207)</f>
        <v/>
      </c>
      <c r="B1402" s="37" t="str">
        <f ca="1">IF(Agent07_Withdrawals!A207="","","WD"&amp;TEXT(1402-3,"0000")&amp;"-"&amp;TEXT(TODAY(),"YYYYMMDD"))</f>
        <v/>
      </c>
      <c r="C1402" s="37" t="str">
        <f>IF(Agent07_Withdrawals!A207="","",Agent07_Withdrawals!B207)</f>
        <v/>
      </c>
      <c r="D1402" s="40" t="str">
        <f>IF(Agent07_Withdrawals!A207="","",Agent07_Withdrawals!C207)</f>
        <v/>
      </c>
      <c r="E1402" s="38" t="str">
        <f>IF(Agent07_Withdrawals!A207="","",Agent07_Withdrawals!D207)</f>
        <v/>
      </c>
      <c r="F1402" s="37" t="str">
        <f>IF(Agent07_Withdrawals!A207="","",Agent07_Withdrawals!F207)</f>
        <v/>
      </c>
      <c r="G1402" s="39" t="str">
        <f>IF(Agent07_Withdrawals!A207="","",Agent07_Withdrawals!E207)</f>
        <v/>
      </c>
      <c r="H1402" s="39" t="str">
        <f>IF(Agent07_Withdrawals!A207="","",Agent07_Withdrawals!G207)</f>
        <v/>
      </c>
      <c r="I1402" s="37" t="str">
        <f>IF(Agent07_Withdrawals!A207="","",Agent07_Withdrawals!H207)</f>
        <v/>
      </c>
      <c r="J1402" s="37" t="str">
        <f>IF(Agent07_Withdrawals!A207="","",Agent07_Withdrawals!J207)</f>
        <v/>
      </c>
      <c r="K1402" s="37" t="str">
        <f>IF(Agent07_Withdrawals!A207="","",Agent07_Withdrawals!K207)</f>
        <v/>
      </c>
      <c r="L1402" s="37" t="str">
        <f>IF(G1402="","",IF(D1402-G1402&gt;=System_Config!$B$9,"✅ OK","⚠️ BREACH"))</f>
        <v/>
      </c>
      <c r="M1402" s="37" t="str">
        <f>IFERROR(IF(Agent07_Withdrawals!A207="","",YEAR(Agent07_Withdrawals!D207)),"")</f>
        <v/>
      </c>
    </row>
    <row r="1403" spans="1:13" ht="18" customHeight="1" x14ac:dyDescent="0.25">
      <c r="A1403" s="37" t="str">
        <f>IF(Agent07_Withdrawals!A208="","",Agent07_Withdrawals!A208)</f>
        <v/>
      </c>
      <c r="B1403" s="37" t="str">
        <f ca="1">IF(Agent07_Withdrawals!A208="","","WD"&amp;TEXT(1403-3,"0000")&amp;"-"&amp;TEXT(TODAY(),"YYYYMMDD"))</f>
        <v/>
      </c>
      <c r="C1403" s="37" t="str">
        <f>IF(Agent07_Withdrawals!A208="","",Agent07_Withdrawals!B208)</f>
        <v/>
      </c>
      <c r="D1403" s="40" t="str">
        <f>IF(Agent07_Withdrawals!A208="","",Agent07_Withdrawals!C208)</f>
        <v/>
      </c>
      <c r="E1403" s="38" t="str">
        <f>IF(Agent07_Withdrawals!A208="","",Agent07_Withdrawals!D208)</f>
        <v/>
      </c>
      <c r="F1403" s="37" t="str">
        <f>IF(Agent07_Withdrawals!A208="","",Agent07_Withdrawals!F208)</f>
        <v/>
      </c>
      <c r="G1403" s="39" t="str">
        <f>IF(Agent07_Withdrawals!A208="","",Agent07_Withdrawals!E208)</f>
        <v/>
      </c>
      <c r="H1403" s="39" t="str">
        <f>IF(Agent07_Withdrawals!A208="","",Agent07_Withdrawals!G208)</f>
        <v/>
      </c>
      <c r="I1403" s="37" t="str">
        <f>IF(Agent07_Withdrawals!A208="","",Agent07_Withdrawals!H208)</f>
        <v/>
      </c>
      <c r="J1403" s="37" t="str">
        <f>IF(Agent07_Withdrawals!A208="","",Agent07_Withdrawals!J208)</f>
        <v/>
      </c>
      <c r="K1403" s="37" t="str">
        <f>IF(Agent07_Withdrawals!A208="","",Agent07_Withdrawals!K208)</f>
        <v/>
      </c>
      <c r="L1403" s="37" t="str">
        <f>IF(G1403="","",IF(D1403-G1403&gt;=System_Config!$B$9,"✅ OK","⚠️ BREACH"))</f>
        <v/>
      </c>
      <c r="M1403" s="37" t="str">
        <f>IFERROR(IF(Agent07_Withdrawals!A208="","",YEAR(Agent07_Withdrawals!D208)),"")</f>
        <v/>
      </c>
    </row>
    <row r="1404" spans="1:13" ht="18" customHeight="1" x14ac:dyDescent="0.25">
      <c r="A1404" s="37" t="str">
        <f>IF(Agent08_Withdrawals!A9="","",Agent08_Withdrawals!A9)</f>
        <v/>
      </c>
      <c r="B1404" s="37" t="str">
        <f ca="1">IF(Agent08_Withdrawals!A9="","","WD"&amp;TEXT(1404-3,"0000")&amp;"-"&amp;TEXT(TODAY(),"YYYYMMDD"))</f>
        <v/>
      </c>
      <c r="C1404" s="37" t="str">
        <f>IF(Agent08_Withdrawals!A9="","",Agent08_Withdrawals!B9)</f>
        <v/>
      </c>
      <c r="D1404" s="40" t="str">
        <f>IF(Agent08_Withdrawals!A9="","",Agent08_Withdrawals!C9)</f>
        <v/>
      </c>
      <c r="E1404" s="38" t="str">
        <f>IF(Agent08_Withdrawals!A9="","",Agent08_Withdrawals!D9)</f>
        <v/>
      </c>
      <c r="F1404" s="37" t="str">
        <f>IF(Agent08_Withdrawals!A9="","",Agent08_Withdrawals!F9)</f>
        <v/>
      </c>
      <c r="G1404" s="39" t="str">
        <f>IF(Agent08_Withdrawals!A9="","",Agent08_Withdrawals!E9)</f>
        <v/>
      </c>
      <c r="H1404" s="39" t="str">
        <f>IF(Agent08_Withdrawals!A9="","",Agent08_Withdrawals!G9)</f>
        <v/>
      </c>
      <c r="I1404" s="37" t="str">
        <f>IF(Agent08_Withdrawals!A9="","",Agent08_Withdrawals!H9)</f>
        <v/>
      </c>
      <c r="J1404" s="37" t="str">
        <f>IF(Agent08_Withdrawals!A9="","",Agent08_Withdrawals!J9)</f>
        <v/>
      </c>
      <c r="K1404" s="37" t="str">
        <f>IF(Agent08_Withdrawals!A9="","",Agent08_Withdrawals!K9)</f>
        <v/>
      </c>
      <c r="L1404" s="37" t="str">
        <f>IF(G1404="","",IF(D1404-G1404&gt;=System_Config!$B$9,"✅ OK","⚠️ BREACH"))</f>
        <v/>
      </c>
      <c r="M1404" s="37" t="str">
        <f>IFERROR(IF(Agent08_Withdrawals!A9="","",YEAR(Agent08_Withdrawals!D9)),"")</f>
        <v/>
      </c>
    </row>
    <row r="1405" spans="1:13" ht="18" customHeight="1" x14ac:dyDescent="0.25">
      <c r="A1405" s="37" t="str">
        <f>IF(Agent08_Withdrawals!A10="","",Agent08_Withdrawals!A10)</f>
        <v/>
      </c>
      <c r="B1405" s="37" t="str">
        <f ca="1">IF(Agent08_Withdrawals!A10="","","WD"&amp;TEXT(1405-3,"0000")&amp;"-"&amp;TEXT(TODAY(),"YYYYMMDD"))</f>
        <v/>
      </c>
      <c r="C1405" s="37" t="str">
        <f>IF(Agent08_Withdrawals!A10="","",Agent08_Withdrawals!B10)</f>
        <v/>
      </c>
      <c r="D1405" s="40" t="str">
        <f>IF(Agent08_Withdrawals!A10="","",Agent08_Withdrawals!C10)</f>
        <v/>
      </c>
      <c r="E1405" s="38" t="str">
        <f>IF(Agent08_Withdrawals!A10="","",Agent08_Withdrawals!D10)</f>
        <v/>
      </c>
      <c r="F1405" s="37" t="str">
        <f>IF(Agent08_Withdrawals!A10="","",Agent08_Withdrawals!F10)</f>
        <v/>
      </c>
      <c r="G1405" s="39" t="str">
        <f>IF(Agent08_Withdrawals!A10="","",Agent08_Withdrawals!E10)</f>
        <v/>
      </c>
      <c r="H1405" s="39" t="str">
        <f>IF(Agent08_Withdrawals!A10="","",Agent08_Withdrawals!G10)</f>
        <v/>
      </c>
      <c r="I1405" s="37" t="str">
        <f>IF(Agent08_Withdrawals!A10="","",Agent08_Withdrawals!H10)</f>
        <v/>
      </c>
      <c r="J1405" s="37" t="str">
        <f>IF(Agent08_Withdrawals!A10="","",Agent08_Withdrawals!J10)</f>
        <v/>
      </c>
      <c r="K1405" s="37" t="str">
        <f>IF(Agent08_Withdrawals!A10="","",Agent08_Withdrawals!K10)</f>
        <v/>
      </c>
      <c r="L1405" s="37" t="str">
        <f>IF(G1405="","",IF(D1405-G1405&gt;=System_Config!$B$9,"✅ OK","⚠️ BREACH"))</f>
        <v/>
      </c>
      <c r="M1405" s="37" t="str">
        <f>IFERROR(IF(Agent08_Withdrawals!A10="","",YEAR(Agent08_Withdrawals!D10)),"")</f>
        <v/>
      </c>
    </row>
    <row r="1406" spans="1:13" ht="18" customHeight="1" x14ac:dyDescent="0.25">
      <c r="A1406" s="37" t="str">
        <f>IF(Agent08_Withdrawals!A11="","",Agent08_Withdrawals!A11)</f>
        <v/>
      </c>
      <c r="B1406" s="37" t="str">
        <f ca="1">IF(Agent08_Withdrawals!A11="","","WD"&amp;TEXT(1406-3,"0000")&amp;"-"&amp;TEXT(TODAY(),"YYYYMMDD"))</f>
        <v/>
      </c>
      <c r="C1406" s="37" t="str">
        <f>IF(Agent08_Withdrawals!A11="","",Agent08_Withdrawals!B11)</f>
        <v/>
      </c>
      <c r="D1406" s="40" t="str">
        <f>IF(Agent08_Withdrawals!A11="","",Agent08_Withdrawals!C11)</f>
        <v/>
      </c>
      <c r="E1406" s="38" t="str">
        <f>IF(Agent08_Withdrawals!A11="","",Agent08_Withdrawals!D11)</f>
        <v/>
      </c>
      <c r="F1406" s="37" t="str">
        <f>IF(Agent08_Withdrawals!A11="","",Agent08_Withdrawals!F11)</f>
        <v/>
      </c>
      <c r="G1406" s="39" t="str">
        <f>IF(Agent08_Withdrawals!A11="","",Agent08_Withdrawals!E11)</f>
        <v/>
      </c>
      <c r="H1406" s="39" t="str">
        <f>IF(Agent08_Withdrawals!A11="","",Agent08_Withdrawals!G11)</f>
        <v/>
      </c>
      <c r="I1406" s="37" t="str">
        <f>IF(Agent08_Withdrawals!A11="","",Agent08_Withdrawals!H11)</f>
        <v/>
      </c>
      <c r="J1406" s="37" t="str">
        <f>IF(Agent08_Withdrawals!A11="","",Agent08_Withdrawals!J11)</f>
        <v/>
      </c>
      <c r="K1406" s="37" t="str">
        <f>IF(Agent08_Withdrawals!A11="","",Agent08_Withdrawals!K11)</f>
        <v/>
      </c>
      <c r="L1406" s="37" t="str">
        <f>IF(G1406="","",IF(D1406-G1406&gt;=System_Config!$B$9,"✅ OK","⚠️ BREACH"))</f>
        <v/>
      </c>
      <c r="M1406" s="37" t="str">
        <f>IFERROR(IF(Agent08_Withdrawals!A11="","",YEAR(Agent08_Withdrawals!D11)),"")</f>
        <v/>
      </c>
    </row>
    <row r="1407" spans="1:13" ht="18" customHeight="1" x14ac:dyDescent="0.25">
      <c r="A1407" s="37" t="str">
        <f>IF(Agent08_Withdrawals!A12="","",Agent08_Withdrawals!A12)</f>
        <v/>
      </c>
      <c r="B1407" s="37" t="str">
        <f ca="1">IF(Agent08_Withdrawals!A12="","","WD"&amp;TEXT(1407-3,"0000")&amp;"-"&amp;TEXT(TODAY(),"YYYYMMDD"))</f>
        <v/>
      </c>
      <c r="C1407" s="37" t="str">
        <f>IF(Agent08_Withdrawals!A12="","",Agent08_Withdrawals!B12)</f>
        <v/>
      </c>
      <c r="D1407" s="40" t="str">
        <f>IF(Agent08_Withdrawals!A12="","",Agent08_Withdrawals!C12)</f>
        <v/>
      </c>
      <c r="E1407" s="38" t="str">
        <f>IF(Agent08_Withdrawals!A12="","",Agent08_Withdrawals!D12)</f>
        <v/>
      </c>
      <c r="F1407" s="37" t="str">
        <f>IF(Agent08_Withdrawals!A12="","",Agent08_Withdrawals!F12)</f>
        <v/>
      </c>
      <c r="G1407" s="39" t="str">
        <f>IF(Agent08_Withdrawals!A12="","",Agent08_Withdrawals!E12)</f>
        <v/>
      </c>
      <c r="H1407" s="39" t="str">
        <f>IF(Agent08_Withdrawals!A12="","",Agent08_Withdrawals!G12)</f>
        <v/>
      </c>
      <c r="I1407" s="37" t="str">
        <f>IF(Agent08_Withdrawals!A12="","",Agent08_Withdrawals!H12)</f>
        <v/>
      </c>
      <c r="J1407" s="37" t="str">
        <f>IF(Agent08_Withdrawals!A12="","",Agent08_Withdrawals!J12)</f>
        <v/>
      </c>
      <c r="K1407" s="37" t="str">
        <f>IF(Agent08_Withdrawals!A12="","",Agent08_Withdrawals!K12)</f>
        <v/>
      </c>
      <c r="L1407" s="37" t="str">
        <f>IF(G1407="","",IF(D1407-G1407&gt;=System_Config!$B$9,"✅ OK","⚠️ BREACH"))</f>
        <v/>
      </c>
      <c r="M1407" s="37" t="str">
        <f>IFERROR(IF(Agent08_Withdrawals!A12="","",YEAR(Agent08_Withdrawals!D12)),"")</f>
        <v/>
      </c>
    </row>
    <row r="1408" spans="1:13" ht="18" customHeight="1" x14ac:dyDescent="0.25">
      <c r="A1408" s="37" t="str">
        <f>IF(Agent08_Withdrawals!A13="","",Agent08_Withdrawals!A13)</f>
        <v/>
      </c>
      <c r="B1408" s="37" t="str">
        <f ca="1">IF(Agent08_Withdrawals!A13="","","WD"&amp;TEXT(1408-3,"0000")&amp;"-"&amp;TEXT(TODAY(),"YYYYMMDD"))</f>
        <v/>
      </c>
      <c r="C1408" s="37" t="str">
        <f>IF(Agent08_Withdrawals!A13="","",Agent08_Withdrawals!B13)</f>
        <v/>
      </c>
      <c r="D1408" s="40" t="str">
        <f>IF(Agent08_Withdrawals!A13="","",Agent08_Withdrawals!C13)</f>
        <v/>
      </c>
      <c r="E1408" s="38" t="str">
        <f>IF(Agent08_Withdrawals!A13="","",Agent08_Withdrawals!D13)</f>
        <v/>
      </c>
      <c r="F1408" s="37" t="str">
        <f>IF(Agent08_Withdrawals!A13="","",Agent08_Withdrawals!F13)</f>
        <v/>
      </c>
      <c r="G1408" s="39" t="str">
        <f>IF(Agent08_Withdrawals!A13="","",Agent08_Withdrawals!E13)</f>
        <v/>
      </c>
      <c r="H1408" s="39" t="str">
        <f>IF(Agent08_Withdrawals!A13="","",Agent08_Withdrawals!G13)</f>
        <v/>
      </c>
      <c r="I1408" s="37" t="str">
        <f>IF(Agent08_Withdrawals!A13="","",Agent08_Withdrawals!H13)</f>
        <v/>
      </c>
      <c r="J1408" s="37" t="str">
        <f>IF(Agent08_Withdrawals!A13="","",Agent08_Withdrawals!J13)</f>
        <v/>
      </c>
      <c r="K1408" s="37" t="str">
        <f>IF(Agent08_Withdrawals!A13="","",Agent08_Withdrawals!K13)</f>
        <v/>
      </c>
      <c r="L1408" s="37" t="str">
        <f>IF(G1408="","",IF(D1408-G1408&gt;=System_Config!$B$9,"✅ OK","⚠️ BREACH"))</f>
        <v/>
      </c>
      <c r="M1408" s="37" t="str">
        <f>IFERROR(IF(Agent08_Withdrawals!A13="","",YEAR(Agent08_Withdrawals!D13)),"")</f>
        <v/>
      </c>
    </row>
    <row r="1409" spans="1:13" ht="18" customHeight="1" x14ac:dyDescent="0.25">
      <c r="A1409" s="37" t="str">
        <f>IF(Agent08_Withdrawals!A14="","",Agent08_Withdrawals!A14)</f>
        <v/>
      </c>
      <c r="B1409" s="37" t="str">
        <f ca="1">IF(Agent08_Withdrawals!A14="","","WD"&amp;TEXT(1409-3,"0000")&amp;"-"&amp;TEXT(TODAY(),"YYYYMMDD"))</f>
        <v/>
      </c>
      <c r="C1409" s="37" t="str">
        <f>IF(Agent08_Withdrawals!A14="","",Agent08_Withdrawals!B14)</f>
        <v/>
      </c>
      <c r="D1409" s="40" t="str">
        <f>IF(Agent08_Withdrawals!A14="","",Agent08_Withdrawals!C14)</f>
        <v/>
      </c>
      <c r="E1409" s="38" t="str">
        <f>IF(Agent08_Withdrawals!A14="","",Agent08_Withdrawals!D14)</f>
        <v/>
      </c>
      <c r="F1409" s="37" t="str">
        <f>IF(Agent08_Withdrawals!A14="","",Agent08_Withdrawals!F14)</f>
        <v/>
      </c>
      <c r="G1409" s="39" t="str">
        <f>IF(Agent08_Withdrawals!A14="","",Agent08_Withdrawals!E14)</f>
        <v/>
      </c>
      <c r="H1409" s="39" t="str">
        <f>IF(Agent08_Withdrawals!A14="","",Agent08_Withdrawals!G14)</f>
        <v/>
      </c>
      <c r="I1409" s="37" t="str">
        <f>IF(Agent08_Withdrawals!A14="","",Agent08_Withdrawals!H14)</f>
        <v/>
      </c>
      <c r="J1409" s="37" t="str">
        <f>IF(Agent08_Withdrawals!A14="","",Agent08_Withdrawals!J14)</f>
        <v/>
      </c>
      <c r="K1409" s="37" t="str">
        <f>IF(Agent08_Withdrawals!A14="","",Agent08_Withdrawals!K14)</f>
        <v/>
      </c>
      <c r="L1409" s="37" t="str">
        <f>IF(G1409="","",IF(D1409-G1409&gt;=System_Config!$B$9,"✅ OK","⚠️ BREACH"))</f>
        <v/>
      </c>
      <c r="M1409" s="37" t="str">
        <f>IFERROR(IF(Agent08_Withdrawals!A14="","",YEAR(Agent08_Withdrawals!D14)),"")</f>
        <v/>
      </c>
    </row>
    <row r="1410" spans="1:13" ht="18" customHeight="1" x14ac:dyDescent="0.25">
      <c r="A1410" s="37" t="str">
        <f>IF(Agent08_Withdrawals!A15="","",Agent08_Withdrawals!A15)</f>
        <v/>
      </c>
      <c r="B1410" s="37" t="str">
        <f ca="1">IF(Agent08_Withdrawals!A15="","","WD"&amp;TEXT(1410-3,"0000")&amp;"-"&amp;TEXT(TODAY(),"YYYYMMDD"))</f>
        <v/>
      </c>
      <c r="C1410" s="37" t="str">
        <f>IF(Agent08_Withdrawals!A15="","",Agent08_Withdrawals!B15)</f>
        <v/>
      </c>
      <c r="D1410" s="40" t="str">
        <f>IF(Agent08_Withdrawals!A15="","",Agent08_Withdrawals!C15)</f>
        <v/>
      </c>
      <c r="E1410" s="38" t="str">
        <f>IF(Agent08_Withdrawals!A15="","",Agent08_Withdrawals!D15)</f>
        <v/>
      </c>
      <c r="F1410" s="37" t="str">
        <f>IF(Agent08_Withdrawals!A15="","",Agent08_Withdrawals!F15)</f>
        <v/>
      </c>
      <c r="G1410" s="39" t="str">
        <f>IF(Agent08_Withdrawals!A15="","",Agent08_Withdrawals!E15)</f>
        <v/>
      </c>
      <c r="H1410" s="39" t="str">
        <f>IF(Agent08_Withdrawals!A15="","",Agent08_Withdrawals!G15)</f>
        <v/>
      </c>
      <c r="I1410" s="37" t="str">
        <f>IF(Agent08_Withdrawals!A15="","",Agent08_Withdrawals!H15)</f>
        <v/>
      </c>
      <c r="J1410" s="37" t="str">
        <f>IF(Agent08_Withdrawals!A15="","",Agent08_Withdrawals!J15)</f>
        <v/>
      </c>
      <c r="K1410" s="37" t="str">
        <f>IF(Agent08_Withdrawals!A15="","",Agent08_Withdrawals!K15)</f>
        <v/>
      </c>
      <c r="L1410" s="37" t="str">
        <f>IF(G1410="","",IF(D1410-G1410&gt;=System_Config!$B$9,"✅ OK","⚠️ BREACH"))</f>
        <v/>
      </c>
      <c r="M1410" s="37" t="str">
        <f>IFERROR(IF(Agent08_Withdrawals!A15="","",YEAR(Agent08_Withdrawals!D15)),"")</f>
        <v/>
      </c>
    </row>
    <row r="1411" spans="1:13" ht="18" customHeight="1" x14ac:dyDescent="0.25">
      <c r="A1411" s="37" t="str">
        <f>IF(Agent08_Withdrawals!A16="","",Agent08_Withdrawals!A16)</f>
        <v/>
      </c>
      <c r="B1411" s="37" t="str">
        <f ca="1">IF(Agent08_Withdrawals!A16="","","WD"&amp;TEXT(1411-3,"0000")&amp;"-"&amp;TEXT(TODAY(),"YYYYMMDD"))</f>
        <v/>
      </c>
      <c r="C1411" s="37" t="str">
        <f>IF(Agent08_Withdrawals!A16="","",Agent08_Withdrawals!B16)</f>
        <v/>
      </c>
      <c r="D1411" s="40" t="str">
        <f>IF(Agent08_Withdrawals!A16="","",Agent08_Withdrawals!C16)</f>
        <v/>
      </c>
      <c r="E1411" s="38" t="str">
        <f>IF(Agent08_Withdrawals!A16="","",Agent08_Withdrawals!D16)</f>
        <v/>
      </c>
      <c r="F1411" s="37" t="str">
        <f>IF(Agent08_Withdrawals!A16="","",Agent08_Withdrawals!F16)</f>
        <v/>
      </c>
      <c r="G1411" s="39" t="str">
        <f>IF(Agent08_Withdrawals!A16="","",Agent08_Withdrawals!E16)</f>
        <v/>
      </c>
      <c r="H1411" s="39" t="str">
        <f>IF(Agent08_Withdrawals!A16="","",Agent08_Withdrawals!G16)</f>
        <v/>
      </c>
      <c r="I1411" s="37" t="str">
        <f>IF(Agent08_Withdrawals!A16="","",Agent08_Withdrawals!H16)</f>
        <v/>
      </c>
      <c r="J1411" s="37" t="str">
        <f>IF(Agent08_Withdrawals!A16="","",Agent08_Withdrawals!J16)</f>
        <v/>
      </c>
      <c r="K1411" s="37" t="str">
        <f>IF(Agent08_Withdrawals!A16="","",Agent08_Withdrawals!K16)</f>
        <v/>
      </c>
      <c r="L1411" s="37" t="str">
        <f>IF(G1411="","",IF(D1411-G1411&gt;=System_Config!$B$9,"✅ OK","⚠️ BREACH"))</f>
        <v/>
      </c>
      <c r="M1411" s="37" t="str">
        <f>IFERROR(IF(Agent08_Withdrawals!A16="","",YEAR(Agent08_Withdrawals!D16)),"")</f>
        <v/>
      </c>
    </row>
    <row r="1412" spans="1:13" ht="18" customHeight="1" x14ac:dyDescent="0.25">
      <c r="A1412" s="37" t="str">
        <f>IF(Agent08_Withdrawals!A17="","",Agent08_Withdrawals!A17)</f>
        <v/>
      </c>
      <c r="B1412" s="37" t="str">
        <f ca="1">IF(Agent08_Withdrawals!A17="","","WD"&amp;TEXT(1412-3,"0000")&amp;"-"&amp;TEXT(TODAY(),"YYYYMMDD"))</f>
        <v/>
      </c>
      <c r="C1412" s="37" t="str">
        <f>IF(Agent08_Withdrawals!A17="","",Agent08_Withdrawals!B17)</f>
        <v/>
      </c>
      <c r="D1412" s="40" t="str">
        <f>IF(Agent08_Withdrawals!A17="","",Agent08_Withdrawals!C17)</f>
        <v/>
      </c>
      <c r="E1412" s="38" t="str">
        <f>IF(Agent08_Withdrawals!A17="","",Agent08_Withdrawals!D17)</f>
        <v/>
      </c>
      <c r="F1412" s="37" t="str">
        <f>IF(Agent08_Withdrawals!A17="","",Agent08_Withdrawals!F17)</f>
        <v/>
      </c>
      <c r="G1412" s="39" t="str">
        <f>IF(Agent08_Withdrawals!A17="","",Agent08_Withdrawals!E17)</f>
        <v/>
      </c>
      <c r="H1412" s="39" t="str">
        <f>IF(Agent08_Withdrawals!A17="","",Agent08_Withdrawals!G17)</f>
        <v/>
      </c>
      <c r="I1412" s="37" t="str">
        <f>IF(Agent08_Withdrawals!A17="","",Agent08_Withdrawals!H17)</f>
        <v/>
      </c>
      <c r="J1412" s="37" t="str">
        <f>IF(Agent08_Withdrawals!A17="","",Agent08_Withdrawals!J17)</f>
        <v/>
      </c>
      <c r="K1412" s="37" t="str">
        <f>IF(Agent08_Withdrawals!A17="","",Agent08_Withdrawals!K17)</f>
        <v/>
      </c>
      <c r="L1412" s="37" t="str">
        <f>IF(G1412="","",IF(D1412-G1412&gt;=System_Config!$B$9,"✅ OK","⚠️ BREACH"))</f>
        <v/>
      </c>
      <c r="M1412" s="37" t="str">
        <f>IFERROR(IF(Agent08_Withdrawals!A17="","",YEAR(Agent08_Withdrawals!D17)),"")</f>
        <v/>
      </c>
    </row>
    <row r="1413" spans="1:13" ht="18" customHeight="1" x14ac:dyDescent="0.25">
      <c r="A1413" s="37" t="str">
        <f>IF(Agent08_Withdrawals!A18="","",Agent08_Withdrawals!A18)</f>
        <v/>
      </c>
      <c r="B1413" s="37" t="str">
        <f ca="1">IF(Agent08_Withdrawals!A18="","","WD"&amp;TEXT(1413-3,"0000")&amp;"-"&amp;TEXT(TODAY(),"YYYYMMDD"))</f>
        <v/>
      </c>
      <c r="C1413" s="37" t="str">
        <f>IF(Agent08_Withdrawals!A18="","",Agent08_Withdrawals!B18)</f>
        <v/>
      </c>
      <c r="D1413" s="40" t="str">
        <f>IF(Agent08_Withdrawals!A18="","",Agent08_Withdrawals!C18)</f>
        <v/>
      </c>
      <c r="E1413" s="38" t="str">
        <f>IF(Agent08_Withdrawals!A18="","",Agent08_Withdrawals!D18)</f>
        <v/>
      </c>
      <c r="F1413" s="37" t="str">
        <f>IF(Agent08_Withdrawals!A18="","",Agent08_Withdrawals!F18)</f>
        <v/>
      </c>
      <c r="G1413" s="39" t="str">
        <f>IF(Agent08_Withdrawals!A18="","",Agent08_Withdrawals!E18)</f>
        <v/>
      </c>
      <c r="H1413" s="39" t="str">
        <f>IF(Agent08_Withdrawals!A18="","",Agent08_Withdrawals!G18)</f>
        <v/>
      </c>
      <c r="I1413" s="37" t="str">
        <f>IF(Agent08_Withdrawals!A18="","",Agent08_Withdrawals!H18)</f>
        <v/>
      </c>
      <c r="J1413" s="37" t="str">
        <f>IF(Agent08_Withdrawals!A18="","",Agent08_Withdrawals!J18)</f>
        <v/>
      </c>
      <c r="K1413" s="37" t="str">
        <f>IF(Agent08_Withdrawals!A18="","",Agent08_Withdrawals!K18)</f>
        <v/>
      </c>
      <c r="L1413" s="37" t="str">
        <f>IF(G1413="","",IF(D1413-G1413&gt;=System_Config!$B$9,"✅ OK","⚠️ BREACH"))</f>
        <v/>
      </c>
      <c r="M1413" s="37" t="str">
        <f>IFERROR(IF(Agent08_Withdrawals!A18="","",YEAR(Agent08_Withdrawals!D18)),"")</f>
        <v/>
      </c>
    </row>
    <row r="1414" spans="1:13" ht="18" customHeight="1" x14ac:dyDescent="0.25">
      <c r="A1414" s="37" t="str">
        <f>IF(Agent08_Withdrawals!A19="","",Agent08_Withdrawals!A19)</f>
        <v/>
      </c>
      <c r="B1414" s="37" t="str">
        <f ca="1">IF(Agent08_Withdrawals!A19="","","WD"&amp;TEXT(1414-3,"0000")&amp;"-"&amp;TEXT(TODAY(),"YYYYMMDD"))</f>
        <v/>
      </c>
      <c r="C1414" s="37" t="str">
        <f>IF(Agent08_Withdrawals!A19="","",Agent08_Withdrawals!B19)</f>
        <v/>
      </c>
      <c r="D1414" s="40" t="str">
        <f>IF(Agent08_Withdrawals!A19="","",Agent08_Withdrawals!C19)</f>
        <v/>
      </c>
      <c r="E1414" s="38" t="str">
        <f>IF(Agent08_Withdrawals!A19="","",Agent08_Withdrawals!D19)</f>
        <v/>
      </c>
      <c r="F1414" s="37" t="str">
        <f>IF(Agent08_Withdrawals!A19="","",Agent08_Withdrawals!F19)</f>
        <v/>
      </c>
      <c r="G1414" s="39" t="str">
        <f>IF(Agent08_Withdrawals!A19="","",Agent08_Withdrawals!E19)</f>
        <v/>
      </c>
      <c r="H1414" s="39" t="str">
        <f>IF(Agent08_Withdrawals!A19="","",Agent08_Withdrawals!G19)</f>
        <v/>
      </c>
      <c r="I1414" s="37" t="str">
        <f>IF(Agent08_Withdrawals!A19="","",Agent08_Withdrawals!H19)</f>
        <v/>
      </c>
      <c r="J1414" s="37" t="str">
        <f>IF(Agent08_Withdrawals!A19="","",Agent08_Withdrawals!J19)</f>
        <v/>
      </c>
      <c r="K1414" s="37" t="str">
        <f>IF(Agent08_Withdrawals!A19="","",Agent08_Withdrawals!K19)</f>
        <v/>
      </c>
      <c r="L1414" s="37" t="str">
        <f>IF(G1414="","",IF(D1414-G1414&gt;=System_Config!$B$9,"✅ OK","⚠️ BREACH"))</f>
        <v/>
      </c>
      <c r="M1414" s="37" t="str">
        <f>IFERROR(IF(Agent08_Withdrawals!A19="","",YEAR(Agent08_Withdrawals!D19)),"")</f>
        <v/>
      </c>
    </row>
    <row r="1415" spans="1:13" ht="18" customHeight="1" x14ac:dyDescent="0.25">
      <c r="A1415" s="37" t="str">
        <f>IF(Agent08_Withdrawals!A20="","",Agent08_Withdrawals!A20)</f>
        <v/>
      </c>
      <c r="B1415" s="37" t="str">
        <f ca="1">IF(Agent08_Withdrawals!A20="","","WD"&amp;TEXT(1415-3,"0000")&amp;"-"&amp;TEXT(TODAY(),"YYYYMMDD"))</f>
        <v/>
      </c>
      <c r="C1415" s="37" t="str">
        <f>IF(Agent08_Withdrawals!A20="","",Agent08_Withdrawals!B20)</f>
        <v/>
      </c>
      <c r="D1415" s="40" t="str">
        <f>IF(Agent08_Withdrawals!A20="","",Agent08_Withdrawals!C20)</f>
        <v/>
      </c>
      <c r="E1415" s="38" t="str">
        <f>IF(Agent08_Withdrawals!A20="","",Agent08_Withdrawals!D20)</f>
        <v/>
      </c>
      <c r="F1415" s="37" t="str">
        <f>IF(Agent08_Withdrawals!A20="","",Agent08_Withdrawals!F20)</f>
        <v/>
      </c>
      <c r="G1415" s="39" t="str">
        <f>IF(Agent08_Withdrawals!A20="","",Agent08_Withdrawals!E20)</f>
        <v/>
      </c>
      <c r="H1415" s="39" t="str">
        <f>IF(Agent08_Withdrawals!A20="","",Agent08_Withdrawals!G20)</f>
        <v/>
      </c>
      <c r="I1415" s="37" t="str">
        <f>IF(Agent08_Withdrawals!A20="","",Agent08_Withdrawals!H20)</f>
        <v/>
      </c>
      <c r="J1415" s="37" t="str">
        <f>IF(Agent08_Withdrawals!A20="","",Agent08_Withdrawals!J20)</f>
        <v/>
      </c>
      <c r="K1415" s="37" t="str">
        <f>IF(Agent08_Withdrawals!A20="","",Agent08_Withdrawals!K20)</f>
        <v/>
      </c>
      <c r="L1415" s="37" t="str">
        <f>IF(G1415="","",IF(D1415-G1415&gt;=System_Config!$B$9,"✅ OK","⚠️ BREACH"))</f>
        <v/>
      </c>
      <c r="M1415" s="37" t="str">
        <f>IFERROR(IF(Agent08_Withdrawals!A20="","",YEAR(Agent08_Withdrawals!D20)),"")</f>
        <v/>
      </c>
    </row>
    <row r="1416" spans="1:13" ht="18" customHeight="1" x14ac:dyDescent="0.25">
      <c r="A1416" s="37" t="str">
        <f>IF(Agent08_Withdrawals!A21="","",Agent08_Withdrawals!A21)</f>
        <v/>
      </c>
      <c r="B1416" s="37" t="str">
        <f ca="1">IF(Agent08_Withdrawals!A21="","","WD"&amp;TEXT(1416-3,"0000")&amp;"-"&amp;TEXT(TODAY(),"YYYYMMDD"))</f>
        <v/>
      </c>
      <c r="C1416" s="37" t="str">
        <f>IF(Agent08_Withdrawals!A21="","",Agent08_Withdrawals!B21)</f>
        <v/>
      </c>
      <c r="D1416" s="40" t="str">
        <f>IF(Agent08_Withdrawals!A21="","",Agent08_Withdrawals!C21)</f>
        <v/>
      </c>
      <c r="E1416" s="38" t="str">
        <f>IF(Agent08_Withdrawals!A21="","",Agent08_Withdrawals!D21)</f>
        <v/>
      </c>
      <c r="F1416" s="37" t="str">
        <f>IF(Agent08_Withdrawals!A21="","",Agent08_Withdrawals!F21)</f>
        <v/>
      </c>
      <c r="G1416" s="39" t="str">
        <f>IF(Agent08_Withdrawals!A21="","",Agent08_Withdrawals!E21)</f>
        <v/>
      </c>
      <c r="H1416" s="39" t="str">
        <f>IF(Agent08_Withdrawals!A21="","",Agent08_Withdrawals!G21)</f>
        <v/>
      </c>
      <c r="I1416" s="37" t="str">
        <f>IF(Agent08_Withdrawals!A21="","",Agent08_Withdrawals!H21)</f>
        <v/>
      </c>
      <c r="J1416" s="37" t="str">
        <f>IF(Agent08_Withdrawals!A21="","",Agent08_Withdrawals!J21)</f>
        <v/>
      </c>
      <c r="K1416" s="37" t="str">
        <f>IF(Agent08_Withdrawals!A21="","",Agent08_Withdrawals!K21)</f>
        <v/>
      </c>
      <c r="L1416" s="37" t="str">
        <f>IF(G1416="","",IF(D1416-G1416&gt;=System_Config!$B$9,"✅ OK","⚠️ BREACH"))</f>
        <v/>
      </c>
      <c r="M1416" s="37" t="str">
        <f>IFERROR(IF(Agent08_Withdrawals!A21="","",YEAR(Agent08_Withdrawals!D21)),"")</f>
        <v/>
      </c>
    </row>
    <row r="1417" spans="1:13" ht="18" customHeight="1" x14ac:dyDescent="0.25">
      <c r="A1417" s="37" t="str">
        <f>IF(Agent08_Withdrawals!A22="","",Agent08_Withdrawals!A22)</f>
        <v/>
      </c>
      <c r="B1417" s="37" t="str">
        <f ca="1">IF(Agent08_Withdrawals!A22="","","WD"&amp;TEXT(1417-3,"0000")&amp;"-"&amp;TEXT(TODAY(),"YYYYMMDD"))</f>
        <v/>
      </c>
      <c r="C1417" s="37" t="str">
        <f>IF(Agent08_Withdrawals!A22="","",Agent08_Withdrawals!B22)</f>
        <v/>
      </c>
      <c r="D1417" s="40" t="str">
        <f>IF(Agent08_Withdrawals!A22="","",Agent08_Withdrawals!C22)</f>
        <v/>
      </c>
      <c r="E1417" s="38" t="str">
        <f>IF(Agent08_Withdrawals!A22="","",Agent08_Withdrawals!D22)</f>
        <v/>
      </c>
      <c r="F1417" s="37" t="str">
        <f>IF(Agent08_Withdrawals!A22="","",Agent08_Withdrawals!F22)</f>
        <v/>
      </c>
      <c r="G1417" s="39" t="str">
        <f>IF(Agent08_Withdrawals!A22="","",Agent08_Withdrawals!E22)</f>
        <v/>
      </c>
      <c r="H1417" s="39" t="str">
        <f>IF(Agent08_Withdrawals!A22="","",Agent08_Withdrawals!G22)</f>
        <v/>
      </c>
      <c r="I1417" s="37" t="str">
        <f>IF(Agent08_Withdrawals!A22="","",Agent08_Withdrawals!H22)</f>
        <v/>
      </c>
      <c r="J1417" s="37" t="str">
        <f>IF(Agent08_Withdrawals!A22="","",Agent08_Withdrawals!J22)</f>
        <v/>
      </c>
      <c r="K1417" s="37" t="str">
        <f>IF(Agent08_Withdrawals!A22="","",Agent08_Withdrawals!K22)</f>
        <v/>
      </c>
      <c r="L1417" s="37" t="str">
        <f>IF(G1417="","",IF(D1417-G1417&gt;=System_Config!$B$9,"✅ OK","⚠️ BREACH"))</f>
        <v/>
      </c>
      <c r="M1417" s="37" t="str">
        <f>IFERROR(IF(Agent08_Withdrawals!A22="","",YEAR(Agent08_Withdrawals!D22)),"")</f>
        <v/>
      </c>
    </row>
    <row r="1418" spans="1:13" ht="18" customHeight="1" x14ac:dyDescent="0.25">
      <c r="A1418" s="37" t="str">
        <f>IF(Agent08_Withdrawals!A23="","",Agent08_Withdrawals!A23)</f>
        <v/>
      </c>
      <c r="B1418" s="37" t="str">
        <f ca="1">IF(Agent08_Withdrawals!A23="","","WD"&amp;TEXT(1418-3,"0000")&amp;"-"&amp;TEXT(TODAY(),"YYYYMMDD"))</f>
        <v/>
      </c>
      <c r="C1418" s="37" t="str">
        <f>IF(Agent08_Withdrawals!A23="","",Agent08_Withdrawals!B23)</f>
        <v/>
      </c>
      <c r="D1418" s="40" t="str">
        <f>IF(Agent08_Withdrawals!A23="","",Agent08_Withdrawals!C23)</f>
        <v/>
      </c>
      <c r="E1418" s="38" t="str">
        <f>IF(Agent08_Withdrawals!A23="","",Agent08_Withdrawals!D23)</f>
        <v/>
      </c>
      <c r="F1418" s="37" t="str">
        <f>IF(Agent08_Withdrawals!A23="","",Agent08_Withdrawals!F23)</f>
        <v/>
      </c>
      <c r="G1418" s="39" t="str">
        <f>IF(Agent08_Withdrawals!A23="","",Agent08_Withdrawals!E23)</f>
        <v/>
      </c>
      <c r="H1418" s="39" t="str">
        <f>IF(Agent08_Withdrawals!A23="","",Agent08_Withdrawals!G23)</f>
        <v/>
      </c>
      <c r="I1418" s="37" t="str">
        <f>IF(Agent08_Withdrawals!A23="","",Agent08_Withdrawals!H23)</f>
        <v/>
      </c>
      <c r="J1418" s="37" t="str">
        <f>IF(Agent08_Withdrawals!A23="","",Agent08_Withdrawals!J23)</f>
        <v/>
      </c>
      <c r="K1418" s="37" t="str">
        <f>IF(Agent08_Withdrawals!A23="","",Agent08_Withdrawals!K23)</f>
        <v/>
      </c>
      <c r="L1418" s="37" t="str">
        <f>IF(G1418="","",IF(D1418-G1418&gt;=System_Config!$B$9,"✅ OK","⚠️ BREACH"))</f>
        <v/>
      </c>
      <c r="M1418" s="37" t="str">
        <f>IFERROR(IF(Agent08_Withdrawals!A23="","",YEAR(Agent08_Withdrawals!D23)),"")</f>
        <v/>
      </c>
    </row>
    <row r="1419" spans="1:13" ht="18" customHeight="1" x14ac:dyDescent="0.25">
      <c r="A1419" s="37" t="str">
        <f>IF(Agent08_Withdrawals!A24="","",Agent08_Withdrawals!A24)</f>
        <v/>
      </c>
      <c r="B1419" s="37" t="str">
        <f ca="1">IF(Agent08_Withdrawals!A24="","","WD"&amp;TEXT(1419-3,"0000")&amp;"-"&amp;TEXT(TODAY(),"YYYYMMDD"))</f>
        <v/>
      </c>
      <c r="C1419" s="37" t="str">
        <f>IF(Agent08_Withdrawals!A24="","",Agent08_Withdrawals!B24)</f>
        <v/>
      </c>
      <c r="D1419" s="40" t="str">
        <f>IF(Agent08_Withdrawals!A24="","",Agent08_Withdrawals!C24)</f>
        <v/>
      </c>
      <c r="E1419" s="38" t="str">
        <f>IF(Agent08_Withdrawals!A24="","",Agent08_Withdrawals!D24)</f>
        <v/>
      </c>
      <c r="F1419" s="37" t="str">
        <f>IF(Agent08_Withdrawals!A24="","",Agent08_Withdrawals!F24)</f>
        <v/>
      </c>
      <c r="G1419" s="39" t="str">
        <f>IF(Agent08_Withdrawals!A24="","",Agent08_Withdrawals!E24)</f>
        <v/>
      </c>
      <c r="H1419" s="39" t="str">
        <f>IF(Agent08_Withdrawals!A24="","",Agent08_Withdrawals!G24)</f>
        <v/>
      </c>
      <c r="I1419" s="37" t="str">
        <f>IF(Agent08_Withdrawals!A24="","",Agent08_Withdrawals!H24)</f>
        <v/>
      </c>
      <c r="J1419" s="37" t="str">
        <f>IF(Agent08_Withdrawals!A24="","",Agent08_Withdrawals!J24)</f>
        <v/>
      </c>
      <c r="K1419" s="37" t="str">
        <f>IF(Agent08_Withdrawals!A24="","",Agent08_Withdrawals!K24)</f>
        <v/>
      </c>
      <c r="L1419" s="37" t="str">
        <f>IF(G1419="","",IF(D1419-G1419&gt;=System_Config!$B$9,"✅ OK","⚠️ BREACH"))</f>
        <v/>
      </c>
      <c r="M1419" s="37" t="str">
        <f>IFERROR(IF(Agent08_Withdrawals!A24="","",YEAR(Agent08_Withdrawals!D24)),"")</f>
        <v/>
      </c>
    </row>
    <row r="1420" spans="1:13" ht="18" customHeight="1" x14ac:dyDescent="0.25">
      <c r="A1420" s="37" t="str">
        <f>IF(Agent08_Withdrawals!A25="","",Agent08_Withdrawals!A25)</f>
        <v/>
      </c>
      <c r="B1420" s="37" t="str">
        <f ca="1">IF(Agent08_Withdrawals!A25="","","WD"&amp;TEXT(1420-3,"0000")&amp;"-"&amp;TEXT(TODAY(),"YYYYMMDD"))</f>
        <v/>
      </c>
      <c r="C1420" s="37" t="str">
        <f>IF(Agent08_Withdrawals!A25="","",Agent08_Withdrawals!B25)</f>
        <v/>
      </c>
      <c r="D1420" s="40" t="str">
        <f>IF(Agent08_Withdrawals!A25="","",Agent08_Withdrawals!C25)</f>
        <v/>
      </c>
      <c r="E1420" s="38" t="str">
        <f>IF(Agent08_Withdrawals!A25="","",Agent08_Withdrawals!D25)</f>
        <v/>
      </c>
      <c r="F1420" s="37" t="str">
        <f>IF(Agent08_Withdrawals!A25="","",Agent08_Withdrawals!F25)</f>
        <v/>
      </c>
      <c r="G1420" s="39" t="str">
        <f>IF(Agent08_Withdrawals!A25="","",Agent08_Withdrawals!E25)</f>
        <v/>
      </c>
      <c r="H1420" s="39" t="str">
        <f>IF(Agent08_Withdrawals!A25="","",Agent08_Withdrawals!G25)</f>
        <v/>
      </c>
      <c r="I1420" s="37" t="str">
        <f>IF(Agent08_Withdrawals!A25="","",Agent08_Withdrawals!H25)</f>
        <v/>
      </c>
      <c r="J1420" s="37" t="str">
        <f>IF(Agent08_Withdrawals!A25="","",Agent08_Withdrawals!J25)</f>
        <v/>
      </c>
      <c r="K1420" s="37" t="str">
        <f>IF(Agent08_Withdrawals!A25="","",Agent08_Withdrawals!K25)</f>
        <v/>
      </c>
      <c r="L1420" s="37" t="str">
        <f>IF(G1420="","",IF(D1420-G1420&gt;=System_Config!$B$9,"✅ OK","⚠️ BREACH"))</f>
        <v/>
      </c>
      <c r="M1420" s="37" t="str">
        <f>IFERROR(IF(Agent08_Withdrawals!A25="","",YEAR(Agent08_Withdrawals!D25)),"")</f>
        <v/>
      </c>
    </row>
    <row r="1421" spans="1:13" ht="18" customHeight="1" x14ac:dyDescent="0.25">
      <c r="A1421" s="37" t="str">
        <f>IF(Agent08_Withdrawals!A26="","",Agent08_Withdrawals!A26)</f>
        <v/>
      </c>
      <c r="B1421" s="37" t="str">
        <f ca="1">IF(Agent08_Withdrawals!A26="","","WD"&amp;TEXT(1421-3,"0000")&amp;"-"&amp;TEXT(TODAY(),"YYYYMMDD"))</f>
        <v/>
      </c>
      <c r="C1421" s="37" t="str">
        <f>IF(Agent08_Withdrawals!A26="","",Agent08_Withdrawals!B26)</f>
        <v/>
      </c>
      <c r="D1421" s="40" t="str">
        <f>IF(Agent08_Withdrawals!A26="","",Agent08_Withdrawals!C26)</f>
        <v/>
      </c>
      <c r="E1421" s="38" t="str">
        <f>IF(Agent08_Withdrawals!A26="","",Agent08_Withdrawals!D26)</f>
        <v/>
      </c>
      <c r="F1421" s="37" t="str">
        <f>IF(Agent08_Withdrawals!A26="","",Agent08_Withdrawals!F26)</f>
        <v/>
      </c>
      <c r="G1421" s="39" t="str">
        <f>IF(Agent08_Withdrawals!A26="","",Agent08_Withdrawals!E26)</f>
        <v/>
      </c>
      <c r="H1421" s="39" t="str">
        <f>IF(Agent08_Withdrawals!A26="","",Agent08_Withdrawals!G26)</f>
        <v/>
      </c>
      <c r="I1421" s="37" t="str">
        <f>IF(Agent08_Withdrawals!A26="","",Agent08_Withdrawals!H26)</f>
        <v/>
      </c>
      <c r="J1421" s="37" t="str">
        <f>IF(Agent08_Withdrawals!A26="","",Agent08_Withdrawals!J26)</f>
        <v/>
      </c>
      <c r="K1421" s="37" t="str">
        <f>IF(Agent08_Withdrawals!A26="","",Agent08_Withdrawals!K26)</f>
        <v/>
      </c>
      <c r="L1421" s="37" t="str">
        <f>IF(G1421="","",IF(D1421-G1421&gt;=System_Config!$B$9,"✅ OK","⚠️ BREACH"))</f>
        <v/>
      </c>
      <c r="M1421" s="37" t="str">
        <f>IFERROR(IF(Agent08_Withdrawals!A26="","",YEAR(Agent08_Withdrawals!D26)),"")</f>
        <v/>
      </c>
    </row>
    <row r="1422" spans="1:13" ht="18" customHeight="1" x14ac:dyDescent="0.25">
      <c r="A1422" s="37" t="str">
        <f>IF(Agent08_Withdrawals!A27="","",Agent08_Withdrawals!A27)</f>
        <v/>
      </c>
      <c r="B1422" s="37" t="str">
        <f ca="1">IF(Agent08_Withdrawals!A27="","","WD"&amp;TEXT(1422-3,"0000")&amp;"-"&amp;TEXT(TODAY(),"YYYYMMDD"))</f>
        <v/>
      </c>
      <c r="C1422" s="37" t="str">
        <f>IF(Agent08_Withdrawals!A27="","",Agent08_Withdrawals!B27)</f>
        <v/>
      </c>
      <c r="D1422" s="40" t="str">
        <f>IF(Agent08_Withdrawals!A27="","",Agent08_Withdrawals!C27)</f>
        <v/>
      </c>
      <c r="E1422" s="38" t="str">
        <f>IF(Agent08_Withdrawals!A27="","",Agent08_Withdrawals!D27)</f>
        <v/>
      </c>
      <c r="F1422" s="37" t="str">
        <f>IF(Agent08_Withdrawals!A27="","",Agent08_Withdrawals!F27)</f>
        <v/>
      </c>
      <c r="G1422" s="39" t="str">
        <f>IF(Agent08_Withdrawals!A27="","",Agent08_Withdrawals!E27)</f>
        <v/>
      </c>
      <c r="H1422" s="39" t="str">
        <f>IF(Agent08_Withdrawals!A27="","",Agent08_Withdrawals!G27)</f>
        <v/>
      </c>
      <c r="I1422" s="37" t="str">
        <f>IF(Agent08_Withdrawals!A27="","",Agent08_Withdrawals!H27)</f>
        <v/>
      </c>
      <c r="J1422" s="37" t="str">
        <f>IF(Agent08_Withdrawals!A27="","",Agent08_Withdrawals!J27)</f>
        <v/>
      </c>
      <c r="K1422" s="37" t="str">
        <f>IF(Agent08_Withdrawals!A27="","",Agent08_Withdrawals!K27)</f>
        <v/>
      </c>
      <c r="L1422" s="37" t="str">
        <f>IF(G1422="","",IF(D1422-G1422&gt;=System_Config!$B$9,"✅ OK","⚠️ BREACH"))</f>
        <v/>
      </c>
      <c r="M1422" s="37" t="str">
        <f>IFERROR(IF(Agent08_Withdrawals!A27="","",YEAR(Agent08_Withdrawals!D27)),"")</f>
        <v/>
      </c>
    </row>
    <row r="1423" spans="1:13" ht="18" customHeight="1" x14ac:dyDescent="0.25">
      <c r="A1423" s="37" t="str">
        <f>IF(Agent08_Withdrawals!A28="","",Agent08_Withdrawals!A28)</f>
        <v/>
      </c>
      <c r="B1423" s="37" t="str">
        <f ca="1">IF(Agent08_Withdrawals!A28="","","WD"&amp;TEXT(1423-3,"0000")&amp;"-"&amp;TEXT(TODAY(),"YYYYMMDD"))</f>
        <v/>
      </c>
      <c r="C1423" s="37" t="str">
        <f>IF(Agent08_Withdrawals!A28="","",Agent08_Withdrawals!B28)</f>
        <v/>
      </c>
      <c r="D1423" s="40" t="str">
        <f>IF(Agent08_Withdrawals!A28="","",Agent08_Withdrawals!C28)</f>
        <v/>
      </c>
      <c r="E1423" s="38" t="str">
        <f>IF(Agent08_Withdrawals!A28="","",Agent08_Withdrawals!D28)</f>
        <v/>
      </c>
      <c r="F1423" s="37" t="str">
        <f>IF(Agent08_Withdrawals!A28="","",Agent08_Withdrawals!F28)</f>
        <v/>
      </c>
      <c r="G1423" s="39" t="str">
        <f>IF(Agent08_Withdrawals!A28="","",Agent08_Withdrawals!E28)</f>
        <v/>
      </c>
      <c r="H1423" s="39" t="str">
        <f>IF(Agent08_Withdrawals!A28="","",Agent08_Withdrawals!G28)</f>
        <v/>
      </c>
      <c r="I1423" s="37" t="str">
        <f>IF(Agent08_Withdrawals!A28="","",Agent08_Withdrawals!H28)</f>
        <v/>
      </c>
      <c r="J1423" s="37" t="str">
        <f>IF(Agent08_Withdrawals!A28="","",Agent08_Withdrawals!J28)</f>
        <v/>
      </c>
      <c r="K1423" s="37" t="str">
        <f>IF(Agent08_Withdrawals!A28="","",Agent08_Withdrawals!K28)</f>
        <v/>
      </c>
      <c r="L1423" s="37" t="str">
        <f>IF(G1423="","",IF(D1423-G1423&gt;=System_Config!$B$9,"✅ OK","⚠️ BREACH"))</f>
        <v/>
      </c>
      <c r="M1423" s="37" t="str">
        <f>IFERROR(IF(Agent08_Withdrawals!A28="","",YEAR(Agent08_Withdrawals!D28)),"")</f>
        <v/>
      </c>
    </row>
    <row r="1424" spans="1:13" ht="18" customHeight="1" x14ac:dyDescent="0.25">
      <c r="A1424" s="37" t="str">
        <f>IF(Agent08_Withdrawals!A29="","",Agent08_Withdrawals!A29)</f>
        <v/>
      </c>
      <c r="B1424" s="37" t="str">
        <f ca="1">IF(Agent08_Withdrawals!A29="","","WD"&amp;TEXT(1424-3,"0000")&amp;"-"&amp;TEXT(TODAY(),"YYYYMMDD"))</f>
        <v/>
      </c>
      <c r="C1424" s="37" t="str">
        <f>IF(Agent08_Withdrawals!A29="","",Agent08_Withdrawals!B29)</f>
        <v/>
      </c>
      <c r="D1424" s="40" t="str">
        <f>IF(Agent08_Withdrawals!A29="","",Agent08_Withdrawals!C29)</f>
        <v/>
      </c>
      <c r="E1424" s="38" t="str">
        <f>IF(Agent08_Withdrawals!A29="","",Agent08_Withdrawals!D29)</f>
        <v/>
      </c>
      <c r="F1424" s="37" t="str">
        <f>IF(Agent08_Withdrawals!A29="","",Agent08_Withdrawals!F29)</f>
        <v/>
      </c>
      <c r="G1424" s="39" t="str">
        <f>IF(Agent08_Withdrawals!A29="","",Agent08_Withdrawals!E29)</f>
        <v/>
      </c>
      <c r="H1424" s="39" t="str">
        <f>IF(Agent08_Withdrawals!A29="","",Agent08_Withdrawals!G29)</f>
        <v/>
      </c>
      <c r="I1424" s="37" t="str">
        <f>IF(Agent08_Withdrawals!A29="","",Agent08_Withdrawals!H29)</f>
        <v/>
      </c>
      <c r="J1424" s="37" t="str">
        <f>IF(Agent08_Withdrawals!A29="","",Agent08_Withdrawals!J29)</f>
        <v/>
      </c>
      <c r="K1424" s="37" t="str">
        <f>IF(Agent08_Withdrawals!A29="","",Agent08_Withdrawals!K29)</f>
        <v/>
      </c>
      <c r="L1424" s="37" t="str">
        <f>IF(G1424="","",IF(D1424-G1424&gt;=System_Config!$B$9,"✅ OK","⚠️ BREACH"))</f>
        <v/>
      </c>
      <c r="M1424" s="37" t="str">
        <f>IFERROR(IF(Agent08_Withdrawals!A29="","",YEAR(Agent08_Withdrawals!D29)),"")</f>
        <v/>
      </c>
    </row>
    <row r="1425" spans="1:13" ht="18" customHeight="1" x14ac:dyDescent="0.25">
      <c r="A1425" s="37" t="str">
        <f>IF(Agent08_Withdrawals!A30="","",Agent08_Withdrawals!A30)</f>
        <v/>
      </c>
      <c r="B1425" s="37" t="str">
        <f ca="1">IF(Agent08_Withdrawals!A30="","","WD"&amp;TEXT(1425-3,"0000")&amp;"-"&amp;TEXT(TODAY(),"YYYYMMDD"))</f>
        <v/>
      </c>
      <c r="C1425" s="37" t="str">
        <f>IF(Agent08_Withdrawals!A30="","",Agent08_Withdrawals!B30)</f>
        <v/>
      </c>
      <c r="D1425" s="40" t="str">
        <f>IF(Agent08_Withdrawals!A30="","",Agent08_Withdrawals!C30)</f>
        <v/>
      </c>
      <c r="E1425" s="38" t="str">
        <f>IF(Agent08_Withdrawals!A30="","",Agent08_Withdrawals!D30)</f>
        <v/>
      </c>
      <c r="F1425" s="37" t="str">
        <f>IF(Agent08_Withdrawals!A30="","",Agent08_Withdrawals!F30)</f>
        <v/>
      </c>
      <c r="G1425" s="39" t="str">
        <f>IF(Agent08_Withdrawals!A30="","",Agent08_Withdrawals!E30)</f>
        <v/>
      </c>
      <c r="H1425" s="39" t="str">
        <f>IF(Agent08_Withdrawals!A30="","",Agent08_Withdrawals!G30)</f>
        <v/>
      </c>
      <c r="I1425" s="37" t="str">
        <f>IF(Agent08_Withdrawals!A30="","",Agent08_Withdrawals!H30)</f>
        <v/>
      </c>
      <c r="J1425" s="37" t="str">
        <f>IF(Agent08_Withdrawals!A30="","",Agent08_Withdrawals!J30)</f>
        <v/>
      </c>
      <c r="K1425" s="37" t="str">
        <f>IF(Agent08_Withdrawals!A30="","",Agent08_Withdrawals!K30)</f>
        <v/>
      </c>
      <c r="L1425" s="37" t="str">
        <f>IF(G1425="","",IF(D1425-G1425&gt;=System_Config!$B$9,"✅ OK","⚠️ BREACH"))</f>
        <v/>
      </c>
      <c r="M1425" s="37" t="str">
        <f>IFERROR(IF(Agent08_Withdrawals!A30="","",YEAR(Agent08_Withdrawals!D30)),"")</f>
        <v/>
      </c>
    </row>
    <row r="1426" spans="1:13" ht="18" customHeight="1" x14ac:dyDescent="0.25">
      <c r="A1426" s="37" t="str">
        <f>IF(Agent08_Withdrawals!A31="","",Agent08_Withdrawals!A31)</f>
        <v/>
      </c>
      <c r="B1426" s="37" t="str">
        <f ca="1">IF(Agent08_Withdrawals!A31="","","WD"&amp;TEXT(1426-3,"0000")&amp;"-"&amp;TEXT(TODAY(),"YYYYMMDD"))</f>
        <v/>
      </c>
      <c r="C1426" s="37" t="str">
        <f>IF(Agent08_Withdrawals!A31="","",Agent08_Withdrawals!B31)</f>
        <v/>
      </c>
      <c r="D1426" s="40" t="str">
        <f>IF(Agent08_Withdrawals!A31="","",Agent08_Withdrawals!C31)</f>
        <v/>
      </c>
      <c r="E1426" s="38" t="str">
        <f>IF(Agent08_Withdrawals!A31="","",Agent08_Withdrawals!D31)</f>
        <v/>
      </c>
      <c r="F1426" s="37" t="str">
        <f>IF(Agent08_Withdrawals!A31="","",Agent08_Withdrawals!F31)</f>
        <v/>
      </c>
      <c r="G1426" s="39" t="str">
        <f>IF(Agent08_Withdrawals!A31="","",Agent08_Withdrawals!E31)</f>
        <v/>
      </c>
      <c r="H1426" s="39" t="str">
        <f>IF(Agent08_Withdrawals!A31="","",Agent08_Withdrawals!G31)</f>
        <v/>
      </c>
      <c r="I1426" s="37" t="str">
        <f>IF(Agent08_Withdrawals!A31="","",Agent08_Withdrawals!H31)</f>
        <v/>
      </c>
      <c r="J1426" s="37" t="str">
        <f>IF(Agent08_Withdrawals!A31="","",Agent08_Withdrawals!J31)</f>
        <v/>
      </c>
      <c r="K1426" s="37" t="str">
        <f>IF(Agent08_Withdrawals!A31="","",Agent08_Withdrawals!K31)</f>
        <v/>
      </c>
      <c r="L1426" s="37" t="str">
        <f>IF(G1426="","",IF(D1426-G1426&gt;=System_Config!$B$9,"✅ OK","⚠️ BREACH"))</f>
        <v/>
      </c>
      <c r="M1426" s="37" t="str">
        <f>IFERROR(IF(Agent08_Withdrawals!A31="","",YEAR(Agent08_Withdrawals!D31)),"")</f>
        <v/>
      </c>
    </row>
    <row r="1427" spans="1:13" ht="18" customHeight="1" x14ac:dyDescent="0.25">
      <c r="A1427" s="37" t="str">
        <f>IF(Agent08_Withdrawals!A32="","",Agent08_Withdrawals!A32)</f>
        <v/>
      </c>
      <c r="B1427" s="37" t="str">
        <f ca="1">IF(Agent08_Withdrawals!A32="","","WD"&amp;TEXT(1427-3,"0000")&amp;"-"&amp;TEXT(TODAY(),"YYYYMMDD"))</f>
        <v/>
      </c>
      <c r="C1427" s="37" t="str">
        <f>IF(Agent08_Withdrawals!A32="","",Agent08_Withdrawals!B32)</f>
        <v/>
      </c>
      <c r="D1427" s="40" t="str">
        <f>IF(Agent08_Withdrawals!A32="","",Agent08_Withdrawals!C32)</f>
        <v/>
      </c>
      <c r="E1427" s="38" t="str">
        <f>IF(Agent08_Withdrawals!A32="","",Agent08_Withdrawals!D32)</f>
        <v/>
      </c>
      <c r="F1427" s="37" t="str">
        <f>IF(Agent08_Withdrawals!A32="","",Agent08_Withdrawals!F32)</f>
        <v/>
      </c>
      <c r="G1427" s="39" t="str">
        <f>IF(Agent08_Withdrawals!A32="","",Agent08_Withdrawals!E32)</f>
        <v/>
      </c>
      <c r="H1427" s="39" t="str">
        <f>IF(Agent08_Withdrawals!A32="","",Agent08_Withdrawals!G32)</f>
        <v/>
      </c>
      <c r="I1427" s="37" t="str">
        <f>IF(Agent08_Withdrawals!A32="","",Agent08_Withdrawals!H32)</f>
        <v/>
      </c>
      <c r="J1427" s="37" t="str">
        <f>IF(Agent08_Withdrawals!A32="","",Agent08_Withdrawals!J32)</f>
        <v/>
      </c>
      <c r="K1427" s="37" t="str">
        <f>IF(Agent08_Withdrawals!A32="","",Agent08_Withdrawals!K32)</f>
        <v/>
      </c>
      <c r="L1427" s="37" t="str">
        <f>IF(G1427="","",IF(D1427-G1427&gt;=System_Config!$B$9,"✅ OK","⚠️ BREACH"))</f>
        <v/>
      </c>
      <c r="M1427" s="37" t="str">
        <f>IFERROR(IF(Agent08_Withdrawals!A32="","",YEAR(Agent08_Withdrawals!D32)),"")</f>
        <v/>
      </c>
    </row>
    <row r="1428" spans="1:13" ht="18" customHeight="1" x14ac:dyDescent="0.25">
      <c r="A1428" s="37" t="str">
        <f>IF(Agent08_Withdrawals!A33="","",Agent08_Withdrawals!A33)</f>
        <v/>
      </c>
      <c r="B1428" s="37" t="str">
        <f ca="1">IF(Agent08_Withdrawals!A33="","","WD"&amp;TEXT(1428-3,"0000")&amp;"-"&amp;TEXT(TODAY(),"YYYYMMDD"))</f>
        <v/>
      </c>
      <c r="C1428" s="37" t="str">
        <f>IF(Agent08_Withdrawals!A33="","",Agent08_Withdrawals!B33)</f>
        <v/>
      </c>
      <c r="D1428" s="40" t="str">
        <f>IF(Agent08_Withdrawals!A33="","",Agent08_Withdrawals!C33)</f>
        <v/>
      </c>
      <c r="E1428" s="38" t="str">
        <f>IF(Agent08_Withdrawals!A33="","",Agent08_Withdrawals!D33)</f>
        <v/>
      </c>
      <c r="F1428" s="37" t="str">
        <f>IF(Agent08_Withdrawals!A33="","",Agent08_Withdrawals!F33)</f>
        <v/>
      </c>
      <c r="G1428" s="39" t="str">
        <f>IF(Agent08_Withdrawals!A33="","",Agent08_Withdrawals!E33)</f>
        <v/>
      </c>
      <c r="H1428" s="39" t="str">
        <f>IF(Agent08_Withdrawals!A33="","",Agent08_Withdrawals!G33)</f>
        <v/>
      </c>
      <c r="I1428" s="37" t="str">
        <f>IF(Agent08_Withdrawals!A33="","",Agent08_Withdrawals!H33)</f>
        <v/>
      </c>
      <c r="J1428" s="37" t="str">
        <f>IF(Agent08_Withdrawals!A33="","",Agent08_Withdrawals!J33)</f>
        <v/>
      </c>
      <c r="K1428" s="37" t="str">
        <f>IF(Agent08_Withdrawals!A33="","",Agent08_Withdrawals!K33)</f>
        <v/>
      </c>
      <c r="L1428" s="37" t="str">
        <f>IF(G1428="","",IF(D1428-G1428&gt;=System_Config!$B$9,"✅ OK","⚠️ BREACH"))</f>
        <v/>
      </c>
      <c r="M1428" s="37" t="str">
        <f>IFERROR(IF(Agent08_Withdrawals!A33="","",YEAR(Agent08_Withdrawals!D33)),"")</f>
        <v/>
      </c>
    </row>
    <row r="1429" spans="1:13" ht="18" customHeight="1" x14ac:dyDescent="0.25">
      <c r="A1429" s="37" t="str">
        <f>IF(Agent08_Withdrawals!A34="","",Agent08_Withdrawals!A34)</f>
        <v/>
      </c>
      <c r="B1429" s="37" t="str">
        <f ca="1">IF(Agent08_Withdrawals!A34="","","WD"&amp;TEXT(1429-3,"0000")&amp;"-"&amp;TEXT(TODAY(),"YYYYMMDD"))</f>
        <v/>
      </c>
      <c r="C1429" s="37" t="str">
        <f>IF(Agent08_Withdrawals!A34="","",Agent08_Withdrawals!B34)</f>
        <v/>
      </c>
      <c r="D1429" s="40" t="str">
        <f>IF(Agent08_Withdrawals!A34="","",Agent08_Withdrawals!C34)</f>
        <v/>
      </c>
      <c r="E1429" s="38" t="str">
        <f>IF(Agent08_Withdrawals!A34="","",Agent08_Withdrawals!D34)</f>
        <v/>
      </c>
      <c r="F1429" s="37" t="str">
        <f>IF(Agent08_Withdrawals!A34="","",Agent08_Withdrawals!F34)</f>
        <v/>
      </c>
      <c r="G1429" s="39" t="str">
        <f>IF(Agent08_Withdrawals!A34="","",Agent08_Withdrawals!E34)</f>
        <v/>
      </c>
      <c r="H1429" s="39" t="str">
        <f>IF(Agent08_Withdrawals!A34="","",Agent08_Withdrawals!G34)</f>
        <v/>
      </c>
      <c r="I1429" s="37" t="str">
        <f>IF(Agent08_Withdrawals!A34="","",Agent08_Withdrawals!H34)</f>
        <v/>
      </c>
      <c r="J1429" s="37" t="str">
        <f>IF(Agent08_Withdrawals!A34="","",Agent08_Withdrawals!J34)</f>
        <v/>
      </c>
      <c r="K1429" s="37" t="str">
        <f>IF(Agent08_Withdrawals!A34="","",Agent08_Withdrawals!K34)</f>
        <v/>
      </c>
      <c r="L1429" s="37" t="str">
        <f>IF(G1429="","",IF(D1429-G1429&gt;=System_Config!$B$9,"✅ OK","⚠️ BREACH"))</f>
        <v/>
      </c>
      <c r="M1429" s="37" t="str">
        <f>IFERROR(IF(Agent08_Withdrawals!A34="","",YEAR(Agent08_Withdrawals!D34)),"")</f>
        <v/>
      </c>
    </row>
    <row r="1430" spans="1:13" ht="18" customHeight="1" x14ac:dyDescent="0.25">
      <c r="A1430" s="37" t="str">
        <f>IF(Agent08_Withdrawals!A35="","",Agent08_Withdrawals!A35)</f>
        <v/>
      </c>
      <c r="B1430" s="37" t="str">
        <f ca="1">IF(Agent08_Withdrawals!A35="","","WD"&amp;TEXT(1430-3,"0000")&amp;"-"&amp;TEXT(TODAY(),"YYYYMMDD"))</f>
        <v/>
      </c>
      <c r="C1430" s="37" t="str">
        <f>IF(Agent08_Withdrawals!A35="","",Agent08_Withdrawals!B35)</f>
        <v/>
      </c>
      <c r="D1430" s="40" t="str">
        <f>IF(Agent08_Withdrawals!A35="","",Agent08_Withdrawals!C35)</f>
        <v/>
      </c>
      <c r="E1430" s="38" t="str">
        <f>IF(Agent08_Withdrawals!A35="","",Agent08_Withdrawals!D35)</f>
        <v/>
      </c>
      <c r="F1430" s="37" t="str">
        <f>IF(Agent08_Withdrawals!A35="","",Agent08_Withdrawals!F35)</f>
        <v/>
      </c>
      <c r="G1430" s="39" t="str">
        <f>IF(Agent08_Withdrawals!A35="","",Agent08_Withdrawals!E35)</f>
        <v/>
      </c>
      <c r="H1430" s="39" t="str">
        <f>IF(Agent08_Withdrawals!A35="","",Agent08_Withdrawals!G35)</f>
        <v/>
      </c>
      <c r="I1430" s="37" t="str">
        <f>IF(Agent08_Withdrawals!A35="","",Agent08_Withdrawals!H35)</f>
        <v/>
      </c>
      <c r="J1430" s="37" t="str">
        <f>IF(Agent08_Withdrawals!A35="","",Agent08_Withdrawals!J35)</f>
        <v/>
      </c>
      <c r="K1430" s="37" t="str">
        <f>IF(Agent08_Withdrawals!A35="","",Agent08_Withdrawals!K35)</f>
        <v/>
      </c>
      <c r="L1430" s="37" t="str">
        <f>IF(G1430="","",IF(D1430-G1430&gt;=System_Config!$B$9,"✅ OK","⚠️ BREACH"))</f>
        <v/>
      </c>
      <c r="M1430" s="37" t="str">
        <f>IFERROR(IF(Agent08_Withdrawals!A35="","",YEAR(Agent08_Withdrawals!D35)),"")</f>
        <v/>
      </c>
    </row>
    <row r="1431" spans="1:13" ht="18" customHeight="1" x14ac:dyDescent="0.25">
      <c r="A1431" s="37" t="str">
        <f>IF(Agent08_Withdrawals!A36="","",Agent08_Withdrawals!A36)</f>
        <v/>
      </c>
      <c r="B1431" s="37" t="str">
        <f ca="1">IF(Agent08_Withdrawals!A36="","","WD"&amp;TEXT(1431-3,"0000")&amp;"-"&amp;TEXT(TODAY(),"YYYYMMDD"))</f>
        <v/>
      </c>
      <c r="C1431" s="37" t="str">
        <f>IF(Agent08_Withdrawals!A36="","",Agent08_Withdrawals!B36)</f>
        <v/>
      </c>
      <c r="D1431" s="40" t="str">
        <f>IF(Agent08_Withdrawals!A36="","",Agent08_Withdrawals!C36)</f>
        <v/>
      </c>
      <c r="E1431" s="38" t="str">
        <f>IF(Agent08_Withdrawals!A36="","",Agent08_Withdrawals!D36)</f>
        <v/>
      </c>
      <c r="F1431" s="37" t="str">
        <f>IF(Agent08_Withdrawals!A36="","",Agent08_Withdrawals!F36)</f>
        <v/>
      </c>
      <c r="G1431" s="39" t="str">
        <f>IF(Agent08_Withdrawals!A36="","",Agent08_Withdrawals!E36)</f>
        <v/>
      </c>
      <c r="H1431" s="39" t="str">
        <f>IF(Agent08_Withdrawals!A36="","",Agent08_Withdrawals!G36)</f>
        <v/>
      </c>
      <c r="I1431" s="37" t="str">
        <f>IF(Agent08_Withdrawals!A36="","",Agent08_Withdrawals!H36)</f>
        <v/>
      </c>
      <c r="J1431" s="37" t="str">
        <f>IF(Agent08_Withdrawals!A36="","",Agent08_Withdrawals!J36)</f>
        <v/>
      </c>
      <c r="K1431" s="37" t="str">
        <f>IF(Agent08_Withdrawals!A36="","",Agent08_Withdrawals!K36)</f>
        <v/>
      </c>
      <c r="L1431" s="37" t="str">
        <f>IF(G1431="","",IF(D1431-G1431&gt;=System_Config!$B$9,"✅ OK","⚠️ BREACH"))</f>
        <v/>
      </c>
      <c r="M1431" s="37" t="str">
        <f>IFERROR(IF(Agent08_Withdrawals!A36="","",YEAR(Agent08_Withdrawals!D36)),"")</f>
        <v/>
      </c>
    </row>
    <row r="1432" spans="1:13" ht="18" customHeight="1" x14ac:dyDescent="0.25">
      <c r="A1432" s="37" t="str">
        <f>IF(Agent08_Withdrawals!A37="","",Agent08_Withdrawals!A37)</f>
        <v/>
      </c>
      <c r="B1432" s="37" t="str">
        <f ca="1">IF(Agent08_Withdrawals!A37="","","WD"&amp;TEXT(1432-3,"0000")&amp;"-"&amp;TEXT(TODAY(),"YYYYMMDD"))</f>
        <v/>
      </c>
      <c r="C1432" s="37" t="str">
        <f>IF(Agent08_Withdrawals!A37="","",Agent08_Withdrawals!B37)</f>
        <v/>
      </c>
      <c r="D1432" s="40" t="str">
        <f>IF(Agent08_Withdrawals!A37="","",Agent08_Withdrawals!C37)</f>
        <v/>
      </c>
      <c r="E1432" s="38" t="str">
        <f>IF(Agent08_Withdrawals!A37="","",Agent08_Withdrawals!D37)</f>
        <v/>
      </c>
      <c r="F1432" s="37" t="str">
        <f>IF(Agent08_Withdrawals!A37="","",Agent08_Withdrawals!F37)</f>
        <v/>
      </c>
      <c r="G1432" s="39" t="str">
        <f>IF(Agent08_Withdrawals!A37="","",Agent08_Withdrawals!E37)</f>
        <v/>
      </c>
      <c r="H1432" s="39" t="str">
        <f>IF(Agent08_Withdrawals!A37="","",Agent08_Withdrawals!G37)</f>
        <v/>
      </c>
      <c r="I1432" s="37" t="str">
        <f>IF(Agent08_Withdrawals!A37="","",Agent08_Withdrawals!H37)</f>
        <v/>
      </c>
      <c r="J1432" s="37" t="str">
        <f>IF(Agent08_Withdrawals!A37="","",Agent08_Withdrawals!J37)</f>
        <v/>
      </c>
      <c r="K1432" s="37" t="str">
        <f>IF(Agent08_Withdrawals!A37="","",Agent08_Withdrawals!K37)</f>
        <v/>
      </c>
      <c r="L1432" s="37" t="str">
        <f>IF(G1432="","",IF(D1432-G1432&gt;=System_Config!$B$9,"✅ OK","⚠️ BREACH"))</f>
        <v/>
      </c>
      <c r="M1432" s="37" t="str">
        <f>IFERROR(IF(Agent08_Withdrawals!A37="","",YEAR(Agent08_Withdrawals!D37)),"")</f>
        <v/>
      </c>
    </row>
    <row r="1433" spans="1:13" ht="18" customHeight="1" x14ac:dyDescent="0.25">
      <c r="A1433" s="37" t="str">
        <f>IF(Agent08_Withdrawals!A38="","",Agent08_Withdrawals!A38)</f>
        <v/>
      </c>
      <c r="B1433" s="37" t="str">
        <f ca="1">IF(Agent08_Withdrawals!A38="","","WD"&amp;TEXT(1433-3,"0000")&amp;"-"&amp;TEXT(TODAY(),"YYYYMMDD"))</f>
        <v/>
      </c>
      <c r="C1433" s="37" t="str">
        <f>IF(Agent08_Withdrawals!A38="","",Agent08_Withdrawals!B38)</f>
        <v/>
      </c>
      <c r="D1433" s="40" t="str">
        <f>IF(Agent08_Withdrawals!A38="","",Agent08_Withdrawals!C38)</f>
        <v/>
      </c>
      <c r="E1433" s="38" t="str">
        <f>IF(Agent08_Withdrawals!A38="","",Agent08_Withdrawals!D38)</f>
        <v/>
      </c>
      <c r="F1433" s="37" t="str">
        <f>IF(Agent08_Withdrawals!A38="","",Agent08_Withdrawals!F38)</f>
        <v/>
      </c>
      <c r="G1433" s="39" t="str">
        <f>IF(Agent08_Withdrawals!A38="","",Agent08_Withdrawals!E38)</f>
        <v/>
      </c>
      <c r="H1433" s="39" t="str">
        <f>IF(Agent08_Withdrawals!A38="","",Agent08_Withdrawals!G38)</f>
        <v/>
      </c>
      <c r="I1433" s="37" t="str">
        <f>IF(Agent08_Withdrawals!A38="","",Agent08_Withdrawals!H38)</f>
        <v/>
      </c>
      <c r="J1433" s="37" t="str">
        <f>IF(Agent08_Withdrawals!A38="","",Agent08_Withdrawals!J38)</f>
        <v/>
      </c>
      <c r="K1433" s="37" t="str">
        <f>IF(Agent08_Withdrawals!A38="","",Agent08_Withdrawals!K38)</f>
        <v/>
      </c>
      <c r="L1433" s="37" t="str">
        <f>IF(G1433="","",IF(D1433-G1433&gt;=System_Config!$B$9,"✅ OK","⚠️ BREACH"))</f>
        <v/>
      </c>
      <c r="M1433" s="37" t="str">
        <f>IFERROR(IF(Agent08_Withdrawals!A38="","",YEAR(Agent08_Withdrawals!D38)),"")</f>
        <v/>
      </c>
    </row>
    <row r="1434" spans="1:13" ht="18" customHeight="1" x14ac:dyDescent="0.25">
      <c r="A1434" s="37" t="str">
        <f>IF(Agent08_Withdrawals!A39="","",Agent08_Withdrawals!A39)</f>
        <v/>
      </c>
      <c r="B1434" s="37" t="str">
        <f ca="1">IF(Agent08_Withdrawals!A39="","","WD"&amp;TEXT(1434-3,"0000")&amp;"-"&amp;TEXT(TODAY(),"YYYYMMDD"))</f>
        <v/>
      </c>
      <c r="C1434" s="37" t="str">
        <f>IF(Agent08_Withdrawals!A39="","",Agent08_Withdrawals!B39)</f>
        <v/>
      </c>
      <c r="D1434" s="40" t="str">
        <f>IF(Agent08_Withdrawals!A39="","",Agent08_Withdrawals!C39)</f>
        <v/>
      </c>
      <c r="E1434" s="38" t="str">
        <f>IF(Agent08_Withdrawals!A39="","",Agent08_Withdrawals!D39)</f>
        <v/>
      </c>
      <c r="F1434" s="37" t="str">
        <f>IF(Agent08_Withdrawals!A39="","",Agent08_Withdrawals!F39)</f>
        <v/>
      </c>
      <c r="G1434" s="39" t="str">
        <f>IF(Agent08_Withdrawals!A39="","",Agent08_Withdrawals!E39)</f>
        <v/>
      </c>
      <c r="H1434" s="39" t="str">
        <f>IF(Agent08_Withdrawals!A39="","",Agent08_Withdrawals!G39)</f>
        <v/>
      </c>
      <c r="I1434" s="37" t="str">
        <f>IF(Agent08_Withdrawals!A39="","",Agent08_Withdrawals!H39)</f>
        <v/>
      </c>
      <c r="J1434" s="37" t="str">
        <f>IF(Agent08_Withdrawals!A39="","",Agent08_Withdrawals!J39)</f>
        <v/>
      </c>
      <c r="K1434" s="37" t="str">
        <f>IF(Agent08_Withdrawals!A39="","",Agent08_Withdrawals!K39)</f>
        <v/>
      </c>
      <c r="L1434" s="37" t="str">
        <f>IF(G1434="","",IF(D1434-G1434&gt;=System_Config!$B$9,"✅ OK","⚠️ BREACH"))</f>
        <v/>
      </c>
      <c r="M1434" s="37" t="str">
        <f>IFERROR(IF(Agent08_Withdrawals!A39="","",YEAR(Agent08_Withdrawals!D39)),"")</f>
        <v/>
      </c>
    </row>
    <row r="1435" spans="1:13" ht="18" customHeight="1" x14ac:dyDescent="0.25">
      <c r="A1435" s="37" t="str">
        <f>IF(Agent08_Withdrawals!A40="","",Agent08_Withdrawals!A40)</f>
        <v/>
      </c>
      <c r="B1435" s="37" t="str">
        <f ca="1">IF(Agent08_Withdrawals!A40="","","WD"&amp;TEXT(1435-3,"0000")&amp;"-"&amp;TEXT(TODAY(),"YYYYMMDD"))</f>
        <v/>
      </c>
      <c r="C1435" s="37" t="str">
        <f>IF(Agent08_Withdrawals!A40="","",Agent08_Withdrawals!B40)</f>
        <v/>
      </c>
      <c r="D1435" s="40" t="str">
        <f>IF(Agent08_Withdrawals!A40="","",Agent08_Withdrawals!C40)</f>
        <v/>
      </c>
      <c r="E1435" s="38" t="str">
        <f>IF(Agent08_Withdrawals!A40="","",Agent08_Withdrawals!D40)</f>
        <v/>
      </c>
      <c r="F1435" s="37" t="str">
        <f>IF(Agent08_Withdrawals!A40="","",Agent08_Withdrawals!F40)</f>
        <v/>
      </c>
      <c r="G1435" s="39" t="str">
        <f>IF(Agent08_Withdrawals!A40="","",Agent08_Withdrawals!E40)</f>
        <v/>
      </c>
      <c r="H1435" s="39" t="str">
        <f>IF(Agent08_Withdrawals!A40="","",Agent08_Withdrawals!G40)</f>
        <v/>
      </c>
      <c r="I1435" s="37" t="str">
        <f>IF(Agent08_Withdrawals!A40="","",Agent08_Withdrawals!H40)</f>
        <v/>
      </c>
      <c r="J1435" s="37" t="str">
        <f>IF(Agent08_Withdrawals!A40="","",Agent08_Withdrawals!J40)</f>
        <v/>
      </c>
      <c r="K1435" s="37" t="str">
        <f>IF(Agent08_Withdrawals!A40="","",Agent08_Withdrawals!K40)</f>
        <v/>
      </c>
      <c r="L1435" s="37" t="str">
        <f>IF(G1435="","",IF(D1435-G1435&gt;=System_Config!$B$9,"✅ OK","⚠️ BREACH"))</f>
        <v/>
      </c>
      <c r="M1435" s="37" t="str">
        <f>IFERROR(IF(Agent08_Withdrawals!A40="","",YEAR(Agent08_Withdrawals!D40)),"")</f>
        <v/>
      </c>
    </row>
    <row r="1436" spans="1:13" ht="18" customHeight="1" x14ac:dyDescent="0.25">
      <c r="A1436" s="37" t="str">
        <f>IF(Agent08_Withdrawals!A41="","",Agent08_Withdrawals!A41)</f>
        <v/>
      </c>
      <c r="B1436" s="37" t="str">
        <f ca="1">IF(Agent08_Withdrawals!A41="","","WD"&amp;TEXT(1436-3,"0000")&amp;"-"&amp;TEXT(TODAY(),"YYYYMMDD"))</f>
        <v/>
      </c>
      <c r="C1436" s="37" t="str">
        <f>IF(Agent08_Withdrawals!A41="","",Agent08_Withdrawals!B41)</f>
        <v/>
      </c>
      <c r="D1436" s="40" t="str">
        <f>IF(Agent08_Withdrawals!A41="","",Agent08_Withdrawals!C41)</f>
        <v/>
      </c>
      <c r="E1436" s="38" t="str">
        <f>IF(Agent08_Withdrawals!A41="","",Agent08_Withdrawals!D41)</f>
        <v/>
      </c>
      <c r="F1436" s="37" t="str">
        <f>IF(Agent08_Withdrawals!A41="","",Agent08_Withdrawals!F41)</f>
        <v/>
      </c>
      <c r="G1436" s="39" t="str">
        <f>IF(Agent08_Withdrawals!A41="","",Agent08_Withdrawals!E41)</f>
        <v/>
      </c>
      <c r="H1436" s="39" t="str">
        <f>IF(Agent08_Withdrawals!A41="","",Agent08_Withdrawals!G41)</f>
        <v/>
      </c>
      <c r="I1436" s="37" t="str">
        <f>IF(Agent08_Withdrawals!A41="","",Agent08_Withdrawals!H41)</f>
        <v/>
      </c>
      <c r="J1436" s="37" t="str">
        <f>IF(Agent08_Withdrawals!A41="","",Agent08_Withdrawals!J41)</f>
        <v/>
      </c>
      <c r="K1436" s="37" t="str">
        <f>IF(Agent08_Withdrawals!A41="","",Agent08_Withdrawals!K41)</f>
        <v/>
      </c>
      <c r="L1436" s="37" t="str">
        <f>IF(G1436="","",IF(D1436-G1436&gt;=System_Config!$B$9,"✅ OK","⚠️ BREACH"))</f>
        <v/>
      </c>
      <c r="M1436" s="37" t="str">
        <f>IFERROR(IF(Agent08_Withdrawals!A41="","",YEAR(Agent08_Withdrawals!D41)),"")</f>
        <v/>
      </c>
    </row>
    <row r="1437" spans="1:13" ht="18" customHeight="1" x14ac:dyDescent="0.25">
      <c r="A1437" s="37" t="str">
        <f>IF(Agent08_Withdrawals!A42="","",Agent08_Withdrawals!A42)</f>
        <v/>
      </c>
      <c r="B1437" s="37" t="str">
        <f ca="1">IF(Agent08_Withdrawals!A42="","","WD"&amp;TEXT(1437-3,"0000")&amp;"-"&amp;TEXT(TODAY(),"YYYYMMDD"))</f>
        <v/>
      </c>
      <c r="C1437" s="37" t="str">
        <f>IF(Agent08_Withdrawals!A42="","",Agent08_Withdrawals!B42)</f>
        <v/>
      </c>
      <c r="D1437" s="40" t="str">
        <f>IF(Agent08_Withdrawals!A42="","",Agent08_Withdrawals!C42)</f>
        <v/>
      </c>
      <c r="E1437" s="38" t="str">
        <f>IF(Agent08_Withdrawals!A42="","",Agent08_Withdrawals!D42)</f>
        <v/>
      </c>
      <c r="F1437" s="37" t="str">
        <f>IF(Agent08_Withdrawals!A42="","",Agent08_Withdrawals!F42)</f>
        <v/>
      </c>
      <c r="G1437" s="39" t="str">
        <f>IF(Agent08_Withdrawals!A42="","",Agent08_Withdrawals!E42)</f>
        <v/>
      </c>
      <c r="H1437" s="39" t="str">
        <f>IF(Agent08_Withdrawals!A42="","",Agent08_Withdrawals!G42)</f>
        <v/>
      </c>
      <c r="I1437" s="37" t="str">
        <f>IF(Agent08_Withdrawals!A42="","",Agent08_Withdrawals!H42)</f>
        <v/>
      </c>
      <c r="J1437" s="37" t="str">
        <f>IF(Agent08_Withdrawals!A42="","",Agent08_Withdrawals!J42)</f>
        <v/>
      </c>
      <c r="K1437" s="37" t="str">
        <f>IF(Agent08_Withdrawals!A42="","",Agent08_Withdrawals!K42)</f>
        <v/>
      </c>
      <c r="L1437" s="37" t="str">
        <f>IF(G1437="","",IF(D1437-G1437&gt;=System_Config!$B$9,"✅ OK","⚠️ BREACH"))</f>
        <v/>
      </c>
      <c r="M1437" s="37" t="str">
        <f>IFERROR(IF(Agent08_Withdrawals!A42="","",YEAR(Agent08_Withdrawals!D42)),"")</f>
        <v/>
      </c>
    </row>
    <row r="1438" spans="1:13" ht="18" customHeight="1" x14ac:dyDescent="0.25">
      <c r="A1438" s="37" t="str">
        <f>IF(Agent08_Withdrawals!A43="","",Agent08_Withdrawals!A43)</f>
        <v/>
      </c>
      <c r="B1438" s="37" t="str">
        <f ca="1">IF(Agent08_Withdrawals!A43="","","WD"&amp;TEXT(1438-3,"0000")&amp;"-"&amp;TEXT(TODAY(),"YYYYMMDD"))</f>
        <v/>
      </c>
      <c r="C1438" s="37" t="str">
        <f>IF(Agent08_Withdrawals!A43="","",Agent08_Withdrawals!B43)</f>
        <v/>
      </c>
      <c r="D1438" s="40" t="str">
        <f>IF(Agent08_Withdrawals!A43="","",Agent08_Withdrawals!C43)</f>
        <v/>
      </c>
      <c r="E1438" s="38" t="str">
        <f>IF(Agent08_Withdrawals!A43="","",Agent08_Withdrawals!D43)</f>
        <v/>
      </c>
      <c r="F1438" s="37" t="str">
        <f>IF(Agent08_Withdrawals!A43="","",Agent08_Withdrawals!F43)</f>
        <v/>
      </c>
      <c r="G1438" s="39" t="str">
        <f>IF(Agent08_Withdrawals!A43="","",Agent08_Withdrawals!E43)</f>
        <v/>
      </c>
      <c r="H1438" s="39" t="str">
        <f>IF(Agent08_Withdrawals!A43="","",Agent08_Withdrawals!G43)</f>
        <v/>
      </c>
      <c r="I1438" s="37" t="str">
        <f>IF(Agent08_Withdrawals!A43="","",Agent08_Withdrawals!H43)</f>
        <v/>
      </c>
      <c r="J1438" s="37" t="str">
        <f>IF(Agent08_Withdrawals!A43="","",Agent08_Withdrawals!J43)</f>
        <v/>
      </c>
      <c r="K1438" s="37" t="str">
        <f>IF(Agent08_Withdrawals!A43="","",Agent08_Withdrawals!K43)</f>
        <v/>
      </c>
      <c r="L1438" s="37" t="str">
        <f>IF(G1438="","",IF(D1438-G1438&gt;=System_Config!$B$9,"✅ OK","⚠️ BREACH"))</f>
        <v/>
      </c>
      <c r="M1438" s="37" t="str">
        <f>IFERROR(IF(Agent08_Withdrawals!A43="","",YEAR(Agent08_Withdrawals!D43)),"")</f>
        <v/>
      </c>
    </row>
    <row r="1439" spans="1:13" ht="18" customHeight="1" x14ac:dyDescent="0.25">
      <c r="A1439" s="37" t="str">
        <f>IF(Agent08_Withdrawals!A44="","",Agent08_Withdrawals!A44)</f>
        <v/>
      </c>
      <c r="B1439" s="37" t="str">
        <f ca="1">IF(Agent08_Withdrawals!A44="","","WD"&amp;TEXT(1439-3,"0000")&amp;"-"&amp;TEXT(TODAY(),"YYYYMMDD"))</f>
        <v/>
      </c>
      <c r="C1439" s="37" t="str">
        <f>IF(Agent08_Withdrawals!A44="","",Agent08_Withdrawals!B44)</f>
        <v/>
      </c>
      <c r="D1439" s="40" t="str">
        <f>IF(Agent08_Withdrawals!A44="","",Agent08_Withdrawals!C44)</f>
        <v/>
      </c>
      <c r="E1439" s="38" t="str">
        <f>IF(Agent08_Withdrawals!A44="","",Agent08_Withdrawals!D44)</f>
        <v/>
      </c>
      <c r="F1439" s="37" t="str">
        <f>IF(Agent08_Withdrawals!A44="","",Agent08_Withdrawals!F44)</f>
        <v/>
      </c>
      <c r="G1439" s="39" t="str">
        <f>IF(Agent08_Withdrawals!A44="","",Agent08_Withdrawals!E44)</f>
        <v/>
      </c>
      <c r="H1439" s="39" t="str">
        <f>IF(Agent08_Withdrawals!A44="","",Agent08_Withdrawals!G44)</f>
        <v/>
      </c>
      <c r="I1439" s="37" t="str">
        <f>IF(Agent08_Withdrawals!A44="","",Agent08_Withdrawals!H44)</f>
        <v/>
      </c>
      <c r="J1439" s="37" t="str">
        <f>IF(Agent08_Withdrawals!A44="","",Agent08_Withdrawals!J44)</f>
        <v/>
      </c>
      <c r="K1439" s="37" t="str">
        <f>IF(Agent08_Withdrawals!A44="","",Agent08_Withdrawals!K44)</f>
        <v/>
      </c>
      <c r="L1439" s="37" t="str">
        <f>IF(G1439="","",IF(D1439-G1439&gt;=System_Config!$B$9,"✅ OK","⚠️ BREACH"))</f>
        <v/>
      </c>
      <c r="M1439" s="37" t="str">
        <f>IFERROR(IF(Agent08_Withdrawals!A44="","",YEAR(Agent08_Withdrawals!D44)),"")</f>
        <v/>
      </c>
    </row>
    <row r="1440" spans="1:13" ht="18" customHeight="1" x14ac:dyDescent="0.25">
      <c r="A1440" s="37" t="str">
        <f>IF(Agent08_Withdrawals!A45="","",Agent08_Withdrawals!A45)</f>
        <v/>
      </c>
      <c r="B1440" s="37" t="str">
        <f ca="1">IF(Agent08_Withdrawals!A45="","","WD"&amp;TEXT(1440-3,"0000")&amp;"-"&amp;TEXT(TODAY(),"YYYYMMDD"))</f>
        <v/>
      </c>
      <c r="C1440" s="37" t="str">
        <f>IF(Agent08_Withdrawals!A45="","",Agent08_Withdrawals!B45)</f>
        <v/>
      </c>
      <c r="D1440" s="40" t="str">
        <f>IF(Agent08_Withdrawals!A45="","",Agent08_Withdrawals!C45)</f>
        <v/>
      </c>
      <c r="E1440" s="38" t="str">
        <f>IF(Agent08_Withdrawals!A45="","",Agent08_Withdrawals!D45)</f>
        <v/>
      </c>
      <c r="F1440" s="37" t="str">
        <f>IF(Agent08_Withdrawals!A45="","",Agent08_Withdrawals!F45)</f>
        <v/>
      </c>
      <c r="G1440" s="39" t="str">
        <f>IF(Agent08_Withdrawals!A45="","",Agent08_Withdrawals!E45)</f>
        <v/>
      </c>
      <c r="H1440" s="39" t="str">
        <f>IF(Agent08_Withdrawals!A45="","",Agent08_Withdrawals!G45)</f>
        <v/>
      </c>
      <c r="I1440" s="37" t="str">
        <f>IF(Agent08_Withdrawals!A45="","",Agent08_Withdrawals!H45)</f>
        <v/>
      </c>
      <c r="J1440" s="37" t="str">
        <f>IF(Agent08_Withdrawals!A45="","",Agent08_Withdrawals!J45)</f>
        <v/>
      </c>
      <c r="K1440" s="37" t="str">
        <f>IF(Agent08_Withdrawals!A45="","",Agent08_Withdrawals!K45)</f>
        <v/>
      </c>
      <c r="L1440" s="37" t="str">
        <f>IF(G1440="","",IF(D1440-G1440&gt;=System_Config!$B$9,"✅ OK","⚠️ BREACH"))</f>
        <v/>
      </c>
      <c r="M1440" s="37" t="str">
        <f>IFERROR(IF(Agent08_Withdrawals!A45="","",YEAR(Agent08_Withdrawals!D45)),"")</f>
        <v/>
      </c>
    </row>
    <row r="1441" spans="1:13" ht="18" customHeight="1" x14ac:dyDescent="0.25">
      <c r="A1441" s="37" t="str">
        <f>IF(Agent08_Withdrawals!A46="","",Agent08_Withdrawals!A46)</f>
        <v/>
      </c>
      <c r="B1441" s="37" t="str">
        <f ca="1">IF(Agent08_Withdrawals!A46="","","WD"&amp;TEXT(1441-3,"0000")&amp;"-"&amp;TEXT(TODAY(),"YYYYMMDD"))</f>
        <v/>
      </c>
      <c r="C1441" s="37" t="str">
        <f>IF(Agent08_Withdrawals!A46="","",Agent08_Withdrawals!B46)</f>
        <v/>
      </c>
      <c r="D1441" s="40" t="str">
        <f>IF(Agent08_Withdrawals!A46="","",Agent08_Withdrawals!C46)</f>
        <v/>
      </c>
      <c r="E1441" s="38" t="str">
        <f>IF(Agent08_Withdrawals!A46="","",Agent08_Withdrawals!D46)</f>
        <v/>
      </c>
      <c r="F1441" s="37" t="str">
        <f>IF(Agent08_Withdrawals!A46="","",Agent08_Withdrawals!F46)</f>
        <v/>
      </c>
      <c r="G1441" s="39" t="str">
        <f>IF(Agent08_Withdrawals!A46="","",Agent08_Withdrawals!E46)</f>
        <v/>
      </c>
      <c r="H1441" s="39" t="str">
        <f>IF(Agent08_Withdrawals!A46="","",Agent08_Withdrawals!G46)</f>
        <v/>
      </c>
      <c r="I1441" s="37" t="str">
        <f>IF(Agent08_Withdrawals!A46="","",Agent08_Withdrawals!H46)</f>
        <v/>
      </c>
      <c r="J1441" s="37" t="str">
        <f>IF(Agent08_Withdrawals!A46="","",Agent08_Withdrawals!J46)</f>
        <v/>
      </c>
      <c r="K1441" s="37" t="str">
        <f>IF(Agent08_Withdrawals!A46="","",Agent08_Withdrawals!K46)</f>
        <v/>
      </c>
      <c r="L1441" s="37" t="str">
        <f>IF(G1441="","",IF(D1441-G1441&gt;=System_Config!$B$9,"✅ OK","⚠️ BREACH"))</f>
        <v/>
      </c>
      <c r="M1441" s="37" t="str">
        <f>IFERROR(IF(Agent08_Withdrawals!A46="","",YEAR(Agent08_Withdrawals!D46)),"")</f>
        <v/>
      </c>
    </row>
    <row r="1442" spans="1:13" ht="18" customHeight="1" x14ac:dyDescent="0.25">
      <c r="A1442" s="37" t="str">
        <f>IF(Agent08_Withdrawals!A47="","",Agent08_Withdrawals!A47)</f>
        <v/>
      </c>
      <c r="B1442" s="37" t="str">
        <f ca="1">IF(Agent08_Withdrawals!A47="","","WD"&amp;TEXT(1442-3,"0000")&amp;"-"&amp;TEXT(TODAY(),"YYYYMMDD"))</f>
        <v/>
      </c>
      <c r="C1442" s="37" t="str">
        <f>IF(Agent08_Withdrawals!A47="","",Agent08_Withdrawals!B47)</f>
        <v/>
      </c>
      <c r="D1442" s="40" t="str">
        <f>IF(Agent08_Withdrawals!A47="","",Agent08_Withdrawals!C47)</f>
        <v/>
      </c>
      <c r="E1442" s="38" t="str">
        <f>IF(Agent08_Withdrawals!A47="","",Agent08_Withdrawals!D47)</f>
        <v/>
      </c>
      <c r="F1442" s="37" t="str">
        <f>IF(Agent08_Withdrawals!A47="","",Agent08_Withdrawals!F47)</f>
        <v/>
      </c>
      <c r="G1442" s="39" t="str">
        <f>IF(Agent08_Withdrawals!A47="","",Agent08_Withdrawals!E47)</f>
        <v/>
      </c>
      <c r="H1442" s="39" t="str">
        <f>IF(Agent08_Withdrawals!A47="","",Agent08_Withdrawals!G47)</f>
        <v/>
      </c>
      <c r="I1442" s="37" t="str">
        <f>IF(Agent08_Withdrawals!A47="","",Agent08_Withdrawals!H47)</f>
        <v/>
      </c>
      <c r="J1442" s="37" t="str">
        <f>IF(Agent08_Withdrawals!A47="","",Agent08_Withdrawals!J47)</f>
        <v/>
      </c>
      <c r="K1442" s="37" t="str">
        <f>IF(Agent08_Withdrawals!A47="","",Agent08_Withdrawals!K47)</f>
        <v/>
      </c>
      <c r="L1442" s="37" t="str">
        <f>IF(G1442="","",IF(D1442-G1442&gt;=System_Config!$B$9,"✅ OK","⚠️ BREACH"))</f>
        <v/>
      </c>
      <c r="M1442" s="37" t="str">
        <f>IFERROR(IF(Agent08_Withdrawals!A47="","",YEAR(Agent08_Withdrawals!D47)),"")</f>
        <v/>
      </c>
    </row>
    <row r="1443" spans="1:13" ht="18" customHeight="1" x14ac:dyDescent="0.25">
      <c r="A1443" s="37" t="str">
        <f>IF(Agent08_Withdrawals!A48="","",Agent08_Withdrawals!A48)</f>
        <v/>
      </c>
      <c r="B1443" s="37" t="str">
        <f ca="1">IF(Agent08_Withdrawals!A48="","","WD"&amp;TEXT(1443-3,"0000")&amp;"-"&amp;TEXT(TODAY(),"YYYYMMDD"))</f>
        <v/>
      </c>
      <c r="C1443" s="37" t="str">
        <f>IF(Agent08_Withdrawals!A48="","",Agent08_Withdrawals!B48)</f>
        <v/>
      </c>
      <c r="D1443" s="40" t="str">
        <f>IF(Agent08_Withdrawals!A48="","",Agent08_Withdrawals!C48)</f>
        <v/>
      </c>
      <c r="E1443" s="38" t="str">
        <f>IF(Agent08_Withdrawals!A48="","",Agent08_Withdrawals!D48)</f>
        <v/>
      </c>
      <c r="F1443" s="37" t="str">
        <f>IF(Agent08_Withdrawals!A48="","",Agent08_Withdrawals!F48)</f>
        <v/>
      </c>
      <c r="G1443" s="39" t="str">
        <f>IF(Agent08_Withdrawals!A48="","",Agent08_Withdrawals!E48)</f>
        <v/>
      </c>
      <c r="H1443" s="39" t="str">
        <f>IF(Agent08_Withdrawals!A48="","",Agent08_Withdrawals!G48)</f>
        <v/>
      </c>
      <c r="I1443" s="37" t="str">
        <f>IF(Agent08_Withdrawals!A48="","",Agent08_Withdrawals!H48)</f>
        <v/>
      </c>
      <c r="J1443" s="37" t="str">
        <f>IF(Agent08_Withdrawals!A48="","",Agent08_Withdrawals!J48)</f>
        <v/>
      </c>
      <c r="K1443" s="37" t="str">
        <f>IF(Agent08_Withdrawals!A48="","",Agent08_Withdrawals!K48)</f>
        <v/>
      </c>
      <c r="L1443" s="37" t="str">
        <f>IF(G1443="","",IF(D1443-G1443&gt;=System_Config!$B$9,"✅ OK","⚠️ BREACH"))</f>
        <v/>
      </c>
      <c r="M1443" s="37" t="str">
        <f>IFERROR(IF(Agent08_Withdrawals!A48="","",YEAR(Agent08_Withdrawals!D48)),"")</f>
        <v/>
      </c>
    </row>
    <row r="1444" spans="1:13" ht="18" customHeight="1" x14ac:dyDescent="0.25">
      <c r="A1444" s="37" t="str">
        <f>IF(Agent08_Withdrawals!A49="","",Agent08_Withdrawals!A49)</f>
        <v/>
      </c>
      <c r="B1444" s="37" t="str">
        <f ca="1">IF(Agent08_Withdrawals!A49="","","WD"&amp;TEXT(1444-3,"0000")&amp;"-"&amp;TEXT(TODAY(),"YYYYMMDD"))</f>
        <v/>
      </c>
      <c r="C1444" s="37" t="str">
        <f>IF(Agent08_Withdrawals!A49="","",Agent08_Withdrawals!B49)</f>
        <v/>
      </c>
      <c r="D1444" s="40" t="str">
        <f>IF(Agent08_Withdrawals!A49="","",Agent08_Withdrawals!C49)</f>
        <v/>
      </c>
      <c r="E1444" s="38" t="str">
        <f>IF(Agent08_Withdrawals!A49="","",Agent08_Withdrawals!D49)</f>
        <v/>
      </c>
      <c r="F1444" s="37" t="str">
        <f>IF(Agent08_Withdrawals!A49="","",Agent08_Withdrawals!F49)</f>
        <v/>
      </c>
      <c r="G1444" s="39" t="str">
        <f>IF(Agent08_Withdrawals!A49="","",Agent08_Withdrawals!E49)</f>
        <v/>
      </c>
      <c r="H1444" s="39" t="str">
        <f>IF(Agent08_Withdrawals!A49="","",Agent08_Withdrawals!G49)</f>
        <v/>
      </c>
      <c r="I1444" s="37" t="str">
        <f>IF(Agent08_Withdrawals!A49="","",Agent08_Withdrawals!H49)</f>
        <v/>
      </c>
      <c r="J1444" s="37" t="str">
        <f>IF(Agent08_Withdrawals!A49="","",Agent08_Withdrawals!J49)</f>
        <v/>
      </c>
      <c r="K1444" s="37" t="str">
        <f>IF(Agent08_Withdrawals!A49="","",Agent08_Withdrawals!K49)</f>
        <v/>
      </c>
      <c r="L1444" s="37" t="str">
        <f>IF(G1444="","",IF(D1444-G1444&gt;=System_Config!$B$9,"✅ OK","⚠️ BREACH"))</f>
        <v/>
      </c>
      <c r="M1444" s="37" t="str">
        <f>IFERROR(IF(Agent08_Withdrawals!A49="","",YEAR(Agent08_Withdrawals!D49)),"")</f>
        <v/>
      </c>
    </row>
    <row r="1445" spans="1:13" ht="18" customHeight="1" x14ac:dyDescent="0.25">
      <c r="A1445" s="37" t="str">
        <f>IF(Agent08_Withdrawals!A50="","",Agent08_Withdrawals!A50)</f>
        <v/>
      </c>
      <c r="B1445" s="37" t="str">
        <f ca="1">IF(Agent08_Withdrawals!A50="","","WD"&amp;TEXT(1445-3,"0000")&amp;"-"&amp;TEXT(TODAY(),"YYYYMMDD"))</f>
        <v/>
      </c>
      <c r="C1445" s="37" t="str">
        <f>IF(Agent08_Withdrawals!A50="","",Agent08_Withdrawals!B50)</f>
        <v/>
      </c>
      <c r="D1445" s="40" t="str">
        <f>IF(Agent08_Withdrawals!A50="","",Agent08_Withdrawals!C50)</f>
        <v/>
      </c>
      <c r="E1445" s="38" t="str">
        <f>IF(Agent08_Withdrawals!A50="","",Agent08_Withdrawals!D50)</f>
        <v/>
      </c>
      <c r="F1445" s="37" t="str">
        <f>IF(Agent08_Withdrawals!A50="","",Agent08_Withdrawals!F50)</f>
        <v/>
      </c>
      <c r="G1445" s="39" t="str">
        <f>IF(Agent08_Withdrawals!A50="","",Agent08_Withdrawals!E50)</f>
        <v/>
      </c>
      <c r="H1445" s="39" t="str">
        <f>IF(Agent08_Withdrawals!A50="","",Agent08_Withdrawals!G50)</f>
        <v/>
      </c>
      <c r="I1445" s="37" t="str">
        <f>IF(Agent08_Withdrawals!A50="","",Agent08_Withdrawals!H50)</f>
        <v/>
      </c>
      <c r="J1445" s="37" t="str">
        <f>IF(Agent08_Withdrawals!A50="","",Agent08_Withdrawals!J50)</f>
        <v/>
      </c>
      <c r="K1445" s="37" t="str">
        <f>IF(Agent08_Withdrawals!A50="","",Agent08_Withdrawals!K50)</f>
        <v/>
      </c>
      <c r="L1445" s="37" t="str">
        <f>IF(G1445="","",IF(D1445-G1445&gt;=System_Config!$B$9,"✅ OK","⚠️ BREACH"))</f>
        <v/>
      </c>
      <c r="M1445" s="37" t="str">
        <f>IFERROR(IF(Agent08_Withdrawals!A50="","",YEAR(Agent08_Withdrawals!D50)),"")</f>
        <v/>
      </c>
    </row>
    <row r="1446" spans="1:13" ht="18" customHeight="1" x14ac:dyDescent="0.25">
      <c r="A1446" s="37" t="str">
        <f>IF(Agent08_Withdrawals!A51="","",Agent08_Withdrawals!A51)</f>
        <v/>
      </c>
      <c r="B1446" s="37" t="str">
        <f ca="1">IF(Agent08_Withdrawals!A51="","","WD"&amp;TEXT(1446-3,"0000")&amp;"-"&amp;TEXT(TODAY(),"YYYYMMDD"))</f>
        <v/>
      </c>
      <c r="C1446" s="37" t="str">
        <f>IF(Agent08_Withdrawals!A51="","",Agent08_Withdrawals!B51)</f>
        <v/>
      </c>
      <c r="D1446" s="40" t="str">
        <f>IF(Agent08_Withdrawals!A51="","",Agent08_Withdrawals!C51)</f>
        <v/>
      </c>
      <c r="E1446" s="38" t="str">
        <f>IF(Agent08_Withdrawals!A51="","",Agent08_Withdrawals!D51)</f>
        <v/>
      </c>
      <c r="F1446" s="37" t="str">
        <f>IF(Agent08_Withdrawals!A51="","",Agent08_Withdrawals!F51)</f>
        <v/>
      </c>
      <c r="G1446" s="39" t="str">
        <f>IF(Agent08_Withdrawals!A51="","",Agent08_Withdrawals!E51)</f>
        <v/>
      </c>
      <c r="H1446" s="39" t="str">
        <f>IF(Agent08_Withdrawals!A51="","",Agent08_Withdrawals!G51)</f>
        <v/>
      </c>
      <c r="I1446" s="37" t="str">
        <f>IF(Agent08_Withdrawals!A51="","",Agent08_Withdrawals!H51)</f>
        <v/>
      </c>
      <c r="J1446" s="37" t="str">
        <f>IF(Agent08_Withdrawals!A51="","",Agent08_Withdrawals!J51)</f>
        <v/>
      </c>
      <c r="K1446" s="37" t="str">
        <f>IF(Agent08_Withdrawals!A51="","",Agent08_Withdrawals!K51)</f>
        <v/>
      </c>
      <c r="L1446" s="37" t="str">
        <f>IF(G1446="","",IF(D1446-G1446&gt;=System_Config!$B$9,"✅ OK","⚠️ BREACH"))</f>
        <v/>
      </c>
      <c r="M1446" s="37" t="str">
        <f>IFERROR(IF(Agent08_Withdrawals!A51="","",YEAR(Agent08_Withdrawals!D51)),"")</f>
        <v/>
      </c>
    </row>
    <row r="1447" spans="1:13" ht="18" customHeight="1" x14ac:dyDescent="0.25">
      <c r="A1447" s="37" t="str">
        <f>IF(Agent08_Withdrawals!A52="","",Agent08_Withdrawals!A52)</f>
        <v/>
      </c>
      <c r="B1447" s="37" t="str">
        <f ca="1">IF(Agent08_Withdrawals!A52="","","WD"&amp;TEXT(1447-3,"0000")&amp;"-"&amp;TEXT(TODAY(),"YYYYMMDD"))</f>
        <v/>
      </c>
      <c r="C1447" s="37" t="str">
        <f>IF(Agent08_Withdrawals!A52="","",Agent08_Withdrawals!B52)</f>
        <v/>
      </c>
      <c r="D1447" s="40" t="str">
        <f>IF(Agent08_Withdrawals!A52="","",Agent08_Withdrawals!C52)</f>
        <v/>
      </c>
      <c r="E1447" s="38" t="str">
        <f>IF(Agent08_Withdrawals!A52="","",Agent08_Withdrawals!D52)</f>
        <v/>
      </c>
      <c r="F1447" s="37" t="str">
        <f>IF(Agent08_Withdrawals!A52="","",Agent08_Withdrawals!F52)</f>
        <v/>
      </c>
      <c r="G1447" s="39" t="str">
        <f>IF(Agent08_Withdrawals!A52="","",Agent08_Withdrawals!E52)</f>
        <v/>
      </c>
      <c r="H1447" s="39" t="str">
        <f>IF(Agent08_Withdrawals!A52="","",Agent08_Withdrawals!G52)</f>
        <v/>
      </c>
      <c r="I1447" s="37" t="str">
        <f>IF(Agent08_Withdrawals!A52="","",Agent08_Withdrawals!H52)</f>
        <v/>
      </c>
      <c r="J1447" s="37" t="str">
        <f>IF(Agent08_Withdrawals!A52="","",Agent08_Withdrawals!J52)</f>
        <v/>
      </c>
      <c r="K1447" s="37" t="str">
        <f>IF(Agent08_Withdrawals!A52="","",Agent08_Withdrawals!K52)</f>
        <v/>
      </c>
      <c r="L1447" s="37" t="str">
        <f>IF(G1447="","",IF(D1447-G1447&gt;=System_Config!$B$9,"✅ OK","⚠️ BREACH"))</f>
        <v/>
      </c>
      <c r="M1447" s="37" t="str">
        <f>IFERROR(IF(Agent08_Withdrawals!A52="","",YEAR(Agent08_Withdrawals!D52)),"")</f>
        <v/>
      </c>
    </row>
    <row r="1448" spans="1:13" ht="18" customHeight="1" x14ac:dyDescent="0.25">
      <c r="A1448" s="37" t="str">
        <f>IF(Agent08_Withdrawals!A53="","",Agent08_Withdrawals!A53)</f>
        <v/>
      </c>
      <c r="B1448" s="37" t="str">
        <f ca="1">IF(Agent08_Withdrawals!A53="","","WD"&amp;TEXT(1448-3,"0000")&amp;"-"&amp;TEXT(TODAY(),"YYYYMMDD"))</f>
        <v/>
      </c>
      <c r="C1448" s="37" t="str">
        <f>IF(Agent08_Withdrawals!A53="","",Agent08_Withdrawals!B53)</f>
        <v/>
      </c>
      <c r="D1448" s="40" t="str">
        <f>IF(Agent08_Withdrawals!A53="","",Agent08_Withdrawals!C53)</f>
        <v/>
      </c>
      <c r="E1448" s="38" t="str">
        <f>IF(Agent08_Withdrawals!A53="","",Agent08_Withdrawals!D53)</f>
        <v/>
      </c>
      <c r="F1448" s="37" t="str">
        <f>IF(Agent08_Withdrawals!A53="","",Agent08_Withdrawals!F53)</f>
        <v/>
      </c>
      <c r="G1448" s="39" t="str">
        <f>IF(Agent08_Withdrawals!A53="","",Agent08_Withdrawals!E53)</f>
        <v/>
      </c>
      <c r="H1448" s="39" t="str">
        <f>IF(Agent08_Withdrawals!A53="","",Agent08_Withdrawals!G53)</f>
        <v/>
      </c>
      <c r="I1448" s="37" t="str">
        <f>IF(Agent08_Withdrawals!A53="","",Agent08_Withdrawals!H53)</f>
        <v/>
      </c>
      <c r="J1448" s="37" t="str">
        <f>IF(Agent08_Withdrawals!A53="","",Agent08_Withdrawals!J53)</f>
        <v/>
      </c>
      <c r="K1448" s="37" t="str">
        <f>IF(Agent08_Withdrawals!A53="","",Agent08_Withdrawals!K53)</f>
        <v/>
      </c>
      <c r="L1448" s="37" t="str">
        <f>IF(G1448="","",IF(D1448-G1448&gt;=System_Config!$B$9,"✅ OK","⚠️ BREACH"))</f>
        <v/>
      </c>
      <c r="M1448" s="37" t="str">
        <f>IFERROR(IF(Agent08_Withdrawals!A53="","",YEAR(Agent08_Withdrawals!D53)),"")</f>
        <v/>
      </c>
    </row>
    <row r="1449" spans="1:13" ht="18" customHeight="1" x14ac:dyDescent="0.25">
      <c r="A1449" s="37" t="str">
        <f>IF(Agent08_Withdrawals!A54="","",Agent08_Withdrawals!A54)</f>
        <v/>
      </c>
      <c r="B1449" s="37" t="str">
        <f ca="1">IF(Agent08_Withdrawals!A54="","","WD"&amp;TEXT(1449-3,"0000")&amp;"-"&amp;TEXT(TODAY(),"YYYYMMDD"))</f>
        <v/>
      </c>
      <c r="C1449" s="37" t="str">
        <f>IF(Agent08_Withdrawals!A54="","",Agent08_Withdrawals!B54)</f>
        <v/>
      </c>
      <c r="D1449" s="40" t="str">
        <f>IF(Agent08_Withdrawals!A54="","",Agent08_Withdrawals!C54)</f>
        <v/>
      </c>
      <c r="E1449" s="38" t="str">
        <f>IF(Agent08_Withdrawals!A54="","",Agent08_Withdrawals!D54)</f>
        <v/>
      </c>
      <c r="F1449" s="37" t="str">
        <f>IF(Agent08_Withdrawals!A54="","",Agent08_Withdrawals!F54)</f>
        <v/>
      </c>
      <c r="G1449" s="39" t="str">
        <f>IF(Agent08_Withdrawals!A54="","",Agent08_Withdrawals!E54)</f>
        <v/>
      </c>
      <c r="H1449" s="39" t="str">
        <f>IF(Agent08_Withdrawals!A54="","",Agent08_Withdrawals!G54)</f>
        <v/>
      </c>
      <c r="I1449" s="37" t="str">
        <f>IF(Agent08_Withdrawals!A54="","",Agent08_Withdrawals!H54)</f>
        <v/>
      </c>
      <c r="J1449" s="37" t="str">
        <f>IF(Agent08_Withdrawals!A54="","",Agent08_Withdrawals!J54)</f>
        <v/>
      </c>
      <c r="K1449" s="37" t="str">
        <f>IF(Agent08_Withdrawals!A54="","",Agent08_Withdrawals!K54)</f>
        <v/>
      </c>
      <c r="L1449" s="37" t="str">
        <f>IF(G1449="","",IF(D1449-G1449&gt;=System_Config!$B$9,"✅ OK","⚠️ BREACH"))</f>
        <v/>
      </c>
      <c r="M1449" s="37" t="str">
        <f>IFERROR(IF(Agent08_Withdrawals!A54="","",YEAR(Agent08_Withdrawals!D54)),"")</f>
        <v/>
      </c>
    </row>
    <row r="1450" spans="1:13" ht="18" customHeight="1" x14ac:dyDescent="0.25">
      <c r="A1450" s="37" t="str">
        <f>IF(Agent08_Withdrawals!A55="","",Agent08_Withdrawals!A55)</f>
        <v/>
      </c>
      <c r="B1450" s="37" t="str">
        <f ca="1">IF(Agent08_Withdrawals!A55="","","WD"&amp;TEXT(1450-3,"0000")&amp;"-"&amp;TEXT(TODAY(),"YYYYMMDD"))</f>
        <v/>
      </c>
      <c r="C1450" s="37" t="str">
        <f>IF(Agent08_Withdrawals!A55="","",Agent08_Withdrawals!B55)</f>
        <v/>
      </c>
      <c r="D1450" s="40" t="str">
        <f>IF(Agent08_Withdrawals!A55="","",Agent08_Withdrawals!C55)</f>
        <v/>
      </c>
      <c r="E1450" s="38" t="str">
        <f>IF(Agent08_Withdrawals!A55="","",Agent08_Withdrawals!D55)</f>
        <v/>
      </c>
      <c r="F1450" s="37" t="str">
        <f>IF(Agent08_Withdrawals!A55="","",Agent08_Withdrawals!F55)</f>
        <v/>
      </c>
      <c r="G1450" s="39" t="str">
        <f>IF(Agent08_Withdrawals!A55="","",Agent08_Withdrawals!E55)</f>
        <v/>
      </c>
      <c r="H1450" s="39" t="str">
        <f>IF(Agent08_Withdrawals!A55="","",Agent08_Withdrawals!G55)</f>
        <v/>
      </c>
      <c r="I1450" s="37" t="str">
        <f>IF(Agent08_Withdrawals!A55="","",Agent08_Withdrawals!H55)</f>
        <v/>
      </c>
      <c r="J1450" s="37" t="str">
        <f>IF(Agent08_Withdrawals!A55="","",Agent08_Withdrawals!J55)</f>
        <v/>
      </c>
      <c r="K1450" s="37" t="str">
        <f>IF(Agent08_Withdrawals!A55="","",Agent08_Withdrawals!K55)</f>
        <v/>
      </c>
      <c r="L1450" s="37" t="str">
        <f>IF(G1450="","",IF(D1450-G1450&gt;=System_Config!$B$9,"✅ OK","⚠️ BREACH"))</f>
        <v/>
      </c>
      <c r="M1450" s="37" t="str">
        <f>IFERROR(IF(Agent08_Withdrawals!A55="","",YEAR(Agent08_Withdrawals!D55)),"")</f>
        <v/>
      </c>
    </row>
    <row r="1451" spans="1:13" ht="18" customHeight="1" x14ac:dyDescent="0.25">
      <c r="A1451" s="37" t="str">
        <f>IF(Agent08_Withdrawals!A56="","",Agent08_Withdrawals!A56)</f>
        <v/>
      </c>
      <c r="B1451" s="37" t="str">
        <f ca="1">IF(Agent08_Withdrawals!A56="","","WD"&amp;TEXT(1451-3,"0000")&amp;"-"&amp;TEXT(TODAY(),"YYYYMMDD"))</f>
        <v/>
      </c>
      <c r="C1451" s="37" t="str">
        <f>IF(Agent08_Withdrawals!A56="","",Agent08_Withdrawals!B56)</f>
        <v/>
      </c>
      <c r="D1451" s="40" t="str">
        <f>IF(Agent08_Withdrawals!A56="","",Agent08_Withdrawals!C56)</f>
        <v/>
      </c>
      <c r="E1451" s="38" t="str">
        <f>IF(Agent08_Withdrawals!A56="","",Agent08_Withdrawals!D56)</f>
        <v/>
      </c>
      <c r="F1451" s="37" t="str">
        <f>IF(Agent08_Withdrawals!A56="","",Agent08_Withdrawals!F56)</f>
        <v/>
      </c>
      <c r="G1451" s="39" t="str">
        <f>IF(Agent08_Withdrawals!A56="","",Agent08_Withdrawals!E56)</f>
        <v/>
      </c>
      <c r="H1451" s="39" t="str">
        <f>IF(Agent08_Withdrawals!A56="","",Agent08_Withdrawals!G56)</f>
        <v/>
      </c>
      <c r="I1451" s="37" t="str">
        <f>IF(Agent08_Withdrawals!A56="","",Agent08_Withdrawals!H56)</f>
        <v/>
      </c>
      <c r="J1451" s="37" t="str">
        <f>IF(Agent08_Withdrawals!A56="","",Agent08_Withdrawals!J56)</f>
        <v/>
      </c>
      <c r="K1451" s="37" t="str">
        <f>IF(Agent08_Withdrawals!A56="","",Agent08_Withdrawals!K56)</f>
        <v/>
      </c>
      <c r="L1451" s="37" t="str">
        <f>IF(G1451="","",IF(D1451-G1451&gt;=System_Config!$B$9,"✅ OK","⚠️ BREACH"))</f>
        <v/>
      </c>
      <c r="M1451" s="37" t="str">
        <f>IFERROR(IF(Agent08_Withdrawals!A56="","",YEAR(Agent08_Withdrawals!D56)),"")</f>
        <v/>
      </c>
    </row>
    <row r="1452" spans="1:13" ht="18" customHeight="1" x14ac:dyDescent="0.25">
      <c r="A1452" s="37" t="str">
        <f>IF(Agent08_Withdrawals!A57="","",Agent08_Withdrawals!A57)</f>
        <v/>
      </c>
      <c r="B1452" s="37" t="str">
        <f ca="1">IF(Agent08_Withdrawals!A57="","","WD"&amp;TEXT(1452-3,"0000")&amp;"-"&amp;TEXT(TODAY(),"YYYYMMDD"))</f>
        <v/>
      </c>
      <c r="C1452" s="37" t="str">
        <f>IF(Agent08_Withdrawals!A57="","",Agent08_Withdrawals!B57)</f>
        <v/>
      </c>
      <c r="D1452" s="40" t="str">
        <f>IF(Agent08_Withdrawals!A57="","",Agent08_Withdrawals!C57)</f>
        <v/>
      </c>
      <c r="E1452" s="38" t="str">
        <f>IF(Agent08_Withdrawals!A57="","",Agent08_Withdrawals!D57)</f>
        <v/>
      </c>
      <c r="F1452" s="37" t="str">
        <f>IF(Agent08_Withdrawals!A57="","",Agent08_Withdrawals!F57)</f>
        <v/>
      </c>
      <c r="G1452" s="39" t="str">
        <f>IF(Agent08_Withdrawals!A57="","",Agent08_Withdrawals!E57)</f>
        <v/>
      </c>
      <c r="H1452" s="39" t="str">
        <f>IF(Agent08_Withdrawals!A57="","",Agent08_Withdrawals!G57)</f>
        <v/>
      </c>
      <c r="I1452" s="37" t="str">
        <f>IF(Agent08_Withdrawals!A57="","",Agent08_Withdrawals!H57)</f>
        <v/>
      </c>
      <c r="J1452" s="37" t="str">
        <f>IF(Agent08_Withdrawals!A57="","",Agent08_Withdrawals!J57)</f>
        <v/>
      </c>
      <c r="K1452" s="37" t="str">
        <f>IF(Agent08_Withdrawals!A57="","",Agent08_Withdrawals!K57)</f>
        <v/>
      </c>
      <c r="L1452" s="37" t="str">
        <f>IF(G1452="","",IF(D1452-G1452&gt;=System_Config!$B$9,"✅ OK","⚠️ BREACH"))</f>
        <v/>
      </c>
      <c r="M1452" s="37" t="str">
        <f>IFERROR(IF(Agent08_Withdrawals!A57="","",YEAR(Agent08_Withdrawals!D57)),"")</f>
        <v/>
      </c>
    </row>
    <row r="1453" spans="1:13" ht="18" customHeight="1" x14ac:dyDescent="0.25">
      <c r="A1453" s="37" t="str">
        <f>IF(Agent08_Withdrawals!A58="","",Agent08_Withdrawals!A58)</f>
        <v/>
      </c>
      <c r="B1453" s="37" t="str">
        <f ca="1">IF(Agent08_Withdrawals!A58="","","WD"&amp;TEXT(1453-3,"0000")&amp;"-"&amp;TEXT(TODAY(),"YYYYMMDD"))</f>
        <v/>
      </c>
      <c r="C1453" s="37" t="str">
        <f>IF(Agent08_Withdrawals!A58="","",Agent08_Withdrawals!B58)</f>
        <v/>
      </c>
      <c r="D1453" s="40" t="str">
        <f>IF(Agent08_Withdrawals!A58="","",Agent08_Withdrawals!C58)</f>
        <v/>
      </c>
      <c r="E1453" s="38" t="str">
        <f>IF(Agent08_Withdrawals!A58="","",Agent08_Withdrawals!D58)</f>
        <v/>
      </c>
      <c r="F1453" s="37" t="str">
        <f>IF(Agent08_Withdrawals!A58="","",Agent08_Withdrawals!F58)</f>
        <v/>
      </c>
      <c r="G1453" s="39" t="str">
        <f>IF(Agent08_Withdrawals!A58="","",Agent08_Withdrawals!E58)</f>
        <v/>
      </c>
      <c r="H1453" s="39" t="str">
        <f>IF(Agent08_Withdrawals!A58="","",Agent08_Withdrawals!G58)</f>
        <v/>
      </c>
      <c r="I1453" s="37" t="str">
        <f>IF(Agent08_Withdrawals!A58="","",Agent08_Withdrawals!H58)</f>
        <v/>
      </c>
      <c r="J1453" s="37" t="str">
        <f>IF(Agent08_Withdrawals!A58="","",Agent08_Withdrawals!J58)</f>
        <v/>
      </c>
      <c r="K1453" s="37" t="str">
        <f>IF(Agent08_Withdrawals!A58="","",Agent08_Withdrawals!K58)</f>
        <v/>
      </c>
      <c r="L1453" s="37" t="str">
        <f>IF(G1453="","",IF(D1453-G1453&gt;=System_Config!$B$9,"✅ OK","⚠️ BREACH"))</f>
        <v/>
      </c>
      <c r="M1453" s="37" t="str">
        <f>IFERROR(IF(Agent08_Withdrawals!A58="","",YEAR(Agent08_Withdrawals!D58)),"")</f>
        <v/>
      </c>
    </row>
    <row r="1454" spans="1:13" ht="18" customHeight="1" x14ac:dyDescent="0.25">
      <c r="A1454" s="37" t="str">
        <f>IF(Agent08_Withdrawals!A59="","",Agent08_Withdrawals!A59)</f>
        <v/>
      </c>
      <c r="B1454" s="37" t="str">
        <f ca="1">IF(Agent08_Withdrawals!A59="","","WD"&amp;TEXT(1454-3,"0000")&amp;"-"&amp;TEXT(TODAY(),"YYYYMMDD"))</f>
        <v/>
      </c>
      <c r="C1454" s="37" t="str">
        <f>IF(Agent08_Withdrawals!A59="","",Agent08_Withdrawals!B59)</f>
        <v/>
      </c>
      <c r="D1454" s="40" t="str">
        <f>IF(Agent08_Withdrawals!A59="","",Agent08_Withdrawals!C59)</f>
        <v/>
      </c>
      <c r="E1454" s="38" t="str">
        <f>IF(Agent08_Withdrawals!A59="","",Agent08_Withdrawals!D59)</f>
        <v/>
      </c>
      <c r="F1454" s="37" t="str">
        <f>IF(Agent08_Withdrawals!A59="","",Agent08_Withdrawals!F59)</f>
        <v/>
      </c>
      <c r="G1454" s="39" t="str">
        <f>IF(Agent08_Withdrawals!A59="","",Agent08_Withdrawals!E59)</f>
        <v/>
      </c>
      <c r="H1454" s="39" t="str">
        <f>IF(Agent08_Withdrawals!A59="","",Agent08_Withdrawals!G59)</f>
        <v/>
      </c>
      <c r="I1454" s="37" t="str">
        <f>IF(Agent08_Withdrawals!A59="","",Agent08_Withdrawals!H59)</f>
        <v/>
      </c>
      <c r="J1454" s="37" t="str">
        <f>IF(Agent08_Withdrawals!A59="","",Agent08_Withdrawals!J59)</f>
        <v/>
      </c>
      <c r="K1454" s="37" t="str">
        <f>IF(Agent08_Withdrawals!A59="","",Agent08_Withdrawals!K59)</f>
        <v/>
      </c>
      <c r="L1454" s="37" t="str">
        <f>IF(G1454="","",IF(D1454-G1454&gt;=System_Config!$B$9,"✅ OK","⚠️ BREACH"))</f>
        <v/>
      </c>
      <c r="M1454" s="37" t="str">
        <f>IFERROR(IF(Agent08_Withdrawals!A59="","",YEAR(Agent08_Withdrawals!D59)),"")</f>
        <v/>
      </c>
    </row>
    <row r="1455" spans="1:13" ht="18" customHeight="1" x14ac:dyDescent="0.25">
      <c r="A1455" s="37" t="str">
        <f>IF(Agent08_Withdrawals!A60="","",Agent08_Withdrawals!A60)</f>
        <v/>
      </c>
      <c r="B1455" s="37" t="str">
        <f ca="1">IF(Agent08_Withdrawals!A60="","","WD"&amp;TEXT(1455-3,"0000")&amp;"-"&amp;TEXT(TODAY(),"YYYYMMDD"))</f>
        <v/>
      </c>
      <c r="C1455" s="37" t="str">
        <f>IF(Agent08_Withdrawals!A60="","",Agent08_Withdrawals!B60)</f>
        <v/>
      </c>
      <c r="D1455" s="40" t="str">
        <f>IF(Agent08_Withdrawals!A60="","",Agent08_Withdrawals!C60)</f>
        <v/>
      </c>
      <c r="E1455" s="38" t="str">
        <f>IF(Agent08_Withdrawals!A60="","",Agent08_Withdrawals!D60)</f>
        <v/>
      </c>
      <c r="F1455" s="37" t="str">
        <f>IF(Agent08_Withdrawals!A60="","",Agent08_Withdrawals!F60)</f>
        <v/>
      </c>
      <c r="G1455" s="39" t="str">
        <f>IF(Agent08_Withdrawals!A60="","",Agent08_Withdrawals!E60)</f>
        <v/>
      </c>
      <c r="H1455" s="39" t="str">
        <f>IF(Agent08_Withdrawals!A60="","",Agent08_Withdrawals!G60)</f>
        <v/>
      </c>
      <c r="I1455" s="37" t="str">
        <f>IF(Agent08_Withdrawals!A60="","",Agent08_Withdrawals!H60)</f>
        <v/>
      </c>
      <c r="J1455" s="37" t="str">
        <f>IF(Agent08_Withdrawals!A60="","",Agent08_Withdrawals!J60)</f>
        <v/>
      </c>
      <c r="K1455" s="37" t="str">
        <f>IF(Agent08_Withdrawals!A60="","",Agent08_Withdrawals!K60)</f>
        <v/>
      </c>
      <c r="L1455" s="37" t="str">
        <f>IF(G1455="","",IF(D1455-G1455&gt;=System_Config!$B$9,"✅ OK","⚠️ BREACH"))</f>
        <v/>
      </c>
      <c r="M1455" s="37" t="str">
        <f>IFERROR(IF(Agent08_Withdrawals!A60="","",YEAR(Agent08_Withdrawals!D60)),"")</f>
        <v/>
      </c>
    </row>
    <row r="1456" spans="1:13" ht="18" customHeight="1" x14ac:dyDescent="0.25">
      <c r="A1456" s="37" t="str">
        <f>IF(Agent08_Withdrawals!A61="","",Agent08_Withdrawals!A61)</f>
        <v/>
      </c>
      <c r="B1456" s="37" t="str">
        <f ca="1">IF(Agent08_Withdrawals!A61="","","WD"&amp;TEXT(1456-3,"0000")&amp;"-"&amp;TEXT(TODAY(),"YYYYMMDD"))</f>
        <v/>
      </c>
      <c r="C1456" s="37" t="str">
        <f>IF(Agent08_Withdrawals!A61="","",Agent08_Withdrawals!B61)</f>
        <v/>
      </c>
      <c r="D1456" s="40" t="str">
        <f>IF(Agent08_Withdrawals!A61="","",Agent08_Withdrawals!C61)</f>
        <v/>
      </c>
      <c r="E1456" s="38" t="str">
        <f>IF(Agent08_Withdrawals!A61="","",Agent08_Withdrawals!D61)</f>
        <v/>
      </c>
      <c r="F1456" s="37" t="str">
        <f>IF(Agent08_Withdrawals!A61="","",Agent08_Withdrawals!F61)</f>
        <v/>
      </c>
      <c r="G1456" s="39" t="str">
        <f>IF(Agent08_Withdrawals!A61="","",Agent08_Withdrawals!E61)</f>
        <v/>
      </c>
      <c r="H1456" s="39" t="str">
        <f>IF(Agent08_Withdrawals!A61="","",Agent08_Withdrawals!G61)</f>
        <v/>
      </c>
      <c r="I1456" s="37" t="str">
        <f>IF(Agent08_Withdrawals!A61="","",Agent08_Withdrawals!H61)</f>
        <v/>
      </c>
      <c r="J1456" s="37" t="str">
        <f>IF(Agent08_Withdrawals!A61="","",Agent08_Withdrawals!J61)</f>
        <v/>
      </c>
      <c r="K1456" s="37" t="str">
        <f>IF(Agent08_Withdrawals!A61="","",Agent08_Withdrawals!K61)</f>
        <v/>
      </c>
      <c r="L1456" s="37" t="str">
        <f>IF(G1456="","",IF(D1456-G1456&gt;=System_Config!$B$9,"✅ OK","⚠️ BREACH"))</f>
        <v/>
      </c>
      <c r="M1456" s="37" t="str">
        <f>IFERROR(IF(Agent08_Withdrawals!A61="","",YEAR(Agent08_Withdrawals!D61)),"")</f>
        <v/>
      </c>
    </row>
    <row r="1457" spans="1:13" ht="18" customHeight="1" x14ac:dyDescent="0.25">
      <c r="A1457" s="37" t="str">
        <f>IF(Agent08_Withdrawals!A62="","",Agent08_Withdrawals!A62)</f>
        <v/>
      </c>
      <c r="B1457" s="37" t="str">
        <f ca="1">IF(Agent08_Withdrawals!A62="","","WD"&amp;TEXT(1457-3,"0000")&amp;"-"&amp;TEXT(TODAY(),"YYYYMMDD"))</f>
        <v/>
      </c>
      <c r="C1457" s="37" t="str">
        <f>IF(Agent08_Withdrawals!A62="","",Agent08_Withdrawals!B62)</f>
        <v/>
      </c>
      <c r="D1457" s="40" t="str">
        <f>IF(Agent08_Withdrawals!A62="","",Agent08_Withdrawals!C62)</f>
        <v/>
      </c>
      <c r="E1457" s="38" t="str">
        <f>IF(Agent08_Withdrawals!A62="","",Agent08_Withdrawals!D62)</f>
        <v/>
      </c>
      <c r="F1457" s="37" t="str">
        <f>IF(Agent08_Withdrawals!A62="","",Agent08_Withdrawals!F62)</f>
        <v/>
      </c>
      <c r="G1457" s="39" t="str">
        <f>IF(Agent08_Withdrawals!A62="","",Agent08_Withdrawals!E62)</f>
        <v/>
      </c>
      <c r="H1457" s="39" t="str">
        <f>IF(Agent08_Withdrawals!A62="","",Agent08_Withdrawals!G62)</f>
        <v/>
      </c>
      <c r="I1457" s="37" t="str">
        <f>IF(Agent08_Withdrawals!A62="","",Agent08_Withdrawals!H62)</f>
        <v/>
      </c>
      <c r="J1457" s="37" t="str">
        <f>IF(Agent08_Withdrawals!A62="","",Agent08_Withdrawals!J62)</f>
        <v/>
      </c>
      <c r="K1457" s="37" t="str">
        <f>IF(Agent08_Withdrawals!A62="","",Agent08_Withdrawals!K62)</f>
        <v/>
      </c>
      <c r="L1457" s="37" t="str">
        <f>IF(G1457="","",IF(D1457-G1457&gt;=System_Config!$B$9,"✅ OK","⚠️ BREACH"))</f>
        <v/>
      </c>
      <c r="M1457" s="37" t="str">
        <f>IFERROR(IF(Agent08_Withdrawals!A62="","",YEAR(Agent08_Withdrawals!D62)),"")</f>
        <v/>
      </c>
    </row>
    <row r="1458" spans="1:13" ht="18" customHeight="1" x14ac:dyDescent="0.25">
      <c r="A1458" s="37" t="str">
        <f>IF(Agent08_Withdrawals!A63="","",Agent08_Withdrawals!A63)</f>
        <v/>
      </c>
      <c r="B1458" s="37" t="str">
        <f ca="1">IF(Agent08_Withdrawals!A63="","","WD"&amp;TEXT(1458-3,"0000")&amp;"-"&amp;TEXT(TODAY(),"YYYYMMDD"))</f>
        <v/>
      </c>
      <c r="C1458" s="37" t="str">
        <f>IF(Agent08_Withdrawals!A63="","",Agent08_Withdrawals!B63)</f>
        <v/>
      </c>
      <c r="D1458" s="40" t="str">
        <f>IF(Agent08_Withdrawals!A63="","",Agent08_Withdrawals!C63)</f>
        <v/>
      </c>
      <c r="E1458" s="38" t="str">
        <f>IF(Agent08_Withdrawals!A63="","",Agent08_Withdrawals!D63)</f>
        <v/>
      </c>
      <c r="F1458" s="37" t="str">
        <f>IF(Agent08_Withdrawals!A63="","",Agent08_Withdrawals!F63)</f>
        <v/>
      </c>
      <c r="G1458" s="39" t="str">
        <f>IF(Agent08_Withdrawals!A63="","",Agent08_Withdrawals!E63)</f>
        <v/>
      </c>
      <c r="H1458" s="39" t="str">
        <f>IF(Agent08_Withdrawals!A63="","",Agent08_Withdrawals!G63)</f>
        <v/>
      </c>
      <c r="I1458" s="37" t="str">
        <f>IF(Agent08_Withdrawals!A63="","",Agent08_Withdrawals!H63)</f>
        <v/>
      </c>
      <c r="J1458" s="37" t="str">
        <f>IF(Agent08_Withdrawals!A63="","",Agent08_Withdrawals!J63)</f>
        <v/>
      </c>
      <c r="K1458" s="37" t="str">
        <f>IF(Agent08_Withdrawals!A63="","",Agent08_Withdrawals!K63)</f>
        <v/>
      </c>
      <c r="L1458" s="37" t="str">
        <f>IF(G1458="","",IF(D1458-G1458&gt;=System_Config!$B$9,"✅ OK","⚠️ BREACH"))</f>
        <v/>
      </c>
      <c r="M1458" s="37" t="str">
        <f>IFERROR(IF(Agent08_Withdrawals!A63="","",YEAR(Agent08_Withdrawals!D63)),"")</f>
        <v/>
      </c>
    </row>
    <row r="1459" spans="1:13" ht="18" customHeight="1" x14ac:dyDescent="0.25">
      <c r="A1459" s="37" t="str">
        <f>IF(Agent08_Withdrawals!A64="","",Agent08_Withdrawals!A64)</f>
        <v/>
      </c>
      <c r="B1459" s="37" t="str">
        <f ca="1">IF(Agent08_Withdrawals!A64="","","WD"&amp;TEXT(1459-3,"0000")&amp;"-"&amp;TEXT(TODAY(),"YYYYMMDD"))</f>
        <v/>
      </c>
      <c r="C1459" s="37" t="str">
        <f>IF(Agent08_Withdrawals!A64="","",Agent08_Withdrawals!B64)</f>
        <v/>
      </c>
      <c r="D1459" s="40" t="str">
        <f>IF(Agent08_Withdrawals!A64="","",Agent08_Withdrawals!C64)</f>
        <v/>
      </c>
      <c r="E1459" s="38" t="str">
        <f>IF(Agent08_Withdrawals!A64="","",Agent08_Withdrawals!D64)</f>
        <v/>
      </c>
      <c r="F1459" s="37" t="str">
        <f>IF(Agent08_Withdrawals!A64="","",Agent08_Withdrawals!F64)</f>
        <v/>
      </c>
      <c r="G1459" s="39" t="str">
        <f>IF(Agent08_Withdrawals!A64="","",Agent08_Withdrawals!E64)</f>
        <v/>
      </c>
      <c r="H1459" s="39" t="str">
        <f>IF(Agent08_Withdrawals!A64="","",Agent08_Withdrawals!G64)</f>
        <v/>
      </c>
      <c r="I1459" s="37" t="str">
        <f>IF(Agent08_Withdrawals!A64="","",Agent08_Withdrawals!H64)</f>
        <v/>
      </c>
      <c r="J1459" s="37" t="str">
        <f>IF(Agent08_Withdrawals!A64="","",Agent08_Withdrawals!J64)</f>
        <v/>
      </c>
      <c r="K1459" s="37" t="str">
        <f>IF(Agent08_Withdrawals!A64="","",Agent08_Withdrawals!K64)</f>
        <v/>
      </c>
      <c r="L1459" s="37" t="str">
        <f>IF(G1459="","",IF(D1459-G1459&gt;=System_Config!$B$9,"✅ OK","⚠️ BREACH"))</f>
        <v/>
      </c>
      <c r="M1459" s="37" t="str">
        <f>IFERROR(IF(Agent08_Withdrawals!A64="","",YEAR(Agent08_Withdrawals!D64)),"")</f>
        <v/>
      </c>
    </row>
    <row r="1460" spans="1:13" ht="18" customHeight="1" x14ac:dyDescent="0.25">
      <c r="A1460" s="37" t="str">
        <f>IF(Agent08_Withdrawals!A65="","",Agent08_Withdrawals!A65)</f>
        <v/>
      </c>
      <c r="B1460" s="37" t="str">
        <f ca="1">IF(Agent08_Withdrawals!A65="","","WD"&amp;TEXT(1460-3,"0000")&amp;"-"&amp;TEXT(TODAY(),"YYYYMMDD"))</f>
        <v/>
      </c>
      <c r="C1460" s="37" t="str">
        <f>IF(Agent08_Withdrawals!A65="","",Agent08_Withdrawals!B65)</f>
        <v/>
      </c>
      <c r="D1460" s="40" t="str">
        <f>IF(Agent08_Withdrawals!A65="","",Agent08_Withdrawals!C65)</f>
        <v/>
      </c>
      <c r="E1460" s="38" t="str">
        <f>IF(Agent08_Withdrawals!A65="","",Agent08_Withdrawals!D65)</f>
        <v/>
      </c>
      <c r="F1460" s="37" t="str">
        <f>IF(Agent08_Withdrawals!A65="","",Agent08_Withdrawals!F65)</f>
        <v/>
      </c>
      <c r="G1460" s="39" t="str">
        <f>IF(Agent08_Withdrawals!A65="","",Agent08_Withdrawals!E65)</f>
        <v/>
      </c>
      <c r="H1460" s="39" t="str">
        <f>IF(Agent08_Withdrawals!A65="","",Agent08_Withdrawals!G65)</f>
        <v/>
      </c>
      <c r="I1460" s="37" t="str">
        <f>IF(Agent08_Withdrawals!A65="","",Agent08_Withdrawals!H65)</f>
        <v/>
      </c>
      <c r="J1460" s="37" t="str">
        <f>IF(Agent08_Withdrawals!A65="","",Agent08_Withdrawals!J65)</f>
        <v/>
      </c>
      <c r="K1460" s="37" t="str">
        <f>IF(Agent08_Withdrawals!A65="","",Agent08_Withdrawals!K65)</f>
        <v/>
      </c>
      <c r="L1460" s="37" t="str">
        <f>IF(G1460="","",IF(D1460-G1460&gt;=System_Config!$B$9,"✅ OK","⚠️ BREACH"))</f>
        <v/>
      </c>
      <c r="M1460" s="37" t="str">
        <f>IFERROR(IF(Agent08_Withdrawals!A65="","",YEAR(Agent08_Withdrawals!D65)),"")</f>
        <v/>
      </c>
    </row>
    <row r="1461" spans="1:13" ht="18" customHeight="1" x14ac:dyDescent="0.25">
      <c r="A1461" s="37" t="str">
        <f>IF(Agent08_Withdrawals!A66="","",Agent08_Withdrawals!A66)</f>
        <v/>
      </c>
      <c r="B1461" s="37" t="str">
        <f ca="1">IF(Agent08_Withdrawals!A66="","","WD"&amp;TEXT(1461-3,"0000")&amp;"-"&amp;TEXT(TODAY(),"YYYYMMDD"))</f>
        <v/>
      </c>
      <c r="C1461" s="37" t="str">
        <f>IF(Agent08_Withdrawals!A66="","",Agent08_Withdrawals!B66)</f>
        <v/>
      </c>
      <c r="D1461" s="40" t="str">
        <f>IF(Agent08_Withdrawals!A66="","",Agent08_Withdrawals!C66)</f>
        <v/>
      </c>
      <c r="E1461" s="38" t="str">
        <f>IF(Agent08_Withdrawals!A66="","",Agent08_Withdrawals!D66)</f>
        <v/>
      </c>
      <c r="F1461" s="37" t="str">
        <f>IF(Agent08_Withdrawals!A66="","",Agent08_Withdrawals!F66)</f>
        <v/>
      </c>
      <c r="G1461" s="39" t="str">
        <f>IF(Agent08_Withdrawals!A66="","",Agent08_Withdrawals!E66)</f>
        <v/>
      </c>
      <c r="H1461" s="39" t="str">
        <f>IF(Agent08_Withdrawals!A66="","",Agent08_Withdrawals!G66)</f>
        <v/>
      </c>
      <c r="I1461" s="37" t="str">
        <f>IF(Agent08_Withdrawals!A66="","",Agent08_Withdrawals!H66)</f>
        <v/>
      </c>
      <c r="J1461" s="37" t="str">
        <f>IF(Agent08_Withdrawals!A66="","",Agent08_Withdrawals!J66)</f>
        <v/>
      </c>
      <c r="K1461" s="37" t="str">
        <f>IF(Agent08_Withdrawals!A66="","",Agent08_Withdrawals!K66)</f>
        <v/>
      </c>
      <c r="L1461" s="37" t="str">
        <f>IF(G1461="","",IF(D1461-G1461&gt;=System_Config!$B$9,"✅ OK","⚠️ BREACH"))</f>
        <v/>
      </c>
      <c r="M1461" s="37" t="str">
        <f>IFERROR(IF(Agent08_Withdrawals!A66="","",YEAR(Agent08_Withdrawals!D66)),"")</f>
        <v/>
      </c>
    </row>
    <row r="1462" spans="1:13" ht="18" customHeight="1" x14ac:dyDescent="0.25">
      <c r="A1462" s="37" t="str">
        <f>IF(Agent08_Withdrawals!A67="","",Agent08_Withdrawals!A67)</f>
        <v/>
      </c>
      <c r="B1462" s="37" t="str">
        <f ca="1">IF(Agent08_Withdrawals!A67="","","WD"&amp;TEXT(1462-3,"0000")&amp;"-"&amp;TEXT(TODAY(),"YYYYMMDD"))</f>
        <v/>
      </c>
      <c r="C1462" s="37" t="str">
        <f>IF(Agent08_Withdrawals!A67="","",Agent08_Withdrawals!B67)</f>
        <v/>
      </c>
      <c r="D1462" s="40" t="str">
        <f>IF(Agent08_Withdrawals!A67="","",Agent08_Withdrawals!C67)</f>
        <v/>
      </c>
      <c r="E1462" s="38" t="str">
        <f>IF(Agent08_Withdrawals!A67="","",Agent08_Withdrawals!D67)</f>
        <v/>
      </c>
      <c r="F1462" s="37" t="str">
        <f>IF(Agent08_Withdrawals!A67="","",Agent08_Withdrawals!F67)</f>
        <v/>
      </c>
      <c r="G1462" s="39" t="str">
        <f>IF(Agent08_Withdrawals!A67="","",Agent08_Withdrawals!E67)</f>
        <v/>
      </c>
      <c r="H1462" s="39" t="str">
        <f>IF(Agent08_Withdrawals!A67="","",Agent08_Withdrawals!G67)</f>
        <v/>
      </c>
      <c r="I1462" s="37" t="str">
        <f>IF(Agent08_Withdrawals!A67="","",Agent08_Withdrawals!H67)</f>
        <v/>
      </c>
      <c r="J1462" s="37" t="str">
        <f>IF(Agent08_Withdrawals!A67="","",Agent08_Withdrawals!J67)</f>
        <v/>
      </c>
      <c r="K1462" s="37" t="str">
        <f>IF(Agent08_Withdrawals!A67="","",Agent08_Withdrawals!K67)</f>
        <v/>
      </c>
      <c r="L1462" s="37" t="str">
        <f>IF(G1462="","",IF(D1462-G1462&gt;=System_Config!$B$9,"✅ OK","⚠️ BREACH"))</f>
        <v/>
      </c>
      <c r="M1462" s="37" t="str">
        <f>IFERROR(IF(Agent08_Withdrawals!A67="","",YEAR(Agent08_Withdrawals!D67)),"")</f>
        <v/>
      </c>
    </row>
    <row r="1463" spans="1:13" ht="18" customHeight="1" x14ac:dyDescent="0.25">
      <c r="A1463" s="37" t="str">
        <f>IF(Agent08_Withdrawals!A68="","",Agent08_Withdrawals!A68)</f>
        <v/>
      </c>
      <c r="B1463" s="37" t="str">
        <f ca="1">IF(Agent08_Withdrawals!A68="","","WD"&amp;TEXT(1463-3,"0000")&amp;"-"&amp;TEXT(TODAY(),"YYYYMMDD"))</f>
        <v/>
      </c>
      <c r="C1463" s="37" t="str">
        <f>IF(Agent08_Withdrawals!A68="","",Agent08_Withdrawals!B68)</f>
        <v/>
      </c>
      <c r="D1463" s="40" t="str">
        <f>IF(Agent08_Withdrawals!A68="","",Agent08_Withdrawals!C68)</f>
        <v/>
      </c>
      <c r="E1463" s="38" t="str">
        <f>IF(Agent08_Withdrawals!A68="","",Agent08_Withdrawals!D68)</f>
        <v/>
      </c>
      <c r="F1463" s="37" t="str">
        <f>IF(Agent08_Withdrawals!A68="","",Agent08_Withdrawals!F68)</f>
        <v/>
      </c>
      <c r="G1463" s="39" t="str">
        <f>IF(Agent08_Withdrawals!A68="","",Agent08_Withdrawals!E68)</f>
        <v/>
      </c>
      <c r="H1463" s="39" t="str">
        <f>IF(Agent08_Withdrawals!A68="","",Agent08_Withdrawals!G68)</f>
        <v/>
      </c>
      <c r="I1463" s="37" t="str">
        <f>IF(Agent08_Withdrawals!A68="","",Agent08_Withdrawals!H68)</f>
        <v/>
      </c>
      <c r="J1463" s="37" t="str">
        <f>IF(Agent08_Withdrawals!A68="","",Agent08_Withdrawals!J68)</f>
        <v/>
      </c>
      <c r="K1463" s="37" t="str">
        <f>IF(Agent08_Withdrawals!A68="","",Agent08_Withdrawals!K68)</f>
        <v/>
      </c>
      <c r="L1463" s="37" t="str">
        <f>IF(G1463="","",IF(D1463-G1463&gt;=System_Config!$B$9,"✅ OK","⚠️ BREACH"))</f>
        <v/>
      </c>
      <c r="M1463" s="37" t="str">
        <f>IFERROR(IF(Agent08_Withdrawals!A68="","",YEAR(Agent08_Withdrawals!D68)),"")</f>
        <v/>
      </c>
    </row>
    <row r="1464" spans="1:13" ht="18" customHeight="1" x14ac:dyDescent="0.25">
      <c r="A1464" s="37" t="str">
        <f>IF(Agent08_Withdrawals!A69="","",Agent08_Withdrawals!A69)</f>
        <v/>
      </c>
      <c r="B1464" s="37" t="str">
        <f ca="1">IF(Agent08_Withdrawals!A69="","","WD"&amp;TEXT(1464-3,"0000")&amp;"-"&amp;TEXT(TODAY(),"YYYYMMDD"))</f>
        <v/>
      </c>
      <c r="C1464" s="37" t="str">
        <f>IF(Agent08_Withdrawals!A69="","",Agent08_Withdrawals!B69)</f>
        <v/>
      </c>
      <c r="D1464" s="40" t="str">
        <f>IF(Agent08_Withdrawals!A69="","",Agent08_Withdrawals!C69)</f>
        <v/>
      </c>
      <c r="E1464" s="38" t="str">
        <f>IF(Agent08_Withdrawals!A69="","",Agent08_Withdrawals!D69)</f>
        <v/>
      </c>
      <c r="F1464" s="37" t="str">
        <f>IF(Agent08_Withdrawals!A69="","",Agent08_Withdrawals!F69)</f>
        <v/>
      </c>
      <c r="G1464" s="39" t="str">
        <f>IF(Agent08_Withdrawals!A69="","",Agent08_Withdrawals!E69)</f>
        <v/>
      </c>
      <c r="H1464" s="39" t="str">
        <f>IF(Agent08_Withdrawals!A69="","",Agent08_Withdrawals!G69)</f>
        <v/>
      </c>
      <c r="I1464" s="37" t="str">
        <f>IF(Agent08_Withdrawals!A69="","",Agent08_Withdrawals!H69)</f>
        <v/>
      </c>
      <c r="J1464" s="37" t="str">
        <f>IF(Agent08_Withdrawals!A69="","",Agent08_Withdrawals!J69)</f>
        <v/>
      </c>
      <c r="K1464" s="37" t="str">
        <f>IF(Agent08_Withdrawals!A69="","",Agent08_Withdrawals!K69)</f>
        <v/>
      </c>
      <c r="L1464" s="37" t="str">
        <f>IF(G1464="","",IF(D1464-G1464&gt;=System_Config!$B$9,"✅ OK","⚠️ BREACH"))</f>
        <v/>
      </c>
      <c r="M1464" s="37" t="str">
        <f>IFERROR(IF(Agent08_Withdrawals!A69="","",YEAR(Agent08_Withdrawals!D69)),"")</f>
        <v/>
      </c>
    </row>
    <row r="1465" spans="1:13" ht="18" customHeight="1" x14ac:dyDescent="0.25">
      <c r="A1465" s="37" t="str">
        <f>IF(Agent08_Withdrawals!A70="","",Agent08_Withdrawals!A70)</f>
        <v/>
      </c>
      <c r="B1465" s="37" t="str">
        <f ca="1">IF(Agent08_Withdrawals!A70="","","WD"&amp;TEXT(1465-3,"0000")&amp;"-"&amp;TEXT(TODAY(),"YYYYMMDD"))</f>
        <v/>
      </c>
      <c r="C1465" s="37" t="str">
        <f>IF(Agent08_Withdrawals!A70="","",Agent08_Withdrawals!B70)</f>
        <v/>
      </c>
      <c r="D1465" s="40" t="str">
        <f>IF(Agent08_Withdrawals!A70="","",Agent08_Withdrawals!C70)</f>
        <v/>
      </c>
      <c r="E1465" s="38" t="str">
        <f>IF(Agent08_Withdrawals!A70="","",Agent08_Withdrawals!D70)</f>
        <v/>
      </c>
      <c r="F1465" s="37" t="str">
        <f>IF(Agent08_Withdrawals!A70="","",Agent08_Withdrawals!F70)</f>
        <v/>
      </c>
      <c r="G1465" s="39" t="str">
        <f>IF(Agent08_Withdrawals!A70="","",Agent08_Withdrawals!E70)</f>
        <v/>
      </c>
      <c r="H1465" s="39" t="str">
        <f>IF(Agent08_Withdrawals!A70="","",Agent08_Withdrawals!G70)</f>
        <v/>
      </c>
      <c r="I1465" s="37" t="str">
        <f>IF(Agent08_Withdrawals!A70="","",Agent08_Withdrawals!H70)</f>
        <v/>
      </c>
      <c r="J1465" s="37" t="str">
        <f>IF(Agent08_Withdrawals!A70="","",Agent08_Withdrawals!J70)</f>
        <v/>
      </c>
      <c r="K1465" s="37" t="str">
        <f>IF(Agent08_Withdrawals!A70="","",Agent08_Withdrawals!K70)</f>
        <v/>
      </c>
      <c r="L1465" s="37" t="str">
        <f>IF(G1465="","",IF(D1465-G1465&gt;=System_Config!$B$9,"✅ OK","⚠️ BREACH"))</f>
        <v/>
      </c>
      <c r="M1465" s="37" t="str">
        <f>IFERROR(IF(Agent08_Withdrawals!A70="","",YEAR(Agent08_Withdrawals!D70)),"")</f>
        <v/>
      </c>
    </row>
    <row r="1466" spans="1:13" ht="18" customHeight="1" x14ac:dyDescent="0.25">
      <c r="A1466" s="37" t="str">
        <f>IF(Agent08_Withdrawals!A71="","",Agent08_Withdrawals!A71)</f>
        <v/>
      </c>
      <c r="B1466" s="37" t="str">
        <f ca="1">IF(Agent08_Withdrawals!A71="","","WD"&amp;TEXT(1466-3,"0000")&amp;"-"&amp;TEXT(TODAY(),"YYYYMMDD"))</f>
        <v/>
      </c>
      <c r="C1466" s="37" t="str">
        <f>IF(Agent08_Withdrawals!A71="","",Agent08_Withdrawals!B71)</f>
        <v/>
      </c>
      <c r="D1466" s="40" t="str">
        <f>IF(Agent08_Withdrawals!A71="","",Agent08_Withdrawals!C71)</f>
        <v/>
      </c>
      <c r="E1466" s="38" t="str">
        <f>IF(Agent08_Withdrawals!A71="","",Agent08_Withdrawals!D71)</f>
        <v/>
      </c>
      <c r="F1466" s="37" t="str">
        <f>IF(Agent08_Withdrawals!A71="","",Agent08_Withdrawals!F71)</f>
        <v/>
      </c>
      <c r="G1466" s="39" t="str">
        <f>IF(Agent08_Withdrawals!A71="","",Agent08_Withdrawals!E71)</f>
        <v/>
      </c>
      <c r="H1466" s="39" t="str">
        <f>IF(Agent08_Withdrawals!A71="","",Agent08_Withdrawals!G71)</f>
        <v/>
      </c>
      <c r="I1466" s="37" t="str">
        <f>IF(Agent08_Withdrawals!A71="","",Agent08_Withdrawals!H71)</f>
        <v/>
      </c>
      <c r="J1466" s="37" t="str">
        <f>IF(Agent08_Withdrawals!A71="","",Agent08_Withdrawals!J71)</f>
        <v/>
      </c>
      <c r="K1466" s="37" t="str">
        <f>IF(Agent08_Withdrawals!A71="","",Agent08_Withdrawals!K71)</f>
        <v/>
      </c>
      <c r="L1466" s="37" t="str">
        <f>IF(G1466="","",IF(D1466-G1466&gt;=System_Config!$B$9,"✅ OK","⚠️ BREACH"))</f>
        <v/>
      </c>
      <c r="M1466" s="37" t="str">
        <f>IFERROR(IF(Agent08_Withdrawals!A71="","",YEAR(Agent08_Withdrawals!D71)),"")</f>
        <v/>
      </c>
    </row>
    <row r="1467" spans="1:13" ht="18" customHeight="1" x14ac:dyDescent="0.25">
      <c r="A1467" s="37" t="str">
        <f>IF(Agent08_Withdrawals!A72="","",Agent08_Withdrawals!A72)</f>
        <v/>
      </c>
      <c r="B1467" s="37" t="str">
        <f ca="1">IF(Agent08_Withdrawals!A72="","","WD"&amp;TEXT(1467-3,"0000")&amp;"-"&amp;TEXT(TODAY(),"YYYYMMDD"))</f>
        <v/>
      </c>
      <c r="C1467" s="37" t="str">
        <f>IF(Agent08_Withdrawals!A72="","",Agent08_Withdrawals!B72)</f>
        <v/>
      </c>
      <c r="D1467" s="40" t="str">
        <f>IF(Agent08_Withdrawals!A72="","",Agent08_Withdrawals!C72)</f>
        <v/>
      </c>
      <c r="E1467" s="38" t="str">
        <f>IF(Agent08_Withdrawals!A72="","",Agent08_Withdrawals!D72)</f>
        <v/>
      </c>
      <c r="F1467" s="37" t="str">
        <f>IF(Agent08_Withdrawals!A72="","",Agent08_Withdrawals!F72)</f>
        <v/>
      </c>
      <c r="G1467" s="39" t="str">
        <f>IF(Agent08_Withdrawals!A72="","",Agent08_Withdrawals!E72)</f>
        <v/>
      </c>
      <c r="H1467" s="39" t="str">
        <f>IF(Agent08_Withdrawals!A72="","",Agent08_Withdrawals!G72)</f>
        <v/>
      </c>
      <c r="I1467" s="37" t="str">
        <f>IF(Agent08_Withdrawals!A72="","",Agent08_Withdrawals!H72)</f>
        <v/>
      </c>
      <c r="J1467" s="37" t="str">
        <f>IF(Agent08_Withdrawals!A72="","",Agent08_Withdrawals!J72)</f>
        <v/>
      </c>
      <c r="K1467" s="37" t="str">
        <f>IF(Agent08_Withdrawals!A72="","",Agent08_Withdrawals!K72)</f>
        <v/>
      </c>
      <c r="L1467" s="37" t="str">
        <f>IF(G1467="","",IF(D1467-G1467&gt;=System_Config!$B$9,"✅ OK","⚠️ BREACH"))</f>
        <v/>
      </c>
      <c r="M1467" s="37" t="str">
        <f>IFERROR(IF(Agent08_Withdrawals!A72="","",YEAR(Agent08_Withdrawals!D72)),"")</f>
        <v/>
      </c>
    </row>
    <row r="1468" spans="1:13" ht="18" customHeight="1" x14ac:dyDescent="0.25">
      <c r="A1468" s="37" t="str">
        <f>IF(Agent08_Withdrawals!A73="","",Agent08_Withdrawals!A73)</f>
        <v/>
      </c>
      <c r="B1468" s="37" t="str">
        <f ca="1">IF(Agent08_Withdrawals!A73="","","WD"&amp;TEXT(1468-3,"0000")&amp;"-"&amp;TEXT(TODAY(),"YYYYMMDD"))</f>
        <v/>
      </c>
      <c r="C1468" s="37" t="str">
        <f>IF(Agent08_Withdrawals!A73="","",Agent08_Withdrawals!B73)</f>
        <v/>
      </c>
      <c r="D1468" s="40" t="str">
        <f>IF(Agent08_Withdrawals!A73="","",Agent08_Withdrawals!C73)</f>
        <v/>
      </c>
      <c r="E1468" s="38" t="str">
        <f>IF(Agent08_Withdrawals!A73="","",Agent08_Withdrawals!D73)</f>
        <v/>
      </c>
      <c r="F1468" s="37" t="str">
        <f>IF(Agent08_Withdrawals!A73="","",Agent08_Withdrawals!F73)</f>
        <v/>
      </c>
      <c r="G1468" s="39" t="str">
        <f>IF(Agent08_Withdrawals!A73="","",Agent08_Withdrawals!E73)</f>
        <v/>
      </c>
      <c r="H1468" s="39" t="str">
        <f>IF(Agent08_Withdrawals!A73="","",Agent08_Withdrawals!G73)</f>
        <v/>
      </c>
      <c r="I1468" s="37" t="str">
        <f>IF(Agent08_Withdrawals!A73="","",Agent08_Withdrawals!H73)</f>
        <v/>
      </c>
      <c r="J1468" s="37" t="str">
        <f>IF(Agent08_Withdrawals!A73="","",Agent08_Withdrawals!J73)</f>
        <v/>
      </c>
      <c r="K1468" s="37" t="str">
        <f>IF(Agent08_Withdrawals!A73="","",Agent08_Withdrawals!K73)</f>
        <v/>
      </c>
      <c r="L1468" s="37" t="str">
        <f>IF(G1468="","",IF(D1468-G1468&gt;=System_Config!$B$9,"✅ OK","⚠️ BREACH"))</f>
        <v/>
      </c>
      <c r="M1468" s="37" t="str">
        <f>IFERROR(IF(Agent08_Withdrawals!A73="","",YEAR(Agent08_Withdrawals!D73)),"")</f>
        <v/>
      </c>
    </row>
    <row r="1469" spans="1:13" ht="18" customHeight="1" x14ac:dyDescent="0.25">
      <c r="A1469" s="37" t="str">
        <f>IF(Agent08_Withdrawals!A74="","",Agent08_Withdrawals!A74)</f>
        <v/>
      </c>
      <c r="B1469" s="37" t="str">
        <f ca="1">IF(Agent08_Withdrawals!A74="","","WD"&amp;TEXT(1469-3,"0000")&amp;"-"&amp;TEXT(TODAY(),"YYYYMMDD"))</f>
        <v/>
      </c>
      <c r="C1469" s="37" t="str">
        <f>IF(Agent08_Withdrawals!A74="","",Agent08_Withdrawals!B74)</f>
        <v/>
      </c>
      <c r="D1469" s="40" t="str">
        <f>IF(Agent08_Withdrawals!A74="","",Agent08_Withdrawals!C74)</f>
        <v/>
      </c>
      <c r="E1469" s="38" t="str">
        <f>IF(Agent08_Withdrawals!A74="","",Agent08_Withdrawals!D74)</f>
        <v/>
      </c>
      <c r="F1469" s="37" t="str">
        <f>IF(Agent08_Withdrawals!A74="","",Agent08_Withdrawals!F74)</f>
        <v/>
      </c>
      <c r="G1469" s="39" t="str">
        <f>IF(Agent08_Withdrawals!A74="","",Agent08_Withdrawals!E74)</f>
        <v/>
      </c>
      <c r="H1469" s="39" t="str">
        <f>IF(Agent08_Withdrawals!A74="","",Agent08_Withdrawals!G74)</f>
        <v/>
      </c>
      <c r="I1469" s="37" t="str">
        <f>IF(Agent08_Withdrawals!A74="","",Agent08_Withdrawals!H74)</f>
        <v/>
      </c>
      <c r="J1469" s="37" t="str">
        <f>IF(Agent08_Withdrawals!A74="","",Agent08_Withdrawals!J74)</f>
        <v/>
      </c>
      <c r="K1469" s="37" t="str">
        <f>IF(Agent08_Withdrawals!A74="","",Agent08_Withdrawals!K74)</f>
        <v/>
      </c>
      <c r="L1469" s="37" t="str">
        <f>IF(G1469="","",IF(D1469-G1469&gt;=System_Config!$B$9,"✅ OK","⚠️ BREACH"))</f>
        <v/>
      </c>
      <c r="M1469" s="37" t="str">
        <f>IFERROR(IF(Agent08_Withdrawals!A74="","",YEAR(Agent08_Withdrawals!D74)),"")</f>
        <v/>
      </c>
    </row>
    <row r="1470" spans="1:13" ht="18" customHeight="1" x14ac:dyDescent="0.25">
      <c r="A1470" s="37" t="str">
        <f>IF(Agent08_Withdrawals!A75="","",Agent08_Withdrawals!A75)</f>
        <v/>
      </c>
      <c r="B1470" s="37" t="str">
        <f ca="1">IF(Agent08_Withdrawals!A75="","","WD"&amp;TEXT(1470-3,"0000")&amp;"-"&amp;TEXT(TODAY(),"YYYYMMDD"))</f>
        <v/>
      </c>
      <c r="C1470" s="37" t="str">
        <f>IF(Agent08_Withdrawals!A75="","",Agent08_Withdrawals!B75)</f>
        <v/>
      </c>
      <c r="D1470" s="40" t="str">
        <f>IF(Agent08_Withdrawals!A75="","",Agent08_Withdrawals!C75)</f>
        <v/>
      </c>
      <c r="E1470" s="38" t="str">
        <f>IF(Agent08_Withdrawals!A75="","",Agent08_Withdrawals!D75)</f>
        <v/>
      </c>
      <c r="F1470" s="37" t="str">
        <f>IF(Agent08_Withdrawals!A75="","",Agent08_Withdrawals!F75)</f>
        <v/>
      </c>
      <c r="G1470" s="39" t="str">
        <f>IF(Agent08_Withdrawals!A75="","",Agent08_Withdrawals!E75)</f>
        <v/>
      </c>
      <c r="H1470" s="39" t="str">
        <f>IF(Agent08_Withdrawals!A75="","",Agent08_Withdrawals!G75)</f>
        <v/>
      </c>
      <c r="I1470" s="37" t="str">
        <f>IF(Agent08_Withdrawals!A75="","",Agent08_Withdrawals!H75)</f>
        <v/>
      </c>
      <c r="J1470" s="37" t="str">
        <f>IF(Agent08_Withdrawals!A75="","",Agent08_Withdrawals!J75)</f>
        <v/>
      </c>
      <c r="K1470" s="37" t="str">
        <f>IF(Agent08_Withdrawals!A75="","",Agent08_Withdrawals!K75)</f>
        <v/>
      </c>
      <c r="L1470" s="37" t="str">
        <f>IF(G1470="","",IF(D1470-G1470&gt;=System_Config!$B$9,"✅ OK","⚠️ BREACH"))</f>
        <v/>
      </c>
      <c r="M1470" s="37" t="str">
        <f>IFERROR(IF(Agent08_Withdrawals!A75="","",YEAR(Agent08_Withdrawals!D75)),"")</f>
        <v/>
      </c>
    </row>
    <row r="1471" spans="1:13" ht="18" customHeight="1" x14ac:dyDescent="0.25">
      <c r="A1471" s="37" t="str">
        <f>IF(Agent08_Withdrawals!A76="","",Agent08_Withdrawals!A76)</f>
        <v/>
      </c>
      <c r="B1471" s="37" t="str">
        <f ca="1">IF(Agent08_Withdrawals!A76="","","WD"&amp;TEXT(1471-3,"0000")&amp;"-"&amp;TEXT(TODAY(),"YYYYMMDD"))</f>
        <v/>
      </c>
      <c r="C1471" s="37" t="str">
        <f>IF(Agent08_Withdrawals!A76="","",Agent08_Withdrawals!B76)</f>
        <v/>
      </c>
      <c r="D1471" s="40" t="str">
        <f>IF(Agent08_Withdrawals!A76="","",Agent08_Withdrawals!C76)</f>
        <v/>
      </c>
      <c r="E1471" s="38" t="str">
        <f>IF(Agent08_Withdrawals!A76="","",Agent08_Withdrawals!D76)</f>
        <v/>
      </c>
      <c r="F1471" s="37" t="str">
        <f>IF(Agent08_Withdrawals!A76="","",Agent08_Withdrawals!F76)</f>
        <v/>
      </c>
      <c r="G1471" s="39" t="str">
        <f>IF(Agent08_Withdrawals!A76="","",Agent08_Withdrawals!E76)</f>
        <v/>
      </c>
      <c r="H1471" s="39" t="str">
        <f>IF(Agent08_Withdrawals!A76="","",Agent08_Withdrawals!G76)</f>
        <v/>
      </c>
      <c r="I1471" s="37" t="str">
        <f>IF(Agent08_Withdrawals!A76="","",Agent08_Withdrawals!H76)</f>
        <v/>
      </c>
      <c r="J1471" s="37" t="str">
        <f>IF(Agent08_Withdrawals!A76="","",Agent08_Withdrawals!J76)</f>
        <v/>
      </c>
      <c r="K1471" s="37" t="str">
        <f>IF(Agent08_Withdrawals!A76="","",Agent08_Withdrawals!K76)</f>
        <v/>
      </c>
      <c r="L1471" s="37" t="str">
        <f>IF(G1471="","",IF(D1471-G1471&gt;=System_Config!$B$9,"✅ OK","⚠️ BREACH"))</f>
        <v/>
      </c>
      <c r="M1471" s="37" t="str">
        <f>IFERROR(IF(Agent08_Withdrawals!A76="","",YEAR(Agent08_Withdrawals!D76)),"")</f>
        <v/>
      </c>
    </row>
    <row r="1472" spans="1:13" ht="18" customHeight="1" x14ac:dyDescent="0.25">
      <c r="A1472" s="37" t="str">
        <f>IF(Agent08_Withdrawals!A77="","",Agent08_Withdrawals!A77)</f>
        <v/>
      </c>
      <c r="B1472" s="37" t="str">
        <f ca="1">IF(Agent08_Withdrawals!A77="","","WD"&amp;TEXT(1472-3,"0000")&amp;"-"&amp;TEXT(TODAY(),"YYYYMMDD"))</f>
        <v/>
      </c>
      <c r="C1472" s="37" t="str">
        <f>IF(Agent08_Withdrawals!A77="","",Agent08_Withdrawals!B77)</f>
        <v/>
      </c>
      <c r="D1472" s="40" t="str">
        <f>IF(Agent08_Withdrawals!A77="","",Agent08_Withdrawals!C77)</f>
        <v/>
      </c>
      <c r="E1472" s="38" t="str">
        <f>IF(Agent08_Withdrawals!A77="","",Agent08_Withdrawals!D77)</f>
        <v/>
      </c>
      <c r="F1472" s="37" t="str">
        <f>IF(Agent08_Withdrawals!A77="","",Agent08_Withdrawals!F77)</f>
        <v/>
      </c>
      <c r="G1472" s="39" t="str">
        <f>IF(Agent08_Withdrawals!A77="","",Agent08_Withdrawals!E77)</f>
        <v/>
      </c>
      <c r="H1472" s="39" t="str">
        <f>IF(Agent08_Withdrawals!A77="","",Agent08_Withdrawals!G77)</f>
        <v/>
      </c>
      <c r="I1472" s="37" t="str">
        <f>IF(Agent08_Withdrawals!A77="","",Agent08_Withdrawals!H77)</f>
        <v/>
      </c>
      <c r="J1472" s="37" t="str">
        <f>IF(Agent08_Withdrawals!A77="","",Agent08_Withdrawals!J77)</f>
        <v/>
      </c>
      <c r="K1472" s="37" t="str">
        <f>IF(Agent08_Withdrawals!A77="","",Agent08_Withdrawals!K77)</f>
        <v/>
      </c>
      <c r="L1472" s="37" t="str">
        <f>IF(G1472="","",IF(D1472-G1472&gt;=System_Config!$B$9,"✅ OK","⚠️ BREACH"))</f>
        <v/>
      </c>
      <c r="M1472" s="37" t="str">
        <f>IFERROR(IF(Agent08_Withdrawals!A77="","",YEAR(Agent08_Withdrawals!D77)),"")</f>
        <v/>
      </c>
    </row>
    <row r="1473" spans="1:13" ht="18" customHeight="1" x14ac:dyDescent="0.25">
      <c r="A1473" s="37" t="str">
        <f>IF(Agent08_Withdrawals!A78="","",Agent08_Withdrawals!A78)</f>
        <v/>
      </c>
      <c r="B1473" s="37" t="str">
        <f ca="1">IF(Agent08_Withdrawals!A78="","","WD"&amp;TEXT(1473-3,"0000")&amp;"-"&amp;TEXT(TODAY(),"YYYYMMDD"))</f>
        <v/>
      </c>
      <c r="C1473" s="37" t="str">
        <f>IF(Agent08_Withdrawals!A78="","",Agent08_Withdrawals!B78)</f>
        <v/>
      </c>
      <c r="D1473" s="40" t="str">
        <f>IF(Agent08_Withdrawals!A78="","",Agent08_Withdrawals!C78)</f>
        <v/>
      </c>
      <c r="E1473" s="38" t="str">
        <f>IF(Agent08_Withdrawals!A78="","",Agent08_Withdrawals!D78)</f>
        <v/>
      </c>
      <c r="F1473" s="37" t="str">
        <f>IF(Agent08_Withdrawals!A78="","",Agent08_Withdrawals!F78)</f>
        <v/>
      </c>
      <c r="G1473" s="39" t="str">
        <f>IF(Agent08_Withdrawals!A78="","",Agent08_Withdrawals!E78)</f>
        <v/>
      </c>
      <c r="H1473" s="39" t="str">
        <f>IF(Agent08_Withdrawals!A78="","",Agent08_Withdrawals!G78)</f>
        <v/>
      </c>
      <c r="I1473" s="37" t="str">
        <f>IF(Agent08_Withdrawals!A78="","",Agent08_Withdrawals!H78)</f>
        <v/>
      </c>
      <c r="J1473" s="37" t="str">
        <f>IF(Agent08_Withdrawals!A78="","",Agent08_Withdrawals!J78)</f>
        <v/>
      </c>
      <c r="K1473" s="37" t="str">
        <f>IF(Agent08_Withdrawals!A78="","",Agent08_Withdrawals!K78)</f>
        <v/>
      </c>
      <c r="L1473" s="37" t="str">
        <f>IF(G1473="","",IF(D1473-G1473&gt;=System_Config!$B$9,"✅ OK","⚠️ BREACH"))</f>
        <v/>
      </c>
      <c r="M1473" s="37" t="str">
        <f>IFERROR(IF(Agent08_Withdrawals!A78="","",YEAR(Agent08_Withdrawals!D78)),"")</f>
        <v/>
      </c>
    </row>
    <row r="1474" spans="1:13" ht="18" customHeight="1" x14ac:dyDescent="0.25">
      <c r="A1474" s="37" t="str">
        <f>IF(Agent08_Withdrawals!A79="","",Agent08_Withdrawals!A79)</f>
        <v/>
      </c>
      <c r="B1474" s="37" t="str">
        <f ca="1">IF(Agent08_Withdrawals!A79="","","WD"&amp;TEXT(1474-3,"0000")&amp;"-"&amp;TEXT(TODAY(),"YYYYMMDD"))</f>
        <v/>
      </c>
      <c r="C1474" s="37" t="str">
        <f>IF(Agent08_Withdrawals!A79="","",Agent08_Withdrawals!B79)</f>
        <v/>
      </c>
      <c r="D1474" s="40" t="str">
        <f>IF(Agent08_Withdrawals!A79="","",Agent08_Withdrawals!C79)</f>
        <v/>
      </c>
      <c r="E1474" s="38" t="str">
        <f>IF(Agent08_Withdrawals!A79="","",Agent08_Withdrawals!D79)</f>
        <v/>
      </c>
      <c r="F1474" s="37" t="str">
        <f>IF(Agent08_Withdrawals!A79="","",Agent08_Withdrawals!F79)</f>
        <v/>
      </c>
      <c r="G1474" s="39" t="str">
        <f>IF(Agent08_Withdrawals!A79="","",Agent08_Withdrawals!E79)</f>
        <v/>
      </c>
      <c r="H1474" s="39" t="str">
        <f>IF(Agent08_Withdrawals!A79="","",Agent08_Withdrawals!G79)</f>
        <v/>
      </c>
      <c r="I1474" s="37" t="str">
        <f>IF(Agent08_Withdrawals!A79="","",Agent08_Withdrawals!H79)</f>
        <v/>
      </c>
      <c r="J1474" s="37" t="str">
        <f>IF(Agent08_Withdrawals!A79="","",Agent08_Withdrawals!J79)</f>
        <v/>
      </c>
      <c r="K1474" s="37" t="str">
        <f>IF(Agent08_Withdrawals!A79="","",Agent08_Withdrawals!K79)</f>
        <v/>
      </c>
      <c r="L1474" s="37" t="str">
        <f>IF(G1474="","",IF(D1474-G1474&gt;=System_Config!$B$9,"✅ OK","⚠️ BREACH"))</f>
        <v/>
      </c>
      <c r="M1474" s="37" t="str">
        <f>IFERROR(IF(Agent08_Withdrawals!A79="","",YEAR(Agent08_Withdrawals!D79)),"")</f>
        <v/>
      </c>
    </row>
    <row r="1475" spans="1:13" ht="18" customHeight="1" x14ac:dyDescent="0.25">
      <c r="A1475" s="37" t="str">
        <f>IF(Agent08_Withdrawals!A80="","",Agent08_Withdrawals!A80)</f>
        <v/>
      </c>
      <c r="B1475" s="37" t="str">
        <f ca="1">IF(Agent08_Withdrawals!A80="","","WD"&amp;TEXT(1475-3,"0000")&amp;"-"&amp;TEXT(TODAY(),"YYYYMMDD"))</f>
        <v/>
      </c>
      <c r="C1475" s="37" t="str">
        <f>IF(Agent08_Withdrawals!A80="","",Agent08_Withdrawals!B80)</f>
        <v/>
      </c>
      <c r="D1475" s="40" t="str">
        <f>IF(Agent08_Withdrawals!A80="","",Agent08_Withdrawals!C80)</f>
        <v/>
      </c>
      <c r="E1475" s="38" t="str">
        <f>IF(Agent08_Withdrawals!A80="","",Agent08_Withdrawals!D80)</f>
        <v/>
      </c>
      <c r="F1475" s="37" t="str">
        <f>IF(Agent08_Withdrawals!A80="","",Agent08_Withdrawals!F80)</f>
        <v/>
      </c>
      <c r="G1475" s="39" t="str">
        <f>IF(Agent08_Withdrawals!A80="","",Agent08_Withdrawals!E80)</f>
        <v/>
      </c>
      <c r="H1475" s="39" t="str">
        <f>IF(Agent08_Withdrawals!A80="","",Agent08_Withdrawals!G80)</f>
        <v/>
      </c>
      <c r="I1475" s="37" t="str">
        <f>IF(Agent08_Withdrawals!A80="","",Agent08_Withdrawals!H80)</f>
        <v/>
      </c>
      <c r="J1475" s="37" t="str">
        <f>IF(Agent08_Withdrawals!A80="","",Agent08_Withdrawals!J80)</f>
        <v/>
      </c>
      <c r="K1475" s="37" t="str">
        <f>IF(Agent08_Withdrawals!A80="","",Agent08_Withdrawals!K80)</f>
        <v/>
      </c>
      <c r="L1475" s="37" t="str">
        <f>IF(G1475="","",IF(D1475-G1475&gt;=System_Config!$B$9,"✅ OK","⚠️ BREACH"))</f>
        <v/>
      </c>
      <c r="M1475" s="37" t="str">
        <f>IFERROR(IF(Agent08_Withdrawals!A80="","",YEAR(Agent08_Withdrawals!D80)),"")</f>
        <v/>
      </c>
    </row>
    <row r="1476" spans="1:13" ht="18" customHeight="1" x14ac:dyDescent="0.25">
      <c r="A1476" s="37" t="str">
        <f>IF(Agent08_Withdrawals!A81="","",Agent08_Withdrawals!A81)</f>
        <v/>
      </c>
      <c r="B1476" s="37" t="str">
        <f ca="1">IF(Agent08_Withdrawals!A81="","","WD"&amp;TEXT(1476-3,"0000")&amp;"-"&amp;TEXT(TODAY(),"YYYYMMDD"))</f>
        <v/>
      </c>
      <c r="C1476" s="37" t="str">
        <f>IF(Agent08_Withdrawals!A81="","",Agent08_Withdrawals!B81)</f>
        <v/>
      </c>
      <c r="D1476" s="40" t="str">
        <f>IF(Agent08_Withdrawals!A81="","",Agent08_Withdrawals!C81)</f>
        <v/>
      </c>
      <c r="E1476" s="38" t="str">
        <f>IF(Agent08_Withdrawals!A81="","",Agent08_Withdrawals!D81)</f>
        <v/>
      </c>
      <c r="F1476" s="37" t="str">
        <f>IF(Agent08_Withdrawals!A81="","",Agent08_Withdrawals!F81)</f>
        <v/>
      </c>
      <c r="G1476" s="39" t="str">
        <f>IF(Agent08_Withdrawals!A81="","",Agent08_Withdrawals!E81)</f>
        <v/>
      </c>
      <c r="H1476" s="39" t="str">
        <f>IF(Agent08_Withdrawals!A81="","",Agent08_Withdrawals!G81)</f>
        <v/>
      </c>
      <c r="I1476" s="37" t="str">
        <f>IF(Agent08_Withdrawals!A81="","",Agent08_Withdrawals!H81)</f>
        <v/>
      </c>
      <c r="J1476" s="37" t="str">
        <f>IF(Agent08_Withdrawals!A81="","",Agent08_Withdrawals!J81)</f>
        <v/>
      </c>
      <c r="K1476" s="37" t="str">
        <f>IF(Agent08_Withdrawals!A81="","",Agent08_Withdrawals!K81)</f>
        <v/>
      </c>
      <c r="L1476" s="37" t="str">
        <f>IF(G1476="","",IF(D1476-G1476&gt;=System_Config!$B$9,"✅ OK","⚠️ BREACH"))</f>
        <v/>
      </c>
      <c r="M1476" s="37" t="str">
        <f>IFERROR(IF(Agent08_Withdrawals!A81="","",YEAR(Agent08_Withdrawals!D81)),"")</f>
        <v/>
      </c>
    </row>
    <row r="1477" spans="1:13" ht="18" customHeight="1" x14ac:dyDescent="0.25">
      <c r="A1477" s="37" t="str">
        <f>IF(Agent08_Withdrawals!A82="","",Agent08_Withdrawals!A82)</f>
        <v/>
      </c>
      <c r="B1477" s="37" t="str">
        <f ca="1">IF(Agent08_Withdrawals!A82="","","WD"&amp;TEXT(1477-3,"0000")&amp;"-"&amp;TEXT(TODAY(),"YYYYMMDD"))</f>
        <v/>
      </c>
      <c r="C1477" s="37" t="str">
        <f>IF(Agent08_Withdrawals!A82="","",Agent08_Withdrawals!B82)</f>
        <v/>
      </c>
      <c r="D1477" s="40" t="str">
        <f>IF(Agent08_Withdrawals!A82="","",Agent08_Withdrawals!C82)</f>
        <v/>
      </c>
      <c r="E1477" s="38" t="str">
        <f>IF(Agent08_Withdrawals!A82="","",Agent08_Withdrawals!D82)</f>
        <v/>
      </c>
      <c r="F1477" s="37" t="str">
        <f>IF(Agent08_Withdrawals!A82="","",Agent08_Withdrawals!F82)</f>
        <v/>
      </c>
      <c r="G1477" s="39" t="str">
        <f>IF(Agent08_Withdrawals!A82="","",Agent08_Withdrawals!E82)</f>
        <v/>
      </c>
      <c r="H1477" s="39" t="str">
        <f>IF(Agent08_Withdrawals!A82="","",Agent08_Withdrawals!G82)</f>
        <v/>
      </c>
      <c r="I1477" s="37" t="str">
        <f>IF(Agent08_Withdrawals!A82="","",Agent08_Withdrawals!H82)</f>
        <v/>
      </c>
      <c r="J1477" s="37" t="str">
        <f>IF(Agent08_Withdrawals!A82="","",Agent08_Withdrawals!J82)</f>
        <v/>
      </c>
      <c r="K1477" s="37" t="str">
        <f>IF(Agent08_Withdrawals!A82="","",Agent08_Withdrawals!K82)</f>
        <v/>
      </c>
      <c r="L1477" s="37" t="str">
        <f>IF(G1477="","",IF(D1477-G1477&gt;=System_Config!$B$9,"✅ OK","⚠️ BREACH"))</f>
        <v/>
      </c>
      <c r="M1477" s="37" t="str">
        <f>IFERROR(IF(Agent08_Withdrawals!A82="","",YEAR(Agent08_Withdrawals!D82)),"")</f>
        <v/>
      </c>
    </row>
    <row r="1478" spans="1:13" ht="18" customHeight="1" x14ac:dyDescent="0.25">
      <c r="A1478" s="37" t="str">
        <f>IF(Agent08_Withdrawals!A83="","",Agent08_Withdrawals!A83)</f>
        <v/>
      </c>
      <c r="B1478" s="37" t="str">
        <f ca="1">IF(Agent08_Withdrawals!A83="","","WD"&amp;TEXT(1478-3,"0000")&amp;"-"&amp;TEXT(TODAY(),"YYYYMMDD"))</f>
        <v/>
      </c>
      <c r="C1478" s="37" t="str">
        <f>IF(Agent08_Withdrawals!A83="","",Agent08_Withdrawals!B83)</f>
        <v/>
      </c>
      <c r="D1478" s="40" t="str">
        <f>IF(Agent08_Withdrawals!A83="","",Agent08_Withdrawals!C83)</f>
        <v/>
      </c>
      <c r="E1478" s="38" t="str">
        <f>IF(Agent08_Withdrawals!A83="","",Agent08_Withdrawals!D83)</f>
        <v/>
      </c>
      <c r="F1478" s="37" t="str">
        <f>IF(Agent08_Withdrawals!A83="","",Agent08_Withdrawals!F83)</f>
        <v/>
      </c>
      <c r="G1478" s="39" t="str">
        <f>IF(Agent08_Withdrawals!A83="","",Agent08_Withdrawals!E83)</f>
        <v/>
      </c>
      <c r="H1478" s="39" t="str">
        <f>IF(Agent08_Withdrawals!A83="","",Agent08_Withdrawals!G83)</f>
        <v/>
      </c>
      <c r="I1478" s="37" t="str">
        <f>IF(Agent08_Withdrawals!A83="","",Agent08_Withdrawals!H83)</f>
        <v/>
      </c>
      <c r="J1478" s="37" t="str">
        <f>IF(Agent08_Withdrawals!A83="","",Agent08_Withdrawals!J83)</f>
        <v/>
      </c>
      <c r="K1478" s="37" t="str">
        <f>IF(Agent08_Withdrawals!A83="","",Agent08_Withdrawals!K83)</f>
        <v/>
      </c>
      <c r="L1478" s="37" t="str">
        <f>IF(G1478="","",IF(D1478-G1478&gt;=System_Config!$B$9,"✅ OK","⚠️ BREACH"))</f>
        <v/>
      </c>
      <c r="M1478" s="37" t="str">
        <f>IFERROR(IF(Agent08_Withdrawals!A83="","",YEAR(Agent08_Withdrawals!D83)),"")</f>
        <v/>
      </c>
    </row>
    <row r="1479" spans="1:13" ht="18" customHeight="1" x14ac:dyDescent="0.25">
      <c r="A1479" s="37" t="str">
        <f>IF(Agent08_Withdrawals!A84="","",Agent08_Withdrawals!A84)</f>
        <v/>
      </c>
      <c r="B1479" s="37" t="str">
        <f ca="1">IF(Agent08_Withdrawals!A84="","","WD"&amp;TEXT(1479-3,"0000")&amp;"-"&amp;TEXT(TODAY(),"YYYYMMDD"))</f>
        <v/>
      </c>
      <c r="C1479" s="37" t="str">
        <f>IF(Agent08_Withdrawals!A84="","",Agent08_Withdrawals!B84)</f>
        <v/>
      </c>
      <c r="D1479" s="40" t="str">
        <f>IF(Agent08_Withdrawals!A84="","",Agent08_Withdrawals!C84)</f>
        <v/>
      </c>
      <c r="E1479" s="38" t="str">
        <f>IF(Agent08_Withdrawals!A84="","",Agent08_Withdrawals!D84)</f>
        <v/>
      </c>
      <c r="F1479" s="37" t="str">
        <f>IF(Agent08_Withdrawals!A84="","",Agent08_Withdrawals!F84)</f>
        <v/>
      </c>
      <c r="G1479" s="39" t="str">
        <f>IF(Agent08_Withdrawals!A84="","",Agent08_Withdrawals!E84)</f>
        <v/>
      </c>
      <c r="H1479" s="39" t="str">
        <f>IF(Agent08_Withdrawals!A84="","",Agent08_Withdrawals!G84)</f>
        <v/>
      </c>
      <c r="I1479" s="37" t="str">
        <f>IF(Agent08_Withdrawals!A84="","",Agent08_Withdrawals!H84)</f>
        <v/>
      </c>
      <c r="J1479" s="37" t="str">
        <f>IF(Agent08_Withdrawals!A84="","",Agent08_Withdrawals!J84)</f>
        <v/>
      </c>
      <c r="K1479" s="37" t="str">
        <f>IF(Agent08_Withdrawals!A84="","",Agent08_Withdrawals!K84)</f>
        <v/>
      </c>
      <c r="L1479" s="37" t="str">
        <f>IF(G1479="","",IF(D1479-G1479&gt;=System_Config!$B$9,"✅ OK","⚠️ BREACH"))</f>
        <v/>
      </c>
      <c r="M1479" s="37" t="str">
        <f>IFERROR(IF(Agent08_Withdrawals!A84="","",YEAR(Agent08_Withdrawals!D84)),"")</f>
        <v/>
      </c>
    </row>
    <row r="1480" spans="1:13" ht="18" customHeight="1" x14ac:dyDescent="0.25">
      <c r="A1480" s="37" t="str">
        <f>IF(Agent08_Withdrawals!A85="","",Agent08_Withdrawals!A85)</f>
        <v/>
      </c>
      <c r="B1480" s="37" t="str">
        <f ca="1">IF(Agent08_Withdrawals!A85="","","WD"&amp;TEXT(1480-3,"0000")&amp;"-"&amp;TEXT(TODAY(),"YYYYMMDD"))</f>
        <v/>
      </c>
      <c r="C1480" s="37" t="str">
        <f>IF(Agent08_Withdrawals!A85="","",Agent08_Withdrawals!B85)</f>
        <v/>
      </c>
      <c r="D1480" s="40" t="str">
        <f>IF(Agent08_Withdrawals!A85="","",Agent08_Withdrawals!C85)</f>
        <v/>
      </c>
      <c r="E1480" s="38" t="str">
        <f>IF(Agent08_Withdrawals!A85="","",Agent08_Withdrawals!D85)</f>
        <v/>
      </c>
      <c r="F1480" s="37" t="str">
        <f>IF(Agent08_Withdrawals!A85="","",Agent08_Withdrawals!F85)</f>
        <v/>
      </c>
      <c r="G1480" s="39" t="str">
        <f>IF(Agent08_Withdrawals!A85="","",Agent08_Withdrawals!E85)</f>
        <v/>
      </c>
      <c r="H1480" s="39" t="str">
        <f>IF(Agent08_Withdrawals!A85="","",Agent08_Withdrawals!G85)</f>
        <v/>
      </c>
      <c r="I1480" s="37" t="str">
        <f>IF(Agent08_Withdrawals!A85="","",Agent08_Withdrawals!H85)</f>
        <v/>
      </c>
      <c r="J1480" s="37" t="str">
        <f>IF(Agent08_Withdrawals!A85="","",Agent08_Withdrawals!J85)</f>
        <v/>
      </c>
      <c r="K1480" s="37" t="str">
        <f>IF(Agent08_Withdrawals!A85="","",Agent08_Withdrawals!K85)</f>
        <v/>
      </c>
      <c r="L1480" s="37" t="str">
        <f>IF(G1480="","",IF(D1480-G1480&gt;=System_Config!$B$9,"✅ OK","⚠️ BREACH"))</f>
        <v/>
      </c>
      <c r="M1480" s="37" t="str">
        <f>IFERROR(IF(Agent08_Withdrawals!A85="","",YEAR(Agent08_Withdrawals!D85)),"")</f>
        <v/>
      </c>
    </row>
    <row r="1481" spans="1:13" ht="18" customHeight="1" x14ac:dyDescent="0.25">
      <c r="A1481" s="37" t="str">
        <f>IF(Agent08_Withdrawals!A86="","",Agent08_Withdrawals!A86)</f>
        <v/>
      </c>
      <c r="B1481" s="37" t="str">
        <f ca="1">IF(Agent08_Withdrawals!A86="","","WD"&amp;TEXT(1481-3,"0000")&amp;"-"&amp;TEXT(TODAY(),"YYYYMMDD"))</f>
        <v/>
      </c>
      <c r="C1481" s="37" t="str">
        <f>IF(Agent08_Withdrawals!A86="","",Agent08_Withdrawals!B86)</f>
        <v/>
      </c>
      <c r="D1481" s="40" t="str">
        <f>IF(Agent08_Withdrawals!A86="","",Agent08_Withdrawals!C86)</f>
        <v/>
      </c>
      <c r="E1481" s="38" t="str">
        <f>IF(Agent08_Withdrawals!A86="","",Agent08_Withdrawals!D86)</f>
        <v/>
      </c>
      <c r="F1481" s="37" t="str">
        <f>IF(Agent08_Withdrawals!A86="","",Agent08_Withdrawals!F86)</f>
        <v/>
      </c>
      <c r="G1481" s="39" t="str">
        <f>IF(Agent08_Withdrawals!A86="","",Agent08_Withdrawals!E86)</f>
        <v/>
      </c>
      <c r="H1481" s="39" t="str">
        <f>IF(Agent08_Withdrawals!A86="","",Agent08_Withdrawals!G86)</f>
        <v/>
      </c>
      <c r="I1481" s="37" t="str">
        <f>IF(Agent08_Withdrawals!A86="","",Agent08_Withdrawals!H86)</f>
        <v/>
      </c>
      <c r="J1481" s="37" t="str">
        <f>IF(Agent08_Withdrawals!A86="","",Agent08_Withdrawals!J86)</f>
        <v/>
      </c>
      <c r="K1481" s="37" t="str">
        <f>IF(Agent08_Withdrawals!A86="","",Agent08_Withdrawals!K86)</f>
        <v/>
      </c>
      <c r="L1481" s="37" t="str">
        <f>IF(G1481="","",IF(D1481-G1481&gt;=System_Config!$B$9,"✅ OK","⚠️ BREACH"))</f>
        <v/>
      </c>
      <c r="M1481" s="37" t="str">
        <f>IFERROR(IF(Agent08_Withdrawals!A86="","",YEAR(Agent08_Withdrawals!D86)),"")</f>
        <v/>
      </c>
    </row>
    <row r="1482" spans="1:13" ht="18" customHeight="1" x14ac:dyDescent="0.25">
      <c r="A1482" s="37" t="str">
        <f>IF(Agent08_Withdrawals!A87="","",Agent08_Withdrawals!A87)</f>
        <v/>
      </c>
      <c r="B1482" s="37" t="str">
        <f ca="1">IF(Agent08_Withdrawals!A87="","","WD"&amp;TEXT(1482-3,"0000")&amp;"-"&amp;TEXT(TODAY(),"YYYYMMDD"))</f>
        <v/>
      </c>
      <c r="C1482" s="37" t="str">
        <f>IF(Agent08_Withdrawals!A87="","",Agent08_Withdrawals!B87)</f>
        <v/>
      </c>
      <c r="D1482" s="40" t="str">
        <f>IF(Agent08_Withdrawals!A87="","",Agent08_Withdrawals!C87)</f>
        <v/>
      </c>
      <c r="E1482" s="38" t="str">
        <f>IF(Agent08_Withdrawals!A87="","",Agent08_Withdrawals!D87)</f>
        <v/>
      </c>
      <c r="F1482" s="37" t="str">
        <f>IF(Agent08_Withdrawals!A87="","",Agent08_Withdrawals!F87)</f>
        <v/>
      </c>
      <c r="G1482" s="39" t="str">
        <f>IF(Agent08_Withdrawals!A87="","",Agent08_Withdrawals!E87)</f>
        <v/>
      </c>
      <c r="H1482" s="39" t="str">
        <f>IF(Agent08_Withdrawals!A87="","",Agent08_Withdrawals!G87)</f>
        <v/>
      </c>
      <c r="I1482" s="37" t="str">
        <f>IF(Agent08_Withdrawals!A87="","",Agent08_Withdrawals!H87)</f>
        <v/>
      </c>
      <c r="J1482" s="37" t="str">
        <f>IF(Agent08_Withdrawals!A87="","",Agent08_Withdrawals!J87)</f>
        <v/>
      </c>
      <c r="K1482" s="37" t="str">
        <f>IF(Agent08_Withdrawals!A87="","",Agent08_Withdrawals!K87)</f>
        <v/>
      </c>
      <c r="L1482" s="37" t="str">
        <f>IF(G1482="","",IF(D1482-G1482&gt;=System_Config!$B$9,"✅ OK","⚠️ BREACH"))</f>
        <v/>
      </c>
      <c r="M1482" s="37" t="str">
        <f>IFERROR(IF(Agent08_Withdrawals!A87="","",YEAR(Agent08_Withdrawals!D87)),"")</f>
        <v/>
      </c>
    </row>
    <row r="1483" spans="1:13" ht="18" customHeight="1" x14ac:dyDescent="0.25">
      <c r="A1483" s="37" t="str">
        <f>IF(Agent08_Withdrawals!A88="","",Agent08_Withdrawals!A88)</f>
        <v/>
      </c>
      <c r="B1483" s="37" t="str">
        <f ca="1">IF(Agent08_Withdrawals!A88="","","WD"&amp;TEXT(1483-3,"0000")&amp;"-"&amp;TEXT(TODAY(),"YYYYMMDD"))</f>
        <v/>
      </c>
      <c r="C1483" s="37" t="str">
        <f>IF(Agent08_Withdrawals!A88="","",Agent08_Withdrawals!B88)</f>
        <v/>
      </c>
      <c r="D1483" s="40" t="str">
        <f>IF(Agent08_Withdrawals!A88="","",Agent08_Withdrawals!C88)</f>
        <v/>
      </c>
      <c r="E1483" s="38" t="str">
        <f>IF(Agent08_Withdrawals!A88="","",Agent08_Withdrawals!D88)</f>
        <v/>
      </c>
      <c r="F1483" s="37" t="str">
        <f>IF(Agent08_Withdrawals!A88="","",Agent08_Withdrawals!F88)</f>
        <v/>
      </c>
      <c r="G1483" s="39" t="str">
        <f>IF(Agent08_Withdrawals!A88="","",Agent08_Withdrawals!E88)</f>
        <v/>
      </c>
      <c r="H1483" s="39" t="str">
        <f>IF(Agent08_Withdrawals!A88="","",Agent08_Withdrawals!G88)</f>
        <v/>
      </c>
      <c r="I1483" s="37" t="str">
        <f>IF(Agent08_Withdrawals!A88="","",Agent08_Withdrawals!H88)</f>
        <v/>
      </c>
      <c r="J1483" s="37" t="str">
        <f>IF(Agent08_Withdrawals!A88="","",Agent08_Withdrawals!J88)</f>
        <v/>
      </c>
      <c r="K1483" s="37" t="str">
        <f>IF(Agent08_Withdrawals!A88="","",Agent08_Withdrawals!K88)</f>
        <v/>
      </c>
      <c r="L1483" s="37" t="str">
        <f>IF(G1483="","",IF(D1483-G1483&gt;=System_Config!$B$9,"✅ OK","⚠️ BREACH"))</f>
        <v/>
      </c>
      <c r="M1483" s="37" t="str">
        <f>IFERROR(IF(Agent08_Withdrawals!A88="","",YEAR(Agent08_Withdrawals!D88)),"")</f>
        <v/>
      </c>
    </row>
    <row r="1484" spans="1:13" ht="18" customHeight="1" x14ac:dyDescent="0.25">
      <c r="A1484" s="37" t="str">
        <f>IF(Agent08_Withdrawals!A89="","",Agent08_Withdrawals!A89)</f>
        <v/>
      </c>
      <c r="B1484" s="37" t="str">
        <f ca="1">IF(Agent08_Withdrawals!A89="","","WD"&amp;TEXT(1484-3,"0000")&amp;"-"&amp;TEXT(TODAY(),"YYYYMMDD"))</f>
        <v/>
      </c>
      <c r="C1484" s="37" t="str">
        <f>IF(Agent08_Withdrawals!A89="","",Agent08_Withdrawals!B89)</f>
        <v/>
      </c>
      <c r="D1484" s="40" t="str">
        <f>IF(Agent08_Withdrawals!A89="","",Agent08_Withdrawals!C89)</f>
        <v/>
      </c>
      <c r="E1484" s="38" t="str">
        <f>IF(Agent08_Withdrawals!A89="","",Agent08_Withdrawals!D89)</f>
        <v/>
      </c>
      <c r="F1484" s="37" t="str">
        <f>IF(Agent08_Withdrawals!A89="","",Agent08_Withdrawals!F89)</f>
        <v/>
      </c>
      <c r="G1484" s="39" t="str">
        <f>IF(Agent08_Withdrawals!A89="","",Agent08_Withdrawals!E89)</f>
        <v/>
      </c>
      <c r="H1484" s="39" t="str">
        <f>IF(Agent08_Withdrawals!A89="","",Agent08_Withdrawals!G89)</f>
        <v/>
      </c>
      <c r="I1484" s="37" t="str">
        <f>IF(Agent08_Withdrawals!A89="","",Agent08_Withdrawals!H89)</f>
        <v/>
      </c>
      <c r="J1484" s="37" t="str">
        <f>IF(Agent08_Withdrawals!A89="","",Agent08_Withdrawals!J89)</f>
        <v/>
      </c>
      <c r="K1484" s="37" t="str">
        <f>IF(Agent08_Withdrawals!A89="","",Agent08_Withdrawals!K89)</f>
        <v/>
      </c>
      <c r="L1484" s="37" t="str">
        <f>IF(G1484="","",IF(D1484-G1484&gt;=System_Config!$B$9,"✅ OK","⚠️ BREACH"))</f>
        <v/>
      </c>
      <c r="M1484" s="37" t="str">
        <f>IFERROR(IF(Agent08_Withdrawals!A89="","",YEAR(Agent08_Withdrawals!D89)),"")</f>
        <v/>
      </c>
    </row>
    <row r="1485" spans="1:13" ht="18" customHeight="1" x14ac:dyDescent="0.25">
      <c r="A1485" s="37" t="str">
        <f>IF(Agent08_Withdrawals!A90="","",Agent08_Withdrawals!A90)</f>
        <v/>
      </c>
      <c r="B1485" s="37" t="str">
        <f ca="1">IF(Agent08_Withdrawals!A90="","","WD"&amp;TEXT(1485-3,"0000")&amp;"-"&amp;TEXT(TODAY(),"YYYYMMDD"))</f>
        <v/>
      </c>
      <c r="C1485" s="37" t="str">
        <f>IF(Agent08_Withdrawals!A90="","",Agent08_Withdrawals!B90)</f>
        <v/>
      </c>
      <c r="D1485" s="40" t="str">
        <f>IF(Agent08_Withdrawals!A90="","",Agent08_Withdrawals!C90)</f>
        <v/>
      </c>
      <c r="E1485" s="38" t="str">
        <f>IF(Agent08_Withdrawals!A90="","",Agent08_Withdrawals!D90)</f>
        <v/>
      </c>
      <c r="F1485" s="37" t="str">
        <f>IF(Agent08_Withdrawals!A90="","",Agent08_Withdrawals!F90)</f>
        <v/>
      </c>
      <c r="G1485" s="39" t="str">
        <f>IF(Agent08_Withdrawals!A90="","",Agent08_Withdrawals!E90)</f>
        <v/>
      </c>
      <c r="H1485" s="39" t="str">
        <f>IF(Agent08_Withdrawals!A90="","",Agent08_Withdrawals!G90)</f>
        <v/>
      </c>
      <c r="I1485" s="37" t="str">
        <f>IF(Agent08_Withdrawals!A90="","",Agent08_Withdrawals!H90)</f>
        <v/>
      </c>
      <c r="J1485" s="37" t="str">
        <f>IF(Agent08_Withdrawals!A90="","",Agent08_Withdrawals!J90)</f>
        <v/>
      </c>
      <c r="K1485" s="37" t="str">
        <f>IF(Agent08_Withdrawals!A90="","",Agent08_Withdrawals!K90)</f>
        <v/>
      </c>
      <c r="L1485" s="37" t="str">
        <f>IF(G1485="","",IF(D1485-G1485&gt;=System_Config!$B$9,"✅ OK","⚠️ BREACH"))</f>
        <v/>
      </c>
      <c r="M1485" s="37" t="str">
        <f>IFERROR(IF(Agent08_Withdrawals!A90="","",YEAR(Agent08_Withdrawals!D90)),"")</f>
        <v/>
      </c>
    </row>
    <row r="1486" spans="1:13" ht="18" customHeight="1" x14ac:dyDescent="0.25">
      <c r="A1486" s="37" t="str">
        <f>IF(Agent08_Withdrawals!A91="","",Agent08_Withdrawals!A91)</f>
        <v/>
      </c>
      <c r="B1486" s="37" t="str">
        <f ca="1">IF(Agent08_Withdrawals!A91="","","WD"&amp;TEXT(1486-3,"0000")&amp;"-"&amp;TEXT(TODAY(),"YYYYMMDD"))</f>
        <v/>
      </c>
      <c r="C1486" s="37" t="str">
        <f>IF(Agent08_Withdrawals!A91="","",Agent08_Withdrawals!B91)</f>
        <v/>
      </c>
      <c r="D1486" s="40" t="str">
        <f>IF(Agent08_Withdrawals!A91="","",Agent08_Withdrawals!C91)</f>
        <v/>
      </c>
      <c r="E1486" s="38" t="str">
        <f>IF(Agent08_Withdrawals!A91="","",Agent08_Withdrawals!D91)</f>
        <v/>
      </c>
      <c r="F1486" s="37" t="str">
        <f>IF(Agent08_Withdrawals!A91="","",Agent08_Withdrawals!F91)</f>
        <v/>
      </c>
      <c r="G1486" s="39" t="str">
        <f>IF(Agent08_Withdrawals!A91="","",Agent08_Withdrawals!E91)</f>
        <v/>
      </c>
      <c r="H1486" s="39" t="str">
        <f>IF(Agent08_Withdrawals!A91="","",Agent08_Withdrawals!G91)</f>
        <v/>
      </c>
      <c r="I1486" s="37" t="str">
        <f>IF(Agent08_Withdrawals!A91="","",Agent08_Withdrawals!H91)</f>
        <v/>
      </c>
      <c r="J1486" s="37" t="str">
        <f>IF(Agent08_Withdrawals!A91="","",Agent08_Withdrawals!J91)</f>
        <v/>
      </c>
      <c r="K1486" s="37" t="str">
        <f>IF(Agent08_Withdrawals!A91="","",Agent08_Withdrawals!K91)</f>
        <v/>
      </c>
      <c r="L1486" s="37" t="str">
        <f>IF(G1486="","",IF(D1486-G1486&gt;=System_Config!$B$9,"✅ OK","⚠️ BREACH"))</f>
        <v/>
      </c>
      <c r="M1486" s="37" t="str">
        <f>IFERROR(IF(Agent08_Withdrawals!A91="","",YEAR(Agent08_Withdrawals!D91)),"")</f>
        <v/>
      </c>
    </row>
    <row r="1487" spans="1:13" ht="18" customHeight="1" x14ac:dyDescent="0.25">
      <c r="A1487" s="37" t="str">
        <f>IF(Agent08_Withdrawals!A92="","",Agent08_Withdrawals!A92)</f>
        <v/>
      </c>
      <c r="B1487" s="37" t="str">
        <f ca="1">IF(Agent08_Withdrawals!A92="","","WD"&amp;TEXT(1487-3,"0000")&amp;"-"&amp;TEXT(TODAY(),"YYYYMMDD"))</f>
        <v/>
      </c>
      <c r="C1487" s="37" t="str">
        <f>IF(Agent08_Withdrawals!A92="","",Agent08_Withdrawals!B92)</f>
        <v/>
      </c>
      <c r="D1487" s="40" t="str">
        <f>IF(Agent08_Withdrawals!A92="","",Agent08_Withdrawals!C92)</f>
        <v/>
      </c>
      <c r="E1487" s="38" t="str">
        <f>IF(Agent08_Withdrawals!A92="","",Agent08_Withdrawals!D92)</f>
        <v/>
      </c>
      <c r="F1487" s="37" t="str">
        <f>IF(Agent08_Withdrawals!A92="","",Agent08_Withdrawals!F92)</f>
        <v/>
      </c>
      <c r="G1487" s="39" t="str">
        <f>IF(Agent08_Withdrawals!A92="","",Agent08_Withdrawals!E92)</f>
        <v/>
      </c>
      <c r="H1487" s="39" t="str">
        <f>IF(Agent08_Withdrawals!A92="","",Agent08_Withdrawals!G92)</f>
        <v/>
      </c>
      <c r="I1487" s="37" t="str">
        <f>IF(Agent08_Withdrawals!A92="","",Agent08_Withdrawals!H92)</f>
        <v/>
      </c>
      <c r="J1487" s="37" t="str">
        <f>IF(Agent08_Withdrawals!A92="","",Agent08_Withdrawals!J92)</f>
        <v/>
      </c>
      <c r="K1487" s="37" t="str">
        <f>IF(Agent08_Withdrawals!A92="","",Agent08_Withdrawals!K92)</f>
        <v/>
      </c>
      <c r="L1487" s="37" t="str">
        <f>IF(G1487="","",IF(D1487-G1487&gt;=System_Config!$B$9,"✅ OK","⚠️ BREACH"))</f>
        <v/>
      </c>
      <c r="M1487" s="37" t="str">
        <f>IFERROR(IF(Agent08_Withdrawals!A92="","",YEAR(Agent08_Withdrawals!D92)),"")</f>
        <v/>
      </c>
    </row>
    <row r="1488" spans="1:13" ht="18" customHeight="1" x14ac:dyDescent="0.25">
      <c r="A1488" s="37" t="str">
        <f>IF(Agent08_Withdrawals!A93="","",Agent08_Withdrawals!A93)</f>
        <v/>
      </c>
      <c r="B1488" s="37" t="str">
        <f ca="1">IF(Agent08_Withdrawals!A93="","","WD"&amp;TEXT(1488-3,"0000")&amp;"-"&amp;TEXT(TODAY(),"YYYYMMDD"))</f>
        <v/>
      </c>
      <c r="C1488" s="37" t="str">
        <f>IF(Agent08_Withdrawals!A93="","",Agent08_Withdrawals!B93)</f>
        <v/>
      </c>
      <c r="D1488" s="40" t="str">
        <f>IF(Agent08_Withdrawals!A93="","",Agent08_Withdrawals!C93)</f>
        <v/>
      </c>
      <c r="E1488" s="38" t="str">
        <f>IF(Agent08_Withdrawals!A93="","",Agent08_Withdrawals!D93)</f>
        <v/>
      </c>
      <c r="F1488" s="37" t="str">
        <f>IF(Agent08_Withdrawals!A93="","",Agent08_Withdrawals!F93)</f>
        <v/>
      </c>
      <c r="G1488" s="39" t="str">
        <f>IF(Agent08_Withdrawals!A93="","",Agent08_Withdrawals!E93)</f>
        <v/>
      </c>
      <c r="H1488" s="39" t="str">
        <f>IF(Agent08_Withdrawals!A93="","",Agent08_Withdrawals!G93)</f>
        <v/>
      </c>
      <c r="I1488" s="37" t="str">
        <f>IF(Agent08_Withdrawals!A93="","",Agent08_Withdrawals!H93)</f>
        <v/>
      </c>
      <c r="J1488" s="37" t="str">
        <f>IF(Agent08_Withdrawals!A93="","",Agent08_Withdrawals!J93)</f>
        <v/>
      </c>
      <c r="K1488" s="37" t="str">
        <f>IF(Agent08_Withdrawals!A93="","",Agent08_Withdrawals!K93)</f>
        <v/>
      </c>
      <c r="L1488" s="37" t="str">
        <f>IF(G1488="","",IF(D1488-G1488&gt;=System_Config!$B$9,"✅ OK","⚠️ BREACH"))</f>
        <v/>
      </c>
      <c r="M1488" s="37" t="str">
        <f>IFERROR(IF(Agent08_Withdrawals!A93="","",YEAR(Agent08_Withdrawals!D93)),"")</f>
        <v/>
      </c>
    </row>
    <row r="1489" spans="1:13" ht="18" customHeight="1" x14ac:dyDescent="0.25">
      <c r="A1489" s="37" t="str">
        <f>IF(Agent08_Withdrawals!A94="","",Agent08_Withdrawals!A94)</f>
        <v/>
      </c>
      <c r="B1489" s="37" t="str">
        <f ca="1">IF(Agent08_Withdrawals!A94="","","WD"&amp;TEXT(1489-3,"0000")&amp;"-"&amp;TEXT(TODAY(),"YYYYMMDD"))</f>
        <v/>
      </c>
      <c r="C1489" s="37" t="str">
        <f>IF(Agent08_Withdrawals!A94="","",Agent08_Withdrawals!B94)</f>
        <v/>
      </c>
      <c r="D1489" s="40" t="str">
        <f>IF(Agent08_Withdrawals!A94="","",Agent08_Withdrawals!C94)</f>
        <v/>
      </c>
      <c r="E1489" s="38" t="str">
        <f>IF(Agent08_Withdrawals!A94="","",Agent08_Withdrawals!D94)</f>
        <v/>
      </c>
      <c r="F1489" s="37" t="str">
        <f>IF(Agent08_Withdrawals!A94="","",Agent08_Withdrawals!F94)</f>
        <v/>
      </c>
      <c r="G1489" s="39" t="str">
        <f>IF(Agent08_Withdrawals!A94="","",Agent08_Withdrawals!E94)</f>
        <v/>
      </c>
      <c r="H1489" s="39" t="str">
        <f>IF(Agent08_Withdrawals!A94="","",Agent08_Withdrawals!G94)</f>
        <v/>
      </c>
      <c r="I1489" s="37" t="str">
        <f>IF(Agent08_Withdrawals!A94="","",Agent08_Withdrawals!H94)</f>
        <v/>
      </c>
      <c r="J1489" s="37" t="str">
        <f>IF(Agent08_Withdrawals!A94="","",Agent08_Withdrawals!J94)</f>
        <v/>
      </c>
      <c r="K1489" s="37" t="str">
        <f>IF(Agent08_Withdrawals!A94="","",Agent08_Withdrawals!K94)</f>
        <v/>
      </c>
      <c r="L1489" s="37" t="str">
        <f>IF(G1489="","",IF(D1489-G1489&gt;=System_Config!$B$9,"✅ OK","⚠️ BREACH"))</f>
        <v/>
      </c>
      <c r="M1489" s="37" t="str">
        <f>IFERROR(IF(Agent08_Withdrawals!A94="","",YEAR(Agent08_Withdrawals!D94)),"")</f>
        <v/>
      </c>
    </row>
    <row r="1490" spans="1:13" ht="18" customHeight="1" x14ac:dyDescent="0.25">
      <c r="A1490" s="37" t="str">
        <f>IF(Agent08_Withdrawals!A95="","",Agent08_Withdrawals!A95)</f>
        <v/>
      </c>
      <c r="B1490" s="37" t="str">
        <f ca="1">IF(Agent08_Withdrawals!A95="","","WD"&amp;TEXT(1490-3,"0000")&amp;"-"&amp;TEXT(TODAY(),"YYYYMMDD"))</f>
        <v/>
      </c>
      <c r="C1490" s="37" t="str">
        <f>IF(Agent08_Withdrawals!A95="","",Agent08_Withdrawals!B95)</f>
        <v/>
      </c>
      <c r="D1490" s="40" t="str">
        <f>IF(Agent08_Withdrawals!A95="","",Agent08_Withdrawals!C95)</f>
        <v/>
      </c>
      <c r="E1490" s="38" t="str">
        <f>IF(Agent08_Withdrawals!A95="","",Agent08_Withdrawals!D95)</f>
        <v/>
      </c>
      <c r="F1490" s="37" t="str">
        <f>IF(Agent08_Withdrawals!A95="","",Agent08_Withdrawals!F95)</f>
        <v/>
      </c>
      <c r="G1490" s="39" t="str">
        <f>IF(Agent08_Withdrawals!A95="","",Agent08_Withdrawals!E95)</f>
        <v/>
      </c>
      <c r="H1490" s="39" t="str">
        <f>IF(Agent08_Withdrawals!A95="","",Agent08_Withdrawals!G95)</f>
        <v/>
      </c>
      <c r="I1490" s="37" t="str">
        <f>IF(Agent08_Withdrawals!A95="","",Agent08_Withdrawals!H95)</f>
        <v/>
      </c>
      <c r="J1490" s="37" t="str">
        <f>IF(Agent08_Withdrawals!A95="","",Agent08_Withdrawals!J95)</f>
        <v/>
      </c>
      <c r="K1490" s="37" t="str">
        <f>IF(Agent08_Withdrawals!A95="","",Agent08_Withdrawals!K95)</f>
        <v/>
      </c>
      <c r="L1490" s="37" t="str">
        <f>IF(G1490="","",IF(D1490-G1490&gt;=System_Config!$B$9,"✅ OK","⚠️ BREACH"))</f>
        <v/>
      </c>
      <c r="M1490" s="37" t="str">
        <f>IFERROR(IF(Agent08_Withdrawals!A95="","",YEAR(Agent08_Withdrawals!D95)),"")</f>
        <v/>
      </c>
    </row>
    <row r="1491" spans="1:13" ht="18" customHeight="1" x14ac:dyDescent="0.25">
      <c r="A1491" s="37" t="str">
        <f>IF(Agent08_Withdrawals!A96="","",Agent08_Withdrawals!A96)</f>
        <v/>
      </c>
      <c r="B1491" s="37" t="str">
        <f ca="1">IF(Agent08_Withdrawals!A96="","","WD"&amp;TEXT(1491-3,"0000")&amp;"-"&amp;TEXT(TODAY(),"YYYYMMDD"))</f>
        <v/>
      </c>
      <c r="C1491" s="37" t="str">
        <f>IF(Agent08_Withdrawals!A96="","",Agent08_Withdrawals!B96)</f>
        <v/>
      </c>
      <c r="D1491" s="40" t="str">
        <f>IF(Agent08_Withdrawals!A96="","",Agent08_Withdrawals!C96)</f>
        <v/>
      </c>
      <c r="E1491" s="38" t="str">
        <f>IF(Agent08_Withdrawals!A96="","",Agent08_Withdrawals!D96)</f>
        <v/>
      </c>
      <c r="F1491" s="37" t="str">
        <f>IF(Agent08_Withdrawals!A96="","",Agent08_Withdrawals!F96)</f>
        <v/>
      </c>
      <c r="G1491" s="39" t="str">
        <f>IF(Agent08_Withdrawals!A96="","",Agent08_Withdrawals!E96)</f>
        <v/>
      </c>
      <c r="H1491" s="39" t="str">
        <f>IF(Agent08_Withdrawals!A96="","",Agent08_Withdrawals!G96)</f>
        <v/>
      </c>
      <c r="I1491" s="37" t="str">
        <f>IF(Agent08_Withdrawals!A96="","",Agent08_Withdrawals!H96)</f>
        <v/>
      </c>
      <c r="J1491" s="37" t="str">
        <f>IF(Agent08_Withdrawals!A96="","",Agent08_Withdrawals!J96)</f>
        <v/>
      </c>
      <c r="K1491" s="37" t="str">
        <f>IF(Agent08_Withdrawals!A96="","",Agent08_Withdrawals!K96)</f>
        <v/>
      </c>
      <c r="L1491" s="37" t="str">
        <f>IF(G1491="","",IF(D1491-G1491&gt;=System_Config!$B$9,"✅ OK","⚠️ BREACH"))</f>
        <v/>
      </c>
      <c r="M1491" s="37" t="str">
        <f>IFERROR(IF(Agent08_Withdrawals!A96="","",YEAR(Agent08_Withdrawals!D96)),"")</f>
        <v/>
      </c>
    </row>
    <row r="1492" spans="1:13" ht="18" customHeight="1" x14ac:dyDescent="0.25">
      <c r="A1492" s="37" t="str">
        <f>IF(Agent08_Withdrawals!A97="","",Agent08_Withdrawals!A97)</f>
        <v/>
      </c>
      <c r="B1492" s="37" t="str">
        <f ca="1">IF(Agent08_Withdrawals!A97="","","WD"&amp;TEXT(1492-3,"0000")&amp;"-"&amp;TEXT(TODAY(),"YYYYMMDD"))</f>
        <v/>
      </c>
      <c r="C1492" s="37" t="str">
        <f>IF(Agent08_Withdrawals!A97="","",Agent08_Withdrawals!B97)</f>
        <v/>
      </c>
      <c r="D1492" s="40" t="str">
        <f>IF(Agent08_Withdrawals!A97="","",Agent08_Withdrawals!C97)</f>
        <v/>
      </c>
      <c r="E1492" s="38" t="str">
        <f>IF(Agent08_Withdrawals!A97="","",Agent08_Withdrawals!D97)</f>
        <v/>
      </c>
      <c r="F1492" s="37" t="str">
        <f>IF(Agent08_Withdrawals!A97="","",Agent08_Withdrawals!F97)</f>
        <v/>
      </c>
      <c r="G1492" s="39" t="str">
        <f>IF(Agent08_Withdrawals!A97="","",Agent08_Withdrawals!E97)</f>
        <v/>
      </c>
      <c r="H1492" s="39" t="str">
        <f>IF(Agent08_Withdrawals!A97="","",Agent08_Withdrawals!G97)</f>
        <v/>
      </c>
      <c r="I1492" s="37" t="str">
        <f>IF(Agent08_Withdrawals!A97="","",Agent08_Withdrawals!H97)</f>
        <v/>
      </c>
      <c r="J1492" s="37" t="str">
        <f>IF(Agent08_Withdrawals!A97="","",Agent08_Withdrawals!J97)</f>
        <v/>
      </c>
      <c r="K1492" s="37" t="str">
        <f>IF(Agent08_Withdrawals!A97="","",Agent08_Withdrawals!K97)</f>
        <v/>
      </c>
      <c r="L1492" s="37" t="str">
        <f>IF(G1492="","",IF(D1492-G1492&gt;=System_Config!$B$9,"✅ OK","⚠️ BREACH"))</f>
        <v/>
      </c>
      <c r="M1492" s="37" t="str">
        <f>IFERROR(IF(Agent08_Withdrawals!A97="","",YEAR(Agent08_Withdrawals!D97)),"")</f>
        <v/>
      </c>
    </row>
    <row r="1493" spans="1:13" ht="18" customHeight="1" x14ac:dyDescent="0.25">
      <c r="A1493" s="37" t="str">
        <f>IF(Agent08_Withdrawals!A98="","",Agent08_Withdrawals!A98)</f>
        <v/>
      </c>
      <c r="B1493" s="37" t="str">
        <f ca="1">IF(Agent08_Withdrawals!A98="","","WD"&amp;TEXT(1493-3,"0000")&amp;"-"&amp;TEXT(TODAY(),"YYYYMMDD"))</f>
        <v/>
      </c>
      <c r="C1493" s="37" t="str">
        <f>IF(Agent08_Withdrawals!A98="","",Agent08_Withdrawals!B98)</f>
        <v/>
      </c>
      <c r="D1493" s="40" t="str">
        <f>IF(Agent08_Withdrawals!A98="","",Agent08_Withdrawals!C98)</f>
        <v/>
      </c>
      <c r="E1493" s="38" t="str">
        <f>IF(Agent08_Withdrawals!A98="","",Agent08_Withdrawals!D98)</f>
        <v/>
      </c>
      <c r="F1493" s="37" t="str">
        <f>IF(Agent08_Withdrawals!A98="","",Agent08_Withdrawals!F98)</f>
        <v/>
      </c>
      <c r="G1493" s="39" t="str">
        <f>IF(Agent08_Withdrawals!A98="","",Agent08_Withdrawals!E98)</f>
        <v/>
      </c>
      <c r="H1493" s="39" t="str">
        <f>IF(Agent08_Withdrawals!A98="","",Agent08_Withdrawals!G98)</f>
        <v/>
      </c>
      <c r="I1493" s="37" t="str">
        <f>IF(Agent08_Withdrawals!A98="","",Agent08_Withdrawals!H98)</f>
        <v/>
      </c>
      <c r="J1493" s="37" t="str">
        <f>IF(Agent08_Withdrawals!A98="","",Agent08_Withdrawals!J98)</f>
        <v/>
      </c>
      <c r="K1493" s="37" t="str">
        <f>IF(Agent08_Withdrawals!A98="","",Agent08_Withdrawals!K98)</f>
        <v/>
      </c>
      <c r="L1493" s="37" t="str">
        <f>IF(G1493="","",IF(D1493-G1493&gt;=System_Config!$B$9,"✅ OK","⚠️ BREACH"))</f>
        <v/>
      </c>
      <c r="M1493" s="37" t="str">
        <f>IFERROR(IF(Agent08_Withdrawals!A98="","",YEAR(Agent08_Withdrawals!D98)),"")</f>
        <v/>
      </c>
    </row>
    <row r="1494" spans="1:13" ht="18" customHeight="1" x14ac:dyDescent="0.25">
      <c r="A1494" s="37" t="str">
        <f>IF(Agent08_Withdrawals!A99="","",Agent08_Withdrawals!A99)</f>
        <v/>
      </c>
      <c r="B1494" s="37" t="str">
        <f ca="1">IF(Agent08_Withdrawals!A99="","","WD"&amp;TEXT(1494-3,"0000")&amp;"-"&amp;TEXT(TODAY(),"YYYYMMDD"))</f>
        <v/>
      </c>
      <c r="C1494" s="37" t="str">
        <f>IF(Agent08_Withdrawals!A99="","",Agent08_Withdrawals!B99)</f>
        <v/>
      </c>
      <c r="D1494" s="40" t="str">
        <f>IF(Agent08_Withdrawals!A99="","",Agent08_Withdrawals!C99)</f>
        <v/>
      </c>
      <c r="E1494" s="38" t="str">
        <f>IF(Agent08_Withdrawals!A99="","",Agent08_Withdrawals!D99)</f>
        <v/>
      </c>
      <c r="F1494" s="37" t="str">
        <f>IF(Agent08_Withdrawals!A99="","",Agent08_Withdrawals!F99)</f>
        <v/>
      </c>
      <c r="G1494" s="39" t="str">
        <f>IF(Agent08_Withdrawals!A99="","",Agent08_Withdrawals!E99)</f>
        <v/>
      </c>
      <c r="H1494" s="39" t="str">
        <f>IF(Agent08_Withdrawals!A99="","",Agent08_Withdrawals!G99)</f>
        <v/>
      </c>
      <c r="I1494" s="37" t="str">
        <f>IF(Agent08_Withdrawals!A99="","",Agent08_Withdrawals!H99)</f>
        <v/>
      </c>
      <c r="J1494" s="37" t="str">
        <f>IF(Agent08_Withdrawals!A99="","",Agent08_Withdrawals!J99)</f>
        <v/>
      </c>
      <c r="K1494" s="37" t="str">
        <f>IF(Agent08_Withdrawals!A99="","",Agent08_Withdrawals!K99)</f>
        <v/>
      </c>
      <c r="L1494" s="37" t="str">
        <f>IF(G1494="","",IF(D1494-G1494&gt;=System_Config!$B$9,"✅ OK","⚠️ BREACH"))</f>
        <v/>
      </c>
      <c r="M1494" s="37" t="str">
        <f>IFERROR(IF(Agent08_Withdrawals!A99="","",YEAR(Agent08_Withdrawals!D99)),"")</f>
        <v/>
      </c>
    </row>
    <row r="1495" spans="1:13" ht="18" customHeight="1" x14ac:dyDescent="0.25">
      <c r="A1495" s="37" t="str">
        <f>IF(Agent08_Withdrawals!A100="","",Agent08_Withdrawals!A100)</f>
        <v/>
      </c>
      <c r="B1495" s="37" t="str">
        <f ca="1">IF(Agent08_Withdrawals!A100="","","WD"&amp;TEXT(1495-3,"0000")&amp;"-"&amp;TEXT(TODAY(),"YYYYMMDD"))</f>
        <v/>
      </c>
      <c r="C1495" s="37" t="str">
        <f>IF(Agent08_Withdrawals!A100="","",Agent08_Withdrawals!B100)</f>
        <v/>
      </c>
      <c r="D1495" s="40" t="str">
        <f>IF(Agent08_Withdrawals!A100="","",Agent08_Withdrawals!C100)</f>
        <v/>
      </c>
      <c r="E1495" s="38" t="str">
        <f>IF(Agent08_Withdrawals!A100="","",Agent08_Withdrawals!D100)</f>
        <v/>
      </c>
      <c r="F1495" s="37" t="str">
        <f>IF(Agent08_Withdrawals!A100="","",Agent08_Withdrawals!F100)</f>
        <v/>
      </c>
      <c r="G1495" s="39" t="str">
        <f>IF(Agent08_Withdrawals!A100="","",Agent08_Withdrawals!E100)</f>
        <v/>
      </c>
      <c r="H1495" s="39" t="str">
        <f>IF(Agent08_Withdrawals!A100="","",Agent08_Withdrawals!G100)</f>
        <v/>
      </c>
      <c r="I1495" s="37" t="str">
        <f>IF(Agent08_Withdrawals!A100="","",Agent08_Withdrawals!H100)</f>
        <v/>
      </c>
      <c r="J1495" s="37" t="str">
        <f>IF(Agent08_Withdrawals!A100="","",Agent08_Withdrawals!J100)</f>
        <v/>
      </c>
      <c r="K1495" s="37" t="str">
        <f>IF(Agent08_Withdrawals!A100="","",Agent08_Withdrawals!K100)</f>
        <v/>
      </c>
      <c r="L1495" s="37" t="str">
        <f>IF(G1495="","",IF(D1495-G1495&gt;=System_Config!$B$9,"✅ OK","⚠️ BREACH"))</f>
        <v/>
      </c>
      <c r="M1495" s="37" t="str">
        <f>IFERROR(IF(Agent08_Withdrawals!A100="","",YEAR(Agent08_Withdrawals!D100)),"")</f>
        <v/>
      </c>
    </row>
    <row r="1496" spans="1:13" ht="18" customHeight="1" x14ac:dyDescent="0.25">
      <c r="A1496" s="37" t="str">
        <f>IF(Agent08_Withdrawals!A101="","",Agent08_Withdrawals!A101)</f>
        <v/>
      </c>
      <c r="B1496" s="37" t="str">
        <f ca="1">IF(Agent08_Withdrawals!A101="","","WD"&amp;TEXT(1496-3,"0000")&amp;"-"&amp;TEXT(TODAY(),"YYYYMMDD"))</f>
        <v/>
      </c>
      <c r="C1496" s="37" t="str">
        <f>IF(Agent08_Withdrawals!A101="","",Agent08_Withdrawals!B101)</f>
        <v/>
      </c>
      <c r="D1496" s="40" t="str">
        <f>IF(Agent08_Withdrawals!A101="","",Agent08_Withdrawals!C101)</f>
        <v/>
      </c>
      <c r="E1496" s="38" t="str">
        <f>IF(Agent08_Withdrawals!A101="","",Agent08_Withdrawals!D101)</f>
        <v/>
      </c>
      <c r="F1496" s="37" t="str">
        <f>IF(Agent08_Withdrawals!A101="","",Agent08_Withdrawals!F101)</f>
        <v/>
      </c>
      <c r="G1496" s="39" t="str">
        <f>IF(Agent08_Withdrawals!A101="","",Agent08_Withdrawals!E101)</f>
        <v/>
      </c>
      <c r="H1496" s="39" t="str">
        <f>IF(Agent08_Withdrawals!A101="","",Agent08_Withdrawals!G101)</f>
        <v/>
      </c>
      <c r="I1496" s="37" t="str">
        <f>IF(Agent08_Withdrawals!A101="","",Agent08_Withdrawals!H101)</f>
        <v/>
      </c>
      <c r="J1496" s="37" t="str">
        <f>IF(Agent08_Withdrawals!A101="","",Agent08_Withdrawals!J101)</f>
        <v/>
      </c>
      <c r="K1496" s="37" t="str">
        <f>IF(Agent08_Withdrawals!A101="","",Agent08_Withdrawals!K101)</f>
        <v/>
      </c>
      <c r="L1496" s="37" t="str">
        <f>IF(G1496="","",IF(D1496-G1496&gt;=System_Config!$B$9,"✅ OK","⚠️ BREACH"))</f>
        <v/>
      </c>
      <c r="M1496" s="37" t="str">
        <f>IFERROR(IF(Agent08_Withdrawals!A101="","",YEAR(Agent08_Withdrawals!D101)),"")</f>
        <v/>
      </c>
    </row>
    <row r="1497" spans="1:13" ht="18" customHeight="1" x14ac:dyDescent="0.25">
      <c r="A1497" s="37" t="str">
        <f>IF(Agent08_Withdrawals!A102="","",Agent08_Withdrawals!A102)</f>
        <v/>
      </c>
      <c r="B1497" s="37" t="str">
        <f ca="1">IF(Agent08_Withdrawals!A102="","","WD"&amp;TEXT(1497-3,"0000")&amp;"-"&amp;TEXT(TODAY(),"YYYYMMDD"))</f>
        <v/>
      </c>
      <c r="C1497" s="37" t="str">
        <f>IF(Agent08_Withdrawals!A102="","",Agent08_Withdrawals!B102)</f>
        <v/>
      </c>
      <c r="D1497" s="40" t="str">
        <f>IF(Agent08_Withdrawals!A102="","",Agent08_Withdrawals!C102)</f>
        <v/>
      </c>
      <c r="E1497" s="38" t="str">
        <f>IF(Agent08_Withdrawals!A102="","",Agent08_Withdrawals!D102)</f>
        <v/>
      </c>
      <c r="F1497" s="37" t="str">
        <f>IF(Agent08_Withdrawals!A102="","",Agent08_Withdrawals!F102)</f>
        <v/>
      </c>
      <c r="G1497" s="39" t="str">
        <f>IF(Agent08_Withdrawals!A102="","",Agent08_Withdrawals!E102)</f>
        <v/>
      </c>
      <c r="H1497" s="39" t="str">
        <f>IF(Agent08_Withdrawals!A102="","",Agent08_Withdrawals!G102)</f>
        <v/>
      </c>
      <c r="I1497" s="37" t="str">
        <f>IF(Agent08_Withdrawals!A102="","",Agent08_Withdrawals!H102)</f>
        <v/>
      </c>
      <c r="J1497" s="37" t="str">
        <f>IF(Agent08_Withdrawals!A102="","",Agent08_Withdrawals!J102)</f>
        <v/>
      </c>
      <c r="K1497" s="37" t="str">
        <f>IF(Agent08_Withdrawals!A102="","",Agent08_Withdrawals!K102)</f>
        <v/>
      </c>
      <c r="L1497" s="37" t="str">
        <f>IF(G1497="","",IF(D1497-G1497&gt;=System_Config!$B$9,"✅ OK","⚠️ BREACH"))</f>
        <v/>
      </c>
      <c r="M1497" s="37" t="str">
        <f>IFERROR(IF(Agent08_Withdrawals!A102="","",YEAR(Agent08_Withdrawals!D102)),"")</f>
        <v/>
      </c>
    </row>
    <row r="1498" spans="1:13" ht="18" customHeight="1" x14ac:dyDescent="0.25">
      <c r="A1498" s="37" t="str">
        <f>IF(Agent08_Withdrawals!A103="","",Agent08_Withdrawals!A103)</f>
        <v/>
      </c>
      <c r="B1498" s="37" t="str">
        <f ca="1">IF(Agent08_Withdrawals!A103="","","WD"&amp;TEXT(1498-3,"0000")&amp;"-"&amp;TEXT(TODAY(),"YYYYMMDD"))</f>
        <v/>
      </c>
      <c r="C1498" s="37" t="str">
        <f>IF(Agent08_Withdrawals!A103="","",Agent08_Withdrawals!B103)</f>
        <v/>
      </c>
      <c r="D1498" s="40" t="str">
        <f>IF(Agent08_Withdrawals!A103="","",Agent08_Withdrawals!C103)</f>
        <v/>
      </c>
      <c r="E1498" s="38" t="str">
        <f>IF(Agent08_Withdrawals!A103="","",Agent08_Withdrawals!D103)</f>
        <v/>
      </c>
      <c r="F1498" s="37" t="str">
        <f>IF(Agent08_Withdrawals!A103="","",Agent08_Withdrawals!F103)</f>
        <v/>
      </c>
      <c r="G1498" s="39" t="str">
        <f>IF(Agent08_Withdrawals!A103="","",Agent08_Withdrawals!E103)</f>
        <v/>
      </c>
      <c r="H1498" s="39" t="str">
        <f>IF(Agent08_Withdrawals!A103="","",Agent08_Withdrawals!G103)</f>
        <v/>
      </c>
      <c r="I1498" s="37" t="str">
        <f>IF(Agent08_Withdrawals!A103="","",Agent08_Withdrawals!H103)</f>
        <v/>
      </c>
      <c r="J1498" s="37" t="str">
        <f>IF(Agent08_Withdrawals!A103="","",Agent08_Withdrawals!J103)</f>
        <v/>
      </c>
      <c r="K1498" s="37" t="str">
        <f>IF(Agent08_Withdrawals!A103="","",Agent08_Withdrawals!K103)</f>
        <v/>
      </c>
      <c r="L1498" s="37" t="str">
        <f>IF(G1498="","",IF(D1498-G1498&gt;=System_Config!$B$9,"✅ OK","⚠️ BREACH"))</f>
        <v/>
      </c>
      <c r="M1498" s="37" t="str">
        <f>IFERROR(IF(Agent08_Withdrawals!A103="","",YEAR(Agent08_Withdrawals!D103)),"")</f>
        <v/>
      </c>
    </row>
    <row r="1499" spans="1:13" ht="18" customHeight="1" x14ac:dyDescent="0.25">
      <c r="A1499" s="37" t="str">
        <f>IF(Agent08_Withdrawals!A104="","",Agent08_Withdrawals!A104)</f>
        <v/>
      </c>
      <c r="B1499" s="37" t="str">
        <f ca="1">IF(Agent08_Withdrawals!A104="","","WD"&amp;TEXT(1499-3,"0000")&amp;"-"&amp;TEXT(TODAY(),"YYYYMMDD"))</f>
        <v/>
      </c>
      <c r="C1499" s="37" t="str">
        <f>IF(Agent08_Withdrawals!A104="","",Agent08_Withdrawals!B104)</f>
        <v/>
      </c>
      <c r="D1499" s="40" t="str">
        <f>IF(Agent08_Withdrawals!A104="","",Agent08_Withdrawals!C104)</f>
        <v/>
      </c>
      <c r="E1499" s="38" t="str">
        <f>IF(Agent08_Withdrawals!A104="","",Agent08_Withdrawals!D104)</f>
        <v/>
      </c>
      <c r="F1499" s="37" t="str">
        <f>IF(Agent08_Withdrawals!A104="","",Agent08_Withdrawals!F104)</f>
        <v/>
      </c>
      <c r="G1499" s="39" t="str">
        <f>IF(Agent08_Withdrawals!A104="","",Agent08_Withdrawals!E104)</f>
        <v/>
      </c>
      <c r="H1499" s="39" t="str">
        <f>IF(Agent08_Withdrawals!A104="","",Agent08_Withdrawals!G104)</f>
        <v/>
      </c>
      <c r="I1499" s="37" t="str">
        <f>IF(Agent08_Withdrawals!A104="","",Agent08_Withdrawals!H104)</f>
        <v/>
      </c>
      <c r="J1499" s="37" t="str">
        <f>IF(Agent08_Withdrawals!A104="","",Agent08_Withdrawals!J104)</f>
        <v/>
      </c>
      <c r="K1499" s="37" t="str">
        <f>IF(Agent08_Withdrawals!A104="","",Agent08_Withdrawals!K104)</f>
        <v/>
      </c>
      <c r="L1499" s="37" t="str">
        <f>IF(G1499="","",IF(D1499-G1499&gt;=System_Config!$B$9,"✅ OK","⚠️ BREACH"))</f>
        <v/>
      </c>
      <c r="M1499" s="37" t="str">
        <f>IFERROR(IF(Agent08_Withdrawals!A104="","",YEAR(Agent08_Withdrawals!D104)),"")</f>
        <v/>
      </c>
    </row>
    <row r="1500" spans="1:13" ht="18" customHeight="1" x14ac:dyDescent="0.25">
      <c r="A1500" s="37" t="str">
        <f>IF(Agent08_Withdrawals!A105="","",Agent08_Withdrawals!A105)</f>
        <v/>
      </c>
      <c r="B1500" s="37" t="str">
        <f ca="1">IF(Agent08_Withdrawals!A105="","","WD"&amp;TEXT(1500-3,"0000")&amp;"-"&amp;TEXT(TODAY(),"YYYYMMDD"))</f>
        <v/>
      </c>
      <c r="C1500" s="37" t="str">
        <f>IF(Agent08_Withdrawals!A105="","",Agent08_Withdrawals!B105)</f>
        <v/>
      </c>
      <c r="D1500" s="40" t="str">
        <f>IF(Agent08_Withdrawals!A105="","",Agent08_Withdrawals!C105)</f>
        <v/>
      </c>
      <c r="E1500" s="38" t="str">
        <f>IF(Agent08_Withdrawals!A105="","",Agent08_Withdrawals!D105)</f>
        <v/>
      </c>
      <c r="F1500" s="37" t="str">
        <f>IF(Agent08_Withdrawals!A105="","",Agent08_Withdrawals!F105)</f>
        <v/>
      </c>
      <c r="G1500" s="39" t="str">
        <f>IF(Agent08_Withdrawals!A105="","",Agent08_Withdrawals!E105)</f>
        <v/>
      </c>
      <c r="H1500" s="39" t="str">
        <f>IF(Agent08_Withdrawals!A105="","",Agent08_Withdrawals!G105)</f>
        <v/>
      </c>
      <c r="I1500" s="37" t="str">
        <f>IF(Agent08_Withdrawals!A105="","",Agent08_Withdrawals!H105)</f>
        <v/>
      </c>
      <c r="J1500" s="37" t="str">
        <f>IF(Agent08_Withdrawals!A105="","",Agent08_Withdrawals!J105)</f>
        <v/>
      </c>
      <c r="K1500" s="37" t="str">
        <f>IF(Agent08_Withdrawals!A105="","",Agent08_Withdrawals!K105)</f>
        <v/>
      </c>
      <c r="L1500" s="37" t="str">
        <f>IF(G1500="","",IF(D1500-G1500&gt;=System_Config!$B$9,"✅ OK","⚠️ BREACH"))</f>
        <v/>
      </c>
      <c r="M1500" s="37" t="str">
        <f>IFERROR(IF(Agent08_Withdrawals!A105="","",YEAR(Agent08_Withdrawals!D105)),"")</f>
        <v/>
      </c>
    </row>
    <row r="1501" spans="1:13" ht="18" customHeight="1" x14ac:dyDescent="0.25">
      <c r="A1501" s="37" t="str">
        <f>IF(Agent08_Withdrawals!A106="","",Agent08_Withdrawals!A106)</f>
        <v/>
      </c>
      <c r="B1501" s="37" t="str">
        <f ca="1">IF(Agent08_Withdrawals!A106="","","WD"&amp;TEXT(1501-3,"0000")&amp;"-"&amp;TEXT(TODAY(),"YYYYMMDD"))</f>
        <v/>
      </c>
      <c r="C1501" s="37" t="str">
        <f>IF(Agent08_Withdrawals!A106="","",Agent08_Withdrawals!B106)</f>
        <v/>
      </c>
      <c r="D1501" s="40" t="str">
        <f>IF(Agent08_Withdrawals!A106="","",Agent08_Withdrawals!C106)</f>
        <v/>
      </c>
      <c r="E1501" s="38" t="str">
        <f>IF(Agent08_Withdrawals!A106="","",Agent08_Withdrawals!D106)</f>
        <v/>
      </c>
      <c r="F1501" s="37" t="str">
        <f>IF(Agent08_Withdrawals!A106="","",Agent08_Withdrawals!F106)</f>
        <v/>
      </c>
      <c r="G1501" s="39" t="str">
        <f>IF(Agent08_Withdrawals!A106="","",Agent08_Withdrawals!E106)</f>
        <v/>
      </c>
      <c r="H1501" s="39" t="str">
        <f>IF(Agent08_Withdrawals!A106="","",Agent08_Withdrawals!G106)</f>
        <v/>
      </c>
      <c r="I1501" s="37" t="str">
        <f>IF(Agent08_Withdrawals!A106="","",Agent08_Withdrawals!H106)</f>
        <v/>
      </c>
      <c r="J1501" s="37" t="str">
        <f>IF(Agent08_Withdrawals!A106="","",Agent08_Withdrawals!J106)</f>
        <v/>
      </c>
      <c r="K1501" s="37" t="str">
        <f>IF(Agent08_Withdrawals!A106="","",Agent08_Withdrawals!K106)</f>
        <v/>
      </c>
      <c r="L1501" s="37" t="str">
        <f>IF(G1501="","",IF(D1501-G1501&gt;=System_Config!$B$9,"✅ OK","⚠️ BREACH"))</f>
        <v/>
      </c>
      <c r="M1501" s="37" t="str">
        <f>IFERROR(IF(Agent08_Withdrawals!A106="","",YEAR(Agent08_Withdrawals!D106)),"")</f>
        <v/>
      </c>
    </row>
    <row r="1502" spans="1:13" ht="18" customHeight="1" x14ac:dyDescent="0.25">
      <c r="A1502" s="37" t="str">
        <f>IF(Agent08_Withdrawals!A107="","",Agent08_Withdrawals!A107)</f>
        <v/>
      </c>
      <c r="B1502" s="37" t="str">
        <f ca="1">IF(Agent08_Withdrawals!A107="","","WD"&amp;TEXT(1502-3,"0000")&amp;"-"&amp;TEXT(TODAY(),"YYYYMMDD"))</f>
        <v/>
      </c>
      <c r="C1502" s="37" t="str">
        <f>IF(Agent08_Withdrawals!A107="","",Agent08_Withdrawals!B107)</f>
        <v/>
      </c>
      <c r="D1502" s="40" t="str">
        <f>IF(Agent08_Withdrawals!A107="","",Agent08_Withdrawals!C107)</f>
        <v/>
      </c>
      <c r="E1502" s="38" t="str">
        <f>IF(Agent08_Withdrawals!A107="","",Agent08_Withdrawals!D107)</f>
        <v/>
      </c>
      <c r="F1502" s="37" t="str">
        <f>IF(Agent08_Withdrawals!A107="","",Agent08_Withdrawals!F107)</f>
        <v/>
      </c>
      <c r="G1502" s="39" t="str">
        <f>IF(Agent08_Withdrawals!A107="","",Agent08_Withdrawals!E107)</f>
        <v/>
      </c>
      <c r="H1502" s="39" t="str">
        <f>IF(Agent08_Withdrawals!A107="","",Agent08_Withdrawals!G107)</f>
        <v/>
      </c>
      <c r="I1502" s="37" t="str">
        <f>IF(Agent08_Withdrawals!A107="","",Agent08_Withdrawals!H107)</f>
        <v/>
      </c>
      <c r="J1502" s="37" t="str">
        <f>IF(Agent08_Withdrawals!A107="","",Agent08_Withdrawals!J107)</f>
        <v/>
      </c>
      <c r="K1502" s="37" t="str">
        <f>IF(Agent08_Withdrawals!A107="","",Agent08_Withdrawals!K107)</f>
        <v/>
      </c>
      <c r="L1502" s="37" t="str">
        <f>IF(G1502="","",IF(D1502-G1502&gt;=System_Config!$B$9,"✅ OK","⚠️ BREACH"))</f>
        <v/>
      </c>
      <c r="M1502" s="37" t="str">
        <f>IFERROR(IF(Agent08_Withdrawals!A107="","",YEAR(Agent08_Withdrawals!D107)),"")</f>
        <v/>
      </c>
    </row>
    <row r="1503" spans="1:13" ht="18" customHeight="1" x14ac:dyDescent="0.25">
      <c r="A1503" s="37" t="str">
        <f>IF(Agent08_Withdrawals!A108="","",Agent08_Withdrawals!A108)</f>
        <v/>
      </c>
      <c r="B1503" s="37" t="str">
        <f ca="1">IF(Agent08_Withdrawals!A108="","","WD"&amp;TEXT(1503-3,"0000")&amp;"-"&amp;TEXT(TODAY(),"YYYYMMDD"))</f>
        <v/>
      </c>
      <c r="C1503" s="37" t="str">
        <f>IF(Agent08_Withdrawals!A108="","",Agent08_Withdrawals!B108)</f>
        <v/>
      </c>
      <c r="D1503" s="40" t="str">
        <f>IF(Agent08_Withdrawals!A108="","",Agent08_Withdrawals!C108)</f>
        <v/>
      </c>
      <c r="E1503" s="38" t="str">
        <f>IF(Agent08_Withdrawals!A108="","",Agent08_Withdrawals!D108)</f>
        <v/>
      </c>
      <c r="F1503" s="37" t="str">
        <f>IF(Agent08_Withdrawals!A108="","",Agent08_Withdrawals!F108)</f>
        <v/>
      </c>
      <c r="G1503" s="39" t="str">
        <f>IF(Agent08_Withdrawals!A108="","",Agent08_Withdrawals!E108)</f>
        <v/>
      </c>
      <c r="H1503" s="39" t="str">
        <f>IF(Agent08_Withdrawals!A108="","",Agent08_Withdrawals!G108)</f>
        <v/>
      </c>
      <c r="I1503" s="37" t="str">
        <f>IF(Agent08_Withdrawals!A108="","",Agent08_Withdrawals!H108)</f>
        <v/>
      </c>
      <c r="J1503" s="37" t="str">
        <f>IF(Agent08_Withdrawals!A108="","",Agent08_Withdrawals!J108)</f>
        <v/>
      </c>
      <c r="K1503" s="37" t="str">
        <f>IF(Agent08_Withdrawals!A108="","",Agent08_Withdrawals!K108)</f>
        <v/>
      </c>
      <c r="L1503" s="37" t="str">
        <f>IF(G1503="","",IF(D1503-G1503&gt;=System_Config!$B$9,"✅ OK","⚠️ BREACH"))</f>
        <v/>
      </c>
      <c r="M1503" s="37" t="str">
        <f>IFERROR(IF(Agent08_Withdrawals!A108="","",YEAR(Agent08_Withdrawals!D108)),"")</f>
        <v/>
      </c>
    </row>
    <row r="1504" spans="1:13" ht="18" customHeight="1" x14ac:dyDescent="0.25">
      <c r="A1504" s="37" t="str">
        <f>IF(Agent08_Withdrawals!A109="","",Agent08_Withdrawals!A109)</f>
        <v/>
      </c>
      <c r="B1504" s="37" t="str">
        <f ca="1">IF(Agent08_Withdrawals!A109="","","WD"&amp;TEXT(1504-3,"0000")&amp;"-"&amp;TEXT(TODAY(),"YYYYMMDD"))</f>
        <v/>
      </c>
      <c r="C1504" s="37" t="str">
        <f>IF(Agent08_Withdrawals!A109="","",Agent08_Withdrawals!B109)</f>
        <v/>
      </c>
      <c r="D1504" s="40" t="str">
        <f>IF(Agent08_Withdrawals!A109="","",Agent08_Withdrawals!C109)</f>
        <v/>
      </c>
      <c r="E1504" s="38" t="str">
        <f>IF(Agent08_Withdrawals!A109="","",Agent08_Withdrawals!D109)</f>
        <v/>
      </c>
      <c r="F1504" s="37" t="str">
        <f>IF(Agent08_Withdrawals!A109="","",Agent08_Withdrawals!F109)</f>
        <v/>
      </c>
      <c r="G1504" s="39" t="str">
        <f>IF(Agent08_Withdrawals!A109="","",Agent08_Withdrawals!E109)</f>
        <v/>
      </c>
      <c r="H1504" s="39" t="str">
        <f>IF(Agent08_Withdrawals!A109="","",Agent08_Withdrawals!G109)</f>
        <v/>
      </c>
      <c r="I1504" s="37" t="str">
        <f>IF(Agent08_Withdrawals!A109="","",Agent08_Withdrawals!H109)</f>
        <v/>
      </c>
      <c r="J1504" s="37" t="str">
        <f>IF(Agent08_Withdrawals!A109="","",Agent08_Withdrawals!J109)</f>
        <v/>
      </c>
      <c r="K1504" s="37" t="str">
        <f>IF(Agent08_Withdrawals!A109="","",Agent08_Withdrawals!K109)</f>
        <v/>
      </c>
      <c r="L1504" s="37" t="str">
        <f>IF(G1504="","",IF(D1504-G1504&gt;=System_Config!$B$9,"✅ OK","⚠️ BREACH"))</f>
        <v/>
      </c>
      <c r="M1504" s="37" t="str">
        <f>IFERROR(IF(Agent08_Withdrawals!A109="","",YEAR(Agent08_Withdrawals!D109)),"")</f>
        <v/>
      </c>
    </row>
    <row r="1505" spans="1:13" ht="18" customHeight="1" x14ac:dyDescent="0.25">
      <c r="A1505" s="37" t="str">
        <f>IF(Agent08_Withdrawals!A110="","",Agent08_Withdrawals!A110)</f>
        <v/>
      </c>
      <c r="B1505" s="37" t="str">
        <f ca="1">IF(Agent08_Withdrawals!A110="","","WD"&amp;TEXT(1505-3,"0000")&amp;"-"&amp;TEXT(TODAY(),"YYYYMMDD"))</f>
        <v/>
      </c>
      <c r="C1505" s="37" t="str">
        <f>IF(Agent08_Withdrawals!A110="","",Agent08_Withdrawals!B110)</f>
        <v/>
      </c>
      <c r="D1505" s="40" t="str">
        <f>IF(Agent08_Withdrawals!A110="","",Agent08_Withdrawals!C110)</f>
        <v/>
      </c>
      <c r="E1505" s="38" t="str">
        <f>IF(Agent08_Withdrawals!A110="","",Agent08_Withdrawals!D110)</f>
        <v/>
      </c>
      <c r="F1505" s="37" t="str">
        <f>IF(Agent08_Withdrawals!A110="","",Agent08_Withdrawals!F110)</f>
        <v/>
      </c>
      <c r="G1505" s="39" t="str">
        <f>IF(Agent08_Withdrawals!A110="","",Agent08_Withdrawals!E110)</f>
        <v/>
      </c>
      <c r="H1505" s="39" t="str">
        <f>IF(Agent08_Withdrawals!A110="","",Agent08_Withdrawals!G110)</f>
        <v/>
      </c>
      <c r="I1505" s="37" t="str">
        <f>IF(Agent08_Withdrawals!A110="","",Agent08_Withdrawals!H110)</f>
        <v/>
      </c>
      <c r="J1505" s="37" t="str">
        <f>IF(Agent08_Withdrawals!A110="","",Agent08_Withdrawals!J110)</f>
        <v/>
      </c>
      <c r="K1505" s="37" t="str">
        <f>IF(Agent08_Withdrawals!A110="","",Agent08_Withdrawals!K110)</f>
        <v/>
      </c>
      <c r="L1505" s="37" t="str">
        <f>IF(G1505="","",IF(D1505-G1505&gt;=System_Config!$B$9,"✅ OK","⚠️ BREACH"))</f>
        <v/>
      </c>
      <c r="M1505" s="37" t="str">
        <f>IFERROR(IF(Agent08_Withdrawals!A110="","",YEAR(Agent08_Withdrawals!D110)),"")</f>
        <v/>
      </c>
    </row>
    <row r="1506" spans="1:13" ht="18" customHeight="1" x14ac:dyDescent="0.25">
      <c r="A1506" s="37" t="str">
        <f>IF(Agent08_Withdrawals!A111="","",Agent08_Withdrawals!A111)</f>
        <v/>
      </c>
      <c r="B1506" s="37" t="str">
        <f ca="1">IF(Agent08_Withdrawals!A111="","","WD"&amp;TEXT(1506-3,"0000")&amp;"-"&amp;TEXT(TODAY(),"YYYYMMDD"))</f>
        <v/>
      </c>
      <c r="C1506" s="37" t="str">
        <f>IF(Agent08_Withdrawals!A111="","",Agent08_Withdrawals!B111)</f>
        <v/>
      </c>
      <c r="D1506" s="40" t="str">
        <f>IF(Agent08_Withdrawals!A111="","",Agent08_Withdrawals!C111)</f>
        <v/>
      </c>
      <c r="E1506" s="38" t="str">
        <f>IF(Agent08_Withdrawals!A111="","",Agent08_Withdrawals!D111)</f>
        <v/>
      </c>
      <c r="F1506" s="37" t="str">
        <f>IF(Agent08_Withdrawals!A111="","",Agent08_Withdrawals!F111)</f>
        <v/>
      </c>
      <c r="G1506" s="39" t="str">
        <f>IF(Agent08_Withdrawals!A111="","",Agent08_Withdrawals!E111)</f>
        <v/>
      </c>
      <c r="H1506" s="39" t="str">
        <f>IF(Agent08_Withdrawals!A111="","",Agent08_Withdrawals!G111)</f>
        <v/>
      </c>
      <c r="I1506" s="37" t="str">
        <f>IF(Agent08_Withdrawals!A111="","",Agent08_Withdrawals!H111)</f>
        <v/>
      </c>
      <c r="J1506" s="37" t="str">
        <f>IF(Agent08_Withdrawals!A111="","",Agent08_Withdrawals!J111)</f>
        <v/>
      </c>
      <c r="K1506" s="37" t="str">
        <f>IF(Agent08_Withdrawals!A111="","",Agent08_Withdrawals!K111)</f>
        <v/>
      </c>
      <c r="L1506" s="37" t="str">
        <f>IF(G1506="","",IF(D1506-G1506&gt;=System_Config!$B$9,"✅ OK","⚠️ BREACH"))</f>
        <v/>
      </c>
      <c r="M1506" s="37" t="str">
        <f>IFERROR(IF(Agent08_Withdrawals!A111="","",YEAR(Agent08_Withdrawals!D111)),"")</f>
        <v/>
      </c>
    </row>
    <row r="1507" spans="1:13" ht="18" customHeight="1" x14ac:dyDescent="0.25">
      <c r="A1507" s="37" t="str">
        <f>IF(Agent08_Withdrawals!A112="","",Agent08_Withdrawals!A112)</f>
        <v/>
      </c>
      <c r="B1507" s="37" t="str">
        <f ca="1">IF(Agent08_Withdrawals!A112="","","WD"&amp;TEXT(1507-3,"0000")&amp;"-"&amp;TEXT(TODAY(),"YYYYMMDD"))</f>
        <v/>
      </c>
      <c r="C1507" s="37" t="str">
        <f>IF(Agent08_Withdrawals!A112="","",Agent08_Withdrawals!B112)</f>
        <v/>
      </c>
      <c r="D1507" s="40" t="str">
        <f>IF(Agent08_Withdrawals!A112="","",Agent08_Withdrawals!C112)</f>
        <v/>
      </c>
      <c r="E1507" s="38" t="str">
        <f>IF(Agent08_Withdrawals!A112="","",Agent08_Withdrawals!D112)</f>
        <v/>
      </c>
      <c r="F1507" s="37" t="str">
        <f>IF(Agent08_Withdrawals!A112="","",Agent08_Withdrawals!F112)</f>
        <v/>
      </c>
      <c r="G1507" s="39" t="str">
        <f>IF(Agent08_Withdrawals!A112="","",Agent08_Withdrawals!E112)</f>
        <v/>
      </c>
      <c r="H1507" s="39" t="str">
        <f>IF(Agent08_Withdrawals!A112="","",Agent08_Withdrawals!G112)</f>
        <v/>
      </c>
      <c r="I1507" s="37" t="str">
        <f>IF(Agent08_Withdrawals!A112="","",Agent08_Withdrawals!H112)</f>
        <v/>
      </c>
      <c r="J1507" s="37" t="str">
        <f>IF(Agent08_Withdrawals!A112="","",Agent08_Withdrawals!J112)</f>
        <v/>
      </c>
      <c r="K1507" s="37" t="str">
        <f>IF(Agent08_Withdrawals!A112="","",Agent08_Withdrawals!K112)</f>
        <v/>
      </c>
      <c r="L1507" s="37" t="str">
        <f>IF(G1507="","",IF(D1507-G1507&gt;=System_Config!$B$9,"✅ OK","⚠️ BREACH"))</f>
        <v/>
      </c>
      <c r="M1507" s="37" t="str">
        <f>IFERROR(IF(Agent08_Withdrawals!A112="","",YEAR(Agent08_Withdrawals!D112)),"")</f>
        <v/>
      </c>
    </row>
    <row r="1508" spans="1:13" ht="18" customHeight="1" x14ac:dyDescent="0.25">
      <c r="A1508" s="37" t="str">
        <f>IF(Agent08_Withdrawals!A113="","",Agent08_Withdrawals!A113)</f>
        <v/>
      </c>
      <c r="B1508" s="37" t="str">
        <f ca="1">IF(Agent08_Withdrawals!A113="","","WD"&amp;TEXT(1508-3,"0000")&amp;"-"&amp;TEXT(TODAY(),"YYYYMMDD"))</f>
        <v/>
      </c>
      <c r="C1508" s="37" t="str">
        <f>IF(Agent08_Withdrawals!A113="","",Agent08_Withdrawals!B113)</f>
        <v/>
      </c>
      <c r="D1508" s="40" t="str">
        <f>IF(Agent08_Withdrawals!A113="","",Agent08_Withdrawals!C113)</f>
        <v/>
      </c>
      <c r="E1508" s="38" t="str">
        <f>IF(Agent08_Withdrawals!A113="","",Agent08_Withdrawals!D113)</f>
        <v/>
      </c>
      <c r="F1508" s="37" t="str">
        <f>IF(Agent08_Withdrawals!A113="","",Agent08_Withdrawals!F113)</f>
        <v/>
      </c>
      <c r="G1508" s="39" t="str">
        <f>IF(Agent08_Withdrawals!A113="","",Agent08_Withdrawals!E113)</f>
        <v/>
      </c>
      <c r="H1508" s="39" t="str">
        <f>IF(Agent08_Withdrawals!A113="","",Agent08_Withdrawals!G113)</f>
        <v/>
      </c>
      <c r="I1508" s="37" t="str">
        <f>IF(Agent08_Withdrawals!A113="","",Agent08_Withdrawals!H113)</f>
        <v/>
      </c>
      <c r="J1508" s="37" t="str">
        <f>IF(Agent08_Withdrawals!A113="","",Agent08_Withdrawals!J113)</f>
        <v/>
      </c>
      <c r="K1508" s="37" t="str">
        <f>IF(Agent08_Withdrawals!A113="","",Agent08_Withdrawals!K113)</f>
        <v/>
      </c>
      <c r="L1508" s="37" t="str">
        <f>IF(G1508="","",IF(D1508-G1508&gt;=System_Config!$B$9,"✅ OK","⚠️ BREACH"))</f>
        <v/>
      </c>
      <c r="M1508" s="37" t="str">
        <f>IFERROR(IF(Agent08_Withdrawals!A113="","",YEAR(Agent08_Withdrawals!D113)),"")</f>
        <v/>
      </c>
    </row>
    <row r="1509" spans="1:13" ht="18" customHeight="1" x14ac:dyDescent="0.25">
      <c r="A1509" s="37" t="str">
        <f>IF(Agent08_Withdrawals!A114="","",Agent08_Withdrawals!A114)</f>
        <v/>
      </c>
      <c r="B1509" s="37" t="str">
        <f ca="1">IF(Agent08_Withdrawals!A114="","","WD"&amp;TEXT(1509-3,"0000")&amp;"-"&amp;TEXT(TODAY(),"YYYYMMDD"))</f>
        <v/>
      </c>
      <c r="C1509" s="37" t="str">
        <f>IF(Agent08_Withdrawals!A114="","",Agent08_Withdrawals!B114)</f>
        <v/>
      </c>
      <c r="D1509" s="40" t="str">
        <f>IF(Agent08_Withdrawals!A114="","",Agent08_Withdrawals!C114)</f>
        <v/>
      </c>
      <c r="E1509" s="38" t="str">
        <f>IF(Agent08_Withdrawals!A114="","",Agent08_Withdrawals!D114)</f>
        <v/>
      </c>
      <c r="F1509" s="37" t="str">
        <f>IF(Agent08_Withdrawals!A114="","",Agent08_Withdrawals!F114)</f>
        <v/>
      </c>
      <c r="G1509" s="39" t="str">
        <f>IF(Agent08_Withdrawals!A114="","",Agent08_Withdrawals!E114)</f>
        <v/>
      </c>
      <c r="H1509" s="39" t="str">
        <f>IF(Agent08_Withdrawals!A114="","",Agent08_Withdrawals!G114)</f>
        <v/>
      </c>
      <c r="I1509" s="37" t="str">
        <f>IF(Agent08_Withdrawals!A114="","",Agent08_Withdrawals!H114)</f>
        <v/>
      </c>
      <c r="J1509" s="37" t="str">
        <f>IF(Agent08_Withdrawals!A114="","",Agent08_Withdrawals!J114)</f>
        <v/>
      </c>
      <c r="K1509" s="37" t="str">
        <f>IF(Agent08_Withdrawals!A114="","",Agent08_Withdrawals!K114)</f>
        <v/>
      </c>
      <c r="L1509" s="37" t="str">
        <f>IF(G1509="","",IF(D1509-G1509&gt;=System_Config!$B$9,"✅ OK","⚠️ BREACH"))</f>
        <v/>
      </c>
      <c r="M1509" s="37" t="str">
        <f>IFERROR(IF(Agent08_Withdrawals!A114="","",YEAR(Agent08_Withdrawals!D114)),"")</f>
        <v/>
      </c>
    </row>
    <row r="1510" spans="1:13" ht="18" customHeight="1" x14ac:dyDescent="0.25">
      <c r="A1510" s="37" t="str">
        <f>IF(Agent08_Withdrawals!A115="","",Agent08_Withdrawals!A115)</f>
        <v/>
      </c>
      <c r="B1510" s="37" t="str">
        <f ca="1">IF(Agent08_Withdrawals!A115="","","WD"&amp;TEXT(1510-3,"0000")&amp;"-"&amp;TEXT(TODAY(),"YYYYMMDD"))</f>
        <v/>
      </c>
      <c r="C1510" s="37" t="str">
        <f>IF(Agent08_Withdrawals!A115="","",Agent08_Withdrawals!B115)</f>
        <v/>
      </c>
      <c r="D1510" s="40" t="str">
        <f>IF(Agent08_Withdrawals!A115="","",Agent08_Withdrawals!C115)</f>
        <v/>
      </c>
      <c r="E1510" s="38" t="str">
        <f>IF(Agent08_Withdrawals!A115="","",Agent08_Withdrawals!D115)</f>
        <v/>
      </c>
      <c r="F1510" s="37" t="str">
        <f>IF(Agent08_Withdrawals!A115="","",Agent08_Withdrawals!F115)</f>
        <v/>
      </c>
      <c r="G1510" s="39" t="str">
        <f>IF(Agent08_Withdrawals!A115="","",Agent08_Withdrawals!E115)</f>
        <v/>
      </c>
      <c r="H1510" s="39" t="str">
        <f>IF(Agent08_Withdrawals!A115="","",Agent08_Withdrawals!G115)</f>
        <v/>
      </c>
      <c r="I1510" s="37" t="str">
        <f>IF(Agent08_Withdrawals!A115="","",Agent08_Withdrawals!H115)</f>
        <v/>
      </c>
      <c r="J1510" s="37" t="str">
        <f>IF(Agent08_Withdrawals!A115="","",Agent08_Withdrawals!J115)</f>
        <v/>
      </c>
      <c r="K1510" s="37" t="str">
        <f>IF(Agent08_Withdrawals!A115="","",Agent08_Withdrawals!K115)</f>
        <v/>
      </c>
      <c r="L1510" s="37" t="str">
        <f>IF(G1510="","",IF(D1510-G1510&gt;=System_Config!$B$9,"✅ OK","⚠️ BREACH"))</f>
        <v/>
      </c>
      <c r="M1510" s="37" t="str">
        <f>IFERROR(IF(Agent08_Withdrawals!A115="","",YEAR(Agent08_Withdrawals!D115)),"")</f>
        <v/>
      </c>
    </row>
    <row r="1511" spans="1:13" ht="18" customHeight="1" x14ac:dyDescent="0.25">
      <c r="A1511" s="37" t="str">
        <f>IF(Agent08_Withdrawals!A116="","",Agent08_Withdrawals!A116)</f>
        <v/>
      </c>
      <c r="B1511" s="37" t="str">
        <f ca="1">IF(Agent08_Withdrawals!A116="","","WD"&amp;TEXT(1511-3,"0000")&amp;"-"&amp;TEXT(TODAY(),"YYYYMMDD"))</f>
        <v/>
      </c>
      <c r="C1511" s="37" t="str">
        <f>IF(Agent08_Withdrawals!A116="","",Agent08_Withdrawals!B116)</f>
        <v/>
      </c>
      <c r="D1511" s="40" t="str">
        <f>IF(Agent08_Withdrawals!A116="","",Agent08_Withdrawals!C116)</f>
        <v/>
      </c>
      <c r="E1511" s="38" t="str">
        <f>IF(Agent08_Withdrawals!A116="","",Agent08_Withdrawals!D116)</f>
        <v/>
      </c>
      <c r="F1511" s="37" t="str">
        <f>IF(Agent08_Withdrawals!A116="","",Agent08_Withdrawals!F116)</f>
        <v/>
      </c>
      <c r="G1511" s="39" t="str">
        <f>IF(Agent08_Withdrawals!A116="","",Agent08_Withdrawals!E116)</f>
        <v/>
      </c>
      <c r="H1511" s="39" t="str">
        <f>IF(Agent08_Withdrawals!A116="","",Agent08_Withdrawals!G116)</f>
        <v/>
      </c>
      <c r="I1511" s="37" t="str">
        <f>IF(Agent08_Withdrawals!A116="","",Agent08_Withdrawals!H116)</f>
        <v/>
      </c>
      <c r="J1511" s="37" t="str">
        <f>IF(Agent08_Withdrawals!A116="","",Agent08_Withdrawals!J116)</f>
        <v/>
      </c>
      <c r="K1511" s="37" t="str">
        <f>IF(Agent08_Withdrawals!A116="","",Agent08_Withdrawals!K116)</f>
        <v/>
      </c>
      <c r="L1511" s="37" t="str">
        <f>IF(G1511="","",IF(D1511-G1511&gt;=System_Config!$B$9,"✅ OK","⚠️ BREACH"))</f>
        <v/>
      </c>
      <c r="M1511" s="37" t="str">
        <f>IFERROR(IF(Agent08_Withdrawals!A116="","",YEAR(Agent08_Withdrawals!D116)),"")</f>
        <v/>
      </c>
    </row>
    <row r="1512" spans="1:13" ht="18" customHeight="1" x14ac:dyDescent="0.25">
      <c r="A1512" s="37" t="str">
        <f>IF(Agent08_Withdrawals!A117="","",Agent08_Withdrawals!A117)</f>
        <v/>
      </c>
      <c r="B1512" s="37" t="str">
        <f ca="1">IF(Agent08_Withdrawals!A117="","","WD"&amp;TEXT(1512-3,"0000")&amp;"-"&amp;TEXT(TODAY(),"YYYYMMDD"))</f>
        <v/>
      </c>
      <c r="C1512" s="37" t="str">
        <f>IF(Agent08_Withdrawals!A117="","",Agent08_Withdrawals!B117)</f>
        <v/>
      </c>
      <c r="D1512" s="40" t="str">
        <f>IF(Agent08_Withdrawals!A117="","",Agent08_Withdrawals!C117)</f>
        <v/>
      </c>
      <c r="E1512" s="38" t="str">
        <f>IF(Agent08_Withdrawals!A117="","",Agent08_Withdrawals!D117)</f>
        <v/>
      </c>
      <c r="F1512" s="37" t="str">
        <f>IF(Agent08_Withdrawals!A117="","",Agent08_Withdrawals!F117)</f>
        <v/>
      </c>
      <c r="G1512" s="39" t="str">
        <f>IF(Agent08_Withdrawals!A117="","",Agent08_Withdrawals!E117)</f>
        <v/>
      </c>
      <c r="H1512" s="39" t="str">
        <f>IF(Agent08_Withdrawals!A117="","",Agent08_Withdrawals!G117)</f>
        <v/>
      </c>
      <c r="I1512" s="37" t="str">
        <f>IF(Agent08_Withdrawals!A117="","",Agent08_Withdrawals!H117)</f>
        <v/>
      </c>
      <c r="J1512" s="37" t="str">
        <f>IF(Agent08_Withdrawals!A117="","",Agent08_Withdrawals!J117)</f>
        <v/>
      </c>
      <c r="K1512" s="37" t="str">
        <f>IF(Agent08_Withdrawals!A117="","",Agent08_Withdrawals!K117)</f>
        <v/>
      </c>
      <c r="L1512" s="37" t="str">
        <f>IF(G1512="","",IF(D1512-G1512&gt;=System_Config!$B$9,"✅ OK","⚠️ BREACH"))</f>
        <v/>
      </c>
      <c r="M1512" s="37" t="str">
        <f>IFERROR(IF(Agent08_Withdrawals!A117="","",YEAR(Agent08_Withdrawals!D117)),"")</f>
        <v/>
      </c>
    </row>
    <row r="1513" spans="1:13" ht="18" customHeight="1" x14ac:dyDescent="0.25">
      <c r="A1513" s="37" t="str">
        <f>IF(Agent08_Withdrawals!A118="","",Agent08_Withdrawals!A118)</f>
        <v/>
      </c>
      <c r="B1513" s="37" t="str">
        <f ca="1">IF(Agent08_Withdrawals!A118="","","WD"&amp;TEXT(1513-3,"0000")&amp;"-"&amp;TEXT(TODAY(),"YYYYMMDD"))</f>
        <v/>
      </c>
      <c r="C1513" s="37" t="str">
        <f>IF(Agent08_Withdrawals!A118="","",Agent08_Withdrawals!B118)</f>
        <v/>
      </c>
      <c r="D1513" s="40" t="str">
        <f>IF(Agent08_Withdrawals!A118="","",Agent08_Withdrawals!C118)</f>
        <v/>
      </c>
      <c r="E1513" s="38" t="str">
        <f>IF(Agent08_Withdrawals!A118="","",Agent08_Withdrawals!D118)</f>
        <v/>
      </c>
      <c r="F1513" s="37" t="str">
        <f>IF(Agent08_Withdrawals!A118="","",Agent08_Withdrawals!F118)</f>
        <v/>
      </c>
      <c r="G1513" s="39" t="str">
        <f>IF(Agent08_Withdrawals!A118="","",Agent08_Withdrawals!E118)</f>
        <v/>
      </c>
      <c r="H1513" s="39" t="str">
        <f>IF(Agent08_Withdrawals!A118="","",Agent08_Withdrawals!G118)</f>
        <v/>
      </c>
      <c r="I1513" s="37" t="str">
        <f>IF(Agent08_Withdrawals!A118="","",Agent08_Withdrawals!H118)</f>
        <v/>
      </c>
      <c r="J1513" s="37" t="str">
        <f>IF(Agent08_Withdrawals!A118="","",Agent08_Withdrawals!J118)</f>
        <v/>
      </c>
      <c r="K1513" s="37" t="str">
        <f>IF(Agent08_Withdrawals!A118="","",Agent08_Withdrawals!K118)</f>
        <v/>
      </c>
      <c r="L1513" s="37" t="str">
        <f>IF(G1513="","",IF(D1513-G1513&gt;=System_Config!$B$9,"✅ OK","⚠️ BREACH"))</f>
        <v/>
      </c>
      <c r="M1513" s="37" t="str">
        <f>IFERROR(IF(Agent08_Withdrawals!A118="","",YEAR(Agent08_Withdrawals!D118)),"")</f>
        <v/>
      </c>
    </row>
    <row r="1514" spans="1:13" ht="18" customHeight="1" x14ac:dyDescent="0.25">
      <c r="A1514" s="37" t="str">
        <f>IF(Agent08_Withdrawals!A119="","",Agent08_Withdrawals!A119)</f>
        <v/>
      </c>
      <c r="B1514" s="37" t="str">
        <f ca="1">IF(Agent08_Withdrawals!A119="","","WD"&amp;TEXT(1514-3,"0000")&amp;"-"&amp;TEXT(TODAY(),"YYYYMMDD"))</f>
        <v/>
      </c>
      <c r="C1514" s="37" t="str">
        <f>IF(Agent08_Withdrawals!A119="","",Agent08_Withdrawals!B119)</f>
        <v/>
      </c>
      <c r="D1514" s="40" t="str">
        <f>IF(Agent08_Withdrawals!A119="","",Agent08_Withdrawals!C119)</f>
        <v/>
      </c>
      <c r="E1514" s="38" t="str">
        <f>IF(Agent08_Withdrawals!A119="","",Agent08_Withdrawals!D119)</f>
        <v/>
      </c>
      <c r="F1514" s="37" t="str">
        <f>IF(Agent08_Withdrawals!A119="","",Agent08_Withdrawals!F119)</f>
        <v/>
      </c>
      <c r="G1514" s="39" t="str">
        <f>IF(Agent08_Withdrawals!A119="","",Agent08_Withdrawals!E119)</f>
        <v/>
      </c>
      <c r="H1514" s="39" t="str">
        <f>IF(Agent08_Withdrawals!A119="","",Agent08_Withdrawals!G119)</f>
        <v/>
      </c>
      <c r="I1514" s="37" t="str">
        <f>IF(Agent08_Withdrawals!A119="","",Agent08_Withdrawals!H119)</f>
        <v/>
      </c>
      <c r="J1514" s="37" t="str">
        <f>IF(Agent08_Withdrawals!A119="","",Agent08_Withdrawals!J119)</f>
        <v/>
      </c>
      <c r="K1514" s="37" t="str">
        <f>IF(Agent08_Withdrawals!A119="","",Agent08_Withdrawals!K119)</f>
        <v/>
      </c>
      <c r="L1514" s="37" t="str">
        <f>IF(G1514="","",IF(D1514-G1514&gt;=System_Config!$B$9,"✅ OK","⚠️ BREACH"))</f>
        <v/>
      </c>
      <c r="M1514" s="37" t="str">
        <f>IFERROR(IF(Agent08_Withdrawals!A119="","",YEAR(Agent08_Withdrawals!D119)),"")</f>
        <v/>
      </c>
    </row>
    <row r="1515" spans="1:13" ht="18" customHeight="1" x14ac:dyDescent="0.25">
      <c r="A1515" s="37" t="str">
        <f>IF(Agent08_Withdrawals!A120="","",Agent08_Withdrawals!A120)</f>
        <v/>
      </c>
      <c r="B1515" s="37" t="str">
        <f ca="1">IF(Agent08_Withdrawals!A120="","","WD"&amp;TEXT(1515-3,"0000")&amp;"-"&amp;TEXT(TODAY(),"YYYYMMDD"))</f>
        <v/>
      </c>
      <c r="C1515" s="37" t="str">
        <f>IF(Agent08_Withdrawals!A120="","",Agent08_Withdrawals!B120)</f>
        <v/>
      </c>
      <c r="D1515" s="40" t="str">
        <f>IF(Agent08_Withdrawals!A120="","",Agent08_Withdrawals!C120)</f>
        <v/>
      </c>
      <c r="E1515" s="38" t="str">
        <f>IF(Agent08_Withdrawals!A120="","",Agent08_Withdrawals!D120)</f>
        <v/>
      </c>
      <c r="F1515" s="37" t="str">
        <f>IF(Agent08_Withdrawals!A120="","",Agent08_Withdrawals!F120)</f>
        <v/>
      </c>
      <c r="G1515" s="39" t="str">
        <f>IF(Agent08_Withdrawals!A120="","",Agent08_Withdrawals!E120)</f>
        <v/>
      </c>
      <c r="H1515" s="39" t="str">
        <f>IF(Agent08_Withdrawals!A120="","",Agent08_Withdrawals!G120)</f>
        <v/>
      </c>
      <c r="I1515" s="37" t="str">
        <f>IF(Agent08_Withdrawals!A120="","",Agent08_Withdrawals!H120)</f>
        <v/>
      </c>
      <c r="J1515" s="37" t="str">
        <f>IF(Agent08_Withdrawals!A120="","",Agent08_Withdrawals!J120)</f>
        <v/>
      </c>
      <c r="K1515" s="37" t="str">
        <f>IF(Agent08_Withdrawals!A120="","",Agent08_Withdrawals!K120)</f>
        <v/>
      </c>
      <c r="L1515" s="37" t="str">
        <f>IF(G1515="","",IF(D1515-G1515&gt;=System_Config!$B$9,"✅ OK","⚠️ BREACH"))</f>
        <v/>
      </c>
      <c r="M1515" s="37" t="str">
        <f>IFERROR(IF(Agent08_Withdrawals!A120="","",YEAR(Agent08_Withdrawals!D120)),"")</f>
        <v/>
      </c>
    </row>
    <row r="1516" spans="1:13" ht="18" customHeight="1" x14ac:dyDescent="0.25">
      <c r="A1516" s="37" t="str">
        <f>IF(Agent08_Withdrawals!A121="","",Agent08_Withdrawals!A121)</f>
        <v/>
      </c>
      <c r="B1516" s="37" t="str">
        <f ca="1">IF(Agent08_Withdrawals!A121="","","WD"&amp;TEXT(1516-3,"0000")&amp;"-"&amp;TEXT(TODAY(),"YYYYMMDD"))</f>
        <v/>
      </c>
      <c r="C1516" s="37" t="str">
        <f>IF(Agent08_Withdrawals!A121="","",Agent08_Withdrawals!B121)</f>
        <v/>
      </c>
      <c r="D1516" s="40" t="str">
        <f>IF(Agent08_Withdrawals!A121="","",Agent08_Withdrawals!C121)</f>
        <v/>
      </c>
      <c r="E1516" s="38" t="str">
        <f>IF(Agent08_Withdrawals!A121="","",Agent08_Withdrawals!D121)</f>
        <v/>
      </c>
      <c r="F1516" s="37" t="str">
        <f>IF(Agent08_Withdrawals!A121="","",Agent08_Withdrawals!F121)</f>
        <v/>
      </c>
      <c r="G1516" s="39" t="str">
        <f>IF(Agent08_Withdrawals!A121="","",Agent08_Withdrawals!E121)</f>
        <v/>
      </c>
      <c r="H1516" s="39" t="str">
        <f>IF(Agent08_Withdrawals!A121="","",Agent08_Withdrawals!G121)</f>
        <v/>
      </c>
      <c r="I1516" s="37" t="str">
        <f>IF(Agent08_Withdrawals!A121="","",Agent08_Withdrawals!H121)</f>
        <v/>
      </c>
      <c r="J1516" s="37" t="str">
        <f>IF(Agent08_Withdrawals!A121="","",Agent08_Withdrawals!J121)</f>
        <v/>
      </c>
      <c r="K1516" s="37" t="str">
        <f>IF(Agent08_Withdrawals!A121="","",Agent08_Withdrawals!K121)</f>
        <v/>
      </c>
      <c r="L1516" s="37" t="str">
        <f>IF(G1516="","",IF(D1516-G1516&gt;=System_Config!$B$9,"✅ OK","⚠️ BREACH"))</f>
        <v/>
      </c>
      <c r="M1516" s="37" t="str">
        <f>IFERROR(IF(Agent08_Withdrawals!A121="","",YEAR(Agent08_Withdrawals!D121)),"")</f>
        <v/>
      </c>
    </row>
    <row r="1517" spans="1:13" ht="18" customHeight="1" x14ac:dyDescent="0.25">
      <c r="A1517" s="37" t="str">
        <f>IF(Agent08_Withdrawals!A122="","",Agent08_Withdrawals!A122)</f>
        <v/>
      </c>
      <c r="B1517" s="37" t="str">
        <f ca="1">IF(Agent08_Withdrawals!A122="","","WD"&amp;TEXT(1517-3,"0000")&amp;"-"&amp;TEXT(TODAY(),"YYYYMMDD"))</f>
        <v/>
      </c>
      <c r="C1517" s="37" t="str">
        <f>IF(Agent08_Withdrawals!A122="","",Agent08_Withdrawals!B122)</f>
        <v/>
      </c>
      <c r="D1517" s="40" t="str">
        <f>IF(Agent08_Withdrawals!A122="","",Agent08_Withdrawals!C122)</f>
        <v/>
      </c>
      <c r="E1517" s="38" t="str">
        <f>IF(Agent08_Withdrawals!A122="","",Agent08_Withdrawals!D122)</f>
        <v/>
      </c>
      <c r="F1517" s="37" t="str">
        <f>IF(Agent08_Withdrawals!A122="","",Agent08_Withdrawals!F122)</f>
        <v/>
      </c>
      <c r="G1517" s="39" t="str">
        <f>IF(Agent08_Withdrawals!A122="","",Agent08_Withdrawals!E122)</f>
        <v/>
      </c>
      <c r="H1517" s="39" t="str">
        <f>IF(Agent08_Withdrawals!A122="","",Agent08_Withdrawals!G122)</f>
        <v/>
      </c>
      <c r="I1517" s="37" t="str">
        <f>IF(Agent08_Withdrawals!A122="","",Agent08_Withdrawals!H122)</f>
        <v/>
      </c>
      <c r="J1517" s="37" t="str">
        <f>IF(Agent08_Withdrawals!A122="","",Agent08_Withdrawals!J122)</f>
        <v/>
      </c>
      <c r="K1517" s="37" t="str">
        <f>IF(Agent08_Withdrawals!A122="","",Agent08_Withdrawals!K122)</f>
        <v/>
      </c>
      <c r="L1517" s="37" t="str">
        <f>IF(G1517="","",IF(D1517-G1517&gt;=System_Config!$B$9,"✅ OK","⚠️ BREACH"))</f>
        <v/>
      </c>
      <c r="M1517" s="37" t="str">
        <f>IFERROR(IF(Agent08_Withdrawals!A122="","",YEAR(Agent08_Withdrawals!D122)),"")</f>
        <v/>
      </c>
    </row>
    <row r="1518" spans="1:13" ht="18" customHeight="1" x14ac:dyDescent="0.25">
      <c r="A1518" s="37" t="str">
        <f>IF(Agent08_Withdrawals!A123="","",Agent08_Withdrawals!A123)</f>
        <v/>
      </c>
      <c r="B1518" s="37" t="str">
        <f ca="1">IF(Agent08_Withdrawals!A123="","","WD"&amp;TEXT(1518-3,"0000")&amp;"-"&amp;TEXT(TODAY(),"YYYYMMDD"))</f>
        <v/>
      </c>
      <c r="C1518" s="37" t="str">
        <f>IF(Agent08_Withdrawals!A123="","",Agent08_Withdrawals!B123)</f>
        <v/>
      </c>
      <c r="D1518" s="40" t="str">
        <f>IF(Agent08_Withdrawals!A123="","",Agent08_Withdrawals!C123)</f>
        <v/>
      </c>
      <c r="E1518" s="38" t="str">
        <f>IF(Agent08_Withdrawals!A123="","",Agent08_Withdrawals!D123)</f>
        <v/>
      </c>
      <c r="F1518" s="37" t="str">
        <f>IF(Agent08_Withdrawals!A123="","",Agent08_Withdrawals!F123)</f>
        <v/>
      </c>
      <c r="G1518" s="39" t="str">
        <f>IF(Agent08_Withdrawals!A123="","",Agent08_Withdrawals!E123)</f>
        <v/>
      </c>
      <c r="H1518" s="39" t="str">
        <f>IF(Agent08_Withdrawals!A123="","",Agent08_Withdrawals!G123)</f>
        <v/>
      </c>
      <c r="I1518" s="37" t="str">
        <f>IF(Agent08_Withdrawals!A123="","",Agent08_Withdrawals!H123)</f>
        <v/>
      </c>
      <c r="J1518" s="37" t="str">
        <f>IF(Agent08_Withdrawals!A123="","",Agent08_Withdrawals!J123)</f>
        <v/>
      </c>
      <c r="K1518" s="37" t="str">
        <f>IF(Agent08_Withdrawals!A123="","",Agent08_Withdrawals!K123)</f>
        <v/>
      </c>
      <c r="L1518" s="37" t="str">
        <f>IF(G1518="","",IF(D1518-G1518&gt;=System_Config!$B$9,"✅ OK","⚠️ BREACH"))</f>
        <v/>
      </c>
      <c r="M1518" s="37" t="str">
        <f>IFERROR(IF(Agent08_Withdrawals!A123="","",YEAR(Agent08_Withdrawals!D123)),"")</f>
        <v/>
      </c>
    </row>
    <row r="1519" spans="1:13" ht="18" customHeight="1" x14ac:dyDescent="0.25">
      <c r="A1519" s="37" t="str">
        <f>IF(Agent08_Withdrawals!A124="","",Agent08_Withdrawals!A124)</f>
        <v/>
      </c>
      <c r="B1519" s="37" t="str">
        <f ca="1">IF(Agent08_Withdrawals!A124="","","WD"&amp;TEXT(1519-3,"0000")&amp;"-"&amp;TEXT(TODAY(),"YYYYMMDD"))</f>
        <v/>
      </c>
      <c r="C1519" s="37" t="str">
        <f>IF(Agent08_Withdrawals!A124="","",Agent08_Withdrawals!B124)</f>
        <v/>
      </c>
      <c r="D1519" s="40" t="str">
        <f>IF(Agent08_Withdrawals!A124="","",Agent08_Withdrawals!C124)</f>
        <v/>
      </c>
      <c r="E1519" s="38" t="str">
        <f>IF(Agent08_Withdrawals!A124="","",Agent08_Withdrawals!D124)</f>
        <v/>
      </c>
      <c r="F1519" s="37" t="str">
        <f>IF(Agent08_Withdrawals!A124="","",Agent08_Withdrawals!F124)</f>
        <v/>
      </c>
      <c r="G1519" s="39" t="str">
        <f>IF(Agent08_Withdrawals!A124="","",Agent08_Withdrawals!E124)</f>
        <v/>
      </c>
      <c r="H1519" s="39" t="str">
        <f>IF(Agent08_Withdrawals!A124="","",Agent08_Withdrawals!G124)</f>
        <v/>
      </c>
      <c r="I1519" s="37" t="str">
        <f>IF(Agent08_Withdrawals!A124="","",Agent08_Withdrawals!H124)</f>
        <v/>
      </c>
      <c r="J1519" s="37" t="str">
        <f>IF(Agent08_Withdrawals!A124="","",Agent08_Withdrawals!J124)</f>
        <v/>
      </c>
      <c r="K1519" s="37" t="str">
        <f>IF(Agent08_Withdrawals!A124="","",Agent08_Withdrawals!K124)</f>
        <v/>
      </c>
      <c r="L1519" s="37" t="str">
        <f>IF(G1519="","",IF(D1519-G1519&gt;=System_Config!$B$9,"✅ OK","⚠️ BREACH"))</f>
        <v/>
      </c>
      <c r="M1519" s="37" t="str">
        <f>IFERROR(IF(Agent08_Withdrawals!A124="","",YEAR(Agent08_Withdrawals!D124)),"")</f>
        <v/>
      </c>
    </row>
    <row r="1520" spans="1:13" ht="18" customHeight="1" x14ac:dyDescent="0.25">
      <c r="A1520" s="37" t="str">
        <f>IF(Agent08_Withdrawals!A125="","",Agent08_Withdrawals!A125)</f>
        <v/>
      </c>
      <c r="B1520" s="37" t="str">
        <f ca="1">IF(Agent08_Withdrawals!A125="","","WD"&amp;TEXT(1520-3,"0000")&amp;"-"&amp;TEXT(TODAY(),"YYYYMMDD"))</f>
        <v/>
      </c>
      <c r="C1520" s="37" t="str">
        <f>IF(Agent08_Withdrawals!A125="","",Agent08_Withdrawals!B125)</f>
        <v/>
      </c>
      <c r="D1520" s="40" t="str">
        <f>IF(Agent08_Withdrawals!A125="","",Agent08_Withdrawals!C125)</f>
        <v/>
      </c>
      <c r="E1520" s="38" t="str">
        <f>IF(Agent08_Withdrawals!A125="","",Agent08_Withdrawals!D125)</f>
        <v/>
      </c>
      <c r="F1520" s="37" t="str">
        <f>IF(Agent08_Withdrawals!A125="","",Agent08_Withdrawals!F125)</f>
        <v/>
      </c>
      <c r="G1520" s="39" t="str">
        <f>IF(Agent08_Withdrawals!A125="","",Agent08_Withdrawals!E125)</f>
        <v/>
      </c>
      <c r="H1520" s="39" t="str">
        <f>IF(Agent08_Withdrawals!A125="","",Agent08_Withdrawals!G125)</f>
        <v/>
      </c>
      <c r="I1520" s="37" t="str">
        <f>IF(Agent08_Withdrawals!A125="","",Agent08_Withdrawals!H125)</f>
        <v/>
      </c>
      <c r="J1520" s="37" t="str">
        <f>IF(Agent08_Withdrawals!A125="","",Agent08_Withdrawals!J125)</f>
        <v/>
      </c>
      <c r="K1520" s="37" t="str">
        <f>IF(Agent08_Withdrawals!A125="","",Agent08_Withdrawals!K125)</f>
        <v/>
      </c>
      <c r="L1520" s="37" t="str">
        <f>IF(G1520="","",IF(D1520-G1520&gt;=System_Config!$B$9,"✅ OK","⚠️ BREACH"))</f>
        <v/>
      </c>
      <c r="M1520" s="37" t="str">
        <f>IFERROR(IF(Agent08_Withdrawals!A125="","",YEAR(Agent08_Withdrawals!D125)),"")</f>
        <v/>
      </c>
    </row>
    <row r="1521" spans="1:13" ht="18" customHeight="1" x14ac:dyDescent="0.25">
      <c r="A1521" s="37" t="str">
        <f>IF(Agent08_Withdrawals!A126="","",Agent08_Withdrawals!A126)</f>
        <v/>
      </c>
      <c r="B1521" s="37" t="str">
        <f ca="1">IF(Agent08_Withdrawals!A126="","","WD"&amp;TEXT(1521-3,"0000")&amp;"-"&amp;TEXT(TODAY(),"YYYYMMDD"))</f>
        <v/>
      </c>
      <c r="C1521" s="37" t="str">
        <f>IF(Agent08_Withdrawals!A126="","",Agent08_Withdrawals!B126)</f>
        <v/>
      </c>
      <c r="D1521" s="40" t="str">
        <f>IF(Agent08_Withdrawals!A126="","",Agent08_Withdrawals!C126)</f>
        <v/>
      </c>
      <c r="E1521" s="38" t="str">
        <f>IF(Agent08_Withdrawals!A126="","",Agent08_Withdrawals!D126)</f>
        <v/>
      </c>
      <c r="F1521" s="37" t="str">
        <f>IF(Agent08_Withdrawals!A126="","",Agent08_Withdrawals!F126)</f>
        <v/>
      </c>
      <c r="G1521" s="39" t="str">
        <f>IF(Agent08_Withdrawals!A126="","",Agent08_Withdrawals!E126)</f>
        <v/>
      </c>
      <c r="H1521" s="39" t="str">
        <f>IF(Agent08_Withdrawals!A126="","",Agent08_Withdrawals!G126)</f>
        <v/>
      </c>
      <c r="I1521" s="37" t="str">
        <f>IF(Agent08_Withdrawals!A126="","",Agent08_Withdrawals!H126)</f>
        <v/>
      </c>
      <c r="J1521" s="37" t="str">
        <f>IF(Agent08_Withdrawals!A126="","",Agent08_Withdrawals!J126)</f>
        <v/>
      </c>
      <c r="K1521" s="37" t="str">
        <f>IF(Agent08_Withdrawals!A126="","",Agent08_Withdrawals!K126)</f>
        <v/>
      </c>
      <c r="L1521" s="37" t="str">
        <f>IF(G1521="","",IF(D1521-G1521&gt;=System_Config!$B$9,"✅ OK","⚠️ BREACH"))</f>
        <v/>
      </c>
      <c r="M1521" s="37" t="str">
        <f>IFERROR(IF(Agent08_Withdrawals!A126="","",YEAR(Agent08_Withdrawals!D126)),"")</f>
        <v/>
      </c>
    </row>
    <row r="1522" spans="1:13" ht="18" customHeight="1" x14ac:dyDescent="0.25">
      <c r="A1522" s="37" t="str">
        <f>IF(Agent08_Withdrawals!A127="","",Agent08_Withdrawals!A127)</f>
        <v/>
      </c>
      <c r="B1522" s="37" t="str">
        <f ca="1">IF(Agent08_Withdrawals!A127="","","WD"&amp;TEXT(1522-3,"0000")&amp;"-"&amp;TEXT(TODAY(),"YYYYMMDD"))</f>
        <v/>
      </c>
      <c r="C1522" s="37" t="str">
        <f>IF(Agent08_Withdrawals!A127="","",Agent08_Withdrawals!B127)</f>
        <v/>
      </c>
      <c r="D1522" s="40" t="str">
        <f>IF(Agent08_Withdrawals!A127="","",Agent08_Withdrawals!C127)</f>
        <v/>
      </c>
      <c r="E1522" s="38" t="str">
        <f>IF(Agent08_Withdrawals!A127="","",Agent08_Withdrawals!D127)</f>
        <v/>
      </c>
      <c r="F1522" s="37" t="str">
        <f>IF(Agent08_Withdrawals!A127="","",Agent08_Withdrawals!F127)</f>
        <v/>
      </c>
      <c r="G1522" s="39" t="str">
        <f>IF(Agent08_Withdrawals!A127="","",Agent08_Withdrawals!E127)</f>
        <v/>
      </c>
      <c r="H1522" s="39" t="str">
        <f>IF(Agent08_Withdrawals!A127="","",Agent08_Withdrawals!G127)</f>
        <v/>
      </c>
      <c r="I1522" s="37" t="str">
        <f>IF(Agent08_Withdrawals!A127="","",Agent08_Withdrawals!H127)</f>
        <v/>
      </c>
      <c r="J1522" s="37" t="str">
        <f>IF(Agent08_Withdrawals!A127="","",Agent08_Withdrawals!J127)</f>
        <v/>
      </c>
      <c r="K1522" s="37" t="str">
        <f>IF(Agent08_Withdrawals!A127="","",Agent08_Withdrawals!K127)</f>
        <v/>
      </c>
      <c r="L1522" s="37" t="str">
        <f>IF(G1522="","",IF(D1522-G1522&gt;=System_Config!$B$9,"✅ OK","⚠️ BREACH"))</f>
        <v/>
      </c>
      <c r="M1522" s="37" t="str">
        <f>IFERROR(IF(Agent08_Withdrawals!A127="","",YEAR(Agent08_Withdrawals!D127)),"")</f>
        <v/>
      </c>
    </row>
    <row r="1523" spans="1:13" ht="18" customHeight="1" x14ac:dyDescent="0.25">
      <c r="A1523" s="37" t="str">
        <f>IF(Agent08_Withdrawals!A128="","",Agent08_Withdrawals!A128)</f>
        <v/>
      </c>
      <c r="B1523" s="37" t="str">
        <f ca="1">IF(Agent08_Withdrawals!A128="","","WD"&amp;TEXT(1523-3,"0000")&amp;"-"&amp;TEXT(TODAY(),"YYYYMMDD"))</f>
        <v/>
      </c>
      <c r="C1523" s="37" t="str">
        <f>IF(Agent08_Withdrawals!A128="","",Agent08_Withdrawals!B128)</f>
        <v/>
      </c>
      <c r="D1523" s="40" t="str">
        <f>IF(Agent08_Withdrawals!A128="","",Agent08_Withdrawals!C128)</f>
        <v/>
      </c>
      <c r="E1523" s="38" t="str">
        <f>IF(Agent08_Withdrawals!A128="","",Agent08_Withdrawals!D128)</f>
        <v/>
      </c>
      <c r="F1523" s="37" t="str">
        <f>IF(Agent08_Withdrawals!A128="","",Agent08_Withdrawals!F128)</f>
        <v/>
      </c>
      <c r="G1523" s="39" t="str">
        <f>IF(Agent08_Withdrawals!A128="","",Agent08_Withdrawals!E128)</f>
        <v/>
      </c>
      <c r="H1523" s="39" t="str">
        <f>IF(Agent08_Withdrawals!A128="","",Agent08_Withdrawals!G128)</f>
        <v/>
      </c>
      <c r="I1523" s="37" t="str">
        <f>IF(Agent08_Withdrawals!A128="","",Agent08_Withdrawals!H128)</f>
        <v/>
      </c>
      <c r="J1523" s="37" t="str">
        <f>IF(Agent08_Withdrawals!A128="","",Agent08_Withdrawals!J128)</f>
        <v/>
      </c>
      <c r="K1523" s="37" t="str">
        <f>IF(Agent08_Withdrawals!A128="","",Agent08_Withdrawals!K128)</f>
        <v/>
      </c>
      <c r="L1523" s="37" t="str">
        <f>IF(G1523="","",IF(D1523-G1523&gt;=System_Config!$B$9,"✅ OK","⚠️ BREACH"))</f>
        <v/>
      </c>
      <c r="M1523" s="37" t="str">
        <f>IFERROR(IF(Agent08_Withdrawals!A128="","",YEAR(Agent08_Withdrawals!D128)),"")</f>
        <v/>
      </c>
    </row>
    <row r="1524" spans="1:13" ht="18" customHeight="1" x14ac:dyDescent="0.25">
      <c r="A1524" s="37" t="str">
        <f>IF(Agent08_Withdrawals!A129="","",Agent08_Withdrawals!A129)</f>
        <v/>
      </c>
      <c r="B1524" s="37" t="str">
        <f ca="1">IF(Agent08_Withdrawals!A129="","","WD"&amp;TEXT(1524-3,"0000")&amp;"-"&amp;TEXT(TODAY(),"YYYYMMDD"))</f>
        <v/>
      </c>
      <c r="C1524" s="37" t="str">
        <f>IF(Agent08_Withdrawals!A129="","",Agent08_Withdrawals!B129)</f>
        <v/>
      </c>
      <c r="D1524" s="40" t="str">
        <f>IF(Agent08_Withdrawals!A129="","",Agent08_Withdrawals!C129)</f>
        <v/>
      </c>
      <c r="E1524" s="38" t="str">
        <f>IF(Agent08_Withdrawals!A129="","",Agent08_Withdrawals!D129)</f>
        <v/>
      </c>
      <c r="F1524" s="37" t="str">
        <f>IF(Agent08_Withdrawals!A129="","",Agent08_Withdrawals!F129)</f>
        <v/>
      </c>
      <c r="G1524" s="39" t="str">
        <f>IF(Agent08_Withdrawals!A129="","",Agent08_Withdrawals!E129)</f>
        <v/>
      </c>
      <c r="H1524" s="39" t="str">
        <f>IF(Agent08_Withdrawals!A129="","",Agent08_Withdrawals!G129)</f>
        <v/>
      </c>
      <c r="I1524" s="37" t="str">
        <f>IF(Agent08_Withdrawals!A129="","",Agent08_Withdrawals!H129)</f>
        <v/>
      </c>
      <c r="J1524" s="37" t="str">
        <f>IF(Agent08_Withdrawals!A129="","",Agent08_Withdrawals!J129)</f>
        <v/>
      </c>
      <c r="K1524" s="37" t="str">
        <f>IF(Agent08_Withdrawals!A129="","",Agent08_Withdrawals!K129)</f>
        <v/>
      </c>
      <c r="L1524" s="37" t="str">
        <f>IF(G1524="","",IF(D1524-G1524&gt;=System_Config!$B$9,"✅ OK","⚠️ BREACH"))</f>
        <v/>
      </c>
      <c r="M1524" s="37" t="str">
        <f>IFERROR(IF(Agent08_Withdrawals!A129="","",YEAR(Agent08_Withdrawals!D129)),"")</f>
        <v/>
      </c>
    </row>
    <row r="1525" spans="1:13" ht="18" customHeight="1" x14ac:dyDescent="0.25">
      <c r="A1525" s="37" t="str">
        <f>IF(Agent08_Withdrawals!A130="","",Agent08_Withdrawals!A130)</f>
        <v/>
      </c>
      <c r="B1525" s="37" t="str">
        <f ca="1">IF(Agent08_Withdrawals!A130="","","WD"&amp;TEXT(1525-3,"0000")&amp;"-"&amp;TEXT(TODAY(),"YYYYMMDD"))</f>
        <v/>
      </c>
      <c r="C1525" s="37" t="str">
        <f>IF(Agent08_Withdrawals!A130="","",Agent08_Withdrawals!B130)</f>
        <v/>
      </c>
      <c r="D1525" s="40" t="str">
        <f>IF(Agent08_Withdrawals!A130="","",Agent08_Withdrawals!C130)</f>
        <v/>
      </c>
      <c r="E1525" s="38" t="str">
        <f>IF(Agent08_Withdrawals!A130="","",Agent08_Withdrawals!D130)</f>
        <v/>
      </c>
      <c r="F1525" s="37" t="str">
        <f>IF(Agent08_Withdrawals!A130="","",Agent08_Withdrawals!F130)</f>
        <v/>
      </c>
      <c r="G1525" s="39" t="str">
        <f>IF(Agent08_Withdrawals!A130="","",Agent08_Withdrawals!E130)</f>
        <v/>
      </c>
      <c r="H1525" s="39" t="str">
        <f>IF(Agent08_Withdrawals!A130="","",Agent08_Withdrawals!G130)</f>
        <v/>
      </c>
      <c r="I1525" s="37" t="str">
        <f>IF(Agent08_Withdrawals!A130="","",Agent08_Withdrawals!H130)</f>
        <v/>
      </c>
      <c r="J1525" s="37" t="str">
        <f>IF(Agent08_Withdrawals!A130="","",Agent08_Withdrawals!J130)</f>
        <v/>
      </c>
      <c r="K1525" s="37" t="str">
        <f>IF(Agent08_Withdrawals!A130="","",Agent08_Withdrawals!K130)</f>
        <v/>
      </c>
      <c r="L1525" s="37" t="str">
        <f>IF(G1525="","",IF(D1525-G1525&gt;=System_Config!$B$9,"✅ OK","⚠️ BREACH"))</f>
        <v/>
      </c>
      <c r="M1525" s="37" t="str">
        <f>IFERROR(IF(Agent08_Withdrawals!A130="","",YEAR(Agent08_Withdrawals!D130)),"")</f>
        <v/>
      </c>
    </row>
    <row r="1526" spans="1:13" ht="18" customHeight="1" x14ac:dyDescent="0.25">
      <c r="A1526" s="37" t="str">
        <f>IF(Agent08_Withdrawals!A131="","",Agent08_Withdrawals!A131)</f>
        <v/>
      </c>
      <c r="B1526" s="37" t="str">
        <f ca="1">IF(Agent08_Withdrawals!A131="","","WD"&amp;TEXT(1526-3,"0000")&amp;"-"&amp;TEXT(TODAY(),"YYYYMMDD"))</f>
        <v/>
      </c>
      <c r="C1526" s="37" t="str">
        <f>IF(Agent08_Withdrawals!A131="","",Agent08_Withdrawals!B131)</f>
        <v/>
      </c>
      <c r="D1526" s="40" t="str">
        <f>IF(Agent08_Withdrawals!A131="","",Agent08_Withdrawals!C131)</f>
        <v/>
      </c>
      <c r="E1526" s="38" t="str">
        <f>IF(Agent08_Withdrawals!A131="","",Agent08_Withdrawals!D131)</f>
        <v/>
      </c>
      <c r="F1526" s="37" t="str">
        <f>IF(Agent08_Withdrawals!A131="","",Agent08_Withdrawals!F131)</f>
        <v/>
      </c>
      <c r="G1526" s="39" t="str">
        <f>IF(Agent08_Withdrawals!A131="","",Agent08_Withdrawals!E131)</f>
        <v/>
      </c>
      <c r="H1526" s="39" t="str">
        <f>IF(Agent08_Withdrawals!A131="","",Agent08_Withdrawals!G131)</f>
        <v/>
      </c>
      <c r="I1526" s="37" t="str">
        <f>IF(Agent08_Withdrawals!A131="","",Agent08_Withdrawals!H131)</f>
        <v/>
      </c>
      <c r="J1526" s="37" t="str">
        <f>IF(Agent08_Withdrawals!A131="","",Agent08_Withdrawals!J131)</f>
        <v/>
      </c>
      <c r="K1526" s="37" t="str">
        <f>IF(Agent08_Withdrawals!A131="","",Agent08_Withdrawals!K131)</f>
        <v/>
      </c>
      <c r="L1526" s="37" t="str">
        <f>IF(G1526="","",IF(D1526-G1526&gt;=System_Config!$B$9,"✅ OK","⚠️ BREACH"))</f>
        <v/>
      </c>
      <c r="M1526" s="37" t="str">
        <f>IFERROR(IF(Agent08_Withdrawals!A131="","",YEAR(Agent08_Withdrawals!D131)),"")</f>
        <v/>
      </c>
    </row>
    <row r="1527" spans="1:13" ht="18" customHeight="1" x14ac:dyDescent="0.25">
      <c r="A1527" s="37" t="str">
        <f>IF(Agent08_Withdrawals!A132="","",Agent08_Withdrawals!A132)</f>
        <v/>
      </c>
      <c r="B1527" s="37" t="str">
        <f ca="1">IF(Agent08_Withdrawals!A132="","","WD"&amp;TEXT(1527-3,"0000")&amp;"-"&amp;TEXT(TODAY(),"YYYYMMDD"))</f>
        <v/>
      </c>
      <c r="C1527" s="37" t="str">
        <f>IF(Agent08_Withdrawals!A132="","",Agent08_Withdrawals!B132)</f>
        <v/>
      </c>
      <c r="D1527" s="40" t="str">
        <f>IF(Agent08_Withdrawals!A132="","",Agent08_Withdrawals!C132)</f>
        <v/>
      </c>
      <c r="E1527" s="38" t="str">
        <f>IF(Agent08_Withdrawals!A132="","",Agent08_Withdrawals!D132)</f>
        <v/>
      </c>
      <c r="F1527" s="37" t="str">
        <f>IF(Agent08_Withdrawals!A132="","",Agent08_Withdrawals!F132)</f>
        <v/>
      </c>
      <c r="G1527" s="39" t="str">
        <f>IF(Agent08_Withdrawals!A132="","",Agent08_Withdrawals!E132)</f>
        <v/>
      </c>
      <c r="H1527" s="39" t="str">
        <f>IF(Agent08_Withdrawals!A132="","",Agent08_Withdrawals!G132)</f>
        <v/>
      </c>
      <c r="I1527" s="37" t="str">
        <f>IF(Agent08_Withdrawals!A132="","",Agent08_Withdrawals!H132)</f>
        <v/>
      </c>
      <c r="J1527" s="37" t="str">
        <f>IF(Agent08_Withdrawals!A132="","",Agent08_Withdrawals!J132)</f>
        <v/>
      </c>
      <c r="K1527" s="37" t="str">
        <f>IF(Agent08_Withdrawals!A132="","",Agent08_Withdrawals!K132)</f>
        <v/>
      </c>
      <c r="L1527" s="37" t="str">
        <f>IF(G1527="","",IF(D1527-G1527&gt;=System_Config!$B$9,"✅ OK","⚠️ BREACH"))</f>
        <v/>
      </c>
      <c r="M1527" s="37" t="str">
        <f>IFERROR(IF(Agent08_Withdrawals!A132="","",YEAR(Agent08_Withdrawals!D132)),"")</f>
        <v/>
      </c>
    </row>
    <row r="1528" spans="1:13" ht="18" customHeight="1" x14ac:dyDescent="0.25">
      <c r="A1528" s="37" t="str">
        <f>IF(Agent08_Withdrawals!A133="","",Agent08_Withdrawals!A133)</f>
        <v/>
      </c>
      <c r="B1528" s="37" t="str">
        <f ca="1">IF(Agent08_Withdrawals!A133="","","WD"&amp;TEXT(1528-3,"0000")&amp;"-"&amp;TEXT(TODAY(),"YYYYMMDD"))</f>
        <v/>
      </c>
      <c r="C1528" s="37" t="str">
        <f>IF(Agent08_Withdrawals!A133="","",Agent08_Withdrawals!B133)</f>
        <v/>
      </c>
      <c r="D1528" s="40" t="str">
        <f>IF(Agent08_Withdrawals!A133="","",Agent08_Withdrawals!C133)</f>
        <v/>
      </c>
      <c r="E1528" s="38" t="str">
        <f>IF(Agent08_Withdrawals!A133="","",Agent08_Withdrawals!D133)</f>
        <v/>
      </c>
      <c r="F1528" s="37" t="str">
        <f>IF(Agent08_Withdrawals!A133="","",Agent08_Withdrawals!F133)</f>
        <v/>
      </c>
      <c r="G1528" s="39" t="str">
        <f>IF(Agent08_Withdrawals!A133="","",Agent08_Withdrawals!E133)</f>
        <v/>
      </c>
      <c r="H1528" s="39" t="str">
        <f>IF(Agent08_Withdrawals!A133="","",Agent08_Withdrawals!G133)</f>
        <v/>
      </c>
      <c r="I1528" s="37" t="str">
        <f>IF(Agent08_Withdrawals!A133="","",Agent08_Withdrawals!H133)</f>
        <v/>
      </c>
      <c r="J1528" s="37" t="str">
        <f>IF(Agent08_Withdrawals!A133="","",Agent08_Withdrawals!J133)</f>
        <v/>
      </c>
      <c r="K1528" s="37" t="str">
        <f>IF(Agent08_Withdrawals!A133="","",Agent08_Withdrawals!K133)</f>
        <v/>
      </c>
      <c r="L1528" s="37" t="str">
        <f>IF(G1528="","",IF(D1528-G1528&gt;=System_Config!$B$9,"✅ OK","⚠️ BREACH"))</f>
        <v/>
      </c>
      <c r="M1528" s="37" t="str">
        <f>IFERROR(IF(Agent08_Withdrawals!A133="","",YEAR(Agent08_Withdrawals!D133)),"")</f>
        <v/>
      </c>
    </row>
    <row r="1529" spans="1:13" ht="18" customHeight="1" x14ac:dyDescent="0.25">
      <c r="A1529" s="37" t="str">
        <f>IF(Agent08_Withdrawals!A134="","",Agent08_Withdrawals!A134)</f>
        <v/>
      </c>
      <c r="B1529" s="37" t="str">
        <f ca="1">IF(Agent08_Withdrawals!A134="","","WD"&amp;TEXT(1529-3,"0000")&amp;"-"&amp;TEXT(TODAY(),"YYYYMMDD"))</f>
        <v/>
      </c>
      <c r="C1529" s="37" t="str">
        <f>IF(Agent08_Withdrawals!A134="","",Agent08_Withdrawals!B134)</f>
        <v/>
      </c>
      <c r="D1529" s="40" t="str">
        <f>IF(Agent08_Withdrawals!A134="","",Agent08_Withdrawals!C134)</f>
        <v/>
      </c>
      <c r="E1529" s="38" t="str">
        <f>IF(Agent08_Withdrawals!A134="","",Agent08_Withdrawals!D134)</f>
        <v/>
      </c>
      <c r="F1529" s="37" t="str">
        <f>IF(Agent08_Withdrawals!A134="","",Agent08_Withdrawals!F134)</f>
        <v/>
      </c>
      <c r="G1529" s="39" t="str">
        <f>IF(Agent08_Withdrawals!A134="","",Agent08_Withdrawals!E134)</f>
        <v/>
      </c>
      <c r="H1529" s="39" t="str">
        <f>IF(Agent08_Withdrawals!A134="","",Agent08_Withdrawals!G134)</f>
        <v/>
      </c>
      <c r="I1529" s="37" t="str">
        <f>IF(Agent08_Withdrawals!A134="","",Agent08_Withdrawals!H134)</f>
        <v/>
      </c>
      <c r="J1529" s="37" t="str">
        <f>IF(Agent08_Withdrawals!A134="","",Agent08_Withdrawals!J134)</f>
        <v/>
      </c>
      <c r="K1529" s="37" t="str">
        <f>IF(Agent08_Withdrawals!A134="","",Agent08_Withdrawals!K134)</f>
        <v/>
      </c>
      <c r="L1529" s="37" t="str">
        <f>IF(G1529="","",IF(D1529-G1529&gt;=System_Config!$B$9,"✅ OK","⚠️ BREACH"))</f>
        <v/>
      </c>
      <c r="M1529" s="37" t="str">
        <f>IFERROR(IF(Agent08_Withdrawals!A134="","",YEAR(Agent08_Withdrawals!D134)),"")</f>
        <v/>
      </c>
    </row>
    <row r="1530" spans="1:13" ht="18" customHeight="1" x14ac:dyDescent="0.25">
      <c r="A1530" s="37" t="str">
        <f>IF(Agent08_Withdrawals!A135="","",Agent08_Withdrawals!A135)</f>
        <v/>
      </c>
      <c r="B1530" s="37" t="str">
        <f ca="1">IF(Agent08_Withdrawals!A135="","","WD"&amp;TEXT(1530-3,"0000")&amp;"-"&amp;TEXT(TODAY(),"YYYYMMDD"))</f>
        <v/>
      </c>
      <c r="C1530" s="37" t="str">
        <f>IF(Agent08_Withdrawals!A135="","",Agent08_Withdrawals!B135)</f>
        <v/>
      </c>
      <c r="D1530" s="40" t="str">
        <f>IF(Agent08_Withdrawals!A135="","",Agent08_Withdrawals!C135)</f>
        <v/>
      </c>
      <c r="E1530" s="38" t="str">
        <f>IF(Agent08_Withdrawals!A135="","",Agent08_Withdrawals!D135)</f>
        <v/>
      </c>
      <c r="F1530" s="37" t="str">
        <f>IF(Agent08_Withdrawals!A135="","",Agent08_Withdrawals!F135)</f>
        <v/>
      </c>
      <c r="G1530" s="39" t="str">
        <f>IF(Agent08_Withdrawals!A135="","",Agent08_Withdrawals!E135)</f>
        <v/>
      </c>
      <c r="H1530" s="39" t="str">
        <f>IF(Agent08_Withdrawals!A135="","",Agent08_Withdrawals!G135)</f>
        <v/>
      </c>
      <c r="I1530" s="37" t="str">
        <f>IF(Agent08_Withdrawals!A135="","",Agent08_Withdrawals!H135)</f>
        <v/>
      </c>
      <c r="J1530" s="37" t="str">
        <f>IF(Agent08_Withdrawals!A135="","",Agent08_Withdrawals!J135)</f>
        <v/>
      </c>
      <c r="K1530" s="37" t="str">
        <f>IF(Agent08_Withdrawals!A135="","",Agent08_Withdrawals!K135)</f>
        <v/>
      </c>
      <c r="L1530" s="37" t="str">
        <f>IF(G1530="","",IF(D1530-G1530&gt;=System_Config!$B$9,"✅ OK","⚠️ BREACH"))</f>
        <v/>
      </c>
      <c r="M1530" s="37" t="str">
        <f>IFERROR(IF(Agent08_Withdrawals!A135="","",YEAR(Agent08_Withdrawals!D135)),"")</f>
        <v/>
      </c>
    </row>
    <row r="1531" spans="1:13" ht="18" customHeight="1" x14ac:dyDescent="0.25">
      <c r="A1531" s="37" t="str">
        <f>IF(Agent08_Withdrawals!A136="","",Agent08_Withdrawals!A136)</f>
        <v/>
      </c>
      <c r="B1531" s="37" t="str">
        <f ca="1">IF(Agent08_Withdrawals!A136="","","WD"&amp;TEXT(1531-3,"0000")&amp;"-"&amp;TEXT(TODAY(),"YYYYMMDD"))</f>
        <v/>
      </c>
      <c r="C1531" s="37" t="str">
        <f>IF(Agent08_Withdrawals!A136="","",Agent08_Withdrawals!B136)</f>
        <v/>
      </c>
      <c r="D1531" s="40" t="str">
        <f>IF(Agent08_Withdrawals!A136="","",Agent08_Withdrawals!C136)</f>
        <v/>
      </c>
      <c r="E1531" s="38" t="str">
        <f>IF(Agent08_Withdrawals!A136="","",Agent08_Withdrawals!D136)</f>
        <v/>
      </c>
      <c r="F1531" s="37" t="str">
        <f>IF(Agent08_Withdrawals!A136="","",Agent08_Withdrawals!F136)</f>
        <v/>
      </c>
      <c r="G1531" s="39" t="str">
        <f>IF(Agent08_Withdrawals!A136="","",Agent08_Withdrawals!E136)</f>
        <v/>
      </c>
      <c r="H1531" s="39" t="str">
        <f>IF(Agent08_Withdrawals!A136="","",Agent08_Withdrawals!G136)</f>
        <v/>
      </c>
      <c r="I1531" s="37" t="str">
        <f>IF(Agent08_Withdrawals!A136="","",Agent08_Withdrawals!H136)</f>
        <v/>
      </c>
      <c r="J1531" s="37" t="str">
        <f>IF(Agent08_Withdrawals!A136="","",Agent08_Withdrawals!J136)</f>
        <v/>
      </c>
      <c r="K1531" s="37" t="str">
        <f>IF(Agent08_Withdrawals!A136="","",Agent08_Withdrawals!K136)</f>
        <v/>
      </c>
      <c r="L1531" s="37" t="str">
        <f>IF(G1531="","",IF(D1531-G1531&gt;=System_Config!$B$9,"✅ OK","⚠️ BREACH"))</f>
        <v/>
      </c>
      <c r="M1531" s="37" t="str">
        <f>IFERROR(IF(Agent08_Withdrawals!A136="","",YEAR(Agent08_Withdrawals!D136)),"")</f>
        <v/>
      </c>
    </row>
    <row r="1532" spans="1:13" ht="18" customHeight="1" x14ac:dyDescent="0.25">
      <c r="A1532" s="37" t="str">
        <f>IF(Agent08_Withdrawals!A137="","",Agent08_Withdrawals!A137)</f>
        <v/>
      </c>
      <c r="B1532" s="37" t="str">
        <f ca="1">IF(Agent08_Withdrawals!A137="","","WD"&amp;TEXT(1532-3,"0000")&amp;"-"&amp;TEXT(TODAY(),"YYYYMMDD"))</f>
        <v/>
      </c>
      <c r="C1532" s="37" t="str">
        <f>IF(Agent08_Withdrawals!A137="","",Agent08_Withdrawals!B137)</f>
        <v/>
      </c>
      <c r="D1532" s="40" t="str">
        <f>IF(Agent08_Withdrawals!A137="","",Agent08_Withdrawals!C137)</f>
        <v/>
      </c>
      <c r="E1532" s="38" t="str">
        <f>IF(Agent08_Withdrawals!A137="","",Agent08_Withdrawals!D137)</f>
        <v/>
      </c>
      <c r="F1532" s="37" t="str">
        <f>IF(Agent08_Withdrawals!A137="","",Agent08_Withdrawals!F137)</f>
        <v/>
      </c>
      <c r="G1532" s="39" t="str">
        <f>IF(Agent08_Withdrawals!A137="","",Agent08_Withdrawals!E137)</f>
        <v/>
      </c>
      <c r="H1532" s="39" t="str">
        <f>IF(Agent08_Withdrawals!A137="","",Agent08_Withdrawals!G137)</f>
        <v/>
      </c>
      <c r="I1532" s="37" t="str">
        <f>IF(Agent08_Withdrawals!A137="","",Agent08_Withdrawals!H137)</f>
        <v/>
      </c>
      <c r="J1532" s="37" t="str">
        <f>IF(Agent08_Withdrawals!A137="","",Agent08_Withdrawals!J137)</f>
        <v/>
      </c>
      <c r="K1532" s="37" t="str">
        <f>IF(Agent08_Withdrawals!A137="","",Agent08_Withdrawals!K137)</f>
        <v/>
      </c>
      <c r="L1532" s="37" t="str">
        <f>IF(G1532="","",IF(D1532-G1532&gt;=System_Config!$B$9,"✅ OK","⚠️ BREACH"))</f>
        <v/>
      </c>
      <c r="M1532" s="37" t="str">
        <f>IFERROR(IF(Agent08_Withdrawals!A137="","",YEAR(Agent08_Withdrawals!D137)),"")</f>
        <v/>
      </c>
    </row>
    <row r="1533" spans="1:13" ht="18" customHeight="1" x14ac:dyDescent="0.25">
      <c r="A1533" s="37" t="str">
        <f>IF(Agent08_Withdrawals!A138="","",Agent08_Withdrawals!A138)</f>
        <v/>
      </c>
      <c r="B1533" s="37" t="str">
        <f ca="1">IF(Agent08_Withdrawals!A138="","","WD"&amp;TEXT(1533-3,"0000")&amp;"-"&amp;TEXT(TODAY(),"YYYYMMDD"))</f>
        <v/>
      </c>
      <c r="C1533" s="37" t="str">
        <f>IF(Agent08_Withdrawals!A138="","",Agent08_Withdrawals!B138)</f>
        <v/>
      </c>
      <c r="D1533" s="40" t="str">
        <f>IF(Agent08_Withdrawals!A138="","",Agent08_Withdrawals!C138)</f>
        <v/>
      </c>
      <c r="E1533" s="38" t="str">
        <f>IF(Agent08_Withdrawals!A138="","",Agent08_Withdrawals!D138)</f>
        <v/>
      </c>
      <c r="F1533" s="37" t="str">
        <f>IF(Agent08_Withdrawals!A138="","",Agent08_Withdrawals!F138)</f>
        <v/>
      </c>
      <c r="G1533" s="39" t="str">
        <f>IF(Agent08_Withdrawals!A138="","",Agent08_Withdrawals!E138)</f>
        <v/>
      </c>
      <c r="H1533" s="39" t="str">
        <f>IF(Agent08_Withdrawals!A138="","",Agent08_Withdrawals!G138)</f>
        <v/>
      </c>
      <c r="I1533" s="37" t="str">
        <f>IF(Agent08_Withdrawals!A138="","",Agent08_Withdrawals!H138)</f>
        <v/>
      </c>
      <c r="J1533" s="37" t="str">
        <f>IF(Agent08_Withdrawals!A138="","",Agent08_Withdrawals!J138)</f>
        <v/>
      </c>
      <c r="K1533" s="37" t="str">
        <f>IF(Agent08_Withdrawals!A138="","",Agent08_Withdrawals!K138)</f>
        <v/>
      </c>
      <c r="L1533" s="37" t="str">
        <f>IF(G1533="","",IF(D1533-G1533&gt;=System_Config!$B$9,"✅ OK","⚠️ BREACH"))</f>
        <v/>
      </c>
      <c r="M1533" s="37" t="str">
        <f>IFERROR(IF(Agent08_Withdrawals!A138="","",YEAR(Agent08_Withdrawals!D138)),"")</f>
        <v/>
      </c>
    </row>
    <row r="1534" spans="1:13" ht="18" customHeight="1" x14ac:dyDescent="0.25">
      <c r="A1534" s="37" t="str">
        <f>IF(Agent08_Withdrawals!A139="","",Agent08_Withdrawals!A139)</f>
        <v/>
      </c>
      <c r="B1534" s="37" t="str">
        <f ca="1">IF(Agent08_Withdrawals!A139="","","WD"&amp;TEXT(1534-3,"0000")&amp;"-"&amp;TEXT(TODAY(),"YYYYMMDD"))</f>
        <v/>
      </c>
      <c r="C1534" s="37" t="str">
        <f>IF(Agent08_Withdrawals!A139="","",Agent08_Withdrawals!B139)</f>
        <v/>
      </c>
      <c r="D1534" s="40" t="str">
        <f>IF(Agent08_Withdrawals!A139="","",Agent08_Withdrawals!C139)</f>
        <v/>
      </c>
      <c r="E1534" s="38" t="str">
        <f>IF(Agent08_Withdrawals!A139="","",Agent08_Withdrawals!D139)</f>
        <v/>
      </c>
      <c r="F1534" s="37" t="str">
        <f>IF(Agent08_Withdrawals!A139="","",Agent08_Withdrawals!F139)</f>
        <v/>
      </c>
      <c r="G1534" s="39" t="str">
        <f>IF(Agent08_Withdrawals!A139="","",Agent08_Withdrawals!E139)</f>
        <v/>
      </c>
      <c r="H1534" s="39" t="str">
        <f>IF(Agent08_Withdrawals!A139="","",Agent08_Withdrawals!G139)</f>
        <v/>
      </c>
      <c r="I1534" s="37" t="str">
        <f>IF(Agent08_Withdrawals!A139="","",Agent08_Withdrawals!H139)</f>
        <v/>
      </c>
      <c r="J1534" s="37" t="str">
        <f>IF(Agent08_Withdrawals!A139="","",Agent08_Withdrawals!J139)</f>
        <v/>
      </c>
      <c r="K1534" s="37" t="str">
        <f>IF(Agent08_Withdrawals!A139="","",Agent08_Withdrawals!K139)</f>
        <v/>
      </c>
      <c r="L1534" s="37" t="str">
        <f>IF(G1534="","",IF(D1534-G1534&gt;=System_Config!$B$9,"✅ OK","⚠️ BREACH"))</f>
        <v/>
      </c>
      <c r="M1534" s="37" t="str">
        <f>IFERROR(IF(Agent08_Withdrawals!A139="","",YEAR(Agent08_Withdrawals!D139)),"")</f>
        <v/>
      </c>
    </row>
    <row r="1535" spans="1:13" ht="18" customHeight="1" x14ac:dyDescent="0.25">
      <c r="A1535" s="37" t="str">
        <f>IF(Agent08_Withdrawals!A140="","",Agent08_Withdrawals!A140)</f>
        <v/>
      </c>
      <c r="B1535" s="37" t="str">
        <f ca="1">IF(Agent08_Withdrawals!A140="","","WD"&amp;TEXT(1535-3,"0000")&amp;"-"&amp;TEXT(TODAY(),"YYYYMMDD"))</f>
        <v/>
      </c>
      <c r="C1535" s="37" t="str">
        <f>IF(Agent08_Withdrawals!A140="","",Agent08_Withdrawals!B140)</f>
        <v/>
      </c>
      <c r="D1535" s="40" t="str">
        <f>IF(Agent08_Withdrawals!A140="","",Agent08_Withdrawals!C140)</f>
        <v/>
      </c>
      <c r="E1535" s="38" t="str">
        <f>IF(Agent08_Withdrawals!A140="","",Agent08_Withdrawals!D140)</f>
        <v/>
      </c>
      <c r="F1535" s="37" t="str">
        <f>IF(Agent08_Withdrawals!A140="","",Agent08_Withdrawals!F140)</f>
        <v/>
      </c>
      <c r="G1535" s="39" t="str">
        <f>IF(Agent08_Withdrawals!A140="","",Agent08_Withdrawals!E140)</f>
        <v/>
      </c>
      <c r="H1535" s="39" t="str">
        <f>IF(Agent08_Withdrawals!A140="","",Agent08_Withdrawals!G140)</f>
        <v/>
      </c>
      <c r="I1535" s="37" t="str">
        <f>IF(Agent08_Withdrawals!A140="","",Agent08_Withdrawals!H140)</f>
        <v/>
      </c>
      <c r="J1535" s="37" t="str">
        <f>IF(Agent08_Withdrawals!A140="","",Agent08_Withdrawals!J140)</f>
        <v/>
      </c>
      <c r="K1535" s="37" t="str">
        <f>IF(Agent08_Withdrawals!A140="","",Agent08_Withdrawals!K140)</f>
        <v/>
      </c>
      <c r="L1535" s="37" t="str">
        <f>IF(G1535="","",IF(D1535-G1535&gt;=System_Config!$B$9,"✅ OK","⚠️ BREACH"))</f>
        <v/>
      </c>
      <c r="M1535" s="37" t="str">
        <f>IFERROR(IF(Agent08_Withdrawals!A140="","",YEAR(Agent08_Withdrawals!D140)),"")</f>
        <v/>
      </c>
    </row>
    <row r="1536" spans="1:13" ht="18" customHeight="1" x14ac:dyDescent="0.25">
      <c r="A1536" s="37" t="str">
        <f>IF(Agent08_Withdrawals!A141="","",Agent08_Withdrawals!A141)</f>
        <v/>
      </c>
      <c r="B1536" s="37" t="str">
        <f ca="1">IF(Agent08_Withdrawals!A141="","","WD"&amp;TEXT(1536-3,"0000")&amp;"-"&amp;TEXT(TODAY(),"YYYYMMDD"))</f>
        <v/>
      </c>
      <c r="C1536" s="37" t="str">
        <f>IF(Agent08_Withdrawals!A141="","",Agent08_Withdrawals!B141)</f>
        <v/>
      </c>
      <c r="D1536" s="40" t="str">
        <f>IF(Agent08_Withdrawals!A141="","",Agent08_Withdrawals!C141)</f>
        <v/>
      </c>
      <c r="E1536" s="38" t="str">
        <f>IF(Agent08_Withdrawals!A141="","",Agent08_Withdrawals!D141)</f>
        <v/>
      </c>
      <c r="F1536" s="37" t="str">
        <f>IF(Agent08_Withdrawals!A141="","",Agent08_Withdrawals!F141)</f>
        <v/>
      </c>
      <c r="G1536" s="39" t="str">
        <f>IF(Agent08_Withdrawals!A141="","",Agent08_Withdrawals!E141)</f>
        <v/>
      </c>
      <c r="H1536" s="39" t="str">
        <f>IF(Agent08_Withdrawals!A141="","",Agent08_Withdrawals!G141)</f>
        <v/>
      </c>
      <c r="I1536" s="37" t="str">
        <f>IF(Agent08_Withdrawals!A141="","",Agent08_Withdrawals!H141)</f>
        <v/>
      </c>
      <c r="J1536" s="37" t="str">
        <f>IF(Agent08_Withdrawals!A141="","",Agent08_Withdrawals!J141)</f>
        <v/>
      </c>
      <c r="K1536" s="37" t="str">
        <f>IF(Agent08_Withdrawals!A141="","",Agent08_Withdrawals!K141)</f>
        <v/>
      </c>
      <c r="L1536" s="37" t="str">
        <f>IF(G1536="","",IF(D1536-G1536&gt;=System_Config!$B$9,"✅ OK","⚠️ BREACH"))</f>
        <v/>
      </c>
      <c r="M1536" s="37" t="str">
        <f>IFERROR(IF(Agent08_Withdrawals!A141="","",YEAR(Agent08_Withdrawals!D141)),"")</f>
        <v/>
      </c>
    </row>
    <row r="1537" spans="1:13" ht="18" customHeight="1" x14ac:dyDescent="0.25">
      <c r="A1537" s="37" t="str">
        <f>IF(Agent08_Withdrawals!A142="","",Agent08_Withdrawals!A142)</f>
        <v/>
      </c>
      <c r="B1537" s="37" t="str">
        <f ca="1">IF(Agent08_Withdrawals!A142="","","WD"&amp;TEXT(1537-3,"0000")&amp;"-"&amp;TEXT(TODAY(),"YYYYMMDD"))</f>
        <v/>
      </c>
      <c r="C1537" s="37" t="str">
        <f>IF(Agent08_Withdrawals!A142="","",Agent08_Withdrawals!B142)</f>
        <v/>
      </c>
      <c r="D1537" s="40" t="str">
        <f>IF(Agent08_Withdrawals!A142="","",Agent08_Withdrawals!C142)</f>
        <v/>
      </c>
      <c r="E1537" s="38" t="str">
        <f>IF(Agent08_Withdrawals!A142="","",Agent08_Withdrawals!D142)</f>
        <v/>
      </c>
      <c r="F1537" s="37" t="str">
        <f>IF(Agent08_Withdrawals!A142="","",Agent08_Withdrawals!F142)</f>
        <v/>
      </c>
      <c r="G1537" s="39" t="str">
        <f>IF(Agent08_Withdrawals!A142="","",Agent08_Withdrawals!E142)</f>
        <v/>
      </c>
      <c r="H1537" s="39" t="str">
        <f>IF(Agent08_Withdrawals!A142="","",Agent08_Withdrawals!G142)</f>
        <v/>
      </c>
      <c r="I1537" s="37" t="str">
        <f>IF(Agent08_Withdrawals!A142="","",Agent08_Withdrawals!H142)</f>
        <v/>
      </c>
      <c r="J1537" s="37" t="str">
        <f>IF(Agent08_Withdrawals!A142="","",Agent08_Withdrawals!J142)</f>
        <v/>
      </c>
      <c r="K1537" s="37" t="str">
        <f>IF(Agent08_Withdrawals!A142="","",Agent08_Withdrawals!K142)</f>
        <v/>
      </c>
      <c r="L1537" s="37" t="str">
        <f>IF(G1537="","",IF(D1537-G1537&gt;=System_Config!$B$9,"✅ OK","⚠️ BREACH"))</f>
        <v/>
      </c>
      <c r="M1537" s="37" t="str">
        <f>IFERROR(IF(Agent08_Withdrawals!A142="","",YEAR(Agent08_Withdrawals!D142)),"")</f>
        <v/>
      </c>
    </row>
    <row r="1538" spans="1:13" ht="18" customHeight="1" x14ac:dyDescent="0.25">
      <c r="A1538" s="37" t="str">
        <f>IF(Agent08_Withdrawals!A143="","",Agent08_Withdrawals!A143)</f>
        <v/>
      </c>
      <c r="B1538" s="37" t="str">
        <f ca="1">IF(Agent08_Withdrawals!A143="","","WD"&amp;TEXT(1538-3,"0000")&amp;"-"&amp;TEXT(TODAY(),"YYYYMMDD"))</f>
        <v/>
      </c>
      <c r="C1538" s="37" t="str">
        <f>IF(Agent08_Withdrawals!A143="","",Agent08_Withdrawals!B143)</f>
        <v/>
      </c>
      <c r="D1538" s="40" t="str">
        <f>IF(Agent08_Withdrawals!A143="","",Agent08_Withdrawals!C143)</f>
        <v/>
      </c>
      <c r="E1538" s="38" t="str">
        <f>IF(Agent08_Withdrawals!A143="","",Agent08_Withdrawals!D143)</f>
        <v/>
      </c>
      <c r="F1538" s="37" t="str">
        <f>IF(Agent08_Withdrawals!A143="","",Agent08_Withdrawals!F143)</f>
        <v/>
      </c>
      <c r="G1538" s="39" t="str">
        <f>IF(Agent08_Withdrawals!A143="","",Agent08_Withdrawals!E143)</f>
        <v/>
      </c>
      <c r="H1538" s="39" t="str">
        <f>IF(Agent08_Withdrawals!A143="","",Agent08_Withdrawals!G143)</f>
        <v/>
      </c>
      <c r="I1538" s="37" t="str">
        <f>IF(Agent08_Withdrawals!A143="","",Agent08_Withdrawals!H143)</f>
        <v/>
      </c>
      <c r="J1538" s="37" t="str">
        <f>IF(Agent08_Withdrawals!A143="","",Agent08_Withdrawals!J143)</f>
        <v/>
      </c>
      <c r="K1538" s="37" t="str">
        <f>IF(Agent08_Withdrawals!A143="","",Agent08_Withdrawals!K143)</f>
        <v/>
      </c>
      <c r="L1538" s="37" t="str">
        <f>IF(G1538="","",IF(D1538-G1538&gt;=System_Config!$B$9,"✅ OK","⚠️ BREACH"))</f>
        <v/>
      </c>
      <c r="M1538" s="37" t="str">
        <f>IFERROR(IF(Agent08_Withdrawals!A143="","",YEAR(Agent08_Withdrawals!D143)),"")</f>
        <v/>
      </c>
    </row>
    <row r="1539" spans="1:13" ht="18" customHeight="1" x14ac:dyDescent="0.25">
      <c r="A1539" s="37" t="str">
        <f>IF(Agent08_Withdrawals!A144="","",Agent08_Withdrawals!A144)</f>
        <v/>
      </c>
      <c r="B1539" s="37" t="str">
        <f ca="1">IF(Agent08_Withdrawals!A144="","","WD"&amp;TEXT(1539-3,"0000")&amp;"-"&amp;TEXT(TODAY(),"YYYYMMDD"))</f>
        <v/>
      </c>
      <c r="C1539" s="37" t="str">
        <f>IF(Agent08_Withdrawals!A144="","",Agent08_Withdrawals!B144)</f>
        <v/>
      </c>
      <c r="D1539" s="40" t="str">
        <f>IF(Agent08_Withdrawals!A144="","",Agent08_Withdrawals!C144)</f>
        <v/>
      </c>
      <c r="E1539" s="38" t="str">
        <f>IF(Agent08_Withdrawals!A144="","",Agent08_Withdrawals!D144)</f>
        <v/>
      </c>
      <c r="F1539" s="37" t="str">
        <f>IF(Agent08_Withdrawals!A144="","",Agent08_Withdrawals!F144)</f>
        <v/>
      </c>
      <c r="G1539" s="39" t="str">
        <f>IF(Agent08_Withdrawals!A144="","",Agent08_Withdrawals!E144)</f>
        <v/>
      </c>
      <c r="H1539" s="39" t="str">
        <f>IF(Agent08_Withdrawals!A144="","",Agent08_Withdrawals!G144)</f>
        <v/>
      </c>
      <c r="I1539" s="37" t="str">
        <f>IF(Agent08_Withdrawals!A144="","",Agent08_Withdrawals!H144)</f>
        <v/>
      </c>
      <c r="J1539" s="37" t="str">
        <f>IF(Agent08_Withdrawals!A144="","",Agent08_Withdrawals!J144)</f>
        <v/>
      </c>
      <c r="K1539" s="37" t="str">
        <f>IF(Agent08_Withdrawals!A144="","",Agent08_Withdrawals!K144)</f>
        <v/>
      </c>
      <c r="L1539" s="37" t="str">
        <f>IF(G1539="","",IF(D1539-G1539&gt;=System_Config!$B$9,"✅ OK","⚠️ BREACH"))</f>
        <v/>
      </c>
      <c r="M1539" s="37" t="str">
        <f>IFERROR(IF(Agent08_Withdrawals!A144="","",YEAR(Agent08_Withdrawals!D144)),"")</f>
        <v/>
      </c>
    </row>
    <row r="1540" spans="1:13" ht="18" customHeight="1" x14ac:dyDescent="0.25">
      <c r="A1540" s="37" t="str">
        <f>IF(Agent08_Withdrawals!A145="","",Agent08_Withdrawals!A145)</f>
        <v/>
      </c>
      <c r="B1540" s="37" t="str">
        <f ca="1">IF(Agent08_Withdrawals!A145="","","WD"&amp;TEXT(1540-3,"0000")&amp;"-"&amp;TEXT(TODAY(),"YYYYMMDD"))</f>
        <v/>
      </c>
      <c r="C1540" s="37" t="str">
        <f>IF(Agent08_Withdrawals!A145="","",Agent08_Withdrawals!B145)</f>
        <v/>
      </c>
      <c r="D1540" s="40" t="str">
        <f>IF(Agent08_Withdrawals!A145="","",Agent08_Withdrawals!C145)</f>
        <v/>
      </c>
      <c r="E1540" s="38" t="str">
        <f>IF(Agent08_Withdrawals!A145="","",Agent08_Withdrawals!D145)</f>
        <v/>
      </c>
      <c r="F1540" s="37" t="str">
        <f>IF(Agent08_Withdrawals!A145="","",Agent08_Withdrawals!F145)</f>
        <v/>
      </c>
      <c r="G1540" s="39" t="str">
        <f>IF(Agent08_Withdrawals!A145="","",Agent08_Withdrawals!E145)</f>
        <v/>
      </c>
      <c r="H1540" s="39" t="str">
        <f>IF(Agent08_Withdrawals!A145="","",Agent08_Withdrawals!G145)</f>
        <v/>
      </c>
      <c r="I1540" s="37" t="str">
        <f>IF(Agent08_Withdrawals!A145="","",Agent08_Withdrawals!H145)</f>
        <v/>
      </c>
      <c r="J1540" s="37" t="str">
        <f>IF(Agent08_Withdrawals!A145="","",Agent08_Withdrawals!J145)</f>
        <v/>
      </c>
      <c r="K1540" s="37" t="str">
        <f>IF(Agent08_Withdrawals!A145="","",Agent08_Withdrawals!K145)</f>
        <v/>
      </c>
      <c r="L1540" s="37" t="str">
        <f>IF(G1540="","",IF(D1540-G1540&gt;=System_Config!$B$9,"✅ OK","⚠️ BREACH"))</f>
        <v/>
      </c>
      <c r="M1540" s="37" t="str">
        <f>IFERROR(IF(Agent08_Withdrawals!A145="","",YEAR(Agent08_Withdrawals!D145)),"")</f>
        <v/>
      </c>
    </row>
    <row r="1541" spans="1:13" ht="18" customHeight="1" x14ac:dyDescent="0.25">
      <c r="A1541" s="37" t="str">
        <f>IF(Agent08_Withdrawals!A146="","",Agent08_Withdrawals!A146)</f>
        <v/>
      </c>
      <c r="B1541" s="37" t="str">
        <f ca="1">IF(Agent08_Withdrawals!A146="","","WD"&amp;TEXT(1541-3,"0000")&amp;"-"&amp;TEXT(TODAY(),"YYYYMMDD"))</f>
        <v/>
      </c>
      <c r="C1541" s="37" t="str">
        <f>IF(Agent08_Withdrawals!A146="","",Agent08_Withdrawals!B146)</f>
        <v/>
      </c>
      <c r="D1541" s="40" t="str">
        <f>IF(Agent08_Withdrawals!A146="","",Agent08_Withdrawals!C146)</f>
        <v/>
      </c>
      <c r="E1541" s="38" t="str">
        <f>IF(Agent08_Withdrawals!A146="","",Agent08_Withdrawals!D146)</f>
        <v/>
      </c>
      <c r="F1541" s="37" t="str">
        <f>IF(Agent08_Withdrawals!A146="","",Agent08_Withdrawals!F146)</f>
        <v/>
      </c>
      <c r="G1541" s="39" t="str">
        <f>IF(Agent08_Withdrawals!A146="","",Agent08_Withdrawals!E146)</f>
        <v/>
      </c>
      <c r="H1541" s="39" t="str">
        <f>IF(Agent08_Withdrawals!A146="","",Agent08_Withdrawals!G146)</f>
        <v/>
      </c>
      <c r="I1541" s="37" t="str">
        <f>IF(Agent08_Withdrawals!A146="","",Agent08_Withdrawals!H146)</f>
        <v/>
      </c>
      <c r="J1541" s="37" t="str">
        <f>IF(Agent08_Withdrawals!A146="","",Agent08_Withdrawals!J146)</f>
        <v/>
      </c>
      <c r="K1541" s="37" t="str">
        <f>IF(Agent08_Withdrawals!A146="","",Agent08_Withdrawals!K146)</f>
        <v/>
      </c>
      <c r="L1541" s="37" t="str">
        <f>IF(G1541="","",IF(D1541-G1541&gt;=System_Config!$B$9,"✅ OK","⚠️ BREACH"))</f>
        <v/>
      </c>
      <c r="M1541" s="37" t="str">
        <f>IFERROR(IF(Agent08_Withdrawals!A146="","",YEAR(Agent08_Withdrawals!D146)),"")</f>
        <v/>
      </c>
    </row>
    <row r="1542" spans="1:13" ht="18" customHeight="1" x14ac:dyDescent="0.25">
      <c r="A1542" s="37" t="str">
        <f>IF(Agent08_Withdrawals!A147="","",Agent08_Withdrawals!A147)</f>
        <v/>
      </c>
      <c r="B1542" s="37" t="str">
        <f ca="1">IF(Agent08_Withdrawals!A147="","","WD"&amp;TEXT(1542-3,"0000")&amp;"-"&amp;TEXT(TODAY(),"YYYYMMDD"))</f>
        <v/>
      </c>
      <c r="C1542" s="37" t="str">
        <f>IF(Agent08_Withdrawals!A147="","",Agent08_Withdrawals!B147)</f>
        <v/>
      </c>
      <c r="D1542" s="40" t="str">
        <f>IF(Agent08_Withdrawals!A147="","",Agent08_Withdrawals!C147)</f>
        <v/>
      </c>
      <c r="E1542" s="38" t="str">
        <f>IF(Agent08_Withdrawals!A147="","",Agent08_Withdrawals!D147)</f>
        <v/>
      </c>
      <c r="F1542" s="37" t="str">
        <f>IF(Agent08_Withdrawals!A147="","",Agent08_Withdrawals!F147)</f>
        <v/>
      </c>
      <c r="G1542" s="39" t="str">
        <f>IF(Agent08_Withdrawals!A147="","",Agent08_Withdrawals!E147)</f>
        <v/>
      </c>
      <c r="H1542" s="39" t="str">
        <f>IF(Agent08_Withdrawals!A147="","",Agent08_Withdrawals!G147)</f>
        <v/>
      </c>
      <c r="I1542" s="37" t="str">
        <f>IF(Agent08_Withdrawals!A147="","",Agent08_Withdrawals!H147)</f>
        <v/>
      </c>
      <c r="J1542" s="37" t="str">
        <f>IF(Agent08_Withdrawals!A147="","",Agent08_Withdrawals!J147)</f>
        <v/>
      </c>
      <c r="K1542" s="37" t="str">
        <f>IF(Agent08_Withdrawals!A147="","",Agent08_Withdrawals!K147)</f>
        <v/>
      </c>
      <c r="L1542" s="37" t="str">
        <f>IF(G1542="","",IF(D1542-G1542&gt;=System_Config!$B$9,"✅ OK","⚠️ BREACH"))</f>
        <v/>
      </c>
      <c r="M1542" s="37" t="str">
        <f>IFERROR(IF(Agent08_Withdrawals!A147="","",YEAR(Agent08_Withdrawals!D147)),"")</f>
        <v/>
      </c>
    </row>
    <row r="1543" spans="1:13" ht="18" customHeight="1" x14ac:dyDescent="0.25">
      <c r="A1543" s="37" t="str">
        <f>IF(Agent08_Withdrawals!A148="","",Agent08_Withdrawals!A148)</f>
        <v/>
      </c>
      <c r="B1543" s="37" t="str">
        <f ca="1">IF(Agent08_Withdrawals!A148="","","WD"&amp;TEXT(1543-3,"0000")&amp;"-"&amp;TEXT(TODAY(),"YYYYMMDD"))</f>
        <v/>
      </c>
      <c r="C1543" s="37" t="str">
        <f>IF(Agent08_Withdrawals!A148="","",Agent08_Withdrawals!B148)</f>
        <v/>
      </c>
      <c r="D1543" s="40" t="str">
        <f>IF(Agent08_Withdrawals!A148="","",Agent08_Withdrawals!C148)</f>
        <v/>
      </c>
      <c r="E1543" s="38" t="str">
        <f>IF(Agent08_Withdrawals!A148="","",Agent08_Withdrawals!D148)</f>
        <v/>
      </c>
      <c r="F1543" s="37" t="str">
        <f>IF(Agent08_Withdrawals!A148="","",Agent08_Withdrawals!F148)</f>
        <v/>
      </c>
      <c r="G1543" s="39" t="str">
        <f>IF(Agent08_Withdrawals!A148="","",Agent08_Withdrawals!E148)</f>
        <v/>
      </c>
      <c r="H1543" s="39" t="str">
        <f>IF(Agent08_Withdrawals!A148="","",Agent08_Withdrawals!G148)</f>
        <v/>
      </c>
      <c r="I1543" s="37" t="str">
        <f>IF(Agent08_Withdrawals!A148="","",Agent08_Withdrawals!H148)</f>
        <v/>
      </c>
      <c r="J1543" s="37" t="str">
        <f>IF(Agent08_Withdrawals!A148="","",Agent08_Withdrawals!J148)</f>
        <v/>
      </c>
      <c r="K1543" s="37" t="str">
        <f>IF(Agent08_Withdrawals!A148="","",Agent08_Withdrawals!K148)</f>
        <v/>
      </c>
      <c r="L1543" s="37" t="str">
        <f>IF(G1543="","",IF(D1543-G1543&gt;=System_Config!$B$9,"✅ OK","⚠️ BREACH"))</f>
        <v/>
      </c>
      <c r="M1543" s="37" t="str">
        <f>IFERROR(IF(Agent08_Withdrawals!A148="","",YEAR(Agent08_Withdrawals!D148)),"")</f>
        <v/>
      </c>
    </row>
    <row r="1544" spans="1:13" ht="18" customHeight="1" x14ac:dyDescent="0.25">
      <c r="A1544" s="37" t="str">
        <f>IF(Agent08_Withdrawals!A149="","",Agent08_Withdrawals!A149)</f>
        <v/>
      </c>
      <c r="B1544" s="37" t="str">
        <f ca="1">IF(Agent08_Withdrawals!A149="","","WD"&amp;TEXT(1544-3,"0000")&amp;"-"&amp;TEXT(TODAY(),"YYYYMMDD"))</f>
        <v/>
      </c>
      <c r="C1544" s="37" t="str">
        <f>IF(Agent08_Withdrawals!A149="","",Agent08_Withdrawals!B149)</f>
        <v/>
      </c>
      <c r="D1544" s="40" t="str">
        <f>IF(Agent08_Withdrawals!A149="","",Agent08_Withdrawals!C149)</f>
        <v/>
      </c>
      <c r="E1544" s="38" t="str">
        <f>IF(Agent08_Withdrawals!A149="","",Agent08_Withdrawals!D149)</f>
        <v/>
      </c>
      <c r="F1544" s="37" t="str">
        <f>IF(Agent08_Withdrawals!A149="","",Agent08_Withdrawals!F149)</f>
        <v/>
      </c>
      <c r="G1544" s="39" t="str">
        <f>IF(Agent08_Withdrawals!A149="","",Agent08_Withdrawals!E149)</f>
        <v/>
      </c>
      <c r="H1544" s="39" t="str">
        <f>IF(Agent08_Withdrawals!A149="","",Agent08_Withdrawals!G149)</f>
        <v/>
      </c>
      <c r="I1544" s="37" t="str">
        <f>IF(Agent08_Withdrawals!A149="","",Agent08_Withdrawals!H149)</f>
        <v/>
      </c>
      <c r="J1544" s="37" t="str">
        <f>IF(Agent08_Withdrawals!A149="","",Agent08_Withdrawals!J149)</f>
        <v/>
      </c>
      <c r="K1544" s="37" t="str">
        <f>IF(Agent08_Withdrawals!A149="","",Agent08_Withdrawals!K149)</f>
        <v/>
      </c>
      <c r="L1544" s="37" t="str">
        <f>IF(G1544="","",IF(D1544-G1544&gt;=System_Config!$B$9,"✅ OK","⚠️ BREACH"))</f>
        <v/>
      </c>
      <c r="M1544" s="37" t="str">
        <f>IFERROR(IF(Agent08_Withdrawals!A149="","",YEAR(Agent08_Withdrawals!D149)),"")</f>
        <v/>
      </c>
    </row>
    <row r="1545" spans="1:13" ht="18" customHeight="1" x14ac:dyDescent="0.25">
      <c r="A1545" s="37" t="str">
        <f>IF(Agent08_Withdrawals!A150="","",Agent08_Withdrawals!A150)</f>
        <v/>
      </c>
      <c r="B1545" s="37" t="str">
        <f ca="1">IF(Agent08_Withdrawals!A150="","","WD"&amp;TEXT(1545-3,"0000")&amp;"-"&amp;TEXT(TODAY(),"YYYYMMDD"))</f>
        <v/>
      </c>
      <c r="C1545" s="37" t="str">
        <f>IF(Agent08_Withdrawals!A150="","",Agent08_Withdrawals!B150)</f>
        <v/>
      </c>
      <c r="D1545" s="40" t="str">
        <f>IF(Agent08_Withdrawals!A150="","",Agent08_Withdrawals!C150)</f>
        <v/>
      </c>
      <c r="E1545" s="38" t="str">
        <f>IF(Agent08_Withdrawals!A150="","",Agent08_Withdrawals!D150)</f>
        <v/>
      </c>
      <c r="F1545" s="37" t="str">
        <f>IF(Agent08_Withdrawals!A150="","",Agent08_Withdrawals!F150)</f>
        <v/>
      </c>
      <c r="G1545" s="39" t="str">
        <f>IF(Agent08_Withdrawals!A150="","",Agent08_Withdrawals!E150)</f>
        <v/>
      </c>
      <c r="H1545" s="39" t="str">
        <f>IF(Agent08_Withdrawals!A150="","",Agent08_Withdrawals!G150)</f>
        <v/>
      </c>
      <c r="I1545" s="37" t="str">
        <f>IF(Agent08_Withdrawals!A150="","",Agent08_Withdrawals!H150)</f>
        <v/>
      </c>
      <c r="J1545" s="37" t="str">
        <f>IF(Agent08_Withdrawals!A150="","",Agent08_Withdrawals!J150)</f>
        <v/>
      </c>
      <c r="K1545" s="37" t="str">
        <f>IF(Agent08_Withdrawals!A150="","",Agent08_Withdrawals!K150)</f>
        <v/>
      </c>
      <c r="L1545" s="37" t="str">
        <f>IF(G1545="","",IF(D1545-G1545&gt;=System_Config!$B$9,"✅ OK","⚠️ BREACH"))</f>
        <v/>
      </c>
      <c r="M1545" s="37" t="str">
        <f>IFERROR(IF(Agent08_Withdrawals!A150="","",YEAR(Agent08_Withdrawals!D150)),"")</f>
        <v/>
      </c>
    </row>
    <row r="1546" spans="1:13" ht="18" customHeight="1" x14ac:dyDescent="0.25">
      <c r="A1546" s="37" t="str">
        <f>IF(Agent08_Withdrawals!A151="","",Agent08_Withdrawals!A151)</f>
        <v/>
      </c>
      <c r="B1546" s="37" t="str">
        <f ca="1">IF(Agent08_Withdrawals!A151="","","WD"&amp;TEXT(1546-3,"0000")&amp;"-"&amp;TEXT(TODAY(),"YYYYMMDD"))</f>
        <v/>
      </c>
      <c r="C1546" s="37" t="str">
        <f>IF(Agent08_Withdrawals!A151="","",Agent08_Withdrawals!B151)</f>
        <v/>
      </c>
      <c r="D1546" s="40" t="str">
        <f>IF(Agent08_Withdrawals!A151="","",Agent08_Withdrawals!C151)</f>
        <v/>
      </c>
      <c r="E1546" s="38" t="str">
        <f>IF(Agent08_Withdrawals!A151="","",Agent08_Withdrawals!D151)</f>
        <v/>
      </c>
      <c r="F1546" s="37" t="str">
        <f>IF(Agent08_Withdrawals!A151="","",Agent08_Withdrawals!F151)</f>
        <v/>
      </c>
      <c r="G1546" s="39" t="str">
        <f>IF(Agent08_Withdrawals!A151="","",Agent08_Withdrawals!E151)</f>
        <v/>
      </c>
      <c r="H1546" s="39" t="str">
        <f>IF(Agent08_Withdrawals!A151="","",Agent08_Withdrawals!G151)</f>
        <v/>
      </c>
      <c r="I1546" s="37" t="str">
        <f>IF(Agent08_Withdrawals!A151="","",Agent08_Withdrawals!H151)</f>
        <v/>
      </c>
      <c r="J1546" s="37" t="str">
        <f>IF(Agent08_Withdrawals!A151="","",Agent08_Withdrawals!J151)</f>
        <v/>
      </c>
      <c r="K1546" s="37" t="str">
        <f>IF(Agent08_Withdrawals!A151="","",Agent08_Withdrawals!K151)</f>
        <v/>
      </c>
      <c r="L1546" s="37" t="str">
        <f>IF(G1546="","",IF(D1546-G1546&gt;=System_Config!$B$9,"✅ OK","⚠️ BREACH"))</f>
        <v/>
      </c>
      <c r="M1546" s="37" t="str">
        <f>IFERROR(IF(Agent08_Withdrawals!A151="","",YEAR(Agent08_Withdrawals!D151)),"")</f>
        <v/>
      </c>
    </row>
    <row r="1547" spans="1:13" ht="18" customHeight="1" x14ac:dyDescent="0.25">
      <c r="A1547" s="37" t="str">
        <f>IF(Agent08_Withdrawals!A152="","",Agent08_Withdrawals!A152)</f>
        <v/>
      </c>
      <c r="B1547" s="37" t="str">
        <f ca="1">IF(Agent08_Withdrawals!A152="","","WD"&amp;TEXT(1547-3,"0000")&amp;"-"&amp;TEXT(TODAY(),"YYYYMMDD"))</f>
        <v/>
      </c>
      <c r="C1547" s="37" t="str">
        <f>IF(Agent08_Withdrawals!A152="","",Agent08_Withdrawals!B152)</f>
        <v/>
      </c>
      <c r="D1547" s="40" t="str">
        <f>IF(Agent08_Withdrawals!A152="","",Agent08_Withdrawals!C152)</f>
        <v/>
      </c>
      <c r="E1547" s="38" t="str">
        <f>IF(Agent08_Withdrawals!A152="","",Agent08_Withdrawals!D152)</f>
        <v/>
      </c>
      <c r="F1547" s="37" t="str">
        <f>IF(Agent08_Withdrawals!A152="","",Agent08_Withdrawals!F152)</f>
        <v/>
      </c>
      <c r="G1547" s="39" t="str">
        <f>IF(Agent08_Withdrawals!A152="","",Agent08_Withdrawals!E152)</f>
        <v/>
      </c>
      <c r="H1547" s="39" t="str">
        <f>IF(Agent08_Withdrawals!A152="","",Agent08_Withdrawals!G152)</f>
        <v/>
      </c>
      <c r="I1547" s="37" t="str">
        <f>IF(Agent08_Withdrawals!A152="","",Agent08_Withdrawals!H152)</f>
        <v/>
      </c>
      <c r="J1547" s="37" t="str">
        <f>IF(Agent08_Withdrawals!A152="","",Agent08_Withdrawals!J152)</f>
        <v/>
      </c>
      <c r="K1547" s="37" t="str">
        <f>IF(Agent08_Withdrawals!A152="","",Agent08_Withdrawals!K152)</f>
        <v/>
      </c>
      <c r="L1547" s="37" t="str">
        <f>IF(G1547="","",IF(D1547-G1547&gt;=System_Config!$B$9,"✅ OK","⚠️ BREACH"))</f>
        <v/>
      </c>
      <c r="M1547" s="37" t="str">
        <f>IFERROR(IF(Agent08_Withdrawals!A152="","",YEAR(Agent08_Withdrawals!D152)),"")</f>
        <v/>
      </c>
    </row>
    <row r="1548" spans="1:13" ht="18" customHeight="1" x14ac:dyDescent="0.25">
      <c r="A1548" s="37" t="str">
        <f>IF(Agent08_Withdrawals!A153="","",Agent08_Withdrawals!A153)</f>
        <v/>
      </c>
      <c r="B1548" s="37" t="str">
        <f ca="1">IF(Agent08_Withdrawals!A153="","","WD"&amp;TEXT(1548-3,"0000")&amp;"-"&amp;TEXT(TODAY(),"YYYYMMDD"))</f>
        <v/>
      </c>
      <c r="C1548" s="37" t="str">
        <f>IF(Agent08_Withdrawals!A153="","",Agent08_Withdrawals!B153)</f>
        <v/>
      </c>
      <c r="D1548" s="40" t="str">
        <f>IF(Agent08_Withdrawals!A153="","",Agent08_Withdrawals!C153)</f>
        <v/>
      </c>
      <c r="E1548" s="38" t="str">
        <f>IF(Agent08_Withdrawals!A153="","",Agent08_Withdrawals!D153)</f>
        <v/>
      </c>
      <c r="F1548" s="37" t="str">
        <f>IF(Agent08_Withdrawals!A153="","",Agent08_Withdrawals!F153)</f>
        <v/>
      </c>
      <c r="G1548" s="39" t="str">
        <f>IF(Agent08_Withdrawals!A153="","",Agent08_Withdrawals!E153)</f>
        <v/>
      </c>
      <c r="H1548" s="39" t="str">
        <f>IF(Agent08_Withdrawals!A153="","",Agent08_Withdrawals!G153)</f>
        <v/>
      </c>
      <c r="I1548" s="37" t="str">
        <f>IF(Agent08_Withdrawals!A153="","",Agent08_Withdrawals!H153)</f>
        <v/>
      </c>
      <c r="J1548" s="37" t="str">
        <f>IF(Agent08_Withdrawals!A153="","",Agent08_Withdrawals!J153)</f>
        <v/>
      </c>
      <c r="K1548" s="37" t="str">
        <f>IF(Agent08_Withdrawals!A153="","",Agent08_Withdrawals!K153)</f>
        <v/>
      </c>
      <c r="L1548" s="37" t="str">
        <f>IF(G1548="","",IF(D1548-G1548&gt;=System_Config!$B$9,"✅ OK","⚠️ BREACH"))</f>
        <v/>
      </c>
      <c r="M1548" s="37" t="str">
        <f>IFERROR(IF(Agent08_Withdrawals!A153="","",YEAR(Agent08_Withdrawals!D153)),"")</f>
        <v/>
      </c>
    </row>
    <row r="1549" spans="1:13" ht="18" customHeight="1" x14ac:dyDescent="0.25">
      <c r="A1549" s="37" t="str">
        <f>IF(Agent08_Withdrawals!A154="","",Agent08_Withdrawals!A154)</f>
        <v/>
      </c>
      <c r="B1549" s="37" t="str">
        <f ca="1">IF(Agent08_Withdrawals!A154="","","WD"&amp;TEXT(1549-3,"0000")&amp;"-"&amp;TEXT(TODAY(),"YYYYMMDD"))</f>
        <v/>
      </c>
      <c r="C1549" s="37" t="str">
        <f>IF(Agent08_Withdrawals!A154="","",Agent08_Withdrawals!B154)</f>
        <v/>
      </c>
      <c r="D1549" s="40" t="str">
        <f>IF(Agent08_Withdrawals!A154="","",Agent08_Withdrawals!C154)</f>
        <v/>
      </c>
      <c r="E1549" s="38" t="str">
        <f>IF(Agent08_Withdrawals!A154="","",Agent08_Withdrawals!D154)</f>
        <v/>
      </c>
      <c r="F1549" s="37" t="str">
        <f>IF(Agent08_Withdrawals!A154="","",Agent08_Withdrawals!F154)</f>
        <v/>
      </c>
      <c r="G1549" s="39" t="str">
        <f>IF(Agent08_Withdrawals!A154="","",Agent08_Withdrawals!E154)</f>
        <v/>
      </c>
      <c r="H1549" s="39" t="str">
        <f>IF(Agent08_Withdrawals!A154="","",Agent08_Withdrawals!G154)</f>
        <v/>
      </c>
      <c r="I1549" s="37" t="str">
        <f>IF(Agent08_Withdrawals!A154="","",Agent08_Withdrawals!H154)</f>
        <v/>
      </c>
      <c r="J1549" s="37" t="str">
        <f>IF(Agent08_Withdrawals!A154="","",Agent08_Withdrawals!J154)</f>
        <v/>
      </c>
      <c r="K1549" s="37" t="str">
        <f>IF(Agent08_Withdrawals!A154="","",Agent08_Withdrawals!K154)</f>
        <v/>
      </c>
      <c r="L1549" s="37" t="str">
        <f>IF(G1549="","",IF(D1549-G1549&gt;=System_Config!$B$9,"✅ OK","⚠️ BREACH"))</f>
        <v/>
      </c>
      <c r="M1549" s="37" t="str">
        <f>IFERROR(IF(Agent08_Withdrawals!A154="","",YEAR(Agent08_Withdrawals!D154)),"")</f>
        <v/>
      </c>
    </row>
    <row r="1550" spans="1:13" ht="18" customHeight="1" x14ac:dyDescent="0.25">
      <c r="A1550" s="37" t="str">
        <f>IF(Agent08_Withdrawals!A155="","",Agent08_Withdrawals!A155)</f>
        <v/>
      </c>
      <c r="B1550" s="37" t="str">
        <f ca="1">IF(Agent08_Withdrawals!A155="","","WD"&amp;TEXT(1550-3,"0000")&amp;"-"&amp;TEXT(TODAY(),"YYYYMMDD"))</f>
        <v/>
      </c>
      <c r="C1550" s="37" t="str">
        <f>IF(Agent08_Withdrawals!A155="","",Agent08_Withdrawals!B155)</f>
        <v/>
      </c>
      <c r="D1550" s="40" t="str">
        <f>IF(Agent08_Withdrawals!A155="","",Agent08_Withdrawals!C155)</f>
        <v/>
      </c>
      <c r="E1550" s="38" t="str">
        <f>IF(Agent08_Withdrawals!A155="","",Agent08_Withdrawals!D155)</f>
        <v/>
      </c>
      <c r="F1550" s="37" t="str">
        <f>IF(Agent08_Withdrawals!A155="","",Agent08_Withdrawals!F155)</f>
        <v/>
      </c>
      <c r="G1550" s="39" t="str">
        <f>IF(Agent08_Withdrawals!A155="","",Agent08_Withdrawals!E155)</f>
        <v/>
      </c>
      <c r="H1550" s="39" t="str">
        <f>IF(Agent08_Withdrawals!A155="","",Agent08_Withdrawals!G155)</f>
        <v/>
      </c>
      <c r="I1550" s="37" t="str">
        <f>IF(Agent08_Withdrawals!A155="","",Agent08_Withdrawals!H155)</f>
        <v/>
      </c>
      <c r="J1550" s="37" t="str">
        <f>IF(Agent08_Withdrawals!A155="","",Agent08_Withdrawals!J155)</f>
        <v/>
      </c>
      <c r="K1550" s="37" t="str">
        <f>IF(Agent08_Withdrawals!A155="","",Agent08_Withdrawals!K155)</f>
        <v/>
      </c>
      <c r="L1550" s="37" t="str">
        <f>IF(G1550="","",IF(D1550-G1550&gt;=System_Config!$B$9,"✅ OK","⚠️ BREACH"))</f>
        <v/>
      </c>
      <c r="M1550" s="37" t="str">
        <f>IFERROR(IF(Agent08_Withdrawals!A155="","",YEAR(Agent08_Withdrawals!D155)),"")</f>
        <v/>
      </c>
    </row>
    <row r="1551" spans="1:13" ht="18" customHeight="1" x14ac:dyDescent="0.25">
      <c r="A1551" s="37" t="str">
        <f>IF(Agent08_Withdrawals!A156="","",Agent08_Withdrawals!A156)</f>
        <v/>
      </c>
      <c r="B1551" s="37" t="str">
        <f ca="1">IF(Agent08_Withdrawals!A156="","","WD"&amp;TEXT(1551-3,"0000")&amp;"-"&amp;TEXT(TODAY(),"YYYYMMDD"))</f>
        <v/>
      </c>
      <c r="C1551" s="37" t="str">
        <f>IF(Agent08_Withdrawals!A156="","",Agent08_Withdrawals!B156)</f>
        <v/>
      </c>
      <c r="D1551" s="40" t="str">
        <f>IF(Agent08_Withdrawals!A156="","",Agent08_Withdrawals!C156)</f>
        <v/>
      </c>
      <c r="E1551" s="38" t="str">
        <f>IF(Agent08_Withdrawals!A156="","",Agent08_Withdrawals!D156)</f>
        <v/>
      </c>
      <c r="F1551" s="37" t="str">
        <f>IF(Agent08_Withdrawals!A156="","",Agent08_Withdrawals!F156)</f>
        <v/>
      </c>
      <c r="G1551" s="39" t="str">
        <f>IF(Agent08_Withdrawals!A156="","",Agent08_Withdrawals!E156)</f>
        <v/>
      </c>
      <c r="H1551" s="39" t="str">
        <f>IF(Agent08_Withdrawals!A156="","",Agent08_Withdrawals!G156)</f>
        <v/>
      </c>
      <c r="I1551" s="37" t="str">
        <f>IF(Agent08_Withdrawals!A156="","",Agent08_Withdrawals!H156)</f>
        <v/>
      </c>
      <c r="J1551" s="37" t="str">
        <f>IF(Agent08_Withdrawals!A156="","",Agent08_Withdrawals!J156)</f>
        <v/>
      </c>
      <c r="K1551" s="37" t="str">
        <f>IF(Agent08_Withdrawals!A156="","",Agent08_Withdrawals!K156)</f>
        <v/>
      </c>
      <c r="L1551" s="37" t="str">
        <f>IF(G1551="","",IF(D1551-G1551&gt;=System_Config!$B$9,"✅ OK","⚠️ BREACH"))</f>
        <v/>
      </c>
      <c r="M1551" s="37" t="str">
        <f>IFERROR(IF(Agent08_Withdrawals!A156="","",YEAR(Agent08_Withdrawals!D156)),"")</f>
        <v/>
      </c>
    </row>
    <row r="1552" spans="1:13" ht="18" customHeight="1" x14ac:dyDescent="0.25">
      <c r="A1552" s="37" t="str">
        <f>IF(Agent08_Withdrawals!A157="","",Agent08_Withdrawals!A157)</f>
        <v/>
      </c>
      <c r="B1552" s="37" t="str">
        <f ca="1">IF(Agent08_Withdrawals!A157="","","WD"&amp;TEXT(1552-3,"0000")&amp;"-"&amp;TEXT(TODAY(),"YYYYMMDD"))</f>
        <v/>
      </c>
      <c r="C1552" s="37" t="str">
        <f>IF(Agent08_Withdrawals!A157="","",Agent08_Withdrawals!B157)</f>
        <v/>
      </c>
      <c r="D1552" s="40" t="str">
        <f>IF(Agent08_Withdrawals!A157="","",Agent08_Withdrawals!C157)</f>
        <v/>
      </c>
      <c r="E1552" s="38" t="str">
        <f>IF(Agent08_Withdrawals!A157="","",Agent08_Withdrawals!D157)</f>
        <v/>
      </c>
      <c r="F1552" s="37" t="str">
        <f>IF(Agent08_Withdrawals!A157="","",Agent08_Withdrawals!F157)</f>
        <v/>
      </c>
      <c r="G1552" s="39" t="str">
        <f>IF(Agent08_Withdrawals!A157="","",Agent08_Withdrawals!E157)</f>
        <v/>
      </c>
      <c r="H1552" s="39" t="str">
        <f>IF(Agent08_Withdrawals!A157="","",Agent08_Withdrawals!G157)</f>
        <v/>
      </c>
      <c r="I1552" s="37" t="str">
        <f>IF(Agent08_Withdrawals!A157="","",Agent08_Withdrawals!H157)</f>
        <v/>
      </c>
      <c r="J1552" s="37" t="str">
        <f>IF(Agent08_Withdrawals!A157="","",Agent08_Withdrawals!J157)</f>
        <v/>
      </c>
      <c r="K1552" s="37" t="str">
        <f>IF(Agent08_Withdrawals!A157="","",Agent08_Withdrawals!K157)</f>
        <v/>
      </c>
      <c r="L1552" s="37" t="str">
        <f>IF(G1552="","",IF(D1552-G1552&gt;=System_Config!$B$9,"✅ OK","⚠️ BREACH"))</f>
        <v/>
      </c>
      <c r="M1552" s="37" t="str">
        <f>IFERROR(IF(Agent08_Withdrawals!A157="","",YEAR(Agent08_Withdrawals!D157)),"")</f>
        <v/>
      </c>
    </row>
    <row r="1553" spans="1:13" ht="18" customHeight="1" x14ac:dyDescent="0.25">
      <c r="A1553" s="37" t="str">
        <f>IF(Agent08_Withdrawals!A158="","",Agent08_Withdrawals!A158)</f>
        <v/>
      </c>
      <c r="B1553" s="37" t="str">
        <f ca="1">IF(Agent08_Withdrawals!A158="","","WD"&amp;TEXT(1553-3,"0000")&amp;"-"&amp;TEXT(TODAY(),"YYYYMMDD"))</f>
        <v/>
      </c>
      <c r="C1553" s="37" t="str">
        <f>IF(Agent08_Withdrawals!A158="","",Agent08_Withdrawals!B158)</f>
        <v/>
      </c>
      <c r="D1553" s="40" t="str">
        <f>IF(Agent08_Withdrawals!A158="","",Agent08_Withdrawals!C158)</f>
        <v/>
      </c>
      <c r="E1553" s="38" t="str">
        <f>IF(Agent08_Withdrawals!A158="","",Agent08_Withdrawals!D158)</f>
        <v/>
      </c>
      <c r="F1553" s="37" t="str">
        <f>IF(Agent08_Withdrawals!A158="","",Agent08_Withdrawals!F158)</f>
        <v/>
      </c>
      <c r="G1553" s="39" t="str">
        <f>IF(Agent08_Withdrawals!A158="","",Agent08_Withdrawals!E158)</f>
        <v/>
      </c>
      <c r="H1553" s="39" t="str">
        <f>IF(Agent08_Withdrawals!A158="","",Agent08_Withdrawals!G158)</f>
        <v/>
      </c>
      <c r="I1553" s="37" t="str">
        <f>IF(Agent08_Withdrawals!A158="","",Agent08_Withdrawals!H158)</f>
        <v/>
      </c>
      <c r="J1553" s="37" t="str">
        <f>IF(Agent08_Withdrawals!A158="","",Agent08_Withdrawals!J158)</f>
        <v/>
      </c>
      <c r="K1553" s="37" t="str">
        <f>IF(Agent08_Withdrawals!A158="","",Agent08_Withdrawals!K158)</f>
        <v/>
      </c>
      <c r="L1553" s="37" t="str">
        <f>IF(G1553="","",IF(D1553-G1553&gt;=System_Config!$B$9,"✅ OK","⚠️ BREACH"))</f>
        <v/>
      </c>
      <c r="M1553" s="37" t="str">
        <f>IFERROR(IF(Agent08_Withdrawals!A158="","",YEAR(Agent08_Withdrawals!D158)),"")</f>
        <v/>
      </c>
    </row>
    <row r="1554" spans="1:13" ht="18" customHeight="1" x14ac:dyDescent="0.25">
      <c r="A1554" s="37" t="str">
        <f>IF(Agent08_Withdrawals!A159="","",Agent08_Withdrawals!A159)</f>
        <v/>
      </c>
      <c r="B1554" s="37" t="str">
        <f ca="1">IF(Agent08_Withdrawals!A159="","","WD"&amp;TEXT(1554-3,"0000")&amp;"-"&amp;TEXT(TODAY(),"YYYYMMDD"))</f>
        <v/>
      </c>
      <c r="C1554" s="37" t="str">
        <f>IF(Agent08_Withdrawals!A159="","",Agent08_Withdrawals!B159)</f>
        <v/>
      </c>
      <c r="D1554" s="40" t="str">
        <f>IF(Agent08_Withdrawals!A159="","",Agent08_Withdrawals!C159)</f>
        <v/>
      </c>
      <c r="E1554" s="38" t="str">
        <f>IF(Agent08_Withdrawals!A159="","",Agent08_Withdrawals!D159)</f>
        <v/>
      </c>
      <c r="F1554" s="37" t="str">
        <f>IF(Agent08_Withdrawals!A159="","",Agent08_Withdrawals!F159)</f>
        <v/>
      </c>
      <c r="G1554" s="39" t="str">
        <f>IF(Agent08_Withdrawals!A159="","",Agent08_Withdrawals!E159)</f>
        <v/>
      </c>
      <c r="H1554" s="39" t="str">
        <f>IF(Agent08_Withdrawals!A159="","",Agent08_Withdrawals!G159)</f>
        <v/>
      </c>
      <c r="I1554" s="37" t="str">
        <f>IF(Agent08_Withdrawals!A159="","",Agent08_Withdrawals!H159)</f>
        <v/>
      </c>
      <c r="J1554" s="37" t="str">
        <f>IF(Agent08_Withdrawals!A159="","",Agent08_Withdrawals!J159)</f>
        <v/>
      </c>
      <c r="K1554" s="37" t="str">
        <f>IF(Agent08_Withdrawals!A159="","",Agent08_Withdrawals!K159)</f>
        <v/>
      </c>
      <c r="L1554" s="37" t="str">
        <f>IF(G1554="","",IF(D1554-G1554&gt;=System_Config!$B$9,"✅ OK","⚠️ BREACH"))</f>
        <v/>
      </c>
      <c r="M1554" s="37" t="str">
        <f>IFERROR(IF(Agent08_Withdrawals!A159="","",YEAR(Agent08_Withdrawals!D159)),"")</f>
        <v/>
      </c>
    </row>
    <row r="1555" spans="1:13" ht="18" customHeight="1" x14ac:dyDescent="0.25">
      <c r="A1555" s="37" t="str">
        <f>IF(Agent08_Withdrawals!A160="","",Agent08_Withdrawals!A160)</f>
        <v/>
      </c>
      <c r="B1555" s="37" t="str">
        <f ca="1">IF(Agent08_Withdrawals!A160="","","WD"&amp;TEXT(1555-3,"0000")&amp;"-"&amp;TEXT(TODAY(),"YYYYMMDD"))</f>
        <v/>
      </c>
      <c r="C1555" s="37" t="str">
        <f>IF(Agent08_Withdrawals!A160="","",Agent08_Withdrawals!B160)</f>
        <v/>
      </c>
      <c r="D1555" s="40" t="str">
        <f>IF(Agent08_Withdrawals!A160="","",Agent08_Withdrawals!C160)</f>
        <v/>
      </c>
      <c r="E1555" s="38" t="str">
        <f>IF(Agent08_Withdrawals!A160="","",Agent08_Withdrawals!D160)</f>
        <v/>
      </c>
      <c r="F1555" s="37" t="str">
        <f>IF(Agent08_Withdrawals!A160="","",Agent08_Withdrawals!F160)</f>
        <v/>
      </c>
      <c r="G1555" s="39" t="str">
        <f>IF(Agent08_Withdrawals!A160="","",Agent08_Withdrawals!E160)</f>
        <v/>
      </c>
      <c r="H1555" s="39" t="str">
        <f>IF(Agent08_Withdrawals!A160="","",Agent08_Withdrawals!G160)</f>
        <v/>
      </c>
      <c r="I1555" s="37" t="str">
        <f>IF(Agent08_Withdrawals!A160="","",Agent08_Withdrawals!H160)</f>
        <v/>
      </c>
      <c r="J1555" s="37" t="str">
        <f>IF(Agent08_Withdrawals!A160="","",Agent08_Withdrawals!J160)</f>
        <v/>
      </c>
      <c r="K1555" s="37" t="str">
        <f>IF(Agent08_Withdrawals!A160="","",Agent08_Withdrawals!K160)</f>
        <v/>
      </c>
      <c r="L1555" s="37" t="str">
        <f>IF(G1555="","",IF(D1555-G1555&gt;=System_Config!$B$9,"✅ OK","⚠️ BREACH"))</f>
        <v/>
      </c>
      <c r="M1555" s="37" t="str">
        <f>IFERROR(IF(Agent08_Withdrawals!A160="","",YEAR(Agent08_Withdrawals!D160)),"")</f>
        <v/>
      </c>
    </row>
    <row r="1556" spans="1:13" ht="18" customHeight="1" x14ac:dyDescent="0.25">
      <c r="A1556" s="37" t="str">
        <f>IF(Agent08_Withdrawals!A161="","",Agent08_Withdrawals!A161)</f>
        <v/>
      </c>
      <c r="B1556" s="37" t="str">
        <f ca="1">IF(Agent08_Withdrawals!A161="","","WD"&amp;TEXT(1556-3,"0000")&amp;"-"&amp;TEXT(TODAY(),"YYYYMMDD"))</f>
        <v/>
      </c>
      <c r="C1556" s="37" t="str">
        <f>IF(Agent08_Withdrawals!A161="","",Agent08_Withdrawals!B161)</f>
        <v/>
      </c>
      <c r="D1556" s="40" t="str">
        <f>IF(Agent08_Withdrawals!A161="","",Agent08_Withdrawals!C161)</f>
        <v/>
      </c>
      <c r="E1556" s="38" t="str">
        <f>IF(Agent08_Withdrawals!A161="","",Agent08_Withdrawals!D161)</f>
        <v/>
      </c>
      <c r="F1556" s="37" t="str">
        <f>IF(Agent08_Withdrawals!A161="","",Agent08_Withdrawals!F161)</f>
        <v/>
      </c>
      <c r="G1556" s="39" t="str">
        <f>IF(Agent08_Withdrawals!A161="","",Agent08_Withdrawals!E161)</f>
        <v/>
      </c>
      <c r="H1556" s="39" t="str">
        <f>IF(Agent08_Withdrawals!A161="","",Agent08_Withdrawals!G161)</f>
        <v/>
      </c>
      <c r="I1556" s="37" t="str">
        <f>IF(Agent08_Withdrawals!A161="","",Agent08_Withdrawals!H161)</f>
        <v/>
      </c>
      <c r="J1556" s="37" t="str">
        <f>IF(Agent08_Withdrawals!A161="","",Agent08_Withdrawals!J161)</f>
        <v/>
      </c>
      <c r="K1556" s="37" t="str">
        <f>IF(Agent08_Withdrawals!A161="","",Agent08_Withdrawals!K161)</f>
        <v/>
      </c>
      <c r="L1556" s="37" t="str">
        <f>IF(G1556="","",IF(D1556-G1556&gt;=System_Config!$B$9,"✅ OK","⚠️ BREACH"))</f>
        <v/>
      </c>
      <c r="M1556" s="37" t="str">
        <f>IFERROR(IF(Agent08_Withdrawals!A161="","",YEAR(Agent08_Withdrawals!D161)),"")</f>
        <v/>
      </c>
    </row>
    <row r="1557" spans="1:13" ht="18" customHeight="1" x14ac:dyDescent="0.25">
      <c r="A1557" s="37" t="str">
        <f>IF(Agent08_Withdrawals!A162="","",Agent08_Withdrawals!A162)</f>
        <v/>
      </c>
      <c r="B1557" s="37" t="str">
        <f ca="1">IF(Agent08_Withdrawals!A162="","","WD"&amp;TEXT(1557-3,"0000")&amp;"-"&amp;TEXT(TODAY(),"YYYYMMDD"))</f>
        <v/>
      </c>
      <c r="C1557" s="37" t="str">
        <f>IF(Agent08_Withdrawals!A162="","",Agent08_Withdrawals!B162)</f>
        <v/>
      </c>
      <c r="D1557" s="40" t="str">
        <f>IF(Agent08_Withdrawals!A162="","",Agent08_Withdrawals!C162)</f>
        <v/>
      </c>
      <c r="E1557" s="38" t="str">
        <f>IF(Agent08_Withdrawals!A162="","",Agent08_Withdrawals!D162)</f>
        <v/>
      </c>
      <c r="F1557" s="37" t="str">
        <f>IF(Agent08_Withdrawals!A162="","",Agent08_Withdrawals!F162)</f>
        <v/>
      </c>
      <c r="G1557" s="39" t="str">
        <f>IF(Agent08_Withdrawals!A162="","",Agent08_Withdrawals!E162)</f>
        <v/>
      </c>
      <c r="H1557" s="39" t="str">
        <f>IF(Agent08_Withdrawals!A162="","",Agent08_Withdrawals!G162)</f>
        <v/>
      </c>
      <c r="I1557" s="37" t="str">
        <f>IF(Agent08_Withdrawals!A162="","",Agent08_Withdrawals!H162)</f>
        <v/>
      </c>
      <c r="J1557" s="37" t="str">
        <f>IF(Agent08_Withdrawals!A162="","",Agent08_Withdrawals!J162)</f>
        <v/>
      </c>
      <c r="K1557" s="37" t="str">
        <f>IF(Agent08_Withdrawals!A162="","",Agent08_Withdrawals!K162)</f>
        <v/>
      </c>
      <c r="L1557" s="37" t="str">
        <f>IF(G1557="","",IF(D1557-G1557&gt;=System_Config!$B$9,"✅ OK","⚠️ BREACH"))</f>
        <v/>
      </c>
      <c r="M1557" s="37" t="str">
        <f>IFERROR(IF(Agent08_Withdrawals!A162="","",YEAR(Agent08_Withdrawals!D162)),"")</f>
        <v/>
      </c>
    </row>
    <row r="1558" spans="1:13" ht="18" customHeight="1" x14ac:dyDescent="0.25">
      <c r="A1558" s="37" t="str">
        <f>IF(Agent08_Withdrawals!A163="","",Agent08_Withdrawals!A163)</f>
        <v/>
      </c>
      <c r="B1558" s="37" t="str">
        <f ca="1">IF(Agent08_Withdrawals!A163="","","WD"&amp;TEXT(1558-3,"0000")&amp;"-"&amp;TEXT(TODAY(),"YYYYMMDD"))</f>
        <v/>
      </c>
      <c r="C1558" s="37" t="str">
        <f>IF(Agent08_Withdrawals!A163="","",Agent08_Withdrawals!B163)</f>
        <v/>
      </c>
      <c r="D1558" s="40" t="str">
        <f>IF(Agent08_Withdrawals!A163="","",Agent08_Withdrawals!C163)</f>
        <v/>
      </c>
      <c r="E1558" s="38" t="str">
        <f>IF(Agent08_Withdrawals!A163="","",Agent08_Withdrawals!D163)</f>
        <v/>
      </c>
      <c r="F1558" s="37" t="str">
        <f>IF(Agent08_Withdrawals!A163="","",Agent08_Withdrawals!F163)</f>
        <v/>
      </c>
      <c r="G1558" s="39" t="str">
        <f>IF(Agent08_Withdrawals!A163="","",Agent08_Withdrawals!E163)</f>
        <v/>
      </c>
      <c r="H1558" s="39" t="str">
        <f>IF(Agent08_Withdrawals!A163="","",Agent08_Withdrawals!G163)</f>
        <v/>
      </c>
      <c r="I1558" s="37" t="str">
        <f>IF(Agent08_Withdrawals!A163="","",Agent08_Withdrawals!H163)</f>
        <v/>
      </c>
      <c r="J1558" s="37" t="str">
        <f>IF(Agent08_Withdrawals!A163="","",Agent08_Withdrawals!J163)</f>
        <v/>
      </c>
      <c r="K1558" s="37" t="str">
        <f>IF(Agent08_Withdrawals!A163="","",Agent08_Withdrawals!K163)</f>
        <v/>
      </c>
      <c r="L1558" s="37" t="str">
        <f>IF(G1558="","",IF(D1558-G1558&gt;=System_Config!$B$9,"✅ OK","⚠️ BREACH"))</f>
        <v/>
      </c>
      <c r="M1558" s="37" t="str">
        <f>IFERROR(IF(Agent08_Withdrawals!A163="","",YEAR(Agent08_Withdrawals!D163)),"")</f>
        <v/>
      </c>
    </row>
    <row r="1559" spans="1:13" ht="18" customHeight="1" x14ac:dyDescent="0.25">
      <c r="A1559" s="37" t="str">
        <f>IF(Agent08_Withdrawals!A164="","",Agent08_Withdrawals!A164)</f>
        <v/>
      </c>
      <c r="B1559" s="37" t="str">
        <f ca="1">IF(Agent08_Withdrawals!A164="","","WD"&amp;TEXT(1559-3,"0000")&amp;"-"&amp;TEXT(TODAY(),"YYYYMMDD"))</f>
        <v/>
      </c>
      <c r="C1559" s="37" t="str">
        <f>IF(Agent08_Withdrawals!A164="","",Agent08_Withdrawals!B164)</f>
        <v/>
      </c>
      <c r="D1559" s="40" t="str">
        <f>IF(Agent08_Withdrawals!A164="","",Agent08_Withdrawals!C164)</f>
        <v/>
      </c>
      <c r="E1559" s="38" t="str">
        <f>IF(Agent08_Withdrawals!A164="","",Agent08_Withdrawals!D164)</f>
        <v/>
      </c>
      <c r="F1559" s="37" t="str">
        <f>IF(Agent08_Withdrawals!A164="","",Agent08_Withdrawals!F164)</f>
        <v/>
      </c>
      <c r="G1559" s="39" t="str">
        <f>IF(Agent08_Withdrawals!A164="","",Agent08_Withdrawals!E164)</f>
        <v/>
      </c>
      <c r="H1559" s="39" t="str">
        <f>IF(Agent08_Withdrawals!A164="","",Agent08_Withdrawals!G164)</f>
        <v/>
      </c>
      <c r="I1559" s="37" t="str">
        <f>IF(Agent08_Withdrawals!A164="","",Agent08_Withdrawals!H164)</f>
        <v/>
      </c>
      <c r="J1559" s="37" t="str">
        <f>IF(Agent08_Withdrawals!A164="","",Agent08_Withdrawals!J164)</f>
        <v/>
      </c>
      <c r="K1559" s="37" t="str">
        <f>IF(Agent08_Withdrawals!A164="","",Agent08_Withdrawals!K164)</f>
        <v/>
      </c>
      <c r="L1559" s="37" t="str">
        <f>IF(G1559="","",IF(D1559-G1559&gt;=System_Config!$B$9,"✅ OK","⚠️ BREACH"))</f>
        <v/>
      </c>
      <c r="M1559" s="37" t="str">
        <f>IFERROR(IF(Agent08_Withdrawals!A164="","",YEAR(Agent08_Withdrawals!D164)),"")</f>
        <v/>
      </c>
    </row>
    <row r="1560" spans="1:13" ht="18" customHeight="1" x14ac:dyDescent="0.25">
      <c r="A1560" s="37" t="str">
        <f>IF(Agent08_Withdrawals!A165="","",Agent08_Withdrawals!A165)</f>
        <v/>
      </c>
      <c r="B1560" s="37" t="str">
        <f ca="1">IF(Agent08_Withdrawals!A165="","","WD"&amp;TEXT(1560-3,"0000")&amp;"-"&amp;TEXT(TODAY(),"YYYYMMDD"))</f>
        <v/>
      </c>
      <c r="C1560" s="37" t="str">
        <f>IF(Agent08_Withdrawals!A165="","",Agent08_Withdrawals!B165)</f>
        <v/>
      </c>
      <c r="D1560" s="40" t="str">
        <f>IF(Agent08_Withdrawals!A165="","",Agent08_Withdrawals!C165)</f>
        <v/>
      </c>
      <c r="E1560" s="38" t="str">
        <f>IF(Agent08_Withdrawals!A165="","",Agent08_Withdrawals!D165)</f>
        <v/>
      </c>
      <c r="F1560" s="37" t="str">
        <f>IF(Agent08_Withdrawals!A165="","",Agent08_Withdrawals!F165)</f>
        <v/>
      </c>
      <c r="G1560" s="39" t="str">
        <f>IF(Agent08_Withdrawals!A165="","",Agent08_Withdrawals!E165)</f>
        <v/>
      </c>
      <c r="H1560" s="39" t="str">
        <f>IF(Agent08_Withdrawals!A165="","",Agent08_Withdrawals!G165)</f>
        <v/>
      </c>
      <c r="I1560" s="37" t="str">
        <f>IF(Agent08_Withdrawals!A165="","",Agent08_Withdrawals!H165)</f>
        <v/>
      </c>
      <c r="J1560" s="37" t="str">
        <f>IF(Agent08_Withdrawals!A165="","",Agent08_Withdrawals!J165)</f>
        <v/>
      </c>
      <c r="K1560" s="37" t="str">
        <f>IF(Agent08_Withdrawals!A165="","",Agent08_Withdrawals!K165)</f>
        <v/>
      </c>
      <c r="L1560" s="37" t="str">
        <f>IF(G1560="","",IF(D1560-G1560&gt;=System_Config!$B$9,"✅ OK","⚠️ BREACH"))</f>
        <v/>
      </c>
      <c r="M1560" s="37" t="str">
        <f>IFERROR(IF(Agent08_Withdrawals!A165="","",YEAR(Agent08_Withdrawals!D165)),"")</f>
        <v/>
      </c>
    </row>
    <row r="1561" spans="1:13" ht="18" customHeight="1" x14ac:dyDescent="0.25">
      <c r="A1561" s="37" t="str">
        <f>IF(Agent08_Withdrawals!A166="","",Agent08_Withdrawals!A166)</f>
        <v/>
      </c>
      <c r="B1561" s="37" t="str">
        <f ca="1">IF(Agent08_Withdrawals!A166="","","WD"&amp;TEXT(1561-3,"0000")&amp;"-"&amp;TEXT(TODAY(),"YYYYMMDD"))</f>
        <v/>
      </c>
      <c r="C1561" s="37" t="str">
        <f>IF(Agent08_Withdrawals!A166="","",Agent08_Withdrawals!B166)</f>
        <v/>
      </c>
      <c r="D1561" s="40" t="str">
        <f>IF(Agent08_Withdrawals!A166="","",Agent08_Withdrawals!C166)</f>
        <v/>
      </c>
      <c r="E1561" s="38" t="str">
        <f>IF(Agent08_Withdrawals!A166="","",Agent08_Withdrawals!D166)</f>
        <v/>
      </c>
      <c r="F1561" s="37" t="str">
        <f>IF(Agent08_Withdrawals!A166="","",Agent08_Withdrawals!F166)</f>
        <v/>
      </c>
      <c r="G1561" s="39" t="str">
        <f>IF(Agent08_Withdrawals!A166="","",Agent08_Withdrawals!E166)</f>
        <v/>
      </c>
      <c r="H1561" s="39" t="str">
        <f>IF(Agent08_Withdrawals!A166="","",Agent08_Withdrawals!G166)</f>
        <v/>
      </c>
      <c r="I1561" s="37" t="str">
        <f>IF(Agent08_Withdrawals!A166="","",Agent08_Withdrawals!H166)</f>
        <v/>
      </c>
      <c r="J1561" s="37" t="str">
        <f>IF(Agent08_Withdrawals!A166="","",Agent08_Withdrawals!J166)</f>
        <v/>
      </c>
      <c r="K1561" s="37" t="str">
        <f>IF(Agent08_Withdrawals!A166="","",Agent08_Withdrawals!K166)</f>
        <v/>
      </c>
      <c r="L1561" s="37" t="str">
        <f>IF(G1561="","",IF(D1561-G1561&gt;=System_Config!$B$9,"✅ OK","⚠️ BREACH"))</f>
        <v/>
      </c>
      <c r="M1561" s="37" t="str">
        <f>IFERROR(IF(Agent08_Withdrawals!A166="","",YEAR(Agent08_Withdrawals!D166)),"")</f>
        <v/>
      </c>
    </row>
    <row r="1562" spans="1:13" ht="18" customHeight="1" x14ac:dyDescent="0.25">
      <c r="A1562" s="37" t="str">
        <f>IF(Agent08_Withdrawals!A167="","",Agent08_Withdrawals!A167)</f>
        <v/>
      </c>
      <c r="B1562" s="37" t="str">
        <f ca="1">IF(Agent08_Withdrawals!A167="","","WD"&amp;TEXT(1562-3,"0000")&amp;"-"&amp;TEXT(TODAY(),"YYYYMMDD"))</f>
        <v/>
      </c>
      <c r="C1562" s="37" t="str">
        <f>IF(Agent08_Withdrawals!A167="","",Agent08_Withdrawals!B167)</f>
        <v/>
      </c>
      <c r="D1562" s="40" t="str">
        <f>IF(Agent08_Withdrawals!A167="","",Agent08_Withdrawals!C167)</f>
        <v/>
      </c>
      <c r="E1562" s="38" t="str">
        <f>IF(Agent08_Withdrawals!A167="","",Agent08_Withdrawals!D167)</f>
        <v/>
      </c>
      <c r="F1562" s="37" t="str">
        <f>IF(Agent08_Withdrawals!A167="","",Agent08_Withdrawals!F167)</f>
        <v/>
      </c>
      <c r="G1562" s="39" t="str">
        <f>IF(Agent08_Withdrawals!A167="","",Agent08_Withdrawals!E167)</f>
        <v/>
      </c>
      <c r="H1562" s="39" t="str">
        <f>IF(Agent08_Withdrawals!A167="","",Agent08_Withdrawals!G167)</f>
        <v/>
      </c>
      <c r="I1562" s="37" t="str">
        <f>IF(Agent08_Withdrawals!A167="","",Agent08_Withdrawals!H167)</f>
        <v/>
      </c>
      <c r="J1562" s="37" t="str">
        <f>IF(Agent08_Withdrawals!A167="","",Agent08_Withdrawals!J167)</f>
        <v/>
      </c>
      <c r="K1562" s="37" t="str">
        <f>IF(Agent08_Withdrawals!A167="","",Agent08_Withdrawals!K167)</f>
        <v/>
      </c>
      <c r="L1562" s="37" t="str">
        <f>IF(G1562="","",IF(D1562-G1562&gt;=System_Config!$B$9,"✅ OK","⚠️ BREACH"))</f>
        <v/>
      </c>
      <c r="M1562" s="37" t="str">
        <f>IFERROR(IF(Agent08_Withdrawals!A167="","",YEAR(Agent08_Withdrawals!D167)),"")</f>
        <v/>
      </c>
    </row>
    <row r="1563" spans="1:13" ht="18" customHeight="1" x14ac:dyDescent="0.25">
      <c r="A1563" s="37" t="str">
        <f>IF(Agent08_Withdrawals!A168="","",Agent08_Withdrawals!A168)</f>
        <v/>
      </c>
      <c r="B1563" s="37" t="str">
        <f ca="1">IF(Agent08_Withdrawals!A168="","","WD"&amp;TEXT(1563-3,"0000")&amp;"-"&amp;TEXT(TODAY(),"YYYYMMDD"))</f>
        <v/>
      </c>
      <c r="C1563" s="37" t="str">
        <f>IF(Agent08_Withdrawals!A168="","",Agent08_Withdrawals!B168)</f>
        <v/>
      </c>
      <c r="D1563" s="40" t="str">
        <f>IF(Agent08_Withdrawals!A168="","",Agent08_Withdrawals!C168)</f>
        <v/>
      </c>
      <c r="E1563" s="38" t="str">
        <f>IF(Agent08_Withdrawals!A168="","",Agent08_Withdrawals!D168)</f>
        <v/>
      </c>
      <c r="F1563" s="37" t="str">
        <f>IF(Agent08_Withdrawals!A168="","",Agent08_Withdrawals!F168)</f>
        <v/>
      </c>
      <c r="G1563" s="39" t="str">
        <f>IF(Agent08_Withdrawals!A168="","",Agent08_Withdrawals!E168)</f>
        <v/>
      </c>
      <c r="H1563" s="39" t="str">
        <f>IF(Agent08_Withdrawals!A168="","",Agent08_Withdrawals!G168)</f>
        <v/>
      </c>
      <c r="I1563" s="37" t="str">
        <f>IF(Agent08_Withdrawals!A168="","",Agent08_Withdrawals!H168)</f>
        <v/>
      </c>
      <c r="J1563" s="37" t="str">
        <f>IF(Agent08_Withdrawals!A168="","",Agent08_Withdrawals!J168)</f>
        <v/>
      </c>
      <c r="K1563" s="37" t="str">
        <f>IF(Agent08_Withdrawals!A168="","",Agent08_Withdrawals!K168)</f>
        <v/>
      </c>
      <c r="L1563" s="37" t="str">
        <f>IF(G1563="","",IF(D1563-G1563&gt;=System_Config!$B$9,"✅ OK","⚠️ BREACH"))</f>
        <v/>
      </c>
      <c r="M1563" s="37" t="str">
        <f>IFERROR(IF(Agent08_Withdrawals!A168="","",YEAR(Agent08_Withdrawals!D168)),"")</f>
        <v/>
      </c>
    </row>
    <row r="1564" spans="1:13" ht="18" customHeight="1" x14ac:dyDescent="0.25">
      <c r="A1564" s="37" t="str">
        <f>IF(Agent08_Withdrawals!A169="","",Agent08_Withdrawals!A169)</f>
        <v/>
      </c>
      <c r="B1564" s="37" t="str">
        <f ca="1">IF(Agent08_Withdrawals!A169="","","WD"&amp;TEXT(1564-3,"0000")&amp;"-"&amp;TEXT(TODAY(),"YYYYMMDD"))</f>
        <v/>
      </c>
      <c r="C1564" s="37" t="str">
        <f>IF(Agent08_Withdrawals!A169="","",Agent08_Withdrawals!B169)</f>
        <v/>
      </c>
      <c r="D1564" s="40" t="str">
        <f>IF(Agent08_Withdrawals!A169="","",Agent08_Withdrawals!C169)</f>
        <v/>
      </c>
      <c r="E1564" s="38" t="str">
        <f>IF(Agent08_Withdrawals!A169="","",Agent08_Withdrawals!D169)</f>
        <v/>
      </c>
      <c r="F1564" s="37" t="str">
        <f>IF(Agent08_Withdrawals!A169="","",Agent08_Withdrawals!F169)</f>
        <v/>
      </c>
      <c r="G1564" s="39" t="str">
        <f>IF(Agent08_Withdrawals!A169="","",Agent08_Withdrawals!E169)</f>
        <v/>
      </c>
      <c r="H1564" s="39" t="str">
        <f>IF(Agent08_Withdrawals!A169="","",Agent08_Withdrawals!G169)</f>
        <v/>
      </c>
      <c r="I1564" s="37" t="str">
        <f>IF(Agent08_Withdrawals!A169="","",Agent08_Withdrawals!H169)</f>
        <v/>
      </c>
      <c r="J1564" s="37" t="str">
        <f>IF(Agent08_Withdrawals!A169="","",Agent08_Withdrawals!J169)</f>
        <v/>
      </c>
      <c r="K1564" s="37" t="str">
        <f>IF(Agent08_Withdrawals!A169="","",Agent08_Withdrawals!K169)</f>
        <v/>
      </c>
      <c r="L1564" s="37" t="str">
        <f>IF(G1564="","",IF(D1564-G1564&gt;=System_Config!$B$9,"✅ OK","⚠️ BREACH"))</f>
        <v/>
      </c>
      <c r="M1564" s="37" t="str">
        <f>IFERROR(IF(Agent08_Withdrawals!A169="","",YEAR(Agent08_Withdrawals!D169)),"")</f>
        <v/>
      </c>
    </row>
    <row r="1565" spans="1:13" ht="18" customHeight="1" x14ac:dyDescent="0.25">
      <c r="A1565" s="37" t="str">
        <f>IF(Agent08_Withdrawals!A170="","",Agent08_Withdrawals!A170)</f>
        <v/>
      </c>
      <c r="B1565" s="37" t="str">
        <f ca="1">IF(Agent08_Withdrawals!A170="","","WD"&amp;TEXT(1565-3,"0000")&amp;"-"&amp;TEXT(TODAY(),"YYYYMMDD"))</f>
        <v/>
      </c>
      <c r="C1565" s="37" t="str">
        <f>IF(Agent08_Withdrawals!A170="","",Agent08_Withdrawals!B170)</f>
        <v/>
      </c>
      <c r="D1565" s="40" t="str">
        <f>IF(Agent08_Withdrawals!A170="","",Agent08_Withdrawals!C170)</f>
        <v/>
      </c>
      <c r="E1565" s="38" t="str">
        <f>IF(Agent08_Withdrawals!A170="","",Agent08_Withdrawals!D170)</f>
        <v/>
      </c>
      <c r="F1565" s="37" t="str">
        <f>IF(Agent08_Withdrawals!A170="","",Agent08_Withdrawals!F170)</f>
        <v/>
      </c>
      <c r="G1565" s="39" t="str">
        <f>IF(Agent08_Withdrawals!A170="","",Agent08_Withdrawals!E170)</f>
        <v/>
      </c>
      <c r="H1565" s="39" t="str">
        <f>IF(Agent08_Withdrawals!A170="","",Agent08_Withdrawals!G170)</f>
        <v/>
      </c>
      <c r="I1565" s="37" t="str">
        <f>IF(Agent08_Withdrawals!A170="","",Agent08_Withdrawals!H170)</f>
        <v/>
      </c>
      <c r="J1565" s="37" t="str">
        <f>IF(Agent08_Withdrawals!A170="","",Agent08_Withdrawals!J170)</f>
        <v/>
      </c>
      <c r="K1565" s="37" t="str">
        <f>IF(Agent08_Withdrawals!A170="","",Agent08_Withdrawals!K170)</f>
        <v/>
      </c>
      <c r="L1565" s="37" t="str">
        <f>IF(G1565="","",IF(D1565-G1565&gt;=System_Config!$B$9,"✅ OK","⚠️ BREACH"))</f>
        <v/>
      </c>
      <c r="M1565" s="37" t="str">
        <f>IFERROR(IF(Agent08_Withdrawals!A170="","",YEAR(Agent08_Withdrawals!D170)),"")</f>
        <v/>
      </c>
    </row>
    <row r="1566" spans="1:13" ht="18" customHeight="1" x14ac:dyDescent="0.25">
      <c r="A1566" s="37" t="str">
        <f>IF(Agent08_Withdrawals!A171="","",Agent08_Withdrawals!A171)</f>
        <v/>
      </c>
      <c r="B1566" s="37" t="str">
        <f ca="1">IF(Agent08_Withdrawals!A171="","","WD"&amp;TEXT(1566-3,"0000")&amp;"-"&amp;TEXT(TODAY(),"YYYYMMDD"))</f>
        <v/>
      </c>
      <c r="C1566" s="37" t="str">
        <f>IF(Agent08_Withdrawals!A171="","",Agent08_Withdrawals!B171)</f>
        <v/>
      </c>
      <c r="D1566" s="40" t="str">
        <f>IF(Agent08_Withdrawals!A171="","",Agent08_Withdrawals!C171)</f>
        <v/>
      </c>
      <c r="E1566" s="38" t="str">
        <f>IF(Agent08_Withdrawals!A171="","",Agent08_Withdrawals!D171)</f>
        <v/>
      </c>
      <c r="F1566" s="37" t="str">
        <f>IF(Agent08_Withdrawals!A171="","",Agent08_Withdrawals!F171)</f>
        <v/>
      </c>
      <c r="G1566" s="39" t="str">
        <f>IF(Agent08_Withdrawals!A171="","",Agent08_Withdrawals!E171)</f>
        <v/>
      </c>
      <c r="H1566" s="39" t="str">
        <f>IF(Agent08_Withdrawals!A171="","",Agent08_Withdrawals!G171)</f>
        <v/>
      </c>
      <c r="I1566" s="37" t="str">
        <f>IF(Agent08_Withdrawals!A171="","",Agent08_Withdrawals!H171)</f>
        <v/>
      </c>
      <c r="J1566" s="37" t="str">
        <f>IF(Agent08_Withdrawals!A171="","",Agent08_Withdrawals!J171)</f>
        <v/>
      </c>
      <c r="K1566" s="37" t="str">
        <f>IF(Agent08_Withdrawals!A171="","",Agent08_Withdrawals!K171)</f>
        <v/>
      </c>
      <c r="L1566" s="37" t="str">
        <f>IF(G1566="","",IF(D1566-G1566&gt;=System_Config!$B$9,"✅ OK","⚠️ BREACH"))</f>
        <v/>
      </c>
      <c r="M1566" s="37" t="str">
        <f>IFERROR(IF(Agent08_Withdrawals!A171="","",YEAR(Agent08_Withdrawals!D171)),"")</f>
        <v/>
      </c>
    </row>
    <row r="1567" spans="1:13" ht="18" customHeight="1" x14ac:dyDescent="0.25">
      <c r="A1567" s="37" t="str">
        <f>IF(Agent08_Withdrawals!A172="","",Agent08_Withdrawals!A172)</f>
        <v/>
      </c>
      <c r="B1567" s="37" t="str">
        <f ca="1">IF(Agent08_Withdrawals!A172="","","WD"&amp;TEXT(1567-3,"0000")&amp;"-"&amp;TEXT(TODAY(),"YYYYMMDD"))</f>
        <v/>
      </c>
      <c r="C1567" s="37" t="str">
        <f>IF(Agent08_Withdrawals!A172="","",Agent08_Withdrawals!B172)</f>
        <v/>
      </c>
      <c r="D1567" s="40" t="str">
        <f>IF(Agent08_Withdrawals!A172="","",Agent08_Withdrawals!C172)</f>
        <v/>
      </c>
      <c r="E1567" s="38" t="str">
        <f>IF(Agent08_Withdrawals!A172="","",Agent08_Withdrawals!D172)</f>
        <v/>
      </c>
      <c r="F1567" s="37" t="str">
        <f>IF(Agent08_Withdrawals!A172="","",Agent08_Withdrawals!F172)</f>
        <v/>
      </c>
      <c r="G1567" s="39" t="str">
        <f>IF(Agent08_Withdrawals!A172="","",Agent08_Withdrawals!E172)</f>
        <v/>
      </c>
      <c r="H1567" s="39" t="str">
        <f>IF(Agent08_Withdrawals!A172="","",Agent08_Withdrawals!G172)</f>
        <v/>
      </c>
      <c r="I1567" s="37" t="str">
        <f>IF(Agent08_Withdrawals!A172="","",Agent08_Withdrawals!H172)</f>
        <v/>
      </c>
      <c r="J1567" s="37" t="str">
        <f>IF(Agent08_Withdrawals!A172="","",Agent08_Withdrawals!J172)</f>
        <v/>
      </c>
      <c r="K1567" s="37" t="str">
        <f>IF(Agent08_Withdrawals!A172="","",Agent08_Withdrawals!K172)</f>
        <v/>
      </c>
      <c r="L1567" s="37" t="str">
        <f>IF(G1567="","",IF(D1567-G1567&gt;=System_Config!$B$9,"✅ OK","⚠️ BREACH"))</f>
        <v/>
      </c>
      <c r="M1567" s="37" t="str">
        <f>IFERROR(IF(Agent08_Withdrawals!A172="","",YEAR(Agent08_Withdrawals!D172)),"")</f>
        <v/>
      </c>
    </row>
    <row r="1568" spans="1:13" ht="18" customHeight="1" x14ac:dyDescent="0.25">
      <c r="A1568" s="37" t="str">
        <f>IF(Agent08_Withdrawals!A173="","",Agent08_Withdrawals!A173)</f>
        <v/>
      </c>
      <c r="B1568" s="37" t="str">
        <f ca="1">IF(Agent08_Withdrawals!A173="","","WD"&amp;TEXT(1568-3,"0000")&amp;"-"&amp;TEXT(TODAY(),"YYYYMMDD"))</f>
        <v/>
      </c>
      <c r="C1568" s="37" t="str">
        <f>IF(Agent08_Withdrawals!A173="","",Agent08_Withdrawals!B173)</f>
        <v/>
      </c>
      <c r="D1568" s="40" t="str">
        <f>IF(Agent08_Withdrawals!A173="","",Agent08_Withdrawals!C173)</f>
        <v/>
      </c>
      <c r="E1568" s="38" t="str">
        <f>IF(Agent08_Withdrawals!A173="","",Agent08_Withdrawals!D173)</f>
        <v/>
      </c>
      <c r="F1568" s="37" t="str">
        <f>IF(Agent08_Withdrawals!A173="","",Agent08_Withdrawals!F173)</f>
        <v/>
      </c>
      <c r="G1568" s="39" t="str">
        <f>IF(Agent08_Withdrawals!A173="","",Agent08_Withdrawals!E173)</f>
        <v/>
      </c>
      <c r="H1568" s="39" t="str">
        <f>IF(Agent08_Withdrawals!A173="","",Agent08_Withdrawals!G173)</f>
        <v/>
      </c>
      <c r="I1568" s="37" t="str">
        <f>IF(Agent08_Withdrawals!A173="","",Agent08_Withdrawals!H173)</f>
        <v/>
      </c>
      <c r="J1568" s="37" t="str">
        <f>IF(Agent08_Withdrawals!A173="","",Agent08_Withdrawals!J173)</f>
        <v/>
      </c>
      <c r="K1568" s="37" t="str">
        <f>IF(Agent08_Withdrawals!A173="","",Agent08_Withdrawals!K173)</f>
        <v/>
      </c>
      <c r="L1568" s="37" t="str">
        <f>IF(G1568="","",IF(D1568-G1568&gt;=System_Config!$B$9,"✅ OK","⚠️ BREACH"))</f>
        <v/>
      </c>
      <c r="M1568" s="37" t="str">
        <f>IFERROR(IF(Agent08_Withdrawals!A173="","",YEAR(Agent08_Withdrawals!D173)),"")</f>
        <v/>
      </c>
    </row>
    <row r="1569" spans="1:13" ht="18" customHeight="1" x14ac:dyDescent="0.25">
      <c r="A1569" s="37" t="str">
        <f>IF(Agent08_Withdrawals!A174="","",Agent08_Withdrawals!A174)</f>
        <v/>
      </c>
      <c r="B1569" s="37" t="str">
        <f ca="1">IF(Agent08_Withdrawals!A174="","","WD"&amp;TEXT(1569-3,"0000")&amp;"-"&amp;TEXT(TODAY(),"YYYYMMDD"))</f>
        <v/>
      </c>
      <c r="C1569" s="37" t="str">
        <f>IF(Agent08_Withdrawals!A174="","",Agent08_Withdrawals!B174)</f>
        <v/>
      </c>
      <c r="D1569" s="40" t="str">
        <f>IF(Agent08_Withdrawals!A174="","",Agent08_Withdrawals!C174)</f>
        <v/>
      </c>
      <c r="E1569" s="38" t="str">
        <f>IF(Agent08_Withdrawals!A174="","",Agent08_Withdrawals!D174)</f>
        <v/>
      </c>
      <c r="F1569" s="37" t="str">
        <f>IF(Agent08_Withdrawals!A174="","",Agent08_Withdrawals!F174)</f>
        <v/>
      </c>
      <c r="G1569" s="39" t="str">
        <f>IF(Agent08_Withdrawals!A174="","",Agent08_Withdrawals!E174)</f>
        <v/>
      </c>
      <c r="H1569" s="39" t="str">
        <f>IF(Agent08_Withdrawals!A174="","",Agent08_Withdrawals!G174)</f>
        <v/>
      </c>
      <c r="I1569" s="37" t="str">
        <f>IF(Agent08_Withdrawals!A174="","",Agent08_Withdrawals!H174)</f>
        <v/>
      </c>
      <c r="J1569" s="37" t="str">
        <f>IF(Agent08_Withdrawals!A174="","",Agent08_Withdrawals!J174)</f>
        <v/>
      </c>
      <c r="K1569" s="37" t="str">
        <f>IF(Agent08_Withdrawals!A174="","",Agent08_Withdrawals!K174)</f>
        <v/>
      </c>
      <c r="L1569" s="37" t="str">
        <f>IF(G1569="","",IF(D1569-G1569&gt;=System_Config!$B$9,"✅ OK","⚠️ BREACH"))</f>
        <v/>
      </c>
      <c r="M1569" s="37" t="str">
        <f>IFERROR(IF(Agent08_Withdrawals!A174="","",YEAR(Agent08_Withdrawals!D174)),"")</f>
        <v/>
      </c>
    </row>
    <row r="1570" spans="1:13" ht="18" customHeight="1" x14ac:dyDescent="0.25">
      <c r="A1570" s="37" t="str">
        <f>IF(Agent08_Withdrawals!A175="","",Agent08_Withdrawals!A175)</f>
        <v/>
      </c>
      <c r="B1570" s="37" t="str">
        <f ca="1">IF(Agent08_Withdrawals!A175="","","WD"&amp;TEXT(1570-3,"0000")&amp;"-"&amp;TEXT(TODAY(),"YYYYMMDD"))</f>
        <v/>
      </c>
      <c r="C1570" s="37" t="str">
        <f>IF(Agent08_Withdrawals!A175="","",Agent08_Withdrawals!B175)</f>
        <v/>
      </c>
      <c r="D1570" s="40" t="str">
        <f>IF(Agent08_Withdrawals!A175="","",Agent08_Withdrawals!C175)</f>
        <v/>
      </c>
      <c r="E1570" s="38" t="str">
        <f>IF(Agent08_Withdrawals!A175="","",Agent08_Withdrawals!D175)</f>
        <v/>
      </c>
      <c r="F1570" s="37" t="str">
        <f>IF(Agent08_Withdrawals!A175="","",Agent08_Withdrawals!F175)</f>
        <v/>
      </c>
      <c r="G1570" s="39" t="str">
        <f>IF(Agent08_Withdrawals!A175="","",Agent08_Withdrawals!E175)</f>
        <v/>
      </c>
      <c r="H1570" s="39" t="str">
        <f>IF(Agent08_Withdrawals!A175="","",Agent08_Withdrawals!G175)</f>
        <v/>
      </c>
      <c r="I1570" s="37" t="str">
        <f>IF(Agent08_Withdrawals!A175="","",Agent08_Withdrawals!H175)</f>
        <v/>
      </c>
      <c r="J1570" s="37" t="str">
        <f>IF(Agent08_Withdrawals!A175="","",Agent08_Withdrawals!J175)</f>
        <v/>
      </c>
      <c r="K1570" s="37" t="str">
        <f>IF(Agent08_Withdrawals!A175="","",Agent08_Withdrawals!K175)</f>
        <v/>
      </c>
      <c r="L1570" s="37" t="str">
        <f>IF(G1570="","",IF(D1570-G1570&gt;=System_Config!$B$9,"✅ OK","⚠️ BREACH"))</f>
        <v/>
      </c>
      <c r="M1570" s="37" t="str">
        <f>IFERROR(IF(Agent08_Withdrawals!A175="","",YEAR(Agent08_Withdrawals!D175)),"")</f>
        <v/>
      </c>
    </row>
    <row r="1571" spans="1:13" ht="18" customHeight="1" x14ac:dyDescent="0.25">
      <c r="A1571" s="37" t="str">
        <f>IF(Agent08_Withdrawals!A176="","",Agent08_Withdrawals!A176)</f>
        <v/>
      </c>
      <c r="B1571" s="37" t="str">
        <f ca="1">IF(Agent08_Withdrawals!A176="","","WD"&amp;TEXT(1571-3,"0000")&amp;"-"&amp;TEXT(TODAY(),"YYYYMMDD"))</f>
        <v/>
      </c>
      <c r="C1571" s="37" t="str">
        <f>IF(Agent08_Withdrawals!A176="","",Agent08_Withdrawals!B176)</f>
        <v/>
      </c>
      <c r="D1571" s="40" t="str">
        <f>IF(Agent08_Withdrawals!A176="","",Agent08_Withdrawals!C176)</f>
        <v/>
      </c>
      <c r="E1571" s="38" t="str">
        <f>IF(Agent08_Withdrawals!A176="","",Agent08_Withdrawals!D176)</f>
        <v/>
      </c>
      <c r="F1571" s="37" t="str">
        <f>IF(Agent08_Withdrawals!A176="","",Agent08_Withdrawals!F176)</f>
        <v/>
      </c>
      <c r="G1571" s="39" t="str">
        <f>IF(Agent08_Withdrawals!A176="","",Agent08_Withdrawals!E176)</f>
        <v/>
      </c>
      <c r="H1571" s="39" t="str">
        <f>IF(Agent08_Withdrawals!A176="","",Agent08_Withdrawals!G176)</f>
        <v/>
      </c>
      <c r="I1571" s="37" t="str">
        <f>IF(Agent08_Withdrawals!A176="","",Agent08_Withdrawals!H176)</f>
        <v/>
      </c>
      <c r="J1571" s="37" t="str">
        <f>IF(Agent08_Withdrawals!A176="","",Agent08_Withdrawals!J176)</f>
        <v/>
      </c>
      <c r="K1571" s="37" t="str">
        <f>IF(Agent08_Withdrawals!A176="","",Agent08_Withdrawals!K176)</f>
        <v/>
      </c>
      <c r="L1571" s="37" t="str">
        <f>IF(G1571="","",IF(D1571-G1571&gt;=System_Config!$B$9,"✅ OK","⚠️ BREACH"))</f>
        <v/>
      </c>
      <c r="M1571" s="37" t="str">
        <f>IFERROR(IF(Agent08_Withdrawals!A176="","",YEAR(Agent08_Withdrawals!D176)),"")</f>
        <v/>
      </c>
    </row>
    <row r="1572" spans="1:13" ht="18" customHeight="1" x14ac:dyDescent="0.25">
      <c r="A1572" s="37" t="str">
        <f>IF(Agent08_Withdrawals!A177="","",Agent08_Withdrawals!A177)</f>
        <v/>
      </c>
      <c r="B1572" s="37" t="str">
        <f ca="1">IF(Agent08_Withdrawals!A177="","","WD"&amp;TEXT(1572-3,"0000")&amp;"-"&amp;TEXT(TODAY(),"YYYYMMDD"))</f>
        <v/>
      </c>
      <c r="C1572" s="37" t="str">
        <f>IF(Agent08_Withdrawals!A177="","",Agent08_Withdrawals!B177)</f>
        <v/>
      </c>
      <c r="D1572" s="40" t="str">
        <f>IF(Agent08_Withdrawals!A177="","",Agent08_Withdrawals!C177)</f>
        <v/>
      </c>
      <c r="E1572" s="38" t="str">
        <f>IF(Agent08_Withdrawals!A177="","",Agent08_Withdrawals!D177)</f>
        <v/>
      </c>
      <c r="F1572" s="37" t="str">
        <f>IF(Agent08_Withdrawals!A177="","",Agent08_Withdrawals!F177)</f>
        <v/>
      </c>
      <c r="G1572" s="39" t="str">
        <f>IF(Agent08_Withdrawals!A177="","",Agent08_Withdrawals!E177)</f>
        <v/>
      </c>
      <c r="H1572" s="39" t="str">
        <f>IF(Agent08_Withdrawals!A177="","",Agent08_Withdrawals!G177)</f>
        <v/>
      </c>
      <c r="I1572" s="37" t="str">
        <f>IF(Agent08_Withdrawals!A177="","",Agent08_Withdrawals!H177)</f>
        <v/>
      </c>
      <c r="J1572" s="37" t="str">
        <f>IF(Agent08_Withdrawals!A177="","",Agent08_Withdrawals!J177)</f>
        <v/>
      </c>
      <c r="K1572" s="37" t="str">
        <f>IF(Agent08_Withdrawals!A177="","",Agent08_Withdrawals!K177)</f>
        <v/>
      </c>
      <c r="L1572" s="37" t="str">
        <f>IF(G1572="","",IF(D1572-G1572&gt;=System_Config!$B$9,"✅ OK","⚠️ BREACH"))</f>
        <v/>
      </c>
      <c r="M1572" s="37" t="str">
        <f>IFERROR(IF(Agent08_Withdrawals!A177="","",YEAR(Agent08_Withdrawals!D177)),"")</f>
        <v/>
      </c>
    </row>
    <row r="1573" spans="1:13" ht="18" customHeight="1" x14ac:dyDescent="0.25">
      <c r="A1573" s="37" t="str">
        <f>IF(Agent08_Withdrawals!A178="","",Agent08_Withdrawals!A178)</f>
        <v/>
      </c>
      <c r="B1573" s="37" t="str">
        <f ca="1">IF(Agent08_Withdrawals!A178="","","WD"&amp;TEXT(1573-3,"0000")&amp;"-"&amp;TEXT(TODAY(),"YYYYMMDD"))</f>
        <v/>
      </c>
      <c r="C1573" s="37" t="str">
        <f>IF(Agent08_Withdrawals!A178="","",Agent08_Withdrawals!B178)</f>
        <v/>
      </c>
      <c r="D1573" s="40" t="str">
        <f>IF(Agent08_Withdrawals!A178="","",Agent08_Withdrawals!C178)</f>
        <v/>
      </c>
      <c r="E1573" s="38" t="str">
        <f>IF(Agent08_Withdrawals!A178="","",Agent08_Withdrawals!D178)</f>
        <v/>
      </c>
      <c r="F1573" s="37" t="str">
        <f>IF(Agent08_Withdrawals!A178="","",Agent08_Withdrawals!F178)</f>
        <v/>
      </c>
      <c r="G1573" s="39" t="str">
        <f>IF(Agent08_Withdrawals!A178="","",Agent08_Withdrawals!E178)</f>
        <v/>
      </c>
      <c r="H1573" s="39" t="str">
        <f>IF(Agent08_Withdrawals!A178="","",Agent08_Withdrawals!G178)</f>
        <v/>
      </c>
      <c r="I1573" s="37" t="str">
        <f>IF(Agent08_Withdrawals!A178="","",Agent08_Withdrawals!H178)</f>
        <v/>
      </c>
      <c r="J1573" s="37" t="str">
        <f>IF(Agent08_Withdrawals!A178="","",Agent08_Withdrawals!J178)</f>
        <v/>
      </c>
      <c r="K1573" s="37" t="str">
        <f>IF(Agent08_Withdrawals!A178="","",Agent08_Withdrawals!K178)</f>
        <v/>
      </c>
      <c r="L1573" s="37" t="str">
        <f>IF(G1573="","",IF(D1573-G1573&gt;=System_Config!$B$9,"✅ OK","⚠️ BREACH"))</f>
        <v/>
      </c>
      <c r="M1573" s="37" t="str">
        <f>IFERROR(IF(Agent08_Withdrawals!A178="","",YEAR(Agent08_Withdrawals!D178)),"")</f>
        <v/>
      </c>
    </row>
    <row r="1574" spans="1:13" ht="18" customHeight="1" x14ac:dyDescent="0.25">
      <c r="A1574" s="37" t="str">
        <f>IF(Agent08_Withdrawals!A179="","",Agent08_Withdrawals!A179)</f>
        <v/>
      </c>
      <c r="B1574" s="37" t="str">
        <f ca="1">IF(Agent08_Withdrawals!A179="","","WD"&amp;TEXT(1574-3,"0000")&amp;"-"&amp;TEXT(TODAY(),"YYYYMMDD"))</f>
        <v/>
      </c>
      <c r="C1574" s="37" t="str">
        <f>IF(Agent08_Withdrawals!A179="","",Agent08_Withdrawals!B179)</f>
        <v/>
      </c>
      <c r="D1574" s="40" t="str">
        <f>IF(Agent08_Withdrawals!A179="","",Agent08_Withdrawals!C179)</f>
        <v/>
      </c>
      <c r="E1574" s="38" t="str">
        <f>IF(Agent08_Withdrawals!A179="","",Agent08_Withdrawals!D179)</f>
        <v/>
      </c>
      <c r="F1574" s="37" t="str">
        <f>IF(Agent08_Withdrawals!A179="","",Agent08_Withdrawals!F179)</f>
        <v/>
      </c>
      <c r="G1574" s="39" t="str">
        <f>IF(Agent08_Withdrawals!A179="","",Agent08_Withdrawals!E179)</f>
        <v/>
      </c>
      <c r="H1574" s="39" t="str">
        <f>IF(Agent08_Withdrawals!A179="","",Agent08_Withdrawals!G179)</f>
        <v/>
      </c>
      <c r="I1574" s="37" t="str">
        <f>IF(Agent08_Withdrawals!A179="","",Agent08_Withdrawals!H179)</f>
        <v/>
      </c>
      <c r="J1574" s="37" t="str">
        <f>IF(Agent08_Withdrawals!A179="","",Agent08_Withdrawals!J179)</f>
        <v/>
      </c>
      <c r="K1574" s="37" t="str">
        <f>IF(Agent08_Withdrawals!A179="","",Agent08_Withdrawals!K179)</f>
        <v/>
      </c>
      <c r="L1574" s="37" t="str">
        <f>IF(G1574="","",IF(D1574-G1574&gt;=System_Config!$B$9,"✅ OK","⚠️ BREACH"))</f>
        <v/>
      </c>
      <c r="M1574" s="37" t="str">
        <f>IFERROR(IF(Agent08_Withdrawals!A179="","",YEAR(Agent08_Withdrawals!D179)),"")</f>
        <v/>
      </c>
    </row>
    <row r="1575" spans="1:13" ht="18" customHeight="1" x14ac:dyDescent="0.25">
      <c r="A1575" s="37" t="str">
        <f>IF(Agent08_Withdrawals!A180="","",Agent08_Withdrawals!A180)</f>
        <v/>
      </c>
      <c r="B1575" s="37" t="str">
        <f ca="1">IF(Agent08_Withdrawals!A180="","","WD"&amp;TEXT(1575-3,"0000")&amp;"-"&amp;TEXT(TODAY(),"YYYYMMDD"))</f>
        <v/>
      </c>
      <c r="C1575" s="37" t="str">
        <f>IF(Agent08_Withdrawals!A180="","",Agent08_Withdrawals!B180)</f>
        <v/>
      </c>
      <c r="D1575" s="40" t="str">
        <f>IF(Agent08_Withdrawals!A180="","",Agent08_Withdrawals!C180)</f>
        <v/>
      </c>
      <c r="E1575" s="38" t="str">
        <f>IF(Agent08_Withdrawals!A180="","",Agent08_Withdrawals!D180)</f>
        <v/>
      </c>
      <c r="F1575" s="37" t="str">
        <f>IF(Agent08_Withdrawals!A180="","",Agent08_Withdrawals!F180)</f>
        <v/>
      </c>
      <c r="G1575" s="39" t="str">
        <f>IF(Agent08_Withdrawals!A180="","",Agent08_Withdrawals!E180)</f>
        <v/>
      </c>
      <c r="H1575" s="39" t="str">
        <f>IF(Agent08_Withdrawals!A180="","",Agent08_Withdrawals!G180)</f>
        <v/>
      </c>
      <c r="I1575" s="37" t="str">
        <f>IF(Agent08_Withdrawals!A180="","",Agent08_Withdrawals!H180)</f>
        <v/>
      </c>
      <c r="J1575" s="37" t="str">
        <f>IF(Agent08_Withdrawals!A180="","",Agent08_Withdrawals!J180)</f>
        <v/>
      </c>
      <c r="K1575" s="37" t="str">
        <f>IF(Agent08_Withdrawals!A180="","",Agent08_Withdrawals!K180)</f>
        <v/>
      </c>
      <c r="L1575" s="37" t="str">
        <f>IF(G1575="","",IF(D1575-G1575&gt;=System_Config!$B$9,"✅ OK","⚠️ BREACH"))</f>
        <v/>
      </c>
      <c r="M1575" s="37" t="str">
        <f>IFERROR(IF(Agent08_Withdrawals!A180="","",YEAR(Agent08_Withdrawals!D180)),"")</f>
        <v/>
      </c>
    </row>
    <row r="1576" spans="1:13" ht="18" customHeight="1" x14ac:dyDescent="0.25">
      <c r="A1576" s="37" t="str">
        <f>IF(Agent08_Withdrawals!A181="","",Agent08_Withdrawals!A181)</f>
        <v/>
      </c>
      <c r="B1576" s="37" t="str">
        <f ca="1">IF(Agent08_Withdrawals!A181="","","WD"&amp;TEXT(1576-3,"0000")&amp;"-"&amp;TEXT(TODAY(),"YYYYMMDD"))</f>
        <v/>
      </c>
      <c r="C1576" s="37" t="str">
        <f>IF(Agent08_Withdrawals!A181="","",Agent08_Withdrawals!B181)</f>
        <v/>
      </c>
      <c r="D1576" s="40" t="str">
        <f>IF(Agent08_Withdrawals!A181="","",Agent08_Withdrawals!C181)</f>
        <v/>
      </c>
      <c r="E1576" s="38" t="str">
        <f>IF(Agent08_Withdrawals!A181="","",Agent08_Withdrawals!D181)</f>
        <v/>
      </c>
      <c r="F1576" s="37" t="str">
        <f>IF(Agent08_Withdrawals!A181="","",Agent08_Withdrawals!F181)</f>
        <v/>
      </c>
      <c r="G1576" s="39" t="str">
        <f>IF(Agent08_Withdrawals!A181="","",Agent08_Withdrawals!E181)</f>
        <v/>
      </c>
      <c r="H1576" s="39" t="str">
        <f>IF(Agent08_Withdrawals!A181="","",Agent08_Withdrawals!G181)</f>
        <v/>
      </c>
      <c r="I1576" s="37" t="str">
        <f>IF(Agent08_Withdrawals!A181="","",Agent08_Withdrawals!H181)</f>
        <v/>
      </c>
      <c r="J1576" s="37" t="str">
        <f>IF(Agent08_Withdrawals!A181="","",Agent08_Withdrawals!J181)</f>
        <v/>
      </c>
      <c r="K1576" s="37" t="str">
        <f>IF(Agent08_Withdrawals!A181="","",Agent08_Withdrawals!K181)</f>
        <v/>
      </c>
      <c r="L1576" s="37" t="str">
        <f>IF(G1576="","",IF(D1576-G1576&gt;=System_Config!$B$9,"✅ OK","⚠️ BREACH"))</f>
        <v/>
      </c>
      <c r="M1576" s="37" t="str">
        <f>IFERROR(IF(Agent08_Withdrawals!A181="","",YEAR(Agent08_Withdrawals!D181)),"")</f>
        <v/>
      </c>
    </row>
    <row r="1577" spans="1:13" ht="18" customHeight="1" x14ac:dyDescent="0.25">
      <c r="A1577" s="37" t="str">
        <f>IF(Agent08_Withdrawals!A182="","",Agent08_Withdrawals!A182)</f>
        <v/>
      </c>
      <c r="B1577" s="37" t="str">
        <f ca="1">IF(Agent08_Withdrawals!A182="","","WD"&amp;TEXT(1577-3,"0000")&amp;"-"&amp;TEXT(TODAY(),"YYYYMMDD"))</f>
        <v/>
      </c>
      <c r="C1577" s="37" t="str">
        <f>IF(Agent08_Withdrawals!A182="","",Agent08_Withdrawals!B182)</f>
        <v/>
      </c>
      <c r="D1577" s="40" t="str">
        <f>IF(Agent08_Withdrawals!A182="","",Agent08_Withdrawals!C182)</f>
        <v/>
      </c>
      <c r="E1577" s="38" t="str">
        <f>IF(Agent08_Withdrawals!A182="","",Agent08_Withdrawals!D182)</f>
        <v/>
      </c>
      <c r="F1577" s="37" t="str">
        <f>IF(Agent08_Withdrawals!A182="","",Agent08_Withdrawals!F182)</f>
        <v/>
      </c>
      <c r="G1577" s="39" t="str">
        <f>IF(Agent08_Withdrawals!A182="","",Agent08_Withdrawals!E182)</f>
        <v/>
      </c>
      <c r="H1577" s="39" t="str">
        <f>IF(Agent08_Withdrawals!A182="","",Agent08_Withdrawals!G182)</f>
        <v/>
      </c>
      <c r="I1577" s="37" t="str">
        <f>IF(Agent08_Withdrawals!A182="","",Agent08_Withdrawals!H182)</f>
        <v/>
      </c>
      <c r="J1577" s="37" t="str">
        <f>IF(Agent08_Withdrawals!A182="","",Agent08_Withdrawals!J182)</f>
        <v/>
      </c>
      <c r="K1577" s="37" t="str">
        <f>IF(Agent08_Withdrawals!A182="","",Agent08_Withdrawals!K182)</f>
        <v/>
      </c>
      <c r="L1577" s="37" t="str">
        <f>IF(G1577="","",IF(D1577-G1577&gt;=System_Config!$B$9,"✅ OK","⚠️ BREACH"))</f>
        <v/>
      </c>
      <c r="M1577" s="37" t="str">
        <f>IFERROR(IF(Agent08_Withdrawals!A182="","",YEAR(Agent08_Withdrawals!D182)),"")</f>
        <v/>
      </c>
    </row>
    <row r="1578" spans="1:13" ht="18" customHeight="1" x14ac:dyDescent="0.25">
      <c r="A1578" s="37" t="str">
        <f>IF(Agent08_Withdrawals!A183="","",Agent08_Withdrawals!A183)</f>
        <v/>
      </c>
      <c r="B1578" s="37" t="str">
        <f ca="1">IF(Agent08_Withdrawals!A183="","","WD"&amp;TEXT(1578-3,"0000")&amp;"-"&amp;TEXT(TODAY(),"YYYYMMDD"))</f>
        <v/>
      </c>
      <c r="C1578" s="37" t="str">
        <f>IF(Agent08_Withdrawals!A183="","",Agent08_Withdrawals!B183)</f>
        <v/>
      </c>
      <c r="D1578" s="40" t="str">
        <f>IF(Agent08_Withdrawals!A183="","",Agent08_Withdrawals!C183)</f>
        <v/>
      </c>
      <c r="E1578" s="38" t="str">
        <f>IF(Agent08_Withdrawals!A183="","",Agent08_Withdrawals!D183)</f>
        <v/>
      </c>
      <c r="F1578" s="37" t="str">
        <f>IF(Agent08_Withdrawals!A183="","",Agent08_Withdrawals!F183)</f>
        <v/>
      </c>
      <c r="G1578" s="39" t="str">
        <f>IF(Agent08_Withdrawals!A183="","",Agent08_Withdrawals!E183)</f>
        <v/>
      </c>
      <c r="H1578" s="39" t="str">
        <f>IF(Agent08_Withdrawals!A183="","",Agent08_Withdrawals!G183)</f>
        <v/>
      </c>
      <c r="I1578" s="37" t="str">
        <f>IF(Agent08_Withdrawals!A183="","",Agent08_Withdrawals!H183)</f>
        <v/>
      </c>
      <c r="J1578" s="37" t="str">
        <f>IF(Agent08_Withdrawals!A183="","",Agent08_Withdrawals!J183)</f>
        <v/>
      </c>
      <c r="K1578" s="37" t="str">
        <f>IF(Agent08_Withdrawals!A183="","",Agent08_Withdrawals!K183)</f>
        <v/>
      </c>
      <c r="L1578" s="37" t="str">
        <f>IF(G1578="","",IF(D1578-G1578&gt;=System_Config!$B$9,"✅ OK","⚠️ BREACH"))</f>
        <v/>
      </c>
      <c r="M1578" s="37" t="str">
        <f>IFERROR(IF(Agent08_Withdrawals!A183="","",YEAR(Agent08_Withdrawals!D183)),"")</f>
        <v/>
      </c>
    </row>
    <row r="1579" spans="1:13" ht="18" customHeight="1" x14ac:dyDescent="0.25">
      <c r="A1579" s="37" t="str">
        <f>IF(Agent08_Withdrawals!A184="","",Agent08_Withdrawals!A184)</f>
        <v/>
      </c>
      <c r="B1579" s="37" t="str">
        <f ca="1">IF(Agent08_Withdrawals!A184="","","WD"&amp;TEXT(1579-3,"0000")&amp;"-"&amp;TEXT(TODAY(),"YYYYMMDD"))</f>
        <v/>
      </c>
      <c r="C1579" s="37" t="str">
        <f>IF(Agent08_Withdrawals!A184="","",Agent08_Withdrawals!B184)</f>
        <v/>
      </c>
      <c r="D1579" s="40" t="str">
        <f>IF(Agent08_Withdrawals!A184="","",Agent08_Withdrawals!C184)</f>
        <v/>
      </c>
      <c r="E1579" s="38" t="str">
        <f>IF(Agent08_Withdrawals!A184="","",Agent08_Withdrawals!D184)</f>
        <v/>
      </c>
      <c r="F1579" s="37" t="str">
        <f>IF(Agent08_Withdrawals!A184="","",Agent08_Withdrawals!F184)</f>
        <v/>
      </c>
      <c r="G1579" s="39" t="str">
        <f>IF(Agent08_Withdrawals!A184="","",Agent08_Withdrawals!E184)</f>
        <v/>
      </c>
      <c r="H1579" s="39" t="str">
        <f>IF(Agent08_Withdrawals!A184="","",Agent08_Withdrawals!G184)</f>
        <v/>
      </c>
      <c r="I1579" s="37" t="str">
        <f>IF(Agent08_Withdrawals!A184="","",Agent08_Withdrawals!H184)</f>
        <v/>
      </c>
      <c r="J1579" s="37" t="str">
        <f>IF(Agent08_Withdrawals!A184="","",Agent08_Withdrawals!J184)</f>
        <v/>
      </c>
      <c r="K1579" s="37" t="str">
        <f>IF(Agent08_Withdrawals!A184="","",Agent08_Withdrawals!K184)</f>
        <v/>
      </c>
      <c r="L1579" s="37" t="str">
        <f>IF(G1579="","",IF(D1579-G1579&gt;=System_Config!$B$9,"✅ OK","⚠️ BREACH"))</f>
        <v/>
      </c>
      <c r="M1579" s="37" t="str">
        <f>IFERROR(IF(Agent08_Withdrawals!A184="","",YEAR(Agent08_Withdrawals!D184)),"")</f>
        <v/>
      </c>
    </row>
    <row r="1580" spans="1:13" ht="18" customHeight="1" x14ac:dyDescent="0.25">
      <c r="A1580" s="37" t="str">
        <f>IF(Agent08_Withdrawals!A185="","",Agent08_Withdrawals!A185)</f>
        <v/>
      </c>
      <c r="B1580" s="37" t="str">
        <f ca="1">IF(Agent08_Withdrawals!A185="","","WD"&amp;TEXT(1580-3,"0000")&amp;"-"&amp;TEXT(TODAY(),"YYYYMMDD"))</f>
        <v/>
      </c>
      <c r="C1580" s="37" t="str">
        <f>IF(Agent08_Withdrawals!A185="","",Agent08_Withdrawals!B185)</f>
        <v/>
      </c>
      <c r="D1580" s="40" t="str">
        <f>IF(Agent08_Withdrawals!A185="","",Agent08_Withdrawals!C185)</f>
        <v/>
      </c>
      <c r="E1580" s="38" t="str">
        <f>IF(Agent08_Withdrawals!A185="","",Agent08_Withdrawals!D185)</f>
        <v/>
      </c>
      <c r="F1580" s="37" t="str">
        <f>IF(Agent08_Withdrawals!A185="","",Agent08_Withdrawals!F185)</f>
        <v/>
      </c>
      <c r="G1580" s="39" t="str">
        <f>IF(Agent08_Withdrawals!A185="","",Agent08_Withdrawals!E185)</f>
        <v/>
      </c>
      <c r="H1580" s="39" t="str">
        <f>IF(Agent08_Withdrawals!A185="","",Agent08_Withdrawals!G185)</f>
        <v/>
      </c>
      <c r="I1580" s="37" t="str">
        <f>IF(Agent08_Withdrawals!A185="","",Agent08_Withdrawals!H185)</f>
        <v/>
      </c>
      <c r="J1580" s="37" t="str">
        <f>IF(Agent08_Withdrawals!A185="","",Agent08_Withdrawals!J185)</f>
        <v/>
      </c>
      <c r="K1580" s="37" t="str">
        <f>IF(Agent08_Withdrawals!A185="","",Agent08_Withdrawals!K185)</f>
        <v/>
      </c>
      <c r="L1580" s="37" t="str">
        <f>IF(G1580="","",IF(D1580-G1580&gt;=System_Config!$B$9,"✅ OK","⚠️ BREACH"))</f>
        <v/>
      </c>
      <c r="M1580" s="37" t="str">
        <f>IFERROR(IF(Agent08_Withdrawals!A185="","",YEAR(Agent08_Withdrawals!D185)),"")</f>
        <v/>
      </c>
    </row>
    <row r="1581" spans="1:13" ht="18" customHeight="1" x14ac:dyDescent="0.25">
      <c r="A1581" s="37" t="str">
        <f>IF(Agent08_Withdrawals!A186="","",Agent08_Withdrawals!A186)</f>
        <v/>
      </c>
      <c r="B1581" s="37" t="str">
        <f ca="1">IF(Agent08_Withdrawals!A186="","","WD"&amp;TEXT(1581-3,"0000")&amp;"-"&amp;TEXT(TODAY(),"YYYYMMDD"))</f>
        <v/>
      </c>
      <c r="C1581" s="37" t="str">
        <f>IF(Agent08_Withdrawals!A186="","",Agent08_Withdrawals!B186)</f>
        <v/>
      </c>
      <c r="D1581" s="40" t="str">
        <f>IF(Agent08_Withdrawals!A186="","",Agent08_Withdrawals!C186)</f>
        <v/>
      </c>
      <c r="E1581" s="38" t="str">
        <f>IF(Agent08_Withdrawals!A186="","",Agent08_Withdrawals!D186)</f>
        <v/>
      </c>
      <c r="F1581" s="37" t="str">
        <f>IF(Agent08_Withdrawals!A186="","",Agent08_Withdrawals!F186)</f>
        <v/>
      </c>
      <c r="G1581" s="39" t="str">
        <f>IF(Agent08_Withdrawals!A186="","",Agent08_Withdrawals!E186)</f>
        <v/>
      </c>
      <c r="H1581" s="39" t="str">
        <f>IF(Agent08_Withdrawals!A186="","",Agent08_Withdrawals!G186)</f>
        <v/>
      </c>
      <c r="I1581" s="37" t="str">
        <f>IF(Agent08_Withdrawals!A186="","",Agent08_Withdrawals!H186)</f>
        <v/>
      </c>
      <c r="J1581" s="37" t="str">
        <f>IF(Agent08_Withdrawals!A186="","",Agent08_Withdrawals!J186)</f>
        <v/>
      </c>
      <c r="K1581" s="37" t="str">
        <f>IF(Agent08_Withdrawals!A186="","",Agent08_Withdrawals!K186)</f>
        <v/>
      </c>
      <c r="L1581" s="37" t="str">
        <f>IF(G1581="","",IF(D1581-G1581&gt;=System_Config!$B$9,"✅ OK","⚠️ BREACH"))</f>
        <v/>
      </c>
      <c r="M1581" s="37" t="str">
        <f>IFERROR(IF(Agent08_Withdrawals!A186="","",YEAR(Agent08_Withdrawals!D186)),"")</f>
        <v/>
      </c>
    </row>
    <row r="1582" spans="1:13" ht="18" customHeight="1" x14ac:dyDescent="0.25">
      <c r="A1582" s="37" t="str">
        <f>IF(Agent08_Withdrawals!A187="","",Agent08_Withdrawals!A187)</f>
        <v/>
      </c>
      <c r="B1582" s="37" t="str">
        <f ca="1">IF(Agent08_Withdrawals!A187="","","WD"&amp;TEXT(1582-3,"0000")&amp;"-"&amp;TEXT(TODAY(),"YYYYMMDD"))</f>
        <v/>
      </c>
      <c r="C1582" s="37" t="str">
        <f>IF(Agent08_Withdrawals!A187="","",Agent08_Withdrawals!B187)</f>
        <v/>
      </c>
      <c r="D1582" s="40" t="str">
        <f>IF(Agent08_Withdrawals!A187="","",Agent08_Withdrawals!C187)</f>
        <v/>
      </c>
      <c r="E1582" s="38" t="str">
        <f>IF(Agent08_Withdrawals!A187="","",Agent08_Withdrawals!D187)</f>
        <v/>
      </c>
      <c r="F1582" s="37" t="str">
        <f>IF(Agent08_Withdrawals!A187="","",Agent08_Withdrawals!F187)</f>
        <v/>
      </c>
      <c r="G1582" s="39" t="str">
        <f>IF(Agent08_Withdrawals!A187="","",Agent08_Withdrawals!E187)</f>
        <v/>
      </c>
      <c r="H1582" s="39" t="str">
        <f>IF(Agent08_Withdrawals!A187="","",Agent08_Withdrawals!G187)</f>
        <v/>
      </c>
      <c r="I1582" s="37" t="str">
        <f>IF(Agent08_Withdrawals!A187="","",Agent08_Withdrawals!H187)</f>
        <v/>
      </c>
      <c r="J1582" s="37" t="str">
        <f>IF(Agent08_Withdrawals!A187="","",Agent08_Withdrawals!J187)</f>
        <v/>
      </c>
      <c r="K1582" s="37" t="str">
        <f>IF(Agent08_Withdrawals!A187="","",Agent08_Withdrawals!K187)</f>
        <v/>
      </c>
      <c r="L1582" s="37" t="str">
        <f>IF(G1582="","",IF(D1582-G1582&gt;=System_Config!$B$9,"✅ OK","⚠️ BREACH"))</f>
        <v/>
      </c>
      <c r="M1582" s="37" t="str">
        <f>IFERROR(IF(Agent08_Withdrawals!A187="","",YEAR(Agent08_Withdrawals!D187)),"")</f>
        <v/>
      </c>
    </row>
    <row r="1583" spans="1:13" ht="18" customHeight="1" x14ac:dyDescent="0.25">
      <c r="A1583" s="37" t="str">
        <f>IF(Agent08_Withdrawals!A188="","",Agent08_Withdrawals!A188)</f>
        <v/>
      </c>
      <c r="B1583" s="37" t="str">
        <f ca="1">IF(Agent08_Withdrawals!A188="","","WD"&amp;TEXT(1583-3,"0000")&amp;"-"&amp;TEXT(TODAY(),"YYYYMMDD"))</f>
        <v/>
      </c>
      <c r="C1583" s="37" t="str">
        <f>IF(Agent08_Withdrawals!A188="","",Agent08_Withdrawals!B188)</f>
        <v/>
      </c>
      <c r="D1583" s="40" t="str">
        <f>IF(Agent08_Withdrawals!A188="","",Agent08_Withdrawals!C188)</f>
        <v/>
      </c>
      <c r="E1583" s="38" t="str">
        <f>IF(Agent08_Withdrawals!A188="","",Agent08_Withdrawals!D188)</f>
        <v/>
      </c>
      <c r="F1583" s="37" t="str">
        <f>IF(Agent08_Withdrawals!A188="","",Agent08_Withdrawals!F188)</f>
        <v/>
      </c>
      <c r="G1583" s="39" t="str">
        <f>IF(Agent08_Withdrawals!A188="","",Agent08_Withdrawals!E188)</f>
        <v/>
      </c>
      <c r="H1583" s="39" t="str">
        <f>IF(Agent08_Withdrawals!A188="","",Agent08_Withdrawals!G188)</f>
        <v/>
      </c>
      <c r="I1583" s="37" t="str">
        <f>IF(Agent08_Withdrawals!A188="","",Agent08_Withdrawals!H188)</f>
        <v/>
      </c>
      <c r="J1583" s="37" t="str">
        <f>IF(Agent08_Withdrawals!A188="","",Agent08_Withdrawals!J188)</f>
        <v/>
      </c>
      <c r="K1583" s="37" t="str">
        <f>IF(Agent08_Withdrawals!A188="","",Agent08_Withdrawals!K188)</f>
        <v/>
      </c>
      <c r="L1583" s="37" t="str">
        <f>IF(G1583="","",IF(D1583-G1583&gt;=System_Config!$B$9,"✅ OK","⚠️ BREACH"))</f>
        <v/>
      </c>
      <c r="M1583" s="37" t="str">
        <f>IFERROR(IF(Agent08_Withdrawals!A188="","",YEAR(Agent08_Withdrawals!D188)),"")</f>
        <v/>
      </c>
    </row>
    <row r="1584" spans="1:13" ht="18" customHeight="1" x14ac:dyDescent="0.25">
      <c r="A1584" s="37" t="str">
        <f>IF(Agent08_Withdrawals!A189="","",Agent08_Withdrawals!A189)</f>
        <v/>
      </c>
      <c r="B1584" s="37" t="str">
        <f ca="1">IF(Agent08_Withdrawals!A189="","","WD"&amp;TEXT(1584-3,"0000")&amp;"-"&amp;TEXT(TODAY(),"YYYYMMDD"))</f>
        <v/>
      </c>
      <c r="C1584" s="37" t="str">
        <f>IF(Agent08_Withdrawals!A189="","",Agent08_Withdrawals!B189)</f>
        <v/>
      </c>
      <c r="D1584" s="40" t="str">
        <f>IF(Agent08_Withdrawals!A189="","",Agent08_Withdrawals!C189)</f>
        <v/>
      </c>
      <c r="E1584" s="38" t="str">
        <f>IF(Agent08_Withdrawals!A189="","",Agent08_Withdrawals!D189)</f>
        <v/>
      </c>
      <c r="F1584" s="37" t="str">
        <f>IF(Agent08_Withdrawals!A189="","",Agent08_Withdrawals!F189)</f>
        <v/>
      </c>
      <c r="G1584" s="39" t="str">
        <f>IF(Agent08_Withdrawals!A189="","",Agent08_Withdrawals!E189)</f>
        <v/>
      </c>
      <c r="H1584" s="39" t="str">
        <f>IF(Agent08_Withdrawals!A189="","",Agent08_Withdrawals!G189)</f>
        <v/>
      </c>
      <c r="I1584" s="37" t="str">
        <f>IF(Agent08_Withdrawals!A189="","",Agent08_Withdrawals!H189)</f>
        <v/>
      </c>
      <c r="J1584" s="37" t="str">
        <f>IF(Agent08_Withdrawals!A189="","",Agent08_Withdrawals!J189)</f>
        <v/>
      </c>
      <c r="K1584" s="37" t="str">
        <f>IF(Agent08_Withdrawals!A189="","",Agent08_Withdrawals!K189)</f>
        <v/>
      </c>
      <c r="L1584" s="37" t="str">
        <f>IF(G1584="","",IF(D1584-G1584&gt;=System_Config!$B$9,"✅ OK","⚠️ BREACH"))</f>
        <v/>
      </c>
      <c r="M1584" s="37" t="str">
        <f>IFERROR(IF(Agent08_Withdrawals!A189="","",YEAR(Agent08_Withdrawals!D189)),"")</f>
        <v/>
      </c>
    </row>
    <row r="1585" spans="1:13" ht="18" customHeight="1" x14ac:dyDescent="0.25">
      <c r="A1585" s="37" t="str">
        <f>IF(Agent08_Withdrawals!A190="","",Agent08_Withdrawals!A190)</f>
        <v/>
      </c>
      <c r="B1585" s="37" t="str">
        <f ca="1">IF(Agent08_Withdrawals!A190="","","WD"&amp;TEXT(1585-3,"0000")&amp;"-"&amp;TEXT(TODAY(),"YYYYMMDD"))</f>
        <v/>
      </c>
      <c r="C1585" s="37" t="str">
        <f>IF(Agent08_Withdrawals!A190="","",Agent08_Withdrawals!B190)</f>
        <v/>
      </c>
      <c r="D1585" s="40" t="str">
        <f>IF(Agent08_Withdrawals!A190="","",Agent08_Withdrawals!C190)</f>
        <v/>
      </c>
      <c r="E1585" s="38" t="str">
        <f>IF(Agent08_Withdrawals!A190="","",Agent08_Withdrawals!D190)</f>
        <v/>
      </c>
      <c r="F1585" s="37" t="str">
        <f>IF(Agent08_Withdrawals!A190="","",Agent08_Withdrawals!F190)</f>
        <v/>
      </c>
      <c r="G1585" s="39" t="str">
        <f>IF(Agent08_Withdrawals!A190="","",Agent08_Withdrawals!E190)</f>
        <v/>
      </c>
      <c r="H1585" s="39" t="str">
        <f>IF(Agent08_Withdrawals!A190="","",Agent08_Withdrawals!G190)</f>
        <v/>
      </c>
      <c r="I1585" s="37" t="str">
        <f>IF(Agent08_Withdrawals!A190="","",Agent08_Withdrawals!H190)</f>
        <v/>
      </c>
      <c r="J1585" s="37" t="str">
        <f>IF(Agent08_Withdrawals!A190="","",Agent08_Withdrawals!J190)</f>
        <v/>
      </c>
      <c r="K1585" s="37" t="str">
        <f>IF(Agent08_Withdrawals!A190="","",Agent08_Withdrawals!K190)</f>
        <v/>
      </c>
      <c r="L1585" s="37" t="str">
        <f>IF(G1585="","",IF(D1585-G1585&gt;=System_Config!$B$9,"✅ OK","⚠️ BREACH"))</f>
        <v/>
      </c>
      <c r="M1585" s="37" t="str">
        <f>IFERROR(IF(Agent08_Withdrawals!A190="","",YEAR(Agent08_Withdrawals!D190)),"")</f>
        <v/>
      </c>
    </row>
    <row r="1586" spans="1:13" ht="18" customHeight="1" x14ac:dyDescent="0.25">
      <c r="A1586" s="37" t="str">
        <f>IF(Agent08_Withdrawals!A191="","",Agent08_Withdrawals!A191)</f>
        <v/>
      </c>
      <c r="B1586" s="37" t="str">
        <f ca="1">IF(Agent08_Withdrawals!A191="","","WD"&amp;TEXT(1586-3,"0000")&amp;"-"&amp;TEXT(TODAY(),"YYYYMMDD"))</f>
        <v/>
      </c>
      <c r="C1586" s="37" t="str">
        <f>IF(Agent08_Withdrawals!A191="","",Agent08_Withdrawals!B191)</f>
        <v/>
      </c>
      <c r="D1586" s="40" t="str">
        <f>IF(Agent08_Withdrawals!A191="","",Agent08_Withdrawals!C191)</f>
        <v/>
      </c>
      <c r="E1586" s="38" t="str">
        <f>IF(Agent08_Withdrawals!A191="","",Agent08_Withdrawals!D191)</f>
        <v/>
      </c>
      <c r="F1586" s="37" t="str">
        <f>IF(Agent08_Withdrawals!A191="","",Agent08_Withdrawals!F191)</f>
        <v/>
      </c>
      <c r="G1586" s="39" t="str">
        <f>IF(Agent08_Withdrawals!A191="","",Agent08_Withdrawals!E191)</f>
        <v/>
      </c>
      <c r="H1586" s="39" t="str">
        <f>IF(Agent08_Withdrawals!A191="","",Agent08_Withdrawals!G191)</f>
        <v/>
      </c>
      <c r="I1586" s="37" t="str">
        <f>IF(Agent08_Withdrawals!A191="","",Agent08_Withdrawals!H191)</f>
        <v/>
      </c>
      <c r="J1586" s="37" t="str">
        <f>IF(Agent08_Withdrawals!A191="","",Agent08_Withdrawals!J191)</f>
        <v/>
      </c>
      <c r="K1586" s="37" t="str">
        <f>IF(Agent08_Withdrawals!A191="","",Agent08_Withdrawals!K191)</f>
        <v/>
      </c>
      <c r="L1586" s="37" t="str">
        <f>IF(G1586="","",IF(D1586-G1586&gt;=System_Config!$B$9,"✅ OK","⚠️ BREACH"))</f>
        <v/>
      </c>
      <c r="M1586" s="37" t="str">
        <f>IFERROR(IF(Agent08_Withdrawals!A191="","",YEAR(Agent08_Withdrawals!D191)),"")</f>
        <v/>
      </c>
    </row>
    <row r="1587" spans="1:13" ht="18" customHeight="1" x14ac:dyDescent="0.25">
      <c r="A1587" s="37" t="str">
        <f>IF(Agent08_Withdrawals!A192="","",Agent08_Withdrawals!A192)</f>
        <v/>
      </c>
      <c r="B1587" s="37" t="str">
        <f ca="1">IF(Agent08_Withdrawals!A192="","","WD"&amp;TEXT(1587-3,"0000")&amp;"-"&amp;TEXT(TODAY(),"YYYYMMDD"))</f>
        <v/>
      </c>
      <c r="C1587" s="37" t="str">
        <f>IF(Agent08_Withdrawals!A192="","",Agent08_Withdrawals!B192)</f>
        <v/>
      </c>
      <c r="D1587" s="40" t="str">
        <f>IF(Agent08_Withdrawals!A192="","",Agent08_Withdrawals!C192)</f>
        <v/>
      </c>
      <c r="E1587" s="38" t="str">
        <f>IF(Agent08_Withdrawals!A192="","",Agent08_Withdrawals!D192)</f>
        <v/>
      </c>
      <c r="F1587" s="37" t="str">
        <f>IF(Agent08_Withdrawals!A192="","",Agent08_Withdrawals!F192)</f>
        <v/>
      </c>
      <c r="G1587" s="39" t="str">
        <f>IF(Agent08_Withdrawals!A192="","",Agent08_Withdrawals!E192)</f>
        <v/>
      </c>
      <c r="H1587" s="39" t="str">
        <f>IF(Agent08_Withdrawals!A192="","",Agent08_Withdrawals!G192)</f>
        <v/>
      </c>
      <c r="I1587" s="37" t="str">
        <f>IF(Agent08_Withdrawals!A192="","",Agent08_Withdrawals!H192)</f>
        <v/>
      </c>
      <c r="J1587" s="37" t="str">
        <f>IF(Agent08_Withdrawals!A192="","",Agent08_Withdrawals!J192)</f>
        <v/>
      </c>
      <c r="K1587" s="37" t="str">
        <f>IF(Agent08_Withdrawals!A192="","",Agent08_Withdrawals!K192)</f>
        <v/>
      </c>
      <c r="L1587" s="37" t="str">
        <f>IF(G1587="","",IF(D1587-G1587&gt;=System_Config!$B$9,"✅ OK","⚠️ BREACH"))</f>
        <v/>
      </c>
      <c r="M1587" s="37" t="str">
        <f>IFERROR(IF(Agent08_Withdrawals!A192="","",YEAR(Agent08_Withdrawals!D192)),"")</f>
        <v/>
      </c>
    </row>
    <row r="1588" spans="1:13" ht="18" customHeight="1" x14ac:dyDescent="0.25">
      <c r="A1588" s="37" t="str">
        <f>IF(Agent08_Withdrawals!A193="","",Agent08_Withdrawals!A193)</f>
        <v/>
      </c>
      <c r="B1588" s="37" t="str">
        <f ca="1">IF(Agent08_Withdrawals!A193="","","WD"&amp;TEXT(1588-3,"0000")&amp;"-"&amp;TEXT(TODAY(),"YYYYMMDD"))</f>
        <v/>
      </c>
      <c r="C1588" s="37" t="str">
        <f>IF(Agent08_Withdrawals!A193="","",Agent08_Withdrawals!B193)</f>
        <v/>
      </c>
      <c r="D1588" s="40" t="str">
        <f>IF(Agent08_Withdrawals!A193="","",Agent08_Withdrawals!C193)</f>
        <v/>
      </c>
      <c r="E1588" s="38" t="str">
        <f>IF(Agent08_Withdrawals!A193="","",Agent08_Withdrawals!D193)</f>
        <v/>
      </c>
      <c r="F1588" s="37" t="str">
        <f>IF(Agent08_Withdrawals!A193="","",Agent08_Withdrawals!F193)</f>
        <v/>
      </c>
      <c r="G1588" s="39" t="str">
        <f>IF(Agent08_Withdrawals!A193="","",Agent08_Withdrawals!E193)</f>
        <v/>
      </c>
      <c r="H1588" s="39" t="str">
        <f>IF(Agent08_Withdrawals!A193="","",Agent08_Withdrawals!G193)</f>
        <v/>
      </c>
      <c r="I1588" s="37" t="str">
        <f>IF(Agent08_Withdrawals!A193="","",Agent08_Withdrawals!H193)</f>
        <v/>
      </c>
      <c r="J1588" s="37" t="str">
        <f>IF(Agent08_Withdrawals!A193="","",Agent08_Withdrawals!J193)</f>
        <v/>
      </c>
      <c r="K1588" s="37" t="str">
        <f>IF(Agent08_Withdrawals!A193="","",Agent08_Withdrawals!K193)</f>
        <v/>
      </c>
      <c r="L1588" s="37" t="str">
        <f>IF(G1588="","",IF(D1588-G1588&gt;=System_Config!$B$9,"✅ OK","⚠️ BREACH"))</f>
        <v/>
      </c>
      <c r="M1588" s="37" t="str">
        <f>IFERROR(IF(Agent08_Withdrawals!A193="","",YEAR(Agent08_Withdrawals!D193)),"")</f>
        <v/>
      </c>
    </row>
    <row r="1589" spans="1:13" ht="18" customHeight="1" x14ac:dyDescent="0.25">
      <c r="A1589" s="37" t="str">
        <f>IF(Agent08_Withdrawals!A194="","",Agent08_Withdrawals!A194)</f>
        <v/>
      </c>
      <c r="B1589" s="37" t="str">
        <f ca="1">IF(Agent08_Withdrawals!A194="","","WD"&amp;TEXT(1589-3,"0000")&amp;"-"&amp;TEXT(TODAY(),"YYYYMMDD"))</f>
        <v/>
      </c>
      <c r="C1589" s="37" t="str">
        <f>IF(Agent08_Withdrawals!A194="","",Agent08_Withdrawals!B194)</f>
        <v/>
      </c>
      <c r="D1589" s="40" t="str">
        <f>IF(Agent08_Withdrawals!A194="","",Agent08_Withdrawals!C194)</f>
        <v/>
      </c>
      <c r="E1589" s="38" t="str">
        <f>IF(Agent08_Withdrawals!A194="","",Agent08_Withdrawals!D194)</f>
        <v/>
      </c>
      <c r="F1589" s="37" t="str">
        <f>IF(Agent08_Withdrawals!A194="","",Agent08_Withdrawals!F194)</f>
        <v/>
      </c>
      <c r="G1589" s="39" t="str">
        <f>IF(Agent08_Withdrawals!A194="","",Agent08_Withdrawals!E194)</f>
        <v/>
      </c>
      <c r="H1589" s="39" t="str">
        <f>IF(Agent08_Withdrawals!A194="","",Agent08_Withdrawals!G194)</f>
        <v/>
      </c>
      <c r="I1589" s="37" t="str">
        <f>IF(Agent08_Withdrawals!A194="","",Agent08_Withdrawals!H194)</f>
        <v/>
      </c>
      <c r="J1589" s="37" t="str">
        <f>IF(Agent08_Withdrawals!A194="","",Agent08_Withdrawals!J194)</f>
        <v/>
      </c>
      <c r="K1589" s="37" t="str">
        <f>IF(Agent08_Withdrawals!A194="","",Agent08_Withdrawals!K194)</f>
        <v/>
      </c>
      <c r="L1589" s="37" t="str">
        <f>IF(G1589="","",IF(D1589-G1589&gt;=System_Config!$B$9,"✅ OK","⚠️ BREACH"))</f>
        <v/>
      </c>
      <c r="M1589" s="37" t="str">
        <f>IFERROR(IF(Agent08_Withdrawals!A194="","",YEAR(Agent08_Withdrawals!D194)),"")</f>
        <v/>
      </c>
    </row>
    <row r="1590" spans="1:13" ht="18" customHeight="1" x14ac:dyDescent="0.25">
      <c r="A1590" s="37" t="str">
        <f>IF(Agent08_Withdrawals!A195="","",Agent08_Withdrawals!A195)</f>
        <v/>
      </c>
      <c r="B1590" s="37" t="str">
        <f ca="1">IF(Agent08_Withdrawals!A195="","","WD"&amp;TEXT(1590-3,"0000")&amp;"-"&amp;TEXT(TODAY(),"YYYYMMDD"))</f>
        <v/>
      </c>
      <c r="C1590" s="37" t="str">
        <f>IF(Agent08_Withdrawals!A195="","",Agent08_Withdrawals!B195)</f>
        <v/>
      </c>
      <c r="D1590" s="40" t="str">
        <f>IF(Agent08_Withdrawals!A195="","",Agent08_Withdrawals!C195)</f>
        <v/>
      </c>
      <c r="E1590" s="38" t="str">
        <f>IF(Agent08_Withdrawals!A195="","",Agent08_Withdrawals!D195)</f>
        <v/>
      </c>
      <c r="F1590" s="37" t="str">
        <f>IF(Agent08_Withdrawals!A195="","",Agent08_Withdrawals!F195)</f>
        <v/>
      </c>
      <c r="G1590" s="39" t="str">
        <f>IF(Agent08_Withdrawals!A195="","",Agent08_Withdrawals!E195)</f>
        <v/>
      </c>
      <c r="H1590" s="39" t="str">
        <f>IF(Agent08_Withdrawals!A195="","",Agent08_Withdrawals!G195)</f>
        <v/>
      </c>
      <c r="I1590" s="37" t="str">
        <f>IF(Agent08_Withdrawals!A195="","",Agent08_Withdrawals!H195)</f>
        <v/>
      </c>
      <c r="J1590" s="37" t="str">
        <f>IF(Agent08_Withdrawals!A195="","",Agent08_Withdrawals!J195)</f>
        <v/>
      </c>
      <c r="K1590" s="37" t="str">
        <f>IF(Agent08_Withdrawals!A195="","",Agent08_Withdrawals!K195)</f>
        <v/>
      </c>
      <c r="L1590" s="37" t="str">
        <f>IF(G1590="","",IF(D1590-G1590&gt;=System_Config!$B$9,"✅ OK","⚠️ BREACH"))</f>
        <v/>
      </c>
      <c r="M1590" s="37" t="str">
        <f>IFERROR(IF(Agent08_Withdrawals!A195="","",YEAR(Agent08_Withdrawals!D195)),"")</f>
        <v/>
      </c>
    </row>
    <row r="1591" spans="1:13" ht="18" customHeight="1" x14ac:dyDescent="0.25">
      <c r="A1591" s="37" t="str">
        <f>IF(Agent08_Withdrawals!A196="","",Agent08_Withdrawals!A196)</f>
        <v/>
      </c>
      <c r="B1591" s="37" t="str">
        <f ca="1">IF(Agent08_Withdrawals!A196="","","WD"&amp;TEXT(1591-3,"0000")&amp;"-"&amp;TEXT(TODAY(),"YYYYMMDD"))</f>
        <v/>
      </c>
      <c r="C1591" s="37" t="str">
        <f>IF(Agent08_Withdrawals!A196="","",Agent08_Withdrawals!B196)</f>
        <v/>
      </c>
      <c r="D1591" s="40" t="str">
        <f>IF(Agent08_Withdrawals!A196="","",Agent08_Withdrawals!C196)</f>
        <v/>
      </c>
      <c r="E1591" s="38" t="str">
        <f>IF(Agent08_Withdrawals!A196="","",Agent08_Withdrawals!D196)</f>
        <v/>
      </c>
      <c r="F1591" s="37" t="str">
        <f>IF(Agent08_Withdrawals!A196="","",Agent08_Withdrawals!F196)</f>
        <v/>
      </c>
      <c r="G1591" s="39" t="str">
        <f>IF(Agent08_Withdrawals!A196="","",Agent08_Withdrawals!E196)</f>
        <v/>
      </c>
      <c r="H1591" s="39" t="str">
        <f>IF(Agent08_Withdrawals!A196="","",Agent08_Withdrawals!G196)</f>
        <v/>
      </c>
      <c r="I1591" s="37" t="str">
        <f>IF(Agent08_Withdrawals!A196="","",Agent08_Withdrawals!H196)</f>
        <v/>
      </c>
      <c r="J1591" s="37" t="str">
        <f>IF(Agent08_Withdrawals!A196="","",Agent08_Withdrawals!J196)</f>
        <v/>
      </c>
      <c r="K1591" s="37" t="str">
        <f>IF(Agent08_Withdrawals!A196="","",Agent08_Withdrawals!K196)</f>
        <v/>
      </c>
      <c r="L1591" s="37" t="str">
        <f>IF(G1591="","",IF(D1591-G1591&gt;=System_Config!$B$9,"✅ OK","⚠️ BREACH"))</f>
        <v/>
      </c>
      <c r="M1591" s="37" t="str">
        <f>IFERROR(IF(Agent08_Withdrawals!A196="","",YEAR(Agent08_Withdrawals!D196)),"")</f>
        <v/>
      </c>
    </row>
    <row r="1592" spans="1:13" ht="18" customHeight="1" x14ac:dyDescent="0.25">
      <c r="A1592" s="37" t="str">
        <f>IF(Agent08_Withdrawals!A197="","",Agent08_Withdrawals!A197)</f>
        <v/>
      </c>
      <c r="B1592" s="37" t="str">
        <f ca="1">IF(Agent08_Withdrawals!A197="","","WD"&amp;TEXT(1592-3,"0000")&amp;"-"&amp;TEXT(TODAY(),"YYYYMMDD"))</f>
        <v/>
      </c>
      <c r="C1592" s="37" t="str">
        <f>IF(Agent08_Withdrawals!A197="","",Agent08_Withdrawals!B197)</f>
        <v/>
      </c>
      <c r="D1592" s="40" t="str">
        <f>IF(Agent08_Withdrawals!A197="","",Agent08_Withdrawals!C197)</f>
        <v/>
      </c>
      <c r="E1592" s="38" t="str">
        <f>IF(Agent08_Withdrawals!A197="","",Agent08_Withdrawals!D197)</f>
        <v/>
      </c>
      <c r="F1592" s="37" t="str">
        <f>IF(Agent08_Withdrawals!A197="","",Agent08_Withdrawals!F197)</f>
        <v/>
      </c>
      <c r="G1592" s="39" t="str">
        <f>IF(Agent08_Withdrawals!A197="","",Agent08_Withdrawals!E197)</f>
        <v/>
      </c>
      <c r="H1592" s="39" t="str">
        <f>IF(Agent08_Withdrawals!A197="","",Agent08_Withdrawals!G197)</f>
        <v/>
      </c>
      <c r="I1592" s="37" t="str">
        <f>IF(Agent08_Withdrawals!A197="","",Agent08_Withdrawals!H197)</f>
        <v/>
      </c>
      <c r="J1592" s="37" t="str">
        <f>IF(Agent08_Withdrawals!A197="","",Agent08_Withdrawals!J197)</f>
        <v/>
      </c>
      <c r="K1592" s="37" t="str">
        <f>IF(Agent08_Withdrawals!A197="","",Agent08_Withdrawals!K197)</f>
        <v/>
      </c>
      <c r="L1592" s="37" t="str">
        <f>IF(G1592="","",IF(D1592-G1592&gt;=System_Config!$B$9,"✅ OK","⚠️ BREACH"))</f>
        <v/>
      </c>
      <c r="M1592" s="37" t="str">
        <f>IFERROR(IF(Agent08_Withdrawals!A197="","",YEAR(Agent08_Withdrawals!D197)),"")</f>
        <v/>
      </c>
    </row>
    <row r="1593" spans="1:13" ht="18" customHeight="1" x14ac:dyDescent="0.25">
      <c r="A1593" s="37" t="str">
        <f>IF(Agent08_Withdrawals!A198="","",Agent08_Withdrawals!A198)</f>
        <v/>
      </c>
      <c r="B1593" s="37" t="str">
        <f ca="1">IF(Agent08_Withdrawals!A198="","","WD"&amp;TEXT(1593-3,"0000")&amp;"-"&amp;TEXT(TODAY(),"YYYYMMDD"))</f>
        <v/>
      </c>
      <c r="C1593" s="37" t="str">
        <f>IF(Agent08_Withdrawals!A198="","",Agent08_Withdrawals!B198)</f>
        <v/>
      </c>
      <c r="D1593" s="40" t="str">
        <f>IF(Agent08_Withdrawals!A198="","",Agent08_Withdrawals!C198)</f>
        <v/>
      </c>
      <c r="E1593" s="38" t="str">
        <f>IF(Agent08_Withdrawals!A198="","",Agent08_Withdrawals!D198)</f>
        <v/>
      </c>
      <c r="F1593" s="37" t="str">
        <f>IF(Agent08_Withdrawals!A198="","",Agent08_Withdrawals!F198)</f>
        <v/>
      </c>
      <c r="G1593" s="39" t="str">
        <f>IF(Agent08_Withdrawals!A198="","",Agent08_Withdrawals!E198)</f>
        <v/>
      </c>
      <c r="H1593" s="39" t="str">
        <f>IF(Agent08_Withdrawals!A198="","",Agent08_Withdrawals!G198)</f>
        <v/>
      </c>
      <c r="I1593" s="37" t="str">
        <f>IF(Agent08_Withdrawals!A198="","",Agent08_Withdrawals!H198)</f>
        <v/>
      </c>
      <c r="J1593" s="37" t="str">
        <f>IF(Agent08_Withdrawals!A198="","",Agent08_Withdrawals!J198)</f>
        <v/>
      </c>
      <c r="K1593" s="37" t="str">
        <f>IF(Agent08_Withdrawals!A198="","",Agent08_Withdrawals!K198)</f>
        <v/>
      </c>
      <c r="L1593" s="37" t="str">
        <f>IF(G1593="","",IF(D1593-G1593&gt;=System_Config!$B$9,"✅ OK","⚠️ BREACH"))</f>
        <v/>
      </c>
      <c r="M1593" s="37" t="str">
        <f>IFERROR(IF(Agent08_Withdrawals!A198="","",YEAR(Agent08_Withdrawals!D198)),"")</f>
        <v/>
      </c>
    </row>
    <row r="1594" spans="1:13" ht="18" customHeight="1" x14ac:dyDescent="0.25">
      <c r="A1594" s="37" t="str">
        <f>IF(Agent08_Withdrawals!A199="","",Agent08_Withdrawals!A199)</f>
        <v/>
      </c>
      <c r="B1594" s="37" t="str">
        <f ca="1">IF(Agent08_Withdrawals!A199="","","WD"&amp;TEXT(1594-3,"0000")&amp;"-"&amp;TEXT(TODAY(),"YYYYMMDD"))</f>
        <v/>
      </c>
      <c r="C1594" s="37" t="str">
        <f>IF(Agent08_Withdrawals!A199="","",Agent08_Withdrawals!B199)</f>
        <v/>
      </c>
      <c r="D1594" s="40" t="str">
        <f>IF(Agent08_Withdrawals!A199="","",Agent08_Withdrawals!C199)</f>
        <v/>
      </c>
      <c r="E1594" s="38" t="str">
        <f>IF(Agent08_Withdrawals!A199="","",Agent08_Withdrawals!D199)</f>
        <v/>
      </c>
      <c r="F1594" s="37" t="str">
        <f>IF(Agent08_Withdrawals!A199="","",Agent08_Withdrawals!F199)</f>
        <v/>
      </c>
      <c r="G1594" s="39" t="str">
        <f>IF(Agent08_Withdrawals!A199="","",Agent08_Withdrawals!E199)</f>
        <v/>
      </c>
      <c r="H1594" s="39" t="str">
        <f>IF(Agent08_Withdrawals!A199="","",Agent08_Withdrawals!G199)</f>
        <v/>
      </c>
      <c r="I1594" s="37" t="str">
        <f>IF(Agent08_Withdrawals!A199="","",Agent08_Withdrawals!H199)</f>
        <v/>
      </c>
      <c r="J1594" s="37" t="str">
        <f>IF(Agent08_Withdrawals!A199="","",Agent08_Withdrawals!J199)</f>
        <v/>
      </c>
      <c r="K1594" s="37" t="str">
        <f>IF(Agent08_Withdrawals!A199="","",Agent08_Withdrawals!K199)</f>
        <v/>
      </c>
      <c r="L1594" s="37" t="str">
        <f>IF(G1594="","",IF(D1594-G1594&gt;=System_Config!$B$9,"✅ OK","⚠️ BREACH"))</f>
        <v/>
      </c>
      <c r="M1594" s="37" t="str">
        <f>IFERROR(IF(Agent08_Withdrawals!A199="","",YEAR(Agent08_Withdrawals!D199)),"")</f>
        <v/>
      </c>
    </row>
    <row r="1595" spans="1:13" ht="18" customHeight="1" x14ac:dyDescent="0.25">
      <c r="A1595" s="37" t="str">
        <f>IF(Agent08_Withdrawals!A200="","",Agent08_Withdrawals!A200)</f>
        <v/>
      </c>
      <c r="B1595" s="37" t="str">
        <f ca="1">IF(Agent08_Withdrawals!A200="","","WD"&amp;TEXT(1595-3,"0000")&amp;"-"&amp;TEXT(TODAY(),"YYYYMMDD"))</f>
        <v/>
      </c>
      <c r="C1595" s="37" t="str">
        <f>IF(Agent08_Withdrawals!A200="","",Agent08_Withdrawals!B200)</f>
        <v/>
      </c>
      <c r="D1595" s="40" t="str">
        <f>IF(Agent08_Withdrawals!A200="","",Agent08_Withdrawals!C200)</f>
        <v/>
      </c>
      <c r="E1595" s="38" t="str">
        <f>IF(Agent08_Withdrawals!A200="","",Agent08_Withdrawals!D200)</f>
        <v/>
      </c>
      <c r="F1595" s="37" t="str">
        <f>IF(Agent08_Withdrawals!A200="","",Agent08_Withdrawals!F200)</f>
        <v/>
      </c>
      <c r="G1595" s="39" t="str">
        <f>IF(Agent08_Withdrawals!A200="","",Agent08_Withdrawals!E200)</f>
        <v/>
      </c>
      <c r="H1595" s="39" t="str">
        <f>IF(Agent08_Withdrawals!A200="","",Agent08_Withdrawals!G200)</f>
        <v/>
      </c>
      <c r="I1595" s="37" t="str">
        <f>IF(Agent08_Withdrawals!A200="","",Agent08_Withdrawals!H200)</f>
        <v/>
      </c>
      <c r="J1595" s="37" t="str">
        <f>IF(Agent08_Withdrawals!A200="","",Agent08_Withdrawals!J200)</f>
        <v/>
      </c>
      <c r="K1595" s="37" t="str">
        <f>IF(Agent08_Withdrawals!A200="","",Agent08_Withdrawals!K200)</f>
        <v/>
      </c>
      <c r="L1595" s="37" t="str">
        <f>IF(G1595="","",IF(D1595-G1595&gt;=System_Config!$B$9,"✅ OK","⚠️ BREACH"))</f>
        <v/>
      </c>
      <c r="M1595" s="37" t="str">
        <f>IFERROR(IF(Agent08_Withdrawals!A200="","",YEAR(Agent08_Withdrawals!D200)),"")</f>
        <v/>
      </c>
    </row>
    <row r="1596" spans="1:13" ht="18" customHeight="1" x14ac:dyDescent="0.25">
      <c r="A1596" s="37" t="str">
        <f>IF(Agent08_Withdrawals!A201="","",Agent08_Withdrawals!A201)</f>
        <v/>
      </c>
      <c r="B1596" s="37" t="str">
        <f ca="1">IF(Agent08_Withdrawals!A201="","","WD"&amp;TEXT(1596-3,"0000")&amp;"-"&amp;TEXT(TODAY(),"YYYYMMDD"))</f>
        <v/>
      </c>
      <c r="C1596" s="37" t="str">
        <f>IF(Agent08_Withdrawals!A201="","",Agent08_Withdrawals!B201)</f>
        <v/>
      </c>
      <c r="D1596" s="40" t="str">
        <f>IF(Agent08_Withdrawals!A201="","",Agent08_Withdrawals!C201)</f>
        <v/>
      </c>
      <c r="E1596" s="38" t="str">
        <f>IF(Agent08_Withdrawals!A201="","",Agent08_Withdrawals!D201)</f>
        <v/>
      </c>
      <c r="F1596" s="37" t="str">
        <f>IF(Agent08_Withdrawals!A201="","",Agent08_Withdrawals!F201)</f>
        <v/>
      </c>
      <c r="G1596" s="39" t="str">
        <f>IF(Agent08_Withdrawals!A201="","",Agent08_Withdrawals!E201)</f>
        <v/>
      </c>
      <c r="H1596" s="39" t="str">
        <f>IF(Agent08_Withdrawals!A201="","",Agent08_Withdrawals!G201)</f>
        <v/>
      </c>
      <c r="I1596" s="37" t="str">
        <f>IF(Agent08_Withdrawals!A201="","",Agent08_Withdrawals!H201)</f>
        <v/>
      </c>
      <c r="J1596" s="37" t="str">
        <f>IF(Agent08_Withdrawals!A201="","",Agent08_Withdrawals!J201)</f>
        <v/>
      </c>
      <c r="K1596" s="37" t="str">
        <f>IF(Agent08_Withdrawals!A201="","",Agent08_Withdrawals!K201)</f>
        <v/>
      </c>
      <c r="L1596" s="37" t="str">
        <f>IF(G1596="","",IF(D1596-G1596&gt;=System_Config!$B$9,"✅ OK","⚠️ BREACH"))</f>
        <v/>
      </c>
      <c r="M1596" s="37" t="str">
        <f>IFERROR(IF(Agent08_Withdrawals!A201="","",YEAR(Agent08_Withdrawals!D201)),"")</f>
        <v/>
      </c>
    </row>
    <row r="1597" spans="1:13" ht="18" customHeight="1" x14ac:dyDescent="0.25">
      <c r="A1597" s="37" t="str">
        <f>IF(Agent08_Withdrawals!A202="","",Agent08_Withdrawals!A202)</f>
        <v/>
      </c>
      <c r="B1597" s="37" t="str">
        <f ca="1">IF(Agent08_Withdrawals!A202="","","WD"&amp;TEXT(1597-3,"0000")&amp;"-"&amp;TEXT(TODAY(),"YYYYMMDD"))</f>
        <v/>
      </c>
      <c r="C1597" s="37" t="str">
        <f>IF(Agent08_Withdrawals!A202="","",Agent08_Withdrawals!B202)</f>
        <v/>
      </c>
      <c r="D1597" s="40" t="str">
        <f>IF(Agent08_Withdrawals!A202="","",Agent08_Withdrawals!C202)</f>
        <v/>
      </c>
      <c r="E1597" s="38" t="str">
        <f>IF(Agent08_Withdrawals!A202="","",Agent08_Withdrawals!D202)</f>
        <v/>
      </c>
      <c r="F1597" s="37" t="str">
        <f>IF(Agent08_Withdrawals!A202="","",Agent08_Withdrawals!F202)</f>
        <v/>
      </c>
      <c r="G1597" s="39" t="str">
        <f>IF(Agent08_Withdrawals!A202="","",Agent08_Withdrawals!E202)</f>
        <v/>
      </c>
      <c r="H1597" s="39" t="str">
        <f>IF(Agent08_Withdrawals!A202="","",Agent08_Withdrawals!G202)</f>
        <v/>
      </c>
      <c r="I1597" s="37" t="str">
        <f>IF(Agent08_Withdrawals!A202="","",Agent08_Withdrawals!H202)</f>
        <v/>
      </c>
      <c r="J1597" s="37" t="str">
        <f>IF(Agent08_Withdrawals!A202="","",Agent08_Withdrawals!J202)</f>
        <v/>
      </c>
      <c r="K1597" s="37" t="str">
        <f>IF(Agent08_Withdrawals!A202="","",Agent08_Withdrawals!K202)</f>
        <v/>
      </c>
      <c r="L1597" s="37" t="str">
        <f>IF(G1597="","",IF(D1597-G1597&gt;=System_Config!$B$9,"✅ OK","⚠️ BREACH"))</f>
        <v/>
      </c>
      <c r="M1597" s="37" t="str">
        <f>IFERROR(IF(Agent08_Withdrawals!A202="","",YEAR(Agent08_Withdrawals!D202)),"")</f>
        <v/>
      </c>
    </row>
    <row r="1598" spans="1:13" ht="18" customHeight="1" x14ac:dyDescent="0.25">
      <c r="A1598" s="37" t="str">
        <f>IF(Agent08_Withdrawals!A203="","",Agent08_Withdrawals!A203)</f>
        <v/>
      </c>
      <c r="B1598" s="37" t="str">
        <f ca="1">IF(Agent08_Withdrawals!A203="","","WD"&amp;TEXT(1598-3,"0000")&amp;"-"&amp;TEXT(TODAY(),"YYYYMMDD"))</f>
        <v/>
      </c>
      <c r="C1598" s="37" t="str">
        <f>IF(Agent08_Withdrawals!A203="","",Agent08_Withdrawals!B203)</f>
        <v/>
      </c>
      <c r="D1598" s="40" t="str">
        <f>IF(Agent08_Withdrawals!A203="","",Agent08_Withdrawals!C203)</f>
        <v/>
      </c>
      <c r="E1598" s="38" t="str">
        <f>IF(Agent08_Withdrawals!A203="","",Agent08_Withdrawals!D203)</f>
        <v/>
      </c>
      <c r="F1598" s="37" t="str">
        <f>IF(Agent08_Withdrawals!A203="","",Agent08_Withdrawals!F203)</f>
        <v/>
      </c>
      <c r="G1598" s="39" t="str">
        <f>IF(Agent08_Withdrawals!A203="","",Agent08_Withdrawals!E203)</f>
        <v/>
      </c>
      <c r="H1598" s="39" t="str">
        <f>IF(Agent08_Withdrawals!A203="","",Agent08_Withdrawals!G203)</f>
        <v/>
      </c>
      <c r="I1598" s="37" t="str">
        <f>IF(Agent08_Withdrawals!A203="","",Agent08_Withdrawals!H203)</f>
        <v/>
      </c>
      <c r="J1598" s="37" t="str">
        <f>IF(Agent08_Withdrawals!A203="","",Agent08_Withdrawals!J203)</f>
        <v/>
      </c>
      <c r="K1598" s="37" t="str">
        <f>IF(Agent08_Withdrawals!A203="","",Agent08_Withdrawals!K203)</f>
        <v/>
      </c>
      <c r="L1598" s="37" t="str">
        <f>IF(G1598="","",IF(D1598-G1598&gt;=System_Config!$B$9,"✅ OK","⚠️ BREACH"))</f>
        <v/>
      </c>
      <c r="M1598" s="37" t="str">
        <f>IFERROR(IF(Agent08_Withdrawals!A203="","",YEAR(Agent08_Withdrawals!D203)),"")</f>
        <v/>
      </c>
    </row>
    <row r="1599" spans="1:13" ht="18" customHeight="1" x14ac:dyDescent="0.25">
      <c r="A1599" s="37" t="str">
        <f>IF(Agent08_Withdrawals!A204="","",Agent08_Withdrawals!A204)</f>
        <v/>
      </c>
      <c r="B1599" s="37" t="str">
        <f ca="1">IF(Agent08_Withdrawals!A204="","","WD"&amp;TEXT(1599-3,"0000")&amp;"-"&amp;TEXT(TODAY(),"YYYYMMDD"))</f>
        <v/>
      </c>
      <c r="C1599" s="37" t="str">
        <f>IF(Agent08_Withdrawals!A204="","",Agent08_Withdrawals!B204)</f>
        <v/>
      </c>
      <c r="D1599" s="40" t="str">
        <f>IF(Agent08_Withdrawals!A204="","",Agent08_Withdrawals!C204)</f>
        <v/>
      </c>
      <c r="E1599" s="38" t="str">
        <f>IF(Agent08_Withdrawals!A204="","",Agent08_Withdrawals!D204)</f>
        <v/>
      </c>
      <c r="F1599" s="37" t="str">
        <f>IF(Agent08_Withdrawals!A204="","",Agent08_Withdrawals!F204)</f>
        <v/>
      </c>
      <c r="G1599" s="39" t="str">
        <f>IF(Agent08_Withdrawals!A204="","",Agent08_Withdrawals!E204)</f>
        <v/>
      </c>
      <c r="H1599" s="39" t="str">
        <f>IF(Agent08_Withdrawals!A204="","",Agent08_Withdrawals!G204)</f>
        <v/>
      </c>
      <c r="I1599" s="37" t="str">
        <f>IF(Agent08_Withdrawals!A204="","",Agent08_Withdrawals!H204)</f>
        <v/>
      </c>
      <c r="J1599" s="37" t="str">
        <f>IF(Agent08_Withdrawals!A204="","",Agent08_Withdrawals!J204)</f>
        <v/>
      </c>
      <c r="K1599" s="37" t="str">
        <f>IF(Agent08_Withdrawals!A204="","",Agent08_Withdrawals!K204)</f>
        <v/>
      </c>
      <c r="L1599" s="37" t="str">
        <f>IF(G1599="","",IF(D1599-G1599&gt;=System_Config!$B$9,"✅ OK","⚠️ BREACH"))</f>
        <v/>
      </c>
      <c r="M1599" s="37" t="str">
        <f>IFERROR(IF(Agent08_Withdrawals!A204="","",YEAR(Agent08_Withdrawals!D204)),"")</f>
        <v/>
      </c>
    </row>
    <row r="1600" spans="1:13" ht="18" customHeight="1" x14ac:dyDescent="0.25">
      <c r="A1600" s="37" t="str">
        <f>IF(Agent08_Withdrawals!A205="","",Agent08_Withdrawals!A205)</f>
        <v/>
      </c>
      <c r="B1600" s="37" t="str">
        <f ca="1">IF(Agent08_Withdrawals!A205="","","WD"&amp;TEXT(1600-3,"0000")&amp;"-"&amp;TEXT(TODAY(),"YYYYMMDD"))</f>
        <v/>
      </c>
      <c r="C1600" s="37" t="str">
        <f>IF(Agent08_Withdrawals!A205="","",Agent08_Withdrawals!B205)</f>
        <v/>
      </c>
      <c r="D1600" s="40" t="str">
        <f>IF(Agent08_Withdrawals!A205="","",Agent08_Withdrawals!C205)</f>
        <v/>
      </c>
      <c r="E1600" s="38" t="str">
        <f>IF(Agent08_Withdrawals!A205="","",Agent08_Withdrawals!D205)</f>
        <v/>
      </c>
      <c r="F1600" s="37" t="str">
        <f>IF(Agent08_Withdrawals!A205="","",Agent08_Withdrawals!F205)</f>
        <v/>
      </c>
      <c r="G1600" s="39" t="str">
        <f>IF(Agent08_Withdrawals!A205="","",Agent08_Withdrawals!E205)</f>
        <v/>
      </c>
      <c r="H1600" s="39" t="str">
        <f>IF(Agent08_Withdrawals!A205="","",Agent08_Withdrawals!G205)</f>
        <v/>
      </c>
      <c r="I1600" s="37" t="str">
        <f>IF(Agent08_Withdrawals!A205="","",Agent08_Withdrawals!H205)</f>
        <v/>
      </c>
      <c r="J1600" s="37" t="str">
        <f>IF(Agent08_Withdrawals!A205="","",Agent08_Withdrawals!J205)</f>
        <v/>
      </c>
      <c r="K1600" s="37" t="str">
        <f>IF(Agent08_Withdrawals!A205="","",Agent08_Withdrawals!K205)</f>
        <v/>
      </c>
      <c r="L1600" s="37" t="str">
        <f>IF(G1600="","",IF(D1600-G1600&gt;=System_Config!$B$9,"✅ OK","⚠️ BREACH"))</f>
        <v/>
      </c>
      <c r="M1600" s="37" t="str">
        <f>IFERROR(IF(Agent08_Withdrawals!A205="","",YEAR(Agent08_Withdrawals!D205)),"")</f>
        <v/>
      </c>
    </row>
    <row r="1601" spans="1:13" ht="18" customHeight="1" x14ac:dyDescent="0.25">
      <c r="A1601" s="37" t="str">
        <f>IF(Agent08_Withdrawals!A206="","",Agent08_Withdrawals!A206)</f>
        <v/>
      </c>
      <c r="B1601" s="37" t="str">
        <f ca="1">IF(Agent08_Withdrawals!A206="","","WD"&amp;TEXT(1601-3,"0000")&amp;"-"&amp;TEXT(TODAY(),"YYYYMMDD"))</f>
        <v/>
      </c>
      <c r="C1601" s="37" t="str">
        <f>IF(Agent08_Withdrawals!A206="","",Agent08_Withdrawals!B206)</f>
        <v/>
      </c>
      <c r="D1601" s="40" t="str">
        <f>IF(Agent08_Withdrawals!A206="","",Agent08_Withdrawals!C206)</f>
        <v/>
      </c>
      <c r="E1601" s="38" t="str">
        <f>IF(Agent08_Withdrawals!A206="","",Agent08_Withdrawals!D206)</f>
        <v/>
      </c>
      <c r="F1601" s="37" t="str">
        <f>IF(Agent08_Withdrawals!A206="","",Agent08_Withdrawals!F206)</f>
        <v/>
      </c>
      <c r="G1601" s="39" t="str">
        <f>IF(Agent08_Withdrawals!A206="","",Agent08_Withdrawals!E206)</f>
        <v/>
      </c>
      <c r="H1601" s="39" t="str">
        <f>IF(Agent08_Withdrawals!A206="","",Agent08_Withdrawals!G206)</f>
        <v/>
      </c>
      <c r="I1601" s="37" t="str">
        <f>IF(Agent08_Withdrawals!A206="","",Agent08_Withdrawals!H206)</f>
        <v/>
      </c>
      <c r="J1601" s="37" t="str">
        <f>IF(Agent08_Withdrawals!A206="","",Agent08_Withdrawals!J206)</f>
        <v/>
      </c>
      <c r="K1601" s="37" t="str">
        <f>IF(Agent08_Withdrawals!A206="","",Agent08_Withdrawals!K206)</f>
        <v/>
      </c>
      <c r="L1601" s="37" t="str">
        <f>IF(G1601="","",IF(D1601-G1601&gt;=System_Config!$B$9,"✅ OK","⚠️ BREACH"))</f>
        <v/>
      </c>
      <c r="M1601" s="37" t="str">
        <f>IFERROR(IF(Agent08_Withdrawals!A206="","",YEAR(Agent08_Withdrawals!D206)),"")</f>
        <v/>
      </c>
    </row>
    <row r="1602" spans="1:13" ht="18" customHeight="1" x14ac:dyDescent="0.25">
      <c r="A1602" s="37" t="str">
        <f>IF(Agent08_Withdrawals!A207="","",Agent08_Withdrawals!A207)</f>
        <v/>
      </c>
      <c r="B1602" s="37" t="str">
        <f ca="1">IF(Agent08_Withdrawals!A207="","","WD"&amp;TEXT(1602-3,"0000")&amp;"-"&amp;TEXT(TODAY(),"YYYYMMDD"))</f>
        <v/>
      </c>
      <c r="C1602" s="37" t="str">
        <f>IF(Agent08_Withdrawals!A207="","",Agent08_Withdrawals!B207)</f>
        <v/>
      </c>
      <c r="D1602" s="40" t="str">
        <f>IF(Agent08_Withdrawals!A207="","",Agent08_Withdrawals!C207)</f>
        <v/>
      </c>
      <c r="E1602" s="38" t="str">
        <f>IF(Agent08_Withdrawals!A207="","",Agent08_Withdrawals!D207)</f>
        <v/>
      </c>
      <c r="F1602" s="37" t="str">
        <f>IF(Agent08_Withdrawals!A207="","",Agent08_Withdrawals!F207)</f>
        <v/>
      </c>
      <c r="G1602" s="39" t="str">
        <f>IF(Agent08_Withdrawals!A207="","",Agent08_Withdrawals!E207)</f>
        <v/>
      </c>
      <c r="H1602" s="39" t="str">
        <f>IF(Agent08_Withdrawals!A207="","",Agent08_Withdrawals!G207)</f>
        <v/>
      </c>
      <c r="I1602" s="37" t="str">
        <f>IF(Agent08_Withdrawals!A207="","",Agent08_Withdrawals!H207)</f>
        <v/>
      </c>
      <c r="J1602" s="37" t="str">
        <f>IF(Agent08_Withdrawals!A207="","",Agent08_Withdrawals!J207)</f>
        <v/>
      </c>
      <c r="K1602" s="37" t="str">
        <f>IF(Agent08_Withdrawals!A207="","",Agent08_Withdrawals!K207)</f>
        <v/>
      </c>
      <c r="L1602" s="37" t="str">
        <f>IF(G1602="","",IF(D1602-G1602&gt;=System_Config!$B$9,"✅ OK","⚠️ BREACH"))</f>
        <v/>
      </c>
      <c r="M1602" s="37" t="str">
        <f>IFERROR(IF(Agent08_Withdrawals!A207="","",YEAR(Agent08_Withdrawals!D207)),"")</f>
        <v/>
      </c>
    </row>
    <row r="1603" spans="1:13" ht="18" customHeight="1" x14ac:dyDescent="0.25">
      <c r="A1603" s="37" t="str">
        <f>IF(Agent08_Withdrawals!A208="","",Agent08_Withdrawals!A208)</f>
        <v/>
      </c>
      <c r="B1603" s="37" t="str">
        <f ca="1">IF(Agent08_Withdrawals!A208="","","WD"&amp;TEXT(1603-3,"0000")&amp;"-"&amp;TEXT(TODAY(),"YYYYMMDD"))</f>
        <v/>
      </c>
      <c r="C1603" s="37" t="str">
        <f>IF(Agent08_Withdrawals!A208="","",Agent08_Withdrawals!B208)</f>
        <v/>
      </c>
      <c r="D1603" s="40" t="str">
        <f>IF(Agent08_Withdrawals!A208="","",Agent08_Withdrawals!C208)</f>
        <v/>
      </c>
      <c r="E1603" s="38" t="str">
        <f>IF(Agent08_Withdrawals!A208="","",Agent08_Withdrawals!D208)</f>
        <v/>
      </c>
      <c r="F1603" s="37" t="str">
        <f>IF(Agent08_Withdrawals!A208="","",Agent08_Withdrawals!F208)</f>
        <v/>
      </c>
      <c r="G1603" s="39" t="str">
        <f>IF(Agent08_Withdrawals!A208="","",Agent08_Withdrawals!E208)</f>
        <v/>
      </c>
      <c r="H1603" s="39" t="str">
        <f>IF(Agent08_Withdrawals!A208="","",Agent08_Withdrawals!G208)</f>
        <v/>
      </c>
      <c r="I1603" s="37" t="str">
        <f>IF(Agent08_Withdrawals!A208="","",Agent08_Withdrawals!H208)</f>
        <v/>
      </c>
      <c r="J1603" s="37" t="str">
        <f>IF(Agent08_Withdrawals!A208="","",Agent08_Withdrawals!J208)</f>
        <v/>
      </c>
      <c r="K1603" s="37" t="str">
        <f>IF(Agent08_Withdrawals!A208="","",Agent08_Withdrawals!K208)</f>
        <v/>
      </c>
      <c r="L1603" s="37" t="str">
        <f>IF(G1603="","",IF(D1603-G1603&gt;=System_Config!$B$9,"✅ OK","⚠️ BREACH"))</f>
        <v/>
      </c>
      <c r="M1603" s="37" t="str">
        <f>IFERROR(IF(Agent08_Withdrawals!A208="","",YEAR(Agent08_Withdrawals!D208)),"")</f>
        <v/>
      </c>
    </row>
    <row r="1604" spans="1:13" ht="18" customHeight="1" x14ac:dyDescent="0.25">
      <c r="A1604" s="37" t="str">
        <f>IF(Agent09_Withdrawals!A9="","",Agent09_Withdrawals!A9)</f>
        <v/>
      </c>
      <c r="B1604" s="37" t="str">
        <f ca="1">IF(Agent09_Withdrawals!A9="","","WD"&amp;TEXT(1604-3,"0000")&amp;"-"&amp;TEXT(TODAY(),"YYYYMMDD"))</f>
        <v/>
      </c>
      <c r="C1604" s="37" t="str">
        <f>IF(Agent09_Withdrawals!A9="","",Agent09_Withdrawals!B9)</f>
        <v/>
      </c>
      <c r="D1604" s="40" t="str">
        <f>IF(Agent09_Withdrawals!A9="","",Agent09_Withdrawals!C9)</f>
        <v/>
      </c>
      <c r="E1604" s="38" t="str">
        <f>IF(Agent09_Withdrawals!A9="","",Agent09_Withdrawals!D9)</f>
        <v/>
      </c>
      <c r="F1604" s="37" t="str">
        <f>IF(Agent09_Withdrawals!A9="","",Agent09_Withdrawals!F9)</f>
        <v/>
      </c>
      <c r="G1604" s="39" t="str">
        <f>IF(Agent09_Withdrawals!A9="","",Agent09_Withdrawals!E9)</f>
        <v/>
      </c>
      <c r="H1604" s="39" t="str">
        <f>IF(Agent09_Withdrawals!A9="","",Agent09_Withdrawals!G9)</f>
        <v/>
      </c>
      <c r="I1604" s="37" t="str">
        <f>IF(Agent09_Withdrawals!A9="","",Agent09_Withdrawals!H9)</f>
        <v/>
      </c>
      <c r="J1604" s="37" t="str">
        <f>IF(Agent09_Withdrawals!A9="","",Agent09_Withdrawals!J9)</f>
        <v/>
      </c>
      <c r="K1604" s="37" t="str">
        <f>IF(Agent09_Withdrawals!A9="","",Agent09_Withdrawals!K9)</f>
        <v/>
      </c>
      <c r="L1604" s="37" t="str">
        <f>IF(G1604="","",IF(D1604-G1604&gt;=System_Config!$B$9,"✅ OK","⚠️ BREACH"))</f>
        <v/>
      </c>
      <c r="M1604" s="37" t="str">
        <f>IFERROR(IF(Agent09_Withdrawals!A9="","",YEAR(Agent09_Withdrawals!D9)),"")</f>
        <v/>
      </c>
    </row>
    <row r="1605" spans="1:13" ht="18" customHeight="1" x14ac:dyDescent="0.25">
      <c r="A1605" s="37" t="str">
        <f>IF(Agent09_Withdrawals!A10="","",Agent09_Withdrawals!A10)</f>
        <v/>
      </c>
      <c r="B1605" s="37" t="str">
        <f ca="1">IF(Agent09_Withdrawals!A10="","","WD"&amp;TEXT(1605-3,"0000")&amp;"-"&amp;TEXT(TODAY(),"YYYYMMDD"))</f>
        <v/>
      </c>
      <c r="C1605" s="37" t="str">
        <f>IF(Agent09_Withdrawals!A10="","",Agent09_Withdrawals!B10)</f>
        <v/>
      </c>
      <c r="D1605" s="40" t="str">
        <f>IF(Agent09_Withdrawals!A10="","",Agent09_Withdrawals!C10)</f>
        <v/>
      </c>
      <c r="E1605" s="38" t="str">
        <f>IF(Agent09_Withdrawals!A10="","",Agent09_Withdrawals!D10)</f>
        <v/>
      </c>
      <c r="F1605" s="37" t="str">
        <f>IF(Agent09_Withdrawals!A10="","",Agent09_Withdrawals!F10)</f>
        <v/>
      </c>
      <c r="G1605" s="39" t="str">
        <f>IF(Agent09_Withdrawals!A10="","",Agent09_Withdrawals!E10)</f>
        <v/>
      </c>
      <c r="H1605" s="39" t="str">
        <f>IF(Agent09_Withdrawals!A10="","",Agent09_Withdrawals!G10)</f>
        <v/>
      </c>
      <c r="I1605" s="37" t="str">
        <f>IF(Agent09_Withdrawals!A10="","",Agent09_Withdrawals!H10)</f>
        <v/>
      </c>
      <c r="J1605" s="37" t="str">
        <f>IF(Agent09_Withdrawals!A10="","",Agent09_Withdrawals!J10)</f>
        <v/>
      </c>
      <c r="K1605" s="37" t="str">
        <f>IF(Agent09_Withdrawals!A10="","",Agent09_Withdrawals!K10)</f>
        <v/>
      </c>
      <c r="L1605" s="37" t="str">
        <f>IF(G1605="","",IF(D1605-G1605&gt;=System_Config!$B$9,"✅ OK","⚠️ BREACH"))</f>
        <v/>
      </c>
      <c r="M1605" s="37" t="str">
        <f>IFERROR(IF(Agent09_Withdrawals!A10="","",YEAR(Agent09_Withdrawals!D10)),"")</f>
        <v/>
      </c>
    </row>
    <row r="1606" spans="1:13" ht="18" customHeight="1" x14ac:dyDescent="0.25">
      <c r="A1606" s="37" t="str">
        <f>IF(Agent09_Withdrawals!A11="","",Agent09_Withdrawals!A11)</f>
        <v/>
      </c>
      <c r="B1606" s="37" t="str">
        <f ca="1">IF(Agent09_Withdrawals!A11="","","WD"&amp;TEXT(1606-3,"0000")&amp;"-"&amp;TEXT(TODAY(),"YYYYMMDD"))</f>
        <v/>
      </c>
      <c r="C1606" s="37" t="str">
        <f>IF(Agent09_Withdrawals!A11="","",Agent09_Withdrawals!B11)</f>
        <v/>
      </c>
      <c r="D1606" s="40" t="str">
        <f>IF(Agent09_Withdrawals!A11="","",Agent09_Withdrawals!C11)</f>
        <v/>
      </c>
      <c r="E1606" s="38" t="str">
        <f>IF(Agent09_Withdrawals!A11="","",Agent09_Withdrawals!D11)</f>
        <v/>
      </c>
      <c r="F1606" s="37" t="str">
        <f>IF(Agent09_Withdrawals!A11="","",Agent09_Withdrawals!F11)</f>
        <v/>
      </c>
      <c r="G1606" s="39" t="str">
        <f>IF(Agent09_Withdrawals!A11="","",Agent09_Withdrawals!E11)</f>
        <v/>
      </c>
      <c r="H1606" s="39" t="str">
        <f>IF(Agent09_Withdrawals!A11="","",Agent09_Withdrawals!G11)</f>
        <v/>
      </c>
      <c r="I1606" s="37" t="str">
        <f>IF(Agent09_Withdrawals!A11="","",Agent09_Withdrawals!H11)</f>
        <v/>
      </c>
      <c r="J1606" s="37" t="str">
        <f>IF(Agent09_Withdrawals!A11="","",Agent09_Withdrawals!J11)</f>
        <v/>
      </c>
      <c r="K1606" s="37" t="str">
        <f>IF(Agent09_Withdrawals!A11="","",Agent09_Withdrawals!K11)</f>
        <v/>
      </c>
      <c r="L1606" s="37" t="str">
        <f>IF(G1606="","",IF(D1606-G1606&gt;=System_Config!$B$9,"✅ OK","⚠️ BREACH"))</f>
        <v/>
      </c>
      <c r="M1606" s="37" t="str">
        <f>IFERROR(IF(Agent09_Withdrawals!A11="","",YEAR(Agent09_Withdrawals!D11)),"")</f>
        <v/>
      </c>
    </row>
    <row r="1607" spans="1:13" ht="18" customHeight="1" x14ac:dyDescent="0.25">
      <c r="A1607" s="37" t="str">
        <f>IF(Agent09_Withdrawals!A12="","",Agent09_Withdrawals!A12)</f>
        <v/>
      </c>
      <c r="B1607" s="37" t="str">
        <f ca="1">IF(Agent09_Withdrawals!A12="","","WD"&amp;TEXT(1607-3,"0000")&amp;"-"&amp;TEXT(TODAY(),"YYYYMMDD"))</f>
        <v/>
      </c>
      <c r="C1607" s="37" t="str">
        <f>IF(Agent09_Withdrawals!A12="","",Agent09_Withdrawals!B12)</f>
        <v/>
      </c>
      <c r="D1607" s="40" t="str">
        <f>IF(Agent09_Withdrawals!A12="","",Agent09_Withdrawals!C12)</f>
        <v/>
      </c>
      <c r="E1607" s="38" t="str">
        <f>IF(Agent09_Withdrawals!A12="","",Agent09_Withdrawals!D12)</f>
        <v/>
      </c>
      <c r="F1607" s="37" t="str">
        <f>IF(Agent09_Withdrawals!A12="","",Agent09_Withdrawals!F12)</f>
        <v/>
      </c>
      <c r="G1607" s="39" t="str">
        <f>IF(Agent09_Withdrawals!A12="","",Agent09_Withdrawals!E12)</f>
        <v/>
      </c>
      <c r="H1607" s="39" t="str">
        <f>IF(Agent09_Withdrawals!A12="","",Agent09_Withdrawals!G12)</f>
        <v/>
      </c>
      <c r="I1607" s="37" t="str">
        <f>IF(Agent09_Withdrawals!A12="","",Agent09_Withdrawals!H12)</f>
        <v/>
      </c>
      <c r="J1607" s="37" t="str">
        <f>IF(Agent09_Withdrawals!A12="","",Agent09_Withdrawals!J12)</f>
        <v/>
      </c>
      <c r="K1607" s="37" t="str">
        <f>IF(Agent09_Withdrawals!A12="","",Agent09_Withdrawals!K12)</f>
        <v/>
      </c>
      <c r="L1607" s="37" t="str">
        <f>IF(G1607="","",IF(D1607-G1607&gt;=System_Config!$B$9,"✅ OK","⚠️ BREACH"))</f>
        <v/>
      </c>
      <c r="M1607" s="37" t="str">
        <f>IFERROR(IF(Agent09_Withdrawals!A12="","",YEAR(Agent09_Withdrawals!D12)),"")</f>
        <v/>
      </c>
    </row>
    <row r="1608" spans="1:13" ht="18" customHeight="1" x14ac:dyDescent="0.25">
      <c r="A1608" s="37" t="str">
        <f>IF(Agent09_Withdrawals!A13="","",Agent09_Withdrawals!A13)</f>
        <v/>
      </c>
      <c r="B1608" s="37" t="str">
        <f ca="1">IF(Agent09_Withdrawals!A13="","","WD"&amp;TEXT(1608-3,"0000")&amp;"-"&amp;TEXT(TODAY(),"YYYYMMDD"))</f>
        <v/>
      </c>
      <c r="C1608" s="37" t="str">
        <f>IF(Agent09_Withdrawals!A13="","",Agent09_Withdrawals!B13)</f>
        <v/>
      </c>
      <c r="D1608" s="40" t="str">
        <f>IF(Agent09_Withdrawals!A13="","",Agent09_Withdrawals!C13)</f>
        <v/>
      </c>
      <c r="E1608" s="38" t="str">
        <f>IF(Agent09_Withdrawals!A13="","",Agent09_Withdrawals!D13)</f>
        <v/>
      </c>
      <c r="F1608" s="37" t="str">
        <f>IF(Agent09_Withdrawals!A13="","",Agent09_Withdrawals!F13)</f>
        <v/>
      </c>
      <c r="G1608" s="39" t="str">
        <f>IF(Agent09_Withdrawals!A13="","",Agent09_Withdrawals!E13)</f>
        <v/>
      </c>
      <c r="H1608" s="39" t="str">
        <f>IF(Agent09_Withdrawals!A13="","",Agent09_Withdrawals!G13)</f>
        <v/>
      </c>
      <c r="I1608" s="37" t="str">
        <f>IF(Agent09_Withdrawals!A13="","",Agent09_Withdrawals!H13)</f>
        <v/>
      </c>
      <c r="J1608" s="37" t="str">
        <f>IF(Agent09_Withdrawals!A13="","",Agent09_Withdrawals!J13)</f>
        <v/>
      </c>
      <c r="K1608" s="37" t="str">
        <f>IF(Agent09_Withdrawals!A13="","",Agent09_Withdrawals!K13)</f>
        <v/>
      </c>
      <c r="L1608" s="37" t="str">
        <f>IF(G1608="","",IF(D1608-G1608&gt;=System_Config!$B$9,"✅ OK","⚠️ BREACH"))</f>
        <v/>
      </c>
      <c r="M1608" s="37" t="str">
        <f>IFERROR(IF(Agent09_Withdrawals!A13="","",YEAR(Agent09_Withdrawals!D13)),"")</f>
        <v/>
      </c>
    </row>
    <row r="1609" spans="1:13" ht="18" customHeight="1" x14ac:dyDescent="0.25">
      <c r="A1609" s="37" t="str">
        <f>IF(Agent09_Withdrawals!A14="","",Agent09_Withdrawals!A14)</f>
        <v/>
      </c>
      <c r="B1609" s="37" t="str">
        <f ca="1">IF(Agent09_Withdrawals!A14="","","WD"&amp;TEXT(1609-3,"0000")&amp;"-"&amp;TEXT(TODAY(),"YYYYMMDD"))</f>
        <v/>
      </c>
      <c r="C1609" s="37" t="str">
        <f>IF(Agent09_Withdrawals!A14="","",Agent09_Withdrawals!B14)</f>
        <v/>
      </c>
      <c r="D1609" s="40" t="str">
        <f>IF(Agent09_Withdrawals!A14="","",Agent09_Withdrawals!C14)</f>
        <v/>
      </c>
      <c r="E1609" s="38" t="str">
        <f>IF(Agent09_Withdrawals!A14="","",Agent09_Withdrawals!D14)</f>
        <v/>
      </c>
      <c r="F1609" s="37" t="str">
        <f>IF(Agent09_Withdrawals!A14="","",Agent09_Withdrawals!F14)</f>
        <v/>
      </c>
      <c r="G1609" s="39" t="str">
        <f>IF(Agent09_Withdrawals!A14="","",Agent09_Withdrawals!E14)</f>
        <v/>
      </c>
      <c r="H1609" s="39" t="str">
        <f>IF(Agent09_Withdrawals!A14="","",Agent09_Withdrawals!G14)</f>
        <v/>
      </c>
      <c r="I1609" s="37" t="str">
        <f>IF(Agent09_Withdrawals!A14="","",Agent09_Withdrawals!H14)</f>
        <v/>
      </c>
      <c r="J1609" s="37" t="str">
        <f>IF(Agent09_Withdrawals!A14="","",Agent09_Withdrawals!J14)</f>
        <v/>
      </c>
      <c r="K1609" s="37" t="str">
        <f>IF(Agent09_Withdrawals!A14="","",Agent09_Withdrawals!K14)</f>
        <v/>
      </c>
      <c r="L1609" s="37" t="str">
        <f>IF(G1609="","",IF(D1609-G1609&gt;=System_Config!$B$9,"✅ OK","⚠️ BREACH"))</f>
        <v/>
      </c>
      <c r="M1609" s="37" t="str">
        <f>IFERROR(IF(Agent09_Withdrawals!A14="","",YEAR(Agent09_Withdrawals!D14)),"")</f>
        <v/>
      </c>
    </row>
    <row r="1610" spans="1:13" ht="18" customHeight="1" x14ac:dyDescent="0.25">
      <c r="A1610" s="37" t="str">
        <f>IF(Agent09_Withdrawals!A15="","",Agent09_Withdrawals!A15)</f>
        <v/>
      </c>
      <c r="B1610" s="37" t="str">
        <f ca="1">IF(Agent09_Withdrawals!A15="","","WD"&amp;TEXT(1610-3,"0000")&amp;"-"&amp;TEXT(TODAY(),"YYYYMMDD"))</f>
        <v/>
      </c>
      <c r="C1610" s="37" t="str">
        <f>IF(Agent09_Withdrawals!A15="","",Agent09_Withdrawals!B15)</f>
        <v/>
      </c>
      <c r="D1610" s="40" t="str">
        <f>IF(Agent09_Withdrawals!A15="","",Agent09_Withdrawals!C15)</f>
        <v/>
      </c>
      <c r="E1610" s="38" t="str">
        <f>IF(Agent09_Withdrawals!A15="","",Agent09_Withdrawals!D15)</f>
        <v/>
      </c>
      <c r="F1610" s="37" t="str">
        <f>IF(Agent09_Withdrawals!A15="","",Agent09_Withdrawals!F15)</f>
        <v/>
      </c>
      <c r="G1610" s="39" t="str">
        <f>IF(Agent09_Withdrawals!A15="","",Agent09_Withdrawals!E15)</f>
        <v/>
      </c>
      <c r="H1610" s="39" t="str">
        <f>IF(Agent09_Withdrawals!A15="","",Agent09_Withdrawals!G15)</f>
        <v/>
      </c>
      <c r="I1610" s="37" t="str">
        <f>IF(Agent09_Withdrawals!A15="","",Agent09_Withdrawals!H15)</f>
        <v/>
      </c>
      <c r="J1610" s="37" t="str">
        <f>IF(Agent09_Withdrawals!A15="","",Agent09_Withdrawals!J15)</f>
        <v/>
      </c>
      <c r="K1610" s="37" t="str">
        <f>IF(Agent09_Withdrawals!A15="","",Agent09_Withdrawals!K15)</f>
        <v/>
      </c>
      <c r="L1610" s="37" t="str">
        <f>IF(G1610="","",IF(D1610-G1610&gt;=System_Config!$B$9,"✅ OK","⚠️ BREACH"))</f>
        <v/>
      </c>
      <c r="M1610" s="37" t="str">
        <f>IFERROR(IF(Agent09_Withdrawals!A15="","",YEAR(Agent09_Withdrawals!D15)),"")</f>
        <v/>
      </c>
    </row>
    <row r="1611" spans="1:13" ht="18" customHeight="1" x14ac:dyDescent="0.25">
      <c r="A1611" s="37" t="str">
        <f>IF(Agent09_Withdrawals!A16="","",Agent09_Withdrawals!A16)</f>
        <v/>
      </c>
      <c r="B1611" s="37" t="str">
        <f ca="1">IF(Agent09_Withdrawals!A16="","","WD"&amp;TEXT(1611-3,"0000")&amp;"-"&amp;TEXT(TODAY(),"YYYYMMDD"))</f>
        <v/>
      </c>
      <c r="C1611" s="37" t="str">
        <f>IF(Agent09_Withdrawals!A16="","",Agent09_Withdrawals!B16)</f>
        <v/>
      </c>
      <c r="D1611" s="40" t="str">
        <f>IF(Agent09_Withdrawals!A16="","",Agent09_Withdrawals!C16)</f>
        <v/>
      </c>
      <c r="E1611" s="38" t="str">
        <f>IF(Agent09_Withdrawals!A16="","",Agent09_Withdrawals!D16)</f>
        <v/>
      </c>
      <c r="F1611" s="37" t="str">
        <f>IF(Agent09_Withdrawals!A16="","",Agent09_Withdrawals!F16)</f>
        <v/>
      </c>
      <c r="G1611" s="39" t="str">
        <f>IF(Agent09_Withdrawals!A16="","",Agent09_Withdrawals!E16)</f>
        <v/>
      </c>
      <c r="H1611" s="39" t="str">
        <f>IF(Agent09_Withdrawals!A16="","",Agent09_Withdrawals!G16)</f>
        <v/>
      </c>
      <c r="I1611" s="37" t="str">
        <f>IF(Agent09_Withdrawals!A16="","",Agent09_Withdrawals!H16)</f>
        <v/>
      </c>
      <c r="J1611" s="37" t="str">
        <f>IF(Agent09_Withdrawals!A16="","",Agent09_Withdrawals!J16)</f>
        <v/>
      </c>
      <c r="K1611" s="37" t="str">
        <f>IF(Agent09_Withdrawals!A16="","",Agent09_Withdrawals!K16)</f>
        <v/>
      </c>
      <c r="L1611" s="37" t="str">
        <f>IF(G1611="","",IF(D1611-G1611&gt;=System_Config!$B$9,"✅ OK","⚠️ BREACH"))</f>
        <v/>
      </c>
      <c r="M1611" s="37" t="str">
        <f>IFERROR(IF(Agent09_Withdrawals!A16="","",YEAR(Agent09_Withdrawals!D16)),"")</f>
        <v/>
      </c>
    </row>
    <row r="1612" spans="1:13" ht="18" customHeight="1" x14ac:dyDescent="0.25">
      <c r="A1612" s="37" t="str">
        <f>IF(Agent09_Withdrawals!A17="","",Agent09_Withdrawals!A17)</f>
        <v/>
      </c>
      <c r="B1612" s="37" t="str">
        <f ca="1">IF(Agent09_Withdrawals!A17="","","WD"&amp;TEXT(1612-3,"0000")&amp;"-"&amp;TEXT(TODAY(),"YYYYMMDD"))</f>
        <v/>
      </c>
      <c r="C1612" s="37" t="str">
        <f>IF(Agent09_Withdrawals!A17="","",Agent09_Withdrawals!B17)</f>
        <v/>
      </c>
      <c r="D1612" s="40" t="str">
        <f>IF(Agent09_Withdrawals!A17="","",Agent09_Withdrawals!C17)</f>
        <v/>
      </c>
      <c r="E1612" s="38" t="str">
        <f>IF(Agent09_Withdrawals!A17="","",Agent09_Withdrawals!D17)</f>
        <v/>
      </c>
      <c r="F1612" s="37" t="str">
        <f>IF(Agent09_Withdrawals!A17="","",Agent09_Withdrawals!F17)</f>
        <v/>
      </c>
      <c r="G1612" s="39" t="str">
        <f>IF(Agent09_Withdrawals!A17="","",Agent09_Withdrawals!E17)</f>
        <v/>
      </c>
      <c r="H1612" s="39" t="str">
        <f>IF(Agent09_Withdrawals!A17="","",Agent09_Withdrawals!G17)</f>
        <v/>
      </c>
      <c r="I1612" s="37" t="str">
        <f>IF(Agent09_Withdrawals!A17="","",Agent09_Withdrawals!H17)</f>
        <v/>
      </c>
      <c r="J1612" s="37" t="str">
        <f>IF(Agent09_Withdrawals!A17="","",Agent09_Withdrawals!J17)</f>
        <v/>
      </c>
      <c r="K1612" s="37" t="str">
        <f>IF(Agent09_Withdrawals!A17="","",Agent09_Withdrawals!K17)</f>
        <v/>
      </c>
      <c r="L1612" s="37" t="str">
        <f>IF(G1612="","",IF(D1612-G1612&gt;=System_Config!$B$9,"✅ OK","⚠️ BREACH"))</f>
        <v/>
      </c>
      <c r="M1612" s="37" t="str">
        <f>IFERROR(IF(Agent09_Withdrawals!A17="","",YEAR(Agent09_Withdrawals!D17)),"")</f>
        <v/>
      </c>
    </row>
    <row r="1613" spans="1:13" ht="18" customHeight="1" x14ac:dyDescent="0.25">
      <c r="A1613" s="37" t="str">
        <f>IF(Agent09_Withdrawals!A18="","",Agent09_Withdrawals!A18)</f>
        <v/>
      </c>
      <c r="B1613" s="37" t="str">
        <f ca="1">IF(Agent09_Withdrawals!A18="","","WD"&amp;TEXT(1613-3,"0000")&amp;"-"&amp;TEXT(TODAY(),"YYYYMMDD"))</f>
        <v/>
      </c>
      <c r="C1613" s="37" t="str">
        <f>IF(Agent09_Withdrawals!A18="","",Agent09_Withdrawals!B18)</f>
        <v/>
      </c>
      <c r="D1613" s="40" t="str">
        <f>IF(Agent09_Withdrawals!A18="","",Agent09_Withdrawals!C18)</f>
        <v/>
      </c>
      <c r="E1613" s="38" t="str">
        <f>IF(Agent09_Withdrawals!A18="","",Agent09_Withdrawals!D18)</f>
        <v/>
      </c>
      <c r="F1613" s="37" t="str">
        <f>IF(Agent09_Withdrawals!A18="","",Agent09_Withdrawals!F18)</f>
        <v/>
      </c>
      <c r="G1613" s="39" t="str">
        <f>IF(Agent09_Withdrawals!A18="","",Agent09_Withdrawals!E18)</f>
        <v/>
      </c>
      <c r="H1613" s="39" t="str">
        <f>IF(Agent09_Withdrawals!A18="","",Agent09_Withdrawals!G18)</f>
        <v/>
      </c>
      <c r="I1613" s="37" t="str">
        <f>IF(Agent09_Withdrawals!A18="","",Agent09_Withdrawals!H18)</f>
        <v/>
      </c>
      <c r="J1613" s="37" t="str">
        <f>IF(Agent09_Withdrawals!A18="","",Agent09_Withdrawals!J18)</f>
        <v/>
      </c>
      <c r="K1613" s="37" t="str">
        <f>IF(Agent09_Withdrawals!A18="","",Agent09_Withdrawals!K18)</f>
        <v/>
      </c>
      <c r="L1613" s="37" t="str">
        <f>IF(G1613="","",IF(D1613-G1613&gt;=System_Config!$B$9,"✅ OK","⚠️ BREACH"))</f>
        <v/>
      </c>
      <c r="M1613" s="37" t="str">
        <f>IFERROR(IF(Agent09_Withdrawals!A18="","",YEAR(Agent09_Withdrawals!D18)),"")</f>
        <v/>
      </c>
    </row>
    <row r="1614" spans="1:13" ht="18" customHeight="1" x14ac:dyDescent="0.25">
      <c r="A1614" s="37" t="str">
        <f>IF(Agent09_Withdrawals!A19="","",Agent09_Withdrawals!A19)</f>
        <v/>
      </c>
      <c r="B1614" s="37" t="str">
        <f ca="1">IF(Agent09_Withdrawals!A19="","","WD"&amp;TEXT(1614-3,"0000")&amp;"-"&amp;TEXT(TODAY(),"YYYYMMDD"))</f>
        <v/>
      </c>
      <c r="C1614" s="37" t="str">
        <f>IF(Agent09_Withdrawals!A19="","",Agent09_Withdrawals!B19)</f>
        <v/>
      </c>
      <c r="D1614" s="40" t="str">
        <f>IF(Agent09_Withdrawals!A19="","",Agent09_Withdrawals!C19)</f>
        <v/>
      </c>
      <c r="E1614" s="38" t="str">
        <f>IF(Agent09_Withdrawals!A19="","",Agent09_Withdrawals!D19)</f>
        <v/>
      </c>
      <c r="F1614" s="37" t="str">
        <f>IF(Agent09_Withdrawals!A19="","",Agent09_Withdrawals!F19)</f>
        <v/>
      </c>
      <c r="G1614" s="39" t="str">
        <f>IF(Agent09_Withdrawals!A19="","",Agent09_Withdrawals!E19)</f>
        <v/>
      </c>
      <c r="H1614" s="39" t="str">
        <f>IF(Agent09_Withdrawals!A19="","",Agent09_Withdrawals!G19)</f>
        <v/>
      </c>
      <c r="I1614" s="37" t="str">
        <f>IF(Agent09_Withdrawals!A19="","",Agent09_Withdrawals!H19)</f>
        <v/>
      </c>
      <c r="J1614" s="37" t="str">
        <f>IF(Agent09_Withdrawals!A19="","",Agent09_Withdrawals!J19)</f>
        <v/>
      </c>
      <c r="K1614" s="37" t="str">
        <f>IF(Agent09_Withdrawals!A19="","",Agent09_Withdrawals!K19)</f>
        <v/>
      </c>
      <c r="L1614" s="37" t="str">
        <f>IF(G1614="","",IF(D1614-G1614&gt;=System_Config!$B$9,"✅ OK","⚠️ BREACH"))</f>
        <v/>
      </c>
      <c r="M1614" s="37" t="str">
        <f>IFERROR(IF(Agent09_Withdrawals!A19="","",YEAR(Agent09_Withdrawals!D19)),"")</f>
        <v/>
      </c>
    </row>
    <row r="1615" spans="1:13" ht="18" customHeight="1" x14ac:dyDescent="0.25">
      <c r="A1615" s="37" t="str">
        <f>IF(Agent09_Withdrawals!A20="","",Agent09_Withdrawals!A20)</f>
        <v/>
      </c>
      <c r="B1615" s="37" t="str">
        <f ca="1">IF(Agent09_Withdrawals!A20="","","WD"&amp;TEXT(1615-3,"0000")&amp;"-"&amp;TEXT(TODAY(),"YYYYMMDD"))</f>
        <v/>
      </c>
      <c r="C1615" s="37" t="str">
        <f>IF(Agent09_Withdrawals!A20="","",Agent09_Withdrawals!B20)</f>
        <v/>
      </c>
      <c r="D1615" s="40" t="str">
        <f>IF(Agent09_Withdrawals!A20="","",Agent09_Withdrawals!C20)</f>
        <v/>
      </c>
      <c r="E1615" s="38" t="str">
        <f>IF(Agent09_Withdrawals!A20="","",Agent09_Withdrawals!D20)</f>
        <v/>
      </c>
      <c r="F1615" s="37" t="str">
        <f>IF(Agent09_Withdrawals!A20="","",Agent09_Withdrawals!F20)</f>
        <v/>
      </c>
      <c r="G1615" s="39" t="str">
        <f>IF(Agent09_Withdrawals!A20="","",Agent09_Withdrawals!E20)</f>
        <v/>
      </c>
      <c r="H1615" s="39" t="str">
        <f>IF(Agent09_Withdrawals!A20="","",Agent09_Withdrawals!G20)</f>
        <v/>
      </c>
      <c r="I1615" s="37" t="str">
        <f>IF(Agent09_Withdrawals!A20="","",Agent09_Withdrawals!H20)</f>
        <v/>
      </c>
      <c r="J1615" s="37" t="str">
        <f>IF(Agent09_Withdrawals!A20="","",Agent09_Withdrawals!J20)</f>
        <v/>
      </c>
      <c r="K1615" s="37" t="str">
        <f>IF(Agent09_Withdrawals!A20="","",Agent09_Withdrawals!K20)</f>
        <v/>
      </c>
      <c r="L1615" s="37" t="str">
        <f>IF(G1615="","",IF(D1615-G1615&gt;=System_Config!$B$9,"✅ OK","⚠️ BREACH"))</f>
        <v/>
      </c>
      <c r="M1615" s="37" t="str">
        <f>IFERROR(IF(Agent09_Withdrawals!A20="","",YEAR(Agent09_Withdrawals!D20)),"")</f>
        <v/>
      </c>
    </row>
    <row r="1616" spans="1:13" ht="18" customHeight="1" x14ac:dyDescent="0.25">
      <c r="A1616" s="37" t="str">
        <f>IF(Agent09_Withdrawals!A21="","",Agent09_Withdrawals!A21)</f>
        <v/>
      </c>
      <c r="B1616" s="37" t="str">
        <f ca="1">IF(Agent09_Withdrawals!A21="","","WD"&amp;TEXT(1616-3,"0000")&amp;"-"&amp;TEXT(TODAY(),"YYYYMMDD"))</f>
        <v/>
      </c>
      <c r="C1616" s="37" t="str">
        <f>IF(Agent09_Withdrawals!A21="","",Agent09_Withdrawals!B21)</f>
        <v/>
      </c>
      <c r="D1616" s="40" t="str">
        <f>IF(Agent09_Withdrawals!A21="","",Agent09_Withdrawals!C21)</f>
        <v/>
      </c>
      <c r="E1616" s="38" t="str">
        <f>IF(Agent09_Withdrawals!A21="","",Agent09_Withdrawals!D21)</f>
        <v/>
      </c>
      <c r="F1616" s="37" t="str">
        <f>IF(Agent09_Withdrawals!A21="","",Agent09_Withdrawals!F21)</f>
        <v/>
      </c>
      <c r="G1616" s="39" t="str">
        <f>IF(Agent09_Withdrawals!A21="","",Agent09_Withdrawals!E21)</f>
        <v/>
      </c>
      <c r="H1616" s="39" t="str">
        <f>IF(Agent09_Withdrawals!A21="","",Agent09_Withdrawals!G21)</f>
        <v/>
      </c>
      <c r="I1616" s="37" t="str">
        <f>IF(Agent09_Withdrawals!A21="","",Agent09_Withdrawals!H21)</f>
        <v/>
      </c>
      <c r="J1616" s="37" t="str">
        <f>IF(Agent09_Withdrawals!A21="","",Agent09_Withdrawals!J21)</f>
        <v/>
      </c>
      <c r="K1616" s="37" t="str">
        <f>IF(Agent09_Withdrawals!A21="","",Agent09_Withdrawals!K21)</f>
        <v/>
      </c>
      <c r="L1616" s="37" t="str">
        <f>IF(G1616="","",IF(D1616-G1616&gt;=System_Config!$B$9,"✅ OK","⚠️ BREACH"))</f>
        <v/>
      </c>
      <c r="M1616" s="37" t="str">
        <f>IFERROR(IF(Agent09_Withdrawals!A21="","",YEAR(Agent09_Withdrawals!D21)),"")</f>
        <v/>
      </c>
    </row>
    <row r="1617" spans="1:13" ht="18" customHeight="1" x14ac:dyDescent="0.25">
      <c r="A1617" s="37" t="str">
        <f>IF(Agent09_Withdrawals!A22="","",Agent09_Withdrawals!A22)</f>
        <v/>
      </c>
      <c r="B1617" s="37" t="str">
        <f ca="1">IF(Agent09_Withdrawals!A22="","","WD"&amp;TEXT(1617-3,"0000")&amp;"-"&amp;TEXT(TODAY(),"YYYYMMDD"))</f>
        <v/>
      </c>
      <c r="C1617" s="37" t="str">
        <f>IF(Agent09_Withdrawals!A22="","",Agent09_Withdrawals!B22)</f>
        <v/>
      </c>
      <c r="D1617" s="40" t="str">
        <f>IF(Agent09_Withdrawals!A22="","",Agent09_Withdrawals!C22)</f>
        <v/>
      </c>
      <c r="E1617" s="38" t="str">
        <f>IF(Agent09_Withdrawals!A22="","",Agent09_Withdrawals!D22)</f>
        <v/>
      </c>
      <c r="F1617" s="37" t="str">
        <f>IF(Agent09_Withdrawals!A22="","",Agent09_Withdrawals!F22)</f>
        <v/>
      </c>
      <c r="G1617" s="39" t="str">
        <f>IF(Agent09_Withdrawals!A22="","",Agent09_Withdrawals!E22)</f>
        <v/>
      </c>
      <c r="H1617" s="39" t="str">
        <f>IF(Agent09_Withdrawals!A22="","",Agent09_Withdrawals!G22)</f>
        <v/>
      </c>
      <c r="I1617" s="37" t="str">
        <f>IF(Agent09_Withdrawals!A22="","",Agent09_Withdrawals!H22)</f>
        <v/>
      </c>
      <c r="J1617" s="37" t="str">
        <f>IF(Agent09_Withdrawals!A22="","",Agent09_Withdrawals!J22)</f>
        <v/>
      </c>
      <c r="K1617" s="37" t="str">
        <f>IF(Agent09_Withdrawals!A22="","",Agent09_Withdrawals!K22)</f>
        <v/>
      </c>
      <c r="L1617" s="37" t="str">
        <f>IF(G1617="","",IF(D1617-G1617&gt;=System_Config!$B$9,"✅ OK","⚠️ BREACH"))</f>
        <v/>
      </c>
      <c r="M1617" s="37" t="str">
        <f>IFERROR(IF(Agent09_Withdrawals!A22="","",YEAR(Agent09_Withdrawals!D22)),"")</f>
        <v/>
      </c>
    </row>
    <row r="1618" spans="1:13" ht="18" customHeight="1" x14ac:dyDescent="0.25">
      <c r="A1618" s="37" t="str">
        <f>IF(Agent09_Withdrawals!A23="","",Agent09_Withdrawals!A23)</f>
        <v/>
      </c>
      <c r="B1618" s="37" t="str">
        <f ca="1">IF(Agent09_Withdrawals!A23="","","WD"&amp;TEXT(1618-3,"0000")&amp;"-"&amp;TEXT(TODAY(),"YYYYMMDD"))</f>
        <v/>
      </c>
      <c r="C1618" s="37" t="str">
        <f>IF(Agent09_Withdrawals!A23="","",Agent09_Withdrawals!B23)</f>
        <v/>
      </c>
      <c r="D1618" s="40" t="str">
        <f>IF(Agent09_Withdrawals!A23="","",Agent09_Withdrawals!C23)</f>
        <v/>
      </c>
      <c r="E1618" s="38" t="str">
        <f>IF(Agent09_Withdrawals!A23="","",Agent09_Withdrawals!D23)</f>
        <v/>
      </c>
      <c r="F1618" s="37" t="str">
        <f>IF(Agent09_Withdrawals!A23="","",Agent09_Withdrawals!F23)</f>
        <v/>
      </c>
      <c r="G1618" s="39" t="str">
        <f>IF(Agent09_Withdrawals!A23="","",Agent09_Withdrawals!E23)</f>
        <v/>
      </c>
      <c r="H1618" s="39" t="str">
        <f>IF(Agent09_Withdrawals!A23="","",Agent09_Withdrawals!G23)</f>
        <v/>
      </c>
      <c r="I1618" s="37" t="str">
        <f>IF(Agent09_Withdrawals!A23="","",Agent09_Withdrawals!H23)</f>
        <v/>
      </c>
      <c r="J1618" s="37" t="str">
        <f>IF(Agent09_Withdrawals!A23="","",Agent09_Withdrawals!J23)</f>
        <v/>
      </c>
      <c r="K1618" s="37" t="str">
        <f>IF(Agent09_Withdrawals!A23="","",Agent09_Withdrawals!K23)</f>
        <v/>
      </c>
      <c r="L1618" s="37" t="str">
        <f>IF(G1618="","",IF(D1618-G1618&gt;=System_Config!$B$9,"✅ OK","⚠️ BREACH"))</f>
        <v/>
      </c>
      <c r="M1618" s="37" t="str">
        <f>IFERROR(IF(Agent09_Withdrawals!A23="","",YEAR(Agent09_Withdrawals!D23)),"")</f>
        <v/>
      </c>
    </row>
    <row r="1619" spans="1:13" ht="18" customHeight="1" x14ac:dyDescent="0.25">
      <c r="A1619" s="37" t="str">
        <f>IF(Agent09_Withdrawals!A24="","",Agent09_Withdrawals!A24)</f>
        <v/>
      </c>
      <c r="B1619" s="37" t="str">
        <f ca="1">IF(Agent09_Withdrawals!A24="","","WD"&amp;TEXT(1619-3,"0000")&amp;"-"&amp;TEXT(TODAY(),"YYYYMMDD"))</f>
        <v/>
      </c>
      <c r="C1619" s="37" t="str">
        <f>IF(Agent09_Withdrawals!A24="","",Agent09_Withdrawals!B24)</f>
        <v/>
      </c>
      <c r="D1619" s="40" t="str">
        <f>IF(Agent09_Withdrawals!A24="","",Agent09_Withdrawals!C24)</f>
        <v/>
      </c>
      <c r="E1619" s="38" t="str">
        <f>IF(Agent09_Withdrawals!A24="","",Agent09_Withdrawals!D24)</f>
        <v/>
      </c>
      <c r="F1619" s="37" t="str">
        <f>IF(Agent09_Withdrawals!A24="","",Agent09_Withdrawals!F24)</f>
        <v/>
      </c>
      <c r="G1619" s="39" t="str">
        <f>IF(Agent09_Withdrawals!A24="","",Agent09_Withdrawals!E24)</f>
        <v/>
      </c>
      <c r="H1619" s="39" t="str">
        <f>IF(Agent09_Withdrawals!A24="","",Agent09_Withdrawals!G24)</f>
        <v/>
      </c>
      <c r="I1619" s="37" t="str">
        <f>IF(Agent09_Withdrawals!A24="","",Agent09_Withdrawals!H24)</f>
        <v/>
      </c>
      <c r="J1619" s="37" t="str">
        <f>IF(Agent09_Withdrawals!A24="","",Agent09_Withdrawals!J24)</f>
        <v/>
      </c>
      <c r="K1619" s="37" t="str">
        <f>IF(Agent09_Withdrawals!A24="","",Agent09_Withdrawals!K24)</f>
        <v/>
      </c>
      <c r="L1619" s="37" t="str">
        <f>IF(G1619="","",IF(D1619-G1619&gt;=System_Config!$B$9,"✅ OK","⚠️ BREACH"))</f>
        <v/>
      </c>
      <c r="M1619" s="37" t="str">
        <f>IFERROR(IF(Agent09_Withdrawals!A24="","",YEAR(Agent09_Withdrawals!D24)),"")</f>
        <v/>
      </c>
    </row>
    <row r="1620" spans="1:13" ht="18" customHeight="1" x14ac:dyDescent="0.25">
      <c r="A1620" s="37" t="str">
        <f>IF(Agent09_Withdrawals!A25="","",Agent09_Withdrawals!A25)</f>
        <v/>
      </c>
      <c r="B1620" s="37" t="str">
        <f ca="1">IF(Agent09_Withdrawals!A25="","","WD"&amp;TEXT(1620-3,"0000")&amp;"-"&amp;TEXT(TODAY(),"YYYYMMDD"))</f>
        <v/>
      </c>
      <c r="C1620" s="37" t="str">
        <f>IF(Agent09_Withdrawals!A25="","",Agent09_Withdrawals!B25)</f>
        <v/>
      </c>
      <c r="D1620" s="40" t="str">
        <f>IF(Agent09_Withdrawals!A25="","",Agent09_Withdrawals!C25)</f>
        <v/>
      </c>
      <c r="E1620" s="38" t="str">
        <f>IF(Agent09_Withdrawals!A25="","",Agent09_Withdrawals!D25)</f>
        <v/>
      </c>
      <c r="F1620" s="37" t="str">
        <f>IF(Agent09_Withdrawals!A25="","",Agent09_Withdrawals!F25)</f>
        <v/>
      </c>
      <c r="G1620" s="39" t="str">
        <f>IF(Agent09_Withdrawals!A25="","",Agent09_Withdrawals!E25)</f>
        <v/>
      </c>
      <c r="H1620" s="39" t="str">
        <f>IF(Agent09_Withdrawals!A25="","",Agent09_Withdrawals!G25)</f>
        <v/>
      </c>
      <c r="I1620" s="37" t="str">
        <f>IF(Agent09_Withdrawals!A25="","",Agent09_Withdrawals!H25)</f>
        <v/>
      </c>
      <c r="J1620" s="37" t="str">
        <f>IF(Agent09_Withdrawals!A25="","",Agent09_Withdrawals!J25)</f>
        <v/>
      </c>
      <c r="K1620" s="37" t="str">
        <f>IF(Agent09_Withdrawals!A25="","",Agent09_Withdrawals!K25)</f>
        <v/>
      </c>
      <c r="L1620" s="37" t="str">
        <f>IF(G1620="","",IF(D1620-G1620&gt;=System_Config!$B$9,"✅ OK","⚠️ BREACH"))</f>
        <v/>
      </c>
      <c r="M1620" s="37" t="str">
        <f>IFERROR(IF(Agent09_Withdrawals!A25="","",YEAR(Agent09_Withdrawals!D25)),"")</f>
        <v/>
      </c>
    </row>
    <row r="1621" spans="1:13" ht="18" customHeight="1" x14ac:dyDescent="0.25">
      <c r="A1621" s="37" t="str">
        <f>IF(Agent09_Withdrawals!A26="","",Agent09_Withdrawals!A26)</f>
        <v/>
      </c>
      <c r="B1621" s="37" t="str">
        <f ca="1">IF(Agent09_Withdrawals!A26="","","WD"&amp;TEXT(1621-3,"0000")&amp;"-"&amp;TEXT(TODAY(),"YYYYMMDD"))</f>
        <v/>
      </c>
      <c r="C1621" s="37" t="str">
        <f>IF(Agent09_Withdrawals!A26="","",Agent09_Withdrawals!B26)</f>
        <v/>
      </c>
      <c r="D1621" s="40" t="str">
        <f>IF(Agent09_Withdrawals!A26="","",Agent09_Withdrawals!C26)</f>
        <v/>
      </c>
      <c r="E1621" s="38" t="str">
        <f>IF(Agent09_Withdrawals!A26="","",Agent09_Withdrawals!D26)</f>
        <v/>
      </c>
      <c r="F1621" s="37" t="str">
        <f>IF(Agent09_Withdrawals!A26="","",Agent09_Withdrawals!F26)</f>
        <v/>
      </c>
      <c r="G1621" s="39" t="str">
        <f>IF(Agent09_Withdrawals!A26="","",Agent09_Withdrawals!E26)</f>
        <v/>
      </c>
      <c r="H1621" s="39" t="str">
        <f>IF(Agent09_Withdrawals!A26="","",Agent09_Withdrawals!G26)</f>
        <v/>
      </c>
      <c r="I1621" s="37" t="str">
        <f>IF(Agent09_Withdrawals!A26="","",Agent09_Withdrawals!H26)</f>
        <v/>
      </c>
      <c r="J1621" s="37" t="str">
        <f>IF(Agent09_Withdrawals!A26="","",Agent09_Withdrawals!J26)</f>
        <v/>
      </c>
      <c r="K1621" s="37" t="str">
        <f>IF(Agent09_Withdrawals!A26="","",Agent09_Withdrawals!K26)</f>
        <v/>
      </c>
      <c r="L1621" s="37" t="str">
        <f>IF(G1621="","",IF(D1621-G1621&gt;=System_Config!$B$9,"✅ OK","⚠️ BREACH"))</f>
        <v/>
      </c>
      <c r="M1621" s="37" t="str">
        <f>IFERROR(IF(Agent09_Withdrawals!A26="","",YEAR(Agent09_Withdrawals!D26)),"")</f>
        <v/>
      </c>
    </row>
    <row r="1622" spans="1:13" ht="18" customHeight="1" x14ac:dyDescent="0.25">
      <c r="A1622" s="37" t="str">
        <f>IF(Agent09_Withdrawals!A27="","",Agent09_Withdrawals!A27)</f>
        <v/>
      </c>
      <c r="B1622" s="37" t="str">
        <f ca="1">IF(Agent09_Withdrawals!A27="","","WD"&amp;TEXT(1622-3,"0000")&amp;"-"&amp;TEXT(TODAY(),"YYYYMMDD"))</f>
        <v/>
      </c>
      <c r="C1622" s="37" t="str">
        <f>IF(Agent09_Withdrawals!A27="","",Agent09_Withdrawals!B27)</f>
        <v/>
      </c>
      <c r="D1622" s="40" t="str">
        <f>IF(Agent09_Withdrawals!A27="","",Agent09_Withdrawals!C27)</f>
        <v/>
      </c>
      <c r="E1622" s="38" t="str">
        <f>IF(Agent09_Withdrawals!A27="","",Agent09_Withdrawals!D27)</f>
        <v/>
      </c>
      <c r="F1622" s="37" t="str">
        <f>IF(Agent09_Withdrawals!A27="","",Agent09_Withdrawals!F27)</f>
        <v/>
      </c>
      <c r="G1622" s="39" t="str">
        <f>IF(Agent09_Withdrawals!A27="","",Agent09_Withdrawals!E27)</f>
        <v/>
      </c>
      <c r="H1622" s="39" t="str">
        <f>IF(Agent09_Withdrawals!A27="","",Agent09_Withdrawals!G27)</f>
        <v/>
      </c>
      <c r="I1622" s="37" t="str">
        <f>IF(Agent09_Withdrawals!A27="","",Agent09_Withdrawals!H27)</f>
        <v/>
      </c>
      <c r="J1622" s="37" t="str">
        <f>IF(Agent09_Withdrawals!A27="","",Agent09_Withdrawals!J27)</f>
        <v/>
      </c>
      <c r="K1622" s="37" t="str">
        <f>IF(Agent09_Withdrawals!A27="","",Agent09_Withdrawals!K27)</f>
        <v/>
      </c>
      <c r="L1622" s="37" t="str">
        <f>IF(G1622="","",IF(D1622-G1622&gt;=System_Config!$B$9,"✅ OK","⚠️ BREACH"))</f>
        <v/>
      </c>
      <c r="M1622" s="37" t="str">
        <f>IFERROR(IF(Agent09_Withdrawals!A27="","",YEAR(Agent09_Withdrawals!D27)),"")</f>
        <v/>
      </c>
    </row>
    <row r="1623" spans="1:13" ht="18" customHeight="1" x14ac:dyDescent="0.25">
      <c r="A1623" s="37" t="str">
        <f>IF(Agent09_Withdrawals!A28="","",Agent09_Withdrawals!A28)</f>
        <v/>
      </c>
      <c r="B1623" s="37" t="str">
        <f ca="1">IF(Agent09_Withdrawals!A28="","","WD"&amp;TEXT(1623-3,"0000")&amp;"-"&amp;TEXT(TODAY(),"YYYYMMDD"))</f>
        <v/>
      </c>
      <c r="C1623" s="37" t="str">
        <f>IF(Agent09_Withdrawals!A28="","",Agent09_Withdrawals!B28)</f>
        <v/>
      </c>
      <c r="D1623" s="40" t="str">
        <f>IF(Agent09_Withdrawals!A28="","",Agent09_Withdrawals!C28)</f>
        <v/>
      </c>
      <c r="E1623" s="38" t="str">
        <f>IF(Agent09_Withdrawals!A28="","",Agent09_Withdrawals!D28)</f>
        <v/>
      </c>
      <c r="F1623" s="37" t="str">
        <f>IF(Agent09_Withdrawals!A28="","",Agent09_Withdrawals!F28)</f>
        <v/>
      </c>
      <c r="G1623" s="39" t="str">
        <f>IF(Agent09_Withdrawals!A28="","",Agent09_Withdrawals!E28)</f>
        <v/>
      </c>
      <c r="H1623" s="39" t="str">
        <f>IF(Agent09_Withdrawals!A28="","",Agent09_Withdrawals!G28)</f>
        <v/>
      </c>
      <c r="I1623" s="37" t="str">
        <f>IF(Agent09_Withdrawals!A28="","",Agent09_Withdrawals!H28)</f>
        <v/>
      </c>
      <c r="J1623" s="37" t="str">
        <f>IF(Agent09_Withdrawals!A28="","",Agent09_Withdrawals!J28)</f>
        <v/>
      </c>
      <c r="K1623" s="37" t="str">
        <f>IF(Agent09_Withdrawals!A28="","",Agent09_Withdrawals!K28)</f>
        <v/>
      </c>
      <c r="L1623" s="37" t="str">
        <f>IF(G1623="","",IF(D1623-G1623&gt;=System_Config!$B$9,"✅ OK","⚠️ BREACH"))</f>
        <v/>
      </c>
      <c r="M1623" s="37" t="str">
        <f>IFERROR(IF(Agent09_Withdrawals!A28="","",YEAR(Agent09_Withdrawals!D28)),"")</f>
        <v/>
      </c>
    </row>
    <row r="1624" spans="1:13" ht="18" customHeight="1" x14ac:dyDescent="0.25">
      <c r="A1624" s="37" t="str">
        <f>IF(Agent09_Withdrawals!A29="","",Agent09_Withdrawals!A29)</f>
        <v/>
      </c>
      <c r="B1624" s="37" t="str">
        <f ca="1">IF(Agent09_Withdrawals!A29="","","WD"&amp;TEXT(1624-3,"0000")&amp;"-"&amp;TEXT(TODAY(),"YYYYMMDD"))</f>
        <v/>
      </c>
      <c r="C1624" s="37" t="str">
        <f>IF(Agent09_Withdrawals!A29="","",Agent09_Withdrawals!B29)</f>
        <v/>
      </c>
      <c r="D1624" s="40" t="str">
        <f>IF(Agent09_Withdrawals!A29="","",Agent09_Withdrawals!C29)</f>
        <v/>
      </c>
      <c r="E1624" s="38" t="str">
        <f>IF(Agent09_Withdrawals!A29="","",Agent09_Withdrawals!D29)</f>
        <v/>
      </c>
      <c r="F1624" s="37" t="str">
        <f>IF(Agent09_Withdrawals!A29="","",Agent09_Withdrawals!F29)</f>
        <v/>
      </c>
      <c r="G1624" s="39" t="str">
        <f>IF(Agent09_Withdrawals!A29="","",Agent09_Withdrawals!E29)</f>
        <v/>
      </c>
      <c r="H1624" s="39" t="str">
        <f>IF(Agent09_Withdrawals!A29="","",Agent09_Withdrawals!G29)</f>
        <v/>
      </c>
      <c r="I1624" s="37" t="str">
        <f>IF(Agent09_Withdrawals!A29="","",Agent09_Withdrawals!H29)</f>
        <v/>
      </c>
      <c r="J1624" s="37" t="str">
        <f>IF(Agent09_Withdrawals!A29="","",Agent09_Withdrawals!J29)</f>
        <v/>
      </c>
      <c r="K1624" s="37" t="str">
        <f>IF(Agent09_Withdrawals!A29="","",Agent09_Withdrawals!K29)</f>
        <v/>
      </c>
      <c r="L1624" s="37" t="str">
        <f>IF(G1624="","",IF(D1624-G1624&gt;=System_Config!$B$9,"✅ OK","⚠️ BREACH"))</f>
        <v/>
      </c>
      <c r="M1624" s="37" t="str">
        <f>IFERROR(IF(Agent09_Withdrawals!A29="","",YEAR(Agent09_Withdrawals!D29)),"")</f>
        <v/>
      </c>
    </row>
    <row r="1625" spans="1:13" ht="18" customHeight="1" x14ac:dyDescent="0.25">
      <c r="A1625" s="37" t="str">
        <f>IF(Agent09_Withdrawals!A30="","",Agent09_Withdrawals!A30)</f>
        <v/>
      </c>
      <c r="B1625" s="37" t="str">
        <f ca="1">IF(Agent09_Withdrawals!A30="","","WD"&amp;TEXT(1625-3,"0000")&amp;"-"&amp;TEXT(TODAY(),"YYYYMMDD"))</f>
        <v/>
      </c>
      <c r="C1625" s="37" t="str">
        <f>IF(Agent09_Withdrawals!A30="","",Agent09_Withdrawals!B30)</f>
        <v/>
      </c>
      <c r="D1625" s="40" t="str">
        <f>IF(Agent09_Withdrawals!A30="","",Agent09_Withdrawals!C30)</f>
        <v/>
      </c>
      <c r="E1625" s="38" t="str">
        <f>IF(Agent09_Withdrawals!A30="","",Agent09_Withdrawals!D30)</f>
        <v/>
      </c>
      <c r="F1625" s="37" t="str">
        <f>IF(Agent09_Withdrawals!A30="","",Agent09_Withdrawals!F30)</f>
        <v/>
      </c>
      <c r="G1625" s="39" t="str">
        <f>IF(Agent09_Withdrawals!A30="","",Agent09_Withdrawals!E30)</f>
        <v/>
      </c>
      <c r="H1625" s="39" t="str">
        <f>IF(Agent09_Withdrawals!A30="","",Agent09_Withdrawals!G30)</f>
        <v/>
      </c>
      <c r="I1625" s="37" t="str">
        <f>IF(Agent09_Withdrawals!A30="","",Agent09_Withdrawals!H30)</f>
        <v/>
      </c>
      <c r="J1625" s="37" t="str">
        <f>IF(Agent09_Withdrawals!A30="","",Agent09_Withdrawals!J30)</f>
        <v/>
      </c>
      <c r="K1625" s="37" t="str">
        <f>IF(Agent09_Withdrawals!A30="","",Agent09_Withdrawals!K30)</f>
        <v/>
      </c>
      <c r="L1625" s="37" t="str">
        <f>IF(G1625="","",IF(D1625-G1625&gt;=System_Config!$B$9,"✅ OK","⚠️ BREACH"))</f>
        <v/>
      </c>
      <c r="M1625" s="37" t="str">
        <f>IFERROR(IF(Agent09_Withdrawals!A30="","",YEAR(Agent09_Withdrawals!D30)),"")</f>
        <v/>
      </c>
    </row>
    <row r="1626" spans="1:13" ht="18" customHeight="1" x14ac:dyDescent="0.25">
      <c r="A1626" s="37" t="str">
        <f>IF(Agent09_Withdrawals!A31="","",Agent09_Withdrawals!A31)</f>
        <v/>
      </c>
      <c r="B1626" s="37" t="str">
        <f ca="1">IF(Agent09_Withdrawals!A31="","","WD"&amp;TEXT(1626-3,"0000")&amp;"-"&amp;TEXT(TODAY(),"YYYYMMDD"))</f>
        <v/>
      </c>
      <c r="C1626" s="37" t="str">
        <f>IF(Agent09_Withdrawals!A31="","",Agent09_Withdrawals!B31)</f>
        <v/>
      </c>
      <c r="D1626" s="40" t="str">
        <f>IF(Agent09_Withdrawals!A31="","",Agent09_Withdrawals!C31)</f>
        <v/>
      </c>
      <c r="E1626" s="38" t="str">
        <f>IF(Agent09_Withdrawals!A31="","",Agent09_Withdrawals!D31)</f>
        <v/>
      </c>
      <c r="F1626" s="37" t="str">
        <f>IF(Agent09_Withdrawals!A31="","",Agent09_Withdrawals!F31)</f>
        <v/>
      </c>
      <c r="G1626" s="39" t="str">
        <f>IF(Agent09_Withdrawals!A31="","",Agent09_Withdrawals!E31)</f>
        <v/>
      </c>
      <c r="H1626" s="39" t="str">
        <f>IF(Agent09_Withdrawals!A31="","",Agent09_Withdrawals!G31)</f>
        <v/>
      </c>
      <c r="I1626" s="37" t="str">
        <f>IF(Agent09_Withdrawals!A31="","",Agent09_Withdrawals!H31)</f>
        <v/>
      </c>
      <c r="J1626" s="37" t="str">
        <f>IF(Agent09_Withdrawals!A31="","",Agent09_Withdrawals!J31)</f>
        <v/>
      </c>
      <c r="K1626" s="37" t="str">
        <f>IF(Agent09_Withdrawals!A31="","",Agent09_Withdrawals!K31)</f>
        <v/>
      </c>
      <c r="L1626" s="37" t="str">
        <f>IF(G1626="","",IF(D1626-G1626&gt;=System_Config!$B$9,"✅ OK","⚠️ BREACH"))</f>
        <v/>
      </c>
      <c r="M1626" s="37" t="str">
        <f>IFERROR(IF(Agent09_Withdrawals!A31="","",YEAR(Agent09_Withdrawals!D31)),"")</f>
        <v/>
      </c>
    </row>
    <row r="1627" spans="1:13" ht="18" customHeight="1" x14ac:dyDescent="0.25">
      <c r="A1627" s="37" t="str">
        <f>IF(Agent09_Withdrawals!A32="","",Agent09_Withdrawals!A32)</f>
        <v/>
      </c>
      <c r="B1627" s="37" t="str">
        <f ca="1">IF(Agent09_Withdrawals!A32="","","WD"&amp;TEXT(1627-3,"0000")&amp;"-"&amp;TEXT(TODAY(),"YYYYMMDD"))</f>
        <v/>
      </c>
      <c r="C1627" s="37" t="str">
        <f>IF(Agent09_Withdrawals!A32="","",Agent09_Withdrawals!B32)</f>
        <v/>
      </c>
      <c r="D1627" s="40" t="str">
        <f>IF(Agent09_Withdrawals!A32="","",Agent09_Withdrawals!C32)</f>
        <v/>
      </c>
      <c r="E1627" s="38" t="str">
        <f>IF(Agent09_Withdrawals!A32="","",Agent09_Withdrawals!D32)</f>
        <v/>
      </c>
      <c r="F1627" s="37" t="str">
        <f>IF(Agent09_Withdrawals!A32="","",Agent09_Withdrawals!F32)</f>
        <v/>
      </c>
      <c r="G1627" s="39" t="str">
        <f>IF(Agent09_Withdrawals!A32="","",Agent09_Withdrawals!E32)</f>
        <v/>
      </c>
      <c r="H1627" s="39" t="str">
        <f>IF(Agent09_Withdrawals!A32="","",Agent09_Withdrawals!G32)</f>
        <v/>
      </c>
      <c r="I1627" s="37" t="str">
        <f>IF(Agent09_Withdrawals!A32="","",Agent09_Withdrawals!H32)</f>
        <v/>
      </c>
      <c r="J1627" s="37" t="str">
        <f>IF(Agent09_Withdrawals!A32="","",Agent09_Withdrawals!J32)</f>
        <v/>
      </c>
      <c r="K1627" s="37" t="str">
        <f>IF(Agent09_Withdrawals!A32="","",Agent09_Withdrawals!K32)</f>
        <v/>
      </c>
      <c r="L1627" s="37" t="str">
        <f>IF(G1627="","",IF(D1627-G1627&gt;=System_Config!$B$9,"✅ OK","⚠️ BREACH"))</f>
        <v/>
      </c>
      <c r="M1627" s="37" t="str">
        <f>IFERROR(IF(Agent09_Withdrawals!A32="","",YEAR(Agent09_Withdrawals!D32)),"")</f>
        <v/>
      </c>
    </row>
    <row r="1628" spans="1:13" ht="18" customHeight="1" x14ac:dyDescent="0.25">
      <c r="A1628" s="37" t="str">
        <f>IF(Agent09_Withdrawals!A33="","",Agent09_Withdrawals!A33)</f>
        <v/>
      </c>
      <c r="B1628" s="37" t="str">
        <f ca="1">IF(Agent09_Withdrawals!A33="","","WD"&amp;TEXT(1628-3,"0000")&amp;"-"&amp;TEXT(TODAY(),"YYYYMMDD"))</f>
        <v/>
      </c>
      <c r="C1628" s="37" t="str">
        <f>IF(Agent09_Withdrawals!A33="","",Agent09_Withdrawals!B33)</f>
        <v/>
      </c>
      <c r="D1628" s="40" t="str">
        <f>IF(Agent09_Withdrawals!A33="","",Agent09_Withdrawals!C33)</f>
        <v/>
      </c>
      <c r="E1628" s="38" t="str">
        <f>IF(Agent09_Withdrawals!A33="","",Agent09_Withdrawals!D33)</f>
        <v/>
      </c>
      <c r="F1628" s="37" t="str">
        <f>IF(Agent09_Withdrawals!A33="","",Agent09_Withdrawals!F33)</f>
        <v/>
      </c>
      <c r="G1628" s="39" t="str">
        <f>IF(Agent09_Withdrawals!A33="","",Agent09_Withdrawals!E33)</f>
        <v/>
      </c>
      <c r="H1628" s="39" t="str">
        <f>IF(Agent09_Withdrawals!A33="","",Agent09_Withdrawals!G33)</f>
        <v/>
      </c>
      <c r="I1628" s="37" t="str">
        <f>IF(Agent09_Withdrawals!A33="","",Agent09_Withdrawals!H33)</f>
        <v/>
      </c>
      <c r="J1628" s="37" t="str">
        <f>IF(Agent09_Withdrawals!A33="","",Agent09_Withdrawals!J33)</f>
        <v/>
      </c>
      <c r="K1628" s="37" t="str">
        <f>IF(Agent09_Withdrawals!A33="","",Agent09_Withdrawals!K33)</f>
        <v/>
      </c>
      <c r="L1628" s="37" t="str">
        <f>IF(G1628="","",IF(D1628-G1628&gt;=System_Config!$B$9,"✅ OK","⚠️ BREACH"))</f>
        <v/>
      </c>
      <c r="M1628" s="37" t="str">
        <f>IFERROR(IF(Agent09_Withdrawals!A33="","",YEAR(Agent09_Withdrawals!D33)),"")</f>
        <v/>
      </c>
    </row>
    <row r="1629" spans="1:13" ht="18" customHeight="1" x14ac:dyDescent="0.25">
      <c r="A1629" s="37" t="str">
        <f>IF(Agent09_Withdrawals!A34="","",Agent09_Withdrawals!A34)</f>
        <v/>
      </c>
      <c r="B1629" s="37" t="str">
        <f ca="1">IF(Agent09_Withdrawals!A34="","","WD"&amp;TEXT(1629-3,"0000")&amp;"-"&amp;TEXT(TODAY(),"YYYYMMDD"))</f>
        <v/>
      </c>
      <c r="C1629" s="37" t="str">
        <f>IF(Agent09_Withdrawals!A34="","",Agent09_Withdrawals!B34)</f>
        <v/>
      </c>
      <c r="D1629" s="40" t="str">
        <f>IF(Agent09_Withdrawals!A34="","",Agent09_Withdrawals!C34)</f>
        <v/>
      </c>
      <c r="E1629" s="38" t="str">
        <f>IF(Agent09_Withdrawals!A34="","",Agent09_Withdrawals!D34)</f>
        <v/>
      </c>
      <c r="F1629" s="37" t="str">
        <f>IF(Agent09_Withdrawals!A34="","",Agent09_Withdrawals!F34)</f>
        <v/>
      </c>
      <c r="G1629" s="39" t="str">
        <f>IF(Agent09_Withdrawals!A34="","",Agent09_Withdrawals!E34)</f>
        <v/>
      </c>
      <c r="H1629" s="39" t="str">
        <f>IF(Agent09_Withdrawals!A34="","",Agent09_Withdrawals!G34)</f>
        <v/>
      </c>
      <c r="I1629" s="37" t="str">
        <f>IF(Agent09_Withdrawals!A34="","",Agent09_Withdrawals!H34)</f>
        <v/>
      </c>
      <c r="J1629" s="37" t="str">
        <f>IF(Agent09_Withdrawals!A34="","",Agent09_Withdrawals!J34)</f>
        <v/>
      </c>
      <c r="K1629" s="37" t="str">
        <f>IF(Agent09_Withdrawals!A34="","",Agent09_Withdrawals!K34)</f>
        <v/>
      </c>
      <c r="L1629" s="37" t="str">
        <f>IF(G1629="","",IF(D1629-G1629&gt;=System_Config!$B$9,"✅ OK","⚠️ BREACH"))</f>
        <v/>
      </c>
      <c r="M1629" s="37" t="str">
        <f>IFERROR(IF(Agent09_Withdrawals!A34="","",YEAR(Agent09_Withdrawals!D34)),"")</f>
        <v/>
      </c>
    </row>
    <row r="1630" spans="1:13" ht="18" customHeight="1" x14ac:dyDescent="0.25">
      <c r="A1630" s="37" t="str">
        <f>IF(Agent09_Withdrawals!A35="","",Agent09_Withdrawals!A35)</f>
        <v/>
      </c>
      <c r="B1630" s="37" t="str">
        <f ca="1">IF(Agent09_Withdrawals!A35="","","WD"&amp;TEXT(1630-3,"0000")&amp;"-"&amp;TEXT(TODAY(),"YYYYMMDD"))</f>
        <v/>
      </c>
      <c r="C1630" s="37" t="str">
        <f>IF(Agent09_Withdrawals!A35="","",Agent09_Withdrawals!B35)</f>
        <v/>
      </c>
      <c r="D1630" s="40" t="str">
        <f>IF(Agent09_Withdrawals!A35="","",Agent09_Withdrawals!C35)</f>
        <v/>
      </c>
      <c r="E1630" s="38" t="str">
        <f>IF(Agent09_Withdrawals!A35="","",Agent09_Withdrawals!D35)</f>
        <v/>
      </c>
      <c r="F1630" s="37" t="str">
        <f>IF(Agent09_Withdrawals!A35="","",Agent09_Withdrawals!F35)</f>
        <v/>
      </c>
      <c r="G1630" s="39" t="str">
        <f>IF(Agent09_Withdrawals!A35="","",Agent09_Withdrawals!E35)</f>
        <v/>
      </c>
      <c r="H1630" s="39" t="str">
        <f>IF(Agent09_Withdrawals!A35="","",Agent09_Withdrawals!G35)</f>
        <v/>
      </c>
      <c r="I1630" s="37" t="str">
        <f>IF(Agent09_Withdrawals!A35="","",Agent09_Withdrawals!H35)</f>
        <v/>
      </c>
      <c r="J1630" s="37" t="str">
        <f>IF(Agent09_Withdrawals!A35="","",Agent09_Withdrawals!J35)</f>
        <v/>
      </c>
      <c r="K1630" s="37" t="str">
        <f>IF(Agent09_Withdrawals!A35="","",Agent09_Withdrawals!K35)</f>
        <v/>
      </c>
      <c r="L1630" s="37" t="str">
        <f>IF(G1630="","",IF(D1630-G1630&gt;=System_Config!$B$9,"✅ OK","⚠️ BREACH"))</f>
        <v/>
      </c>
      <c r="M1630" s="37" t="str">
        <f>IFERROR(IF(Agent09_Withdrawals!A35="","",YEAR(Agent09_Withdrawals!D35)),"")</f>
        <v/>
      </c>
    </row>
    <row r="1631" spans="1:13" ht="18" customHeight="1" x14ac:dyDescent="0.25">
      <c r="A1631" s="37" t="str">
        <f>IF(Agent09_Withdrawals!A36="","",Agent09_Withdrawals!A36)</f>
        <v/>
      </c>
      <c r="B1631" s="37" t="str">
        <f ca="1">IF(Agent09_Withdrawals!A36="","","WD"&amp;TEXT(1631-3,"0000")&amp;"-"&amp;TEXT(TODAY(),"YYYYMMDD"))</f>
        <v/>
      </c>
      <c r="C1631" s="37" t="str">
        <f>IF(Agent09_Withdrawals!A36="","",Agent09_Withdrawals!B36)</f>
        <v/>
      </c>
      <c r="D1631" s="40" t="str">
        <f>IF(Agent09_Withdrawals!A36="","",Agent09_Withdrawals!C36)</f>
        <v/>
      </c>
      <c r="E1631" s="38" t="str">
        <f>IF(Agent09_Withdrawals!A36="","",Agent09_Withdrawals!D36)</f>
        <v/>
      </c>
      <c r="F1631" s="37" t="str">
        <f>IF(Agent09_Withdrawals!A36="","",Agent09_Withdrawals!F36)</f>
        <v/>
      </c>
      <c r="G1631" s="39" t="str">
        <f>IF(Agent09_Withdrawals!A36="","",Agent09_Withdrawals!E36)</f>
        <v/>
      </c>
      <c r="H1631" s="39" t="str">
        <f>IF(Agent09_Withdrawals!A36="","",Agent09_Withdrawals!G36)</f>
        <v/>
      </c>
      <c r="I1631" s="37" t="str">
        <f>IF(Agent09_Withdrawals!A36="","",Agent09_Withdrawals!H36)</f>
        <v/>
      </c>
      <c r="J1631" s="37" t="str">
        <f>IF(Agent09_Withdrawals!A36="","",Agent09_Withdrawals!J36)</f>
        <v/>
      </c>
      <c r="K1631" s="37" t="str">
        <f>IF(Agent09_Withdrawals!A36="","",Agent09_Withdrawals!K36)</f>
        <v/>
      </c>
      <c r="L1631" s="37" t="str">
        <f>IF(G1631="","",IF(D1631-G1631&gt;=System_Config!$B$9,"✅ OK","⚠️ BREACH"))</f>
        <v/>
      </c>
      <c r="M1631" s="37" t="str">
        <f>IFERROR(IF(Agent09_Withdrawals!A36="","",YEAR(Agent09_Withdrawals!D36)),"")</f>
        <v/>
      </c>
    </row>
    <row r="1632" spans="1:13" ht="18" customHeight="1" x14ac:dyDescent="0.25">
      <c r="A1632" s="37" t="str">
        <f>IF(Agent09_Withdrawals!A37="","",Agent09_Withdrawals!A37)</f>
        <v/>
      </c>
      <c r="B1632" s="37" t="str">
        <f ca="1">IF(Agent09_Withdrawals!A37="","","WD"&amp;TEXT(1632-3,"0000")&amp;"-"&amp;TEXT(TODAY(),"YYYYMMDD"))</f>
        <v/>
      </c>
      <c r="C1632" s="37" t="str">
        <f>IF(Agent09_Withdrawals!A37="","",Agent09_Withdrawals!B37)</f>
        <v/>
      </c>
      <c r="D1632" s="40" t="str">
        <f>IF(Agent09_Withdrawals!A37="","",Agent09_Withdrawals!C37)</f>
        <v/>
      </c>
      <c r="E1632" s="38" t="str">
        <f>IF(Agent09_Withdrawals!A37="","",Agent09_Withdrawals!D37)</f>
        <v/>
      </c>
      <c r="F1632" s="37" t="str">
        <f>IF(Agent09_Withdrawals!A37="","",Agent09_Withdrawals!F37)</f>
        <v/>
      </c>
      <c r="G1632" s="39" t="str">
        <f>IF(Agent09_Withdrawals!A37="","",Agent09_Withdrawals!E37)</f>
        <v/>
      </c>
      <c r="H1632" s="39" t="str">
        <f>IF(Agent09_Withdrawals!A37="","",Agent09_Withdrawals!G37)</f>
        <v/>
      </c>
      <c r="I1632" s="37" t="str">
        <f>IF(Agent09_Withdrawals!A37="","",Agent09_Withdrawals!H37)</f>
        <v/>
      </c>
      <c r="J1632" s="37" t="str">
        <f>IF(Agent09_Withdrawals!A37="","",Agent09_Withdrawals!J37)</f>
        <v/>
      </c>
      <c r="K1632" s="37" t="str">
        <f>IF(Agent09_Withdrawals!A37="","",Agent09_Withdrawals!K37)</f>
        <v/>
      </c>
      <c r="L1632" s="37" t="str">
        <f>IF(G1632="","",IF(D1632-G1632&gt;=System_Config!$B$9,"✅ OK","⚠️ BREACH"))</f>
        <v/>
      </c>
      <c r="M1632" s="37" t="str">
        <f>IFERROR(IF(Agent09_Withdrawals!A37="","",YEAR(Agent09_Withdrawals!D37)),"")</f>
        <v/>
      </c>
    </row>
    <row r="1633" spans="1:13" ht="18" customHeight="1" x14ac:dyDescent="0.25">
      <c r="A1633" s="37" t="str">
        <f>IF(Agent09_Withdrawals!A38="","",Agent09_Withdrawals!A38)</f>
        <v/>
      </c>
      <c r="B1633" s="37" t="str">
        <f ca="1">IF(Agent09_Withdrawals!A38="","","WD"&amp;TEXT(1633-3,"0000")&amp;"-"&amp;TEXT(TODAY(),"YYYYMMDD"))</f>
        <v/>
      </c>
      <c r="C1633" s="37" t="str">
        <f>IF(Agent09_Withdrawals!A38="","",Agent09_Withdrawals!B38)</f>
        <v/>
      </c>
      <c r="D1633" s="40" t="str">
        <f>IF(Agent09_Withdrawals!A38="","",Agent09_Withdrawals!C38)</f>
        <v/>
      </c>
      <c r="E1633" s="38" t="str">
        <f>IF(Agent09_Withdrawals!A38="","",Agent09_Withdrawals!D38)</f>
        <v/>
      </c>
      <c r="F1633" s="37" t="str">
        <f>IF(Agent09_Withdrawals!A38="","",Agent09_Withdrawals!F38)</f>
        <v/>
      </c>
      <c r="G1633" s="39" t="str">
        <f>IF(Agent09_Withdrawals!A38="","",Agent09_Withdrawals!E38)</f>
        <v/>
      </c>
      <c r="H1633" s="39" t="str">
        <f>IF(Agent09_Withdrawals!A38="","",Agent09_Withdrawals!G38)</f>
        <v/>
      </c>
      <c r="I1633" s="37" t="str">
        <f>IF(Agent09_Withdrawals!A38="","",Agent09_Withdrawals!H38)</f>
        <v/>
      </c>
      <c r="J1633" s="37" t="str">
        <f>IF(Agent09_Withdrawals!A38="","",Agent09_Withdrawals!J38)</f>
        <v/>
      </c>
      <c r="K1633" s="37" t="str">
        <f>IF(Agent09_Withdrawals!A38="","",Agent09_Withdrawals!K38)</f>
        <v/>
      </c>
      <c r="L1633" s="37" t="str">
        <f>IF(G1633="","",IF(D1633-G1633&gt;=System_Config!$B$9,"✅ OK","⚠️ BREACH"))</f>
        <v/>
      </c>
      <c r="M1633" s="37" t="str">
        <f>IFERROR(IF(Agent09_Withdrawals!A38="","",YEAR(Agent09_Withdrawals!D38)),"")</f>
        <v/>
      </c>
    </row>
    <row r="1634" spans="1:13" ht="18" customHeight="1" x14ac:dyDescent="0.25">
      <c r="A1634" s="37" t="str">
        <f>IF(Agent09_Withdrawals!A39="","",Agent09_Withdrawals!A39)</f>
        <v/>
      </c>
      <c r="B1634" s="37" t="str">
        <f ca="1">IF(Agent09_Withdrawals!A39="","","WD"&amp;TEXT(1634-3,"0000")&amp;"-"&amp;TEXT(TODAY(),"YYYYMMDD"))</f>
        <v/>
      </c>
      <c r="C1634" s="37" t="str">
        <f>IF(Agent09_Withdrawals!A39="","",Agent09_Withdrawals!B39)</f>
        <v/>
      </c>
      <c r="D1634" s="40" t="str">
        <f>IF(Agent09_Withdrawals!A39="","",Agent09_Withdrawals!C39)</f>
        <v/>
      </c>
      <c r="E1634" s="38" t="str">
        <f>IF(Agent09_Withdrawals!A39="","",Agent09_Withdrawals!D39)</f>
        <v/>
      </c>
      <c r="F1634" s="37" t="str">
        <f>IF(Agent09_Withdrawals!A39="","",Agent09_Withdrawals!F39)</f>
        <v/>
      </c>
      <c r="G1634" s="39" t="str">
        <f>IF(Agent09_Withdrawals!A39="","",Agent09_Withdrawals!E39)</f>
        <v/>
      </c>
      <c r="H1634" s="39" t="str">
        <f>IF(Agent09_Withdrawals!A39="","",Agent09_Withdrawals!G39)</f>
        <v/>
      </c>
      <c r="I1634" s="37" t="str">
        <f>IF(Agent09_Withdrawals!A39="","",Agent09_Withdrawals!H39)</f>
        <v/>
      </c>
      <c r="J1634" s="37" t="str">
        <f>IF(Agent09_Withdrawals!A39="","",Agent09_Withdrawals!J39)</f>
        <v/>
      </c>
      <c r="K1634" s="37" t="str">
        <f>IF(Agent09_Withdrawals!A39="","",Agent09_Withdrawals!K39)</f>
        <v/>
      </c>
      <c r="L1634" s="37" t="str">
        <f>IF(G1634="","",IF(D1634-G1634&gt;=System_Config!$B$9,"✅ OK","⚠️ BREACH"))</f>
        <v/>
      </c>
      <c r="M1634" s="37" t="str">
        <f>IFERROR(IF(Agent09_Withdrawals!A39="","",YEAR(Agent09_Withdrawals!D39)),"")</f>
        <v/>
      </c>
    </row>
    <row r="1635" spans="1:13" ht="18" customHeight="1" x14ac:dyDescent="0.25">
      <c r="A1635" s="37" t="str">
        <f>IF(Agent09_Withdrawals!A40="","",Agent09_Withdrawals!A40)</f>
        <v/>
      </c>
      <c r="B1635" s="37" t="str">
        <f ca="1">IF(Agent09_Withdrawals!A40="","","WD"&amp;TEXT(1635-3,"0000")&amp;"-"&amp;TEXT(TODAY(),"YYYYMMDD"))</f>
        <v/>
      </c>
      <c r="C1635" s="37" t="str">
        <f>IF(Agent09_Withdrawals!A40="","",Agent09_Withdrawals!B40)</f>
        <v/>
      </c>
      <c r="D1635" s="40" t="str">
        <f>IF(Agent09_Withdrawals!A40="","",Agent09_Withdrawals!C40)</f>
        <v/>
      </c>
      <c r="E1635" s="38" t="str">
        <f>IF(Agent09_Withdrawals!A40="","",Agent09_Withdrawals!D40)</f>
        <v/>
      </c>
      <c r="F1635" s="37" t="str">
        <f>IF(Agent09_Withdrawals!A40="","",Agent09_Withdrawals!F40)</f>
        <v/>
      </c>
      <c r="G1635" s="39" t="str">
        <f>IF(Agent09_Withdrawals!A40="","",Agent09_Withdrawals!E40)</f>
        <v/>
      </c>
      <c r="H1635" s="39" t="str">
        <f>IF(Agent09_Withdrawals!A40="","",Agent09_Withdrawals!G40)</f>
        <v/>
      </c>
      <c r="I1635" s="37" t="str">
        <f>IF(Agent09_Withdrawals!A40="","",Agent09_Withdrawals!H40)</f>
        <v/>
      </c>
      <c r="J1635" s="37" t="str">
        <f>IF(Agent09_Withdrawals!A40="","",Agent09_Withdrawals!J40)</f>
        <v/>
      </c>
      <c r="K1635" s="37" t="str">
        <f>IF(Agent09_Withdrawals!A40="","",Agent09_Withdrawals!K40)</f>
        <v/>
      </c>
      <c r="L1635" s="37" t="str">
        <f>IF(G1635="","",IF(D1635-G1635&gt;=System_Config!$B$9,"✅ OK","⚠️ BREACH"))</f>
        <v/>
      </c>
      <c r="M1635" s="37" t="str">
        <f>IFERROR(IF(Agent09_Withdrawals!A40="","",YEAR(Agent09_Withdrawals!D40)),"")</f>
        <v/>
      </c>
    </row>
    <row r="1636" spans="1:13" ht="18" customHeight="1" x14ac:dyDescent="0.25">
      <c r="A1636" s="37" t="str">
        <f>IF(Agent09_Withdrawals!A41="","",Agent09_Withdrawals!A41)</f>
        <v/>
      </c>
      <c r="B1636" s="37" t="str">
        <f ca="1">IF(Agent09_Withdrawals!A41="","","WD"&amp;TEXT(1636-3,"0000")&amp;"-"&amp;TEXT(TODAY(),"YYYYMMDD"))</f>
        <v/>
      </c>
      <c r="C1636" s="37" t="str">
        <f>IF(Agent09_Withdrawals!A41="","",Agent09_Withdrawals!B41)</f>
        <v/>
      </c>
      <c r="D1636" s="40" t="str">
        <f>IF(Agent09_Withdrawals!A41="","",Agent09_Withdrawals!C41)</f>
        <v/>
      </c>
      <c r="E1636" s="38" t="str">
        <f>IF(Agent09_Withdrawals!A41="","",Agent09_Withdrawals!D41)</f>
        <v/>
      </c>
      <c r="F1636" s="37" t="str">
        <f>IF(Agent09_Withdrawals!A41="","",Agent09_Withdrawals!F41)</f>
        <v/>
      </c>
      <c r="G1636" s="39" t="str">
        <f>IF(Agent09_Withdrawals!A41="","",Agent09_Withdrawals!E41)</f>
        <v/>
      </c>
      <c r="H1636" s="39" t="str">
        <f>IF(Agent09_Withdrawals!A41="","",Agent09_Withdrawals!G41)</f>
        <v/>
      </c>
      <c r="I1636" s="37" t="str">
        <f>IF(Agent09_Withdrawals!A41="","",Agent09_Withdrawals!H41)</f>
        <v/>
      </c>
      <c r="J1636" s="37" t="str">
        <f>IF(Agent09_Withdrawals!A41="","",Agent09_Withdrawals!J41)</f>
        <v/>
      </c>
      <c r="K1636" s="37" t="str">
        <f>IF(Agent09_Withdrawals!A41="","",Agent09_Withdrawals!K41)</f>
        <v/>
      </c>
      <c r="L1636" s="37" t="str">
        <f>IF(G1636="","",IF(D1636-G1636&gt;=System_Config!$B$9,"✅ OK","⚠️ BREACH"))</f>
        <v/>
      </c>
      <c r="M1636" s="37" t="str">
        <f>IFERROR(IF(Agent09_Withdrawals!A41="","",YEAR(Agent09_Withdrawals!D41)),"")</f>
        <v/>
      </c>
    </row>
    <row r="1637" spans="1:13" ht="18" customHeight="1" x14ac:dyDescent="0.25">
      <c r="A1637" s="37" t="str">
        <f>IF(Agent09_Withdrawals!A42="","",Agent09_Withdrawals!A42)</f>
        <v/>
      </c>
      <c r="B1637" s="37" t="str">
        <f ca="1">IF(Agent09_Withdrawals!A42="","","WD"&amp;TEXT(1637-3,"0000")&amp;"-"&amp;TEXT(TODAY(),"YYYYMMDD"))</f>
        <v/>
      </c>
      <c r="C1637" s="37" t="str">
        <f>IF(Agent09_Withdrawals!A42="","",Agent09_Withdrawals!B42)</f>
        <v/>
      </c>
      <c r="D1637" s="40" t="str">
        <f>IF(Agent09_Withdrawals!A42="","",Agent09_Withdrawals!C42)</f>
        <v/>
      </c>
      <c r="E1637" s="38" t="str">
        <f>IF(Agent09_Withdrawals!A42="","",Agent09_Withdrawals!D42)</f>
        <v/>
      </c>
      <c r="F1637" s="37" t="str">
        <f>IF(Agent09_Withdrawals!A42="","",Agent09_Withdrawals!F42)</f>
        <v/>
      </c>
      <c r="G1637" s="39" t="str">
        <f>IF(Agent09_Withdrawals!A42="","",Agent09_Withdrawals!E42)</f>
        <v/>
      </c>
      <c r="H1637" s="39" t="str">
        <f>IF(Agent09_Withdrawals!A42="","",Agent09_Withdrawals!G42)</f>
        <v/>
      </c>
      <c r="I1637" s="37" t="str">
        <f>IF(Agent09_Withdrawals!A42="","",Agent09_Withdrawals!H42)</f>
        <v/>
      </c>
      <c r="J1637" s="37" t="str">
        <f>IF(Agent09_Withdrawals!A42="","",Agent09_Withdrawals!J42)</f>
        <v/>
      </c>
      <c r="K1637" s="37" t="str">
        <f>IF(Agent09_Withdrawals!A42="","",Agent09_Withdrawals!K42)</f>
        <v/>
      </c>
      <c r="L1637" s="37" t="str">
        <f>IF(G1637="","",IF(D1637-G1637&gt;=System_Config!$B$9,"✅ OK","⚠️ BREACH"))</f>
        <v/>
      </c>
      <c r="M1637" s="37" t="str">
        <f>IFERROR(IF(Agent09_Withdrawals!A42="","",YEAR(Agent09_Withdrawals!D42)),"")</f>
        <v/>
      </c>
    </row>
    <row r="1638" spans="1:13" ht="18" customHeight="1" x14ac:dyDescent="0.25">
      <c r="A1638" s="37" t="str">
        <f>IF(Agent09_Withdrawals!A43="","",Agent09_Withdrawals!A43)</f>
        <v/>
      </c>
      <c r="B1638" s="37" t="str">
        <f ca="1">IF(Agent09_Withdrawals!A43="","","WD"&amp;TEXT(1638-3,"0000")&amp;"-"&amp;TEXT(TODAY(),"YYYYMMDD"))</f>
        <v/>
      </c>
      <c r="C1638" s="37" t="str">
        <f>IF(Agent09_Withdrawals!A43="","",Agent09_Withdrawals!B43)</f>
        <v/>
      </c>
      <c r="D1638" s="40" t="str">
        <f>IF(Agent09_Withdrawals!A43="","",Agent09_Withdrawals!C43)</f>
        <v/>
      </c>
      <c r="E1638" s="38" t="str">
        <f>IF(Agent09_Withdrawals!A43="","",Agent09_Withdrawals!D43)</f>
        <v/>
      </c>
      <c r="F1638" s="37" t="str">
        <f>IF(Agent09_Withdrawals!A43="","",Agent09_Withdrawals!F43)</f>
        <v/>
      </c>
      <c r="G1638" s="39" t="str">
        <f>IF(Agent09_Withdrawals!A43="","",Agent09_Withdrawals!E43)</f>
        <v/>
      </c>
      <c r="H1638" s="39" t="str">
        <f>IF(Agent09_Withdrawals!A43="","",Agent09_Withdrawals!G43)</f>
        <v/>
      </c>
      <c r="I1638" s="37" t="str">
        <f>IF(Agent09_Withdrawals!A43="","",Agent09_Withdrawals!H43)</f>
        <v/>
      </c>
      <c r="J1638" s="37" t="str">
        <f>IF(Agent09_Withdrawals!A43="","",Agent09_Withdrawals!J43)</f>
        <v/>
      </c>
      <c r="K1638" s="37" t="str">
        <f>IF(Agent09_Withdrawals!A43="","",Agent09_Withdrawals!K43)</f>
        <v/>
      </c>
      <c r="L1638" s="37" t="str">
        <f>IF(G1638="","",IF(D1638-G1638&gt;=System_Config!$B$9,"✅ OK","⚠️ BREACH"))</f>
        <v/>
      </c>
      <c r="M1638" s="37" t="str">
        <f>IFERROR(IF(Agent09_Withdrawals!A43="","",YEAR(Agent09_Withdrawals!D43)),"")</f>
        <v/>
      </c>
    </row>
    <row r="1639" spans="1:13" ht="18" customHeight="1" x14ac:dyDescent="0.25">
      <c r="A1639" s="37" t="str">
        <f>IF(Agent09_Withdrawals!A44="","",Agent09_Withdrawals!A44)</f>
        <v/>
      </c>
      <c r="B1639" s="37" t="str">
        <f ca="1">IF(Agent09_Withdrawals!A44="","","WD"&amp;TEXT(1639-3,"0000")&amp;"-"&amp;TEXT(TODAY(),"YYYYMMDD"))</f>
        <v/>
      </c>
      <c r="C1639" s="37" t="str">
        <f>IF(Agent09_Withdrawals!A44="","",Agent09_Withdrawals!B44)</f>
        <v/>
      </c>
      <c r="D1639" s="40" t="str">
        <f>IF(Agent09_Withdrawals!A44="","",Agent09_Withdrawals!C44)</f>
        <v/>
      </c>
      <c r="E1639" s="38" t="str">
        <f>IF(Agent09_Withdrawals!A44="","",Agent09_Withdrawals!D44)</f>
        <v/>
      </c>
      <c r="F1639" s="37" t="str">
        <f>IF(Agent09_Withdrawals!A44="","",Agent09_Withdrawals!F44)</f>
        <v/>
      </c>
      <c r="G1639" s="39" t="str">
        <f>IF(Agent09_Withdrawals!A44="","",Agent09_Withdrawals!E44)</f>
        <v/>
      </c>
      <c r="H1639" s="39" t="str">
        <f>IF(Agent09_Withdrawals!A44="","",Agent09_Withdrawals!G44)</f>
        <v/>
      </c>
      <c r="I1639" s="37" t="str">
        <f>IF(Agent09_Withdrawals!A44="","",Agent09_Withdrawals!H44)</f>
        <v/>
      </c>
      <c r="J1639" s="37" t="str">
        <f>IF(Agent09_Withdrawals!A44="","",Agent09_Withdrawals!J44)</f>
        <v/>
      </c>
      <c r="K1639" s="37" t="str">
        <f>IF(Agent09_Withdrawals!A44="","",Agent09_Withdrawals!K44)</f>
        <v/>
      </c>
      <c r="L1639" s="37" t="str">
        <f>IF(G1639="","",IF(D1639-G1639&gt;=System_Config!$B$9,"✅ OK","⚠️ BREACH"))</f>
        <v/>
      </c>
      <c r="M1639" s="37" t="str">
        <f>IFERROR(IF(Agent09_Withdrawals!A44="","",YEAR(Agent09_Withdrawals!D44)),"")</f>
        <v/>
      </c>
    </row>
    <row r="1640" spans="1:13" ht="18" customHeight="1" x14ac:dyDescent="0.25">
      <c r="A1640" s="37" t="str">
        <f>IF(Agent09_Withdrawals!A45="","",Agent09_Withdrawals!A45)</f>
        <v/>
      </c>
      <c r="B1640" s="37" t="str">
        <f ca="1">IF(Agent09_Withdrawals!A45="","","WD"&amp;TEXT(1640-3,"0000")&amp;"-"&amp;TEXT(TODAY(),"YYYYMMDD"))</f>
        <v/>
      </c>
      <c r="C1640" s="37" t="str">
        <f>IF(Agent09_Withdrawals!A45="","",Agent09_Withdrawals!B45)</f>
        <v/>
      </c>
      <c r="D1640" s="40" t="str">
        <f>IF(Agent09_Withdrawals!A45="","",Agent09_Withdrawals!C45)</f>
        <v/>
      </c>
      <c r="E1640" s="38" t="str">
        <f>IF(Agent09_Withdrawals!A45="","",Agent09_Withdrawals!D45)</f>
        <v/>
      </c>
      <c r="F1640" s="37" t="str">
        <f>IF(Agent09_Withdrawals!A45="","",Agent09_Withdrawals!F45)</f>
        <v/>
      </c>
      <c r="G1640" s="39" t="str">
        <f>IF(Agent09_Withdrawals!A45="","",Agent09_Withdrawals!E45)</f>
        <v/>
      </c>
      <c r="H1640" s="39" t="str">
        <f>IF(Agent09_Withdrawals!A45="","",Agent09_Withdrawals!G45)</f>
        <v/>
      </c>
      <c r="I1640" s="37" t="str">
        <f>IF(Agent09_Withdrawals!A45="","",Agent09_Withdrawals!H45)</f>
        <v/>
      </c>
      <c r="J1640" s="37" t="str">
        <f>IF(Agent09_Withdrawals!A45="","",Agent09_Withdrawals!J45)</f>
        <v/>
      </c>
      <c r="K1640" s="37" t="str">
        <f>IF(Agent09_Withdrawals!A45="","",Agent09_Withdrawals!K45)</f>
        <v/>
      </c>
      <c r="L1640" s="37" t="str">
        <f>IF(G1640="","",IF(D1640-G1640&gt;=System_Config!$B$9,"✅ OK","⚠️ BREACH"))</f>
        <v/>
      </c>
      <c r="M1640" s="37" t="str">
        <f>IFERROR(IF(Agent09_Withdrawals!A45="","",YEAR(Agent09_Withdrawals!D45)),"")</f>
        <v/>
      </c>
    </row>
    <row r="1641" spans="1:13" ht="18" customHeight="1" x14ac:dyDescent="0.25">
      <c r="A1641" s="37" t="str">
        <f>IF(Agent09_Withdrawals!A46="","",Agent09_Withdrawals!A46)</f>
        <v/>
      </c>
      <c r="B1641" s="37" t="str">
        <f ca="1">IF(Agent09_Withdrawals!A46="","","WD"&amp;TEXT(1641-3,"0000")&amp;"-"&amp;TEXT(TODAY(),"YYYYMMDD"))</f>
        <v/>
      </c>
      <c r="C1641" s="37" t="str">
        <f>IF(Agent09_Withdrawals!A46="","",Agent09_Withdrawals!B46)</f>
        <v/>
      </c>
      <c r="D1641" s="40" t="str">
        <f>IF(Agent09_Withdrawals!A46="","",Agent09_Withdrawals!C46)</f>
        <v/>
      </c>
      <c r="E1641" s="38" t="str">
        <f>IF(Agent09_Withdrawals!A46="","",Agent09_Withdrawals!D46)</f>
        <v/>
      </c>
      <c r="F1641" s="37" t="str">
        <f>IF(Agent09_Withdrawals!A46="","",Agent09_Withdrawals!F46)</f>
        <v/>
      </c>
      <c r="G1641" s="39" t="str">
        <f>IF(Agent09_Withdrawals!A46="","",Agent09_Withdrawals!E46)</f>
        <v/>
      </c>
      <c r="H1641" s="39" t="str">
        <f>IF(Agent09_Withdrawals!A46="","",Agent09_Withdrawals!G46)</f>
        <v/>
      </c>
      <c r="I1641" s="37" t="str">
        <f>IF(Agent09_Withdrawals!A46="","",Agent09_Withdrawals!H46)</f>
        <v/>
      </c>
      <c r="J1641" s="37" t="str">
        <f>IF(Agent09_Withdrawals!A46="","",Agent09_Withdrawals!J46)</f>
        <v/>
      </c>
      <c r="K1641" s="37" t="str">
        <f>IF(Agent09_Withdrawals!A46="","",Agent09_Withdrawals!K46)</f>
        <v/>
      </c>
      <c r="L1641" s="37" t="str">
        <f>IF(G1641="","",IF(D1641-G1641&gt;=System_Config!$B$9,"✅ OK","⚠️ BREACH"))</f>
        <v/>
      </c>
      <c r="M1641" s="37" t="str">
        <f>IFERROR(IF(Agent09_Withdrawals!A46="","",YEAR(Agent09_Withdrawals!D46)),"")</f>
        <v/>
      </c>
    </row>
    <row r="1642" spans="1:13" ht="18" customHeight="1" x14ac:dyDescent="0.25">
      <c r="A1642" s="37" t="str">
        <f>IF(Agent09_Withdrawals!A47="","",Agent09_Withdrawals!A47)</f>
        <v/>
      </c>
      <c r="B1642" s="37" t="str">
        <f ca="1">IF(Agent09_Withdrawals!A47="","","WD"&amp;TEXT(1642-3,"0000")&amp;"-"&amp;TEXT(TODAY(),"YYYYMMDD"))</f>
        <v/>
      </c>
      <c r="C1642" s="37" t="str">
        <f>IF(Agent09_Withdrawals!A47="","",Agent09_Withdrawals!B47)</f>
        <v/>
      </c>
      <c r="D1642" s="40" t="str">
        <f>IF(Agent09_Withdrawals!A47="","",Agent09_Withdrawals!C47)</f>
        <v/>
      </c>
      <c r="E1642" s="38" t="str">
        <f>IF(Agent09_Withdrawals!A47="","",Agent09_Withdrawals!D47)</f>
        <v/>
      </c>
      <c r="F1642" s="37" t="str">
        <f>IF(Agent09_Withdrawals!A47="","",Agent09_Withdrawals!F47)</f>
        <v/>
      </c>
      <c r="G1642" s="39" t="str">
        <f>IF(Agent09_Withdrawals!A47="","",Agent09_Withdrawals!E47)</f>
        <v/>
      </c>
      <c r="H1642" s="39" t="str">
        <f>IF(Agent09_Withdrawals!A47="","",Agent09_Withdrawals!G47)</f>
        <v/>
      </c>
      <c r="I1642" s="37" t="str">
        <f>IF(Agent09_Withdrawals!A47="","",Agent09_Withdrawals!H47)</f>
        <v/>
      </c>
      <c r="J1642" s="37" t="str">
        <f>IF(Agent09_Withdrawals!A47="","",Agent09_Withdrawals!J47)</f>
        <v/>
      </c>
      <c r="K1642" s="37" t="str">
        <f>IF(Agent09_Withdrawals!A47="","",Agent09_Withdrawals!K47)</f>
        <v/>
      </c>
      <c r="L1642" s="37" t="str">
        <f>IF(G1642="","",IF(D1642-G1642&gt;=System_Config!$B$9,"✅ OK","⚠️ BREACH"))</f>
        <v/>
      </c>
      <c r="M1642" s="37" t="str">
        <f>IFERROR(IF(Agent09_Withdrawals!A47="","",YEAR(Agent09_Withdrawals!D47)),"")</f>
        <v/>
      </c>
    </row>
    <row r="1643" spans="1:13" ht="18" customHeight="1" x14ac:dyDescent="0.25">
      <c r="A1643" s="37" t="str">
        <f>IF(Agent09_Withdrawals!A48="","",Agent09_Withdrawals!A48)</f>
        <v/>
      </c>
      <c r="B1643" s="37" t="str">
        <f ca="1">IF(Agent09_Withdrawals!A48="","","WD"&amp;TEXT(1643-3,"0000")&amp;"-"&amp;TEXT(TODAY(),"YYYYMMDD"))</f>
        <v/>
      </c>
      <c r="C1643" s="37" t="str">
        <f>IF(Agent09_Withdrawals!A48="","",Agent09_Withdrawals!B48)</f>
        <v/>
      </c>
      <c r="D1643" s="40" t="str">
        <f>IF(Agent09_Withdrawals!A48="","",Agent09_Withdrawals!C48)</f>
        <v/>
      </c>
      <c r="E1643" s="38" t="str">
        <f>IF(Agent09_Withdrawals!A48="","",Agent09_Withdrawals!D48)</f>
        <v/>
      </c>
      <c r="F1643" s="37" t="str">
        <f>IF(Agent09_Withdrawals!A48="","",Agent09_Withdrawals!F48)</f>
        <v/>
      </c>
      <c r="G1643" s="39" t="str">
        <f>IF(Agent09_Withdrawals!A48="","",Agent09_Withdrawals!E48)</f>
        <v/>
      </c>
      <c r="H1643" s="39" t="str">
        <f>IF(Agent09_Withdrawals!A48="","",Agent09_Withdrawals!G48)</f>
        <v/>
      </c>
      <c r="I1643" s="37" t="str">
        <f>IF(Agent09_Withdrawals!A48="","",Agent09_Withdrawals!H48)</f>
        <v/>
      </c>
      <c r="J1643" s="37" t="str">
        <f>IF(Agent09_Withdrawals!A48="","",Agent09_Withdrawals!J48)</f>
        <v/>
      </c>
      <c r="K1643" s="37" t="str">
        <f>IF(Agent09_Withdrawals!A48="","",Agent09_Withdrawals!K48)</f>
        <v/>
      </c>
      <c r="L1643" s="37" t="str">
        <f>IF(G1643="","",IF(D1643-G1643&gt;=System_Config!$B$9,"✅ OK","⚠️ BREACH"))</f>
        <v/>
      </c>
      <c r="M1643" s="37" t="str">
        <f>IFERROR(IF(Agent09_Withdrawals!A48="","",YEAR(Agent09_Withdrawals!D48)),"")</f>
        <v/>
      </c>
    </row>
    <row r="1644" spans="1:13" ht="18" customHeight="1" x14ac:dyDescent="0.25">
      <c r="A1644" s="37" t="str">
        <f>IF(Agent09_Withdrawals!A49="","",Agent09_Withdrawals!A49)</f>
        <v/>
      </c>
      <c r="B1644" s="37" t="str">
        <f ca="1">IF(Agent09_Withdrawals!A49="","","WD"&amp;TEXT(1644-3,"0000")&amp;"-"&amp;TEXT(TODAY(),"YYYYMMDD"))</f>
        <v/>
      </c>
      <c r="C1644" s="37" t="str">
        <f>IF(Agent09_Withdrawals!A49="","",Agent09_Withdrawals!B49)</f>
        <v/>
      </c>
      <c r="D1644" s="40" t="str">
        <f>IF(Agent09_Withdrawals!A49="","",Agent09_Withdrawals!C49)</f>
        <v/>
      </c>
      <c r="E1644" s="38" t="str">
        <f>IF(Agent09_Withdrawals!A49="","",Agent09_Withdrawals!D49)</f>
        <v/>
      </c>
      <c r="F1644" s="37" t="str">
        <f>IF(Agent09_Withdrawals!A49="","",Agent09_Withdrawals!F49)</f>
        <v/>
      </c>
      <c r="G1644" s="39" t="str">
        <f>IF(Agent09_Withdrawals!A49="","",Agent09_Withdrawals!E49)</f>
        <v/>
      </c>
      <c r="H1644" s="39" t="str">
        <f>IF(Agent09_Withdrawals!A49="","",Agent09_Withdrawals!G49)</f>
        <v/>
      </c>
      <c r="I1644" s="37" t="str">
        <f>IF(Agent09_Withdrawals!A49="","",Agent09_Withdrawals!H49)</f>
        <v/>
      </c>
      <c r="J1644" s="37" t="str">
        <f>IF(Agent09_Withdrawals!A49="","",Agent09_Withdrawals!J49)</f>
        <v/>
      </c>
      <c r="K1644" s="37" t="str">
        <f>IF(Agent09_Withdrawals!A49="","",Agent09_Withdrawals!K49)</f>
        <v/>
      </c>
      <c r="L1644" s="37" t="str">
        <f>IF(G1644="","",IF(D1644-G1644&gt;=System_Config!$B$9,"✅ OK","⚠️ BREACH"))</f>
        <v/>
      </c>
      <c r="M1644" s="37" t="str">
        <f>IFERROR(IF(Agent09_Withdrawals!A49="","",YEAR(Agent09_Withdrawals!D49)),"")</f>
        <v/>
      </c>
    </row>
    <row r="1645" spans="1:13" ht="18" customHeight="1" x14ac:dyDescent="0.25">
      <c r="A1645" s="37" t="str">
        <f>IF(Agent09_Withdrawals!A50="","",Agent09_Withdrawals!A50)</f>
        <v/>
      </c>
      <c r="B1645" s="37" t="str">
        <f ca="1">IF(Agent09_Withdrawals!A50="","","WD"&amp;TEXT(1645-3,"0000")&amp;"-"&amp;TEXT(TODAY(),"YYYYMMDD"))</f>
        <v/>
      </c>
      <c r="C1645" s="37" t="str">
        <f>IF(Agent09_Withdrawals!A50="","",Agent09_Withdrawals!B50)</f>
        <v/>
      </c>
      <c r="D1645" s="40" t="str">
        <f>IF(Agent09_Withdrawals!A50="","",Agent09_Withdrawals!C50)</f>
        <v/>
      </c>
      <c r="E1645" s="38" t="str">
        <f>IF(Agent09_Withdrawals!A50="","",Agent09_Withdrawals!D50)</f>
        <v/>
      </c>
      <c r="F1645" s="37" t="str">
        <f>IF(Agent09_Withdrawals!A50="","",Agent09_Withdrawals!F50)</f>
        <v/>
      </c>
      <c r="G1645" s="39" t="str">
        <f>IF(Agent09_Withdrawals!A50="","",Agent09_Withdrawals!E50)</f>
        <v/>
      </c>
      <c r="H1645" s="39" t="str">
        <f>IF(Agent09_Withdrawals!A50="","",Agent09_Withdrawals!G50)</f>
        <v/>
      </c>
      <c r="I1645" s="37" t="str">
        <f>IF(Agent09_Withdrawals!A50="","",Agent09_Withdrawals!H50)</f>
        <v/>
      </c>
      <c r="J1645" s="37" t="str">
        <f>IF(Agent09_Withdrawals!A50="","",Agent09_Withdrawals!J50)</f>
        <v/>
      </c>
      <c r="K1645" s="37" t="str">
        <f>IF(Agent09_Withdrawals!A50="","",Agent09_Withdrawals!K50)</f>
        <v/>
      </c>
      <c r="L1645" s="37" t="str">
        <f>IF(G1645="","",IF(D1645-G1645&gt;=System_Config!$B$9,"✅ OK","⚠️ BREACH"))</f>
        <v/>
      </c>
      <c r="M1645" s="37" t="str">
        <f>IFERROR(IF(Agent09_Withdrawals!A50="","",YEAR(Agent09_Withdrawals!D50)),"")</f>
        <v/>
      </c>
    </row>
    <row r="1646" spans="1:13" ht="18" customHeight="1" x14ac:dyDescent="0.25">
      <c r="A1646" s="37" t="str">
        <f>IF(Agent09_Withdrawals!A51="","",Agent09_Withdrawals!A51)</f>
        <v/>
      </c>
      <c r="B1646" s="37" t="str">
        <f ca="1">IF(Agent09_Withdrawals!A51="","","WD"&amp;TEXT(1646-3,"0000")&amp;"-"&amp;TEXT(TODAY(),"YYYYMMDD"))</f>
        <v/>
      </c>
      <c r="C1646" s="37" t="str">
        <f>IF(Agent09_Withdrawals!A51="","",Agent09_Withdrawals!B51)</f>
        <v/>
      </c>
      <c r="D1646" s="40" t="str">
        <f>IF(Agent09_Withdrawals!A51="","",Agent09_Withdrawals!C51)</f>
        <v/>
      </c>
      <c r="E1646" s="38" t="str">
        <f>IF(Agent09_Withdrawals!A51="","",Agent09_Withdrawals!D51)</f>
        <v/>
      </c>
      <c r="F1646" s="37" t="str">
        <f>IF(Agent09_Withdrawals!A51="","",Agent09_Withdrawals!F51)</f>
        <v/>
      </c>
      <c r="G1646" s="39" t="str">
        <f>IF(Agent09_Withdrawals!A51="","",Agent09_Withdrawals!E51)</f>
        <v/>
      </c>
      <c r="H1646" s="39" t="str">
        <f>IF(Agent09_Withdrawals!A51="","",Agent09_Withdrawals!G51)</f>
        <v/>
      </c>
      <c r="I1646" s="37" t="str">
        <f>IF(Agent09_Withdrawals!A51="","",Agent09_Withdrawals!H51)</f>
        <v/>
      </c>
      <c r="J1646" s="37" t="str">
        <f>IF(Agent09_Withdrawals!A51="","",Agent09_Withdrawals!J51)</f>
        <v/>
      </c>
      <c r="K1646" s="37" t="str">
        <f>IF(Agent09_Withdrawals!A51="","",Agent09_Withdrawals!K51)</f>
        <v/>
      </c>
      <c r="L1646" s="37" t="str">
        <f>IF(G1646="","",IF(D1646-G1646&gt;=System_Config!$B$9,"✅ OK","⚠️ BREACH"))</f>
        <v/>
      </c>
      <c r="M1646" s="37" t="str">
        <f>IFERROR(IF(Agent09_Withdrawals!A51="","",YEAR(Agent09_Withdrawals!D51)),"")</f>
        <v/>
      </c>
    </row>
    <row r="1647" spans="1:13" ht="18" customHeight="1" x14ac:dyDescent="0.25">
      <c r="A1647" s="37" t="str">
        <f>IF(Agent09_Withdrawals!A52="","",Agent09_Withdrawals!A52)</f>
        <v/>
      </c>
      <c r="B1647" s="37" t="str">
        <f ca="1">IF(Agent09_Withdrawals!A52="","","WD"&amp;TEXT(1647-3,"0000")&amp;"-"&amp;TEXT(TODAY(),"YYYYMMDD"))</f>
        <v/>
      </c>
      <c r="C1647" s="37" t="str">
        <f>IF(Agent09_Withdrawals!A52="","",Agent09_Withdrawals!B52)</f>
        <v/>
      </c>
      <c r="D1647" s="40" t="str">
        <f>IF(Agent09_Withdrawals!A52="","",Agent09_Withdrawals!C52)</f>
        <v/>
      </c>
      <c r="E1647" s="38" t="str">
        <f>IF(Agent09_Withdrawals!A52="","",Agent09_Withdrawals!D52)</f>
        <v/>
      </c>
      <c r="F1647" s="37" t="str">
        <f>IF(Agent09_Withdrawals!A52="","",Agent09_Withdrawals!F52)</f>
        <v/>
      </c>
      <c r="G1647" s="39" t="str">
        <f>IF(Agent09_Withdrawals!A52="","",Agent09_Withdrawals!E52)</f>
        <v/>
      </c>
      <c r="H1647" s="39" t="str">
        <f>IF(Agent09_Withdrawals!A52="","",Agent09_Withdrawals!G52)</f>
        <v/>
      </c>
      <c r="I1647" s="37" t="str">
        <f>IF(Agent09_Withdrawals!A52="","",Agent09_Withdrawals!H52)</f>
        <v/>
      </c>
      <c r="J1647" s="37" t="str">
        <f>IF(Agent09_Withdrawals!A52="","",Agent09_Withdrawals!J52)</f>
        <v/>
      </c>
      <c r="K1647" s="37" t="str">
        <f>IF(Agent09_Withdrawals!A52="","",Agent09_Withdrawals!K52)</f>
        <v/>
      </c>
      <c r="L1647" s="37" t="str">
        <f>IF(G1647="","",IF(D1647-G1647&gt;=System_Config!$B$9,"✅ OK","⚠️ BREACH"))</f>
        <v/>
      </c>
      <c r="M1647" s="37" t="str">
        <f>IFERROR(IF(Agent09_Withdrawals!A52="","",YEAR(Agent09_Withdrawals!D52)),"")</f>
        <v/>
      </c>
    </row>
    <row r="1648" spans="1:13" ht="18" customHeight="1" x14ac:dyDescent="0.25">
      <c r="A1648" s="37" t="str">
        <f>IF(Agent09_Withdrawals!A53="","",Agent09_Withdrawals!A53)</f>
        <v/>
      </c>
      <c r="B1648" s="37" t="str">
        <f ca="1">IF(Agent09_Withdrawals!A53="","","WD"&amp;TEXT(1648-3,"0000")&amp;"-"&amp;TEXT(TODAY(),"YYYYMMDD"))</f>
        <v/>
      </c>
      <c r="C1648" s="37" t="str">
        <f>IF(Agent09_Withdrawals!A53="","",Agent09_Withdrawals!B53)</f>
        <v/>
      </c>
      <c r="D1648" s="40" t="str">
        <f>IF(Agent09_Withdrawals!A53="","",Agent09_Withdrawals!C53)</f>
        <v/>
      </c>
      <c r="E1648" s="38" t="str">
        <f>IF(Agent09_Withdrawals!A53="","",Agent09_Withdrawals!D53)</f>
        <v/>
      </c>
      <c r="F1648" s="37" t="str">
        <f>IF(Agent09_Withdrawals!A53="","",Agent09_Withdrawals!F53)</f>
        <v/>
      </c>
      <c r="G1648" s="39" t="str">
        <f>IF(Agent09_Withdrawals!A53="","",Agent09_Withdrawals!E53)</f>
        <v/>
      </c>
      <c r="H1648" s="39" t="str">
        <f>IF(Agent09_Withdrawals!A53="","",Agent09_Withdrawals!G53)</f>
        <v/>
      </c>
      <c r="I1648" s="37" t="str">
        <f>IF(Agent09_Withdrawals!A53="","",Agent09_Withdrawals!H53)</f>
        <v/>
      </c>
      <c r="J1648" s="37" t="str">
        <f>IF(Agent09_Withdrawals!A53="","",Agent09_Withdrawals!J53)</f>
        <v/>
      </c>
      <c r="K1648" s="37" t="str">
        <f>IF(Agent09_Withdrawals!A53="","",Agent09_Withdrawals!K53)</f>
        <v/>
      </c>
      <c r="L1648" s="37" t="str">
        <f>IF(G1648="","",IF(D1648-G1648&gt;=System_Config!$B$9,"✅ OK","⚠️ BREACH"))</f>
        <v/>
      </c>
      <c r="M1648" s="37" t="str">
        <f>IFERROR(IF(Agent09_Withdrawals!A53="","",YEAR(Agent09_Withdrawals!D53)),"")</f>
        <v/>
      </c>
    </row>
    <row r="1649" spans="1:13" ht="18" customHeight="1" x14ac:dyDescent="0.25">
      <c r="A1649" s="37" t="str">
        <f>IF(Agent09_Withdrawals!A54="","",Agent09_Withdrawals!A54)</f>
        <v/>
      </c>
      <c r="B1649" s="37" t="str">
        <f ca="1">IF(Agent09_Withdrawals!A54="","","WD"&amp;TEXT(1649-3,"0000")&amp;"-"&amp;TEXT(TODAY(),"YYYYMMDD"))</f>
        <v/>
      </c>
      <c r="C1649" s="37" t="str">
        <f>IF(Agent09_Withdrawals!A54="","",Agent09_Withdrawals!B54)</f>
        <v/>
      </c>
      <c r="D1649" s="40" t="str">
        <f>IF(Agent09_Withdrawals!A54="","",Agent09_Withdrawals!C54)</f>
        <v/>
      </c>
      <c r="E1649" s="38" t="str">
        <f>IF(Agent09_Withdrawals!A54="","",Agent09_Withdrawals!D54)</f>
        <v/>
      </c>
      <c r="F1649" s="37" t="str">
        <f>IF(Agent09_Withdrawals!A54="","",Agent09_Withdrawals!F54)</f>
        <v/>
      </c>
      <c r="G1649" s="39" t="str">
        <f>IF(Agent09_Withdrawals!A54="","",Agent09_Withdrawals!E54)</f>
        <v/>
      </c>
      <c r="H1649" s="39" t="str">
        <f>IF(Agent09_Withdrawals!A54="","",Agent09_Withdrawals!G54)</f>
        <v/>
      </c>
      <c r="I1649" s="37" t="str">
        <f>IF(Agent09_Withdrawals!A54="","",Agent09_Withdrawals!H54)</f>
        <v/>
      </c>
      <c r="J1649" s="37" t="str">
        <f>IF(Agent09_Withdrawals!A54="","",Agent09_Withdrawals!J54)</f>
        <v/>
      </c>
      <c r="K1649" s="37" t="str">
        <f>IF(Agent09_Withdrawals!A54="","",Agent09_Withdrawals!K54)</f>
        <v/>
      </c>
      <c r="L1649" s="37" t="str">
        <f>IF(G1649="","",IF(D1649-G1649&gt;=System_Config!$B$9,"✅ OK","⚠️ BREACH"))</f>
        <v/>
      </c>
      <c r="M1649" s="37" t="str">
        <f>IFERROR(IF(Agent09_Withdrawals!A54="","",YEAR(Agent09_Withdrawals!D54)),"")</f>
        <v/>
      </c>
    </row>
    <row r="1650" spans="1:13" ht="18" customHeight="1" x14ac:dyDescent="0.25">
      <c r="A1650" s="37" t="str">
        <f>IF(Agent09_Withdrawals!A55="","",Agent09_Withdrawals!A55)</f>
        <v/>
      </c>
      <c r="B1650" s="37" t="str">
        <f ca="1">IF(Agent09_Withdrawals!A55="","","WD"&amp;TEXT(1650-3,"0000")&amp;"-"&amp;TEXT(TODAY(),"YYYYMMDD"))</f>
        <v/>
      </c>
      <c r="C1650" s="37" t="str">
        <f>IF(Agent09_Withdrawals!A55="","",Agent09_Withdrawals!B55)</f>
        <v/>
      </c>
      <c r="D1650" s="40" t="str">
        <f>IF(Agent09_Withdrawals!A55="","",Agent09_Withdrawals!C55)</f>
        <v/>
      </c>
      <c r="E1650" s="38" t="str">
        <f>IF(Agent09_Withdrawals!A55="","",Agent09_Withdrawals!D55)</f>
        <v/>
      </c>
      <c r="F1650" s="37" t="str">
        <f>IF(Agent09_Withdrawals!A55="","",Agent09_Withdrawals!F55)</f>
        <v/>
      </c>
      <c r="G1650" s="39" t="str">
        <f>IF(Agent09_Withdrawals!A55="","",Agent09_Withdrawals!E55)</f>
        <v/>
      </c>
      <c r="H1650" s="39" t="str">
        <f>IF(Agent09_Withdrawals!A55="","",Agent09_Withdrawals!G55)</f>
        <v/>
      </c>
      <c r="I1650" s="37" t="str">
        <f>IF(Agent09_Withdrawals!A55="","",Agent09_Withdrawals!H55)</f>
        <v/>
      </c>
      <c r="J1650" s="37" t="str">
        <f>IF(Agent09_Withdrawals!A55="","",Agent09_Withdrawals!J55)</f>
        <v/>
      </c>
      <c r="K1650" s="37" t="str">
        <f>IF(Agent09_Withdrawals!A55="","",Agent09_Withdrawals!K55)</f>
        <v/>
      </c>
      <c r="L1650" s="37" t="str">
        <f>IF(G1650="","",IF(D1650-G1650&gt;=System_Config!$B$9,"✅ OK","⚠️ BREACH"))</f>
        <v/>
      </c>
      <c r="M1650" s="37" t="str">
        <f>IFERROR(IF(Agent09_Withdrawals!A55="","",YEAR(Agent09_Withdrawals!D55)),"")</f>
        <v/>
      </c>
    </row>
    <row r="1651" spans="1:13" ht="18" customHeight="1" x14ac:dyDescent="0.25">
      <c r="A1651" s="37" t="str">
        <f>IF(Agent09_Withdrawals!A56="","",Agent09_Withdrawals!A56)</f>
        <v/>
      </c>
      <c r="B1651" s="37" t="str">
        <f ca="1">IF(Agent09_Withdrawals!A56="","","WD"&amp;TEXT(1651-3,"0000")&amp;"-"&amp;TEXT(TODAY(),"YYYYMMDD"))</f>
        <v/>
      </c>
      <c r="C1651" s="37" t="str">
        <f>IF(Agent09_Withdrawals!A56="","",Agent09_Withdrawals!B56)</f>
        <v/>
      </c>
      <c r="D1651" s="40" t="str">
        <f>IF(Agent09_Withdrawals!A56="","",Agent09_Withdrawals!C56)</f>
        <v/>
      </c>
      <c r="E1651" s="38" t="str">
        <f>IF(Agent09_Withdrawals!A56="","",Agent09_Withdrawals!D56)</f>
        <v/>
      </c>
      <c r="F1651" s="37" t="str">
        <f>IF(Agent09_Withdrawals!A56="","",Agent09_Withdrawals!F56)</f>
        <v/>
      </c>
      <c r="G1651" s="39" t="str">
        <f>IF(Agent09_Withdrawals!A56="","",Agent09_Withdrawals!E56)</f>
        <v/>
      </c>
      <c r="H1651" s="39" t="str">
        <f>IF(Agent09_Withdrawals!A56="","",Agent09_Withdrawals!G56)</f>
        <v/>
      </c>
      <c r="I1651" s="37" t="str">
        <f>IF(Agent09_Withdrawals!A56="","",Agent09_Withdrawals!H56)</f>
        <v/>
      </c>
      <c r="J1651" s="37" t="str">
        <f>IF(Agent09_Withdrawals!A56="","",Agent09_Withdrawals!J56)</f>
        <v/>
      </c>
      <c r="K1651" s="37" t="str">
        <f>IF(Agent09_Withdrawals!A56="","",Agent09_Withdrawals!K56)</f>
        <v/>
      </c>
      <c r="L1651" s="37" t="str">
        <f>IF(G1651="","",IF(D1651-G1651&gt;=System_Config!$B$9,"✅ OK","⚠️ BREACH"))</f>
        <v/>
      </c>
      <c r="M1651" s="37" t="str">
        <f>IFERROR(IF(Agent09_Withdrawals!A56="","",YEAR(Agent09_Withdrawals!D56)),"")</f>
        <v/>
      </c>
    </row>
    <row r="1652" spans="1:13" ht="18" customHeight="1" x14ac:dyDescent="0.25">
      <c r="A1652" s="37" t="str">
        <f>IF(Agent09_Withdrawals!A57="","",Agent09_Withdrawals!A57)</f>
        <v/>
      </c>
      <c r="B1652" s="37" t="str">
        <f ca="1">IF(Agent09_Withdrawals!A57="","","WD"&amp;TEXT(1652-3,"0000")&amp;"-"&amp;TEXT(TODAY(),"YYYYMMDD"))</f>
        <v/>
      </c>
      <c r="C1652" s="37" t="str">
        <f>IF(Agent09_Withdrawals!A57="","",Agent09_Withdrawals!B57)</f>
        <v/>
      </c>
      <c r="D1652" s="40" t="str">
        <f>IF(Agent09_Withdrawals!A57="","",Agent09_Withdrawals!C57)</f>
        <v/>
      </c>
      <c r="E1652" s="38" t="str">
        <f>IF(Agent09_Withdrawals!A57="","",Agent09_Withdrawals!D57)</f>
        <v/>
      </c>
      <c r="F1652" s="37" t="str">
        <f>IF(Agent09_Withdrawals!A57="","",Agent09_Withdrawals!F57)</f>
        <v/>
      </c>
      <c r="G1652" s="39" t="str">
        <f>IF(Agent09_Withdrawals!A57="","",Agent09_Withdrawals!E57)</f>
        <v/>
      </c>
      <c r="H1652" s="39" t="str">
        <f>IF(Agent09_Withdrawals!A57="","",Agent09_Withdrawals!G57)</f>
        <v/>
      </c>
      <c r="I1652" s="37" t="str">
        <f>IF(Agent09_Withdrawals!A57="","",Agent09_Withdrawals!H57)</f>
        <v/>
      </c>
      <c r="J1652" s="37" t="str">
        <f>IF(Agent09_Withdrawals!A57="","",Agent09_Withdrawals!J57)</f>
        <v/>
      </c>
      <c r="K1652" s="37" t="str">
        <f>IF(Agent09_Withdrawals!A57="","",Agent09_Withdrawals!K57)</f>
        <v/>
      </c>
      <c r="L1652" s="37" t="str">
        <f>IF(G1652="","",IF(D1652-G1652&gt;=System_Config!$B$9,"✅ OK","⚠️ BREACH"))</f>
        <v/>
      </c>
      <c r="M1652" s="37" t="str">
        <f>IFERROR(IF(Agent09_Withdrawals!A57="","",YEAR(Agent09_Withdrawals!D57)),"")</f>
        <v/>
      </c>
    </row>
    <row r="1653" spans="1:13" ht="18" customHeight="1" x14ac:dyDescent="0.25">
      <c r="A1653" s="37" t="str">
        <f>IF(Agent09_Withdrawals!A58="","",Agent09_Withdrawals!A58)</f>
        <v/>
      </c>
      <c r="B1653" s="37" t="str">
        <f ca="1">IF(Agent09_Withdrawals!A58="","","WD"&amp;TEXT(1653-3,"0000")&amp;"-"&amp;TEXT(TODAY(),"YYYYMMDD"))</f>
        <v/>
      </c>
      <c r="C1653" s="37" t="str">
        <f>IF(Agent09_Withdrawals!A58="","",Agent09_Withdrawals!B58)</f>
        <v/>
      </c>
      <c r="D1653" s="40" t="str">
        <f>IF(Agent09_Withdrawals!A58="","",Agent09_Withdrawals!C58)</f>
        <v/>
      </c>
      <c r="E1653" s="38" t="str">
        <f>IF(Agent09_Withdrawals!A58="","",Agent09_Withdrawals!D58)</f>
        <v/>
      </c>
      <c r="F1653" s="37" t="str">
        <f>IF(Agent09_Withdrawals!A58="","",Agent09_Withdrawals!F58)</f>
        <v/>
      </c>
      <c r="G1653" s="39" t="str">
        <f>IF(Agent09_Withdrawals!A58="","",Agent09_Withdrawals!E58)</f>
        <v/>
      </c>
      <c r="H1653" s="39" t="str">
        <f>IF(Agent09_Withdrawals!A58="","",Agent09_Withdrawals!G58)</f>
        <v/>
      </c>
      <c r="I1653" s="37" t="str">
        <f>IF(Agent09_Withdrawals!A58="","",Agent09_Withdrawals!H58)</f>
        <v/>
      </c>
      <c r="J1653" s="37" t="str">
        <f>IF(Agent09_Withdrawals!A58="","",Agent09_Withdrawals!J58)</f>
        <v/>
      </c>
      <c r="K1653" s="37" t="str">
        <f>IF(Agent09_Withdrawals!A58="","",Agent09_Withdrawals!K58)</f>
        <v/>
      </c>
      <c r="L1653" s="37" t="str">
        <f>IF(G1653="","",IF(D1653-G1653&gt;=System_Config!$B$9,"✅ OK","⚠️ BREACH"))</f>
        <v/>
      </c>
      <c r="M1653" s="37" t="str">
        <f>IFERROR(IF(Agent09_Withdrawals!A58="","",YEAR(Agent09_Withdrawals!D58)),"")</f>
        <v/>
      </c>
    </row>
    <row r="1654" spans="1:13" ht="18" customHeight="1" x14ac:dyDescent="0.25">
      <c r="A1654" s="37" t="str">
        <f>IF(Agent09_Withdrawals!A59="","",Agent09_Withdrawals!A59)</f>
        <v/>
      </c>
      <c r="B1654" s="37" t="str">
        <f ca="1">IF(Agent09_Withdrawals!A59="","","WD"&amp;TEXT(1654-3,"0000")&amp;"-"&amp;TEXT(TODAY(),"YYYYMMDD"))</f>
        <v/>
      </c>
      <c r="C1654" s="37" t="str">
        <f>IF(Agent09_Withdrawals!A59="","",Agent09_Withdrawals!B59)</f>
        <v/>
      </c>
      <c r="D1654" s="40" t="str">
        <f>IF(Agent09_Withdrawals!A59="","",Agent09_Withdrawals!C59)</f>
        <v/>
      </c>
      <c r="E1654" s="38" t="str">
        <f>IF(Agent09_Withdrawals!A59="","",Agent09_Withdrawals!D59)</f>
        <v/>
      </c>
      <c r="F1654" s="37" t="str">
        <f>IF(Agent09_Withdrawals!A59="","",Agent09_Withdrawals!F59)</f>
        <v/>
      </c>
      <c r="G1654" s="39" t="str">
        <f>IF(Agent09_Withdrawals!A59="","",Agent09_Withdrawals!E59)</f>
        <v/>
      </c>
      <c r="H1654" s="39" t="str">
        <f>IF(Agent09_Withdrawals!A59="","",Agent09_Withdrawals!G59)</f>
        <v/>
      </c>
      <c r="I1654" s="37" t="str">
        <f>IF(Agent09_Withdrawals!A59="","",Agent09_Withdrawals!H59)</f>
        <v/>
      </c>
      <c r="J1654" s="37" t="str">
        <f>IF(Agent09_Withdrawals!A59="","",Agent09_Withdrawals!J59)</f>
        <v/>
      </c>
      <c r="K1654" s="37" t="str">
        <f>IF(Agent09_Withdrawals!A59="","",Agent09_Withdrawals!K59)</f>
        <v/>
      </c>
      <c r="L1654" s="37" t="str">
        <f>IF(G1654="","",IF(D1654-G1654&gt;=System_Config!$B$9,"✅ OK","⚠️ BREACH"))</f>
        <v/>
      </c>
      <c r="M1654" s="37" t="str">
        <f>IFERROR(IF(Agent09_Withdrawals!A59="","",YEAR(Agent09_Withdrawals!D59)),"")</f>
        <v/>
      </c>
    </row>
    <row r="1655" spans="1:13" ht="18" customHeight="1" x14ac:dyDescent="0.25">
      <c r="A1655" s="37" t="str">
        <f>IF(Agent09_Withdrawals!A60="","",Agent09_Withdrawals!A60)</f>
        <v/>
      </c>
      <c r="B1655" s="37" t="str">
        <f ca="1">IF(Agent09_Withdrawals!A60="","","WD"&amp;TEXT(1655-3,"0000")&amp;"-"&amp;TEXT(TODAY(),"YYYYMMDD"))</f>
        <v/>
      </c>
      <c r="C1655" s="37" t="str">
        <f>IF(Agent09_Withdrawals!A60="","",Agent09_Withdrawals!B60)</f>
        <v/>
      </c>
      <c r="D1655" s="40" t="str">
        <f>IF(Agent09_Withdrawals!A60="","",Agent09_Withdrawals!C60)</f>
        <v/>
      </c>
      <c r="E1655" s="38" t="str">
        <f>IF(Agent09_Withdrawals!A60="","",Agent09_Withdrawals!D60)</f>
        <v/>
      </c>
      <c r="F1655" s="37" t="str">
        <f>IF(Agent09_Withdrawals!A60="","",Agent09_Withdrawals!F60)</f>
        <v/>
      </c>
      <c r="G1655" s="39" t="str">
        <f>IF(Agent09_Withdrawals!A60="","",Agent09_Withdrawals!E60)</f>
        <v/>
      </c>
      <c r="H1655" s="39" t="str">
        <f>IF(Agent09_Withdrawals!A60="","",Agent09_Withdrawals!G60)</f>
        <v/>
      </c>
      <c r="I1655" s="37" t="str">
        <f>IF(Agent09_Withdrawals!A60="","",Agent09_Withdrawals!H60)</f>
        <v/>
      </c>
      <c r="J1655" s="37" t="str">
        <f>IF(Agent09_Withdrawals!A60="","",Agent09_Withdrawals!J60)</f>
        <v/>
      </c>
      <c r="K1655" s="37" t="str">
        <f>IF(Agent09_Withdrawals!A60="","",Agent09_Withdrawals!K60)</f>
        <v/>
      </c>
      <c r="L1655" s="37" t="str">
        <f>IF(G1655="","",IF(D1655-G1655&gt;=System_Config!$B$9,"✅ OK","⚠️ BREACH"))</f>
        <v/>
      </c>
      <c r="M1655" s="37" t="str">
        <f>IFERROR(IF(Agent09_Withdrawals!A60="","",YEAR(Agent09_Withdrawals!D60)),"")</f>
        <v/>
      </c>
    </row>
    <row r="1656" spans="1:13" ht="18" customHeight="1" x14ac:dyDescent="0.25">
      <c r="A1656" s="37" t="str">
        <f>IF(Agent09_Withdrawals!A61="","",Agent09_Withdrawals!A61)</f>
        <v/>
      </c>
      <c r="B1656" s="37" t="str">
        <f ca="1">IF(Agent09_Withdrawals!A61="","","WD"&amp;TEXT(1656-3,"0000")&amp;"-"&amp;TEXT(TODAY(),"YYYYMMDD"))</f>
        <v/>
      </c>
      <c r="C1656" s="37" t="str">
        <f>IF(Agent09_Withdrawals!A61="","",Agent09_Withdrawals!B61)</f>
        <v/>
      </c>
      <c r="D1656" s="40" t="str">
        <f>IF(Agent09_Withdrawals!A61="","",Agent09_Withdrawals!C61)</f>
        <v/>
      </c>
      <c r="E1656" s="38" t="str">
        <f>IF(Agent09_Withdrawals!A61="","",Agent09_Withdrawals!D61)</f>
        <v/>
      </c>
      <c r="F1656" s="37" t="str">
        <f>IF(Agent09_Withdrawals!A61="","",Agent09_Withdrawals!F61)</f>
        <v/>
      </c>
      <c r="G1656" s="39" t="str">
        <f>IF(Agent09_Withdrawals!A61="","",Agent09_Withdrawals!E61)</f>
        <v/>
      </c>
      <c r="H1656" s="39" t="str">
        <f>IF(Agent09_Withdrawals!A61="","",Agent09_Withdrawals!G61)</f>
        <v/>
      </c>
      <c r="I1656" s="37" t="str">
        <f>IF(Agent09_Withdrawals!A61="","",Agent09_Withdrawals!H61)</f>
        <v/>
      </c>
      <c r="J1656" s="37" t="str">
        <f>IF(Agent09_Withdrawals!A61="","",Agent09_Withdrawals!J61)</f>
        <v/>
      </c>
      <c r="K1656" s="37" t="str">
        <f>IF(Agent09_Withdrawals!A61="","",Agent09_Withdrawals!K61)</f>
        <v/>
      </c>
      <c r="L1656" s="37" t="str">
        <f>IF(G1656="","",IF(D1656-G1656&gt;=System_Config!$B$9,"✅ OK","⚠️ BREACH"))</f>
        <v/>
      </c>
      <c r="M1656" s="37" t="str">
        <f>IFERROR(IF(Agent09_Withdrawals!A61="","",YEAR(Agent09_Withdrawals!D61)),"")</f>
        <v/>
      </c>
    </row>
    <row r="1657" spans="1:13" ht="18" customHeight="1" x14ac:dyDescent="0.25">
      <c r="A1657" s="37" t="str">
        <f>IF(Agent09_Withdrawals!A62="","",Agent09_Withdrawals!A62)</f>
        <v/>
      </c>
      <c r="B1657" s="37" t="str">
        <f ca="1">IF(Agent09_Withdrawals!A62="","","WD"&amp;TEXT(1657-3,"0000")&amp;"-"&amp;TEXT(TODAY(),"YYYYMMDD"))</f>
        <v/>
      </c>
      <c r="C1657" s="37" t="str">
        <f>IF(Agent09_Withdrawals!A62="","",Agent09_Withdrawals!B62)</f>
        <v/>
      </c>
      <c r="D1657" s="40" t="str">
        <f>IF(Agent09_Withdrawals!A62="","",Agent09_Withdrawals!C62)</f>
        <v/>
      </c>
      <c r="E1657" s="38" t="str">
        <f>IF(Agent09_Withdrawals!A62="","",Agent09_Withdrawals!D62)</f>
        <v/>
      </c>
      <c r="F1657" s="37" t="str">
        <f>IF(Agent09_Withdrawals!A62="","",Agent09_Withdrawals!F62)</f>
        <v/>
      </c>
      <c r="G1657" s="39" t="str">
        <f>IF(Agent09_Withdrawals!A62="","",Agent09_Withdrawals!E62)</f>
        <v/>
      </c>
      <c r="H1657" s="39" t="str">
        <f>IF(Agent09_Withdrawals!A62="","",Agent09_Withdrawals!G62)</f>
        <v/>
      </c>
      <c r="I1657" s="37" t="str">
        <f>IF(Agent09_Withdrawals!A62="","",Agent09_Withdrawals!H62)</f>
        <v/>
      </c>
      <c r="J1657" s="37" t="str">
        <f>IF(Agent09_Withdrawals!A62="","",Agent09_Withdrawals!J62)</f>
        <v/>
      </c>
      <c r="K1657" s="37" t="str">
        <f>IF(Agent09_Withdrawals!A62="","",Agent09_Withdrawals!K62)</f>
        <v/>
      </c>
      <c r="L1657" s="37" t="str">
        <f>IF(G1657="","",IF(D1657-G1657&gt;=System_Config!$B$9,"✅ OK","⚠️ BREACH"))</f>
        <v/>
      </c>
      <c r="M1657" s="37" t="str">
        <f>IFERROR(IF(Agent09_Withdrawals!A62="","",YEAR(Agent09_Withdrawals!D62)),"")</f>
        <v/>
      </c>
    </row>
    <row r="1658" spans="1:13" ht="18" customHeight="1" x14ac:dyDescent="0.25">
      <c r="A1658" s="37" t="str">
        <f>IF(Agent09_Withdrawals!A63="","",Agent09_Withdrawals!A63)</f>
        <v/>
      </c>
      <c r="B1658" s="37" t="str">
        <f ca="1">IF(Agent09_Withdrawals!A63="","","WD"&amp;TEXT(1658-3,"0000")&amp;"-"&amp;TEXT(TODAY(),"YYYYMMDD"))</f>
        <v/>
      </c>
      <c r="C1658" s="37" t="str">
        <f>IF(Agent09_Withdrawals!A63="","",Agent09_Withdrawals!B63)</f>
        <v/>
      </c>
      <c r="D1658" s="40" t="str">
        <f>IF(Agent09_Withdrawals!A63="","",Agent09_Withdrawals!C63)</f>
        <v/>
      </c>
      <c r="E1658" s="38" t="str">
        <f>IF(Agent09_Withdrawals!A63="","",Agent09_Withdrawals!D63)</f>
        <v/>
      </c>
      <c r="F1658" s="37" t="str">
        <f>IF(Agent09_Withdrawals!A63="","",Agent09_Withdrawals!F63)</f>
        <v/>
      </c>
      <c r="G1658" s="39" t="str">
        <f>IF(Agent09_Withdrawals!A63="","",Agent09_Withdrawals!E63)</f>
        <v/>
      </c>
      <c r="H1658" s="39" t="str">
        <f>IF(Agent09_Withdrawals!A63="","",Agent09_Withdrawals!G63)</f>
        <v/>
      </c>
      <c r="I1658" s="37" t="str">
        <f>IF(Agent09_Withdrawals!A63="","",Agent09_Withdrawals!H63)</f>
        <v/>
      </c>
      <c r="J1658" s="37" t="str">
        <f>IF(Agent09_Withdrawals!A63="","",Agent09_Withdrawals!J63)</f>
        <v/>
      </c>
      <c r="K1658" s="37" t="str">
        <f>IF(Agent09_Withdrawals!A63="","",Agent09_Withdrawals!K63)</f>
        <v/>
      </c>
      <c r="L1658" s="37" t="str">
        <f>IF(G1658="","",IF(D1658-G1658&gt;=System_Config!$B$9,"✅ OK","⚠️ BREACH"))</f>
        <v/>
      </c>
      <c r="M1658" s="37" t="str">
        <f>IFERROR(IF(Agent09_Withdrawals!A63="","",YEAR(Agent09_Withdrawals!D63)),"")</f>
        <v/>
      </c>
    </row>
    <row r="1659" spans="1:13" ht="18" customHeight="1" x14ac:dyDescent="0.25">
      <c r="A1659" s="37" t="str">
        <f>IF(Agent09_Withdrawals!A64="","",Agent09_Withdrawals!A64)</f>
        <v/>
      </c>
      <c r="B1659" s="37" t="str">
        <f ca="1">IF(Agent09_Withdrawals!A64="","","WD"&amp;TEXT(1659-3,"0000")&amp;"-"&amp;TEXT(TODAY(),"YYYYMMDD"))</f>
        <v/>
      </c>
      <c r="C1659" s="37" t="str">
        <f>IF(Agent09_Withdrawals!A64="","",Agent09_Withdrawals!B64)</f>
        <v/>
      </c>
      <c r="D1659" s="40" t="str">
        <f>IF(Agent09_Withdrawals!A64="","",Agent09_Withdrawals!C64)</f>
        <v/>
      </c>
      <c r="E1659" s="38" t="str">
        <f>IF(Agent09_Withdrawals!A64="","",Agent09_Withdrawals!D64)</f>
        <v/>
      </c>
      <c r="F1659" s="37" t="str">
        <f>IF(Agent09_Withdrawals!A64="","",Agent09_Withdrawals!F64)</f>
        <v/>
      </c>
      <c r="G1659" s="39" t="str">
        <f>IF(Agent09_Withdrawals!A64="","",Agent09_Withdrawals!E64)</f>
        <v/>
      </c>
      <c r="H1659" s="39" t="str">
        <f>IF(Agent09_Withdrawals!A64="","",Agent09_Withdrawals!G64)</f>
        <v/>
      </c>
      <c r="I1659" s="37" t="str">
        <f>IF(Agent09_Withdrawals!A64="","",Agent09_Withdrawals!H64)</f>
        <v/>
      </c>
      <c r="J1659" s="37" t="str">
        <f>IF(Agent09_Withdrawals!A64="","",Agent09_Withdrawals!J64)</f>
        <v/>
      </c>
      <c r="K1659" s="37" t="str">
        <f>IF(Agent09_Withdrawals!A64="","",Agent09_Withdrawals!K64)</f>
        <v/>
      </c>
      <c r="L1659" s="37" t="str">
        <f>IF(G1659="","",IF(D1659-G1659&gt;=System_Config!$B$9,"✅ OK","⚠️ BREACH"))</f>
        <v/>
      </c>
      <c r="M1659" s="37" t="str">
        <f>IFERROR(IF(Agent09_Withdrawals!A64="","",YEAR(Agent09_Withdrawals!D64)),"")</f>
        <v/>
      </c>
    </row>
    <row r="1660" spans="1:13" ht="18" customHeight="1" x14ac:dyDescent="0.25">
      <c r="A1660" s="37" t="str">
        <f>IF(Agent09_Withdrawals!A65="","",Agent09_Withdrawals!A65)</f>
        <v/>
      </c>
      <c r="B1660" s="37" t="str">
        <f ca="1">IF(Agent09_Withdrawals!A65="","","WD"&amp;TEXT(1660-3,"0000")&amp;"-"&amp;TEXT(TODAY(),"YYYYMMDD"))</f>
        <v/>
      </c>
      <c r="C1660" s="37" t="str">
        <f>IF(Agent09_Withdrawals!A65="","",Agent09_Withdrawals!B65)</f>
        <v/>
      </c>
      <c r="D1660" s="40" t="str">
        <f>IF(Agent09_Withdrawals!A65="","",Agent09_Withdrawals!C65)</f>
        <v/>
      </c>
      <c r="E1660" s="38" t="str">
        <f>IF(Agent09_Withdrawals!A65="","",Agent09_Withdrawals!D65)</f>
        <v/>
      </c>
      <c r="F1660" s="37" t="str">
        <f>IF(Agent09_Withdrawals!A65="","",Agent09_Withdrawals!F65)</f>
        <v/>
      </c>
      <c r="G1660" s="39" t="str">
        <f>IF(Agent09_Withdrawals!A65="","",Agent09_Withdrawals!E65)</f>
        <v/>
      </c>
      <c r="H1660" s="39" t="str">
        <f>IF(Agent09_Withdrawals!A65="","",Agent09_Withdrawals!G65)</f>
        <v/>
      </c>
      <c r="I1660" s="37" t="str">
        <f>IF(Agent09_Withdrawals!A65="","",Agent09_Withdrawals!H65)</f>
        <v/>
      </c>
      <c r="J1660" s="37" t="str">
        <f>IF(Agent09_Withdrawals!A65="","",Agent09_Withdrawals!J65)</f>
        <v/>
      </c>
      <c r="K1660" s="37" t="str">
        <f>IF(Agent09_Withdrawals!A65="","",Agent09_Withdrawals!K65)</f>
        <v/>
      </c>
      <c r="L1660" s="37" t="str">
        <f>IF(G1660="","",IF(D1660-G1660&gt;=System_Config!$B$9,"✅ OK","⚠️ BREACH"))</f>
        <v/>
      </c>
      <c r="M1660" s="37" t="str">
        <f>IFERROR(IF(Agent09_Withdrawals!A65="","",YEAR(Agent09_Withdrawals!D65)),"")</f>
        <v/>
      </c>
    </row>
    <row r="1661" spans="1:13" ht="18" customHeight="1" x14ac:dyDescent="0.25">
      <c r="A1661" s="37" t="str">
        <f>IF(Agent09_Withdrawals!A66="","",Agent09_Withdrawals!A66)</f>
        <v/>
      </c>
      <c r="B1661" s="37" t="str">
        <f ca="1">IF(Agent09_Withdrawals!A66="","","WD"&amp;TEXT(1661-3,"0000")&amp;"-"&amp;TEXT(TODAY(),"YYYYMMDD"))</f>
        <v/>
      </c>
      <c r="C1661" s="37" t="str">
        <f>IF(Agent09_Withdrawals!A66="","",Agent09_Withdrawals!B66)</f>
        <v/>
      </c>
      <c r="D1661" s="40" t="str">
        <f>IF(Agent09_Withdrawals!A66="","",Agent09_Withdrawals!C66)</f>
        <v/>
      </c>
      <c r="E1661" s="38" t="str">
        <f>IF(Agent09_Withdrawals!A66="","",Agent09_Withdrawals!D66)</f>
        <v/>
      </c>
      <c r="F1661" s="37" t="str">
        <f>IF(Agent09_Withdrawals!A66="","",Agent09_Withdrawals!F66)</f>
        <v/>
      </c>
      <c r="G1661" s="39" t="str">
        <f>IF(Agent09_Withdrawals!A66="","",Agent09_Withdrawals!E66)</f>
        <v/>
      </c>
      <c r="H1661" s="39" t="str">
        <f>IF(Agent09_Withdrawals!A66="","",Agent09_Withdrawals!G66)</f>
        <v/>
      </c>
      <c r="I1661" s="37" t="str">
        <f>IF(Agent09_Withdrawals!A66="","",Agent09_Withdrawals!H66)</f>
        <v/>
      </c>
      <c r="J1661" s="37" t="str">
        <f>IF(Agent09_Withdrawals!A66="","",Agent09_Withdrawals!J66)</f>
        <v/>
      </c>
      <c r="K1661" s="37" t="str">
        <f>IF(Agent09_Withdrawals!A66="","",Agent09_Withdrawals!K66)</f>
        <v/>
      </c>
      <c r="L1661" s="37" t="str">
        <f>IF(G1661="","",IF(D1661-G1661&gt;=System_Config!$B$9,"✅ OK","⚠️ BREACH"))</f>
        <v/>
      </c>
      <c r="M1661" s="37" t="str">
        <f>IFERROR(IF(Agent09_Withdrawals!A66="","",YEAR(Agent09_Withdrawals!D66)),"")</f>
        <v/>
      </c>
    </row>
    <row r="1662" spans="1:13" ht="18" customHeight="1" x14ac:dyDescent="0.25">
      <c r="A1662" s="37" t="str">
        <f>IF(Agent09_Withdrawals!A67="","",Agent09_Withdrawals!A67)</f>
        <v/>
      </c>
      <c r="B1662" s="37" t="str">
        <f ca="1">IF(Agent09_Withdrawals!A67="","","WD"&amp;TEXT(1662-3,"0000")&amp;"-"&amp;TEXT(TODAY(),"YYYYMMDD"))</f>
        <v/>
      </c>
      <c r="C1662" s="37" t="str">
        <f>IF(Agent09_Withdrawals!A67="","",Agent09_Withdrawals!B67)</f>
        <v/>
      </c>
      <c r="D1662" s="40" t="str">
        <f>IF(Agent09_Withdrawals!A67="","",Agent09_Withdrawals!C67)</f>
        <v/>
      </c>
      <c r="E1662" s="38" t="str">
        <f>IF(Agent09_Withdrawals!A67="","",Agent09_Withdrawals!D67)</f>
        <v/>
      </c>
      <c r="F1662" s="37" t="str">
        <f>IF(Agent09_Withdrawals!A67="","",Agent09_Withdrawals!F67)</f>
        <v/>
      </c>
      <c r="G1662" s="39" t="str">
        <f>IF(Agent09_Withdrawals!A67="","",Agent09_Withdrawals!E67)</f>
        <v/>
      </c>
      <c r="H1662" s="39" t="str">
        <f>IF(Agent09_Withdrawals!A67="","",Agent09_Withdrawals!G67)</f>
        <v/>
      </c>
      <c r="I1662" s="37" t="str">
        <f>IF(Agent09_Withdrawals!A67="","",Agent09_Withdrawals!H67)</f>
        <v/>
      </c>
      <c r="J1662" s="37" t="str">
        <f>IF(Agent09_Withdrawals!A67="","",Agent09_Withdrawals!J67)</f>
        <v/>
      </c>
      <c r="K1662" s="37" t="str">
        <f>IF(Agent09_Withdrawals!A67="","",Agent09_Withdrawals!K67)</f>
        <v/>
      </c>
      <c r="L1662" s="37" t="str">
        <f>IF(G1662="","",IF(D1662-G1662&gt;=System_Config!$B$9,"✅ OK","⚠️ BREACH"))</f>
        <v/>
      </c>
      <c r="M1662" s="37" t="str">
        <f>IFERROR(IF(Agent09_Withdrawals!A67="","",YEAR(Agent09_Withdrawals!D67)),"")</f>
        <v/>
      </c>
    </row>
    <row r="1663" spans="1:13" ht="18" customHeight="1" x14ac:dyDescent="0.25">
      <c r="A1663" s="37" t="str">
        <f>IF(Agent09_Withdrawals!A68="","",Agent09_Withdrawals!A68)</f>
        <v/>
      </c>
      <c r="B1663" s="37" t="str">
        <f ca="1">IF(Agent09_Withdrawals!A68="","","WD"&amp;TEXT(1663-3,"0000")&amp;"-"&amp;TEXT(TODAY(),"YYYYMMDD"))</f>
        <v/>
      </c>
      <c r="C1663" s="37" t="str">
        <f>IF(Agent09_Withdrawals!A68="","",Agent09_Withdrawals!B68)</f>
        <v/>
      </c>
      <c r="D1663" s="40" t="str">
        <f>IF(Agent09_Withdrawals!A68="","",Agent09_Withdrawals!C68)</f>
        <v/>
      </c>
      <c r="E1663" s="38" t="str">
        <f>IF(Agent09_Withdrawals!A68="","",Agent09_Withdrawals!D68)</f>
        <v/>
      </c>
      <c r="F1663" s="37" t="str">
        <f>IF(Agent09_Withdrawals!A68="","",Agent09_Withdrawals!F68)</f>
        <v/>
      </c>
      <c r="G1663" s="39" t="str">
        <f>IF(Agent09_Withdrawals!A68="","",Agent09_Withdrawals!E68)</f>
        <v/>
      </c>
      <c r="H1663" s="39" t="str">
        <f>IF(Agent09_Withdrawals!A68="","",Agent09_Withdrawals!G68)</f>
        <v/>
      </c>
      <c r="I1663" s="37" t="str">
        <f>IF(Agent09_Withdrawals!A68="","",Agent09_Withdrawals!H68)</f>
        <v/>
      </c>
      <c r="J1663" s="37" t="str">
        <f>IF(Agent09_Withdrawals!A68="","",Agent09_Withdrawals!J68)</f>
        <v/>
      </c>
      <c r="K1663" s="37" t="str">
        <f>IF(Agent09_Withdrawals!A68="","",Agent09_Withdrawals!K68)</f>
        <v/>
      </c>
      <c r="L1663" s="37" t="str">
        <f>IF(G1663="","",IF(D1663-G1663&gt;=System_Config!$B$9,"✅ OK","⚠️ BREACH"))</f>
        <v/>
      </c>
      <c r="M1663" s="37" t="str">
        <f>IFERROR(IF(Agent09_Withdrawals!A68="","",YEAR(Agent09_Withdrawals!D68)),"")</f>
        <v/>
      </c>
    </row>
    <row r="1664" spans="1:13" ht="18" customHeight="1" x14ac:dyDescent="0.25">
      <c r="A1664" s="37" t="str">
        <f>IF(Agent09_Withdrawals!A69="","",Agent09_Withdrawals!A69)</f>
        <v/>
      </c>
      <c r="B1664" s="37" t="str">
        <f ca="1">IF(Agent09_Withdrawals!A69="","","WD"&amp;TEXT(1664-3,"0000")&amp;"-"&amp;TEXT(TODAY(),"YYYYMMDD"))</f>
        <v/>
      </c>
      <c r="C1664" s="37" t="str">
        <f>IF(Agent09_Withdrawals!A69="","",Agent09_Withdrawals!B69)</f>
        <v/>
      </c>
      <c r="D1664" s="40" t="str">
        <f>IF(Agent09_Withdrawals!A69="","",Agent09_Withdrawals!C69)</f>
        <v/>
      </c>
      <c r="E1664" s="38" t="str">
        <f>IF(Agent09_Withdrawals!A69="","",Agent09_Withdrawals!D69)</f>
        <v/>
      </c>
      <c r="F1664" s="37" t="str">
        <f>IF(Agent09_Withdrawals!A69="","",Agent09_Withdrawals!F69)</f>
        <v/>
      </c>
      <c r="G1664" s="39" t="str">
        <f>IF(Agent09_Withdrawals!A69="","",Agent09_Withdrawals!E69)</f>
        <v/>
      </c>
      <c r="H1664" s="39" t="str">
        <f>IF(Agent09_Withdrawals!A69="","",Agent09_Withdrawals!G69)</f>
        <v/>
      </c>
      <c r="I1664" s="37" t="str">
        <f>IF(Agent09_Withdrawals!A69="","",Agent09_Withdrawals!H69)</f>
        <v/>
      </c>
      <c r="J1664" s="37" t="str">
        <f>IF(Agent09_Withdrawals!A69="","",Agent09_Withdrawals!J69)</f>
        <v/>
      </c>
      <c r="K1664" s="37" t="str">
        <f>IF(Agent09_Withdrawals!A69="","",Agent09_Withdrawals!K69)</f>
        <v/>
      </c>
      <c r="L1664" s="37" t="str">
        <f>IF(G1664="","",IF(D1664-G1664&gt;=System_Config!$B$9,"✅ OK","⚠️ BREACH"))</f>
        <v/>
      </c>
      <c r="M1664" s="37" t="str">
        <f>IFERROR(IF(Agent09_Withdrawals!A69="","",YEAR(Agent09_Withdrawals!D69)),"")</f>
        <v/>
      </c>
    </row>
    <row r="1665" spans="1:13" ht="18" customHeight="1" x14ac:dyDescent="0.25">
      <c r="A1665" s="37" t="str">
        <f>IF(Agent09_Withdrawals!A70="","",Agent09_Withdrawals!A70)</f>
        <v/>
      </c>
      <c r="B1665" s="37" t="str">
        <f ca="1">IF(Agent09_Withdrawals!A70="","","WD"&amp;TEXT(1665-3,"0000")&amp;"-"&amp;TEXT(TODAY(),"YYYYMMDD"))</f>
        <v/>
      </c>
      <c r="C1665" s="37" t="str">
        <f>IF(Agent09_Withdrawals!A70="","",Agent09_Withdrawals!B70)</f>
        <v/>
      </c>
      <c r="D1665" s="40" t="str">
        <f>IF(Agent09_Withdrawals!A70="","",Agent09_Withdrawals!C70)</f>
        <v/>
      </c>
      <c r="E1665" s="38" t="str">
        <f>IF(Agent09_Withdrawals!A70="","",Agent09_Withdrawals!D70)</f>
        <v/>
      </c>
      <c r="F1665" s="37" t="str">
        <f>IF(Agent09_Withdrawals!A70="","",Agent09_Withdrawals!F70)</f>
        <v/>
      </c>
      <c r="G1665" s="39" t="str">
        <f>IF(Agent09_Withdrawals!A70="","",Agent09_Withdrawals!E70)</f>
        <v/>
      </c>
      <c r="H1665" s="39" t="str">
        <f>IF(Agent09_Withdrawals!A70="","",Agent09_Withdrawals!G70)</f>
        <v/>
      </c>
      <c r="I1665" s="37" t="str">
        <f>IF(Agent09_Withdrawals!A70="","",Agent09_Withdrawals!H70)</f>
        <v/>
      </c>
      <c r="J1665" s="37" t="str">
        <f>IF(Agent09_Withdrawals!A70="","",Agent09_Withdrawals!J70)</f>
        <v/>
      </c>
      <c r="K1665" s="37" t="str">
        <f>IF(Agent09_Withdrawals!A70="","",Agent09_Withdrawals!K70)</f>
        <v/>
      </c>
      <c r="L1665" s="37" t="str">
        <f>IF(G1665="","",IF(D1665-G1665&gt;=System_Config!$B$9,"✅ OK","⚠️ BREACH"))</f>
        <v/>
      </c>
      <c r="M1665" s="37" t="str">
        <f>IFERROR(IF(Agent09_Withdrawals!A70="","",YEAR(Agent09_Withdrawals!D70)),"")</f>
        <v/>
      </c>
    </row>
    <row r="1666" spans="1:13" ht="18" customHeight="1" x14ac:dyDescent="0.25">
      <c r="A1666" s="37" t="str">
        <f>IF(Agent09_Withdrawals!A71="","",Agent09_Withdrawals!A71)</f>
        <v/>
      </c>
      <c r="B1666" s="37" t="str">
        <f ca="1">IF(Agent09_Withdrawals!A71="","","WD"&amp;TEXT(1666-3,"0000")&amp;"-"&amp;TEXT(TODAY(),"YYYYMMDD"))</f>
        <v/>
      </c>
      <c r="C1666" s="37" t="str">
        <f>IF(Agent09_Withdrawals!A71="","",Agent09_Withdrawals!B71)</f>
        <v/>
      </c>
      <c r="D1666" s="40" t="str">
        <f>IF(Agent09_Withdrawals!A71="","",Agent09_Withdrawals!C71)</f>
        <v/>
      </c>
      <c r="E1666" s="38" t="str">
        <f>IF(Agent09_Withdrawals!A71="","",Agent09_Withdrawals!D71)</f>
        <v/>
      </c>
      <c r="F1666" s="37" t="str">
        <f>IF(Agent09_Withdrawals!A71="","",Agent09_Withdrawals!F71)</f>
        <v/>
      </c>
      <c r="G1666" s="39" t="str">
        <f>IF(Agent09_Withdrawals!A71="","",Agent09_Withdrawals!E71)</f>
        <v/>
      </c>
      <c r="H1666" s="39" t="str">
        <f>IF(Agent09_Withdrawals!A71="","",Agent09_Withdrawals!G71)</f>
        <v/>
      </c>
      <c r="I1666" s="37" t="str">
        <f>IF(Agent09_Withdrawals!A71="","",Agent09_Withdrawals!H71)</f>
        <v/>
      </c>
      <c r="J1666" s="37" t="str">
        <f>IF(Agent09_Withdrawals!A71="","",Agent09_Withdrawals!J71)</f>
        <v/>
      </c>
      <c r="K1666" s="37" t="str">
        <f>IF(Agent09_Withdrawals!A71="","",Agent09_Withdrawals!K71)</f>
        <v/>
      </c>
      <c r="L1666" s="37" t="str">
        <f>IF(G1666="","",IF(D1666-G1666&gt;=System_Config!$B$9,"✅ OK","⚠️ BREACH"))</f>
        <v/>
      </c>
      <c r="M1666" s="37" t="str">
        <f>IFERROR(IF(Agent09_Withdrawals!A71="","",YEAR(Agent09_Withdrawals!D71)),"")</f>
        <v/>
      </c>
    </row>
    <row r="1667" spans="1:13" ht="18" customHeight="1" x14ac:dyDescent="0.25">
      <c r="A1667" s="37" t="str">
        <f>IF(Agent09_Withdrawals!A72="","",Agent09_Withdrawals!A72)</f>
        <v/>
      </c>
      <c r="B1667" s="37" t="str">
        <f ca="1">IF(Agent09_Withdrawals!A72="","","WD"&amp;TEXT(1667-3,"0000")&amp;"-"&amp;TEXT(TODAY(),"YYYYMMDD"))</f>
        <v/>
      </c>
      <c r="C1667" s="37" t="str">
        <f>IF(Agent09_Withdrawals!A72="","",Agent09_Withdrawals!B72)</f>
        <v/>
      </c>
      <c r="D1667" s="40" t="str">
        <f>IF(Agent09_Withdrawals!A72="","",Agent09_Withdrawals!C72)</f>
        <v/>
      </c>
      <c r="E1667" s="38" t="str">
        <f>IF(Agent09_Withdrawals!A72="","",Agent09_Withdrawals!D72)</f>
        <v/>
      </c>
      <c r="F1667" s="37" t="str">
        <f>IF(Agent09_Withdrawals!A72="","",Agent09_Withdrawals!F72)</f>
        <v/>
      </c>
      <c r="G1667" s="39" t="str">
        <f>IF(Agent09_Withdrawals!A72="","",Agent09_Withdrawals!E72)</f>
        <v/>
      </c>
      <c r="H1667" s="39" t="str">
        <f>IF(Agent09_Withdrawals!A72="","",Agent09_Withdrawals!G72)</f>
        <v/>
      </c>
      <c r="I1667" s="37" t="str">
        <f>IF(Agent09_Withdrawals!A72="","",Agent09_Withdrawals!H72)</f>
        <v/>
      </c>
      <c r="J1667" s="37" t="str">
        <f>IF(Agent09_Withdrawals!A72="","",Agent09_Withdrawals!J72)</f>
        <v/>
      </c>
      <c r="K1667" s="37" t="str">
        <f>IF(Agent09_Withdrawals!A72="","",Agent09_Withdrawals!K72)</f>
        <v/>
      </c>
      <c r="L1667" s="37" t="str">
        <f>IF(G1667="","",IF(D1667-G1667&gt;=System_Config!$B$9,"✅ OK","⚠️ BREACH"))</f>
        <v/>
      </c>
      <c r="M1667" s="37" t="str">
        <f>IFERROR(IF(Agent09_Withdrawals!A72="","",YEAR(Agent09_Withdrawals!D72)),"")</f>
        <v/>
      </c>
    </row>
    <row r="1668" spans="1:13" ht="18" customHeight="1" x14ac:dyDescent="0.25">
      <c r="A1668" s="37" t="str">
        <f>IF(Agent09_Withdrawals!A73="","",Agent09_Withdrawals!A73)</f>
        <v/>
      </c>
      <c r="B1668" s="37" t="str">
        <f ca="1">IF(Agent09_Withdrawals!A73="","","WD"&amp;TEXT(1668-3,"0000")&amp;"-"&amp;TEXT(TODAY(),"YYYYMMDD"))</f>
        <v/>
      </c>
      <c r="C1668" s="37" t="str">
        <f>IF(Agent09_Withdrawals!A73="","",Agent09_Withdrawals!B73)</f>
        <v/>
      </c>
      <c r="D1668" s="40" t="str">
        <f>IF(Agent09_Withdrawals!A73="","",Agent09_Withdrawals!C73)</f>
        <v/>
      </c>
      <c r="E1668" s="38" t="str">
        <f>IF(Agent09_Withdrawals!A73="","",Agent09_Withdrawals!D73)</f>
        <v/>
      </c>
      <c r="F1668" s="37" t="str">
        <f>IF(Agent09_Withdrawals!A73="","",Agent09_Withdrawals!F73)</f>
        <v/>
      </c>
      <c r="G1668" s="39" t="str">
        <f>IF(Agent09_Withdrawals!A73="","",Agent09_Withdrawals!E73)</f>
        <v/>
      </c>
      <c r="H1668" s="39" t="str">
        <f>IF(Agent09_Withdrawals!A73="","",Agent09_Withdrawals!G73)</f>
        <v/>
      </c>
      <c r="I1668" s="37" t="str">
        <f>IF(Agent09_Withdrawals!A73="","",Agent09_Withdrawals!H73)</f>
        <v/>
      </c>
      <c r="J1668" s="37" t="str">
        <f>IF(Agent09_Withdrawals!A73="","",Agent09_Withdrawals!J73)</f>
        <v/>
      </c>
      <c r="K1668" s="37" t="str">
        <f>IF(Agent09_Withdrawals!A73="","",Agent09_Withdrawals!K73)</f>
        <v/>
      </c>
      <c r="L1668" s="37" t="str">
        <f>IF(G1668="","",IF(D1668-G1668&gt;=System_Config!$B$9,"✅ OK","⚠️ BREACH"))</f>
        <v/>
      </c>
      <c r="M1668" s="37" t="str">
        <f>IFERROR(IF(Agent09_Withdrawals!A73="","",YEAR(Agent09_Withdrawals!D73)),"")</f>
        <v/>
      </c>
    </row>
    <row r="1669" spans="1:13" ht="18" customHeight="1" x14ac:dyDescent="0.25">
      <c r="A1669" s="37" t="str">
        <f>IF(Agent09_Withdrawals!A74="","",Agent09_Withdrawals!A74)</f>
        <v/>
      </c>
      <c r="B1669" s="37" t="str">
        <f ca="1">IF(Agent09_Withdrawals!A74="","","WD"&amp;TEXT(1669-3,"0000")&amp;"-"&amp;TEXT(TODAY(),"YYYYMMDD"))</f>
        <v/>
      </c>
      <c r="C1669" s="37" t="str">
        <f>IF(Agent09_Withdrawals!A74="","",Agent09_Withdrawals!B74)</f>
        <v/>
      </c>
      <c r="D1669" s="40" t="str">
        <f>IF(Agent09_Withdrawals!A74="","",Agent09_Withdrawals!C74)</f>
        <v/>
      </c>
      <c r="E1669" s="38" t="str">
        <f>IF(Agent09_Withdrawals!A74="","",Agent09_Withdrawals!D74)</f>
        <v/>
      </c>
      <c r="F1669" s="37" t="str">
        <f>IF(Agent09_Withdrawals!A74="","",Agent09_Withdrawals!F74)</f>
        <v/>
      </c>
      <c r="G1669" s="39" t="str">
        <f>IF(Agent09_Withdrawals!A74="","",Agent09_Withdrawals!E74)</f>
        <v/>
      </c>
      <c r="H1669" s="39" t="str">
        <f>IF(Agent09_Withdrawals!A74="","",Agent09_Withdrawals!G74)</f>
        <v/>
      </c>
      <c r="I1669" s="37" t="str">
        <f>IF(Agent09_Withdrawals!A74="","",Agent09_Withdrawals!H74)</f>
        <v/>
      </c>
      <c r="J1669" s="37" t="str">
        <f>IF(Agent09_Withdrawals!A74="","",Agent09_Withdrawals!J74)</f>
        <v/>
      </c>
      <c r="K1669" s="37" t="str">
        <f>IF(Agent09_Withdrawals!A74="","",Agent09_Withdrawals!K74)</f>
        <v/>
      </c>
      <c r="L1669" s="37" t="str">
        <f>IF(G1669="","",IF(D1669-G1669&gt;=System_Config!$B$9,"✅ OK","⚠️ BREACH"))</f>
        <v/>
      </c>
      <c r="M1669" s="37" t="str">
        <f>IFERROR(IF(Agent09_Withdrawals!A74="","",YEAR(Agent09_Withdrawals!D74)),"")</f>
        <v/>
      </c>
    </row>
    <row r="1670" spans="1:13" ht="18" customHeight="1" x14ac:dyDescent="0.25">
      <c r="A1670" s="37" t="str">
        <f>IF(Agent09_Withdrawals!A75="","",Agent09_Withdrawals!A75)</f>
        <v/>
      </c>
      <c r="B1670" s="37" t="str">
        <f ca="1">IF(Agent09_Withdrawals!A75="","","WD"&amp;TEXT(1670-3,"0000")&amp;"-"&amp;TEXT(TODAY(),"YYYYMMDD"))</f>
        <v/>
      </c>
      <c r="C1670" s="37" t="str">
        <f>IF(Agent09_Withdrawals!A75="","",Agent09_Withdrawals!B75)</f>
        <v/>
      </c>
      <c r="D1670" s="40" t="str">
        <f>IF(Agent09_Withdrawals!A75="","",Agent09_Withdrawals!C75)</f>
        <v/>
      </c>
      <c r="E1670" s="38" t="str">
        <f>IF(Agent09_Withdrawals!A75="","",Agent09_Withdrawals!D75)</f>
        <v/>
      </c>
      <c r="F1670" s="37" t="str">
        <f>IF(Agent09_Withdrawals!A75="","",Agent09_Withdrawals!F75)</f>
        <v/>
      </c>
      <c r="G1670" s="39" t="str">
        <f>IF(Agent09_Withdrawals!A75="","",Agent09_Withdrawals!E75)</f>
        <v/>
      </c>
      <c r="H1670" s="39" t="str">
        <f>IF(Agent09_Withdrawals!A75="","",Agent09_Withdrawals!G75)</f>
        <v/>
      </c>
      <c r="I1670" s="37" t="str">
        <f>IF(Agent09_Withdrawals!A75="","",Agent09_Withdrawals!H75)</f>
        <v/>
      </c>
      <c r="J1670" s="37" t="str">
        <f>IF(Agent09_Withdrawals!A75="","",Agent09_Withdrawals!J75)</f>
        <v/>
      </c>
      <c r="K1670" s="37" t="str">
        <f>IF(Agent09_Withdrawals!A75="","",Agent09_Withdrawals!K75)</f>
        <v/>
      </c>
      <c r="L1670" s="37" t="str">
        <f>IF(G1670="","",IF(D1670-G1670&gt;=System_Config!$B$9,"✅ OK","⚠️ BREACH"))</f>
        <v/>
      </c>
      <c r="M1670" s="37" t="str">
        <f>IFERROR(IF(Agent09_Withdrawals!A75="","",YEAR(Agent09_Withdrawals!D75)),"")</f>
        <v/>
      </c>
    </row>
    <row r="1671" spans="1:13" ht="18" customHeight="1" x14ac:dyDescent="0.25">
      <c r="A1671" s="37" t="str">
        <f>IF(Agent09_Withdrawals!A76="","",Agent09_Withdrawals!A76)</f>
        <v/>
      </c>
      <c r="B1671" s="37" t="str">
        <f ca="1">IF(Agent09_Withdrawals!A76="","","WD"&amp;TEXT(1671-3,"0000")&amp;"-"&amp;TEXT(TODAY(),"YYYYMMDD"))</f>
        <v/>
      </c>
      <c r="C1671" s="37" t="str">
        <f>IF(Agent09_Withdrawals!A76="","",Agent09_Withdrawals!B76)</f>
        <v/>
      </c>
      <c r="D1671" s="40" t="str">
        <f>IF(Agent09_Withdrawals!A76="","",Agent09_Withdrawals!C76)</f>
        <v/>
      </c>
      <c r="E1671" s="38" t="str">
        <f>IF(Agent09_Withdrawals!A76="","",Agent09_Withdrawals!D76)</f>
        <v/>
      </c>
      <c r="F1671" s="37" t="str">
        <f>IF(Agent09_Withdrawals!A76="","",Agent09_Withdrawals!F76)</f>
        <v/>
      </c>
      <c r="G1671" s="39" t="str">
        <f>IF(Agent09_Withdrawals!A76="","",Agent09_Withdrawals!E76)</f>
        <v/>
      </c>
      <c r="H1671" s="39" t="str">
        <f>IF(Agent09_Withdrawals!A76="","",Agent09_Withdrawals!G76)</f>
        <v/>
      </c>
      <c r="I1671" s="37" t="str">
        <f>IF(Agent09_Withdrawals!A76="","",Agent09_Withdrawals!H76)</f>
        <v/>
      </c>
      <c r="J1671" s="37" t="str">
        <f>IF(Agent09_Withdrawals!A76="","",Agent09_Withdrawals!J76)</f>
        <v/>
      </c>
      <c r="K1671" s="37" t="str">
        <f>IF(Agent09_Withdrawals!A76="","",Agent09_Withdrawals!K76)</f>
        <v/>
      </c>
      <c r="L1671" s="37" t="str">
        <f>IF(G1671="","",IF(D1671-G1671&gt;=System_Config!$B$9,"✅ OK","⚠️ BREACH"))</f>
        <v/>
      </c>
      <c r="M1671" s="37" t="str">
        <f>IFERROR(IF(Agent09_Withdrawals!A76="","",YEAR(Agent09_Withdrawals!D76)),"")</f>
        <v/>
      </c>
    </row>
    <row r="1672" spans="1:13" ht="18" customHeight="1" x14ac:dyDescent="0.25">
      <c r="A1672" s="37" t="str">
        <f>IF(Agent09_Withdrawals!A77="","",Agent09_Withdrawals!A77)</f>
        <v/>
      </c>
      <c r="B1672" s="37" t="str">
        <f ca="1">IF(Agent09_Withdrawals!A77="","","WD"&amp;TEXT(1672-3,"0000")&amp;"-"&amp;TEXT(TODAY(),"YYYYMMDD"))</f>
        <v/>
      </c>
      <c r="C1672" s="37" t="str">
        <f>IF(Agent09_Withdrawals!A77="","",Agent09_Withdrawals!B77)</f>
        <v/>
      </c>
      <c r="D1672" s="40" t="str">
        <f>IF(Agent09_Withdrawals!A77="","",Agent09_Withdrawals!C77)</f>
        <v/>
      </c>
      <c r="E1672" s="38" t="str">
        <f>IF(Agent09_Withdrawals!A77="","",Agent09_Withdrawals!D77)</f>
        <v/>
      </c>
      <c r="F1672" s="37" t="str">
        <f>IF(Agent09_Withdrawals!A77="","",Agent09_Withdrawals!F77)</f>
        <v/>
      </c>
      <c r="G1672" s="39" t="str">
        <f>IF(Agent09_Withdrawals!A77="","",Agent09_Withdrawals!E77)</f>
        <v/>
      </c>
      <c r="H1672" s="39" t="str">
        <f>IF(Agent09_Withdrawals!A77="","",Agent09_Withdrawals!G77)</f>
        <v/>
      </c>
      <c r="I1672" s="37" t="str">
        <f>IF(Agent09_Withdrawals!A77="","",Agent09_Withdrawals!H77)</f>
        <v/>
      </c>
      <c r="J1672" s="37" t="str">
        <f>IF(Agent09_Withdrawals!A77="","",Agent09_Withdrawals!J77)</f>
        <v/>
      </c>
      <c r="K1672" s="37" t="str">
        <f>IF(Agent09_Withdrawals!A77="","",Agent09_Withdrawals!K77)</f>
        <v/>
      </c>
      <c r="L1672" s="37" t="str">
        <f>IF(G1672="","",IF(D1672-G1672&gt;=System_Config!$B$9,"✅ OK","⚠️ BREACH"))</f>
        <v/>
      </c>
      <c r="M1672" s="37" t="str">
        <f>IFERROR(IF(Agent09_Withdrawals!A77="","",YEAR(Agent09_Withdrawals!D77)),"")</f>
        <v/>
      </c>
    </row>
    <row r="1673" spans="1:13" ht="18" customHeight="1" x14ac:dyDescent="0.25">
      <c r="A1673" s="37" t="str">
        <f>IF(Agent09_Withdrawals!A78="","",Agent09_Withdrawals!A78)</f>
        <v/>
      </c>
      <c r="B1673" s="37" t="str">
        <f ca="1">IF(Agent09_Withdrawals!A78="","","WD"&amp;TEXT(1673-3,"0000")&amp;"-"&amp;TEXT(TODAY(),"YYYYMMDD"))</f>
        <v/>
      </c>
      <c r="C1673" s="37" t="str">
        <f>IF(Agent09_Withdrawals!A78="","",Agent09_Withdrawals!B78)</f>
        <v/>
      </c>
      <c r="D1673" s="40" t="str">
        <f>IF(Agent09_Withdrawals!A78="","",Agent09_Withdrawals!C78)</f>
        <v/>
      </c>
      <c r="E1673" s="38" t="str">
        <f>IF(Agent09_Withdrawals!A78="","",Agent09_Withdrawals!D78)</f>
        <v/>
      </c>
      <c r="F1673" s="37" t="str">
        <f>IF(Agent09_Withdrawals!A78="","",Agent09_Withdrawals!F78)</f>
        <v/>
      </c>
      <c r="G1673" s="39" t="str">
        <f>IF(Agent09_Withdrawals!A78="","",Agent09_Withdrawals!E78)</f>
        <v/>
      </c>
      <c r="H1673" s="39" t="str">
        <f>IF(Agent09_Withdrawals!A78="","",Agent09_Withdrawals!G78)</f>
        <v/>
      </c>
      <c r="I1673" s="37" t="str">
        <f>IF(Agent09_Withdrawals!A78="","",Agent09_Withdrawals!H78)</f>
        <v/>
      </c>
      <c r="J1673" s="37" t="str">
        <f>IF(Agent09_Withdrawals!A78="","",Agent09_Withdrawals!J78)</f>
        <v/>
      </c>
      <c r="K1673" s="37" t="str">
        <f>IF(Agent09_Withdrawals!A78="","",Agent09_Withdrawals!K78)</f>
        <v/>
      </c>
      <c r="L1673" s="37" t="str">
        <f>IF(G1673="","",IF(D1673-G1673&gt;=System_Config!$B$9,"✅ OK","⚠️ BREACH"))</f>
        <v/>
      </c>
      <c r="M1673" s="37" t="str">
        <f>IFERROR(IF(Agent09_Withdrawals!A78="","",YEAR(Agent09_Withdrawals!D78)),"")</f>
        <v/>
      </c>
    </row>
    <row r="1674" spans="1:13" ht="18" customHeight="1" x14ac:dyDescent="0.25">
      <c r="A1674" s="37" t="str">
        <f>IF(Agent09_Withdrawals!A79="","",Agent09_Withdrawals!A79)</f>
        <v/>
      </c>
      <c r="B1674" s="37" t="str">
        <f ca="1">IF(Agent09_Withdrawals!A79="","","WD"&amp;TEXT(1674-3,"0000")&amp;"-"&amp;TEXT(TODAY(),"YYYYMMDD"))</f>
        <v/>
      </c>
      <c r="C1674" s="37" t="str">
        <f>IF(Agent09_Withdrawals!A79="","",Agent09_Withdrawals!B79)</f>
        <v/>
      </c>
      <c r="D1674" s="40" t="str">
        <f>IF(Agent09_Withdrawals!A79="","",Agent09_Withdrawals!C79)</f>
        <v/>
      </c>
      <c r="E1674" s="38" t="str">
        <f>IF(Agent09_Withdrawals!A79="","",Agent09_Withdrawals!D79)</f>
        <v/>
      </c>
      <c r="F1674" s="37" t="str">
        <f>IF(Agent09_Withdrawals!A79="","",Agent09_Withdrawals!F79)</f>
        <v/>
      </c>
      <c r="G1674" s="39" t="str">
        <f>IF(Agent09_Withdrawals!A79="","",Agent09_Withdrawals!E79)</f>
        <v/>
      </c>
      <c r="H1674" s="39" t="str">
        <f>IF(Agent09_Withdrawals!A79="","",Agent09_Withdrawals!G79)</f>
        <v/>
      </c>
      <c r="I1674" s="37" t="str">
        <f>IF(Agent09_Withdrawals!A79="","",Agent09_Withdrawals!H79)</f>
        <v/>
      </c>
      <c r="J1674" s="37" t="str">
        <f>IF(Agent09_Withdrawals!A79="","",Agent09_Withdrawals!J79)</f>
        <v/>
      </c>
      <c r="K1674" s="37" t="str">
        <f>IF(Agent09_Withdrawals!A79="","",Agent09_Withdrawals!K79)</f>
        <v/>
      </c>
      <c r="L1674" s="37" t="str">
        <f>IF(G1674="","",IF(D1674-G1674&gt;=System_Config!$B$9,"✅ OK","⚠️ BREACH"))</f>
        <v/>
      </c>
      <c r="M1674" s="37" t="str">
        <f>IFERROR(IF(Agent09_Withdrawals!A79="","",YEAR(Agent09_Withdrawals!D79)),"")</f>
        <v/>
      </c>
    </row>
    <row r="1675" spans="1:13" ht="18" customHeight="1" x14ac:dyDescent="0.25">
      <c r="A1675" s="37" t="str">
        <f>IF(Agent09_Withdrawals!A80="","",Agent09_Withdrawals!A80)</f>
        <v/>
      </c>
      <c r="B1675" s="37" t="str">
        <f ca="1">IF(Agent09_Withdrawals!A80="","","WD"&amp;TEXT(1675-3,"0000")&amp;"-"&amp;TEXT(TODAY(),"YYYYMMDD"))</f>
        <v/>
      </c>
      <c r="C1675" s="37" t="str">
        <f>IF(Agent09_Withdrawals!A80="","",Agent09_Withdrawals!B80)</f>
        <v/>
      </c>
      <c r="D1675" s="40" t="str">
        <f>IF(Agent09_Withdrawals!A80="","",Agent09_Withdrawals!C80)</f>
        <v/>
      </c>
      <c r="E1675" s="38" t="str">
        <f>IF(Agent09_Withdrawals!A80="","",Agent09_Withdrawals!D80)</f>
        <v/>
      </c>
      <c r="F1675" s="37" t="str">
        <f>IF(Agent09_Withdrawals!A80="","",Agent09_Withdrawals!F80)</f>
        <v/>
      </c>
      <c r="G1675" s="39" t="str">
        <f>IF(Agent09_Withdrawals!A80="","",Agent09_Withdrawals!E80)</f>
        <v/>
      </c>
      <c r="H1675" s="39" t="str">
        <f>IF(Agent09_Withdrawals!A80="","",Agent09_Withdrawals!G80)</f>
        <v/>
      </c>
      <c r="I1675" s="37" t="str">
        <f>IF(Agent09_Withdrawals!A80="","",Agent09_Withdrawals!H80)</f>
        <v/>
      </c>
      <c r="J1675" s="37" t="str">
        <f>IF(Agent09_Withdrawals!A80="","",Agent09_Withdrawals!J80)</f>
        <v/>
      </c>
      <c r="K1675" s="37" t="str">
        <f>IF(Agent09_Withdrawals!A80="","",Agent09_Withdrawals!K80)</f>
        <v/>
      </c>
      <c r="L1675" s="37" t="str">
        <f>IF(G1675="","",IF(D1675-G1675&gt;=System_Config!$B$9,"✅ OK","⚠️ BREACH"))</f>
        <v/>
      </c>
      <c r="M1675" s="37" t="str">
        <f>IFERROR(IF(Agent09_Withdrawals!A80="","",YEAR(Agent09_Withdrawals!D80)),"")</f>
        <v/>
      </c>
    </row>
    <row r="1676" spans="1:13" ht="18" customHeight="1" x14ac:dyDescent="0.25">
      <c r="A1676" s="37" t="str">
        <f>IF(Agent09_Withdrawals!A81="","",Agent09_Withdrawals!A81)</f>
        <v/>
      </c>
      <c r="B1676" s="37" t="str">
        <f ca="1">IF(Agent09_Withdrawals!A81="","","WD"&amp;TEXT(1676-3,"0000")&amp;"-"&amp;TEXT(TODAY(),"YYYYMMDD"))</f>
        <v/>
      </c>
      <c r="C1676" s="37" t="str">
        <f>IF(Agent09_Withdrawals!A81="","",Agent09_Withdrawals!B81)</f>
        <v/>
      </c>
      <c r="D1676" s="40" t="str">
        <f>IF(Agent09_Withdrawals!A81="","",Agent09_Withdrawals!C81)</f>
        <v/>
      </c>
      <c r="E1676" s="38" t="str">
        <f>IF(Agent09_Withdrawals!A81="","",Agent09_Withdrawals!D81)</f>
        <v/>
      </c>
      <c r="F1676" s="37" t="str">
        <f>IF(Agent09_Withdrawals!A81="","",Agent09_Withdrawals!F81)</f>
        <v/>
      </c>
      <c r="G1676" s="39" t="str">
        <f>IF(Agent09_Withdrawals!A81="","",Agent09_Withdrawals!E81)</f>
        <v/>
      </c>
      <c r="H1676" s="39" t="str">
        <f>IF(Agent09_Withdrawals!A81="","",Agent09_Withdrawals!G81)</f>
        <v/>
      </c>
      <c r="I1676" s="37" t="str">
        <f>IF(Agent09_Withdrawals!A81="","",Agent09_Withdrawals!H81)</f>
        <v/>
      </c>
      <c r="J1676" s="37" t="str">
        <f>IF(Agent09_Withdrawals!A81="","",Agent09_Withdrawals!J81)</f>
        <v/>
      </c>
      <c r="K1676" s="37" t="str">
        <f>IF(Agent09_Withdrawals!A81="","",Agent09_Withdrawals!K81)</f>
        <v/>
      </c>
      <c r="L1676" s="37" t="str">
        <f>IF(G1676="","",IF(D1676-G1676&gt;=System_Config!$B$9,"✅ OK","⚠️ BREACH"))</f>
        <v/>
      </c>
      <c r="M1676" s="37" t="str">
        <f>IFERROR(IF(Agent09_Withdrawals!A81="","",YEAR(Agent09_Withdrawals!D81)),"")</f>
        <v/>
      </c>
    </row>
    <row r="1677" spans="1:13" ht="18" customHeight="1" x14ac:dyDescent="0.25">
      <c r="A1677" s="37" t="str">
        <f>IF(Agent09_Withdrawals!A82="","",Agent09_Withdrawals!A82)</f>
        <v/>
      </c>
      <c r="B1677" s="37" t="str">
        <f ca="1">IF(Agent09_Withdrawals!A82="","","WD"&amp;TEXT(1677-3,"0000")&amp;"-"&amp;TEXT(TODAY(),"YYYYMMDD"))</f>
        <v/>
      </c>
      <c r="C1677" s="37" t="str">
        <f>IF(Agent09_Withdrawals!A82="","",Agent09_Withdrawals!B82)</f>
        <v/>
      </c>
      <c r="D1677" s="40" t="str">
        <f>IF(Agent09_Withdrawals!A82="","",Agent09_Withdrawals!C82)</f>
        <v/>
      </c>
      <c r="E1677" s="38" t="str">
        <f>IF(Agent09_Withdrawals!A82="","",Agent09_Withdrawals!D82)</f>
        <v/>
      </c>
      <c r="F1677" s="37" t="str">
        <f>IF(Agent09_Withdrawals!A82="","",Agent09_Withdrawals!F82)</f>
        <v/>
      </c>
      <c r="G1677" s="39" t="str">
        <f>IF(Agent09_Withdrawals!A82="","",Agent09_Withdrawals!E82)</f>
        <v/>
      </c>
      <c r="H1677" s="39" t="str">
        <f>IF(Agent09_Withdrawals!A82="","",Agent09_Withdrawals!G82)</f>
        <v/>
      </c>
      <c r="I1677" s="37" t="str">
        <f>IF(Agent09_Withdrawals!A82="","",Agent09_Withdrawals!H82)</f>
        <v/>
      </c>
      <c r="J1677" s="37" t="str">
        <f>IF(Agent09_Withdrawals!A82="","",Agent09_Withdrawals!J82)</f>
        <v/>
      </c>
      <c r="K1677" s="37" t="str">
        <f>IF(Agent09_Withdrawals!A82="","",Agent09_Withdrawals!K82)</f>
        <v/>
      </c>
      <c r="L1677" s="37" t="str">
        <f>IF(G1677="","",IF(D1677-G1677&gt;=System_Config!$B$9,"✅ OK","⚠️ BREACH"))</f>
        <v/>
      </c>
      <c r="M1677" s="37" t="str">
        <f>IFERROR(IF(Agent09_Withdrawals!A82="","",YEAR(Agent09_Withdrawals!D82)),"")</f>
        <v/>
      </c>
    </row>
    <row r="1678" spans="1:13" ht="18" customHeight="1" x14ac:dyDescent="0.25">
      <c r="A1678" s="37" t="str">
        <f>IF(Agent09_Withdrawals!A83="","",Agent09_Withdrawals!A83)</f>
        <v/>
      </c>
      <c r="B1678" s="37" t="str">
        <f ca="1">IF(Agent09_Withdrawals!A83="","","WD"&amp;TEXT(1678-3,"0000")&amp;"-"&amp;TEXT(TODAY(),"YYYYMMDD"))</f>
        <v/>
      </c>
      <c r="C1678" s="37" t="str">
        <f>IF(Agent09_Withdrawals!A83="","",Agent09_Withdrawals!B83)</f>
        <v/>
      </c>
      <c r="D1678" s="40" t="str">
        <f>IF(Agent09_Withdrawals!A83="","",Agent09_Withdrawals!C83)</f>
        <v/>
      </c>
      <c r="E1678" s="38" t="str">
        <f>IF(Agent09_Withdrawals!A83="","",Agent09_Withdrawals!D83)</f>
        <v/>
      </c>
      <c r="F1678" s="37" t="str">
        <f>IF(Agent09_Withdrawals!A83="","",Agent09_Withdrawals!F83)</f>
        <v/>
      </c>
      <c r="G1678" s="39" t="str">
        <f>IF(Agent09_Withdrawals!A83="","",Agent09_Withdrawals!E83)</f>
        <v/>
      </c>
      <c r="H1678" s="39" t="str">
        <f>IF(Agent09_Withdrawals!A83="","",Agent09_Withdrawals!G83)</f>
        <v/>
      </c>
      <c r="I1678" s="37" t="str">
        <f>IF(Agent09_Withdrawals!A83="","",Agent09_Withdrawals!H83)</f>
        <v/>
      </c>
      <c r="J1678" s="37" t="str">
        <f>IF(Agent09_Withdrawals!A83="","",Agent09_Withdrawals!J83)</f>
        <v/>
      </c>
      <c r="K1678" s="37" t="str">
        <f>IF(Agent09_Withdrawals!A83="","",Agent09_Withdrawals!K83)</f>
        <v/>
      </c>
      <c r="L1678" s="37" t="str">
        <f>IF(G1678="","",IF(D1678-G1678&gt;=System_Config!$B$9,"✅ OK","⚠️ BREACH"))</f>
        <v/>
      </c>
      <c r="M1678" s="37" t="str">
        <f>IFERROR(IF(Agent09_Withdrawals!A83="","",YEAR(Agent09_Withdrawals!D83)),"")</f>
        <v/>
      </c>
    </row>
    <row r="1679" spans="1:13" ht="18" customHeight="1" x14ac:dyDescent="0.25">
      <c r="A1679" s="37" t="str">
        <f>IF(Agent09_Withdrawals!A84="","",Agent09_Withdrawals!A84)</f>
        <v/>
      </c>
      <c r="B1679" s="37" t="str">
        <f ca="1">IF(Agent09_Withdrawals!A84="","","WD"&amp;TEXT(1679-3,"0000")&amp;"-"&amp;TEXT(TODAY(),"YYYYMMDD"))</f>
        <v/>
      </c>
      <c r="C1679" s="37" t="str">
        <f>IF(Agent09_Withdrawals!A84="","",Agent09_Withdrawals!B84)</f>
        <v/>
      </c>
      <c r="D1679" s="40" t="str">
        <f>IF(Agent09_Withdrawals!A84="","",Agent09_Withdrawals!C84)</f>
        <v/>
      </c>
      <c r="E1679" s="38" t="str">
        <f>IF(Agent09_Withdrawals!A84="","",Agent09_Withdrawals!D84)</f>
        <v/>
      </c>
      <c r="F1679" s="37" t="str">
        <f>IF(Agent09_Withdrawals!A84="","",Agent09_Withdrawals!F84)</f>
        <v/>
      </c>
      <c r="G1679" s="39" t="str">
        <f>IF(Agent09_Withdrawals!A84="","",Agent09_Withdrawals!E84)</f>
        <v/>
      </c>
      <c r="H1679" s="39" t="str">
        <f>IF(Agent09_Withdrawals!A84="","",Agent09_Withdrawals!G84)</f>
        <v/>
      </c>
      <c r="I1679" s="37" t="str">
        <f>IF(Agent09_Withdrawals!A84="","",Agent09_Withdrawals!H84)</f>
        <v/>
      </c>
      <c r="J1679" s="37" t="str">
        <f>IF(Agent09_Withdrawals!A84="","",Agent09_Withdrawals!J84)</f>
        <v/>
      </c>
      <c r="K1679" s="37" t="str">
        <f>IF(Agent09_Withdrawals!A84="","",Agent09_Withdrawals!K84)</f>
        <v/>
      </c>
      <c r="L1679" s="37" t="str">
        <f>IF(G1679="","",IF(D1679-G1679&gt;=System_Config!$B$9,"✅ OK","⚠️ BREACH"))</f>
        <v/>
      </c>
      <c r="M1679" s="37" t="str">
        <f>IFERROR(IF(Agent09_Withdrawals!A84="","",YEAR(Agent09_Withdrawals!D84)),"")</f>
        <v/>
      </c>
    </row>
    <row r="1680" spans="1:13" ht="18" customHeight="1" x14ac:dyDescent="0.25">
      <c r="A1680" s="37" t="str">
        <f>IF(Agent09_Withdrawals!A85="","",Agent09_Withdrawals!A85)</f>
        <v/>
      </c>
      <c r="B1680" s="37" t="str">
        <f ca="1">IF(Agent09_Withdrawals!A85="","","WD"&amp;TEXT(1680-3,"0000")&amp;"-"&amp;TEXT(TODAY(),"YYYYMMDD"))</f>
        <v/>
      </c>
      <c r="C1680" s="37" t="str">
        <f>IF(Agent09_Withdrawals!A85="","",Agent09_Withdrawals!B85)</f>
        <v/>
      </c>
      <c r="D1680" s="40" t="str">
        <f>IF(Agent09_Withdrawals!A85="","",Agent09_Withdrawals!C85)</f>
        <v/>
      </c>
      <c r="E1680" s="38" t="str">
        <f>IF(Agent09_Withdrawals!A85="","",Agent09_Withdrawals!D85)</f>
        <v/>
      </c>
      <c r="F1680" s="37" t="str">
        <f>IF(Agent09_Withdrawals!A85="","",Agent09_Withdrawals!F85)</f>
        <v/>
      </c>
      <c r="G1680" s="39" t="str">
        <f>IF(Agent09_Withdrawals!A85="","",Agent09_Withdrawals!E85)</f>
        <v/>
      </c>
      <c r="H1680" s="39" t="str">
        <f>IF(Agent09_Withdrawals!A85="","",Agent09_Withdrawals!G85)</f>
        <v/>
      </c>
      <c r="I1680" s="37" t="str">
        <f>IF(Agent09_Withdrawals!A85="","",Agent09_Withdrawals!H85)</f>
        <v/>
      </c>
      <c r="J1680" s="37" t="str">
        <f>IF(Agent09_Withdrawals!A85="","",Agent09_Withdrawals!J85)</f>
        <v/>
      </c>
      <c r="K1680" s="37" t="str">
        <f>IF(Agent09_Withdrawals!A85="","",Agent09_Withdrawals!K85)</f>
        <v/>
      </c>
      <c r="L1680" s="37" t="str">
        <f>IF(G1680="","",IF(D1680-G1680&gt;=System_Config!$B$9,"✅ OK","⚠️ BREACH"))</f>
        <v/>
      </c>
      <c r="M1680" s="37" t="str">
        <f>IFERROR(IF(Agent09_Withdrawals!A85="","",YEAR(Agent09_Withdrawals!D85)),"")</f>
        <v/>
      </c>
    </row>
    <row r="1681" spans="1:13" ht="18" customHeight="1" x14ac:dyDescent="0.25">
      <c r="A1681" s="37" t="str">
        <f>IF(Agent09_Withdrawals!A86="","",Agent09_Withdrawals!A86)</f>
        <v/>
      </c>
      <c r="B1681" s="37" t="str">
        <f ca="1">IF(Agent09_Withdrawals!A86="","","WD"&amp;TEXT(1681-3,"0000")&amp;"-"&amp;TEXT(TODAY(),"YYYYMMDD"))</f>
        <v/>
      </c>
      <c r="C1681" s="37" t="str">
        <f>IF(Agent09_Withdrawals!A86="","",Agent09_Withdrawals!B86)</f>
        <v/>
      </c>
      <c r="D1681" s="40" t="str">
        <f>IF(Agent09_Withdrawals!A86="","",Agent09_Withdrawals!C86)</f>
        <v/>
      </c>
      <c r="E1681" s="38" t="str">
        <f>IF(Agent09_Withdrawals!A86="","",Agent09_Withdrawals!D86)</f>
        <v/>
      </c>
      <c r="F1681" s="37" t="str">
        <f>IF(Agent09_Withdrawals!A86="","",Agent09_Withdrawals!F86)</f>
        <v/>
      </c>
      <c r="G1681" s="39" t="str">
        <f>IF(Agent09_Withdrawals!A86="","",Agent09_Withdrawals!E86)</f>
        <v/>
      </c>
      <c r="H1681" s="39" t="str">
        <f>IF(Agent09_Withdrawals!A86="","",Agent09_Withdrawals!G86)</f>
        <v/>
      </c>
      <c r="I1681" s="37" t="str">
        <f>IF(Agent09_Withdrawals!A86="","",Agent09_Withdrawals!H86)</f>
        <v/>
      </c>
      <c r="J1681" s="37" t="str">
        <f>IF(Agent09_Withdrawals!A86="","",Agent09_Withdrawals!J86)</f>
        <v/>
      </c>
      <c r="K1681" s="37" t="str">
        <f>IF(Agent09_Withdrawals!A86="","",Agent09_Withdrawals!K86)</f>
        <v/>
      </c>
      <c r="L1681" s="37" t="str">
        <f>IF(G1681="","",IF(D1681-G1681&gt;=System_Config!$B$9,"✅ OK","⚠️ BREACH"))</f>
        <v/>
      </c>
      <c r="M1681" s="37" t="str">
        <f>IFERROR(IF(Agent09_Withdrawals!A86="","",YEAR(Agent09_Withdrawals!D86)),"")</f>
        <v/>
      </c>
    </row>
    <row r="1682" spans="1:13" ht="18" customHeight="1" x14ac:dyDescent="0.25">
      <c r="A1682" s="37" t="str">
        <f>IF(Agent09_Withdrawals!A87="","",Agent09_Withdrawals!A87)</f>
        <v/>
      </c>
      <c r="B1682" s="37" t="str">
        <f ca="1">IF(Agent09_Withdrawals!A87="","","WD"&amp;TEXT(1682-3,"0000")&amp;"-"&amp;TEXT(TODAY(),"YYYYMMDD"))</f>
        <v/>
      </c>
      <c r="C1682" s="37" t="str">
        <f>IF(Agent09_Withdrawals!A87="","",Agent09_Withdrawals!B87)</f>
        <v/>
      </c>
      <c r="D1682" s="40" t="str">
        <f>IF(Agent09_Withdrawals!A87="","",Agent09_Withdrawals!C87)</f>
        <v/>
      </c>
      <c r="E1682" s="38" t="str">
        <f>IF(Agent09_Withdrawals!A87="","",Agent09_Withdrawals!D87)</f>
        <v/>
      </c>
      <c r="F1682" s="37" t="str">
        <f>IF(Agent09_Withdrawals!A87="","",Agent09_Withdrawals!F87)</f>
        <v/>
      </c>
      <c r="G1682" s="39" t="str">
        <f>IF(Agent09_Withdrawals!A87="","",Agent09_Withdrawals!E87)</f>
        <v/>
      </c>
      <c r="H1682" s="39" t="str">
        <f>IF(Agent09_Withdrawals!A87="","",Agent09_Withdrawals!G87)</f>
        <v/>
      </c>
      <c r="I1682" s="37" t="str">
        <f>IF(Agent09_Withdrawals!A87="","",Agent09_Withdrawals!H87)</f>
        <v/>
      </c>
      <c r="J1682" s="37" t="str">
        <f>IF(Agent09_Withdrawals!A87="","",Agent09_Withdrawals!J87)</f>
        <v/>
      </c>
      <c r="K1682" s="37" t="str">
        <f>IF(Agent09_Withdrawals!A87="","",Agent09_Withdrawals!K87)</f>
        <v/>
      </c>
      <c r="L1682" s="37" t="str">
        <f>IF(G1682="","",IF(D1682-G1682&gt;=System_Config!$B$9,"✅ OK","⚠️ BREACH"))</f>
        <v/>
      </c>
      <c r="M1682" s="37" t="str">
        <f>IFERROR(IF(Agent09_Withdrawals!A87="","",YEAR(Agent09_Withdrawals!D87)),"")</f>
        <v/>
      </c>
    </row>
    <row r="1683" spans="1:13" ht="18" customHeight="1" x14ac:dyDescent="0.25">
      <c r="A1683" s="37" t="str">
        <f>IF(Agent09_Withdrawals!A88="","",Agent09_Withdrawals!A88)</f>
        <v/>
      </c>
      <c r="B1683" s="37" t="str">
        <f ca="1">IF(Agent09_Withdrawals!A88="","","WD"&amp;TEXT(1683-3,"0000")&amp;"-"&amp;TEXT(TODAY(),"YYYYMMDD"))</f>
        <v/>
      </c>
      <c r="C1683" s="37" t="str">
        <f>IF(Agent09_Withdrawals!A88="","",Agent09_Withdrawals!B88)</f>
        <v/>
      </c>
      <c r="D1683" s="40" t="str">
        <f>IF(Agent09_Withdrawals!A88="","",Agent09_Withdrawals!C88)</f>
        <v/>
      </c>
      <c r="E1683" s="38" t="str">
        <f>IF(Agent09_Withdrawals!A88="","",Agent09_Withdrawals!D88)</f>
        <v/>
      </c>
      <c r="F1683" s="37" t="str">
        <f>IF(Agent09_Withdrawals!A88="","",Agent09_Withdrawals!F88)</f>
        <v/>
      </c>
      <c r="G1683" s="39" t="str">
        <f>IF(Agent09_Withdrawals!A88="","",Agent09_Withdrawals!E88)</f>
        <v/>
      </c>
      <c r="H1683" s="39" t="str">
        <f>IF(Agent09_Withdrawals!A88="","",Agent09_Withdrawals!G88)</f>
        <v/>
      </c>
      <c r="I1683" s="37" t="str">
        <f>IF(Agent09_Withdrawals!A88="","",Agent09_Withdrawals!H88)</f>
        <v/>
      </c>
      <c r="J1683" s="37" t="str">
        <f>IF(Agent09_Withdrawals!A88="","",Agent09_Withdrawals!J88)</f>
        <v/>
      </c>
      <c r="K1683" s="37" t="str">
        <f>IF(Agent09_Withdrawals!A88="","",Agent09_Withdrawals!K88)</f>
        <v/>
      </c>
      <c r="L1683" s="37" t="str">
        <f>IF(G1683="","",IF(D1683-G1683&gt;=System_Config!$B$9,"✅ OK","⚠️ BREACH"))</f>
        <v/>
      </c>
      <c r="M1683" s="37" t="str">
        <f>IFERROR(IF(Agent09_Withdrawals!A88="","",YEAR(Agent09_Withdrawals!D88)),"")</f>
        <v/>
      </c>
    </row>
    <row r="1684" spans="1:13" ht="18" customHeight="1" x14ac:dyDescent="0.25">
      <c r="A1684" s="37" t="str">
        <f>IF(Agent09_Withdrawals!A89="","",Agent09_Withdrawals!A89)</f>
        <v/>
      </c>
      <c r="B1684" s="37" t="str">
        <f ca="1">IF(Agent09_Withdrawals!A89="","","WD"&amp;TEXT(1684-3,"0000")&amp;"-"&amp;TEXT(TODAY(),"YYYYMMDD"))</f>
        <v/>
      </c>
      <c r="C1684" s="37" t="str">
        <f>IF(Agent09_Withdrawals!A89="","",Agent09_Withdrawals!B89)</f>
        <v/>
      </c>
      <c r="D1684" s="40" t="str">
        <f>IF(Agent09_Withdrawals!A89="","",Agent09_Withdrawals!C89)</f>
        <v/>
      </c>
      <c r="E1684" s="38" t="str">
        <f>IF(Agent09_Withdrawals!A89="","",Agent09_Withdrawals!D89)</f>
        <v/>
      </c>
      <c r="F1684" s="37" t="str">
        <f>IF(Agent09_Withdrawals!A89="","",Agent09_Withdrawals!F89)</f>
        <v/>
      </c>
      <c r="G1684" s="39" t="str">
        <f>IF(Agent09_Withdrawals!A89="","",Agent09_Withdrawals!E89)</f>
        <v/>
      </c>
      <c r="H1684" s="39" t="str">
        <f>IF(Agent09_Withdrawals!A89="","",Agent09_Withdrawals!G89)</f>
        <v/>
      </c>
      <c r="I1684" s="37" t="str">
        <f>IF(Agent09_Withdrawals!A89="","",Agent09_Withdrawals!H89)</f>
        <v/>
      </c>
      <c r="J1684" s="37" t="str">
        <f>IF(Agent09_Withdrawals!A89="","",Agent09_Withdrawals!J89)</f>
        <v/>
      </c>
      <c r="K1684" s="37" t="str">
        <f>IF(Agent09_Withdrawals!A89="","",Agent09_Withdrawals!K89)</f>
        <v/>
      </c>
      <c r="L1684" s="37" t="str">
        <f>IF(G1684="","",IF(D1684-G1684&gt;=System_Config!$B$9,"✅ OK","⚠️ BREACH"))</f>
        <v/>
      </c>
      <c r="M1684" s="37" t="str">
        <f>IFERROR(IF(Agent09_Withdrawals!A89="","",YEAR(Agent09_Withdrawals!D89)),"")</f>
        <v/>
      </c>
    </row>
    <row r="1685" spans="1:13" ht="18" customHeight="1" x14ac:dyDescent="0.25">
      <c r="A1685" s="37" t="str">
        <f>IF(Agent09_Withdrawals!A90="","",Agent09_Withdrawals!A90)</f>
        <v/>
      </c>
      <c r="B1685" s="37" t="str">
        <f ca="1">IF(Agent09_Withdrawals!A90="","","WD"&amp;TEXT(1685-3,"0000")&amp;"-"&amp;TEXT(TODAY(),"YYYYMMDD"))</f>
        <v/>
      </c>
      <c r="C1685" s="37" t="str">
        <f>IF(Agent09_Withdrawals!A90="","",Agent09_Withdrawals!B90)</f>
        <v/>
      </c>
      <c r="D1685" s="40" t="str">
        <f>IF(Agent09_Withdrawals!A90="","",Agent09_Withdrawals!C90)</f>
        <v/>
      </c>
      <c r="E1685" s="38" t="str">
        <f>IF(Agent09_Withdrawals!A90="","",Agent09_Withdrawals!D90)</f>
        <v/>
      </c>
      <c r="F1685" s="37" t="str">
        <f>IF(Agent09_Withdrawals!A90="","",Agent09_Withdrawals!F90)</f>
        <v/>
      </c>
      <c r="G1685" s="39" t="str">
        <f>IF(Agent09_Withdrawals!A90="","",Agent09_Withdrawals!E90)</f>
        <v/>
      </c>
      <c r="H1685" s="39" t="str">
        <f>IF(Agent09_Withdrawals!A90="","",Agent09_Withdrawals!G90)</f>
        <v/>
      </c>
      <c r="I1685" s="37" t="str">
        <f>IF(Agent09_Withdrawals!A90="","",Agent09_Withdrawals!H90)</f>
        <v/>
      </c>
      <c r="J1685" s="37" t="str">
        <f>IF(Agent09_Withdrawals!A90="","",Agent09_Withdrawals!J90)</f>
        <v/>
      </c>
      <c r="K1685" s="37" t="str">
        <f>IF(Agent09_Withdrawals!A90="","",Agent09_Withdrawals!K90)</f>
        <v/>
      </c>
      <c r="L1685" s="37" t="str">
        <f>IF(G1685="","",IF(D1685-G1685&gt;=System_Config!$B$9,"✅ OK","⚠️ BREACH"))</f>
        <v/>
      </c>
      <c r="M1685" s="37" t="str">
        <f>IFERROR(IF(Agent09_Withdrawals!A90="","",YEAR(Agent09_Withdrawals!D90)),"")</f>
        <v/>
      </c>
    </row>
    <row r="1686" spans="1:13" ht="18" customHeight="1" x14ac:dyDescent="0.25">
      <c r="A1686" s="37" t="str">
        <f>IF(Agent09_Withdrawals!A91="","",Agent09_Withdrawals!A91)</f>
        <v/>
      </c>
      <c r="B1686" s="37" t="str">
        <f ca="1">IF(Agent09_Withdrawals!A91="","","WD"&amp;TEXT(1686-3,"0000")&amp;"-"&amp;TEXT(TODAY(),"YYYYMMDD"))</f>
        <v/>
      </c>
      <c r="C1686" s="37" t="str">
        <f>IF(Agent09_Withdrawals!A91="","",Agent09_Withdrawals!B91)</f>
        <v/>
      </c>
      <c r="D1686" s="40" t="str">
        <f>IF(Agent09_Withdrawals!A91="","",Agent09_Withdrawals!C91)</f>
        <v/>
      </c>
      <c r="E1686" s="38" t="str">
        <f>IF(Agent09_Withdrawals!A91="","",Agent09_Withdrawals!D91)</f>
        <v/>
      </c>
      <c r="F1686" s="37" t="str">
        <f>IF(Agent09_Withdrawals!A91="","",Agent09_Withdrawals!F91)</f>
        <v/>
      </c>
      <c r="G1686" s="39" t="str">
        <f>IF(Agent09_Withdrawals!A91="","",Agent09_Withdrawals!E91)</f>
        <v/>
      </c>
      <c r="H1686" s="39" t="str">
        <f>IF(Agent09_Withdrawals!A91="","",Agent09_Withdrawals!G91)</f>
        <v/>
      </c>
      <c r="I1686" s="37" t="str">
        <f>IF(Agent09_Withdrawals!A91="","",Agent09_Withdrawals!H91)</f>
        <v/>
      </c>
      <c r="J1686" s="37" t="str">
        <f>IF(Agent09_Withdrawals!A91="","",Agent09_Withdrawals!J91)</f>
        <v/>
      </c>
      <c r="K1686" s="37" t="str">
        <f>IF(Agent09_Withdrawals!A91="","",Agent09_Withdrawals!K91)</f>
        <v/>
      </c>
      <c r="L1686" s="37" t="str">
        <f>IF(G1686="","",IF(D1686-G1686&gt;=System_Config!$B$9,"✅ OK","⚠️ BREACH"))</f>
        <v/>
      </c>
      <c r="M1686" s="37" t="str">
        <f>IFERROR(IF(Agent09_Withdrawals!A91="","",YEAR(Agent09_Withdrawals!D91)),"")</f>
        <v/>
      </c>
    </row>
    <row r="1687" spans="1:13" ht="18" customHeight="1" x14ac:dyDescent="0.25">
      <c r="A1687" s="37" t="str">
        <f>IF(Agent09_Withdrawals!A92="","",Agent09_Withdrawals!A92)</f>
        <v/>
      </c>
      <c r="B1687" s="37" t="str">
        <f ca="1">IF(Agent09_Withdrawals!A92="","","WD"&amp;TEXT(1687-3,"0000")&amp;"-"&amp;TEXT(TODAY(),"YYYYMMDD"))</f>
        <v/>
      </c>
      <c r="C1687" s="37" t="str">
        <f>IF(Agent09_Withdrawals!A92="","",Agent09_Withdrawals!B92)</f>
        <v/>
      </c>
      <c r="D1687" s="40" t="str">
        <f>IF(Agent09_Withdrawals!A92="","",Agent09_Withdrawals!C92)</f>
        <v/>
      </c>
      <c r="E1687" s="38" t="str">
        <f>IF(Agent09_Withdrawals!A92="","",Agent09_Withdrawals!D92)</f>
        <v/>
      </c>
      <c r="F1687" s="37" t="str">
        <f>IF(Agent09_Withdrawals!A92="","",Agent09_Withdrawals!F92)</f>
        <v/>
      </c>
      <c r="G1687" s="39" t="str">
        <f>IF(Agent09_Withdrawals!A92="","",Agent09_Withdrawals!E92)</f>
        <v/>
      </c>
      <c r="H1687" s="39" t="str">
        <f>IF(Agent09_Withdrawals!A92="","",Agent09_Withdrawals!G92)</f>
        <v/>
      </c>
      <c r="I1687" s="37" t="str">
        <f>IF(Agent09_Withdrawals!A92="","",Agent09_Withdrawals!H92)</f>
        <v/>
      </c>
      <c r="J1687" s="37" t="str">
        <f>IF(Agent09_Withdrawals!A92="","",Agent09_Withdrawals!J92)</f>
        <v/>
      </c>
      <c r="K1687" s="37" t="str">
        <f>IF(Agent09_Withdrawals!A92="","",Agent09_Withdrawals!K92)</f>
        <v/>
      </c>
      <c r="L1687" s="37" t="str">
        <f>IF(G1687="","",IF(D1687-G1687&gt;=System_Config!$B$9,"✅ OK","⚠️ BREACH"))</f>
        <v/>
      </c>
      <c r="M1687" s="37" t="str">
        <f>IFERROR(IF(Agent09_Withdrawals!A92="","",YEAR(Agent09_Withdrawals!D92)),"")</f>
        <v/>
      </c>
    </row>
    <row r="1688" spans="1:13" ht="18" customHeight="1" x14ac:dyDescent="0.25">
      <c r="A1688" s="37" t="str">
        <f>IF(Agent09_Withdrawals!A93="","",Agent09_Withdrawals!A93)</f>
        <v/>
      </c>
      <c r="B1688" s="37" t="str">
        <f ca="1">IF(Agent09_Withdrawals!A93="","","WD"&amp;TEXT(1688-3,"0000")&amp;"-"&amp;TEXT(TODAY(),"YYYYMMDD"))</f>
        <v/>
      </c>
      <c r="C1688" s="37" t="str">
        <f>IF(Agent09_Withdrawals!A93="","",Agent09_Withdrawals!B93)</f>
        <v/>
      </c>
      <c r="D1688" s="40" t="str">
        <f>IF(Agent09_Withdrawals!A93="","",Agent09_Withdrawals!C93)</f>
        <v/>
      </c>
      <c r="E1688" s="38" t="str">
        <f>IF(Agent09_Withdrawals!A93="","",Agent09_Withdrawals!D93)</f>
        <v/>
      </c>
      <c r="F1688" s="37" t="str">
        <f>IF(Agent09_Withdrawals!A93="","",Agent09_Withdrawals!F93)</f>
        <v/>
      </c>
      <c r="G1688" s="39" t="str">
        <f>IF(Agent09_Withdrawals!A93="","",Agent09_Withdrawals!E93)</f>
        <v/>
      </c>
      <c r="H1688" s="39" t="str">
        <f>IF(Agent09_Withdrawals!A93="","",Agent09_Withdrawals!G93)</f>
        <v/>
      </c>
      <c r="I1688" s="37" t="str">
        <f>IF(Agent09_Withdrawals!A93="","",Agent09_Withdrawals!H93)</f>
        <v/>
      </c>
      <c r="J1688" s="37" t="str">
        <f>IF(Agent09_Withdrawals!A93="","",Agent09_Withdrawals!J93)</f>
        <v/>
      </c>
      <c r="K1688" s="37" t="str">
        <f>IF(Agent09_Withdrawals!A93="","",Agent09_Withdrawals!K93)</f>
        <v/>
      </c>
      <c r="L1688" s="37" t="str">
        <f>IF(G1688="","",IF(D1688-G1688&gt;=System_Config!$B$9,"✅ OK","⚠️ BREACH"))</f>
        <v/>
      </c>
      <c r="M1688" s="37" t="str">
        <f>IFERROR(IF(Agent09_Withdrawals!A93="","",YEAR(Agent09_Withdrawals!D93)),"")</f>
        <v/>
      </c>
    </row>
    <row r="1689" spans="1:13" ht="18" customHeight="1" x14ac:dyDescent="0.25">
      <c r="A1689" s="37" t="str">
        <f>IF(Agent09_Withdrawals!A94="","",Agent09_Withdrawals!A94)</f>
        <v/>
      </c>
      <c r="B1689" s="37" t="str">
        <f ca="1">IF(Agent09_Withdrawals!A94="","","WD"&amp;TEXT(1689-3,"0000")&amp;"-"&amp;TEXT(TODAY(),"YYYYMMDD"))</f>
        <v/>
      </c>
      <c r="C1689" s="37" t="str">
        <f>IF(Agent09_Withdrawals!A94="","",Agent09_Withdrawals!B94)</f>
        <v/>
      </c>
      <c r="D1689" s="40" t="str">
        <f>IF(Agent09_Withdrawals!A94="","",Agent09_Withdrawals!C94)</f>
        <v/>
      </c>
      <c r="E1689" s="38" t="str">
        <f>IF(Agent09_Withdrawals!A94="","",Agent09_Withdrawals!D94)</f>
        <v/>
      </c>
      <c r="F1689" s="37" t="str">
        <f>IF(Agent09_Withdrawals!A94="","",Agent09_Withdrawals!F94)</f>
        <v/>
      </c>
      <c r="G1689" s="39" t="str">
        <f>IF(Agent09_Withdrawals!A94="","",Agent09_Withdrawals!E94)</f>
        <v/>
      </c>
      <c r="H1689" s="39" t="str">
        <f>IF(Agent09_Withdrawals!A94="","",Agent09_Withdrawals!G94)</f>
        <v/>
      </c>
      <c r="I1689" s="37" t="str">
        <f>IF(Agent09_Withdrawals!A94="","",Agent09_Withdrawals!H94)</f>
        <v/>
      </c>
      <c r="J1689" s="37" t="str">
        <f>IF(Agent09_Withdrawals!A94="","",Agent09_Withdrawals!J94)</f>
        <v/>
      </c>
      <c r="K1689" s="37" t="str">
        <f>IF(Agent09_Withdrawals!A94="","",Agent09_Withdrawals!K94)</f>
        <v/>
      </c>
      <c r="L1689" s="37" t="str">
        <f>IF(G1689="","",IF(D1689-G1689&gt;=System_Config!$B$9,"✅ OK","⚠️ BREACH"))</f>
        <v/>
      </c>
      <c r="M1689" s="37" t="str">
        <f>IFERROR(IF(Agent09_Withdrawals!A94="","",YEAR(Agent09_Withdrawals!D94)),"")</f>
        <v/>
      </c>
    </row>
    <row r="1690" spans="1:13" ht="18" customHeight="1" x14ac:dyDescent="0.25">
      <c r="A1690" s="37" t="str">
        <f>IF(Agent09_Withdrawals!A95="","",Agent09_Withdrawals!A95)</f>
        <v/>
      </c>
      <c r="B1690" s="37" t="str">
        <f ca="1">IF(Agent09_Withdrawals!A95="","","WD"&amp;TEXT(1690-3,"0000")&amp;"-"&amp;TEXT(TODAY(),"YYYYMMDD"))</f>
        <v/>
      </c>
      <c r="C1690" s="37" t="str">
        <f>IF(Agent09_Withdrawals!A95="","",Agent09_Withdrawals!B95)</f>
        <v/>
      </c>
      <c r="D1690" s="40" t="str">
        <f>IF(Agent09_Withdrawals!A95="","",Agent09_Withdrawals!C95)</f>
        <v/>
      </c>
      <c r="E1690" s="38" t="str">
        <f>IF(Agent09_Withdrawals!A95="","",Agent09_Withdrawals!D95)</f>
        <v/>
      </c>
      <c r="F1690" s="37" t="str">
        <f>IF(Agent09_Withdrawals!A95="","",Agent09_Withdrawals!F95)</f>
        <v/>
      </c>
      <c r="G1690" s="39" t="str">
        <f>IF(Agent09_Withdrawals!A95="","",Agent09_Withdrawals!E95)</f>
        <v/>
      </c>
      <c r="H1690" s="39" t="str">
        <f>IF(Agent09_Withdrawals!A95="","",Agent09_Withdrawals!G95)</f>
        <v/>
      </c>
      <c r="I1690" s="37" t="str">
        <f>IF(Agent09_Withdrawals!A95="","",Agent09_Withdrawals!H95)</f>
        <v/>
      </c>
      <c r="J1690" s="37" t="str">
        <f>IF(Agent09_Withdrawals!A95="","",Agent09_Withdrawals!J95)</f>
        <v/>
      </c>
      <c r="K1690" s="37" t="str">
        <f>IF(Agent09_Withdrawals!A95="","",Agent09_Withdrawals!K95)</f>
        <v/>
      </c>
      <c r="L1690" s="37" t="str">
        <f>IF(G1690="","",IF(D1690-G1690&gt;=System_Config!$B$9,"✅ OK","⚠️ BREACH"))</f>
        <v/>
      </c>
      <c r="M1690" s="37" t="str">
        <f>IFERROR(IF(Agent09_Withdrawals!A95="","",YEAR(Agent09_Withdrawals!D95)),"")</f>
        <v/>
      </c>
    </row>
    <row r="1691" spans="1:13" ht="18" customHeight="1" x14ac:dyDescent="0.25">
      <c r="A1691" s="37" t="str">
        <f>IF(Agent09_Withdrawals!A96="","",Agent09_Withdrawals!A96)</f>
        <v/>
      </c>
      <c r="B1691" s="37" t="str">
        <f ca="1">IF(Agent09_Withdrawals!A96="","","WD"&amp;TEXT(1691-3,"0000")&amp;"-"&amp;TEXT(TODAY(),"YYYYMMDD"))</f>
        <v/>
      </c>
      <c r="C1691" s="37" t="str">
        <f>IF(Agent09_Withdrawals!A96="","",Agent09_Withdrawals!B96)</f>
        <v/>
      </c>
      <c r="D1691" s="40" t="str">
        <f>IF(Agent09_Withdrawals!A96="","",Agent09_Withdrawals!C96)</f>
        <v/>
      </c>
      <c r="E1691" s="38" t="str">
        <f>IF(Agent09_Withdrawals!A96="","",Agent09_Withdrawals!D96)</f>
        <v/>
      </c>
      <c r="F1691" s="37" t="str">
        <f>IF(Agent09_Withdrawals!A96="","",Agent09_Withdrawals!F96)</f>
        <v/>
      </c>
      <c r="G1691" s="39" t="str">
        <f>IF(Agent09_Withdrawals!A96="","",Agent09_Withdrawals!E96)</f>
        <v/>
      </c>
      <c r="H1691" s="39" t="str">
        <f>IF(Agent09_Withdrawals!A96="","",Agent09_Withdrawals!G96)</f>
        <v/>
      </c>
      <c r="I1691" s="37" t="str">
        <f>IF(Agent09_Withdrawals!A96="","",Agent09_Withdrawals!H96)</f>
        <v/>
      </c>
      <c r="J1691" s="37" t="str">
        <f>IF(Agent09_Withdrawals!A96="","",Agent09_Withdrawals!J96)</f>
        <v/>
      </c>
      <c r="K1691" s="37" t="str">
        <f>IF(Agent09_Withdrawals!A96="","",Agent09_Withdrawals!K96)</f>
        <v/>
      </c>
      <c r="L1691" s="37" t="str">
        <f>IF(G1691="","",IF(D1691-G1691&gt;=System_Config!$B$9,"✅ OK","⚠️ BREACH"))</f>
        <v/>
      </c>
      <c r="M1691" s="37" t="str">
        <f>IFERROR(IF(Agent09_Withdrawals!A96="","",YEAR(Agent09_Withdrawals!D96)),"")</f>
        <v/>
      </c>
    </row>
    <row r="1692" spans="1:13" ht="18" customHeight="1" x14ac:dyDescent="0.25">
      <c r="A1692" s="37" t="str">
        <f>IF(Agent09_Withdrawals!A97="","",Agent09_Withdrawals!A97)</f>
        <v/>
      </c>
      <c r="B1692" s="37" t="str">
        <f ca="1">IF(Agent09_Withdrawals!A97="","","WD"&amp;TEXT(1692-3,"0000")&amp;"-"&amp;TEXT(TODAY(),"YYYYMMDD"))</f>
        <v/>
      </c>
      <c r="C1692" s="37" t="str">
        <f>IF(Agent09_Withdrawals!A97="","",Agent09_Withdrawals!B97)</f>
        <v/>
      </c>
      <c r="D1692" s="40" t="str">
        <f>IF(Agent09_Withdrawals!A97="","",Agent09_Withdrawals!C97)</f>
        <v/>
      </c>
      <c r="E1692" s="38" t="str">
        <f>IF(Agent09_Withdrawals!A97="","",Agent09_Withdrawals!D97)</f>
        <v/>
      </c>
      <c r="F1692" s="37" t="str">
        <f>IF(Agent09_Withdrawals!A97="","",Agent09_Withdrawals!F97)</f>
        <v/>
      </c>
      <c r="G1692" s="39" t="str">
        <f>IF(Agent09_Withdrawals!A97="","",Agent09_Withdrawals!E97)</f>
        <v/>
      </c>
      <c r="H1692" s="39" t="str">
        <f>IF(Agent09_Withdrawals!A97="","",Agent09_Withdrawals!G97)</f>
        <v/>
      </c>
      <c r="I1692" s="37" t="str">
        <f>IF(Agent09_Withdrawals!A97="","",Agent09_Withdrawals!H97)</f>
        <v/>
      </c>
      <c r="J1692" s="37" t="str">
        <f>IF(Agent09_Withdrawals!A97="","",Agent09_Withdrawals!J97)</f>
        <v/>
      </c>
      <c r="K1692" s="37" t="str">
        <f>IF(Agent09_Withdrawals!A97="","",Agent09_Withdrawals!K97)</f>
        <v/>
      </c>
      <c r="L1692" s="37" t="str">
        <f>IF(G1692="","",IF(D1692-G1692&gt;=System_Config!$B$9,"✅ OK","⚠️ BREACH"))</f>
        <v/>
      </c>
      <c r="M1692" s="37" t="str">
        <f>IFERROR(IF(Agent09_Withdrawals!A97="","",YEAR(Agent09_Withdrawals!D97)),"")</f>
        <v/>
      </c>
    </row>
    <row r="1693" spans="1:13" ht="18" customHeight="1" x14ac:dyDescent="0.25">
      <c r="A1693" s="37" t="str">
        <f>IF(Agent09_Withdrawals!A98="","",Agent09_Withdrawals!A98)</f>
        <v/>
      </c>
      <c r="B1693" s="37" t="str">
        <f ca="1">IF(Agent09_Withdrawals!A98="","","WD"&amp;TEXT(1693-3,"0000")&amp;"-"&amp;TEXT(TODAY(),"YYYYMMDD"))</f>
        <v/>
      </c>
      <c r="C1693" s="37" t="str">
        <f>IF(Agent09_Withdrawals!A98="","",Agent09_Withdrawals!B98)</f>
        <v/>
      </c>
      <c r="D1693" s="40" t="str">
        <f>IF(Agent09_Withdrawals!A98="","",Agent09_Withdrawals!C98)</f>
        <v/>
      </c>
      <c r="E1693" s="38" t="str">
        <f>IF(Agent09_Withdrawals!A98="","",Agent09_Withdrawals!D98)</f>
        <v/>
      </c>
      <c r="F1693" s="37" t="str">
        <f>IF(Agent09_Withdrawals!A98="","",Agent09_Withdrawals!F98)</f>
        <v/>
      </c>
      <c r="G1693" s="39" t="str">
        <f>IF(Agent09_Withdrawals!A98="","",Agent09_Withdrawals!E98)</f>
        <v/>
      </c>
      <c r="H1693" s="39" t="str">
        <f>IF(Agent09_Withdrawals!A98="","",Agent09_Withdrawals!G98)</f>
        <v/>
      </c>
      <c r="I1693" s="37" t="str">
        <f>IF(Agent09_Withdrawals!A98="","",Agent09_Withdrawals!H98)</f>
        <v/>
      </c>
      <c r="J1693" s="37" t="str">
        <f>IF(Agent09_Withdrawals!A98="","",Agent09_Withdrawals!J98)</f>
        <v/>
      </c>
      <c r="K1693" s="37" t="str">
        <f>IF(Agent09_Withdrawals!A98="","",Agent09_Withdrawals!K98)</f>
        <v/>
      </c>
      <c r="L1693" s="37" t="str">
        <f>IF(G1693="","",IF(D1693-G1693&gt;=System_Config!$B$9,"✅ OK","⚠️ BREACH"))</f>
        <v/>
      </c>
      <c r="M1693" s="37" t="str">
        <f>IFERROR(IF(Agent09_Withdrawals!A98="","",YEAR(Agent09_Withdrawals!D98)),"")</f>
        <v/>
      </c>
    </row>
    <row r="1694" spans="1:13" ht="18" customHeight="1" x14ac:dyDescent="0.25">
      <c r="A1694" s="37" t="str">
        <f>IF(Agent09_Withdrawals!A99="","",Agent09_Withdrawals!A99)</f>
        <v/>
      </c>
      <c r="B1694" s="37" t="str">
        <f ca="1">IF(Agent09_Withdrawals!A99="","","WD"&amp;TEXT(1694-3,"0000")&amp;"-"&amp;TEXT(TODAY(),"YYYYMMDD"))</f>
        <v/>
      </c>
      <c r="C1694" s="37" t="str">
        <f>IF(Agent09_Withdrawals!A99="","",Agent09_Withdrawals!B99)</f>
        <v/>
      </c>
      <c r="D1694" s="40" t="str">
        <f>IF(Agent09_Withdrawals!A99="","",Agent09_Withdrawals!C99)</f>
        <v/>
      </c>
      <c r="E1694" s="38" t="str">
        <f>IF(Agent09_Withdrawals!A99="","",Agent09_Withdrawals!D99)</f>
        <v/>
      </c>
      <c r="F1694" s="37" t="str">
        <f>IF(Agent09_Withdrawals!A99="","",Agent09_Withdrawals!F99)</f>
        <v/>
      </c>
      <c r="G1694" s="39" t="str">
        <f>IF(Agent09_Withdrawals!A99="","",Agent09_Withdrawals!E99)</f>
        <v/>
      </c>
      <c r="H1694" s="39" t="str">
        <f>IF(Agent09_Withdrawals!A99="","",Agent09_Withdrawals!G99)</f>
        <v/>
      </c>
      <c r="I1694" s="37" t="str">
        <f>IF(Agent09_Withdrawals!A99="","",Agent09_Withdrawals!H99)</f>
        <v/>
      </c>
      <c r="J1694" s="37" t="str">
        <f>IF(Agent09_Withdrawals!A99="","",Agent09_Withdrawals!J99)</f>
        <v/>
      </c>
      <c r="K1694" s="37" t="str">
        <f>IF(Agent09_Withdrawals!A99="","",Agent09_Withdrawals!K99)</f>
        <v/>
      </c>
      <c r="L1694" s="37" t="str">
        <f>IF(G1694="","",IF(D1694-G1694&gt;=System_Config!$B$9,"✅ OK","⚠️ BREACH"))</f>
        <v/>
      </c>
      <c r="M1694" s="37" t="str">
        <f>IFERROR(IF(Agent09_Withdrawals!A99="","",YEAR(Agent09_Withdrawals!D99)),"")</f>
        <v/>
      </c>
    </row>
    <row r="1695" spans="1:13" ht="18" customHeight="1" x14ac:dyDescent="0.25">
      <c r="A1695" s="37" t="str">
        <f>IF(Agent09_Withdrawals!A100="","",Agent09_Withdrawals!A100)</f>
        <v/>
      </c>
      <c r="B1695" s="37" t="str">
        <f ca="1">IF(Agent09_Withdrawals!A100="","","WD"&amp;TEXT(1695-3,"0000")&amp;"-"&amp;TEXT(TODAY(),"YYYYMMDD"))</f>
        <v/>
      </c>
      <c r="C1695" s="37" t="str">
        <f>IF(Agent09_Withdrawals!A100="","",Agent09_Withdrawals!B100)</f>
        <v/>
      </c>
      <c r="D1695" s="40" t="str">
        <f>IF(Agent09_Withdrawals!A100="","",Agent09_Withdrawals!C100)</f>
        <v/>
      </c>
      <c r="E1695" s="38" t="str">
        <f>IF(Agent09_Withdrawals!A100="","",Agent09_Withdrawals!D100)</f>
        <v/>
      </c>
      <c r="F1695" s="37" t="str">
        <f>IF(Agent09_Withdrawals!A100="","",Agent09_Withdrawals!F100)</f>
        <v/>
      </c>
      <c r="G1695" s="39" t="str">
        <f>IF(Agent09_Withdrawals!A100="","",Agent09_Withdrawals!E100)</f>
        <v/>
      </c>
      <c r="H1695" s="39" t="str">
        <f>IF(Agent09_Withdrawals!A100="","",Agent09_Withdrawals!G100)</f>
        <v/>
      </c>
      <c r="I1695" s="37" t="str">
        <f>IF(Agent09_Withdrawals!A100="","",Agent09_Withdrawals!H100)</f>
        <v/>
      </c>
      <c r="J1695" s="37" t="str">
        <f>IF(Agent09_Withdrawals!A100="","",Agent09_Withdrawals!J100)</f>
        <v/>
      </c>
      <c r="K1695" s="37" t="str">
        <f>IF(Agent09_Withdrawals!A100="","",Agent09_Withdrawals!K100)</f>
        <v/>
      </c>
      <c r="L1695" s="37" t="str">
        <f>IF(G1695="","",IF(D1695-G1695&gt;=System_Config!$B$9,"✅ OK","⚠️ BREACH"))</f>
        <v/>
      </c>
      <c r="M1695" s="37" t="str">
        <f>IFERROR(IF(Agent09_Withdrawals!A100="","",YEAR(Agent09_Withdrawals!D100)),"")</f>
        <v/>
      </c>
    </row>
    <row r="1696" spans="1:13" ht="18" customHeight="1" x14ac:dyDescent="0.25">
      <c r="A1696" s="37" t="str">
        <f>IF(Agent09_Withdrawals!A101="","",Agent09_Withdrawals!A101)</f>
        <v/>
      </c>
      <c r="B1696" s="37" t="str">
        <f ca="1">IF(Agent09_Withdrawals!A101="","","WD"&amp;TEXT(1696-3,"0000")&amp;"-"&amp;TEXT(TODAY(),"YYYYMMDD"))</f>
        <v/>
      </c>
      <c r="C1696" s="37" t="str">
        <f>IF(Agent09_Withdrawals!A101="","",Agent09_Withdrawals!B101)</f>
        <v/>
      </c>
      <c r="D1696" s="40" t="str">
        <f>IF(Agent09_Withdrawals!A101="","",Agent09_Withdrawals!C101)</f>
        <v/>
      </c>
      <c r="E1696" s="38" t="str">
        <f>IF(Agent09_Withdrawals!A101="","",Agent09_Withdrawals!D101)</f>
        <v/>
      </c>
      <c r="F1696" s="37" t="str">
        <f>IF(Agent09_Withdrawals!A101="","",Agent09_Withdrawals!F101)</f>
        <v/>
      </c>
      <c r="G1696" s="39" t="str">
        <f>IF(Agent09_Withdrawals!A101="","",Agent09_Withdrawals!E101)</f>
        <v/>
      </c>
      <c r="H1696" s="39" t="str">
        <f>IF(Agent09_Withdrawals!A101="","",Agent09_Withdrawals!G101)</f>
        <v/>
      </c>
      <c r="I1696" s="37" t="str">
        <f>IF(Agent09_Withdrawals!A101="","",Agent09_Withdrawals!H101)</f>
        <v/>
      </c>
      <c r="J1696" s="37" t="str">
        <f>IF(Agent09_Withdrawals!A101="","",Agent09_Withdrawals!J101)</f>
        <v/>
      </c>
      <c r="K1696" s="37" t="str">
        <f>IF(Agent09_Withdrawals!A101="","",Agent09_Withdrawals!K101)</f>
        <v/>
      </c>
      <c r="L1696" s="37" t="str">
        <f>IF(G1696="","",IF(D1696-G1696&gt;=System_Config!$B$9,"✅ OK","⚠️ BREACH"))</f>
        <v/>
      </c>
      <c r="M1696" s="37" t="str">
        <f>IFERROR(IF(Agent09_Withdrawals!A101="","",YEAR(Agent09_Withdrawals!D101)),"")</f>
        <v/>
      </c>
    </row>
    <row r="1697" spans="1:13" ht="18" customHeight="1" x14ac:dyDescent="0.25">
      <c r="A1697" s="37" t="str">
        <f>IF(Agent09_Withdrawals!A102="","",Agent09_Withdrawals!A102)</f>
        <v/>
      </c>
      <c r="B1697" s="37" t="str">
        <f ca="1">IF(Agent09_Withdrawals!A102="","","WD"&amp;TEXT(1697-3,"0000")&amp;"-"&amp;TEXT(TODAY(),"YYYYMMDD"))</f>
        <v/>
      </c>
      <c r="C1697" s="37" t="str">
        <f>IF(Agent09_Withdrawals!A102="","",Agent09_Withdrawals!B102)</f>
        <v/>
      </c>
      <c r="D1697" s="40" t="str">
        <f>IF(Agent09_Withdrawals!A102="","",Agent09_Withdrawals!C102)</f>
        <v/>
      </c>
      <c r="E1697" s="38" t="str">
        <f>IF(Agent09_Withdrawals!A102="","",Agent09_Withdrawals!D102)</f>
        <v/>
      </c>
      <c r="F1697" s="37" t="str">
        <f>IF(Agent09_Withdrawals!A102="","",Agent09_Withdrawals!F102)</f>
        <v/>
      </c>
      <c r="G1697" s="39" t="str">
        <f>IF(Agent09_Withdrawals!A102="","",Agent09_Withdrawals!E102)</f>
        <v/>
      </c>
      <c r="H1697" s="39" t="str">
        <f>IF(Agent09_Withdrawals!A102="","",Agent09_Withdrawals!G102)</f>
        <v/>
      </c>
      <c r="I1697" s="37" t="str">
        <f>IF(Agent09_Withdrawals!A102="","",Agent09_Withdrawals!H102)</f>
        <v/>
      </c>
      <c r="J1697" s="37" t="str">
        <f>IF(Agent09_Withdrawals!A102="","",Agent09_Withdrawals!J102)</f>
        <v/>
      </c>
      <c r="K1697" s="37" t="str">
        <f>IF(Agent09_Withdrawals!A102="","",Agent09_Withdrawals!K102)</f>
        <v/>
      </c>
      <c r="L1697" s="37" t="str">
        <f>IF(G1697="","",IF(D1697-G1697&gt;=System_Config!$B$9,"✅ OK","⚠️ BREACH"))</f>
        <v/>
      </c>
      <c r="M1697" s="37" t="str">
        <f>IFERROR(IF(Agent09_Withdrawals!A102="","",YEAR(Agent09_Withdrawals!D102)),"")</f>
        <v/>
      </c>
    </row>
    <row r="1698" spans="1:13" ht="18" customHeight="1" x14ac:dyDescent="0.25">
      <c r="A1698" s="37" t="str">
        <f>IF(Agent09_Withdrawals!A103="","",Agent09_Withdrawals!A103)</f>
        <v/>
      </c>
      <c r="B1698" s="37" t="str">
        <f ca="1">IF(Agent09_Withdrawals!A103="","","WD"&amp;TEXT(1698-3,"0000")&amp;"-"&amp;TEXT(TODAY(),"YYYYMMDD"))</f>
        <v/>
      </c>
      <c r="C1698" s="37" t="str">
        <f>IF(Agent09_Withdrawals!A103="","",Agent09_Withdrawals!B103)</f>
        <v/>
      </c>
      <c r="D1698" s="40" t="str">
        <f>IF(Agent09_Withdrawals!A103="","",Agent09_Withdrawals!C103)</f>
        <v/>
      </c>
      <c r="E1698" s="38" t="str">
        <f>IF(Agent09_Withdrawals!A103="","",Agent09_Withdrawals!D103)</f>
        <v/>
      </c>
      <c r="F1698" s="37" t="str">
        <f>IF(Agent09_Withdrawals!A103="","",Agent09_Withdrawals!F103)</f>
        <v/>
      </c>
      <c r="G1698" s="39" t="str">
        <f>IF(Agent09_Withdrawals!A103="","",Agent09_Withdrawals!E103)</f>
        <v/>
      </c>
      <c r="H1698" s="39" t="str">
        <f>IF(Agent09_Withdrawals!A103="","",Agent09_Withdrawals!G103)</f>
        <v/>
      </c>
      <c r="I1698" s="37" t="str">
        <f>IF(Agent09_Withdrawals!A103="","",Agent09_Withdrawals!H103)</f>
        <v/>
      </c>
      <c r="J1698" s="37" t="str">
        <f>IF(Agent09_Withdrawals!A103="","",Agent09_Withdrawals!J103)</f>
        <v/>
      </c>
      <c r="K1698" s="37" t="str">
        <f>IF(Agent09_Withdrawals!A103="","",Agent09_Withdrawals!K103)</f>
        <v/>
      </c>
      <c r="L1698" s="37" t="str">
        <f>IF(G1698="","",IF(D1698-G1698&gt;=System_Config!$B$9,"✅ OK","⚠️ BREACH"))</f>
        <v/>
      </c>
      <c r="M1698" s="37" t="str">
        <f>IFERROR(IF(Agent09_Withdrawals!A103="","",YEAR(Agent09_Withdrawals!D103)),"")</f>
        <v/>
      </c>
    </row>
    <row r="1699" spans="1:13" ht="18" customHeight="1" x14ac:dyDescent="0.25">
      <c r="A1699" s="37" t="str">
        <f>IF(Agent09_Withdrawals!A104="","",Agent09_Withdrawals!A104)</f>
        <v/>
      </c>
      <c r="B1699" s="37" t="str">
        <f ca="1">IF(Agent09_Withdrawals!A104="","","WD"&amp;TEXT(1699-3,"0000")&amp;"-"&amp;TEXT(TODAY(),"YYYYMMDD"))</f>
        <v/>
      </c>
      <c r="C1699" s="37" t="str">
        <f>IF(Agent09_Withdrawals!A104="","",Agent09_Withdrawals!B104)</f>
        <v/>
      </c>
      <c r="D1699" s="40" t="str">
        <f>IF(Agent09_Withdrawals!A104="","",Agent09_Withdrawals!C104)</f>
        <v/>
      </c>
      <c r="E1699" s="38" t="str">
        <f>IF(Agent09_Withdrawals!A104="","",Agent09_Withdrawals!D104)</f>
        <v/>
      </c>
      <c r="F1699" s="37" t="str">
        <f>IF(Agent09_Withdrawals!A104="","",Agent09_Withdrawals!F104)</f>
        <v/>
      </c>
      <c r="G1699" s="39" t="str">
        <f>IF(Agent09_Withdrawals!A104="","",Agent09_Withdrawals!E104)</f>
        <v/>
      </c>
      <c r="H1699" s="39" t="str">
        <f>IF(Agent09_Withdrawals!A104="","",Agent09_Withdrawals!G104)</f>
        <v/>
      </c>
      <c r="I1699" s="37" t="str">
        <f>IF(Agent09_Withdrawals!A104="","",Agent09_Withdrawals!H104)</f>
        <v/>
      </c>
      <c r="J1699" s="37" t="str">
        <f>IF(Agent09_Withdrawals!A104="","",Agent09_Withdrawals!J104)</f>
        <v/>
      </c>
      <c r="K1699" s="37" t="str">
        <f>IF(Agent09_Withdrawals!A104="","",Agent09_Withdrawals!K104)</f>
        <v/>
      </c>
      <c r="L1699" s="37" t="str">
        <f>IF(G1699="","",IF(D1699-G1699&gt;=System_Config!$B$9,"✅ OK","⚠️ BREACH"))</f>
        <v/>
      </c>
      <c r="M1699" s="37" t="str">
        <f>IFERROR(IF(Agent09_Withdrawals!A104="","",YEAR(Agent09_Withdrawals!D104)),"")</f>
        <v/>
      </c>
    </row>
    <row r="1700" spans="1:13" ht="18" customHeight="1" x14ac:dyDescent="0.25">
      <c r="A1700" s="37" t="str">
        <f>IF(Agent09_Withdrawals!A105="","",Agent09_Withdrawals!A105)</f>
        <v/>
      </c>
      <c r="B1700" s="37" t="str">
        <f ca="1">IF(Agent09_Withdrawals!A105="","","WD"&amp;TEXT(1700-3,"0000")&amp;"-"&amp;TEXT(TODAY(),"YYYYMMDD"))</f>
        <v/>
      </c>
      <c r="C1700" s="37" t="str">
        <f>IF(Agent09_Withdrawals!A105="","",Agent09_Withdrawals!B105)</f>
        <v/>
      </c>
      <c r="D1700" s="40" t="str">
        <f>IF(Agent09_Withdrawals!A105="","",Agent09_Withdrawals!C105)</f>
        <v/>
      </c>
      <c r="E1700" s="38" t="str">
        <f>IF(Agent09_Withdrawals!A105="","",Agent09_Withdrawals!D105)</f>
        <v/>
      </c>
      <c r="F1700" s="37" t="str">
        <f>IF(Agent09_Withdrawals!A105="","",Agent09_Withdrawals!F105)</f>
        <v/>
      </c>
      <c r="G1700" s="39" t="str">
        <f>IF(Agent09_Withdrawals!A105="","",Agent09_Withdrawals!E105)</f>
        <v/>
      </c>
      <c r="H1700" s="39" t="str">
        <f>IF(Agent09_Withdrawals!A105="","",Agent09_Withdrawals!G105)</f>
        <v/>
      </c>
      <c r="I1700" s="37" t="str">
        <f>IF(Agent09_Withdrawals!A105="","",Agent09_Withdrawals!H105)</f>
        <v/>
      </c>
      <c r="J1700" s="37" t="str">
        <f>IF(Agent09_Withdrawals!A105="","",Agent09_Withdrawals!J105)</f>
        <v/>
      </c>
      <c r="K1700" s="37" t="str">
        <f>IF(Agent09_Withdrawals!A105="","",Agent09_Withdrawals!K105)</f>
        <v/>
      </c>
      <c r="L1700" s="37" t="str">
        <f>IF(G1700="","",IF(D1700-G1700&gt;=System_Config!$B$9,"✅ OK","⚠️ BREACH"))</f>
        <v/>
      </c>
      <c r="M1700" s="37" t="str">
        <f>IFERROR(IF(Agent09_Withdrawals!A105="","",YEAR(Agent09_Withdrawals!D105)),"")</f>
        <v/>
      </c>
    </row>
    <row r="1701" spans="1:13" ht="18" customHeight="1" x14ac:dyDescent="0.25">
      <c r="A1701" s="37" t="str">
        <f>IF(Agent09_Withdrawals!A106="","",Agent09_Withdrawals!A106)</f>
        <v/>
      </c>
      <c r="B1701" s="37" t="str">
        <f ca="1">IF(Agent09_Withdrawals!A106="","","WD"&amp;TEXT(1701-3,"0000")&amp;"-"&amp;TEXT(TODAY(),"YYYYMMDD"))</f>
        <v/>
      </c>
      <c r="C1701" s="37" t="str">
        <f>IF(Agent09_Withdrawals!A106="","",Agent09_Withdrawals!B106)</f>
        <v/>
      </c>
      <c r="D1701" s="40" t="str">
        <f>IF(Agent09_Withdrawals!A106="","",Agent09_Withdrawals!C106)</f>
        <v/>
      </c>
      <c r="E1701" s="38" t="str">
        <f>IF(Agent09_Withdrawals!A106="","",Agent09_Withdrawals!D106)</f>
        <v/>
      </c>
      <c r="F1701" s="37" t="str">
        <f>IF(Agent09_Withdrawals!A106="","",Agent09_Withdrawals!F106)</f>
        <v/>
      </c>
      <c r="G1701" s="39" t="str">
        <f>IF(Agent09_Withdrawals!A106="","",Agent09_Withdrawals!E106)</f>
        <v/>
      </c>
      <c r="H1701" s="39" t="str">
        <f>IF(Agent09_Withdrawals!A106="","",Agent09_Withdrawals!G106)</f>
        <v/>
      </c>
      <c r="I1701" s="37" t="str">
        <f>IF(Agent09_Withdrawals!A106="","",Agent09_Withdrawals!H106)</f>
        <v/>
      </c>
      <c r="J1701" s="37" t="str">
        <f>IF(Agent09_Withdrawals!A106="","",Agent09_Withdrawals!J106)</f>
        <v/>
      </c>
      <c r="K1701" s="37" t="str">
        <f>IF(Agent09_Withdrawals!A106="","",Agent09_Withdrawals!K106)</f>
        <v/>
      </c>
      <c r="L1701" s="37" t="str">
        <f>IF(G1701="","",IF(D1701-G1701&gt;=System_Config!$B$9,"✅ OK","⚠️ BREACH"))</f>
        <v/>
      </c>
      <c r="M1701" s="37" t="str">
        <f>IFERROR(IF(Agent09_Withdrawals!A106="","",YEAR(Agent09_Withdrawals!D106)),"")</f>
        <v/>
      </c>
    </row>
    <row r="1702" spans="1:13" ht="18" customHeight="1" x14ac:dyDescent="0.25">
      <c r="A1702" s="37" t="str">
        <f>IF(Agent09_Withdrawals!A107="","",Agent09_Withdrawals!A107)</f>
        <v/>
      </c>
      <c r="B1702" s="37" t="str">
        <f ca="1">IF(Agent09_Withdrawals!A107="","","WD"&amp;TEXT(1702-3,"0000")&amp;"-"&amp;TEXT(TODAY(),"YYYYMMDD"))</f>
        <v/>
      </c>
      <c r="C1702" s="37" t="str">
        <f>IF(Agent09_Withdrawals!A107="","",Agent09_Withdrawals!B107)</f>
        <v/>
      </c>
      <c r="D1702" s="40" t="str">
        <f>IF(Agent09_Withdrawals!A107="","",Agent09_Withdrawals!C107)</f>
        <v/>
      </c>
      <c r="E1702" s="38" t="str">
        <f>IF(Agent09_Withdrawals!A107="","",Agent09_Withdrawals!D107)</f>
        <v/>
      </c>
      <c r="F1702" s="37" t="str">
        <f>IF(Agent09_Withdrawals!A107="","",Agent09_Withdrawals!F107)</f>
        <v/>
      </c>
      <c r="G1702" s="39" t="str">
        <f>IF(Agent09_Withdrawals!A107="","",Agent09_Withdrawals!E107)</f>
        <v/>
      </c>
      <c r="H1702" s="39" t="str">
        <f>IF(Agent09_Withdrawals!A107="","",Agent09_Withdrawals!G107)</f>
        <v/>
      </c>
      <c r="I1702" s="37" t="str">
        <f>IF(Agent09_Withdrawals!A107="","",Agent09_Withdrawals!H107)</f>
        <v/>
      </c>
      <c r="J1702" s="37" t="str">
        <f>IF(Agent09_Withdrawals!A107="","",Agent09_Withdrawals!J107)</f>
        <v/>
      </c>
      <c r="K1702" s="37" t="str">
        <f>IF(Agent09_Withdrawals!A107="","",Agent09_Withdrawals!K107)</f>
        <v/>
      </c>
      <c r="L1702" s="37" t="str">
        <f>IF(G1702="","",IF(D1702-G1702&gt;=System_Config!$B$9,"✅ OK","⚠️ BREACH"))</f>
        <v/>
      </c>
      <c r="M1702" s="37" t="str">
        <f>IFERROR(IF(Agent09_Withdrawals!A107="","",YEAR(Agent09_Withdrawals!D107)),"")</f>
        <v/>
      </c>
    </row>
    <row r="1703" spans="1:13" ht="18" customHeight="1" x14ac:dyDescent="0.25">
      <c r="A1703" s="37" t="str">
        <f>IF(Agent09_Withdrawals!A108="","",Agent09_Withdrawals!A108)</f>
        <v/>
      </c>
      <c r="B1703" s="37" t="str">
        <f ca="1">IF(Agent09_Withdrawals!A108="","","WD"&amp;TEXT(1703-3,"0000")&amp;"-"&amp;TEXT(TODAY(),"YYYYMMDD"))</f>
        <v/>
      </c>
      <c r="C1703" s="37" t="str">
        <f>IF(Agent09_Withdrawals!A108="","",Agent09_Withdrawals!B108)</f>
        <v/>
      </c>
      <c r="D1703" s="40" t="str">
        <f>IF(Agent09_Withdrawals!A108="","",Agent09_Withdrawals!C108)</f>
        <v/>
      </c>
      <c r="E1703" s="38" t="str">
        <f>IF(Agent09_Withdrawals!A108="","",Agent09_Withdrawals!D108)</f>
        <v/>
      </c>
      <c r="F1703" s="37" t="str">
        <f>IF(Agent09_Withdrawals!A108="","",Agent09_Withdrawals!F108)</f>
        <v/>
      </c>
      <c r="G1703" s="39" t="str">
        <f>IF(Agent09_Withdrawals!A108="","",Agent09_Withdrawals!E108)</f>
        <v/>
      </c>
      <c r="H1703" s="39" t="str">
        <f>IF(Agent09_Withdrawals!A108="","",Agent09_Withdrawals!G108)</f>
        <v/>
      </c>
      <c r="I1703" s="37" t="str">
        <f>IF(Agent09_Withdrawals!A108="","",Agent09_Withdrawals!H108)</f>
        <v/>
      </c>
      <c r="J1703" s="37" t="str">
        <f>IF(Agent09_Withdrawals!A108="","",Agent09_Withdrawals!J108)</f>
        <v/>
      </c>
      <c r="K1703" s="37" t="str">
        <f>IF(Agent09_Withdrawals!A108="","",Agent09_Withdrawals!K108)</f>
        <v/>
      </c>
      <c r="L1703" s="37" t="str">
        <f>IF(G1703="","",IF(D1703-G1703&gt;=System_Config!$B$9,"✅ OK","⚠️ BREACH"))</f>
        <v/>
      </c>
      <c r="M1703" s="37" t="str">
        <f>IFERROR(IF(Agent09_Withdrawals!A108="","",YEAR(Agent09_Withdrawals!D108)),"")</f>
        <v/>
      </c>
    </row>
    <row r="1704" spans="1:13" ht="18" customHeight="1" x14ac:dyDescent="0.25">
      <c r="A1704" s="37" t="str">
        <f>IF(Agent09_Withdrawals!A109="","",Agent09_Withdrawals!A109)</f>
        <v/>
      </c>
      <c r="B1704" s="37" t="str">
        <f ca="1">IF(Agent09_Withdrawals!A109="","","WD"&amp;TEXT(1704-3,"0000")&amp;"-"&amp;TEXT(TODAY(),"YYYYMMDD"))</f>
        <v/>
      </c>
      <c r="C1704" s="37" t="str">
        <f>IF(Agent09_Withdrawals!A109="","",Agent09_Withdrawals!B109)</f>
        <v/>
      </c>
      <c r="D1704" s="40" t="str">
        <f>IF(Agent09_Withdrawals!A109="","",Agent09_Withdrawals!C109)</f>
        <v/>
      </c>
      <c r="E1704" s="38" t="str">
        <f>IF(Agent09_Withdrawals!A109="","",Agent09_Withdrawals!D109)</f>
        <v/>
      </c>
      <c r="F1704" s="37" t="str">
        <f>IF(Agent09_Withdrawals!A109="","",Agent09_Withdrawals!F109)</f>
        <v/>
      </c>
      <c r="G1704" s="39" t="str">
        <f>IF(Agent09_Withdrawals!A109="","",Agent09_Withdrawals!E109)</f>
        <v/>
      </c>
      <c r="H1704" s="39" t="str">
        <f>IF(Agent09_Withdrawals!A109="","",Agent09_Withdrawals!G109)</f>
        <v/>
      </c>
      <c r="I1704" s="37" t="str">
        <f>IF(Agent09_Withdrawals!A109="","",Agent09_Withdrawals!H109)</f>
        <v/>
      </c>
      <c r="J1704" s="37" t="str">
        <f>IF(Agent09_Withdrawals!A109="","",Agent09_Withdrawals!J109)</f>
        <v/>
      </c>
      <c r="K1704" s="37" t="str">
        <f>IF(Agent09_Withdrawals!A109="","",Agent09_Withdrawals!K109)</f>
        <v/>
      </c>
      <c r="L1704" s="37" t="str">
        <f>IF(G1704="","",IF(D1704-G1704&gt;=System_Config!$B$9,"✅ OK","⚠️ BREACH"))</f>
        <v/>
      </c>
      <c r="M1704" s="37" t="str">
        <f>IFERROR(IF(Agent09_Withdrawals!A109="","",YEAR(Agent09_Withdrawals!D109)),"")</f>
        <v/>
      </c>
    </row>
    <row r="1705" spans="1:13" ht="18" customHeight="1" x14ac:dyDescent="0.25">
      <c r="A1705" s="37" t="str">
        <f>IF(Agent09_Withdrawals!A110="","",Agent09_Withdrawals!A110)</f>
        <v/>
      </c>
      <c r="B1705" s="37" t="str">
        <f ca="1">IF(Agent09_Withdrawals!A110="","","WD"&amp;TEXT(1705-3,"0000")&amp;"-"&amp;TEXT(TODAY(),"YYYYMMDD"))</f>
        <v/>
      </c>
      <c r="C1705" s="37" t="str">
        <f>IF(Agent09_Withdrawals!A110="","",Agent09_Withdrawals!B110)</f>
        <v/>
      </c>
      <c r="D1705" s="40" t="str">
        <f>IF(Agent09_Withdrawals!A110="","",Agent09_Withdrawals!C110)</f>
        <v/>
      </c>
      <c r="E1705" s="38" t="str">
        <f>IF(Agent09_Withdrawals!A110="","",Agent09_Withdrawals!D110)</f>
        <v/>
      </c>
      <c r="F1705" s="37" t="str">
        <f>IF(Agent09_Withdrawals!A110="","",Agent09_Withdrawals!F110)</f>
        <v/>
      </c>
      <c r="G1705" s="39" t="str">
        <f>IF(Agent09_Withdrawals!A110="","",Agent09_Withdrawals!E110)</f>
        <v/>
      </c>
      <c r="H1705" s="39" t="str">
        <f>IF(Agent09_Withdrawals!A110="","",Agent09_Withdrawals!G110)</f>
        <v/>
      </c>
      <c r="I1705" s="37" t="str">
        <f>IF(Agent09_Withdrawals!A110="","",Agent09_Withdrawals!H110)</f>
        <v/>
      </c>
      <c r="J1705" s="37" t="str">
        <f>IF(Agent09_Withdrawals!A110="","",Agent09_Withdrawals!J110)</f>
        <v/>
      </c>
      <c r="K1705" s="37" t="str">
        <f>IF(Agent09_Withdrawals!A110="","",Agent09_Withdrawals!K110)</f>
        <v/>
      </c>
      <c r="L1705" s="37" t="str">
        <f>IF(G1705="","",IF(D1705-G1705&gt;=System_Config!$B$9,"✅ OK","⚠️ BREACH"))</f>
        <v/>
      </c>
      <c r="M1705" s="37" t="str">
        <f>IFERROR(IF(Agent09_Withdrawals!A110="","",YEAR(Agent09_Withdrawals!D110)),"")</f>
        <v/>
      </c>
    </row>
    <row r="1706" spans="1:13" ht="18" customHeight="1" x14ac:dyDescent="0.25">
      <c r="A1706" s="37" t="str">
        <f>IF(Agent09_Withdrawals!A111="","",Agent09_Withdrawals!A111)</f>
        <v/>
      </c>
      <c r="B1706" s="37" t="str">
        <f ca="1">IF(Agent09_Withdrawals!A111="","","WD"&amp;TEXT(1706-3,"0000")&amp;"-"&amp;TEXT(TODAY(),"YYYYMMDD"))</f>
        <v/>
      </c>
      <c r="C1706" s="37" t="str">
        <f>IF(Agent09_Withdrawals!A111="","",Agent09_Withdrawals!B111)</f>
        <v/>
      </c>
      <c r="D1706" s="40" t="str">
        <f>IF(Agent09_Withdrawals!A111="","",Agent09_Withdrawals!C111)</f>
        <v/>
      </c>
      <c r="E1706" s="38" t="str">
        <f>IF(Agent09_Withdrawals!A111="","",Agent09_Withdrawals!D111)</f>
        <v/>
      </c>
      <c r="F1706" s="37" t="str">
        <f>IF(Agent09_Withdrawals!A111="","",Agent09_Withdrawals!F111)</f>
        <v/>
      </c>
      <c r="G1706" s="39" t="str">
        <f>IF(Agent09_Withdrawals!A111="","",Agent09_Withdrawals!E111)</f>
        <v/>
      </c>
      <c r="H1706" s="39" t="str">
        <f>IF(Agent09_Withdrawals!A111="","",Agent09_Withdrawals!G111)</f>
        <v/>
      </c>
      <c r="I1706" s="37" t="str">
        <f>IF(Agent09_Withdrawals!A111="","",Agent09_Withdrawals!H111)</f>
        <v/>
      </c>
      <c r="J1706" s="37" t="str">
        <f>IF(Agent09_Withdrawals!A111="","",Agent09_Withdrawals!J111)</f>
        <v/>
      </c>
      <c r="K1706" s="37" t="str">
        <f>IF(Agent09_Withdrawals!A111="","",Agent09_Withdrawals!K111)</f>
        <v/>
      </c>
      <c r="L1706" s="37" t="str">
        <f>IF(G1706="","",IF(D1706-G1706&gt;=System_Config!$B$9,"✅ OK","⚠️ BREACH"))</f>
        <v/>
      </c>
      <c r="M1706" s="37" t="str">
        <f>IFERROR(IF(Agent09_Withdrawals!A111="","",YEAR(Agent09_Withdrawals!D111)),"")</f>
        <v/>
      </c>
    </row>
    <row r="1707" spans="1:13" ht="18" customHeight="1" x14ac:dyDescent="0.25">
      <c r="A1707" s="37" t="str">
        <f>IF(Agent09_Withdrawals!A112="","",Agent09_Withdrawals!A112)</f>
        <v/>
      </c>
      <c r="B1707" s="37" t="str">
        <f ca="1">IF(Agent09_Withdrawals!A112="","","WD"&amp;TEXT(1707-3,"0000")&amp;"-"&amp;TEXT(TODAY(),"YYYYMMDD"))</f>
        <v/>
      </c>
      <c r="C1707" s="37" t="str">
        <f>IF(Agent09_Withdrawals!A112="","",Agent09_Withdrawals!B112)</f>
        <v/>
      </c>
      <c r="D1707" s="40" t="str">
        <f>IF(Agent09_Withdrawals!A112="","",Agent09_Withdrawals!C112)</f>
        <v/>
      </c>
      <c r="E1707" s="38" t="str">
        <f>IF(Agent09_Withdrawals!A112="","",Agent09_Withdrawals!D112)</f>
        <v/>
      </c>
      <c r="F1707" s="37" t="str">
        <f>IF(Agent09_Withdrawals!A112="","",Agent09_Withdrawals!F112)</f>
        <v/>
      </c>
      <c r="G1707" s="39" t="str">
        <f>IF(Agent09_Withdrawals!A112="","",Agent09_Withdrawals!E112)</f>
        <v/>
      </c>
      <c r="H1707" s="39" t="str">
        <f>IF(Agent09_Withdrawals!A112="","",Agent09_Withdrawals!G112)</f>
        <v/>
      </c>
      <c r="I1707" s="37" t="str">
        <f>IF(Agent09_Withdrawals!A112="","",Agent09_Withdrawals!H112)</f>
        <v/>
      </c>
      <c r="J1707" s="37" t="str">
        <f>IF(Agent09_Withdrawals!A112="","",Agent09_Withdrawals!J112)</f>
        <v/>
      </c>
      <c r="K1707" s="37" t="str">
        <f>IF(Agent09_Withdrawals!A112="","",Agent09_Withdrawals!K112)</f>
        <v/>
      </c>
      <c r="L1707" s="37" t="str">
        <f>IF(G1707="","",IF(D1707-G1707&gt;=System_Config!$B$9,"✅ OK","⚠️ BREACH"))</f>
        <v/>
      </c>
      <c r="M1707" s="37" t="str">
        <f>IFERROR(IF(Agent09_Withdrawals!A112="","",YEAR(Agent09_Withdrawals!D112)),"")</f>
        <v/>
      </c>
    </row>
    <row r="1708" spans="1:13" ht="18" customHeight="1" x14ac:dyDescent="0.25">
      <c r="A1708" s="37" t="str">
        <f>IF(Agent09_Withdrawals!A113="","",Agent09_Withdrawals!A113)</f>
        <v/>
      </c>
      <c r="B1708" s="37" t="str">
        <f ca="1">IF(Agent09_Withdrawals!A113="","","WD"&amp;TEXT(1708-3,"0000")&amp;"-"&amp;TEXT(TODAY(),"YYYYMMDD"))</f>
        <v/>
      </c>
      <c r="C1708" s="37" t="str">
        <f>IF(Agent09_Withdrawals!A113="","",Agent09_Withdrawals!B113)</f>
        <v/>
      </c>
      <c r="D1708" s="40" t="str">
        <f>IF(Agent09_Withdrawals!A113="","",Agent09_Withdrawals!C113)</f>
        <v/>
      </c>
      <c r="E1708" s="38" t="str">
        <f>IF(Agent09_Withdrawals!A113="","",Agent09_Withdrawals!D113)</f>
        <v/>
      </c>
      <c r="F1708" s="37" t="str">
        <f>IF(Agent09_Withdrawals!A113="","",Agent09_Withdrawals!F113)</f>
        <v/>
      </c>
      <c r="G1708" s="39" t="str">
        <f>IF(Agent09_Withdrawals!A113="","",Agent09_Withdrawals!E113)</f>
        <v/>
      </c>
      <c r="H1708" s="39" t="str">
        <f>IF(Agent09_Withdrawals!A113="","",Agent09_Withdrawals!G113)</f>
        <v/>
      </c>
      <c r="I1708" s="37" t="str">
        <f>IF(Agent09_Withdrawals!A113="","",Agent09_Withdrawals!H113)</f>
        <v/>
      </c>
      <c r="J1708" s="37" t="str">
        <f>IF(Agent09_Withdrawals!A113="","",Agent09_Withdrawals!J113)</f>
        <v/>
      </c>
      <c r="K1708" s="37" t="str">
        <f>IF(Agent09_Withdrawals!A113="","",Agent09_Withdrawals!K113)</f>
        <v/>
      </c>
      <c r="L1708" s="37" t="str">
        <f>IF(G1708="","",IF(D1708-G1708&gt;=System_Config!$B$9,"✅ OK","⚠️ BREACH"))</f>
        <v/>
      </c>
      <c r="M1708" s="37" t="str">
        <f>IFERROR(IF(Agent09_Withdrawals!A113="","",YEAR(Agent09_Withdrawals!D113)),"")</f>
        <v/>
      </c>
    </row>
    <row r="1709" spans="1:13" ht="18" customHeight="1" x14ac:dyDescent="0.25">
      <c r="A1709" s="37" t="str">
        <f>IF(Agent09_Withdrawals!A114="","",Agent09_Withdrawals!A114)</f>
        <v/>
      </c>
      <c r="B1709" s="37" t="str">
        <f ca="1">IF(Agent09_Withdrawals!A114="","","WD"&amp;TEXT(1709-3,"0000")&amp;"-"&amp;TEXT(TODAY(),"YYYYMMDD"))</f>
        <v/>
      </c>
      <c r="C1709" s="37" t="str">
        <f>IF(Agent09_Withdrawals!A114="","",Agent09_Withdrawals!B114)</f>
        <v/>
      </c>
      <c r="D1709" s="40" t="str">
        <f>IF(Agent09_Withdrawals!A114="","",Agent09_Withdrawals!C114)</f>
        <v/>
      </c>
      <c r="E1709" s="38" t="str">
        <f>IF(Agent09_Withdrawals!A114="","",Agent09_Withdrawals!D114)</f>
        <v/>
      </c>
      <c r="F1709" s="37" t="str">
        <f>IF(Agent09_Withdrawals!A114="","",Agent09_Withdrawals!F114)</f>
        <v/>
      </c>
      <c r="G1709" s="39" t="str">
        <f>IF(Agent09_Withdrawals!A114="","",Agent09_Withdrawals!E114)</f>
        <v/>
      </c>
      <c r="H1709" s="39" t="str">
        <f>IF(Agent09_Withdrawals!A114="","",Agent09_Withdrawals!G114)</f>
        <v/>
      </c>
      <c r="I1709" s="37" t="str">
        <f>IF(Agent09_Withdrawals!A114="","",Agent09_Withdrawals!H114)</f>
        <v/>
      </c>
      <c r="J1709" s="37" t="str">
        <f>IF(Agent09_Withdrawals!A114="","",Agent09_Withdrawals!J114)</f>
        <v/>
      </c>
      <c r="K1709" s="37" t="str">
        <f>IF(Agent09_Withdrawals!A114="","",Agent09_Withdrawals!K114)</f>
        <v/>
      </c>
      <c r="L1709" s="37" t="str">
        <f>IF(G1709="","",IF(D1709-G1709&gt;=System_Config!$B$9,"✅ OK","⚠️ BREACH"))</f>
        <v/>
      </c>
      <c r="M1709" s="37" t="str">
        <f>IFERROR(IF(Agent09_Withdrawals!A114="","",YEAR(Agent09_Withdrawals!D114)),"")</f>
        <v/>
      </c>
    </row>
    <row r="1710" spans="1:13" ht="18" customHeight="1" x14ac:dyDescent="0.25">
      <c r="A1710" s="37" t="str">
        <f>IF(Agent09_Withdrawals!A115="","",Agent09_Withdrawals!A115)</f>
        <v/>
      </c>
      <c r="B1710" s="37" t="str">
        <f ca="1">IF(Agent09_Withdrawals!A115="","","WD"&amp;TEXT(1710-3,"0000")&amp;"-"&amp;TEXT(TODAY(),"YYYYMMDD"))</f>
        <v/>
      </c>
      <c r="C1710" s="37" t="str">
        <f>IF(Agent09_Withdrawals!A115="","",Agent09_Withdrawals!B115)</f>
        <v/>
      </c>
      <c r="D1710" s="40" t="str">
        <f>IF(Agent09_Withdrawals!A115="","",Agent09_Withdrawals!C115)</f>
        <v/>
      </c>
      <c r="E1710" s="38" t="str">
        <f>IF(Agent09_Withdrawals!A115="","",Agent09_Withdrawals!D115)</f>
        <v/>
      </c>
      <c r="F1710" s="37" t="str">
        <f>IF(Agent09_Withdrawals!A115="","",Agent09_Withdrawals!F115)</f>
        <v/>
      </c>
      <c r="G1710" s="39" t="str">
        <f>IF(Agent09_Withdrawals!A115="","",Agent09_Withdrawals!E115)</f>
        <v/>
      </c>
      <c r="H1710" s="39" t="str">
        <f>IF(Agent09_Withdrawals!A115="","",Agent09_Withdrawals!G115)</f>
        <v/>
      </c>
      <c r="I1710" s="37" t="str">
        <f>IF(Agent09_Withdrawals!A115="","",Agent09_Withdrawals!H115)</f>
        <v/>
      </c>
      <c r="J1710" s="37" t="str">
        <f>IF(Agent09_Withdrawals!A115="","",Agent09_Withdrawals!J115)</f>
        <v/>
      </c>
      <c r="K1710" s="37" t="str">
        <f>IF(Agent09_Withdrawals!A115="","",Agent09_Withdrawals!K115)</f>
        <v/>
      </c>
      <c r="L1710" s="37" t="str">
        <f>IF(G1710="","",IF(D1710-G1710&gt;=System_Config!$B$9,"✅ OK","⚠️ BREACH"))</f>
        <v/>
      </c>
      <c r="M1710" s="37" t="str">
        <f>IFERROR(IF(Agent09_Withdrawals!A115="","",YEAR(Agent09_Withdrawals!D115)),"")</f>
        <v/>
      </c>
    </row>
    <row r="1711" spans="1:13" ht="18" customHeight="1" x14ac:dyDescent="0.25">
      <c r="A1711" s="37" t="str">
        <f>IF(Agent09_Withdrawals!A116="","",Agent09_Withdrawals!A116)</f>
        <v/>
      </c>
      <c r="B1711" s="37" t="str">
        <f ca="1">IF(Agent09_Withdrawals!A116="","","WD"&amp;TEXT(1711-3,"0000")&amp;"-"&amp;TEXT(TODAY(),"YYYYMMDD"))</f>
        <v/>
      </c>
      <c r="C1711" s="37" t="str">
        <f>IF(Agent09_Withdrawals!A116="","",Agent09_Withdrawals!B116)</f>
        <v/>
      </c>
      <c r="D1711" s="40" t="str">
        <f>IF(Agent09_Withdrawals!A116="","",Agent09_Withdrawals!C116)</f>
        <v/>
      </c>
      <c r="E1711" s="38" t="str">
        <f>IF(Agent09_Withdrawals!A116="","",Agent09_Withdrawals!D116)</f>
        <v/>
      </c>
      <c r="F1711" s="37" t="str">
        <f>IF(Agent09_Withdrawals!A116="","",Agent09_Withdrawals!F116)</f>
        <v/>
      </c>
      <c r="G1711" s="39" t="str">
        <f>IF(Agent09_Withdrawals!A116="","",Agent09_Withdrawals!E116)</f>
        <v/>
      </c>
      <c r="H1711" s="39" t="str">
        <f>IF(Agent09_Withdrawals!A116="","",Agent09_Withdrawals!G116)</f>
        <v/>
      </c>
      <c r="I1711" s="37" t="str">
        <f>IF(Agent09_Withdrawals!A116="","",Agent09_Withdrawals!H116)</f>
        <v/>
      </c>
      <c r="J1711" s="37" t="str">
        <f>IF(Agent09_Withdrawals!A116="","",Agent09_Withdrawals!J116)</f>
        <v/>
      </c>
      <c r="K1711" s="37" t="str">
        <f>IF(Agent09_Withdrawals!A116="","",Agent09_Withdrawals!K116)</f>
        <v/>
      </c>
      <c r="L1711" s="37" t="str">
        <f>IF(G1711="","",IF(D1711-G1711&gt;=System_Config!$B$9,"✅ OK","⚠️ BREACH"))</f>
        <v/>
      </c>
      <c r="M1711" s="37" t="str">
        <f>IFERROR(IF(Agent09_Withdrawals!A116="","",YEAR(Agent09_Withdrawals!D116)),"")</f>
        <v/>
      </c>
    </row>
    <row r="1712" spans="1:13" ht="18" customHeight="1" x14ac:dyDescent="0.25">
      <c r="A1712" s="37" t="str">
        <f>IF(Agent09_Withdrawals!A117="","",Agent09_Withdrawals!A117)</f>
        <v/>
      </c>
      <c r="B1712" s="37" t="str">
        <f ca="1">IF(Agent09_Withdrawals!A117="","","WD"&amp;TEXT(1712-3,"0000")&amp;"-"&amp;TEXT(TODAY(),"YYYYMMDD"))</f>
        <v/>
      </c>
      <c r="C1712" s="37" t="str">
        <f>IF(Agent09_Withdrawals!A117="","",Agent09_Withdrawals!B117)</f>
        <v/>
      </c>
      <c r="D1712" s="40" t="str">
        <f>IF(Agent09_Withdrawals!A117="","",Agent09_Withdrawals!C117)</f>
        <v/>
      </c>
      <c r="E1712" s="38" t="str">
        <f>IF(Agent09_Withdrawals!A117="","",Agent09_Withdrawals!D117)</f>
        <v/>
      </c>
      <c r="F1712" s="37" t="str">
        <f>IF(Agent09_Withdrawals!A117="","",Agent09_Withdrawals!F117)</f>
        <v/>
      </c>
      <c r="G1712" s="39" t="str">
        <f>IF(Agent09_Withdrawals!A117="","",Agent09_Withdrawals!E117)</f>
        <v/>
      </c>
      <c r="H1712" s="39" t="str">
        <f>IF(Agent09_Withdrawals!A117="","",Agent09_Withdrawals!G117)</f>
        <v/>
      </c>
      <c r="I1712" s="37" t="str">
        <f>IF(Agent09_Withdrawals!A117="","",Agent09_Withdrawals!H117)</f>
        <v/>
      </c>
      <c r="J1712" s="37" t="str">
        <f>IF(Agent09_Withdrawals!A117="","",Agent09_Withdrawals!J117)</f>
        <v/>
      </c>
      <c r="K1712" s="37" t="str">
        <f>IF(Agent09_Withdrawals!A117="","",Agent09_Withdrawals!K117)</f>
        <v/>
      </c>
      <c r="L1712" s="37" t="str">
        <f>IF(G1712="","",IF(D1712-G1712&gt;=System_Config!$B$9,"✅ OK","⚠️ BREACH"))</f>
        <v/>
      </c>
      <c r="M1712" s="37" t="str">
        <f>IFERROR(IF(Agent09_Withdrawals!A117="","",YEAR(Agent09_Withdrawals!D117)),"")</f>
        <v/>
      </c>
    </row>
    <row r="1713" spans="1:13" ht="18" customHeight="1" x14ac:dyDescent="0.25">
      <c r="A1713" s="37" t="str">
        <f>IF(Agent09_Withdrawals!A118="","",Agent09_Withdrawals!A118)</f>
        <v/>
      </c>
      <c r="B1713" s="37" t="str">
        <f ca="1">IF(Agent09_Withdrawals!A118="","","WD"&amp;TEXT(1713-3,"0000")&amp;"-"&amp;TEXT(TODAY(),"YYYYMMDD"))</f>
        <v/>
      </c>
      <c r="C1713" s="37" t="str">
        <f>IF(Agent09_Withdrawals!A118="","",Agent09_Withdrawals!B118)</f>
        <v/>
      </c>
      <c r="D1713" s="40" t="str">
        <f>IF(Agent09_Withdrawals!A118="","",Agent09_Withdrawals!C118)</f>
        <v/>
      </c>
      <c r="E1713" s="38" t="str">
        <f>IF(Agent09_Withdrawals!A118="","",Agent09_Withdrawals!D118)</f>
        <v/>
      </c>
      <c r="F1713" s="37" t="str">
        <f>IF(Agent09_Withdrawals!A118="","",Agent09_Withdrawals!F118)</f>
        <v/>
      </c>
      <c r="G1713" s="39" t="str">
        <f>IF(Agent09_Withdrawals!A118="","",Agent09_Withdrawals!E118)</f>
        <v/>
      </c>
      <c r="H1713" s="39" t="str">
        <f>IF(Agent09_Withdrawals!A118="","",Agent09_Withdrawals!G118)</f>
        <v/>
      </c>
      <c r="I1713" s="37" t="str">
        <f>IF(Agent09_Withdrawals!A118="","",Agent09_Withdrawals!H118)</f>
        <v/>
      </c>
      <c r="J1713" s="37" t="str">
        <f>IF(Agent09_Withdrawals!A118="","",Agent09_Withdrawals!J118)</f>
        <v/>
      </c>
      <c r="K1713" s="37" t="str">
        <f>IF(Agent09_Withdrawals!A118="","",Agent09_Withdrawals!K118)</f>
        <v/>
      </c>
      <c r="L1713" s="37" t="str">
        <f>IF(G1713="","",IF(D1713-G1713&gt;=System_Config!$B$9,"✅ OK","⚠️ BREACH"))</f>
        <v/>
      </c>
      <c r="M1713" s="37" t="str">
        <f>IFERROR(IF(Agent09_Withdrawals!A118="","",YEAR(Agent09_Withdrawals!D118)),"")</f>
        <v/>
      </c>
    </row>
    <row r="1714" spans="1:13" ht="18" customHeight="1" x14ac:dyDescent="0.25">
      <c r="A1714" s="37" t="str">
        <f>IF(Agent09_Withdrawals!A119="","",Agent09_Withdrawals!A119)</f>
        <v/>
      </c>
      <c r="B1714" s="37" t="str">
        <f ca="1">IF(Agent09_Withdrawals!A119="","","WD"&amp;TEXT(1714-3,"0000")&amp;"-"&amp;TEXT(TODAY(),"YYYYMMDD"))</f>
        <v/>
      </c>
      <c r="C1714" s="37" t="str">
        <f>IF(Agent09_Withdrawals!A119="","",Agent09_Withdrawals!B119)</f>
        <v/>
      </c>
      <c r="D1714" s="40" t="str">
        <f>IF(Agent09_Withdrawals!A119="","",Agent09_Withdrawals!C119)</f>
        <v/>
      </c>
      <c r="E1714" s="38" t="str">
        <f>IF(Agent09_Withdrawals!A119="","",Agent09_Withdrawals!D119)</f>
        <v/>
      </c>
      <c r="F1714" s="37" t="str">
        <f>IF(Agent09_Withdrawals!A119="","",Agent09_Withdrawals!F119)</f>
        <v/>
      </c>
      <c r="G1714" s="39" t="str">
        <f>IF(Agent09_Withdrawals!A119="","",Agent09_Withdrawals!E119)</f>
        <v/>
      </c>
      <c r="H1714" s="39" t="str">
        <f>IF(Agent09_Withdrawals!A119="","",Agent09_Withdrawals!G119)</f>
        <v/>
      </c>
      <c r="I1714" s="37" t="str">
        <f>IF(Agent09_Withdrawals!A119="","",Agent09_Withdrawals!H119)</f>
        <v/>
      </c>
      <c r="J1714" s="37" t="str">
        <f>IF(Agent09_Withdrawals!A119="","",Agent09_Withdrawals!J119)</f>
        <v/>
      </c>
      <c r="K1714" s="37" t="str">
        <f>IF(Agent09_Withdrawals!A119="","",Agent09_Withdrawals!K119)</f>
        <v/>
      </c>
      <c r="L1714" s="37" t="str">
        <f>IF(G1714="","",IF(D1714-G1714&gt;=System_Config!$B$9,"✅ OK","⚠️ BREACH"))</f>
        <v/>
      </c>
      <c r="M1714" s="37" t="str">
        <f>IFERROR(IF(Agent09_Withdrawals!A119="","",YEAR(Agent09_Withdrawals!D119)),"")</f>
        <v/>
      </c>
    </row>
    <row r="1715" spans="1:13" ht="18" customHeight="1" x14ac:dyDescent="0.25">
      <c r="A1715" s="37" t="str">
        <f>IF(Agent09_Withdrawals!A120="","",Agent09_Withdrawals!A120)</f>
        <v/>
      </c>
      <c r="B1715" s="37" t="str">
        <f ca="1">IF(Agent09_Withdrawals!A120="","","WD"&amp;TEXT(1715-3,"0000")&amp;"-"&amp;TEXT(TODAY(),"YYYYMMDD"))</f>
        <v/>
      </c>
      <c r="C1715" s="37" t="str">
        <f>IF(Agent09_Withdrawals!A120="","",Agent09_Withdrawals!B120)</f>
        <v/>
      </c>
      <c r="D1715" s="40" t="str">
        <f>IF(Agent09_Withdrawals!A120="","",Agent09_Withdrawals!C120)</f>
        <v/>
      </c>
      <c r="E1715" s="38" t="str">
        <f>IF(Agent09_Withdrawals!A120="","",Agent09_Withdrawals!D120)</f>
        <v/>
      </c>
      <c r="F1715" s="37" t="str">
        <f>IF(Agent09_Withdrawals!A120="","",Agent09_Withdrawals!F120)</f>
        <v/>
      </c>
      <c r="G1715" s="39" t="str">
        <f>IF(Agent09_Withdrawals!A120="","",Agent09_Withdrawals!E120)</f>
        <v/>
      </c>
      <c r="H1715" s="39" t="str">
        <f>IF(Agent09_Withdrawals!A120="","",Agent09_Withdrawals!G120)</f>
        <v/>
      </c>
      <c r="I1715" s="37" t="str">
        <f>IF(Agent09_Withdrawals!A120="","",Agent09_Withdrawals!H120)</f>
        <v/>
      </c>
      <c r="J1715" s="37" t="str">
        <f>IF(Agent09_Withdrawals!A120="","",Agent09_Withdrawals!J120)</f>
        <v/>
      </c>
      <c r="K1715" s="37" t="str">
        <f>IF(Agent09_Withdrawals!A120="","",Agent09_Withdrawals!K120)</f>
        <v/>
      </c>
      <c r="L1715" s="37" t="str">
        <f>IF(G1715="","",IF(D1715-G1715&gt;=System_Config!$B$9,"✅ OK","⚠️ BREACH"))</f>
        <v/>
      </c>
      <c r="M1715" s="37" t="str">
        <f>IFERROR(IF(Agent09_Withdrawals!A120="","",YEAR(Agent09_Withdrawals!D120)),"")</f>
        <v/>
      </c>
    </row>
    <row r="1716" spans="1:13" ht="18" customHeight="1" x14ac:dyDescent="0.25">
      <c r="A1716" s="37" t="str">
        <f>IF(Agent09_Withdrawals!A121="","",Agent09_Withdrawals!A121)</f>
        <v/>
      </c>
      <c r="B1716" s="37" t="str">
        <f ca="1">IF(Agent09_Withdrawals!A121="","","WD"&amp;TEXT(1716-3,"0000")&amp;"-"&amp;TEXT(TODAY(),"YYYYMMDD"))</f>
        <v/>
      </c>
      <c r="C1716" s="37" t="str">
        <f>IF(Agent09_Withdrawals!A121="","",Agent09_Withdrawals!B121)</f>
        <v/>
      </c>
      <c r="D1716" s="40" t="str">
        <f>IF(Agent09_Withdrawals!A121="","",Agent09_Withdrawals!C121)</f>
        <v/>
      </c>
      <c r="E1716" s="38" t="str">
        <f>IF(Agent09_Withdrawals!A121="","",Agent09_Withdrawals!D121)</f>
        <v/>
      </c>
      <c r="F1716" s="37" t="str">
        <f>IF(Agent09_Withdrawals!A121="","",Agent09_Withdrawals!F121)</f>
        <v/>
      </c>
      <c r="G1716" s="39" t="str">
        <f>IF(Agent09_Withdrawals!A121="","",Agent09_Withdrawals!E121)</f>
        <v/>
      </c>
      <c r="H1716" s="39" t="str">
        <f>IF(Agent09_Withdrawals!A121="","",Agent09_Withdrawals!G121)</f>
        <v/>
      </c>
      <c r="I1716" s="37" t="str">
        <f>IF(Agent09_Withdrawals!A121="","",Agent09_Withdrawals!H121)</f>
        <v/>
      </c>
      <c r="J1716" s="37" t="str">
        <f>IF(Agent09_Withdrawals!A121="","",Agent09_Withdrawals!J121)</f>
        <v/>
      </c>
      <c r="K1716" s="37" t="str">
        <f>IF(Agent09_Withdrawals!A121="","",Agent09_Withdrawals!K121)</f>
        <v/>
      </c>
      <c r="L1716" s="37" t="str">
        <f>IF(G1716="","",IF(D1716-G1716&gt;=System_Config!$B$9,"✅ OK","⚠️ BREACH"))</f>
        <v/>
      </c>
      <c r="M1716" s="37" t="str">
        <f>IFERROR(IF(Agent09_Withdrawals!A121="","",YEAR(Agent09_Withdrawals!D121)),"")</f>
        <v/>
      </c>
    </row>
    <row r="1717" spans="1:13" ht="18" customHeight="1" x14ac:dyDescent="0.25">
      <c r="A1717" s="37" t="str">
        <f>IF(Agent09_Withdrawals!A122="","",Agent09_Withdrawals!A122)</f>
        <v/>
      </c>
      <c r="B1717" s="37" t="str">
        <f ca="1">IF(Agent09_Withdrawals!A122="","","WD"&amp;TEXT(1717-3,"0000")&amp;"-"&amp;TEXT(TODAY(),"YYYYMMDD"))</f>
        <v/>
      </c>
      <c r="C1717" s="37" t="str">
        <f>IF(Agent09_Withdrawals!A122="","",Agent09_Withdrawals!B122)</f>
        <v/>
      </c>
      <c r="D1717" s="40" t="str">
        <f>IF(Agent09_Withdrawals!A122="","",Agent09_Withdrawals!C122)</f>
        <v/>
      </c>
      <c r="E1717" s="38" t="str">
        <f>IF(Agent09_Withdrawals!A122="","",Agent09_Withdrawals!D122)</f>
        <v/>
      </c>
      <c r="F1717" s="37" t="str">
        <f>IF(Agent09_Withdrawals!A122="","",Agent09_Withdrawals!F122)</f>
        <v/>
      </c>
      <c r="G1717" s="39" t="str">
        <f>IF(Agent09_Withdrawals!A122="","",Agent09_Withdrawals!E122)</f>
        <v/>
      </c>
      <c r="H1717" s="39" t="str">
        <f>IF(Agent09_Withdrawals!A122="","",Agent09_Withdrawals!G122)</f>
        <v/>
      </c>
      <c r="I1717" s="37" t="str">
        <f>IF(Agent09_Withdrawals!A122="","",Agent09_Withdrawals!H122)</f>
        <v/>
      </c>
      <c r="J1717" s="37" t="str">
        <f>IF(Agent09_Withdrawals!A122="","",Agent09_Withdrawals!J122)</f>
        <v/>
      </c>
      <c r="K1717" s="37" t="str">
        <f>IF(Agent09_Withdrawals!A122="","",Agent09_Withdrawals!K122)</f>
        <v/>
      </c>
      <c r="L1717" s="37" t="str">
        <f>IF(G1717="","",IF(D1717-G1717&gt;=System_Config!$B$9,"✅ OK","⚠️ BREACH"))</f>
        <v/>
      </c>
      <c r="M1717" s="37" t="str">
        <f>IFERROR(IF(Agent09_Withdrawals!A122="","",YEAR(Agent09_Withdrawals!D122)),"")</f>
        <v/>
      </c>
    </row>
    <row r="1718" spans="1:13" ht="18" customHeight="1" x14ac:dyDescent="0.25">
      <c r="A1718" s="37" t="str">
        <f>IF(Agent09_Withdrawals!A123="","",Agent09_Withdrawals!A123)</f>
        <v/>
      </c>
      <c r="B1718" s="37" t="str">
        <f ca="1">IF(Agent09_Withdrawals!A123="","","WD"&amp;TEXT(1718-3,"0000")&amp;"-"&amp;TEXT(TODAY(),"YYYYMMDD"))</f>
        <v/>
      </c>
      <c r="C1718" s="37" t="str">
        <f>IF(Agent09_Withdrawals!A123="","",Agent09_Withdrawals!B123)</f>
        <v/>
      </c>
      <c r="D1718" s="40" t="str">
        <f>IF(Agent09_Withdrawals!A123="","",Agent09_Withdrawals!C123)</f>
        <v/>
      </c>
      <c r="E1718" s="38" t="str">
        <f>IF(Agent09_Withdrawals!A123="","",Agent09_Withdrawals!D123)</f>
        <v/>
      </c>
      <c r="F1718" s="37" t="str">
        <f>IF(Agent09_Withdrawals!A123="","",Agent09_Withdrawals!F123)</f>
        <v/>
      </c>
      <c r="G1718" s="39" t="str">
        <f>IF(Agent09_Withdrawals!A123="","",Agent09_Withdrawals!E123)</f>
        <v/>
      </c>
      <c r="H1718" s="39" t="str">
        <f>IF(Agent09_Withdrawals!A123="","",Agent09_Withdrawals!G123)</f>
        <v/>
      </c>
      <c r="I1718" s="37" t="str">
        <f>IF(Agent09_Withdrawals!A123="","",Agent09_Withdrawals!H123)</f>
        <v/>
      </c>
      <c r="J1718" s="37" t="str">
        <f>IF(Agent09_Withdrawals!A123="","",Agent09_Withdrawals!J123)</f>
        <v/>
      </c>
      <c r="K1718" s="37" t="str">
        <f>IF(Agent09_Withdrawals!A123="","",Agent09_Withdrawals!K123)</f>
        <v/>
      </c>
      <c r="L1718" s="37" t="str">
        <f>IF(G1718="","",IF(D1718-G1718&gt;=System_Config!$B$9,"✅ OK","⚠️ BREACH"))</f>
        <v/>
      </c>
      <c r="M1718" s="37" t="str">
        <f>IFERROR(IF(Agent09_Withdrawals!A123="","",YEAR(Agent09_Withdrawals!D123)),"")</f>
        <v/>
      </c>
    </row>
    <row r="1719" spans="1:13" ht="18" customHeight="1" x14ac:dyDescent="0.25">
      <c r="A1719" s="37" t="str">
        <f>IF(Agent09_Withdrawals!A124="","",Agent09_Withdrawals!A124)</f>
        <v/>
      </c>
      <c r="B1719" s="37" t="str">
        <f ca="1">IF(Agent09_Withdrawals!A124="","","WD"&amp;TEXT(1719-3,"0000")&amp;"-"&amp;TEXT(TODAY(),"YYYYMMDD"))</f>
        <v/>
      </c>
      <c r="C1719" s="37" t="str">
        <f>IF(Agent09_Withdrawals!A124="","",Agent09_Withdrawals!B124)</f>
        <v/>
      </c>
      <c r="D1719" s="40" t="str">
        <f>IF(Agent09_Withdrawals!A124="","",Agent09_Withdrawals!C124)</f>
        <v/>
      </c>
      <c r="E1719" s="38" t="str">
        <f>IF(Agent09_Withdrawals!A124="","",Agent09_Withdrawals!D124)</f>
        <v/>
      </c>
      <c r="F1719" s="37" t="str">
        <f>IF(Agent09_Withdrawals!A124="","",Agent09_Withdrawals!F124)</f>
        <v/>
      </c>
      <c r="G1719" s="39" t="str">
        <f>IF(Agent09_Withdrawals!A124="","",Agent09_Withdrawals!E124)</f>
        <v/>
      </c>
      <c r="H1719" s="39" t="str">
        <f>IF(Agent09_Withdrawals!A124="","",Agent09_Withdrawals!G124)</f>
        <v/>
      </c>
      <c r="I1719" s="37" t="str">
        <f>IF(Agent09_Withdrawals!A124="","",Agent09_Withdrawals!H124)</f>
        <v/>
      </c>
      <c r="J1719" s="37" t="str">
        <f>IF(Agent09_Withdrawals!A124="","",Agent09_Withdrawals!J124)</f>
        <v/>
      </c>
      <c r="K1719" s="37" t="str">
        <f>IF(Agent09_Withdrawals!A124="","",Agent09_Withdrawals!K124)</f>
        <v/>
      </c>
      <c r="L1719" s="37" t="str">
        <f>IF(G1719="","",IF(D1719-G1719&gt;=System_Config!$B$9,"✅ OK","⚠️ BREACH"))</f>
        <v/>
      </c>
      <c r="M1719" s="37" t="str">
        <f>IFERROR(IF(Agent09_Withdrawals!A124="","",YEAR(Agent09_Withdrawals!D124)),"")</f>
        <v/>
      </c>
    </row>
    <row r="1720" spans="1:13" ht="18" customHeight="1" x14ac:dyDescent="0.25">
      <c r="A1720" s="37" t="str">
        <f>IF(Agent09_Withdrawals!A125="","",Agent09_Withdrawals!A125)</f>
        <v/>
      </c>
      <c r="B1720" s="37" t="str">
        <f ca="1">IF(Agent09_Withdrawals!A125="","","WD"&amp;TEXT(1720-3,"0000")&amp;"-"&amp;TEXT(TODAY(),"YYYYMMDD"))</f>
        <v/>
      </c>
      <c r="C1720" s="37" t="str">
        <f>IF(Agent09_Withdrawals!A125="","",Agent09_Withdrawals!B125)</f>
        <v/>
      </c>
      <c r="D1720" s="40" t="str">
        <f>IF(Agent09_Withdrawals!A125="","",Agent09_Withdrawals!C125)</f>
        <v/>
      </c>
      <c r="E1720" s="38" t="str">
        <f>IF(Agent09_Withdrawals!A125="","",Agent09_Withdrawals!D125)</f>
        <v/>
      </c>
      <c r="F1720" s="37" t="str">
        <f>IF(Agent09_Withdrawals!A125="","",Agent09_Withdrawals!F125)</f>
        <v/>
      </c>
      <c r="G1720" s="39" t="str">
        <f>IF(Agent09_Withdrawals!A125="","",Agent09_Withdrawals!E125)</f>
        <v/>
      </c>
      <c r="H1720" s="39" t="str">
        <f>IF(Agent09_Withdrawals!A125="","",Agent09_Withdrawals!G125)</f>
        <v/>
      </c>
      <c r="I1720" s="37" t="str">
        <f>IF(Agent09_Withdrawals!A125="","",Agent09_Withdrawals!H125)</f>
        <v/>
      </c>
      <c r="J1720" s="37" t="str">
        <f>IF(Agent09_Withdrawals!A125="","",Agent09_Withdrawals!J125)</f>
        <v/>
      </c>
      <c r="K1720" s="37" t="str">
        <f>IF(Agent09_Withdrawals!A125="","",Agent09_Withdrawals!K125)</f>
        <v/>
      </c>
      <c r="L1720" s="37" t="str">
        <f>IF(G1720="","",IF(D1720-G1720&gt;=System_Config!$B$9,"✅ OK","⚠️ BREACH"))</f>
        <v/>
      </c>
      <c r="M1720" s="37" t="str">
        <f>IFERROR(IF(Agent09_Withdrawals!A125="","",YEAR(Agent09_Withdrawals!D125)),"")</f>
        <v/>
      </c>
    </row>
    <row r="1721" spans="1:13" ht="18" customHeight="1" x14ac:dyDescent="0.25">
      <c r="A1721" s="37" t="str">
        <f>IF(Agent09_Withdrawals!A126="","",Agent09_Withdrawals!A126)</f>
        <v/>
      </c>
      <c r="B1721" s="37" t="str">
        <f ca="1">IF(Agent09_Withdrawals!A126="","","WD"&amp;TEXT(1721-3,"0000")&amp;"-"&amp;TEXT(TODAY(),"YYYYMMDD"))</f>
        <v/>
      </c>
      <c r="C1721" s="37" t="str">
        <f>IF(Agent09_Withdrawals!A126="","",Agent09_Withdrawals!B126)</f>
        <v/>
      </c>
      <c r="D1721" s="40" t="str">
        <f>IF(Agent09_Withdrawals!A126="","",Agent09_Withdrawals!C126)</f>
        <v/>
      </c>
      <c r="E1721" s="38" t="str">
        <f>IF(Agent09_Withdrawals!A126="","",Agent09_Withdrawals!D126)</f>
        <v/>
      </c>
      <c r="F1721" s="37" t="str">
        <f>IF(Agent09_Withdrawals!A126="","",Agent09_Withdrawals!F126)</f>
        <v/>
      </c>
      <c r="G1721" s="39" t="str">
        <f>IF(Agent09_Withdrawals!A126="","",Agent09_Withdrawals!E126)</f>
        <v/>
      </c>
      <c r="H1721" s="39" t="str">
        <f>IF(Agent09_Withdrawals!A126="","",Agent09_Withdrawals!G126)</f>
        <v/>
      </c>
      <c r="I1721" s="37" t="str">
        <f>IF(Agent09_Withdrawals!A126="","",Agent09_Withdrawals!H126)</f>
        <v/>
      </c>
      <c r="J1721" s="37" t="str">
        <f>IF(Agent09_Withdrawals!A126="","",Agent09_Withdrawals!J126)</f>
        <v/>
      </c>
      <c r="K1721" s="37" t="str">
        <f>IF(Agent09_Withdrawals!A126="","",Agent09_Withdrawals!K126)</f>
        <v/>
      </c>
      <c r="L1721" s="37" t="str">
        <f>IF(G1721="","",IF(D1721-G1721&gt;=System_Config!$B$9,"✅ OK","⚠️ BREACH"))</f>
        <v/>
      </c>
      <c r="M1721" s="37" t="str">
        <f>IFERROR(IF(Agent09_Withdrawals!A126="","",YEAR(Agent09_Withdrawals!D126)),"")</f>
        <v/>
      </c>
    </row>
    <row r="1722" spans="1:13" ht="18" customHeight="1" x14ac:dyDescent="0.25">
      <c r="A1722" s="37" t="str">
        <f>IF(Agent09_Withdrawals!A127="","",Agent09_Withdrawals!A127)</f>
        <v/>
      </c>
      <c r="B1722" s="37" t="str">
        <f ca="1">IF(Agent09_Withdrawals!A127="","","WD"&amp;TEXT(1722-3,"0000")&amp;"-"&amp;TEXT(TODAY(),"YYYYMMDD"))</f>
        <v/>
      </c>
      <c r="C1722" s="37" t="str">
        <f>IF(Agent09_Withdrawals!A127="","",Agent09_Withdrawals!B127)</f>
        <v/>
      </c>
      <c r="D1722" s="40" t="str">
        <f>IF(Agent09_Withdrawals!A127="","",Agent09_Withdrawals!C127)</f>
        <v/>
      </c>
      <c r="E1722" s="38" t="str">
        <f>IF(Agent09_Withdrawals!A127="","",Agent09_Withdrawals!D127)</f>
        <v/>
      </c>
      <c r="F1722" s="37" t="str">
        <f>IF(Agent09_Withdrawals!A127="","",Agent09_Withdrawals!F127)</f>
        <v/>
      </c>
      <c r="G1722" s="39" t="str">
        <f>IF(Agent09_Withdrawals!A127="","",Agent09_Withdrawals!E127)</f>
        <v/>
      </c>
      <c r="H1722" s="39" t="str">
        <f>IF(Agent09_Withdrawals!A127="","",Agent09_Withdrawals!G127)</f>
        <v/>
      </c>
      <c r="I1722" s="37" t="str">
        <f>IF(Agent09_Withdrawals!A127="","",Agent09_Withdrawals!H127)</f>
        <v/>
      </c>
      <c r="J1722" s="37" t="str">
        <f>IF(Agent09_Withdrawals!A127="","",Agent09_Withdrawals!J127)</f>
        <v/>
      </c>
      <c r="K1722" s="37" t="str">
        <f>IF(Agent09_Withdrawals!A127="","",Agent09_Withdrawals!K127)</f>
        <v/>
      </c>
      <c r="L1722" s="37" t="str">
        <f>IF(G1722="","",IF(D1722-G1722&gt;=System_Config!$B$9,"✅ OK","⚠️ BREACH"))</f>
        <v/>
      </c>
      <c r="M1722" s="37" t="str">
        <f>IFERROR(IF(Agent09_Withdrawals!A127="","",YEAR(Agent09_Withdrawals!D127)),"")</f>
        <v/>
      </c>
    </row>
    <row r="1723" spans="1:13" ht="18" customHeight="1" x14ac:dyDescent="0.25">
      <c r="A1723" s="37" t="str">
        <f>IF(Agent09_Withdrawals!A128="","",Agent09_Withdrawals!A128)</f>
        <v/>
      </c>
      <c r="B1723" s="37" t="str">
        <f ca="1">IF(Agent09_Withdrawals!A128="","","WD"&amp;TEXT(1723-3,"0000")&amp;"-"&amp;TEXT(TODAY(),"YYYYMMDD"))</f>
        <v/>
      </c>
      <c r="C1723" s="37" t="str">
        <f>IF(Agent09_Withdrawals!A128="","",Agent09_Withdrawals!B128)</f>
        <v/>
      </c>
      <c r="D1723" s="40" t="str">
        <f>IF(Agent09_Withdrawals!A128="","",Agent09_Withdrawals!C128)</f>
        <v/>
      </c>
      <c r="E1723" s="38" t="str">
        <f>IF(Agent09_Withdrawals!A128="","",Agent09_Withdrawals!D128)</f>
        <v/>
      </c>
      <c r="F1723" s="37" t="str">
        <f>IF(Agent09_Withdrawals!A128="","",Agent09_Withdrawals!F128)</f>
        <v/>
      </c>
      <c r="G1723" s="39" t="str">
        <f>IF(Agent09_Withdrawals!A128="","",Agent09_Withdrawals!E128)</f>
        <v/>
      </c>
      <c r="H1723" s="39" t="str">
        <f>IF(Agent09_Withdrawals!A128="","",Agent09_Withdrawals!G128)</f>
        <v/>
      </c>
      <c r="I1723" s="37" t="str">
        <f>IF(Agent09_Withdrawals!A128="","",Agent09_Withdrawals!H128)</f>
        <v/>
      </c>
      <c r="J1723" s="37" t="str">
        <f>IF(Agent09_Withdrawals!A128="","",Agent09_Withdrawals!J128)</f>
        <v/>
      </c>
      <c r="K1723" s="37" t="str">
        <f>IF(Agent09_Withdrawals!A128="","",Agent09_Withdrawals!K128)</f>
        <v/>
      </c>
      <c r="L1723" s="37" t="str">
        <f>IF(G1723="","",IF(D1723-G1723&gt;=System_Config!$B$9,"✅ OK","⚠️ BREACH"))</f>
        <v/>
      </c>
      <c r="M1723" s="37" t="str">
        <f>IFERROR(IF(Agent09_Withdrawals!A128="","",YEAR(Agent09_Withdrawals!D128)),"")</f>
        <v/>
      </c>
    </row>
    <row r="1724" spans="1:13" ht="18" customHeight="1" x14ac:dyDescent="0.25">
      <c r="A1724" s="37" t="str">
        <f>IF(Agent09_Withdrawals!A129="","",Agent09_Withdrawals!A129)</f>
        <v/>
      </c>
      <c r="B1724" s="37" t="str">
        <f ca="1">IF(Agent09_Withdrawals!A129="","","WD"&amp;TEXT(1724-3,"0000")&amp;"-"&amp;TEXT(TODAY(),"YYYYMMDD"))</f>
        <v/>
      </c>
      <c r="C1724" s="37" t="str">
        <f>IF(Agent09_Withdrawals!A129="","",Agent09_Withdrawals!B129)</f>
        <v/>
      </c>
      <c r="D1724" s="40" t="str">
        <f>IF(Agent09_Withdrawals!A129="","",Agent09_Withdrawals!C129)</f>
        <v/>
      </c>
      <c r="E1724" s="38" t="str">
        <f>IF(Agent09_Withdrawals!A129="","",Agent09_Withdrawals!D129)</f>
        <v/>
      </c>
      <c r="F1724" s="37" t="str">
        <f>IF(Agent09_Withdrawals!A129="","",Agent09_Withdrawals!F129)</f>
        <v/>
      </c>
      <c r="G1724" s="39" t="str">
        <f>IF(Agent09_Withdrawals!A129="","",Agent09_Withdrawals!E129)</f>
        <v/>
      </c>
      <c r="H1724" s="39" t="str">
        <f>IF(Agent09_Withdrawals!A129="","",Agent09_Withdrawals!G129)</f>
        <v/>
      </c>
      <c r="I1724" s="37" t="str">
        <f>IF(Agent09_Withdrawals!A129="","",Agent09_Withdrawals!H129)</f>
        <v/>
      </c>
      <c r="J1724" s="37" t="str">
        <f>IF(Agent09_Withdrawals!A129="","",Agent09_Withdrawals!J129)</f>
        <v/>
      </c>
      <c r="K1724" s="37" t="str">
        <f>IF(Agent09_Withdrawals!A129="","",Agent09_Withdrawals!K129)</f>
        <v/>
      </c>
      <c r="L1724" s="37" t="str">
        <f>IF(G1724="","",IF(D1724-G1724&gt;=System_Config!$B$9,"✅ OK","⚠️ BREACH"))</f>
        <v/>
      </c>
      <c r="M1724" s="37" t="str">
        <f>IFERROR(IF(Agent09_Withdrawals!A129="","",YEAR(Agent09_Withdrawals!D129)),"")</f>
        <v/>
      </c>
    </row>
    <row r="1725" spans="1:13" ht="18" customHeight="1" x14ac:dyDescent="0.25">
      <c r="A1725" s="37" t="str">
        <f>IF(Agent09_Withdrawals!A130="","",Agent09_Withdrawals!A130)</f>
        <v/>
      </c>
      <c r="B1725" s="37" t="str">
        <f ca="1">IF(Agent09_Withdrawals!A130="","","WD"&amp;TEXT(1725-3,"0000")&amp;"-"&amp;TEXT(TODAY(),"YYYYMMDD"))</f>
        <v/>
      </c>
      <c r="C1725" s="37" t="str">
        <f>IF(Agent09_Withdrawals!A130="","",Agent09_Withdrawals!B130)</f>
        <v/>
      </c>
      <c r="D1725" s="40" t="str">
        <f>IF(Agent09_Withdrawals!A130="","",Agent09_Withdrawals!C130)</f>
        <v/>
      </c>
      <c r="E1725" s="38" t="str">
        <f>IF(Agent09_Withdrawals!A130="","",Agent09_Withdrawals!D130)</f>
        <v/>
      </c>
      <c r="F1725" s="37" t="str">
        <f>IF(Agent09_Withdrawals!A130="","",Agent09_Withdrawals!F130)</f>
        <v/>
      </c>
      <c r="G1725" s="39" t="str">
        <f>IF(Agent09_Withdrawals!A130="","",Agent09_Withdrawals!E130)</f>
        <v/>
      </c>
      <c r="H1725" s="39" t="str">
        <f>IF(Agent09_Withdrawals!A130="","",Agent09_Withdrawals!G130)</f>
        <v/>
      </c>
      <c r="I1725" s="37" t="str">
        <f>IF(Agent09_Withdrawals!A130="","",Agent09_Withdrawals!H130)</f>
        <v/>
      </c>
      <c r="J1725" s="37" t="str">
        <f>IF(Agent09_Withdrawals!A130="","",Agent09_Withdrawals!J130)</f>
        <v/>
      </c>
      <c r="K1725" s="37" t="str">
        <f>IF(Agent09_Withdrawals!A130="","",Agent09_Withdrawals!K130)</f>
        <v/>
      </c>
      <c r="L1725" s="37" t="str">
        <f>IF(G1725="","",IF(D1725-G1725&gt;=System_Config!$B$9,"✅ OK","⚠️ BREACH"))</f>
        <v/>
      </c>
      <c r="M1725" s="37" t="str">
        <f>IFERROR(IF(Agent09_Withdrawals!A130="","",YEAR(Agent09_Withdrawals!D130)),"")</f>
        <v/>
      </c>
    </row>
    <row r="1726" spans="1:13" ht="18" customHeight="1" x14ac:dyDescent="0.25">
      <c r="A1726" s="37" t="str">
        <f>IF(Agent09_Withdrawals!A131="","",Agent09_Withdrawals!A131)</f>
        <v/>
      </c>
      <c r="B1726" s="37" t="str">
        <f ca="1">IF(Agent09_Withdrawals!A131="","","WD"&amp;TEXT(1726-3,"0000")&amp;"-"&amp;TEXT(TODAY(),"YYYYMMDD"))</f>
        <v/>
      </c>
      <c r="C1726" s="37" t="str">
        <f>IF(Agent09_Withdrawals!A131="","",Agent09_Withdrawals!B131)</f>
        <v/>
      </c>
      <c r="D1726" s="40" t="str">
        <f>IF(Agent09_Withdrawals!A131="","",Agent09_Withdrawals!C131)</f>
        <v/>
      </c>
      <c r="E1726" s="38" t="str">
        <f>IF(Agent09_Withdrawals!A131="","",Agent09_Withdrawals!D131)</f>
        <v/>
      </c>
      <c r="F1726" s="37" t="str">
        <f>IF(Agent09_Withdrawals!A131="","",Agent09_Withdrawals!F131)</f>
        <v/>
      </c>
      <c r="G1726" s="39" t="str">
        <f>IF(Agent09_Withdrawals!A131="","",Agent09_Withdrawals!E131)</f>
        <v/>
      </c>
      <c r="H1726" s="39" t="str">
        <f>IF(Agent09_Withdrawals!A131="","",Agent09_Withdrawals!G131)</f>
        <v/>
      </c>
      <c r="I1726" s="37" t="str">
        <f>IF(Agent09_Withdrawals!A131="","",Agent09_Withdrawals!H131)</f>
        <v/>
      </c>
      <c r="J1726" s="37" t="str">
        <f>IF(Agent09_Withdrawals!A131="","",Agent09_Withdrawals!J131)</f>
        <v/>
      </c>
      <c r="K1726" s="37" t="str">
        <f>IF(Agent09_Withdrawals!A131="","",Agent09_Withdrawals!K131)</f>
        <v/>
      </c>
      <c r="L1726" s="37" t="str">
        <f>IF(G1726="","",IF(D1726-G1726&gt;=System_Config!$B$9,"✅ OK","⚠️ BREACH"))</f>
        <v/>
      </c>
      <c r="M1726" s="37" t="str">
        <f>IFERROR(IF(Agent09_Withdrawals!A131="","",YEAR(Agent09_Withdrawals!D131)),"")</f>
        <v/>
      </c>
    </row>
    <row r="1727" spans="1:13" ht="18" customHeight="1" x14ac:dyDescent="0.25">
      <c r="A1727" s="37" t="str">
        <f>IF(Agent09_Withdrawals!A132="","",Agent09_Withdrawals!A132)</f>
        <v/>
      </c>
      <c r="B1727" s="37" t="str">
        <f ca="1">IF(Agent09_Withdrawals!A132="","","WD"&amp;TEXT(1727-3,"0000")&amp;"-"&amp;TEXT(TODAY(),"YYYYMMDD"))</f>
        <v/>
      </c>
      <c r="C1727" s="37" t="str">
        <f>IF(Agent09_Withdrawals!A132="","",Agent09_Withdrawals!B132)</f>
        <v/>
      </c>
      <c r="D1727" s="40" t="str">
        <f>IF(Agent09_Withdrawals!A132="","",Agent09_Withdrawals!C132)</f>
        <v/>
      </c>
      <c r="E1727" s="38" t="str">
        <f>IF(Agent09_Withdrawals!A132="","",Agent09_Withdrawals!D132)</f>
        <v/>
      </c>
      <c r="F1727" s="37" t="str">
        <f>IF(Agent09_Withdrawals!A132="","",Agent09_Withdrawals!F132)</f>
        <v/>
      </c>
      <c r="G1727" s="39" t="str">
        <f>IF(Agent09_Withdrawals!A132="","",Agent09_Withdrawals!E132)</f>
        <v/>
      </c>
      <c r="H1727" s="39" t="str">
        <f>IF(Agent09_Withdrawals!A132="","",Agent09_Withdrawals!G132)</f>
        <v/>
      </c>
      <c r="I1727" s="37" t="str">
        <f>IF(Agent09_Withdrawals!A132="","",Agent09_Withdrawals!H132)</f>
        <v/>
      </c>
      <c r="J1727" s="37" t="str">
        <f>IF(Agent09_Withdrawals!A132="","",Agent09_Withdrawals!J132)</f>
        <v/>
      </c>
      <c r="K1727" s="37" t="str">
        <f>IF(Agent09_Withdrawals!A132="","",Agent09_Withdrawals!K132)</f>
        <v/>
      </c>
      <c r="L1727" s="37" t="str">
        <f>IF(G1727="","",IF(D1727-G1727&gt;=System_Config!$B$9,"✅ OK","⚠️ BREACH"))</f>
        <v/>
      </c>
      <c r="M1727" s="37" t="str">
        <f>IFERROR(IF(Agent09_Withdrawals!A132="","",YEAR(Agent09_Withdrawals!D132)),"")</f>
        <v/>
      </c>
    </row>
    <row r="1728" spans="1:13" ht="18" customHeight="1" x14ac:dyDescent="0.25">
      <c r="A1728" s="37" t="str">
        <f>IF(Agent09_Withdrawals!A133="","",Agent09_Withdrawals!A133)</f>
        <v/>
      </c>
      <c r="B1728" s="37" t="str">
        <f ca="1">IF(Agent09_Withdrawals!A133="","","WD"&amp;TEXT(1728-3,"0000")&amp;"-"&amp;TEXT(TODAY(),"YYYYMMDD"))</f>
        <v/>
      </c>
      <c r="C1728" s="37" t="str">
        <f>IF(Agent09_Withdrawals!A133="","",Agent09_Withdrawals!B133)</f>
        <v/>
      </c>
      <c r="D1728" s="40" t="str">
        <f>IF(Agent09_Withdrawals!A133="","",Agent09_Withdrawals!C133)</f>
        <v/>
      </c>
      <c r="E1728" s="38" t="str">
        <f>IF(Agent09_Withdrawals!A133="","",Agent09_Withdrawals!D133)</f>
        <v/>
      </c>
      <c r="F1728" s="37" t="str">
        <f>IF(Agent09_Withdrawals!A133="","",Agent09_Withdrawals!F133)</f>
        <v/>
      </c>
      <c r="G1728" s="39" t="str">
        <f>IF(Agent09_Withdrawals!A133="","",Agent09_Withdrawals!E133)</f>
        <v/>
      </c>
      <c r="H1728" s="39" t="str">
        <f>IF(Agent09_Withdrawals!A133="","",Agent09_Withdrawals!G133)</f>
        <v/>
      </c>
      <c r="I1728" s="37" t="str">
        <f>IF(Agent09_Withdrawals!A133="","",Agent09_Withdrawals!H133)</f>
        <v/>
      </c>
      <c r="J1728" s="37" t="str">
        <f>IF(Agent09_Withdrawals!A133="","",Agent09_Withdrawals!J133)</f>
        <v/>
      </c>
      <c r="K1728" s="37" t="str">
        <f>IF(Agent09_Withdrawals!A133="","",Agent09_Withdrawals!K133)</f>
        <v/>
      </c>
      <c r="L1728" s="37" t="str">
        <f>IF(G1728="","",IF(D1728-G1728&gt;=System_Config!$B$9,"✅ OK","⚠️ BREACH"))</f>
        <v/>
      </c>
      <c r="M1728" s="37" t="str">
        <f>IFERROR(IF(Agent09_Withdrawals!A133="","",YEAR(Agent09_Withdrawals!D133)),"")</f>
        <v/>
      </c>
    </row>
    <row r="1729" spans="1:13" ht="18" customHeight="1" x14ac:dyDescent="0.25">
      <c r="A1729" s="37" t="str">
        <f>IF(Agent09_Withdrawals!A134="","",Agent09_Withdrawals!A134)</f>
        <v/>
      </c>
      <c r="B1729" s="37" t="str">
        <f ca="1">IF(Agent09_Withdrawals!A134="","","WD"&amp;TEXT(1729-3,"0000")&amp;"-"&amp;TEXT(TODAY(),"YYYYMMDD"))</f>
        <v/>
      </c>
      <c r="C1729" s="37" t="str">
        <f>IF(Agent09_Withdrawals!A134="","",Agent09_Withdrawals!B134)</f>
        <v/>
      </c>
      <c r="D1729" s="40" t="str">
        <f>IF(Agent09_Withdrawals!A134="","",Agent09_Withdrawals!C134)</f>
        <v/>
      </c>
      <c r="E1729" s="38" t="str">
        <f>IF(Agent09_Withdrawals!A134="","",Agent09_Withdrawals!D134)</f>
        <v/>
      </c>
      <c r="F1729" s="37" t="str">
        <f>IF(Agent09_Withdrawals!A134="","",Agent09_Withdrawals!F134)</f>
        <v/>
      </c>
      <c r="G1729" s="39" t="str">
        <f>IF(Agent09_Withdrawals!A134="","",Agent09_Withdrawals!E134)</f>
        <v/>
      </c>
      <c r="H1729" s="39" t="str">
        <f>IF(Agent09_Withdrawals!A134="","",Agent09_Withdrawals!G134)</f>
        <v/>
      </c>
      <c r="I1729" s="37" t="str">
        <f>IF(Agent09_Withdrawals!A134="","",Agent09_Withdrawals!H134)</f>
        <v/>
      </c>
      <c r="J1729" s="37" t="str">
        <f>IF(Agent09_Withdrawals!A134="","",Agent09_Withdrawals!J134)</f>
        <v/>
      </c>
      <c r="K1729" s="37" t="str">
        <f>IF(Agent09_Withdrawals!A134="","",Agent09_Withdrawals!K134)</f>
        <v/>
      </c>
      <c r="L1729" s="37" t="str">
        <f>IF(G1729="","",IF(D1729-G1729&gt;=System_Config!$B$9,"✅ OK","⚠️ BREACH"))</f>
        <v/>
      </c>
      <c r="M1729" s="37" t="str">
        <f>IFERROR(IF(Agent09_Withdrawals!A134="","",YEAR(Agent09_Withdrawals!D134)),"")</f>
        <v/>
      </c>
    </row>
    <row r="1730" spans="1:13" ht="18" customHeight="1" x14ac:dyDescent="0.25">
      <c r="A1730" s="37" t="str">
        <f>IF(Agent09_Withdrawals!A135="","",Agent09_Withdrawals!A135)</f>
        <v/>
      </c>
      <c r="B1730" s="37" t="str">
        <f ca="1">IF(Agent09_Withdrawals!A135="","","WD"&amp;TEXT(1730-3,"0000")&amp;"-"&amp;TEXT(TODAY(),"YYYYMMDD"))</f>
        <v/>
      </c>
      <c r="C1730" s="37" t="str">
        <f>IF(Agent09_Withdrawals!A135="","",Agent09_Withdrawals!B135)</f>
        <v/>
      </c>
      <c r="D1730" s="40" t="str">
        <f>IF(Agent09_Withdrawals!A135="","",Agent09_Withdrawals!C135)</f>
        <v/>
      </c>
      <c r="E1730" s="38" t="str">
        <f>IF(Agent09_Withdrawals!A135="","",Agent09_Withdrawals!D135)</f>
        <v/>
      </c>
      <c r="F1730" s="37" t="str">
        <f>IF(Agent09_Withdrawals!A135="","",Agent09_Withdrawals!F135)</f>
        <v/>
      </c>
      <c r="G1730" s="39" t="str">
        <f>IF(Agent09_Withdrawals!A135="","",Agent09_Withdrawals!E135)</f>
        <v/>
      </c>
      <c r="H1730" s="39" t="str">
        <f>IF(Agent09_Withdrawals!A135="","",Agent09_Withdrawals!G135)</f>
        <v/>
      </c>
      <c r="I1730" s="37" t="str">
        <f>IF(Agent09_Withdrawals!A135="","",Agent09_Withdrawals!H135)</f>
        <v/>
      </c>
      <c r="J1730" s="37" t="str">
        <f>IF(Agent09_Withdrawals!A135="","",Agent09_Withdrawals!J135)</f>
        <v/>
      </c>
      <c r="K1730" s="37" t="str">
        <f>IF(Agent09_Withdrawals!A135="","",Agent09_Withdrawals!K135)</f>
        <v/>
      </c>
      <c r="L1730" s="37" t="str">
        <f>IF(G1730="","",IF(D1730-G1730&gt;=System_Config!$B$9,"✅ OK","⚠️ BREACH"))</f>
        <v/>
      </c>
      <c r="M1730" s="37" t="str">
        <f>IFERROR(IF(Agent09_Withdrawals!A135="","",YEAR(Agent09_Withdrawals!D135)),"")</f>
        <v/>
      </c>
    </row>
    <row r="1731" spans="1:13" ht="18" customHeight="1" x14ac:dyDescent="0.25">
      <c r="A1731" s="37" t="str">
        <f>IF(Agent09_Withdrawals!A136="","",Agent09_Withdrawals!A136)</f>
        <v/>
      </c>
      <c r="B1731" s="37" t="str">
        <f ca="1">IF(Agent09_Withdrawals!A136="","","WD"&amp;TEXT(1731-3,"0000")&amp;"-"&amp;TEXT(TODAY(),"YYYYMMDD"))</f>
        <v/>
      </c>
      <c r="C1731" s="37" t="str">
        <f>IF(Agent09_Withdrawals!A136="","",Agent09_Withdrawals!B136)</f>
        <v/>
      </c>
      <c r="D1731" s="40" t="str">
        <f>IF(Agent09_Withdrawals!A136="","",Agent09_Withdrawals!C136)</f>
        <v/>
      </c>
      <c r="E1731" s="38" t="str">
        <f>IF(Agent09_Withdrawals!A136="","",Agent09_Withdrawals!D136)</f>
        <v/>
      </c>
      <c r="F1731" s="37" t="str">
        <f>IF(Agent09_Withdrawals!A136="","",Agent09_Withdrawals!F136)</f>
        <v/>
      </c>
      <c r="G1731" s="39" t="str">
        <f>IF(Agent09_Withdrawals!A136="","",Agent09_Withdrawals!E136)</f>
        <v/>
      </c>
      <c r="H1731" s="39" t="str">
        <f>IF(Agent09_Withdrawals!A136="","",Agent09_Withdrawals!G136)</f>
        <v/>
      </c>
      <c r="I1731" s="37" t="str">
        <f>IF(Agent09_Withdrawals!A136="","",Agent09_Withdrawals!H136)</f>
        <v/>
      </c>
      <c r="J1731" s="37" t="str">
        <f>IF(Agent09_Withdrawals!A136="","",Agent09_Withdrawals!J136)</f>
        <v/>
      </c>
      <c r="K1731" s="37" t="str">
        <f>IF(Agent09_Withdrawals!A136="","",Agent09_Withdrawals!K136)</f>
        <v/>
      </c>
      <c r="L1731" s="37" t="str">
        <f>IF(G1731="","",IF(D1731-G1731&gt;=System_Config!$B$9,"✅ OK","⚠️ BREACH"))</f>
        <v/>
      </c>
      <c r="M1731" s="37" t="str">
        <f>IFERROR(IF(Agent09_Withdrawals!A136="","",YEAR(Agent09_Withdrawals!D136)),"")</f>
        <v/>
      </c>
    </row>
    <row r="1732" spans="1:13" ht="18" customHeight="1" x14ac:dyDescent="0.25">
      <c r="A1732" s="37" t="str">
        <f>IF(Agent09_Withdrawals!A137="","",Agent09_Withdrawals!A137)</f>
        <v/>
      </c>
      <c r="B1732" s="37" t="str">
        <f ca="1">IF(Agent09_Withdrawals!A137="","","WD"&amp;TEXT(1732-3,"0000")&amp;"-"&amp;TEXT(TODAY(),"YYYYMMDD"))</f>
        <v/>
      </c>
      <c r="C1732" s="37" t="str">
        <f>IF(Agent09_Withdrawals!A137="","",Agent09_Withdrawals!B137)</f>
        <v/>
      </c>
      <c r="D1732" s="40" t="str">
        <f>IF(Agent09_Withdrawals!A137="","",Agent09_Withdrawals!C137)</f>
        <v/>
      </c>
      <c r="E1732" s="38" t="str">
        <f>IF(Agent09_Withdrawals!A137="","",Agent09_Withdrawals!D137)</f>
        <v/>
      </c>
      <c r="F1732" s="37" t="str">
        <f>IF(Agent09_Withdrawals!A137="","",Agent09_Withdrawals!F137)</f>
        <v/>
      </c>
      <c r="G1732" s="39" t="str">
        <f>IF(Agent09_Withdrawals!A137="","",Agent09_Withdrawals!E137)</f>
        <v/>
      </c>
      <c r="H1732" s="39" t="str">
        <f>IF(Agent09_Withdrawals!A137="","",Agent09_Withdrawals!G137)</f>
        <v/>
      </c>
      <c r="I1732" s="37" t="str">
        <f>IF(Agent09_Withdrawals!A137="","",Agent09_Withdrawals!H137)</f>
        <v/>
      </c>
      <c r="J1732" s="37" t="str">
        <f>IF(Agent09_Withdrawals!A137="","",Agent09_Withdrawals!J137)</f>
        <v/>
      </c>
      <c r="K1732" s="37" t="str">
        <f>IF(Agent09_Withdrawals!A137="","",Agent09_Withdrawals!K137)</f>
        <v/>
      </c>
      <c r="L1732" s="37" t="str">
        <f>IF(G1732="","",IF(D1732-G1732&gt;=System_Config!$B$9,"✅ OK","⚠️ BREACH"))</f>
        <v/>
      </c>
      <c r="M1732" s="37" t="str">
        <f>IFERROR(IF(Agent09_Withdrawals!A137="","",YEAR(Agent09_Withdrawals!D137)),"")</f>
        <v/>
      </c>
    </row>
    <row r="1733" spans="1:13" ht="18" customHeight="1" x14ac:dyDescent="0.25">
      <c r="A1733" s="37" t="str">
        <f>IF(Agent09_Withdrawals!A138="","",Agent09_Withdrawals!A138)</f>
        <v/>
      </c>
      <c r="B1733" s="37" t="str">
        <f ca="1">IF(Agent09_Withdrawals!A138="","","WD"&amp;TEXT(1733-3,"0000")&amp;"-"&amp;TEXT(TODAY(),"YYYYMMDD"))</f>
        <v/>
      </c>
      <c r="C1733" s="37" t="str">
        <f>IF(Agent09_Withdrawals!A138="","",Agent09_Withdrawals!B138)</f>
        <v/>
      </c>
      <c r="D1733" s="40" t="str">
        <f>IF(Agent09_Withdrawals!A138="","",Agent09_Withdrawals!C138)</f>
        <v/>
      </c>
      <c r="E1733" s="38" t="str">
        <f>IF(Agent09_Withdrawals!A138="","",Agent09_Withdrawals!D138)</f>
        <v/>
      </c>
      <c r="F1733" s="37" t="str">
        <f>IF(Agent09_Withdrawals!A138="","",Agent09_Withdrawals!F138)</f>
        <v/>
      </c>
      <c r="G1733" s="39" t="str">
        <f>IF(Agent09_Withdrawals!A138="","",Agent09_Withdrawals!E138)</f>
        <v/>
      </c>
      <c r="H1733" s="39" t="str">
        <f>IF(Agent09_Withdrawals!A138="","",Agent09_Withdrawals!G138)</f>
        <v/>
      </c>
      <c r="I1733" s="37" t="str">
        <f>IF(Agent09_Withdrawals!A138="","",Agent09_Withdrawals!H138)</f>
        <v/>
      </c>
      <c r="J1733" s="37" t="str">
        <f>IF(Agent09_Withdrawals!A138="","",Agent09_Withdrawals!J138)</f>
        <v/>
      </c>
      <c r="K1733" s="37" t="str">
        <f>IF(Agent09_Withdrawals!A138="","",Agent09_Withdrawals!K138)</f>
        <v/>
      </c>
      <c r="L1733" s="37" t="str">
        <f>IF(G1733="","",IF(D1733-G1733&gt;=System_Config!$B$9,"✅ OK","⚠️ BREACH"))</f>
        <v/>
      </c>
      <c r="M1733" s="37" t="str">
        <f>IFERROR(IF(Agent09_Withdrawals!A138="","",YEAR(Agent09_Withdrawals!D138)),"")</f>
        <v/>
      </c>
    </row>
    <row r="1734" spans="1:13" ht="18" customHeight="1" x14ac:dyDescent="0.25">
      <c r="A1734" s="37" t="str">
        <f>IF(Agent09_Withdrawals!A139="","",Agent09_Withdrawals!A139)</f>
        <v/>
      </c>
      <c r="B1734" s="37" t="str">
        <f ca="1">IF(Agent09_Withdrawals!A139="","","WD"&amp;TEXT(1734-3,"0000")&amp;"-"&amp;TEXT(TODAY(),"YYYYMMDD"))</f>
        <v/>
      </c>
      <c r="C1734" s="37" t="str">
        <f>IF(Agent09_Withdrawals!A139="","",Agent09_Withdrawals!B139)</f>
        <v/>
      </c>
      <c r="D1734" s="40" t="str">
        <f>IF(Agent09_Withdrawals!A139="","",Agent09_Withdrawals!C139)</f>
        <v/>
      </c>
      <c r="E1734" s="38" t="str">
        <f>IF(Agent09_Withdrawals!A139="","",Agent09_Withdrawals!D139)</f>
        <v/>
      </c>
      <c r="F1734" s="37" t="str">
        <f>IF(Agent09_Withdrawals!A139="","",Agent09_Withdrawals!F139)</f>
        <v/>
      </c>
      <c r="G1734" s="39" t="str">
        <f>IF(Agent09_Withdrawals!A139="","",Agent09_Withdrawals!E139)</f>
        <v/>
      </c>
      <c r="H1734" s="39" t="str">
        <f>IF(Agent09_Withdrawals!A139="","",Agent09_Withdrawals!G139)</f>
        <v/>
      </c>
      <c r="I1734" s="37" t="str">
        <f>IF(Agent09_Withdrawals!A139="","",Agent09_Withdrawals!H139)</f>
        <v/>
      </c>
      <c r="J1734" s="37" t="str">
        <f>IF(Agent09_Withdrawals!A139="","",Agent09_Withdrawals!J139)</f>
        <v/>
      </c>
      <c r="K1734" s="37" t="str">
        <f>IF(Agent09_Withdrawals!A139="","",Agent09_Withdrawals!K139)</f>
        <v/>
      </c>
      <c r="L1734" s="37" t="str">
        <f>IF(G1734="","",IF(D1734-G1734&gt;=System_Config!$B$9,"✅ OK","⚠️ BREACH"))</f>
        <v/>
      </c>
      <c r="M1734" s="37" t="str">
        <f>IFERROR(IF(Agent09_Withdrawals!A139="","",YEAR(Agent09_Withdrawals!D139)),"")</f>
        <v/>
      </c>
    </row>
    <row r="1735" spans="1:13" ht="18" customHeight="1" x14ac:dyDescent="0.25">
      <c r="A1735" s="37" t="str">
        <f>IF(Agent09_Withdrawals!A140="","",Agent09_Withdrawals!A140)</f>
        <v/>
      </c>
      <c r="B1735" s="37" t="str">
        <f ca="1">IF(Agent09_Withdrawals!A140="","","WD"&amp;TEXT(1735-3,"0000")&amp;"-"&amp;TEXT(TODAY(),"YYYYMMDD"))</f>
        <v/>
      </c>
      <c r="C1735" s="37" t="str">
        <f>IF(Agent09_Withdrawals!A140="","",Agent09_Withdrawals!B140)</f>
        <v/>
      </c>
      <c r="D1735" s="40" t="str">
        <f>IF(Agent09_Withdrawals!A140="","",Agent09_Withdrawals!C140)</f>
        <v/>
      </c>
      <c r="E1735" s="38" t="str">
        <f>IF(Agent09_Withdrawals!A140="","",Agent09_Withdrawals!D140)</f>
        <v/>
      </c>
      <c r="F1735" s="37" t="str">
        <f>IF(Agent09_Withdrawals!A140="","",Agent09_Withdrawals!F140)</f>
        <v/>
      </c>
      <c r="G1735" s="39" t="str">
        <f>IF(Agent09_Withdrawals!A140="","",Agent09_Withdrawals!E140)</f>
        <v/>
      </c>
      <c r="H1735" s="39" t="str">
        <f>IF(Agent09_Withdrawals!A140="","",Agent09_Withdrawals!G140)</f>
        <v/>
      </c>
      <c r="I1735" s="37" t="str">
        <f>IF(Agent09_Withdrawals!A140="","",Agent09_Withdrawals!H140)</f>
        <v/>
      </c>
      <c r="J1735" s="37" t="str">
        <f>IF(Agent09_Withdrawals!A140="","",Agent09_Withdrawals!J140)</f>
        <v/>
      </c>
      <c r="K1735" s="37" t="str">
        <f>IF(Agent09_Withdrawals!A140="","",Agent09_Withdrawals!K140)</f>
        <v/>
      </c>
      <c r="L1735" s="37" t="str">
        <f>IF(G1735="","",IF(D1735-G1735&gt;=System_Config!$B$9,"✅ OK","⚠️ BREACH"))</f>
        <v/>
      </c>
      <c r="M1735" s="37" t="str">
        <f>IFERROR(IF(Agent09_Withdrawals!A140="","",YEAR(Agent09_Withdrawals!D140)),"")</f>
        <v/>
      </c>
    </row>
    <row r="1736" spans="1:13" ht="18" customHeight="1" x14ac:dyDescent="0.25">
      <c r="A1736" s="37" t="str">
        <f>IF(Agent09_Withdrawals!A141="","",Agent09_Withdrawals!A141)</f>
        <v/>
      </c>
      <c r="B1736" s="37" t="str">
        <f ca="1">IF(Agent09_Withdrawals!A141="","","WD"&amp;TEXT(1736-3,"0000")&amp;"-"&amp;TEXT(TODAY(),"YYYYMMDD"))</f>
        <v/>
      </c>
      <c r="C1736" s="37" t="str">
        <f>IF(Agent09_Withdrawals!A141="","",Agent09_Withdrawals!B141)</f>
        <v/>
      </c>
      <c r="D1736" s="40" t="str">
        <f>IF(Agent09_Withdrawals!A141="","",Agent09_Withdrawals!C141)</f>
        <v/>
      </c>
      <c r="E1736" s="38" t="str">
        <f>IF(Agent09_Withdrawals!A141="","",Agent09_Withdrawals!D141)</f>
        <v/>
      </c>
      <c r="F1736" s="37" t="str">
        <f>IF(Agent09_Withdrawals!A141="","",Agent09_Withdrawals!F141)</f>
        <v/>
      </c>
      <c r="G1736" s="39" t="str">
        <f>IF(Agent09_Withdrawals!A141="","",Agent09_Withdrawals!E141)</f>
        <v/>
      </c>
      <c r="H1736" s="39" t="str">
        <f>IF(Agent09_Withdrawals!A141="","",Agent09_Withdrawals!G141)</f>
        <v/>
      </c>
      <c r="I1736" s="37" t="str">
        <f>IF(Agent09_Withdrawals!A141="","",Agent09_Withdrawals!H141)</f>
        <v/>
      </c>
      <c r="J1736" s="37" t="str">
        <f>IF(Agent09_Withdrawals!A141="","",Agent09_Withdrawals!J141)</f>
        <v/>
      </c>
      <c r="K1736" s="37" t="str">
        <f>IF(Agent09_Withdrawals!A141="","",Agent09_Withdrawals!K141)</f>
        <v/>
      </c>
      <c r="L1736" s="37" t="str">
        <f>IF(G1736="","",IF(D1736-G1736&gt;=System_Config!$B$9,"✅ OK","⚠️ BREACH"))</f>
        <v/>
      </c>
      <c r="M1736" s="37" t="str">
        <f>IFERROR(IF(Agent09_Withdrawals!A141="","",YEAR(Agent09_Withdrawals!D141)),"")</f>
        <v/>
      </c>
    </row>
    <row r="1737" spans="1:13" ht="18" customHeight="1" x14ac:dyDescent="0.25">
      <c r="A1737" s="37" t="str">
        <f>IF(Agent09_Withdrawals!A142="","",Agent09_Withdrawals!A142)</f>
        <v/>
      </c>
      <c r="B1737" s="37" t="str">
        <f ca="1">IF(Agent09_Withdrawals!A142="","","WD"&amp;TEXT(1737-3,"0000")&amp;"-"&amp;TEXT(TODAY(),"YYYYMMDD"))</f>
        <v/>
      </c>
      <c r="C1737" s="37" t="str">
        <f>IF(Agent09_Withdrawals!A142="","",Agent09_Withdrawals!B142)</f>
        <v/>
      </c>
      <c r="D1737" s="40" t="str">
        <f>IF(Agent09_Withdrawals!A142="","",Agent09_Withdrawals!C142)</f>
        <v/>
      </c>
      <c r="E1737" s="38" t="str">
        <f>IF(Agent09_Withdrawals!A142="","",Agent09_Withdrawals!D142)</f>
        <v/>
      </c>
      <c r="F1737" s="37" t="str">
        <f>IF(Agent09_Withdrawals!A142="","",Agent09_Withdrawals!F142)</f>
        <v/>
      </c>
      <c r="G1737" s="39" t="str">
        <f>IF(Agent09_Withdrawals!A142="","",Agent09_Withdrawals!E142)</f>
        <v/>
      </c>
      <c r="H1737" s="39" t="str">
        <f>IF(Agent09_Withdrawals!A142="","",Agent09_Withdrawals!G142)</f>
        <v/>
      </c>
      <c r="I1737" s="37" t="str">
        <f>IF(Agent09_Withdrawals!A142="","",Agent09_Withdrawals!H142)</f>
        <v/>
      </c>
      <c r="J1737" s="37" t="str">
        <f>IF(Agent09_Withdrawals!A142="","",Agent09_Withdrawals!J142)</f>
        <v/>
      </c>
      <c r="K1737" s="37" t="str">
        <f>IF(Agent09_Withdrawals!A142="","",Agent09_Withdrawals!K142)</f>
        <v/>
      </c>
      <c r="L1737" s="37" t="str">
        <f>IF(G1737="","",IF(D1737-G1737&gt;=System_Config!$B$9,"✅ OK","⚠️ BREACH"))</f>
        <v/>
      </c>
      <c r="M1737" s="37" t="str">
        <f>IFERROR(IF(Agent09_Withdrawals!A142="","",YEAR(Agent09_Withdrawals!D142)),"")</f>
        <v/>
      </c>
    </row>
    <row r="1738" spans="1:13" ht="18" customHeight="1" x14ac:dyDescent="0.25">
      <c r="A1738" s="37" t="str">
        <f>IF(Agent09_Withdrawals!A143="","",Agent09_Withdrawals!A143)</f>
        <v/>
      </c>
      <c r="B1738" s="37" t="str">
        <f ca="1">IF(Agent09_Withdrawals!A143="","","WD"&amp;TEXT(1738-3,"0000")&amp;"-"&amp;TEXT(TODAY(),"YYYYMMDD"))</f>
        <v/>
      </c>
      <c r="C1738" s="37" t="str">
        <f>IF(Agent09_Withdrawals!A143="","",Agent09_Withdrawals!B143)</f>
        <v/>
      </c>
      <c r="D1738" s="40" t="str">
        <f>IF(Agent09_Withdrawals!A143="","",Agent09_Withdrawals!C143)</f>
        <v/>
      </c>
      <c r="E1738" s="38" t="str">
        <f>IF(Agent09_Withdrawals!A143="","",Agent09_Withdrawals!D143)</f>
        <v/>
      </c>
      <c r="F1738" s="37" t="str">
        <f>IF(Agent09_Withdrawals!A143="","",Agent09_Withdrawals!F143)</f>
        <v/>
      </c>
      <c r="G1738" s="39" t="str">
        <f>IF(Agent09_Withdrawals!A143="","",Agent09_Withdrawals!E143)</f>
        <v/>
      </c>
      <c r="H1738" s="39" t="str">
        <f>IF(Agent09_Withdrawals!A143="","",Agent09_Withdrawals!G143)</f>
        <v/>
      </c>
      <c r="I1738" s="37" t="str">
        <f>IF(Agent09_Withdrawals!A143="","",Agent09_Withdrawals!H143)</f>
        <v/>
      </c>
      <c r="J1738" s="37" t="str">
        <f>IF(Agent09_Withdrawals!A143="","",Agent09_Withdrawals!J143)</f>
        <v/>
      </c>
      <c r="K1738" s="37" t="str">
        <f>IF(Agent09_Withdrawals!A143="","",Agent09_Withdrawals!K143)</f>
        <v/>
      </c>
      <c r="L1738" s="37" t="str">
        <f>IF(G1738="","",IF(D1738-G1738&gt;=System_Config!$B$9,"✅ OK","⚠️ BREACH"))</f>
        <v/>
      </c>
      <c r="M1738" s="37" t="str">
        <f>IFERROR(IF(Agent09_Withdrawals!A143="","",YEAR(Agent09_Withdrawals!D143)),"")</f>
        <v/>
      </c>
    </row>
    <row r="1739" spans="1:13" ht="18" customHeight="1" x14ac:dyDescent="0.25">
      <c r="A1739" s="37" t="str">
        <f>IF(Agent09_Withdrawals!A144="","",Agent09_Withdrawals!A144)</f>
        <v/>
      </c>
      <c r="B1739" s="37" t="str">
        <f ca="1">IF(Agent09_Withdrawals!A144="","","WD"&amp;TEXT(1739-3,"0000")&amp;"-"&amp;TEXT(TODAY(),"YYYYMMDD"))</f>
        <v/>
      </c>
      <c r="C1739" s="37" t="str">
        <f>IF(Agent09_Withdrawals!A144="","",Agent09_Withdrawals!B144)</f>
        <v/>
      </c>
      <c r="D1739" s="40" t="str">
        <f>IF(Agent09_Withdrawals!A144="","",Agent09_Withdrawals!C144)</f>
        <v/>
      </c>
      <c r="E1739" s="38" t="str">
        <f>IF(Agent09_Withdrawals!A144="","",Agent09_Withdrawals!D144)</f>
        <v/>
      </c>
      <c r="F1739" s="37" t="str">
        <f>IF(Agent09_Withdrawals!A144="","",Agent09_Withdrawals!F144)</f>
        <v/>
      </c>
      <c r="G1739" s="39" t="str">
        <f>IF(Agent09_Withdrawals!A144="","",Agent09_Withdrawals!E144)</f>
        <v/>
      </c>
      <c r="H1739" s="39" t="str">
        <f>IF(Agent09_Withdrawals!A144="","",Agent09_Withdrawals!G144)</f>
        <v/>
      </c>
      <c r="I1739" s="37" t="str">
        <f>IF(Agent09_Withdrawals!A144="","",Agent09_Withdrawals!H144)</f>
        <v/>
      </c>
      <c r="J1739" s="37" t="str">
        <f>IF(Agent09_Withdrawals!A144="","",Agent09_Withdrawals!J144)</f>
        <v/>
      </c>
      <c r="K1739" s="37" t="str">
        <f>IF(Agent09_Withdrawals!A144="","",Agent09_Withdrawals!K144)</f>
        <v/>
      </c>
      <c r="L1739" s="37" t="str">
        <f>IF(G1739="","",IF(D1739-G1739&gt;=System_Config!$B$9,"✅ OK","⚠️ BREACH"))</f>
        <v/>
      </c>
      <c r="M1739" s="37" t="str">
        <f>IFERROR(IF(Agent09_Withdrawals!A144="","",YEAR(Agent09_Withdrawals!D144)),"")</f>
        <v/>
      </c>
    </row>
    <row r="1740" spans="1:13" ht="18" customHeight="1" x14ac:dyDescent="0.25">
      <c r="A1740" s="37" t="str">
        <f>IF(Agent09_Withdrawals!A145="","",Agent09_Withdrawals!A145)</f>
        <v/>
      </c>
      <c r="B1740" s="37" t="str">
        <f ca="1">IF(Agent09_Withdrawals!A145="","","WD"&amp;TEXT(1740-3,"0000")&amp;"-"&amp;TEXT(TODAY(),"YYYYMMDD"))</f>
        <v/>
      </c>
      <c r="C1740" s="37" t="str">
        <f>IF(Agent09_Withdrawals!A145="","",Agent09_Withdrawals!B145)</f>
        <v/>
      </c>
      <c r="D1740" s="40" t="str">
        <f>IF(Agent09_Withdrawals!A145="","",Agent09_Withdrawals!C145)</f>
        <v/>
      </c>
      <c r="E1740" s="38" t="str">
        <f>IF(Agent09_Withdrawals!A145="","",Agent09_Withdrawals!D145)</f>
        <v/>
      </c>
      <c r="F1740" s="37" t="str">
        <f>IF(Agent09_Withdrawals!A145="","",Agent09_Withdrawals!F145)</f>
        <v/>
      </c>
      <c r="G1740" s="39" t="str">
        <f>IF(Agent09_Withdrawals!A145="","",Agent09_Withdrawals!E145)</f>
        <v/>
      </c>
      <c r="H1740" s="39" t="str">
        <f>IF(Agent09_Withdrawals!A145="","",Agent09_Withdrawals!G145)</f>
        <v/>
      </c>
      <c r="I1740" s="37" t="str">
        <f>IF(Agent09_Withdrawals!A145="","",Agent09_Withdrawals!H145)</f>
        <v/>
      </c>
      <c r="J1740" s="37" t="str">
        <f>IF(Agent09_Withdrawals!A145="","",Agent09_Withdrawals!J145)</f>
        <v/>
      </c>
      <c r="K1740" s="37" t="str">
        <f>IF(Agent09_Withdrawals!A145="","",Agent09_Withdrawals!K145)</f>
        <v/>
      </c>
      <c r="L1740" s="37" t="str">
        <f>IF(G1740="","",IF(D1740-G1740&gt;=System_Config!$B$9,"✅ OK","⚠️ BREACH"))</f>
        <v/>
      </c>
      <c r="M1740" s="37" t="str">
        <f>IFERROR(IF(Agent09_Withdrawals!A145="","",YEAR(Agent09_Withdrawals!D145)),"")</f>
        <v/>
      </c>
    </row>
    <row r="1741" spans="1:13" ht="18" customHeight="1" x14ac:dyDescent="0.25">
      <c r="A1741" s="37" t="str">
        <f>IF(Agent09_Withdrawals!A146="","",Agent09_Withdrawals!A146)</f>
        <v/>
      </c>
      <c r="B1741" s="37" t="str">
        <f ca="1">IF(Agent09_Withdrawals!A146="","","WD"&amp;TEXT(1741-3,"0000")&amp;"-"&amp;TEXT(TODAY(),"YYYYMMDD"))</f>
        <v/>
      </c>
      <c r="C1741" s="37" t="str">
        <f>IF(Agent09_Withdrawals!A146="","",Agent09_Withdrawals!B146)</f>
        <v/>
      </c>
      <c r="D1741" s="40" t="str">
        <f>IF(Agent09_Withdrawals!A146="","",Agent09_Withdrawals!C146)</f>
        <v/>
      </c>
      <c r="E1741" s="38" t="str">
        <f>IF(Agent09_Withdrawals!A146="","",Agent09_Withdrawals!D146)</f>
        <v/>
      </c>
      <c r="F1741" s="37" t="str">
        <f>IF(Agent09_Withdrawals!A146="","",Agent09_Withdrawals!F146)</f>
        <v/>
      </c>
      <c r="G1741" s="39" t="str">
        <f>IF(Agent09_Withdrawals!A146="","",Agent09_Withdrawals!E146)</f>
        <v/>
      </c>
      <c r="H1741" s="39" t="str">
        <f>IF(Agent09_Withdrawals!A146="","",Agent09_Withdrawals!G146)</f>
        <v/>
      </c>
      <c r="I1741" s="37" t="str">
        <f>IF(Agent09_Withdrawals!A146="","",Agent09_Withdrawals!H146)</f>
        <v/>
      </c>
      <c r="J1741" s="37" t="str">
        <f>IF(Agent09_Withdrawals!A146="","",Agent09_Withdrawals!J146)</f>
        <v/>
      </c>
      <c r="K1741" s="37" t="str">
        <f>IF(Agent09_Withdrawals!A146="","",Agent09_Withdrawals!K146)</f>
        <v/>
      </c>
      <c r="L1741" s="37" t="str">
        <f>IF(G1741="","",IF(D1741-G1741&gt;=System_Config!$B$9,"✅ OK","⚠️ BREACH"))</f>
        <v/>
      </c>
      <c r="M1741" s="37" t="str">
        <f>IFERROR(IF(Agent09_Withdrawals!A146="","",YEAR(Agent09_Withdrawals!D146)),"")</f>
        <v/>
      </c>
    </row>
    <row r="1742" spans="1:13" ht="18" customHeight="1" x14ac:dyDescent="0.25">
      <c r="A1742" s="37" t="str">
        <f>IF(Agent09_Withdrawals!A147="","",Agent09_Withdrawals!A147)</f>
        <v/>
      </c>
      <c r="B1742" s="37" t="str">
        <f ca="1">IF(Agent09_Withdrawals!A147="","","WD"&amp;TEXT(1742-3,"0000")&amp;"-"&amp;TEXT(TODAY(),"YYYYMMDD"))</f>
        <v/>
      </c>
      <c r="C1742" s="37" t="str">
        <f>IF(Agent09_Withdrawals!A147="","",Agent09_Withdrawals!B147)</f>
        <v/>
      </c>
      <c r="D1742" s="40" t="str">
        <f>IF(Agent09_Withdrawals!A147="","",Agent09_Withdrawals!C147)</f>
        <v/>
      </c>
      <c r="E1742" s="38" t="str">
        <f>IF(Agent09_Withdrawals!A147="","",Agent09_Withdrawals!D147)</f>
        <v/>
      </c>
      <c r="F1742" s="37" t="str">
        <f>IF(Agent09_Withdrawals!A147="","",Agent09_Withdrawals!F147)</f>
        <v/>
      </c>
      <c r="G1742" s="39" t="str">
        <f>IF(Agent09_Withdrawals!A147="","",Agent09_Withdrawals!E147)</f>
        <v/>
      </c>
      <c r="H1742" s="39" t="str">
        <f>IF(Agent09_Withdrawals!A147="","",Agent09_Withdrawals!G147)</f>
        <v/>
      </c>
      <c r="I1742" s="37" t="str">
        <f>IF(Agent09_Withdrawals!A147="","",Agent09_Withdrawals!H147)</f>
        <v/>
      </c>
      <c r="J1742" s="37" t="str">
        <f>IF(Agent09_Withdrawals!A147="","",Agent09_Withdrawals!J147)</f>
        <v/>
      </c>
      <c r="K1742" s="37" t="str">
        <f>IF(Agent09_Withdrawals!A147="","",Agent09_Withdrawals!K147)</f>
        <v/>
      </c>
      <c r="L1742" s="37" t="str">
        <f>IF(G1742="","",IF(D1742-G1742&gt;=System_Config!$B$9,"✅ OK","⚠️ BREACH"))</f>
        <v/>
      </c>
      <c r="M1742" s="37" t="str">
        <f>IFERROR(IF(Agent09_Withdrawals!A147="","",YEAR(Agent09_Withdrawals!D147)),"")</f>
        <v/>
      </c>
    </row>
    <row r="1743" spans="1:13" ht="18" customHeight="1" x14ac:dyDescent="0.25">
      <c r="A1743" s="37" t="str">
        <f>IF(Agent09_Withdrawals!A148="","",Agent09_Withdrawals!A148)</f>
        <v/>
      </c>
      <c r="B1743" s="37" t="str">
        <f ca="1">IF(Agent09_Withdrawals!A148="","","WD"&amp;TEXT(1743-3,"0000")&amp;"-"&amp;TEXT(TODAY(),"YYYYMMDD"))</f>
        <v/>
      </c>
      <c r="C1743" s="37" t="str">
        <f>IF(Agent09_Withdrawals!A148="","",Agent09_Withdrawals!B148)</f>
        <v/>
      </c>
      <c r="D1743" s="40" t="str">
        <f>IF(Agent09_Withdrawals!A148="","",Agent09_Withdrawals!C148)</f>
        <v/>
      </c>
      <c r="E1743" s="38" t="str">
        <f>IF(Agent09_Withdrawals!A148="","",Agent09_Withdrawals!D148)</f>
        <v/>
      </c>
      <c r="F1743" s="37" t="str">
        <f>IF(Agent09_Withdrawals!A148="","",Agent09_Withdrawals!F148)</f>
        <v/>
      </c>
      <c r="G1743" s="39" t="str">
        <f>IF(Agent09_Withdrawals!A148="","",Agent09_Withdrawals!E148)</f>
        <v/>
      </c>
      <c r="H1743" s="39" t="str">
        <f>IF(Agent09_Withdrawals!A148="","",Agent09_Withdrawals!G148)</f>
        <v/>
      </c>
      <c r="I1743" s="37" t="str">
        <f>IF(Agent09_Withdrawals!A148="","",Agent09_Withdrawals!H148)</f>
        <v/>
      </c>
      <c r="J1743" s="37" t="str">
        <f>IF(Agent09_Withdrawals!A148="","",Agent09_Withdrawals!J148)</f>
        <v/>
      </c>
      <c r="K1743" s="37" t="str">
        <f>IF(Agent09_Withdrawals!A148="","",Agent09_Withdrawals!K148)</f>
        <v/>
      </c>
      <c r="L1743" s="37" t="str">
        <f>IF(G1743="","",IF(D1743-G1743&gt;=System_Config!$B$9,"✅ OK","⚠️ BREACH"))</f>
        <v/>
      </c>
      <c r="M1743" s="37" t="str">
        <f>IFERROR(IF(Agent09_Withdrawals!A148="","",YEAR(Agent09_Withdrawals!D148)),"")</f>
        <v/>
      </c>
    </row>
    <row r="1744" spans="1:13" ht="18" customHeight="1" x14ac:dyDescent="0.25">
      <c r="A1744" s="37" t="str">
        <f>IF(Agent09_Withdrawals!A149="","",Agent09_Withdrawals!A149)</f>
        <v/>
      </c>
      <c r="B1744" s="37" t="str">
        <f ca="1">IF(Agent09_Withdrawals!A149="","","WD"&amp;TEXT(1744-3,"0000")&amp;"-"&amp;TEXT(TODAY(),"YYYYMMDD"))</f>
        <v/>
      </c>
      <c r="C1744" s="37" t="str">
        <f>IF(Agent09_Withdrawals!A149="","",Agent09_Withdrawals!B149)</f>
        <v/>
      </c>
      <c r="D1744" s="40" t="str">
        <f>IF(Agent09_Withdrawals!A149="","",Agent09_Withdrawals!C149)</f>
        <v/>
      </c>
      <c r="E1744" s="38" t="str">
        <f>IF(Agent09_Withdrawals!A149="","",Agent09_Withdrawals!D149)</f>
        <v/>
      </c>
      <c r="F1744" s="37" t="str">
        <f>IF(Agent09_Withdrawals!A149="","",Agent09_Withdrawals!F149)</f>
        <v/>
      </c>
      <c r="G1744" s="39" t="str">
        <f>IF(Agent09_Withdrawals!A149="","",Agent09_Withdrawals!E149)</f>
        <v/>
      </c>
      <c r="H1744" s="39" t="str">
        <f>IF(Agent09_Withdrawals!A149="","",Agent09_Withdrawals!G149)</f>
        <v/>
      </c>
      <c r="I1744" s="37" t="str">
        <f>IF(Agent09_Withdrawals!A149="","",Agent09_Withdrawals!H149)</f>
        <v/>
      </c>
      <c r="J1744" s="37" t="str">
        <f>IF(Agent09_Withdrawals!A149="","",Agent09_Withdrawals!J149)</f>
        <v/>
      </c>
      <c r="K1744" s="37" t="str">
        <f>IF(Agent09_Withdrawals!A149="","",Agent09_Withdrawals!K149)</f>
        <v/>
      </c>
      <c r="L1744" s="37" t="str">
        <f>IF(G1744="","",IF(D1744-G1744&gt;=System_Config!$B$9,"✅ OK","⚠️ BREACH"))</f>
        <v/>
      </c>
      <c r="M1744" s="37" t="str">
        <f>IFERROR(IF(Agent09_Withdrawals!A149="","",YEAR(Agent09_Withdrawals!D149)),"")</f>
        <v/>
      </c>
    </row>
    <row r="1745" spans="1:13" ht="18" customHeight="1" x14ac:dyDescent="0.25">
      <c r="A1745" s="37" t="str">
        <f>IF(Agent09_Withdrawals!A150="","",Agent09_Withdrawals!A150)</f>
        <v/>
      </c>
      <c r="B1745" s="37" t="str">
        <f ca="1">IF(Agent09_Withdrawals!A150="","","WD"&amp;TEXT(1745-3,"0000")&amp;"-"&amp;TEXT(TODAY(),"YYYYMMDD"))</f>
        <v/>
      </c>
      <c r="C1745" s="37" t="str">
        <f>IF(Agent09_Withdrawals!A150="","",Agent09_Withdrawals!B150)</f>
        <v/>
      </c>
      <c r="D1745" s="40" t="str">
        <f>IF(Agent09_Withdrawals!A150="","",Agent09_Withdrawals!C150)</f>
        <v/>
      </c>
      <c r="E1745" s="38" t="str">
        <f>IF(Agent09_Withdrawals!A150="","",Agent09_Withdrawals!D150)</f>
        <v/>
      </c>
      <c r="F1745" s="37" t="str">
        <f>IF(Agent09_Withdrawals!A150="","",Agent09_Withdrawals!F150)</f>
        <v/>
      </c>
      <c r="G1745" s="39" t="str">
        <f>IF(Agent09_Withdrawals!A150="","",Agent09_Withdrawals!E150)</f>
        <v/>
      </c>
      <c r="H1745" s="39" t="str">
        <f>IF(Agent09_Withdrawals!A150="","",Agent09_Withdrawals!G150)</f>
        <v/>
      </c>
      <c r="I1745" s="37" t="str">
        <f>IF(Agent09_Withdrawals!A150="","",Agent09_Withdrawals!H150)</f>
        <v/>
      </c>
      <c r="J1745" s="37" t="str">
        <f>IF(Agent09_Withdrawals!A150="","",Agent09_Withdrawals!J150)</f>
        <v/>
      </c>
      <c r="K1745" s="37" t="str">
        <f>IF(Agent09_Withdrawals!A150="","",Agent09_Withdrawals!K150)</f>
        <v/>
      </c>
      <c r="L1745" s="37" t="str">
        <f>IF(G1745="","",IF(D1745-G1745&gt;=System_Config!$B$9,"✅ OK","⚠️ BREACH"))</f>
        <v/>
      </c>
      <c r="M1745" s="37" t="str">
        <f>IFERROR(IF(Agent09_Withdrawals!A150="","",YEAR(Agent09_Withdrawals!D150)),"")</f>
        <v/>
      </c>
    </row>
    <row r="1746" spans="1:13" ht="18" customHeight="1" x14ac:dyDescent="0.25">
      <c r="A1746" s="37" t="str">
        <f>IF(Agent09_Withdrawals!A151="","",Agent09_Withdrawals!A151)</f>
        <v/>
      </c>
      <c r="B1746" s="37" t="str">
        <f ca="1">IF(Agent09_Withdrawals!A151="","","WD"&amp;TEXT(1746-3,"0000")&amp;"-"&amp;TEXT(TODAY(),"YYYYMMDD"))</f>
        <v/>
      </c>
      <c r="C1746" s="37" t="str">
        <f>IF(Agent09_Withdrawals!A151="","",Agent09_Withdrawals!B151)</f>
        <v/>
      </c>
      <c r="D1746" s="40" t="str">
        <f>IF(Agent09_Withdrawals!A151="","",Agent09_Withdrawals!C151)</f>
        <v/>
      </c>
      <c r="E1746" s="38" t="str">
        <f>IF(Agent09_Withdrawals!A151="","",Agent09_Withdrawals!D151)</f>
        <v/>
      </c>
      <c r="F1746" s="37" t="str">
        <f>IF(Agent09_Withdrawals!A151="","",Agent09_Withdrawals!F151)</f>
        <v/>
      </c>
      <c r="G1746" s="39" t="str">
        <f>IF(Agent09_Withdrawals!A151="","",Agent09_Withdrawals!E151)</f>
        <v/>
      </c>
      <c r="H1746" s="39" t="str">
        <f>IF(Agent09_Withdrawals!A151="","",Agent09_Withdrawals!G151)</f>
        <v/>
      </c>
      <c r="I1746" s="37" t="str">
        <f>IF(Agent09_Withdrawals!A151="","",Agent09_Withdrawals!H151)</f>
        <v/>
      </c>
      <c r="J1746" s="37" t="str">
        <f>IF(Agent09_Withdrawals!A151="","",Agent09_Withdrawals!J151)</f>
        <v/>
      </c>
      <c r="K1746" s="37" t="str">
        <f>IF(Agent09_Withdrawals!A151="","",Agent09_Withdrawals!K151)</f>
        <v/>
      </c>
      <c r="L1746" s="37" t="str">
        <f>IF(G1746="","",IF(D1746-G1746&gt;=System_Config!$B$9,"✅ OK","⚠️ BREACH"))</f>
        <v/>
      </c>
      <c r="M1746" s="37" t="str">
        <f>IFERROR(IF(Agent09_Withdrawals!A151="","",YEAR(Agent09_Withdrawals!D151)),"")</f>
        <v/>
      </c>
    </row>
    <row r="1747" spans="1:13" ht="18" customHeight="1" x14ac:dyDescent="0.25">
      <c r="A1747" s="37" t="str">
        <f>IF(Agent09_Withdrawals!A152="","",Agent09_Withdrawals!A152)</f>
        <v/>
      </c>
      <c r="B1747" s="37" t="str">
        <f ca="1">IF(Agent09_Withdrawals!A152="","","WD"&amp;TEXT(1747-3,"0000")&amp;"-"&amp;TEXT(TODAY(),"YYYYMMDD"))</f>
        <v/>
      </c>
      <c r="C1747" s="37" t="str">
        <f>IF(Agent09_Withdrawals!A152="","",Agent09_Withdrawals!B152)</f>
        <v/>
      </c>
      <c r="D1747" s="40" t="str">
        <f>IF(Agent09_Withdrawals!A152="","",Agent09_Withdrawals!C152)</f>
        <v/>
      </c>
      <c r="E1747" s="38" t="str">
        <f>IF(Agent09_Withdrawals!A152="","",Agent09_Withdrawals!D152)</f>
        <v/>
      </c>
      <c r="F1747" s="37" t="str">
        <f>IF(Agent09_Withdrawals!A152="","",Agent09_Withdrawals!F152)</f>
        <v/>
      </c>
      <c r="G1747" s="39" t="str">
        <f>IF(Agent09_Withdrawals!A152="","",Agent09_Withdrawals!E152)</f>
        <v/>
      </c>
      <c r="H1747" s="39" t="str">
        <f>IF(Agent09_Withdrawals!A152="","",Agent09_Withdrawals!G152)</f>
        <v/>
      </c>
      <c r="I1747" s="37" t="str">
        <f>IF(Agent09_Withdrawals!A152="","",Agent09_Withdrawals!H152)</f>
        <v/>
      </c>
      <c r="J1747" s="37" t="str">
        <f>IF(Agent09_Withdrawals!A152="","",Agent09_Withdrawals!J152)</f>
        <v/>
      </c>
      <c r="K1747" s="37" t="str">
        <f>IF(Agent09_Withdrawals!A152="","",Agent09_Withdrawals!K152)</f>
        <v/>
      </c>
      <c r="L1747" s="37" t="str">
        <f>IF(G1747="","",IF(D1747-G1747&gt;=System_Config!$B$9,"✅ OK","⚠️ BREACH"))</f>
        <v/>
      </c>
      <c r="M1747" s="37" t="str">
        <f>IFERROR(IF(Agent09_Withdrawals!A152="","",YEAR(Agent09_Withdrawals!D152)),"")</f>
        <v/>
      </c>
    </row>
    <row r="1748" spans="1:13" ht="18" customHeight="1" x14ac:dyDescent="0.25">
      <c r="A1748" s="37" t="str">
        <f>IF(Agent09_Withdrawals!A153="","",Agent09_Withdrawals!A153)</f>
        <v/>
      </c>
      <c r="B1748" s="37" t="str">
        <f ca="1">IF(Agent09_Withdrawals!A153="","","WD"&amp;TEXT(1748-3,"0000")&amp;"-"&amp;TEXT(TODAY(),"YYYYMMDD"))</f>
        <v/>
      </c>
      <c r="C1748" s="37" t="str">
        <f>IF(Agent09_Withdrawals!A153="","",Agent09_Withdrawals!B153)</f>
        <v/>
      </c>
      <c r="D1748" s="40" t="str">
        <f>IF(Agent09_Withdrawals!A153="","",Agent09_Withdrawals!C153)</f>
        <v/>
      </c>
      <c r="E1748" s="38" t="str">
        <f>IF(Agent09_Withdrawals!A153="","",Agent09_Withdrawals!D153)</f>
        <v/>
      </c>
      <c r="F1748" s="37" t="str">
        <f>IF(Agent09_Withdrawals!A153="","",Agent09_Withdrawals!F153)</f>
        <v/>
      </c>
      <c r="G1748" s="39" t="str">
        <f>IF(Agent09_Withdrawals!A153="","",Agent09_Withdrawals!E153)</f>
        <v/>
      </c>
      <c r="H1748" s="39" t="str">
        <f>IF(Agent09_Withdrawals!A153="","",Agent09_Withdrawals!G153)</f>
        <v/>
      </c>
      <c r="I1748" s="37" t="str">
        <f>IF(Agent09_Withdrawals!A153="","",Agent09_Withdrawals!H153)</f>
        <v/>
      </c>
      <c r="J1748" s="37" t="str">
        <f>IF(Agent09_Withdrawals!A153="","",Agent09_Withdrawals!J153)</f>
        <v/>
      </c>
      <c r="K1748" s="37" t="str">
        <f>IF(Agent09_Withdrawals!A153="","",Agent09_Withdrawals!K153)</f>
        <v/>
      </c>
      <c r="L1748" s="37" t="str">
        <f>IF(G1748="","",IF(D1748-G1748&gt;=System_Config!$B$9,"✅ OK","⚠️ BREACH"))</f>
        <v/>
      </c>
      <c r="M1748" s="37" t="str">
        <f>IFERROR(IF(Agent09_Withdrawals!A153="","",YEAR(Agent09_Withdrawals!D153)),"")</f>
        <v/>
      </c>
    </row>
    <row r="1749" spans="1:13" ht="18" customHeight="1" x14ac:dyDescent="0.25">
      <c r="A1749" s="37" t="str">
        <f>IF(Agent09_Withdrawals!A154="","",Agent09_Withdrawals!A154)</f>
        <v/>
      </c>
      <c r="B1749" s="37" t="str">
        <f ca="1">IF(Agent09_Withdrawals!A154="","","WD"&amp;TEXT(1749-3,"0000")&amp;"-"&amp;TEXT(TODAY(),"YYYYMMDD"))</f>
        <v/>
      </c>
      <c r="C1749" s="37" t="str">
        <f>IF(Agent09_Withdrawals!A154="","",Agent09_Withdrawals!B154)</f>
        <v/>
      </c>
      <c r="D1749" s="40" t="str">
        <f>IF(Agent09_Withdrawals!A154="","",Agent09_Withdrawals!C154)</f>
        <v/>
      </c>
      <c r="E1749" s="38" t="str">
        <f>IF(Agent09_Withdrawals!A154="","",Agent09_Withdrawals!D154)</f>
        <v/>
      </c>
      <c r="F1749" s="37" t="str">
        <f>IF(Agent09_Withdrawals!A154="","",Agent09_Withdrawals!F154)</f>
        <v/>
      </c>
      <c r="G1749" s="39" t="str">
        <f>IF(Agent09_Withdrawals!A154="","",Agent09_Withdrawals!E154)</f>
        <v/>
      </c>
      <c r="H1749" s="39" t="str">
        <f>IF(Agent09_Withdrawals!A154="","",Agent09_Withdrawals!G154)</f>
        <v/>
      </c>
      <c r="I1749" s="37" t="str">
        <f>IF(Agent09_Withdrawals!A154="","",Agent09_Withdrawals!H154)</f>
        <v/>
      </c>
      <c r="J1749" s="37" t="str">
        <f>IF(Agent09_Withdrawals!A154="","",Agent09_Withdrawals!J154)</f>
        <v/>
      </c>
      <c r="K1749" s="37" t="str">
        <f>IF(Agent09_Withdrawals!A154="","",Agent09_Withdrawals!K154)</f>
        <v/>
      </c>
      <c r="L1749" s="37" t="str">
        <f>IF(G1749="","",IF(D1749-G1749&gt;=System_Config!$B$9,"✅ OK","⚠️ BREACH"))</f>
        <v/>
      </c>
      <c r="M1749" s="37" t="str">
        <f>IFERROR(IF(Agent09_Withdrawals!A154="","",YEAR(Agent09_Withdrawals!D154)),"")</f>
        <v/>
      </c>
    </row>
    <row r="1750" spans="1:13" ht="18" customHeight="1" x14ac:dyDescent="0.25">
      <c r="A1750" s="37" t="str">
        <f>IF(Agent09_Withdrawals!A155="","",Agent09_Withdrawals!A155)</f>
        <v/>
      </c>
      <c r="B1750" s="37" t="str">
        <f ca="1">IF(Agent09_Withdrawals!A155="","","WD"&amp;TEXT(1750-3,"0000")&amp;"-"&amp;TEXT(TODAY(),"YYYYMMDD"))</f>
        <v/>
      </c>
      <c r="C1750" s="37" t="str">
        <f>IF(Agent09_Withdrawals!A155="","",Agent09_Withdrawals!B155)</f>
        <v/>
      </c>
      <c r="D1750" s="40" t="str">
        <f>IF(Agent09_Withdrawals!A155="","",Agent09_Withdrawals!C155)</f>
        <v/>
      </c>
      <c r="E1750" s="38" t="str">
        <f>IF(Agent09_Withdrawals!A155="","",Agent09_Withdrawals!D155)</f>
        <v/>
      </c>
      <c r="F1750" s="37" t="str">
        <f>IF(Agent09_Withdrawals!A155="","",Agent09_Withdrawals!F155)</f>
        <v/>
      </c>
      <c r="G1750" s="39" t="str">
        <f>IF(Agent09_Withdrawals!A155="","",Agent09_Withdrawals!E155)</f>
        <v/>
      </c>
      <c r="H1750" s="39" t="str">
        <f>IF(Agent09_Withdrawals!A155="","",Agent09_Withdrawals!G155)</f>
        <v/>
      </c>
      <c r="I1750" s="37" t="str">
        <f>IF(Agent09_Withdrawals!A155="","",Agent09_Withdrawals!H155)</f>
        <v/>
      </c>
      <c r="J1750" s="37" t="str">
        <f>IF(Agent09_Withdrawals!A155="","",Agent09_Withdrawals!J155)</f>
        <v/>
      </c>
      <c r="K1750" s="37" t="str">
        <f>IF(Agent09_Withdrawals!A155="","",Agent09_Withdrawals!K155)</f>
        <v/>
      </c>
      <c r="L1750" s="37" t="str">
        <f>IF(G1750="","",IF(D1750-G1750&gt;=System_Config!$B$9,"✅ OK","⚠️ BREACH"))</f>
        <v/>
      </c>
      <c r="M1750" s="37" t="str">
        <f>IFERROR(IF(Agent09_Withdrawals!A155="","",YEAR(Agent09_Withdrawals!D155)),"")</f>
        <v/>
      </c>
    </row>
    <row r="1751" spans="1:13" ht="18" customHeight="1" x14ac:dyDescent="0.25">
      <c r="A1751" s="37" t="str">
        <f>IF(Agent09_Withdrawals!A156="","",Agent09_Withdrawals!A156)</f>
        <v/>
      </c>
      <c r="B1751" s="37" t="str">
        <f ca="1">IF(Agent09_Withdrawals!A156="","","WD"&amp;TEXT(1751-3,"0000")&amp;"-"&amp;TEXT(TODAY(),"YYYYMMDD"))</f>
        <v/>
      </c>
      <c r="C1751" s="37" t="str">
        <f>IF(Agent09_Withdrawals!A156="","",Agent09_Withdrawals!B156)</f>
        <v/>
      </c>
      <c r="D1751" s="40" t="str">
        <f>IF(Agent09_Withdrawals!A156="","",Agent09_Withdrawals!C156)</f>
        <v/>
      </c>
      <c r="E1751" s="38" t="str">
        <f>IF(Agent09_Withdrawals!A156="","",Agent09_Withdrawals!D156)</f>
        <v/>
      </c>
      <c r="F1751" s="37" t="str">
        <f>IF(Agent09_Withdrawals!A156="","",Agent09_Withdrawals!F156)</f>
        <v/>
      </c>
      <c r="G1751" s="39" t="str">
        <f>IF(Agent09_Withdrawals!A156="","",Agent09_Withdrawals!E156)</f>
        <v/>
      </c>
      <c r="H1751" s="39" t="str">
        <f>IF(Agent09_Withdrawals!A156="","",Agent09_Withdrawals!G156)</f>
        <v/>
      </c>
      <c r="I1751" s="37" t="str">
        <f>IF(Agent09_Withdrawals!A156="","",Agent09_Withdrawals!H156)</f>
        <v/>
      </c>
      <c r="J1751" s="37" t="str">
        <f>IF(Agent09_Withdrawals!A156="","",Agent09_Withdrawals!J156)</f>
        <v/>
      </c>
      <c r="K1751" s="37" t="str">
        <f>IF(Agent09_Withdrawals!A156="","",Agent09_Withdrawals!K156)</f>
        <v/>
      </c>
      <c r="L1751" s="37" t="str">
        <f>IF(G1751="","",IF(D1751-G1751&gt;=System_Config!$B$9,"✅ OK","⚠️ BREACH"))</f>
        <v/>
      </c>
      <c r="M1751" s="37" t="str">
        <f>IFERROR(IF(Agent09_Withdrawals!A156="","",YEAR(Agent09_Withdrawals!D156)),"")</f>
        <v/>
      </c>
    </row>
    <row r="1752" spans="1:13" ht="18" customHeight="1" x14ac:dyDescent="0.25">
      <c r="A1752" s="37" t="str">
        <f>IF(Agent09_Withdrawals!A157="","",Agent09_Withdrawals!A157)</f>
        <v/>
      </c>
      <c r="B1752" s="37" t="str">
        <f ca="1">IF(Agent09_Withdrawals!A157="","","WD"&amp;TEXT(1752-3,"0000")&amp;"-"&amp;TEXT(TODAY(),"YYYYMMDD"))</f>
        <v/>
      </c>
      <c r="C1752" s="37" t="str">
        <f>IF(Agent09_Withdrawals!A157="","",Agent09_Withdrawals!B157)</f>
        <v/>
      </c>
      <c r="D1752" s="40" t="str">
        <f>IF(Agent09_Withdrawals!A157="","",Agent09_Withdrawals!C157)</f>
        <v/>
      </c>
      <c r="E1752" s="38" t="str">
        <f>IF(Agent09_Withdrawals!A157="","",Agent09_Withdrawals!D157)</f>
        <v/>
      </c>
      <c r="F1752" s="37" t="str">
        <f>IF(Agent09_Withdrawals!A157="","",Agent09_Withdrawals!F157)</f>
        <v/>
      </c>
      <c r="G1752" s="39" t="str">
        <f>IF(Agent09_Withdrawals!A157="","",Agent09_Withdrawals!E157)</f>
        <v/>
      </c>
      <c r="H1752" s="39" t="str">
        <f>IF(Agent09_Withdrawals!A157="","",Agent09_Withdrawals!G157)</f>
        <v/>
      </c>
      <c r="I1752" s="37" t="str">
        <f>IF(Agent09_Withdrawals!A157="","",Agent09_Withdrawals!H157)</f>
        <v/>
      </c>
      <c r="J1752" s="37" t="str">
        <f>IF(Agent09_Withdrawals!A157="","",Agent09_Withdrawals!J157)</f>
        <v/>
      </c>
      <c r="K1752" s="37" t="str">
        <f>IF(Agent09_Withdrawals!A157="","",Agent09_Withdrawals!K157)</f>
        <v/>
      </c>
      <c r="L1752" s="37" t="str">
        <f>IF(G1752="","",IF(D1752-G1752&gt;=System_Config!$B$9,"✅ OK","⚠️ BREACH"))</f>
        <v/>
      </c>
      <c r="M1752" s="37" t="str">
        <f>IFERROR(IF(Agent09_Withdrawals!A157="","",YEAR(Agent09_Withdrawals!D157)),"")</f>
        <v/>
      </c>
    </row>
    <row r="1753" spans="1:13" ht="18" customHeight="1" x14ac:dyDescent="0.25">
      <c r="A1753" s="37" t="str">
        <f>IF(Agent09_Withdrawals!A158="","",Agent09_Withdrawals!A158)</f>
        <v/>
      </c>
      <c r="B1753" s="37" t="str">
        <f ca="1">IF(Agent09_Withdrawals!A158="","","WD"&amp;TEXT(1753-3,"0000")&amp;"-"&amp;TEXT(TODAY(),"YYYYMMDD"))</f>
        <v/>
      </c>
      <c r="C1753" s="37" t="str">
        <f>IF(Agent09_Withdrawals!A158="","",Agent09_Withdrawals!B158)</f>
        <v/>
      </c>
      <c r="D1753" s="40" t="str">
        <f>IF(Agent09_Withdrawals!A158="","",Agent09_Withdrawals!C158)</f>
        <v/>
      </c>
      <c r="E1753" s="38" t="str">
        <f>IF(Agent09_Withdrawals!A158="","",Agent09_Withdrawals!D158)</f>
        <v/>
      </c>
      <c r="F1753" s="37" t="str">
        <f>IF(Agent09_Withdrawals!A158="","",Agent09_Withdrawals!F158)</f>
        <v/>
      </c>
      <c r="G1753" s="39" t="str">
        <f>IF(Agent09_Withdrawals!A158="","",Agent09_Withdrawals!E158)</f>
        <v/>
      </c>
      <c r="H1753" s="39" t="str">
        <f>IF(Agent09_Withdrawals!A158="","",Agent09_Withdrawals!G158)</f>
        <v/>
      </c>
      <c r="I1753" s="37" t="str">
        <f>IF(Agent09_Withdrawals!A158="","",Agent09_Withdrawals!H158)</f>
        <v/>
      </c>
      <c r="J1753" s="37" t="str">
        <f>IF(Agent09_Withdrawals!A158="","",Agent09_Withdrawals!J158)</f>
        <v/>
      </c>
      <c r="K1753" s="37" t="str">
        <f>IF(Agent09_Withdrawals!A158="","",Agent09_Withdrawals!K158)</f>
        <v/>
      </c>
      <c r="L1753" s="37" t="str">
        <f>IF(G1753="","",IF(D1753-G1753&gt;=System_Config!$B$9,"✅ OK","⚠️ BREACH"))</f>
        <v/>
      </c>
      <c r="M1753" s="37" t="str">
        <f>IFERROR(IF(Agent09_Withdrawals!A158="","",YEAR(Agent09_Withdrawals!D158)),"")</f>
        <v/>
      </c>
    </row>
    <row r="1754" spans="1:13" ht="18" customHeight="1" x14ac:dyDescent="0.25">
      <c r="A1754" s="37" t="str">
        <f>IF(Agent09_Withdrawals!A159="","",Agent09_Withdrawals!A159)</f>
        <v/>
      </c>
      <c r="B1754" s="37" t="str">
        <f ca="1">IF(Agent09_Withdrawals!A159="","","WD"&amp;TEXT(1754-3,"0000")&amp;"-"&amp;TEXT(TODAY(),"YYYYMMDD"))</f>
        <v/>
      </c>
      <c r="C1754" s="37" t="str">
        <f>IF(Agent09_Withdrawals!A159="","",Agent09_Withdrawals!B159)</f>
        <v/>
      </c>
      <c r="D1754" s="40" t="str">
        <f>IF(Agent09_Withdrawals!A159="","",Agent09_Withdrawals!C159)</f>
        <v/>
      </c>
      <c r="E1754" s="38" t="str">
        <f>IF(Agent09_Withdrawals!A159="","",Agent09_Withdrawals!D159)</f>
        <v/>
      </c>
      <c r="F1754" s="37" t="str">
        <f>IF(Agent09_Withdrawals!A159="","",Agent09_Withdrawals!F159)</f>
        <v/>
      </c>
      <c r="G1754" s="39" t="str">
        <f>IF(Agent09_Withdrawals!A159="","",Agent09_Withdrawals!E159)</f>
        <v/>
      </c>
      <c r="H1754" s="39" t="str">
        <f>IF(Agent09_Withdrawals!A159="","",Agent09_Withdrawals!G159)</f>
        <v/>
      </c>
      <c r="I1754" s="37" t="str">
        <f>IF(Agent09_Withdrawals!A159="","",Agent09_Withdrawals!H159)</f>
        <v/>
      </c>
      <c r="J1754" s="37" t="str">
        <f>IF(Agent09_Withdrawals!A159="","",Agent09_Withdrawals!J159)</f>
        <v/>
      </c>
      <c r="K1754" s="37" t="str">
        <f>IF(Agent09_Withdrawals!A159="","",Agent09_Withdrawals!K159)</f>
        <v/>
      </c>
      <c r="L1754" s="37" t="str">
        <f>IF(G1754="","",IF(D1754-G1754&gt;=System_Config!$B$9,"✅ OK","⚠️ BREACH"))</f>
        <v/>
      </c>
      <c r="M1754" s="37" t="str">
        <f>IFERROR(IF(Agent09_Withdrawals!A159="","",YEAR(Agent09_Withdrawals!D159)),"")</f>
        <v/>
      </c>
    </row>
    <row r="1755" spans="1:13" ht="18" customHeight="1" x14ac:dyDescent="0.25">
      <c r="A1755" s="37" t="str">
        <f>IF(Agent09_Withdrawals!A160="","",Agent09_Withdrawals!A160)</f>
        <v/>
      </c>
      <c r="B1755" s="37" t="str">
        <f ca="1">IF(Agent09_Withdrawals!A160="","","WD"&amp;TEXT(1755-3,"0000")&amp;"-"&amp;TEXT(TODAY(),"YYYYMMDD"))</f>
        <v/>
      </c>
      <c r="C1755" s="37" t="str">
        <f>IF(Agent09_Withdrawals!A160="","",Agent09_Withdrawals!B160)</f>
        <v/>
      </c>
      <c r="D1755" s="40" t="str">
        <f>IF(Agent09_Withdrawals!A160="","",Agent09_Withdrawals!C160)</f>
        <v/>
      </c>
      <c r="E1755" s="38" t="str">
        <f>IF(Agent09_Withdrawals!A160="","",Agent09_Withdrawals!D160)</f>
        <v/>
      </c>
      <c r="F1755" s="37" t="str">
        <f>IF(Agent09_Withdrawals!A160="","",Agent09_Withdrawals!F160)</f>
        <v/>
      </c>
      <c r="G1755" s="39" t="str">
        <f>IF(Agent09_Withdrawals!A160="","",Agent09_Withdrawals!E160)</f>
        <v/>
      </c>
      <c r="H1755" s="39" t="str">
        <f>IF(Agent09_Withdrawals!A160="","",Agent09_Withdrawals!G160)</f>
        <v/>
      </c>
      <c r="I1755" s="37" t="str">
        <f>IF(Agent09_Withdrawals!A160="","",Agent09_Withdrawals!H160)</f>
        <v/>
      </c>
      <c r="J1755" s="37" t="str">
        <f>IF(Agent09_Withdrawals!A160="","",Agent09_Withdrawals!J160)</f>
        <v/>
      </c>
      <c r="K1755" s="37" t="str">
        <f>IF(Agent09_Withdrawals!A160="","",Agent09_Withdrawals!K160)</f>
        <v/>
      </c>
      <c r="L1755" s="37" t="str">
        <f>IF(G1755="","",IF(D1755-G1755&gt;=System_Config!$B$9,"✅ OK","⚠️ BREACH"))</f>
        <v/>
      </c>
      <c r="M1755" s="37" t="str">
        <f>IFERROR(IF(Agent09_Withdrawals!A160="","",YEAR(Agent09_Withdrawals!D160)),"")</f>
        <v/>
      </c>
    </row>
    <row r="1756" spans="1:13" ht="18" customHeight="1" x14ac:dyDescent="0.25">
      <c r="A1756" s="37" t="str">
        <f>IF(Agent09_Withdrawals!A161="","",Agent09_Withdrawals!A161)</f>
        <v/>
      </c>
      <c r="B1756" s="37" t="str">
        <f ca="1">IF(Agent09_Withdrawals!A161="","","WD"&amp;TEXT(1756-3,"0000")&amp;"-"&amp;TEXT(TODAY(),"YYYYMMDD"))</f>
        <v/>
      </c>
      <c r="C1756" s="37" t="str">
        <f>IF(Agent09_Withdrawals!A161="","",Agent09_Withdrawals!B161)</f>
        <v/>
      </c>
      <c r="D1756" s="40" t="str">
        <f>IF(Agent09_Withdrawals!A161="","",Agent09_Withdrawals!C161)</f>
        <v/>
      </c>
      <c r="E1756" s="38" t="str">
        <f>IF(Agent09_Withdrawals!A161="","",Agent09_Withdrawals!D161)</f>
        <v/>
      </c>
      <c r="F1756" s="37" t="str">
        <f>IF(Agent09_Withdrawals!A161="","",Agent09_Withdrawals!F161)</f>
        <v/>
      </c>
      <c r="G1756" s="39" t="str">
        <f>IF(Agent09_Withdrawals!A161="","",Agent09_Withdrawals!E161)</f>
        <v/>
      </c>
      <c r="H1756" s="39" t="str">
        <f>IF(Agent09_Withdrawals!A161="","",Agent09_Withdrawals!G161)</f>
        <v/>
      </c>
      <c r="I1756" s="37" t="str">
        <f>IF(Agent09_Withdrawals!A161="","",Agent09_Withdrawals!H161)</f>
        <v/>
      </c>
      <c r="J1756" s="37" t="str">
        <f>IF(Agent09_Withdrawals!A161="","",Agent09_Withdrawals!J161)</f>
        <v/>
      </c>
      <c r="K1756" s="37" t="str">
        <f>IF(Agent09_Withdrawals!A161="","",Agent09_Withdrawals!K161)</f>
        <v/>
      </c>
      <c r="L1756" s="37" t="str">
        <f>IF(G1756="","",IF(D1756-G1756&gt;=System_Config!$B$9,"✅ OK","⚠️ BREACH"))</f>
        <v/>
      </c>
      <c r="M1756" s="37" t="str">
        <f>IFERROR(IF(Agent09_Withdrawals!A161="","",YEAR(Agent09_Withdrawals!D161)),"")</f>
        <v/>
      </c>
    </row>
    <row r="1757" spans="1:13" ht="18" customHeight="1" x14ac:dyDescent="0.25">
      <c r="A1757" s="37" t="str">
        <f>IF(Agent09_Withdrawals!A162="","",Agent09_Withdrawals!A162)</f>
        <v/>
      </c>
      <c r="B1757" s="37" t="str">
        <f ca="1">IF(Agent09_Withdrawals!A162="","","WD"&amp;TEXT(1757-3,"0000")&amp;"-"&amp;TEXT(TODAY(),"YYYYMMDD"))</f>
        <v/>
      </c>
      <c r="C1757" s="37" t="str">
        <f>IF(Agent09_Withdrawals!A162="","",Agent09_Withdrawals!B162)</f>
        <v/>
      </c>
      <c r="D1757" s="40" t="str">
        <f>IF(Agent09_Withdrawals!A162="","",Agent09_Withdrawals!C162)</f>
        <v/>
      </c>
      <c r="E1757" s="38" t="str">
        <f>IF(Agent09_Withdrawals!A162="","",Agent09_Withdrawals!D162)</f>
        <v/>
      </c>
      <c r="F1757" s="37" t="str">
        <f>IF(Agent09_Withdrawals!A162="","",Agent09_Withdrawals!F162)</f>
        <v/>
      </c>
      <c r="G1757" s="39" t="str">
        <f>IF(Agent09_Withdrawals!A162="","",Agent09_Withdrawals!E162)</f>
        <v/>
      </c>
      <c r="H1757" s="39" t="str">
        <f>IF(Agent09_Withdrawals!A162="","",Agent09_Withdrawals!G162)</f>
        <v/>
      </c>
      <c r="I1757" s="37" t="str">
        <f>IF(Agent09_Withdrawals!A162="","",Agent09_Withdrawals!H162)</f>
        <v/>
      </c>
      <c r="J1757" s="37" t="str">
        <f>IF(Agent09_Withdrawals!A162="","",Agent09_Withdrawals!J162)</f>
        <v/>
      </c>
      <c r="K1757" s="37" t="str">
        <f>IF(Agent09_Withdrawals!A162="","",Agent09_Withdrawals!K162)</f>
        <v/>
      </c>
      <c r="L1757" s="37" t="str">
        <f>IF(G1757="","",IF(D1757-G1757&gt;=System_Config!$B$9,"✅ OK","⚠️ BREACH"))</f>
        <v/>
      </c>
      <c r="M1757" s="37" t="str">
        <f>IFERROR(IF(Agent09_Withdrawals!A162="","",YEAR(Agent09_Withdrawals!D162)),"")</f>
        <v/>
      </c>
    </row>
    <row r="1758" spans="1:13" ht="18" customHeight="1" x14ac:dyDescent="0.25">
      <c r="A1758" s="37" t="str">
        <f>IF(Agent09_Withdrawals!A163="","",Agent09_Withdrawals!A163)</f>
        <v/>
      </c>
      <c r="B1758" s="37" t="str">
        <f ca="1">IF(Agent09_Withdrawals!A163="","","WD"&amp;TEXT(1758-3,"0000")&amp;"-"&amp;TEXT(TODAY(),"YYYYMMDD"))</f>
        <v/>
      </c>
      <c r="C1758" s="37" t="str">
        <f>IF(Agent09_Withdrawals!A163="","",Agent09_Withdrawals!B163)</f>
        <v/>
      </c>
      <c r="D1758" s="40" t="str">
        <f>IF(Agent09_Withdrawals!A163="","",Agent09_Withdrawals!C163)</f>
        <v/>
      </c>
      <c r="E1758" s="38" t="str">
        <f>IF(Agent09_Withdrawals!A163="","",Agent09_Withdrawals!D163)</f>
        <v/>
      </c>
      <c r="F1758" s="37" t="str">
        <f>IF(Agent09_Withdrawals!A163="","",Agent09_Withdrawals!F163)</f>
        <v/>
      </c>
      <c r="G1758" s="39" t="str">
        <f>IF(Agent09_Withdrawals!A163="","",Agent09_Withdrawals!E163)</f>
        <v/>
      </c>
      <c r="H1758" s="39" t="str">
        <f>IF(Agent09_Withdrawals!A163="","",Agent09_Withdrawals!G163)</f>
        <v/>
      </c>
      <c r="I1758" s="37" t="str">
        <f>IF(Agent09_Withdrawals!A163="","",Agent09_Withdrawals!H163)</f>
        <v/>
      </c>
      <c r="J1758" s="37" t="str">
        <f>IF(Agent09_Withdrawals!A163="","",Agent09_Withdrawals!J163)</f>
        <v/>
      </c>
      <c r="K1758" s="37" t="str">
        <f>IF(Agent09_Withdrawals!A163="","",Agent09_Withdrawals!K163)</f>
        <v/>
      </c>
      <c r="L1758" s="37" t="str">
        <f>IF(G1758="","",IF(D1758-G1758&gt;=System_Config!$B$9,"✅ OK","⚠️ BREACH"))</f>
        <v/>
      </c>
      <c r="M1758" s="37" t="str">
        <f>IFERROR(IF(Agent09_Withdrawals!A163="","",YEAR(Agent09_Withdrawals!D163)),"")</f>
        <v/>
      </c>
    </row>
    <row r="1759" spans="1:13" ht="18" customHeight="1" x14ac:dyDescent="0.25">
      <c r="A1759" s="37" t="str">
        <f>IF(Agent09_Withdrawals!A164="","",Agent09_Withdrawals!A164)</f>
        <v/>
      </c>
      <c r="B1759" s="37" t="str">
        <f ca="1">IF(Agent09_Withdrawals!A164="","","WD"&amp;TEXT(1759-3,"0000")&amp;"-"&amp;TEXT(TODAY(),"YYYYMMDD"))</f>
        <v/>
      </c>
      <c r="C1759" s="37" t="str">
        <f>IF(Agent09_Withdrawals!A164="","",Agent09_Withdrawals!B164)</f>
        <v/>
      </c>
      <c r="D1759" s="40" t="str">
        <f>IF(Agent09_Withdrawals!A164="","",Agent09_Withdrawals!C164)</f>
        <v/>
      </c>
      <c r="E1759" s="38" t="str">
        <f>IF(Agent09_Withdrawals!A164="","",Agent09_Withdrawals!D164)</f>
        <v/>
      </c>
      <c r="F1759" s="37" t="str">
        <f>IF(Agent09_Withdrawals!A164="","",Agent09_Withdrawals!F164)</f>
        <v/>
      </c>
      <c r="G1759" s="39" t="str">
        <f>IF(Agent09_Withdrawals!A164="","",Agent09_Withdrawals!E164)</f>
        <v/>
      </c>
      <c r="H1759" s="39" t="str">
        <f>IF(Agent09_Withdrawals!A164="","",Agent09_Withdrawals!G164)</f>
        <v/>
      </c>
      <c r="I1759" s="37" t="str">
        <f>IF(Agent09_Withdrawals!A164="","",Agent09_Withdrawals!H164)</f>
        <v/>
      </c>
      <c r="J1759" s="37" t="str">
        <f>IF(Agent09_Withdrawals!A164="","",Agent09_Withdrawals!J164)</f>
        <v/>
      </c>
      <c r="K1759" s="37" t="str">
        <f>IF(Agent09_Withdrawals!A164="","",Agent09_Withdrawals!K164)</f>
        <v/>
      </c>
      <c r="L1759" s="37" t="str">
        <f>IF(G1759="","",IF(D1759-G1759&gt;=System_Config!$B$9,"✅ OK","⚠️ BREACH"))</f>
        <v/>
      </c>
      <c r="M1759" s="37" t="str">
        <f>IFERROR(IF(Agent09_Withdrawals!A164="","",YEAR(Agent09_Withdrawals!D164)),"")</f>
        <v/>
      </c>
    </row>
    <row r="1760" spans="1:13" ht="18" customHeight="1" x14ac:dyDescent="0.25">
      <c r="A1760" s="37" t="str">
        <f>IF(Agent09_Withdrawals!A165="","",Agent09_Withdrawals!A165)</f>
        <v/>
      </c>
      <c r="B1760" s="37" t="str">
        <f ca="1">IF(Agent09_Withdrawals!A165="","","WD"&amp;TEXT(1760-3,"0000")&amp;"-"&amp;TEXT(TODAY(),"YYYYMMDD"))</f>
        <v/>
      </c>
      <c r="C1760" s="37" t="str">
        <f>IF(Agent09_Withdrawals!A165="","",Agent09_Withdrawals!B165)</f>
        <v/>
      </c>
      <c r="D1760" s="40" t="str">
        <f>IF(Agent09_Withdrawals!A165="","",Agent09_Withdrawals!C165)</f>
        <v/>
      </c>
      <c r="E1760" s="38" t="str">
        <f>IF(Agent09_Withdrawals!A165="","",Agent09_Withdrawals!D165)</f>
        <v/>
      </c>
      <c r="F1760" s="37" t="str">
        <f>IF(Agent09_Withdrawals!A165="","",Agent09_Withdrawals!F165)</f>
        <v/>
      </c>
      <c r="G1760" s="39" t="str">
        <f>IF(Agent09_Withdrawals!A165="","",Agent09_Withdrawals!E165)</f>
        <v/>
      </c>
      <c r="H1760" s="39" t="str">
        <f>IF(Agent09_Withdrawals!A165="","",Agent09_Withdrawals!G165)</f>
        <v/>
      </c>
      <c r="I1760" s="37" t="str">
        <f>IF(Agent09_Withdrawals!A165="","",Agent09_Withdrawals!H165)</f>
        <v/>
      </c>
      <c r="J1760" s="37" t="str">
        <f>IF(Agent09_Withdrawals!A165="","",Agent09_Withdrawals!J165)</f>
        <v/>
      </c>
      <c r="K1760" s="37" t="str">
        <f>IF(Agent09_Withdrawals!A165="","",Agent09_Withdrawals!K165)</f>
        <v/>
      </c>
      <c r="L1760" s="37" t="str">
        <f>IF(G1760="","",IF(D1760-G1760&gt;=System_Config!$B$9,"✅ OK","⚠️ BREACH"))</f>
        <v/>
      </c>
      <c r="M1760" s="37" t="str">
        <f>IFERROR(IF(Agent09_Withdrawals!A165="","",YEAR(Agent09_Withdrawals!D165)),"")</f>
        <v/>
      </c>
    </row>
    <row r="1761" spans="1:13" ht="18" customHeight="1" x14ac:dyDescent="0.25">
      <c r="A1761" s="37" t="str">
        <f>IF(Agent09_Withdrawals!A166="","",Agent09_Withdrawals!A166)</f>
        <v/>
      </c>
      <c r="B1761" s="37" t="str">
        <f ca="1">IF(Agent09_Withdrawals!A166="","","WD"&amp;TEXT(1761-3,"0000")&amp;"-"&amp;TEXT(TODAY(),"YYYYMMDD"))</f>
        <v/>
      </c>
      <c r="C1761" s="37" t="str">
        <f>IF(Agent09_Withdrawals!A166="","",Agent09_Withdrawals!B166)</f>
        <v/>
      </c>
      <c r="D1761" s="40" t="str">
        <f>IF(Agent09_Withdrawals!A166="","",Agent09_Withdrawals!C166)</f>
        <v/>
      </c>
      <c r="E1761" s="38" t="str">
        <f>IF(Agent09_Withdrawals!A166="","",Agent09_Withdrawals!D166)</f>
        <v/>
      </c>
      <c r="F1761" s="37" t="str">
        <f>IF(Agent09_Withdrawals!A166="","",Agent09_Withdrawals!F166)</f>
        <v/>
      </c>
      <c r="G1761" s="39" t="str">
        <f>IF(Agent09_Withdrawals!A166="","",Agent09_Withdrawals!E166)</f>
        <v/>
      </c>
      <c r="H1761" s="39" t="str">
        <f>IF(Agent09_Withdrawals!A166="","",Agent09_Withdrawals!G166)</f>
        <v/>
      </c>
      <c r="I1761" s="37" t="str">
        <f>IF(Agent09_Withdrawals!A166="","",Agent09_Withdrawals!H166)</f>
        <v/>
      </c>
      <c r="J1761" s="37" t="str">
        <f>IF(Agent09_Withdrawals!A166="","",Agent09_Withdrawals!J166)</f>
        <v/>
      </c>
      <c r="K1761" s="37" t="str">
        <f>IF(Agent09_Withdrawals!A166="","",Agent09_Withdrawals!K166)</f>
        <v/>
      </c>
      <c r="L1761" s="37" t="str">
        <f>IF(G1761="","",IF(D1761-G1761&gt;=System_Config!$B$9,"✅ OK","⚠️ BREACH"))</f>
        <v/>
      </c>
      <c r="M1761" s="37" t="str">
        <f>IFERROR(IF(Agent09_Withdrawals!A166="","",YEAR(Agent09_Withdrawals!D166)),"")</f>
        <v/>
      </c>
    </row>
    <row r="1762" spans="1:13" ht="18" customHeight="1" x14ac:dyDescent="0.25">
      <c r="A1762" s="37" t="str">
        <f>IF(Agent09_Withdrawals!A167="","",Agent09_Withdrawals!A167)</f>
        <v/>
      </c>
      <c r="B1762" s="37" t="str">
        <f ca="1">IF(Agent09_Withdrawals!A167="","","WD"&amp;TEXT(1762-3,"0000")&amp;"-"&amp;TEXT(TODAY(),"YYYYMMDD"))</f>
        <v/>
      </c>
      <c r="C1762" s="37" t="str">
        <f>IF(Agent09_Withdrawals!A167="","",Agent09_Withdrawals!B167)</f>
        <v/>
      </c>
      <c r="D1762" s="40" t="str">
        <f>IF(Agent09_Withdrawals!A167="","",Agent09_Withdrawals!C167)</f>
        <v/>
      </c>
      <c r="E1762" s="38" t="str">
        <f>IF(Agent09_Withdrawals!A167="","",Agent09_Withdrawals!D167)</f>
        <v/>
      </c>
      <c r="F1762" s="37" t="str">
        <f>IF(Agent09_Withdrawals!A167="","",Agent09_Withdrawals!F167)</f>
        <v/>
      </c>
      <c r="G1762" s="39" t="str">
        <f>IF(Agent09_Withdrawals!A167="","",Agent09_Withdrawals!E167)</f>
        <v/>
      </c>
      <c r="H1762" s="39" t="str">
        <f>IF(Agent09_Withdrawals!A167="","",Agent09_Withdrawals!G167)</f>
        <v/>
      </c>
      <c r="I1762" s="37" t="str">
        <f>IF(Agent09_Withdrawals!A167="","",Agent09_Withdrawals!H167)</f>
        <v/>
      </c>
      <c r="J1762" s="37" t="str">
        <f>IF(Agent09_Withdrawals!A167="","",Agent09_Withdrawals!J167)</f>
        <v/>
      </c>
      <c r="K1762" s="37" t="str">
        <f>IF(Agent09_Withdrawals!A167="","",Agent09_Withdrawals!K167)</f>
        <v/>
      </c>
      <c r="L1762" s="37" t="str">
        <f>IF(G1762="","",IF(D1762-G1762&gt;=System_Config!$B$9,"✅ OK","⚠️ BREACH"))</f>
        <v/>
      </c>
      <c r="M1762" s="37" t="str">
        <f>IFERROR(IF(Agent09_Withdrawals!A167="","",YEAR(Agent09_Withdrawals!D167)),"")</f>
        <v/>
      </c>
    </row>
    <row r="1763" spans="1:13" ht="18" customHeight="1" x14ac:dyDescent="0.25">
      <c r="A1763" s="37" t="str">
        <f>IF(Agent09_Withdrawals!A168="","",Agent09_Withdrawals!A168)</f>
        <v/>
      </c>
      <c r="B1763" s="37" t="str">
        <f ca="1">IF(Agent09_Withdrawals!A168="","","WD"&amp;TEXT(1763-3,"0000")&amp;"-"&amp;TEXT(TODAY(),"YYYYMMDD"))</f>
        <v/>
      </c>
      <c r="C1763" s="37" t="str">
        <f>IF(Agent09_Withdrawals!A168="","",Agent09_Withdrawals!B168)</f>
        <v/>
      </c>
      <c r="D1763" s="40" t="str">
        <f>IF(Agent09_Withdrawals!A168="","",Agent09_Withdrawals!C168)</f>
        <v/>
      </c>
      <c r="E1763" s="38" t="str">
        <f>IF(Agent09_Withdrawals!A168="","",Agent09_Withdrawals!D168)</f>
        <v/>
      </c>
      <c r="F1763" s="37" t="str">
        <f>IF(Agent09_Withdrawals!A168="","",Agent09_Withdrawals!F168)</f>
        <v/>
      </c>
      <c r="G1763" s="39" t="str">
        <f>IF(Agent09_Withdrawals!A168="","",Agent09_Withdrawals!E168)</f>
        <v/>
      </c>
      <c r="H1763" s="39" t="str">
        <f>IF(Agent09_Withdrawals!A168="","",Agent09_Withdrawals!G168)</f>
        <v/>
      </c>
      <c r="I1763" s="37" t="str">
        <f>IF(Agent09_Withdrawals!A168="","",Agent09_Withdrawals!H168)</f>
        <v/>
      </c>
      <c r="J1763" s="37" t="str">
        <f>IF(Agent09_Withdrawals!A168="","",Agent09_Withdrawals!J168)</f>
        <v/>
      </c>
      <c r="K1763" s="37" t="str">
        <f>IF(Agent09_Withdrawals!A168="","",Agent09_Withdrawals!K168)</f>
        <v/>
      </c>
      <c r="L1763" s="37" t="str">
        <f>IF(G1763="","",IF(D1763-G1763&gt;=System_Config!$B$9,"✅ OK","⚠️ BREACH"))</f>
        <v/>
      </c>
      <c r="M1763" s="37" t="str">
        <f>IFERROR(IF(Agent09_Withdrawals!A168="","",YEAR(Agent09_Withdrawals!D168)),"")</f>
        <v/>
      </c>
    </row>
    <row r="1764" spans="1:13" ht="18" customHeight="1" x14ac:dyDescent="0.25">
      <c r="A1764" s="37" t="str">
        <f>IF(Agent09_Withdrawals!A169="","",Agent09_Withdrawals!A169)</f>
        <v/>
      </c>
      <c r="B1764" s="37" t="str">
        <f ca="1">IF(Agent09_Withdrawals!A169="","","WD"&amp;TEXT(1764-3,"0000")&amp;"-"&amp;TEXT(TODAY(),"YYYYMMDD"))</f>
        <v/>
      </c>
      <c r="C1764" s="37" t="str">
        <f>IF(Agent09_Withdrawals!A169="","",Agent09_Withdrawals!B169)</f>
        <v/>
      </c>
      <c r="D1764" s="40" t="str">
        <f>IF(Agent09_Withdrawals!A169="","",Agent09_Withdrawals!C169)</f>
        <v/>
      </c>
      <c r="E1764" s="38" t="str">
        <f>IF(Agent09_Withdrawals!A169="","",Agent09_Withdrawals!D169)</f>
        <v/>
      </c>
      <c r="F1764" s="37" t="str">
        <f>IF(Agent09_Withdrawals!A169="","",Agent09_Withdrawals!F169)</f>
        <v/>
      </c>
      <c r="G1764" s="39" t="str">
        <f>IF(Agent09_Withdrawals!A169="","",Agent09_Withdrawals!E169)</f>
        <v/>
      </c>
      <c r="H1764" s="39" t="str">
        <f>IF(Agent09_Withdrawals!A169="","",Agent09_Withdrawals!G169)</f>
        <v/>
      </c>
      <c r="I1764" s="37" t="str">
        <f>IF(Agent09_Withdrawals!A169="","",Agent09_Withdrawals!H169)</f>
        <v/>
      </c>
      <c r="J1764" s="37" t="str">
        <f>IF(Agent09_Withdrawals!A169="","",Agent09_Withdrawals!J169)</f>
        <v/>
      </c>
      <c r="K1764" s="37" t="str">
        <f>IF(Agent09_Withdrawals!A169="","",Agent09_Withdrawals!K169)</f>
        <v/>
      </c>
      <c r="L1764" s="37" t="str">
        <f>IF(G1764="","",IF(D1764-G1764&gt;=System_Config!$B$9,"✅ OK","⚠️ BREACH"))</f>
        <v/>
      </c>
      <c r="M1764" s="37" t="str">
        <f>IFERROR(IF(Agent09_Withdrawals!A169="","",YEAR(Agent09_Withdrawals!D169)),"")</f>
        <v/>
      </c>
    </row>
    <row r="1765" spans="1:13" ht="18" customHeight="1" x14ac:dyDescent="0.25">
      <c r="A1765" s="37" t="str">
        <f>IF(Agent09_Withdrawals!A170="","",Agent09_Withdrawals!A170)</f>
        <v/>
      </c>
      <c r="B1765" s="37" t="str">
        <f ca="1">IF(Agent09_Withdrawals!A170="","","WD"&amp;TEXT(1765-3,"0000")&amp;"-"&amp;TEXT(TODAY(),"YYYYMMDD"))</f>
        <v/>
      </c>
      <c r="C1765" s="37" t="str">
        <f>IF(Agent09_Withdrawals!A170="","",Agent09_Withdrawals!B170)</f>
        <v/>
      </c>
      <c r="D1765" s="40" t="str">
        <f>IF(Agent09_Withdrawals!A170="","",Agent09_Withdrawals!C170)</f>
        <v/>
      </c>
      <c r="E1765" s="38" t="str">
        <f>IF(Agent09_Withdrawals!A170="","",Agent09_Withdrawals!D170)</f>
        <v/>
      </c>
      <c r="F1765" s="37" t="str">
        <f>IF(Agent09_Withdrawals!A170="","",Agent09_Withdrawals!F170)</f>
        <v/>
      </c>
      <c r="G1765" s="39" t="str">
        <f>IF(Agent09_Withdrawals!A170="","",Agent09_Withdrawals!E170)</f>
        <v/>
      </c>
      <c r="H1765" s="39" t="str">
        <f>IF(Agent09_Withdrawals!A170="","",Agent09_Withdrawals!G170)</f>
        <v/>
      </c>
      <c r="I1765" s="37" t="str">
        <f>IF(Agent09_Withdrawals!A170="","",Agent09_Withdrawals!H170)</f>
        <v/>
      </c>
      <c r="J1765" s="37" t="str">
        <f>IF(Agent09_Withdrawals!A170="","",Agent09_Withdrawals!J170)</f>
        <v/>
      </c>
      <c r="K1765" s="37" t="str">
        <f>IF(Agent09_Withdrawals!A170="","",Agent09_Withdrawals!K170)</f>
        <v/>
      </c>
      <c r="L1765" s="37" t="str">
        <f>IF(G1765="","",IF(D1765-G1765&gt;=System_Config!$B$9,"✅ OK","⚠️ BREACH"))</f>
        <v/>
      </c>
      <c r="M1765" s="37" t="str">
        <f>IFERROR(IF(Agent09_Withdrawals!A170="","",YEAR(Agent09_Withdrawals!D170)),"")</f>
        <v/>
      </c>
    </row>
    <row r="1766" spans="1:13" ht="18" customHeight="1" x14ac:dyDescent="0.25">
      <c r="A1766" s="37" t="str">
        <f>IF(Agent09_Withdrawals!A171="","",Agent09_Withdrawals!A171)</f>
        <v/>
      </c>
      <c r="B1766" s="37" t="str">
        <f ca="1">IF(Agent09_Withdrawals!A171="","","WD"&amp;TEXT(1766-3,"0000")&amp;"-"&amp;TEXT(TODAY(),"YYYYMMDD"))</f>
        <v/>
      </c>
      <c r="C1766" s="37" t="str">
        <f>IF(Agent09_Withdrawals!A171="","",Agent09_Withdrawals!B171)</f>
        <v/>
      </c>
      <c r="D1766" s="40" t="str">
        <f>IF(Agent09_Withdrawals!A171="","",Agent09_Withdrawals!C171)</f>
        <v/>
      </c>
      <c r="E1766" s="38" t="str">
        <f>IF(Agent09_Withdrawals!A171="","",Agent09_Withdrawals!D171)</f>
        <v/>
      </c>
      <c r="F1766" s="37" t="str">
        <f>IF(Agent09_Withdrawals!A171="","",Agent09_Withdrawals!F171)</f>
        <v/>
      </c>
      <c r="G1766" s="39" t="str">
        <f>IF(Agent09_Withdrawals!A171="","",Agent09_Withdrawals!E171)</f>
        <v/>
      </c>
      <c r="H1766" s="39" t="str">
        <f>IF(Agent09_Withdrawals!A171="","",Agent09_Withdrawals!G171)</f>
        <v/>
      </c>
      <c r="I1766" s="37" t="str">
        <f>IF(Agent09_Withdrawals!A171="","",Agent09_Withdrawals!H171)</f>
        <v/>
      </c>
      <c r="J1766" s="37" t="str">
        <f>IF(Agent09_Withdrawals!A171="","",Agent09_Withdrawals!J171)</f>
        <v/>
      </c>
      <c r="K1766" s="37" t="str">
        <f>IF(Agent09_Withdrawals!A171="","",Agent09_Withdrawals!K171)</f>
        <v/>
      </c>
      <c r="L1766" s="37" t="str">
        <f>IF(G1766="","",IF(D1766-G1766&gt;=System_Config!$B$9,"✅ OK","⚠️ BREACH"))</f>
        <v/>
      </c>
      <c r="M1766" s="37" t="str">
        <f>IFERROR(IF(Agent09_Withdrawals!A171="","",YEAR(Agent09_Withdrawals!D171)),"")</f>
        <v/>
      </c>
    </row>
    <row r="1767" spans="1:13" ht="18" customHeight="1" x14ac:dyDescent="0.25">
      <c r="A1767" s="37" t="str">
        <f>IF(Agent09_Withdrawals!A172="","",Agent09_Withdrawals!A172)</f>
        <v/>
      </c>
      <c r="B1767" s="37" t="str">
        <f ca="1">IF(Agent09_Withdrawals!A172="","","WD"&amp;TEXT(1767-3,"0000")&amp;"-"&amp;TEXT(TODAY(),"YYYYMMDD"))</f>
        <v/>
      </c>
      <c r="C1767" s="37" t="str">
        <f>IF(Agent09_Withdrawals!A172="","",Agent09_Withdrawals!B172)</f>
        <v/>
      </c>
      <c r="D1767" s="40" t="str">
        <f>IF(Agent09_Withdrawals!A172="","",Agent09_Withdrawals!C172)</f>
        <v/>
      </c>
      <c r="E1767" s="38" t="str">
        <f>IF(Agent09_Withdrawals!A172="","",Agent09_Withdrawals!D172)</f>
        <v/>
      </c>
      <c r="F1767" s="37" t="str">
        <f>IF(Agent09_Withdrawals!A172="","",Agent09_Withdrawals!F172)</f>
        <v/>
      </c>
      <c r="G1767" s="39" t="str">
        <f>IF(Agent09_Withdrawals!A172="","",Agent09_Withdrawals!E172)</f>
        <v/>
      </c>
      <c r="H1767" s="39" t="str">
        <f>IF(Agent09_Withdrawals!A172="","",Agent09_Withdrawals!G172)</f>
        <v/>
      </c>
      <c r="I1767" s="37" t="str">
        <f>IF(Agent09_Withdrawals!A172="","",Agent09_Withdrawals!H172)</f>
        <v/>
      </c>
      <c r="J1767" s="37" t="str">
        <f>IF(Agent09_Withdrawals!A172="","",Agent09_Withdrawals!J172)</f>
        <v/>
      </c>
      <c r="K1767" s="37" t="str">
        <f>IF(Agent09_Withdrawals!A172="","",Agent09_Withdrawals!K172)</f>
        <v/>
      </c>
      <c r="L1767" s="37" t="str">
        <f>IF(G1767="","",IF(D1767-G1767&gt;=System_Config!$B$9,"✅ OK","⚠️ BREACH"))</f>
        <v/>
      </c>
      <c r="M1767" s="37" t="str">
        <f>IFERROR(IF(Agent09_Withdrawals!A172="","",YEAR(Agent09_Withdrawals!D172)),"")</f>
        <v/>
      </c>
    </row>
    <row r="1768" spans="1:13" ht="18" customHeight="1" x14ac:dyDescent="0.25">
      <c r="A1768" s="37" t="str">
        <f>IF(Agent09_Withdrawals!A173="","",Agent09_Withdrawals!A173)</f>
        <v/>
      </c>
      <c r="B1768" s="37" t="str">
        <f ca="1">IF(Agent09_Withdrawals!A173="","","WD"&amp;TEXT(1768-3,"0000")&amp;"-"&amp;TEXT(TODAY(),"YYYYMMDD"))</f>
        <v/>
      </c>
      <c r="C1768" s="37" t="str">
        <f>IF(Agent09_Withdrawals!A173="","",Agent09_Withdrawals!B173)</f>
        <v/>
      </c>
      <c r="D1768" s="40" t="str">
        <f>IF(Agent09_Withdrawals!A173="","",Agent09_Withdrawals!C173)</f>
        <v/>
      </c>
      <c r="E1768" s="38" t="str">
        <f>IF(Agent09_Withdrawals!A173="","",Agent09_Withdrawals!D173)</f>
        <v/>
      </c>
      <c r="F1768" s="37" t="str">
        <f>IF(Agent09_Withdrawals!A173="","",Agent09_Withdrawals!F173)</f>
        <v/>
      </c>
      <c r="G1768" s="39" t="str">
        <f>IF(Agent09_Withdrawals!A173="","",Agent09_Withdrawals!E173)</f>
        <v/>
      </c>
      <c r="H1768" s="39" t="str">
        <f>IF(Agent09_Withdrawals!A173="","",Agent09_Withdrawals!G173)</f>
        <v/>
      </c>
      <c r="I1768" s="37" t="str">
        <f>IF(Agent09_Withdrawals!A173="","",Agent09_Withdrawals!H173)</f>
        <v/>
      </c>
      <c r="J1768" s="37" t="str">
        <f>IF(Agent09_Withdrawals!A173="","",Agent09_Withdrawals!J173)</f>
        <v/>
      </c>
      <c r="K1768" s="37" t="str">
        <f>IF(Agent09_Withdrawals!A173="","",Agent09_Withdrawals!K173)</f>
        <v/>
      </c>
      <c r="L1768" s="37" t="str">
        <f>IF(G1768="","",IF(D1768-G1768&gt;=System_Config!$B$9,"✅ OK","⚠️ BREACH"))</f>
        <v/>
      </c>
      <c r="M1768" s="37" t="str">
        <f>IFERROR(IF(Agent09_Withdrawals!A173="","",YEAR(Agent09_Withdrawals!D173)),"")</f>
        <v/>
      </c>
    </row>
    <row r="1769" spans="1:13" ht="18" customHeight="1" x14ac:dyDescent="0.25">
      <c r="A1769" s="37" t="str">
        <f>IF(Agent09_Withdrawals!A174="","",Agent09_Withdrawals!A174)</f>
        <v/>
      </c>
      <c r="B1769" s="37" t="str">
        <f ca="1">IF(Agent09_Withdrawals!A174="","","WD"&amp;TEXT(1769-3,"0000")&amp;"-"&amp;TEXT(TODAY(),"YYYYMMDD"))</f>
        <v/>
      </c>
      <c r="C1769" s="37" t="str">
        <f>IF(Agent09_Withdrawals!A174="","",Agent09_Withdrawals!B174)</f>
        <v/>
      </c>
      <c r="D1769" s="40" t="str">
        <f>IF(Agent09_Withdrawals!A174="","",Agent09_Withdrawals!C174)</f>
        <v/>
      </c>
      <c r="E1769" s="38" t="str">
        <f>IF(Agent09_Withdrawals!A174="","",Agent09_Withdrawals!D174)</f>
        <v/>
      </c>
      <c r="F1769" s="37" t="str">
        <f>IF(Agent09_Withdrawals!A174="","",Agent09_Withdrawals!F174)</f>
        <v/>
      </c>
      <c r="G1769" s="39" t="str">
        <f>IF(Agent09_Withdrawals!A174="","",Agent09_Withdrawals!E174)</f>
        <v/>
      </c>
      <c r="H1769" s="39" t="str">
        <f>IF(Agent09_Withdrawals!A174="","",Agent09_Withdrawals!G174)</f>
        <v/>
      </c>
      <c r="I1769" s="37" t="str">
        <f>IF(Agent09_Withdrawals!A174="","",Agent09_Withdrawals!H174)</f>
        <v/>
      </c>
      <c r="J1769" s="37" t="str">
        <f>IF(Agent09_Withdrawals!A174="","",Agent09_Withdrawals!J174)</f>
        <v/>
      </c>
      <c r="K1769" s="37" t="str">
        <f>IF(Agent09_Withdrawals!A174="","",Agent09_Withdrawals!K174)</f>
        <v/>
      </c>
      <c r="L1769" s="37" t="str">
        <f>IF(G1769="","",IF(D1769-G1769&gt;=System_Config!$B$9,"✅ OK","⚠️ BREACH"))</f>
        <v/>
      </c>
      <c r="M1769" s="37" t="str">
        <f>IFERROR(IF(Agent09_Withdrawals!A174="","",YEAR(Agent09_Withdrawals!D174)),"")</f>
        <v/>
      </c>
    </row>
    <row r="1770" spans="1:13" ht="18" customHeight="1" x14ac:dyDescent="0.25">
      <c r="A1770" s="37" t="str">
        <f>IF(Agent09_Withdrawals!A175="","",Agent09_Withdrawals!A175)</f>
        <v/>
      </c>
      <c r="B1770" s="37" t="str">
        <f ca="1">IF(Agent09_Withdrawals!A175="","","WD"&amp;TEXT(1770-3,"0000")&amp;"-"&amp;TEXT(TODAY(),"YYYYMMDD"))</f>
        <v/>
      </c>
      <c r="C1770" s="37" t="str">
        <f>IF(Agent09_Withdrawals!A175="","",Agent09_Withdrawals!B175)</f>
        <v/>
      </c>
      <c r="D1770" s="40" t="str">
        <f>IF(Agent09_Withdrawals!A175="","",Agent09_Withdrawals!C175)</f>
        <v/>
      </c>
      <c r="E1770" s="38" t="str">
        <f>IF(Agent09_Withdrawals!A175="","",Agent09_Withdrawals!D175)</f>
        <v/>
      </c>
      <c r="F1770" s="37" t="str">
        <f>IF(Agent09_Withdrawals!A175="","",Agent09_Withdrawals!F175)</f>
        <v/>
      </c>
      <c r="G1770" s="39" t="str">
        <f>IF(Agent09_Withdrawals!A175="","",Agent09_Withdrawals!E175)</f>
        <v/>
      </c>
      <c r="H1770" s="39" t="str">
        <f>IF(Agent09_Withdrawals!A175="","",Agent09_Withdrawals!G175)</f>
        <v/>
      </c>
      <c r="I1770" s="37" t="str">
        <f>IF(Agent09_Withdrawals!A175="","",Agent09_Withdrawals!H175)</f>
        <v/>
      </c>
      <c r="J1770" s="37" t="str">
        <f>IF(Agent09_Withdrawals!A175="","",Agent09_Withdrawals!J175)</f>
        <v/>
      </c>
      <c r="K1770" s="37" t="str">
        <f>IF(Agent09_Withdrawals!A175="","",Agent09_Withdrawals!K175)</f>
        <v/>
      </c>
      <c r="L1770" s="37" t="str">
        <f>IF(G1770="","",IF(D1770-G1770&gt;=System_Config!$B$9,"✅ OK","⚠️ BREACH"))</f>
        <v/>
      </c>
      <c r="M1770" s="37" t="str">
        <f>IFERROR(IF(Agent09_Withdrawals!A175="","",YEAR(Agent09_Withdrawals!D175)),"")</f>
        <v/>
      </c>
    </row>
    <row r="1771" spans="1:13" ht="18" customHeight="1" x14ac:dyDescent="0.25">
      <c r="A1771" s="37" t="str">
        <f>IF(Agent09_Withdrawals!A176="","",Agent09_Withdrawals!A176)</f>
        <v/>
      </c>
      <c r="B1771" s="37" t="str">
        <f ca="1">IF(Agent09_Withdrawals!A176="","","WD"&amp;TEXT(1771-3,"0000")&amp;"-"&amp;TEXT(TODAY(),"YYYYMMDD"))</f>
        <v/>
      </c>
      <c r="C1771" s="37" t="str">
        <f>IF(Agent09_Withdrawals!A176="","",Agent09_Withdrawals!B176)</f>
        <v/>
      </c>
      <c r="D1771" s="40" t="str">
        <f>IF(Agent09_Withdrawals!A176="","",Agent09_Withdrawals!C176)</f>
        <v/>
      </c>
      <c r="E1771" s="38" t="str">
        <f>IF(Agent09_Withdrawals!A176="","",Agent09_Withdrawals!D176)</f>
        <v/>
      </c>
      <c r="F1771" s="37" t="str">
        <f>IF(Agent09_Withdrawals!A176="","",Agent09_Withdrawals!F176)</f>
        <v/>
      </c>
      <c r="G1771" s="39" t="str">
        <f>IF(Agent09_Withdrawals!A176="","",Agent09_Withdrawals!E176)</f>
        <v/>
      </c>
      <c r="H1771" s="39" t="str">
        <f>IF(Agent09_Withdrawals!A176="","",Agent09_Withdrawals!G176)</f>
        <v/>
      </c>
      <c r="I1771" s="37" t="str">
        <f>IF(Agent09_Withdrawals!A176="","",Agent09_Withdrawals!H176)</f>
        <v/>
      </c>
      <c r="J1771" s="37" t="str">
        <f>IF(Agent09_Withdrawals!A176="","",Agent09_Withdrawals!J176)</f>
        <v/>
      </c>
      <c r="K1771" s="37" t="str">
        <f>IF(Agent09_Withdrawals!A176="","",Agent09_Withdrawals!K176)</f>
        <v/>
      </c>
      <c r="L1771" s="37" t="str">
        <f>IF(G1771="","",IF(D1771-G1771&gt;=System_Config!$B$9,"✅ OK","⚠️ BREACH"))</f>
        <v/>
      </c>
      <c r="M1771" s="37" t="str">
        <f>IFERROR(IF(Agent09_Withdrawals!A176="","",YEAR(Agent09_Withdrawals!D176)),"")</f>
        <v/>
      </c>
    </row>
    <row r="1772" spans="1:13" ht="18" customHeight="1" x14ac:dyDescent="0.25">
      <c r="A1772" s="37" t="str">
        <f>IF(Agent09_Withdrawals!A177="","",Agent09_Withdrawals!A177)</f>
        <v/>
      </c>
      <c r="B1772" s="37" t="str">
        <f ca="1">IF(Agent09_Withdrawals!A177="","","WD"&amp;TEXT(1772-3,"0000")&amp;"-"&amp;TEXT(TODAY(),"YYYYMMDD"))</f>
        <v/>
      </c>
      <c r="C1772" s="37" t="str">
        <f>IF(Agent09_Withdrawals!A177="","",Agent09_Withdrawals!B177)</f>
        <v/>
      </c>
      <c r="D1772" s="40" t="str">
        <f>IF(Agent09_Withdrawals!A177="","",Agent09_Withdrawals!C177)</f>
        <v/>
      </c>
      <c r="E1772" s="38" t="str">
        <f>IF(Agent09_Withdrawals!A177="","",Agent09_Withdrawals!D177)</f>
        <v/>
      </c>
      <c r="F1772" s="37" t="str">
        <f>IF(Agent09_Withdrawals!A177="","",Agent09_Withdrawals!F177)</f>
        <v/>
      </c>
      <c r="G1772" s="39" t="str">
        <f>IF(Agent09_Withdrawals!A177="","",Agent09_Withdrawals!E177)</f>
        <v/>
      </c>
      <c r="H1772" s="39" t="str">
        <f>IF(Agent09_Withdrawals!A177="","",Agent09_Withdrawals!G177)</f>
        <v/>
      </c>
      <c r="I1772" s="37" t="str">
        <f>IF(Agent09_Withdrawals!A177="","",Agent09_Withdrawals!H177)</f>
        <v/>
      </c>
      <c r="J1772" s="37" t="str">
        <f>IF(Agent09_Withdrawals!A177="","",Agent09_Withdrawals!J177)</f>
        <v/>
      </c>
      <c r="K1772" s="37" t="str">
        <f>IF(Agent09_Withdrawals!A177="","",Agent09_Withdrawals!K177)</f>
        <v/>
      </c>
      <c r="L1772" s="37" t="str">
        <f>IF(G1772="","",IF(D1772-G1772&gt;=System_Config!$B$9,"✅ OK","⚠️ BREACH"))</f>
        <v/>
      </c>
      <c r="M1772" s="37" t="str">
        <f>IFERROR(IF(Agent09_Withdrawals!A177="","",YEAR(Agent09_Withdrawals!D177)),"")</f>
        <v/>
      </c>
    </row>
    <row r="1773" spans="1:13" ht="18" customHeight="1" x14ac:dyDescent="0.25">
      <c r="A1773" s="37" t="str">
        <f>IF(Agent09_Withdrawals!A178="","",Agent09_Withdrawals!A178)</f>
        <v/>
      </c>
      <c r="B1773" s="37" t="str">
        <f ca="1">IF(Agent09_Withdrawals!A178="","","WD"&amp;TEXT(1773-3,"0000")&amp;"-"&amp;TEXT(TODAY(),"YYYYMMDD"))</f>
        <v/>
      </c>
      <c r="C1773" s="37" t="str">
        <f>IF(Agent09_Withdrawals!A178="","",Agent09_Withdrawals!B178)</f>
        <v/>
      </c>
      <c r="D1773" s="40" t="str">
        <f>IF(Agent09_Withdrawals!A178="","",Agent09_Withdrawals!C178)</f>
        <v/>
      </c>
      <c r="E1773" s="38" t="str">
        <f>IF(Agent09_Withdrawals!A178="","",Agent09_Withdrawals!D178)</f>
        <v/>
      </c>
      <c r="F1773" s="37" t="str">
        <f>IF(Agent09_Withdrawals!A178="","",Agent09_Withdrawals!F178)</f>
        <v/>
      </c>
      <c r="G1773" s="39" t="str">
        <f>IF(Agent09_Withdrawals!A178="","",Agent09_Withdrawals!E178)</f>
        <v/>
      </c>
      <c r="H1773" s="39" t="str">
        <f>IF(Agent09_Withdrawals!A178="","",Agent09_Withdrawals!G178)</f>
        <v/>
      </c>
      <c r="I1773" s="37" t="str">
        <f>IF(Agent09_Withdrawals!A178="","",Agent09_Withdrawals!H178)</f>
        <v/>
      </c>
      <c r="J1773" s="37" t="str">
        <f>IF(Agent09_Withdrawals!A178="","",Agent09_Withdrawals!J178)</f>
        <v/>
      </c>
      <c r="K1773" s="37" t="str">
        <f>IF(Agent09_Withdrawals!A178="","",Agent09_Withdrawals!K178)</f>
        <v/>
      </c>
      <c r="L1773" s="37" t="str">
        <f>IF(G1773="","",IF(D1773-G1773&gt;=System_Config!$B$9,"✅ OK","⚠️ BREACH"))</f>
        <v/>
      </c>
      <c r="M1773" s="37" t="str">
        <f>IFERROR(IF(Agent09_Withdrawals!A178="","",YEAR(Agent09_Withdrawals!D178)),"")</f>
        <v/>
      </c>
    </row>
    <row r="1774" spans="1:13" ht="18" customHeight="1" x14ac:dyDescent="0.25">
      <c r="A1774" s="37" t="str">
        <f>IF(Agent09_Withdrawals!A179="","",Agent09_Withdrawals!A179)</f>
        <v/>
      </c>
      <c r="B1774" s="37" t="str">
        <f ca="1">IF(Agent09_Withdrawals!A179="","","WD"&amp;TEXT(1774-3,"0000")&amp;"-"&amp;TEXT(TODAY(),"YYYYMMDD"))</f>
        <v/>
      </c>
      <c r="C1774" s="37" t="str">
        <f>IF(Agent09_Withdrawals!A179="","",Agent09_Withdrawals!B179)</f>
        <v/>
      </c>
      <c r="D1774" s="40" t="str">
        <f>IF(Agent09_Withdrawals!A179="","",Agent09_Withdrawals!C179)</f>
        <v/>
      </c>
      <c r="E1774" s="38" t="str">
        <f>IF(Agent09_Withdrawals!A179="","",Agent09_Withdrawals!D179)</f>
        <v/>
      </c>
      <c r="F1774" s="37" t="str">
        <f>IF(Agent09_Withdrawals!A179="","",Agent09_Withdrawals!F179)</f>
        <v/>
      </c>
      <c r="G1774" s="39" t="str">
        <f>IF(Agent09_Withdrawals!A179="","",Agent09_Withdrawals!E179)</f>
        <v/>
      </c>
      <c r="H1774" s="39" t="str">
        <f>IF(Agent09_Withdrawals!A179="","",Agent09_Withdrawals!G179)</f>
        <v/>
      </c>
      <c r="I1774" s="37" t="str">
        <f>IF(Agent09_Withdrawals!A179="","",Agent09_Withdrawals!H179)</f>
        <v/>
      </c>
      <c r="J1774" s="37" t="str">
        <f>IF(Agent09_Withdrawals!A179="","",Agent09_Withdrawals!J179)</f>
        <v/>
      </c>
      <c r="K1774" s="37" t="str">
        <f>IF(Agent09_Withdrawals!A179="","",Agent09_Withdrawals!K179)</f>
        <v/>
      </c>
      <c r="L1774" s="37" t="str">
        <f>IF(G1774="","",IF(D1774-G1774&gt;=System_Config!$B$9,"✅ OK","⚠️ BREACH"))</f>
        <v/>
      </c>
      <c r="M1774" s="37" t="str">
        <f>IFERROR(IF(Agent09_Withdrawals!A179="","",YEAR(Agent09_Withdrawals!D179)),"")</f>
        <v/>
      </c>
    </row>
    <row r="1775" spans="1:13" ht="18" customHeight="1" x14ac:dyDescent="0.25">
      <c r="A1775" s="37" t="str">
        <f>IF(Agent09_Withdrawals!A180="","",Agent09_Withdrawals!A180)</f>
        <v/>
      </c>
      <c r="B1775" s="37" t="str">
        <f ca="1">IF(Agent09_Withdrawals!A180="","","WD"&amp;TEXT(1775-3,"0000")&amp;"-"&amp;TEXT(TODAY(),"YYYYMMDD"))</f>
        <v/>
      </c>
      <c r="C1775" s="37" t="str">
        <f>IF(Agent09_Withdrawals!A180="","",Agent09_Withdrawals!B180)</f>
        <v/>
      </c>
      <c r="D1775" s="40" t="str">
        <f>IF(Agent09_Withdrawals!A180="","",Agent09_Withdrawals!C180)</f>
        <v/>
      </c>
      <c r="E1775" s="38" t="str">
        <f>IF(Agent09_Withdrawals!A180="","",Agent09_Withdrawals!D180)</f>
        <v/>
      </c>
      <c r="F1775" s="37" t="str">
        <f>IF(Agent09_Withdrawals!A180="","",Agent09_Withdrawals!F180)</f>
        <v/>
      </c>
      <c r="G1775" s="39" t="str">
        <f>IF(Agent09_Withdrawals!A180="","",Agent09_Withdrawals!E180)</f>
        <v/>
      </c>
      <c r="H1775" s="39" t="str">
        <f>IF(Agent09_Withdrawals!A180="","",Agent09_Withdrawals!G180)</f>
        <v/>
      </c>
      <c r="I1775" s="37" t="str">
        <f>IF(Agent09_Withdrawals!A180="","",Agent09_Withdrawals!H180)</f>
        <v/>
      </c>
      <c r="J1775" s="37" t="str">
        <f>IF(Agent09_Withdrawals!A180="","",Agent09_Withdrawals!J180)</f>
        <v/>
      </c>
      <c r="K1775" s="37" t="str">
        <f>IF(Agent09_Withdrawals!A180="","",Agent09_Withdrawals!K180)</f>
        <v/>
      </c>
      <c r="L1775" s="37" t="str">
        <f>IF(G1775="","",IF(D1775-G1775&gt;=System_Config!$B$9,"✅ OK","⚠️ BREACH"))</f>
        <v/>
      </c>
      <c r="M1775" s="37" t="str">
        <f>IFERROR(IF(Agent09_Withdrawals!A180="","",YEAR(Agent09_Withdrawals!D180)),"")</f>
        <v/>
      </c>
    </row>
    <row r="1776" spans="1:13" ht="18" customHeight="1" x14ac:dyDescent="0.25">
      <c r="A1776" s="37" t="str">
        <f>IF(Agent09_Withdrawals!A181="","",Agent09_Withdrawals!A181)</f>
        <v/>
      </c>
      <c r="B1776" s="37" t="str">
        <f ca="1">IF(Agent09_Withdrawals!A181="","","WD"&amp;TEXT(1776-3,"0000")&amp;"-"&amp;TEXT(TODAY(),"YYYYMMDD"))</f>
        <v/>
      </c>
      <c r="C1776" s="37" t="str">
        <f>IF(Agent09_Withdrawals!A181="","",Agent09_Withdrawals!B181)</f>
        <v/>
      </c>
      <c r="D1776" s="40" t="str">
        <f>IF(Agent09_Withdrawals!A181="","",Agent09_Withdrawals!C181)</f>
        <v/>
      </c>
      <c r="E1776" s="38" t="str">
        <f>IF(Agent09_Withdrawals!A181="","",Agent09_Withdrawals!D181)</f>
        <v/>
      </c>
      <c r="F1776" s="37" t="str">
        <f>IF(Agent09_Withdrawals!A181="","",Agent09_Withdrawals!F181)</f>
        <v/>
      </c>
      <c r="G1776" s="39" t="str">
        <f>IF(Agent09_Withdrawals!A181="","",Agent09_Withdrawals!E181)</f>
        <v/>
      </c>
      <c r="H1776" s="39" t="str">
        <f>IF(Agent09_Withdrawals!A181="","",Agent09_Withdrawals!G181)</f>
        <v/>
      </c>
      <c r="I1776" s="37" t="str">
        <f>IF(Agent09_Withdrawals!A181="","",Agent09_Withdrawals!H181)</f>
        <v/>
      </c>
      <c r="J1776" s="37" t="str">
        <f>IF(Agent09_Withdrawals!A181="","",Agent09_Withdrawals!J181)</f>
        <v/>
      </c>
      <c r="K1776" s="37" t="str">
        <f>IF(Agent09_Withdrawals!A181="","",Agent09_Withdrawals!K181)</f>
        <v/>
      </c>
      <c r="L1776" s="37" t="str">
        <f>IF(G1776="","",IF(D1776-G1776&gt;=System_Config!$B$9,"✅ OK","⚠️ BREACH"))</f>
        <v/>
      </c>
      <c r="M1776" s="37" t="str">
        <f>IFERROR(IF(Agent09_Withdrawals!A181="","",YEAR(Agent09_Withdrawals!D181)),"")</f>
        <v/>
      </c>
    </row>
    <row r="1777" spans="1:13" ht="18" customHeight="1" x14ac:dyDescent="0.25">
      <c r="A1777" s="37" t="str">
        <f>IF(Agent09_Withdrawals!A182="","",Agent09_Withdrawals!A182)</f>
        <v/>
      </c>
      <c r="B1777" s="37" t="str">
        <f ca="1">IF(Agent09_Withdrawals!A182="","","WD"&amp;TEXT(1777-3,"0000")&amp;"-"&amp;TEXT(TODAY(),"YYYYMMDD"))</f>
        <v/>
      </c>
      <c r="C1777" s="37" t="str">
        <f>IF(Agent09_Withdrawals!A182="","",Agent09_Withdrawals!B182)</f>
        <v/>
      </c>
      <c r="D1777" s="40" t="str">
        <f>IF(Agent09_Withdrawals!A182="","",Agent09_Withdrawals!C182)</f>
        <v/>
      </c>
      <c r="E1777" s="38" t="str">
        <f>IF(Agent09_Withdrawals!A182="","",Agent09_Withdrawals!D182)</f>
        <v/>
      </c>
      <c r="F1777" s="37" t="str">
        <f>IF(Agent09_Withdrawals!A182="","",Agent09_Withdrawals!F182)</f>
        <v/>
      </c>
      <c r="G1777" s="39" t="str">
        <f>IF(Agent09_Withdrawals!A182="","",Agent09_Withdrawals!E182)</f>
        <v/>
      </c>
      <c r="H1777" s="39" t="str">
        <f>IF(Agent09_Withdrawals!A182="","",Agent09_Withdrawals!G182)</f>
        <v/>
      </c>
      <c r="I1777" s="37" t="str">
        <f>IF(Agent09_Withdrawals!A182="","",Agent09_Withdrawals!H182)</f>
        <v/>
      </c>
      <c r="J1777" s="37" t="str">
        <f>IF(Agent09_Withdrawals!A182="","",Agent09_Withdrawals!J182)</f>
        <v/>
      </c>
      <c r="K1777" s="37" t="str">
        <f>IF(Agent09_Withdrawals!A182="","",Agent09_Withdrawals!K182)</f>
        <v/>
      </c>
      <c r="L1777" s="37" t="str">
        <f>IF(G1777="","",IF(D1777-G1777&gt;=System_Config!$B$9,"✅ OK","⚠️ BREACH"))</f>
        <v/>
      </c>
      <c r="M1777" s="37" t="str">
        <f>IFERROR(IF(Agent09_Withdrawals!A182="","",YEAR(Agent09_Withdrawals!D182)),"")</f>
        <v/>
      </c>
    </row>
    <row r="1778" spans="1:13" ht="18" customHeight="1" x14ac:dyDescent="0.25">
      <c r="A1778" s="37" t="str">
        <f>IF(Agent09_Withdrawals!A183="","",Agent09_Withdrawals!A183)</f>
        <v/>
      </c>
      <c r="B1778" s="37" t="str">
        <f ca="1">IF(Agent09_Withdrawals!A183="","","WD"&amp;TEXT(1778-3,"0000")&amp;"-"&amp;TEXT(TODAY(),"YYYYMMDD"))</f>
        <v/>
      </c>
      <c r="C1778" s="37" t="str">
        <f>IF(Agent09_Withdrawals!A183="","",Agent09_Withdrawals!B183)</f>
        <v/>
      </c>
      <c r="D1778" s="40" t="str">
        <f>IF(Agent09_Withdrawals!A183="","",Agent09_Withdrawals!C183)</f>
        <v/>
      </c>
      <c r="E1778" s="38" t="str">
        <f>IF(Agent09_Withdrawals!A183="","",Agent09_Withdrawals!D183)</f>
        <v/>
      </c>
      <c r="F1778" s="37" t="str">
        <f>IF(Agent09_Withdrawals!A183="","",Agent09_Withdrawals!F183)</f>
        <v/>
      </c>
      <c r="G1778" s="39" t="str">
        <f>IF(Agent09_Withdrawals!A183="","",Agent09_Withdrawals!E183)</f>
        <v/>
      </c>
      <c r="H1778" s="39" t="str">
        <f>IF(Agent09_Withdrawals!A183="","",Agent09_Withdrawals!G183)</f>
        <v/>
      </c>
      <c r="I1778" s="37" t="str">
        <f>IF(Agent09_Withdrawals!A183="","",Agent09_Withdrawals!H183)</f>
        <v/>
      </c>
      <c r="J1778" s="37" t="str">
        <f>IF(Agent09_Withdrawals!A183="","",Agent09_Withdrawals!J183)</f>
        <v/>
      </c>
      <c r="K1778" s="37" t="str">
        <f>IF(Agent09_Withdrawals!A183="","",Agent09_Withdrawals!K183)</f>
        <v/>
      </c>
      <c r="L1778" s="37" t="str">
        <f>IF(G1778="","",IF(D1778-G1778&gt;=System_Config!$B$9,"✅ OK","⚠️ BREACH"))</f>
        <v/>
      </c>
      <c r="M1778" s="37" t="str">
        <f>IFERROR(IF(Agent09_Withdrawals!A183="","",YEAR(Agent09_Withdrawals!D183)),"")</f>
        <v/>
      </c>
    </row>
    <row r="1779" spans="1:13" ht="18" customHeight="1" x14ac:dyDescent="0.25">
      <c r="A1779" s="37" t="str">
        <f>IF(Agent09_Withdrawals!A184="","",Agent09_Withdrawals!A184)</f>
        <v/>
      </c>
      <c r="B1779" s="37" t="str">
        <f ca="1">IF(Agent09_Withdrawals!A184="","","WD"&amp;TEXT(1779-3,"0000")&amp;"-"&amp;TEXT(TODAY(),"YYYYMMDD"))</f>
        <v/>
      </c>
      <c r="C1779" s="37" t="str">
        <f>IF(Agent09_Withdrawals!A184="","",Agent09_Withdrawals!B184)</f>
        <v/>
      </c>
      <c r="D1779" s="40" t="str">
        <f>IF(Agent09_Withdrawals!A184="","",Agent09_Withdrawals!C184)</f>
        <v/>
      </c>
      <c r="E1779" s="38" t="str">
        <f>IF(Agent09_Withdrawals!A184="","",Agent09_Withdrawals!D184)</f>
        <v/>
      </c>
      <c r="F1779" s="37" t="str">
        <f>IF(Agent09_Withdrawals!A184="","",Agent09_Withdrawals!F184)</f>
        <v/>
      </c>
      <c r="G1779" s="39" t="str">
        <f>IF(Agent09_Withdrawals!A184="","",Agent09_Withdrawals!E184)</f>
        <v/>
      </c>
      <c r="H1779" s="39" t="str">
        <f>IF(Agent09_Withdrawals!A184="","",Agent09_Withdrawals!G184)</f>
        <v/>
      </c>
      <c r="I1779" s="37" t="str">
        <f>IF(Agent09_Withdrawals!A184="","",Agent09_Withdrawals!H184)</f>
        <v/>
      </c>
      <c r="J1779" s="37" t="str">
        <f>IF(Agent09_Withdrawals!A184="","",Agent09_Withdrawals!J184)</f>
        <v/>
      </c>
      <c r="K1779" s="37" t="str">
        <f>IF(Agent09_Withdrawals!A184="","",Agent09_Withdrawals!K184)</f>
        <v/>
      </c>
      <c r="L1779" s="37" t="str">
        <f>IF(G1779="","",IF(D1779-G1779&gt;=System_Config!$B$9,"✅ OK","⚠️ BREACH"))</f>
        <v/>
      </c>
      <c r="M1779" s="37" t="str">
        <f>IFERROR(IF(Agent09_Withdrawals!A184="","",YEAR(Agent09_Withdrawals!D184)),"")</f>
        <v/>
      </c>
    </row>
    <row r="1780" spans="1:13" ht="18" customHeight="1" x14ac:dyDescent="0.25">
      <c r="A1780" s="37" t="str">
        <f>IF(Agent09_Withdrawals!A185="","",Agent09_Withdrawals!A185)</f>
        <v/>
      </c>
      <c r="B1780" s="37" t="str">
        <f ca="1">IF(Agent09_Withdrawals!A185="","","WD"&amp;TEXT(1780-3,"0000")&amp;"-"&amp;TEXT(TODAY(),"YYYYMMDD"))</f>
        <v/>
      </c>
      <c r="C1780" s="37" t="str">
        <f>IF(Agent09_Withdrawals!A185="","",Agent09_Withdrawals!B185)</f>
        <v/>
      </c>
      <c r="D1780" s="40" t="str">
        <f>IF(Agent09_Withdrawals!A185="","",Agent09_Withdrawals!C185)</f>
        <v/>
      </c>
      <c r="E1780" s="38" t="str">
        <f>IF(Agent09_Withdrawals!A185="","",Agent09_Withdrawals!D185)</f>
        <v/>
      </c>
      <c r="F1780" s="37" t="str">
        <f>IF(Agent09_Withdrawals!A185="","",Agent09_Withdrawals!F185)</f>
        <v/>
      </c>
      <c r="G1780" s="39" t="str">
        <f>IF(Agent09_Withdrawals!A185="","",Agent09_Withdrawals!E185)</f>
        <v/>
      </c>
      <c r="H1780" s="39" t="str">
        <f>IF(Agent09_Withdrawals!A185="","",Agent09_Withdrawals!G185)</f>
        <v/>
      </c>
      <c r="I1780" s="37" t="str">
        <f>IF(Agent09_Withdrawals!A185="","",Agent09_Withdrawals!H185)</f>
        <v/>
      </c>
      <c r="J1780" s="37" t="str">
        <f>IF(Agent09_Withdrawals!A185="","",Agent09_Withdrawals!J185)</f>
        <v/>
      </c>
      <c r="K1780" s="37" t="str">
        <f>IF(Agent09_Withdrawals!A185="","",Agent09_Withdrawals!K185)</f>
        <v/>
      </c>
      <c r="L1780" s="37" t="str">
        <f>IF(G1780="","",IF(D1780-G1780&gt;=System_Config!$B$9,"✅ OK","⚠️ BREACH"))</f>
        <v/>
      </c>
      <c r="M1780" s="37" t="str">
        <f>IFERROR(IF(Agent09_Withdrawals!A185="","",YEAR(Agent09_Withdrawals!D185)),"")</f>
        <v/>
      </c>
    </row>
    <row r="1781" spans="1:13" ht="18" customHeight="1" x14ac:dyDescent="0.25">
      <c r="A1781" s="37" t="str">
        <f>IF(Agent09_Withdrawals!A186="","",Agent09_Withdrawals!A186)</f>
        <v/>
      </c>
      <c r="B1781" s="37" t="str">
        <f ca="1">IF(Agent09_Withdrawals!A186="","","WD"&amp;TEXT(1781-3,"0000")&amp;"-"&amp;TEXT(TODAY(),"YYYYMMDD"))</f>
        <v/>
      </c>
      <c r="C1781" s="37" t="str">
        <f>IF(Agent09_Withdrawals!A186="","",Agent09_Withdrawals!B186)</f>
        <v/>
      </c>
      <c r="D1781" s="40" t="str">
        <f>IF(Agent09_Withdrawals!A186="","",Agent09_Withdrawals!C186)</f>
        <v/>
      </c>
      <c r="E1781" s="38" t="str">
        <f>IF(Agent09_Withdrawals!A186="","",Agent09_Withdrawals!D186)</f>
        <v/>
      </c>
      <c r="F1781" s="37" t="str">
        <f>IF(Agent09_Withdrawals!A186="","",Agent09_Withdrawals!F186)</f>
        <v/>
      </c>
      <c r="G1781" s="39" t="str">
        <f>IF(Agent09_Withdrawals!A186="","",Agent09_Withdrawals!E186)</f>
        <v/>
      </c>
      <c r="H1781" s="39" t="str">
        <f>IF(Agent09_Withdrawals!A186="","",Agent09_Withdrawals!G186)</f>
        <v/>
      </c>
      <c r="I1781" s="37" t="str">
        <f>IF(Agent09_Withdrawals!A186="","",Agent09_Withdrawals!H186)</f>
        <v/>
      </c>
      <c r="J1781" s="37" t="str">
        <f>IF(Agent09_Withdrawals!A186="","",Agent09_Withdrawals!J186)</f>
        <v/>
      </c>
      <c r="K1781" s="37" t="str">
        <f>IF(Agent09_Withdrawals!A186="","",Agent09_Withdrawals!K186)</f>
        <v/>
      </c>
      <c r="L1781" s="37" t="str">
        <f>IF(G1781="","",IF(D1781-G1781&gt;=System_Config!$B$9,"✅ OK","⚠️ BREACH"))</f>
        <v/>
      </c>
      <c r="M1781" s="37" t="str">
        <f>IFERROR(IF(Agent09_Withdrawals!A186="","",YEAR(Agent09_Withdrawals!D186)),"")</f>
        <v/>
      </c>
    </row>
    <row r="1782" spans="1:13" ht="18" customHeight="1" x14ac:dyDescent="0.25">
      <c r="A1782" s="37" t="str">
        <f>IF(Agent09_Withdrawals!A187="","",Agent09_Withdrawals!A187)</f>
        <v/>
      </c>
      <c r="B1782" s="37" t="str">
        <f ca="1">IF(Agent09_Withdrawals!A187="","","WD"&amp;TEXT(1782-3,"0000")&amp;"-"&amp;TEXT(TODAY(),"YYYYMMDD"))</f>
        <v/>
      </c>
      <c r="C1782" s="37" t="str">
        <f>IF(Agent09_Withdrawals!A187="","",Agent09_Withdrawals!B187)</f>
        <v/>
      </c>
      <c r="D1782" s="40" t="str">
        <f>IF(Agent09_Withdrawals!A187="","",Agent09_Withdrawals!C187)</f>
        <v/>
      </c>
      <c r="E1782" s="38" t="str">
        <f>IF(Agent09_Withdrawals!A187="","",Agent09_Withdrawals!D187)</f>
        <v/>
      </c>
      <c r="F1782" s="37" t="str">
        <f>IF(Agent09_Withdrawals!A187="","",Agent09_Withdrawals!F187)</f>
        <v/>
      </c>
      <c r="G1782" s="39" t="str">
        <f>IF(Agent09_Withdrawals!A187="","",Agent09_Withdrawals!E187)</f>
        <v/>
      </c>
      <c r="H1782" s="39" t="str">
        <f>IF(Agent09_Withdrawals!A187="","",Agent09_Withdrawals!G187)</f>
        <v/>
      </c>
      <c r="I1782" s="37" t="str">
        <f>IF(Agent09_Withdrawals!A187="","",Agent09_Withdrawals!H187)</f>
        <v/>
      </c>
      <c r="J1782" s="37" t="str">
        <f>IF(Agent09_Withdrawals!A187="","",Agent09_Withdrawals!J187)</f>
        <v/>
      </c>
      <c r="K1782" s="37" t="str">
        <f>IF(Agent09_Withdrawals!A187="","",Agent09_Withdrawals!K187)</f>
        <v/>
      </c>
      <c r="L1782" s="37" t="str">
        <f>IF(G1782="","",IF(D1782-G1782&gt;=System_Config!$B$9,"✅ OK","⚠️ BREACH"))</f>
        <v/>
      </c>
      <c r="M1782" s="37" t="str">
        <f>IFERROR(IF(Agent09_Withdrawals!A187="","",YEAR(Agent09_Withdrawals!D187)),"")</f>
        <v/>
      </c>
    </row>
    <row r="1783" spans="1:13" ht="18" customHeight="1" x14ac:dyDescent="0.25">
      <c r="A1783" s="37" t="str">
        <f>IF(Agent09_Withdrawals!A188="","",Agent09_Withdrawals!A188)</f>
        <v/>
      </c>
      <c r="B1783" s="37" t="str">
        <f ca="1">IF(Agent09_Withdrawals!A188="","","WD"&amp;TEXT(1783-3,"0000")&amp;"-"&amp;TEXT(TODAY(),"YYYYMMDD"))</f>
        <v/>
      </c>
      <c r="C1783" s="37" t="str">
        <f>IF(Agent09_Withdrawals!A188="","",Agent09_Withdrawals!B188)</f>
        <v/>
      </c>
      <c r="D1783" s="40" t="str">
        <f>IF(Agent09_Withdrawals!A188="","",Agent09_Withdrawals!C188)</f>
        <v/>
      </c>
      <c r="E1783" s="38" t="str">
        <f>IF(Agent09_Withdrawals!A188="","",Agent09_Withdrawals!D188)</f>
        <v/>
      </c>
      <c r="F1783" s="37" t="str">
        <f>IF(Agent09_Withdrawals!A188="","",Agent09_Withdrawals!F188)</f>
        <v/>
      </c>
      <c r="G1783" s="39" t="str">
        <f>IF(Agent09_Withdrawals!A188="","",Agent09_Withdrawals!E188)</f>
        <v/>
      </c>
      <c r="H1783" s="39" t="str">
        <f>IF(Agent09_Withdrawals!A188="","",Agent09_Withdrawals!G188)</f>
        <v/>
      </c>
      <c r="I1783" s="37" t="str">
        <f>IF(Agent09_Withdrawals!A188="","",Agent09_Withdrawals!H188)</f>
        <v/>
      </c>
      <c r="J1783" s="37" t="str">
        <f>IF(Agent09_Withdrawals!A188="","",Agent09_Withdrawals!J188)</f>
        <v/>
      </c>
      <c r="K1783" s="37" t="str">
        <f>IF(Agent09_Withdrawals!A188="","",Agent09_Withdrawals!K188)</f>
        <v/>
      </c>
      <c r="L1783" s="37" t="str">
        <f>IF(G1783="","",IF(D1783-G1783&gt;=System_Config!$B$9,"✅ OK","⚠️ BREACH"))</f>
        <v/>
      </c>
      <c r="M1783" s="37" t="str">
        <f>IFERROR(IF(Agent09_Withdrawals!A188="","",YEAR(Agent09_Withdrawals!D188)),"")</f>
        <v/>
      </c>
    </row>
    <row r="1784" spans="1:13" ht="18" customHeight="1" x14ac:dyDescent="0.25">
      <c r="A1784" s="37" t="str">
        <f>IF(Agent09_Withdrawals!A189="","",Agent09_Withdrawals!A189)</f>
        <v/>
      </c>
      <c r="B1784" s="37" t="str">
        <f ca="1">IF(Agent09_Withdrawals!A189="","","WD"&amp;TEXT(1784-3,"0000")&amp;"-"&amp;TEXT(TODAY(),"YYYYMMDD"))</f>
        <v/>
      </c>
      <c r="C1784" s="37" t="str">
        <f>IF(Agent09_Withdrawals!A189="","",Agent09_Withdrawals!B189)</f>
        <v/>
      </c>
      <c r="D1784" s="40" t="str">
        <f>IF(Agent09_Withdrawals!A189="","",Agent09_Withdrawals!C189)</f>
        <v/>
      </c>
      <c r="E1784" s="38" t="str">
        <f>IF(Agent09_Withdrawals!A189="","",Agent09_Withdrawals!D189)</f>
        <v/>
      </c>
      <c r="F1784" s="37" t="str">
        <f>IF(Agent09_Withdrawals!A189="","",Agent09_Withdrawals!F189)</f>
        <v/>
      </c>
      <c r="G1784" s="39" t="str">
        <f>IF(Agent09_Withdrawals!A189="","",Agent09_Withdrawals!E189)</f>
        <v/>
      </c>
      <c r="H1784" s="39" t="str">
        <f>IF(Agent09_Withdrawals!A189="","",Agent09_Withdrawals!G189)</f>
        <v/>
      </c>
      <c r="I1784" s="37" t="str">
        <f>IF(Agent09_Withdrawals!A189="","",Agent09_Withdrawals!H189)</f>
        <v/>
      </c>
      <c r="J1784" s="37" t="str">
        <f>IF(Agent09_Withdrawals!A189="","",Agent09_Withdrawals!J189)</f>
        <v/>
      </c>
      <c r="K1784" s="37" t="str">
        <f>IF(Agent09_Withdrawals!A189="","",Agent09_Withdrawals!K189)</f>
        <v/>
      </c>
      <c r="L1784" s="37" t="str">
        <f>IF(G1784="","",IF(D1784-G1784&gt;=System_Config!$B$9,"✅ OK","⚠️ BREACH"))</f>
        <v/>
      </c>
      <c r="M1784" s="37" t="str">
        <f>IFERROR(IF(Agent09_Withdrawals!A189="","",YEAR(Agent09_Withdrawals!D189)),"")</f>
        <v/>
      </c>
    </row>
    <row r="1785" spans="1:13" ht="18" customHeight="1" x14ac:dyDescent="0.25">
      <c r="A1785" s="37" t="str">
        <f>IF(Agent09_Withdrawals!A190="","",Agent09_Withdrawals!A190)</f>
        <v/>
      </c>
      <c r="B1785" s="37" t="str">
        <f ca="1">IF(Agent09_Withdrawals!A190="","","WD"&amp;TEXT(1785-3,"0000")&amp;"-"&amp;TEXT(TODAY(),"YYYYMMDD"))</f>
        <v/>
      </c>
      <c r="C1785" s="37" t="str">
        <f>IF(Agent09_Withdrawals!A190="","",Agent09_Withdrawals!B190)</f>
        <v/>
      </c>
      <c r="D1785" s="40" t="str">
        <f>IF(Agent09_Withdrawals!A190="","",Agent09_Withdrawals!C190)</f>
        <v/>
      </c>
      <c r="E1785" s="38" t="str">
        <f>IF(Agent09_Withdrawals!A190="","",Agent09_Withdrawals!D190)</f>
        <v/>
      </c>
      <c r="F1785" s="37" t="str">
        <f>IF(Agent09_Withdrawals!A190="","",Agent09_Withdrawals!F190)</f>
        <v/>
      </c>
      <c r="G1785" s="39" t="str">
        <f>IF(Agent09_Withdrawals!A190="","",Agent09_Withdrawals!E190)</f>
        <v/>
      </c>
      <c r="H1785" s="39" t="str">
        <f>IF(Agent09_Withdrawals!A190="","",Agent09_Withdrawals!G190)</f>
        <v/>
      </c>
      <c r="I1785" s="37" t="str">
        <f>IF(Agent09_Withdrawals!A190="","",Agent09_Withdrawals!H190)</f>
        <v/>
      </c>
      <c r="J1785" s="37" t="str">
        <f>IF(Agent09_Withdrawals!A190="","",Agent09_Withdrawals!J190)</f>
        <v/>
      </c>
      <c r="K1785" s="37" t="str">
        <f>IF(Agent09_Withdrawals!A190="","",Agent09_Withdrawals!K190)</f>
        <v/>
      </c>
      <c r="L1785" s="37" t="str">
        <f>IF(G1785="","",IF(D1785-G1785&gt;=System_Config!$B$9,"✅ OK","⚠️ BREACH"))</f>
        <v/>
      </c>
      <c r="M1785" s="37" t="str">
        <f>IFERROR(IF(Agent09_Withdrawals!A190="","",YEAR(Agent09_Withdrawals!D190)),"")</f>
        <v/>
      </c>
    </row>
    <row r="1786" spans="1:13" ht="18" customHeight="1" x14ac:dyDescent="0.25">
      <c r="A1786" s="37" t="str">
        <f>IF(Agent09_Withdrawals!A191="","",Agent09_Withdrawals!A191)</f>
        <v/>
      </c>
      <c r="B1786" s="37" t="str">
        <f ca="1">IF(Agent09_Withdrawals!A191="","","WD"&amp;TEXT(1786-3,"0000")&amp;"-"&amp;TEXT(TODAY(),"YYYYMMDD"))</f>
        <v/>
      </c>
      <c r="C1786" s="37" t="str">
        <f>IF(Agent09_Withdrawals!A191="","",Agent09_Withdrawals!B191)</f>
        <v/>
      </c>
      <c r="D1786" s="40" t="str">
        <f>IF(Agent09_Withdrawals!A191="","",Agent09_Withdrawals!C191)</f>
        <v/>
      </c>
      <c r="E1786" s="38" t="str">
        <f>IF(Agent09_Withdrawals!A191="","",Agent09_Withdrawals!D191)</f>
        <v/>
      </c>
      <c r="F1786" s="37" t="str">
        <f>IF(Agent09_Withdrawals!A191="","",Agent09_Withdrawals!F191)</f>
        <v/>
      </c>
      <c r="G1786" s="39" t="str">
        <f>IF(Agent09_Withdrawals!A191="","",Agent09_Withdrawals!E191)</f>
        <v/>
      </c>
      <c r="H1786" s="39" t="str">
        <f>IF(Agent09_Withdrawals!A191="","",Agent09_Withdrawals!G191)</f>
        <v/>
      </c>
      <c r="I1786" s="37" t="str">
        <f>IF(Agent09_Withdrawals!A191="","",Agent09_Withdrawals!H191)</f>
        <v/>
      </c>
      <c r="J1786" s="37" t="str">
        <f>IF(Agent09_Withdrawals!A191="","",Agent09_Withdrawals!J191)</f>
        <v/>
      </c>
      <c r="K1786" s="37" t="str">
        <f>IF(Agent09_Withdrawals!A191="","",Agent09_Withdrawals!K191)</f>
        <v/>
      </c>
      <c r="L1786" s="37" t="str">
        <f>IF(G1786="","",IF(D1786-G1786&gt;=System_Config!$B$9,"✅ OK","⚠️ BREACH"))</f>
        <v/>
      </c>
      <c r="M1786" s="37" t="str">
        <f>IFERROR(IF(Agent09_Withdrawals!A191="","",YEAR(Agent09_Withdrawals!D191)),"")</f>
        <v/>
      </c>
    </row>
    <row r="1787" spans="1:13" ht="18" customHeight="1" x14ac:dyDescent="0.25">
      <c r="A1787" s="37" t="str">
        <f>IF(Agent09_Withdrawals!A192="","",Agent09_Withdrawals!A192)</f>
        <v/>
      </c>
      <c r="B1787" s="37" t="str">
        <f ca="1">IF(Agent09_Withdrawals!A192="","","WD"&amp;TEXT(1787-3,"0000")&amp;"-"&amp;TEXT(TODAY(),"YYYYMMDD"))</f>
        <v/>
      </c>
      <c r="C1787" s="37" t="str">
        <f>IF(Agent09_Withdrawals!A192="","",Agent09_Withdrawals!B192)</f>
        <v/>
      </c>
      <c r="D1787" s="40" t="str">
        <f>IF(Agent09_Withdrawals!A192="","",Agent09_Withdrawals!C192)</f>
        <v/>
      </c>
      <c r="E1787" s="38" t="str">
        <f>IF(Agent09_Withdrawals!A192="","",Agent09_Withdrawals!D192)</f>
        <v/>
      </c>
      <c r="F1787" s="37" t="str">
        <f>IF(Agent09_Withdrawals!A192="","",Agent09_Withdrawals!F192)</f>
        <v/>
      </c>
      <c r="G1787" s="39" t="str">
        <f>IF(Agent09_Withdrawals!A192="","",Agent09_Withdrawals!E192)</f>
        <v/>
      </c>
      <c r="H1787" s="39" t="str">
        <f>IF(Agent09_Withdrawals!A192="","",Agent09_Withdrawals!G192)</f>
        <v/>
      </c>
      <c r="I1787" s="37" t="str">
        <f>IF(Agent09_Withdrawals!A192="","",Agent09_Withdrawals!H192)</f>
        <v/>
      </c>
      <c r="J1787" s="37" t="str">
        <f>IF(Agent09_Withdrawals!A192="","",Agent09_Withdrawals!J192)</f>
        <v/>
      </c>
      <c r="K1787" s="37" t="str">
        <f>IF(Agent09_Withdrawals!A192="","",Agent09_Withdrawals!K192)</f>
        <v/>
      </c>
      <c r="L1787" s="37" t="str">
        <f>IF(G1787="","",IF(D1787-G1787&gt;=System_Config!$B$9,"✅ OK","⚠️ BREACH"))</f>
        <v/>
      </c>
      <c r="M1787" s="37" t="str">
        <f>IFERROR(IF(Agent09_Withdrawals!A192="","",YEAR(Agent09_Withdrawals!D192)),"")</f>
        <v/>
      </c>
    </row>
    <row r="1788" spans="1:13" ht="18" customHeight="1" x14ac:dyDescent="0.25">
      <c r="A1788" s="37" t="str">
        <f>IF(Agent09_Withdrawals!A193="","",Agent09_Withdrawals!A193)</f>
        <v/>
      </c>
      <c r="B1788" s="37" t="str">
        <f ca="1">IF(Agent09_Withdrawals!A193="","","WD"&amp;TEXT(1788-3,"0000")&amp;"-"&amp;TEXT(TODAY(),"YYYYMMDD"))</f>
        <v/>
      </c>
      <c r="C1788" s="37" t="str">
        <f>IF(Agent09_Withdrawals!A193="","",Agent09_Withdrawals!B193)</f>
        <v/>
      </c>
      <c r="D1788" s="40" t="str">
        <f>IF(Agent09_Withdrawals!A193="","",Agent09_Withdrawals!C193)</f>
        <v/>
      </c>
      <c r="E1788" s="38" t="str">
        <f>IF(Agent09_Withdrawals!A193="","",Agent09_Withdrawals!D193)</f>
        <v/>
      </c>
      <c r="F1788" s="37" t="str">
        <f>IF(Agent09_Withdrawals!A193="","",Agent09_Withdrawals!F193)</f>
        <v/>
      </c>
      <c r="G1788" s="39" t="str">
        <f>IF(Agent09_Withdrawals!A193="","",Agent09_Withdrawals!E193)</f>
        <v/>
      </c>
      <c r="H1788" s="39" t="str">
        <f>IF(Agent09_Withdrawals!A193="","",Agent09_Withdrawals!G193)</f>
        <v/>
      </c>
      <c r="I1788" s="37" t="str">
        <f>IF(Agent09_Withdrawals!A193="","",Agent09_Withdrawals!H193)</f>
        <v/>
      </c>
      <c r="J1788" s="37" t="str">
        <f>IF(Agent09_Withdrawals!A193="","",Agent09_Withdrawals!J193)</f>
        <v/>
      </c>
      <c r="K1788" s="37" t="str">
        <f>IF(Agent09_Withdrawals!A193="","",Agent09_Withdrawals!K193)</f>
        <v/>
      </c>
      <c r="L1788" s="37" t="str">
        <f>IF(G1788="","",IF(D1788-G1788&gt;=System_Config!$B$9,"✅ OK","⚠️ BREACH"))</f>
        <v/>
      </c>
      <c r="M1788" s="37" t="str">
        <f>IFERROR(IF(Agent09_Withdrawals!A193="","",YEAR(Agent09_Withdrawals!D193)),"")</f>
        <v/>
      </c>
    </row>
    <row r="1789" spans="1:13" ht="18" customHeight="1" x14ac:dyDescent="0.25">
      <c r="A1789" s="37" t="str">
        <f>IF(Agent09_Withdrawals!A194="","",Agent09_Withdrawals!A194)</f>
        <v/>
      </c>
      <c r="B1789" s="37" t="str">
        <f ca="1">IF(Agent09_Withdrawals!A194="","","WD"&amp;TEXT(1789-3,"0000")&amp;"-"&amp;TEXT(TODAY(),"YYYYMMDD"))</f>
        <v/>
      </c>
      <c r="C1789" s="37" t="str">
        <f>IF(Agent09_Withdrawals!A194="","",Agent09_Withdrawals!B194)</f>
        <v/>
      </c>
      <c r="D1789" s="40" t="str">
        <f>IF(Agent09_Withdrawals!A194="","",Agent09_Withdrawals!C194)</f>
        <v/>
      </c>
      <c r="E1789" s="38" t="str">
        <f>IF(Agent09_Withdrawals!A194="","",Agent09_Withdrawals!D194)</f>
        <v/>
      </c>
      <c r="F1789" s="37" t="str">
        <f>IF(Agent09_Withdrawals!A194="","",Agent09_Withdrawals!F194)</f>
        <v/>
      </c>
      <c r="G1789" s="39" t="str">
        <f>IF(Agent09_Withdrawals!A194="","",Agent09_Withdrawals!E194)</f>
        <v/>
      </c>
      <c r="H1789" s="39" t="str">
        <f>IF(Agent09_Withdrawals!A194="","",Agent09_Withdrawals!G194)</f>
        <v/>
      </c>
      <c r="I1789" s="37" t="str">
        <f>IF(Agent09_Withdrawals!A194="","",Agent09_Withdrawals!H194)</f>
        <v/>
      </c>
      <c r="J1789" s="37" t="str">
        <f>IF(Agent09_Withdrawals!A194="","",Agent09_Withdrawals!J194)</f>
        <v/>
      </c>
      <c r="K1789" s="37" t="str">
        <f>IF(Agent09_Withdrawals!A194="","",Agent09_Withdrawals!K194)</f>
        <v/>
      </c>
      <c r="L1789" s="37" t="str">
        <f>IF(G1789="","",IF(D1789-G1789&gt;=System_Config!$B$9,"✅ OK","⚠️ BREACH"))</f>
        <v/>
      </c>
      <c r="M1789" s="37" t="str">
        <f>IFERROR(IF(Agent09_Withdrawals!A194="","",YEAR(Agent09_Withdrawals!D194)),"")</f>
        <v/>
      </c>
    </row>
    <row r="1790" spans="1:13" ht="18" customHeight="1" x14ac:dyDescent="0.25">
      <c r="A1790" s="37" t="str">
        <f>IF(Agent09_Withdrawals!A195="","",Agent09_Withdrawals!A195)</f>
        <v/>
      </c>
      <c r="B1790" s="37" t="str">
        <f ca="1">IF(Agent09_Withdrawals!A195="","","WD"&amp;TEXT(1790-3,"0000")&amp;"-"&amp;TEXT(TODAY(),"YYYYMMDD"))</f>
        <v/>
      </c>
      <c r="C1790" s="37" t="str">
        <f>IF(Agent09_Withdrawals!A195="","",Agent09_Withdrawals!B195)</f>
        <v/>
      </c>
      <c r="D1790" s="40" t="str">
        <f>IF(Agent09_Withdrawals!A195="","",Agent09_Withdrawals!C195)</f>
        <v/>
      </c>
      <c r="E1790" s="38" t="str">
        <f>IF(Agent09_Withdrawals!A195="","",Agent09_Withdrawals!D195)</f>
        <v/>
      </c>
      <c r="F1790" s="37" t="str">
        <f>IF(Agent09_Withdrawals!A195="","",Agent09_Withdrawals!F195)</f>
        <v/>
      </c>
      <c r="G1790" s="39" t="str">
        <f>IF(Agent09_Withdrawals!A195="","",Agent09_Withdrawals!E195)</f>
        <v/>
      </c>
      <c r="H1790" s="39" t="str">
        <f>IF(Agent09_Withdrawals!A195="","",Agent09_Withdrawals!G195)</f>
        <v/>
      </c>
      <c r="I1790" s="37" t="str">
        <f>IF(Agent09_Withdrawals!A195="","",Agent09_Withdrawals!H195)</f>
        <v/>
      </c>
      <c r="J1790" s="37" t="str">
        <f>IF(Agent09_Withdrawals!A195="","",Agent09_Withdrawals!J195)</f>
        <v/>
      </c>
      <c r="K1790" s="37" t="str">
        <f>IF(Agent09_Withdrawals!A195="","",Agent09_Withdrawals!K195)</f>
        <v/>
      </c>
      <c r="L1790" s="37" t="str">
        <f>IF(G1790="","",IF(D1790-G1790&gt;=System_Config!$B$9,"✅ OK","⚠️ BREACH"))</f>
        <v/>
      </c>
      <c r="M1790" s="37" t="str">
        <f>IFERROR(IF(Agent09_Withdrawals!A195="","",YEAR(Agent09_Withdrawals!D195)),"")</f>
        <v/>
      </c>
    </row>
    <row r="1791" spans="1:13" ht="18" customHeight="1" x14ac:dyDescent="0.25">
      <c r="A1791" s="37" t="str">
        <f>IF(Agent09_Withdrawals!A196="","",Agent09_Withdrawals!A196)</f>
        <v/>
      </c>
      <c r="B1791" s="37" t="str">
        <f ca="1">IF(Agent09_Withdrawals!A196="","","WD"&amp;TEXT(1791-3,"0000")&amp;"-"&amp;TEXT(TODAY(),"YYYYMMDD"))</f>
        <v/>
      </c>
      <c r="C1791" s="37" t="str">
        <f>IF(Agent09_Withdrawals!A196="","",Agent09_Withdrawals!B196)</f>
        <v/>
      </c>
      <c r="D1791" s="40" t="str">
        <f>IF(Agent09_Withdrawals!A196="","",Agent09_Withdrawals!C196)</f>
        <v/>
      </c>
      <c r="E1791" s="38" t="str">
        <f>IF(Agent09_Withdrawals!A196="","",Agent09_Withdrawals!D196)</f>
        <v/>
      </c>
      <c r="F1791" s="37" t="str">
        <f>IF(Agent09_Withdrawals!A196="","",Agent09_Withdrawals!F196)</f>
        <v/>
      </c>
      <c r="G1791" s="39" t="str">
        <f>IF(Agent09_Withdrawals!A196="","",Agent09_Withdrawals!E196)</f>
        <v/>
      </c>
      <c r="H1791" s="39" t="str">
        <f>IF(Agent09_Withdrawals!A196="","",Agent09_Withdrawals!G196)</f>
        <v/>
      </c>
      <c r="I1791" s="37" t="str">
        <f>IF(Agent09_Withdrawals!A196="","",Agent09_Withdrawals!H196)</f>
        <v/>
      </c>
      <c r="J1791" s="37" t="str">
        <f>IF(Agent09_Withdrawals!A196="","",Agent09_Withdrawals!J196)</f>
        <v/>
      </c>
      <c r="K1791" s="37" t="str">
        <f>IF(Agent09_Withdrawals!A196="","",Agent09_Withdrawals!K196)</f>
        <v/>
      </c>
      <c r="L1791" s="37" t="str">
        <f>IF(G1791="","",IF(D1791-G1791&gt;=System_Config!$B$9,"✅ OK","⚠️ BREACH"))</f>
        <v/>
      </c>
      <c r="M1791" s="37" t="str">
        <f>IFERROR(IF(Agent09_Withdrawals!A196="","",YEAR(Agent09_Withdrawals!D196)),"")</f>
        <v/>
      </c>
    </row>
    <row r="1792" spans="1:13" ht="18" customHeight="1" x14ac:dyDescent="0.25">
      <c r="A1792" s="37" t="str">
        <f>IF(Agent09_Withdrawals!A197="","",Agent09_Withdrawals!A197)</f>
        <v/>
      </c>
      <c r="B1792" s="37" t="str">
        <f ca="1">IF(Agent09_Withdrawals!A197="","","WD"&amp;TEXT(1792-3,"0000")&amp;"-"&amp;TEXT(TODAY(),"YYYYMMDD"))</f>
        <v/>
      </c>
      <c r="C1792" s="37" t="str">
        <f>IF(Agent09_Withdrawals!A197="","",Agent09_Withdrawals!B197)</f>
        <v/>
      </c>
      <c r="D1792" s="40" t="str">
        <f>IF(Agent09_Withdrawals!A197="","",Agent09_Withdrawals!C197)</f>
        <v/>
      </c>
      <c r="E1792" s="38" t="str">
        <f>IF(Agent09_Withdrawals!A197="","",Agent09_Withdrawals!D197)</f>
        <v/>
      </c>
      <c r="F1792" s="37" t="str">
        <f>IF(Agent09_Withdrawals!A197="","",Agent09_Withdrawals!F197)</f>
        <v/>
      </c>
      <c r="G1792" s="39" t="str">
        <f>IF(Agent09_Withdrawals!A197="","",Agent09_Withdrawals!E197)</f>
        <v/>
      </c>
      <c r="H1792" s="39" t="str">
        <f>IF(Agent09_Withdrawals!A197="","",Agent09_Withdrawals!G197)</f>
        <v/>
      </c>
      <c r="I1792" s="37" t="str">
        <f>IF(Agent09_Withdrawals!A197="","",Agent09_Withdrawals!H197)</f>
        <v/>
      </c>
      <c r="J1792" s="37" t="str">
        <f>IF(Agent09_Withdrawals!A197="","",Agent09_Withdrawals!J197)</f>
        <v/>
      </c>
      <c r="K1792" s="37" t="str">
        <f>IF(Agent09_Withdrawals!A197="","",Agent09_Withdrawals!K197)</f>
        <v/>
      </c>
      <c r="L1792" s="37" t="str">
        <f>IF(G1792="","",IF(D1792-G1792&gt;=System_Config!$B$9,"✅ OK","⚠️ BREACH"))</f>
        <v/>
      </c>
      <c r="M1792" s="37" t="str">
        <f>IFERROR(IF(Agent09_Withdrawals!A197="","",YEAR(Agent09_Withdrawals!D197)),"")</f>
        <v/>
      </c>
    </row>
    <row r="1793" spans="1:13" ht="18" customHeight="1" x14ac:dyDescent="0.25">
      <c r="A1793" s="37" t="str">
        <f>IF(Agent09_Withdrawals!A198="","",Agent09_Withdrawals!A198)</f>
        <v/>
      </c>
      <c r="B1793" s="37" t="str">
        <f ca="1">IF(Agent09_Withdrawals!A198="","","WD"&amp;TEXT(1793-3,"0000")&amp;"-"&amp;TEXT(TODAY(),"YYYYMMDD"))</f>
        <v/>
      </c>
      <c r="C1793" s="37" t="str">
        <f>IF(Agent09_Withdrawals!A198="","",Agent09_Withdrawals!B198)</f>
        <v/>
      </c>
      <c r="D1793" s="40" t="str">
        <f>IF(Agent09_Withdrawals!A198="","",Agent09_Withdrawals!C198)</f>
        <v/>
      </c>
      <c r="E1793" s="38" t="str">
        <f>IF(Agent09_Withdrawals!A198="","",Agent09_Withdrawals!D198)</f>
        <v/>
      </c>
      <c r="F1793" s="37" t="str">
        <f>IF(Agent09_Withdrawals!A198="","",Agent09_Withdrawals!F198)</f>
        <v/>
      </c>
      <c r="G1793" s="39" t="str">
        <f>IF(Agent09_Withdrawals!A198="","",Agent09_Withdrawals!E198)</f>
        <v/>
      </c>
      <c r="H1793" s="39" t="str">
        <f>IF(Agent09_Withdrawals!A198="","",Agent09_Withdrawals!G198)</f>
        <v/>
      </c>
      <c r="I1793" s="37" t="str">
        <f>IF(Agent09_Withdrawals!A198="","",Agent09_Withdrawals!H198)</f>
        <v/>
      </c>
      <c r="J1793" s="37" t="str">
        <f>IF(Agent09_Withdrawals!A198="","",Agent09_Withdrawals!J198)</f>
        <v/>
      </c>
      <c r="K1793" s="37" t="str">
        <f>IF(Agent09_Withdrawals!A198="","",Agent09_Withdrawals!K198)</f>
        <v/>
      </c>
      <c r="L1793" s="37" t="str">
        <f>IF(G1793="","",IF(D1793-G1793&gt;=System_Config!$B$9,"✅ OK","⚠️ BREACH"))</f>
        <v/>
      </c>
      <c r="M1793" s="37" t="str">
        <f>IFERROR(IF(Agent09_Withdrawals!A198="","",YEAR(Agent09_Withdrawals!D198)),"")</f>
        <v/>
      </c>
    </row>
    <row r="1794" spans="1:13" ht="18" customHeight="1" x14ac:dyDescent="0.25">
      <c r="A1794" s="37" t="str">
        <f>IF(Agent09_Withdrawals!A199="","",Agent09_Withdrawals!A199)</f>
        <v/>
      </c>
      <c r="B1794" s="37" t="str">
        <f ca="1">IF(Agent09_Withdrawals!A199="","","WD"&amp;TEXT(1794-3,"0000")&amp;"-"&amp;TEXT(TODAY(),"YYYYMMDD"))</f>
        <v/>
      </c>
      <c r="C1794" s="37" t="str">
        <f>IF(Agent09_Withdrawals!A199="","",Agent09_Withdrawals!B199)</f>
        <v/>
      </c>
      <c r="D1794" s="40" t="str">
        <f>IF(Agent09_Withdrawals!A199="","",Agent09_Withdrawals!C199)</f>
        <v/>
      </c>
      <c r="E1794" s="38" t="str">
        <f>IF(Agent09_Withdrawals!A199="","",Agent09_Withdrawals!D199)</f>
        <v/>
      </c>
      <c r="F1794" s="37" t="str">
        <f>IF(Agent09_Withdrawals!A199="","",Agent09_Withdrawals!F199)</f>
        <v/>
      </c>
      <c r="G1794" s="39" t="str">
        <f>IF(Agent09_Withdrawals!A199="","",Agent09_Withdrawals!E199)</f>
        <v/>
      </c>
      <c r="H1794" s="39" t="str">
        <f>IF(Agent09_Withdrawals!A199="","",Agent09_Withdrawals!G199)</f>
        <v/>
      </c>
      <c r="I1794" s="37" t="str">
        <f>IF(Agent09_Withdrawals!A199="","",Agent09_Withdrawals!H199)</f>
        <v/>
      </c>
      <c r="J1794" s="37" t="str">
        <f>IF(Agent09_Withdrawals!A199="","",Agent09_Withdrawals!J199)</f>
        <v/>
      </c>
      <c r="K1794" s="37" t="str">
        <f>IF(Agent09_Withdrawals!A199="","",Agent09_Withdrawals!K199)</f>
        <v/>
      </c>
      <c r="L1794" s="37" t="str">
        <f>IF(G1794="","",IF(D1794-G1794&gt;=System_Config!$B$9,"✅ OK","⚠️ BREACH"))</f>
        <v/>
      </c>
      <c r="M1794" s="37" t="str">
        <f>IFERROR(IF(Agent09_Withdrawals!A199="","",YEAR(Agent09_Withdrawals!D199)),"")</f>
        <v/>
      </c>
    </row>
    <row r="1795" spans="1:13" ht="18" customHeight="1" x14ac:dyDescent="0.25">
      <c r="A1795" s="37" t="str">
        <f>IF(Agent09_Withdrawals!A200="","",Agent09_Withdrawals!A200)</f>
        <v/>
      </c>
      <c r="B1795" s="37" t="str">
        <f ca="1">IF(Agent09_Withdrawals!A200="","","WD"&amp;TEXT(1795-3,"0000")&amp;"-"&amp;TEXT(TODAY(),"YYYYMMDD"))</f>
        <v/>
      </c>
      <c r="C1795" s="37" t="str">
        <f>IF(Agent09_Withdrawals!A200="","",Agent09_Withdrawals!B200)</f>
        <v/>
      </c>
      <c r="D1795" s="40" t="str">
        <f>IF(Agent09_Withdrawals!A200="","",Agent09_Withdrawals!C200)</f>
        <v/>
      </c>
      <c r="E1795" s="38" t="str">
        <f>IF(Agent09_Withdrawals!A200="","",Agent09_Withdrawals!D200)</f>
        <v/>
      </c>
      <c r="F1795" s="37" t="str">
        <f>IF(Agent09_Withdrawals!A200="","",Agent09_Withdrawals!F200)</f>
        <v/>
      </c>
      <c r="G1795" s="39" t="str">
        <f>IF(Agent09_Withdrawals!A200="","",Agent09_Withdrawals!E200)</f>
        <v/>
      </c>
      <c r="H1795" s="39" t="str">
        <f>IF(Agent09_Withdrawals!A200="","",Agent09_Withdrawals!G200)</f>
        <v/>
      </c>
      <c r="I1795" s="37" t="str">
        <f>IF(Agent09_Withdrawals!A200="","",Agent09_Withdrawals!H200)</f>
        <v/>
      </c>
      <c r="J1795" s="37" t="str">
        <f>IF(Agent09_Withdrawals!A200="","",Agent09_Withdrawals!J200)</f>
        <v/>
      </c>
      <c r="K1795" s="37" t="str">
        <f>IF(Agent09_Withdrawals!A200="","",Agent09_Withdrawals!K200)</f>
        <v/>
      </c>
      <c r="L1795" s="37" t="str">
        <f>IF(G1795="","",IF(D1795-G1795&gt;=System_Config!$B$9,"✅ OK","⚠️ BREACH"))</f>
        <v/>
      </c>
      <c r="M1795" s="37" t="str">
        <f>IFERROR(IF(Agent09_Withdrawals!A200="","",YEAR(Agent09_Withdrawals!D200)),"")</f>
        <v/>
      </c>
    </row>
    <row r="1796" spans="1:13" ht="18" customHeight="1" x14ac:dyDescent="0.25">
      <c r="A1796" s="37" t="str">
        <f>IF(Agent09_Withdrawals!A201="","",Agent09_Withdrawals!A201)</f>
        <v/>
      </c>
      <c r="B1796" s="37" t="str">
        <f ca="1">IF(Agent09_Withdrawals!A201="","","WD"&amp;TEXT(1796-3,"0000")&amp;"-"&amp;TEXT(TODAY(),"YYYYMMDD"))</f>
        <v/>
      </c>
      <c r="C1796" s="37" t="str">
        <f>IF(Agent09_Withdrawals!A201="","",Agent09_Withdrawals!B201)</f>
        <v/>
      </c>
      <c r="D1796" s="40" t="str">
        <f>IF(Agent09_Withdrawals!A201="","",Agent09_Withdrawals!C201)</f>
        <v/>
      </c>
      <c r="E1796" s="38" t="str">
        <f>IF(Agent09_Withdrawals!A201="","",Agent09_Withdrawals!D201)</f>
        <v/>
      </c>
      <c r="F1796" s="37" t="str">
        <f>IF(Agent09_Withdrawals!A201="","",Agent09_Withdrawals!F201)</f>
        <v/>
      </c>
      <c r="G1796" s="39" t="str">
        <f>IF(Agent09_Withdrawals!A201="","",Agent09_Withdrawals!E201)</f>
        <v/>
      </c>
      <c r="H1796" s="39" t="str">
        <f>IF(Agent09_Withdrawals!A201="","",Agent09_Withdrawals!G201)</f>
        <v/>
      </c>
      <c r="I1796" s="37" t="str">
        <f>IF(Agent09_Withdrawals!A201="","",Agent09_Withdrawals!H201)</f>
        <v/>
      </c>
      <c r="J1796" s="37" t="str">
        <f>IF(Agent09_Withdrawals!A201="","",Agent09_Withdrawals!J201)</f>
        <v/>
      </c>
      <c r="K1796" s="37" t="str">
        <f>IF(Agent09_Withdrawals!A201="","",Agent09_Withdrawals!K201)</f>
        <v/>
      </c>
      <c r="L1796" s="37" t="str">
        <f>IF(G1796="","",IF(D1796-G1796&gt;=System_Config!$B$9,"✅ OK","⚠️ BREACH"))</f>
        <v/>
      </c>
      <c r="M1796" s="37" t="str">
        <f>IFERROR(IF(Agent09_Withdrawals!A201="","",YEAR(Agent09_Withdrawals!D201)),"")</f>
        <v/>
      </c>
    </row>
    <row r="1797" spans="1:13" ht="18" customHeight="1" x14ac:dyDescent="0.25">
      <c r="A1797" s="37" t="str">
        <f>IF(Agent09_Withdrawals!A202="","",Agent09_Withdrawals!A202)</f>
        <v/>
      </c>
      <c r="B1797" s="37" t="str">
        <f ca="1">IF(Agent09_Withdrawals!A202="","","WD"&amp;TEXT(1797-3,"0000")&amp;"-"&amp;TEXT(TODAY(),"YYYYMMDD"))</f>
        <v/>
      </c>
      <c r="C1797" s="37" t="str">
        <f>IF(Agent09_Withdrawals!A202="","",Agent09_Withdrawals!B202)</f>
        <v/>
      </c>
      <c r="D1797" s="40" t="str">
        <f>IF(Agent09_Withdrawals!A202="","",Agent09_Withdrawals!C202)</f>
        <v/>
      </c>
      <c r="E1797" s="38" t="str">
        <f>IF(Agent09_Withdrawals!A202="","",Agent09_Withdrawals!D202)</f>
        <v/>
      </c>
      <c r="F1797" s="37" t="str">
        <f>IF(Agent09_Withdrawals!A202="","",Agent09_Withdrawals!F202)</f>
        <v/>
      </c>
      <c r="G1797" s="39" t="str">
        <f>IF(Agent09_Withdrawals!A202="","",Agent09_Withdrawals!E202)</f>
        <v/>
      </c>
      <c r="H1797" s="39" t="str">
        <f>IF(Agent09_Withdrawals!A202="","",Agent09_Withdrawals!G202)</f>
        <v/>
      </c>
      <c r="I1797" s="37" t="str">
        <f>IF(Agent09_Withdrawals!A202="","",Agent09_Withdrawals!H202)</f>
        <v/>
      </c>
      <c r="J1797" s="37" t="str">
        <f>IF(Agent09_Withdrawals!A202="","",Agent09_Withdrawals!J202)</f>
        <v/>
      </c>
      <c r="K1797" s="37" t="str">
        <f>IF(Agent09_Withdrawals!A202="","",Agent09_Withdrawals!K202)</f>
        <v/>
      </c>
      <c r="L1797" s="37" t="str">
        <f>IF(G1797="","",IF(D1797-G1797&gt;=System_Config!$B$9,"✅ OK","⚠️ BREACH"))</f>
        <v/>
      </c>
      <c r="M1797" s="37" t="str">
        <f>IFERROR(IF(Agent09_Withdrawals!A202="","",YEAR(Agent09_Withdrawals!D202)),"")</f>
        <v/>
      </c>
    </row>
    <row r="1798" spans="1:13" ht="18" customHeight="1" x14ac:dyDescent="0.25">
      <c r="A1798" s="37" t="str">
        <f>IF(Agent09_Withdrawals!A203="","",Agent09_Withdrawals!A203)</f>
        <v/>
      </c>
      <c r="B1798" s="37" t="str">
        <f ca="1">IF(Agent09_Withdrawals!A203="","","WD"&amp;TEXT(1798-3,"0000")&amp;"-"&amp;TEXT(TODAY(),"YYYYMMDD"))</f>
        <v/>
      </c>
      <c r="C1798" s="37" t="str">
        <f>IF(Agent09_Withdrawals!A203="","",Agent09_Withdrawals!B203)</f>
        <v/>
      </c>
      <c r="D1798" s="40" t="str">
        <f>IF(Agent09_Withdrawals!A203="","",Agent09_Withdrawals!C203)</f>
        <v/>
      </c>
      <c r="E1798" s="38" t="str">
        <f>IF(Agent09_Withdrawals!A203="","",Agent09_Withdrawals!D203)</f>
        <v/>
      </c>
      <c r="F1798" s="37" t="str">
        <f>IF(Agent09_Withdrawals!A203="","",Agent09_Withdrawals!F203)</f>
        <v/>
      </c>
      <c r="G1798" s="39" t="str">
        <f>IF(Agent09_Withdrawals!A203="","",Agent09_Withdrawals!E203)</f>
        <v/>
      </c>
      <c r="H1798" s="39" t="str">
        <f>IF(Agent09_Withdrawals!A203="","",Agent09_Withdrawals!G203)</f>
        <v/>
      </c>
      <c r="I1798" s="37" t="str">
        <f>IF(Agent09_Withdrawals!A203="","",Agent09_Withdrawals!H203)</f>
        <v/>
      </c>
      <c r="J1798" s="37" t="str">
        <f>IF(Agent09_Withdrawals!A203="","",Agent09_Withdrawals!J203)</f>
        <v/>
      </c>
      <c r="K1798" s="37" t="str">
        <f>IF(Agent09_Withdrawals!A203="","",Agent09_Withdrawals!K203)</f>
        <v/>
      </c>
      <c r="L1798" s="37" t="str">
        <f>IF(G1798="","",IF(D1798-G1798&gt;=System_Config!$B$9,"✅ OK","⚠️ BREACH"))</f>
        <v/>
      </c>
      <c r="M1798" s="37" t="str">
        <f>IFERROR(IF(Agent09_Withdrawals!A203="","",YEAR(Agent09_Withdrawals!D203)),"")</f>
        <v/>
      </c>
    </row>
    <row r="1799" spans="1:13" ht="18" customHeight="1" x14ac:dyDescent="0.25">
      <c r="A1799" s="37" t="str">
        <f>IF(Agent09_Withdrawals!A204="","",Agent09_Withdrawals!A204)</f>
        <v/>
      </c>
      <c r="B1799" s="37" t="str">
        <f ca="1">IF(Agent09_Withdrawals!A204="","","WD"&amp;TEXT(1799-3,"0000")&amp;"-"&amp;TEXT(TODAY(),"YYYYMMDD"))</f>
        <v/>
      </c>
      <c r="C1799" s="37" t="str">
        <f>IF(Agent09_Withdrawals!A204="","",Agent09_Withdrawals!B204)</f>
        <v/>
      </c>
      <c r="D1799" s="40" t="str">
        <f>IF(Agent09_Withdrawals!A204="","",Agent09_Withdrawals!C204)</f>
        <v/>
      </c>
      <c r="E1799" s="38" t="str">
        <f>IF(Agent09_Withdrawals!A204="","",Agent09_Withdrawals!D204)</f>
        <v/>
      </c>
      <c r="F1799" s="37" t="str">
        <f>IF(Agent09_Withdrawals!A204="","",Agent09_Withdrawals!F204)</f>
        <v/>
      </c>
      <c r="G1799" s="39" t="str">
        <f>IF(Agent09_Withdrawals!A204="","",Agent09_Withdrawals!E204)</f>
        <v/>
      </c>
      <c r="H1799" s="39" t="str">
        <f>IF(Agent09_Withdrawals!A204="","",Agent09_Withdrawals!G204)</f>
        <v/>
      </c>
      <c r="I1799" s="37" t="str">
        <f>IF(Agent09_Withdrawals!A204="","",Agent09_Withdrawals!H204)</f>
        <v/>
      </c>
      <c r="J1799" s="37" t="str">
        <f>IF(Agent09_Withdrawals!A204="","",Agent09_Withdrawals!J204)</f>
        <v/>
      </c>
      <c r="K1799" s="37" t="str">
        <f>IF(Agent09_Withdrawals!A204="","",Agent09_Withdrawals!K204)</f>
        <v/>
      </c>
      <c r="L1799" s="37" t="str">
        <f>IF(G1799="","",IF(D1799-G1799&gt;=System_Config!$B$9,"✅ OK","⚠️ BREACH"))</f>
        <v/>
      </c>
      <c r="M1799" s="37" t="str">
        <f>IFERROR(IF(Agent09_Withdrawals!A204="","",YEAR(Agent09_Withdrawals!D204)),"")</f>
        <v/>
      </c>
    </row>
    <row r="1800" spans="1:13" ht="18" customHeight="1" x14ac:dyDescent="0.25">
      <c r="A1800" s="37" t="str">
        <f>IF(Agent09_Withdrawals!A205="","",Agent09_Withdrawals!A205)</f>
        <v/>
      </c>
      <c r="B1800" s="37" t="str">
        <f ca="1">IF(Agent09_Withdrawals!A205="","","WD"&amp;TEXT(1800-3,"0000")&amp;"-"&amp;TEXT(TODAY(),"YYYYMMDD"))</f>
        <v/>
      </c>
      <c r="C1800" s="37" t="str">
        <f>IF(Agent09_Withdrawals!A205="","",Agent09_Withdrawals!B205)</f>
        <v/>
      </c>
      <c r="D1800" s="40" t="str">
        <f>IF(Agent09_Withdrawals!A205="","",Agent09_Withdrawals!C205)</f>
        <v/>
      </c>
      <c r="E1800" s="38" t="str">
        <f>IF(Agent09_Withdrawals!A205="","",Agent09_Withdrawals!D205)</f>
        <v/>
      </c>
      <c r="F1800" s="37" t="str">
        <f>IF(Agent09_Withdrawals!A205="","",Agent09_Withdrawals!F205)</f>
        <v/>
      </c>
      <c r="G1800" s="39" t="str">
        <f>IF(Agent09_Withdrawals!A205="","",Agent09_Withdrawals!E205)</f>
        <v/>
      </c>
      <c r="H1800" s="39" t="str">
        <f>IF(Agent09_Withdrawals!A205="","",Agent09_Withdrawals!G205)</f>
        <v/>
      </c>
      <c r="I1800" s="37" t="str">
        <f>IF(Agent09_Withdrawals!A205="","",Agent09_Withdrawals!H205)</f>
        <v/>
      </c>
      <c r="J1800" s="37" t="str">
        <f>IF(Agent09_Withdrawals!A205="","",Agent09_Withdrawals!J205)</f>
        <v/>
      </c>
      <c r="K1800" s="37" t="str">
        <f>IF(Agent09_Withdrawals!A205="","",Agent09_Withdrawals!K205)</f>
        <v/>
      </c>
      <c r="L1800" s="37" t="str">
        <f>IF(G1800="","",IF(D1800-G1800&gt;=System_Config!$B$9,"✅ OK","⚠️ BREACH"))</f>
        <v/>
      </c>
      <c r="M1800" s="37" t="str">
        <f>IFERROR(IF(Agent09_Withdrawals!A205="","",YEAR(Agent09_Withdrawals!D205)),"")</f>
        <v/>
      </c>
    </row>
    <row r="1801" spans="1:13" ht="18" customHeight="1" x14ac:dyDescent="0.25">
      <c r="A1801" s="37" t="str">
        <f>IF(Agent09_Withdrawals!A206="","",Agent09_Withdrawals!A206)</f>
        <v/>
      </c>
      <c r="B1801" s="37" t="str">
        <f ca="1">IF(Agent09_Withdrawals!A206="","","WD"&amp;TEXT(1801-3,"0000")&amp;"-"&amp;TEXT(TODAY(),"YYYYMMDD"))</f>
        <v/>
      </c>
      <c r="C1801" s="37" t="str">
        <f>IF(Agent09_Withdrawals!A206="","",Agent09_Withdrawals!B206)</f>
        <v/>
      </c>
      <c r="D1801" s="40" t="str">
        <f>IF(Agent09_Withdrawals!A206="","",Agent09_Withdrawals!C206)</f>
        <v/>
      </c>
      <c r="E1801" s="38" t="str">
        <f>IF(Agent09_Withdrawals!A206="","",Agent09_Withdrawals!D206)</f>
        <v/>
      </c>
      <c r="F1801" s="37" t="str">
        <f>IF(Agent09_Withdrawals!A206="","",Agent09_Withdrawals!F206)</f>
        <v/>
      </c>
      <c r="G1801" s="39" t="str">
        <f>IF(Agent09_Withdrawals!A206="","",Agent09_Withdrawals!E206)</f>
        <v/>
      </c>
      <c r="H1801" s="39" t="str">
        <f>IF(Agent09_Withdrawals!A206="","",Agent09_Withdrawals!G206)</f>
        <v/>
      </c>
      <c r="I1801" s="37" t="str">
        <f>IF(Agent09_Withdrawals!A206="","",Agent09_Withdrawals!H206)</f>
        <v/>
      </c>
      <c r="J1801" s="37" t="str">
        <f>IF(Agent09_Withdrawals!A206="","",Agent09_Withdrawals!J206)</f>
        <v/>
      </c>
      <c r="K1801" s="37" t="str">
        <f>IF(Agent09_Withdrawals!A206="","",Agent09_Withdrawals!K206)</f>
        <v/>
      </c>
      <c r="L1801" s="37" t="str">
        <f>IF(G1801="","",IF(D1801-G1801&gt;=System_Config!$B$9,"✅ OK","⚠️ BREACH"))</f>
        <v/>
      </c>
      <c r="M1801" s="37" t="str">
        <f>IFERROR(IF(Agent09_Withdrawals!A206="","",YEAR(Agent09_Withdrawals!D206)),"")</f>
        <v/>
      </c>
    </row>
    <row r="1802" spans="1:13" ht="18" customHeight="1" x14ac:dyDescent="0.25">
      <c r="A1802" s="37" t="str">
        <f>IF(Agent09_Withdrawals!A207="","",Agent09_Withdrawals!A207)</f>
        <v/>
      </c>
      <c r="B1802" s="37" t="str">
        <f ca="1">IF(Agent09_Withdrawals!A207="","","WD"&amp;TEXT(1802-3,"0000")&amp;"-"&amp;TEXT(TODAY(),"YYYYMMDD"))</f>
        <v/>
      </c>
      <c r="C1802" s="37" t="str">
        <f>IF(Agent09_Withdrawals!A207="","",Agent09_Withdrawals!B207)</f>
        <v/>
      </c>
      <c r="D1802" s="40" t="str">
        <f>IF(Agent09_Withdrawals!A207="","",Agent09_Withdrawals!C207)</f>
        <v/>
      </c>
      <c r="E1802" s="38" t="str">
        <f>IF(Agent09_Withdrawals!A207="","",Agent09_Withdrawals!D207)</f>
        <v/>
      </c>
      <c r="F1802" s="37" t="str">
        <f>IF(Agent09_Withdrawals!A207="","",Agent09_Withdrawals!F207)</f>
        <v/>
      </c>
      <c r="G1802" s="39" t="str">
        <f>IF(Agent09_Withdrawals!A207="","",Agent09_Withdrawals!E207)</f>
        <v/>
      </c>
      <c r="H1802" s="39" t="str">
        <f>IF(Agent09_Withdrawals!A207="","",Agent09_Withdrawals!G207)</f>
        <v/>
      </c>
      <c r="I1802" s="37" t="str">
        <f>IF(Agent09_Withdrawals!A207="","",Agent09_Withdrawals!H207)</f>
        <v/>
      </c>
      <c r="J1802" s="37" t="str">
        <f>IF(Agent09_Withdrawals!A207="","",Agent09_Withdrawals!J207)</f>
        <v/>
      </c>
      <c r="K1802" s="37" t="str">
        <f>IF(Agent09_Withdrawals!A207="","",Agent09_Withdrawals!K207)</f>
        <v/>
      </c>
      <c r="L1802" s="37" t="str">
        <f>IF(G1802="","",IF(D1802-G1802&gt;=System_Config!$B$9,"✅ OK","⚠️ BREACH"))</f>
        <v/>
      </c>
      <c r="M1802" s="37" t="str">
        <f>IFERROR(IF(Agent09_Withdrawals!A207="","",YEAR(Agent09_Withdrawals!D207)),"")</f>
        <v/>
      </c>
    </row>
    <row r="1803" spans="1:13" ht="18" customHeight="1" x14ac:dyDescent="0.25">
      <c r="A1803" s="37" t="str">
        <f>IF(Agent09_Withdrawals!A208="","",Agent09_Withdrawals!A208)</f>
        <v/>
      </c>
      <c r="B1803" s="37" t="str">
        <f ca="1">IF(Agent09_Withdrawals!A208="","","WD"&amp;TEXT(1803-3,"0000")&amp;"-"&amp;TEXT(TODAY(),"YYYYMMDD"))</f>
        <v/>
      </c>
      <c r="C1803" s="37" t="str">
        <f>IF(Agent09_Withdrawals!A208="","",Agent09_Withdrawals!B208)</f>
        <v/>
      </c>
      <c r="D1803" s="40" t="str">
        <f>IF(Agent09_Withdrawals!A208="","",Agent09_Withdrawals!C208)</f>
        <v/>
      </c>
      <c r="E1803" s="38" t="str">
        <f>IF(Agent09_Withdrawals!A208="","",Agent09_Withdrawals!D208)</f>
        <v/>
      </c>
      <c r="F1803" s="37" t="str">
        <f>IF(Agent09_Withdrawals!A208="","",Agent09_Withdrawals!F208)</f>
        <v/>
      </c>
      <c r="G1803" s="39" t="str">
        <f>IF(Agent09_Withdrawals!A208="","",Agent09_Withdrawals!E208)</f>
        <v/>
      </c>
      <c r="H1803" s="39" t="str">
        <f>IF(Agent09_Withdrawals!A208="","",Agent09_Withdrawals!G208)</f>
        <v/>
      </c>
      <c r="I1803" s="37" t="str">
        <f>IF(Agent09_Withdrawals!A208="","",Agent09_Withdrawals!H208)</f>
        <v/>
      </c>
      <c r="J1803" s="37" t="str">
        <f>IF(Agent09_Withdrawals!A208="","",Agent09_Withdrawals!J208)</f>
        <v/>
      </c>
      <c r="K1803" s="37" t="str">
        <f>IF(Agent09_Withdrawals!A208="","",Agent09_Withdrawals!K208)</f>
        <v/>
      </c>
      <c r="L1803" s="37" t="str">
        <f>IF(G1803="","",IF(D1803-G1803&gt;=System_Config!$B$9,"✅ OK","⚠️ BREACH"))</f>
        <v/>
      </c>
      <c r="M1803" s="37" t="str">
        <f>IFERROR(IF(Agent09_Withdrawals!A208="","",YEAR(Agent09_Withdrawals!D208)),"")</f>
        <v/>
      </c>
    </row>
    <row r="1804" spans="1:13" ht="18" customHeight="1" x14ac:dyDescent="0.25">
      <c r="A1804" s="37" t="str">
        <f>IF(Agent10_Withdrawals!A9="","",Agent10_Withdrawals!A9)</f>
        <v/>
      </c>
      <c r="B1804" s="37" t="str">
        <f ca="1">IF(Agent10_Withdrawals!A9="","","WD"&amp;TEXT(1804-3,"0000")&amp;"-"&amp;TEXT(TODAY(),"YYYYMMDD"))</f>
        <v/>
      </c>
      <c r="C1804" s="37" t="str">
        <f>IF(Agent10_Withdrawals!A9="","",Agent10_Withdrawals!B9)</f>
        <v/>
      </c>
      <c r="D1804" s="40" t="str">
        <f>IF(Agent10_Withdrawals!A9="","",Agent10_Withdrawals!C9)</f>
        <v/>
      </c>
      <c r="E1804" s="38" t="str">
        <f>IF(Agent10_Withdrawals!A9="","",Agent10_Withdrawals!D9)</f>
        <v/>
      </c>
      <c r="F1804" s="37" t="str">
        <f>IF(Agent10_Withdrawals!A9="","",Agent10_Withdrawals!F9)</f>
        <v/>
      </c>
      <c r="G1804" s="39" t="str">
        <f>IF(Agent10_Withdrawals!A9="","",Agent10_Withdrawals!E9)</f>
        <v/>
      </c>
      <c r="H1804" s="39" t="str">
        <f>IF(Agent10_Withdrawals!A9="","",Agent10_Withdrawals!G9)</f>
        <v/>
      </c>
      <c r="I1804" s="37" t="str">
        <f>IF(Agent10_Withdrawals!A9="","",Agent10_Withdrawals!H9)</f>
        <v/>
      </c>
      <c r="J1804" s="37" t="str">
        <f>IF(Agent10_Withdrawals!A9="","",Agent10_Withdrawals!J9)</f>
        <v/>
      </c>
      <c r="K1804" s="37" t="str">
        <f>IF(Agent10_Withdrawals!A9="","",Agent10_Withdrawals!K9)</f>
        <v/>
      </c>
      <c r="L1804" s="37" t="str">
        <f>IF(G1804="","",IF(D1804-G1804&gt;=System_Config!$B$9,"✅ OK","⚠️ BREACH"))</f>
        <v/>
      </c>
      <c r="M1804" s="37" t="str">
        <f>IFERROR(IF(Agent10_Withdrawals!A9="","",YEAR(Agent10_Withdrawals!D9)),"")</f>
        <v/>
      </c>
    </row>
    <row r="1805" spans="1:13" ht="18" customHeight="1" x14ac:dyDescent="0.25">
      <c r="A1805" s="37" t="str">
        <f>IF(Agent10_Withdrawals!A10="","",Agent10_Withdrawals!A10)</f>
        <v/>
      </c>
      <c r="B1805" s="37" t="str">
        <f ca="1">IF(Agent10_Withdrawals!A10="","","WD"&amp;TEXT(1805-3,"0000")&amp;"-"&amp;TEXT(TODAY(),"YYYYMMDD"))</f>
        <v/>
      </c>
      <c r="C1805" s="37" t="str">
        <f>IF(Agent10_Withdrawals!A10="","",Agent10_Withdrawals!B10)</f>
        <v/>
      </c>
      <c r="D1805" s="40" t="str">
        <f>IF(Agent10_Withdrawals!A10="","",Agent10_Withdrawals!C10)</f>
        <v/>
      </c>
      <c r="E1805" s="38" t="str">
        <f>IF(Agent10_Withdrawals!A10="","",Agent10_Withdrawals!D10)</f>
        <v/>
      </c>
      <c r="F1805" s="37" t="str">
        <f>IF(Agent10_Withdrawals!A10="","",Agent10_Withdrawals!F10)</f>
        <v/>
      </c>
      <c r="G1805" s="39" t="str">
        <f>IF(Agent10_Withdrawals!A10="","",Agent10_Withdrawals!E10)</f>
        <v/>
      </c>
      <c r="H1805" s="39" t="str">
        <f>IF(Agent10_Withdrawals!A10="","",Agent10_Withdrawals!G10)</f>
        <v/>
      </c>
      <c r="I1805" s="37" t="str">
        <f>IF(Agent10_Withdrawals!A10="","",Agent10_Withdrawals!H10)</f>
        <v/>
      </c>
      <c r="J1805" s="37" t="str">
        <f>IF(Agent10_Withdrawals!A10="","",Agent10_Withdrawals!J10)</f>
        <v/>
      </c>
      <c r="K1805" s="37" t="str">
        <f>IF(Agent10_Withdrawals!A10="","",Agent10_Withdrawals!K10)</f>
        <v/>
      </c>
      <c r="L1805" s="37" t="str">
        <f>IF(G1805="","",IF(D1805-G1805&gt;=System_Config!$B$9,"✅ OK","⚠️ BREACH"))</f>
        <v/>
      </c>
      <c r="M1805" s="37" t="str">
        <f>IFERROR(IF(Agent10_Withdrawals!A10="","",YEAR(Agent10_Withdrawals!D10)),"")</f>
        <v/>
      </c>
    </row>
    <row r="1806" spans="1:13" ht="18" customHeight="1" x14ac:dyDescent="0.25">
      <c r="A1806" s="37" t="str">
        <f>IF(Agent10_Withdrawals!A11="","",Agent10_Withdrawals!A11)</f>
        <v/>
      </c>
      <c r="B1806" s="37" t="str">
        <f ca="1">IF(Agent10_Withdrawals!A11="","","WD"&amp;TEXT(1806-3,"0000")&amp;"-"&amp;TEXT(TODAY(),"YYYYMMDD"))</f>
        <v/>
      </c>
      <c r="C1806" s="37" t="str">
        <f>IF(Agent10_Withdrawals!A11="","",Agent10_Withdrawals!B11)</f>
        <v/>
      </c>
      <c r="D1806" s="40" t="str">
        <f>IF(Agent10_Withdrawals!A11="","",Agent10_Withdrawals!C11)</f>
        <v/>
      </c>
      <c r="E1806" s="38" t="str">
        <f>IF(Agent10_Withdrawals!A11="","",Agent10_Withdrawals!D11)</f>
        <v/>
      </c>
      <c r="F1806" s="37" t="str">
        <f>IF(Agent10_Withdrawals!A11="","",Agent10_Withdrawals!F11)</f>
        <v/>
      </c>
      <c r="G1806" s="39" t="str">
        <f>IF(Agent10_Withdrawals!A11="","",Agent10_Withdrawals!E11)</f>
        <v/>
      </c>
      <c r="H1806" s="39" t="str">
        <f>IF(Agent10_Withdrawals!A11="","",Agent10_Withdrawals!G11)</f>
        <v/>
      </c>
      <c r="I1806" s="37" t="str">
        <f>IF(Agent10_Withdrawals!A11="","",Agent10_Withdrawals!H11)</f>
        <v/>
      </c>
      <c r="J1806" s="37" t="str">
        <f>IF(Agent10_Withdrawals!A11="","",Agent10_Withdrawals!J11)</f>
        <v/>
      </c>
      <c r="K1806" s="37" t="str">
        <f>IF(Agent10_Withdrawals!A11="","",Agent10_Withdrawals!K11)</f>
        <v/>
      </c>
      <c r="L1806" s="37" t="str">
        <f>IF(G1806="","",IF(D1806-G1806&gt;=System_Config!$B$9,"✅ OK","⚠️ BREACH"))</f>
        <v/>
      </c>
      <c r="M1806" s="37" t="str">
        <f>IFERROR(IF(Agent10_Withdrawals!A11="","",YEAR(Agent10_Withdrawals!D11)),"")</f>
        <v/>
      </c>
    </row>
    <row r="1807" spans="1:13" ht="18" customHeight="1" x14ac:dyDescent="0.25">
      <c r="A1807" s="37" t="str">
        <f>IF(Agent10_Withdrawals!A12="","",Agent10_Withdrawals!A12)</f>
        <v/>
      </c>
      <c r="B1807" s="37" t="str">
        <f ca="1">IF(Agent10_Withdrawals!A12="","","WD"&amp;TEXT(1807-3,"0000")&amp;"-"&amp;TEXT(TODAY(),"YYYYMMDD"))</f>
        <v/>
      </c>
      <c r="C1807" s="37" t="str">
        <f>IF(Agent10_Withdrawals!A12="","",Agent10_Withdrawals!B12)</f>
        <v/>
      </c>
      <c r="D1807" s="40" t="str">
        <f>IF(Agent10_Withdrawals!A12="","",Agent10_Withdrawals!C12)</f>
        <v/>
      </c>
      <c r="E1807" s="38" t="str">
        <f>IF(Agent10_Withdrawals!A12="","",Agent10_Withdrawals!D12)</f>
        <v/>
      </c>
      <c r="F1807" s="37" t="str">
        <f>IF(Agent10_Withdrawals!A12="","",Agent10_Withdrawals!F12)</f>
        <v/>
      </c>
      <c r="G1807" s="39" t="str">
        <f>IF(Agent10_Withdrawals!A12="","",Agent10_Withdrawals!E12)</f>
        <v/>
      </c>
      <c r="H1807" s="39" t="str">
        <f>IF(Agent10_Withdrawals!A12="","",Agent10_Withdrawals!G12)</f>
        <v/>
      </c>
      <c r="I1807" s="37" t="str">
        <f>IF(Agent10_Withdrawals!A12="","",Agent10_Withdrawals!H12)</f>
        <v/>
      </c>
      <c r="J1807" s="37" t="str">
        <f>IF(Agent10_Withdrawals!A12="","",Agent10_Withdrawals!J12)</f>
        <v/>
      </c>
      <c r="K1807" s="37" t="str">
        <f>IF(Agent10_Withdrawals!A12="","",Agent10_Withdrawals!K12)</f>
        <v/>
      </c>
      <c r="L1807" s="37" t="str">
        <f>IF(G1807="","",IF(D1807-G1807&gt;=System_Config!$B$9,"✅ OK","⚠️ BREACH"))</f>
        <v/>
      </c>
      <c r="M1807" s="37" t="str">
        <f>IFERROR(IF(Agent10_Withdrawals!A12="","",YEAR(Agent10_Withdrawals!D12)),"")</f>
        <v/>
      </c>
    </row>
    <row r="1808" spans="1:13" ht="18" customHeight="1" x14ac:dyDescent="0.25">
      <c r="A1808" s="37" t="str">
        <f>IF(Agent10_Withdrawals!A13="","",Agent10_Withdrawals!A13)</f>
        <v/>
      </c>
      <c r="B1808" s="37" t="str">
        <f ca="1">IF(Agent10_Withdrawals!A13="","","WD"&amp;TEXT(1808-3,"0000")&amp;"-"&amp;TEXT(TODAY(),"YYYYMMDD"))</f>
        <v/>
      </c>
      <c r="C1808" s="37" t="str">
        <f>IF(Agent10_Withdrawals!A13="","",Agent10_Withdrawals!B13)</f>
        <v/>
      </c>
      <c r="D1808" s="40" t="str">
        <f>IF(Agent10_Withdrawals!A13="","",Agent10_Withdrawals!C13)</f>
        <v/>
      </c>
      <c r="E1808" s="38" t="str">
        <f>IF(Agent10_Withdrawals!A13="","",Agent10_Withdrawals!D13)</f>
        <v/>
      </c>
      <c r="F1808" s="37" t="str">
        <f>IF(Agent10_Withdrawals!A13="","",Agent10_Withdrawals!F13)</f>
        <v/>
      </c>
      <c r="G1808" s="39" t="str">
        <f>IF(Agent10_Withdrawals!A13="","",Agent10_Withdrawals!E13)</f>
        <v/>
      </c>
      <c r="H1808" s="39" t="str">
        <f>IF(Agent10_Withdrawals!A13="","",Agent10_Withdrawals!G13)</f>
        <v/>
      </c>
      <c r="I1808" s="37" t="str">
        <f>IF(Agent10_Withdrawals!A13="","",Agent10_Withdrawals!H13)</f>
        <v/>
      </c>
      <c r="J1808" s="37" t="str">
        <f>IF(Agent10_Withdrawals!A13="","",Agent10_Withdrawals!J13)</f>
        <v/>
      </c>
      <c r="K1808" s="37" t="str">
        <f>IF(Agent10_Withdrawals!A13="","",Agent10_Withdrawals!K13)</f>
        <v/>
      </c>
      <c r="L1808" s="37" t="str">
        <f>IF(G1808="","",IF(D1808-G1808&gt;=System_Config!$B$9,"✅ OK","⚠️ BREACH"))</f>
        <v/>
      </c>
      <c r="M1808" s="37" t="str">
        <f>IFERROR(IF(Agent10_Withdrawals!A13="","",YEAR(Agent10_Withdrawals!D13)),"")</f>
        <v/>
      </c>
    </row>
    <row r="1809" spans="1:13" ht="18" customHeight="1" x14ac:dyDescent="0.25">
      <c r="A1809" s="37" t="str">
        <f>IF(Agent10_Withdrawals!A14="","",Agent10_Withdrawals!A14)</f>
        <v/>
      </c>
      <c r="B1809" s="37" t="str">
        <f ca="1">IF(Agent10_Withdrawals!A14="","","WD"&amp;TEXT(1809-3,"0000")&amp;"-"&amp;TEXT(TODAY(),"YYYYMMDD"))</f>
        <v/>
      </c>
      <c r="C1809" s="37" t="str">
        <f>IF(Agent10_Withdrawals!A14="","",Agent10_Withdrawals!B14)</f>
        <v/>
      </c>
      <c r="D1809" s="40" t="str">
        <f>IF(Agent10_Withdrawals!A14="","",Agent10_Withdrawals!C14)</f>
        <v/>
      </c>
      <c r="E1809" s="38" t="str">
        <f>IF(Agent10_Withdrawals!A14="","",Agent10_Withdrawals!D14)</f>
        <v/>
      </c>
      <c r="F1809" s="37" t="str">
        <f>IF(Agent10_Withdrawals!A14="","",Agent10_Withdrawals!F14)</f>
        <v/>
      </c>
      <c r="G1809" s="39" t="str">
        <f>IF(Agent10_Withdrawals!A14="","",Agent10_Withdrawals!E14)</f>
        <v/>
      </c>
      <c r="H1809" s="39" t="str">
        <f>IF(Agent10_Withdrawals!A14="","",Agent10_Withdrawals!G14)</f>
        <v/>
      </c>
      <c r="I1809" s="37" t="str">
        <f>IF(Agent10_Withdrawals!A14="","",Agent10_Withdrawals!H14)</f>
        <v/>
      </c>
      <c r="J1809" s="37" t="str">
        <f>IF(Agent10_Withdrawals!A14="","",Agent10_Withdrawals!J14)</f>
        <v/>
      </c>
      <c r="K1809" s="37" t="str">
        <f>IF(Agent10_Withdrawals!A14="","",Agent10_Withdrawals!K14)</f>
        <v/>
      </c>
      <c r="L1809" s="37" t="str">
        <f>IF(G1809="","",IF(D1809-G1809&gt;=System_Config!$B$9,"✅ OK","⚠️ BREACH"))</f>
        <v/>
      </c>
      <c r="M1809" s="37" t="str">
        <f>IFERROR(IF(Agent10_Withdrawals!A14="","",YEAR(Agent10_Withdrawals!D14)),"")</f>
        <v/>
      </c>
    </row>
    <row r="1810" spans="1:13" ht="18" customHeight="1" x14ac:dyDescent="0.25">
      <c r="A1810" s="37" t="str">
        <f>IF(Agent10_Withdrawals!A15="","",Agent10_Withdrawals!A15)</f>
        <v/>
      </c>
      <c r="B1810" s="37" t="str">
        <f ca="1">IF(Agent10_Withdrawals!A15="","","WD"&amp;TEXT(1810-3,"0000")&amp;"-"&amp;TEXT(TODAY(),"YYYYMMDD"))</f>
        <v/>
      </c>
      <c r="C1810" s="37" t="str">
        <f>IF(Agent10_Withdrawals!A15="","",Agent10_Withdrawals!B15)</f>
        <v/>
      </c>
      <c r="D1810" s="40" t="str">
        <f>IF(Agent10_Withdrawals!A15="","",Agent10_Withdrawals!C15)</f>
        <v/>
      </c>
      <c r="E1810" s="38" t="str">
        <f>IF(Agent10_Withdrawals!A15="","",Agent10_Withdrawals!D15)</f>
        <v/>
      </c>
      <c r="F1810" s="37" t="str">
        <f>IF(Agent10_Withdrawals!A15="","",Agent10_Withdrawals!F15)</f>
        <v/>
      </c>
      <c r="G1810" s="39" t="str">
        <f>IF(Agent10_Withdrawals!A15="","",Agent10_Withdrawals!E15)</f>
        <v/>
      </c>
      <c r="H1810" s="39" t="str">
        <f>IF(Agent10_Withdrawals!A15="","",Agent10_Withdrawals!G15)</f>
        <v/>
      </c>
      <c r="I1810" s="37" t="str">
        <f>IF(Agent10_Withdrawals!A15="","",Agent10_Withdrawals!H15)</f>
        <v/>
      </c>
      <c r="J1810" s="37" t="str">
        <f>IF(Agent10_Withdrawals!A15="","",Agent10_Withdrawals!J15)</f>
        <v/>
      </c>
      <c r="K1810" s="37" t="str">
        <f>IF(Agent10_Withdrawals!A15="","",Agent10_Withdrawals!K15)</f>
        <v/>
      </c>
      <c r="L1810" s="37" t="str">
        <f>IF(G1810="","",IF(D1810-G1810&gt;=System_Config!$B$9,"✅ OK","⚠️ BREACH"))</f>
        <v/>
      </c>
      <c r="M1810" s="37" t="str">
        <f>IFERROR(IF(Agent10_Withdrawals!A15="","",YEAR(Agent10_Withdrawals!D15)),"")</f>
        <v/>
      </c>
    </row>
    <row r="1811" spans="1:13" ht="18" customHeight="1" x14ac:dyDescent="0.25">
      <c r="A1811" s="37" t="str">
        <f>IF(Agent10_Withdrawals!A16="","",Agent10_Withdrawals!A16)</f>
        <v/>
      </c>
      <c r="B1811" s="37" t="str">
        <f ca="1">IF(Agent10_Withdrawals!A16="","","WD"&amp;TEXT(1811-3,"0000")&amp;"-"&amp;TEXT(TODAY(),"YYYYMMDD"))</f>
        <v/>
      </c>
      <c r="C1811" s="37" t="str">
        <f>IF(Agent10_Withdrawals!A16="","",Agent10_Withdrawals!B16)</f>
        <v/>
      </c>
      <c r="D1811" s="40" t="str">
        <f>IF(Agent10_Withdrawals!A16="","",Agent10_Withdrawals!C16)</f>
        <v/>
      </c>
      <c r="E1811" s="38" t="str">
        <f>IF(Agent10_Withdrawals!A16="","",Agent10_Withdrawals!D16)</f>
        <v/>
      </c>
      <c r="F1811" s="37" t="str">
        <f>IF(Agent10_Withdrawals!A16="","",Agent10_Withdrawals!F16)</f>
        <v/>
      </c>
      <c r="G1811" s="39" t="str">
        <f>IF(Agent10_Withdrawals!A16="","",Agent10_Withdrawals!E16)</f>
        <v/>
      </c>
      <c r="H1811" s="39" t="str">
        <f>IF(Agent10_Withdrawals!A16="","",Agent10_Withdrawals!G16)</f>
        <v/>
      </c>
      <c r="I1811" s="37" t="str">
        <f>IF(Agent10_Withdrawals!A16="","",Agent10_Withdrawals!H16)</f>
        <v/>
      </c>
      <c r="J1811" s="37" t="str">
        <f>IF(Agent10_Withdrawals!A16="","",Agent10_Withdrawals!J16)</f>
        <v/>
      </c>
      <c r="K1811" s="37" t="str">
        <f>IF(Agent10_Withdrawals!A16="","",Agent10_Withdrawals!K16)</f>
        <v/>
      </c>
      <c r="L1811" s="37" t="str">
        <f>IF(G1811="","",IF(D1811-G1811&gt;=System_Config!$B$9,"✅ OK","⚠️ BREACH"))</f>
        <v/>
      </c>
      <c r="M1811" s="37" t="str">
        <f>IFERROR(IF(Agent10_Withdrawals!A16="","",YEAR(Agent10_Withdrawals!D16)),"")</f>
        <v/>
      </c>
    </row>
    <row r="1812" spans="1:13" ht="18" customHeight="1" x14ac:dyDescent="0.25">
      <c r="A1812" s="37" t="str">
        <f>IF(Agent10_Withdrawals!A17="","",Agent10_Withdrawals!A17)</f>
        <v/>
      </c>
      <c r="B1812" s="37" t="str">
        <f ca="1">IF(Agent10_Withdrawals!A17="","","WD"&amp;TEXT(1812-3,"0000")&amp;"-"&amp;TEXT(TODAY(),"YYYYMMDD"))</f>
        <v/>
      </c>
      <c r="C1812" s="37" t="str">
        <f>IF(Agent10_Withdrawals!A17="","",Agent10_Withdrawals!B17)</f>
        <v/>
      </c>
      <c r="D1812" s="40" t="str">
        <f>IF(Agent10_Withdrawals!A17="","",Agent10_Withdrawals!C17)</f>
        <v/>
      </c>
      <c r="E1812" s="38" t="str">
        <f>IF(Agent10_Withdrawals!A17="","",Agent10_Withdrawals!D17)</f>
        <v/>
      </c>
      <c r="F1812" s="37" t="str">
        <f>IF(Agent10_Withdrawals!A17="","",Agent10_Withdrawals!F17)</f>
        <v/>
      </c>
      <c r="G1812" s="39" t="str">
        <f>IF(Agent10_Withdrawals!A17="","",Agent10_Withdrawals!E17)</f>
        <v/>
      </c>
      <c r="H1812" s="39" t="str">
        <f>IF(Agent10_Withdrawals!A17="","",Agent10_Withdrawals!G17)</f>
        <v/>
      </c>
      <c r="I1812" s="37" t="str">
        <f>IF(Agent10_Withdrawals!A17="","",Agent10_Withdrawals!H17)</f>
        <v/>
      </c>
      <c r="J1812" s="37" t="str">
        <f>IF(Agent10_Withdrawals!A17="","",Agent10_Withdrawals!J17)</f>
        <v/>
      </c>
      <c r="K1812" s="37" t="str">
        <f>IF(Agent10_Withdrawals!A17="","",Agent10_Withdrawals!K17)</f>
        <v/>
      </c>
      <c r="L1812" s="37" t="str">
        <f>IF(G1812="","",IF(D1812-G1812&gt;=System_Config!$B$9,"✅ OK","⚠️ BREACH"))</f>
        <v/>
      </c>
      <c r="M1812" s="37" t="str">
        <f>IFERROR(IF(Agent10_Withdrawals!A17="","",YEAR(Agent10_Withdrawals!D17)),"")</f>
        <v/>
      </c>
    </row>
    <row r="1813" spans="1:13" ht="18" customHeight="1" x14ac:dyDescent="0.25">
      <c r="A1813" s="37" t="str">
        <f>IF(Agent10_Withdrawals!A18="","",Agent10_Withdrawals!A18)</f>
        <v/>
      </c>
      <c r="B1813" s="37" t="str">
        <f ca="1">IF(Agent10_Withdrawals!A18="","","WD"&amp;TEXT(1813-3,"0000")&amp;"-"&amp;TEXT(TODAY(),"YYYYMMDD"))</f>
        <v/>
      </c>
      <c r="C1813" s="37" t="str">
        <f>IF(Agent10_Withdrawals!A18="","",Agent10_Withdrawals!B18)</f>
        <v/>
      </c>
      <c r="D1813" s="40" t="str">
        <f>IF(Agent10_Withdrawals!A18="","",Agent10_Withdrawals!C18)</f>
        <v/>
      </c>
      <c r="E1813" s="38" t="str">
        <f>IF(Agent10_Withdrawals!A18="","",Agent10_Withdrawals!D18)</f>
        <v/>
      </c>
      <c r="F1813" s="37" t="str">
        <f>IF(Agent10_Withdrawals!A18="","",Agent10_Withdrawals!F18)</f>
        <v/>
      </c>
      <c r="G1813" s="39" t="str">
        <f>IF(Agent10_Withdrawals!A18="","",Agent10_Withdrawals!E18)</f>
        <v/>
      </c>
      <c r="H1813" s="39" t="str">
        <f>IF(Agent10_Withdrawals!A18="","",Agent10_Withdrawals!G18)</f>
        <v/>
      </c>
      <c r="I1813" s="37" t="str">
        <f>IF(Agent10_Withdrawals!A18="","",Agent10_Withdrawals!H18)</f>
        <v/>
      </c>
      <c r="J1813" s="37" t="str">
        <f>IF(Agent10_Withdrawals!A18="","",Agent10_Withdrawals!J18)</f>
        <v/>
      </c>
      <c r="K1813" s="37" t="str">
        <f>IF(Agent10_Withdrawals!A18="","",Agent10_Withdrawals!K18)</f>
        <v/>
      </c>
      <c r="L1813" s="37" t="str">
        <f>IF(G1813="","",IF(D1813-G1813&gt;=System_Config!$B$9,"✅ OK","⚠️ BREACH"))</f>
        <v/>
      </c>
      <c r="M1813" s="37" t="str">
        <f>IFERROR(IF(Agent10_Withdrawals!A18="","",YEAR(Agent10_Withdrawals!D18)),"")</f>
        <v/>
      </c>
    </row>
    <row r="1814" spans="1:13" ht="18" customHeight="1" x14ac:dyDescent="0.25">
      <c r="A1814" s="37" t="str">
        <f>IF(Agent10_Withdrawals!A19="","",Agent10_Withdrawals!A19)</f>
        <v/>
      </c>
      <c r="B1814" s="37" t="str">
        <f ca="1">IF(Agent10_Withdrawals!A19="","","WD"&amp;TEXT(1814-3,"0000")&amp;"-"&amp;TEXT(TODAY(),"YYYYMMDD"))</f>
        <v/>
      </c>
      <c r="C1814" s="37" t="str">
        <f>IF(Agent10_Withdrawals!A19="","",Agent10_Withdrawals!B19)</f>
        <v/>
      </c>
      <c r="D1814" s="40" t="str">
        <f>IF(Agent10_Withdrawals!A19="","",Agent10_Withdrawals!C19)</f>
        <v/>
      </c>
      <c r="E1814" s="38" t="str">
        <f>IF(Agent10_Withdrawals!A19="","",Agent10_Withdrawals!D19)</f>
        <v/>
      </c>
      <c r="F1814" s="37" t="str">
        <f>IF(Agent10_Withdrawals!A19="","",Agent10_Withdrawals!F19)</f>
        <v/>
      </c>
      <c r="G1814" s="39" t="str">
        <f>IF(Agent10_Withdrawals!A19="","",Agent10_Withdrawals!E19)</f>
        <v/>
      </c>
      <c r="H1814" s="39" t="str">
        <f>IF(Agent10_Withdrawals!A19="","",Agent10_Withdrawals!G19)</f>
        <v/>
      </c>
      <c r="I1814" s="37" t="str">
        <f>IF(Agent10_Withdrawals!A19="","",Agent10_Withdrawals!H19)</f>
        <v/>
      </c>
      <c r="J1814" s="37" t="str">
        <f>IF(Agent10_Withdrawals!A19="","",Agent10_Withdrawals!J19)</f>
        <v/>
      </c>
      <c r="K1814" s="37" t="str">
        <f>IF(Agent10_Withdrawals!A19="","",Agent10_Withdrawals!K19)</f>
        <v/>
      </c>
      <c r="L1814" s="37" t="str">
        <f>IF(G1814="","",IF(D1814-G1814&gt;=System_Config!$B$9,"✅ OK","⚠️ BREACH"))</f>
        <v/>
      </c>
      <c r="M1814" s="37" t="str">
        <f>IFERROR(IF(Agent10_Withdrawals!A19="","",YEAR(Agent10_Withdrawals!D19)),"")</f>
        <v/>
      </c>
    </row>
    <row r="1815" spans="1:13" ht="18" customHeight="1" x14ac:dyDescent="0.25">
      <c r="A1815" s="37" t="str">
        <f>IF(Agent10_Withdrawals!A20="","",Agent10_Withdrawals!A20)</f>
        <v/>
      </c>
      <c r="B1815" s="37" t="str">
        <f ca="1">IF(Agent10_Withdrawals!A20="","","WD"&amp;TEXT(1815-3,"0000")&amp;"-"&amp;TEXT(TODAY(),"YYYYMMDD"))</f>
        <v/>
      </c>
      <c r="C1815" s="37" t="str">
        <f>IF(Agent10_Withdrawals!A20="","",Agent10_Withdrawals!B20)</f>
        <v/>
      </c>
      <c r="D1815" s="40" t="str">
        <f>IF(Agent10_Withdrawals!A20="","",Agent10_Withdrawals!C20)</f>
        <v/>
      </c>
      <c r="E1815" s="38" t="str">
        <f>IF(Agent10_Withdrawals!A20="","",Agent10_Withdrawals!D20)</f>
        <v/>
      </c>
      <c r="F1815" s="37" t="str">
        <f>IF(Agent10_Withdrawals!A20="","",Agent10_Withdrawals!F20)</f>
        <v/>
      </c>
      <c r="G1815" s="39" t="str">
        <f>IF(Agent10_Withdrawals!A20="","",Agent10_Withdrawals!E20)</f>
        <v/>
      </c>
      <c r="H1815" s="39" t="str">
        <f>IF(Agent10_Withdrawals!A20="","",Agent10_Withdrawals!G20)</f>
        <v/>
      </c>
      <c r="I1815" s="37" t="str">
        <f>IF(Agent10_Withdrawals!A20="","",Agent10_Withdrawals!H20)</f>
        <v/>
      </c>
      <c r="J1815" s="37" t="str">
        <f>IF(Agent10_Withdrawals!A20="","",Agent10_Withdrawals!J20)</f>
        <v/>
      </c>
      <c r="K1815" s="37" t="str">
        <f>IF(Agent10_Withdrawals!A20="","",Agent10_Withdrawals!K20)</f>
        <v/>
      </c>
      <c r="L1815" s="37" t="str">
        <f>IF(G1815="","",IF(D1815-G1815&gt;=System_Config!$B$9,"✅ OK","⚠️ BREACH"))</f>
        <v/>
      </c>
      <c r="M1815" s="37" t="str">
        <f>IFERROR(IF(Agent10_Withdrawals!A20="","",YEAR(Agent10_Withdrawals!D20)),"")</f>
        <v/>
      </c>
    </row>
    <row r="1816" spans="1:13" ht="18" customHeight="1" x14ac:dyDescent="0.25">
      <c r="A1816" s="37" t="str">
        <f>IF(Agent10_Withdrawals!A21="","",Agent10_Withdrawals!A21)</f>
        <v/>
      </c>
      <c r="B1816" s="37" t="str">
        <f ca="1">IF(Agent10_Withdrawals!A21="","","WD"&amp;TEXT(1816-3,"0000")&amp;"-"&amp;TEXT(TODAY(),"YYYYMMDD"))</f>
        <v/>
      </c>
      <c r="C1816" s="37" t="str">
        <f>IF(Agent10_Withdrawals!A21="","",Agent10_Withdrawals!B21)</f>
        <v/>
      </c>
      <c r="D1816" s="40" t="str">
        <f>IF(Agent10_Withdrawals!A21="","",Agent10_Withdrawals!C21)</f>
        <v/>
      </c>
      <c r="E1816" s="38" t="str">
        <f>IF(Agent10_Withdrawals!A21="","",Agent10_Withdrawals!D21)</f>
        <v/>
      </c>
      <c r="F1816" s="37" t="str">
        <f>IF(Agent10_Withdrawals!A21="","",Agent10_Withdrawals!F21)</f>
        <v/>
      </c>
      <c r="G1816" s="39" t="str">
        <f>IF(Agent10_Withdrawals!A21="","",Agent10_Withdrawals!E21)</f>
        <v/>
      </c>
      <c r="H1816" s="39" t="str">
        <f>IF(Agent10_Withdrawals!A21="","",Agent10_Withdrawals!G21)</f>
        <v/>
      </c>
      <c r="I1816" s="37" t="str">
        <f>IF(Agent10_Withdrawals!A21="","",Agent10_Withdrawals!H21)</f>
        <v/>
      </c>
      <c r="J1816" s="37" t="str">
        <f>IF(Agent10_Withdrawals!A21="","",Agent10_Withdrawals!J21)</f>
        <v/>
      </c>
      <c r="K1816" s="37" t="str">
        <f>IF(Agent10_Withdrawals!A21="","",Agent10_Withdrawals!K21)</f>
        <v/>
      </c>
      <c r="L1816" s="37" t="str">
        <f>IF(G1816="","",IF(D1816-G1816&gt;=System_Config!$B$9,"✅ OK","⚠️ BREACH"))</f>
        <v/>
      </c>
      <c r="M1816" s="37" t="str">
        <f>IFERROR(IF(Agent10_Withdrawals!A21="","",YEAR(Agent10_Withdrawals!D21)),"")</f>
        <v/>
      </c>
    </row>
    <row r="1817" spans="1:13" ht="18" customHeight="1" x14ac:dyDescent="0.25">
      <c r="A1817" s="37" t="str">
        <f>IF(Agent10_Withdrawals!A22="","",Agent10_Withdrawals!A22)</f>
        <v/>
      </c>
      <c r="B1817" s="37" t="str">
        <f ca="1">IF(Agent10_Withdrawals!A22="","","WD"&amp;TEXT(1817-3,"0000")&amp;"-"&amp;TEXT(TODAY(),"YYYYMMDD"))</f>
        <v/>
      </c>
      <c r="C1817" s="37" t="str">
        <f>IF(Agent10_Withdrawals!A22="","",Agent10_Withdrawals!B22)</f>
        <v/>
      </c>
      <c r="D1817" s="40" t="str">
        <f>IF(Agent10_Withdrawals!A22="","",Agent10_Withdrawals!C22)</f>
        <v/>
      </c>
      <c r="E1817" s="38" t="str">
        <f>IF(Agent10_Withdrawals!A22="","",Agent10_Withdrawals!D22)</f>
        <v/>
      </c>
      <c r="F1817" s="37" t="str">
        <f>IF(Agent10_Withdrawals!A22="","",Agent10_Withdrawals!F22)</f>
        <v/>
      </c>
      <c r="G1817" s="39" t="str">
        <f>IF(Agent10_Withdrawals!A22="","",Agent10_Withdrawals!E22)</f>
        <v/>
      </c>
      <c r="H1817" s="39" t="str">
        <f>IF(Agent10_Withdrawals!A22="","",Agent10_Withdrawals!G22)</f>
        <v/>
      </c>
      <c r="I1817" s="37" t="str">
        <f>IF(Agent10_Withdrawals!A22="","",Agent10_Withdrawals!H22)</f>
        <v/>
      </c>
      <c r="J1817" s="37" t="str">
        <f>IF(Agent10_Withdrawals!A22="","",Agent10_Withdrawals!J22)</f>
        <v/>
      </c>
      <c r="K1817" s="37" t="str">
        <f>IF(Agent10_Withdrawals!A22="","",Agent10_Withdrawals!K22)</f>
        <v/>
      </c>
      <c r="L1817" s="37" t="str">
        <f>IF(G1817="","",IF(D1817-G1817&gt;=System_Config!$B$9,"✅ OK","⚠️ BREACH"))</f>
        <v/>
      </c>
      <c r="M1817" s="37" t="str">
        <f>IFERROR(IF(Agent10_Withdrawals!A22="","",YEAR(Agent10_Withdrawals!D22)),"")</f>
        <v/>
      </c>
    </row>
    <row r="1818" spans="1:13" ht="18" customHeight="1" x14ac:dyDescent="0.25">
      <c r="A1818" s="37" t="str">
        <f>IF(Agent10_Withdrawals!A23="","",Agent10_Withdrawals!A23)</f>
        <v/>
      </c>
      <c r="B1818" s="37" t="str">
        <f ca="1">IF(Agent10_Withdrawals!A23="","","WD"&amp;TEXT(1818-3,"0000")&amp;"-"&amp;TEXT(TODAY(),"YYYYMMDD"))</f>
        <v/>
      </c>
      <c r="C1818" s="37" t="str">
        <f>IF(Agent10_Withdrawals!A23="","",Agent10_Withdrawals!B23)</f>
        <v/>
      </c>
      <c r="D1818" s="40" t="str">
        <f>IF(Agent10_Withdrawals!A23="","",Agent10_Withdrawals!C23)</f>
        <v/>
      </c>
      <c r="E1818" s="38" t="str">
        <f>IF(Agent10_Withdrawals!A23="","",Agent10_Withdrawals!D23)</f>
        <v/>
      </c>
      <c r="F1818" s="37" t="str">
        <f>IF(Agent10_Withdrawals!A23="","",Agent10_Withdrawals!F23)</f>
        <v/>
      </c>
      <c r="G1818" s="39" t="str">
        <f>IF(Agent10_Withdrawals!A23="","",Agent10_Withdrawals!E23)</f>
        <v/>
      </c>
      <c r="H1818" s="39" t="str">
        <f>IF(Agent10_Withdrawals!A23="","",Agent10_Withdrawals!G23)</f>
        <v/>
      </c>
      <c r="I1818" s="37" t="str">
        <f>IF(Agent10_Withdrawals!A23="","",Agent10_Withdrawals!H23)</f>
        <v/>
      </c>
      <c r="J1818" s="37" t="str">
        <f>IF(Agent10_Withdrawals!A23="","",Agent10_Withdrawals!J23)</f>
        <v/>
      </c>
      <c r="K1818" s="37" t="str">
        <f>IF(Agent10_Withdrawals!A23="","",Agent10_Withdrawals!K23)</f>
        <v/>
      </c>
      <c r="L1818" s="37" t="str">
        <f>IF(G1818="","",IF(D1818-G1818&gt;=System_Config!$B$9,"✅ OK","⚠️ BREACH"))</f>
        <v/>
      </c>
      <c r="M1818" s="37" t="str">
        <f>IFERROR(IF(Agent10_Withdrawals!A23="","",YEAR(Agent10_Withdrawals!D23)),"")</f>
        <v/>
      </c>
    </row>
    <row r="1819" spans="1:13" ht="18" customHeight="1" x14ac:dyDescent="0.25">
      <c r="A1819" s="37" t="str">
        <f>IF(Agent10_Withdrawals!A24="","",Agent10_Withdrawals!A24)</f>
        <v/>
      </c>
      <c r="B1819" s="37" t="str">
        <f ca="1">IF(Agent10_Withdrawals!A24="","","WD"&amp;TEXT(1819-3,"0000")&amp;"-"&amp;TEXT(TODAY(),"YYYYMMDD"))</f>
        <v/>
      </c>
      <c r="C1819" s="37" t="str">
        <f>IF(Agent10_Withdrawals!A24="","",Agent10_Withdrawals!B24)</f>
        <v/>
      </c>
      <c r="D1819" s="40" t="str">
        <f>IF(Agent10_Withdrawals!A24="","",Agent10_Withdrawals!C24)</f>
        <v/>
      </c>
      <c r="E1819" s="38" t="str">
        <f>IF(Agent10_Withdrawals!A24="","",Agent10_Withdrawals!D24)</f>
        <v/>
      </c>
      <c r="F1819" s="37" t="str">
        <f>IF(Agent10_Withdrawals!A24="","",Agent10_Withdrawals!F24)</f>
        <v/>
      </c>
      <c r="G1819" s="39" t="str">
        <f>IF(Agent10_Withdrawals!A24="","",Agent10_Withdrawals!E24)</f>
        <v/>
      </c>
      <c r="H1819" s="39" t="str">
        <f>IF(Agent10_Withdrawals!A24="","",Agent10_Withdrawals!G24)</f>
        <v/>
      </c>
      <c r="I1819" s="37" t="str">
        <f>IF(Agent10_Withdrawals!A24="","",Agent10_Withdrawals!H24)</f>
        <v/>
      </c>
      <c r="J1819" s="37" t="str">
        <f>IF(Agent10_Withdrawals!A24="","",Agent10_Withdrawals!J24)</f>
        <v/>
      </c>
      <c r="K1819" s="37" t="str">
        <f>IF(Agent10_Withdrawals!A24="","",Agent10_Withdrawals!K24)</f>
        <v/>
      </c>
      <c r="L1819" s="37" t="str">
        <f>IF(G1819="","",IF(D1819-G1819&gt;=System_Config!$B$9,"✅ OK","⚠️ BREACH"))</f>
        <v/>
      </c>
      <c r="M1819" s="37" t="str">
        <f>IFERROR(IF(Agent10_Withdrawals!A24="","",YEAR(Agent10_Withdrawals!D24)),"")</f>
        <v/>
      </c>
    </row>
    <row r="1820" spans="1:13" ht="18" customHeight="1" x14ac:dyDescent="0.25">
      <c r="A1820" s="37" t="str">
        <f>IF(Agent10_Withdrawals!A25="","",Agent10_Withdrawals!A25)</f>
        <v/>
      </c>
      <c r="B1820" s="37" t="str">
        <f ca="1">IF(Agent10_Withdrawals!A25="","","WD"&amp;TEXT(1820-3,"0000")&amp;"-"&amp;TEXT(TODAY(),"YYYYMMDD"))</f>
        <v/>
      </c>
      <c r="C1820" s="37" t="str">
        <f>IF(Agent10_Withdrawals!A25="","",Agent10_Withdrawals!B25)</f>
        <v/>
      </c>
      <c r="D1820" s="40" t="str">
        <f>IF(Agent10_Withdrawals!A25="","",Agent10_Withdrawals!C25)</f>
        <v/>
      </c>
      <c r="E1820" s="38" t="str">
        <f>IF(Agent10_Withdrawals!A25="","",Agent10_Withdrawals!D25)</f>
        <v/>
      </c>
      <c r="F1820" s="37" t="str">
        <f>IF(Agent10_Withdrawals!A25="","",Agent10_Withdrawals!F25)</f>
        <v/>
      </c>
      <c r="G1820" s="39" t="str">
        <f>IF(Agent10_Withdrawals!A25="","",Agent10_Withdrawals!E25)</f>
        <v/>
      </c>
      <c r="H1820" s="39" t="str">
        <f>IF(Agent10_Withdrawals!A25="","",Agent10_Withdrawals!G25)</f>
        <v/>
      </c>
      <c r="I1820" s="37" t="str">
        <f>IF(Agent10_Withdrawals!A25="","",Agent10_Withdrawals!H25)</f>
        <v/>
      </c>
      <c r="J1820" s="37" t="str">
        <f>IF(Agent10_Withdrawals!A25="","",Agent10_Withdrawals!J25)</f>
        <v/>
      </c>
      <c r="K1820" s="37" t="str">
        <f>IF(Agent10_Withdrawals!A25="","",Agent10_Withdrawals!K25)</f>
        <v/>
      </c>
      <c r="L1820" s="37" t="str">
        <f>IF(G1820="","",IF(D1820-G1820&gt;=System_Config!$B$9,"✅ OK","⚠️ BREACH"))</f>
        <v/>
      </c>
      <c r="M1820" s="37" t="str">
        <f>IFERROR(IF(Agent10_Withdrawals!A25="","",YEAR(Agent10_Withdrawals!D25)),"")</f>
        <v/>
      </c>
    </row>
    <row r="1821" spans="1:13" ht="18" customHeight="1" x14ac:dyDescent="0.25">
      <c r="A1821" s="37" t="str">
        <f>IF(Agent10_Withdrawals!A26="","",Agent10_Withdrawals!A26)</f>
        <v/>
      </c>
      <c r="B1821" s="37" t="str">
        <f ca="1">IF(Agent10_Withdrawals!A26="","","WD"&amp;TEXT(1821-3,"0000")&amp;"-"&amp;TEXT(TODAY(),"YYYYMMDD"))</f>
        <v/>
      </c>
      <c r="C1821" s="37" t="str">
        <f>IF(Agent10_Withdrawals!A26="","",Agent10_Withdrawals!B26)</f>
        <v/>
      </c>
      <c r="D1821" s="40" t="str">
        <f>IF(Agent10_Withdrawals!A26="","",Agent10_Withdrawals!C26)</f>
        <v/>
      </c>
      <c r="E1821" s="38" t="str">
        <f>IF(Agent10_Withdrawals!A26="","",Agent10_Withdrawals!D26)</f>
        <v/>
      </c>
      <c r="F1821" s="37" t="str">
        <f>IF(Agent10_Withdrawals!A26="","",Agent10_Withdrawals!F26)</f>
        <v/>
      </c>
      <c r="G1821" s="39" t="str">
        <f>IF(Agent10_Withdrawals!A26="","",Agent10_Withdrawals!E26)</f>
        <v/>
      </c>
      <c r="H1821" s="39" t="str">
        <f>IF(Agent10_Withdrawals!A26="","",Agent10_Withdrawals!G26)</f>
        <v/>
      </c>
      <c r="I1821" s="37" t="str">
        <f>IF(Agent10_Withdrawals!A26="","",Agent10_Withdrawals!H26)</f>
        <v/>
      </c>
      <c r="J1821" s="37" t="str">
        <f>IF(Agent10_Withdrawals!A26="","",Agent10_Withdrawals!J26)</f>
        <v/>
      </c>
      <c r="K1821" s="37" t="str">
        <f>IF(Agent10_Withdrawals!A26="","",Agent10_Withdrawals!K26)</f>
        <v/>
      </c>
      <c r="L1821" s="37" t="str">
        <f>IF(G1821="","",IF(D1821-G1821&gt;=System_Config!$B$9,"✅ OK","⚠️ BREACH"))</f>
        <v/>
      </c>
      <c r="M1821" s="37" t="str">
        <f>IFERROR(IF(Agent10_Withdrawals!A26="","",YEAR(Agent10_Withdrawals!D26)),"")</f>
        <v/>
      </c>
    </row>
    <row r="1822" spans="1:13" ht="18" customHeight="1" x14ac:dyDescent="0.25">
      <c r="A1822" s="37" t="str">
        <f>IF(Agent10_Withdrawals!A27="","",Agent10_Withdrawals!A27)</f>
        <v/>
      </c>
      <c r="B1822" s="37" t="str">
        <f ca="1">IF(Agent10_Withdrawals!A27="","","WD"&amp;TEXT(1822-3,"0000")&amp;"-"&amp;TEXT(TODAY(),"YYYYMMDD"))</f>
        <v/>
      </c>
      <c r="C1822" s="37" t="str">
        <f>IF(Agent10_Withdrawals!A27="","",Agent10_Withdrawals!B27)</f>
        <v/>
      </c>
      <c r="D1822" s="40" t="str">
        <f>IF(Agent10_Withdrawals!A27="","",Agent10_Withdrawals!C27)</f>
        <v/>
      </c>
      <c r="E1822" s="38" t="str">
        <f>IF(Agent10_Withdrawals!A27="","",Agent10_Withdrawals!D27)</f>
        <v/>
      </c>
      <c r="F1822" s="37" t="str">
        <f>IF(Agent10_Withdrawals!A27="","",Agent10_Withdrawals!F27)</f>
        <v/>
      </c>
      <c r="G1822" s="39" t="str">
        <f>IF(Agent10_Withdrawals!A27="","",Agent10_Withdrawals!E27)</f>
        <v/>
      </c>
      <c r="H1822" s="39" t="str">
        <f>IF(Agent10_Withdrawals!A27="","",Agent10_Withdrawals!G27)</f>
        <v/>
      </c>
      <c r="I1822" s="37" t="str">
        <f>IF(Agent10_Withdrawals!A27="","",Agent10_Withdrawals!H27)</f>
        <v/>
      </c>
      <c r="J1822" s="37" t="str">
        <f>IF(Agent10_Withdrawals!A27="","",Agent10_Withdrawals!J27)</f>
        <v/>
      </c>
      <c r="K1822" s="37" t="str">
        <f>IF(Agent10_Withdrawals!A27="","",Agent10_Withdrawals!K27)</f>
        <v/>
      </c>
      <c r="L1822" s="37" t="str">
        <f>IF(G1822="","",IF(D1822-G1822&gt;=System_Config!$B$9,"✅ OK","⚠️ BREACH"))</f>
        <v/>
      </c>
      <c r="M1822" s="37" t="str">
        <f>IFERROR(IF(Agent10_Withdrawals!A27="","",YEAR(Agent10_Withdrawals!D27)),"")</f>
        <v/>
      </c>
    </row>
    <row r="1823" spans="1:13" ht="18" customHeight="1" x14ac:dyDescent="0.25">
      <c r="A1823" s="37" t="str">
        <f>IF(Agent10_Withdrawals!A28="","",Agent10_Withdrawals!A28)</f>
        <v/>
      </c>
      <c r="B1823" s="37" t="str">
        <f ca="1">IF(Agent10_Withdrawals!A28="","","WD"&amp;TEXT(1823-3,"0000")&amp;"-"&amp;TEXT(TODAY(),"YYYYMMDD"))</f>
        <v/>
      </c>
      <c r="C1823" s="37" t="str">
        <f>IF(Agent10_Withdrawals!A28="","",Agent10_Withdrawals!B28)</f>
        <v/>
      </c>
      <c r="D1823" s="40" t="str">
        <f>IF(Agent10_Withdrawals!A28="","",Agent10_Withdrawals!C28)</f>
        <v/>
      </c>
      <c r="E1823" s="38" t="str">
        <f>IF(Agent10_Withdrawals!A28="","",Agent10_Withdrawals!D28)</f>
        <v/>
      </c>
      <c r="F1823" s="37" t="str">
        <f>IF(Agent10_Withdrawals!A28="","",Agent10_Withdrawals!F28)</f>
        <v/>
      </c>
      <c r="G1823" s="39" t="str">
        <f>IF(Agent10_Withdrawals!A28="","",Agent10_Withdrawals!E28)</f>
        <v/>
      </c>
      <c r="H1823" s="39" t="str">
        <f>IF(Agent10_Withdrawals!A28="","",Agent10_Withdrawals!G28)</f>
        <v/>
      </c>
      <c r="I1823" s="37" t="str">
        <f>IF(Agent10_Withdrawals!A28="","",Agent10_Withdrawals!H28)</f>
        <v/>
      </c>
      <c r="J1823" s="37" t="str">
        <f>IF(Agent10_Withdrawals!A28="","",Agent10_Withdrawals!J28)</f>
        <v/>
      </c>
      <c r="K1823" s="37" t="str">
        <f>IF(Agent10_Withdrawals!A28="","",Agent10_Withdrawals!K28)</f>
        <v/>
      </c>
      <c r="L1823" s="37" t="str">
        <f>IF(G1823="","",IF(D1823-G1823&gt;=System_Config!$B$9,"✅ OK","⚠️ BREACH"))</f>
        <v/>
      </c>
      <c r="M1823" s="37" t="str">
        <f>IFERROR(IF(Agent10_Withdrawals!A28="","",YEAR(Agent10_Withdrawals!D28)),"")</f>
        <v/>
      </c>
    </row>
    <row r="1824" spans="1:13" ht="18" customHeight="1" x14ac:dyDescent="0.25">
      <c r="A1824" s="37" t="str">
        <f>IF(Agent10_Withdrawals!A29="","",Agent10_Withdrawals!A29)</f>
        <v/>
      </c>
      <c r="B1824" s="37" t="str">
        <f ca="1">IF(Agent10_Withdrawals!A29="","","WD"&amp;TEXT(1824-3,"0000")&amp;"-"&amp;TEXT(TODAY(),"YYYYMMDD"))</f>
        <v/>
      </c>
      <c r="C1824" s="37" t="str">
        <f>IF(Agent10_Withdrawals!A29="","",Agent10_Withdrawals!B29)</f>
        <v/>
      </c>
      <c r="D1824" s="40" t="str">
        <f>IF(Agent10_Withdrawals!A29="","",Agent10_Withdrawals!C29)</f>
        <v/>
      </c>
      <c r="E1824" s="38" t="str">
        <f>IF(Agent10_Withdrawals!A29="","",Agent10_Withdrawals!D29)</f>
        <v/>
      </c>
      <c r="F1824" s="37" t="str">
        <f>IF(Agent10_Withdrawals!A29="","",Agent10_Withdrawals!F29)</f>
        <v/>
      </c>
      <c r="G1824" s="39" t="str">
        <f>IF(Agent10_Withdrawals!A29="","",Agent10_Withdrawals!E29)</f>
        <v/>
      </c>
      <c r="H1824" s="39" t="str">
        <f>IF(Agent10_Withdrawals!A29="","",Agent10_Withdrawals!G29)</f>
        <v/>
      </c>
      <c r="I1824" s="37" t="str">
        <f>IF(Agent10_Withdrawals!A29="","",Agent10_Withdrawals!H29)</f>
        <v/>
      </c>
      <c r="J1824" s="37" t="str">
        <f>IF(Agent10_Withdrawals!A29="","",Agent10_Withdrawals!J29)</f>
        <v/>
      </c>
      <c r="K1824" s="37" t="str">
        <f>IF(Agent10_Withdrawals!A29="","",Agent10_Withdrawals!K29)</f>
        <v/>
      </c>
      <c r="L1824" s="37" t="str">
        <f>IF(G1824="","",IF(D1824-G1824&gt;=System_Config!$B$9,"✅ OK","⚠️ BREACH"))</f>
        <v/>
      </c>
      <c r="M1824" s="37" t="str">
        <f>IFERROR(IF(Agent10_Withdrawals!A29="","",YEAR(Agent10_Withdrawals!D29)),"")</f>
        <v/>
      </c>
    </row>
    <row r="1825" spans="1:13" ht="18" customHeight="1" x14ac:dyDescent="0.25">
      <c r="A1825" s="37" t="str">
        <f>IF(Agent10_Withdrawals!A30="","",Agent10_Withdrawals!A30)</f>
        <v/>
      </c>
      <c r="B1825" s="37" t="str">
        <f ca="1">IF(Agent10_Withdrawals!A30="","","WD"&amp;TEXT(1825-3,"0000")&amp;"-"&amp;TEXT(TODAY(),"YYYYMMDD"))</f>
        <v/>
      </c>
      <c r="C1825" s="37" t="str">
        <f>IF(Agent10_Withdrawals!A30="","",Agent10_Withdrawals!B30)</f>
        <v/>
      </c>
      <c r="D1825" s="40" t="str">
        <f>IF(Agent10_Withdrawals!A30="","",Agent10_Withdrawals!C30)</f>
        <v/>
      </c>
      <c r="E1825" s="38" t="str">
        <f>IF(Agent10_Withdrawals!A30="","",Agent10_Withdrawals!D30)</f>
        <v/>
      </c>
      <c r="F1825" s="37" t="str">
        <f>IF(Agent10_Withdrawals!A30="","",Agent10_Withdrawals!F30)</f>
        <v/>
      </c>
      <c r="G1825" s="39" t="str">
        <f>IF(Agent10_Withdrawals!A30="","",Agent10_Withdrawals!E30)</f>
        <v/>
      </c>
      <c r="H1825" s="39" t="str">
        <f>IF(Agent10_Withdrawals!A30="","",Agent10_Withdrawals!G30)</f>
        <v/>
      </c>
      <c r="I1825" s="37" t="str">
        <f>IF(Agent10_Withdrawals!A30="","",Agent10_Withdrawals!H30)</f>
        <v/>
      </c>
      <c r="J1825" s="37" t="str">
        <f>IF(Agent10_Withdrawals!A30="","",Agent10_Withdrawals!J30)</f>
        <v/>
      </c>
      <c r="K1825" s="37" t="str">
        <f>IF(Agent10_Withdrawals!A30="","",Agent10_Withdrawals!K30)</f>
        <v/>
      </c>
      <c r="L1825" s="37" t="str">
        <f>IF(G1825="","",IF(D1825-G1825&gt;=System_Config!$B$9,"✅ OK","⚠️ BREACH"))</f>
        <v/>
      </c>
      <c r="M1825" s="37" t="str">
        <f>IFERROR(IF(Agent10_Withdrawals!A30="","",YEAR(Agent10_Withdrawals!D30)),"")</f>
        <v/>
      </c>
    </row>
    <row r="1826" spans="1:13" ht="18" customHeight="1" x14ac:dyDescent="0.25">
      <c r="A1826" s="37" t="str">
        <f>IF(Agent10_Withdrawals!A31="","",Agent10_Withdrawals!A31)</f>
        <v/>
      </c>
      <c r="B1826" s="37" t="str">
        <f ca="1">IF(Agent10_Withdrawals!A31="","","WD"&amp;TEXT(1826-3,"0000")&amp;"-"&amp;TEXT(TODAY(),"YYYYMMDD"))</f>
        <v/>
      </c>
      <c r="C1826" s="37" t="str">
        <f>IF(Agent10_Withdrawals!A31="","",Agent10_Withdrawals!B31)</f>
        <v/>
      </c>
      <c r="D1826" s="40" t="str">
        <f>IF(Agent10_Withdrawals!A31="","",Agent10_Withdrawals!C31)</f>
        <v/>
      </c>
      <c r="E1826" s="38" t="str">
        <f>IF(Agent10_Withdrawals!A31="","",Agent10_Withdrawals!D31)</f>
        <v/>
      </c>
      <c r="F1826" s="37" t="str">
        <f>IF(Agent10_Withdrawals!A31="","",Agent10_Withdrawals!F31)</f>
        <v/>
      </c>
      <c r="G1826" s="39" t="str">
        <f>IF(Agent10_Withdrawals!A31="","",Agent10_Withdrawals!E31)</f>
        <v/>
      </c>
      <c r="H1826" s="39" t="str">
        <f>IF(Agent10_Withdrawals!A31="","",Agent10_Withdrawals!G31)</f>
        <v/>
      </c>
      <c r="I1826" s="37" t="str">
        <f>IF(Agent10_Withdrawals!A31="","",Agent10_Withdrawals!H31)</f>
        <v/>
      </c>
      <c r="J1826" s="37" t="str">
        <f>IF(Agent10_Withdrawals!A31="","",Agent10_Withdrawals!J31)</f>
        <v/>
      </c>
      <c r="K1826" s="37" t="str">
        <f>IF(Agent10_Withdrawals!A31="","",Agent10_Withdrawals!K31)</f>
        <v/>
      </c>
      <c r="L1826" s="37" t="str">
        <f>IF(G1826="","",IF(D1826-G1826&gt;=System_Config!$B$9,"✅ OK","⚠️ BREACH"))</f>
        <v/>
      </c>
      <c r="M1826" s="37" t="str">
        <f>IFERROR(IF(Agent10_Withdrawals!A31="","",YEAR(Agent10_Withdrawals!D31)),"")</f>
        <v/>
      </c>
    </row>
    <row r="1827" spans="1:13" ht="18" customHeight="1" x14ac:dyDescent="0.25">
      <c r="A1827" s="37" t="str">
        <f>IF(Agent10_Withdrawals!A32="","",Agent10_Withdrawals!A32)</f>
        <v/>
      </c>
      <c r="B1827" s="37" t="str">
        <f ca="1">IF(Agent10_Withdrawals!A32="","","WD"&amp;TEXT(1827-3,"0000")&amp;"-"&amp;TEXT(TODAY(),"YYYYMMDD"))</f>
        <v/>
      </c>
      <c r="C1827" s="37" t="str">
        <f>IF(Agent10_Withdrawals!A32="","",Agent10_Withdrawals!B32)</f>
        <v/>
      </c>
      <c r="D1827" s="40" t="str">
        <f>IF(Agent10_Withdrawals!A32="","",Agent10_Withdrawals!C32)</f>
        <v/>
      </c>
      <c r="E1827" s="38" t="str">
        <f>IF(Agent10_Withdrawals!A32="","",Agent10_Withdrawals!D32)</f>
        <v/>
      </c>
      <c r="F1827" s="37" t="str">
        <f>IF(Agent10_Withdrawals!A32="","",Agent10_Withdrawals!F32)</f>
        <v/>
      </c>
      <c r="G1827" s="39" t="str">
        <f>IF(Agent10_Withdrawals!A32="","",Agent10_Withdrawals!E32)</f>
        <v/>
      </c>
      <c r="H1827" s="39" t="str">
        <f>IF(Agent10_Withdrawals!A32="","",Agent10_Withdrawals!G32)</f>
        <v/>
      </c>
      <c r="I1827" s="37" t="str">
        <f>IF(Agent10_Withdrawals!A32="","",Agent10_Withdrawals!H32)</f>
        <v/>
      </c>
      <c r="J1827" s="37" t="str">
        <f>IF(Agent10_Withdrawals!A32="","",Agent10_Withdrawals!J32)</f>
        <v/>
      </c>
      <c r="K1827" s="37" t="str">
        <f>IF(Agent10_Withdrawals!A32="","",Agent10_Withdrawals!K32)</f>
        <v/>
      </c>
      <c r="L1827" s="37" t="str">
        <f>IF(G1827="","",IF(D1827-G1827&gt;=System_Config!$B$9,"✅ OK","⚠️ BREACH"))</f>
        <v/>
      </c>
      <c r="M1827" s="37" t="str">
        <f>IFERROR(IF(Agent10_Withdrawals!A32="","",YEAR(Agent10_Withdrawals!D32)),"")</f>
        <v/>
      </c>
    </row>
    <row r="1828" spans="1:13" ht="18" customHeight="1" x14ac:dyDescent="0.25">
      <c r="A1828" s="37" t="str">
        <f>IF(Agent10_Withdrawals!A33="","",Agent10_Withdrawals!A33)</f>
        <v/>
      </c>
      <c r="B1828" s="37" t="str">
        <f ca="1">IF(Agent10_Withdrawals!A33="","","WD"&amp;TEXT(1828-3,"0000")&amp;"-"&amp;TEXT(TODAY(),"YYYYMMDD"))</f>
        <v/>
      </c>
      <c r="C1828" s="37" t="str">
        <f>IF(Agent10_Withdrawals!A33="","",Agent10_Withdrawals!B33)</f>
        <v/>
      </c>
      <c r="D1828" s="40" t="str">
        <f>IF(Agent10_Withdrawals!A33="","",Agent10_Withdrawals!C33)</f>
        <v/>
      </c>
      <c r="E1828" s="38" t="str">
        <f>IF(Agent10_Withdrawals!A33="","",Agent10_Withdrawals!D33)</f>
        <v/>
      </c>
      <c r="F1828" s="37" t="str">
        <f>IF(Agent10_Withdrawals!A33="","",Agent10_Withdrawals!F33)</f>
        <v/>
      </c>
      <c r="G1828" s="39" t="str">
        <f>IF(Agent10_Withdrawals!A33="","",Agent10_Withdrawals!E33)</f>
        <v/>
      </c>
      <c r="H1828" s="39" t="str">
        <f>IF(Agent10_Withdrawals!A33="","",Agent10_Withdrawals!G33)</f>
        <v/>
      </c>
      <c r="I1828" s="37" t="str">
        <f>IF(Agent10_Withdrawals!A33="","",Agent10_Withdrawals!H33)</f>
        <v/>
      </c>
      <c r="J1828" s="37" t="str">
        <f>IF(Agent10_Withdrawals!A33="","",Agent10_Withdrawals!J33)</f>
        <v/>
      </c>
      <c r="K1828" s="37" t="str">
        <f>IF(Agent10_Withdrawals!A33="","",Agent10_Withdrawals!K33)</f>
        <v/>
      </c>
      <c r="L1828" s="37" t="str">
        <f>IF(G1828="","",IF(D1828-G1828&gt;=System_Config!$B$9,"✅ OK","⚠️ BREACH"))</f>
        <v/>
      </c>
      <c r="M1828" s="37" t="str">
        <f>IFERROR(IF(Agent10_Withdrawals!A33="","",YEAR(Agent10_Withdrawals!D33)),"")</f>
        <v/>
      </c>
    </row>
    <row r="1829" spans="1:13" ht="18" customHeight="1" x14ac:dyDescent="0.25">
      <c r="A1829" s="37" t="str">
        <f>IF(Agent10_Withdrawals!A34="","",Agent10_Withdrawals!A34)</f>
        <v/>
      </c>
      <c r="B1829" s="37" t="str">
        <f ca="1">IF(Agent10_Withdrawals!A34="","","WD"&amp;TEXT(1829-3,"0000")&amp;"-"&amp;TEXT(TODAY(),"YYYYMMDD"))</f>
        <v/>
      </c>
      <c r="C1829" s="37" t="str">
        <f>IF(Agent10_Withdrawals!A34="","",Agent10_Withdrawals!B34)</f>
        <v/>
      </c>
      <c r="D1829" s="40" t="str">
        <f>IF(Agent10_Withdrawals!A34="","",Agent10_Withdrawals!C34)</f>
        <v/>
      </c>
      <c r="E1829" s="38" t="str">
        <f>IF(Agent10_Withdrawals!A34="","",Agent10_Withdrawals!D34)</f>
        <v/>
      </c>
      <c r="F1829" s="37" t="str">
        <f>IF(Agent10_Withdrawals!A34="","",Agent10_Withdrawals!F34)</f>
        <v/>
      </c>
      <c r="G1829" s="39" t="str">
        <f>IF(Agent10_Withdrawals!A34="","",Agent10_Withdrawals!E34)</f>
        <v/>
      </c>
      <c r="H1829" s="39" t="str">
        <f>IF(Agent10_Withdrawals!A34="","",Agent10_Withdrawals!G34)</f>
        <v/>
      </c>
      <c r="I1829" s="37" t="str">
        <f>IF(Agent10_Withdrawals!A34="","",Agent10_Withdrawals!H34)</f>
        <v/>
      </c>
      <c r="J1829" s="37" t="str">
        <f>IF(Agent10_Withdrawals!A34="","",Agent10_Withdrawals!J34)</f>
        <v/>
      </c>
      <c r="K1829" s="37" t="str">
        <f>IF(Agent10_Withdrawals!A34="","",Agent10_Withdrawals!K34)</f>
        <v/>
      </c>
      <c r="L1829" s="37" t="str">
        <f>IF(G1829="","",IF(D1829-G1829&gt;=System_Config!$B$9,"✅ OK","⚠️ BREACH"))</f>
        <v/>
      </c>
      <c r="M1829" s="37" t="str">
        <f>IFERROR(IF(Agent10_Withdrawals!A34="","",YEAR(Agent10_Withdrawals!D34)),"")</f>
        <v/>
      </c>
    </row>
    <row r="1830" spans="1:13" ht="18" customHeight="1" x14ac:dyDescent="0.25">
      <c r="A1830" s="37" t="str">
        <f>IF(Agent10_Withdrawals!A35="","",Agent10_Withdrawals!A35)</f>
        <v/>
      </c>
      <c r="B1830" s="37" t="str">
        <f ca="1">IF(Agent10_Withdrawals!A35="","","WD"&amp;TEXT(1830-3,"0000")&amp;"-"&amp;TEXT(TODAY(),"YYYYMMDD"))</f>
        <v/>
      </c>
      <c r="C1830" s="37" t="str">
        <f>IF(Agent10_Withdrawals!A35="","",Agent10_Withdrawals!B35)</f>
        <v/>
      </c>
      <c r="D1830" s="40" t="str">
        <f>IF(Agent10_Withdrawals!A35="","",Agent10_Withdrawals!C35)</f>
        <v/>
      </c>
      <c r="E1830" s="38" t="str">
        <f>IF(Agent10_Withdrawals!A35="","",Agent10_Withdrawals!D35)</f>
        <v/>
      </c>
      <c r="F1830" s="37" t="str">
        <f>IF(Agent10_Withdrawals!A35="","",Agent10_Withdrawals!F35)</f>
        <v/>
      </c>
      <c r="G1830" s="39" t="str">
        <f>IF(Agent10_Withdrawals!A35="","",Agent10_Withdrawals!E35)</f>
        <v/>
      </c>
      <c r="H1830" s="39" t="str">
        <f>IF(Agent10_Withdrawals!A35="","",Agent10_Withdrawals!G35)</f>
        <v/>
      </c>
      <c r="I1830" s="37" t="str">
        <f>IF(Agent10_Withdrawals!A35="","",Agent10_Withdrawals!H35)</f>
        <v/>
      </c>
      <c r="J1830" s="37" t="str">
        <f>IF(Agent10_Withdrawals!A35="","",Agent10_Withdrawals!J35)</f>
        <v/>
      </c>
      <c r="K1830" s="37" t="str">
        <f>IF(Agent10_Withdrawals!A35="","",Agent10_Withdrawals!K35)</f>
        <v/>
      </c>
      <c r="L1830" s="37" t="str">
        <f>IF(G1830="","",IF(D1830-G1830&gt;=System_Config!$B$9,"✅ OK","⚠️ BREACH"))</f>
        <v/>
      </c>
      <c r="M1830" s="37" t="str">
        <f>IFERROR(IF(Agent10_Withdrawals!A35="","",YEAR(Agent10_Withdrawals!D35)),"")</f>
        <v/>
      </c>
    </row>
    <row r="1831" spans="1:13" ht="18" customHeight="1" x14ac:dyDescent="0.25">
      <c r="A1831" s="37" t="str">
        <f>IF(Agent10_Withdrawals!A36="","",Agent10_Withdrawals!A36)</f>
        <v/>
      </c>
      <c r="B1831" s="37" t="str">
        <f ca="1">IF(Agent10_Withdrawals!A36="","","WD"&amp;TEXT(1831-3,"0000")&amp;"-"&amp;TEXT(TODAY(),"YYYYMMDD"))</f>
        <v/>
      </c>
      <c r="C1831" s="37" t="str">
        <f>IF(Agent10_Withdrawals!A36="","",Agent10_Withdrawals!B36)</f>
        <v/>
      </c>
      <c r="D1831" s="40" t="str">
        <f>IF(Agent10_Withdrawals!A36="","",Agent10_Withdrawals!C36)</f>
        <v/>
      </c>
      <c r="E1831" s="38" t="str">
        <f>IF(Agent10_Withdrawals!A36="","",Agent10_Withdrawals!D36)</f>
        <v/>
      </c>
      <c r="F1831" s="37" t="str">
        <f>IF(Agent10_Withdrawals!A36="","",Agent10_Withdrawals!F36)</f>
        <v/>
      </c>
      <c r="G1831" s="39" t="str">
        <f>IF(Agent10_Withdrawals!A36="","",Agent10_Withdrawals!E36)</f>
        <v/>
      </c>
      <c r="H1831" s="39" t="str">
        <f>IF(Agent10_Withdrawals!A36="","",Agent10_Withdrawals!G36)</f>
        <v/>
      </c>
      <c r="I1831" s="37" t="str">
        <f>IF(Agent10_Withdrawals!A36="","",Agent10_Withdrawals!H36)</f>
        <v/>
      </c>
      <c r="J1831" s="37" t="str">
        <f>IF(Agent10_Withdrawals!A36="","",Agent10_Withdrawals!J36)</f>
        <v/>
      </c>
      <c r="K1831" s="37" t="str">
        <f>IF(Agent10_Withdrawals!A36="","",Agent10_Withdrawals!K36)</f>
        <v/>
      </c>
      <c r="L1831" s="37" t="str">
        <f>IF(G1831="","",IF(D1831-G1831&gt;=System_Config!$B$9,"✅ OK","⚠️ BREACH"))</f>
        <v/>
      </c>
      <c r="M1831" s="37" t="str">
        <f>IFERROR(IF(Agent10_Withdrawals!A36="","",YEAR(Agent10_Withdrawals!D36)),"")</f>
        <v/>
      </c>
    </row>
    <row r="1832" spans="1:13" ht="18" customHeight="1" x14ac:dyDescent="0.25">
      <c r="A1832" s="37" t="str">
        <f>IF(Agent10_Withdrawals!A37="","",Agent10_Withdrawals!A37)</f>
        <v/>
      </c>
      <c r="B1832" s="37" t="str">
        <f ca="1">IF(Agent10_Withdrawals!A37="","","WD"&amp;TEXT(1832-3,"0000")&amp;"-"&amp;TEXT(TODAY(),"YYYYMMDD"))</f>
        <v/>
      </c>
      <c r="C1832" s="37" t="str">
        <f>IF(Agent10_Withdrawals!A37="","",Agent10_Withdrawals!B37)</f>
        <v/>
      </c>
      <c r="D1832" s="40" t="str">
        <f>IF(Agent10_Withdrawals!A37="","",Agent10_Withdrawals!C37)</f>
        <v/>
      </c>
      <c r="E1832" s="38" t="str">
        <f>IF(Agent10_Withdrawals!A37="","",Agent10_Withdrawals!D37)</f>
        <v/>
      </c>
      <c r="F1832" s="37" t="str">
        <f>IF(Agent10_Withdrawals!A37="","",Agent10_Withdrawals!F37)</f>
        <v/>
      </c>
      <c r="G1832" s="39" t="str">
        <f>IF(Agent10_Withdrawals!A37="","",Agent10_Withdrawals!E37)</f>
        <v/>
      </c>
      <c r="H1832" s="39" t="str">
        <f>IF(Agent10_Withdrawals!A37="","",Agent10_Withdrawals!G37)</f>
        <v/>
      </c>
      <c r="I1832" s="37" t="str">
        <f>IF(Agent10_Withdrawals!A37="","",Agent10_Withdrawals!H37)</f>
        <v/>
      </c>
      <c r="J1832" s="37" t="str">
        <f>IF(Agent10_Withdrawals!A37="","",Agent10_Withdrawals!J37)</f>
        <v/>
      </c>
      <c r="K1832" s="37" t="str">
        <f>IF(Agent10_Withdrawals!A37="","",Agent10_Withdrawals!K37)</f>
        <v/>
      </c>
      <c r="L1832" s="37" t="str">
        <f>IF(G1832="","",IF(D1832-G1832&gt;=System_Config!$B$9,"✅ OK","⚠️ BREACH"))</f>
        <v/>
      </c>
      <c r="M1832" s="37" t="str">
        <f>IFERROR(IF(Agent10_Withdrawals!A37="","",YEAR(Agent10_Withdrawals!D37)),"")</f>
        <v/>
      </c>
    </row>
    <row r="1833" spans="1:13" ht="18" customHeight="1" x14ac:dyDescent="0.25">
      <c r="A1833" s="37" t="str">
        <f>IF(Agent10_Withdrawals!A38="","",Agent10_Withdrawals!A38)</f>
        <v/>
      </c>
      <c r="B1833" s="37" t="str">
        <f ca="1">IF(Agent10_Withdrawals!A38="","","WD"&amp;TEXT(1833-3,"0000")&amp;"-"&amp;TEXT(TODAY(),"YYYYMMDD"))</f>
        <v/>
      </c>
      <c r="C1833" s="37" t="str">
        <f>IF(Agent10_Withdrawals!A38="","",Agent10_Withdrawals!B38)</f>
        <v/>
      </c>
      <c r="D1833" s="40" t="str">
        <f>IF(Agent10_Withdrawals!A38="","",Agent10_Withdrawals!C38)</f>
        <v/>
      </c>
      <c r="E1833" s="38" t="str">
        <f>IF(Agent10_Withdrawals!A38="","",Agent10_Withdrawals!D38)</f>
        <v/>
      </c>
      <c r="F1833" s="37" t="str">
        <f>IF(Agent10_Withdrawals!A38="","",Agent10_Withdrawals!F38)</f>
        <v/>
      </c>
      <c r="G1833" s="39" t="str">
        <f>IF(Agent10_Withdrawals!A38="","",Agent10_Withdrawals!E38)</f>
        <v/>
      </c>
      <c r="H1833" s="39" t="str">
        <f>IF(Agent10_Withdrawals!A38="","",Agent10_Withdrawals!G38)</f>
        <v/>
      </c>
      <c r="I1833" s="37" t="str">
        <f>IF(Agent10_Withdrawals!A38="","",Agent10_Withdrawals!H38)</f>
        <v/>
      </c>
      <c r="J1833" s="37" t="str">
        <f>IF(Agent10_Withdrawals!A38="","",Agent10_Withdrawals!J38)</f>
        <v/>
      </c>
      <c r="K1833" s="37" t="str">
        <f>IF(Agent10_Withdrawals!A38="","",Agent10_Withdrawals!K38)</f>
        <v/>
      </c>
      <c r="L1833" s="37" t="str">
        <f>IF(G1833="","",IF(D1833-G1833&gt;=System_Config!$B$9,"✅ OK","⚠️ BREACH"))</f>
        <v/>
      </c>
      <c r="M1833" s="37" t="str">
        <f>IFERROR(IF(Agent10_Withdrawals!A38="","",YEAR(Agent10_Withdrawals!D38)),"")</f>
        <v/>
      </c>
    </row>
    <row r="1834" spans="1:13" ht="18" customHeight="1" x14ac:dyDescent="0.25">
      <c r="A1834" s="37" t="str">
        <f>IF(Agent10_Withdrawals!A39="","",Agent10_Withdrawals!A39)</f>
        <v/>
      </c>
      <c r="B1834" s="37" t="str">
        <f ca="1">IF(Agent10_Withdrawals!A39="","","WD"&amp;TEXT(1834-3,"0000")&amp;"-"&amp;TEXT(TODAY(),"YYYYMMDD"))</f>
        <v/>
      </c>
      <c r="C1834" s="37" t="str">
        <f>IF(Agent10_Withdrawals!A39="","",Agent10_Withdrawals!B39)</f>
        <v/>
      </c>
      <c r="D1834" s="40" t="str">
        <f>IF(Agent10_Withdrawals!A39="","",Agent10_Withdrawals!C39)</f>
        <v/>
      </c>
      <c r="E1834" s="38" t="str">
        <f>IF(Agent10_Withdrawals!A39="","",Agent10_Withdrawals!D39)</f>
        <v/>
      </c>
      <c r="F1834" s="37" t="str">
        <f>IF(Agent10_Withdrawals!A39="","",Agent10_Withdrawals!F39)</f>
        <v/>
      </c>
      <c r="G1834" s="39" t="str">
        <f>IF(Agent10_Withdrawals!A39="","",Agent10_Withdrawals!E39)</f>
        <v/>
      </c>
      <c r="H1834" s="39" t="str">
        <f>IF(Agent10_Withdrawals!A39="","",Agent10_Withdrawals!G39)</f>
        <v/>
      </c>
      <c r="I1834" s="37" t="str">
        <f>IF(Agent10_Withdrawals!A39="","",Agent10_Withdrawals!H39)</f>
        <v/>
      </c>
      <c r="J1834" s="37" t="str">
        <f>IF(Agent10_Withdrawals!A39="","",Agent10_Withdrawals!J39)</f>
        <v/>
      </c>
      <c r="K1834" s="37" t="str">
        <f>IF(Agent10_Withdrawals!A39="","",Agent10_Withdrawals!K39)</f>
        <v/>
      </c>
      <c r="L1834" s="37" t="str">
        <f>IF(G1834="","",IF(D1834-G1834&gt;=System_Config!$B$9,"✅ OK","⚠️ BREACH"))</f>
        <v/>
      </c>
      <c r="M1834" s="37" t="str">
        <f>IFERROR(IF(Agent10_Withdrawals!A39="","",YEAR(Agent10_Withdrawals!D39)),"")</f>
        <v/>
      </c>
    </row>
    <row r="1835" spans="1:13" ht="18" customHeight="1" x14ac:dyDescent="0.25">
      <c r="A1835" s="37" t="str">
        <f>IF(Agent10_Withdrawals!A40="","",Agent10_Withdrawals!A40)</f>
        <v/>
      </c>
      <c r="B1835" s="37" t="str">
        <f ca="1">IF(Agent10_Withdrawals!A40="","","WD"&amp;TEXT(1835-3,"0000")&amp;"-"&amp;TEXT(TODAY(),"YYYYMMDD"))</f>
        <v/>
      </c>
      <c r="C1835" s="37" t="str">
        <f>IF(Agent10_Withdrawals!A40="","",Agent10_Withdrawals!B40)</f>
        <v/>
      </c>
      <c r="D1835" s="40" t="str">
        <f>IF(Agent10_Withdrawals!A40="","",Agent10_Withdrawals!C40)</f>
        <v/>
      </c>
      <c r="E1835" s="38" t="str">
        <f>IF(Agent10_Withdrawals!A40="","",Agent10_Withdrawals!D40)</f>
        <v/>
      </c>
      <c r="F1835" s="37" t="str">
        <f>IF(Agent10_Withdrawals!A40="","",Agent10_Withdrawals!F40)</f>
        <v/>
      </c>
      <c r="G1835" s="39" t="str">
        <f>IF(Agent10_Withdrawals!A40="","",Agent10_Withdrawals!E40)</f>
        <v/>
      </c>
      <c r="H1835" s="39" t="str">
        <f>IF(Agent10_Withdrawals!A40="","",Agent10_Withdrawals!G40)</f>
        <v/>
      </c>
      <c r="I1835" s="37" t="str">
        <f>IF(Agent10_Withdrawals!A40="","",Agent10_Withdrawals!H40)</f>
        <v/>
      </c>
      <c r="J1835" s="37" t="str">
        <f>IF(Agent10_Withdrawals!A40="","",Agent10_Withdrawals!J40)</f>
        <v/>
      </c>
      <c r="K1835" s="37" t="str">
        <f>IF(Agent10_Withdrawals!A40="","",Agent10_Withdrawals!K40)</f>
        <v/>
      </c>
      <c r="L1835" s="37" t="str">
        <f>IF(G1835="","",IF(D1835-G1835&gt;=System_Config!$B$9,"✅ OK","⚠️ BREACH"))</f>
        <v/>
      </c>
      <c r="M1835" s="37" t="str">
        <f>IFERROR(IF(Agent10_Withdrawals!A40="","",YEAR(Agent10_Withdrawals!D40)),"")</f>
        <v/>
      </c>
    </row>
    <row r="1836" spans="1:13" ht="18" customHeight="1" x14ac:dyDescent="0.25">
      <c r="A1836" s="37" t="str">
        <f>IF(Agent10_Withdrawals!A41="","",Agent10_Withdrawals!A41)</f>
        <v/>
      </c>
      <c r="B1836" s="37" t="str">
        <f ca="1">IF(Agent10_Withdrawals!A41="","","WD"&amp;TEXT(1836-3,"0000")&amp;"-"&amp;TEXT(TODAY(),"YYYYMMDD"))</f>
        <v/>
      </c>
      <c r="C1836" s="37" t="str">
        <f>IF(Agent10_Withdrawals!A41="","",Agent10_Withdrawals!B41)</f>
        <v/>
      </c>
      <c r="D1836" s="40" t="str">
        <f>IF(Agent10_Withdrawals!A41="","",Agent10_Withdrawals!C41)</f>
        <v/>
      </c>
      <c r="E1836" s="38" t="str">
        <f>IF(Agent10_Withdrawals!A41="","",Agent10_Withdrawals!D41)</f>
        <v/>
      </c>
      <c r="F1836" s="37" t="str">
        <f>IF(Agent10_Withdrawals!A41="","",Agent10_Withdrawals!F41)</f>
        <v/>
      </c>
      <c r="G1836" s="39" t="str">
        <f>IF(Agent10_Withdrawals!A41="","",Agent10_Withdrawals!E41)</f>
        <v/>
      </c>
      <c r="H1836" s="39" t="str">
        <f>IF(Agent10_Withdrawals!A41="","",Agent10_Withdrawals!G41)</f>
        <v/>
      </c>
      <c r="I1836" s="37" t="str">
        <f>IF(Agent10_Withdrawals!A41="","",Agent10_Withdrawals!H41)</f>
        <v/>
      </c>
      <c r="J1836" s="37" t="str">
        <f>IF(Agent10_Withdrawals!A41="","",Agent10_Withdrawals!J41)</f>
        <v/>
      </c>
      <c r="K1836" s="37" t="str">
        <f>IF(Agent10_Withdrawals!A41="","",Agent10_Withdrawals!K41)</f>
        <v/>
      </c>
      <c r="L1836" s="37" t="str">
        <f>IF(G1836="","",IF(D1836-G1836&gt;=System_Config!$B$9,"✅ OK","⚠️ BREACH"))</f>
        <v/>
      </c>
      <c r="M1836" s="37" t="str">
        <f>IFERROR(IF(Agent10_Withdrawals!A41="","",YEAR(Agent10_Withdrawals!D41)),"")</f>
        <v/>
      </c>
    </row>
    <row r="1837" spans="1:13" ht="18" customHeight="1" x14ac:dyDescent="0.25">
      <c r="A1837" s="37" t="str">
        <f>IF(Agent10_Withdrawals!A42="","",Agent10_Withdrawals!A42)</f>
        <v/>
      </c>
      <c r="B1837" s="37" t="str">
        <f ca="1">IF(Agent10_Withdrawals!A42="","","WD"&amp;TEXT(1837-3,"0000")&amp;"-"&amp;TEXT(TODAY(),"YYYYMMDD"))</f>
        <v/>
      </c>
      <c r="C1837" s="37" t="str">
        <f>IF(Agent10_Withdrawals!A42="","",Agent10_Withdrawals!B42)</f>
        <v/>
      </c>
      <c r="D1837" s="40" t="str">
        <f>IF(Agent10_Withdrawals!A42="","",Agent10_Withdrawals!C42)</f>
        <v/>
      </c>
      <c r="E1837" s="38" t="str">
        <f>IF(Agent10_Withdrawals!A42="","",Agent10_Withdrawals!D42)</f>
        <v/>
      </c>
      <c r="F1837" s="37" t="str">
        <f>IF(Agent10_Withdrawals!A42="","",Agent10_Withdrawals!F42)</f>
        <v/>
      </c>
      <c r="G1837" s="39" t="str">
        <f>IF(Agent10_Withdrawals!A42="","",Agent10_Withdrawals!E42)</f>
        <v/>
      </c>
      <c r="H1837" s="39" t="str">
        <f>IF(Agent10_Withdrawals!A42="","",Agent10_Withdrawals!G42)</f>
        <v/>
      </c>
      <c r="I1837" s="37" t="str">
        <f>IF(Agent10_Withdrawals!A42="","",Agent10_Withdrawals!H42)</f>
        <v/>
      </c>
      <c r="J1837" s="37" t="str">
        <f>IF(Agent10_Withdrawals!A42="","",Agent10_Withdrawals!J42)</f>
        <v/>
      </c>
      <c r="K1837" s="37" t="str">
        <f>IF(Agent10_Withdrawals!A42="","",Agent10_Withdrawals!K42)</f>
        <v/>
      </c>
      <c r="L1837" s="37" t="str">
        <f>IF(G1837="","",IF(D1837-G1837&gt;=System_Config!$B$9,"✅ OK","⚠️ BREACH"))</f>
        <v/>
      </c>
      <c r="M1837" s="37" t="str">
        <f>IFERROR(IF(Agent10_Withdrawals!A42="","",YEAR(Agent10_Withdrawals!D42)),"")</f>
        <v/>
      </c>
    </row>
    <row r="1838" spans="1:13" ht="18" customHeight="1" x14ac:dyDescent="0.25">
      <c r="A1838" s="37" t="str">
        <f>IF(Agent10_Withdrawals!A43="","",Agent10_Withdrawals!A43)</f>
        <v/>
      </c>
      <c r="B1838" s="37" t="str">
        <f ca="1">IF(Agent10_Withdrawals!A43="","","WD"&amp;TEXT(1838-3,"0000")&amp;"-"&amp;TEXT(TODAY(),"YYYYMMDD"))</f>
        <v/>
      </c>
      <c r="C1838" s="37" t="str">
        <f>IF(Agent10_Withdrawals!A43="","",Agent10_Withdrawals!B43)</f>
        <v/>
      </c>
      <c r="D1838" s="40" t="str">
        <f>IF(Agent10_Withdrawals!A43="","",Agent10_Withdrawals!C43)</f>
        <v/>
      </c>
      <c r="E1838" s="38" t="str">
        <f>IF(Agent10_Withdrawals!A43="","",Agent10_Withdrawals!D43)</f>
        <v/>
      </c>
      <c r="F1838" s="37" t="str">
        <f>IF(Agent10_Withdrawals!A43="","",Agent10_Withdrawals!F43)</f>
        <v/>
      </c>
      <c r="G1838" s="39" t="str">
        <f>IF(Agent10_Withdrawals!A43="","",Agent10_Withdrawals!E43)</f>
        <v/>
      </c>
      <c r="H1838" s="39" t="str">
        <f>IF(Agent10_Withdrawals!A43="","",Agent10_Withdrawals!G43)</f>
        <v/>
      </c>
      <c r="I1838" s="37" t="str">
        <f>IF(Agent10_Withdrawals!A43="","",Agent10_Withdrawals!H43)</f>
        <v/>
      </c>
      <c r="J1838" s="37" t="str">
        <f>IF(Agent10_Withdrawals!A43="","",Agent10_Withdrawals!J43)</f>
        <v/>
      </c>
      <c r="K1838" s="37" t="str">
        <f>IF(Agent10_Withdrawals!A43="","",Agent10_Withdrawals!K43)</f>
        <v/>
      </c>
      <c r="L1838" s="37" t="str">
        <f>IF(G1838="","",IF(D1838-G1838&gt;=System_Config!$B$9,"✅ OK","⚠️ BREACH"))</f>
        <v/>
      </c>
      <c r="M1838" s="37" t="str">
        <f>IFERROR(IF(Agent10_Withdrawals!A43="","",YEAR(Agent10_Withdrawals!D43)),"")</f>
        <v/>
      </c>
    </row>
    <row r="1839" spans="1:13" ht="18" customHeight="1" x14ac:dyDescent="0.25">
      <c r="A1839" s="37" t="str">
        <f>IF(Agent10_Withdrawals!A44="","",Agent10_Withdrawals!A44)</f>
        <v/>
      </c>
      <c r="B1839" s="37" t="str">
        <f ca="1">IF(Agent10_Withdrawals!A44="","","WD"&amp;TEXT(1839-3,"0000")&amp;"-"&amp;TEXT(TODAY(),"YYYYMMDD"))</f>
        <v/>
      </c>
      <c r="C1839" s="37" t="str">
        <f>IF(Agent10_Withdrawals!A44="","",Agent10_Withdrawals!B44)</f>
        <v/>
      </c>
      <c r="D1839" s="40" t="str">
        <f>IF(Agent10_Withdrawals!A44="","",Agent10_Withdrawals!C44)</f>
        <v/>
      </c>
      <c r="E1839" s="38" t="str">
        <f>IF(Agent10_Withdrawals!A44="","",Agent10_Withdrawals!D44)</f>
        <v/>
      </c>
      <c r="F1839" s="37" t="str">
        <f>IF(Agent10_Withdrawals!A44="","",Agent10_Withdrawals!F44)</f>
        <v/>
      </c>
      <c r="G1839" s="39" t="str">
        <f>IF(Agent10_Withdrawals!A44="","",Agent10_Withdrawals!E44)</f>
        <v/>
      </c>
      <c r="H1839" s="39" t="str">
        <f>IF(Agent10_Withdrawals!A44="","",Agent10_Withdrawals!G44)</f>
        <v/>
      </c>
      <c r="I1839" s="37" t="str">
        <f>IF(Agent10_Withdrawals!A44="","",Agent10_Withdrawals!H44)</f>
        <v/>
      </c>
      <c r="J1839" s="37" t="str">
        <f>IF(Agent10_Withdrawals!A44="","",Agent10_Withdrawals!J44)</f>
        <v/>
      </c>
      <c r="K1839" s="37" t="str">
        <f>IF(Agent10_Withdrawals!A44="","",Agent10_Withdrawals!K44)</f>
        <v/>
      </c>
      <c r="L1839" s="37" t="str">
        <f>IF(G1839="","",IF(D1839-G1839&gt;=System_Config!$B$9,"✅ OK","⚠️ BREACH"))</f>
        <v/>
      </c>
      <c r="M1839" s="37" t="str">
        <f>IFERROR(IF(Agent10_Withdrawals!A44="","",YEAR(Agent10_Withdrawals!D44)),"")</f>
        <v/>
      </c>
    </row>
    <row r="1840" spans="1:13" ht="18" customHeight="1" x14ac:dyDescent="0.25">
      <c r="A1840" s="37" t="str">
        <f>IF(Agent10_Withdrawals!A45="","",Agent10_Withdrawals!A45)</f>
        <v/>
      </c>
      <c r="B1840" s="37" t="str">
        <f ca="1">IF(Agent10_Withdrawals!A45="","","WD"&amp;TEXT(1840-3,"0000")&amp;"-"&amp;TEXT(TODAY(),"YYYYMMDD"))</f>
        <v/>
      </c>
      <c r="C1840" s="37" t="str">
        <f>IF(Agent10_Withdrawals!A45="","",Agent10_Withdrawals!B45)</f>
        <v/>
      </c>
      <c r="D1840" s="40" t="str">
        <f>IF(Agent10_Withdrawals!A45="","",Agent10_Withdrawals!C45)</f>
        <v/>
      </c>
      <c r="E1840" s="38" t="str">
        <f>IF(Agent10_Withdrawals!A45="","",Agent10_Withdrawals!D45)</f>
        <v/>
      </c>
      <c r="F1840" s="37" t="str">
        <f>IF(Agent10_Withdrawals!A45="","",Agent10_Withdrawals!F45)</f>
        <v/>
      </c>
      <c r="G1840" s="39" t="str">
        <f>IF(Agent10_Withdrawals!A45="","",Agent10_Withdrawals!E45)</f>
        <v/>
      </c>
      <c r="H1840" s="39" t="str">
        <f>IF(Agent10_Withdrawals!A45="","",Agent10_Withdrawals!G45)</f>
        <v/>
      </c>
      <c r="I1840" s="37" t="str">
        <f>IF(Agent10_Withdrawals!A45="","",Agent10_Withdrawals!H45)</f>
        <v/>
      </c>
      <c r="J1840" s="37" t="str">
        <f>IF(Agent10_Withdrawals!A45="","",Agent10_Withdrawals!J45)</f>
        <v/>
      </c>
      <c r="K1840" s="37" t="str">
        <f>IF(Agent10_Withdrawals!A45="","",Agent10_Withdrawals!K45)</f>
        <v/>
      </c>
      <c r="L1840" s="37" t="str">
        <f>IF(G1840="","",IF(D1840-G1840&gt;=System_Config!$B$9,"✅ OK","⚠️ BREACH"))</f>
        <v/>
      </c>
      <c r="M1840" s="37" t="str">
        <f>IFERROR(IF(Agent10_Withdrawals!A45="","",YEAR(Agent10_Withdrawals!D45)),"")</f>
        <v/>
      </c>
    </row>
    <row r="1841" spans="1:13" ht="18" customHeight="1" x14ac:dyDescent="0.25">
      <c r="A1841" s="37" t="str">
        <f>IF(Agent10_Withdrawals!A46="","",Agent10_Withdrawals!A46)</f>
        <v/>
      </c>
      <c r="B1841" s="37" t="str">
        <f ca="1">IF(Agent10_Withdrawals!A46="","","WD"&amp;TEXT(1841-3,"0000")&amp;"-"&amp;TEXT(TODAY(),"YYYYMMDD"))</f>
        <v/>
      </c>
      <c r="C1841" s="37" t="str">
        <f>IF(Agent10_Withdrawals!A46="","",Agent10_Withdrawals!B46)</f>
        <v/>
      </c>
      <c r="D1841" s="40" t="str">
        <f>IF(Agent10_Withdrawals!A46="","",Agent10_Withdrawals!C46)</f>
        <v/>
      </c>
      <c r="E1841" s="38" t="str">
        <f>IF(Agent10_Withdrawals!A46="","",Agent10_Withdrawals!D46)</f>
        <v/>
      </c>
      <c r="F1841" s="37" t="str">
        <f>IF(Agent10_Withdrawals!A46="","",Agent10_Withdrawals!F46)</f>
        <v/>
      </c>
      <c r="G1841" s="39" t="str">
        <f>IF(Agent10_Withdrawals!A46="","",Agent10_Withdrawals!E46)</f>
        <v/>
      </c>
      <c r="H1841" s="39" t="str">
        <f>IF(Agent10_Withdrawals!A46="","",Agent10_Withdrawals!G46)</f>
        <v/>
      </c>
      <c r="I1841" s="37" t="str">
        <f>IF(Agent10_Withdrawals!A46="","",Agent10_Withdrawals!H46)</f>
        <v/>
      </c>
      <c r="J1841" s="37" t="str">
        <f>IF(Agent10_Withdrawals!A46="","",Agent10_Withdrawals!J46)</f>
        <v/>
      </c>
      <c r="K1841" s="37" t="str">
        <f>IF(Agent10_Withdrawals!A46="","",Agent10_Withdrawals!K46)</f>
        <v/>
      </c>
      <c r="L1841" s="37" t="str">
        <f>IF(G1841="","",IF(D1841-G1841&gt;=System_Config!$B$9,"✅ OK","⚠️ BREACH"))</f>
        <v/>
      </c>
      <c r="M1841" s="37" t="str">
        <f>IFERROR(IF(Agent10_Withdrawals!A46="","",YEAR(Agent10_Withdrawals!D46)),"")</f>
        <v/>
      </c>
    </row>
    <row r="1842" spans="1:13" ht="18" customHeight="1" x14ac:dyDescent="0.25">
      <c r="A1842" s="37" t="str">
        <f>IF(Agent10_Withdrawals!A47="","",Agent10_Withdrawals!A47)</f>
        <v/>
      </c>
      <c r="B1842" s="37" t="str">
        <f ca="1">IF(Agent10_Withdrawals!A47="","","WD"&amp;TEXT(1842-3,"0000")&amp;"-"&amp;TEXT(TODAY(),"YYYYMMDD"))</f>
        <v/>
      </c>
      <c r="C1842" s="37" t="str">
        <f>IF(Agent10_Withdrawals!A47="","",Agent10_Withdrawals!B47)</f>
        <v/>
      </c>
      <c r="D1842" s="40" t="str">
        <f>IF(Agent10_Withdrawals!A47="","",Agent10_Withdrawals!C47)</f>
        <v/>
      </c>
      <c r="E1842" s="38" t="str">
        <f>IF(Agent10_Withdrawals!A47="","",Agent10_Withdrawals!D47)</f>
        <v/>
      </c>
      <c r="F1842" s="37" t="str">
        <f>IF(Agent10_Withdrawals!A47="","",Agent10_Withdrawals!F47)</f>
        <v/>
      </c>
      <c r="G1842" s="39" t="str">
        <f>IF(Agent10_Withdrawals!A47="","",Agent10_Withdrawals!E47)</f>
        <v/>
      </c>
      <c r="H1842" s="39" t="str">
        <f>IF(Agent10_Withdrawals!A47="","",Agent10_Withdrawals!G47)</f>
        <v/>
      </c>
      <c r="I1842" s="37" t="str">
        <f>IF(Agent10_Withdrawals!A47="","",Agent10_Withdrawals!H47)</f>
        <v/>
      </c>
      <c r="J1842" s="37" t="str">
        <f>IF(Agent10_Withdrawals!A47="","",Agent10_Withdrawals!J47)</f>
        <v/>
      </c>
      <c r="K1842" s="37" t="str">
        <f>IF(Agent10_Withdrawals!A47="","",Agent10_Withdrawals!K47)</f>
        <v/>
      </c>
      <c r="L1842" s="37" t="str">
        <f>IF(G1842="","",IF(D1842-G1842&gt;=System_Config!$B$9,"✅ OK","⚠️ BREACH"))</f>
        <v/>
      </c>
      <c r="M1842" s="37" t="str">
        <f>IFERROR(IF(Agent10_Withdrawals!A47="","",YEAR(Agent10_Withdrawals!D47)),"")</f>
        <v/>
      </c>
    </row>
    <row r="1843" spans="1:13" ht="18" customHeight="1" x14ac:dyDescent="0.25">
      <c r="A1843" s="37" t="str">
        <f>IF(Agent10_Withdrawals!A48="","",Agent10_Withdrawals!A48)</f>
        <v/>
      </c>
      <c r="B1843" s="37" t="str">
        <f ca="1">IF(Agent10_Withdrawals!A48="","","WD"&amp;TEXT(1843-3,"0000")&amp;"-"&amp;TEXT(TODAY(),"YYYYMMDD"))</f>
        <v/>
      </c>
      <c r="C1843" s="37" t="str">
        <f>IF(Agent10_Withdrawals!A48="","",Agent10_Withdrawals!B48)</f>
        <v/>
      </c>
      <c r="D1843" s="40" t="str">
        <f>IF(Agent10_Withdrawals!A48="","",Agent10_Withdrawals!C48)</f>
        <v/>
      </c>
      <c r="E1843" s="38" t="str">
        <f>IF(Agent10_Withdrawals!A48="","",Agent10_Withdrawals!D48)</f>
        <v/>
      </c>
      <c r="F1843" s="37" t="str">
        <f>IF(Agent10_Withdrawals!A48="","",Agent10_Withdrawals!F48)</f>
        <v/>
      </c>
      <c r="G1843" s="39" t="str">
        <f>IF(Agent10_Withdrawals!A48="","",Agent10_Withdrawals!E48)</f>
        <v/>
      </c>
      <c r="H1843" s="39" t="str">
        <f>IF(Agent10_Withdrawals!A48="","",Agent10_Withdrawals!G48)</f>
        <v/>
      </c>
      <c r="I1843" s="37" t="str">
        <f>IF(Agent10_Withdrawals!A48="","",Agent10_Withdrawals!H48)</f>
        <v/>
      </c>
      <c r="J1843" s="37" t="str">
        <f>IF(Agent10_Withdrawals!A48="","",Agent10_Withdrawals!J48)</f>
        <v/>
      </c>
      <c r="K1843" s="37" t="str">
        <f>IF(Agent10_Withdrawals!A48="","",Agent10_Withdrawals!K48)</f>
        <v/>
      </c>
      <c r="L1843" s="37" t="str">
        <f>IF(G1843="","",IF(D1843-G1843&gt;=System_Config!$B$9,"✅ OK","⚠️ BREACH"))</f>
        <v/>
      </c>
      <c r="M1843" s="37" t="str">
        <f>IFERROR(IF(Agent10_Withdrawals!A48="","",YEAR(Agent10_Withdrawals!D48)),"")</f>
        <v/>
      </c>
    </row>
    <row r="1844" spans="1:13" ht="18" customHeight="1" x14ac:dyDescent="0.25">
      <c r="A1844" s="37" t="str">
        <f>IF(Agent10_Withdrawals!A49="","",Agent10_Withdrawals!A49)</f>
        <v/>
      </c>
      <c r="B1844" s="37" t="str">
        <f ca="1">IF(Agent10_Withdrawals!A49="","","WD"&amp;TEXT(1844-3,"0000")&amp;"-"&amp;TEXT(TODAY(),"YYYYMMDD"))</f>
        <v/>
      </c>
      <c r="C1844" s="37" t="str">
        <f>IF(Agent10_Withdrawals!A49="","",Agent10_Withdrawals!B49)</f>
        <v/>
      </c>
      <c r="D1844" s="40" t="str">
        <f>IF(Agent10_Withdrawals!A49="","",Agent10_Withdrawals!C49)</f>
        <v/>
      </c>
      <c r="E1844" s="38" t="str">
        <f>IF(Agent10_Withdrawals!A49="","",Agent10_Withdrawals!D49)</f>
        <v/>
      </c>
      <c r="F1844" s="37" t="str">
        <f>IF(Agent10_Withdrawals!A49="","",Agent10_Withdrawals!F49)</f>
        <v/>
      </c>
      <c r="G1844" s="39" t="str">
        <f>IF(Agent10_Withdrawals!A49="","",Agent10_Withdrawals!E49)</f>
        <v/>
      </c>
      <c r="H1844" s="39" t="str">
        <f>IF(Agent10_Withdrawals!A49="","",Agent10_Withdrawals!G49)</f>
        <v/>
      </c>
      <c r="I1844" s="37" t="str">
        <f>IF(Agent10_Withdrawals!A49="","",Agent10_Withdrawals!H49)</f>
        <v/>
      </c>
      <c r="J1844" s="37" t="str">
        <f>IF(Agent10_Withdrawals!A49="","",Agent10_Withdrawals!J49)</f>
        <v/>
      </c>
      <c r="K1844" s="37" t="str">
        <f>IF(Agent10_Withdrawals!A49="","",Agent10_Withdrawals!K49)</f>
        <v/>
      </c>
      <c r="L1844" s="37" t="str">
        <f>IF(G1844="","",IF(D1844-G1844&gt;=System_Config!$B$9,"✅ OK","⚠️ BREACH"))</f>
        <v/>
      </c>
      <c r="M1844" s="37" t="str">
        <f>IFERROR(IF(Agent10_Withdrawals!A49="","",YEAR(Agent10_Withdrawals!D49)),"")</f>
        <v/>
      </c>
    </row>
    <row r="1845" spans="1:13" ht="18" customHeight="1" x14ac:dyDescent="0.25">
      <c r="A1845" s="37" t="str">
        <f>IF(Agent10_Withdrawals!A50="","",Agent10_Withdrawals!A50)</f>
        <v/>
      </c>
      <c r="B1845" s="37" t="str">
        <f ca="1">IF(Agent10_Withdrawals!A50="","","WD"&amp;TEXT(1845-3,"0000")&amp;"-"&amp;TEXT(TODAY(),"YYYYMMDD"))</f>
        <v/>
      </c>
      <c r="C1845" s="37" t="str">
        <f>IF(Agent10_Withdrawals!A50="","",Agent10_Withdrawals!B50)</f>
        <v/>
      </c>
      <c r="D1845" s="40" t="str">
        <f>IF(Agent10_Withdrawals!A50="","",Agent10_Withdrawals!C50)</f>
        <v/>
      </c>
      <c r="E1845" s="38" t="str">
        <f>IF(Agent10_Withdrawals!A50="","",Agent10_Withdrawals!D50)</f>
        <v/>
      </c>
      <c r="F1845" s="37" t="str">
        <f>IF(Agent10_Withdrawals!A50="","",Agent10_Withdrawals!F50)</f>
        <v/>
      </c>
      <c r="G1845" s="39" t="str">
        <f>IF(Agent10_Withdrawals!A50="","",Agent10_Withdrawals!E50)</f>
        <v/>
      </c>
      <c r="H1845" s="39" t="str">
        <f>IF(Agent10_Withdrawals!A50="","",Agent10_Withdrawals!G50)</f>
        <v/>
      </c>
      <c r="I1845" s="37" t="str">
        <f>IF(Agent10_Withdrawals!A50="","",Agent10_Withdrawals!H50)</f>
        <v/>
      </c>
      <c r="J1845" s="37" t="str">
        <f>IF(Agent10_Withdrawals!A50="","",Agent10_Withdrawals!J50)</f>
        <v/>
      </c>
      <c r="K1845" s="37" t="str">
        <f>IF(Agent10_Withdrawals!A50="","",Agent10_Withdrawals!K50)</f>
        <v/>
      </c>
      <c r="L1845" s="37" t="str">
        <f>IF(G1845="","",IF(D1845-G1845&gt;=System_Config!$B$9,"✅ OK","⚠️ BREACH"))</f>
        <v/>
      </c>
      <c r="M1845" s="37" t="str">
        <f>IFERROR(IF(Agent10_Withdrawals!A50="","",YEAR(Agent10_Withdrawals!D50)),"")</f>
        <v/>
      </c>
    </row>
    <row r="1846" spans="1:13" ht="18" customHeight="1" x14ac:dyDescent="0.25">
      <c r="A1846" s="37" t="str">
        <f>IF(Agent10_Withdrawals!A51="","",Agent10_Withdrawals!A51)</f>
        <v/>
      </c>
      <c r="B1846" s="37" t="str">
        <f ca="1">IF(Agent10_Withdrawals!A51="","","WD"&amp;TEXT(1846-3,"0000")&amp;"-"&amp;TEXT(TODAY(),"YYYYMMDD"))</f>
        <v/>
      </c>
      <c r="C1846" s="37" t="str">
        <f>IF(Agent10_Withdrawals!A51="","",Agent10_Withdrawals!B51)</f>
        <v/>
      </c>
      <c r="D1846" s="40" t="str">
        <f>IF(Agent10_Withdrawals!A51="","",Agent10_Withdrawals!C51)</f>
        <v/>
      </c>
      <c r="E1846" s="38" t="str">
        <f>IF(Agent10_Withdrawals!A51="","",Agent10_Withdrawals!D51)</f>
        <v/>
      </c>
      <c r="F1846" s="37" t="str">
        <f>IF(Agent10_Withdrawals!A51="","",Agent10_Withdrawals!F51)</f>
        <v/>
      </c>
      <c r="G1846" s="39" t="str">
        <f>IF(Agent10_Withdrawals!A51="","",Agent10_Withdrawals!E51)</f>
        <v/>
      </c>
      <c r="H1846" s="39" t="str">
        <f>IF(Agent10_Withdrawals!A51="","",Agent10_Withdrawals!G51)</f>
        <v/>
      </c>
      <c r="I1846" s="37" t="str">
        <f>IF(Agent10_Withdrawals!A51="","",Agent10_Withdrawals!H51)</f>
        <v/>
      </c>
      <c r="J1846" s="37" t="str">
        <f>IF(Agent10_Withdrawals!A51="","",Agent10_Withdrawals!J51)</f>
        <v/>
      </c>
      <c r="K1846" s="37" t="str">
        <f>IF(Agent10_Withdrawals!A51="","",Agent10_Withdrawals!K51)</f>
        <v/>
      </c>
      <c r="L1846" s="37" t="str">
        <f>IF(G1846="","",IF(D1846-G1846&gt;=System_Config!$B$9,"✅ OK","⚠️ BREACH"))</f>
        <v/>
      </c>
      <c r="M1846" s="37" t="str">
        <f>IFERROR(IF(Agent10_Withdrawals!A51="","",YEAR(Agent10_Withdrawals!D51)),"")</f>
        <v/>
      </c>
    </row>
    <row r="1847" spans="1:13" ht="18" customHeight="1" x14ac:dyDescent="0.25">
      <c r="A1847" s="37" t="str">
        <f>IF(Agent10_Withdrawals!A52="","",Agent10_Withdrawals!A52)</f>
        <v/>
      </c>
      <c r="B1847" s="37" t="str">
        <f ca="1">IF(Agent10_Withdrawals!A52="","","WD"&amp;TEXT(1847-3,"0000")&amp;"-"&amp;TEXT(TODAY(),"YYYYMMDD"))</f>
        <v/>
      </c>
      <c r="C1847" s="37" t="str">
        <f>IF(Agent10_Withdrawals!A52="","",Agent10_Withdrawals!B52)</f>
        <v/>
      </c>
      <c r="D1847" s="40" t="str">
        <f>IF(Agent10_Withdrawals!A52="","",Agent10_Withdrawals!C52)</f>
        <v/>
      </c>
      <c r="E1847" s="38" t="str">
        <f>IF(Agent10_Withdrawals!A52="","",Agent10_Withdrawals!D52)</f>
        <v/>
      </c>
      <c r="F1847" s="37" t="str">
        <f>IF(Agent10_Withdrawals!A52="","",Agent10_Withdrawals!F52)</f>
        <v/>
      </c>
      <c r="G1847" s="39" t="str">
        <f>IF(Agent10_Withdrawals!A52="","",Agent10_Withdrawals!E52)</f>
        <v/>
      </c>
      <c r="H1847" s="39" t="str">
        <f>IF(Agent10_Withdrawals!A52="","",Agent10_Withdrawals!G52)</f>
        <v/>
      </c>
      <c r="I1847" s="37" t="str">
        <f>IF(Agent10_Withdrawals!A52="","",Agent10_Withdrawals!H52)</f>
        <v/>
      </c>
      <c r="J1847" s="37" t="str">
        <f>IF(Agent10_Withdrawals!A52="","",Agent10_Withdrawals!J52)</f>
        <v/>
      </c>
      <c r="K1847" s="37" t="str">
        <f>IF(Agent10_Withdrawals!A52="","",Agent10_Withdrawals!K52)</f>
        <v/>
      </c>
      <c r="L1847" s="37" t="str">
        <f>IF(G1847="","",IF(D1847-G1847&gt;=System_Config!$B$9,"✅ OK","⚠️ BREACH"))</f>
        <v/>
      </c>
      <c r="M1847" s="37" t="str">
        <f>IFERROR(IF(Agent10_Withdrawals!A52="","",YEAR(Agent10_Withdrawals!D52)),"")</f>
        <v/>
      </c>
    </row>
    <row r="1848" spans="1:13" ht="18" customHeight="1" x14ac:dyDescent="0.25">
      <c r="A1848" s="37" t="str">
        <f>IF(Agent10_Withdrawals!A53="","",Agent10_Withdrawals!A53)</f>
        <v/>
      </c>
      <c r="B1848" s="37" t="str">
        <f ca="1">IF(Agent10_Withdrawals!A53="","","WD"&amp;TEXT(1848-3,"0000")&amp;"-"&amp;TEXT(TODAY(),"YYYYMMDD"))</f>
        <v/>
      </c>
      <c r="C1848" s="37" t="str">
        <f>IF(Agent10_Withdrawals!A53="","",Agent10_Withdrawals!B53)</f>
        <v/>
      </c>
      <c r="D1848" s="40" t="str">
        <f>IF(Agent10_Withdrawals!A53="","",Agent10_Withdrawals!C53)</f>
        <v/>
      </c>
      <c r="E1848" s="38" t="str">
        <f>IF(Agent10_Withdrawals!A53="","",Agent10_Withdrawals!D53)</f>
        <v/>
      </c>
      <c r="F1848" s="37" t="str">
        <f>IF(Agent10_Withdrawals!A53="","",Agent10_Withdrawals!F53)</f>
        <v/>
      </c>
      <c r="G1848" s="39" t="str">
        <f>IF(Agent10_Withdrawals!A53="","",Agent10_Withdrawals!E53)</f>
        <v/>
      </c>
      <c r="H1848" s="39" t="str">
        <f>IF(Agent10_Withdrawals!A53="","",Agent10_Withdrawals!G53)</f>
        <v/>
      </c>
      <c r="I1848" s="37" t="str">
        <f>IF(Agent10_Withdrawals!A53="","",Agent10_Withdrawals!H53)</f>
        <v/>
      </c>
      <c r="J1848" s="37" t="str">
        <f>IF(Agent10_Withdrawals!A53="","",Agent10_Withdrawals!J53)</f>
        <v/>
      </c>
      <c r="K1848" s="37" t="str">
        <f>IF(Agent10_Withdrawals!A53="","",Agent10_Withdrawals!K53)</f>
        <v/>
      </c>
      <c r="L1848" s="37" t="str">
        <f>IF(G1848="","",IF(D1848-G1848&gt;=System_Config!$B$9,"✅ OK","⚠️ BREACH"))</f>
        <v/>
      </c>
      <c r="M1848" s="37" t="str">
        <f>IFERROR(IF(Agent10_Withdrawals!A53="","",YEAR(Agent10_Withdrawals!D53)),"")</f>
        <v/>
      </c>
    </row>
    <row r="1849" spans="1:13" ht="18" customHeight="1" x14ac:dyDescent="0.25">
      <c r="A1849" s="37" t="str">
        <f>IF(Agent10_Withdrawals!A54="","",Agent10_Withdrawals!A54)</f>
        <v/>
      </c>
      <c r="B1849" s="37" t="str">
        <f ca="1">IF(Agent10_Withdrawals!A54="","","WD"&amp;TEXT(1849-3,"0000")&amp;"-"&amp;TEXT(TODAY(),"YYYYMMDD"))</f>
        <v/>
      </c>
      <c r="C1849" s="37" t="str">
        <f>IF(Agent10_Withdrawals!A54="","",Agent10_Withdrawals!B54)</f>
        <v/>
      </c>
      <c r="D1849" s="40" t="str">
        <f>IF(Agent10_Withdrawals!A54="","",Agent10_Withdrawals!C54)</f>
        <v/>
      </c>
      <c r="E1849" s="38" t="str">
        <f>IF(Agent10_Withdrawals!A54="","",Agent10_Withdrawals!D54)</f>
        <v/>
      </c>
      <c r="F1849" s="37" t="str">
        <f>IF(Agent10_Withdrawals!A54="","",Agent10_Withdrawals!F54)</f>
        <v/>
      </c>
      <c r="G1849" s="39" t="str">
        <f>IF(Agent10_Withdrawals!A54="","",Agent10_Withdrawals!E54)</f>
        <v/>
      </c>
      <c r="H1849" s="39" t="str">
        <f>IF(Agent10_Withdrawals!A54="","",Agent10_Withdrawals!G54)</f>
        <v/>
      </c>
      <c r="I1849" s="37" t="str">
        <f>IF(Agent10_Withdrawals!A54="","",Agent10_Withdrawals!H54)</f>
        <v/>
      </c>
      <c r="J1849" s="37" t="str">
        <f>IF(Agent10_Withdrawals!A54="","",Agent10_Withdrawals!J54)</f>
        <v/>
      </c>
      <c r="K1849" s="37" t="str">
        <f>IF(Agent10_Withdrawals!A54="","",Agent10_Withdrawals!K54)</f>
        <v/>
      </c>
      <c r="L1849" s="37" t="str">
        <f>IF(G1849="","",IF(D1849-G1849&gt;=System_Config!$B$9,"✅ OK","⚠️ BREACH"))</f>
        <v/>
      </c>
      <c r="M1849" s="37" t="str">
        <f>IFERROR(IF(Agent10_Withdrawals!A54="","",YEAR(Agent10_Withdrawals!D54)),"")</f>
        <v/>
      </c>
    </row>
    <row r="1850" spans="1:13" ht="18" customHeight="1" x14ac:dyDescent="0.25">
      <c r="A1850" s="37" t="str">
        <f>IF(Agent10_Withdrawals!A55="","",Agent10_Withdrawals!A55)</f>
        <v/>
      </c>
      <c r="B1850" s="37" t="str">
        <f ca="1">IF(Agent10_Withdrawals!A55="","","WD"&amp;TEXT(1850-3,"0000")&amp;"-"&amp;TEXT(TODAY(),"YYYYMMDD"))</f>
        <v/>
      </c>
      <c r="C1850" s="37" t="str">
        <f>IF(Agent10_Withdrawals!A55="","",Agent10_Withdrawals!B55)</f>
        <v/>
      </c>
      <c r="D1850" s="40" t="str">
        <f>IF(Agent10_Withdrawals!A55="","",Agent10_Withdrawals!C55)</f>
        <v/>
      </c>
      <c r="E1850" s="38" t="str">
        <f>IF(Agent10_Withdrawals!A55="","",Agent10_Withdrawals!D55)</f>
        <v/>
      </c>
      <c r="F1850" s="37" t="str">
        <f>IF(Agent10_Withdrawals!A55="","",Agent10_Withdrawals!F55)</f>
        <v/>
      </c>
      <c r="G1850" s="39" t="str">
        <f>IF(Agent10_Withdrawals!A55="","",Agent10_Withdrawals!E55)</f>
        <v/>
      </c>
      <c r="H1850" s="39" t="str">
        <f>IF(Agent10_Withdrawals!A55="","",Agent10_Withdrawals!G55)</f>
        <v/>
      </c>
      <c r="I1850" s="37" t="str">
        <f>IF(Agent10_Withdrawals!A55="","",Agent10_Withdrawals!H55)</f>
        <v/>
      </c>
      <c r="J1850" s="37" t="str">
        <f>IF(Agent10_Withdrawals!A55="","",Agent10_Withdrawals!J55)</f>
        <v/>
      </c>
      <c r="K1850" s="37" t="str">
        <f>IF(Agent10_Withdrawals!A55="","",Agent10_Withdrawals!K55)</f>
        <v/>
      </c>
      <c r="L1850" s="37" t="str">
        <f>IF(G1850="","",IF(D1850-G1850&gt;=System_Config!$B$9,"✅ OK","⚠️ BREACH"))</f>
        <v/>
      </c>
      <c r="M1850" s="37" t="str">
        <f>IFERROR(IF(Agent10_Withdrawals!A55="","",YEAR(Agent10_Withdrawals!D55)),"")</f>
        <v/>
      </c>
    </row>
    <row r="1851" spans="1:13" ht="18" customHeight="1" x14ac:dyDescent="0.25">
      <c r="A1851" s="37" t="str">
        <f>IF(Agent10_Withdrawals!A56="","",Agent10_Withdrawals!A56)</f>
        <v/>
      </c>
      <c r="B1851" s="37" t="str">
        <f ca="1">IF(Agent10_Withdrawals!A56="","","WD"&amp;TEXT(1851-3,"0000")&amp;"-"&amp;TEXT(TODAY(),"YYYYMMDD"))</f>
        <v/>
      </c>
      <c r="C1851" s="37" t="str">
        <f>IF(Agent10_Withdrawals!A56="","",Agent10_Withdrawals!B56)</f>
        <v/>
      </c>
      <c r="D1851" s="40" t="str">
        <f>IF(Agent10_Withdrawals!A56="","",Agent10_Withdrawals!C56)</f>
        <v/>
      </c>
      <c r="E1851" s="38" t="str">
        <f>IF(Agent10_Withdrawals!A56="","",Agent10_Withdrawals!D56)</f>
        <v/>
      </c>
      <c r="F1851" s="37" t="str">
        <f>IF(Agent10_Withdrawals!A56="","",Agent10_Withdrawals!F56)</f>
        <v/>
      </c>
      <c r="G1851" s="39" t="str">
        <f>IF(Agent10_Withdrawals!A56="","",Agent10_Withdrawals!E56)</f>
        <v/>
      </c>
      <c r="H1851" s="39" t="str">
        <f>IF(Agent10_Withdrawals!A56="","",Agent10_Withdrawals!G56)</f>
        <v/>
      </c>
      <c r="I1851" s="37" t="str">
        <f>IF(Agent10_Withdrawals!A56="","",Agent10_Withdrawals!H56)</f>
        <v/>
      </c>
      <c r="J1851" s="37" t="str">
        <f>IF(Agent10_Withdrawals!A56="","",Agent10_Withdrawals!J56)</f>
        <v/>
      </c>
      <c r="K1851" s="37" t="str">
        <f>IF(Agent10_Withdrawals!A56="","",Agent10_Withdrawals!K56)</f>
        <v/>
      </c>
      <c r="L1851" s="37" t="str">
        <f>IF(G1851="","",IF(D1851-G1851&gt;=System_Config!$B$9,"✅ OK","⚠️ BREACH"))</f>
        <v/>
      </c>
      <c r="M1851" s="37" t="str">
        <f>IFERROR(IF(Agent10_Withdrawals!A56="","",YEAR(Agent10_Withdrawals!D56)),"")</f>
        <v/>
      </c>
    </row>
    <row r="1852" spans="1:13" ht="18" customHeight="1" x14ac:dyDescent="0.25">
      <c r="A1852" s="37" t="str">
        <f>IF(Agent10_Withdrawals!A57="","",Agent10_Withdrawals!A57)</f>
        <v/>
      </c>
      <c r="B1852" s="37" t="str">
        <f ca="1">IF(Agent10_Withdrawals!A57="","","WD"&amp;TEXT(1852-3,"0000")&amp;"-"&amp;TEXT(TODAY(),"YYYYMMDD"))</f>
        <v/>
      </c>
      <c r="C1852" s="37" t="str">
        <f>IF(Agent10_Withdrawals!A57="","",Agent10_Withdrawals!B57)</f>
        <v/>
      </c>
      <c r="D1852" s="40" t="str">
        <f>IF(Agent10_Withdrawals!A57="","",Agent10_Withdrawals!C57)</f>
        <v/>
      </c>
      <c r="E1852" s="38" t="str">
        <f>IF(Agent10_Withdrawals!A57="","",Agent10_Withdrawals!D57)</f>
        <v/>
      </c>
      <c r="F1852" s="37" t="str">
        <f>IF(Agent10_Withdrawals!A57="","",Agent10_Withdrawals!F57)</f>
        <v/>
      </c>
      <c r="G1852" s="39" t="str">
        <f>IF(Agent10_Withdrawals!A57="","",Agent10_Withdrawals!E57)</f>
        <v/>
      </c>
      <c r="H1852" s="39" t="str">
        <f>IF(Agent10_Withdrawals!A57="","",Agent10_Withdrawals!G57)</f>
        <v/>
      </c>
      <c r="I1852" s="37" t="str">
        <f>IF(Agent10_Withdrawals!A57="","",Agent10_Withdrawals!H57)</f>
        <v/>
      </c>
      <c r="J1852" s="37" t="str">
        <f>IF(Agent10_Withdrawals!A57="","",Agent10_Withdrawals!J57)</f>
        <v/>
      </c>
      <c r="K1852" s="37" t="str">
        <f>IF(Agent10_Withdrawals!A57="","",Agent10_Withdrawals!K57)</f>
        <v/>
      </c>
      <c r="L1852" s="37" t="str">
        <f>IF(G1852="","",IF(D1852-G1852&gt;=System_Config!$B$9,"✅ OK","⚠️ BREACH"))</f>
        <v/>
      </c>
      <c r="M1852" s="37" t="str">
        <f>IFERROR(IF(Agent10_Withdrawals!A57="","",YEAR(Agent10_Withdrawals!D57)),"")</f>
        <v/>
      </c>
    </row>
    <row r="1853" spans="1:13" ht="18" customHeight="1" x14ac:dyDescent="0.25">
      <c r="A1853" s="37" t="str">
        <f>IF(Agent10_Withdrawals!A58="","",Agent10_Withdrawals!A58)</f>
        <v/>
      </c>
      <c r="B1853" s="37" t="str">
        <f ca="1">IF(Agent10_Withdrawals!A58="","","WD"&amp;TEXT(1853-3,"0000")&amp;"-"&amp;TEXT(TODAY(),"YYYYMMDD"))</f>
        <v/>
      </c>
      <c r="C1853" s="37" t="str">
        <f>IF(Agent10_Withdrawals!A58="","",Agent10_Withdrawals!B58)</f>
        <v/>
      </c>
      <c r="D1853" s="40" t="str">
        <f>IF(Agent10_Withdrawals!A58="","",Agent10_Withdrawals!C58)</f>
        <v/>
      </c>
      <c r="E1853" s="38" t="str">
        <f>IF(Agent10_Withdrawals!A58="","",Agent10_Withdrawals!D58)</f>
        <v/>
      </c>
      <c r="F1853" s="37" t="str">
        <f>IF(Agent10_Withdrawals!A58="","",Agent10_Withdrawals!F58)</f>
        <v/>
      </c>
      <c r="G1853" s="39" t="str">
        <f>IF(Agent10_Withdrawals!A58="","",Agent10_Withdrawals!E58)</f>
        <v/>
      </c>
      <c r="H1853" s="39" t="str">
        <f>IF(Agent10_Withdrawals!A58="","",Agent10_Withdrawals!G58)</f>
        <v/>
      </c>
      <c r="I1853" s="37" t="str">
        <f>IF(Agent10_Withdrawals!A58="","",Agent10_Withdrawals!H58)</f>
        <v/>
      </c>
      <c r="J1853" s="37" t="str">
        <f>IF(Agent10_Withdrawals!A58="","",Agent10_Withdrawals!J58)</f>
        <v/>
      </c>
      <c r="K1853" s="37" t="str">
        <f>IF(Agent10_Withdrawals!A58="","",Agent10_Withdrawals!K58)</f>
        <v/>
      </c>
      <c r="L1853" s="37" t="str">
        <f>IF(G1853="","",IF(D1853-G1853&gt;=System_Config!$B$9,"✅ OK","⚠️ BREACH"))</f>
        <v/>
      </c>
      <c r="M1853" s="37" t="str">
        <f>IFERROR(IF(Agent10_Withdrawals!A58="","",YEAR(Agent10_Withdrawals!D58)),"")</f>
        <v/>
      </c>
    </row>
    <row r="1854" spans="1:13" ht="18" customHeight="1" x14ac:dyDescent="0.25">
      <c r="A1854" s="37" t="str">
        <f>IF(Agent10_Withdrawals!A59="","",Agent10_Withdrawals!A59)</f>
        <v/>
      </c>
      <c r="B1854" s="37" t="str">
        <f ca="1">IF(Agent10_Withdrawals!A59="","","WD"&amp;TEXT(1854-3,"0000")&amp;"-"&amp;TEXT(TODAY(),"YYYYMMDD"))</f>
        <v/>
      </c>
      <c r="C1854" s="37" t="str">
        <f>IF(Agent10_Withdrawals!A59="","",Agent10_Withdrawals!B59)</f>
        <v/>
      </c>
      <c r="D1854" s="40" t="str">
        <f>IF(Agent10_Withdrawals!A59="","",Agent10_Withdrawals!C59)</f>
        <v/>
      </c>
      <c r="E1854" s="38" t="str">
        <f>IF(Agent10_Withdrawals!A59="","",Agent10_Withdrawals!D59)</f>
        <v/>
      </c>
      <c r="F1854" s="37" t="str">
        <f>IF(Agent10_Withdrawals!A59="","",Agent10_Withdrawals!F59)</f>
        <v/>
      </c>
      <c r="G1854" s="39" t="str">
        <f>IF(Agent10_Withdrawals!A59="","",Agent10_Withdrawals!E59)</f>
        <v/>
      </c>
      <c r="H1854" s="39" t="str">
        <f>IF(Agent10_Withdrawals!A59="","",Agent10_Withdrawals!G59)</f>
        <v/>
      </c>
      <c r="I1854" s="37" t="str">
        <f>IF(Agent10_Withdrawals!A59="","",Agent10_Withdrawals!H59)</f>
        <v/>
      </c>
      <c r="J1854" s="37" t="str">
        <f>IF(Agent10_Withdrawals!A59="","",Agent10_Withdrawals!J59)</f>
        <v/>
      </c>
      <c r="K1854" s="37" t="str">
        <f>IF(Agent10_Withdrawals!A59="","",Agent10_Withdrawals!K59)</f>
        <v/>
      </c>
      <c r="L1854" s="37" t="str">
        <f>IF(G1854="","",IF(D1854-G1854&gt;=System_Config!$B$9,"✅ OK","⚠️ BREACH"))</f>
        <v/>
      </c>
      <c r="M1854" s="37" t="str">
        <f>IFERROR(IF(Agent10_Withdrawals!A59="","",YEAR(Agent10_Withdrawals!D59)),"")</f>
        <v/>
      </c>
    </row>
    <row r="1855" spans="1:13" ht="18" customHeight="1" x14ac:dyDescent="0.25">
      <c r="A1855" s="37" t="str">
        <f>IF(Agent10_Withdrawals!A60="","",Agent10_Withdrawals!A60)</f>
        <v/>
      </c>
      <c r="B1855" s="37" t="str">
        <f ca="1">IF(Agent10_Withdrawals!A60="","","WD"&amp;TEXT(1855-3,"0000")&amp;"-"&amp;TEXT(TODAY(),"YYYYMMDD"))</f>
        <v/>
      </c>
      <c r="C1855" s="37" t="str">
        <f>IF(Agent10_Withdrawals!A60="","",Agent10_Withdrawals!B60)</f>
        <v/>
      </c>
      <c r="D1855" s="40" t="str">
        <f>IF(Agent10_Withdrawals!A60="","",Agent10_Withdrawals!C60)</f>
        <v/>
      </c>
      <c r="E1855" s="38" t="str">
        <f>IF(Agent10_Withdrawals!A60="","",Agent10_Withdrawals!D60)</f>
        <v/>
      </c>
      <c r="F1855" s="37" t="str">
        <f>IF(Agent10_Withdrawals!A60="","",Agent10_Withdrawals!F60)</f>
        <v/>
      </c>
      <c r="G1855" s="39" t="str">
        <f>IF(Agent10_Withdrawals!A60="","",Agent10_Withdrawals!E60)</f>
        <v/>
      </c>
      <c r="H1855" s="39" t="str">
        <f>IF(Agent10_Withdrawals!A60="","",Agent10_Withdrawals!G60)</f>
        <v/>
      </c>
      <c r="I1855" s="37" t="str">
        <f>IF(Agent10_Withdrawals!A60="","",Agent10_Withdrawals!H60)</f>
        <v/>
      </c>
      <c r="J1855" s="37" t="str">
        <f>IF(Agent10_Withdrawals!A60="","",Agent10_Withdrawals!J60)</f>
        <v/>
      </c>
      <c r="K1855" s="37" t="str">
        <f>IF(Agent10_Withdrawals!A60="","",Agent10_Withdrawals!K60)</f>
        <v/>
      </c>
      <c r="L1855" s="37" t="str">
        <f>IF(G1855="","",IF(D1855-G1855&gt;=System_Config!$B$9,"✅ OK","⚠️ BREACH"))</f>
        <v/>
      </c>
      <c r="M1855" s="37" t="str">
        <f>IFERROR(IF(Agent10_Withdrawals!A60="","",YEAR(Agent10_Withdrawals!D60)),"")</f>
        <v/>
      </c>
    </row>
    <row r="1856" spans="1:13" ht="18" customHeight="1" x14ac:dyDescent="0.25">
      <c r="A1856" s="37" t="str">
        <f>IF(Agent10_Withdrawals!A61="","",Agent10_Withdrawals!A61)</f>
        <v/>
      </c>
      <c r="B1856" s="37" t="str">
        <f ca="1">IF(Agent10_Withdrawals!A61="","","WD"&amp;TEXT(1856-3,"0000")&amp;"-"&amp;TEXT(TODAY(),"YYYYMMDD"))</f>
        <v/>
      </c>
      <c r="C1856" s="37" t="str">
        <f>IF(Agent10_Withdrawals!A61="","",Agent10_Withdrawals!B61)</f>
        <v/>
      </c>
      <c r="D1856" s="40" t="str">
        <f>IF(Agent10_Withdrawals!A61="","",Agent10_Withdrawals!C61)</f>
        <v/>
      </c>
      <c r="E1856" s="38" t="str">
        <f>IF(Agent10_Withdrawals!A61="","",Agent10_Withdrawals!D61)</f>
        <v/>
      </c>
      <c r="F1856" s="37" t="str">
        <f>IF(Agent10_Withdrawals!A61="","",Agent10_Withdrawals!F61)</f>
        <v/>
      </c>
      <c r="G1856" s="39" t="str">
        <f>IF(Agent10_Withdrawals!A61="","",Agent10_Withdrawals!E61)</f>
        <v/>
      </c>
      <c r="H1856" s="39" t="str">
        <f>IF(Agent10_Withdrawals!A61="","",Agent10_Withdrawals!G61)</f>
        <v/>
      </c>
      <c r="I1856" s="37" t="str">
        <f>IF(Agent10_Withdrawals!A61="","",Agent10_Withdrawals!H61)</f>
        <v/>
      </c>
      <c r="J1856" s="37" t="str">
        <f>IF(Agent10_Withdrawals!A61="","",Agent10_Withdrawals!J61)</f>
        <v/>
      </c>
      <c r="K1856" s="37" t="str">
        <f>IF(Agent10_Withdrawals!A61="","",Agent10_Withdrawals!K61)</f>
        <v/>
      </c>
      <c r="L1856" s="37" t="str">
        <f>IF(G1856="","",IF(D1856-G1856&gt;=System_Config!$B$9,"✅ OK","⚠️ BREACH"))</f>
        <v/>
      </c>
      <c r="M1856" s="37" t="str">
        <f>IFERROR(IF(Agent10_Withdrawals!A61="","",YEAR(Agent10_Withdrawals!D61)),"")</f>
        <v/>
      </c>
    </row>
    <row r="1857" spans="1:13" ht="18" customHeight="1" x14ac:dyDescent="0.25">
      <c r="A1857" s="37" t="str">
        <f>IF(Agent10_Withdrawals!A62="","",Agent10_Withdrawals!A62)</f>
        <v/>
      </c>
      <c r="B1857" s="37" t="str">
        <f ca="1">IF(Agent10_Withdrawals!A62="","","WD"&amp;TEXT(1857-3,"0000")&amp;"-"&amp;TEXT(TODAY(),"YYYYMMDD"))</f>
        <v/>
      </c>
      <c r="C1857" s="37" t="str">
        <f>IF(Agent10_Withdrawals!A62="","",Agent10_Withdrawals!B62)</f>
        <v/>
      </c>
      <c r="D1857" s="40" t="str">
        <f>IF(Agent10_Withdrawals!A62="","",Agent10_Withdrawals!C62)</f>
        <v/>
      </c>
      <c r="E1857" s="38" t="str">
        <f>IF(Agent10_Withdrawals!A62="","",Agent10_Withdrawals!D62)</f>
        <v/>
      </c>
      <c r="F1857" s="37" t="str">
        <f>IF(Agent10_Withdrawals!A62="","",Agent10_Withdrawals!F62)</f>
        <v/>
      </c>
      <c r="G1857" s="39" t="str">
        <f>IF(Agent10_Withdrawals!A62="","",Agent10_Withdrawals!E62)</f>
        <v/>
      </c>
      <c r="H1857" s="39" t="str">
        <f>IF(Agent10_Withdrawals!A62="","",Agent10_Withdrawals!G62)</f>
        <v/>
      </c>
      <c r="I1857" s="37" t="str">
        <f>IF(Agent10_Withdrawals!A62="","",Agent10_Withdrawals!H62)</f>
        <v/>
      </c>
      <c r="J1857" s="37" t="str">
        <f>IF(Agent10_Withdrawals!A62="","",Agent10_Withdrawals!J62)</f>
        <v/>
      </c>
      <c r="K1857" s="37" t="str">
        <f>IF(Agent10_Withdrawals!A62="","",Agent10_Withdrawals!K62)</f>
        <v/>
      </c>
      <c r="L1857" s="37" t="str">
        <f>IF(G1857="","",IF(D1857-G1857&gt;=System_Config!$B$9,"✅ OK","⚠️ BREACH"))</f>
        <v/>
      </c>
      <c r="M1857" s="37" t="str">
        <f>IFERROR(IF(Agent10_Withdrawals!A62="","",YEAR(Agent10_Withdrawals!D62)),"")</f>
        <v/>
      </c>
    </row>
    <row r="1858" spans="1:13" ht="18" customHeight="1" x14ac:dyDescent="0.25">
      <c r="A1858" s="37" t="str">
        <f>IF(Agent10_Withdrawals!A63="","",Agent10_Withdrawals!A63)</f>
        <v/>
      </c>
      <c r="B1858" s="37" t="str">
        <f ca="1">IF(Agent10_Withdrawals!A63="","","WD"&amp;TEXT(1858-3,"0000")&amp;"-"&amp;TEXT(TODAY(),"YYYYMMDD"))</f>
        <v/>
      </c>
      <c r="C1858" s="37" t="str">
        <f>IF(Agent10_Withdrawals!A63="","",Agent10_Withdrawals!B63)</f>
        <v/>
      </c>
      <c r="D1858" s="40" t="str">
        <f>IF(Agent10_Withdrawals!A63="","",Agent10_Withdrawals!C63)</f>
        <v/>
      </c>
      <c r="E1858" s="38" t="str">
        <f>IF(Agent10_Withdrawals!A63="","",Agent10_Withdrawals!D63)</f>
        <v/>
      </c>
      <c r="F1858" s="37" t="str">
        <f>IF(Agent10_Withdrawals!A63="","",Agent10_Withdrawals!F63)</f>
        <v/>
      </c>
      <c r="G1858" s="39" t="str">
        <f>IF(Agent10_Withdrawals!A63="","",Agent10_Withdrawals!E63)</f>
        <v/>
      </c>
      <c r="H1858" s="39" t="str">
        <f>IF(Agent10_Withdrawals!A63="","",Agent10_Withdrawals!G63)</f>
        <v/>
      </c>
      <c r="I1858" s="37" t="str">
        <f>IF(Agent10_Withdrawals!A63="","",Agent10_Withdrawals!H63)</f>
        <v/>
      </c>
      <c r="J1858" s="37" t="str">
        <f>IF(Agent10_Withdrawals!A63="","",Agent10_Withdrawals!J63)</f>
        <v/>
      </c>
      <c r="K1858" s="37" t="str">
        <f>IF(Agent10_Withdrawals!A63="","",Agent10_Withdrawals!K63)</f>
        <v/>
      </c>
      <c r="L1858" s="37" t="str">
        <f>IF(G1858="","",IF(D1858-G1858&gt;=System_Config!$B$9,"✅ OK","⚠️ BREACH"))</f>
        <v/>
      </c>
      <c r="M1858" s="37" t="str">
        <f>IFERROR(IF(Agent10_Withdrawals!A63="","",YEAR(Agent10_Withdrawals!D63)),"")</f>
        <v/>
      </c>
    </row>
    <row r="1859" spans="1:13" ht="18" customHeight="1" x14ac:dyDescent="0.25">
      <c r="A1859" s="37" t="str">
        <f>IF(Agent10_Withdrawals!A64="","",Agent10_Withdrawals!A64)</f>
        <v/>
      </c>
      <c r="B1859" s="37" t="str">
        <f ca="1">IF(Agent10_Withdrawals!A64="","","WD"&amp;TEXT(1859-3,"0000")&amp;"-"&amp;TEXT(TODAY(),"YYYYMMDD"))</f>
        <v/>
      </c>
      <c r="C1859" s="37" t="str">
        <f>IF(Agent10_Withdrawals!A64="","",Agent10_Withdrawals!B64)</f>
        <v/>
      </c>
      <c r="D1859" s="40" t="str">
        <f>IF(Agent10_Withdrawals!A64="","",Agent10_Withdrawals!C64)</f>
        <v/>
      </c>
      <c r="E1859" s="38" t="str">
        <f>IF(Agent10_Withdrawals!A64="","",Agent10_Withdrawals!D64)</f>
        <v/>
      </c>
      <c r="F1859" s="37" t="str">
        <f>IF(Agent10_Withdrawals!A64="","",Agent10_Withdrawals!F64)</f>
        <v/>
      </c>
      <c r="G1859" s="39" t="str">
        <f>IF(Agent10_Withdrawals!A64="","",Agent10_Withdrawals!E64)</f>
        <v/>
      </c>
      <c r="H1859" s="39" t="str">
        <f>IF(Agent10_Withdrawals!A64="","",Agent10_Withdrawals!G64)</f>
        <v/>
      </c>
      <c r="I1859" s="37" t="str">
        <f>IF(Agent10_Withdrawals!A64="","",Agent10_Withdrawals!H64)</f>
        <v/>
      </c>
      <c r="J1859" s="37" t="str">
        <f>IF(Agent10_Withdrawals!A64="","",Agent10_Withdrawals!J64)</f>
        <v/>
      </c>
      <c r="K1859" s="37" t="str">
        <f>IF(Agent10_Withdrawals!A64="","",Agent10_Withdrawals!K64)</f>
        <v/>
      </c>
      <c r="L1859" s="37" t="str">
        <f>IF(G1859="","",IF(D1859-G1859&gt;=System_Config!$B$9,"✅ OK","⚠️ BREACH"))</f>
        <v/>
      </c>
      <c r="M1859" s="37" t="str">
        <f>IFERROR(IF(Agent10_Withdrawals!A64="","",YEAR(Agent10_Withdrawals!D64)),"")</f>
        <v/>
      </c>
    </row>
    <row r="1860" spans="1:13" ht="18" customHeight="1" x14ac:dyDescent="0.25">
      <c r="A1860" s="37" t="str">
        <f>IF(Agent10_Withdrawals!A65="","",Agent10_Withdrawals!A65)</f>
        <v/>
      </c>
      <c r="B1860" s="37" t="str">
        <f ca="1">IF(Agent10_Withdrawals!A65="","","WD"&amp;TEXT(1860-3,"0000")&amp;"-"&amp;TEXT(TODAY(),"YYYYMMDD"))</f>
        <v/>
      </c>
      <c r="C1860" s="37" t="str">
        <f>IF(Agent10_Withdrawals!A65="","",Agent10_Withdrawals!B65)</f>
        <v/>
      </c>
      <c r="D1860" s="40" t="str">
        <f>IF(Agent10_Withdrawals!A65="","",Agent10_Withdrawals!C65)</f>
        <v/>
      </c>
      <c r="E1860" s="38" t="str">
        <f>IF(Agent10_Withdrawals!A65="","",Agent10_Withdrawals!D65)</f>
        <v/>
      </c>
      <c r="F1860" s="37" t="str">
        <f>IF(Agent10_Withdrawals!A65="","",Agent10_Withdrawals!F65)</f>
        <v/>
      </c>
      <c r="G1860" s="39" t="str">
        <f>IF(Agent10_Withdrawals!A65="","",Agent10_Withdrawals!E65)</f>
        <v/>
      </c>
      <c r="H1860" s="39" t="str">
        <f>IF(Agent10_Withdrawals!A65="","",Agent10_Withdrawals!G65)</f>
        <v/>
      </c>
      <c r="I1860" s="37" t="str">
        <f>IF(Agent10_Withdrawals!A65="","",Agent10_Withdrawals!H65)</f>
        <v/>
      </c>
      <c r="J1860" s="37" t="str">
        <f>IF(Agent10_Withdrawals!A65="","",Agent10_Withdrawals!J65)</f>
        <v/>
      </c>
      <c r="K1860" s="37" t="str">
        <f>IF(Agent10_Withdrawals!A65="","",Agent10_Withdrawals!K65)</f>
        <v/>
      </c>
      <c r="L1860" s="37" t="str">
        <f>IF(G1860="","",IF(D1860-G1860&gt;=System_Config!$B$9,"✅ OK","⚠️ BREACH"))</f>
        <v/>
      </c>
      <c r="M1860" s="37" t="str">
        <f>IFERROR(IF(Agent10_Withdrawals!A65="","",YEAR(Agent10_Withdrawals!D65)),"")</f>
        <v/>
      </c>
    </row>
    <row r="1861" spans="1:13" ht="18" customHeight="1" x14ac:dyDescent="0.25">
      <c r="A1861" s="37" t="str">
        <f>IF(Agent10_Withdrawals!A66="","",Agent10_Withdrawals!A66)</f>
        <v/>
      </c>
      <c r="B1861" s="37" t="str">
        <f ca="1">IF(Agent10_Withdrawals!A66="","","WD"&amp;TEXT(1861-3,"0000")&amp;"-"&amp;TEXT(TODAY(),"YYYYMMDD"))</f>
        <v/>
      </c>
      <c r="C1861" s="37" t="str">
        <f>IF(Agent10_Withdrawals!A66="","",Agent10_Withdrawals!B66)</f>
        <v/>
      </c>
      <c r="D1861" s="40" t="str">
        <f>IF(Agent10_Withdrawals!A66="","",Agent10_Withdrawals!C66)</f>
        <v/>
      </c>
      <c r="E1861" s="38" t="str">
        <f>IF(Agent10_Withdrawals!A66="","",Agent10_Withdrawals!D66)</f>
        <v/>
      </c>
      <c r="F1861" s="37" t="str">
        <f>IF(Agent10_Withdrawals!A66="","",Agent10_Withdrawals!F66)</f>
        <v/>
      </c>
      <c r="G1861" s="39" t="str">
        <f>IF(Agent10_Withdrawals!A66="","",Agent10_Withdrawals!E66)</f>
        <v/>
      </c>
      <c r="H1861" s="39" t="str">
        <f>IF(Agent10_Withdrawals!A66="","",Agent10_Withdrawals!G66)</f>
        <v/>
      </c>
      <c r="I1861" s="37" t="str">
        <f>IF(Agent10_Withdrawals!A66="","",Agent10_Withdrawals!H66)</f>
        <v/>
      </c>
      <c r="J1861" s="37" t="str">
        <f>IF(Agent10_Withdrawals!A66="","",Agent10_Withdrawals!J66)</f>
        <v/>
      </c>
      <c r="K1861" s="37" t="str">
        <f>IF(Agent10_Withdrawals!A66="","",Agent10_Withdrawals!K66)</f>
        <v/>
      </c>
      <c r="L1861" s="37" t="str">
        <f>IF(G1861="","",IF(D1861-G1861&gt;=System_Config!$B$9,"✅ OK","⚠️ BREACH"))</f>
        <v/>
      </c>
      <c r="M1861" s="37" t="str">
        <f>IFERROR(IF(Agent10_Withdrawals!A66="","",YEAR(Agent10_Withdrawals!D66)),"")</f>
        <v/>
      </c>
    </row>
    <row r="1862" spans="1:13" ht="18" customHeight="1" x14ac:dyDescent="0.25">
      <c r="A1862" s="37" t="str">
        <f>IF(Agent10_Withdrawals!A67="","",Agent10_Withdrawals!A67)</f>
        <v/>
      </c>
      <c r="B1862" s="37" t="str">
        <f ca="1">IF(Agent10_Withdrawals!A67="","","WD"&amp;TEXT(1862-3,"0000")&amp;"-"&amp;TEXT(TODAY(),"YYYYMMDD"))</f>
        <v/>
      </c>
      <c r="C1862" s="37" t="str">
        <f>IF(Agent10_Withdrawals!A67="","",Agent10_Withdrawals!B67)</f>
        <v/>
      </c>
      <c r="D1862" s="40" t="str">
        <f>IF(Agent10_Withdrawals!A67="","",Agent10_Withdrawals!C67)</f>
        <v/>
      </c>
      <c r="E1862" s="38" t="str">
        <f>IF(Agent10_Withdrawals!A67="","",Agent10_Withdrawals!D67)</f>
        <v/>
      </c>
      <c r="F1862" s="37" t="str">
        <f>IF(Agent10_Withdrawals!A67="","",Agent10_Withdrawals!F67)</f>
        <v/>
      </c>
      <c r="G1862" s="39" t="str">
        <f>IF(Agent10_Withdrawals!A67="","",Agent10_Withdrawals!E67)</f>
        <v/>
      </c>
      <c r="H1862" s="39" t="str">
        <f>IF(Agent10_Withdrawals!A67="","",Agent10_Withdrawals!G67)</f>
        <v/>
      </c>
      <c r="I1862" s="37" t="str">
        <f>IF(Agent10_Withdrawals!A67="","",Agent10_Withdrawals!H67)</f>
        <v/>
      </c>
      <c r="J1862" s="37" t="str">
        <f>IF(Agent10_Withdrawals!A67="","",Agent10_Withdrawals!J67)</f>
        <v/>
      </c>
      <c r="K1862" s="37" t="str">
        <f>IF(Agent10_Withdrawals!A67="","",Agent10_Withdrawals!K67)</f>
        <v/>
      </c>
      <c r="L1862" s="37" t="str">
        <f>IF(G1862="","",IF(D1862-G1862&gt;=System_Config!$B$9,"✅ OK","⚠️ BREACH"))</f>
        <v/>
      </c>
      <c r="M1862" s="37" t="str">
        <f>IFERROR(IF(Agent10_Withdrawals!A67="","",YEAR(Agent10_Withdrawals!D67)),"")</f>
        <v/>
      </c>
    </row>
    <row r="1863" spans="1:13" ht="18" customHeight="1" x14ac:dyDescent="0.25">
      <c r="A1863" s="37" t="str">
        <f>IF(Agent10_Withdrawals!A68="","",Agent10_Withdrawals!A68)</f>
        <v/>
      </c>
      <c r="B1863" s="37" t="str">
        <f ca="1">IF(Agent10_Withdrawals!A68="","","WD"&amp;TEXT(1863-3,"0000")&amp;"-"&amp;TEXT(TODAY(),"YYYYMMDD"))</f>
        <v/>
      </c>
      <c r="C1863" s="37" t="str">
        <f>IF(Agent10_Withdrawals!A68="","",Agent10_Withdrawals!B68)</f>
        <v/>
      </c>
      <c r="D1863" s="40" t="str">
        <f>IF(Agent10_Withdrawals!A68="","",Agent10_Withdrawals!C68)</f>
        <v/>
      </c>
      <c r="E1863" s="38" t="str">
        <f>IF(Agent10_Withdrawals!A68="","",Agent10_Withdrawals!D68)</f>
        <v/>
      </c>
      <c r="F1863" s="37" t="str">
        <f>IF(Agent10_Withdrawals!A68="","",Agent10_Withdrawals!F68)</f>
        <v/>
      </c>
      <c r="G1863" s="39" t="str">
        <f>IF(Agent10_Withdrawals!A68="","",Agent10_Withdrawals!E68)</f>
        <v/>
      </c>
      <c r="H1863" s="39" t="str">
        <f>IF(Agent10_Withdrawals!A68="","",Agent10_Withdrawals!G68)</f>
        <v/>
      </c>
      <c r="I1863" s="37" t="str">
        <f>IF(Agent10_Withdrawals!A68="","",Agent10_Withdrawals!H68)</f>
        <v/>
      </c>
      <c r="J1863" s="37" t="str">
        <f>IF(Agent10_Withdrawals!A68="","",Agent10_Withdrawals!J68)</f>
        <v/>
      </c>
      <c r="K1863" s="37" t="str">
        <f>IF(Agent10_Withdrawals!A68="","",Agent10_Withdrawals!K68)</f>
        <v/>
      </c>
      <c r="L1863" s="37" t="str">
        <f>IF(G1863="","",IF(D1863-G1863&gt;=System_Config!$B$9,"✅ OK","⚠️ BREACH"))</f>
        <v/>
      </c>
      <c r="M1863" s="37" t="str">
        <f>IFERROR(IF(Agent10_Withdrawals!A68="","",YEAR(Agent10_Withdrawals!D68)),"")</f>
        <v/>
      </c>
    </row>
    <row r="1864" spans="1:13" ht="18" customHeight="1" x14ac:dyDescent="0.25">
      <c r="A1864" s="37" t="str">
        <f>IF(Agent10_Withdrawals!A69="","",Agent10_Withdrawals!A69)</f>
        <v/>
      </c>
      <c r="B1864" s="37" t="str">
        <f ca="1">IF(Agent10_Withdrawals!A69="","","WD"&amp;TEXT(1864-3,"0000")&amp;"-"&amp;TEXT(TODAY(),"YYYYMMDD"))</f>
        <v/>
      </c>
      <c r="C1864" s="37" t="str">
        <f>IF(Agent10_Withdrawals!A69="","",Agent10_Withdrawals!B69)</f>
        <v/>
      </c>
      <c r="D1864" s="40" t="str">
        <f>IF(Agent10_Withdrawals!A69="","",Agent10_Withdrawals!C69)</f>
        <v/>
      </c>
      <c r="E1864" s="38" t="str">
        <f>IF(Agent10_Withdrawals!A69="","",Agent10_Withdrawals!D69)</f>
        <v/>
      </c>
      <c r="F1864" s="37" t="str">
        <f>IF(Agent10_Withdrawals!A69="","",Agent10_Withdrawals!F69)</f>
        <v/>
      </c>
      <c r="G1864" s="39" t="str">
        <f>IF(Agent10_Withdrawals!A69="","",Agent10_Withdrawals!E69)</f>
        <v/>
      </c>
      <c r="H1864" s="39" t="str">
        <f>IF(Agent10_Withdrawals!A69="","",Agent10_Withdrawals!G69)</f>
        <v/>
      </c>
      <c r="I1864" s="37" t="str">
        <f>IF(Agent10_Withdrawals!A69="","",Agent10_Withdrawals!H69)</f>
        <v/>
      </c>
      <c r="J1864" s="37" t="str">
        <f>IF(Agent10_Withdrawals!A69="","",Agent10_Withdrawals!J69)</f>
        <v/>
      </c>
      <c r="K1864" s="37" t="str">
        <f>IF(Agent10_Withdrawals!A69="","",Agent10_Withdrawals!K69)</f>
        <v/>
      </c>
      <c r="L1864" s="37" t="str">
        <f>IF(G1864="","",IF(D1864-G1864&gt;=System_Config!$B$9,"✅ OK","⚠️ BREACH"))</f>
        <v/>
      </c>
      <c r="M1864" s="37" t="str">
        <f>IFERROR(IF(Agent10_Withdrawals!A69="","",YEAR(Agent10_Withdrawals!D69)),"")</f>
        <v/>
      </c>
    </row>
    <row r="1865" spans="1:13" ht="18" customHeight="1" x14ac:dyDescent="0.25">
      <c r="A1865" s="37" t="str">
        <f>IF(Agent10_Withdrawals!A70="","",Agent10_Withdrawals!A70)</f>
        <v/>
      </c>
      <c r="B1865" s="37" t="str">
        <f ca="1">IF(Agent10_Withdrawals!A70="","","WD"&amp;TEXT(1865-3,"0000")&amp;"-"&amp;TEXT(TODAY(),"YYYYMMDD"))</f>
        <v/>
      </c>
      <c r="C1865" s="37" t="str">
        <f>IF(Agent10_Withdrawals!A70="","",Agent10_Withdrawals!B70)</f>
        <v/>
      </c>
      <c r="D1865" s="40" t="str">
        <f>IF(Agent10_Withdrawals!A70="","",Agent10_Withdrawals!C70)</f>
        <v/>
      </c>
      <c r="E1865" s="38" t="str">
        <f>IF(Agent10_Withdrawals!A70="","",Agent10_Withdrawals!D70)</f>
        <v/>
      </c>
      <c r="F1865" s="37" t="str">
        <f>IF(Agent10_Withdrawals!A70="","",Agent10_Withdrawals!F70)</f>
        <v/>
      </c>
      <c r="G1865" s="39" t="str">
        <f>IF(Agent10_Withdrawals!A70="","",Agent10_Withdrawals!E70)</f>
        <v/>
      </c>
      <c r="H1865" s="39" t="str">
        <f>IF(Agent10_Withdrawals!A70="","",Agent10_Withdrawals!G70)</f>
        <v/>
      </c>
      <c r="I1865" s="37" t="str">
        <f>IF(Agent10_Withdrawals!A70="","",Agent10_Withdrawals!H70)</f>
        <v/>
      </c>
      <c r="J1865" s="37" t="str">
        <f>IF(Agent10_Withdrawals!A70="","",Agent10_Withdrawals!J70)</f>
        <v/>
      </c>
      <c r="K1865" s="37" t="str">
        <f>IF(Agent10_Withdrawals!A70="","",Agent10_Withdrawals!K70)</f>
        <v/>
      </c>
      <c r="L1865" s="37" t="str">
        <f>IF(G1865="","",IF(D1865-G1865&gt;=System_Config!$B$9,"✅ OK","⚠️ BREACH"))</f>
        <v/>
      </c>
      <c r="M1865" s="37" t="str">
        <f>IFERROR(IF(Agent10_Withdrawals!A70="","",YEAR(Agent10_Withdrawals!D70)),"")</f>
        <v/>
      </c>
    </row>
    <row r="1866" spans="1:13" ht="18" customHeight="1" x14ac:dyDescent="0.25">
      <c r="A1866" s="37" t="str">
        <f>IF(Agent10_Withdrawals!A71="","",Agent10_Withdrawals!A71)</f>
        <v/>
      </c>
      <c r="B1866" s="37" t="str">
        <f ca="1">IF(Agent10_Withdrawals!A71="","","WD"&amp;TEXT(1866-3,"0000")&amp;"-"&amp;TEXT(TODAY(),"YYYYMMDD"))</f>
        <v/>
      </c>
      <c r="C1866" s="37" t="str">
        <f>IF(Agent10_Withdrawals!A71="","",Agent10_Withdrawals!B71)</f>
        <v/>
      </c>
      <c r="D1866" s="40" t="str">
        <f>IF(Agent10_Withdrawals!A71="","",Agent10_Withdrawals!C71)</f>
        <v/>
      </c>
      <c r="E1866" s="38" t="str">
        <f>IF(Agent10_Withdrawals!A71="","",Agent10_Withdrawals!D71)</f>
        <v/>
      </c>
      <c r="F1866" s="37" t="str">
        <f>IF(Agent10_Withdrawals!A71="","",Agent10_Withdrawals!F71)</f>
        <v/>
      </c>
      <c r="G1866" s="39" t="str">
        <f>IF(Agent10_Withdrawals!A71="","",Agent10_Withdrawals!E71)</f>
        <v/>
      </c>
      <c r="H1866" s="39" t="str">
        <f>IF(Agent10_Withdrawals!A71="","",Agent10_Withdrawals!G71)</f>
        <v/>
      </c>
      <c r="I1866" s="37" t="str">
        <f>IF(Agent10_Withdrawals!A71="","",Agent10_Withdrawals!H71)</f>
        <v/>
      </c>
      <c r="J1866" s="37" t="str">
        <f>IF(Agent10_Withdrawals!A71="","",Agent10_Withdrawals!J71)</f>
        <v/>
      </c>
      <c r="K1866" s="37" t="str">
        <f>IF(Agent10_Withdrawals!A71="","",Agent10_Withdrawals!K71)</f>
        <v/>
      </c>
      <c r="L1866" s="37" t="str">
        <f>IF(G1866="","",IF(D1866-G1866&gt;=System_Config!$B$9,"✅ OK","⚠️ BREACH"))</f>
        <v/>
      </c>
      <c r="M1866" s="37" t="str">
        <f>IFERROR(IF(Agent10_Withdrawals!A71="","",YEAR(Agent10_Withdrawals!D71)),"")</f>
        <v/>
      </c>
    </row>
    <row r="1867" spans="1:13" ht="18" customHeight="1" x14ac:dyDescent="0.25">
      <c r="A1867" s="37" t="str">
        <f>IF(Agent10_Withdrawals!A72="","",Agent10_Withdrawals!A72)</f>
        <v/>
      </c>
      <c r="B1867" s="37" t="str">
        <f ca="1">IF(Agent10_Withdrawals!A72="","","WD"&amp;TEXT(1867-3,"0000")&amp;"-"&amp;TEXT(TODAY(),"YYYYMMDD"))</f>
        <v/>
      </c>
      <c r="C1867" s="37" t="str">
        <f>IF(Agent10_Withdrawals!A72="","",Agent10_Withdrawals!B72)</f>
        <v/>
      </c>
      <c r="D1867" s="40" t="str">
        <f>IF(Agent10_Withdrawals!A72="","",Agent10_Withdrawals!C72)</f>
        <v/>
      </c>
      <c r="E1867" s="38" t="str">
        <f>IF(Agent10_Withdrawals!A72="","",Agent10_Withdrawals!D72)</f>
        <v/>
      </c>
      <c r="F1867" s="37" t="str">
        <f>IF(Agent10_Withdrawals!A72="","",Agent10_Withdrawals!F72)</f>
        <v/>
      </c>
      <c r="G1867" s="39" t="str">
        <f>IF(Agent10_Withdrawals!A72="","",Agent10_Withdrawals!E72)</f>
        <v/>
      </c>
      <c r="H1867" s="39" t="str">
        <f>IF(Agent10_Withdrawals!A72="","",Agent10_Withdrawals!G72)</f>
        <v/>
      </c>
      <c r="I1867" s="37" t="str">
        <f>IF(Agent10_Withdrawals!A72="","",Agent10_Withdrawals!H72)</f>
        <v/>
      </c>
      <c r="J1867" s="37" t="str">
        <f>IF(Agent10_Withdrawals!A72="","",Agent10_Withdrawals!J72)</f>
        <v/>
      </c>
      <c r="K1867" s="37" t="str">
        <f>IF(Agent10_Withdrawals!A72="","",Agent10_Withdrawals!K72)</f>
        <v/>
      </c>
      <c r="L1867" s="37" t="str">
        <f>IF(G1867="","",IF(D1867-G1867&gt;=System_Config!$B$9,"✅ OK","⚠️ BREACH"))</f>
        <v/>
      </c>
      <c r="M1867" s="37" t="str">
        <f>IFERROR(IF(Agent10_Withdrawals!A72="","",YEAR(Agent10_Withdrawals!D72)),"")</f>
        <v/>
      </c>
    </row>
    <row r="1868" spans="1:13" ht="18" customHeight="1" x14ac:dyDescent="0.25">
      <c r="A1868" s="37" t="str">
        <f>IF(Agent10_Withdrawals!A73="","",Agent10_Withdrawals!A73)</f>
        <v/>
      </c>
      <c r="B1868" s="37" t="str">
        <f ca="1">IF(Agent10_Withdrawals!A73="","","WD"&amp;TEXT(1868-3,"0000")&amp;"-"&amp;TEXT(TODAY(),"YYYYMMDD"))</f>
        <v/>
      </c>
      <c r="C1868" s="37" t="str">
        <f>IF(Agent10_Withdrawals!A73="","",Agent10_Withdrawals!B73)</f>
        <v/>
      </c>
      <c r="D1868" s="40" t="str">
        <f>IF(Agent10_Withdrawals!A73="","",Agent10_Withdrawals!C73)</f>
        <v/>
      </c>
      <c r="E1868" s="38" t="str">
        <f>IF(Agent10_Withdrawals!A73="","",Agent10_Withdrawals!D73)</f>
        <v/>
      </c>
      <c r="F1868" s="37" t="str">
        <f>IF(Agent10_Withdrawals!A73="","",Agent10_Withdrawals!F73)</f>
        <v/>
      </c>
      <c r="G1868" s="39" t="str">
        <f>IF(Agent10_Withdrawals!A73="","",Agent10_Withdrawals!E73)</f>
        <v/>
      </c>
      <c r="H1868" s="39" t="str">
        <f>IF(Agent10_Withdrawals!A73="","",Agent10_Withdrawals!G73)</f>
        <v/>
      </c>
      <c r="I1868" s="37" t="str">
        <f>IF(Agent10_Withdrawals!A73="","",Agent10_Withdrawals!H73)</f>
        <v/>
      </c>
      <c r="J1868" s="37" t="str">
        <f>IF(Agent10_Withdrawals!A73="","",Agent10_Withdrawals!J73)</f>
        <v/>
      </c>
      <c r="K1868" s="37" t="str">
        <f>IF(Agent10_Withdrawals!A73="","",Agent10_Withdrawals!K73)</f>
        <v/>
      </c>
      <c r="L1868" s="37" t="str">
        <f>IF(G1868="","",IF(D1868-G1868&gt;=System_Config!$B$9,"✅ OK","⚠️ BREACH"))</f>
        <v/>
      </c>
      <c r="M1868" s="37" t="str">
        <f>IFERROR(IF(Agent10_Withdrawals!A73="","",YEAR(Agent10_Withdrawals!D73)),"")</f>
        <v/>
      </c>
    </row>
    <row r="1869" spans="1:13" ht="18" customHeight="1" x14ac:dyDescent="0.25">
      <c r="A1869" s="37" t="str">
        <f>IF(Agent10_Withdrawals!A74="","",Agent10_Withdrawals!A74)</f>
        <v/>
      </c>
      <c r="B1869" s="37" t="str">
        <f ca="1">IF(Agent10_Withdrawals!A74="","","WD"&amp;TEXT(1869-3,"0000")&amp;"-"&amp;TEXT(TODAY(),"YYYYMMDD"))</f>
        <v/>
      </c>
      <c r="C1869" s="37" t="str">
        <f>IF(Agent10_Withdrawals!A74="","",Agent10_Withdrawals!B74)</f>
        <v/>
      </c>
      <c r="D1869" s="40" t="str">
        <f>IF(Agent10_Withdrawals!A74="","",Agent10_Withdrawals!C74)</f>
        <v/>
      </c>
      <c r="E1869" s="38" t="str">
        <f>IF(Agent10_Withdrawals!A74="","",Agent10_Withdrawals!D74)</f>
        <v/>
      </c>
      <c r="F1869" s="37" t="str">
        <f>IF(Agent10_Withdrawals!A74="","",Agent10_Withdrawals!F74)</f>
        <v/>
      </c>
      <c r="G1869" s="39" t="str">
        <f>IF(Agent10_Withdrawals!A74="","",Agent10_Withdrawals!E74)</f>
        <v/>
      </c>
      <c r="H1869" s="39" t="str">
        <f>IF(Agent10_Withdrawals!A74="","",Agent10_Withdrawals!G74)</f>
        <v/>
      </c>
      <c r="I1869" s="37" t="str">
        <f>IF(Agent10_Withdrawals!A74="","",Agent10_Withdrawals!H74)</f>
        <v/>
      </c>
      <c r="J1869" s="37" t="str">
        <f>IF(Agent10_Withdrawals!A74="","",Agent10_Withdrawals!J74)</f>
        <v/>
      </c>
      <c r="K1869" s="37" t="str">
        <f>IF(Agent10_Withdrawals!A74="","",Agent10_Withdrawals!K74)</f>
        <v/>
      </c>
      <c r="L1869" s="37" t="str">
        <f>IF(G1869="","",IF(D1869-G1869&gt;=System_Config!$B$9,"✅ OK","⚠️ BREACH"))</f>
        <v/>
      </c>
      <c r="M1869" s="37" t="str">
        <f>IFERROR(IF(Agent10_Withdrawals!A74="","",YEAR(Agent10_Withdrawals!D74)),"")</f>
        <v/>
      </c>
    </row>
    <row r="1870" spans="1:13" ht="18" customHeight="1" x14ac:dyDescent="0.25">
      <c r="A1870" s="37" t="str">
        <f>IF(Agent10_Withdrawals!A75="","",Agent10_Withdrawals!A75)</f>
        <v/>
      </c>
      <c r="B1870" s="37" t="str">
        <f ca="1">IF(Agent10_Withdrawals!A75="","","WD"&amp;TEXT(1870-3,"0000")&amp;"-"&amp;TEXT(TODAY(),"YYYYMMDD"))</f>
        <v/>
      </c>
      <c r="C1870" s="37" t="str">
        <f>IF(Agent10_Withdrawals!A75="","",Agent10_Withdrawals!B75)</f>
        <v/>
      </c>
      <c r="D1870" s="40" t="str">
        <f>IF(Agent10_Withdrawals!A75="","",Agent10_Withdrawals!C75)</f>
        <v/>
      </c>
      <c r="E1870" s="38" t="str">
        <f>IF(Agent10_Withdrawals!A75="","",Agent10_Withdrawals!D75)</f>
        <v/>
      </c>
      <c r="F1870" s="37" t="str">
        <f>IF(Agent10_Withdrawals!A75="","",Agent10_Withdrawals!F75)</f>
        <v/>
      </c>
      <c r="G1870" s="39" t="str">
        <f>IF(Agent10_Withdrawals!A75="","",Agent10_Withdrawals!E75)</f>
        <v/>
      </c>
      <c r="H1870" s="39" t="str">
        <f>IF(Agent10_Withdrawals!A75="","",Agent10_Withdrawals!G75)</f>
        <v/>
      </c>
      <c r="I1870" s="37" t="str">
        <f>IF(Agent10_Withdrawals!A75="","",Agent10_Withdrawals!H75)</f>
        <v/>
      </c>
      <c r="J1870" s="37" t="str">
        <f>IF(Agent10_Withdrawals!A75="","",Agent10_Withdrawals!J75)</f>
        <v/>
      </c>
      <c r="K1870" s="37" t="str">
        <f>IF(Agent10_Withdrawals!A75="","",Agent10_Withdrawals!K75)</f>
        <v/>
      </c>
      <c r="L1870" s="37" t="str">
        <f>IF(G1870="","",IF(D1870-G1870&gt;=System_Config!$B$9,"✅ OK","⚠️ BREACH"))</f>
        <v/>
      </c>
      <c r="M1870" s="37" t="str">
        <f>IFERROR(IF(Agent10_Withdrawals!A75="","",YEAR(Agent10_Withdrawals!D75)),"")</f>
        <v/>
      </c>
    </row>
    <row r="1871" spans="1:13" ht="18" customHeight="1" x14ac:dyDescent="0.25">
      <c r="A1871" s="37" t="str">
        <f>IF(Agent10_Withdrawals!A76="","",Agent10_Withdrawals!A76)</f>
        <v/>
      </c>
      <c r="B1871" s="37" t="str">
        <f ca="1">IF(Agent10_Withdrawals!A76="","","WD"&amp;TEXT(1871-3,"0000")&amp;"-"&amp;TEXT(TODAY(),"YYYYMMDD"))</f>
        <v/>
      </c>
      <c r="C1871" s="37" t="str">
        <f>IF(Agent10_Withdrawals!A76="","",Agent10_Withdrawals!B76)</f>
        <v/>
      </c>
      <c r="D1871" s="40" t="str">
        <f>IF(Agent10_Withdrawals!A76="","",Agent10_Withdrawals!C76)</f>
        <v/>
      </c>
      <c r="E1871" s="38" t="str">
        <f>IF(Agent10_Withdrawals!A76="","",Agent10_Withdrawals!D76)</f>
        <v/>
      </c>
      <c r="F1871" s="37" t="str">
        <f>IF(Agent10_Withdrawals!A76="","",Agent10_Withdrawals!F76)</f>
        <v/>
      </c>
      <c r="G1871" s="39" t="str">
        <f>IF(Agent10_Withdrawals!A76="","",Agent10_Withdrawals!E76)</f>
        <v/>
      </c>
      <c r="H1871" s="39" t="str">
        <f>IF(Agent10_Withdrawals!A76="","",Agent10_Withdrawals!G76)</f>
        <v/>
      </c>
      <c r="I1871" s="37" t="str">
        <f>IF(Agent10_Withdrawals!A76="","",Agent10_Withdrawals!H76)</f>
        <v/>
      </c>
      <c r="J1871" s="37" t="str">
        <f>IF(Agent10_Withdrawals!A76="","",Agent10_Withdrawals!J76)</f>
        <v/>
      </c>
      <c r="K1871" s="37" t="str">
        <f>IF(Agent10_Withdrawals!A76="","",Agent10_Withdrawals!K76)</f>
        <v/>
      </c>
      <c r="L1871" s="37" t="str">
        <f>IF(G1871="","",IF(D1871-G1871&gt;=System_Config!$B$9,"✅ OK","⚠️ BREACH"))</f>
        <v/>
      </c>
      <c r="M1871" s="37" t="str">
        <f>IFERROR(IF(Agent10_Withdrawals!A76="","",YEAR(Agent10_Withdrawals!D76)),"")</f>
        <v/>
      </c>
    </row>
    <row r="1872" spans="1:13" ht="18" customHeight="1" x14ac:dyDescent="0.25">
      <c r="A1872" s="37" t="str">
        <f>IF(Agent10_Withdrawals!A77="","",Agent10_Withdrawals!A77)</f>
        <v/>
      </c>
      <c r="B1872" s="37" t="str">
        <f ca="1">IF(Agent10_Withdrawals!A77="","","WD"&amp;TEXT(1872-3,"0000")&amp;"-"&amp;TEXT(TODAY(),"YYYYMMDD"))</f>
        <v/>
      </c>
      <c r="C1872" s="37" t="str">
        <f>IF(Agent10_Withdrawals!A77="","",Agent10_Withdrawals!B77)</f>
        <v/>
      </c>
      <c r="D1872" s="40" t="str">
        <f>IF(Agent10_Withdrawals!A77="","",Agent10_Withdrawals!C77)</f>
        <v/>
      </c>
      <c r="E1872" s="38" t="str">
        <f>IF(Agent10_Withdrawals!A77="","",Agent10_Withdrawals!D77)</f>
        <v/>
      </c>
      <c r="F1872" s="37" t="str">
        <f>IF(Agent10_Withdrawals!A77="","",Agent10_Withdrawals!F77)</f>
        <v/>
      </c>
      <c r="G1872" s="39" t="str">
        <f>IF(Agent10_Withdrawals!A77="","",Agent10_Withdrawals!E77)</f>
        <v/>
      </c>
      <c r="H1872" s="39" t="str">
        <f>IF(Agent10_Withdrawals!A77="","",Agent10_Withdrawals!G77)</f>
        <v/>
      </c>
      <c r="I1872" s="37" t="str">
        <f>IF(Agent10_Withdrawals!A77="","",Agent10_Withdrawals!H77)</f>
        <v/>
      </c>
      <c r="J1872" s="37" t="str">
        <f>IF(Agent10_Withdrawals!A77="","",Agent10_Withdrawals!J77)</f>
        <v/>
      </c>
      <c r="K1872" s="37" t="str">
        <f>IF(Agent10_Withdrawals!A77="","",Agent10_Withdrawals!K77)</f>
        <v/>
      </c>
      <c r="L1872" s="37" t="str">
        <f>IF(G1872="","",IF(D1872-G1872&gt;=System_Config!$B$9,"✅ OK","⚠️ BREACH"))</f>
        <v/>
      </c>
      <c r="M1872" s="37" t="str">
        <f>IFERROR(IF(Agent10_Withdrawals!A77="","",YEAR(Agent10_Withdrawals!D77)),"")</f>
        <v/>
      </c>
    </row>
    <row r="1873" spans="1:13" ht="18" customHeight="1" x14ac:dyDescent="0.25">
      <c r="A1873" s="37" t="str">
        <f>IF(Agent10_Withdrawals!A78="","",Agent10_Withdrawals!A78)</f>
        <v/>
      </c>
      <c r="B1873" s="37" t="str">
        <f ca="1">IF(Agent10_Withdrawals!A78="","","WD"&amp;TEXT(1873-3,"0000")&amp;"-"&amp;TEXT(TODAY(),"YYYYMMDD"))</f>
        <v/>
      </c>
      <c r="C1873" s="37" t="str">
        <f>IF(Agent10_Withdrawals!A78="","",Agent10_Withdrawals!B78)</f>
        <v/>
      </c>
      <c r="D1873" s="40" t="str">
        <f>IF(Agent10_Withdrawals!A78="","",Agent10_Withdrawals!C78)</f>
        <v/>
      </c>
      <c r="E1873" s="38" t="str">
        <f>IF(Agent10_Withdrawals!A78="","",Agent10_Withdrawals!D78)</f>
        <v/>
      </c>
      <c r="F1873" s="37" t="str">
        <f>IF(Agent10_Withdrawals!A78="","",Agent10_Withdrawals!F78)</f>
        <v/>
      </c>
      <c r="G1873" s="39" t="str">
        <f>IF(Agent10_Withdrawals!A78="","",Agent10_Withdrawals!E78)</f>
        <v/>
      </c>
      <c r="H1873" s="39" t="str">
        <f>IF(Agent10_Withdrawals!A78="","",Agent10_Withdrawals!G78)</f>
        <v/>
      </c>
      <c r="I1873" s="37" t="str">
        <f>IF(Agent10_Withdrawals!A78="","",Agent10_Withdrawals!H78)</f>
        <v/>
      </c>
      <c r="J1873" s="37" t="str">
        <f>IF(Agent10_Withdrawals!A78="","",Agent10_Withdrawals!J78)</f>
        <v/>
      </c>
      <c r="K1873" s="37" t="str">
        <f>IF(Agent10_Withdrawals!A78="","",Agent10_Withdrawals!K78)</f>
        <v/>
      </c>
      <c r="L1873" s="37" t="str">
        <f>IF(G1873="","",IF(D1873-G1873&gt;=System_Config!$B$9,"✅ OK","⚠️ BREACH"))</f>
        <v/>
      </c>
      <c r="M1873" s="37" t="str">
        <f>IFERROR(IF(Agent10_Withdrawals!A78="","",YEAR(Agent10_Withdrawals!D78)),"")</f>
        <v/>
      </c>
    </row>
    <row r="1874" spans="1:13" ht="18" customHeight="1" x14ac:dyDescent="0.25">
      <c r="A1874" s="37" t="str">
        <f>IF(Agent10_Withdrawals!A79="","",Agent10_Withdrawals!A79)</f>
        <v/>
      </c>
      <c r="B1874" s="37" t="str">
        <f ca="1">IF(Agent10_Withdrawals!A79="","","WD"&amp;TEXT(1874-3,"0000")&amp;"-"&amp;TEXT(TODAY(),"YYYYMMDD"))</f>
        <v/>
      </c>
      <c r="C1874" s="37" t="str">
        <f>IF(Agent10_Withdrawals!A79="","",Agent10_Withdrawals!B79)</f>
        <v/>
      </c>
      <c r="D1874" s="40" t="str">
        <f>IF(Agent10_Withdrawals!A79="","",Agent10_Withdrawals!C79)</f>
        <v/>
      </c>
      <c r="E1874" s="38" t="str">
        <f>IF(Agent10_Withdrawals!A79="","",Agent10_Withdrawals!D79)</f>
        <v/>
      </c>
      <c r="F1874" s="37" t="str">
        <f>IF(Agent10_Withdrawals!A79="","",Agent10_Withdrawals!F79)</f>
        <v/>
      </c>
      <c r="G1874" s="39" t="str">
        <f>IF(Agent10_Withdrawals!A79="","",Agent10_Withdrawals!E79)</f>
        <v/>
      </c>
      <c r="H1874" s="39" t="str">
        <f>IF(Agent10_Withdrawals!A79="","",Agent10_Withdrawals!G79)</f>
        <v/>
      </c>
      <c r="I1874" s="37" t="str">
        <f>IF(Agent10_Withdrawals!A79="","",Agent10_Withdrawals!H79)</f>
        <v/>
      </c>
      <c r="J1874" s="37" t="str">
        <f>IF(Agent10_Withdrawals!A79="","",Agent10_Withdrawals!J79)</f>
        <v/>
      </c>
      <c r="K1874" s="37" t="str">
        <f>IF(Agent10_Withdrawals!A79="","",Agent10_Withdrawals!K79)</f>
        <v/>
      </c>
      <c r="L1874" s="37" t="str">
        <f>IF(G1874="","",IF(D1874-G1874&gt;=System_Config!$B$9,"✅ OK","⚠️ BREACH"))</f>
        <v/>
      </c>
      <c r="M1874" s="37" t="str">
        <f>IFERROR(IF(Agent10_Withdrawals!A79="","",YEAR(Agent10_Withdrawals!D79)),"")</f>
        <v/>
      </c>
    </row>
    <row r="1875" spans="1:13" ht="18" customHeight="1" x14ac:dyDescent="0.25">
      <c r="A1875" s="37" t="str">
        <f>IF(Agent10_Withdrawals!A80="","",Agent10_Withdrawals!A80)</f>
        <v/>
      </c>
      <c r="B1875" s="37" t="str">
        <f ca="1">IF(Agent10_Withdrawals!A80="","","WD"&amp;TEXT(1875-3,"0000")&amp;"-"&amp;TEXT(TODAY(),"YYYYMMDD"))</f>
        <v/>
      </c>
      <c r="C1875" s="37" t="str">
        <f>IF(Agent10_Withdrawals!A80="","",Agent10_Withdrawals!B80)</f>
        <v/>
      </c>
      <c r="D1875" s="40" t="str">
        <f>IF(Agent10_Withdrawals!A80="","",Agent10_Withdrawals!C80)</f>
        <v/>
      </c>
      <c r="E1875" s="38" t="str">
        <f>IF(Agent10_Withdrawals!A80="","",Agent10_Withdrawals!D80)</f>
        <v/>
      </c>
      <c r="F1875" s="37" t="str">
        <f>IF(Agent10_Withdrawals!A80="","",Agent10_Withdrawals!F80)</f>
        <v/>
      </c>
      <c r="G1875" s="39" t="str">
        <f>IF(Agent10_Withdrawals!A80="","",Agent10_Withdrawals!E80)</f>
        <v/>
      </c>
      <c r="H1875" s="39" t="str">
        <f>IF(Agent10_Withdrawals!A80="","",Agent10_Withdrawals!G80)</f>
        <v/>
      </c>
      <c r="I1875" s="37" t="str">
        <f>IF(Agent10_Withdrawals!A80="","",Agent10_Withdrawals!H80)</f>
        <v/>
      </c>
      <c r="J1875" s="37" t="str">
        <f>IF(Agent10_Withdrawals!A80="","",Agent10_Withdrawals!J80)</f>
        <v/>
      </c>
      <c r="K1875" s="37" t="str">
        <f>IF(Agent10_Withdrawals!A80="","",Agent10_Withdrawals!K80)</f>
        <v/>
      </c>
      <c r="L1875" s="37" t="str">
        <f>IF(G1875="","",IF(D1875-G1875&gt;=System_Config!$B$9,"✅ OK","⚠️ BREACH"))</f>
        <v/>
      </c>
      <c r="M1875" s="37" t="str">
        <f>IFERROR(IF(Agent10_Withdrawals!A80="","",YEAR(Agent10_Withdrawals!D80)),"")</f>
        <v/>
      </c>
    </row>
    <row r="1876" spans="1:13" ht="18" customHeight="1" x14ac:dyDescent="0.25">
      <c r="A1876" s="37" t="str">
        <f>IF(Agent10_Withdrawals!A81="","",Agent10_Withdrawals!A81)</f>
        <v/>
      </c>
      <c r="B1876" s="37" t="str">
        <f ca="1">IF(Agent10_Withdrawals!A81="","","WD"&amp;TEXT(1876-3,"0000")&amp;"-"&amp;TEXT(TODAY(),"YYYYMMDD"))</f>
        <v/>
      </c>
      <c r="C1876" s="37" t="str">
        <f>IF(Agent10_Withdrawals!A81="","",Agent10_Withdrawals!B81)</f>
        <v/>
      </c>
      <c r="D1876" s="40" t="str">
        <f>IF(Agent10_Withdrawals!A81="","",Agent10_Withdrawals!C81)</f>
        <v/>
      </c>
      <c r="E1876" s="38" t="str">
        <f>IF(Agent10_Withdrawals!A81="","",Agent10_Withdrawals!D81)</f>
        <v/>
      </c>
      <c r="F1876" s="37" t="str">
        <f>IF(Agent10_Withdrawals!A81="","",Agent10_Withdrawals!F81)</f>
        <v/>
      </c>
      <c r="G1876" s="39" t="str">
        <f>IF(Agent10_Withdrawals!A81="","",Agent10_Withdrawals!E81)</f>
        <v/>
      </c>
      <c r="H1876" s="39" t="str">
        <f>IF(Agent10_Withdrawals!A81="","",Agent10_Withdrawals!G81)</f>
        <v/>
      </c>
      <c r="I1876" s="37" t="str">
        <f>IF(Agent10_Withdrawals!A81="","",Agent10_Withdrawals!H81)</f>
        <v/>
      </c>
      <c r="J1876" s="37" t="str">
        <f>IF(Agent10_Withdrawals!A81="","",Agent10_Withdrawals!J81)</f>
        <v/>
      </c>
      <c r="K1876" s="37" t="str">
        <f>IF(Agent10_Withdrawals!A81="","",Agent10_Withdrawals!K81)</f>
        <v/>
      </c>
      <c r="L1876" s="37" t="str">
        <f>IF(G1876="","",IF(D1876-G1876&gt;=System_Config!$B$9,"✅ OK","⚠️ BREACH"))</f>
        <v/>
      </c>
      <c r="M1876" s="37" t="str">
        <f>IFERROR(IF(Agent10_Withdrawals!A81="","",YEAR(Agent10_Withdrawals!D81)),"")</f>
        <v/>
      </c>
    </row>
    <row r="1877" spans="1:13" ht="18" customHeight="1" x14ac:dyDescent="0.25">
      <c r="A1877" s="37" t="str">
        <f>IF(Agent10_Withdrawals!A82="","",Agent10_Withdrawals!A82)</f>
        <v/>
      </c>
      <c r="B1877" s="37" t="str">
        <f ca="1">IF(Agent10_Withdrawals!A82="","","WD"&amp;TEXT(1877-3,"0000")&amp;"-"&amp;TEXT(TODAY(),"YYYYMMDD"))</f>
        <v/>
      </c>
      <c r="C1877" s="37" t="str">
        <f>IF(Agent10_Withdrawals!A82="","",Agent10_Withdrawals!B82)</f>
        <v/>
      </c>
      <c r="D1877" s="40" t="str">
        <f>IF(Agent10_Withdrawals!A82="","",Agent10_Withdrawals!C82)</f>
        <v/>
      </c>
      <c r="E1877" s="38" t="str">
        <f>IF(Agent10_Withdrawals!A82="","",Agent10_Withdrawals!D82)</f>
        <v/>
      </c>
      <c r="F1877" s="37" t="str">
        <f>IF(Agent10_Withdrawals!A82="","",Agent10_Withdrawals!F82)</f>
        <v/>
      </c>
      <c r="G1877" s="39" t="str">
        <f>IF(Agent10_Withdrawals!A82="","",Agent10_Withdrawals!E82)</f>
        <v/>
      </c>
      <c r="H1877" s="39" t="str">
        <f>IF(Agent10_Withdrawals!A82="","",Agent10_Withdrawals!G82)</f>
        <v/>
      </c>
      <c r="I1877" s="37" t="str">
        <f>IF(Agent10_Withdrawals!A82="","",Agent10_Withdrawals!H82)</f>
        <v/>
      </c>
      <c r="J1877" s="37" t="str">
        <f>IF(Agent10_Withdrawals!A82="","",Agent10_Withdrawals!J82)</f>
        <v/>
      </c>
      <c r="K1877" s="37" t="str">
        <f>IF(Agent10_Withdrawals!A82="","",Agent10_Withdrawals!K82)</f>
        <v/>
      </c>
      <c r="L1877" s="37" t="str">
        <f>IF(G1877="","",IF(D1877-G1877&gt;=System_Config!$B$9,"✅ OK","⚠️ BREACH"))</f>
        <v/>
      </c>
      <c r="M1877" s="37" t="str">
        <f>IFERROR(IF(Agent10_Withdrawals!A82="","",YEAR(Agent10_Withdrawals!D82)),"")</f>
        <v/>
      </c>
    </row>
    <row r="1878" spans="1:13" ht="18" customHeight="1" x14ac:dyDescent="0.25">
      <c r="A1878" s="37" t="str">
        <f>IF(Agent10_Withdrawals!A83="","",Agent10_Withdrawals!A83)</f>
        <v/>
      </c>
      <c r="B1878" s="37" t="str">
        <f ca="1">IF(Agent10_Withdrawals!A83="","","WD"&amp;TEXT(1878-3,"0000")&amp;"-"&amp;TEXT(TODAY(),"YYYYMMDD"))</f>
        <v/>
      </c>
      <c r="C1878" s="37" t="str">
        <f>IF(Agent10_Withdrawals!A83="","",Agent10_Withdrawals!B83)</f>
        <v/>
      </c>
      <c r="D1878" s="40" t="str">
        <f>IF(Agent10_Withdrawals!A83="","",Agent10_Withdrawals!C83)</f>
        <v/>
      </c>
      <c r="E1878" s="38" t="str">
        <f>IF(Agent10_Withdrawals!A83="","",Agent10_Withdrawals!D83)</f>
        <v/>
      </c>
      <c r="F1878" s="37" t="str">
        <f>IF(Agent10_Withdrawals!A83="","",Agent10_Withdrawals!F83)</f>
        <v/>
      </c>
      <c r="G1878" s="39" t="str">
        <f>IF(Agent10_Withdrawals!A83="","",Agent10_Withdrawals!E83)</f>
        <v/>
      </c>
      <c r="H1878" s="39" t="str">
        <f>IF(Agent10_Withdrawals!A83="","",Agent10_Withdrawals!G83)</f>
        <v/>
      </c>
      <c r="I1878" s="37" t="str">
        <f>IF(Agent10_Withdrawals!A83="","",Agent10_Withdrawals!H83)</f>
        <v/>
      </c>
      <c r="J1878" s="37" t="str">
        <f>IF(Agent10_Withdrawals!A83="","",Agent10_Withdrawals!J83)</f>
        <v/>
      </c>
      <c r="K1878" s="37" t="str">
        <f>IF(Agent10_Withdrawals!A83="","",Agent10_Withdrawals!K83)</f>
        <v/>
      </c>
      <c r="L1878" s="37" t="str">
        <f>IF(G1878="","",IF(D1878-G1878&gt;=System_Config!$B$9,"✅ OK","⚠️ BREACH"))</f>
        <v/>
      </c>
      <c r="M1878" s="37" t="str">
        <f>IFERROR(IF(Agent10_Withdrawals!A83="","",YEAR(Agent10_Withdrawals!D83)),"")</f>
        <v/>
      </c>
    </row>
    <row r="1879" spans="1:13" ht="18" customHeight="1" x14ac:dyDescent="0.25">
      <c r="A1879" s="37" t="str">
        <f>IF(Agent10_Withdrawals!A84="","",Agent10_Withdrawals!A84)</f>
        <v/>
      </c>
      <c r="B1879" s="37" t="str">
        <f ca="1">IF(Agent10_Withdrawals!A84="","","WD"&amp;TEXT(1879-3,"0000")&amp;"-"&amp;TEXT(TODAY(),"YYYYMMDD"))</f>
        <v/>
      </c>
      <c r="C1879" s="37" t="str">
        <f>IF(Agent10_Withdrawals!A84="","",Agent10_Withdrawals!B84)</f>
        <v/>
      </c>
      <c r="D1879" s="40" t="str">
        <f>IF(Agent10_Withdrawals!A84="","",Agent10_Withdrawals!C84)</f>
        <v/>
      </c>
      <c r="E1879" s="38" t="str">
        <f>IF(Agent10_Withdrawals!A84="","",Agent10_Withdrawals!D84)</f>
        <v/>
      </c>
      <c r="F1879" s="37" t="str">
        <f>IF(Agent10_Withdrawals!A84="","",Agent10_Withdrawals!F84)</f>
        <v/>
      </c>
      <c r="G1879" s="39" t="str">
        <f>IF(Agent10_Withdrawals!A84="","",Agent10_Withdrawals!E84)</f>
        <v/>
      </c>
      <c r="H1879" s="39" t="str">
        <f>IF(Agent10_Withdrawals!A84="","",Agent10_Withdrawals!G84)</f>
        <v/>
      </c>
      <c r="I1879" s="37" t="str">
        <f>IF(Agent10_Withdrawals!A84="","",Agent10_Withdrawals!H84)</f>
        <v/>
      </c>
      <c r="J1879" s="37" t="str">
        <f>IF(Agent10_Withdrawals!A84="","",Agent10_Withdrawals!J84)</f>
        <v/>
      </c>
      <c r="K1879" s="37" t="str">
        <f>IF(Agent10_Withdrawals!A84="","",Agent10_Withdrawals!K84)</f>
        <v/>
      </c>
      <c r="L1879" s="37" t="str">
        <f>IF(G1879="","",IF(D1879-G1879&gt;=System_Config!$B$9,"✅ OK","⚠️ BREACH"))</f>
        <v/>
      </c>
      <c r="M1879" s="37" t="str">
        <f>IFERROR(IF(Agent10_Withdrawals!A84="","",YEAR(Agent10_Withdrawals!D84)),"")</f>
        <v/>
      </c>
    </row>
    <row r="1880" spans="1:13" ht="18" customHeight="1" x14ac:dyDescent="0.25">
      <c r="A1880" s="37" t="str">
        <f>IF(Agent10_Withdrawals!A85="","",Agent10_Withdrawals!A85)</f>
        <v/>
      </c>
      <c r="B1880" s="37" t="str">
        <f ca="1">IF(Agent10_Withdrawals!A85="","","WD"&amp;TEXT(1880-3,"0000")&amp;"-"&amp;TEXT(TODAY(),"YYYYMMDD"))</f>
        <v/>
      </c>
      <c r="C1880" s="37" t="str">
        <f>IF(Agent10_Withdrawals!A85="","",Agent10_Withdrawals!B85)</f>
        <v/>
      </c>
      <c r="D1880" s="40" t="str">
        <f>IF(Agent10_Withdrawals!A85="","",Agent10_Withdrawals!C85)</f>
        <v/>
      </c>
      <c r="E1880" s="38" t="str">
        <f>IF(Agent10_Withdrawals!A85="","",Agent10_Withdrawals!D85)</f>
        <v/>
      </c>
      <c r="F1880" s="37" t="str">
        <f>IF(Agent10_Withdrawals!A85="","",Agent10_Withdrawals!F85)</f>
        <v/>
      </c>
      <c r="G1880" s="39" t="str">
        <f>IF(Agent10_Withdrawals!A85="","",Agent10_Withdrawals!E85)</f>
        <v/>
      </c>
      <c r="H1880" s="39" t="str">
        <f>IF(Agent10_Withdrawals!A85="","",Agent10_Withdrawals!G85)</f>
        <v/>
      </c>
      <c r="I1880" s="37" t="str">
        <f>IF(Agent10_Withdrawals!A85="","",Agent10_Withdrawals!H85)</f>
        <v/>
      </c>
      <c r="J1880" s="37" t="str">
        <f>IF(Agent10_Withdrawals!A85="","",Agent10_Withdrawals!J85)</f>
        <v/>
      </c>
      <c r="K1880" s="37" t="str">
        <f>IF(Agent10_Withdrawals!A85="","",Agent10_Withdrawals!K85)</f>
        <v/>
      </c>
      <c r="L1880" s="37" t="str">
        <f>IF(G1880="","",IF(D1880-G1880&gt;=System_Config!$B$9,"✅ OK","⚠️ BREACH"))</f>
        <v/>
      </c>
      <c r="M1880" s="37" t="str">
        <f>IFERROR(IF(Agent10_Withdrawals!A85="","",YEAR(Agent10_Withdrawals!D85)),"")</f>
        <v/>
      </c>
    </row>
    <row r="1881" spans="1:13" ht="18" customHeight="1" x14ac:dyDescent="0.25">
      <c r="A1881" s="37" t="str">
        <f>IF(Agent10_Withdrawals!A86="","",Agent10_Withdrawals!A86)</f>
        <v/>
      </c>
      <c r="B1881" s="37" t="str">
        <f ca="1">IF(Agent10_Withdrawals!A86="","","WD"&amp;TEXT(1881-3,"0000")&amp;"-"&amp;TEXT(TODAY(),"YYYYMMDD"))</f>
        <v/>
      </c>
      <c r="C1881" s="37" t="str">
        <f>IF(Agent10_Withdrawals!A86="","",Agent10_Withdrawals!B86)</f>
        <v/>
      </c>
      <c r="D1881" s="40" t="str">
        <f>IF(Agent10_Withdrawals!A86="","",Agent10_Withdrawals!C86)</f>
        <v/>
      </c>
      <c r="E1881" s="38" t="str">
        <f>IF(Agent10_Withdrawals!A86="","",Agent10_Withdrawals!D86)</f>
        <v/>
      </c>
      <c r="F1881" s="37" t="str">
        <f>IF(Agent10_Withdrawals!A86="","",Agent10_Withdrawals!F86)</f>
        <v/>
      </c>
      <c r="G1881" s="39" t="str">
        <f>IF(Agent10_Withdrawals!A86="","",Agent10_Withdrawals!E86)</f>
        <v/>
      </c>
      <c r="H1881" s="39" t="str">
        <f>IF(Agent10_Withdrawals!A86="","",Agent10_Withdrawals!G86)</f>
        <v/>
      </c>
      <c r="I1881" s="37" t="str">
        <f>IF(Agent10_Withdrawals!A86="","",Agent10_Withdrawals!H86)</f>
        <v/>
      </c>
      <c r="J1881" s="37" t="str">
        <f>IF(Agent10_Withdrawals!A86="","",Agent10_Withdrawals!J86)</f>
        <v/>
      </c>
      <c r="K1881" s="37" t="str">
        <f>IF(Agent10_Withdrawals!A86="","",Agent10_Withdrawals!K86)</f>
        <v/>
      </c>
      <c r="L1881" s="37" t="str">
        <f>IF(G1881="","",IF(D1881-G1881&gt;=System_Config!$B$9,"✅ OK","⚠️ BREACH"))</f>
        <v/>
      </c>
      <c r="M1881" s="37" t="str">
        <f>IFERROR(IF(Agent10_Withdrawals!A86="","",YEAR(Agent10_Withdrawals!D86)),"")</f>
        <v/>
      </c>
    </row>
    <row r="1882" spans="1:13" ht="18" customHeight="1" x14ac:dyDescent="0.25">
      <c r="A1882" s="37" t="str">
        <f>IF(Agent10_Withdrawals!A87="","",Agent10_Withdrawals!A87)</f>
        <v/>
      </c>
      <c r="B1882" s="37" t="str">
        <f ca="1">IF(Agent10_Withdrawals!A87="","","WD"&amp;TEXT(1882-3,"0000")&amp;"-"&amp;TEXT(TODAY(),"YYYYMMDD"))</f>
        <v/>
      </c>
      <c r="C1882" s="37" t="str">
        <f>IF(Agent10_Withdrawals!A87="","",Agent10_Withdrawals!B87)</f>
        <v/>
      </c>
      <c r="D1882" s="40" t="str">
        <f>IF(Agent10_Withdrawals!A87="","",Agent10_Withdrawals!C87)</f>
        <v/>
      </c>
      <c r="E1882" s="38" t="str">
        <f>IF(Agent10_Withdrawals!A87="","",Agent10_Withdrawals!D87)</f>
        <v/>
      </c>
      <c r="F1882" s="37" t="str">
        <f>IF(Agent10_Withdrawals!A87="","",Agent10_Withdrawals!F87)</f>
        <v/>
      </c>
      <c r="G1882" s="39" t="str">
        <f>IF(Agent10_Withdrawals!A87="","",Agent10_Withdrawals!E87)</f>
        <v/>
      </c>
      <c r="H1882" s="39" t="str">
        <f>IF(Agent10_Withdrawals!A87="","",Agent10_Withdrawals!G87)</f>
        <v/>
      </c>
      <c r="I1882" s="37" t="str">
        <f>IF(Agent10_Withdrawals!A87="","",Agent10_Withdrawals!H87)</f>
        <v/>
      </c>
      <c r="J1882" s="37" t="str">
        <f>IF(Agent10_Withdrawals!A87="","",Agent10_Withdrawals!J87)</f>
        <v/>
      </c>
      <c r="K1882" s="37" t="str">
        <f>IF(Agent10_Withdrawals!A87="","",Agent10_Withdrawals!K87)</f>
        <v/>
      </c>
      <c r="L1882" s="37" t="str">
        <f>IF(G1882="","",IF(D1882-G1882&gt;=System_Config!$B$9,"✅ OK","⚠️ BREACH"))</f>
        <v/>
      </c>
      <c r="M1882" s="37" t="str">
        <f>IFERROR(IF(Agent10_Withdrawals!A87="","",YEAR(Agent10_Withdrawals!D87)),"")</f>
        <v/>
      </c>
    </row>
    <row r="1883" spans="1:13" ht="18" customHeight="1" x14ac:dyDescent="0.25">
      <c r="A1883" s="37" t="str">
        <f>IF(Agent10_Withdrawals!A88="","",Agent10_Withdrawals!A88)</f>
        <v/>
      </c>
      <c r="B1883" s="37" t="str">
        <f ca="1">IF(Agent10_Withdrawals!A88="","","WD"&amp;TEXT(1883-3,"0000")&amp;"-"&amp;TEXT(TODAY(),"YYYYMMDD"))</f>
        <v/>
      </c>
      <c r="C1883" s="37" t="str">
        <f>IF(Agent10_Withdrawals!A88="","",Agent10_Withdrawals!B88)</f>
        <v/>
      </c>
      <c r="D1883" s="40" t="str">
        <f>IF(Agent10_Withdrawals!A88="","",Agent10_Withdrawals!C88)</f>
        <v/>
      </c>
      <c r="E1883" s="38" t="str">
        <f>IF(Agent10_Withdrawals!A88="","",Agent10_Withdrawals!D88)</f>
        <v/>
      </c>
      <c r="F1883" s="37" t="str">
        <f>IF(Agent10_Withdrawals!A88="","",Agent10_Withdrawals!F88)</f>
        <v/>
      </c>
      <c r="G1883" s="39" t="str">
        <f>IF(Agent10_Withdrawals!A88="","",Agent10_Withdrawals!E88)</f>
        <v/>
      </c>
      <c r="H1883" s="39" t="str">
        <f>IF(Agent10_Withdrawals!A88="","",Agent10_Withdrawals!G88)</f>
        <v/>
      </c>
      <c r="I1883" s="37" t="str">
        <f>IF(Agent10_Withdrawals!A88="","",Agent10_Withdrawals!H88)</f>
        <v/>
      </c>
      <c r="J1883" s="37" t="str">
        <f>IF(Agent10_Withdrawals!A88="","",Agent10_Withdrawals!J88)</f>
        <v/>
      </c>
      <c r="K1883" s="37" t="str">
        <f>IF(Agent10_Withdrawals!A88="","",Agent10_Withdrawals!K88)</f>
        <v/>
      </c>
      <c r="L1883" s="37" t="str">
        <f>IF(G1883="","",IF(D1883-G1883&gt;=System_Config!$B$9,"✅ OK","⚠️ BREACH"))</f>
        <v/>
      </c>
      <c r="M1883" s="37" t="str">
        <f>IFERROR(IF(Agent10_Withdrawals!A88="","",YEAR(Agent10_Withdrawals!D88)),"")</f>
        <v/>
      </c>
    </row>
    <row r="1884" spans="1:13" ht="18" customHeight="1" x14ac:dyDescent="0.25">
      <c r="A1884" s="37" t="str">
        <f>IF(Agent10_Withdrawals!A89="","",Agent10_Withdrawals!A89)</f>
        <v/>
      </c>
      <c r="B1884" s="37" t="str">
        <f ca="1">IF(Agent10_Withdrawals!A89="","","WD"&amp;TEXT(1884-3,"0000")&amp;"-"&amp;TEXT(TODAY(),"YYYYMMDD"))</f>
        <v/>
      </c>
      <c r="C1884" s="37" t="str">
        <f>IF(Agent10_Withdrawals!A89="","",Agent10_Withdrawals!B89)</f>
        <v/>
      </c>
      <c r="D1884" s="40" t="str">
        <f>IF(Agent10_Withdrawals!A89="","",Agent10_Withdrawals!C89)</f>
        <v/>
      </c>
      <c r="E1884" s="38" t="str">
        <f>IF(Agent10_Withdrawals!A89="","",Agent10_Withdrawals!D89)</f>
        <v/>
      </c>
      <c r="F1884" s="37" t="str">
        <f>IF(Agent10_Withdrawals!A89="","",Agent10_Withdrawals!F89)</f>
        <v/>
      </c>
      <c r="G1884" s="39" t="str">
        <f>IF(Agent10_Withdrawals!A89="","",Agent10_Withdrawals!E89)</f>
        <v/>
      </c>
      <c r="H1884" s="39" t="str">
        <f>IF(Agent10_Withdrawals!A89="","",Agent10_Withdrawals!G89)</f>
        <v/>
      </c>
      <c r="I1884" s="37" t="str">
        <f>IF(Agent10_Withdrawals!A89="","",Agent10_Withdrawals!H89)</f>
        <v/>
      </c>
      <c r="J1884" s="37" t="str">
        <f>IF(Agent10_Withdrawals!A89="","",Agent10_Withdrawals!J89)</f>
        <v/>
      </c>
      <c r="K1884" s="37" t="str">
        <f>IF(Agent10_Withdrawals!A89="","",Agent10_Withdrawals!K89)</f>
        <v/>
      </c>
      <c r="L1884" s="37" t="str">
        <f>IF(G1884="","",IF(D1884-G1884&gt;=System_Config!$B$9,"✅ OK","⚠️ BREACH"))</f>
        <v/>
      </c>
      <c r="M1884" s="37" t="str">
        <f>IFERROR(IF(Agent10_Withdrawals!A89="","",YEAR(Agent10_Withdrawals!D89)),"")</f>
        <v/>
      </c>
    </row>
    <row r="1885" spans="1:13" ht="18" customHeight="1" x14ac:dyDescent="0.25">
      <c r="A1885" s="37" t="str">
        <f>IF(Agent10_Withdrawals!A90="","",Agent10_Withdrawals!A90)</f>
        <v/>
      </c>
      <c r="B1885" s="37" t="str">
        <f ca="1">IF(Agent10_Withdrawals!A90="","","WD"&amp;TEXT(1885-3,"0000")&amp;"-"&amp;TEXT(TODAY(),"YYYYMMDD"))</f>
        <v/>
      </c>
      <c r="C1885" s="37" t="str">
        <f>IF(Agent10_Withdrawals!A90="","",Agent10_Withdrawals!B90)</f>
        <v/>
      </c>
      <c r="D1885" s="40" t="str">
        <f>IF(Agent10_Withdrawals!A90="","",Agent10_Withdrawals!C90)</f>
        <v/>
      </c>
      <c r="E1885" s="38" t="str">
        <f>IF(Agent10_Withdrawals!A90="","",Agent10_Withdrawals!D90)</f>
        <v/>
      </c>
      <c r="F1885" s="37" t="str">
        <f>IF(Agent10_Withdrawals!A90="","",Agent10_Withdrawals!F90)</f>
        <v/>
      </c>
      <c r="G1885" s="39" t="str">
        <f>IF(Agent10_Withdrawals!A90="","",Agent10_Withdrawals!E90)</f>
        <v/>
      </c>
      <c r="H1885" s="39" t="str">
        <f>IF(Agent10_Withdrawals!A90="","",Agent10_Withdrawals!G90)</f>
        <v/>
      </c>
      <c r="I1885" s="37" t="str">
        <f>IF(Agent10_Withdrawals!A90="","",Agent10_Withdrawals!H90)</f>
        <v/>
      </c>
      <c r="J1885" s="37" t="str">
        <f>IF(Agent10_Withdrawals!A90="","",Agent10_Withdrawals!J90)</f>
        <v/>
      </c>
      <c r="K1885" s="37" t="str">
        <f>IF(Agent10_Withdrawals!A90="","",Agent10_Withdrawals!K90)</f>
        <v/>
      </c>
      <c r="L1885" s="37" t="str">
        <f>IF(G1885="","",IF(D1885-G1885&gt;=System_Config!$B$9,"✅ OK","⚠️ BREACH"))</f>
        <v/>
      </c>
      <c r="M1885" s="37" t="str">
        <f>IFERROR(IF(Agent10_Withdrawals!A90="","",YEAR(Agent10_Withdrawals!D90)),"")</f>
        <v/>
      </c>
    </row>
    <row r="1886" spans="1:13" ht="18" customHeight="1" x14ac:dyDescent="0.25">
      <c r="A1886" s="37" t="str">
        <f>IF(Agent10_Withdrawals!A91="","",Agent10_Withdrawals!A91)</f>
        <v/>
      </c>
      <c r="B1886" s="37" t="str">
        <f ca="1">IF(Agent10_Withdrawals!A91="","","WD"&amp;TEXT(1886-3,"0000")&amp;"-"&amp;TEXT(TODAY(),"YYYYMMDD"))</f>
        <v/>
      </c>
      <c r="C1886" s="37" t="str">
        <f>IF(Agent10_Withdrawals!A91="","",Agent10_Withdrawals!B91)</f>
        <v/>
      </c>
      <c r="D1886" s="40" t="str">
        <f>IF(Agent10_Withdrawals!A91="","",Agent10_Withdrawals!C91)</f>
        <v/>
      </c>
      <c r="E1886" s="38" t="str">
        <f>IF(Agent10_Withdrawals!A91="","",Agent10_Withdrawals!D91)</f>
        <v/>
      </c>
      <c r="F1886" s="37" t="str">
        <f>IF(Agent10_Withdrawals!A91="","",Agent10_Withdrawals!F91)</f>
        <v/>
      </c>
      <c r="G1886" s="39" t="str">
        <f>IF(Agent10_Withdrawals!A91="","",Agent10_Withdrawals!E91)</f>
        <v/>
      </c>
      <c r="H1886" s="39" t="str">
        <f>IF(Agent10_Withdrawals!A91="","",Agent10_Withdrawals!G91)</f>
        <v/>
      </c>
      <c r="I1886" s="37" t="str">
        <f>IF(Agent10_Withdrawals!A91="","",Agent10_Withdrawals!H91)</f>
        <v/>
      </c>
      <c r="J1886" s="37" t="str">
        <f>IF(Agent10_Withdrawals!A91="","",Agent10_Withdrawals!J91)</f>
        <v/>
      </c>
      <c r="K1886" s="37" t="str">
        <f>IF(Agent10_Withdrawals!A91="","",Agent10_Withdrawals!K91)</f>
        <v/>
      </c>
      <c r="L1886" s="37" t="str">
        <f>IF(G1886="","",IF(D1886-G1886&gt;=System_Config!$B$9,"✅ OK","⚠️ BREACH"))</f>
        <v/>
      </c>
      <c r="M1886" s="37" t="str">
        <f>IFERROR(IF(Agent10_Withdrawals!A91="","",YEAR(Agent10_Withdrawals!D91)),"")</f>
        <v/>
      </c>
    </row>
    <row r="1887" spans="1:13" ht="18" customHeight="1" x14ac:dyDescent="0.25">
      <c r="A1887" s="37" t="str">
        <f>IF(Agent10_Withdrawals!A92="","",Agent10_Withdrawals!A92)</f>
        <v/>
      </c>
      <c r="B1887" s="37" t="str">
        <f ca="1">IF(Agent10_Withdrawals!A92="","","WD"&amp;TEXT(1887-3,"0000")&amp;"-"&amp;TEXT(TODAY(),"YYYYMMDD"))</f>
        <v/>
      </c>
      <c r="C1887" s="37" t="str">
        <f>IF(Agent10_Withdrawals!A92="","",Agent10_Withdrawals!B92)</f>
        <v/>
      </c>
      <c r="D1887" s="40" t="str">
        <f>IF(Agent10_Withdrawals!A92="","",Agent10_Withdrawals!C92)</f>
        <v/>
      </c>
      <c r="E1887" s="38" t="str">
        <f>IF(Agent10_Withdrawals!A92="","",Agent10_Withdrawals!D92)</f>
        <v/>
      </c>
      <c r="F1887" s="37" t="str">
        <f>IF(Agent10_Withdrawals!A92="","",Agent10_Withdrawals!F92)</f>
        <v/>
      </c>
      <c r="G1887" s="39" t="str">
        <f>IF(Agent10_Withdrawals!A92="","",Agent10_Withdrawals!E92)</f>
        <v/>
      </c>
      <c r="H1887" s="39" t="str">
        <f>IF(Agent10_Withdrawals!A92="","",Agent10_Withdrawals!G92)</f>
        <v/>
      </c>
      <c r="I1887" s="37" t="str">
        <f>IF(Agent10_Withdrawals!A92="","",Agent10_Withdrawals!H92)</f>
        <v/>
      </c>
      <c r="J1887" s="37" t="str">
        <f>IF(Agent10_Withdrawals!A92="","",Agent10_Withdrawals!J92)</f>
        <v/>
      </c>
      <c r="K1887" s="37" t="str">
        <f>IF(Agent10_Withdrawals!A92="","",Agent10_Withdrawals!K92)</f>
        <v/>
      </c>
      <c r="L1887" s="37" t="str">
        <f>IF(G1887="","",IF(D1887-G1887&gt;=System_Config!$B$9,"✅ OK","⚠️ BREACH"))</f>
        <v/>
      </c>
      <c r="M1887" s="37" t="str">
        <f>IFERROR(IF(Agent10_Withdrawals!A92="","",YEAR(Agent10_Withdrawals!D92)),"")</f>
        <v/>
      </c>
    </row>
    <row r="1888" spans="1:13" ht="18" customHeight="1" x14ac:dyDescent="0.25">
      <c r="A1888" s="37" t="str">
        <f>IF(Agent10_Withdrawals!A93="","",Agent10_Withdrawals!A93)</f>
        <v/>
      </c>
      <c r="B1888" s="37" t="str">
        <f ca="1">IF(Agent10_Withdrawals!A93="","","WD"&amp;TEXT(1888-3,"0000")&amp;"-"&amp;TEXT(TODAY(),"YYYYMMDD"))</f>
        <v/>
      </c>
      <c r="C1888" s="37" t="str">
        <f>IF(Agent10_Withdrawals!A93="","",Agent10_Withdrawals!B93)</f>
        <v/>
      </c>
      <c r="D1888" s="40" t="str">
        <f>IF(Agent10_Withdrawals!A93="","",Agent10_Withdrawals!C93)</f>
        <v/>
      </c>
      <c r="E1888" s="38" t="str">
        <f>IF(Agent10_Withdrawals!A93="","",Agent10_Withdrawals!D93)</f>
        <v/>
      </c>
      <c r="F1888" s="37" t="str">
        <f>IF(Agent10_Withdrawals!A93="","",Agent10_Withdrawals!F93)</f>
        <v/>
      </c>
      <c r="G1888" s="39" t="str">
        <f>IF(Agent10_Withdrawals!A93="","",Agent10_Withdrawals!E93)</f>
        <v/>
      </c>
      <c r="H1888" s="39" t="str">
        <f>IF(Agent10_Withdrawals!A93="","",Agent10_Withdrawals!G93)</f>
        <v/>
      </c>
      <c r="I1888" s="37" t="str">
        <f>IF(Agent10_Withdrawals!A93="","",Agent10_Withdrawals!H93)</f>
        <v/>
      </c>
      <c r="J1888" s="37" t="str">
        <f>IF(Agent10_Withdrawals!A93="","",Agent10_Withdrawals!J93)</f>
        <v/>
      </c>
      <c r="K1888" s="37" t="str">
        <f>IF(Agent10_Withdrawals!A93="","",Agent10_Withdrawals!K93)</f>
        <v/>
      </c>
      <c r="L1888" s="37" t="str">
        <f>IF(G1888="","",IF(D1888-G1888&gt;=System_Config!$B$9,"✅ OK","⚠️ BREACH"))</f>
        <v/>
      </c>
      <c r="M1888" s="37" t="str">
        <f>IFERROR(IF(Agent10_Withdrawals!A93="","",YEAR(Agent10_Withdrawals!D93)),"")</f>
        <v/>
      </c>
    </row>
    <row r="1889" spans="1:13" ht="18" customHeight="1" x14ac:dyDescent="0.25">
      <c r="A1889" s="37" t="str">
        <f>IF(Agent10_Withdrawals!A94="","",Agent10_Withdrawals!A94)</f>
        <v/>
      </c>
      <c r="B1889" s="37" t="str">
        <f ca="1">IF(Agent10_Withdrawals!A94="","","WD"&amp;TEXT(1889-3,"0000")&amp;"-"&amp;TEXT(TODAY(),"YYYYMMDD"))</f>
        <v/>
      </c>
      <c r="C1889" s="37" t="str">
        <f>IF(Agent10_Withdrawals!A94="","",Agent10_Withdrawals!B94)</f>
        <v/>
      </c>
      <c r="D1889" s="40" t="str">
        <f>IF(Agent10_Withdrawals!A94="","",Agent10_Withdrawals!C94)</f>
        <v/>
      </c>
      <c r="E1889" s="38" t="str">
        <f>IF(Agent10_Withdrawals!A94="","",Agent10_Withdrawals!D94)</f>
        <v/>
      </c>
      <c r="F1889" s="37" t="str">
        <f>IF(Agent10_Withdrawals!A94="","",Agent10_Withdrawals!F94)</f>
        <v/>
      </c>
      <c r="G1889" s="39" t="str">
        <f>IF(Agent10_Withdrawals!A94="","",Agent10_Withdrawals!E94)</f>
        <v/>
      </c>
      <c r="H1889" s="39" t="str">
        <f>IF(Agent10_Withdrawals!A94="","",Agent10_Withdrawals!G94)</f>
        <v/>
      </c>
      <c r="I1889" s="37" t="str">
        <f>IF(Agent10_Withdrawals!A94="","",Agent10_Withdrawals!H94)</f>
        <v/>
      </c>
      <c r="J1889" s="37" t="str">
        <f>IF(Agent10_Withdrawals!A94="","",Agent10_Withdrawals!J94)</f>
        <v/>
      </c>
      <c r="K1889" s="37" t="str">
        <f>IF(Agent10_Withdrawals!A94="","",Agent10_Withdrawals!K94)</f>
        <v/>
      </c>
      <c r="L1889" s="37" t="str">
        <f>IF(G1889="","",IF(D1889-G1889&gt;=System_Config!$B$9,"✅ OK","⚠️ BREACH"))</f>
        <v/>
      </c>
      <c r="M1889" s="37" t="str">
        <f>IFERROR(IF(Agent10_Withdrawals!A94="","",YEAR(Agent10_Withdrawals!D94)),"")</f>
        <v/>
      </c>
    </row>
    <row r="1890" spans="1:13" ht="18" customHeight="1" x14ac:dyDescent="0.25">
      <c r="A1890" s="37" t="str">
        <f>IF(Agent10_Withdrawals!A95="","",Agent10_Withdrawals!A95)</f>
        <v/>
      </c>
      <c r="B1890" s="37" t="str">
        <f ca="1">IF(Agent10_Withdrawals!A95="","","WD"&amp;TEXT(1890-3,"0000")&amp;"-"&amp;TEXT(TODAY(),"YYYYMMDD"))</f>
        <v/>
      </c>
      <c r="C1890" s="37" t="str">
        <f>IF(Agent10_Withdrawals!A95="","",Agent10_Withdrawals!B95)</f>
        <v/>
      </c>
      <c r="D1890" s="40" t="str">
        <f>IF(Agent10_Withdrawals!A95="","",Agent10_Withdrawals!C95)</f>
        <v/>
      </c>
      <c r="E1890" s="38" t="str">
        <f>IF(Agent10_Withdrawals!A95="","",Agent10_Withdrawals!D95)</f>
        <v/>
      </c>
      <c r="F1890" s="37" t="str">
        <f>IF(Agent10_Withdrawals!A95="","",Agent10_Withdrawals!F95)</f>
        <v/>
      </c>
      <c r="G1890" s="39" t="str">
        <f>IF(Agent10_Withdrawals!A95="","",Agent10_Withdrawals!E95)</f>
        <v/>
      </c>
      <c r="H1890" s="39" t="str">
        <f>IF(Agent10_Withdrawals!A95="","",Agent10_Withdrawals!G95)</f>
        <v/>
      </c>
      <c r="I1890" s="37" t="str">
        <f>IF(Agent10_Withdrawals!A95="","",Agent10_Withdrawals!H95)</f>
        <v/>
      </c>
      <c r="J1890" s="37" t="str">
        <f>IF(Agent10_Withdrawals!A95="","",Agent10_Withdrawals!J95)</f>
        <v/>
      </c>
      <c r="K1890" s="37" t="str">
        <f>IF(Agent10_Withdrawals!A95="","",Agent10_Withdrawals!K95)</f>
        <v/>
      </c>
      <c r="L1890" s="37" t="str">
        <f>IF(G1890="","",IF(D1890-G1890&gt;=System_Config!$B$9,"✅ OK","⚠️ BREACH"))</f>
        <v/>
      </c>
      <c r="M1890" s="37" t="str">
        <f>IFERROR(IF(Agent10_Withdrawals!A95="","",YEAR(Agent10_Withdrawals!D95)),"")</f>
        <v/>
      </c>
    </row>
    <row r="1891" spans="1:13" ht="18" customHeight="1" x14ac:dyDescent="0.25">
      <c r="A1891" s="37" t="str">
        <f>IF(Agent10_Withdrawals!A96="","",Agent10_Withdrawals!A96)</f>
        <v/>
      </c>
      <c r="B1891" s="37" t="str">
        <f ca="1">IF(Agent10_Withdrawals!A96="","","WD"&amp;TEXT(1891-3,"0000")&amp;"-"&amp;TEXT(TODAY(),"YYYYMMDD"))</f>
        <v/>
      </c>
      <c r="C1891" s="37" t="str">
        <f>IF(Agent10_Withdrawals!A96="","",Agent10_Withdrawals!B96)</f>
        <v/>
      </c>
      <c r="D1891" s="40" t="str">
        <f>IF(Agent10_Withdrawals!A96="","",Agent10_Withdrawals!C96)</f>
        <v/>
      </c>
      <c r="E1891" s="38" t="str">
        <f>IF(Agent10_Withdrawals!A96="","",Agent10_Withdrawals!D96)</f>
        <v/>
      </c>
      <c r="F1891" s="37" t="str">
        <f>IF(Agent10_Withdrawals!A96="","",Agent10_Withdrawals!F96)</f>
        <v/>
      </c>
      <c r="G1891" s="39" t="str">
        <f>IF(Agent10_Withdrawals!A96="","",Agent10_Withdrawals!E96)</f>
        <v/>
      </c>
      <c r="H1891" s="39" t="str">
        <f>IF(Agent10_Withdrawals!A96="","",Agent10_Withdrawals!G96)</f>
        <v/>
      </c>
      <c r="I1891" s="37" t="str">
        <f>IF(Agent10_Withdrawals!A96="","",Agent10_Withdrawals!H96)</f>
        <v/>
      </c>
      <c r="J1891" s="37" t="str">
        <f>IF(Agent10_Withdrawals!A96="","",Agent10_Withdrawals!J96)</f>
        <v/>
      </c>
      <c r="K1891" s="37" t="str">
        <f>IF(Agent10_Withdrawals!A96="","",Agent10_Withdrawals!K96)</f>
        <v/>
      </c>
      <c r="L1891" s="37" t="str">
        <f>IF(G1891="","",IF(D1891-G1891&gt;=System_Config!$B$9,"✅ OK","⚠️ BREACH"))</f>
        <v/>
      </c>
      <c r="M1891" s="37" t="str">
        <f>IFERROR(IF(Agent10_Withdrawals!A96="","",YEAR(Agent10_Withdrawals!D96)),"")</f>
        <v/>
      </c>
    </row>
    <row r="1892" spans="1:13" ht="18" customHeight="1" x14ac:dyDescent="0.25">
      <c r="A1892" s="37" t="str">
        <f>IF(Agent10_Withdrawals!A97="","",Agent10_Withdrawals!A97)</f>
        <v/>
      </c>
      <c r="B1892" s="37" t="str">
        <f ca="1">IF(Agent10_Withdrawals!A97="","","WD"&amp;TEXT(1892-3,"0000")&amp;"-"&amp;TEXT(TODAY(),"YYYYMMDD"))</f>
        <v/>
      </c>
      <c r="C1892" s="37" t="str">
        <f>IF(Agent10_Withdrawals!A97="","",Agent10_Withdrawals!B97)</f>
        <v/>
      </c>
      <c r="D1892" s="40" t="str">
        <f>IF(Agent10_Withdrawals!A97="","",Agent10_Withdrawals!C97)</f>
        <v/>
      </c>
      <c r="E1892" s="38" t="str">
        <f>IF(Agent10_Withdrawals!A97="","",Agent10_Withdrawals!D97)</f>
        <v/>
      </c>
      <c r="F1892" s="37" t="str">
        <f>IF(Agent10_Withdrawals!A97="","",Agent10_Withdrawals!F97)</f>
        <v/>
      </c>
      <c r="G1892" s="39" t="str">
        <f>IF(Agent10_Withdrawals!A97="","",Agent10_Withdrawals!E97)</f>
        <v/>
      </c>
      <c r="H1892" s="39" t="str">
        <f>IF(Agent10_Withdrawals!A97="","",Agent10_Withdrawals!G97)</f>
        <v/>
      </c>
      <c r="I1892" s="37" t="str">
        <f>IF(Agent10_Withdrawals!A97="","",Agent10_Withdrawals!H97)</f>
        <v/>
      </c>
      <c r="J1892" s="37" t="str">
        <f>IF(Agent10_Withdrawals!A97="","",Agent10_Withdrawals!J97)</f>
        <v/>
      </c>
      <c r="K1892" s="37" t="str">
        <f>IF(Agent10_Withdrawals!A97="","",Agent10_Withdrawals!K97)</f>
        <v/>
      </c>
      <c r="L1892" s="37" t="str">
        <f>IF(G1892="","",IF(D1892-G1892&gt;=System_Config!$B$9,"✅ OK","⚠️ BREACH"))</f>
        <v/>
      </c>
      <c r="M1892" s="37" t="str">
        <f>IFERROR(IF(Agent10_Withdrawals!A97="","",YEAR(Agent10_Withdrawals!D97)),"")</f>
        <v/>
      </c>
    </row>
    <row r="1893" spans="1:13" ht="18" customHeight="1" x14ac:dyDescent="0.25">
      <c r="A1893" s="37" t="str">
        <f>IF(Agent10_Withdrawals!A98="","",Agent10_Withdrawals!A98)</f>
        <v/>
      </c>
      <c r="B1893" s="37" t="str">
        <f ca="1">IF(Agent10_Withdrawals!A98="","","WD"&amp;TEXT(1893-3,"0000")&amp;"-"&amp;TEXT(TODAY(),"YYYYMMDD"))</f>
        <v/>
      </c>
      <c r="C1893" s="37" t="str">
        <f>IF(Agent10_Withdrawals!A98="","",Agent10_Withdrawals!B98)</f>
        <v/>
      </c>
      <c r="D1893" s="40" t="str">
        <f>IF(Agent10_Withdrawals!A98="","",Agent10_Withdrawals!C98)</f>
        <v/>
      </c>
      <c r="E1893" s="38" t="str">
        <f>IF(Agent10_Withdrawals!A98="","",Agent10_Withdrawals!D98)</f>
        <v/>
      </c>
      <c r="F1893" s="37" t="str">
        <f>IF(Agent10_Withdrawals!A98="","",Agent10_Withdrawals!F98)</f>
        <v/>
      </c>
      <c r="G1893" s="39" t="str">
        <f>IF(Agent10_Withdrawals!A98="","",Agent10_Withdrawals!E98)</f>
        <v/>
      </c>
      <c r="H1893" s="39" t="str">
        <f>IF(Agent10_Withdrawals!A98="","",Agent10_Withdrawals!G98)</f>
        <v/>
      </c>
      <c r="I1893" s="37" t="str">
        <f>IF(Agent10_Withdrawals!A98="","",Agent10_Withdrawals!H98)</f>
        <v/>
      </c>
      <c r="J1893" s="37" t="str">
        <f>IF(Agent10_Withdrawals!A98="","",Agent10_Withdrawals!J98)</f>
        <v/>
      </c>
      <c r="K1893" s="37" t="str">
        <f>IF(Agent10_Withdrawals!A98="","",Agent10_Withdrawals!K98)</f>
        <v/>
      </c>
      <c r="L1893" s="37" t="str">
        <f>IF(G1893="","",IF(D1893-G1893&gt;=System_Config!$B$9,"✅ OK","⚠️ BREACH"))</f>
        <v/>
      </c>
      <c r="M1893" s="37" t="str">
        <f>IFERROR(IF(Agent10_Withdrawals!A98="","",YEAR(Agent10_Withdrawals!D98)),"")</f>
        <v/>
      </c>
    </row>
    <row r="1894" spans="1:13" ht="18" customHeight="1" x14ac:dyDescent="0.25">
      <c r="A1894" s="37" t="str">
        <f>IF(Agent10_Withdrawals!A99="","",Agent10_Withdrawals!A99)</f>
        <v/>
      </c>
      <c r="B1894" s="37" t="str">
        <f ca="1">IF(Agent10_Withdrawals!A99="","","WD"&amp;TEXT(1894-3,"0000")&amp;"-"&amp;TEXT(TODAY(),"YYYYMMDD"))</f>
        <v/>
      </c>
      <c r="C1894" s="37" t="str">
        <f>IF(Agent10_Withdrawals!A99="","",Agent10_Withdrawals!B99)</f>
        <v/>
      </c>
      <c r="D1894" s="40" t="str">
        <f>IF(Agent10_Withdrawals!A99="","",Agent10_Withdrawals!C99)</f>
        <v/>
      </c>
      <c r="E1894" s="38" t="str">
        <f>IF(Agent10_Withdrawals!A99="","",Agent10_Withdrawals!D99)</f>
        <v/>
      </c>
      <c r="F1894" s="37" t="str">
        <f>IF(Agent10_Withdrawals!A99="","",Agent10_Withdrawals!F99)</f>
        <v/>
      </c>
      <c r="G1894" s="39" t="str">
        <f>IF(Agent10_Withdrawals!A99="","",Agent10_Withdrawals!E99)</f>
        <v/>
      </c>
      <c r="H1894" s="39" t="str">
        <f>IF(Agent10_Withdrawals!A99="","",Agent10_Withdrawals!G99)</f>
        <v/>
      </c>
      <c r="I1894" s="37" t="str">
        <f>IF(Agent10_Withdrawals!A99="","",Agent10_Withdrawals!H99)</f>
        <v/>
      </c>
      <c r="J1894" s="37" t="str">
        <f>IF(Agent10_Withdrawals!A99="","",Agent10_Withdrawals!J99)</f>
        <v/>
      </c>
      <c r="K1894" s="37" t="str">
        <f>IF(Agent10_Withdrawals!A99="","",Agent10_Withdrawals!K99)</f>
        <v/>
      </c>
      <c r="L1894" s="37" t="str">
        <f>IF(G1894="","",IF(D1894-G1894&gt;=System_Config!$B$9,"✅ OK","⚠️ BREACH"))</f>
        <v/>
      </c>
      <c r="M1894" s="37" t="str">
        <f>IFERROR(IF(Agent10_Withdrawals!A99="","",YEAR(Agent10_Withdrawals!D99)),"")</f>
        <v/>
      </c>
    </row>
    <row r="1895" spans="1:13" ht="18" customHeight="1" x14ac:dyDescent="0.25">
      <c r="A1895" s="37" t="str">
        <f>IF(Agent10_Withdrawals!A100="","",Agent10_Withdrawals!A100)</f>
        <v/>
      </c>
      <c r="B1895" s="37" t="str">
        <f ca="1">IF(Agent10_Withdrawals!A100="","","WD"&amp;TEXT(1895-3,"0000")&amp;"-"&amp;TEXT(TODAY(),"YYYYMMDD"))</f>
        <v/>
      </c>
      <c r="C1895" s="37" t="str">
        <f>IF(Agent10_Withdrawals!A100="","",Agent10_Withdrawals!B100)</f>
        <v/>
      </c>
      <c r="D1895" s="40" t="str">
        <f>IF(Agent10_Withdrawals!A100="","",Agent10_Withdrawals!C100)</f>
        <v/>
      </c>
      <c r="E1895" s="38" t="str">
        <f>IF(Agent10_Withdrawals!A100="","",Agent10_Withdrawals!D100)</f>
        <v/>
      </c>
      <c r="F1895" s="37" t="str">
        <f>IF(Agent10_Withdrawals!A100="","",Agent10_Withdrawals!F100)</f>
        <v/>
      </c>
      <c r="G1895" s="39" t="str">
        <f>IF(Agent10_Withdrawals!A100="","",Agent10_Withdrawals!E100)</f>
        <v/>
      </c>
      <c r="H1895" s="39" t="str">
        <f>IF(Agent10_Withdrawals!A100="","",Agent10_Withdrawals!G100)</f>
        <v/>
      </c>
      <c r="I1895" s="37" t="str">
        <f>IF(Agent10_Withdrawals!A100="","",Agent10_Withdrawals!H100)</f>
        <v/>
      </c>
      <c r="J1895" s="37" t="str">
        <f>IF(Agent10_Withdrawals!A100="","",Agent10_Withdrawals!J100)</f>
        <v/>
      </c>
      <c r="K1895" s="37" t="str">
        <f>IF(Agent10_Withdrawals!A100="","",Agent10_Withdrawals!K100)</f>
        <v/>
      </c>
      <c r="L1895" s="37" t="str">
        <f>IF(G1895="","",IF(D1895-G1895&gt;=System_Config!$B$9,"✅ OK","⚠️ BREACH"))</f>
        <v/>
      </c>
      <c r="M1895" s="37" t="str">
        <f>IFERROR(IF(Agent10_Withdrawals!A100="","",YEAR(Agent10_Withdrawals!D100)),"")</f>
        <v/>
      </c>
    </row>
    <row r="1896" spans="1:13" ht="18" customHeight="1" x14ac:dyDescent="0.25">
      <c r="A1896" s="37" t="str">
        <f>IF(Agent10_Withdrawals!A101="","",Agent10_Withdrawals!A101)</f>
        <v/>
      </c>
      <c r="B1896" s="37" t="str">
        <f ca="1">IF(Agent10_Withdrawals!A101="","","WD"&amp;TEXT(1896-3,"0000")&amp;"-"&amp;TEXT(TODAY(),"YYYYMMDD"))</f>
        <v/>
      </c>
      <c r="C1896" s="37" t="str">
        <f>IF(Agent10_Withdrawals!A101="","",Agent10_Withdrawals!B101)</f>
        <v/>
      </c>
      <c r="D1896" s="40" t="str">
        <f>IF(Agent10_Withdrawals!A101="","",Agent10_Withdrawals!C101)</f>
        <v/>
      </c>
      <c r="E1896" s="38" t="str">
        <f>IF(Agent10_Withdrawals!A101="","",Agent10_Withdrawals!D101)</f>
        <v/>
      </c>
      <c r="F1896" s="37" t="str">
        <f>IF(Agent10_Withdrawals!A101="","",Agent10_Withdrawals!F101)</f>
        <v/>
      </c>
      <c r="G1896" s="39" t="str">
        <f>IF(Agent10_Withdrawals!A101="","",Agent10_Withdrawals!E101)</f>
        <v/>
      </c>
      <c r="H1896" s="39" t="str">
        <f>IF(Agent10_Withdrawals!A101="","",Agent10_Withdrawals!G101)</f>
        <v/>
      </c>
      <c r="I1896" s="37" t="str">
        <f>IF(Agent10_Withdrawals!A101="","",Agent10_Withdrawals!H101)</f>
        <v/>
      </c>
      <c r="J1896" s="37" t="str">
        <f>IF(Agent10_Withdrawals!A101="","",Agent10_Withdrawals!J101)</f>
        <v/>
      </c>
      <c r="K1896" s="37" t="str">
        <f>IF(Agent10_Withdrawals!A101="","",Agent10_Withdrawals!K101)</f>
        <v/>
      </c>
      <c r="L1896" s="37" t="str">
        <f>IF(G1896="","",IF(D1896-G1896&gt;=System_Config!$B$9,"✅ OK","⚠️ BREACH"))</f>
        <v/>
      </c>
      <c r="M1896" s="37" t="str">
        <f>IFERROR(IF(Agent10_Withdrawals!A101="","",YEAR(Agent10_Withdrawals!D101)),"")</f>
        <v/>
      </c>
    </row>
    <row r="1897" spans="1:13" ht="18" customHeight="1" x14ac:dyDescent="0.25">
      <c r="A1897" s="37" t="str">
        <f>IF(Agent10_Withdrawals!A102="","",Agent10_Withdrawals!A102)</f>
        <v/>
      </c>
      <c r="B1897" s="37" t="str">
        <f ca="1">IF(Agent10_Withdrawals!A102="","","WD"&amp;TEXT(1897-3,"0000")&amp;"-"&amp;TEXT(TODAY(),"YYYYMMDD"))</f>
        <v/>
      </c>
      <c r="C1897" s="37" t="str">
        <f>IF(Agent10_Withdrawals!A102="","",Agent10_Withdrawals!B102)</f>
        <v/>
      </c>
      <c r="D1897" s="40" t="str">
        <f>IF(Agent10_Withdrawals!A102="","",Agent10_Withdrawals!C102)</f>
        <v/>
      </c>
      <c r="E1897" s="38" t="str">
        <f>IF(Agent10_Withdrawals!A102="","",Agent10_Withdrawals!D102)</f>
        <v/>
      </c>
      <c r="F1897" s="37" t="str">
        <f>IF(Agent10_Withdrawals!A102="","",Agent10_Withdrawals!F102)</f>
        <v/>
      </c>
      <c r="G1897" s="39" t="str">
        <f>IF(Agent10_Withdrawals!A102="","",Agent10_Withdrawals!E102)</f>
        <v/>
      </c>
      <c r="H1897" s="39" t="str">
        <f>IF(Agent10_Withdrawals!A102="","",Agent10_Withdrawals!G102)</f>
        <v/>
      </c>
      <c r="I1897" s="37" t="str">
        <f>IF(Agent10_Withdrawals!A102="","",Agent10_Withdrawals!H102)</f>
        <v/>
      </c>
      <c r="J1897" s="37" t="str">
        <f>IF(Agent10_Withdrawals!A102="","",Agent10_Withdrawals!J102)</f>
        <v/>
      </c>
      <c r="K1897" s="37" t="str">
        <f>IF(Agent10_Withdrawals!A102="","",Agent10_Withdrawals!K102)</f>
        <v/>
      </c>
      <c r="L1897" s="37" t="str">
        <f>IF(G1897="","",IF(D1897-G1897&gt;=System_Config!$B$9,"✅ OK","⚠️ BREACH"))</f>
        <v/>
      </c>
      <c r="M1897" s="37" t="str">
        <f>IFERROR(IF(Agent10_Withdrawals!A102="","",YEAR(Agent10_Withdrawals!D102)),"")</f>
        <v/>
      </c>
    </row>
    <row r="1898" spans="1:13" ht="18" customHeight="1" x14ac:dyDescent="0.25">
      <c r="A1898" s="37" t="str">
        <f>IF(Agent10_Withdrawals!A103="","",Agent10_Withdrawals!A103)</f>
        <v/>
      </c>
      <c r="B1898" s="37" t="str">
        <f ca="1">IF(Agent10_Withdrawals!A103="","","WD"&amp;TEXT(1898-3,"0000")&amp;"-"&amp;TEXT(TODAY(),"YYYYMMDD"))</f>
        <v/>
      </c>
      <c r="C1898" s="37" t="str">
        <f>IF(Agent10_Withdrawals!A103="","",Agent10_Withdrawals!B103)</f>
        <v/>
      </c>
      <c r="D1898" s="40" t="str">
        <f>IF(Agent10_Withdrawals!A103="","",Agent10_Withdrawals!C103)</f>
        <v/>
      </c>
      <c r="E1898" s="38" t="str">
        <f>IF(Agent10_Withdrawals!A103="","",Agent10_Withdrawals!D103)</f>
        <v/>
      </c>
      <c r="F1898" s="37" t="str">
        <f>IF(Agent10_Withdrawals!A103="","",Agent10_Withdrawals!F103)</f>
        <v/>
      </c>
      <c r="G1898" s="39" t="str">
        <f>IF(Agent10_Withdrawals!A103="","",Agent10_Withdrawals!E103)</f>
        <v/>
      </c>
      <c r="H1898" s="39" t="str">
        <f>IF(Agent10_Withdrawals!A103="","",Agent10_Withdrawals!G103)</f>
        <v/>
      </c>
      <c r="I1898" s="37" t="str">
        <f>IF(Agent10_Withdrawals!A103="","",Agent10_Withdrawals!H103)</f>
        <v/>
      </c>
      <c r="J1898" s="37" t="str">
        <f>IF(Agent10_Withdrawals!A103="","",Agent10_Withdrawals!J103)</f>
        <v/>
      </c>
      <c r="K1898" s="37" t="str">
        <f>IF(Agent10_Withdrawals!A103="","",Agent10_Withdrawals!K103)</f>
        <v/>
      </c>
      <c r="L1898" s="37" t="str">
        <f>IF(G1898="","",IF(D1898-G1898&gt;=System_Config!$B$9,"✅ OK","⚠️ BREACH"))</f>
        <v/>
      </c>
      <c r="M1898" s="37" t="str">
        <f>IFERROR(IF(Agent10_Withdrawals!A103="","",YEAR(Agent10_Withdrawals!D103)),"")</f>
        <v/>
      </c>
    </row>
    <row r="1899" spans="1:13" ht="18" customHeight="1" x14ac:dyDescent="0.25">
      <c r="A1899" s="37" t="str">
        <f>IF(Agent10_Withdrawals!A104="","",Agent10_Withdrawals!A104)</f>
        <v/>
      </c>
      <c r="B1899" s="37" t="str">
        <f ca="1">IF(Agent10_Withdrawals!A104="","","WD"&amp;TEXT(1899-3,"0000")&amp;"-"&amp;TEXT(TODAY(),"YYYYMMDD"))</f>
        <v/>
      </c>
      <c r="C1899" s="37" t="str">
        <f>IF(Agent10_Withdrawals!A104="","",Agent10_Withdrawals!B104)</f>
        <v/>
      </c>
      <c r="D1899" s="40" t="str">
        <f>IF(Agent10_Withdrawals!A104="","",Agent10_Withdrawals!C104)</f>
        <v/>
      </c>
      <c r="E1899" s="38" t="str">
        <f>IF(Agent10_Withdrawals!A104="","",Agent10_Withdrawals!D104)</f>
        <v/>
      </c>
      <c r="F1899" s="37" t="str">
        <f>IF(Agent10_Withdrawals!A104="","",Agent10_Withdrawals!F104)</f>
        <v/>
      </c>
      <c r="G1899" s="39" t="str">
        <f>IF(Agent10_Withdrawals!A104="","",Agent10_Withdrawals!E104)</f>
        <v/>
      </c>
      <c r="H1899" s="39" t="str">
        <f>IF(Agent10_Withdrawals!A104="","",Agent10_Withdrawals!G104)</f>
        <v/>
      </c>
      <c r="I1899" s="37" t="str">
        <f>IF(Agent10_Withdrawals!A104="","",Agent10_Withdrawals!H104)</f>
        <v/>
      </c>
      <c r="J1899" s="37" t="str">
        <f>IF(Agent10_Withdrawals!A104="","",Agent10_Withdrawals!J104)</f>
        <v/>
      </c>
      <c r="K1899" s="37" t="str">
        <f>IF(Agent10_Withdrawals!A104="","",Agent10_Withdrawals!K104)</f>
        <v/>
      </c>
      <c r="L1899" s="37" t="str">
        <f>IF(G1899="","",IF(D1899-G1899&gt;=System_Config!$B$9,"✅ OK","⚠️ BREACH"))</f>
        <v/>
      </c>
      <c r="M1899" s="37" t="str">
        <f>IFERROR(IF(Agent10_Withdrawals!A104="","",YEAR(Agent10_Withdrawals!D104)),"")</f>
        <v/>
      </c>
    </row>
    <row r="1900" spans="1:13" ht="18" customHeight="1" x14ac:dyDescent="0.25">
      <c r="A1900" s="37" t="str">
        <f>IF(Agent10_Withdrawals!A105="","",Agent10_Withdrawals!A105)</f>
        <v/>
      </c>
      <c r="B1900" s="37" t="str">
        <f ca="1">IF(Agent10_Withdrawals!A105="","","WD"&amp;TEXT(1900-3,"0000")&amp;"-"&amp;TEXT(TODAY(),"YYYYMMDD"))</f>
        <v/>
      </c>
      <c r="C1900" s="37" t="str">
        <f>IF(Agent10_Withdrawals!A105="","",Agent10_Withdrawals!B105)</f>
        <v/>
      </c>
      <c r="D1900" s="40" t="str">
        <f>IF(Agent10_Withdrawals!A105="","",Agent10_Withdrawals!C105)</f>
        <v/>
      </c>
      <c r="E1900" s="38" t="str">
        <f>IF(Agent10_Withdrawals!A105="","",Agent10_Withdrawals!D105)</f>
        <v/>
      </c>
      <c r="F1900" s="37" t="str">
        <f>IF(Agent10_Withdrawals!A105="","",Agent10_Withdrawals!F105)</f>
        <v/>
      </c>
      <c r="G1900" s="39" t="str">
        <f>IF(Agent10_Withdrawals!A105="","",Agent10_Withdrawals!E105)</f>
        <v/>
      </c>
      <c r="H1900" s="39" t="str">
        <f>IF(Agent10_Withdrawals!A105="","",Agent10_Withdrawals!G105)</f>
        <v/>
      </c>
      <c r="I1900" s="37" t="str">
        <f>IF(Agent10_Withdrawals!A105="","",Agent10_Withdrawals!H105)</f>
        <v/>
      </c>
      <c r="J1900" s="37" t="str">
        <f>IF(Agent10_Withdrawals!A105="","",Agent10_Withdrawals!J105)</f>
        <v/>
      </c>
      <c r="K1900" s="37" t="str">
        <f>IF(Agent10_Withdrawals!A105="","",Agent10_Withdrawals!K105)</f>
        <v/>
      </c>
      <c r="L1900" s="37" t="str">
        <f>IF(G1900="","",IF(D1900-G1900&gt;=System_Config!$B$9,"✅ OK","⚠️ BREACH"))</f>
        <v/>
      </c>
      <c r="M1900" s="37" t="str">
        <f>IFERROR(IF(Agent10_Withdrawals!A105="","",YEAR(Agent10_Withdrawals!D105)),"")</f>
        <v/>
      </c>
    </row>
    <row r="1901" spans="1:13" ht="18" customHeight="1" x14ac:dyDescent="0.25">
      <c r="A1901" s="37" t="str">
        <f>IF(Agent10_Withdrawals!A106="","",Agent10_Withdrawals!A106)</f>
        <v/>
      </c>
      <c r="B1901" s="37" t="str">
        <f ca="1">IF(Agent10_Withdrawals!A106="","","WD"&amp;TEXT(1901-3,"0000")&amp;"-"&amp;TEXT(TODAY(),"YYYYMMDD"))</f>
        <v/>
      </c>
      <c r="C1901" s="37" t="str">
        <f>IF(Agent10_Withdrawals!A106="","",Agent10_Withdrawals!B106)</f>
        <v/>
      </c>
      <c r="D1901" s="40" t="str">
        <f>IF(Agent10_Withdrawals!A106="","",Agent10_Withdrawals!C106)</f>
        <v/>
      </c>
      <c r="E1901" s="38" t="str">
        <f>IF(Agent10_Withdrawals!A106="","",Agent10_Withdrawals!D106)</f>
        <v/>
      </c>
      <c r="F1901" s="37" t="str">
        <f>IF(Agent10_Withdrawals!A106="","",Agent10_Withdrawals!F106)</f>
        <v/>
      </c>
      <c r="G1901" s="39" t="str">
        <f>IF(Agent10_Withdrawals!A106="","",Agent10_Withdrawals!E106)</f>
        <v/>
      </c>
      <c r="H1901" s="39" t="str">
        <f>IF(Agent10_Withdrawals!A106="","",Agent10_Withdrawals!G106)</f>
        <v/>
      </c>
      <c r="I1901" s="37" t="str">
        <f>IF(Agent10_Withdrawals!A106="","",Agent10_Withdrawals!H106)</f>
        <v/>
      </c>
      <c r="J1901" s="37" t="str">
        <f>IF(Agent10_Withdrawals!A106="","",Agent10_Withdrawals!J106)</f>
        <v/>
      </c>
      <c r="K1901" s="37" t="str">
        <f>IF(Agent10_Withdrawals!A106="","",Agent10_Withdrawals!K106)</f>
        <v/>
      </c>
      <c r="L1901" s="37" t="str">
        <f>IF(G1901="","",IF(D1901-G1901&gt;=System_Config!$B$9,"✅ OK","⚠️ BREACH"))</f>
        <v/>
      </c>
      <c r="M1901" s="37" t="str">
        <f>IFERROR(IF(Agent10_Withdrawals!A106="","",YEAR(Agent10_Withdrawals!D106)),"")</f>
        <v/>
      </c>
    </row>
    <row r="1902" spans="1:13" ht="18" customHeight="1" x14ac:dyDescent="0.25">
      <c r="A1902" s="37" t="str">
        <f>IF(Agent10_Withdrawals!A107="","",Agent10_Withdrawals!A107)</f>
        <v/>
      </c>
      <c r="B1902" s="37" t="str">
        <f ca="1">IF(Agent10_Withdrawals!A107="","","WD"&amp;TEXT(1902-3,"0000")&amp;"-"&amp;TEXT(TODAY(),"YYYYMMDD"))</f>
        <v/>
      </c>
      <c r="C1902" s="37" t="str">
        <f>IF(Agent10_Withdrawals!A107="","",Agent10_Withdrawals!B107)</f>
        <v/>
      </c>
      <c r="D1902" s="40" t="str">
        <f>IF(Agent10_Withdrawals!A107="","",Agent10_Withdrawals!C107)</f>
        <v/>
      </c>
      <c r="E1902" s="38" t="str">
        <f>IF(Agent10_Withdrawals!A107="","",Agent10_Withdrawals!D107)</f>
        <v/>
      </c>
      <c r="F1902" s="37" t="str">
        <f>IF(Agent10_Withdrawals!A107="","",Agent10_Withdrawals!F107)</f>
        <v/>
      </c>
      <c r="G1902" s="39" t="str">
        <f>IF(Agent10_Withdrawals!A107="","",Agent10_Withdrawals!E107)</f>
        <v/>
      </c>
      <c r="H1902" s="39" t="str">
        <f>IF(Agent10_Withdrawals!A107="","",Agent10_Withdrawals!G107)</f>
        <v/>
      </c>
      <c r="I1902" s="37" t="str">
        <f>IF(Agent10_Withdrawals!A107="","",Agent10_Withdrawals!H107)</f>
        <v/>
      </c>
      <c r="J1902" s="37" t="str">
        <f>IF(Agent10_Withdrawals!A107="","",Agent10_Withdrawals!J107)</f>
        <v/>
      </c>
      <c r="K1902" s="37" t="str">
        <f>IF(Agent10_Withdrawals!A107="","",Agent10_Withdrawals!K107)</f>
        <v/>
      </c>
      <c r="L1902" s="37" t="str">
        <f>IF(G1902="","",IF(D1902-G1902&gt;=System_Config!$B$9,"✅ OK","⚠️ BREACH"))</f>
        <v/>
      </c>
      <c r="M1902" s="37" t="str">
        <f>IFERROR(IF(Agent10_Withdrawals!A107="","",YEAR(Agent10_Withdrawals!D107)),"")</f>
        <v/>
      </c>
    </row>
    <row r="1903" spans="1:13" ht="18" customHeight="1" x14ac:dyDescent="0.25">
      <c r="A1903" s="37" t="str">
        <f>IF(Agent10_Withdrawals!A108="","",Agent10_Withdrawals!A108)</f>
        <v/>
      </c>
      <c r="B1903" s="37" t="str">
        <f ca="1">IF(Agent10_Withdrawals!A108="","","WD"&amp;TEXT(1903-3,"0000")&amp;"-"&amp;TEXT(TODAY(),"YYYYMMDD"))</f>
        <v/>
      </c>
      <c r="C1903" s="37" t="str">
        <f>IF(Agent10_Withdrawals!A108="","",Agent10_Withdrawals!B108)</f>
        <v/>
      </c>
      <c r="D1903" s="40" t="str">
        <f>IF(Agent10_Withdrawals!A108="","",Agent10_Withdrawals!C108)</f>
        <v/>
      </c>
      <c r="E1903" s="38" t="str">
        <f>IF(Agent10_Withdrawals!A108="","",Agent10_Withdrawals!D108)</f>
        <v/>
      </c>
      <c r="F1903" s="37" t="str">
        <f>IF(Agent10_Withdrawals!A108="","",Agent10_Withdrawals!F108)</f>
        <v/>
      </c>
      <c r="G1903" s="39" t="str">
        <f>IF(Agent10_Withdrawals!A108="","",Agent10_Withdrawals!E108)</f>
        <v/>
      </c>
      <c r="H1903" s="39" t="str">
        <f>IF(Agent10_Withdrawals!A108="","",Agent10_Withdrawals!G108)</f>
        <v/>
      </c>
      <c r="I1903" s="37" t="str">
        <f>IF(Agent10_Withdrawals!A108="","",Agent10_Withdrawals!H108)</f>
        <v/>
      </c>
      <c r="J1903" s="37" t="str">
        <f>IF(Agent10_Withdrawals!A108="","",Agent10_Withdrawals!J108)</f>
        <v/>
      </c>
      <c r="K1903" s="37" t="str">
        <f>IF(Agent10_Withdrawals!A108="","",Agent10_Withdrawals!K108)</f>
        <v/>
      </c>
      <c r="L1903" s="37" t="str">
        <f>IF(G1903="","",IF(D1903-G1903&gt;=System_Config!$B$9,"✅ OK","⚠️ BREACH"))</f>
        <v/>
      </c>
      <c r="M1903" s="37" t="str">
        <f>IFERROR(IF(Agent10_Withdrawals!A108="","",YEAR(Agent10_Withdrawals!D108)),"")</f>
        <v/>
      </c>
    </row>
    <row r="1904" spans="1:13" ht="18" customHeight="1" x14ac:dyDescent="0.25">
      <c r="A1904" s="37" t="str">
        <f>IF(Agent10_Withdrawals!A109="","",Agent10_Withdrawals!A109)</f>
        <v/>
      </c>
      <c r="B1904" s="37" t="str">
        <f ca="1">IF(Agent10_Withdrawals!A109="","","WD"&amp;TEXT(1904-3,"0000")&amp;"-"&amp;TEXT(TODAY(),"YYYYMMDD"))</f>
        <v/>
      </c>
      <c r="C1904" s="37" t="str">
        <f>IF(Agent10_Withdrawals!A109="","",Agent10_Withdrawals!B109)</f>
        <v/>
      </c>
      <c r="D1904" s="40" t="str">
        <f>IF(Agent10_Withdrawals!A109="","",Agent10_Withdrawals!C109)</f>
        <v/>
      </c>
      <c r="E1904" s="38" t="str">
        <f>IF(Agent10_Withdrawals!A109="","",Agent10_Withdrawals!D109)</f>
        <v/>
      </c>
      <c r="F1904" s="37" t="str">
        <f>IF(Agent10_Withdrawals!A109="","",Agent10_Withdrawals!F109)</f>
        <v/>
      </c>
      <c r="G1904" s="39" t="str">
        <f>IF(Agent10_Withdrawals!A109="","",Agent10_Withdrawals!E109)</f>
        <v/>
      </c>
      <c r="H1904" s="39" t="str">
        <f>IF(Agent10_Withdrawals!A109="","",Agent10_Withdrawals!G109)</f>
        <v/>
      </c>
      <c r="I1904" s="37" t="str">
        <f>IF(Agent10_Withdrawals!A109="","",Agent10_Withdrawals!H109)</f>
        <v/>
      </c>
      <c r="J1904" s="37" t="str">
        <f>IF(Agent10_Withdrawals!A109="","",Agent10_Withdrawals!J109)</f>
        <v/>
      </c>
      <c r="K1904" s="37" t="str">
        <f>IF(Agent10_Withdrawals!A109="","",Agent10_Withdrawals!K109)</f>
        <v/>
      </c>
      <c r="L1904" s="37" t="str">
        <f>IF(G1904="","",IF(D1904-G1904&gt;=System_Config!$B$9,"✅ OK","⚠️ BREACH"))</f>
        <v/>
      </c>
      <c r="M1904" s="37" t="str">
        <f>IFERROR(IF(Agent10_Withdrawals!A109="","",YEAR(Agent10_Withdrawals!D109)),"")</f>
        <v/>
      </c>
    </row>
    <row r="1905" spans="1:13" ht="18" customHeight="1" x14ac:dyDescent="0.25">
      <c r="A1905" s="37" t="str">
        <f>IF(Agent10_Withdrawals!A110="","",Agent10_Withdrawals!A110)</f>
        <v/>
      </c>
      <c r="B1905" s="37" t="str">
        <f ca="1">IF(Agent10_Withdrawals!A110="","","WD"&amp;TEXT(1905-3,"0000")&amp;"-"&amp;TEXT(TODAY(),"YYYYMMDD"))</f>
        <v/>
      </c>
      <c r="C1905" s="37" t="str">
        <f>IF(Agent10_Withdrawals!A110="","",Agent10_Withdrawals!B110)</f>
        <v/>
      </c>
      <c r="D1905" s="40" t="str">
        <f>IF(Agent10_Withdrawals!A110="","",Agent10_Withdrawals!C110)</f>
        <v/>
      </c>
      <c r="E1905" s="38" t="str">
        <f>IF(Agent10_Withdrawals!A110="","",Agent10_Withdrawals!D110)</f>
        <v/>
      </c>
      <c r="F1905" s="37" t="str">
        <f>IF(Agent10_Withdrawals!A110="","",Agent10_Withdrawals!F110)</f>
        <v/>
      </c>
      <c r="G1905" s="39" t="str">
        <f>IF(Agent10_Withdrawals!A110="","",Agent10_Withdrawals!E110)</f>
        <v/>
      </c>
      <c r="H1905" s="39" t="str">
        <f>IF(Agent10_Withdrawals!A110="","",Agent10_Withdrawals!G110)</f>
        <v/>
      </c>
      <c r="I1905" s="37" t="str">
        <f>IF(Agent10_Withdrawals!A110="","",Agent10_Withdrawals!H110)</f>
        <v/>
      </c>
      <c r="J1905" s="37" t="str">
        <f>IF(Agent10_Withdrawals!A110="","",Agent10_Withdrawals!J110)</f>
        <v/>
      </c>
      <c r="K1905" s="37" t="str">
        <f>IF(Agent10_Withdrawals!A110="","",Agent10_Withdrawals!K110)</f>
        <v/>
      </c>
      <c r="L1905" s="37" t="str">
        <f>IF(G1905="","",IF(D1905-G1905&gt;=System_Config!$B$9,"✅ OK","⚠️ BREACH"))</f>
        <v/>
      </c>
      <c r="M1905" s="37" t="str">
        <f>IFERROR(IF(Agent10_Withdrawals!A110="","",YEAR(Agent10_Withdrawals!D110)),"")</f>
        <v/>
      </c>
    </row>
    <row r="1906" spans="1:13" ht="18" customHeight="1" x14ac:dyDescent="0.25">
      <c r="A1906" s="37" t="str">
        <f>IF(Agent10_Withdrawals!A111="","",Agent10_Withdrawals!A111)</f>
        <v/>
      </c>
      <c r="B1906" s="37" t="str">
        <f ca="1">IF(Agent10_Withdrawals!A111="","","WD"&amp;TEXT(1906-3,"0000")&amp;"-"&amp;TEXT(TODAY(),"YYYYMMDD"))</f>
        <v/>
      </c>
      <c r="C1906" s="37" t="str">
        <f>IF(Agent10_Withdrawals!A111="","",Agent10_Withdrawals!B111)</f>
        <v/>
      </c>
      <c r="D1906" s="40" t="str">
        <f>IF(Agent10_Withdrawals!A111="","",Agent10_Withdrawals!C111)</f>
        <v/>
      </c>
      <c r="E1906" s="38" t="str">
        <f>IF(Agent10_Withdrawals!A111="","",Agent10_Withdrawals!D111)</f>
        <v/>
      </c>
      <c r="F1906" s="37" t="str">
        <f>IF(Agent10_Withdrawals!A111="","",Agent10_Withdrawals!F111)</f>
        <v/>
      </c>
      <c r="G1906" s="39" t="str">
        <f>IF(Agent10_Withdrawals!A111="","",Agent10_Withdrawals!E111)</f>
        <v/>
      </c>
      <c r="H1906" s="39" t="str">
        <f>IF(Agent10_Withdrawals!A111="","",Agent10_Withdrawals!G111)</f>
        <v/>
      </c>
      <c r="I1906" s="37" t="str">
        <f>IF(Agent10_Withdrawals!A111="","",Agent10_Withdrawals!H111)</f>
        <v/>
      </c>
      <c r="J1906" s="37" t="str">
        <f>IF(Agent10_Withdrawals!A111="","",Agent10_Withdrawals!J111)</f>
        <v/>
      </c>
      <c r="K1906" s="37" t="str">
        <f>IF(Agent10_Withdrawals!A111="","",Agent10_Withdrawals!K111)</f>
        <v/>
      </c>
      <c r="L1906" s="37" t="str">
        <f>IF(G1906="","",IF(D1906-G1906&gt;=System_Config!$B$9,"✅ OK","⚠️ BREACH"))</f>
        <v/>
      </c>
      <c r="M1906" s="37" t="str">
        <f>IFERROR(IF(Agent10_Withdrawals!A111="","",YEAR(Agent10_Withdrawals!D111)),"")</f>
        <v/>
      </c>
    </row>
    <row r="1907" spans="1:13" ht="18" customHeight="1" x14ac:dyDescent="0.25">
      <c r="A1907" s="37" t="str">
        <f>IF(Agent10_Withdrawals!A112="","",Agent10_Withdrawals!A112)</f>
        <v/>
      </c>
      <c r="B1907" s="37" t="str">
        <f ca="1">IF(Agent10_Withdrawals!A112="","","WD"&amp;TEXT(1907-3,"0000")&amp;"-"&amp;TEXT(TODAY(),"YYYYMMDD"))</f>
        <v/>
      </c>
      <c r="C1907" s="37" t="str">
        <f>IF(Agent10_Withdrawals!A112="","",Agent10_Withdrawals!B112)</f>
        <v/>
      </c>
      <c r="D1907" s="40" t="str">
        <f>IF(Agent10_Withdrawals!A112="","",Agent10_Withdrawals!C112)</f>
        <v/>
      </c>
      <c r="E1907" s="38" t="str">
        <f>IF(Agent10_Withdrawals!A112="","",Agent10_Withdrawals!D112)</f>
        <v/>
      </c>
      <c r="F1907" s="37" t="str">
        <f>IF(Agent10_Withdrawals!A112="","",Agent10_Withdrawals!F112)</f>
        <v/>
      </c>
      <c r="G1907" s="39" t="str">
        <f>IF(Agent10_Withdrawals!A112="","",Agent10_Withdrawals!E112)</f>
        <v/>
      </c>
      <c r="H1907" s="39" t="str">
        <f>IF(Agent10_Withdrawals!A112="","",Agent10_Withdrawals!G112)</f>
        <v/>
      </c>
      <c r="I1907" s="37" t="str">
        <f>IF(Agent10_Withdrawals!A112="","",Agent10_Withdrawals!H112)</f>
        <v/>
      </c>
      <c r="J1907" s="37" t="str">
        <f>IF(Agent10_Withdrawals!A112="","",Agent10_Withdrawals!J112)</f>
        <v/>
      </c>
      <c r="K1907" s="37" t="str">
        <f>IF(Agent10_Withdrawals!A112="","",Agent10_Withdrawals!K112)</f>
        <v/>
      </c>
      <c r="L1907" s="37" t="str">
        <f>IF(G1907="","",IF(D1907-G1907&gt;=System_Config!$B$9,"✅ OK","⚠️ BREACH"))</f>
        <v/>
      </c>
      <c r="M1907" s="37" t="str">
        <f>IFERROR(IF(Agent10_Withdrawals!A112="","",YEAR(Agent10_Withdrawals!D112)),"")</f>
        <v/>
      </c>
    </row>
    <row r="1908" spans="1:13" ht="18" customHeight="1" x14ac:dyDescent="0.25">
      <c r="A1908" s="37" t="str">
        <f>IF(Agent10_Withdrawals!A113="","",Agent10_Withdrawals!A113)</f>
        <v/>
      </c>
      <c r="B1908" s="37" t="str">
        <f ca="1">IF(Agent10_Withdrawals!A113="","","WD"&amp;TEXT(1908-3,"0000")&amp;"-"&amp;TEXT(TODAY(),"YYYYMMDD"))</f>
        <v/>
      </c>
      <c r="C1908" s="37" t="str">
        <f>IF(Agent10_Withdrawals!A113="","",Agent10_Withdrawals!B113)</f>
        <v/>
      </c>
      <c r="D1908" s="40" t="str">
        <f>IF(Agent10_Withdrawals!A113="","",Agent10_Withdrawals!C113)</f>
        <v/>
      </c>
      <c r="E1908" s="38" t="str">
        <f>IF(Agent10_Withdrawals!A113="","",Agent10_Withdrawals!D113)</f>
        <v/>
      </c>
      <c r="F1908" s="37" t="str">
        <f>IF(Agent10_Withdrawals!A113="","",Agent10_Withdrawals!F113)</f>
        <v/>
      </c>
      <c r="G1908" s="39" t="str">
        <f>IF(Agent10_Withdrawals!A113="","",Agent10_Withdrawals!E113)</f>
        <v/>
      </c>
      <c r="H1908" s="39" t="str">
        <f>IF(Agent10_Withdrawals!A113="","",Agent10_Withdrawals!G113)</f>
        <v/>
      </c>
      <c r="I1908" s="37" t="str">
        <f>IF(Agent10_Withdrawals!A113="","",Agent10_Withdrawals!H113)</f>
        <v/>
      </c>
      <c r="J1908" s="37" t="str">
        <f>IF(Agent10_Withdrawals!A113="","",Agent10_Withdrawals!J113)</f>
        <v/>
      </c>
      <c r="K1908" s="37" t="str">
        <f>IF(Agent10_Withdrawals!A113="","",Agent10_Withdrawals!K113)</f>
        <v/>
      </c>
      <c r="L1908" s="37" t="str">
        <f>IF(G1908="","",IF(D1908-G1908&gt;=System_Config!$B$9,"✅ OK","⚠️ BREACH"))</f>
        <v/>
      </c>
      <c r="M1908" s="37" t="str">
        <f>IFERROR(IF(Agent10_Withdrawals!A113="","",YEAR(Agent10_Withdrawals!D113)),"")</f>
        <v/>
      </c>
    </row>
    <row r="1909" spans="1:13" ht="18" customHeight="1" x14ac:dyDescent="0.25">
      <c r="A1909" s="37" t="str">
        <f>IF(Agent10_Withdrawals!A114="","",Agent10_Withdrawals!A114)</f>
        <v/>
      </c>
      <c r="B1909" s="37" t="str">
        <f ca="1">IF(Agent10_Withdrawals!A114="","","WD"&amp;TEXT(1909-3,"0000")&amp;"-"&amp;TEXT(TODAY(),"YYYYMMDD"))</f>
        <v/>
      </c>
      <c r="C1909" s="37" t="str">
        <f>IF(Agent10_Withdrawals!A114="","",Agent10_Withdrawals!B114)</f>
        <v/>
      </c>
      <c r="D1909" s="40" t="str">
        <f>IF(Agent10_Withdrawals!A114="","",Agent10_Withdrawals!C114)</f>
        <v/>
      </c>
      <c r="E1909" s="38" t="str">
        <f>IF(Agent10_Withdrawals!A114="","",Agent10_Withdrawals!D114)</f>
        <v/>
      </c>
      <c r="F1909" s="37" t="str">
        <f>IF(Agent10_Withdrawals!A114="","",Agent10_Withdrawals!F114)</f>
        <v/>
      </c>
      <c r="G1909" s="39" t="str">
        <f>IF(Agent10_Withdrawals!A114="","",Agent10_Withdrawals!E114)</f>
        <v/>
      </c>
      <c r="H1909" s="39" t="str">
        <f>IF(Agent10_Withdrawals!A114="","",Agent10_Withdrawals!G114)</f>
        <v/>
      </c>
      <c r="I1909" s="37" t="str">
        <f>IF(Agent10_Withdrawals!A114="","",Agent10_Withdrawals!H114)</f>
        <v/>
      </c>
      <c r="J1909" s="37" t="str">
        <f>IF(Agent10_Withdrawals!A114="","",Agent10_Withdrawals!J114)</f>
        <v/>
      </c>
      <c r="K1909" s="37" t="str">
        <f>IF(Agent10_Withdrawals!A114="","",Agent10_Withdrawals!K114)</f>
        <v/>
      </c>
      <c r="L1909" s="37" t="str">
        <f>IF(G1909="","",IF(D1909-G1909&gt;=System_Config!$B$9,"✅ OK","⚠️ BREACH"))</f>
        <v/>
      </c>
      <c r="M1909" s="37" t="str">
        <f>IFERROR(IF(Agent10_Withdrawals!A114="","",YEAR(Agent10_Withdrawals!D114)),"")</f>
        <v/>
      </c>
    </row>
    <row r="1910" spans="1:13" ht="18" customHeight="1" x14ac:dyDescent="0.25">
      <c r="A1910" s="37" t="str">
        <f>IF(Agent10_Withdrawals!A115="","",Agent10_Withdrawals!A115)</f>
        <v/>
      </c>
      <c r="B1910" s="37" t="str">
        <f ca="1">IF(Agent10_Withdrawals!A115="","","WD"&amp;TEXT(1910-3,"0000")&amp;"-"&amp;TEXT(TODAY(),"YYYYMMDD"))</f>
        <v/>
      </c>
      <c r="C1910" s="37" t="str">
        <f>IF(Agent10_Withdrawals!A115="","",Agent10_Withdrawals!B115)</f>
        <v/>
      </c>
      <c r="D1910" s="40" t="str">
        <f>IF(Agent10_Withdrawals!A115="","",Agent10_Withdrawals!C115)</f>
        <v/>
      </c>
      <c r="E1910" s="38" t="str">
        <f>IF(Agent10_Withdrawals!A115="","",Agent10_Withdrawals!D115)</f>
        <v/>
      </c>
      <c r="F1910" s="37" t="str">
        <f>IF(Agent10_Withdrawals!A115="","",Agent10_Withdrawals!F115)</f>
        <v/>
      </c>
      <c r="G1910" s="39" t="str">
        <f>IF(Agent10_Withdrawals!A115="","",Agent10_Withdrawals!E115)</f>
        <v/>
      </c>
      <c r="H1910" s="39" t="str">
        <f>IF(Agent10_Withdrawals!A115="","",Agent10_Withdrawals!G115)</f>
        <v/>
      </c>
      <c r="I1910" s="37" t="str">
        <f>IF(Agent10_Withdrawals!A115="","",Agent10_Withdrawals!H115)</f>
        <v/>
      </c>
      <c r="J1910" s="37" t="str">
        <f>IF(Agent10_Withdrawals!A115="","",Agent10_Withdrawals!J115)</f>
        <v/>
      </c>
      <c r="K1910" s="37" t="str">
        <f>IF(Agent10_Withdrawals!A115="","",Agent10_Withdrawals!K115)</f>
        <v/>
      </c>
      <c r="L1910" s="37" t="str">
        <f>IF(G1910="","",IF(D1910-G1910&gt;=System_Config!$B$9,"✅ OK","⚠️ BREACH"))</f>
        <v/>
      </c>
      <c r="M1910" s="37" t="str">
        <f>IFERROR(IF(Agent10_Withdrawals!A115="","",YEAR(Agent10_Withdrawals!D115)),"")</f>
        <v/>
      </c>
    </row>
    <row r="1911" spans="1:13" ht="18" customHeight="1" x14ac:dyDescent="0.25">
      <c r="A1911" s="37" t="str">
        <f>IF(Agent10_Withdrawals!A116="","",Agent10_Withdrawals!A116)</f>
        <v/>
      </c>
      <c r="B1911" s="37" t="str">
        <f ca="1">IF(Agent10_Withdrawals!A116="","","WD"&amp;TEXT(1911-3,"0000")&amp;"-"&amp;TEXT(TODAY(),"YYYYMMDD"))</f>
        <v/>
      </c>
      <c r="C1911" s="37" t="str">
        <f>IF(Agent10_Withdrawals!A116="","",Agent10_Withdrawals!B116)</f>
        <v/>
      </c>
      <c r="D1911" s="40" t="str">
        <f>IF(Agent10_Withdrawals!A116="","",Agent10_Withdrawals!C116)</f>
        <v/>
      </c>
      <c r="E1911" s="38" t="str">
        <f>IF(Agent10_Withdrawals!A116="","",Agent10_Withdrawals!D116)</f>
        <v/>
      </c>
      <c r="F1911" s="37" t="str">
        <f>IF(Agent10_Withdrawals!A116="","",Agent10_Withdrawals!F116)</f>
        <v/>
      </c>
      <c r="G1911" s="39" t="str">
        <f>IF(Agent10_Withdrawals!A116="","",Agent10_Withdrawals!E116)</f>
        <v/>
      </c>
      <c r="H1911" s="39" t="str">
        <f>IF(Agent10_Withdrawals!A116="","",Agent10_Withdrawals!G116)</f>
        <v/>
      </c>
      <c r="I1911" s="37" t="str">
        <f>IF(Agent10_Withdrawals!A116="","",Agent10_Withdrawals!H116)</f>
        <v/>
      </c>
      <c r="J1911" s="37" t="str">
        <f>IF(Agent10_Withdrawals!A116="","",Agent10_Withdrawals!J116)</f>
        <v/>
      </c>
      <c r="K1911" s="37" t="str">
        <f>IF(Agent10_Withdrawals!A116="","",Agent10_Withdrawals!K116)</f>
        <v/>
      </c>
      <c r="L1911" s="37" t="str">
        <f>IF(G1911="","",IF(D1911-G1911&gt;=System_Config!$B$9,"✅ OK","⚠️ BREACH"))</f>
        <v/>
      </c>
      <c r="M1911" s="37" t="str">
        <f>IFERROR(IF(Agent10_Withdrawals!A116="","",YEAR(Agent10_Withdrawals!D116)),"")</f>
        <v/>
      </c>
    </row>
    <row r="1912" spans="1:13" ht="18" customHeight="1" x14ac:dyDescent="0.25">
      <c r="A1912" s="37" t="str">
        <f>IF(Agent10_Withdrawals!A117="","",Agent10_Withdrawals!A117)</f>
        <v/>
      </c>
      <c r="B1912" s="37" t="str">
        <f ca="1">IF(Agent10_Withdrawals!A117="","","WD"&amp;TEXT(1912-3,"0000")&amp;"-"&amp;TEXT(TODAY(),"YYYYMMDD"))</f>
        <v/>
      </c>
      <c r="C1912" s="37" t="str">
        <f>IF(Agent10_Withdrawals!A117="","",Agent10_Withdrawals!B117)</f>
        <v/>
      </c>
      <c r="D1912" s="40" t="str">
        <f>IF(Agent10_Withdrawals!A117="","",Agent10_Withdrawals!C117)</f>
        <v/>
      </c>
      <c r="E1912" s="38" t="str">
        <f>IF(Agent10_Withdrawals!A117="","",Agent10_Withdrawals!D117)</f>
        <v/>
      </c>
      <c r="F1912" s="37" t="str">
        <f>IF(Agent10_Withdrawals!A117="","",Agent10_Withdrawals!F117)</f>
        <v/>
      </c>
      <c r="G1912" s="39" t="str">
        <f>IF(Agent10_Withdrawals!A117="","",Agent10_Withdrawals!E117)</f>
        <v/>
      </c>
      <c r="H1912" s="39" t="str">
        <f>IF(Agent10_Withdrawals!A117="","",Agent10_Withdrawals!G117)</f>
        <v/>
      </c>
      <c r="I1912" s="37" t="str">
        <f>IF(Agent10_Withdrawals!A117="","",Agent10_Withdrawals!H117)</f>
        <v/>
      </c>
      <c r="J1912" s="37" t="str">
        <f>IF(Agent10_Withdrawals!A117="","",Agent10_Withdrawals!J117)</f>
        <v/>
      </c>
      <c r="K1912" s="37" t="str">
        <f>IF(Agent10_Withdrawals!A117="","",Agent10_Withdrawals!K117)</f>
        <v/>
      </c>
      <c r="L1912" s="37" t="str">
        <f>IF(G1912="","",IF(D1912-G1912&gt;=System_Config!$B$9,"✅ OK","⚠️ BREACH"))</f>
        <v/>
      </c>
      <c r="M1912" s="37" t="str">
        <f>IFERROR(IF(Agent10_Withdrawals!A117="","",YEAR(Agent10_Withdrawals!D117)),"")</f>
        <v/>
      </c>
    </row>
    <row r="1913" spans="1:13" ht="18" customHeight="1" x14ac:dyDescent="0.25">
      <c r="A1913" s="37" t="str">
        <f>IF(Agent10_Withdrawals!A118="","",Agent10_Withdrawals!A118)</f>
        <v/>
      </c>
      <c r="B1913" s="37" t="str">
        <f ca="1">IF(Agent10_Withdrawals!A118="","","WD"&amp;TEXT(1913-3,"0000")&amp;"-"&amp;TEXT(TODAY(),"YYYYMMDD"))</f>
        <v/>
      </c>
      <c r="C1913" s="37" t="str">
        <f>IF(Agent10_Withdrawals!A118="","",Agent10_Withdrawals!B118)</f>
        <v/>
      </c>
      <c r="D1913" s="40" t="str">
        <f>IF(Agent10_Withdrawals!A118="","",Agent10_Withdrawals!C118)</f>
        <v/>
      </c>
      <c r="E1913" s="38" t="str">
        <f>IF(Agent10_Withdrawals!A118="","",Agent10_Withdrawals!D118)</f>
        <v/>
      </c>
      <c r="F1913" s="37" t="str">
        <f>IF(Agent10_Withdrawals!A118="","",Agent10_Withdrawals!F118)</f>
        <v/>
      </c>
      <c r="G1913" s="39" t="str">
        <f>IF(Agent10_Withdrawals!A118="","",Agent10_Withdrawals!E118)</f>
        <v/>
      </c>
      <c r="H1913" s="39" t="str">
        <f>IF(Agent10_Withdrawals!A118="","",Agent10_Withdrawals!G118)</f>
        <v/>
      </c>
      <c r="I1913" s="37" t="str">
        <f>IF(Agent10_Withdrawals!A118="","",Agent10_Withdrawals!H118)</f>
        <v/>
      </c>
      <c r="J1913" s="37" t="str">
        <f>IF(Agent10_Withdrawals!A118="","",Agent10_Withdrawals!J118)</f>
        <v/>
      </c>
      <c r="K1913" s="37" t="str">
        <f>IF(Agent10_Withdrawals!A118="","",Agent10_Withdrawals!K118)</f>
        <v/>
      </c>
      <c r="L1913" s="37" t="str">
        <f>IF(G1913="","",IF(D1913-G1913&gt;=System_Config!$B$9,"✅ OK","⚠️ BREACH"))</f>
        <v/>
      </c>
      <c r="M1913" s="37" t="str">
        <f>IFERROR(IF(Agent10_Withdrawals!A118="","",YEAR(Agent10_Withdrawals!D118)),"")</f>
        <v/>
      </c>
    </row>
    <row r="1914" spans="1:13" ht="18" customHeight="1" x14ac:dyDescent="0.25">
      <c r="A1914" s="37" t="str">
        <f>IF(Agent10_Withdrawals!A119="","",Agent10_Withdrawals!A119)</f>
        <v/>
      </c>
      <c r="B1914" s="37" t="str">
        <f ca="1">IF(Agent10_Withdrawals!A119="","","WD"&amp;TEXT(1914-3,"0000")&amp;"-"&amp;TEXT(TODAY(),"YYYYMMDD"))</f>
        <v/>
      </c>
      <c r="C1914" s="37" t="str">
        <f>IF(Agent10_Withdrawals!A119="","",Agent10_Withdrawals!B119)</f>
        <v/>
      </c>
      <c r="D1914" s="40" t="str">
        <f>IF(Agent10_Withdrawals!A119="","",Agent10_Withdrawals!C119)</f>
        <v/>
      </c>
      <c r="E1914" s="38" t="str">
        <f>IF(Agent10_Withdrawals!A119="","",Agent10_Withdrawals!D119)</f>
        <v/>
      </c>
      <c r="F1914" s="37" t="str">
        <f>IF(Agent10_Withdrawals!A119="","",Agent10_Withdrawals!F119)</f>
        <v/>
      </c>
      <c r="G1914" s="39" t="str">
        <f>IF(Agent10_Withdrawals!A119="","",Agent10_Withdrawals!E119)</f>
        <v/>
      </c>
      <c r="H1914" s="39" t="str">
        <f>IF(Agent10_Withdrawals!A119="","",Agent10_Withdrawals!G119)</f>
        <v/>
      </c>
      <c r="I1914" s="37" t="str">
        <f>IF(Agent10_Withdrawals!A119="","",Agent10_Withdrawals!H119)</f>
        <v/>
      </c>
      <c r="J1914" s="37" t="str">
        <f>IF(Agent10_Withdrawals!A119="","",Agent10_Withdrawals!J119)</f>
        <v/>
      </c>
      <c r="K1914" s="37" t="str">
        <f>IF(Agent10_Withdrawals!A119="","",Agent10_Withdrawals!K119)</f>
        <v/>
      </c>
      <c r="L1914" s="37" t="str">
        <f>IF(G1914="","",IF(D1914-G1914&gt;=System_Config!$B$9,"✅ OK","⚠️ BREACH"))</f>
        <v/>
      </c>
      <c r="M1914" s="37" t="str">
        <f>IFERROR(IF(Agent10_Withdrawals!A119="","",YEAR(Agent10_Withdrawals!D119)),"")</f>
        <v/>
      </c>
    </row>
    <row r="1915" spans="1:13" ht="18" customHeight="1" x14ac:dyDescent="0.25">
      <c r="A1915" s="37" t="str">
        <f>IF(Agent10_Withdrawals!A120="","",Agent10_Withdrawals!A120)</f>
        <v/>
      </c>
      <c r="B1915" s="37" t="str">
        <f ca="1">IF(Agent10_Withdrawals!A120="","","WD"&amp;TEXT(1915-3,"0000")&amp;"-"&amp;TEXT(TODAY(),"YYYYMMDD"))</f>
        <v/>
      </c>
      <c r="C1915" s="37" t="str">
        <f>IF(Agent10_Withdrawals!A120="","",Agent10_Withdrawals!B120)</f>
        <v/>
      </c>
      <c r="D1915" s="40" t="str">
        <f>IF(Agent10_Withdrawals!A120="","",Agent10_Withdrawals!C120)</f>
        <v/>
      </c>
      <c r="E1915" s="38" t="str">
        <f>IF(Agent10_Withdrawals!A120="","",Agent10_Withdrawals!D120)</f>
        <v/>
      </c>
      <c r="F1915" s="37" t="str">
        <f>IF(Agent10_Withdrawals!A120="","",Agent10_Withdrawals!F120)</f>
        <v/>
      </c>
      <c r="G1915" s="39" t="str">
        <f>IF(Agent10_Withdrawals!A120="","",Agent10_Withdrawals!E120)</f>
        <v/>
      </c>
      <c r="H1915" s="39" t="str">
        <f>IF(Agent10_Withdrawals!A120="","",Agent10_Withdrawals!G120)</f>
        <v/>
      </c>
      <c r="I1915" s="37" t="str">
        <f>IF(Agent10_Withdrawals!A120="","",Agent10_Withdrawals!H120)</f>
        <v/>
      </c>
      <c r="J1915" s="37" t="str">
        <f>IF(Agent10_Withdrawals!A120="","",Agent10_Withdrawals!J120)</f>
        <v/>
      </c>
      <c r="K1915" s="37" t="str">
        <f>IF(Agent10_Withdrawals!A120="","",Agent10_Withdrawals!K120)</f>
        <v/>
      </c>
      <c r="L1915" s="37" t="str">
        <f>IF(G1915="","",IF(D1915-G1915&gt;=System_Config!$B$9,"✅ OK","⚠️ BREACH"))</f>
        <v/>
      </c>
      <c r="M1915" s="37" t="str">
        <f>IFERROR(IF(Agent10_Withdrawals!A120="","",YEAR(Agent10_Withdrawals!D120)),"")</f>
        <v/>
      </c>
    </row>
    <row r="1916" spans="1:13" ht="18" customHeight="1" x14ac:dyDescent="0.25">
      <c r="A1916" s="37" t="str">
        <f>IF(Agent10_Withdrawals!A121="","",Agent10_Withdrawals!A121)</f>
        <v/>
      </c>
      <c r="B1916" s="37" t="str">
        <f ca="1">IF(Agent10_Withdrawals!A121="","","WD"&amp;TEXT(1916-3,"0000")&amp;"-"&amp;TEXT(TODAY(),"YYYYMMDD"))</f>
        <v/>
      </c>
      <c r="C1916" s="37" t="str">
        <f>IF(Agent10_Withdrawals!A121="","",Agent10_Withdrawals!B121)</f>
        <v/>
      </c>
      <c r="D1916" s="40" t="str">
        <f>IF(Agent10_Withdrawals!A121="","",Agent10_Withdrawals!C121)</f>
        <v/>
      </c>
      <c r="E1916" s="38" t="str">
        <f>IF(Agent10_Withdrawals!A121="","",Agent10_Withdrawals!D121)</f>
        <v/>
      </c>
      <c r="F1916" s="37" t="str">
        <f>IF(Agent10_Withdrawals!A121="","",Agent10_Withdrawals!F121)</f>
        <v/>
      </c>
      <c r="G1916" s="39" t="str">
        <f>IF(Agent10_Withdrawals!A121="","",Agent10_Withdrawals!E121)</f>
        <v/>
      </c>
      <c r="H1916" s="39" t="str">
        <f>IF(Agent10_Withdrawals!A121="","",Agent10_Withdrawals!G121)</f>
        <v/>
      </c>
      <c r="I1916" s="37" t="str">
        <f>IF(Agent10_Withdrawals!A121="","",Agent10_Withdrawals!H121)</f>
        <v/>
      </c>
      <c r="J1916" s="37" t="str">
        <f>IF(Agent10_Withdrawals!A121="","",Agent10_Withdrawals!J121)</f>
        <v/>
      </c>
      <c r="K1916" s="37" t="str">
        <f>IF(Agent10_Withdrawals!A121="","",Agent10_Withdrawals!K121)</f>
        <v/>
      </c>
      <c r="L1916" s="37" t="str">
        <f>IF(G1916="","",IF(D1916-G1916&gt;=System_Config!$B$9,"✅ OK","⚠️ BREACH"))</f>
        <v/>
      </c>
      <c r="M1916" s="37" t="str">
        <f>IFERROR(IF(Agent10_Withdrawals!A121="","",YEAR(Agent10_Withdrawals!D121)),"")</f>
        <v/>
      </c>
    </row>
    <row r="1917" spans="1:13" ht="18" customHeight="1" x14ac:dyDescent="0.25">
      <c r="A1917" s="37" t="str">
        <f>IF(Agent10_Withdrawals!A122="","",Agent10_Withdrawals!A122)</f>
        <v/>
      </c>
      <c r="B1917" s="37" t="str">
        <f ca="1">IF(Agent10_Withdrawals!A122="","","WD"&amp;TEXT(1917-3,"0000")&amp;"-"&amp;TEXT(TODAY(),"YYYYMMDD"))</f>
        <v/>
      </c>
      <c r="C1917" s="37" t="str">
        <f>IF(Agent10_Withdrawals!A122="","",Agent10_Withdrawals!B122)</f>
        <v/>
      </c>
      <c r="D1917" s="40" t="str">
        <f>IF(Agent10_Withdrawals!A122="","",Agent10_Withdrawals!C122)</f>
        <v/>
      </c>
      <c r="E1917" s="38" t="str">
        <f>IF(Agent10_Withdrawals!A122="","",Agent10_Withdrawals!D122)</f>
        <v/>
      </c>
      <c r="F1917" s="37" t="str">
        <f>IF(Agent10_Withdrawals!A122="","",Agent10_Withdrawals!F122)</f>
        <v/>
      </c>
      <c r="G1917" s="39" t="str">
        <f>IF(Agent10_Withdrawals!A122="","",Agent10_Withdrawals!E122)</f>
        <v/>
      </c>
      <c r="H1917" s="39" t="str">
        <f>IF(Agent10_Withdrawals!A122="","",Agent10_Withdrawals!G122)</f>
        <v/>
      </c>
      <c r="I1917" s="37" t="str">
        <f>IF(Agent10_Withdrawals!A122="","",Agent10_Withdrawals!H122)</f>
        <v/>
      </c>
      <c r="J1917" s="37" t="str">
        <f>IF(Agent10_Withdrawals!A122="","",Agent10_Withdrawals!J122)</f>
        <v/>
      </c>
      <c r="K1917" s="37" t="str">
        <f>IF(Agent10_Withdrawals!A122="","",Agent10_Withdrawals!K122)</f>
        <v/>
      </c>
      <c r="L1917" s="37" t="str">
        <f>IF(G1917="","",IF(D1917-G1917&gt;=System_Config!$B$9,"✅ OK","⚠️ BREACH"))</f>
        <v/>
      </c>
      <c r="M1917" s="37" t="str">
        <f>IFERROR(IF(Agent10_Withdrawals!A122="","",YEAR(Agent10_Withdrawals!D122)),"")</f>
        <v/>
      </c>
    </row>
    <row r="1918" spans="1:13" ht="18" customHeight="1" x14ac:dyDescent="0.25">
      <c r="A1918" s="37" t="str">
        <f>IF(Agent10_Withdrawals!A123="","",Agent10_Withdrawals!A123)</f>
        <v/>
      </c>
      <c r="B1918" s="37" t="str">
        <f ca="1">IF(Agent10_Withdrawals!A123="","","WD"&amp;TEXT(1918-3,"0000")&amp;"-"&amp;TEXT(TODAY(),"YYYYMMDD"))</f>
        <v/>
      </c>
      <c r="C1918" s="37" t="str">
        <f>IF(Agent10_Withdrawals!A123="","",Agent10_Withdrawals!B123)</f>
        <v/>
      </c>
      <c r="D1918" s="40" t="str">
        <f>IF(Agent10_Withdrawals!A123="","",Agent10_Withdrawals!C123)</f>
        <v/>
      </c>
      <c r="E1918" s="38" t="str">
        <f>IF(Agent10_Withdrawals!A123="","",Agent10_Withdrawals!D123)</f>
        <v/>
      </c>
      <c r="F1918" s="37" t="str">
        <f>IF(Agent10_Withdrawals!A123="","",Agent10_Withdrawals!F123)</f>
        <v/>
      </c>
      <c r="G1918" s="39" t="str">
        <f>IF(Agent10_Withdrawals!A123="","",Agent10_Withdrawals!E123)</f>
        <v/>
      </c>
      <c r="H1918" s="39" t="str">
        <f>IF(Agent10_Withdrawals!A123="","",Agent10_Withdrawals!G123)</f>
        <v/>
      </c>
      <c r="I1918" s="37" t="str">
        <f>IF(Agent10_Withdrawals!A123="","",Agent10_Withdrawals!H123)</f>
        <v/>
      </c>
      <c r="J1918" s="37" t="str">
        <f>IF(Agent10_Withdrawals!A123="","",Agent10_Withdrawals!J123)</f>
        <v/>
      </c>
      <c r="K1918" s="37" t="str">
        <f>IF(Agent10_Withdrawals!A123="","",Agent10_Withdrawals!K123)</f>
        <v/>
      </c>
      <c r="L1918" s="37" t="str">
        <f>IF(G1918="","",IF(D1918-G1918&gt;=System_Config!$B$9,"✅ OK","⚠️ BREACH"))</f>
        <v/>
      </c>
      <c r="M1918" s="37" t="str">
        <f>IFERROR(IF(Agent10_Withdrawals!A123="","",YEAR(Agent10_Withdrawals!D123)),"")</f>
        <v/>
      </c>
    </row>
    <row r="1919" spans="1:13" ht="18" customHeight="1" x14ac:dyDescent="0.25">
      <c r="A1919" s="37" t="str">
        <f>IF(Agent10_Withdrawals!A124="","",Agent10_Withdrawals!A124)</f>
        <v/>
      </c>
      <c r="B1919" s="37" t="str">
        <f ca="1">IF(Agent10_Withdrawals!A124="","","WD"&amp;TEXT(1919-3,"0000")&amp;"-"&amp;TEXT(TODAY(),"YYYYMMDD"))</f>
        <v/>
      </c>
      <c r="C1919" s="37" t="str">
        <f>IF(Agent10_Withdrawals!A124="","",Agent10_Withdrawals!B124)</f>
        <v/>
      </c>
      <c r="D1919" s="40" t="str">
        <f>IF(Agent10_Withdrawals!A124="","",Agent10_Withdrawals!C124)</f>
        <v/>
      </c>
      <c r="E1919" s="38" t="str">
        <f>IF(Agent10_Withdrawals!A124="","",Agent10_Withdrawals!D124)</f>
        <v/>
      </c>
      <c r="F1919" s="37" t="str">
        <f>IF(Agent10_Withdrawals!A124="","",Agent10_Withdrawals!F124)</f>
        <v/>
      </c>
      <c r="G1919" s="39" t="str">
        <f>IF(Agent10_Withdrawals!A124="","",Agent10_Withdrawals!E124)</f>
        <v/>
      </c>
      <c r="H1919" s="39" t="str">
        <f>IF(Agent10_Withdrawals!A124="","",Agent10_Withdrawals!G124)</f>
        <v/>
      </c>
      <c r="I1919" s="37" t="str">
        <f>IF(Agent10_Withdrawals!A124="","",Agent10_Withdrawals!H124)</f>
        <v/>
      </c>
      <c r="J1919" s="37" t="str">
        <f>IF(Agent10_Withdrawals!A124="","",Agent10_Withdrawals!J124)</f>
        <v/>
      </c>
      <c r="K1919" s="37" t="str">
        <f>IF(Agent10_Withdrawals!A124="","",Agent10_Withdrawals!K124)</f>
        <v/>
      </c>
      <c r="L1919" s="37" t="str">
        <f>IF(G1919="","",IF(D1919-G1919&gt;=System_Config!$B$9,"✅ OK","⚠️ BREACH"))</f>
        <v/>
      </c>
      <c r="M1919" s="37" t="str">
        <f>IFERROR(IF(Agent10_Withdrawals!A124="","",YEAR(Agent10_Withdrawals!D124)),"")</f>
        <v/>
      </c>
    </row>
    <row r="1920" spans="1:13" ht="18" customHeight="1" x14ac:dyDescent="0.25">
      <c r="A1920" s="37" t="str">
        <f>IF(Agent10_Withdrawals!A125="","",Agent10_Withdrawals!A125)</f>
        <v/>
      </c>
      <c r="B1920" s="37" t="str">
        <f ca="1">IF(Agent10_Withdrawals!A125="","","WD"&amp;TEXT(1920-3,"0000")&amp;"-"&amp;TEXT(TODAY(),"YYYYMMDD"))</f>
        <v/>
      </c>
      <c r="C1920" s="37" t="str">
        <f>IF(Agent10_Withdrawals!A125="","",Agent10_Withdrawals!B125)</f>
        <v/>
      </c>
      <c r="D1920" s="40" t="str">
        <f>IF(Agent10_Withdrawals!A125="","",Agent10_Withdrawals!C125)</f>
        <v/>
      </c>
      <c r="E1920" s="38" t="str">
        <f>IF(Agent10_Withdrawals!A125="","",Agent10_Withdrawals!D125)</f>
        <v/>
      </c>
      <c r="F1920" s="37" t="str">
        <f>IF(Agent10_Withdrawals!A125="","",Agent10_Withdrawals!F125)</f>
        <v/>
      </c>
      <c r="G1920" s="39" t="str">
        <f>IF(Agent10_Withdrawals!A125="","",Agent10_Withdrawals!E125)</f>
        <v/>
      </c>
      <c r="H1920" s="39" t="str">
        <f>IF(Agent10_Withdrawals!A125="","",Agent10_Withdrawals!G125)</f>
        <v/>
      </c>
      <c r="I1920" s="37" t="str">
        <f>IF(Agent10_Withdrawals!A125="","",Agent10_Withdrawals!H125)</f>
        <v/>
      </c>
      <c r="J1920" s="37" t="str">
        <f>IF(Agent10_Withdrawals!A125="","",Agent10_Withdrawals!J125)</f>
        <v/>
      </c>
      <c r="K1920" s="37" t="str">
        <f>IF(Agent10_Withdrawals!A125="","",Agent10_Withdrawals!K125)</f>
        <v/>
      </c>
      <c r="L1920" s="37" t="str">
        <f>IF(G1920="","",IF(D1920-G1920&gt;=System_Config!$B$9,"✅ OK","⚠️ BREACH"))</f>
        <v/>
      </c>
      <c r="M1920" s="37" t="str">
        <f>IFERROR(IF(Agent10_Withdrawals!A125="","",YEAR(Agent10_Withdrawals!D125)),"")</f>
        <v/>
      </c>
    </row>
    <row r="1921" spans="1:13" ht="18" customHeight="1" x14ac:dyDescent="0.25">
      <c r="A1921" s="37" t="str">
        <f>IF(Agent10_Withdrawals!A126="","",Agent10_Withdrawals!A126)</f>
        <v/>
      </c>
      <c r="B1921" s="37" t="str">
        <f ca="1">IF(Agent10_Withdrawals!A126="","","WD"&amp;TEXT(1921-3,"0000")&amp;"-"&amp;TEXT(TODAY(),"YYYYMMDD"))</f>
        <v/>
      </c>
      <c r="C1921" s="37" t="str">
        <f>IF(Agent10_Withdrawals!A126="","",Agent10_Withdrawals!B126)</f>
        <v/>
      </c>
      <c r="D1921" s="40" t="str">
        <f>IF(Agent10_Withdrawals!A126="","",Agent10_Withdrawals!C126)</f>
        <v/>
      </c>
      <c r="E1921" s="38" t="str">
        <f>IF(Agent10_Withdrawals!A126="","",Agent10_Withdrawals!D126)</f>
        <v/>
      </c>
      <c r="F1921" s="37" t="str">
        <f>IF(Agent10_Withdrawals!A126="","",Agent10_Withdrawals!F126)</f>
        <v/>
      </c>
      <c r="G1921" s="39" t="str">
        <f>IF(Agent10_Withdrawals!A126="","",Agent10_Withdrawals!E126)</f>
        <v/>
      </c>
      <c r="H1921" s="39" t="str">
        <f>IF(Agent10_Withdrawals!A126="","",Agent10_Withdrawals!G126)</f>
        <v/>
      </c>
      <c r="I1921" s="37" t="str">
        <f>IF(Agent10_Withdrawals!A126="","",Agent10_Withdrawals!H126)</f>
        <v/>
      </c>
      <c r="J1921" s="37" t="str">
        <f>IF(Agent10_Withdrawals!A126="","",Agent10_Withdrawals!J126)</f>
        <v/>
      </c>
      <c r="K1921" s="37" t="str">
        <f>IF(Agent10_Withdrawals!A126="","",Agent10_Withdrawals!K126)</f>
        <v/>
      </c>
      <c r="L1921" s="37" t="str">
        <f>IF(G1921="","",IF(D1921-G1921&gt;=System_Config!$B$9,"✅ OK","⚠️ BREACH"))</f>
        <v/>
      </c>
      <c r="M1921" s="37" t="str">
        <f>IFERROR(IF(Agent10_Withdrawals!A126="","",YEAR(Agent10_Withdrawals!D126)),"")</f>
        <v/>
      </c>
    </row>
    <row r="1922" spans="1:13" ht="18" customHeight="1" x14ac:dyDescent="0.25">
      <c r="A1922" s="37" t="str">
        <f>IF(Agent10_Withdrawals!A127="","",Agent10_Withdrawals!A127)</f>
        <v/>
      </c>
      <c r="B1922" s="37" t="str">
        <f ca="1">IF(Agent10_Withdrawals!A127="","","WD"&amp;TEXT(1922-3,"0000")&amp;"-"&amp;TEXT(TODAY(),"YYYYMMDD"))</f>
        <v/>
      </c>
      <c r="C1922" s="37" t="str">
        <f>IF(Agent10_Withdrawals!A127="","",Agent10_Withdrawals!B127)</f>
        <v/>
      </c>
      <c r="D1922" s="40" t="str">
        <f>IF(Agent10_Withdrawals!A127="","",Agent10_Withdrawals!C127)</f>
        <v/>
      </c>
      <c r="E1922" s="38" t="str">
        <f>IF(Agent10_Withdrawals!A127="","",Agent10_Withdrawals!D127)</f>
        <v/>
      </c>
      <c r="F1922" s="37" t="str">
        <f>IF(Agent10_Withdrawals!A127="","",Agent10_Withdrawals!F127)</f>
        <v/>
      </c>
      <c r="G1922" s="39" t="str">
        <f>IF(Agent10_Withdrawals!A127="","",Agent10_Withdrawals!E127)</f>
        <v/>
      </c>
      <c r="H1922" s="39" t="str">
        <f>IF(Agent10_Withdrawals!A127="","",Agent10_Withdrawals!G127)</f>
        <v/>
      </c>
      <c r="I1922" s="37" t="str">
        <f>IF(Agent10_Withdrawals!A127="","",Agent10_Withdrawals!H127)</f>
        <v/>
      </c>
      <c r="J1922" s="37" t="str">
        <f>IF(Agent10_Withdrawals!A127="","",Agent10_Withdrawals!J127)</f>
        <v/>
      </c>
      <c r="K1922" s="37" t="str">
        <f>IF(Agent10_Withdrawals!A127="","",Agent10_Withdrawals!K127)</f>
        <v/>
      </c>
      <c r="L1922" s="37" t="str">
        <f>IF(G1922="","",IF(D1922-G1922&gt;=System_Config!$B$9,"✅ OK","⚠️ BREACH"))</f>
        <v/>
      </c>
      <c r="M1922" s="37" t="str">
        <f>IFERROR(IF(Agent10_Withdrawals!A127="","",YEAR(Agent10_Withdrawals!D127)),"")</f>
        <v/>
      </c>
    </row>
    <row r="1923" spans="1:13" ht="18" customHeight="1" x14ac:dyDescent="0.25">
      <c r="A1923" s="37" t="str">
        <f>IF(Agent10_Withdrawals!A128="","",Agent10_Withdrawals!A128)</f>
        <v/>
      </c>
      <c r="B1923" s="37" t="str">
        <f ca="1">IF(Agent10_Withdrawals!A128="","","WD"&amp;TEXT(1923-3,"0000")&amp;"-"&amp;TEXT(TODAY(),"YYYYMMDD"))</f>
        <v/>
      </c>
      <c r="C1923" s="37" t="str">
        <f>IF(Agent10_Withdrawals!A128="","",Agent10_Withdrawals!B128)</f>
        <v/>
      </c>
      <c r="D1923" s="40" t="str">
        <f>IF(Agent10_Withdrawals!A128="","",Agent10_Withdrawals!C128)</f>
        <v/>
      </c>
      <c r="E1923" s="38" t="str">
        <f>IF(Agent10_Withdrawals!A128="","",Agent10_Withdrawals!D128)</f>
        <v/>
      </c>
      <c r="F1923" s="37" t="str">
        <f>IF(Agent10_Withdrawals!A128="","",Agent10_Withdrawals!F128)</f>
        <v/>
      </c>
      <c r="G1923" s="39" t="str">
        <f>IF(Agent10_Withdrawals!A128="","",Agent10_Withdrawals!E128)</f>
        <v/>
      </c>
      <c r="H1923" s="39" t="str">
        <f>IF(Agent10_Withdrawals!A128="","",Agent10_Withdrawals!G128)</f>
        <v/>
      </c>
      <c r="I1923" s="37" t="str">
        <f>IF(Agent10_Withdrawals!A128="","",Agent10_Withdrawals!H128)</f>
        <v/>
      </c>
      <c r="J1923" s="37" t="str">
        <f>IF(Agent10_Withdrawals!A128="","",Agent10_Withdrawals!J128)</f>
        <v/>
      </c>
      <c r="K1923" s="37" t="str">
        <f>IF(Agent10_Withdrawals!A128="","",Agent10_Withdrawals!K128)</f>
        <v/>
      </c>
      <c r="L1923" s="37" t="str">
        <f>IF(G1923="","",IF(D1923-G1923&gt;=System_Config!$B$9,"✅ OK","⚠️ BREACH"))</f>
        <v/>
      </c>
      <c r="M1923" s="37" t="str">
        <f>IFERROR(IF(Agent10_Withdrawals!A128="","",YEAR(Agent10_Withdrawals!D128)),"")</f>
        <v/>
      </c>
    </row>
    <row r="1924" spans="1:13" ht="18" customHeight="1" x14ac:dyDescent="0.25">
      <c r="A1924" s="37" t="str">
        <f>IF(Agent10_Withdrawals!A129="","",Agent10_Withdrawals!A129)</f>
        <v/>
      </c>
      <c r="B1924" s="37" t="str">
        <f ca="1">IF(Agent10_Withdrawals!A129="","","WD"&amp;TEXT(1924-3,"0000")&amp;"-"&amp;TEXT(TODAY(),"YYYYMMDD"))</f>
        <v/>
      </c>
      <c r="C1924" s="37" t="str">
        <f>IF(Agent10_Withdrawals!A129="","",Agent10_Withdrawals!B129)</f>
        <v/>
      </c>
      <c r="D1924" s="40" t="str">
        <f>IF(Agent10_Withdrawals!A129="","",Agent10_Withdrawals!C129)</f>
        <v/>
      </c>
      <c r="E1924" s="38" t="str">
        <f>IF(Agent10_Withdrawals!A129="","",Agent10_Withdrawals!D129)</f>
        <v/>
      </c>
      <c r="F1924" s="37" t="str">
        <f>IF(Agent10_Withdrawals!A129="","",Agent10_Withdrawals!F129)</f>
        <v/>
      </c>
      <c r="G1924" s="39" t="str">
        <f>IF(Agent10_Withdrawals!A129="","",Agent10_Withdrawals!E129)</f>
        <v/>
      </c>
      <c r="H1924" s="39" t="str">
        <f>IF(Agent10_Withdrawals!A129="","",Agent10_Withdrawals!G129)</f>
        <v/>
      </c>
      <c r="I1924" s="37" t="str">
        <f>IF(Agent10_Withdrawals!A129="","",Agent10_Withdrawals!H129)</f>
        <v/>
      </c>
      <c r="J1924" s="37" t="str">
        <f>IF(Agent10_Withdrawals!A129="","",Agent10_Withdrawals!J129)</f>
        <v/>
      </c>
      <c r="K1924" s="37" t="str">
        <f>IF(Agent10_Withdrawals!A129="","",Agent10_Withdrawals!K129)</f>
        <v/>
      </c>
      <c r="L1924" s="37" t="str">
        <f>IF(G1924="","",IF(D1924-G1924&gt;=System_Config!$B$9,"✅ OK","⚠️ BREACH"))</f>
        <v/>
      </c>
      <c r="M1924" s="37" t="str">
        <f>IFERROR(IF(Agent10_Withdrawals!A129="","",YEAR(Agent10_Withdrawals!D129)),"")</f>
        <v/>
      </c>
    </row>
    <row r="1925" spans="1:13" ht="18" customHeight="1" x14ac:dyDescent="0.25">
      <c r="A1925" s="37" t="str">
        <f>IF(Agent10_Withdrawals!A130="","",Agent10_Withdrawals!A130)</f>
        <v/>
      </c>
      <c r="B1925" s="37" t="str">
        <f ca="1">IF(Agent10_Withdrawals!A130="","","WD"&amp;TEXT(1925-3,"0000")&amp;"-"&amp;TEXT(TODAY(),"YYYYMMDD"))</f>
        <v/>
      </c>
      <c r="C1925" s="37" t="str">
        <f>IF(Agent10_Withdrawals!A130="","",Agent10_Withdrawals!B130)</f>
        <v/>
      </c>
      <c r="D1925" s="40" t="str">
        <f>IF(Agent10_Withdrawals!A130="","",Agent10_Withdrawals!C130)</f>
        <v/>
      </c>
      <c r="E1925" s="38" t="str">
        <f>IF(Agent10_Withdrawals!A130="","",Agent10_Withdrawals!D130)</f>
        <v/>
      </c>
      <c r="F1925" s="37" t="str">
        <f>IF(Agent10_Withdrawals!A130="","",Agent10_Withdrawals!F130)</f>
        <v/>
      </c>
      <c r="G1925" s="39" t="str">
        <f>IF(Agent10_Withdrawals!A130="","",Agent10_Withdrawals!E130)</f>
        <v/>
      </c>
      <c r="H1925" s="39" t="str">
        <f>IF(Agent10_Withdrawals!A130="","",Agent10_Withdrawals!G130)</f>
        <v/>
      </c>
      <c r="I1925" s="37" t="str">
        <f>IF(Agent10_Withdrawals!A130="","",Agent10_Withdrawals!H130)</f>
        <v/>
      </c>
      <c r="J1925" s="37" t="str">
        <f>IF(Agent10_Withdrawals!A130="","",Agent10_Withdrawals!J130)</f>
        <v/>
      </c>
      <c r="K1925" s="37" t="str">
        <f>IF(Agent10_Withdrawals!A130="","",Agent10_Withdrawals!K130)</f>
        <v/>
      </c>
      <c r="L1925" s="37" t="str">
        <f>IF(G1925="","",IF(D1925-G1925&gt;=System_Config!$B$9,"✅ OK","⚠️ BREACH"))</f>
        <v/>
      </c>
      <c r="M1925" s="37" t="str">
        <f>IFERROR(IF(Agent10_Withdrawals!A130="","",YEAR(Agent10_Withdrawals!D130)),"")</f>
        <v/>
      </c>
    </row>
    <row r="1926" spans="1:13" ht="18" customHeight="1" x14ac:dyDescent="0.25">
      <c r="A1926" s="37" t="str">
        <f>IF(Agent10_Withdrawals!A131="","",Agent10_Withdrawals!A131)</f>
        <v/>
      </c>
      <c r="B1926" s="37" t="str">
        <f ca="1">IF(Agent10_Withdrawals!A131="","","WD"&amp;TEXT(1926-3,"0000")&amp;"-"&amp;TEXT(TODAY(),"YYYYMMDD"))</f>
        <v/>
      </c>
      <c r="C1926" s="37" t="str">
        <f>IF(Agent10_Withdrawals!A131="","",Agent10_Withdrawals!B131)</f>
        <v/>
      </c>
      <c r="D1926" s="40" t="str">
        <f>IF(Agent10_Withdrawals!A131="","",Agent10_Withdrawals!C131)</f>
        <v/>
      </c>
      <c r="E1926" s="38" t="str">
        <f>IF(Agent10_Withdrawals!A131="","",Agent10_Withdrawals!D131)</f>
        <v/>
      </c>
      <c r="F1926" s="37" t="str">
        <f>IF(Agent10_Withdrawals!A131="","",Agent10_Withdrawals!F131)</f>
        <v/>
      </c>
      <c r="G1926" s="39" t="str">
        <f>IF(Agent10_Withdrawals!A131="","",Agent10_Withdrawals!E131)</f>
        <v/>
      </c>
      <c r="H1926" s="39" t="str">
        <f>IF(Agent10_Withdrawals!A131="","",Agent10_Withdrawals!G131)</f>
        <v/>
      </c>
      <c r="I1926" s="37" t="str">
        <f>IF(Agent10_Withdrawals!A131="","",Agent10_Withdrawals!H131)</f>
        <v/>
      </c>
      <c r="J1926" s="37" t="str">
        <f>IF(Agent10_Withdrawals!A131="","",Agent10_Withdrawals!J131)</f>
        <v/>
      </c>
      <c r="K1926" s="37" t="str">
        <f>IF(Agent10_Withdrawals!A131="","",Agent10_Withdrawals!K131)</f>
        <v/>
      </c>
      <c r="L1926" s="37" t="str">
        <f>IF(G1926="","",IF(D1926-G1926&gt;=System_Config!$B$9,"✅ OK","⚠️ BREACH"))</f>
        <v/>
      </c>
      <c r="M1926" s="37" t="str">
        <f>IFERROR(IF(Agent10_Withdrawals!A131="","",YEAR(Agent10_Withdrawals!D131)),"")</f>
        <v/>
      </c>
    </row>
    <row r="1927" spans="1:13" ht="18" customHeight="1" x14ac:dyDescent="0.25">
      <c r="A1927" s="37" t="str">
        <f>IF(Agent10_Withdrawals!A132="","",Agent10_Withdrawals!A132)</f>
        <v/>
      </c>
      <c r="B1927" s="37" t="str">
        <f ca="1">IF(Agent10_Withdrawals!A132="","","WD"&amp;TEXT(1927-3,"0000")&amp;"-"&amp;TEXT(TODAY(),"YYYYMMDD"))</f>
        <v/>
      </c>
      <c r="C1927" s="37" t="str">
        <f>IF(Agent10_Withdrawals!A132="","",Agent10_Withdrawals!B132)</f>
        <v/>
      </c>
      <c r="D1927" s="40" t="str">
        <f>IF(Agent10_Withdrawals!A132="","",Agent10_Withdrawals!C132)</f>
        <v/>
      </c>
      <c r="E1927" s="38" t="str">
        <f>IF(Agent10_Withdrawals!A132="","",Agent10_Withdrawals!D132)</f>
        <v/>
      </c>
      <c r="F1927" s="37" t="str">
        <f>IF(Agent10_Withdrawals!A132="","",Agent10_Withdrawals!F132)</f>
        <v/>
      </c>
      <c r="G1927" s="39" t="str">
        <f>IF(Agent10_Withdrawals!A132="","",Agent10_Withdrawals!E132)</f>
        <v/>
      </c>
      <c r="H1927" s="39" t="str">
        <f>IF(Agent10_Withdrawals!A132="","",Agent10_Withdrawals!G132)</f>
        <v/>
      </c>
      <c r="I1927" s="37" t="str">
        <f>IF(Agent10_Withdrawals!A132="","",Agent10_Withdrawals!H132)</f>
        <v/>
      </c>
      <c r="J1927" s="37" t="str">
        <f>IF(Agent10_Withdrawals!A132="","",Agent10_Withdrawals!J132)</f>
        <v/>
      </c>
      <c r="K1927" s="37" t="str">
        <f>IF(Agent10_Withdrawals!A132="","",Agent10_Withdrawals!K132)</f>
        <v/>
      </c>
      <c r="L1927" s="37" t="str">
        <f>IF(G1927="","",IF(D1927-G1927&gt;=System_Config!$B$9,"✅ OK","⚠️ BREACH"))</f>
        <v/>
      </c>
      <c r="M1927" s="37" t="str">
        <f>IFERROR(IF(Agent10_Withdrawals!A132="","",YEAR(Agent10_Withdrawals!D132)),"")</f>
        <v/>
      </c>
    </row>
    <row r="1928" spans="1:13" ht="18" customHeight="1" x14ac:dyDescent="0.25">
      <c r="A1928" s="37" t="str">
        <f>IF(Agent10_Withdrawals!A133="","",Agent10_Withdrawals!A133)</f>
        <v/>
      </c>
      <c r="B1928" s="37" t="str">
        <f ca="1">IF(Agent10_Withdrawals!A133="","","WD"&amp;TEXT(1928-3,"0000")&amp;"-"&amp;TEXT(TODAY(),"YYYYMMDD"))</f>
        <v/>
      </c>
      <c r="C1928" s="37" t="str">
        <f>IF(Agent10_Withdrawals!A133="","",Agent10_Withdrawals!B133)</f>
        <v/>
      </c>
      <c r="D1928" s="40" t="str">
        <f>IF(Agent10_Withdrawals!A133="","",Agent10_Withdrawals!C133)</f>
        <v/>
      </c>
      <c r="E1928" s="38" t="str">
        <f>IF(Agent10_Withdrawals!A133="","",Agent10_Withdrawals!D133)</f>
        <v/>
      </c>
      <c r="F1928" s="37" t="str">
        <f>IF(Agent10_Withdrawals!A133="","",Agent10_Withdrawals!F133)</f>
        <v/>
      </c>
      <c r="G1928" s="39" t="str">
        <f>IF(Agent10_Withdrawals!A133="","",Agent10_Withdrawals!E133)</f>
        <v/>
      </c>
      <c r="H1928" s="39" t="str">
        <f>IF(Agent10_Withdrawals!A133="","",Agent10_Withdrawals!G133)</f>
        <v/>
      </c>
      <c r="I1928" s="37" t="str">
        <f>IF(Agent10_Withdrawals!A133="","",Agent10_Withdrawals!H133)</f>
        <v/>
      </c>
      <c r="J1928" s="37" t="str">
        <f>IF(Agent10_Withdrawals!A133="","",Agent10_Withdrawals!J133)</f>
        <v/>
      </c>
      <c r="K1928" s="37" t="str">
        <f>IF(Agent10_Withdrawals!A133="","",Agent10_Withdrawals!K133)</f>
        <v/>
      </c>
      <c r="L1928" s="37" t="str">
        <f>IF(G1928="","",IF(D1928-G1928&gt;=System_Config!$B$9,"✅ OK","⚠️ BREACH"))</f>
        <v/>
      </c>
      <c r="M1928" s="37" t="str">
        <f>IFERROR(IF(Agent10_Withdrawals!A133="","",YEAR(Agent10_Withdrawals!D133)),"")</f>
        <v/>
      </c>
    </row>
    <row r="1929" spans="1:13" ht="18" customHeight="1" x14ac:dyDescent="0.25">
      <c r="A1929" s="37" t="str">
        <f>IF(Agent10_Withdrawals!A134="","",Agent10_Withdrawals!A134)</f>
        <v/>
      </c>
      <c r="B1929" s="37" t="str">
        <f ca="1">IF(Agent10_Withdrawals!A134="","","WD"&amp;TEXT(1929-3,"0000")&amp;"-"&amp;TEXT(TODAY(),"YYYYMMDD"))</f>
        <v/>
      </c>
      <c r="C1929" s="37" t="str">
        <f>IF(Agent10_Withdrawals!A134="","",Agent10_Withdrawals!B134)</f>
        <v/>
      </c>
      <c r="D1929" s="40" t="str">
        <f>IF(Agent10_Withdrawals!A134="","",Agent10_Withdrawals!C134)</f>
        <v/>
      </c>
      <c r="E1929" s="38" t="str">
        <f>IF(Agent10_Withdrawals!A134="","",Agent10_Withdrawals!D134)</f>
        <v/>
      </c>
      <c r="F1929" s="37" t="str">
        <f>IF(Agent10_Withdrawals!A134="","",Agent10_Withdrawals!F134)</f>
        <v/>
      </c>
      <c r="G1929" s="39" t="str">
        <f>IF(Agent10_Withdrawals!A134="","",Agent10_Withdrawals!E134)</f>
        <v/>
      </c>
      <c r="H1929" s="39" t="str">
        <f>IF(Agent10_Withdrawals!A134="","",Agent10_Withdrawals!G134)</f>
        <v/>
      </c>
      <c r="I1929" s="37" t="str">
        <f>IF(Agent10_Withdrawals!A134="","",Agent10_Withdrawals!H134)</f>
        <v/>
      </c>
      <c r="J1929" s="37" t="str">
        <f>IF(Agent10_Withdrawals!A134="","",Agent10_Withdrawals!J134)</f>
        <v/>
      </c>
      <c r="K1929" s="37" t="str">
        <f>IF(Agent10_Withdrawals!A134="","",Agent10_Withdrawals!K134)</f>
        <v/>
      </c>
      <c r="L1929" s="37" t="str">
        <f>IF(G1929="","",IF(D1929-G1929&gt;=System_Config!$B$9,"✅ OK","⚠️ BREACH"))</f>
        <v/>
      </c>
      <c r="M1929" s="37" t="str">
        <f>IFERROR(IF(Agent10_Withdrawals!A134="","",YEAR(Agent10_Withdrawals!D134)),"")</f>
        <v/>
      </c>
    </row>
    <row r="1930" spans="1:13" ht="18" customHeight="1" x14ac:dyDescent="0.25">
      <c r="A1930" s="37" t="str">
        <f>IF(Agent10_Withdrawals!A135="","",Agent10_Withdrawals!A135)</f>
        <v/>
      </c>
      <c r="B1930" s="37" t="str">
        <f ca="1">IF(Agent10_Withdrawals!A135="","","WD"&amp;TEXT(1930-3,"0000")&amp;"-"&amp;TEXT(TODAY(),"YYYYMMDD"))</f>
        <v/>
      </c>
      <c r="C1930" s="37" t="str">
        <f>IF(Agent10_Withdrawals!A135="","",Agent10_Withdrawals!B135)</f>
        <v/>
      </c>
      <c r="D1930" s="40" t="str">
        <f>IF(Agent10_Withdrawals!A135="","",Agent10_Withdrawals!C135)</f>
        <v/>
      </c>
      <c r="E1930" s="38" t="str">
        <f>IF(Agent10_Withdrawals!A135="","",Agent10_Withdrawals!D135)</f>
        <v/>
      </c>
      <c r="F1930" s="37" t="str">
        <f>IF(Agent10_Withdrawals!A135="","",Agent10_Withdrawals!F135)</f>
        <v/>
      </c>
      <c r="G1930" s="39" t="str">
        <f>IF(Agent10_Withdrawals!A135="","",Agent10_Withdrawals!E135)</f>
        <v/>
      </c>
      <c r="H1930" s="39" t="str">
        <f>IF(Agent10_Withdrawals!A135="","",Agent10_Withdrawals!G135)</f>
        <v/>
      </c>
      <c r="I1930" s="37" t="str">
        <f>IF(Agent10_Withdrawals!A135="","",Agent10_Withdrawals!H135)</f>
        <v/>
      </c>
      <c r="J1930" s="37" t="str">
        <f>IF(Agent10_Withdrawals!A135="","",Agent10_Withdrawals!J135)</f>
        <v/>
      </c>
      <c r="K1930" s="37" t="str">
        <f>IF(Agent10_Withdrawals!A135="","",Agent10_Withdrawals!K135)</f>
        <v/>
      </c>
      <c r="L1930" s="37" t="str">
        <f>IF(G1930="","",IF(D1930-G1930&gt;=System_Config!$B$9,"✅ OK","⚠️ BREACH"))</f>
        <v/>
      </c>
      <c r="M1930" s="37" t="str">
        <f>IFERROR(IF(Agent10_Withdrawals!A135="","",YEAR(Agent10_Withdrawals!D135)),"")</f>
        <v/>
      </c>
    </row>
    <row r="1931" spans="1:13" ht="18" customHeight="1" x14ac:dyDescent="0.25">
      <c r="A1931" s="37" t="str">
        <f>IF(Agent10_Withdrawals!A136="","",Agent10_Withdrawals!A136)</f>
        <v/>
      </c>
      <c r="B1931" s="37" t="str">
        <f ca="1">IF(Agent10_Withdrawals!A136="","","WD"&amp;TEXT(1931-3,"0000")&amp;"-"&amp;TEXT(TODAY(),"YYYYMMDD"))</f>
        <v/>
      </c>
      <c r="C1931" s="37" t="str">
        <f>IF(Agent10_Withdrawals!A136="","",Agent10_Withdrawals!B136)</f>
        <v/>
      </c>
      <c r="D1931" s="40" t="str">
        <f>IF(Agent10_Withdrawals!A136="","",Agent10_Withdrawals!C136)</f>
        <v/>
      </c>
      <c r="E1931" s="38" t="str">
        <f>IF(Agent10_Withdrawals!A136="","",Agent10_Withdrawals!D136)</f>
        <v/>
      </c>
      <c r="F1931" s="37" t="str">
        <f>IF(Agent10_Withdrawals!A136="","",Agent10_Withdrawals!F136)</f>
        <v/>
      </c>
      <c r="G1931" s="39" t="str">
        <f>IF(Agent10_Withdrawals!A136="","",Agent10_Withdrawals!E136)</f>
        <v/>
      </c>
      <c r="H1931" s="39" t="str">
        <f>IF(Agent10_Withdrawals!A136="","",Agent10_Withdrawals!G136)</f>
        <v/>
      </c>
      <c r="I1931" s="37" t="str">
        <f>IF(Agent10_Withdrawals!A136="","",Agent10_Withdrawals!H136)</f>
        <v/>
      </c>
      <c r="J1931" s="37" t="str">
        <f>IF(Agent10_Withdrawals!A136="","",Agent10_Withdrawals!J136)</f>
        <v/>
      </c>
      <c r="K1931" s="37" t="str">
        <f>IF(Agent10_Withdrawals!A136="","",Agent10_Withdrawals!K136)</f>
        <v/>
      </c>
      <c r="L1931" s="37" t="str">
        <f>IF(G1931="","",IF(D1931-G1931&gt;=System_Config!$B$9,"✅ OK","⚠️ BREACH"))</f>
        <v/>
      </c>
      <c r="M1931" s="37" t="str">
        <f>IFERROR(IF(Agent10_Withdrawals!A136="","",YEAR(Agent10_Withdrawals!D136)),"")</f>
        <v/>
      </c>
    </row>
    <row r="1932" spans="1:13" ht="18" customHeight="1" x14ac:dyDescent="0.25">
      <c r="A1932" s="37" t="str">
        <f>IF(Agent10_Withdrawals!A137="","",Agent10_Withdrawals!A137)</f>
        <v/>
      </c>
      <c r="B1932" s="37" t="str">
        <f ca="1">IF(Agent10_Withdrawals!A137="","","WD"&amp;TEXT(1932-3,"0000")&amp;"-"&amp;TEXT(TODAY(),"YYYYMMDD"))</f>
        <v/>
      </c>
      <c r="C1932" s="37" t="str">
        <f>IF(Agent10_Withdrawals!A137="","",Agent10_Withdrawals!B137)</f>
        <v/>
      </c>
      <c r="D1932" s="40" t="str">
        <f>IF(Agent10_Withdrawals!A137="","",Agent10_Withdrawals!C137)</f>
        <v/>
      </c>
      <c r="E1932" s="38" t="str">
        <f>IF(Agent10_Withdrawals!A137="","",Agent10_Withdrawals!D137)</f>
        <v/>
      </c>
      <c r="F1932" s="37" t="str">
        <f>IF(Agent10_Withdrawals!A137="","",Agent10_Withdrawals!F137)</f>
        <v/>
      </c>
      <c r="G1932" s="39" t="str">
        <f>IF(Agent10_Withdrawals!A137="","",Agent10_Withdrawals!E137)</f>
        <v/>
      </c>
      <c r="H1932" s="39" t="str">
        <f>IF(Agent10_Withdrawals!A137="","",Agent10_Withdrawals!G137)</f>
        <v/>
      </c>
      <c r="I1932" s="37" t="str">
        <f>IF(Agent10_Withdrawals!A137="","",Agent10_Withdrawals!H137)</f>
        <v/>
      </c>
      <c r="J1932" s="37" t="str">
        <f>IF(Agent10_Withdrawals!A137="","",Agent10_Withdrawals!J137)</f>
        <v/>
      </c>
      <c r="K1932" s="37" t="str">
        <f>IF(Agent10_Withdrawals!A137="","",Agent10_Withdrawals!K137)</f>
        <v/>
      </c>
      <c r="L1932" s="37" t="str">
        <f>IF(G1932="","",IF(D1932-G1932&gt;=System_Config!$B$9,"✅ OK","⚠️ BREACH"))</f>
        <v/>
      </c>
      <c r="M1932" s="37" t="str">
        <f>IFERROR(IF(Agent10_Withdrawals!A137="","",YEAR(Agent10_Withdrawals!D137)),"")</f>
        <v/>
      </c>
    </row>
    <row r="1933" spans="1:13" ht="18" customHeight="1" x14ac:dyDescent="0.25">
      <c r="A1933" s="37" t="str">
        <f>IF(Agent10_Withdrawals!A138="","",Agent10_Withdrawals!A138)</f>
        <v/>
      </c>
      <c r="B1933" s="37" t="str">
        <f ca="1">IF(Agent10_Withdrawals!A138="","","WD"&amp;TEXT(1933-3,"0000")&amp;"-"&amp;TEXT(TODAY(),"YYYYMMDD"))</f>
        <v/>
      </c>
      <c r="C1933" s="37" t="str">
        <f>IF(Agent10_Withdrawals!A138="","",Agent10_Withdrawals!B138)</f>
        <v/>
      </c>
      <c r="D1933" s="40" t="str">
        <f>IF(Agent10_Withdrawals!A138="","",Agent10_Withdrawals!C138)</f>
        <v/>
      </c>
      <c r="E1933" s="38" t="str">
        <f>IF(Agent10_Withdrawals!A138="","",Agent10_Withdrawals!D138)</f>
        <v/>
      </c>
      <c r="F1933" s="37" t="str">
        <f>IF(Agent10_Withdrawals!A138="","",Agent10_Withdrawals!F138)</f>
        <v/>
      </c>
      <c r="G1933" s="39" t="str">
        <f>IF(Agent10_Withdrawals!A138="","",Agent10_Withdrawals!E138)</f>
        <v/>
      </c>
      <c r="H1933" s="39" t="str">
        <f>IF(Agent10_Withdrawals!A138="","",Agent10_Withdrawals!G138)</f>
        <v/>
      </c>
      <c r="I1933" s="37" t="str">
        <f>IF(Agent10_Withdrawals!A138="","",Agent10_Withdrawals!H138)</f>
        <v/>
      </c>
      <c r="J1933" s="37" t="str">
        <f>IF(Agent10_Withdrawals!A138="","",Agent10_Withdrawals!J138)</f>
        <v/>
      </c>
      <c r="K1933" s="37" t="str">
        <f>IF(Agent10_Withdrawals!A138="","",Agent10_Withdrawals!K138)</f>
        <v/>
      </c>
      <c r="L1933" s="37" t="str">
        <f>IF(G1933="","",IF(D1933-G1933&gt;=System_Config!$B$9,"✅ OK","⚠️ BREACH"))</f>
        <v/>
      </c>
      <c r="M1933" s="37" t="str">
        <f>IFERROR(IF(Agent10_Withdrawals!A138="","",YEAR(Agent10_Withdrawals!D138)),"")</f>
        <v/>
      </c>
    </row>
    <row r="1934" spans="1:13" ht="18" customHeight="1" x14ac:dyDescent="0.25">
      <c r="A1934" s="37" t="str">
        <f>IF(Agent10_Withdrawals!A139="","",Agent10_Withdrawals!A139)</f>
        <v/>
      </c>
      <c r="B1934" s="37" t="str">
        <f ca="1">IF(Agent10_Withdrawals!A139="","","WD"&amp;TEXT(1934-3,"0000")&amp;"-"&amp;TEXT(TODAY(),"YYYYMMDD"))</f>
        <v/>
      </c>
      <c r="C1934" s="37" t="str">
        <f>IF(Agent10_Withdrawals!A139="","",Agent10_Withdrawals!B139)</f>
        <v/>
      </c>
      <c r="D1934" s="40" t="str">
        <f>IF(Agent10_Withdrawals!A139="","",Agent10_Withdrawals!C139)</f>
        <v/>
      </c>
      <c r="E1934" s="38" t="str">
        <f>IF(Agent10_Withdrawals!A139="","",Agent10_Withdrawals!D139)</f>
        <v/>
      </c>
      <c r="F1934" s="37" t="str">
        <f>IF(Agent10_Withdrawals!A139="","",Agent10_Withdrawals!F139)</f>
        <v/>
      </c>
      <c r="G1934" s="39" t="str">
        <f>IF(Agent10_Withdrawals!A139="","",Agent10_Withdrawals!E139)</f>
        <v/>
      </c>
      <c r="H1934" s="39" t="str">
        <f>IF(Agent10_Withdrawals!A139="","",Agent10_Withdrawals!G139)</f>
        <v/>
      </c>
      <c r="I1934" s="37" t="str">
        <f>IF(Agent10_Withdrawals!A139="","",Agent10_Withdrawals!H139)</f>
        <v/>
      </c>
      <c r="J1934" s="37" t="str">
        <f>IF(Agent10_Withdrawals!A139="","",Agent10_Withdrawals!J139)</f>
        <v/>
      </c>
      <c r="K1934" s="37" t="str">
        <f>IF(Agent10_Withdrawals!A139="","",Agent10_Withdrawals!K139)</f>
        <v/>
      </c>
      <c r="L1934" s="37" t="str">
        <f>IF(G1934="","",IF(D1934-G1934&gt;=System_Config!$B$9,"✅ OK","⚠️ BREACH"))</f>
        <v/>
      </c>
      <c r="M1934" s="37" t="str">
        <f>IFERROR(IF(Agent10_Withdrawals!A139="","",YEAR(Agent10_Withdrawals!D139)),"")</f>
        <v/>
      </c>
    </row>
    <row r="1935" spans="1:13" ht="18" customHeight="1" x14ac:dyDescent="0.25">
      <c r="A1935" s="37" t="str">
        <f>IF(Agent10_Withdrawals!A140="","",Agent10_Withdrawals!A140)</f>
        <v/>
      </c>
      <c r="B1935" s="37" t="str">
        <f ca="1">IF(Agent10_Withdrawals!A140="","","WD"&amp;TEXT(1935-3,"0000")&amp;"-"&amp;TEXT(TODAY(),"YYYYMMDD"))</f>
        <v/>
      </c>
      <c r="C1935" s="37" t="str">
        <f>IF(Agent10_Withdrawals!A140="","",Agent10_Withdrawals!B140)</f>
        <v/>
      </c>
      <c r="D1935" s="40" t="str">
        <f>IF(Agent10_Withdrawals!A140="","",Agent10_Withdrawals!C140)</f>
        <v/>
      </c>
      <c r="E1935" s="38" t="str">
        <f>IF(Agent10_Withdrawals!A140="","",Agent10_Withdrawals!D140)</f>
        <v/>
      </c>
      <c r="F1935" s="37" t="str">
        <f>IF(Agent10_Withdrawals!A140="","",Agent10_Withdrawals!F140)</f>
        <v/>
      </c>
      <c r="G1935" s="39" t="str">
        <f>IF(Agent10_Withdrawals!A140="","",Agent10_Withdrawals!E140)</f>
        <v/>
      </c>
      <c r="H1935" s="39" t="str">
        <f>IF(Agent10_Withdrawals!A140="","",Agent10_Withdrawals!G140)</f>
        <v/>
      </c>
      <c r="I1935" s="37" t="str">
        <f>IF(Agent10_Withdrawals!A140="","",Agent10_Withdrawals!H140)</f>
        <v/>
      </c>
      <c r="J1935" s="37" t="str">
        <f>IF(Agent10_Withdrawals!A140="","",Agent10_Withdrawals!J140)</f>
        <v/>
      </c>
      <c r="K1935" s="37" t="str">
        <f>IF(Agent10_Withdrawals!A140="","",Agent10_Withdrawals!K140)</f>
        <v/>
      </c>
      <c r="L1935" s="37" t="str">
        <f>IF(G1935="","",IF(D1935-G1935&gt;=System_Config!$B$9,"✅ OK","⚠️ BREACH"))</f>
        <v/>
      </c>
      <c r="M1935" s="37" t="str">
        <f>IFERROR(IF(Agent10_Withdrawals!A140="","",YEAR(Agent10_Withdrawals!D140)),"")</f>
        <v/>
      </c>
    </row>
    <row r="1936" spans="1:13" ht="18" customHeight="1" x14ac:dyDescent="0.25">
      <c r="A1936" s="37" t="str">
        <f>IF(Agent10_Withdrawals!A141="","",Agent10_Withdrawals!A141)</f>
        <v/>
      </c>
      <c r="B1936" s="37" t="str">
        <f ca="1">IF(Agent10_Withdrawals!A141="","","WD"&amp;TEXT(1936-3,"0000")&amp;"-"&amp;TEXT(TODAY(),"YYYYMMDD"))</f>
        <v/>
      </c>
      <c r="C1936" s="37" t="str">
        <f>IF(Agent10_Withdrawals!A141="","",Agent10_Withdrawals!B141)</f>
        <v/>
      </c>
      <c r="D1936" s="40" t="str">
        <f>IF(Agent10_Withdrawals!A141="","",Agent10_Withdrawals!C141)</f>
        <v/>
      </c>
      <c r="E1936" s="38" t="str">
        <f>IF(Agent10_Withdrawals!A141="","",Agent10_Withdrawals!D141)</f>
        <v/>
      </c>
      <c r="F1936" s="37" t="str">
        <f>IF(Agent10_Withdrawals!A141="","",Agent10_Withdrawals!F141)</f>
        <v/>
      </c>
      <c r="G1936" s="39" t="str">
        <f>IF(Agent10_Withdrawals!A141="","",Agent10_Withdrawals!E141)</f>
        <v/>
      </c>
      <c r="H1936" s="39" t="str">
        <f>IF(Agent10_Withdrawals!A141="","",Agent10_Withdrawals!G141)</f>
        <v/>
      </c>
      <c r="I1936" s="37" t="str">
        <f>IF(Agent10_Withdrawals!A141="","",Agent10_Withdrawals!H141)</f>
        <v/>
      </c>
      <c r="J1936" s="37" t="str">
        <f>IF(Agent10_Withdrawals!A141="","",Agent10_Withdrawals!J141)</f>
        <v/>
      </c>
      <c r="K1936" s="37" t="str">
        <f>IF(Agent10_Withdrawals!A141="","",Agent10_Withdrawals!K141)</f>
        <v/>
      </c>
      <c r="L1936" s="37" t="str">
        <f>IF(G1936="","",IF(D1936-G1936&gt;=System_Config!$B$9,"✅ OK","⚠️ BREACH"))</f>
        <v/>
      </c>
      <c r="M1936" s="37" t="str">
        <f>IFERROR(IF(Agent10_Withdrawals!A141="","",YEAR(Agent10_Withdrawals!D141)),"")</f>
        <v/>
      </c>
    </row>
    <row r="1937" spans="1:13" ht="18" customHeight="1" x14ac:dyDescent="0.25">
      <c r="A1937" s="37" t="str">
        <f>IF(Agent10_Withdrawals!A142="","",Agent10_Withdrawals!A142)</f>
        <v/>
      </c>
      <c r="B1937" s="37" t="str">
        <f ca="1">IF(Agent10_Withdrawals!A142="","","WD"&amp;TEXT(1937-3,"0000")&amp;"-"&amp;TEXT(TODAY(),"YYYYMMDD"))</f>
        <v/>
      </c>
      <c r="C1937" s="37" t="str">
        <f>IF(Agent10_Withdrawals!A142="","",Agent10_Withdrawals!B142)</f>
        <v/>
      </c>
      <c r="D1937" s="40" t="str">
        <f>IF(Agent10_Withdrawals!A142="","",Agent10_Withdrawals!C142)</f>
        <v/>
      </c>
      <c r="E1937" s="38" t="str">
        <f>IF(Agent10_Withdrawals!A142="","",Agent10_Withdrawals!D142)</f>
        <v/>
      </c>
      <c r="F1937" s="37" t="str">
        <f>IF(Agent10_Withdrawals!A142="","",Agent10_Withdrawals!F142)</f>
        <v/>
      </c>
      <c r="G1937" s="39" t="str">
        <f>IF(Agent10_Withdrawals!A142="","",Agent10_Withdrawals!E142)</f>
        <v/>
      </c>
      <c r="H1937" s="39" t="str">
        <f>IF(Agent10_Withdrawals!A142="","",Agent10_Withdrawals!G142)</f>
        <v/>
      </c>
      <c r="I1937" s="37" t="str">
        <f>IF(Agent10_Withdrawals!A142="","",Agent10_Withdrawals!H142)</f>
        <v/>
      </c>
      <c r="J1937" s="37" t="str">
        <f>IF(Agent10_Withdrawals!A142="","",Agent10_Withdrawals!J142)</f>
        <v/>
      </c>
      <c r="K1937" s="37" t="str">
        <f>IF(Agent10_Withdrawals!A142="","",Agent10_Withdrawals!K142)</f>
        <v/>
      </c>
      <c r="L1937" s="37" t="str">
        <f>IF(G1937="","",IF(D1937-G1937&gt;=System_Config!$B$9,"✅ OK","⚠️ BREACH"))</f>
        <v/>
      </c>
      <c r="M1937" s="37" t="str">
        <f>IFERROR(IF(Agent10_Withdrawals!A142="","",YEAR(Agent10_Withdrawals!D142)),"")</f>
        <v/>
      </c>
    </row>
    <row r="1938" spans="1:13" ht="18" customHeight="1" x14ac:dyDescent="0.25">
      <c r="A1938" s="37" t="str">
        <f>IF(Agent10_Withdrawals!A143="","",Agent10_Withdrawals!A143)</f>
        <v/>
      </c>
      <c r="B1938" s="37" t="str">
        <f ca="1">IF(Agent10_Withdrawals!A143="","","WD"&amp;TEXT(1938-3,"0000")&amp;"-"&amp;TEXT(TODAY(),"YYYYMMDD"))</f>
        <v/>
      </c>
      <c r="C1938" s="37" t="str">
        <f>IF(Agent10_Withdrawals!A143="","",Agent10_Withdrawals!B143)</f>
        <v/>
      </c>
      <c r="D1938" s="40" t="str">
        <f>IF(Agent10_Withdrawals!A143="","",Agent10_Withdrawals!C143)</f>
        <v/>
      </c>
      <c r="E1938" s="38" t="str">
        <f>IF(Agent10_Withdrawals!A143="","",Agent10_Withdrawals!D143)</f>
        <v/>
      </c>
      <c r="F1938" s="37" t="str">
        <f>IF(Agent10_Withdrawals!A143="","",Agent10_Withdrawals!F143)</f>
        <v/>
      </c>
      <c r="G1938" s="39" t="str">
        <f>IF(Agent10_Withdrawals!A143="","",Agent10_Withdrawals!E143)</f>
        <v/>
      </c>
      <c r="H1938" s="39" t="str">
        <f>IF(Agent10_Withdrawals!A143="","",Agent10_Withdrawals!G143)</f>
        <v/>
      </c>
      <c r="I1938" s="37" t="str">
        <f>IF(Agent10_Withdrawals!A143="","",Agent10_Withdrawals!H143)</f>
        <v/>
      </c>
      <c r="J1938" s="37" t="str">
        <f>IF(Agent10_Withdrawals!A143="","",Agent10_Withdrawals!J143)</f>
        <v/>
      </c>
      <c r="K1938" s="37" t="str">
        <f>IF(Agent10_Withdrawals!A143="","",Agent10_Withdrawals!K143)</f>
        <v/>
      </c>
      <c r="L1938" s="37" t="str">
        <f>IF(G1938="","",IF(D1938-G1938&gt;=System_Config!$B$9,"✅ OK","⚠️ BREACH"))</f>
        <v/>
      </c>
      <c r="M1938" s="37" t="str">
        <f>IFERROR(IF(Agent10_Withdrawals!A143="","",YEAR(Agent10_Withdrawals!D143)),"")</f>
        <v/>
      </c>
    </row>
    <row r="1939" spans="1:13" ht="18" customHeight="1" x14ac:dyDescent="0.25">
      <c r="A1939" s="37" t="str">
        <f>IF(Agent10_Withdrawals!A144="","",Agent10_Withdrawals!A144)</f>
        <v/>
      </c>
      <c r="B1939" s="37" t="str">
        <f ca="1">IF(Agent10_Withdrawals!A144="","","WD"&amp;TEXT(1939-3,"0000")&amp;"-"&amp;TEXT(TODAY(),"YYYYMMDD"))</f>
        <v/>
      </c>
      <c r="C1939" s="37" t="str">
        <f>IF(Agent10_Withdrawals!A144="","",Agent10_Withdrawals!B144)</f>
        <v/>
      </c>
      <c r="D1939" s="40" t="str">
        <f>IF(Agent10_Withdrawals!A144="","",Agent10_Withdrawals!C144)</f>
        <v/>
      </c>
      <c r="E1939" s="38" t="str">
        <f>IF(Agent10_Withdrawals!A144="","",Agent10_Withdrawals!D144)</f>
        <v/>
      </c>
      <c r="F1939" s="37" t="str">
        <f>IF(Agent10_Withdrawals!A144="","",Agent10_Withdrawals!F144)</f>
        <v/>
      </c>
      <c r="G1939" s="39" t="str">
        <f>IF(Agent10_Withdrawals!A144="","",Agent10_Withdrawals!E144)</f>
        <v/>
      </c>
      <c r="H1939" s="39" t="str">
        <f>IF(Agent10_Withdrawals!A144="","",Agent10_Withdrawals!G144)</f>
        <v/>
      </c>
      <c r="I1939" s="37" t="str">
        <f>IF(Agent10_Withdrawals!A144="","",Agent10_Withdrawals!H144)</f>
        <v/>
      </c>
      <c r="J1939" s="37" t="str">
        <f>IF(Agent10_Withdrawals!A144="","",Agent10_Withdrawals!J144)</f>
        <v/>
      </c>
      <c r="K1939" s="37" t="str">
        <f>IF(Agent10_Withdrawals!A144="","",Agent10_Withdrawals!K144)</f>
        <v/>
      </c>
      <c r="L1939" s="37" t="str">
        <f>IF(G1939="","",IF(D1939-G1939&gt;=System_Config!$B$9,"✅ OK","⚠️ BREACH"))</f>
        <v/>
      </c>
      <c r="M1939" s="37" t="str">
        <f>IFERROR(IF(Agent10_Withdrawals!A144="","",YEAR(Agent10_Withdrawals!D144)),"")</f>
        <v/>
      </c>
    </row>
    <row r="1940" spans="1:13" ht="18" customHeight="1" x14ac:dyDescent="0.25">
      <c r="A1940" s="37" t="str">
        <f>IF(Agent10_Withdrawals!A145="","",Agent10_Withdrawals!A145)</f>
        <v/>
      </c>
      <c r="B1940" s="37" t="str">
        <f ca="1">IF(Agent10_Withdrawals!A145="","","WD"&amp;TEXT(1940-3,"0000")&amp;"-"&amp;TEXT(TODAY(),"YYYYMMDD"))</f>
        <v/>
      </c>
      <c r="C1940" s="37" t="str">
        <f>IF(Agent10_Withdrawals!A145="","",Agent10_Withdrawals!B145)</f>
        <v/>
      </c>
      <c r="D1940" s="40" t="str">
        <f>IF(Agent10_Withdrawals!A145="","",Agent10_Withdrawals!C145)</f>
        <v/>
      </c>
      <c r="E1940" s="38" t="str">
        <f>IF(Agent10_Withdrawals!A145="","",Agent10_Withdrawals!D145)</f>
        <v/>
      </c>
      <c r="F1940" s="37" t="str">
        <f>IF(Agent10_Withdrawals!A145="","",Agent10_Withdrawals!F145)</f>
        <v/>
      </c>
      <c r="G1940" s="39" t="str">
        <f>IF(Agent10_Withdrawals!A145="","",Agent10_Withdrawals!E145)</f>
        <v/>
      </c>
      <c r="H1940" s="39" t="str">
        <f>IF(Agent10_Withdrawals!A145="","",Agent10_Withdrawals!G145)</f>
        <v/>
      </c>
      <c r="I1940" s="37" t="str">
        <f>IF(Agent10_Withdrawals!A145="","",Agent10_Withdrawals!H145)</f>
        <v/>
      </c>
      <c r="J1940" s="37" t="str">
        <f>IF(Agent10_Withdrawals!A145="","",Agent10_Withdrawals!J145)</f>
        <v/>
      </c>
      <c r="K1940" s="37" t="str">
        <f>IF(Agent10_Withdrawals!A145="","",Agent10_Withdrawals!K145)</f>
        <v/>
      </c>
      <c r="L1940" s="37" t="str">
        <f>IF(G1940="","",IF(D1940-G1940&gt;=System_Config!$B$9,"✅ OK","⚠️ BREACH"))</f>
        <v/>
      </c>
      <c r="M1940" s="37" t="str">
        <f>IFERROR(IF(Agent10_Withdrawals!A145="","",YEAR(Agent10_Withdrawals!D145)),"")</f>
        <v/>
      </c>
    </row>
    <row r="1941" spans="1:13" ht="18" customHeight="1" x14ac:dyDescent="0.25">
      <c r="A1941" s="37" t="str">
        <f>IF(Agent10_Withdrawals!A146="","",Agent10_Withdrawals!A146)</f>
        <v/>
      </c>
      <c r="B1941" s="37" t="str">
        <f ca="1">IF(Agent10_Withdrawals!A146="","","WD"&amp;TEXT(1941-3,"0000")&amp;"-"&amp;TEXT(TODAY(),"YYYYMMDD"))</f>
        <v/>
      </c>
      <c r="C1941" s="37" t="str">
        <f>IF(Agent10_Withdrawals!A146="","",Agent10_Withdrawals!B146)</f>
        <v/>
      </c>
      <c r="D1941" s="40" t="str">
        <f>IF(Agent10_Withdrawals!A146="","",Agent10_Withdrawals!C146)</f>
        <v/>
      </c>
      <c r="E1941" s="38" t="str">
        <f>IF(Agent10_Withdrawals!A146="","",Agent10_Withdrawals!D146)</f>
        <v/>
      </c>
      <c r="F1941" s="37" t="str">
        <f>IF(Agent10_Withdrawals!A146="","",Agent10_Withdrawals!F146)</f>
        <v/>
      </c>
      <c r="G1941" s="39" t="str">
        <f>IF(Agent10_Withdrawals!A146="","",Agent10_Withdrawals!E146)</f>
        <v/>
      </c>
      <c r="H1941" s="39" t="str">
        <f>IF(Agent10_Withdrawals!A146="","",Agent10_Withdrawals!G146)</f>
        <v/>
      </c>
      <c r="I1941" s="37" t="str">
        <f>IF(Agent10_Withdrawals!A146="","",Agent10_Withdrawals!H146)</f>
        <v/>
      </c>
      <c r="J1941" s="37" t="str">
        <f>IF(Agent10_Withdrawals!A146="","",Agent10_Withdrawals!J146)</f>
        <v/>
      </c>
      <c r="K1941" s="37" t="str">
        <f>IF(Agent10_Withdrawals!A146="","",Agent10_Withdrawals!K146)</f>
        <v/>
      </c>
      <c r="L1941" s="37" t="str">
        <f>IF(G1941="","",IF(D1941-G1941&gt;=System_Config!$B$9,"✅ OK","⚠️ BREACH"))</f>
        <v/>
      </c>
      <c r="M1941" s="37" t="str">
        <f>IFERROR(IF(Agent10_Withdrawals!A146="","",YEAR(Agent10_Withdrawals!D146)),"")</f>
        <v/>
      </c>
    </row>
    <row r="1942" spans="1:13" ht="18" customHeight="1" x14ac:dyDescent="0.25">
      <c r="A1942" s="37" t="str">
        <f>IF(Agent10_Withdrawals!A147="","",Agent10_Withdrawals!A147)</f>
        <v/>
      </c>
      <c r="B1942" s="37" t="str">
        <f ca="1">IF(Agent10_Withdrawals!A147="","","WD"&amp;TEXT(1942-3,"0000")&amp;"-"&amp;TEXT(TODAY(),"YYYYMMDD"))</f>
        <v/>
      </c>
      <c r="C1942" s="37" t="str">
        <f>IF(Agent10_Withdrawals!A147="","",Agent10_Withdrawals!B147)</f>
        <v/>
      </c>
      <c r="D1942" s="40" t="str">
        <f>IF(Agent10_Withdrawals!A147="","",Agent10_Withdrawals!C147)</f>
        <v/>
      </c>
      <c r="E1942" s="38" t="str">
        <f>IF(Agent10_Withdrawals!A147="","",Agent10_Withdrawals!D147)</f>
        <v/>
      </c>
      <c r="F1942" s="37" t="str">
        <f>IF(Agent10_Withdrawals!A147="","",Agent10_Withdrawals!F147)</f>
        <v/>
      </c>
      <c r="G1942" s="39" t="str">
        <f>IF(Agent10_Withdrawals!A147="","",Agent10_Withdrawals!E147)</f>
        <v/>
      </c>
      <c r="H1942" s="39" t="str">
        <f>IF(Agent10_Withdrawals!A147="","",Agent10_Withdrawals!G147)</f>
        <v/>
      </c>
      <c r="I1942" s="37" t="str">
        <f>IF(Agent10_Withdrawals!A147="","",Agent10_Withdrawals!H147)</f>
        <v/>
      </c>
      <c r="J1942" s="37" t="str">
        <f>IF(Agent10_Withdrawals!A147="","",Agent10_Withdrawals!J147)</f>
        <v/>
      </c>
      <c r="K1942" s="37" t="str">
        <f>IF(Agent10_Withdrawals!A147="","",Agent10_Withdrawals!K147)</f>
        <v/>
      </c>
      <c r="L1942" s="37" t="str">
        <f>IF(G1942="","",IF(D1942-G1942&gt;=System_Config!$B$9,"✅ OK","⚠️ BREACH"))</f>
        <v/>
      </c>
      <c r="M1942" s="37" t="str">
        <f>IFERROR(IF(Agent10_Withdrawals!A147="","",YEAR(Agent10_Withdrawals!D147)),"")</f>
        <v/>
      </c>
    </row>
    <row r="1943" spans="1:13" ht="18" customHeight="1" x14ac:dyDescent="0.25">
      <c r="A1943" s="37" t="str">
        <f>IF(Agent10_Withdrawals!A148="","",Agent10_Withdrawals!A148)</f>
        <v/>
      </c>
      <c r="B1943" s="37" t="str">
        <f ca="1">IF(Agent10_Withdrawals!A148="","","WD"&amp;TEXT(1943-3,"0000")&amp;"-"&amp;TEXT(TODAY(),"YYYYMMDD"))</f>
        <v/>
      </c>
      <c r="C1943" s="37" t="str">
        <f>IF(Agent10_Withdrawals!A148="","",Agent10_Withdrawals!B148)</f>
        <v/>
      </c>
      <c r="D1943" s="40" t="str">
        <f>IF(Agent10_Withdrawals!A148="","",Agent10_Withdrawals!C148)</f>
        <v/>
      </c>
      <c r="E1943" s="38" t="str">
        <f>IF(Agent10_Withdrawals!A148="","",Agent10_Withdrawals!D148)</f>
        <v/>
      </c>
      <c r="F1943" s="37" t="str">
        <f>IF(Agent10_Withdrawals!A148="","",Agent10_Withdrawals!F148)</f>
        <v/>
      </c>
      <c r="G1943" s="39" t="str">
        <f>IF(Agent10_Withdrawals!A148="","",Agent10_Withdrawals!E148)</f>
        <v/>
      </c>
      <c r="H1943" s="39" t="str">
        <f>IF(Agent10_Withdrawals!A148="","",Agent10_Withdrawals!G148)</f>
        <v/>
      </c>
      <c r="I1943" s="37" t="str">
        <f>IF(Agent10_Withdrawals!A148="","",Agent10_Withdrawals!H148)</f>
        <v/>
      </c>
      <c r="J1943" s="37" t="str">
        <f>IF(Agent10_Withdrawals!A148="","",Agent10_Withdrawals!J148)</f>
        <v/>
      </c>
      <c r="K1943" s="37" t="str">
        <f>IF(Agent10_Withdrawals!A148="","",Agent10_Withdrawals!K148)</f>
        <v/>
      </c>
      <c r="L1943" s="37" t="str">
        <f>IF(G1943="","",IF(D1943-G1943&gt;=System_Config!$B$9,"✅ OK","⚠️ BREACH"))</f>
        <v/>
      </c>
      <c r="M1943" s="37" t="str">
        <f>IFERROR(IF(Agent10_Withdrawals!A148="","",YEAR(Agent10_Withdrawals!D148)),"")</f>
        <v/>
      </c>
    </row>
    <row r="1944" spans="1:13" ht="18" customHeight="1" x14ac:dyDescent="0.25">
      <c r="A1944" s="37" t="str">
        <f>IF(Agent10_Withdrawals!A149="","",Agent10_Withdrawals!A149)</f>
        <v/>
      </c>
      <c r="B1944" s="37" t="str">
        <f ca="1">IF(Agent10_Withdrawals!A149="","","WD"&amp;TEXT(1944-3,"0000")&amp;"-"&amp;TEXT(TODAY(),"YYYYMMDD"))</f>
        <v/>
      </c>
      <c r="C1944" s="37" t="str">
        <f>IF(Agent10_Withdrawals!A149="","",Agent10_Withdrawals!B149)</f>
        <v/>
      </c>
      <c r="D1944" s="40" t="str">
        <f>IF(Agent10_Withdrawals!A149="","",Agent10_Withdrawals!C149)</f>
        <v/>
      </c>
      <c r="E1944" s="38" t="str">
        <f>IF(Agent10_Withdrawals!A149="","",Agent10_Withdrawals!D149)</f>
        <v/>
      </c>
      <c r="F1944" s="37" t="str">
        <f>IF(Agent10_Withdrawals!A149="","",Agent10_Withdrawals!F149)</f>
        <v/>
      </c>
      <c r="G1944" s="39" t="str">
        <f>IF(Agent10_Withdrawals!A149="","",Agent10_Withdrawals!E149)</f>
        <v/>
      </c>
      <c r="H1944" s="39" t="str">
        <f>IF(Agent10_Withdrawals!A149="","",Agent10_Withdrawals!G149)</f>
        <v/>
      </c>
      <c r="I1944" s="37" t="str">
        <f>IF(Agent10_Withdrawals!A149="","",Agent10_Withdrawals!H149)</f>
        <v/>
      </c>
      <c r="J1944" s="37" t="str">
        <f>IF(Agent10_Withdrawals!A149="","",Agent10_Withdrawals!J149)</f>
        <v/>
      </c>
      <c r="K1944" s="37" t="str">
        <f>IF(Agent10_Withdrawals!A149="","",Agent10_Withdrawals!K149)</f>
        <v/>
      </c>
      <c r="L1944" s="37" t="str">
        <f>IF(G1944="","",IF(D1944-G1944&gt;=System_Config!$B$9,"✅ OK","⚠️ BREACH"))</f>
        <v/>
      </c>
      <c r="M1944" s="37" t="str">
        <f>IFERROR(IF(Agent10_Withdrawals!A149="","",YEAR(Agent10_Withdrawals!D149)),"")</f>
        <v/>
      </c>
    </row>
    <row r="1945" spans="1:13" ht="18" customHeight="1" x14ac:dyDescent="0.25">
      <c r="A1945" s="37" t="str">
        <f>IF(Agent10_Withdrawals!A150="","",Agent10_Withdrawals!A150)</f>
        <v/>
      </c>
      <c r="B1945" s="37" t="str">
        <f ca="1">IF(Agent10_Withdrawals!A150="","","WD"&amp;TEXT(1945-3,"0000")&amp;"-"&amp;TEXT(TODAY(),"YYYYMMDD"))</f>
        <v/>
      </c>
      <c r="C1945" s="37" t="str">
        <f>IF(Agent10_Withdrawals!A150="","",Agent10_Withdrawals!B150)</f>
        <v/>
      </c>
      <c r="D1945" s="40" t="str">
        <f>IF(Agent10_Withdrawals!A150="","",Agent10_Withdrawals!C150)</f>
        <v/>
      </c>
      <c r="E1945" s="38" t="str">
        <f>IF(Agent10_Withdrawals!A150="","",Agent10_Withdrawals!D150)</f>
        <v/>
      </c>
      <c r="F1945" s="37" t="str">
        <f>IF(Agent10_Withdrawals!A150="","",Agent10_Withdrawals!F150)</f>
        <v/>
      </c>
      <c r="G1945" s="39" t="str">
        <f>IF(Agent10_Withdrawals!A150="","",Agent10_Withdrawals!E150)</f>
        <v/>
      </c>
      <c r="H1945" s="39" t="str">
        <f>IF(Agent10_Withdrawals!A150="","",Agent10_Withdrawals!G150)</f>
        <v/>
      </c>
      <c r="I1945" s="37" t="str">
        <f>IF(Agent10_Withdrawals!A150="","",Agent10_Withdrawals!H150)</f>
        <v/>
      </c>
      <c r="J1945" s="37" t="str">
        <f>IF(Agent10_Withdrawals!A150="","",Agent10_Withdrawals!J150)</f>
        <v/>
      </c>
      <c r="K1945" s="37" t="str">
        <f>IF(Agent10_Withdrawals!A150="","",Agent10_Withdrawals!K150)</f>
        <v/>
      </c>
      <c r="L1945" s="37" t="str">
        <f>IF(G1945="","",IF(D1945-G1945&gt;=System_Config!$B$9,"✅ OK","⚠️ BREACH"))</f>
        <v/>
      </c>
      <c r="M1945" s="37" t="str">
        <f>IFERROR(IF(Agent10_Withdrawals!A150="","",YEAR(Agent10_Withdrawals!D150)),"")</f>
        <v/>
      </c>
    </row>
    <row r="1946" spans="1:13" ht="18" customHeight="1" x14ac:dyDescent="0.25">
      <c r="A1946" s="37" t="str">
        <f>IF(Agent10_Withdrawals!A151="","",Agent10_Withdrawals!A151)</f>
        <v/>
      </c>
      <c r="B1946" s="37" t="str">
        <f ca="1">IF(Agent10_Withdrawals!A151="","","WD"&amp;TEXT(1946-3,"0000")&amp;"-"&amp;TEXT(TODAY(),"YYYYMMDD"))</f>
        <v/>
      </c>
      <c r="C1946" s="37" t="str">
        <f>IF(Agent10_Withdrawals!A151="","",Agent10_Withdrawals!B151)</f>
        <v/>
      </c>
      <c r="D1946" s="40" t="str">
        <f>IF(Agent10_Withdrawals!A151="","",Agent10_Withdrawals!C151)</f>
        <v/>
      </c>
      <c r="E1946" s="38" t="str">
        <f>IF(Agent10_Withdrawals!A151="","",Agent10_Withdrawals!D151)</f>
        <v/>
      </c>
      <c r="F1946" s="37" t="str">
        <f>IF(Agent10_Withdrawals!A151="","",Agent10_Withdrawals!F151)</f>
        <v/>
      </c>
      <c r="G1946" s="39" t="str">
        <f>IF(Agent10_Withdrawals!A151="","",Agent10_Withdrawals!E151)</f>
        <v/>
      </c>
      <c r="H1946" s="39" t="str">
        <f>IF(Agent10_Withdrawals!A151="","",Agent10_Withdrawals!G151)</f>
        <v/>
      </c>
      <c r="I1946" s="37" t="str">
        <f>IF(Agent10_Withdrawals!A151="","",Agent10_Withdrawals!H151)</f>
        <v/>
      </c>
      <c r="J1946" s="37" t="str">
        <f>IF(Agent10_Withdrawals!A151="","",Agent10_Withdrawals!J151)</f>
        <v/>
      </c>
      <c r="K1946" s="37" t="str">
        <f>IF(Agent10_Withdrawals!A151="","",Agent10_Withdrawals!K151)</f>
        <v/>
      </c>
      <c r="L1946" s="37" t="str">
        <f>IF(G1946="","",IF(D1946-G1946&gt;=System_Config!$B$9,"✅ OK","⚠️ BREACH"))</f>
        <v/>
      </c>
      <c r="M1946" s="37" t="str">
        <f>IFERROR(IF(Agent10_Withdrawals!A151="","",YEAR(Agent10_Withdrawals!D151)),"")</f>
        <v/>
      </c>
    </row>
    <row r="1947" spans="1:13" ht="18" customHeight="1" x14ac:dyDescent="0.25">
      <c r="A1947" s="37" t="str">
        <f>IF(Agent10_Withdrawals!A152="","",Agent10_Withdrawals!A152)</f>
        <v/>
      </c>
      <c r="B1947" s="37" t="str">
        <f ca="1">IF(Agent10_Withdrawals!A152="","","WD"&amp;TEXT(1947-3,"0000")&amp;"-"&amp;TEXT(TODAY(),"YYYYMMDD"))</f>
        <v/>
      </c>
      <c r="C1947" s="37" t="str">
        <f>IF(Agent10_Withdrawals!A152="","",Agent10_Withdrawals!B152)</f>
        <v/>
      </c>
      <c r="D1947" s="40" t="str">
        <f>IF(Agent10_Withdrawals!A152="","",Agent10_Withdrawals!C152)</f>
        <v/>
      </c>
      <c r="E1947" s="38" t="str">
        <f>IF(Agent10_Withdrawals!A152="","",Agent10_Withdrawals!D152)</f>
        <v/>
      </c>
      <c r="F1947" s="37" t="str">
        <f>IF(Agent10_Withdrawals!A152="","",Agent10_Withdrawals!F152)</f>
        <v/>
      </c>
      <c r="G1947" s="39" t="str">
        <f>IF(Agent10_Withdrawals!A152="","",Agent10_Withdrawals!E152)</f>
        <v/>
      </c>
      <c r="H1947" s="39" t="str">
        <f>IF(Agent10_Withdrawals!A152="","",Agent10_Withdrawals!G152)</f>
        <v/>
      </c>
      <c r="I1947" s="37" t="str">
        <f>IF(Agent10_Withdrawals!A152="","",Agent10_Withdrawals!H152)</f>
        <v/>
      </c>
      <c r="J1947" s="37" t="str">
        <f>IF(Agent10_Withdrawals!A152="","",Agent10_Withdrawals!J152)</f>
        <v/>
      </c>
      <c r="K1947" s="37" t="str">
        <f>IF(Agent10_Withdrawals!A152="","",Agent10_Withdrawals!K152)</f>
        <v/>
      </c>
      <c r="L1947" s="37" t="str">
        <f>IF(G1947="","",IF(D1947-G1947&gt;=System_Config!$B$9,"✅ OK","⚠️ BREACH"))</f>
        <v/>
      </c>
      <c r="M1947" s="37" t="str">
        <f>IFERROR(IF(Agent10_Withdrawals!A152="","",YEAR(Agent10_Withdrawals!D152)),"")</f>
        <v/>
      </c>
    </row>
    <row r="1948" spans="1:13" ht="18" customHeight="1" x14ac:dyDescent="0.25">
      <c r="A1948" s="37" t="str">
        <f>IF(Agent10_Withdrawals!A153="","",Agent10_Withdrawals!A153)</f>
        <v/>
      </c>
      <c r="B1948" s="37" t="str">
        <f ca="1">IF(Agent10_Withdrawals!A153="","","WD"&amp;TEXT(1948-3,"0000")&amp;"-"&amp;TEXT(TODAY(),"YYYYMMDD"))</f>
        <v/>
      </c>
      <c r="C1948" s="37" t="str">
        <f>IF(Agent10_Withdrawals!A153="","",Agent10_Withdrawals!B153)</f>
        <v/>
      </c>
      <c r="D1948" s="40" t="str">
        <f>IF(Agent10_Withdrawals!A153="","",Agent10_Withdrawals!C153)</f>
        <v/>
      </c>
      <c r="E1948" s="38" t="str">
        <f>IF(Agent10_Withdrawals!A153="","",Agent10_Withdrawals!D153)</f>
        <v/>
      </c>
      <c r="F1948" s="37" t="str">
        <f>IF(Agent10_Withdrawals!A153="","",Agent10_Withdrawals!F153)</f>
        <v/>
      </c>
      <c r="G1948" s="39" t="str">
        <f>IF(Agent10_Withdrawals!A153="","",Agent10_Withdrawals!E153)</f>
        <v/>
      </c>
      <c r="H1948" s="39" t="str">
        <f>IF(Agent10_Withdrawals!A153="","",Agent10_Withdrawals!G153)</f>
        <v/>
      </c>
      <c r="I1948" s="37" t="str">
        <f>IF(Agent10_Withdrawals!A153="","",Agent10_Withdrawals!H153)</f>
        <v/>
      </c>
      <c r="J1948" s="37" t="str">
        <f>IF(Agent10_Withdrawals!A153="","",Agent10_Withdrawals!J153)</f>
        <v/>
      </c>
      <c r="K1948" s="37" t="str">
        <f>IF(Agent10_Withdrawals!A153="","",Agent10_Withdrawals!K153)</f>
        <v/>
      </c>
      <c r="L1948" s="37" t="str">
        <f>IF(G1948="","",IF(D1948-G1948&gt;=System_Config!$B$9,"✅ OK","⚠️ BREACH"))</f>
        <v/>
      </c>
      <c r="M1948" s="37" t="str">
        <f>IFERROR(IF(Agent10_Withdrawals!A153="","",YEAR(Agent10_Withdrawals!D153)),"")</f>
        <v/>
      </c>
    </row>
    <row r="1949" spans="1:13" ht="18" customHeight="1" x14ac:dyDescent="0.25">
      <c r="A1949" s="37" t="str">
        <f>IF(Agent10_Withdrawals!A154="","",Agent10_Withdrawals!A154)</f>
        <v/>
      </c>
      <c r="B1949" s="37" t="str">
        <f ca="1">IF(Agent10_Withdrawals!A154="","","WD"&amp;TEXT(1949-3,"0000")&amp;"-"&amp;TEXT(TODAY(),"YYYYMMDD"))</f>
        <v/>
      </c>
      <c r="C1949" s="37" t="str">
        <f>IF(Agent10_Withdrawals!A154="","",Agent10_Withdrawals!B154)</f>
        <v/>
      </c>
      <c r="D1949" s="40" t="str">
        <f>IF(Agent10_Withdrawals!A154="","",Agent10_Withdrawals!C154)</f>
        <v/>
      </c>
      <c r="E1949" s="38" t="str">
        <f>IF(Agent10_Withdrawals!A154="","",Agent10_Withdrawals!D154)</f>
        <v/>
      </c>
      <c r="F1949" s="37" t="str">
        <f>IF(Agent10_Withdrawals!A154="","",Agent10_Withdrawals!F154)</f>
        <v/>
      </c>
      <c r="G1949" s="39" t="str">
        <f>IF(Agent10_Withdrawals!A154="","",Agent10_Withdrawals!E154)</f>
        <v/>
      </c>
      <c r="H1949" s="39" t="str">
        <f>IF(Agent10_Withdrawals!A154="","",Agent10_Withdrawals!G154)</f>
        <v/>
      </c>
      <c r="I1949" s="37" t="str">
        <f>IF(Agent10_Withdrawals!A154="","",Agent10_Withdrawals!H154)</f>
        <v/>
      </c>
      <c r="J1949" s="37" t="str">
        <f>IF(Agent10_Withdrawals!A154="","",Agent10_Withdrawals!J154)</f>
        <v/>
      </c>
      <c r="K1949" s="37" t="str">
        <f>IF(Agent10_Withdrawals!A154="","",Agent10_Withdrawals!K154)</f>
        <v/>
      </c>
      <c r="L1949" s="37" t="str">
        <f>IF(G1949="","",IF(D1949-G1949&gt;=System_Config!$B$9,"✅ OK","⚠️ BREACH"))</f>
        <v/>
      </c>
      <c r="M1949" s="37" t="str">
        <f>IFERROR(IF(Agent10_Withdrawals!A154="","",YEAR(Agent10_Withdrawals!D154)),"")</f>
        <v/>
      </c>
    </row>
    <row r="1950" spans="1:13" ht="18" customHeight="1" x14ac:dyDescent="0.25">
      <c r="A1950" s="37" t="str">
        <f>IF(Agent10_Withdrawals!A155="","",Agent10_Withdrawals!A155)</f>
        <v/>
      </c>
      <c r="B1950" s="37" t="str">
        <f ca="1">IF(Agent10_Withdrawals!A155="","","WD"&amp;TEXT(1950-3,"0000")&amp;"-"&amp;TEXT(TODAY(),"YYYYMMDD"))</f>
        <v/>
      </c>
      <c r="C1950" s="37" t="str">
        <f>IF(Agent10_Withdrawals!A155="","",Agent10_Withdrawals!B155)</f>
        <v/>
      </c>
      <c r="D1950" s="40" t="str">
        <f>IF(Agent10_Withdrawals!A155="","",Agent10_Withdrawals!C155)</f>
        <v/>
      </c>
      <c r="E1950" s="38" t="str">
        <f>IF(Agent10_Withdrawals!A155="","",Agent10_Withdrawals!D155)</f>
        <v/>
      </c>
      <c r="F1950" s="37" t="str">
        <f>IF(Agent10_Withdrawals!A155="","",Agent10_Withdrawals!F155)</f>
        <v/>
      </c>
      <c r="G1950" s="39" t="str">
        <f>IF(Agent10_Withdrawals!A155="","",Agent10_Withdrawals!E155)</f>
        <v/>
      </c>
      <c r="H1950" s="39" t="str">
        <f>IF(Agent10_Withdrawals!A155="","",Agent10_Withdrawals!G155)</f>
        <v/>
      </c>
      <c r="I1950" s="37" t="str">
        <f>IF(Agent10_Withdrawals!A155="","",Agent10_Withdrawals!H155)</f>
        <v/>
      </c>
      <c r="J1950" s="37" t="str">
        <f>IF(Agent10_Withdrawals!A155="","",Agent10_Withdrawals!J155)</f>
        <v/>
      </c>
      <c r="K1950" s="37" t="str">
        <f>IF(Agent10_Withdrawals!A155="","",Agent10_Withdrawals!K155)</f>
        <v/>
      </c>
      <c r="L1950" s="37" t="str">
        <f>IF(G1950="","",IF(D1950-G1950&gt;=System_Config!$B$9,"✅ OK","⚠️ BREACH"))</f>
        <v/>
      </c>
      <c r="M1950" s="37" t="str">
        <f>IFERROR(IF(Agent10_Withdrawals!A155="","",YEAR(Agent10_Withdrawals!D155)),"")</f>
        <v/>
      </c>
    </row>
    <row r="1951" spans="1:13" ht="18" customHeight="1" x14ac:dyDescent="0.25">
      <c r="A1951" s="37" t="str">
        <f>IF(Agent10_Withdrawals!A156="","",Agent10_Withdrawals!A156)</f>
        <v/>
      </c>
      <c r="B1951" s="37" t="str">
        <f ca="1">IF(Agent10_Withdrawals!A156="","","WD"&amp;TEXT(1951-3,"0000")&amp;"-"&amp;TEXT(TODAY(),"YYYYMMDD"))</f>
        <v/>
      </c>
      <c r="C1951" s="37" t="str">
        <f>IF(Agent10_Withdrawals!A156="","",Agent10_Withdrawals!B156)</f>
        <v/>
      </c>
      <c r="D1951" s="40" t="str">
        <f>IF(Agent10_Withdrawals!A156="","",Agent10_Withdrawals!C156)</f>
        <v/>
      </c>
      <c r="E1951" s="38" t="str">
        <f>IF(Agent10_Withdrawals!A156="","",Agent10_Withdrawals!D156)</f>
        <v/>
      </c>
      <c r="F1951" s="37" t="str">
        <f>IF(Agent10_Withdrawals!A156="","",Agent10_Withdrawals!F156)</f>
        <v/>
      </c>
      <c r="G1951" s="39" t="str">
        <f>IF(Agent10_Withdrawals!A156="","",Agent10_Withdrawals!E156)</f>
        <v/>
      </c>
      <c r="H1951" s="39" t="str">
        <f>IF(Agent10_Withdrawals!A156="","",Agent10_Withdrawals!G156)</f>
        <v/>
      </c>
      <c r="I1951" s="37" t="str">
        <f>IF(Agent10_Withdrawals!A156="","",Agent10_Withdrawals!H156)</f>
        <v/>
      </c>
      <c r="J1951" s="37" t="str">
        <f>IF(Agent10_Withdrawals!A156="","",Agent10_Withdrawals!J156)</f>
        <v/>
      </c>
      <c r="K1951" s="37" t="str">
        <f>IF(Agent10_Withdrawals!A156="","",Agent10_Withdrawals!K156)</f>
        <v/>
      </c>
      <c r="L1951" s="37" t="str">
        <f>IF(G1951="","",IF(D1951-G1951&gt;=System_Config!$B$9,"✅ OK","⚠️ BREACH"))</f>
        <v/>
      </c>
      <c r="M1951" s="37" t="str">
        <f>IFERROR(IF(Agent10_Withdrawals!A156="","",YEAR(Agent10_Withdrawals!D156)),"")</f>
        <v/>
      </c>
    </row>
    <row r="1952" spans="1:13" ht="18" customHeight="1" x14ac:dyDescent="0.25">
      <c r="A1952" s="37" t="str">
        <f>IF(Agent10_Withdrawals!A157="","",Agent10_Withdrawals!A157)</f>
        <v/>
      </c>
      <c r="B1952" s="37" t="str">
        <f ca="1">IF(Agent10_Withdrawals!A157="","","WD"&amp;TEXT(1952-3,"0000")&amp;"-"&amp;TEXT(TODAY(),"YYYYMMDD"))</f>
        <v/>
      </c>
      <c r="C1952" s="37" t="str">
        <f>IF(Agent10_Withdrawals!A157="","",Agent10_Withdrawals!B157)</f>
        <v/>
      </c>
      <c r="D1952" s="40" t="str">
        <f>IF(Agent10_Withdrawals!A157="","",Agent10_Withdrawals!C157)</f>
        <v/>
      </c>
      <c r="E1952" s="38" t="str">
        <f>IF(Agent10_Withdrawals!A157="","",Agent10_Withdrawals!D157)</f>
        <v/>
      </c>
      <c r="F1952" s="37" t="str">
        <f>IF(Agent10_Withdrawals!A157="","",Agent10_Withdrawals!F157)</f>
        <v/>
      </c>
      <c r="G1952" s="39" t="str">
        <f>IF(Agent10_Withdrawals!A157="","",Agent10_Withdrawals!E157)</f>
        <v/>
      </c>
      <c r="H1952" s="39" t="str">
        <f>IF(Agent10_Withdrawals!A157="","",Agent10_Withdrawals!G157)</f>
        <v/>
      </c>
      <c r="I1952" s="37" t="str">
        <f>IF(Agent10_Withdrawals!A157="","",Agent10_Withdrawals!H157)</f>
        <v/>
      </c>
      <c r="J1952" s="37" t="str">
        <f>IF(Agent10_Withdrawals!A157="","",Agent10_Withdrawals!J157)</f>
        <v/>
      </c>
      <c r="K1952" s="37" t="str">
        <f>IF(Agent10_Withdrawals!A157="","",Agent10_Withdrawals!K157)</f>
        <v/>
      </c>
      <c r="L1952" s="37" t="str">
        <f>IF(G1952="","",IF(D1952-G1952&gt;=System_Config!$B$9,"✅ OK","⚠️ BREACH"))</f>
        <v/>
      </c>
      <c r="M1952" s="37" t="str">
        <f>IFERROR(IF(Agent10_Withdrawals!A157="","",YEAR(Agent10_Withdrawals!D157)),"")</f>
        <v/>
      </c>
    </row>
    <row r="1953" spans="1:13" ht="18" customHeight="1" x14ac:dyDescent="0.25">
      <c r="A1953" s="37" t="str">
        <f>IF(Agent10_Withdrawals!A158="","",Agent10_Withdrawals!A158)</f>
        <v/>
      </c>
      <c r="B1953" s="37" t="str">
        <f ca="1">IF(Agent10_Withdrawals!A158="","","WD"&amp;TEXT(1953-3,"0000")&amp;"-"&amp;TEXT(TODAY(),"YYYYMMDD"))</f>
        <v/>
      </c>
      <c r="C1953" s="37" t="str">
        <f>IF(Agent10_Withdrawals!A158="","",Agent10_Withdrawals!B158)</f>
        <v/>
      </c>
      <c r="D1953" s="40" t="str">
        <f>IF(Agent10_Withdrawals!A158="","",Agent10_Withdrawals!C158)</f>
        <v/>
      </c>
      <c r="E1953" s="38" t="str">
        <f>IF(Agent10_Withdrawals!A158="","",Agent10_Withdrawals!D158)</f>
        <v/>
      </c>
      <c r="F1953" s="37" t="str">
        <f>IF(Agent10_Withdrawals!A158="","",Agent10_Withdrawals!F158)</f>
        <v/>
      </c>
      <c r="G1953" s="39" t="str">
        <f>IF(Agent10_Withdrawals!A158="","",Agent10_Withdrawals!E158)</f>
        <v/>
      </c>
      <c r="H1953" s="39" t="str">
        <f>IF(Agent10_Withdrawals!A158="","",Agent10_Withdrawals!G158)</f>
        <v/>
      </c>
      <c r="I1953" s="37" t="str">
        <f>IF(Agent10_Withdrawals!A158="","",Agent10_Withdrawals!H158)</f>
        <v/>
      </c>
      <c r="J1953" s="37" t="str">
        <f>IF(Agent10_Withdrawals!A158="","",Agent10_Withdrawals!J158)</f>
        <v/>
      </c>
      <c r="K1953" s="37" t="str">
        <f>IF(Agent10_Withdrawals!A158="","",Agent10_Withdrawals!K158)</f>
        <v/>
      </c>
      <c r="L1953" s="37" t="str">
        <f>IF(G1953="","",IF(D1953-G1953&gt;=System_Config!$B$9,"✅ OK","⚠️ BREACH"))</f>
        <v/>
      </c>
      <c r="M1953" s="37" t="str">
        <f>IFERROR(IF(Agent10_Withdrawals!A158="","",YEAR(Agent10_Withdrawals!D158)),"")</f>
        <v/>
      </c>
    </row>
    <row r="1954" spans="1:13" ht="18" customHeight="1" x14ac:dyDescent="0.25">
      <c r="A1954" s="37" t="str">
        <f>IF(Agent10_Withdrawals!A159="","",Agent10_Withdrawals!A159)</f>
        <v/>
      </c>
      <c r="B1954" s="37" t="str">
        <f ca="1">IF(Agent10_Withdrawals!A159="","","WD"&amp;TEXT(1954-3,"0000")&amp;"-"&amp;TEXT(TODAY(),"YYYYMMDD"))</f>
        <v/>
      </c>
      <c r="C1954" s="37" t="str">
        <f>IF(Agent10_Withdrawals!A159="","",Agent10_Withdrawals!B159)</f>
        <v/>
      </c>
      <c r="D1954" s="40" t="str">
        <f>IF(Agent10_Withdrawals!A159="","",Agent10_Withdrawals!C159)</f>
        <v/>
      </c>
      <c r="E1954" s="38" t="str">
        <f>IF(Agent10_Withdrawals!A159="","",Agent10_Withdrawals!D159)</f>
        <v/>
      </c>
      <c r="F1954" s="37" t="str">
        <f>IF(Agent10_Withdrawals!A159="","",Agent10_Withdrawals!F159)</f>
        <v/>
      </c>
      <c r="G1954" s="39" t="str">
        <f>IF(Agent10_Withdrawals!A159="","",Agent10_Withdrawals!E159)</f>
        <v/>
      </c>
      <c r="H1954" s="39" t="str">
        <f>IF(Agent10_Withdrawals!A159="","",Agent10_Withdrawals!G159)</f>
        <v/>
      </c>
      <c r="I1954" s="37" t="str">
        <f>IF(Agent10_Withdrawals!A159="","",Agent10_Withdrawals!H159)</f>
        <v/>
      </c>
      <c r="J1954" s="37" t="str">
        <f>IF(Agent10_Withdrawals!A159="","",Agent10_Withdrawals!J159)</f>
        <v/>
      </c>
      <c r="K1954" s="37" t="str">
        <f>IF(Agent10_Withdrawals!A159="","",Agent10_Withdrawals!K159)</f>
        <v/>
      </c>
      <c r="L1954" s="37" t="str">
        <f>IF(G1954="","",IF(D1954-G1954&gt;=System_Config!$B$9,"✅ OK","⚠️ BREACH"))</f>
        <v/>
      </c>
      <c r="M1954" s="37" t="str">
        <f>IFERROR(IF(Agent10_Withdrawals!A159="","",YEAR(Agent10_Withdrawals!D159)),"")</f>
        <v/>
      </c>
    </row>
    <row r="1955" spans="1:13" ht="18" customHeight="1" x14ac:dyDescent="0.25">
      <c r="A1955" s="37" t="str">
        <f>IF(Agent10_Withdrawals!A160="","",Agent10_Withdrawals!A160)</f>
        <v/>
      </c>
      <c r="B1955" s="37" t="str">
        <f ca="1">IF(Agent10_Withdrawals!A160="","","WD"&amp;TEXT(1955-3,"0000")&amp;"-"&amp;TEXT(TODAY(),"YYYYMMDD"))</f>
        <v/>
      </c>
      <c r="C1955" s="37" t="str">
        <f>IF(Agent10_Withdrawals!A160="","",Agent10_Withdrawals!B160)</f>
        <v/>
      </c>
      <c r="D1955" s="40" t="str">
        <f>IF(Agent10_Withdrawals!A160="","",Agent10_Withdrawals!C160)</f>
        <v/>
      </c>
      <c r="E1955" s="38" t="str">
        <f>IF(Agent10_Withdrawals!A160="","",Agent10_Withdrawals!D160)</f>
        <v/>
      </c>
      <c r="F1955" s="37" t="str">
        <f>IF(Agent10_Withdrawals!A160="","",Agent10_Withdrawals!F160)</f>
        <v/>
      </c>
      <c r="G1955" s="39" t="str">
        <f>IF(Agent10_Withdrawals!A160="","",Agent10_Withdrawals!E160)</f>
        <v/>
      </c>
      <c r="H1955" s="39" t="str">
        <f>IF(Agent10_Withdrawals!A160="","",Agent10_Withdrawals!G160)</f>
        <v/>
      </c>
      <c r="I1955" s="37" t="str">
        <f>IF(Agent10_Withdrawals!A160="","",Agent10_Withdrawals!H160)</f>
        <v/>
      </c>
      <c r="J1955" s="37" t="str">
        <f>IF(Agent10_Withdrawals!A160="","",Agent10_Withdrawals!J160)</f>
        <v/>
      </c>
      <c r="K1955" s="37" t="str">
        <f>IF(Agent10_Withdrawals!A160="","",Agent10_Withdrawals!K160)</f>
        <v/>
      </c>
      <c r="L1955" s="37" t="str">
        <f>IF(G1955="","",IF(D1955-G1955&gt;=System_Config!$B$9,"✅ OK","⚠️ BREACH"))</f>
        <v/>
      </c>
      <c r="M1955" s="37" t="str">
        <f>IFERROR(IF(Agent10_Withdrawals!A160="","",YEAR(Agent10_Withdrawals!D160)),"")</f>
        <v/>
      </c>
    </row>
    <row r="1956" spans="1:13" ht="18" customHeight="1" x14ac:dyDescent="0.25">
      <c r="A1956" s="37" t="str">
        <f>IF(Agent10_Withdrawals!A161="","",Agent10_Withdrawals!A161)</f>
        <v/>
      </c>
      <c r="B1956" s="37" t="str">
        <f ca="1">IF(Agent10_Withdrawals!A161="","","WD"&amp;TEXT(1956-3,"0000")&amp;"-"&amp;TEXT(TODAY(),"YYYYMMDD"))</f>
        <v/>
      </c>
      <c r="C1956" s="37" t="str">
        <f>IF(Agent10_Withdrawals!A161="","",Agent10_Withdrawals!B161)</f>
        <v/>
      </c>
      <c r="D1956" s="40" t="str">
        <f>IF(Agent10_Withdrawals!A161="","",Agent10_Withdrawals!C161)</f>
        <v/>
      </c>
      <c r="E1956" s="38" t="str">
        <f>IF(Agent10_Withdrawals!A161="","",Agent10_Withdrawals!D161)</f>
        <v/>
      </c>
      <c r="F1956" s="37" t="str">
        <f>IF(Agent10_Withdrawals!A161="","",Agent10_Withdrawals!F161)</f>
        <v/>
      </c>
      <c r="G1956" s="39" t="str">
        <f>IF(Agent10_Withdrawals!A161="","",Agent10_Withdrawals!E161)</f>
        <v/>
      </c>
      <c r="H1956" s="39" t="str">
        <f>IF(Agent10_Withdrawals!A161="","",Agent10_Withdrawals!G161)</f>
        <v/>
      </c>
      <c r="I1956" s="37" t="str">
        <f>IF(Agent10_Withdrawals!A161="","",Agent10_Withdrawals!H161)</f>
        <v/>
      </c>
      <c r="J1956" s="37" t="str">
        <f>IF(Agent10_Withdrawals!A161="","",Agent10_Withdrawals!J161)</f>
        <v/>
      </c>
      <c r="K1956" s="37" t="str">
        <f>IF(Agent10_Withdrawals!A161="","",Agent10_Withdrawals!K161)</f>
        <v/>
      </c>
      <c r="L1956" s="37" t="str">
        <f>IF(G1956="","",IF(D1956-G1956&gt;=System_Config!$B$9,"✅ OK","⚠️ BREACH"))</f>
        <v/>
      </c>
      <c r="M1956" s="37" t="str">
        <f>IFERROR(IF(Agent10_Withdrawals!A161="","",YEAR(Agent10_Withdrawals!D161)),"")</f>
        <v/>
      </c>
    </row>
    <row r="1957" spans="1:13" ht="18" customHeight="1" x14ac:dyDescent="0.25">
      <c r="A1957" s="37" t="str">
        <f>IF(Agent10_Withdrawals!A162="","",Agent10_Withdrawals!A162)</f>
        <v/>
      </c>
      <c r="B1957" s="37" t="str">
        <f ca="1">IF(Agent10_Withdrawals!A162="","","WD"&amp;TEXT(1957-3,"0000")&amp;"-"&amp;TEXT(TODAY(),"YYYYMMDD"))</f>
        <v/>
      </c>
      <c r="C1957" s="37" t="str">
        <f>IF(Agent10_Withdrawals!A162="","",Agent10_Withdrawals!B162)</f>
        <v/>
      </c>
      <c r="D1957" s="40" t="str">
        <f>IF(Agent10_Withdrawals!A162="","",Agent10_Withdrawals!C162)</f>
        <v/>
      </c>
      <c r="E1957" s="38" t="str">
        <f>IF(Agent10_Withdrawals!A162="","",Agent10_Withdrawals!D162)</f>
        <v/>
      </c>
      <c r="F1957" s="37" t="str">
        <f>IF(Agent10_Withdrawals!A162="","",Agent10_Withdrawals!F162)</f>
        <v/>
      </c>
      <c r="G1957" s="39" t="str">
        <f>IF(Agent10_Withdrawals!A162="","",Agent10_Withdrawals!E162)</f>
        <v/>
      </c>
      <c r="H1957" s="39" t="str">
        <f>IF(Agent10_Withdrawals!A162="","",Agent10_Withdrawals!G162)</f>
        <v/>
      </c>
      <c r="I1957" s="37" t="str">
        <f>IF(Agent10_Withdrawals!A162="","",Agent10_Withdrawals!H162)</f>
        <v/>
      </c>
      <c r="J1957" s="37" t="str">
        <f>IF(Agent10_Withdrawals!A162="","",Agent10_Withdrawals!J162)</f>
        <v/>
      </c>
      <c r="K1957" s="37" t="str">
        <f>IF(Agent10_Withdrawals!A162="","",Agent10_Withdrawals!K162)</f>
        <v/>
      </c>
      <c r="L1957" s="37" t="str">
        <f>IF(G1957="","",IF(D1957-G1957&gt;=System_Config!$B$9,"✅ OK","⚠️ BREACH"))</f>
        <v/>
      </c>
      <c r="M1957" s="37" t="str">
        <f>IFERROR(IF(Agent10_Withdrawals!A162="","",YEAR(Agent10_Withdrawals!D162)),"")</f>
        <v/>
      </c>
    </row>
    <row r="1958" spans="1:13" ht="18" customHeight="1" x14ac:dyDescent="0.25">
      <c r="A1958" s="37" t="str">
        <f>IF(Agent10_Withdrawals!A163="","",Agent10_Withdrawals!A163)</f>
        <v/>
      </c>
      <c r="B1958" s="37" t="str">
        <f ca="1">IF(Agent10_Withdrawals!A163="","","WD"&amp;TEXT(1958-3,"0000")&amp;"-"&amp;TEXT(TODAY(),"YYYYMMDD"))</f>
        <v/>
      </c>
      <c r="C1958" s="37" t="str">
        <f>IF(Agent10_Withdrawals!A163="","",Agent10_Withdrawals!B163)</f>
        <v/>
      </c>
      <c r="D1958" s="40" t="str">
        <f>IF(Agent10_Withdrawals!A163="","",Agent10_Withdrawals!C163)</f>
        <v/>
      </c>
      <c r="E1958" s="38" t="str">
        <f>IF(Agent10_Withdrawals!A163="","",Agent10_Withdrawals!D163)</f>
        <v/>
      </c>
      <c r="F1958" s="37" t="str">
        <f>IF(Agent10_Withdrawals!A163="","",Agent10_Withdrawals!F163)</f>
        <v/>
      </c>
      <c r="G1958" s="39" t="str">
        <f>IF(Agent10_Withdrawals!A163="","",Agent10_Withdrawals!E163)</f>
        <v/>
      </c>
      <c r="H1958" s="39" t="str">
        <f>IF(Agent10_Withdrawals!A163="","",Agent10_Withdrawals!G163)</f>
        <v/>
      </c>
      <c r="I1958" s="37" t="str">
        <f>IF(Agent10_Withdrawals!A163="","",Agent10_Withdrawals!H163)</f>
        <v/>
      </c>
      <c r="J1958" s="37" t="str">
        <f>IF(Agent10_Withdrawals!A163="","",Agent10_Withdrawals!J163)</f>
        <v/>
      </c>
      <c r="K1958" s="37" t="str">
        <f>IF(Agent10_Withdrawals!A163="","",Agent10_Withdrawals!K163)</f>
        <v/>
      </c>
      <c r="L1958" s="37" t="str">
        <f>IF(G1958="","",IF(D1958-G1958&gt;=System_Config!$B$9,"✅ OK","⚠️ BREACH"))</f>
        <v/>
      </c>
      <c r="M1958" s="37" t="str">
        <f>IFERROR(IF(Agent10_Withdrawals!A163="","",YEAR(Agent10_Withdrawals!D163)),"")</f>
        <v/>
      </c>
    </row>
    <row r="1959" spans="1:13" ht="18" customHeight="1" x14ac:dyDescent="0.25">
      <c r="A1959" s="37" t="str">
        <f>IF(Agent10_Withdrawals!A164="","",Agent10_Withdrawals!A164)</f>
        <v/>
      </c>
      <c r="B1959" s="37" t="str">
        <f ca="1">IF(Agent10_Withdrawals!A164="","","WD"&amp;TEXT(1959-3,"0000")&amp;"-"&amp;TEXT(TODAY(),"YYYYMMDD"))</f>
        <v/>
      </c>
      <c r="C1959" s="37" t="str">
        <f>IF(Agent10_Withdrawals!A164="","",Agent10_Withdrawals!B164)</f>
        <v/>
      </c>
      <c r="D1959" s="40" t="str">
        <f>IF(Agent10_Withdrawals!A164="","",Agent10_Withdrawals!C164)</f>
        <v/>
      </c>
      <c r="E1959" s="38" t="str">
        <f>IF(Agent10_Withdrawals!A164="","",Agent10_Withdrawals!D164)</f>
        <v/>
      </c>
      <c r="F1959" s="37" t="str">
        <f>IF(Agent10_Withdrawals!A164="","",Agent10_Withdrawals!F164)</f>
        <v/>
      </c>
      <c r="G1959" s="39" t="str">
        <f>IF(Agent10_Withdrawals!A164="","",Agent10_Withdrawals!E164)</f>
        <v/>
      </c>
      <c r="H1959" s="39" t="str">
        <f>IF(Agent10_Withdrawals!A164="","",Agent10_Withdrawals!G164)</f>
        <v/>
      </c>
      <c r="I1959" s="37" t="str">
        <f>IF(Agent10_Withdrawals!A164="","",Agent10_Withdrawals!H164)</f>
        <v/>
      </c>
      <c r="J1959" s="37" t="str">
        <f>IF(Agent10_Withdrawals!A164="","",Agent10_Withdrawals!J164)</f>
        <v/>
      </c>
      <c r="K1959" s="37" t="str">
        <f>IF(Agent10_Withdrawals!A164="","",Agent10_Withdrawals!K164)</f>
        <v/>
      </c>
      <c r="L1959" s="37" t="str">
        <f>IF(G1959="","",IF(D1959-G1959&gt;=System_Config!$B$9,"✅ OK","⚠️ BREACH"))</f>
        <v/>
      </c>
      <c r="M1959" s="37" t="str">
        <f>IFERROR(IF(Agent10_Withdrawals!A164="","",YEAR(Agent10_Withdrawals!D164)),"")</f>
        <v/>
      </c>
    </row>
    <row r="1960" spans="1:13" ht="18" customHeight="1" x14ac:dyDescent="0.25">
      <c r="A1960" s="37" t="str">
        <f>IF(Agent10_Withdrawals!A165="","",Agent10_Withdrawals!A165)</f>
        <v/>
      </c>
      <c r="B1960" s="37" t="str">
        <f ca="1">IF(Agent10_Withdrawals!A165="","","WD"&amp;TEXT(1960-3,"0000")&amp;"-"&amp;TEXT(TODAY(),"YYYYMMDD"))</f>
        <v/>
      </c>
      <c r="C1960" s="37" t="str">
        <f>IF(Agent10_Withdrawals!A165="","",Agent10_Withdrawals!B165)</f>
        <v/>
      </c>
      <c r="D1960" s="40" t="str">
        <f>IF(Agent10_Withdrawals!A165="","",Agent10_Withdrawals!C165)</f>
        <v/>
      </c>
      <c r="E1960" s="38" t="str">
        <f>IF(Agent10_Withdrawals!A165="","",Agent10_Withdrawals!D165)</f>
        <v/>
      </c>
      <c r="F1960" s="37" t="str">
        <f>IF(Agent10_Withdrawals!A165="","",Agent10_Withdrawals!F165)</f>
        <v/>
      </c>
      <c r="G1960" s="39" t="str">
        <f>IF(Agent10_Withdrawals!A165="","",Agent10_Withdrawals!E165)</f>
        <v/>
      </c>
      <c r="H1960" s="39" t="str">
        <f>IF(Agent10_Withdrawals!A165="","",Agent10_Withdrawals!G165)</f>
        <v/>
      </c>
      <c r="I1960" s="37" t="str">
        <f>IF(Agent10_Withdrawals!A165="","",Agent10_Withdrawals!H165)</f>
        <v/>
      </c>
      <c r="J1960" s="37" t="str">
        <f>IF(Agent10_Withdrawals!A165="","",Agent10_Withdrawals!J165)</f>
        <v/>
      </c>
      <c r="K1960" s="37" t="str">
        <f>IF(Agent10_Withdrawals!A165="","",Agent10_Withdrawals!K165)</f>
        <v/>
      </c>
      <c r="L1960" s="37" t="str">
        <f>IF(G1960="","",IF(D1960-G1960&gt;=System_Config!$B$9,"✅ OK","⚠️ BREACH"))</f>
        <v/>
      </c>
      <c r="M1960" s="37" t="str">
        <f>IFERROR(IF(Agent10_Withdrawals!A165="","",YEAR(Agent10_Withdrawals!D165)),"")</f>
        <v/>
      </c>
    </row>
    <row r="1961" spans="1:13" ht="18" customHeight="1" x14ac:dyDescent="0.25">
      <c r="A1961" s="37" t="str">
        <f>IF(Agent10_Withdrawals!A166="","",Agent10_Withdrawals!A166)</f>
        <v/>
      </c>
      <c r="B1961" s="37" t="str">
        <f ca="1">IF(Agent10_Withdrawals!A166="","","WD"&amp;TEXT(1961-3,"0000")&amp;"-"&amp;TEXT(TODAY(),"YYYYMMDD"))</f>
        <v/>
      </c>
      <c r="C1961" s="37" t="str">
        <f>IF(Agent10_Withdrawals!A166="","",Agent10_Withdrawals!B166)</f>
        <v/>
      </c>
      <c r="D1961" s="40" t="str">
        <f>IF(Agent10_Withdrawals!A166="","",Agent10_Withdrawals!C166)</f>
        <v/>
      </c>
      <c r="E1961" s="38" t="str">
        <f>IF(Agent10_Withdrawals!A166="","",Agent10_Withdrawals!D166)</f>
        <v/>
      </c>
      <c r="F1961" s="37" t="str">
        <f>IF(Agent10_Withdrawals!A166="","",Agent10_Withdrawals!F166)</f>
        <v/>
      </c>
      <c r="G1961" s="39" t="str">
        <f>IF(Agent10_Withdrawals!A166="","",Agent10_Withdrawals!E166)</f>
        <v/>
      </c>
      <c r="H1961" s="39" t="str">
        <f>IF(Agent10_Withdrawals!A166="","",Agent10_Withdrawals!G166)</f>
        <v/>
      </c>
      <c r="I1961" s="37" t="str">
        <f>IF(Agent10_Withdrawals!A166="","",Agent10_Withdrawals!H166)</f>
        <v/>
      </c>
      <c r="J1961" s="37" t="str">
        <f>IF(Agent10_Withdrawals!A166="","",Agent10_Withdrawals!J166)</f>
        <v/>
      </c>
      <c r="K1961" s="37" t="str">
        <f>IF(Agent10_Withdrawals!A166="","",Agent10_Withdrawals!K166)</f>
        <v/>
      </c>
      <c r="L1961" s="37" t="str">
        <f>IF(G1961="","",IF(D1961-G1961&gt;=System_Config!$B$9,"✅ OK","⚠️ BREACH"))</f>
        <v/>
      </c>
      <c r="M1961" s="37" t="str">
        <f>IFERROR(IF(Agent10_Withdrawals!A166="","",YEAR(Agent10_Withdrawals!D166)),"")</f>
        <v/>
      </c>
    </row>
    <row r="1962" spans="1:13" ht="18" customHeight="1" x14ac:dyDescent="0.25">
      <c r="A1962" s="37" t="str">
        <f>IF(Agent10_Withdrawals!A167="","",Agent10_Withdrawals!A167)</f>
        <v/>
      </c>
      <c r="B1962" s="37" t="str">
        <f ca="1">IF(Agent10_Withdrawals!A167="","","WD"&amp;TEXT(1962-3,"0000")&amp;"-"&amp;TEXT(TODAY(),"YYYYMMDD"))</f>
        <v/>
      </c>
      <c r="C1962" s="37" t="str">
        <f>IF(Agent10_Withdrawals!A167="","",Agent10_Withdrawals!B167)</f>
        <v/>
      </c>
      <c r="D1962" s="40" t="str">
        <f>IF(Agent10_Withdrawals!A167="","",Agent10_Withdrawals!C167)</f>
        <v/>
      </c>
      <c r="E1962" s="38" t="str">
        <f>IF(Agent10_Withdrawals!A167="","",Agent10_Withdrawals!D167)</f>
        <v/>
      </c>
      <c r="F1962" s="37" t="str">
        <f>IF(Agent10_Withdrawals!A167="","",Agent10_Withdrawals!F167)</f>
        <v/>
      </c>
      <c r="G1962" s="39" t="str">
        <f>IF(Agent10_Withdrawals!A167="","",Agent10_Withdrawals!E167)</f>
        <v/>
      </c>
      <c r="H1962" s="39" t="str">
        <f>IF(Agent10_Withdrawals!A167="","",Agent10_Withdrawals!G167)</f>
        <v/>
      </c>
      <c r="I1962" s="37" t="str">
        <f>IF(Agent10_Withdrawals!A167="","",Agent10_Withdrawals!H167)</f>
        <v/>
      </c>
      <c r="J1962" s="37" t="str">
        <f>IF(Agent10_Withdrawals!A167="","",Agent10_Withdrawals!J167)</f>
        <v/>
      </c>
      <c r="K1962" s="37" t="str">
        <f>IF(Agent10_Withdrawals!A167="","",Agent10_Withdrawals!K167)</f>
        <v/>
      </c>
      <c r="L1962" s="37" t="str">
        <f>IF(G1962="","",IF(D1962-G1962&gt;=System_Config!$B$9,"✅ OK","⚠️ BREACH"))</f>
        <v/>
      </c>
      <c r="M1962" s="37" t="str">
        <f>IFERROR(IF(Agent10_Withdrawals!A167="","",YEAR(Agent10_Withdrawals!D167)),"")</f>
        <v/>
      </c>
    </row>
    <row r="1963" spans="1:13" ht="18" customHeight="1" x14ac:dyDescent="0.25">
      <c r="A1963" s="37" t="str">
        <f>IF(Agent10_Withdrawals!A168="","",Agent10_Withdrawals!A168)</f>
        <v/>
      </c>
      <c r="B1963" s="37" t="str">
        <f ca="1">IF(Agent10_Withdrawals!A168="","","WD"&amp;TEXT(1963-3,"0000")&amp;"-"&amp;TEXT(TODAY(),"YYYYMMDD"))</f>
        <v/>
      </c>
      <c r="C1963" s="37" t="str">
        <f>IF(Agent10_Withdrawals!A168="","",Agent10_Withdrawals!B168)</f>
        <v/>
      </c>
      <c r="D1963" s="40" t="str">
        <f>IF(Agent10_Withdrawals!A168="","",Agent10_Withdrawals!C168)</f>
        <v/>
      </c>
      <c r="E1963" s="38" t="str">
        <f>IF(Agent10_Withdrawals!A168="","",Agent10_Withdrawals!D168)</f>
        <v/>
      </c>
      <c r="F1963" s="37" t="str">
        <f>IF(Agent10_Withdrawals!A168="","",Agent10_Withdrawals!F168)</f>
        <v/>
      </c>
      <c r="G1963" s="39" t="str">
        <f>IF(Agent10_Withdrawals!A168="","",Agent10_Withdrawals!E168)</f>
        <v/>
      </c>
      <c r="H1963" s="39" t="str">
        <f>IF(Agent10_Withdrawals!A168="","",Agent10_Withdrawals!G168)</f>
        <v/>
      </c>
      <c r="I1963" s="37" t="str">
        <f>IF(Agent10_Withdrawals!A168="","",Agent10_Withdrawals!H168)</f>
        <v/>
      </c>
      <c r="J1963" s="37" t="str">
        <f>IF(Agent10_Withdrawals!A168="","",Agent10_Withdrawals!J168)</f>
        <v/>
      </c>
      <c r="K1963" s="37" t="str">
        <f>IF(Agent10_Withdrawals!A168="","",Agent10_Withdrawals!K168)</f>
        <v/>
      </c>
      <c r="L1963" s="37" t="str">
        <f>IF(G1963="","",IF(D1963-G1963&gt;=System_Config!$B$9,"✅ OK","⚠️ BREACH"))</f>
        <v/>
      </c>
      <c r="M1963" s="37" t="str">
        <f>IFERROR(IF(Agent10_Withdrawals!A168="","",YEAR(Agent10_Withdrawals!D168)),"")</f>
        <v/>
      </c>
    </row>
    <row r="1964" spans="1:13" ht="18" customHeight="1" x14ac:dyDescent="0.25">
      <c r="A1964" s="37" t="str">
        <f>IF(Agent10_Withdrawals!A169="","",Agent10_Withdrawals!A169)</f>
        <v/>
      </c>
      <c r="B1964" s="37" t="str">
        <f ca="1">IF(Agent10_Withdrawals!A169="","","WD"&amp;TEXT(1964-3,"0000")&amp;"-"&amp;TEXT(TODAY(),"YYYYMMDD"))</f>
        <v/>
      </c>
      <c r="C1964" s="37" t="str">
        <f>IF(Agent10_Withdrawals!A169="","",Agent10_Withdrawals!B169)</f>
        <v/>
      </c>
      <c r="D1964" s="40" t="str">
        <f>IF(Agent10_Withdrawals!A169="","",Agent10_Withdrawals!C169)</f>
        <v/>
      </c>
      <c r="E1964" s="38" t="str">
        <f>IF(Agent10_Withdrawals!A169="","",Agent10_Withdrawals!D169)</f>
        <v/>
      </c>
      <c r="F1964" s="37" t="str">
        <f>IF(Agent10_Withdrawals!A169="","",Agent10_Withdrawals!F169)</f>
        <v/>
      </c>
      <c r="G1964" s="39" t="str">
        <f>IF(Agent10_Withdrawals!A169="","",Agent10_Withdrawals!E169)</f>
        <v/>
      </c>
      <c r="H1964" s="39" t="str">
        <f>IF(Agent10_Withdrawals!A169="","",Agent10_Withdrawals!G169)</f>
        <v/>
      </c>
      <c r="I1964" s="37" t="str">
        <f>IF(Agent10_Withdrawals!A169="","",Agent10_Withdrawals!H169)</f>
        <v/>
      </c>
      <c r="J1964" s="37" t="str">
        <f>IF(Agent10_Withdrawals!A169="","",Agent10_Withdrawals!J169)</f>
        <v/>
      </c>
      <c r="K1964" s="37" t="str">
        <f>IF(Agent10_Withdrawals!A169="","",Agent10_Withdrawals!K169)</f>
        <v/>
      </c>
      <c r="L1964" s="37" t="str">
        <f>IF(G1964="","",IF(D1964-G1964&gt;=System_Config!$B$9,"✅ OK","⚠️ BREACH"))</f>
        <v/>
      </c>
      <c r="M1964" s="37" t="str">
        <f>IFERROR(IF(Agent10_Withdrawals!A169="","",YEAR(Agent10_Withdrawals!D169)),"")</f>
        <v/>
      </c>
    </row>
    <row r="1965" spans="1:13" ht="18" customHeight="1" x14ac:dyDescent="0.25">
      <c r="A1965" s="37" t="str">
        <f>IF(Agent10_Withdrawals!A170="","",Agent10_Withdrawals!A170)</f>
        <v/>
      </c>
      <c r="B1965" s="37" t="str">
        <f ca="1">IF(Agent10_Withdrawals!A170="","","WD"&amp;TEXT(1965-3,"0000")&amp;"-"&amp;TEXT(TODAY(),"YYYYMMDD"))</f>
        <v/>
      </c>
      <c r="C1965" s="37" t="str">
        <f>IF(Agent10_Withdrawals!A170="","",Agent10_Withdrawals!B170)</f>
        <v/>
      </c>
      <c r="D1965" s="40" t="str">
        <f>IF(Agent10_Withdrawals!A170="","",Agent10_Withdrawals!C170)</f>
        <v/>
      </c>
      <c r="E1965" s="38" t="str">
        <f>IF(Agent10_Withdrawals!A170="","",Agent10_Withdrawals!D170)</f>
        <v/>
      </c>
      <c r="F1965" s="37" t="str">
        <f>IF(Agent10_Withdrawals!A170="","",Agent10_Withdrawals!F170)</f>
        <v/>
      </c>
      <c r="G1965" s="39" t="str">
        <f>IF(Agent10_Withdrawals!A170="","",Agent10_Withdrawals!E170)</f>
        <v/>
      </c>
      <c r="H1965" s="39" t="str">
        <f>IF(Agent10_Withdrawals!A170="","",Agent10_Withdrawals!G170)</f>
        <v/>
      </c>
      <c r="I1965" s="37" t="str">
        <f>IF(Agent10_Withdrawals!A170="","",Agent10_Withdrawals!H170)</f>
        <v/>
      </c>
      <c r="J1965" s="37" t="str">
        <f>IF(Agent10_Withdrawals!A170="","",Agent10_Withdrawals!J170)</f>
        <v/>
      </c>
      <c r="K1965" s="37" t="str">
        <f>IF(Agent10_Withdrawals!A170="","",Agent10_Withdrawals!K170)</f>
        <v/>
      </c>
      <c r="L1965" s="37" t="str">
        <f>IF(G1965="","",IF(D1965-G1965&gt;=System_Config!$B$9,"✅ OK","⚠️ BREACH"))</f>
        <v/>
      </c>
      <c r="M1965" s="37" t="str">
        <f>IFERROR(IF(Agent10_Withdrawals!A170="","",YEAR(Agent10_Withdrawals!D170)),"")</f>
        <v/>
      </c>
    </row>
    <row r="1966" spans="1:13" ht="18" customHeight="1" x14ac:dyDescent="0.25">
      <c r="A1966" s="37" t="str">
        <f>IF(Agent10_Withdrawals!A171="","",Agent10_Withdrawals!A171)</f>
        <v/>
      </c>
      <c r="B1966" s="37" t="str">
        <f ca="1">IF(Agent10_Withdrawals!A171="","","WD"&amp;TEXT(1966-3,"0000")&amp;"-"&amp;TEXT(TODAY(),"YYYYMMDD"))</f>
        <v/>
      </c>
      <c r="C1966" s="37" t="str">
        <f>IF(Agent10_Withdrawals!A171="","",Agent10_Withdrawals!B171)</f>
        <v/>
      </c>
      <c r="D1966" s="40" t="str">
        <f>IF(Agent10_Withdrawals!A171="","",Agent10_Withdrawals!C171)</f>
        <v/>
      </c>
      <c r="E1966" s="38" t="str">
        <f>IF(Agent10_Withdrawals!A171="","",Agent10_Withdrawals!D171)</f>
        <v/>
      </c>
      <c r="F1966" s="37" t="str">
        <f>IF(Agent10_Withdrawals!A171="","",Agent10_Withdrawals!F171)</f>
        <v/>
      </c>
      <c r="G1966" s="39" t="str">
        <f>IF(Agent10_Withdrawals!A171="","",Agent10_Withdrawals!E171)</f>
        <v/>
      </c>
      <c r="H1966" s="39" t="str">
        <f>IF(Agent10_Withdrawals!A171="","",Agent10_Withdrawals!G171)</f>
        <v/>
      </c>
      <c r="I1966" s="37" t="str">
        <f>IF(Agent10_Withdrawals!A171="","",Agent10_Withdrawals!H171)</f>
        <v/>
      </c>
      <c r="J1966" s="37" t="str">
        <f>IF(Agent10_Withdrawals!A171="","",Agent10_Withdrawals!J171)</f>
        <v/>
      </c>
      <c r="K1966" s="37" t="str">
        <f>IF(Agent10_Withdrawals!A171="","",Agent10_Withdrawals!K171)</f>
        <v/>
      </c>
      <c r="L1966" s="37" t="str">
        <f>IF(G1966="","",IF(D1966-G1966&gt;=System_Config!$B$9,"✅ OK","⚠️ BREACH"))</f>
        <v/>
      </c>
      <c r="M1966" s="37" t="str">
        <f>IFERROR(IF(Agent10_Withdrawals!A171="","",YEAR(Agent10_Withdrawals!D171)),"")</f>
        <v/>
      </c>
    </row>
    <row r="1967" spans="1:13" ht="18" customHeight="1" x14ac:dyDescent="0.25">
      <c r="A1967" s="37" t="str">
        <f>IF(Agent10_Withdrawals!A172="","",Agent10_Withdrawals!A172)</f>
        <v/>
      </c>
      <c r="B1967" s="37" t="str">
        <f ca="1">IF(Agent10_Withdrawals!A172="","","WD"&amp;TEXT(1967-3,"0000")&amp;"-"&amp;TEXT(TODAY(),"YYYYMMDD"))</f>
        <v/>
      </c>
      <c r="C1967" s="37" t="str">
        <f>IF(Agent10_Withdrawals!A172="","",Agent10_Withdrawals!B172)</f>
        <v/>
      </c>
      <c r="D1967" s="40" t="str">
        <f>IF(Agent10_Withdrawals!A172="","",Agent10_Withdrawals!C172)</f>
        <v/>
      </c>
      <c r="E1967" s="38" t="str">
        <f>IF(Agent10_Withdrawals!A172="","",Agent10_Withdrawals!D172)</f>
        <v/>
      </c>
      <c r="F1967" s="37" t="str">
        <f>IF(Agent10_Withdrawals!A172="","",Agent10_Withdrawals!F172)</f>
        <v/>
      </c>
      <c r="G1967" s="39" t="str">
        <f>IF(Agent10_Withdrawals!A172="","",Agent10_Withdrawals!E172)</f>
        <v/>
      </c>
      <c r="H1967" s="39" t="str">
        <f>IF(Agent10_Withdrawals!A172="","",Agent10_Withdrawals!G172)</f>
        <v/>
      </c>
      <c r="I1967" s="37" t="str">
        <f>IF(Agent10_Withdrawals!A172="","",Agent10_Withdrawals!H172)</f>
        <v/>
      </c>
      <c r="J1967" s="37" t="str">
        <f>IF(Agent10_Withdrawals!A172="","",Agent10_Withdrawals!J172)</f>
        <v/>
      </c>
      <c r="K1967" s="37" t="str">
        <f>IF(Agent10_Withdrawals!A172="","",Agent10_Withdrawals!K172)</f>
        <v/>
      </c>
      <c r="L1967" s="37" t="str">
        <f>IF(G1967="","",IF(D1967-G1967&gt;=System_Config!$B$9,"✅ OK","⚠️ BREACH"))</f>
        <v/>
      </c>
      <c r="M1967" s="37" t="str">
        <f>IFERROR(IF(Agent10_Withdrawals!A172="","",YEAR(Agent10_Withdrawals!D172)),"")</f>
        <v/>
      </c>
    </row>
    <row r="1968" spans="1:13" ht="18" customHeight="1" x14ac:dyDescent="0.25">
      <c r="A1968" s="37" t="str">
        <f>IF(Agent10_Withdrawals!A173="","",Agent10_Withdrawals!A173)</f>
        <v/>
      </c>
      <c r="B1968" s="37" t="str">
        <f ca="1">IF(Agent10_Withdrawals!A173="","","WD"&amp;TEXT(1968-3,"0000")&amp;"-"&amp;TEXT(TODAY(),"YYYYMMDD"))</f>
        <v/>
      </c>
      <c r="C1968" s="37" t="str">
        <f>IF(Agent10_Withdrawals!A173="","",Agent10_Withdrawals!B173)</f>
        <v/>
      </c>
      <c r="D1968" s="40" t="str">
        <f>IF(Agent10_Withdrawals!A173="","",Agent10_Withdrawals!C173)</f>
        <v/>
      </c>
      <c r="E1968" s="38" t="str">
        <f>IF(Agent10_Withdrawals!A173="","",Agent10_Withdrawals!D173)</f>
        <v/>
      </c>
      <c r="F1968" s="37" t="str">
        <f>IF(Agent10_Withdrawals!A173="","",Agent10_Withdrawals!F173)</f>
        <v/>
      </c>
      <c r="G1968" s="39" t="str">
        <f>IF(Agent10_Withdrawals!A173="","",Agent10_Withdrawals!E173)</f>
        <v/>
      </c>
      <c r="H1968" s="39" t="str">
        <f>IF(Agent10_Withdrawals!A173="","",Agent10_Withdrawals!G173)</f>
        <v/>
      </c>
      <c r="I1968" s="37" t="str">
        <f>IF(Agent10_Withdrawals!A173="","",Agent10_Withdrawals!H173)</f>
        <v/>
      </c>
      <c r="J1968" s="37" t="str">
        <f>IF(Agent10_Withdrawals!A173="","",Agent10_Withdrawals!J173)</f>
        <v/>
      </c>
      <c r="K1968" s="37" t="str">
        <f>IF(Agent10_Withdrawals!A173="","",Agent10_Withdrawals!K173)</f>
        <v/>
      </c>
      <c r="L1968" s="37" t="str">
        <f>IF(G1968="","",IF(D1968-G1968&gt;=System_Config!$B$9,"✅ OK","⚠️ BREACH"))</f>
        <v/>
      </c>
      <c r="M1968" s="37" t="str">
        <f>IFERROR(IF(Agent10_Withdrawals!A173="","",YEAR(Agent10_Withdrawals!D173)),"")</f>
        <v/>
      </c>
    </row>
    <row r="1969" spans="1:13" ht="18" customHeight="1" x14ac:dyDescent="0.25">
      <c r="A1969" s="37" t="str">
        <f>IF(Agent10_Withdrawals!A174="","",Agent10_Withdrawals!A174)</f>
        <v/>
      </c>
      <c r="B1969" s="37" t="str">
        <f ca="1">IF(Agent10_Withdrawals!A174="","","WD"&amp;TEXT(1969-3,"0000")&amp;"-"&amp;TEXT(TODAY(),"YYYYMMDD"))</f>
        <v/>
      </c>
      <c r="C1969" s="37" t="str">
        <f>IF(Agent10_Withdrawals!A174="","",Agent10_Withdrawals!B174)</f>
        <v/>
      </c>
      <c r="D1969" s="40" t="str">
        <f>IF(Agent10_Withdrawals!A174="","",Agent10_Withdrawals!C174)</f>
        <v/>
      </c>
      <c r="E1969" s="38" t="str">
        <f>IF(Agent10_Withdrawals!A174="","",Agent10_Withdrawals!D174)</f>
        <v/>
      </c>
      <c r="F1969" s="37" t="str">
        <f>IF(Agent10_Withdrawals!A174="","",Agent10_Withdrawals!F174)</f>
        <v/>
      </c>
      <c r="G1969" s="39" t="str">
        <f>IF(Agent10_Withdrawals!A174="","",Agent10_Withdrawals!E174)</f>
        <v/>
      </c>
      <c r="H1969" s="39" t="str">
        <f>IF(Agent10_Withdrawals!A174="","",Agent10_Withdrawals!G174)</f>
        <v/>
      </c>
      <c r="I1969" s="37" t="str">
        <f>IF(Agent10_Withdrawals!A174="","",Agent10_Withdrawals!H174)</f>
        <v/>
      </c>
      <c r="J1969" s="37" t="str">
        <f>IF(Agent10_Withdrawals!A174="","",Agent10_Withdrawals!J174)</f>
        <v/>
      </c>
      <c r="K1969" s="37" t="str">
        <f>IF(Agent10_Withdrawals!A174="","",Agent10_Withdrawals!K174)</f>
        <v/>
      </c>
      <c r="L1969" s="37" t="str">
        <f>IF(G1969="","",IF(D1969-G1969&gt;=System_Config!$B$9,"✅ OK","⚠️ BREACH"))</f>
        <v/>
      </c>
      <c r="M1969" s="37" t="str">
        <f>IFERROR(IF(Agent10_Withdrawals!A174="","",YEAR(Agent10_Withdrawals!D174)),"")</f>
        <v/>
      </c>
    </row>
    <row r="1970" spans="1:13" ht="18" customHeight="1" x14ac:dyDescent="0.25">
      <c r="A1970" s="37" t="str">
        <f>IF(Agent10_Withdrawals!A175="","",Agent10_Withdrawals!A175)</f>
        <v/>
      </c>
      <c r="B1970" s="37" t="str">
        <f ca="1">IF(Agent10_Withdrawals!A175="","","WD"&amp;TEXT(1970-3,"0000")&amp;"-"&amp;TEXT(TODAY(),"YYYYMMDD"))</f>
        <v/>
      </c>
      <c r="C1970" s="37" t="str">
        <f>IF(Agent10_Withdrawals!A175="","",Agent10_Withdrawals!B175)</f>
        <v/>
      </c>
      <c r="D1970" s="40" t="str">
        <f>IF(Agent10_Withdrawals!A175="","",Agent10_Withdrawals!C175)</f>
        <v/>
      </c>
      <c r="E1970" s="38" t="str">
        <f>IF(Agent10_Withdrawals!A175="","",Agent10_Withdrawals!D175)</f>
        <v/>
      </c>
      <c r="F1970" s="37" t="str">
        <f>IF(Agent10_Withdrawals!A175="","",Agent10_Withdrawals!F175)</f>
        <v/>
      </c>
      <c r="G1970" s="39" t="str">
        <f>IF(Agent10_Withdrawals!A175="","",Agent10_Withdrawals!E175)</f>
        <v/>
      </c>
      <c r="H1970" s="39" t="str">
        <f>IF(Agent10_Withdrawals!A175="","",Agent10_Withdrawals!G175)</f>
        <v/>
      </c>
      <c r="I1970" s="37" t="str">
        <f>IF(Agent10_Withdrawals!A175="","",Agent10_Withdrawals!H175)</f>
        <v/>
      </c>
      <c r="J1970" s="37" t="str">
        <f>IF(Agent10_Withdrawals!A175="","",Agent10_Withdrawals!J175)</f>
        <v/>
      </c>
      <c r="K1970" s="37" t="str">
        <f>IF(Agent10_Withdrawals!A175="","",Agent10_Withdrawals!K175)</f>
        <v/>
      </c>
      <c r="L1970" s="37" t="str">
        <f>IF(G1970="","",IF(D1970-G1970&gt;=System_Config!$B$9,"✅ OK","⚠️ BREACH"))</f>
        <v/>
      </c>
      <c r="M1970" s="37" t="str">
        <f>IFERROR(IF(Agent10_Withdrawals!A175="","",YEAR(Agent10_Withdrawals!D175)),"")</f>
        <v/>
      </c>
    </row>
    <row r="1971" spans="1:13" ht="18" customHeight="1" x14ac:dyDescent="0.25">
      <c r="A1971" s="37" t="str">
        <f>IF(Agent10_Withdrawals!A176="","",Agent10_Withdrawals!A176)</f>
        <v/>
      </c>
      <c r="B1971" s="37" t="str">
        <f ca="1">IF(Agent10_Withdrawals!A176="","","WD"&amp;TEXT(1971-3,"0000")&amp;"-"&amp;TEXT(TODAY(),"YYYYMMDD"))</f>
        <v/>
      </c>
      <c r="C1971" s="37" t="str">
        <f>IF(Agent10_Withdrawals!A176="","",Agent10_Withdrawals!B176)</f>
        <v/>
      </c>
      <c r="D1971" s="40" t="str">
        <f>IF(Agent10_Withdrawals!A176="","",Agent10_Withdrawals!C176)</f>
        <v/>
      </c>
      <c r="E1971" s="38" t="str">
        <f>IF(Agent10_Withdrawals!A176="","",Agent10_Withdrawals!D176)</f>
        <v/>
      </c>
      <c r="F1971" s="37" t="str">
        <f>IF(Agent10_Withdrawals!A176="","",Agent10_Withdrawals!F176)</f>
        <v/>
      </c>
      <c r="G1971" s="39" t="str">
        <f>IF(Agent10_Withdrawals!A176="","",Agent10_Withdrawals!E176)</f>
        <v/>
      </c>
      <c r="H1971" s="39" t="str">
        <f>IF(Agent10_Withdrawals!A176="","",Agent10_Withdrawals!G176)</f>
        <v/>
      </c>
      <c r="I1971" s="37" t="str">
        <f>IF(Agent10_Withdrawals!A176="","",Agent10_Withdrawals!H176)</f>
        <v/>
      </c>
      <c r="J1971" s="37" t="str">
        <f>IF(Agent10_Withdrawals!A176="","",Agent10_Withdrawals!J176)</f>
        <v/>
      </c>
      <c r="K1971" s="37" t="str">
        <f>IF(Agent10_Withdrawals!A176="","",Agent10_Withdrawals!K176)</f>
        <v/>
      </c>
      <c r="L1971" s="37" t="str">
        <f>IF(G1971="","",IF(D1971-G1971&gt;=System_Config!$B$9,"✅ OK","⚠️ BREACH"))</f>
        <v/>
      </c>
      <c r="M1971" s="37" t="str">
        <f>IFERROR(IF(Agent10_Withdrawals!A176="","",YEAR(Agent10_Withdrawals!D176)),"")</f>
        <v/>
      </c>
    </row>
    <row r="1972" spans="1:13" ht="18" customHeight="1" x14ac:dyDescent="0.25">
      <c r="A1972" s="37" t="str">
        <f>IF(Agent10_Withdrawals!A177="","",Agent10_Withdrawals!A177)</f>
        <v/>
      </c>
      <c r="B1972" s="37" t="str">
        <f ca="1">IF(Agent10_Withdrawals!A177="","","WD"&amp;TEXT(1972-3,"0000")&amp;"-"&amp;TEXT(TODAY(),"YYYYMMDD"))</f>
        <v/>
      </c>
      <c r="C1972" s="37" t="str">
        <f>IF(Agent10_Withdrawals!A177="","",Agent10_Withdrawals!B177)</f>
        <v/>
      </c>
      <c r="D1972" s="40" t="str">
        <f>IF(Agent10_Withdrawals!A177="","",Agent10_Withdrawals!C177)</f>
        <v/>
      </c>
      <c r="E1972" s="38" t="str">
        <f>IF(Agent10_Withdrawals!A177="","",Agent10_Withdrawals!D177)</f>
        <v/>
      </c>
      <c r="F1972" s="37" t="str">
        <f>IF(Agent10_Withdrawals!A177="","",Agent10_Withdrawals!F177)</f>
        <v/>
      </c>
      <c r="G1972" s="39" t="str">
        <f>IF(Agent10_Withdrawals!A177="","",Agent10_Withdrawals!E177)</f>
        <v/>
      </c>
      <c r="H1972" s="39" t="str">
        <f>IF(Agent10_Withdrawals!A177="","",Agent10_Withdrawals!G177)</f>
        <v/>
      </c>
      <c r="I1972" s="37" t="str">
        <f>IF(Agent10_Withdrawals!A177="","",Agent10_Withdrawals!H177)</f>
        <v/>
      </c>
      <c r="J1972" s="37" t="str">
        <f>IF(Agent10_Withdrawals!A177="","",Agent10_Withdrawals!J177)</f>
        <v/>
      </c>
      <c r="K1972" s="37" t="str">
        <f>IF(Agent10_Withdrawals!A177="","",Agent10_Withdrawals!K177)</f>
        <v/>
      </c>
      <c r="L1972" s="37" t="str">
        <f>IF(G1972="","",IF(D1972-G1972&gt;=System_Config!$B$9,"✅ OK","⚠️ BREACH"))</f>
        <v/>
      </c>
      <c r="M1972" s="37" t="str">
        <f>IFERROR(IF(Agent10_Withdrawals!A177="","",YEAR(Agent10_Withdrawals!D177)),"")</f>
        <v/>
      </c>
    </row>
    <row r="1973" spans="1:13" ht="18" customHeight="1" x14ac:dyDescent="0.25">
      <c r="A1973" s="37" t="str">
        <f>IF(Agent10_Withdrawals!A178="","",Agent10_Withdrawals!A178)</f>
        <v/>
      </c>
      <c r="B1973" s="37" t="str">
        <f ca="1">IF(Agent10_Withdrawals!A178="","","WD"&amp;TEXT(1973-3,"0000")&amp;"-"&amp;TEXT(TODAY(),"YYYYMMDD"))</f>
        <v/>
      </c>
      <c r="C1973" s="37" t="str">
        <f>IF(Agent10_Withdrawals!A178="","",Agent10_Withdrawals!B178)</f>
        <v/>
      </c>
      <c r="D1973" s="40" t="str">
        <f>IF(Agent10_Withdrawals!A178="","",Agent10_Withdrawals!C178)</f>
        <v/>
      </c>
      <c r="E1973" s="38" t="str">
        <f>IF(Agent10_Withdrawals!A178="","",Agent10_Withdrawals!D178)</f>
        <v/>
      </c>
      <c r="F1973" s="37" t="str">
        <f>IF(Agent10_Withdrawals!A178="","",Agent10_Withdrawals!F178)</f>
        <v/>
      </c>
      <c r="G1973" s="39" t="str">
        <f>IF(Agent10_Withdrawals!A178="","",Agent10_Withdrawals!E178)</f>
        <v/>
      </c>
      <c r="H1973" s="39" t="str">
        <f>IF(Agent10_Withdrawals!A178="","",Agent10_Withdrawals!G178)</f>
        <v/>
      </c>
      <c r="I1973" s="37" t="str">
        <f>IF(Agent10_Withdrawals!A178="","",Agent10_Withdrawals!H178)</f>
        <v/>
      </c>
      <c r="J1973" s="37" t="str">
        <f>IF(Agent10_Withdrawals!A178="","",Agent10_Withdrawals!J178)</f>
        <v/>
      </c>
      <c r="K1973" s="37" t="str">
        <f>IF(Agent10_Withdrawals!A178="","",Agent10_Withdrawals!K178)</f>
        <v/>
      </c>
      <c r="L1973" s="37" t="str">
        <f>IF(G1973="","",IF(D1973-G1973&gt;=System_Config!$B$9,"✅ OK","⚠️ BREACH"))</f>
        <v/>
      </c>
      <c r="M1973" s="37" t="str">
        <f>IFERROR(IF(Agent10_Withdrawals!A178="","",YEAR(Agent10_Withdrawals!D178)),"")</f>
        <v/>
      </c>
    </row>
    <row r="1974" spans="1:13" ht="18" customHeight="1" x14ac:dyDescent="0.25">
      <c r="A1974" s="37" t="str">
        <f>IF(Agent10_Withdrawals!A179="","",Agent10_Withdrawals!A179)</f>
        <v/>
      </c>
      <c r="B1974" s="37" t="str">
        <f ca="1">IF(Agent10_Withdrawals!A179="","","WD"&amp;TEXT(1974-3,"0000")&amp;"-"&amp;TEXT(TODAY(),"YYYYMMDD"))</f>
        <v/>
      </c>
      <c r="C1974" s="37" t="str">
        <f>IF(Agent10_Withdrawals!A179="","",Agent10_Withdrawals!B179)</f>
        <v/>
      </c>
      <c r="D1974" s="40" t="str">
        <f>IF(Agent10_Withdrawals!A179="","",Agent10_Withdrawals!C179)</f>
        <v/>
      </c>
      <c r="E1974" s="38" t="str">
        <f>IF(Agent10_Withdrawals!A179="","",Agent10_Withdrawals!D179)</f>
        <v/>
      </c>
      <c r="F1974" s="37" t="str">
        <f>IF(Agent10_Withdrawals!A179="","",Agent10_Withdrawals!F179)</f>
        <v/>
      </c>
      <c r="G1974" s="39" t="str">
        <f>IF(Agent10_Withdrawals!A179="","",Agent10_Withdrawals!E179)</f>
        <v/>
      </c>
      <c r="H1974" s="39" t="str">
        <f>IF(Agent10_Withdrawals!A179="","",Agent10_Withdrawals!G179)</f>
        <v/>
      </c>
      <c r="I1974" s="37" t="str">
        <f>IF(Agent10_Withdrawals!A179="","",Agent10_Withdrawals!H179)</f>
        <v/>
      </c>
      <c r="J1974" s="37" t="str">
        <f>IF(Agent10_Withdrawals!A179="","",Agent10_Withdrawals!J179)</f>
        <v/>
      </c>
      <c r="K1974" s="37" t="str">
        <f>IF(Agent10_Withdrawals!A179="","",Agent10_Withdrawals!K179)</f>
        <v/>
      </c>
      <c r="L1974" s="37" t="str">
        <f>IF(G1974="","",IF(D1974-G1974&gt;=System_Config!$B$9,"✅ OK","⚠️ BREACH"))</f>
        <v/>
      </c>
      <c r="M1974" s="37" t="str">
        <f>IFERROR(IF(Agent10_Withdrawals!A179="","",YEAR(Agent10_Withdrawals!D179)),"")</f>
        <v/>
      </c>
    </row>
    <row r="1975" spans="1:13" ht="18" customHeight="1" x14ac:dyDescent="0.25">
      <c r="A1975" s="37" t="str">
        <f>IF(Agent10_Withdrawals!A180="","",Agent10_Withdrawals!A180)</f>
        <v/>
      </c>
      <c r="B1975" s="37" t="str">
        <f ca="1">IF(Agent10_Withdrawals!A180="","","WD"&amp;TEXT(1975-3,"0000")&amp;"-"&amp;TEXT(TODAY(),"YYYYMMDD"))</f>
        <v/>
      </c>
      <c r="C1975" s="37" t="str">
        <f>IF(Agent10_Withdrawals!A180="","",Agent10_Withdrawals!B180)</f>
        <v/>
      </c>
      <c r="D1975" s="40" t="str">
        <f>IF(Agent10_Withdrawals!A180="","",Agent10_Withdrawals!C180)</f>
        <v/>
      </c>
      <c r="E1975" s="38" t="str">
        <f>IF(Agent10_Withdrawals!A180="","",Agent10_Withdrawals!D180)</f>
        <v/>
      </c>
      <c r="F1975" s="37" t="str">
        <f>IF(Agent10_Withdrawals!A180="","",Agent10_Withdrawals!F180)</f>
        <v/>
      </c>
      <c r="G1975" s="39" t="str">
        <f>IF(Agent10_Withdrawals!A180="","",Agent10_Withdrawals!E180)</f>
        <v/>
      </c>
      <c r="H1975" s="39" t="str">
        <f>IF(Agent10_Withdrawals!A180="","",Agent10_Withdrawals!G180)</f>
        <v/>
      </c>
      <c r="I1975" s="37" t="str">
        <f>IF(Agent10_Withdrawals!A180="","",Agent10_Withdrawals!H180)</f>
        <v/>
      </c>
      <c r="J1975" s="37" t="str">
        <f>IF(Agent10_Withdrawals!A180="","",Agent10_Withdrawals!J180)</f>
        <v/>
      </c>
      <c r="K1975" s="37" t="str">
        <f>IF(Agent10_Withdrawals!A180="","",Agent10_Withdrawals!K180)</f>
        <v/>
      </c>
      <c r="L1975" s="37" t="str">
        <f>IF(G1975="","",IF(D1975-G1975&gt;=System_Config!$B$9,"✅ OK","⚠️ BREACH"))</f>
        <v/>
      </c>
      <c r="M1975" s="37" t="str">
        <f>IFERROR(IF(Agent10_Withdrawals!A180="","",YEAR(Agent10_Withdrawals!D180)),"")</f>
        <v/>
      </c>
    </row>
    <row r="1976" spans="1:13" ht="18" customHeight="1" x14ac:dyDescent="0.25">
      <c r="A1976" s="37" t="str">
        <f>IF(Agent10_Withdrawals!A181="","",Agent10_Withdrawals!A181)</f>
        <v/>
      </c>
      <c r="B1976" s="37" t="str">
        <f ca="1">IF(Agent10_Withdrawals!A181="","","WD"&amp;TEXT(1976-3,"0000")&amp;"-"&amp;TEXT(TODAY(),"YYYYMMDD"))</f>
        <v/>
      </c>
      <c r="C1976" s="37" t="str">
        <f>IF(Agent10_Withdrawals!A181="","",Agent10_Withdrawals!B181)</f>
        <v/>
      </c>
      <c r="D1976" s="40" t="str">
        <f>IF(Agent10_Withdrawals!A181="","",Agent10_Withdrawals!C181)</f>
        <v/>
      </c>
      <c r="E1976" s="38" t="str">
        <f>IF(Agent10_Withdrawals!A181="","",Agent10_Withdrawals!D181)</f>
        <v/>
      </c>
      <c r="F1976" s="37" t="str">
        <f>IF(Agent10_Withdrawals!A181="","",Agent10_Withdrawals!F181)</f>
        <v/>
      </c>
      <c r="G1976" s="39" t="str">
        <f>IF(Agent10_Withdrawals!A181="","",Agent10_Withdrawals!E181)</f>
        <v/>
      </c>
      <c r="H1976" s="39" t="str">
        <f>IF(Agent10_Withdrawals!A181="","",Agent10_Withdrawals!G181)</f>
        <v/>
      </c>
      <c r="I1976" s="37" t="str">
        <f>IF(Agent10_Withdrawals!A181="","",Agent10_Withdrawals!H181)</f>
        <v/>
      </c>
      <c r="J1976" s="37" t="str">
        <f>IF(Agent10_Withdrawals!A181="","",Agent10_Withdrawals!J181)</f>
        <v/>
      </c>
      <c r="K1976" s="37" t="str">
        <f>IF(Agent10_Withdrawals!A181="","",Agent10_Withdrawals!K181)</f>
        <v/>
      </c>
      <c r="L1976" s="37" t="str">
        <f>IF(G1976="","",IF(D1976-G1976&gt;=System_Config!$B$9,"✅ OK","⚠️ BREACH"))</f>
        <v/>
      </c>
      <c r="M1976" s="37" t="str">
        <f>IFERROR(IF(Agent10_Withdrawals!A181="","",YEAR(Agent10_Withdrawals!D181)),"")</f>
        <v/>
      </c>
    </row>
    <row r="1977" spans="1:13" ht="18" customHeight="1" x14ac:dyDescent="0.25">
      <c r="A1977" s="37" t="str">
        <f>IF(Agent10_Withdrawals!A182="","",Agent10_Withdrawals!A182)</f>
        <v/>
      </c>
      <c r="B1977" s="37" t="str">
        <f ca="1">IF(Agent10_Withdrawals!A182="","","WD"&amp;TEXT(1977-3,"0000")&amp;"-"&amp;TEXT(TODAY(),"YYYYMMDD"))</f>
        <v/>
      </c>
      <c r="C1977" s="37" t="str">
        <f>IF(Agent10_Withdrawals!A182="","",Agent10_Withdrawals!B182)</f>
        <v/>
      </c>
      <c r="D1977" s="40" t="str">
        <f>IF(Agent10_Withdrawals!A182="","",Agent10_Withdrawals!C182)</f>
        <v/>
      </c>
      <c r="E1977" s="38" t="str">
        <f>IF(Agent10_Withdrawals!A182="","",Agent10_Withdrawals!D182)</f>
        <v/>
      </c>
      <c r="F1977" s="37" t="str">
        <f>IF(Agent10_Withdrawals!A182="","",Agent10_Withdrawals!F182)</f>
        <v/>
      </c>
      <c r="G1977" s="39" t="str">
        <f>IF(Agent10_Withdrawals!A182="","",Agent10_Withdrawals!E182)</f>
        <v/>
      </c>
      <c r="H1977" s="39" t="str">
        <f>IF(Agent10_Withdrawals!A182="","",Agent10_Withdrawals!G182)</f>
        <v/>
      </c>
      <c r="I1977" s="37" t="str">
        <f>IF(Agent10_Withdrawals!A182="","",Agent10_Withdrawals!H182)</f>
        <v/>
      </c>
      <c r="J1977" s="37" t="str">
        <f>IF(Agent10_Withdrawals!A182="","",Agent10_Withdrawals!J182)</f>
        <v/>
      </c>
      <c r="K1977" s="37" t="str">
        <f>IF(Agent10_Withdrawals!A182="","",Agent10_Withdrawals!K182)</f>
        <v/>
      </c>
      <c r="L1977" s="37" t="str">
        <f>IF(G1977="","",IF(D1977-G1977&gt;=System_Config!$B$9,"✅ OK","⚠️ BREACH"))</f>
        <v/>
      </c>
      <c r="M1977" s="37" t="str">
        <f>IFERROR(IF(Agent10_Withdrawals!A182="","",YEAR(Agent10_Withdrawals!D182)),"")</f>
        <v/>
      </c>
    </row>
    <row r="1978" spans="1:13" ht="18" customHeight="1" x14ac:dyDescent="0.25">
      <c r="A1978" s="37" t="str">
        <f>IF(Agent10_Withdrawals!A183="","",Agent10_Withdrawals!A183)</f>
        <v/>
      </c>
      <c r="B1978" s="37" t="str">
        <f ca="1">IF(Agent10_Withdrawals!A183="","","WD"&amp;TEXT(1978-3,"0000")&amp;"-"&amp;TEXT(TODAY(),"YYYYMMDD"))</f>
        <v/>
      </c>
      <c r="C1978" s="37" t="str">
        <f>IF(Agent10_Withdrawals!A183="","",Agent10_Withdrawals!B183)</f>
        <v/>
      </c>
      <c r="D1978" s="40" t="str">
        <f>IF(Agent10_Withdrawals!A183="","",Agent10_Withdrawals!C183)</f>
        <v/>
      </c>
      <c r="E1978" s="38" t="str">
        <f>IF(Agent10_Withdrawals!A183="","",Agent10_Withdrawals!D183)</f>
        <v/>
      </c>
      <c r="F1978" s="37" t="str">
        <f>IF(Agent10_Withdrawals!A183="","",Agent10_Withdrawals!F183)</f>
        <v/>
      </c>
      <c r="G1978" s="39" t="str">
        <f>IF(Agent10_Withdrawals!A183="","",Agent10_Withdrawals!E183)</f>
        <v/>
      </c>
      <c r="H1978" s="39" t="str">
        <f>IF(Agent10_Withdrawals!A183="","",Agent10_Withdrawals!G183)</f>
        <v/>
      </c>
      <c r="I1978" s="37" t="str">
        <f>IF(Agent10_Withdrawals!A183="","",Agent10_Withdrawals!H183)</f>
        <v/>
      </c>
      <c r="J1978" s="37" t="str">
        <f>IF(Agent10_Withdrawals!A183="","",Agent10_Withdrawals!J183)</f>
        <v/>
      </c>
      <c r="K1978" s="37" t="str">
        <f>IF(Agent10_Withdrawals!A183="","",Agent10_Withdrawals!K183)</f>
        <v/>
      </c>
      <c r="L1978" s="37" t="str">
        <f>IF(G1978="","",IF(D1978-G1978&gt;=System_Config!$B$9,"✅ OK","⚠️ BREACH"))</f>
        <v/>
      </c>
      <c r="M1978" s="37" t="str">
        <f>IFERROR(IF(Agent10_Withdrawals!A183="","",YEAR(Agent10_Withdrawals!D183)),"")</f>
        <v/>
      </c>
    </row>
    <row r="1979" spans="1:13" ht="18" customHeight="1" x14ac:dyDescent="0.25">
      <c r="A1979" s="37" t="str">
        <f>IF(Agent10_Withdrawals!A184="","",Agent10_Withdrawals!A184)</f>
        <v/>
      </c>
      <c r="B1979" s="37" t="str">
        <f ca="1">IF(Agent10_Withdrawals!A184="","","WD"&amp;TEXT(1979-3,"0000")&amp;"-"&amp;TEXT(TODAY(),"YYYYMMDD"))</f>
        <v/>
      </c>
      <c r="C1979" s="37" t="str">
        <f>IF(Agent10_Withdrawals!A184="","",Agent10_Withdrawals!B184)</f>
        <v/>
      </c>
      <c r="D1979" s="40" t="str">
        <f>IF(Agent10_Withdrawals!A184="","",Agent10_Withdrawals!C184)</f>
        <v/>
      </c>
      <c r="E1979" s="38" t="str">
        <f>IF(Agent10_Withdrawals!A184="","",Agent10_Withdrawals!D184)</f>
        <v/>
      </c>
      <c r="F1979" s="37" t="str">
        <f>IF(Agent10_Withdrawals!A184="","",Agent10_Withdrawals!F184)</f>
        <v/>
      </c>
      <c r="G1979" s="39" t="str">
        <f>IF(Agent10_Withdrawals!A184="","",Agent10_Withdrawals!E184)</f>
        <v/>
      </c>
      <c r="H1979" s="39" t="str">
        <f>IF(Agent10_Withdrawals!A184="","",Agent10_Withdrawals!G184)</f>
        <v/>
      </c>
      <c r="I1979" s="37" t="str">
        <f>IF(Agent10_Withdrawals!A184="","",Agent10_Withdrawals!H184)</f>
        <v/>
      </c>
      <c r="J1979" s="37" t="str">
        <f>IF(Agent10_Withdrawals!A184="","",Agent10_Withdrawals!J184)</f>
        <v/>
      </c>
      <c r="K1979" s="37" t="str">
        <f>IF(Agent10_Withdrawals!A184="","",Agent10_Withdrawals!K184)</f>
        <v/>
      </c>
      <c r="L1979" s="37" t="str">
        <f>IF(G1979="","",IF(D1979-G1979&gt;=System_Config!$B$9,"✅ OK","⚠️ BREACH"))</f>
        <v/>
      </c>
      <c r="M1979" s="37" t="str">
        <f>IFERROR(IF(Agent10_Withdrawals!A184="","",YEAR(Agent10_Withdrawals!D184)),"")</f>
        <v/>
      </c>
    </row>
    <row r="1980" spans="1:13" ht="18" customHeight="1" x14ac:dyDescent="0.25">
      <c r="A1980" s="37" t="str">
        <f>IF(Agent10_Withdrawals!A185="","",Agent10_Withdrawals!A185)</f>
        <v/>
      </c>
      <c r="B1980" s="37" t="str">
        <f ca="1">IF(Agent10_Withdrawals!A185="","","WD"&amp;TEXT(1980-3,"0000")&amp;"-"&amp;TEXT(TODAY(),"YYYYMMDD"))</f>
        <v/>
      </c>
      <c r="C1980" s="37" t="str">
        <f>IF(Agent10_Withdrawals!A185="","",Agent10_Withdrawals!B185)</f>
        <v/>
      </c>
      <c r="D1980" s="40" t="str">
        <f>IF(Agent10_Withdrawals!A185="","",Agent10_Withdrawals!C185)</f>
        <v/>
      </c>
      <c r="E1980" s="38" t="str">
        <f>IF(Agent10_Withdrawals!A185="","",Agent10_Withdrawals!D185)</f>
        <v/>
      </c>
      <c r="F1980" s="37" t="str">
        <f>IF(Agent10_Withdrawals!A185="","",Agent10_Withdrawals!F185)</f>
        <v/>
      </c>
      <c r="G1980" s="39" t="str">
        <f>IF(Agent10_Withdrawals!A185="","",Agent10_Withdrawals!E185)</f>
        <v/>
      </c>
      <c r="H1980" s="39" t="str">
        <f>IF(Agent10_Withdrawals!A185="","",Agent10_Withdrawals!G185)</f>
        <v/>
      </c>
      <c r="I1980" s="37" t="str">
        <f>IF(Agent10_Withdrawals!A185="","",Agent10_Withdrawals!H185)</f>
        <v/>
      </c>
      <c r="J1980" s="37" t="str">
        <f>IF(Agent10_Withdrawals!A185="","",Agent10_Withdrawals!J185)</f>
        <v/>
      </c>
      <c r="K1980" s="37" t="str">
        <f>IF(Agent10_Withdrawals!A185="","",Agent10_Withdrawals!K185)</f>
        <v/>
      </c>
      <c r="L1980" s="37" t="str">
        <f>IF(G1980="","",IF(D1980-G1980&gt;=System_Config!$B$9,"✅ OK","⚠️ BREACH"))</f>
        <v/>
      </c>
      <c r="M1980" s="37" t="str">
        <f>IFERROR(IF(Agent10_Withdrawals!A185="","",YEAR(Agent10_Withdrawals!D185)),"")</f>
        <v/>
      </c>
    </row>
    <row r="1981" spans="1:13" ht="18" customHeight="1" x14ac:dyDescent="0.25">
      <c r="A1981" s="37" t="str">
        <f>IF(Agent10_Withdrawals!A186="","",Agent10_Withdrawals!A186)</f>
        <v/>
      </c>
      <c r="B1981" s="37" t="str">
        <f ca="1">IF(Agent10_Withdrawals!A186="","","WD"&amp;TEXT(1981-3,"0000")&amp;"-"&amp;TEXT(TODAY(),"YYYYMMDD"))</f>
        <v/>
      </c>
      <c r="C1981" s="37" t="str">
        <f>IF(Agent10_Withdrawals!A186="","",Agent10_Withdrawals!B186)</f>
        <v/>
      </c>
      <c r="D1981" s="40" t="str">
        <f>IF(Agent10_Withdrawals!A186="","",Agent10_Withdrawals!C186)</f>
        <v/>
      </c>
      <c r="E1981" s="38" t="str">
        <f>IF(Agent10_Withdrawals!A186="","",Agent10_Withdrawals!D186)</f>
        <v/>
      </c>
      <c r="F1981" s="37" t="str">
        <f>IF(Agent10_Withdrawals!A186="","",Agent10_Withdrawals!F186)</f>
        <v/>
      </c>
      <c r="G1981" s="39" t="str">
        <f>IF(Agent10_Withdrawals!A186="","",Agent10_Withdrawals!E186)</f>
        <v/>
      </c>
      <c r="H1981" s="39" t="str">
        <f>IF(Agent10_Withdrawals!A186="","",Agent10_Withdrawals!G186)</f>
        <v/>
      </c>
      <c r="I1981" s="37" t="str">
        <f>IF(Agent10_Withdrawals!A186="","",Agent10_Withdrawals!H186)</f>
        <v/>
      </c>
      <c r="J1981" s="37" t="str">
        <f>IF(Agent10_Withdrawals!A186="","",Agent10_Withdrawals!J186)</f>
        <v/>
      </c>
      <c r="K1981" s="37" t="str">
        <f>IF(Agent10_Withdrawals!A186="","",Agent10_Withdrawals!K186)</f>
        <v/>
      </c>
      <c r="L1981" s="37" t="str">
        <f>IF(G1981="","",IF(D1981-G1981&gt;=System_Config!$B$9,"✅ OK","⚠️ BREACH"))</f>
        <v/>
      </c>
      <c r="M1981" s="37" t="str">
        <f>IFERROR(IF(Agent10_Withdrawals!A186="","",YEAR(Agent10_Withdrawals!D186)),"")</f>
        <v/>
      </c>
    </row>
    <row r="1982" spans="1:13" ht="18" customHeight="1" x14ac:dyDescent="0.25">
      <c r="A1982" s="37" t="str">
        <f>IF(Agent10_Withdrawals!A187="","",Agent10_Withdrawals!A187)</f>
        <v/>
      </c>
      <c r="B1982" s="37" t="str">
        <f ca="1">IF(Agent10_Withdrawals!A187="","","WD"&amp;TEXT(1982-3,"0000")&amp;"-"&amp;TEXT(TODAY(),"YYYYMMDD"))</f>
        <v/>
      </c>
      <c r="C1982" s="37" t="str">
        <f>IF(Agent10_Withdrawals!A187="","",Agent10_Withdrawals!B187)</f>
        <v/>
      </c>
      <c r="D1982" s="40" t="str">
        <f>IF(Agent10_Withdrawals!A187="","",Agent10_Withdrawals!C187)</f>
        <v/>
      </c>
      <c r="E1982" s="38" t="str">
        <f>IF(Agent10_Withdrawals!A187="","",Agent10_Withdrawals!D187)</f>
        <v/>
      </c>
      <c r="F1982" s="37" t="str">
        <f>IF(Agent10_Withdrawals!A187="","",Agent10_Withdrawals!F187)</f>
        <v/>
      </c>
      <c r="G1982" s="39" t="str">
        <f>IF(Agent10_Withdrawals!A187="","",Agent10_Withdrawals!E187)</f>
        <v/>
      </c>
      <c r="H1982" s="39" t="str">
        <f>IF(Agent10_Withdrawals!A187="","",Agent10_Withdrawals!G187)</f>
        <v/>
      </c>
      <c r="I1982" s="37" t="str">
        <f>IF(Agent10_Withdrawals!A187="","",Agent10_Withdrawals!H187)</f>
        <v/>
      </c>
      <c r="J1982" s="37" t="str">
        <f>IF(Agent10_Withdrawals!A187="","",Agent10_Withdrawals!J187)</f>
        <v/>
      </c>
      <c r="K1982" s="37" t="str">
        <f>IF(Agent10_Withdrawals!A187="","",Agent10_Withdrawals!K187)</f>
        <v/>
      </c>
      <c r="L1982" s="37" t="str">
        <f>IF(G1982="","",IF(D1982-G1982&gt;=System_Config!$B$9,"✅ OK","⚠️ BREACH"))</f>
        <v/>
      </c>
      <c r="M1982" s="37" t="str">
        <f>IFERROR(IF(Agent10_Withdrawals!A187="","",YEAR(Agent10_Withdrawals!D187)),"")</f>
        <v/>
      </c>
    </row>
    <row r="1983" spans="1:13" ht="18" customHeight="1" x14ac:dyDescent="0.25">
      <c r="A1983" s="37" t="str">
        <f>IF(Agent10_Withdrawals!A188="","",Agent10_Withdrawals!A188)</f>
        <v/>
      </c>
      <c r="B1983" s="37" t="str">
        <f ca="1">IF(Agent10_Withdrawals!A188="","","WD"&amp;TEXT(1983-3,"0000")&amp;"-"&amp;TEXT(TODAY(),"YYYYMMDD"))</f>
        <v/>
      </c>
      <c r="C1983" s="37" t="str">
        <f>IF(Agent10_Withdrawals!A188="","",Agent10_Withdrawals!B188)</f>
        <v/>
      </c>
      <c r="D1983" s="40" t="str">
        <f>IF(Agent10_Withdrawals!A188="","",Agent10_Withdrawals!C188)</f>
        <v/>
      </c>
      <c r="E1983" s="38" t="str">
        <f>IF(Agent10_Withdrawals!A188="","",Agent10_Withdrawals!D188)</f>
        <v/>
      </c>
      <c r="F1983" s="37" t="str">
        <f>IF(Agent10_Withdrawals!A188="","",Agent10_Withdrawals!F188)</f>
        <v/>
      </c>
      <c r="G1983" s="39" t="str">
        <f>IF(Agent10_Withdrawals!A188="","",Agent10_Withdrawals!E188)</f>
        <v/>
      </c>
      <c r="H1983" s="39" t="str">
        <f>IF(Agent10_Withdrawals!A188="","",Agent10_Withdrawals!G188)</f>
        <v/>
      </c>
      <c r="I1983" s="37" t="str">
        <f>IF(Agent10_Withdrawals!A188="","",Agent10_Withdrawals!H188)</f>
        <v/>
      </c>
      <c r="J1983" s="37" t="str">
        <f>IF(Agent10_Withdrawals!A188="","",Agent10_Withdrawals!J188)</f>
        <v/>
      </c>
      <c r="K1983" s="37" t="str">
        <f>IF(Agent10_Withdrawals!A188="","",Agent10_Withdrawals!K188)</f>
        <v/>
      </c>
      <c r="L1983" s="37" t="str">
        <f>IF(G1983="","",IF(D1983-G1983&gt;=System_Config!$B$9,"✅ OK","⚠️ BREACH"))</f>
        <v/>
      </c>
      <c r="M1983" s="37" t="str">
        <f>IFERROR(IF(Agent10_Withdrawals!A188="","",YEAR(Agent10_Withdrawals!D188)),"")</f>
        <v/>
      </c>
    </row>
    <row r="1984" spans="1:13" ht="18" customHeight="1" x14ac:dyDescent="0.25">
      <c r="A1984" s="37" t="str">
        <f>IF(Agent10_Withdrawals!A189="","",Agent10_Withdrawals!A189)</f>
        <v/>
      </c>
      <c r="B1984" s="37" t="str">
        <f ca="1">IF(Agent10_Withdrawals!A189="","","WD"&amp;TEXT(1984-3,"0000")&amp;"-"&amp;TEXT(TODAY(),"YYYYMMDD"))</f>
        <v/>
      </c>
      <c r="C1984" s="37" t="str">
        <f>IF(Agent10_Withdrawals!A189="","",Agent10_Withdrawals!B189)</f>
        <v/>
      </c>
      <c r="D1984" s="40" t="str">
        <f>IF(Agent10_Withdrawals!A189="","",Agent10_Withdrawals!C189)</f>
        <v/>
      </c>
      <c r="E1984" s="38" t="str">
        <f>IF(Agent10_Withdrawals!A189="","",Agent10_Withdrawals!D189)</f>
        <v/>
      </c>
      <c r="F1984" s="37" t="str">
        <f>IF(Agent10_Withdrawals!A189="","",Agent10_Withdrawals!F189)</f>
        <v/>
      </c>
      <c r="G1984" s="39" t="str">
        <f>IF(Agent10_Withdrawals!A189="","",Agent10_Withdrawals!E189)</f>
        <v/>
      </c>
      <c r="H1984" s="39" t="str">
        <f>IF(Agent10_Withdrawals!A189="","",Agent10_Withdrawals!G189)</f>
        <v/>
      </c>
      <c r="I1984" s="37" t="str">
        <f>IF(Agent10_Withdrawals!A189="","",Agent10_Withdrawals!H189)</f>
        <v/>
      </c>
      <c r="J1984" s="37" t="str">
        <f>IF(Agent10_Withdrawals!A189="","",Agent10_Withdrawals!J189)</f>
        <v/>
      </c>
      <c r="K1984" s="37" t="str">
        <f>IF(Agent10_Withdrawals!A189="","",Agent10_Withdrawals!K189)</f>
        <v/>
      </c>
      <c r="L1984" s="37" t="str">
        <f>IF(G1984="","",IF(D1984-G1984&gt;=System_Config!$B$9,"✅ OK","⚠️ BREACH"))</f>
        <v/>
      </c>
      <c r="M1984" s="37" t="str">
        <f>IFERROR(IF(Agent10_Withdrawals!A189="","",YEAR(Agent10_Withdrawals!D189)),"")</f>
        <v/>
      </c>
    </row>
    <row r="1985" spans="1:13" ht="18" customHeight="1" x14ac:dyDescent="0.25">
      <c r="A1985" s="37" t="str">
        <f>IF(Agent10_Withdrawals!A190="","",Agent10_Withdrawals!A190)</f>
        <v/>
      </c>
      <c r="B1985" s="37" t="str">
        <f ca="1">IF(Agent10_Withdrawals!A190="","","WD"&amp;TEXT(1985-3,"0000")&amp;"-"&amp;TEXT(TODAY(),"YYYYMMDD"))</f>
        <v/>
      </c>
      <c r="C1985" s="37" t="str">
        <f>IF(Agent10_Withdrawals!A190="","",Agent10_Withdrawals!B190)</f>
        <v/>
      </c>
      <c r="D1985" s="40" t="str">
        <f>IF(Agent10_Withdrawals!A190="","",Agent10_Withdrawals!C190)</f>
        <v/>
      </c>
      <c r="E1985" s="38" t="str">
        <f>IF(Agent10_Withdrawals!A190="","",Agent10_Withdrawals!D190)</f>
        <v/>
      </c>
      <c r="F1985" s="37" t="str">
        <f>IF(Agent10_Withdrawals!A190="","",Agent10_Withdrawals!F190)</f>
        <v/>
      </c>
      <c r="G1985" s="39" t="str">
        <f>IF(Agent10_Withdrawals!A190="","",Agent10_Withdrawals!E190)</f>
        <v/>
      </c>
      <c r="H1985" s="39" t="str">
        <f>IF(Agent10_Withdrawals!A190="","",Agent10_Withdrawals!G190)</f>
        <v/>
      </c>
      <c r="I1985" s="37" t="str">
        <f>IF(Agent10_Withdrawals!A190="","",Agent10_Withdrawals!H190)</f>
        <v/>
      </c>
      <c r="J1985" s="37" t="str">
        <f>IF(Agent10_Withdrawals!A190="","",Agent10_Withdrawals!J190)</f>
        <v/>
      </c>
      <c r="K1985" s="37" t="str">
        <f>IF(Agent10_Withdrawals!A190="","",Agent10_Withdrawals!K190)</f>
        <v/>
      </c>
      <c r="L1985" s="37" t="str">
        <f>IF(G1985="","",IF(D1985-G1985&gt;=System_Config!$B$9,"✅ OK","⚠️ BREACH"))</f>
        <v/>
      </c>
      <c r="M1985" s="37" t="str">
        <f>IFERROR(IF(Agent10_Withdrawals!A190="","",YEAR(Agent10_Withdrawals!D190)),"")</f>
        <v/>
      </c>
    </row>
    <row r="1986" spans="1:13" ht="18" customHeight="1" x14ac:dyDescent="0.25">
      <c r="A1986" s="37" t="str">
        <f>IF(Agent10_Withdrawals!A191="","",Agent10_Withdrawals!A191)</f>
        <v/>
      </c>
      <c r="B1986" s="37" t="str">
        <f ca="1">IF(Agent10_Withdrawals!A191="","","WD"&amp;TEXT(1986-3,"0000")&amp;"-"&amp;TEXT(TODAY(),"YYYYMMDD"))</f>
        <v/>
      </c>
      <c r="C1986" s="37" t="str">
        <f>IF(Agent10_Withdrawals!A191="","",Agent10_Withdrawals!B191)</f>
        <v/>
      </c>
      <c r="D1986" s="40" t="str">
        <f>IF(Agent10_Withdrawals!A191="","",Agent10_Withdrawals!C191)</f>
        <v/>
      </c>
      <c r="E1986" s="38" t="str">
        <f>IF(Agent10_Withdrawals!A191="","",Agent10_Withdrawals!D191)</f>
        <v/>
      </c>
      <c r="F1986" s="37" t="str">
        <f>IF(Agent10_Withdrawals!A191="","",Agent10_Withdrawals!F191)</f>
        <v/>
      </c>
      <c r="G1986" s="39" t="str">
        <f>IF(Agent10_Withdrawals!A191="","",Agent10_Withdrawals!E191)</f>
        <v/>
      </c>
      <c r="H1986" s="39" t="str">
        <f>IF(Agent10_Withdrawals!A191="","",Agent10_Withdrawals!G191)</f>
        <v/>
      </c>
      <c r="I1986" s="37" t="str">
        <f>IF(Agent10_Withdrawals!A191="","",Agent10_Withdrawals!H191)</f>
        <v/>
      </c>
      <c r="J1986" s="37" t="str">
        <f>IF(Agent10_Withdrawals!A191="","",Agent10_Withdrawals!J191)</f>
        <v/>
      </c>
      <c r="K1986" s="37" t="str">
        <f>IF(Agent10_Withdrawals!A191="","",Agent10_Withdrawals!K191)</f>
        <v/>
      </c>
      <c r="L1986" s="37" t="str">
        <f>IF(G1986="","",IF(D1986-G1986&gt;=System_Config!$B$9,"✅ OK","⚠️ BREACH"))</f>
        <v/>
      </c>
      <c r="M1986" s="37" t="str">
        <f>IFERROR(IF(Agent10_Withdrawals!A191="","",YEAR(Agent10_Withdrawals!D191)),"")</f>
        <v/>
      </c>
    </row>
    <row r="1987" spans="1:13" ht="18" customHeight="1" x14ac:dyDescent="0.25">
      <c r="A1987" s="37" t="str">
        <f>IF(Agent10_Withdrawals!A192="","",Agent10_Withdrawals!A192)</f>
        <v/>
      </c>
      <c r="B1987" s="37" t="str">
        <f ca="1">IF(Agent10_Withdrawals!A192="","","WD"&amp;TEXT(1987-3,"0000")&amp;"-"&amp;TEXT(TODAY(),"YYYYMMDD"))</f>
        <v/>
      </c>
      <c r="C1987" s="37" t="str">
        <f>IF(Agent10_Withdrawals!A192="","",Agent10_Withdrawals!B192)</f>
        <v/>
      </c>
      <c r="D1987" s="40" t="str">
        <f>IF(Agent10_Withdrawals!A192="","",Agent10_Withdrawals!C192)</f>
        <v/>
      </c>
      <c r="E1987" s="38" t="str">
        <f>IF(Agent10_Withdrawals!A192="","",Agent10_Withdrawals!D192)</f>
        <v/>
      </c>
      <c r="F1987" s="37" t="str">
        <f>IF(Agent10_Withdrawals!A192="","",Agent10_Withdrawals!F192)</f>
        <v/>
      </c>
      <c r="G1987" s="39" t="str">
        <f>IF(Agent10_Withdrawals!A192="","",Agent10_Withdrawals!E192)</f>
        <v/>
      </c>
      <c r="H1987" s="39" t="str">
        <f>IF(Agent10_Withdrawals!A192="","",Agent10_Withdrawals!G192)</f>
        <v/>
      </c>
      <c r="I1987" s="37" t="str">
        <f>IF(Agent10_Withdrawals!A192="","",Agent10_Withdrawals!H192)</f>
        <v/>
      </c>
      <c r="J1987" s="37" t="str">
        <f>IF(Agent10_Withdrawals!A192="","",Agent10_Withdrawals!J192)</f>
        <v/>
      </c>
      <c r="K1987" s="37" t="str">
        <f>IF(Agent10_Withdrawals!A192="","",Agent10_Withdrawals!K192)</f>
        <v/>
      </c>
      <c r="L1987" s="37" t="str">
        <f>IF(G1987="","",IF(D1987-G1987&gt;=System_Config!$B$9,"✅ OK","⚠️ BREACH"))</f>
        <v/>
      </c>
      <c r="M1987" s="37" t="str">
        <f>IFERROR(IF(Agent10_Withdrawals!A192="","",YEAR(Agent10_Withdrawals!D192)),"")</f>
        <v/>
      </c>
    </row>
    <row r="1988" spans="1:13" ht="18" customHeight="1" x14ac:dyDescent="0.25">
      <c r="A1988" s="37" t="str">
        <f>IF(Agent10_Withdrawals!A193="","",Agent10_Withdrawals!A193)</f>
        <v/>
      </c>
      <c r="B1988" s="37" t="str">
        <f ca="1">IF(Agent10_Withdrawals!A193="","","WD"&amp;TEXT(1988-3,"0000")&amp;"-"&amp;TEXT(TODAY(),"YYYYMMDD"))</f>
        <v/>
      </c>
      <c r="C1988" s="37" t="str">
        <f>IF(Agent10_Withdrawals!A193="","",Agent10_Withdrawals!B193)</f>
        <v/>
      </c>
      <c r="D1988" s="40" t="str">
        <f>IF(Agent10_Withdrawals!A193="","",Agent10_Withdrawals!C193)</f>
        <v/>
      </c>
      <c r="E1988" s="38" t="str">
        <f>IF(Agent10_Withdrawals!A193="","",Agent10_Withdrawals!D193)</f>
        <v/>
      </c>
      <c r="F1988" s="37" t="str">
        <f>IF(Agent10_Withdrawals!A193="","",Agent10_Withdrawals!F193)</f>
        <v/>
      </c>
      <c r="G1988" s="39" t="str">
        <f>IF(Agent10_Withdrawals!A193="","",Agent10_Withdrawals!E193)</f>
        <v/>
      </c>
      <c r="H1988" s="39" t="str">
        <f>IF(Agent10_Withdrawals!A193="","",Agent10_Withdrawals!G193)</f>
        <v/>
      </c>
      <c r="I1988" s="37" t="str">
        <f>IF(Agent10_Withdrawals!A193="","",Agent10_Withdrawals!H193)</f>
        <v/>
      </c>
      <c r="J1988" s="37" t="str">
        <f>IF(Agent10_Withdrawals!A193="","",Agent10_Withdrawals!J193)</f>
        <v/>
      </c>
      <c r="K1988" s="37" t="str">
        <f>IF(Agent10_Withdrawals!A193="","",Agent10_Withdrawals!K193)</f>
        <v/>
      </c>
      <c r="L1988" s="37" t="str">
        <f>IF(G1988="","",IF(D1988-G1988&gt;=System_Config!$B$9,"✅ OK","⚠️ BREACH"))</f>
        <v/>
      </c>
      <c r="M1988" s="37" t="str">
        <f>IFERROR(IF(Agent10_Withdrawals!A193="","",YEAR(Agent10_Withdrawals!D193)),"")</f>
        <v/>
      </c>
    </row>
    <row r="1989" spans="1:13" ht="18" customHeight="1" x14ac:dyDescent="0.25">
      <c r="A1989" s="37" t="str">
        <f>IF(Agent10_Withdrawals!A194="","",Agent10_Withdrawals!A194)</f>
        <v/>
      </c>
      <c r="B1989" s="37" t="str">
        <f ca="1">IF(Agent10_Withdrawals!A194="","","WD"&amp;TEXT(1989-3,"0000")&amp;"-"&amp;TEXT(TODAY(),"YYYYMMDD"))</f>
        <v/>
      </c>
      <c r="C1989" s="37" t="str">
        <f>IF(Agent10_Withdrawals!A194="","",Agent10_Withdrawals!B194)</f>
        <v/>
      </c>
      <c r="D1989" s="40" t="str">
        <f>IF(Agent10_Withdrawals!A194="","",Agent10_Withdrawals!C194)</f>
        <v/>
      </c>
      <c r="E1989" s="38" t="str">
        <f>IF(Agent10_Withdrawals!A194="","",Agent10_Withdrawals!D194)</f>
        <v/>
      </c>
      <c r="F1989" s="37" t="str">
        <f>IF(Agent10_Withdrawals!A194="","",Agent10_Withdrawals!F194)</f>
        <v/>
      </c>
      <c r="G1989" s="39" t="str">
        <f>IF(Agent10_Withdrawals!A194="","",Agent10_Withdrawals!E194)</f>
        <v/>
      </c>
      <c r="H1989" s="39" t="str">
        <f>IF(Agent10_Withdrawals!A194="","",Agent10_Withdrawals!G194)</f>
        <v/>
      </c>
      <c r="I1989" s="37" t="str">
        <f>IF(Agent10_Withdrawals!A194="","",Agent10_Withdrawals!H194)</f>
        <v/>
      </c>
      <c r="J1989" s="37" t="str">
        <f>IF(Agent10_Withdrawals!A194="","",Agent10_Withdrawals!J194)</f>
        <v/>
      </c>
      <c r="K1989" s="37" t="str">
        <f>IF(Agent10_Withdrawals!A194="","",Agent10_Withdrawals!K194)</f>
        <v/>
      </c>
      <c r="L1989" s="37" t="str">
        <f>IF(G1989="","",IF(D1989-G1989&gt;=System_Config!$B$9,"✅ OK","⚠️ BREACH"))</f>
        <v/>
      </c>
      <c r="M1989" s="37" t="str">
        <f>IFERROR(IF(Agent10_Withdrawals!A194="","",YEAR(Agent10_Withdrawals!D194)),"")</f>
        <v/>
      </c>
    </row>
    <row r="1990" spans="1:13" ht="18" customHeight="1" x14ac:dyDescent="0.25">
      <c r="A1990" s="37" t="str">
        <f>IF(Agent10_Withdrawals!A195="","",Agent10_Withdrawals!A195)</f>
        <v/>
      </c>
      <c r="B1990" s="37" t="str">
        <f ca="1">IF(Agent10_Withdrawals!A195="","","WD"&amp;TEXT(1990-3,"0000")&amp;"-"&amp;TEXT(TODAY(),"YYYYMMDD"))</f>
        <v/>
      </c>
      <c r="C1990" s="37" t="str">
        <f>IF(Agent10_Withdrawals!A195="","",Agent10_Withdrawals!B195)</f>
        <v/>
      </c>
      <c r="D1990" s="40" t="str">
        <f>IF(Agent10_Withdrawals!A195="","",Agent10_Withdrawals!C195)</f>
        <v/>
      </c>
      <c r="E1990" s="38" t="str">
        <f>IF(Agent10_Withdrawals!A195="","",Agent10_Withdrawals!D195)</f>
        <v/>
      </c>
      <c r="F1990" s="37" t="str">
        <f>IF(Agent10_Withdrawals!A195="","",Agent10_Withdrawals!F195)</f>
        <v/>
      </c>
      <c r="G1990" s="39" t="str">
        <f>IF(Agent10_Withdrawals!A195="","",Agent10_Withdrawals!E195)</f>
        <v/>
      </c>
      <c r="H1990" s="39" t="str">
        <f>IF(Agent10_Withdrawals!A195="","",Agent10_Withdrawals!G195)</f>
        <v/>
      </c>
      <c r="I1990" s="37" t="str">
        <f>IF(Agent10_Withdrawals!A195="","",Agent10_Withdrawals!H195)</f>
        <v/>
      </c>
      <c r="J1990" s="37" t="str">
        <f>IF(Agent10_Withdrawals!A195="","",Agent10_Withdrawals!J195)</f>
        <v/>
      </c>
      <c r="K1990" s="37" t="str">
        <f>IF(Agent10_Withdrawals!A195="","",Agent10_Withdrawals!K195)</f>
        <v/>
      </c>
      <c r="L1990" s="37" t="str">
        <f>IF(G1990="","",IF(D1990-G1990&gt;=System_Config!$B$9,"✅ OK","⚠️ BREACH"))</f>
        <v/>
      </c>
      <c r="M1990" s="37" t="str">
        <f>IFERROR(IF(Agent10_Withdrawals!A195="","",YEAR(Agent10_Withdrawals!D195)),"")</f>
        <v/>
      </c>
    </row>
    <row r="1991" spans="1:13" ht="18" customHeight="1" x14ac:dyDescent="0.25">
      <c r="A1991" s="37" t="str">
        <f>IF(Agent10_Withdrawals!A196="","",Agent10_Withdrawals!A196)</f>
        <v/>
      </c>
      <c r="B1991" s="37" t="str">
        <f ca="1">IF(Agent10_Withdrawals!A196="","","WD"&amp;TEXT(1991-3,"0000")&amp;"-"&amp;TEXT(TODAY(),"YYYYMMDD"))</f>
        <v/>
      </c>
      <c r="C1991" s="37" t="str">
        <f>IF(Agent10_Withdrawals!A196="","",Agent10_Withdrawals!B196)</f>
        <v/>
      </c>
      <c r="D1991" s="40" t="str">
        <f>IF(Agent10_Withdrawals!A196="","",Agent10_Withdrawals!C196)</f>
        <v/>
      </c>
      <c r="E1991" s="38" t="str">
        <f>IF(Agent10_Withdrawals!A196="","",Agent10_Withdrawals!D196)</f>
        <v/>
      </c>
      <c r="F1991" s="37" t="str">
        <f>IF(Agent10_Withdrawals!A196="","",Agent10_Withdrawals!F196)</f>
        <v/>
      </c>
      <c r="G1991" s="39" t="str">
        <f>IF(Agent10_Withdrawals!A196="","",Agent10_Withdrawals!E196)</f>
        <v/>
      </c>
      <c r="H1991" s="39" t="str">
        <f>IF(Agent10_Withdrawals!A196="","",Agent10_Withdrawals!G196)</f>
        <v/>
      </c>
      <c r="I1991" s="37" t="str">
        <f>IF(Agent10_Withdrawals!A196="","",Agent10_Withdrawals!H196)</f>
        <v/>
      </c>
      <c r="J1991" s="37" t="str">
        <f>IF(Agent10_Withdrawals!A196="","",Agent10_Withdrawals!J196)</f>
        <v/>
      </c>
      <c r="K1991" s="37" t="str">
        <f>IF(Agent10_Withdrawals!A196="","",Agent10_Withdrawals!K196)</f>
        <v/>
      </c>
      <c r="L1991" s="37" t="str">
        <f>IF(G1991="","",IF(D1991-G1991&gt;=System_Config!$B$9,"✅ OK","⚠️ BREACH"))</f>
        <v/>
      </c>
      <c r="M1991" s="37" t="str">
        <f>IFERROR(IF(Agent10_Withdrawals!A196="","",YEAR(Agent10_Withdrawals!D196)),"")</f>
        <v/>
      </c>
    </row>
    <row r="1992" spans="1:13" ht="18" customHeight="1" x14ac:dyDescent="0.25">
      <c r="A1992" s="37" t="str">
        <f>IF(Agent10_Withdrawals!A197="","",Agent10_Withdrawals!A197)</f>
        <v/>
      </c>
      <c r="B1992" s="37" t="str">
        <f ca="1">IF(Agent10_Withdrawals!A197="","","WD"&amp;TEXT(1992-3,"0000")&amp;"-"&amp;TEXT(TODAY(),"YYYYMMDD"))</f>
        <v/>
      </c>
      <c r="C1992" s="37" t="str">
        <f>IF(Agent10_Withdrawals!A197="","",Agent10_Withdrawals!B197)</f>
        <v/>
      </c>
      <c r="D1992" s="40" t="str">
        <f>IF(Agent10_Withdrawals!A197="","",Agent10_Withdrawals!C197)</f>
        <v/>
      </c>
      <c r="E1992" s="38" t="str">
        <f>IF(Agent10_Withdrawals!A197="","",Agent10_Withdrawals!D197)</f>
        <v/>
      </c>
      <c r="F1992" s="37" t="str">
        <f>IF(Agent10_Withdrawals!A197="","",Agent10_Withdrawals!F197)</f>
        <v/>
      </c>
      <c r="G1992" s="39" t="str">
        <f>IF(Agent10_Withdrawals!A197="","",Agent10_Withdrawals!E197)</f>
        <v/>
      </c>
      <c r="H1992" s="39" t="str">
        <f>IF(Agent10_Withdrawals!A197="","",Agent10_Withdrawals!G197)</f>
        <v/>
      </c>
      <c r="I1992" s="37" t="str">
        <f>IF(Agent10_Withdrawals!A197="","",Agent10_Withdrawals!H197)</f>
        <v/>
      </c>
      <c r="J1992" s="37" t="str">
        <f>IF(Agent10_Withdrawals!A197="","",Agent10_Withdrawals!J197)</f>
        <v/>
      </c>
      <c r="K1992" s="37" t="str">
        <f>IF(Agent10_Withdrawals!A197="","",Agent10_Withdrawals!K197)</f>
        <v/>
      </c>
      <c r="L1992" s="37" t="str">
        <f>IF(G1992="","",IF(D1992-G1992&gt;=System_Config!$B$9,"✅ OK","⚠️ BREACH"))</f>
        <v/>
      </c>
      <c r="M1992" s="37" t="str">
        <f>IFERROR(IF(Agent10_Withdrawals!A197="","",YEAR(Agent10_Withdrawals!D197)),"")</f>
        <v/>
      </c>
    </row>
    <row r="1993" spans="1:13" ht="18" customHeight="1" x14ac:dyDescent="0.25">
      <c r="A1993" s="37" t="str">
        <f>IF(Agent10_Withdrawals!A198="","",Agent10_Withdrawals!A198)</f>
        <v/>
      </c>
      <c r="B1993" s="37" t="str">
        <f ca="1">IF(Agent10_Withdrawals!A198="","","WD"&amp;TEXT(1993-3,"0000")&amp;"-"&amp;TEXT(TODAY(),"YYYYMMDD"))</f>
        <v/>
      </c>
      <c r="C1993" s="37" t="str">
        <f>IF(Agent10_Withdrawals!A198="","",Agent10_Withdrawals!B198)</f>
        <v/>
      </c>
      <c r="D1993" s="40" t="str">
        <f>IF(Agent10_Withdrawals!A198="","",Agent10_Withdrawals!C198)</f>
        <v/>
      </c>
      <c r="E1993" s="38" t="str">
        <f>IF(Agent10_Withdrawals!A198="","",Agent10_Withdrawals!D198)</f>
        <v/>
      </c>
      <c r="F1993" s="37" t="str">
        <f>IF(Agent10_Withdrawals!A198="","",Agent10_Withdrawals!F198)</f>
        <v/>
      </c>
      <c r="G1993" s="39" t="str">
        <f>IF(Agent10_Withdrawals!A198="","",Agent10_Withdrawals!E198)</f>
        <v/>
      </c>
      <c r="H1993" s="39" t="str">
        <f>IF(Agent10_Withdrawals!A198="","",Agent10_Withdrawals!G198)</f>
        <v/>
      </c>
      <c r="I1993" s="37" t="str">
        <f>IF(Agent10_Withdrawals!A198="","",Agent10_Withdrawals!H198)</f>
        <v/>
      </c>
      <c r="J1993" s="37" t="str">
        <f>IF(Agent10_Withdrawals!A198="","",Agent10_Withdrawals!J198)</f>
        <v/>
      </c>
      <c r="K1993" s="37" t="str">
        <f>IF(Agent10_Withdrawals!A198="","",Agent10_Withdrawals!K198)</f>
        <v/>
      </c>
      <c r="L1993" s="37" t="str">
        <f>IF(G1993="","",IF(D1993-G1993&gt;=System_Config!$B$9,"✅ OK","⚠️ BREACH"))</f>
        <v/>
      </c>
      <c r="M1993" s="37" t="str">
        <f>IFERROR(IF(Agent10_Withdrawals!A198="","",YEAR(Agent10_Withdrawals!D198)),"")</f>
        <v/>
      </c>
    </row>
    <row r="1994" spans="1:13" ht="18" customHeight="1" x14ac:dyDescent="0.25">
      <c r="A1994" s="37" t="str">
        <f>IF(Agent10_Withdrawals!A199="","",Agent10_Withdrawals!A199)</f>
        <v/>
      </c>
      <c r="B1994" s="37" t="str">
        <f ca="1">IF(Agent10_Withdrawals!A199="","","WD"&amp;TEXT(1994-3,"0000")&amp;"-"&amp;TEXT(TODAY(),"YYYYMMDD"))</f>
        <v/>
      </c>
      <c r="C1994" s="37" t="str">
        <f>IF(Agent10_Withdrawals!A199="","",Agent10_Withdrawals!B199)</f>
        <v/>
      </c>
      <c r="D1994" s="40" t="str">
        <f>IF(Agent10_Withdrawals!A199="","",Agent10_Withdrawals!C199)</f>
        <v/>
      </c>
      <c r="E1994" s="38" t="str">
        <f>IF(Agent10_Withdrawals!A199="","",Agent10_Withdrawals!D199)</f>
        <v/>
      </c>
      <c r="F1994" s="37" t="str">
        <f>IF(Agent10_Withdrawals!A199="","",Agent10_Withdrawals!F199)</f>
        <v/>
      </c>
      <c r="G1994" s="39" t="str">
        <f>IF(Agent10_Withdrawals!A199="","",Agent10_Withdrawals!E199)</f>
        <v/>
      </c>
      <c r="H1994" s="39" t="str">
        <f>IF(Agent10_Withdrawals!A199="","",Agent10_Withdrawals!G199)</f>
        <v/>
      </c>
      <c r="I1994" s="37" t="str">
        <f>IF(Agent10_Withdrawals!A199="","",Agent10_Withdrawals!H199)</f>
        <v/>
      </c>
      <c r="J1994" s="37" t="str">
        <f>IF(Agent10_Withdrawals!A199="","",Agent10_Withdrawals!J199)</f>
        <v/>
      </c>
      <c r="K1994" s="37" t="str">
        <f>IF(Agent10_Withdrawals!A199="","",Agent10_Withdrawals!K199)</f>
        <v/>
      </c>
      <c r="L1994" s="37" t="str">
        <f>IF(G1994="","",IF(D1994-G1994&gt;=System_Config!$B$9,"✅ OK","⚠️ BREACH"))</f>
        <v/>
      </c>
      <c r="M1994" s="37" t="str">
        <f>IFERROR(IF(Agent10_Withdrawals!A199="","",YEAR(Agent10_Withdrawals!D199)),"")</f>
        <v/>
      </c>
    </row>
    <row r="1995" spans="1:13" ht="18" customHeight="1" x14ac:dyDescent="0.25">
      <c r="A1995" s="37" t="str">
        <f>IF(Agent10_Withdrawals!A200="","",Agent10_Withdrawals!A200)</f>
        <v/>
      </c>
      <c r="B1995" s="37" t="str">
        <f ca="1">IF(Agent10_Withdrawals!A200="","","WD"&amp;TEXT(1995-3,"0000")&amp;"-"&amp;TEXT(TODAY(),"YYYYMMDD"))</f>
        <v/>
      </c>
      <c r="C1995" s="37" t="str">
        <f>IF(Agent10_Withdrawals!A200="","",Agent10_Withdrawals!B200)</f>
        <v/>
      </c>
      <c r="D1995" s="40" t="str">
        <f>IF(Agent10_Withdrawals!A200="","",Agent10_Withdrawals!C200)</f>
        <v/>
      </c>
      <c r="E1995" s="38" t="str">
        <f>IF(Agent10_Withdrawals!A200="","",Agent10_Withdrawals!D200)</f>
        <v/>
      </c>
      <c r="F1995" s="37" t="str">
        <f>IF(Agent10_Withdrawals!A200="","",Agent10_Withdrawals!F200)</f>
        <v/>
      </c>
      <c r="G1995" s="39" t="str">
        <f>IF(Agent10_Withdrawals!A200="","",Agent10_Withdrawals!E200)</f>
        <v/>
      </c>
      <c r="H1995" s="39" t="str">
        <f>IF(Agent10_Withdrawals!A200="","",Agent10_Withdrawals!G200)</f>
        <v/>
      </c>
      <c r="I1995" s="37" t="str">
        <f>IF(Agent10_Withdrawals!A200="","",Agent10_Withdrawals!H200)</f>
        <v/>
      </c>
      <c r="J1995" s="37" t="str">
        <f>IF(Agent10_Withdrawals!A200="","",Agent10_Withdrawals!J200)</f>
        <v/>
      </c>
      <c r="K1995" s="37" t="str">
        <f>IF(Agent10_Withdrawals!A200="","",Agent10_Withdrawals!K200)</f>
        <v/>
      </c>
      <c r="L1995" s="37" t="str">
        <f>IF(G1995="","",IF(D1995-G1995&gt;=System_Config!$B$9,"✅ OK","⚠️ BREACH"))</f>
        <v/>
      </c>
      <c r="M1995" s="37" t="str">
        <f>IFERROR(IF(Agent10_Withdrawals!A200="","",YEAR(Agent10_Withdrawals!D200)),"")</f>
        <v/>
      </c>
    </row>
    <row r="1996" spans="1:13" ht="18" customHeight="1" x14ac:dyDescent="0.25">
      <c r="A1996" s="37" t="str">
        <f>IF(Agent10_Withdrawals!A201="","",Agent10_Withdrawals!A201)</f>
        <v/>
      </c>
      <c r="B1996" s="37" t="str">
        <f ca="1">IF(Agent10_Withdrawals!A201="","","WD"&amp;TEXT(1996-3,"0000")&amp;"-"&amp;TEXT(TODAY(),"YYYYMMDD"))</f>
        <v/>
      </c>
      <c r="C1996" s="37" t="str">
        <f>IF(Agent10_Withdrawals!A201="","",Agent10_Withdrawals!B201)</f>
        <v/>
      </c>
      <c r="D1996" s="40" t="str">
        <f>IF(Agent10_Withdrawals!A201="","",Agent10_Withdrawals!C201)</f>
        <v/>
      </c>
      <c r="E1996" s="38" t="str">
        <f>IF(Agent10_Withdrawals!A201="","",Agent10_Withdrawals!D201)</f>
        <v/>
      </c>
      <c r="F1996" s="37" t="str">
        <f>IF(Agent10_Withdrawals!A201="","",Agent10_Withdrawals!F201)</f>
        <v/>
      </c>
      <c r="G1996" s="39" t="str">
        <f>IF(Agent10_Withdrawals!A201="","",Agent10_Withdrawals!E201)</f>
        <v/>
      </c>
      <c r="H1996" s="39" t="str">
        <f>IF(Agent10_Withdrawals!A201="","",Agent10_Withdrawals!G201)</f>
        <v/>
      </c>
      <c r="I1996" s="37" t="str">
        <f>IF(Agent10_Withdrawals!A201="","",Agent10_Withdrawals!H201)</f>
        <v/>
      </c>
      <c r="J1996" s="37" t="str">
        <f>IF(Agent10_Withdrawals!A201="","",Agent10_Withdrawals!J201)</f>
        <v/>
      </c>
      <c r="K1996" s="37" t="str">
        <f>IF(Agent10_Withdrawals!A201="","",Agent10_Withdrawals!K201)</f>
        <v/>
      </c>
      <c r="L1996" s="37" t="str">
        <f>IF(G1996="","",IF(D1996-G1996&gt;=System_Config!$B$9,"✅ OK","⚠️ BREACH"))</f>
        <v/>
      </c>
      <c r="M1996" s="37" t="str">
        <f>IFERROR(IF(Agent10_Withdrawals!A201="","",YEAR(Agent10_Withdrawals!D201)),"")</f>
        <v/>
      </c>
    </row>
    <row r="1997" spans="1:13" ht="18" customHeight="1" x14ac:dyDescent="0.25">
      <c r="A1997" s="37" t="str">
        <f>IF(Agent10_Withdrawals!A202="","",Agent10_Withdrawals!A202)</f>
        <v/>
      </c>
      <c r="B1997" s="37" t="str">
        <f ca="1">IF(Agent10_Withdrawals!A202="","","WD"&amp;TEXT(1997-3,"0000")&amp;"-"&amp;TEXT(TODAY(),"YYYYMMDD"))</f>
        <v/>
      </c>
      <c r="C1997" s="37" t="str">
        <f>IF(Agent10_Withdrawals!A202="","",Agent10_Withdrawals!B202)</f>
        <v/>
      </c>
      <c r="D1997" s="40" t="str">
        <f>IF(Agent10_Withdrawals!A202="","",Agent10_Withdrawals!C202)</f>
        <v/>
      </c>
      <c r="E1997" s="38" t="str">
        <f>IF(Agent10_Withdrawals!A202="","",Agent10_Withdrawals!D202)</f>
        <v/>
      </c>
      <c r="F1997" s="37" t="str">
        <f>IF(Agent10_Withdrawals!A202="","",Agent10_Withdrawals!F202)</f>
        <v/>
      </c>
      <c r="G1997" s="39" t="str">
        <f>IF(Agent10_Withdrawals!A202="","",Agent10_Withdrawals!E202)</f>
        <v/>
      </c>
      <c r="H1997" s="39" t="str">
        <f>IF(Agent10_Withdrawals!A202="","",Agent10_Withdrawals!G202)</f>
        <v/>
      </c>
      <c r="I1997" s="37" t="str">
        <f>IF(Agent10_Withdrawals!A202="","",Agent10_Withdrawals!H202)</f>
        <v/>
      </c>
      <c r="J1997" s="37" t="str">
        <f>IF(Agent10_Withdrawals!A202="","",Agent10_Withdrawals!J202)</f>
        <v/>
      </c>
      <c r="K1997" s="37" t="str">
        <f>IF(Agent10_Withdrawals!A202="","",Agent10_Withdrawals!K202)</f>
        <v/>
      </c>
      <c r="L1997" s="37" t="str">
        <f>IF(G1997="","",IF(D1997-G1997&gt;=System_Config!$B$9,"✅ OK","⚠️ BREACH"))</f>
        <v/>
      </c>
      <c r="M1997" s="37" t="str">
        <f>IFERROR(IF(Agent10_Withdrawals!A202="","",YEAR(Agent10_Withdrawals!D202)),"")</f>
        <v/>
      </c>
    </row>
    <row r="1998" spans="1:13" ht="18" customHeight="1" x14ac:dyDescent="0.25">
      <c r="A1998" s="37" t="str">
        <f>IF(Agent10_Withdrawals!A203="","",Agent10_Withdrawals!A203)</f>
        <v/>
      </c>
      <c r="B1998" s="37" t="str">
        <f ca="1">IF(Agent10_Withdrawals!A203="","","WD"&amp;TEXT(1998-3,"0000")&amp;"-"&amp;TEXT(TODAY(),"YYYYMMDD"))</f>
        <v/>
      </c>
      <c r="C1998" s="37" t="str">
        <f>IF(Agent10_Withdrawals!A203="","",Agent10_Withdrawals!B203)</f>
        <v/>
      </c>
      <c r="D1998" s="40" t="str">
        <f>IF(Agent10_Withdrawals!A203="","",Agent10_Withdrawals!C203)</f>
        <v/>
      </c>
      <c r="E1998" s="38" t="str">
        <f>IF(Agent10_Withdrawals!A203="","",Agent10_Withdrawals!D203)</f>
        <v/>
      </c>
      <c r="F1998" s="37" t="str">
        <f>IF(Agent10_Withdrawals!A203="","",Agent10_Withdrawals!F203)</f>
        <v/>
      </c>
      <c r="G1998" s="39" t="str">
        <f>IF(Agent10_Withdrawals!A203="","",Agent10_Withdrawals!E203)</f>
        <v/>
      </c>
      <c r="H1998" s="39" t="str">
        <f>IF(Agent10_Withdrawals!A203="","",Agent10_Withdrawals!G203)</f>
        <v/>
      </c>
      <c r="I1998" s="37" t="str">
        <f>IF(Agent10_Withdrawals!A203="","",Agent10_Withdrawals!H203)</f>
        <v/>
      </c>
      <c r="J1998" s="37" t="str">
        <f>IF(Agent10_Withdrawals!A203="","",Agent10_Withdrawals!J203)</f>
        <v/>
      </c>
      <c r="K1998" s="37" t="str">
        <f>IF(Agent10_Withdrawals!A203="","",Agent10_Withdrawals!K203)</f>
        <v/>
      </c>
      <c r="L1998" s="37" t="str">
        <f>IF(G1998="","",IF(D1998-G1998&gt;=System_Config!$B$9,"✅ OK","⚠️ BREACH"))</f>
        <v/>
      </c>
      <c r="M1998" s="37" t="str">
        <f>IFERROR(IF(Agent10_Withdrawals!A203="","",YEAR(Agent10_Withdrawals!D203)),"")</f>
        <v/>
      </c>
    </row>
    <row r="1999" spans="1:13" ht="18" customHeight="1" x14ac:dyDescent="0.25">
      <c r="A1999" s="37" t="str">
        <f>IF(Agent10_Withdrawals!A204="","",Agent10_Withdrawals!A204)</f>
        <v/>
      </c>
      <c r="B1999" s="37" t="str">
        <f ca="1">IF(Agent10_Withdrawals!A204="","","WD"&amp;TEXT(1999-3,"0000")&amp;"-"&amp;TEXT(TODAY(),"YYYYMMDD"))</f>
        <v/>
      </c>
      <c r="C1999" s="37" t="str">
        <f>IF(Agent10_Withdrawals!A204="","",Agent10_Withdrawals!B204)</f>
        <v/>
      </c>
      <c r="D1999" s="40" t="str">
        <f>IF(Agent10_Withdrawals!A204="","",Agent10_Withdrawals!C204)</f>
        <v/>
      </c>
      <c r="E1999" s="38" t="str">
        <f>IF(Agent10_Withdrawals!A204="","",Agent10_Withdrawals!D204)</f>
        <v/>
      </c>
      <c r="F1999" s="37" t="str">
        <f>IF(Agent10_Withdrawals!A204="","",Agent10_Withdrawals!F204)</f>
        <v/>
      </c>
      <c r="G1999" s="39" t="str">
        <f>IF(Agent10_Withdrawals!A204="","",Agent10_Withdrawals!E204)</f>
        <v/>
      </c>
      <c r="H1999" s="39" t="str">
        <f>IF(Agent10_Withdrawals!A204="","",Agent10_Withdrawals!G204)</f>
        <v/>
      </c>
      <c r="I1999" s="37" t="str">
        <f>IF(Agent10_Withdrawals!A204="","",Agent10_Withdrawals!H204)</f>
        <v/>
      </c>
      <c r="J1999" s="37" t="str">
        <f>IF(Agent10_Withdrawals!A204="","",Agent10_Withdrawals!J204)</f>
        <v/>
      </c>
      <c r="K1999" s="37" t="str">
        <f>IF(Agent10_Withdrawals!A204="","",Agent10_Withdrawals!K204)</f>
        <v/>
      </c>
      <c r="L1999" s="37" t="str">
        <f>IF(G1999="","",IF(D1999-G1999&gt;=System_Config!$B$9,"✅ OK","⚠️ BREACH"))</f>
        <v/>
      </c>
      <c r="M1999" s="37" t="str">
        <f>IFERROR(IF(Agent10_Withdrawals!A204="","",YEAR(Agent10_Withdrawals!D204)),"")</f>
        <v/>
      </c>
    </row>
    <row r="2000" spans="1:13" ht="18" customHeight="1" x14ac:dyDescent="0.25">
      <c r="A2000" s="37" t="str">
        <f>IF(Agent10_Withdrawals!A205="","",Agent10_Withdrawals!A205)</f>
        <v/>
      </c>
      <c r="B2000" s="37" t="str">
        <f ca="1">IF(Agent10_Withdrawals!A205="","","WD"&amp;TEXT(2000-3,"0000")&amp;"-"&amp;TEXT(TODAY(),"YYYYMMDD"))</f>
        <v/>
      </c>
      <c r="C2000" s="37" t="str">
        <f>IF(Agent10_Withdrawals!A205="","",Agent10_Withdrawals!B205)</f>
        <v/>
      </c>
      <c r="D2000" s="40" t="str">
        <f>IF(Agent10_Withdrawals!A205="","",Agent10_Withdrawals!C205)</f>
        <v/>
      </c>
      <c r="E2000" s="38" t="str">
        <f>IF(Agent10_Withdrawals!A205="","",Agent10_Withdrawals!D205)</f>
        <v/>
      </c>
      <c r="F2000" s="37" t="str">
        <f>IF(Agent10_Withdrawals!A205="","",Agent10_Withdrawals!F205)</f>
        <v/>
      </c>
      <c r="G2000" s="39" t="str">
        <f>IF(Agent10_Withdrawals!A205="","",Agent10_Withdrawals!E205)</f>
        <v/>
      </c>
      <c r="H2000" s="39" t="str">
        <f>IF(Agent10_Withdrawals!A205="","",Agent10_Withdrawals!G205)</f>
        <v/>
      </c>
      <c r="I2000" s="37" t="str">
        <f>IF(Agent10_Withdrawals!A205="","",Agent10_Withdrawals!H205)</f>
        <v/>
      </c>
      <c r="J2000" s="37" t="str">
        <f>IF(Agent10_Withdrawals!A205="","",Agent10_Withdrawals!J205)</f>
        <v/>
      </c>
      <c r="K2000" s="37" t="str">
        <f>IF(Agent10_Withdrawals!A205="","",Agent10_Withdrawals!K205)</f>
        <v/>
      </c>
      <c r="L2000" s="37" t="str">
        <f>IF(G2000="","",IF(D2000-G2000&gt;=System_Config!$B$9,"✅ OK","⚠️ BREACH"))</f>
        <v/>
      </c>
      <c r="M2000" s="37" t="str">
        <f>IFERROR(IF(Agent10_Withdrawals!A205="","",YEAR(Agent10_Withdrawals!D205)),"")</f>
        <v/>
      </c>
    </row>
    <row r="2001" spans="1:13" ht="18" customHeight="1" x14ac:dyDescent="0.25">
      <c r="A2001" s="37" t="str">
        <f>IF(Agent10_Withdrawals!A206="","",Agent10_Withdrawals!A206)</f>
        <v/>
      </c>
      <c r="B2001" s="37" t="str">
        <f ca="1">IF(Agent10_Withdrawals!A206="","","WD"&amp;TEXT(2001-3,"0000")&amp;"-"&amp;TEXT(TODAY(),"YYYYMMDD"))</f>
        <v/>
      </c>
      <c r="C2001" s="37" t="str">
        <f>IF(Agent10_Withdrawals!A206="","",Agent10_Withdrawals!B206)</f>
        <v/>
      </c>
      <c r="D2001" s="40" t="str">
        <f>IF(Agent10_Withdrawals!A206="","",Agent10_Withdrawals!C206)</f>
        <v/>
      </c>
      <c r="E2001" s="38" t="str">
        <f>IF(Agent10_Withdrawals!A206="","",Agent10_Withdrawals!D206)</f>
        <v/>
      </c>
      <c r="F2001" s="37" t="str">
        <f>IF(Agent10_Withdrawals!A206="","",Agent10_Withdrawals!F206)</f>
        <v/>
      </c>
      <c r="G2001" s="39" t="str">
        <f>IF(Agent10_Withdrawals!A206="","",Agent10_Withdrawals!E206)</f>
        <v/>
      </c>
      <c r="H2001" s="39" t="str">
        <f>IF(Agent10_Withdrawals!A206="","",Agent10_Withdrawals!G206)</f>
        <v/>
      </c>
      <c r="I2001" s="37" t="str">
        <f>IF(Agent10_Withdrawals!A206="","",Agent10_Withdrawals!H206)</f>
        <v/>
      </c>
      <c r="J2001" s="37" t="str">
        <f>IF(Agent10_Withdrawals!A206="","",Agent10_Withdrawals!J206)</f>
        <v/>
      </c>
      <c r="K2001" s="37" t="str">
        <f>IF(Agent10_Withdrawals!A206="","",Agent10_Withdrawals!K206)</f>
        <v/>
      </c>
      <c r="L2001" s="37" t="str">
        <f>IF(G2001="","",IF(D2001-G2001&gt;=System_Config!$B$9,"✅ OK","⚠️ BREACH"))</f>
        <v/>
      </c>
      <c r="M2001" s="37" t="str">
        <f>IFERROR(IF(Agent10_Withdrawals!A206="","",YEAR(Agent10_Withdrawals!D206)),"")</f>
        <v/>
      </c>
    </row>
    <row r="2002" spans="1:13" ht="18" customHeight="1" x14ac:dyDescent="0.25">
      <c r="A2002" s="37" t="str">
        <f>IF(Agent10_Withdrawals!A207="","",Agent10_Withdrawals!A207)</f>
        <v/>
      </c>
      <c r="B2002" s="37" t="str">
        <f ca="1">IF(Agent10_Withdrawals!A207="","","WD"&amp;TEXT(2002-3,"0000")&amp;"-"&amp;TEXT(TODAY(),"YYYYMMDD"))</f>
        <v/>
      </c>
      <c r="C2002" s="37" t="str">
        <f>IF(Agent10_Withdrawals!A207="","",Agent10_Withdrawals!B207)</f>
        <v/>
      </c>
      <c r="D2002" s="40" t="str">
        <f>IF(Agent10_Withdrawals!A207="","",Agent10_Withdrawals!C207)</f>
        <v/>
      </c>
      <c r="E2002" s="38" t="str">
        <f>IF(Agent10_Withdrawals!A207="","",Agent10_Withdrawals!D207)</f>
        <v/>
      </c>
      <c r="F2002" s="37" t="str">
        <f>IF(Agent10_Withdrawals!A207="","",Agent10_Withdrawals!F207)</f>
        <v/>
      </c>
      <c r="G2002" s="39" t="str">
        <f>IF(Agent10_Withdrawals!A207="","",Agent10_Withdrawals!E207)</f>
        <v/>
      </c>
      <c r="H2002" s="39" t="str">
        <f>IF(Agent10_Withdrawals!A207="","",Agent10_Withdrawals!G207)</f>
        <v/>
      </c>
      <c r="I2002" s="37" t="str">
        <f>IF(Agent10_Withdrawals!A207="","",Agent10_Withdrawals!H207)</f>
        <v/>
      </c>
      <c r="J2002" s="37" t="str">
        <f>IF(Agent10_Withdrawals!A207="","",Agent10_Withdrawals!J207)</f>
        <v/>
      </c>
      <c r="K2002" s="37" t="str">
        <f>IF(Agent10_Withdrawals!A207="","",Agent10_Withdrawals!K207)</f>
        <v/>
      </c>
      <c r="L2002" s="37" t="str">
        <f>IF(G2002="","",IF(D2002-G2002&gt;=System_Config!$B$9,"✅ OK","⚠️ BREACH"))</f>
        <v/>
      </c>
      <c r="M2002" s="37" t="str">
        <f>IFERROR(IF(Agent10_Withdrawals!A207="","",YEAR(Agent10_Withdrawals!D207)),"")</f>
        <v/>
      </c>
    </row>
    <row r="2003" spans="1:13" ht="18" customHeight="1" x14ac:dyDescent="0.25">
      <c r="A2003" s="37" t="str">
        <f>IF(Agent10_Withdrawals!A208="","",Agent10_Withdrawals!A208)</f>
        <v/>
      </c>
      <c r="B2003" s="37" t="str">
        <f ca="1">IF(Agent10_Withdrawals!A208="","","WD"&amp;TEXT(2003-3,"0000")&amp;"-"&amp;TEXT(TODAY(),"YYYYMMDD"))</f>
        <v/>
      </c>
      <c r="C2003" s="37" t="str">
        <f>IF(Agent10_Withdrawals!A208="","",Agent10_Withdrawals!B208)</f>
        <v/>
      </c>
      <c r="D2003" s="40" t="str">
        <f>IF(Agent10_Withdrawals!A208="","",Agent10_Withdrawals!C208)</f>
        <v/>
      </c>
      <c r="E2003" s="38" t="str">
        <f>IF(Agent10_Withdrawals!A208="","",Agent10_Withdrawals!D208)</f>
        <v/>
      </c>
      <c r="F2003" s="37" t="str">
        <f>IF(Agent10_Withdrawals!A208="","",Agent10_Withdrawals!F208)</f>
        <v/>
      </c>
      <c r="G2003" s="39" t="str">
        <f>IF(Agent10_Withdrawals!A208="","",Agent10_Withdrawals!E208)</f>
        <v/>
      </c>
      <c r="H2003" s="39" t="str">
        <f>IF(Agent10_Withdrawals!A208="","",Agent10_Withdrawals!G208)</f>
        <v/>
      </c>
      <c r="I2003" s="37" t="str">
        <f>IF(Agent10_Withdrawals!A208="","",Agent10_Withdrawals!H208)</f>
        <v/>
      </c>
      <c r="J2003" s="37" t="str">
        <f>IF(Agent10_Withdrawals!A208="","",Agent10_Withdrawals!J208)</f>
        <v/>
      </c>
      <c r="K2003" s="37" t="str">
        <f>IF(Agent10_Withdrawals!A208="","",Agent10_Withdrawals!K208)</f>
        <v/>
      </c>
      <c r="L2003" s="37" t="str">
        <f>IF(G2003="","",IF(D2003-G2003&gt;=System_Config!$B$9,"✅ OK","⚠️ BREACH"))</f>
        <v/>
      </c>
      <c r="M2003" s="37" t="str">
        <f>IFERROR(IF(Agent10_Withdrawals!A208="","",YEAR(Agent10_Withdrawals!D208)),"")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5C6B"/>
  </sheetPr>
  <dimension ref="A1:M200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6" customWidth="1"/>
    <col min="2" max="2" width="18" customWidth="1"/>
    <col min="3" max="3" width="26" customWidth="1"/>
    <col min="4" max="4" width="14" customWidth="1"/>
    <col min="5" max="5" width="18" customWidth="1"/>
    <col min="6" max="6" width="22" customWidth="1"/>
    <col min="7" max="8" width="10" customWidth="1"/>
    <col min="9" max="10" width="20" customWidth="1"/>
    <col min="11" max="11" width="18" customWidth="1"/>
    <col min="12" max="12" width="14" customWidth="1"/>
    <col min="13" max="13" width="10" customWidth="1"/>
  </cols>
  <sheetData>
    <row r="1" spans="1:13" ht="32.1" customHeight="1" x14ac:dyDescent="0.25">
      <c r="A1" s="95" t="s">
        <v>104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ht="24" customHeight="1" x14ac:dyDescent="0.25">
      <c r="A2" s="92" t="s">
        <v>105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</row>
    <row r="3" spans="1:13" ht="30" customHeight="1" x14ac:dyDescent="0.25">
      <c r="A3" s="19" t="s">
        <v>106</v>
      </c>
      <c r="B3" s="19" t="s">
        <v>88</v>
      </c>
      <c r="C3" s="19" t="s">
        <v>90</v>
      </c>
      <c r="D3" s="19" t="s">
        <v>107</v>
      </c>
      <c r="E3" s="19" t="s">
        <v>108</v>
      </c>
      <c r="F3" s="19" t="s">
        <v>109</v>
      </c>
      <c r="G3" s="19" t="s">
        <v>110</v>
      </c>
      <c r="H3" s="19" t="s">
        <v>111</v>
      </c>
      <c r="I3" s="19" t="s">
        <v>112</v>
      </c>
      <c r="J3" s="19" t="s">
        <v>113</v>
      </c>
      <c r="K3" s="19" t="s">
        <v>77</v>
      </c>
      <c r="L3" s="19" t="s">
        <v>45</v>
      </c>
      <c r="M3" s="19" t="s">
        <v>96</v>
      </c>
    </row>
    <row r="4" spans="1:13" ht="18" customHeight="1" x14ac:dyDescent="0.25">
      <c r="A4" s="37" t="str">
        <f>IF(Agent01_Loans!B14="","",Agent01_Loans!A14)</f>
        <v/>
      </c>
      <c r="B4" s="37" t="str">
        <f>IF(Agent01_Loans!B14="","",Agent01_Loans!B14)</f>
        <v/>
      </c>
      <c r="C4" s="37" t="str">
        <f>IF(Agent01_Loans!B14="","",Agent01_Loans!C14)</f>
        <v/>
      </c>
      <c r="D4" s="38" t="str">
        <f>IF(Agent01_Loans!B14="","",Agent01_Loans!D14)</f>
        <v/>
      </c>
      <c r="E4" s="40" t="str">
        <f>IF(Agent01_Loans!B14="","",Agent01_Loans!E14)</f>
        <v/>
      </c>
      <c r="F4" s="37" t="str">
        <f>IF(Agent01_Loans!B14="","",Agent01_Loans!F14)</f>
        <v/>
      </c>
      <c r="G4" s="37" t="str">
        <f>IF(Agent01_Loans!B14="","",Agent01_Loans!G14)</f>
        <v/>
      </c>
      <c r="H4" s="37" t="str">
        <f>IF(Agent01_Loans!B14="","",Agent01_Loans!H14)</f>
        <v/>
      </c>
      <c r="I4" s="40" t="str">
        <f>IF(Agent01_Loans!B14="","",Agent01_Loans!I14)</f>
        <v/>
      </c>
      <c r="J4" s="40" t="str">
        <f>IF(Agent01_Loans!B14="","",Agent01_Loans!J14)</f>
        <v/>
      </c>
      <c r="K4" s="37" t="str">
        <f>IF(Agent01_Loans!B14="","",Agent01_Loans!K14)</f>
        <v/>
      </c>
      <c r="L4" s="37" t="str">
        <f>IF(Agent01_Loans!B14="","",Agent01_Loans!L14)</f>
        <v/>
      </c>
      <c r="M4" s="37" t="str">
        <f>IFERROR(IF(Agent01_Loans!B14="","",YEAR(Agent01_Loans!D14)),"")</f>
        <v/>
      </c>
    </row>
    <row r="5" spans="1:13" ht="18" customHeight="1" x14ac:dyDescent="0.25">
      <c r="A5" s="37" t="str">
        <f>IF(Agent01_Loans!B15="","",Agent01_Loans!A15)</f>
        <v/>
      </c>
      <c r="B5" s="37" t="str">
        <f>IF(Agent01_Loans!B15="","",Agent01_Loans!B15)</f>
        <v/>
      </c>
      <c r="C5" s="37" t="str">
        <f>IF(Agent01_Loans!B15="","",Agent01_Loans!C15)</f>
        <v/>
      </c>
      <c r="D5" s="38" t="str">
        <f>IF(Agent01_Loans!B15="","",Agent01_Loans!D15)</f>
        <v/>
      </c>
      <c r="E5" s="40" t="str">
        <f>IF(Agent01_Loans!B15="","",Agent01_Loans!E15)</f>
        <v/>
      </c>
      <c r="F5" s="37" t="str">
        <f>IF(Agent01_Loans!B15="","",Agent01_Loans!F15)</f>
        <v/>
      </c>
      <c r="G5" s="37" t="str">
        <f>IF(Agent01_Loans!B15="","",Agent01_Loans!G15)</f>
        <v/>
      </c>
      <c r="H5" s="37" t="str">
        <f>IF(Agent01_Loans!B15="","",Agent01_Loans!H15)</f>
        <v/>
      </c>
      <c r="I5" s="40" t="str">
        <f>IF(Agent01_Loans!B15="","",Agent01_Loans!I15)</f>
        <v/>
      </c>
      <c r="J5" s="40" t="str">
        <f>IF(Agent01_Loans!B15="","",Agent01_Loans!J15)</f>
        <v/>
      </c>
      <c r="K5" s="37" t="str">
        <f>IF(Agent01_Loans!B15="","",Agent01_Loans!K15)</f>
        <v/>
      </c>
      <c r="L5" s="37" t="str">
        <f>IF(Agent01_Loans!B15="","",Agent01_Loans!L15)</f>
        <v/>
      </c>
      <c r="M5" s="37" t="str">
        <f>IFERROR(IF(Agent01_Loans!B15="","",YEAR(Agent01_Loans!D15)),"")</f>
        <v/>
      </c>
    </row>
    <row r="6" spans="1:13" ht="18" customHeight="1" x14ac:dyDescent="0.25">
      <c r="A6" s="37" t="str">
        <f>IF(Agent01_Loans!B16="","",Agent01_Loans!A16)</f>
        <v/>
      </c>
      <c r="B6" s="37" t="str">
        <f>IF(Agent01_Loans!B16="","",Agent01_Loans!B16)</f>
        <v/>
      </c>
      <c r="C6" s="37" t="str">
        <f>IF(Agent01_Loans!B16="","",Agent01_Loans!C16)</f>
        <v/>
      </c>
      <c r="D6" s="38" t="str">
        <f>IF(Agent01_Loans!B16="","",Agent01_Loans!D16)</f>
        <v/>
      </c>
      <c r="E6" s="40" t="str">
        <f>IF(Agent01_Loans!B16="","",Agent01_Loans!E16)</f>
        <v/>
      </c>
      <c r="F6" s="37" t="str">
        <f>IF(Agent01_Loans!B16="","",Agent01_Loans!F16)</f>
        <v/>
      </c>
      <c r="G6" s="37" t="str">
        <f>IF(Agent01_Loans!B16="","",Agent01_Loans!G16)</f>
        <v/>
      </c>
      <c r="H6" s="37" t="str">
        <f>IF(Agent01_Loans!B16="","",Agent01_Loans!H16)</f>
        <v/>
      </c>
      <c r="I6" s="40" t="str">
        <f>IF(Agent01_Loans!B16="","",Agent01_Loans!I16)</f>
        <v/>
      </c>
      <c r="J6" s="40" t="str">
        <f>IF(Agent01_Loans!B16="","",Agent01_Loans!J16)</f>
        <v/>
      </c>
      <c r="K6" s="37" t="str">
        <f>IF(Agent01_Loans!B16="","",Agent01_Loans!K16)</f>
        <v/>
      </c>
      <c r="L6" s="37" t="str">
        <f>IF(Agent01_Loans!B16="","",Agent01_Loans!L16)</f>
        <v/>
      </c>
      <c r="M6" s="37" t="str">
        <f>IFERROR(IF(Agent01_Loans!B16="","",YEAR(Agent01_Loans!D16)),"")</f>
        <v/>
      </c>
    </row>
    <row r="7" spans="1:13" ht="18" customHeight="1" x14ac:dyDescent="0.25">
      <c r="A7" s="37" t="str">
        <f>IF(Agent01_Loans!B17="","",Agent01_Loans!A17)</f>
        <v/>
      </c>
      <c r="B7" s="37" t="str">
        <f>IF(Agent01_Loans!B17="","",Agent01_Loans!B17)</f>
        <v/>
      </c>
      <c r="C7" s="37" t="str">
        <f>IF(Agent01_Loans!B17="","",Agent01_Loans!C17)</f>
        <v/>
      </c>
      <c r="D7" s="38" t="str">
        <f>IF(Agent01_Loans!B17="","",Agent01_Loans!D17)</f>
        <v/>
      </c>
      <c r="E7" s="40" t="str">
        <f>IF(Agent01_Loans!B17="","",Agent01_Loans!E17)</f>
        <v/>
      </c>
      <c r="F7" s="37" t="str">
        <f>IF(Agent01_Loans!B17="","",Agent01_Loans!F17)</f>
        <v/>
      </c>
      <c r="G7" s="37" t="str">
        <f>IF(Agent01_Loans!B17="","",Agent01_Loans!G17)</f>
        <v/>
      </c>
      <c r="H7" s="37" t="str">
        <f>IF(Agent01_Loans!B17="","",Agent01_Loans!H17)</f>
        <v/>
      </c>
      <c r="I7" s="40" t="str">
        <f>IF(Agent01_Loans!B17="","",Agent01_Loans!I17)</f>
        <v/>
      </c>
      <c r="J7" s="40" t="str">
        <f>IF(Agent01_Loans!B17="","",Agent01_Loans!J17)</f>
        <v/>
      </c>
      <c r="K7" s="37" t="str">
        <f>IF(Agent01_Loans!B17="","",Agent01_Loans!K17)</f>
        <v/>
      </c>
      <c r="L7" s="37" t="str">
        <f>IF(Agent01_Loans!B17="","",Agent01_Loans!L17)</f>
        <v/>
      </c>
      <c r="M7" s="37" t="str">
        <f>IFERROR(IF(Agent01_Loans!B17="","",YEAR(Agent01_Loans!D17)),"")</f>
        <v/>
      </c>
    </row>
    <row r="8" spans="1:13" ht="18" customHeight="1" x14ac:dyDescent="0.25">
      <c r="A8" s="37" t="str">
        <f>IF(Agent01_Loans!B18="","",Agent01_Loans!A18)</f>
        <v/>
      </c>
      <c r="B8" s="37" t="str">
        <f>IF(Agent01_Loans!B18="","",Agent01_Loans!B18)</f>
        <v/>
      </c>
      <c r="C8" s="37" t="str">
        <f>IF(Agent01_Loans!B18="","",Agent01_Loans!C18)</f>
        <v/>
      </c>
      <c r="D8" s="38" t="str">
        <f>IF(Agent01_Loans!B18="","",Agent01_Loans!D18)</f>
        <v/>
      </c>
      <c r="E8" s="40" t="str">
        <f>IF(Agent01_Loans!B18="","",Agent01_Loans!E18)</f>
        <v/>
      </c>
      <c r="F8" s="37" t="str">
        <f>IF(Agent01_Loans!B18="","",Agent01_Loans!F18)</f>
        <v/>
      </c>
      <c r="G8" s="37" t="str">
        <f>IF(Agent01_Loans!B18="","",Agent01_Loans!G18)</f>
        <v/>
      </c>
      <c r="H8" s="37" t="str">
        <f>IF(Agent01_Loans!B18="","",Agent01_Loans!H18)</f>
        <v/>
      </c>
      <c r="I8" s="40" t="str">
        <f>IF(Agent01_Loans!B18="","",Agent01_Loans!I18)</f>
        <v/>
      </c>
      <c r="J8" s="40" t="str">
        <f>IF(Agent01_Loans!B18="","",Agent01_Loans!J18)</f>
        <v/>
      </c>
      <c r="K8" s="37" t="str">
        <f>IF(Agent01_Loans!B18="","",Agent01_Loans!K18)</f>
        <v/>
      </c>
      <c r="L8" s="37" t="str">
        <f>IF(Agent01_Loans!B18="","",Agent01_Loans!L18)</f>
        <v/>
      </c>
      <c r="M8" s="37" t="str">
        <f>IFERROR(IF(Agent01_Loans!B18="","",YEAR(Agent01_Loans!D18)),"")</f>
        <v/>
      </c>
    </row>
    <row r="9" spans="1:13" ht="18" customHeight="1" x14ac:dyDescent="0.25">
      <c r="A9" s="37" t="str">
        <f>IF(Agent01_Loans!B19="","",Agent01_Loans!A19)</f>
        <v/>
      </c>
      <c r="B9" s="37" t="str">
        <f>IF(Agent01_Loans!B19="","",Agent01_Loans!B19)</f>
        <v/>
      </c>
      <c r="C9" s="37" t="str">
        <f>IF(Agent01_Loans!B19="","",Agent01_Loans!C19)</f>
        <v/>
      </c>
      <c r="D9" s="38" t="str">
        <f>IF(Agent01_Loans!B19="","",Agent01_Loans!D19)</f>
        <v/>
      </c>
      <c r="E9" s="40" t="str">
        <f>IF(Agent01_Loans!B19="","",Agent01_Loans!E19)</f>
        <v/>
      </c>
      <c r="F9" s="37" t="str">
        <f>IF(Agent01_Loans!B19="","",Agent01_Loans!F19)</f>
        <v/>
      </c>
      <c r="G9" s="37" t="str">
        <f>IF(Agent01_Loans!B19="","",Agent01_Loans!G19)</f>
        <v/>
      </c>
      <c r="H9" s="37" t="str">
        <f>IF(Agent01_Loans!B19="","",Agent01_Loans!H19)</f>
        <v/>
      </c>
      <c r="I9" s="40" t="str">
        <f>IF(Agent01_Loans!B19="","",Agent01_Loans!I19)</f>
        <v/>
      </c>
      <c r="J9" s="40" t="str">
        <f>IF(Agent01_Loans!B19="","",Agent01_Loans!J19)</f>
        <v/>
      </c>
      <c r="K9" s="37" t="str">
        <f>IF(Agent01_Loans!B19="","",Agent01_Loans!K19)</f>
        <v/>
      </c>
      <c r="L9" s="37" t="str">
        <f>IF(Agent01_Loans!B19="","",Agent01_Loans!L19)</f>
        <v/>
      </c>
      <c r="M9" s="37" t="str">
        <f>IFERROR(IF(Agent01_Loans!B19="","",YEAR(Agent01_Loans!D19)),"")</f>
        <v/>
      </c>
    </row>
    <row r="10" spans="1:13" ht="18" customHeight="1" x14ac:dyDescent="0.25">
      <c r="A10" s="37" t="str">
        <f>IF(Agent01_Loans!B20="","",Agent01_Loans!A20)</f>
        <v/>
      </c>
      <c r="B10" s="37" t="str">
        <f>IF(Agent01_Loans!B20="","",Agent01_Loans!B20)</f>
        <v/>
      </c>
      <c r="C10" s="37" t="str">
        <f>IF(Agent01_Loans!B20="","",Agent01_Loans!C20)</f>
        <v/>
      </c>
      <c r="D10" s="38" t="str">
        <f>IF(Agent01_Loans!B20="","",Agent01_Loans!D20)</f>
        <v/>
      </c>
      <c r="E10" s="40" t="str">
        <f>IF(Agent01_Loans!B20="","",Agent01_Loans!E20)</f>
        <v/>
      </c>
      <c r="F10" s="37" t="str">
        <f>IF(Agent01_Loans!B20="","",Agent01_Loans!F20)</f>
        <v/>
      </c>
      <c r="G10" s="37" t="str">
        <f>IF(Agent01_Loans!B20="","",Agent01_Loans!G20)</f>
        <v/>
      </c>
      <c r="H10" s="37" t="str">
        <f>IF(Agent01_Loans!B20="","",Agent01_Loans!H20)</f>
        <v/>
      </c>
      <c r="I10" s="40" t="str">
        <f>IF(Agent01_Loans!B20="","",Agent01_Loans!I20)</f>
        <v/>
      </c>
      <c r="J10" s="40" t="str">
        <f>IF(Agent01_Loans!B20="","",Agent01_Loans!J20)</f>
        <v/>
      </c>
      <c r="K10" s="37" t="str">
        <f>IF(Agent01_Loans!B20="","",Agent01_Loans!K20)</f>
        <v/>
      </c>
      <c r="L10" s="37" t="str">
        <f>IF(Agent01_Loans!B20="","",Agent01_Loans!L20)</f>
        <v/>
      </c>
      <c r="M10" s="37" t="str">
        <f>IFERROR(IF(Agent01_Loans!B20="","",YEAR(Agent01_Loans!D20)),"")</f>
        <v/>
      </c>
    </row>
    <row r="11" spans="1:13" ht="18" customHeight="1" x14ac:dyDescent="0.25">
      <c r="A11" s="37" t="str">
        <f>IF(Agent01_Loans!B21="","",Agent01_Loans!A21)</f>
        <v/>
      </c>
      <c r="B11" s="37" t="str">
        <f>IF(Agent01_Loans!B21="","",Agent01_Loans!B21)</f>
        <v/>
      </c>
      <c r="C11" s="37" t="str">
        <f>IF(Agent01_Loans!B21="","",Agent01_Loans!C21)</f>
        <v/>
      </c>
      <c r="D11" s="38" t="str">
        <f>IF(Agent01_Loans!B21="","",Agent01_Loans!D21)</f>
        <v/>
      </c>
      <c r="E11" s="40" t="str">
        <f>IF(Agent01_Loans!B21="","",Agent01_Loans!E21)</f>
        <v/>
      </c>
      <c r="F11" s="37" t="str">
        <f>IF(Agent01_Loans!B21="","",Agent01_Loans!F21)</f>
        <v/>
      </c>
      <c r="G11" s="37" t="str">
        <f>IF(Agent01_Loans!B21="","",Agent01_Loans!G21)</f>
        <v/>
      </c>
      <c r="H11" s="37" t="str">
        <f>IF(Agent01_Loans!B21="","",Agent01_Loans!H21)</f>
        <v/>
      </c>
      <c r="I11" s="40" t="str">
        <f>IF(Agent01_Loans!B21="","",Agent01_Loans!I21)</f>
        <v/>
      </c>
      <c r="J11" s="40" t="str">
        <f>IF(Agent01_Loans!B21="","",Agent01_Loans!J21)</f>
        <v/>
      </c>
      <c r="K11" s="37" t="str">
        <f>IF(Agent01_Loans!B21="","",Agent01_Loans!K21)</f>
        <v/>
      </c>
      <c r="L11" s="37" t="str">
        <f>IF(Agent01_Loans!B21="","",Agent01_Loans!L21)</f>
        <v/>
      </c>
      <c r="M11" s="37" t="str">
        <f>IFERROR(IF(Agent01_Loans!B21="","",YEAR(Agent01_Loans!D21)),"")</f>
        <v/>
      </c>
    </row>
    <row r="12" spans="1:13" ht="18" customHeight="1" x14ac:dyDescent="0.25">
      <c r="A12" s="37" t="str">
        <f>IF(Agent01_Loans!B22="","",Agent01_Loans!A22)</f>
        <v/>
      </c>
      <c r="B12" s="37" t="str">
        <f>IF(Agent01_Loans!B22="","",Agent01_Loans!B22)</f>
        <v/>
      </c>
      <c r="C12" s="37" t="str">
        <f>IF(Agent01_Loans!B22="","",Agent01_Loans!C22)</f>
        <v/>
      </c>
      <c r="D12" s="38" t="str">
        <f>IF(Agent01_Loans!B22="","",Agent01_Loans!D22)</f>
        <v/>
      </c>
      <c r="E12" s="40" t="str">
        <f>IF(Agent01_Loans!B22="","",Agent01_Loans!E22)</f>
        <v/>
      </c>
      <c r="F12" s="37" t="str">
        <f>IF(Agent01_Loans!B22="","",Agent01_Loans!F22)</f>
        <v/>
      </c>
      <c r="G12" s="37" t="str">
        <f>IF(Agent01_Loans!B22="","",Agent01_Loans!G22)</f>
        <v/>
      </c>
      <c r="H12" s="37" t="str">
        <f>IF(Agent01_Loans!B22="","",Agent01_Loans!H22)</f>
        <v/>
      </c>
      <c r="I12" s="40" t="str">
        <f>IF(Agent01_Loans!B22="","",Agent01_Loans!I22)</f>
        <v/>
      </c>
      <c r="J12" s="40" t="str">
        <f>IF(Agent01_Loans!B22="","",Agent01_Loans!J22)</f>
        <v/>
      </c>
      <c r="K12" s="37" t="str">
        <f>IF(Agent01_Loans!B22="","",Agent01_Loans!K22)</f>
        <v/>
      </c>
      <c r="L12" s="37" t="str">
        <f>IF(Agent01_Loans!B22="","",Agent01_Loans!L22)</f>
        <v/>
      </c>
      <c r="M12" s="37" t="str">
        <f>IFERROR(IF(Agent01_Loans!B22="","",YEAR(Agent01_Loans!D22)),"")</f>
        <v/>
      </c>
    </row>
    <row r="13" spans="1:13" ht="18" customHeight="1" x14ac:dyDescent="0.25">
      <c r="A13" s="37" t="str">
        <f>IF(Agent01_Loans!B23="","",Agent01_Loans!A23)</f>
        <v/>
      </c>
      <c r="B13" s="37" t="str">
        <f>IF(Agent01_Loans!B23="","",Agent01_Loans!B23)</f>
        <v/>
      </c>
      <c r="C13" s="37" t="str">
        <f>IF(Agent01_Loans!B23="","",Agent01_Loans!C23)</f>
        <v/>
      </c>
      <c r="D13" s="38" t="str">
        <f>IF(Agent01_Loans!B23="","",Agent01_Loans!D23)</f>
        <v/>
      </c>
      <c r="E13" s="40" t="str">
        <f>IF(Agent01_Loans!B23="","",Agent01_Loans!E23)</f>
        <v/>
      </c>
      <c r="F13" s="37" t="str">
        <f>IF(Agent01_Loans!B23="","",Agent01_Loans!F23)</f>
        <v/>
      </c>
      <c r="G13" s="37" t="str">
        <f>IF(Agent01_Loans!B23="","",Agent01_Loans!G23)</f>
        <v/>
      </c>
      <c r="H13" s="37" t="str">
        <f>IF(Agent01_Loans!B23="","",Agent01_Loans!H23)</f>
        <v/>
      </c>
      <c r="I13" s="40" t="str">
        <f>IF(Agent01_Loans!B23="","",Agent01_Loans!I23)</f>
        <v/>
      </c>
      <c r="J13" s="40" t="str">
        <f>IF(Agent01_Loans!B23="","",Agent01_Loans!J23)</f>
        <v/>
      </c>
      <c r="K13" s="37" t="str">
        <f>IF(Agent01_Loans!B23="","",Agent01_Loans!K23)</f>
        <v/>
      </c>
      <c r="L13" s="37" t="str">
        <f>IF(Agent01_Loans!B23="","",Agent01_Loans!L23)</f>
        <v/>
      </c>
      <c r="M13" s="37" t="str">
        <f>IFERROR(IF(Agent01_Loans!B23="","",YEAR(Agent01_Loans!D23)),"")</f>
        <v/>
      </c>
    </row>
    <row r="14" spans="1:13" ht="18" customHeight="1" x14ac:dyDescent="0.25">
      <c r="A14" s="37" t="str">
        <f>IF(Agent01_Loans!B24="","",Agent01_Loans!A24)</f>
        <v/>
      </c>
      <c r="B14" s="37" t="str">
        <f>IF(Agent01_Loans!B24="","",Agent01_Loans!B24)</f>
        <v/>
      </c>
      <c r="C14" s="37" t="str">
        <f>IF(Agent01_Loans!B24="","",Agent01_Loans!C24)</f>
        <v/>
      </c>
      <c r="D14" s="38" t="str">
        <f>IF(Agent01_Loans!B24="","",Agent01_Loans!D24)</f>
        <v/>
      </c>
      <c r="E14" s="40" t="str">
        <f>IF(Agent01_Loans!B24="","",Agent01_Loans!E24)</f>
        <v/>
      </c>
      <c r="F14" s="37" t="str">
        <f>IF(Agent01_Loans!B24="","",Agent01_Loans!F24)</f>
        <v/>
      </c>
      <c r="G14" s="37" t="str">
        <f>IF(Agent01_Loans!B24="","",Agent01_Loans!G24)</f>
        <v/>
      </c>
      <c r="H14" s="37" t="str">
        <f>IF(Agent01_Loans!B24="","",Agent01_Loans!H24)</f>
        <v/>
      </c>
      <c r="I14" s="40" t="str">
        <f>IF(Agent01_Loans!B24="","",Agent01_Loans!I24)</f>
        <v/>
      </c>
      <c r="J14" s="40" t="str">
        <f>IF(Agent01_Loans!B24="","",Agent01_Loans!J24)</f>
        <v/>
      </c>
      <c r="K14" s="37" t="str">
        <f>IF(Agent01_Loans!B24="","",Agent01_Loans!K24)</f>
        <v/>
      </c>
      <c r="L14" s="37" t="str">
        <f>IF(Agent01_Loans!B24="","",Agent01_Loans!L24)</f>
        <v/>
      </c>
      <c r="M14" s="37" t="str">
        <f>IFERROR(IF(Agent01_Loans!B24="","",YEAR(Agent01_Loans!D24)),"")</f>
        <v/>
      </c>
    </row>
    <row r="15" spans="1:13" ht="18" customHeight="1" x14ac:dyDescent="0.25">
      <c r="A15" s="37" t="str">
        <f>IF(Agent01_Loans!B25="","",Agent01_Loans!A25)</f>
        <v/>
      </c>
      <c r="B15" s="37" t="str">
        <f>IF(Agent01_Loans!B25="","",Agent01_Loans!B25)</f>
        <v/>
      </c>
      <c r="C15" s="37" t="str">
        <f>IF(Agent01_Loans!B25="","",Agent01_Loans!C25)</f>
        <v/>
      </c>
      <c r="D15" s="38" t="str">
        <f>IF(Agent01_Loans!B25="","",Agent01_Loans!D25)</f>
        <v/>
      </c>
      <c r="E15" s="40" t="str">
        <f>IF(Agent01_Loans!B25="","",Agent01_Loans!E25)</f>
        <v/>
      </c>
      <c r="F15" s="37" t="str">
        <f>IF(Agent01_Loans!B25="","",Agent01_Loans!F25)</f>
        <v/>
      </c>
      <c r="G15" s="37" t="str">
        <f>IF(Agent01_Loans!B25="","",Agent01_Loans!G25)</f>
        <v/>
      </c>
      <c r="H15" s="37" t="str">
        <f>IF(Agent01_Loans!B25="","",Agent01_Loans!H25)</f>
        <v/>
      </c>
      <c r="I15" s="40" t="str">
        <f>IF(Agent01_Loans!B25="","",Agent01_Loans!I25)</f>
        <v/>
      </c>
      <c r="J15" s="40" t="str">
        <f>IF(Agent01_Loans!B25="","",Agent01_Loans!J25)</f>
        <v/>
      </c>
      <c r="K15" s="37" t="str">
        <f>IF(Agent01_Loans!B25="","",Agent01_Loans!K25)</f>
        <v/>
      </c>
      <c r="L15" s="37" t="str">
        <f>IF(Agent01_Loans!B25="","",Agent01_Loans!L25)</f>
        <v/>
      </c>
      <c r="M15" s="37" t="str">
        <f>IFERROR(IF(Agent01_Loans!B25="","",YEAR(Agent01_Loans!D25)),"")</f>
        <v/>
      </c>
    </row>
    <row r="16" spans="1:13" ht="18" customHeight="1" x14ac:dyDescent="0.25">
      <c r="A16" s="37" t="str">
        <f>IF(Agent01_Loans!B26="","",Agent01_Loans!A26)</f>
        <v/>
      </c>
      <c r="B16" s="37" t="str">
        <f>IF(Agent01_Loans!B26="","",Agent01_Loans!B26)</f>
        <v/>
      </c>
      <c r="C16" s="37" t="str">
        <f>IF(Agent01_Loans!B26="","",Agent01_Loans!C26)</f>
        <v/>
      </c>
      <c r="D16" s="38" t="str">
        <f>IF(Agent01_Loans!B26="","",Agent01_Loans!D26)</f>
        <v/>
      </c>
      <c r="E16" s="40" t="str">
        <f>IF(Agent01_Loans!B26="","",Agent01_Loans!E26)</f>
        <v/>
      </c>
      <c r="F16" s="37" t="str">
        <f>IF(Agent01_Loans!B26="","",Agent01_Loans!F26)</f>
        <v/>
      </c>
      <c r="G16" s="37" t="str">
        <f>IF(Agent01_Loans!B26="","",Agent01_Loans!G26)</f>
        <v/>
      </c>
      <c r="H16" s="37" t="str">
        <f>IF(Agent01_Loans!B26="","",Agent01_Loans!H26)</f>
        <v/>
      </c>
      <c r="I16" s="40" t="str">
        <f>IF(Agent01_Loans!B26="","",Agent01_Loans!I26)</f>
        <v/>
      </c>
      <c r="J16" s="40" t="str">
        <f>IF(Agent01_Loans!B26="","",Agent01_Loans!J26)</f>
        <v/>
      </c>
      <c r="K16" s="37" t="str">
        <f>IF(Agent01_Loans!B26="","",Agent01_Loans!K26)</f>
        <v/>
      </c>
      <c r="L16" s="37" t="str">
        <f>IF(Agent01_Loans!B26="","",Agent01_Loans!L26)</f>
        <v/>
      </c>
      <c r="M16" s="37" t="str">
        <f>IFERROR(IF(Agent01_Loans!B26="","",YEAR(Agent01_Loans!D26)),"")</f>
        <v/>
      </c>
    </row>
    <row r="17" spans="1:13" ht="18" customHeight="1" x14ac:dyDescent="0.25">
      <c r="A17" s="37" t="str">
        <f>IF(Agent01_Loans!B27="","",Agent01_Loans!A27)</f>
        <v/>
      </c>
      <c r="B17" s="37" t="str">
        <f>IF(Agent01_Loans!B27="","",Agent01_Loans!B27)</f>
        <v/>
      </c>
      <c r="C17" s="37" t="str">
        <f>IF(Agent01_Loans!B27="","",Agent01_Loans!C27)</f>
        <v/>
      </c>
      <c r="D17" s="38" t="str">
        <f>IF(Agent01_Loans!B27="","",Agent01_Loans!D27)</f>
        <v/>
      </c>
      <c r="E17" s="40" t="str">
        <f>IF(Agent01_Loans!B27="","",Agent01_Loans!E27)</f>
        <v/>
      </c>
      <c r="F17" s="37" t="str">
        <f>IF(Agent01_Loans!B27="","",Agent01_Loans!F27)</f>
        <v/>
      </c>
      <c r="G17" s="37" t="str">
        <f>IF(Agent01_Loans!B27="","",Agent01_Loans!G27)</f>
        <v/>
      </c>
      <c r="H17" s="37" t="str">
        <f>IF(Agent01_Loans!B27="","",Agent01_Loans!H27)</f>
        <v/>
      </c>
      <c r="I17" s="40" t="str">
        <f>IF(Agent01_Loans!B27="","",Agent01_Loans!I27)</f>
        <v/>
      </c>
      <c r="J17" s="40" t="str">
        <f>IF(Agent01_Loans!B27="","",Agent01_Loans!J27)</f>
        <v/>
      </c>
      <c r="K17" s="37" t="str">
        <f>IF(Agent01_Loans!B27="","",Agent01_Loans!K27)</f>
        <v/>
      </c>
      <c r="L17" s="37" t="str">
        <f>IF(Agent01_Loans!B27="","",Agent01_Loans!L27)</f>
        <v/>
      </c>
      <c r="M17" s="37" t="str">
        <f>IFERROR(IF(Agent01_Loans!B27="","",YEAR(Agent01_Loans!D27)),"")</f>
        <v/>
      </c>
    </row>
    <row r="18" spans="1:13" ht="18" customHeight="1" x14ac:dyDescent="0.25">
      <c r="A18" s="37" t="str">
        <f>IF(Agent01_Loans!B28="","",Agent01_Loans!A28)</f>
        <v/>
      </c>
      <c r="B18" s="37" t="str">
        <f>IF(Agent01_Loans!B28="","",Agent01_Loans!B28)</f>
        <v/>
      </c>
      <c r="C18" s="37" t="str">
        <f>IF(Agent01_Loans!B28="","",Agent01_Loans!C28)</f>
        <v/>
      </c>
      <c r="D18" s="38" t="str">
        <f>IF(Agent01_Loans!B28="","",Agent01_Loans!D28)</f>
        <v/>
      </c>
      <c r="E18" s="40" t="str">
        <f>IF(Agent01_Loans!B28="","",Agent01_Loans!E28)</f>
        <v/>
      </c>
      <c r="F18" s="37" t="str">
        <f>IF(Agent01_Loans!B28="","",Agent01_Loans!F28)</f>
        <v/>
      </c>
      <c r="G18" s="37" t="str">
        <f>IF(Agent01_Loans!B28="","",Agent01_Loans!G28)</f>
        <v/>
      </c>
      <c r="H18" s="37" t="str">
        <f>IF(Agent01_Loans!B28="","",Agent01_Loans!H28)</f>
        <v/>
      </c>
      <c r="I18" s="40" t="str">
        <f>IF(Agent01_Loans!B28="","",Agent01_Loans!I28)</f>
        <v/>
      </c>
      <c r="J18" s="40" t="str">
        <f>IF(Agent01_Loans!B28="","",Agent01_Loans!J28)</f>
        <v/>
      </c>
      <c r="K18" s="37" t="str">
        <f>IF(Agent01_Loans!B28="","",Agent01_Loans!K28)</f>
        <v/>
      </c>
      <c r="L18" s="37" t="str">
        <f>IF(Agent01_Loans!B28="","",Agent01_Loans!L28)</f>
        <v/>
      </c>
      <c r="M18" s="37" t="str">
        <f>IFERROR(IF(Agent01_Loans!B28="","",YEAR(Agent01_Loans!D28)),"")</f>
        <v/>
      </c>
    </row>
    <row r="19" spans="1:13" ht="18" customHeight="1" x14ac:dyDescent="0.25">
      <c r="A19" s="37" t="str">
        <f>IF(Agent01_Loans!B29="","",Agent01_Loans!A29)</f>
        <v/>
      </c>
      <c r="B19" s="37" t="str">
        <f>IF(Agent01_Loans!B29="","",Agent01_Loans!B29)</f>
        <v/>
      </c>
      <c r="C19" s="37" t="str">
        <f>IF(Agent01_Loans!B29="","",Agent01_Loans!C29)</f>
        <v/>
      </c>
      <c r="D19" s="38" t="str">
        <f>IF(Agent01_Loans!B29="","",Agent01_Loans!D29)</f>
        <v/>
      </c>
      <c r="E19" s="40" t="str">
        <f>IF(Agent01_Loans!B29="","",Agent01_Loans!E29)</f>
        <v/>
      </c>
      <c r="F19" s="37" t="str">
        <f>IF(Agent01_Loans!B29="","",Agent01_Loans!F29)</f>
        <v/>
      </c>
      <c r="G19" s="37" t="str">
        <f>IF(Agent01_Loans!B29="","",Agent01_Loans!G29)</f>
        <v/>
      </c>
      <c r="H19" s="37" t="str">
        <f>IF(Agent01_Loans!B29="","",Agent01_Loans!H29)</f>
        <v/>
      </c>
      <c r="I19" s="40" t="str">
        <f>IF(Agent01_Loans!B29="","",Agent01_Loans!I29)</f>
        <v/>
      </c>
      <c r="J19" s="40" t="str">
        <f>IF(Agent01_Loans!B29="","",Agent01_Loans!J29)</f>
        <v/>
      </c>
      <c r="K19" s="37" t="str">
        <f>IF(Agent01_Loans!B29="","",Agent01_Loans!K29)</f>
        <v/>
      </c>
      <c r="L19" s="37" t="str">
        <f>IF(Agent01_Loans!B29="","",Agent01_Loans!L29)</f>
        <v/>
      </c>
      <c r="M19" s="37" t="str">
        <f>IFERROR(IF(Agent01_Loans!B29="","",YEAR(Agent01_Loans!D29)),"")</f>
        <v/>
      </c>
    </row>
    <row r="20" spans="1:13" ht="18" customHeight="1" x14ac:dyDescent="0.25">
      <c r="A20" s="37" t="str">
        <f>IF(Agent01_Loans!B30="","",Agent01_Loans!A30)</f>
        <v/>
      </c>
      <c r="B20" s="37" t="str">
        <f>IF(Agent01_Loans!B30="","",Agent01_Loans!B30)</f>
        <v/>
      </c>
      <c r="C20" s="37" t="str">
        <f>IF(Agent01_Loans!B30="","",Agent01_Loans!C30)</f>
        <v/>
      </c>
      <c r="D20" s="38" t="str">
        <f>IF(Agent01_Loans!B30="","",Agent01_Loans!D30)</f>
        <v/>
      </c>
      <c r="E20" s="40" t="str">
        <f>IF(Agent01_Loans!B30="","",Agent01_Loans!E30)</f>
        <v/>
      </c>
      <c r="F20" s="37" t="str">
        <f>IF(Agent01_Loans!B30="","",Agent01_Loans!F30)</f>
        <v/>
      </c>
      <c r="G20" s="37" t="str">
        <f>IF(Agent01_Loans!B30="","",Agent01_Loans!G30)</f>
        <v/>
      </c>
      <c r="H20" s="37" t="str">
        <f>IF(Agent01_Loans!B30="","",Agent01_Loans!H30)</f>
        <v/>
      </c>
      <c r="I20" s="40" t="str">
        <f>IF(Agent01_Loans!B30="","",Agent01_Loans!I30)</f>
        <v/>
      </c>
      <c r="J20" s="40" t="str">
        <f>IF(Agent01_Loans!B30="","",Agent01_Loans!J30)</f>
        <v/>
      </c>
      <c r="K20" s="37" t="str">
        <f>IF(Agent01_Loans!B30="","",Agent01_Loans!K30)</f>
        <v/>
      </c>
      <c r="L20" s="37" t="str">
        <f>IF(Agent01_Loans!B30="","",Agent01_Loans!L30)</f>
        <v/>
      </c>
      <c r="M20" s="37" t="str">
        <f>IFERROR(IF(Agent01_Loans!B30="","",YEAR(Agent01_Loans!D30)),"")</f>
        <v/>
      </c>
    </row>
    <row r="21" spans="1:13" ht="18" customHeight="1" x14ac:dyDescent="0.25">
      <c r="A21" s="37" t="str">
        <f>IF(Agent01_Loans!B31="","",Agent01_Loans!A31)</f>
        <v/>
      </c>
      <c r="B21" s="37" t="str">
        <f>IF(Agent01_Loans!B31="","",Agent01_Loans!B31)</f>
        <v/>
      </c>
      <c r="C21" s="37" t="str">
        <f>IF(Agent01_Loans!B31="","",Agent01_Loans!C31)</f>
        <v/>
      </c>
      <c r="D21" s="38" t="str">
        <f>IF(Agent01_Loans!B31="","",Agent01_Loans!D31)</f>
        <v/>
      </c>
      <c r="E21" s="40" t="str">
        <f>IF(Agent01_Loans!B31="","",Agent01_Loans!E31)</f>
        <v/>
      </c>
      <c r="F21" s="37" t="str">
        <f>IF(Agent01_Loans!B31="","",Agent01_Loans!F31)</f>
        <v/>
      </c>
      <c r="G21" s="37" t="str">
        <f>IF(Agent01_Loans!B31="","",Agent01_Loans!G31)</f>
        <v/>
      </c>
      <c r="H21" s="37" t="str">
        <f>IF(Agent01_Loans!B31="","",Agent01_Loans!H31)</f>
        <v/>
      </c>
      <c r="I21" s="40" t="str">
        <f>IF(Agent01_Loans!B31="","",Agent01_Loans!I31)</f>
        <v/>
      </c>
      <c r="J21" s="40" t="str">
        <f>IF(Agent01_Loans!B31="","",Agent01_Loans!J31)</f>
        <v/>
      </c>
      <c r="K21" s="37" t="str">
        <f>IF(Agent01_Loans!B31="","",Agent01_Loans!K31)</f>
        <v/>
      </c>
      <c r="L21" s="37" t="str">
        <f>IF(Agent01_Loans!B31="","",Agent01_Loans!L31)</f>
        <v/>
      </c>
      <c r="M21" s="37" t="str">
        <f>IFERROR(IF(Agent01_Loans!B31="","",YEAR(Agent01_Loans!D31)),"")</f>
        <v/>
      </c>
    </row>
    <row r="22" spans="1:13" ht="18" customHeight="1" x14ac:dyDescent="0.25">
      <c r="A22" s="37" t="str">
        <f>IF(Agent01_Loans!B32="","",Agent01_Loans!A32)</f>
        <v/>
      </c>
      <c r="B22" s="37" t="str">
        <f>IF(Agent01_Loans!B32="","",Agent01_Loans!B32)</f>
        <v/>
      </c>
      <c r="C22" s="37" t="str">
        <f>IF(Agent01_Loans!B32="","",Agent01_Loans!C32)</f>
        <v/>
      </c>
      <c r="D22" s="38" t="str">
        <f>IF(Agent01_Loans!B32="","",Agent01_Loans!D32)</f>
        <v/>
      </c>
      <c r="E22" s="40" t="str">
        <f>IF(Agent01_Loans!B32="","",Agent01_Loans!E32)</f>
        <v/>
      </c>
      <c r="F22" s="37" t="str">
        <f>IF(Agent01_Loans!B32="","",Agent01_Loans!F32)</f>
        <v/>
      </c>
      <c r="G22" s="37" t="str">
        <f>IF(Agent01_Loans!B32="","",Agent01_Loans!G32)</f>
        <v/>
      </c>
      <c r="H22" s="37" t="str">
        <f>IF(Agent01_Loans!B32="","",Agent01_Loans!H32)</f>
        <v/>
      </c>
      <c r="I22" s="40" t="str">
        <f>IF(Agent01_Loans!B32="","",Agent01_Loans!I32)</f>
        <v/>
      </c>
      <c r="J22" s="40" t="str">
        <f>IF(Agent01_Loans!B32="","",Agent01_Loans!J32)</f>
        <v/>
      </c>
      <c r="K22" s="37" t="str">
        <f>IF(Agent01_Loans!B32="","",Agent01_Loans!K32)</f>
        <v/>
      </c>
      <c r="L22" s="37" t="str">
        <f>IF(Agent01_Loans!B32="","",Agent01_Loans!L32)</f>
        <v/>
      </c>
      <c r="M22" s="37" t="str">
        <f>IFERROR(IF(Agent01_Loans!B32="","",YEAR(Agent01_Loans!D32)),"")</f>
        <v/>
      </c>
    </row>
    <row r="23" spans="1:13" ht="18" customHeight="1" x14ac:dyDescent="0.25">
      <c r="A23" s="37" t="str">
        <f>IF(Agent01_Loans!B33="","",Agent01_Loans!A33)</f>
        <v/>
      </c>
      <c r="B23" s="37" t="str">
        <f>IF(Agent01_Loans!B33="","",Agent01_Loans!B33)</f>
        <v/>
      </c>
      <c r="C23" s="37" t="str">
        <f>IF(Agent01_Loans!B33="","",Agent01_Loans!C33)</f>
        <v/>
      </c>
      <c r="D23" s="38" t="str">
        <f>IF(Agent01_Loans!B33="","",Agent01_Loans!D33)</f>
        <v/>
      </c>
      <c r="E23" s="40" t="str">
        <f>IF(Agent01_Loans!B33="","",Agent01_Loans!E33)</f>
        <v/>
      </c>
      <c r="F23" s="37" t="str">
        <f>IF(Agent01_Loans!B33="","",Agent01_Loans!F33)</f>
        <v/>
      </c>
      <c r="G23" s="37" t="str">
        <f>IF(Agent01_Loans!B33="","",Agent01_Loans!G33)</f>
        <v/>
      </c>
      <c r="H23" s="37" t="str">
        <f>IF(Agent01_Loans!B33="","",Agent01_Loans!H33)</f>
        <v/>
      </c>
      <c r="I23" s="40" t="str">
        <f>IF(Agent01_Loans!B33="","",Agent01_Loans!I33)</f>
        <v/>
      </c>
      <c r="J23" s="40" t="str">
        <f>IF(Agent01_Loans!B33="","",Agent01_Loans!J33)</f>
        <v/>
      </c>
      <c r="K23" s="37" t="str">
        <f>IF(Agent01_Loans!B33="","",Agent01_Loans!K33)</f>
        <v/>
      </c>
      <c r="L23" s="37" t="str">
        <f>IF(Agent01_Loans!B33="","",Agent01_Loans!L33)</f>
        <v/>
      </c>
      <c r="M23" s="37" t="str">
        <f>IFERROR(IF(Agent01_Loans!B33="","",YEAR(Agent01_Loans!D33)),"")</f>
        <v/>
      </c>
    </row>
    <row r="24" spans="1:13" ht="18" customHeight="1" x14ac:dyDescent="0.25">
      <c r="A24" s="37" t="str">
        <f>IF(Agent01_Loans!B34="","",Agent01_Loans!A34)</f>
        <v/>
      </c>
      <c r="B24" s="37" t="str">
        <f>IF(Agent01_Loans!B34="","",Agent01_Loans!B34)</f>
        <v/>
      </c>
      <c r="C24" s="37" t="str">
        <f>IF(Agent01_Loans!B34="","",Agent01_Loans!C34)</f>
        <v/>
      </c>
      <c r="D24" s="38" t="str">
        <f>IF(Agent01_Loans!B34="","",Agent01_Loans!D34)</f>
        <v/>
      </c>
      <c r="E24" s="40" t="str">
        <f>IF(Agent01_Loans!B34="","",Agent01_Loans!E34)</f>
        <v/>
      </c>
      <c r="F24" s="37" t="str">
        <f>IF(Agent01_Loans!B34="","",Agent01_Loans!F34)</f>
        <v/>
      </c>
      <c r="G24" s="37" t="str">
        <f>IF(Agent01_Loans!B34="","",Agent01_Loans!G34)</f>
        <v/>
      </c>
      <c r="H24" s="37" t="str">
        <f>IF(Agent01_Loans!B34="","",Agent01_Loans!H34)</f>
        <v/>
      </c>
      <c r="I24" s="40" t="str">
        <f>IF(Agent01_Loans!B34="","",Agent01_Loans!I34)</f>
        <v/>
      </c>
      <c r="J24" s="40" t="str">
        <f>IF(Agent01_Loans!B34="","",Agent01_Loans!J34)</f>
        <v/>
      </c>
      <c r="K24" s="37" t="str">
        <f>IF(Agent01_Loans!B34="","",Agent01_Loans!K34)</f>
        <v/>
      </c>
      <c r="L24" s="37" t="str">
        <f>IF(Agent01_Loans!B34="","",Agent01_Loans!L34)</f>
        <v/>
      </c>
      <c r="M24" s="37" t="str">
        <f>IFERROR(IF(Agent01_Loans!B34="","",YEAR(Agent01_Loans!D34)),"")</f>
        <v/>
      </c>
    </row>
    <row r="25" spans="1:13" ht="18" customHeight="1" x14ac:dyDescent="0.25">
      <c r="A25" s="37" t="str">
        <f>IF(Agent01_Loans!B35="","",Agent01_Loans!A35)</f>
        <v/>
      </c>
      <c r="B25" s="37" t="str">
        <f>IF(Agent01_Loans!B35="","",Agent01_Loans!B35)</f>
        <v/>
      </c>
      <c r="C25" s="37" t="str">
        <f>IF(Agent01_Loans!B35="","",Agent01_Loans!C35)</f>
        <v/>
      </c>
      <c r="D25" s="38" t="str">
        <f>IF(Agent01_Loans!B35="","",Agent01_Loans!D35)</f>
        <v/>
      </c>
      <c r="E25" s="40" t="str">
        <f>IF(Agent01_Loans!B35="","",Agent01_Loans!E35)</f>
        <v/>
      </c>
      <c r="F25" s="37" t="str">
        <f>IF(Agent01_Loans!B35="","",Agent01_Loans!F35)</f>
        <v/>
      </c>
      <c r="G25" s="37" t="str">
        <f>IF(Agent01_Loans!B35="","",Agent01_Loans!G35)</f>
        <v/>
      </c>
      <c r="H25" s="37" t="str">
        <f>IF(Agent01_Loans!B35="","",Agent01_Loans!H35)</f>
        <v/>
      </c>
      <c r="I25" s="40" t="str">
        <f>IF(Agent01_Loans!B35="","",Agent01_Loans!I35)</f>
        <v/>
      </c>
      <c r="J25" s="40" t="str">
        <f>IF(Agent01_Loans!B35="","",Agent01_Loans!J35)</f>
        <v/>
      </c>
      <c r="K25" s="37" t="str">
        <f>IF(Agent01_Loans!B35="","",Agent01_Loans!K35)</f>
        <v/>
      </c>
      <c r="L25" s="37" t="str">
        <f>IF(Agent01_Loans!B35="","",Agent01_Loans!L35)</f>
        <v/>
      </c>
      <c r="M25" s="37" t="str">
        <f>IFERROR(IF(Agent01_Loans!B35="","",YEAR(Agent01_Loans!D35)),"")</f>
        <v/>
      </c>
    </row>
    <row r="26" spans="1:13" ht="18" customHeight="1" x14ac:dyDescent="0.25">
      <c r="A26" s="37" t="str">
        <f>IF(Agent01_Loans!B36="","",Agent01_Loans!A36)</f>
        <v/>
      </c>
      <c r="B26" s="37" t="str">
        <f>IF(Agent01_Loans!B36="","",Agent01_Loans!B36)</f>
        <v/>
      </c>
      <c r="C26" s="37" t="str">
        <f>IF(Agent01_Loans!B36="","",Agent01_Loans!C36)</f>
        <v/>
      </c>
      <c r="D26" s="38" t="str">
        <f>IF(Agent01_Loans!B36="","",Agent01_Loans!D36)</f>
        <v/>
      </c>
      <c r="E26" s="40" t="str">
        <f>IF(Agent01_Loans!B36="","",Agent01_Loans!E36)</f>
        <v/>
      </c>
      <c r="F26" s="37" t="str">
        <f>IF(Agent01_Loans!B36="","",Agent01_Loans!F36)</f>
        <v/>
      </c>
      <c r="G26" s="37" t="str">
        <f>IF(Agent01_Loans!B36="","",Agent01_Loans!G36)</f>
        <v/>
      </c>
      <c r="H26" s="37" t="str">
        <f>IF(Agent01_Loans!B36="","",Agent01_Loans!H36)</f>
        <v/>
      </c>
      <c r="I26" s="40" t="str">
        <f>IF(Agent01_Loans!B36="","",Agent01_Loans!I36)</f>
        <v/>
      </c>
      <c r="J26" s="40" t="str">
        <f>IF(Agent01_Loans!B36="","",Agent01_Loans!J36)</f>
        <v/>
      </c>
      <c r="K26" s="37" t="str">
        <f>IF(Agent01_Loans!B36="","",Agent01_Loans!K36)</f>
        <v/>
      </c>
      <c r="L26" s="37" t="str">
        <f>IF(Agent01_Loans!B36="","",Agent01_Loans!L36)</f>
        <v/>
      </c>
      <c r="M26" s="37" t="str">
        <f>IFERROR(IF(Agent01_Loans!B36="","",YEAR(Agent01_Loans!D36)),"")</f>
        <v/>
      </c>
    </row>
    <row r="27" spans="1:13" ht="18" customHeight="1" x14ac:dyDescent="0.25">
      <c r="A27" s="37" t="str">
        <f>IF(Agent01_Loans!B37="","",Agent01_Loans!A37)</f>
        <v/>
      </c>
      <c r="B27" s="37" t="str">
        <f>IF(Agent01_Loans!B37="","",Agent01_Loans!B37)</f>
        <v/>
      </c>
      <c r="C27" s="37" t="str">
        <f>IF(Agent01_Loans!B37="","",Agent01_Loans!C37)</f>
        <v/>
      </c>
      <c r="D27" s="38" t="str">
        <f>IF(Agent01_Loans!B37="","",Agent01_Loans!D37)</f>
        <v/>
      </c>
      <c r="E27" s="40" t="str">
        <f>IF(Agent01_Loans!B37="","",Agent01_Loans!E37)</f>
        <v/>
      </c>
      <c r="F27" s="37" t="str">
        <f>IF(Agent01_Loans!B37="","",Agent01_Loans!F37)</f>
        <v/>
      </c>
      <c r="G27" s="37" t="str">
        <f>IF(Agent01_Loans!B37="","",Agent01_Loans!G37)</f>
        <v/>
      </c>
      <c r="H27" s="37" t="str">
        <f>IF(Agent01_Loans!B37="","",Agent01_Loans!H37)</f>
        <v/>
      </c>
      <c r="I27" s="40" t="str">
        <f>IF(Agent01_Loans!B37="","",Agent01_Loans!I37)</f>
        <v/>
      </c>
      <c r="J27" s="40" t="str">
        <f>IF(Agent01_Loans!B37="","",Agent01_Loans!J37)</f>
        <v/>
      </c>
      <c r="K27" s="37" t="str">
        <f>IF(Agent01_Loans!B37="","",Agent01_Loans!K37)</f>
        <v/>
      </c>
      <c r="L27" s="37" t="str">
        <f>IF(Agent01_Loans!B37="","",Agent01_Loans!L37)</f>
        <v/>
      </c>
      <c r="M27" s="37" t="str">
        <f>IFERROR(IF(Agent01_Loans!B37="","",YEAR(Agent01_Loans!D37)),"")</f>
        <v/>
      </c>
    </row>
    <row r="28" spans="1:13" ht="18" customHeight="1" x14ac:dyDescent="0.25">
      <c r="A28" s="37" t="str">
        <f>IF(Agent01_Loans!B38="","",Agent01_Loans!A38)</f>
        <v/>
      </c>
      <c r="B28" s="37" t="str">
        <f>IF(Agent01_Loans!B38="","",Agent01_Loans!B38)</f>
        <v/>
      </c>
      <c r="C28" s="37" t="str">
        <f>IF(Agent01_Loans!B38="","",Agent01_Loans!C38)</f>
        <v/>
      </c>
      <c r="D28" s="38" t="str">
        <f>IF(Agent01_Loans!B38="","",Agent01_Loans!D38)</f>
        <v/>
      </c>
      <c r="E28" s="40" t="str">
        <f>IF(Agent01_Loans!B38="","",Agent01_Loans!E38)</f>
        <v/>
      </c>
      <c r="F28" s="37" t="str">
        <f>IF(Agent01_Loans!B38="","",Agent01_Loans!F38)</f>
        <v/>
      </c>
      <c r="G28" s="37" t="str">
        <f>IF(Agent01_Loans!B38="","",Agent01_Loans!G38)</f>
        <v/>
      </c>
      <c r="H28" s="37" t="str">
        <f>IF(Agent01_Loans!B38="","",Agent01_Loans!H38)</f>
        <v/>
      </c>
      <c r="I28" s="40" t="str">
        <f>IF(Agent01_Loans!B38="","",Agent01_Loans!I38)</f>
        <v/>
      </c>
      <c r="J28" s="40" t="str">
        <f>IF(Agent01_Loans!B38="","",Agent01_Loans!J38)</f>
        <v/>
      </c>
      <c r="K28" s="37" t="str">
        <f>IF(Agent01_Loans!B38="","",Agent01_Loans!K38)</f>
        <v/>
      </c>
      <c r="L28" s="37" t="str">
        <f>IF(Agent01_Loans!B38="","",Agent01_Loans!L38)</f>
        <v/>
      </c>
      <c r="M28" s="37" t="str">
        <f>IFERROR(IF(Agent01_Loans!B38="","",YEAR(Agent01_Loans!D38)),"")</f>
        <v/>
      </c>
    </row>
    <row r="29" spans="1:13" ht="18" customHeight="1" x14ac:dyDescent="0.25">
      <c r="A29" s="37" t="str">
        <f>IF(Agent01_Loans!B39="","",Agent01_Loans!A39)</f>
        <v/>
      </c>
      <c r="B29" s="37" t="str">
        <f>IF(Agent01_Loans!B39="","",Agent01_Loans!B39)</f>
        <v/>
      </c>
      <c r="C29" s="37" t="str">
        <f>IF(Agent01_Loans!B39="","",Agent01_Loans!C39)</f>
        <v/>
      </c>
      <c r="D29" s="38" t="str">
        <f>IF(Agent01_Loans!B39="","",Agent01_Loans!D39)</f>
        <v/>
      </c>
      <c r="E29" s="40" t="str">
        <f>IF(Agent01_Loans!B39="","",Agent01_Loans!E39)</f>
        <v/>
      </c>
      <c r="F29" s="37" t="str">
        <f>IF(Agent01_Loans!B39="","",Agent01_Loans!F39)</f>
        <v/>
      </c>
      <c r="G29" s="37" t="str">
        <f>IF(Agent01_Loans!B39="","",Agent01_Loans!G39)</f>
        <v/>
      </c>
      <c r="H29" s="37" t="str">
        <f>IF(Agent01_Loans!B39="","",Agent01_Loans!H39)</f>
        <v/>
      </c>
      <c r="I29" s="40" t="str">
        <f>IF(Agent01_Loans!B39="","",Agent01_Loans!I39)</f>
        <v/>
      </c>
      <c r="J29" s="40" t="str">
        <f>IF(Agent01_Loans!B39="","",Agent01_Loans!J39)</f>
        <v/>
      </c>
      <c r="K29" s="37" t="str">
        <f>IF(Agent01_Loans!B39="","",Agent01_Loans!K39)</f>
        <v/>
      </c>
      <c r="L29" s="37" t="str">
        <f>IF(Agent01_Loans!B39="","",Agent01_Loans!L39)</f>
        <v/>
      </c>
      <c r="M29" s="37" t="str">
        <f>IFERROR(IF(Agent01_Loans!B39="","",YEAR(Agent01_Loans!D39)),"")</f>
        <v/>
      </c>
    </row>
    <row r="30" spans="1:13" ht="18" customHeight="1" x14ac:dyDescent="0.25">
      <c r="A30" s="37" t="str">
        <f>IF(Agent01_Loans!B40="","",Agent01_Loans!A40)</f>
        <v/>
      </c>
      <c r="B30" s="37" t="str">
        <f>IF(Agent01_Loans!B40="","",Agent01_Loans!B40)</f>
        <v/>
      </c>
      <c r="C30" s="37" t="str">
        <f>IF(Agent01_Loans!B40="","",Agent01_Loans!C40)</f>
        <v/>
      </c>
      <c r="D30" s="38" t="str">
        <f>IF(Agent01_Loans!B40="","",Agent01_Loans!D40)</f>
        <v/>
      </c>
      <c r="E30" s="40" t="str">
        <f>IF(Agent01_Loans!B40="","",Agent01_Loans!E40)</f>
        <v/>
      </c>
      <c r="F30" s="37" t="str">
        <f>IF(Agent01_Loans!B40="","",Agent01_Loans!F40)</f>
        <v/>
      </c>
      <c r="G30" s="37" t="str">
        <f>IF(Agent01_Loans!B40="","",Agent01_Loans!G40)</f>
        <v/>
      </c>
      <c r="H30" s="37" t="str">
        <f>IF(Agent01_Loans!B40="","",Agent01_Loans!H40)</f>
        <v/>
      </c>
      <c r="I30" s="40" t="str">
        <f>IF(Agent01_Loans!B40="","",Agent01_Loans!I40)</f>
        <v/>
      </c>
      <c r="J30" s="40" t="str">
        <f>IF(Agent01_Loans!B40="","",Agent01_Loans!J40)</f>
        <v/>
      </c>
      <c r="K30" s="37" t="str">
        <f>IF(Agent01_Loans!B40="","",Agent01_Loans!K40)</f>
        <v/>
      </c>
      <c r="L30" s="37" t="str">
        <f>IF(Agent01_Loans!B40="","",Agent01_Loans!L40)</f>
        <v/>
      </c>
      <c r="M30" s="37" t="str">
        <f>IFERROR(IF(Agent01_Loans!B40="","",YEAR(Agent01_Loans!D40)),"")</f>
        <v/>
      </c>
    </row>
    <row r="31" spans="1:13" ht="18" customHeight="1" x14ac:dyDescent="0.25">
      <c r="A31" s="37" t="str">
        <f>IF(Agent01_Loans!B41="","",Agent01_Loans!A41)</f>
        <v/>
      </c>
      <c r="B31" s="37" t="str">
        <f>IF(Agent01_Loans!B41="","",Agent01_Loans!B41)</f>
        <v/>
      </c>
      <c r="C31" s="37" t="str">
        <f>IF(Agent01_Loans!B41="","",Agent01_Loans!C41)</f>
        <v/>
      </c>
      <c r="D31" s="38" t="str">
        <f>IF(Agent01_Loans!B41="","",Agent01_Loans!D41)</f>
        <v/>
      </c>
      <c r="E31" s="40" t="str">
        <f>IF(Agent01_Loans!B41="","",Agent01_Loans!E41)</f>
        <v/>
      </c>
      <c r="F31" s="37" t="str">
        <f>IF(Agent01_Loans!B41="","",Agent01_Loans!F41)</f>
        <v/>
      </c>
      <c r="G31" s="37" t="str">
        <f>IF(Agent01_Loans!B41="","",Agent01_Loans!G41)</f>
        <v/>
      </c>
      <c r="H31" s="37" t="str">
        <f>IF(Agent01_Loans!B41="","",Agent01_Loans!H41)</f>
        <v/>
      </c>
      <c r="I31" s="40" t="str">
        <f>IF(Agent01_Loans!B41="","",Agent01_Loans!I41)</f>
        <v/>
      </c>
      <c r="J31" s="40" t="str">
        <f>IF(Agent01_Loans!B41="","",Agent01_Loans!J41)</f>
        <v/>
      </c>
      <c r="K31" s="37" t="str">
        <f>IF(Agent01_Loans!B41="","",Agent01_Loans!K41)</f>
        <v/>
      </c>
      <c r="L31" s="37" t="str">
        <f>IF(Agent01_Loans!B41="","",Agent01_Loans!L41)</f>
        <v/>
      </c>
      <c r="M31" s="37" t="str">
        <f>IFERROR(IF(Agent01_Loans!B41="","",YEAR(Agent01_Loans!D41)),"")</f>
        <v/>
      </c>
    </row>
    <row r="32" spans="1:13" ht="18" customHeight="1" x14ac:dyDescent="0.25">
      <c r="A32" s="37" t="str">
        <f>IF(Agent01_Loans!B42="","",Agent01_Loans!A42)</f>
        <v/>
      </c>
      <c r="B32" s="37" t="str">
        <f>IF(Agent01_Loans!B42="","",Agent01_Loans!B42)</f>
        <v/>
      </c>
      <c r="C32" s="37" t="str">
        <f>IF(Agent01_Loans!B42="","",Agent01_Loans!C42)</f>
        <v/>
      </c>
      <c r="D32" s="38" t="str">
        <f>IF(Agent01_Loans!B42="","",Agent01_Loans!D42)</f>
        <v/>
      </c>
      <c r="E32" s="40" t="str">
        <f>IF(Agent01_Loans!B42="","",Agent01_Loans!E42)</f>
        <v/>
      </c>
      <c r="F32" s="37" t="str">
        <f>IF(Agent01_Loans!B42="","",Agent01_Loans!F42)</f>
        <v/>
      </c>
      <c r="G32" s="37" t="str">
        <f>IF(Agent01_Loans!B42="","",Agent01_Loans!G42)</f>
        <v/>
      </c>
      <c r="H32" s="37" t="str">
        <f>IF(Agent01_Loans!B42="","",Agent01_Loans!H42)</f>
        <v/>
      </c>
      <c r="I32" s="40" t="str">
        <f>IF(Agent01_Loans!B42="","",Agent01_Loans!I42)</f>
        <v/>
      </c>
      <c r="J32" s="40" t="str">
        <f>IF(Agent01_Loans!B42="","",Agent01_Loans!J42)</f>
        <v/>
      </c>
      <c r="K32" s="37" t="str">
        <f>IF(Agent01_Loans!B42="","",Agent01_Loans!K42)</f>
        <v/>
      </c>
      <c r="L32" s="37" t="str">
        <f>IF(Agent01_Loans!B42="","",Agent01_Loans!L42)</f>
        <v/>
      </c>
      <c r="M32" s="37" t="str">
        <f>IFERROR(IF(Agent01_Loans!B42="","",YEAR(Agent01_Loans!D42)),"")</f>
        <v/>
      </c>
    </row>
    <row r="33" spans="1:13" ht="18" customHeight="1" x14ac:dyDescent="0.25">
      <c r="A33" s="37" t="str">
        <f>IF(Agent01_Loans!B43="","",Agent01_Loans!A43)</f>
        <v/>
      </c>
      <c r="B33" s="37" t="str">
        <f>IF(Agent01_Loans!B43="","",Agent01_Loans!B43)</f>
        <v/>
      </c>
      <c r="C33" s="37" t="str">
        <f>IF(Agent01_Loans!B43="","",Agent01_Loans!C43)</f>
        <v/>
      </c>
      <c r="D33" s="38" t="str">
        <f>IF(Agent01_Loans!B43="","",Agent01_Loans!D43)</f>
        <v/>
      </c>
      <c r="E33" s="40" t="str">
        <f>IF(Agent01_Loans!B43="","",Agent01_Loans!E43)</f>
        <v/>
      </c>
      <c r="F33" s="37" t="str">
        <f>IF(Agent01_Loans!B43="","",Agent01_Loans!F43)</f>
        <v/>
      </c>
      <c r="G33" s="37" t="str">
        <f>IF(Agent01_Loans!B43="","",Agent01_Loans!G43)</f>
        <v/>
      </c>
      <c r="H33" s="37" t="str">
        <f>IF(Agent01_Loans!B43="","",Agent01_Loans!H43)</f>
        <v/>
      </c>
      <c r="I33" s="40" t="str">
        <f>IF(Agent01_Loans!B43="","",Agent01_Loans!I43)</f>
        <v/>
      </c>
      <c r="J33" s="40" t="str">
        <f>IF(Agent01_Loans!B43="","",Agent01_Loans!J43)</f>
        <v/>
      </c>
      <c r="K33" s="37" t="str">
        <f>IF(Agent01_Loans!B43="","",Agent01_Loans!K43)</f>
        <v/>
      </c>
      <c r="L33" s="37" t="str">
        <f>IF(Agent01_Loans!B43="","",Agent01_Loans!L43)</f>
        <v/>
      </c>
      <c r="M33" s="37" t="str">
        <f>IFERROR(IF(Agent01_Loans!B43="","",YEAR(Agent01_Loans!D43)),"")</f>
        <v/>
      </c>
    </row>
    <row r="34" spans="1:13" ht="18" customHeight="1" x14ac:dyDescent="0.25">
      <c r="A34" s="37" t="str">
        <f>IF(Agent01_Loans!B44="","",Agent01_Loans!A44)</f>
        <v/>
      </c>
      <c r="B34" s="37" t="str">
        <f>IF(Agent01_Loans!B44="","",Agent01_Loans!B44)</f>
        <v/>
      </c>
      <c r="C34" s="37" t="str">
        <f>IF(Agent01_Loans!B44="","",Agent01_Loans!C44)</f>
        <v/>
      </c>
      <c r="D34" s="38" t="str">
        <f>IF(Agent01_Loans!B44="","",Agent01_Loans!D44)</f>
        <v/>
      </c>
      <c r="E34" s="40" t="str">
        <f>IF(Agent01_Loans!B44="","",Agent01_Loans!E44)</f>
        <v/>
      </c>
      <c r="F34" s="37" t="str">
        <f>IF(Agent01_Loans!B44="","",Agent01_Loans!F44)</f>
        <v/>
      </c>
      <c r="G34" s="37" t="str">
        <f>IF(Agent01_Loans!B44="","",Agent01_Loans!G44)</f>
        <v/>
      </c>
      <c r="H34" s="37" t="str">
        <f>IF(Agent01_Loans!B44="","",Agent01_Loans!H44)</f>
        <v/>
      </c>
      <c r="I34" s="40" t="str">
        <f>IF(Agent01_Loans!B44="","",Agent01_Loans!I44)</f>
        <v/>
      </c>
      <c r="J34" s="40" t="str">
        <f>IF(Agent01_Loans!B44="","",Agent01_Loans!J44)</f>
        <v/>
      </c>
      <c r="K34" s="37" t="str">
        <f>IF(Agent01_Loans!B44="","",Agent01_Loans!K44)</f>
        <v/>
      </c>
      <c r="L34" s="37" t="str">
        <f>IF(Agent01_Loans!B44="","",Agent01_Loans!L44)</f>
        <v/>
      </c>
      <c r="M34" s="37" t="str">
        <f>IFERROR(IF(Agent01_Loans!B44="","",YEAR(Agent01_Loans!D44)),"")</f>
        <v/>
      </c>
    </row>
    <row r="35" spans="1:13" ht="18" customHeight="1" x14ac:dyDescent="0.25">
      <c r="A35" s="37" t="str">
        <f>IF(Agent01_Loans!B45="","",Agent01_Loans!A45)</f>
        <v/>
      </c>
      <c r="B35" s="37" t="str">
        <f>IF(Agent01_Loans!B45="","",Agent01_Loans!B45)</f>
        <v/>
      </c>
      <c r="C35" s="37" t="str">
        <f>IF(Agent01_Loans!B45="","",Agent01_Loans!C45)</f>
        <v/>
      </c>
      <c r="D35" s="38" t="str">
        <f>IF(Agent01_Loans!B45="","",Agent01_Loans!D45)</f>
        <v/>
      </c>
      <c r="E35" s="40" t="str">
        <f>IF(Agent01_Loans!B45="","",Agent01_Loans!E45)</f>
        <v/>
      </c>
      <c r="F35" s="37" t="str">
        <f>IF(Agent01_Loans!B45="","",Agent01_Loans!F45)</f>
        <v/>
      </c>
      <c r="G35" s="37" t="str">
        <f>IF(Agent01_Loans!B45="","",Agent01_Loans!G45)</f>
        <v/>
      </c>
      <c r="H35" s="37" t="str">
        <f>IF(Agent01_Loans!B45="","",Agent01_Loans!H45)</f>
        <v/>
      </c>
      <c r="I35" s="40" t="str">
        <f>IF(Agent01_Loans!B45="","",Agent01_Loans!I45)</f>
        <v/>
      </c>
      <c r="J35" s="40" t="str">
        <f>IF(Agent01_Loans!B45="","",Agent01_Loans!J45)</f>
        <v/>
      </c>
      <c r="K35" s="37" t="str">
        <f>IF(Agent01_Loans!B45="","",Agent01_Loans!K45)</f>
        <v/>
      </c>
      <c r="L35" s="37" t="str">
        <f>IF(Agent01_Loans!B45="","",Agent01_Loans!L45)</f>
        <v/>
      </c>
      <c r="M35" s="37" t="str">
        <f>IFERROR(IF(Agent01_Loans!B45="","",YEAR(Agent01_Loans!D45)),"")</f>
        <v/>
      </c>
    </row>
    <row r="36" spans="1:13" ht="18" customHeight="1" x14ac:dyDescent="0.25">
      <c r="A36" s="37" t="str">
        <f>IF(Agent01_Loans!B46="","",Agent01_Loans!A46)</f>
        <v/>
      </c>
      <c r="B36" s="37" t="str">
        <f>IF(Agent01_Loans!B46="","",Agent01_Loans!B46)</f>
        <v/>
      </c>
      <c r="C36" s="37" t="str">
        <f>IF(Agent01_Loans!B46="","",Agent01_Loans!C46)</f>
        <v/>
      </c>
      <c r="D36" s="38" t="str">
        <f>IF(Agent01_Loans!B46="","",Agent01_Loans!D46)</f>
        <v/>
      </c>
      <c r="E36" s="40" t="str">
        <f>IF(Agent01_Loans!B46="","",Agent01_Loans!E46)</f>
        <v/>
      </c>
      <c r="F36" s="37" t="str">
        <f>IF(Agent01_Loans!B46="","",Agent01_Loans!F46)</f>
        <v/>
      </c>
      <c r="G36" s="37" t="str">
        <f>IF(Agent01_Loans!B46="","",Agent01_Loans!G46)</f>
        <v/>
      </c>
      <c r="H36" s="37" t="str">
        <f>IF(Agent01_Loans!B46="","",Agent01_Loans!H46)</f>
        <v/>
      </c>
      <c r="I36" s="40" t="str">
        <f>IF(Agent01_Loans!B46="","",Agent01_Loans!I46)</f>
        <v/>
      </c>
      <c r="J36" s="40" t="str">
        <f>IF(Agent01_Loans!B46="","",Agent01_Loans!J46)</f>
        <v/>
      </c>
      <c r="K36" s="37" t="str">
        <f>IF(Agent01_Loans!B46="","",Agent01_Loans!K46)</f>
        <v/>
      </c>
      <c r="L36" s="37" t="str">
        <f>IF(Agent01_Loans!B46="","",Agent01_Loans!L46)</f>
        <v/>
      </c>
      <c r="M36" s="37" t="str">
        <f>IFERROR(IF(Agent01_Loans!B46="","",YEAR(Agent01_Loans!D46)),"")</f>
        <v/>
      </c>
    </row>
    <row r="37" spans="1:13" ht="18" customHeight="1" x14ac:dyDescent="0.25">
      <c r="A37" s="37" t="str">
        <f>IF(Agent01_Loans!B47="","",Agent01_Loans!A47)</f>
        <v/>
      </c>
      <c r="B37" s="37" t="str">
        <f>IF(Agent01_Loans!B47="","",Agent01_Loans!B47)</f>
        <v/>
      </c>
      <c r="C37" s="37" t="str">
        <f>IF(Agent01_Loans!B47="","",Agent01_Loans!C47)</f>
        <v/>
      </c>
      <c r="D37" s="38" t="str">
        <f>IF(Agent01_Loans!B47="","",Agent01_Loans!D47)</f>
        <v/>
      </c>
      <c r="E37" s="40" t="str">
        <f>IF(Agent01_Loans!B47="","",Agent01_Loans!E47)</f>
        <v/>
      </c>
      <c r="F37" s="37" t="str">
        <f>IF(Agent01_Loans!B47="","",Agent01_Loans!F47)</f>
        <v/>
      </c>
      <c r="G37" s="37" t="str">
        <f>IF(Agent01_Loans!B47="","",Agent01_Loans!G47)</f>
        <v/>
      </c>
      <c r="H37" s="37" t="str">
        <f>IF(Agent01_Loans!B47="","",Agent01_Loans!H47)</f>
        <v/>
      </c>
      <c r="I37" s="40" t="str">
        <f>IF(Agent01_Loans!B47="","",Agent01_Loans!I47)</f>
        <v/>
      </c>
      <c r="J37" s="40" t="str">
        <f>IF(Agent01_Loans!B47="","",Agent01_Loans!J47)</f>
        <v/>
      </c>
      <c r="K37" s="37" t="str">
        <f>IF(Agent01_Loans!B47="","",Agent01_Loans!K47)</f>
        <v/>
      </c>
      <c r="L37" s="37" t="str">
        <f>IF(Agent01_Loans!B47="","",Agent01_Loans!L47)</f>
        <v/>
      </c>
      <c r="M37" s="37" t="str">
        <f>IFERROR(IF(Agent01_Loans!B47="","",YEAR(Agent01_Loans!D47)),"")</f>
        <v/>
      </c>
    </row>
    <row r="38" spans="1:13" ht="18" customHeight="1" x14ac:dyDescent="0.25">
      <c r="A38" s="37" t="str">
        <f>IF(Agent01_Loans!B48="","",Agent01_Loans!A48)</f>
        <v/>
      </c>
      <c r="B38" s="37" t="str">
        <f>IF(Agent01_Loans!B48="","",Agent01_Loans!B48)</f>
        <v/>
      </c>
      <c r="C38" s="37" t="str">
        <f>IF(Agent01_Loans!B48="","",Agent01_Loans!C48)</f>
        <v/>
      </c>
      <c r="D38" s="38" t="str">
        <f>IF(Agent01_Loans!B48="","",Agent01_Loans!D48)</f>
        <v/>
      </c>
      <c r="E38" s="40" t="str">
        <f>IF(Agent01_Loans!B48="","",Agent01_Loans!E48)</f>
        <v/>
      </c>
      <c r="F38" s="37" t="str">
        <f>IF(Agent01_Loans!B48="","",Agent01_Loans!F48)</f>
        <v/>
      </c>
      <c r="G38" s="37" t="str">
        <f>IF(Agent01_Loans!B48="","",Agent01_Loans!G48)</f>
        <v/>
      </c>
      <c r="H38" s="37" t="str">
        <f>IF(Agent01_Loans!B48="","",Agent01_Loans!H48)</f>
        <v/>
      </c>
      <c r="I38" s="40" t="str">
        <f>IF(Agent01_Loans!B48="","",Agent01_Loans!I48)</f>
        <v/>
      </c>
      <c r="J38" s="40" t="str">
        <f>IF(Agent01_Loans!B48="","",Agent01_Loans!J48)</f>
        <v/>
      </c>
      <c r="K38" s="37" t="str">
        <f>IF(Agent01_Loans!B48="","",Agent01_Loans!K48)</f>
        <v/>
      </c>
      <c r="L38" s="37" t="str">
        <f>IF(Agent01_Loans!B48="","",Agent01_Loans!L48)</f>
        <v/>
      </c>
      <c r="M38" s="37" t="str">
        <f>IFERROR(IF(Agent01_Loans!B48="","",YEAR(Agent01_Loans!D48)),"")</f>
        <v/>
      </c>
    </row>
    <row r="39" spans="1:13" ht="18" customHeight="1" x14ac:dyDescent="0.25">
      <c r="A39" s="37" t="str">
        <f>IF(Agent01_Loans!B49="","",Agent01_Loans!A49)</f>
        <v/>
      </c>
      <c r="B39" s="37" t="str">
        <f>IF(Agent01_Loans!B49="","",Agent01_Loans!B49)</f>
        <v/>
      </c>
      <c r="C39" s="37" t="str">
        <f>IF(Agent01_Loans!B49="","",Agent01_Loans!C49)</f>
        <v/>
      </c>
      <c r="D39" s="38" t="str">
        <f>IF(Agent01_Loans!B49="","",Agent01_Loans!D49)</f>
        <v/>
      </c>
      <c r="E39" s="40" t="str">
        <f>IF(Agent01_Loans!B49="","",Agent01_Loans!E49)</f>
        <v/>
      </c>
      <c r="F39" s="37" t="str">
        <f>IF(Agent01_Loans!B49="","",Agent01_Loans!F49)</f>
        <v/>
      </c>
      <c r="G39" s="37" t="str">
        <f>IF(Agent01_Loans!B49="","",Agent01_Loans!G49)</f>
        <v/>
      </c>
      <c r="H39" s="37" t="str">
        <f>IF(Agent01_Loans!B49="","",Agent01_Loans!H49)</f>
        <v/>
      </c>
      <c r="I39" s="40" t="str">
        <f>IF(Agent01_Loans!B49="","",Agent01_Loans!I49)</f>
        <v/>
      </c>
      <c r="J39" s="40" t="str">
        <f>IF(Agent01_Loans!B49="","",Agent01_Loans!J49)</f>
        <v/>
      </c>
      <c r="K39" s="37" t="str">
        <f>IF(Agent01_Loans!B49="","",Agent01_Loans!K49)</f>
        <v/>
      </c>
      <c r="L39" s="37" t="str">
        <f>IF(Agent01_Loans!B49="","",Agent01_Loans!L49)</f>
        <v/>
      </c>
      <c r="M39" s="37" t="str">
        <f>IFERROR(IF(Agent01_Loans!B49="","",YEAR(Agent01_Loans!D49)),"")</f>
        <v/>
      </c>
    </row>
    <row r="40" spans="1:13" ht="18" customHeight="1" x14ac:dyDescent="0.25">
      <c r="A40" s="37" t="str">
        <f>IF(Agent01_Loans!B50="","",Agent01_Loans!A50)</f>
        <v/>
      </c>
      <c r="B40" s="37" t="str">
        <f>IF(Agent01_Loans!B50="","",Agent01_Loans!B50)</f>
        <v/>
      </c>
      <c r="C40" s="37" t="str">
        <f>IF(Agent01_Loans!B50="","",Agent01_Loans!C50)</f>
        <v/>
      </c>
      <c r="D40" s="38" t="str">
        <f>IF(Agent01_Loans!B50="","",Agent01_Loans!D50)</f>
        <v/>
      </c>
      <c r="E40" s="40" t="str">
        <f>IF(Agent01_Loans!B50="","",Agent01_Loans!E50)</f>
        <v/>
      </c>
      <c r="F40" s="37" t="str">
        <f>IF(Agent01_Loans!B50="","",Agent01_Loans!F50)</f>
        <v/>
      </c>
      <c r="G40" s="37" t="str">
        <f>IF(Agent01_Loans!B50="","",Agent01_Loans!G50)</f>
        <v/>
      </c>
      <c r="H40" s="37" t="str">
        <f>IF(Agent01_Loans!B50="","",Agent01_Loans!H50)</f>
        <v/>
      </c>
      <c r="I40" s="40" t="str">
        <f>IF(Agent01_Loans!B50="","",Agent01_Loans!I50)</f>
        <v/>
      </c>
      <c r="J40" s="40" t="str">
        <f>IF(Agent01_Loans!B50="","",Agent01_Loans!J50)</f>
        <v/>
      </c>
      <c r="K40" s="37" t="str">
        <f>IF(Agent01_Loans!B50="","",Agent01_Loans!K50)</f>
        <v/>
      </c>
      <c r="L40" s="37" t="str">
        <f>IF(Agent01_Loans!B50="","",Agent01_Loans!L50)</f>
        <v/>
      </c>
      <c r="M40" s="37" t="str">
        <f>IFERROR(IF(Agent01_Loans!B50="","",YEAR(Agent01_Loans!D50)),"")</f>
        <v/>
      </c>
    </row>
    <row r="41" spans="1:13" ht="18" customHeight="1" x14ac:dyDescent="0.25">
      <c r="A41" s="37" t="str">
        <f>IF(Agent01_Loans!B51="","",Agent01_Loans!A51)</f>
        <v/>
      </c>
      <c r="B41" s="37" t="str">
        <f>IF(Agent01_Loans!B51="","",Agent01_Loans!B51)</f>
        <v/>
      </c>
      <c r="C41" s="37" t="str">
        <f>IF(Agent01_Loans!B51="","",Agent01_Loans!C51)</f>
        <v/>
      </c>
      <c r="D41" s="38" t="str">
        <f>IF(Agent01_Loans!B51="","",Agent01_Loans!D51)</f>
        <v/>
      </c>
      <c r="E41" s="40" t="str">
        <f>IF(Agent01_Loans!B51="","",Agent01_Loans!E51)</f>
        <v/>
      </c>
      <c r="F41" s="37" t="str">
        <f>IF(Agent01_Loans!B51="","",Agent01_Loans!F51)</f>
        <v/>
      </c>
      <c r="G41" s="37" t="str">
        <f>IF(Agent01_Loans!B51="","",Agent01_Loans!G51)</f>
        <v/>
      </c>
      <c r="H41" s="37" t="str">
        <f>IF(Agent01_Loans!B51="","",Agent01_Loans!H51)</f>
        <v/>
      </c>
      <c r="I41" s="40" t="str">
        <f>IF(Agent01_Loans!B51="","",Agent01_Loans!I51)</f>
        <v/>
      </c>
      <c r="J41" s="40" t="str">
        <f>IF(Agent01_Loans!B51="","",Agent01_Loans!J51)</f>
        <v/>
      </c>
      <c r="K41" s="37" t="str">
        <f>IF(Agent01_Loans!B51="","",Agent01_Loans!K51)</f>
        <v/>
      </c>
      <c r="L41" s="37" t="str">
        <f>IF(Agent01_Loans!B51="","",Agent01_Loans!L51)</f>
        <v/>
      </c>
      <c r="M41" s="37" t="str">
        <f>IFERROR(IF(Agent01_Loans!B51="","",YEAR(Agent01_Loans!D51)),"")</f>
        <v/>
      </c>
    </row>
    <row r="42" spans="1:13" ht="18" customHeight="1" x14ac:dyDescent="0.25">
      <c r="A42" s="37" t="str">
        <f>IF(Agent01_Loans!B52="","",Agent01_Loans!A52)</f>
        <v/>
      </c>
      <c r="B42" s="37" t="str">
        <f>IF(Agent01_Loans!B52="","",Agent01_Loans!B52)</f>
        <v/>
      </c>
      <c r="C42" s="37" t="str">
        <f>IF(Agent01_Loans!B52="","",Agent01_Loans!C52)</f>
        <v/>
      </c>
      <c r="D42" s="38" t="str">
        <f>IF(Agent01_Loans!B52="","",Agent01_Loans!D52)</f>
        <v/>
      </c>
      <c r="E42" s="40" t="str">
        <f>IF(Agent01_Loans!B52="","",Agent01_Loans!E52)</f>
        <v/>
      </c>
      <c r="F42" s="37" t="str">
        <f>IF(Agent01_Loans!B52="","",Agent01_Loans!F52)</f>
        <v/>
      </c>
      <c r="G42" s="37" t="str">
        <f>IF(Agent01_Loans!B52="","",Agent01_Loans!G52)</f>
        <v/>
      </c>
      <c r="H42" s="37" t="str">
        <f>IF(Agent01_Loans!B52="","",Agent01_Loans!H52)</f>
        <v/>
      </c>
      <c r="I42" s="40" t="str">
        <f>IF(Agent01_Loans!B52="","",Agent01_Loans!I52)</f>
        <v/>
      </c>
      <c r="J42" s="40" t="str">
        <f>IF(Agent01_Loans!B52="","",Agent01_Loans!J52)</f>
        <v/>
      </c>
      <c r="K42" s="37" t="str">
        <f>IF(Agent01_Loans!B52="","",Agent01_Loans!K52)</f>
        <v/>
      </c>
      <c r="L42" s="37" t="str">
        <f>IF(Agent01_Loans!B52="","",Agent01_Loans!L52)</f>
        <v/>
      </c>
      <c r="M42" s="37" t="str">
        <f>IFERROR(IF(Agent01_Loans!B52="","",YEAR(Agent01_Loans!D52)),"")</f>
        <v/>
      </c>
    </row>
    <row r="43" spans="1:13" ht="18" customHeight="1" x14ac:dyDescent="0.25">
      <c r="A43" s="37" t="str">
        <f>IF(Agent01_Loans!B53="","",Agent01_Loans!A53)</f>
        <v/>
      </c>
      <c r="B43" s="37" t="str">
        <f>IF(Agent01_Loans!B53="","",Agent01_Loans!B53)</f>
        <v/>
      </c>
      <c r="C43" s="37" t="str">
        <f>IF(Agent01_Loans!B53="","",Agent01_Loans!C53)</f>
        <v/>
      </c>
      <c r="D43" s="38" t="str">
        <f>IF(Agent01_Loans!B53="","",Agent01_Loans!D53)</f>
        <v/>
      </c>
      <c r="E43" s="40" t="str">
        <f>IF(Agent01_Loans!B53="","",Agent01_Loans!E53)</f>
        <v/>
      </c>
      <c r="F43" s="37" t="str">
        <f>IF(Agent01_Loans!B53="","",Agent01_Loans!F53)</f>
        <v/>
      </c>
      <c r="G43" s="37" t="str">
        <f>IF(Agent01_Loans!B53="","",Agent01_Loans!G53)</f>
        <v/>
      </c>
      <c r="H43" s="37" t="str">
        <f>IF(Agent01_Loans!B53="","",Agent01_Loans!H53)</f>
        <v/>
      </c>
      <c r="I43" s="40" t="str">
        <f>IF(Agent01_Loans!B53="","",Agent01_Loans!I53)</f>
        <v/>
      </c>
      <c r="J43" s="40" t="str">
        <f>IF(Agent01_Loans!B53="","",Agent01_Loans!J53)</f>
        <v/>
      </c>
      <c r="K43" s="37" t="str">
        <f>IF(Agent01_Loans!B53="","",Agent01_Loans!K53)</f>
        <v/>
      </c>
      <c r="L43" s="37" t="str">
        <f>IF(Agent01_Loans!B53="","",Agent01_Loans!L53)</f>
        <v/>
      </c>
      <c r="M43" s="37" t="str">
        <f>IFERROR(IF(Agent01_Loans!B53="","",YEAR(Agent01_Loans!D53)),"")</f>
        <v/>
      </c>
    </row>
    <row r="44" spans="1:13" ht="18" customHeight="1" x14ac:dyDescent="0.25">
      <c r="A44" s="37" t="str">
        <f>IF(Agent01_Loans!B54="","",Agent01_Loans!A54)</f>
        <v/>
      </c>
      <c r="B44" s="37" t="str">
        <f>IF(Agent01_Loans!B54="","",Agent01_Loans!B54)</f>
        <v/>
      </c>
      <c r="C44" s="37" t="str">
        <f>IF(Agent01_Loans!B54="","",Agent01_Loans!C54)</f>
        <v/>
      </c>
      <c r="D44" s="38" t="str">
        <f>IF(Agent01_Loans!B54="","",Agent01_Loans!D54)</f>
        <v/>
      </c>
      <c r="E44" s="40" t="str">
        <f>IF(Agent01_Loans!B54="","",Agent01_Loans!E54)</f>
        <v/>
      </c>
      <c r="F44" s="37" t="str">
        <f>IF(Agent01_Loans!B54="","",Agent01_Loans!F54)</f>
        <v/>
      </c>
      <c r="G44" s="37" t="str">
        <f>IF(Agent01_Loans!B54="","",Agent01_Loans!G54)</f>
        <v/>
      </c>
      <c r="H44" s="37" t="str">
        <f>IF(Agent01_Loans!B54="","",Agent01_Loans!H54)</f>
        <v/>
      </c>
      <c r="I44" s="40" t="str">
        <f>IF(Agent01_Loans!B54="","",Agent01_Loans!I54)</f>
        <v/>
      </c>
      <c r="J44" s="40" t="str">
        <f>IF(Agent01_Loans!B54="","",Agent01_Loans!J54)</f>
        <v/>
      </c>
      <c r="K44" s="37" t="str">
        <f>IF(Agent01_Loans!B54="","",Agent01_Loans!K54)</f>
        <v/>
      </c>
      <c r="L44" s="37" t="str">
        <f>IF(Agent01_Loans!B54="","",Agent01_Loans!L54)</f>
        <v/>
      </c>
      <c r="M44" s="37" t="str">
        <f>IFERROR(IF(Agent01_Loans!B54="","",YEAR(Agent01_Loans!D54)),"")</f>
        <v/>
      </c>
    </row>
    <row r="45" spans="1:13" ht="18" customHeight="1" x14ac:dyDescent="0.25">
      <c r="A45" s="37" t="str">
        <f>IF(Agent01_Loans!B55="","",Agent01_Loans!A55)</f>
        <v/>
      </c>
      <c r="B45" s="37" t="str">
        <f>IF(Agent01_Loans!B55="","",Agent01_Loans!B55)</f>
        <v/>
      </c>
      <c r="C45" s="37" t="str">
        <f>IF(Agent01_Loans!B55="","",Agent01_Loans!C55)</f>
        <v/>
      </c>
      <c r="D45" s="38" t="str">
        <f>IF(Agent01_Loans!B55="","",Agent01_Loans!D55)</f>
        <v/>
      </c>
      <c r="E45" s="40" t="str">
        <f>IF(Agent01_Loans!B55="","",Agent01_Loans!E55)</f>
        <v/>
      </c>
      <c r="F45" s="37" t="str">
        <f>IF(Agent01_Loans!B55="","",Agent01_Loans!F55)</f>
        <v/>
      </c>
      <c r="G45" s="37" t="str">
        <f>IF(Agent01_Loans!B55="","",Agent01_Loans!G55)</f>
        <v/>
      </c>
      <c r="H45" s="37" t="str">
        <f>IF(Agent01_Loans!B55="","",Agent01_Loans!H55)</f>
        <v/>
      </c>
      <c r="I45" s="40" t="str">
        <f>IF(Agent01_Loans!B55="","",Agent01_Loans!I55)</f>
        <v/>
      </c>
      <c r="J45" s="40" t="str">
        <f>IF(Agent01_Loans!B55="","",Agent01_Loans!J55)</f>
        <v/>
      </c>
      <c r="K45" s="37" t="str">
        <f>IF(Agent01_Loans!B55="","",Agent01_Loans!K55)</f>
        <v/>
      </c>
      <c r="L45" s="37" t="str">
        <f>IF(Agent01_Loans!B55="","",Agent01_Loans!L55)</f>
        <v/>
      </c>
      <c r="M45" s="37" t="str">
        <f>IFERROR(IF(Agent01_Loans!B55="","",YEAR(Agent01_Loans!D55)),"")</f>
        <v/>
      </c>
    </row>
    <row r="46" spans="1:13" ht="18" customHeight="1" x14ac:dyDescent="0.25">
      <c r="A46" s="37" t="str">
        <f>IF(Agent01_Loans!B56="","",Agent01_Loans!A56)</f>
        <v/>
      </c>
      <c r="B46" s="37" t="str">
        <f>IF(Agent01_Loans!B56="","",Agent01_Loans!B56)</f>
        <v/>
      </c>
      <c r="C46" s="37" t="str">
        <f>IF(Agent01_Loans!B56="","",Agent01_Loans!C56)</f>
        <v/>
      </c>
      <c r="D46" s="38" t="str">
        <f>IF(Agent01_Loans!B56="","",Agent01_Loans!D56)</f>
        <v/>
      </c>
      <c r="E46" s="40" t="str">
        <f>IF(Agent01_Loans!B56="","",Agent01_Loans!E56)</f>
        <v/>
      </c>
      <c r="F46" s="37" t="str">
        <f>IF(Agent01_Loans!B56="","",Agent01_Loans!F56)</f>
        <v/>
      </c>
      <c r="G46" s="37" t="str">
        <f>IF(Agent01_Loans!B56="","",Agent01_Loans!G56)</f>
        <v/>
      </c>
      <c r="H46" s="37" t="str">
        <f>IF(Agent01_Loans!B56="","",Agent01_Loans!H56)</f>
        <v/>
      </c>
      <c r="I46" s="40" t="str">
        <f>IF(Agent01_Loans!B56="","",Agent01_Loans!I56)</f>
        <v/>
      </c>
      <c r="J46" s="40" t="str">
        <f>IF(Agent01_Loans!B56="","",Agent01_Loans!J56)</f>
        <v/>
      </c>
      <c r="K46" s="37" t="str">
        <f>IF(Agent01_Loans!B56="","",Agent01_Loans!K56)</f>
        <v/>
      </c>
      <c r="L46" s="37" t="str">
        <f>IF(Agent01_Loans!B56="","",Agent01_Loans!L56)</f>
        <v/>
      </c>
      <c r="M46" s="37" t="str">
        <f>IFERROR(IF(Agent01_Loans!B56="","",YEAR(Agent01_Loans!D56)),"")</f>
        <v/>
      </c>
    </row>
    <row r="47" spans="1:13" ht="18" customHeight="1" x14ac:dyDescent="0.25">
      <c r="A47" s="37" t="str">
        <f>IF(Agent01_Loans!B57="","",Agent01_Loans!A57)</f>
        <v/>
      </c>
      <c r="B47" s="37" t="str">
        <f>IF(Agent01_Loans!B57="","",Agent01_Loans!B57)</f>
        <v/>
      </c>
      <c r="C47" s="37" t="str">
        <f>IF(Agent01_Loans!B57="","",Agent01_Loans!C57)</f>
        <v/>
      </c>
      <c r="D47" s="38" t="str">
        <f>IF(Agent01_Loans!B57="","",Agent01_Loans!D57)</f>
        <v/>
      </c>
      <c r="E47" s="40" t="str">
        <f>IF(Agent01_Loans!B57="","",Agent01_Loans!E57)</f>
        <v/>
      </c>
      <c r="F47" s="37" t="str">
        <f>IF(Agent01_Loans!B57="","",Agent01_Loans!F57)</f>
        <v/>
      </c>
      <c r="G47" s="37" t="str">
        <f>IF(Agent01_Loans!B57="","",Agent01_Loans!G57)</f>
        <v/>
      </c>
      <c r="H47" s="37" t="str">
        <f>IF(Agent01_Loans!B57="","",Agent01_Loans!H57)</f>
        <v/>
      </c>
      <c r="I47" s="40" t="str">
        <f>IF(Agent01_Loans!B57="","",Agent01_Loans!I57)</f>
        <v/>
      </c>
      <c r="J47" s="40" t="str">
        <f>IF(Agent01_Loans!B57="","",Agent01_Loans!J57)</f>
        <v/>
      </c>
      <c r="K47" s="37" t="str">
        <f>IF(Agent01_Loans!B57="","",Agent01_Loans!K57)</f>
        <v/>
      </c>
      <c r="L47" s="37" t="str">
        <f>IF(Agent01_Loans!B57="","",Agent01_Loans!L57)</f>
        <v/>
      </c>
      <c r="M47" s="37" t="str">
        <f>IFERROR(IF(Agent01_Loans!B57="","",YEAR(Agent01_Loans!D57)),"")</f>
        <v/>
      </c>
    </row>
    <row r="48" spans="1:13" ht="18" customHeight="1" x14ac:dyDescent="0.25">
      <c r="A48" s="37" t="str">
        <f>IF(Agent01_Loans!B58="","",Agent01_Loans!A58)</f>
        <v/>
      </c>
      <c r="B48" s="37" t="str">
        <f>IF(Agent01_Loans!B58="","",Agent01_Loans!B58)</f>
        <v/>
      </c>
      <c r="C48" s="37" t="str">
        <f>IF(Agent01_Loans!B58="","",Agent01_Loans!C58)</f>
        <v/>
      </c>
      <c r="D48" s="38" t="str">
        <f>IF(Agent01_Loans!B58="","",Agent01_Loans!D58)</f>
        <v/>
      </c>
      <c r="E48" s="40" t="str">
        <f>IF(Agent01_Loans!B58="","",Agent01_Loans!E58)</f>
        <v/>
      </c>
      <c r="F48" s="37" t="str">
        <f>IF(Agent01_Loans!B58="","",Agent01_Loans!F58)</f>
        <v/>
      </c>
      <c r="G48" s="37" t="str">
        <f>IF(Agent01_Loans!B58="","",Agent01_Loans!G58)</f>
        <v/>
      </c>
      <c r="H48" s="37" t="str">
        <f>IF(Agent01_Loans!B58="","",Agent01_Loans!H58)</f>
        <v/>
      </c>
      <c r="I48" s="40" t="str">
        <f>IF(Agent01_Loans!B58="","",Agent01_Loans!I58)</f>
        <v/>
      </c>
      <c r="J48" s="40" t="str">
        <f>IF(Agent01_Loans!B58="","",Agent01_Loans!J58)</f>
        <v/>
      </c>
      <c r="K48" s="37" t="str">
        <f>IF(Agent01_Loans!B58="","",Agent01_Loans!K58)</f>
        <v/>
      </c>
      <c r="L48" s="37" t="str">
        <f>IF(Agent01_Loans!B58="","",Agent01_Loans!L58)</f>
        <v/>
      </c>
      <c r="M48" s="37" t="str">
        <f>IFERROR(IF(Agent01_Loans!B58="","",YEAR(Agent01_Loans!D58)),"")</f>
        <v/>
      </c>
    </row>
    <row r="49" spans="1:13" ht="18" customHeight="1" x14ac:dyDescent="0.25">
      <c r="A49" s="37" t="str">
        <f>IF(Agent01_Loans!B59="","",Agent01_Loans!A59)</f>
        <v/>
      </c>
      <c r="B49" s="37" t="str">
        <f>IF(Agent01_Loans!B59="","",Agent01_Loans!B59)</f>
        <v/>
      </c>
      <c r="C49" s="37" t="str">
        <f>IF(Agent01_Loans!B59="","",Agent01_Loans!C59)</f>
        <v/>
      </c>
      <c r="D49" s="38" t="str">
        <f>IF(Agent01_Loans!B59="","",Agent01_Loans!D59)</f>
        <v/>
      </c>
      <c r="E49" s="40" t="str">
        <f>IF(Agent01_Loans!B59="","",Agent01_Loans!E59)</f>
        <v/>
      </c>
      <c r="F49" s="37" t="str">
        <f>IF(Agent01_Loans!B59="","",Agent01_Loans!F59)</f>
        <v/>
      </c>
      <c r="G49" s="37" t="str">
        <f>IF(Agent01_Loans!B59="","",Agent01_Loans!G59)</f>
        <v/>
      </c>
      <c r="H49" s="37" t="str">
        <f>IF(Agent01_Loans!B59="","",Agent01_Loans!H59)</f>
        <v/>
      </c>
      <c r="I49" s="40" t="str">
        <f>IF(Agent01_Loans!B59="","",Agent01_Loans!I59)</f>
        <v/>
      </c>
      <c r="J49" s="40" t="str">
        <f>IF(Agent01_Loans!B59="","",Agent01_Loans!J59)</f>
        <v/>
      </c>
      <c r="K49" s="37" t="str">
        <f>IF(Agent01_Loans!B59="","",Agent01_Loans!K59)</f>
        <v/>
      </c>
      <c r="L49" s="37" t="str">
        <f>IF(Agent01_Loans!B59="","",Agent01_Loans!L59)</f>
        <v/>
      </c>
      <c r="M49" s="37" t="str">
        <f>IFERROR(IF(Agent01_Loans!B59="","",YEAR(Agent01_Loans!D59)),"")</f>
        <v/>
      </c>
    </row>
    <row r="50" spans="1:13" ht="18" customHeight="1" x14ac:dyDescent="0.25">
      <c r="A50" s="37" t="str">
        <f>IF(Agent01_Loans!B60="","",Agent01_Loans!A60)</f>
        <v/>
      </c>
      <c r="B50" s="37" t="str">
        <f>IF(Agent01_Loans!B60="","",Agent01_Loans!B60)</f>
        <v/>
      </c>
      <c r="C50" s="37" t="str">
        <f>IF(Agent01_Loans!B60="","",Agent01_Loans!C60)</f>
        <v/>
      </c>
      <c r="D50" s="38" t="str">
        <f>IF(Agent01_Loans!B60="","",Agent01_Loans!D60)</f>
        <v/>
      </c>
      <c r="E50" s="40" t="str">
        <f>IF(Agent01_Loans!B60="","",Agent01_Loans!E60)</f>
        <v/>
      </c>
      <c r="F50" s="37" t="str">
        <f>IF(Agent01_Loans!B60="","",Agent01_Loans!F60)</f>
        <v/>
      </c>
      <c r="G50" s="37" t="str">
        <f>IF(Agent01_Loans!B60="","",Agent01_Loans!G60)</f>
        <v/>
      </c>
      <c r="H50" s="37" t="str">
        <f>IF(Agent01_Loans!B60="","",Agent01_Loans!H60)</f>
        <v/>
      </c>
      <c r="I50" s="40" t="str">
        <f>IF(Agent01_Loans!B60="","",Agent01_Loans!I60)</f>
        <v/>
      </c>
      <c r="J50" s="40" t="str">
        <f>IF(Agent01_Loans!B60="","",Agent01_Loans!J60)</f>
        <v/>
      </c>
      <c r="K50" s="37" t="str">
        <f>IF(Agent01_Loans!B60="","",Agent01_Loans!K60)</f>
        <v/>
      </c>
      <c r="L50" s="37" t="str">
        <f>IF(Agent01_Loans!B60="","",Agent01_Loans!L60)</f>
        <v/>
      </c>
      <c r="M50" s="37" t="str">
        <f>IFERROR(IF(Agent01_Loans!B60="","",YEAR(Agent01_Loans!D60)),"")</f>
        <v/>
      </c>
    </row>
    <row r="51" spans="1:13" ht="18" customHeight="1" x14ac:dyDescent="0.25">
      <c r="A51" s="37" t="str">
        <f>IF(Agent01_Loans!B61="","",Agent01_Loans!A61)</f>
        <v/>
      </c>
      <c r="B51" s="37" t="str">
        <f>IF(Agent01_Loans!B61="","",Agent01_Loans!B61)</f>
        <v/>
      </c>
      <c r="C51" s="37" t="str">
        <f>IF(Agent01_Loans!B61="","",Agent01_Loans!C61)</f>
        <v/>
      </c>
      <c r="D51" s="38" t="str">
        <f>IF(Agent01_Loans!B61="","",Agent01_Loans!D61)</f>
        <v/>
      </c>
      <c r="E51" s="40" t="str">
        <f>IF(Agent01_Loans!B61="","",Agent01_Loans!E61)</f>
        <v/>
      </c>
      <c r="F51" s="37" t="str">
        <f>IF(Agent01_Loans!B61="","",Agent01_Loans!F61)</f>
        <v/>
      </c>
      <c r="G51" s="37" t="str">
        <f>IF(Agent01_Loans!B61="","",Agent01_Loans!G61)</f>
        <v/>
      </c>
      <c r="H51" s="37" t="str">
        <f>IF(Agent01_Loans!B61="","",Agent01_Loans!H61)</f>
        <v/>
      </c>
      <c r="I51" s="40" t="str">
        <f>IF(Agent01_Loans!B61="","",Agent01_Loans!I61)</f>
        <v/>
      </c>
      <c r="J51" s="40" t="str">
        <f>IF(Agent01_Loans!B61="","",Agent01_Loans!J61)</f>
        <v/>
      </c>
      <c r="K51" s="37" t="str">
        <f>IF(Agent01_Loans!B61="","",Agent01_Loans!K61)</f>
        <v/>
      </c>
      <c r="L51" s="37" t="str">
        <f>IF(Agent01_Loans!B61="","",Agent01_Loans!L61)</f>
        <v/>
      </c>
      <c r="M51" s="37" t="str">
        <f>IFERROR(IF(Agent01_Loans!B61="","",YEAR(Agent01_Loans!D61)),"")</f>
        <v/>
      </c>
    </row>
    <row r="52" spans="1:13" ht="18" customHeight="1" x14ac:dyDescent="0.25">
      <c r="A52" s="37" t="str">
        <f>IF(Agent01_Loans!B62="","",Agent01_Loans!A62)</f>
        <v/>
      </c>
      <c r="B52" s="37" t="str">
        <f>IF(Agent01_Loans!B62="","",Agent01_Loans!B62)</f>
        <v/>
      </c>
      <c r="C52" s="37" t="str">
        <f>IF(Agent01_Loans!B62="","",Agent01_Loans!C62)</f>
        <v/>
      </c>
      <c r="D52" s="38" t="str">
        <f>IF(Agent01_Loans!B62="","",Agent01_Loans!D62)</f>
        <v/>
      </c>
      <c r="E52" s="40" t="str">
        <f>IF(Agent01_Loans!B62="","",Agent01_Loans!E62)</f>
        <v/>
      </c>
      <c r="F52" s="37" t="str">
        <f>IF(Agent01_Loans!B62="","",Agent01_Loans!F62)</f>
        <v/>
      </c>
      <c r="G52" s="37" t="str">
        <f>IF(Agent01_Loans!B62="","",Agent01_Loans!G62)</f>
        <v/>
      </c>
      <c r="H52" s="37" t="str">
        <f>IF(Agent01_Loans!B62="","",Agent01_Loans!H62)</f>
        <v/>
      </c>
      <c r="I52" s="40" t="str">
        <f>IF(Agent01_Loans!B62="","",Agent01_Loans!I62)</f>
        <v/>
      </c>
      <c r="J52" s="40" t="str">
        <f>IF(Agent01_Loans!B62="","",Agent01_Loans!J62)</f>
        <v/>
      </c>
      <c r="K52" s="37" t="str">
        <f>IF(Agent01_Loans!B62="","",Agent01_Loans!K62)</f>
        <v/>
      </c>
      <c r="L52" s="37" t="str">
        <f>IF(Agent01_Loans!B62="","",Agent01_Loans!L62)</f>
        <v/>
      </c>
      <c r="M52" s="37" t="str">
        <f>IFERROR(IF(Agent01_Loans!B62="","",YEAR(Agent01_Loans!D62)),"")</f>
        <v/>
      </c>
    </row>
    <row r="53" spans="1:13" ht="18" customHeight="1" x14ac:dyDescent="0.25">
      <c r="A53" s="37" t="str">
        <f>IF(Agent01_Loans!B63="","",Agent01_Loans!A63)</f>
        <v/>
      </c>
      <c r="B53" s="37" t="str">
        <f>IF(Agent01_Loans!B63="","",Agent01_Loans!B63)</f>
        <v/>
      </c>
      <c r="C53" s="37" t="str">
        <f>IF(Agent01_Loans!B63="","",Agent01_Loans!C63)</f>
        <v/>
      </c>
      <c r="D53" s="38" t="str">
        <f>IF(Agent01_Loans!B63="","",Agent01_Loans!D63)</f>
        <v/>
      </c>
      <c r="E53" s="40" t="str">
        <f>IF(Agent01_Loans!B63="","",Agent01_Loans!E63)</f>
        <v/>
      </c>
      <c r="F53" s="37" t="str">
        <f>IF(Agent01_Loans!B63="","",Agent01_Loans!F63)</f>
        <v/>
      </c>
      <c r="G53" s="37" t="str">
        <f>IF(Agent01_Loans!B63="","",Agent01_Loans!G63)</f>
        <v/>
      </c>
      <c r="H53" s="37" t="str">
        <f>IF(Agent01_Loans!B63="","",Agent01_Loans!H63)</f>
        <v/>
      </c>
      <c r="I53" s="40" t="str">
        <f>IF(Agent01_Loans!B63="","",Agent01_Loans!I63)</f>
        <v/>
      </c>
      <c r="J53" s="40" t="str">
        <f>IF(Agent01_Loans!B63="","",Agent01_Loans!J63)</f>
        <v/>
      </c>
      <c r="K53" s="37" t="str">
        <f>IF(Agent01_Loans!B63="","",Agent01_Loans!K63)</f>
        <v/>
      </c>
      <c r="L53" s="37" t="str">
        <f>IF(Agent01_Loans!B63="","",Agent01_Loans!L63)</f>
        <v/>
      </c>
      <c r="M53" s="37" t="str">
        <f>IFERROR(IF(Agent01_Loans!B63="","",YEAR(Agent01_Loans!D63)),"")</f>
        <v/>
      </c>
    </row>
    <row r="54" spans="1:13" ht="18" customHeight="1" x14ac:dyDescent="0.25">
      <c r="A54" s="37" t="str">
        <f>IF(Agent01_Loans!B64="","",Agent01_Loans!A64)</f>
        <v/>
      </c>
      <c r="B54" s="37" t="str">
        <f>IF(Agent01_Loans!B64="","",Agent01_Loans!B64)</f>
        <v/>
      </c>
      <c r="C54" s="37" t="str">
        <f>IF(Agent01_Loans!B64="","",Agent01_Loans!C64)</f>
        <v/>
      </c>
      <c r="D54" s="38" t="str">
        <f>IF(Agent01_Loans!B64="","",Agent01_Loans!D64)</f>
        <v/>
      </c>
      <c r="E54" s="40" t="str">
        <f>IF(Agent01_Loans!B64="","",Agent01_Loans!E64)</f>
        <v/>
      </c>
      <c r="F54" s="37" t="str">
        <f>IF(Agent01_Loans!B64="","",Agent01_Loans!F64)</f>
        <v/>
      </c>
      <c r="G54" s="37" t="str">
        <f>IF(Agent01_Loans!B64="","",Agent01_Loans!G64)</f>
        <v/>
      </c>
      <c r="H54" s="37" t="str">
        <f>IF(Agent01_Loans!B64="","",Agent01_Loans!H64)</f>
        <v/>
      </c>
      <c r="I54" s="40" t="str">
        <f>IF(Agent01_Loans!B64="","",Agent01_Loans!I64)</f>
        <v/>
      </c>
      <c r="J54" s="40" t="str">
        <f>IF(Agent01_Loans!B64="","",Agent01_Loans!J64)</f>
        <v/>
      </c>
      <c r="K54" s="37" t="str">
        <f>IF(Agent01_Loans!B64="","",Agent01_Loans!K64)</f>
        <v/>
      </c>
      <c r="L54" s="37" t="str">
        <f>IF(Agent01_Loans!B64="","",Agent01_Loans!L64)</f>
        <v/>
      </c>
      <c r="M54" s="37" t="str">
        <f>IFERROR(IF(Agent01_Loans!B64="","",YEAR(Agent01_Loans!D64)),"")</f>
        <v/>
      </c>
    </row>
    <row r="55" spans="1:13" ht="18" customHeight="1" x14ac:dyDescent="0.25">
      <c r="A55" s="37" t="str">
        <f>IF(Agent01_Loans!B65="","",Agent01_Loans!A65)</f>
        <v/>
      </c>
      <c r="B55" s="37" t="str">
        <f>IF(Agent01_Loans!B65="","",Agent01_Loans!B65)</f>
        <v/>
      </c>
      <c r="C55" s="37" t="str">
        <f>IF(Agent01_Loans!B65="","",Agent01_Loans!C65)</f>
        <v/>
      </c>
      <c r="D55" s="38" t="str">
        <f>IF(Agent01_Loans!B65="","",Agent01_Loans!D65)</f>
        <v/>
      </c>
      <c r="E55" s="40" t="str">
        <f>IF(Agent01_Loans!B65="","",Agent01_Loans!E65)</f>
        <v/>
      </c>
      <c r="F55" s="37" t="str">
        <f>IF(Agent01_Loans!B65="","",Agent01_Loans!F65)</f>
        <v/>
      </c>
      <c r="G55" s="37" t="str">
        <f>IF(Agent01_Loans!B65="","",Agent01_Loans!G65)</f>
        <v/>
      </c>
      <c r="H55" s="37" t="str">
        <f>IF(Agent01_Loans!B65="","",Agent01_Loans!H65)</f>
        <v/>
      </c>
      <c r="I55" s="40" t="str">
        <f>IF(Agent01_Loans!B65="","",Agent01_Loans!I65)</f>
        <v/>
      </c>
      <c r="J55" s="40" t="str">
        <f>IF(Agent01_Loans!B65="","",Agent01_Loans!J65)</f>
        <v/>
      </c>
      <c r="K55" s="37" t="str">
        <f>IF(Agent01_Loans!B65="","",Agent01_Loans!K65)</f>
        <v/>
      </c>
      <c r="L55" s="37" t="str">
        <f>IF(Agent01_Loans!B65="","",Agent01_Loans!L65)</f>
        <v/>
      </c>
      <c r="M55" s="37" t="str">
        <f>IFERROR(IF(Agent01_Loans!B65="","",YEAR(Agent01_Loans!D65)),"")</f>
        <v/>
      </c>
    </row>
    <row r="56" spans="1:13" ht="18" customHeight="1" x14ac:dyDescent="0.25">
      <c r="A56" s="37" t="str">
        <f>IF(Agent01_Loans!B66="","",Agent01_Loans!A66)</f>
        <v/>
      </c>
      <c r="B56" s="37" t="str">
        <f>IF(Agent01_Loans!B66="","",Agent01_Loans!B66)</f>
        <v/>
      </c>
      <c r="C56" s="37" t="str">
        <f>IF(Agent01_Loans!B66="","",Agent01_Loans!C66)</f>
        <v/>
      </c>
      <c r="D56" s="38" t="str">
        <f>IF(Agent01_Loans!B66="","",Agent01_Loans!D66)</f>
        <v/>
      </c>
      <c r="E56" s="40" t="str">
        <f>IF(Agent01_Loans!B66="","",Agent01_Loans!E66)</f>
        <v/>
      </c>
      <c r="F56" s="37" t="str">
        <f>IF(Agent01_Loans!B66="","",Agent01_Loans!F66)</f>
        <v/>
      </c>
      <c r="G56" s="37" t="str">
        <f>IF(Agent01_Loans!B66="","",Agent01_Loans!G66)</f>
        <v/>
      </c>
      <c r="H56" s="37" t="str">
        <f>IF(Agent01_Loans!B66="","",Agent01_Loans!H66)</f>
        <v/>
      </c>
      <c r="I56" s="40" t="str">
        <f>IF(Agent01_Loans!B66="","",Agent01_Loans!I66)</f>
        <v/>
      </c>
      <c r="J56" s="40" t="str">
        <f>IF(Agent01_Loans!B66="","",Agent01_Loans!J66)</f>
        <v/>
      </c>
      <c r="K56" s="37" t="str">
        <f>IF(Agent01_Loans!B66="","",Agent01_Loans!K66)</f>
        <v/>
      </c>
      <c r="L56" s="37" t="str">
        <f>IF(Agent01_Loans!B66="","",Agent01_Loans!L66)</f>
        <v/>
      </c>
      <c r="M56" s="37" t="str">
        <f>IFERROR(IF(Agent01_Loans!B66="","",YEAR(Agent01_Loans!D66)),"")</f>
        <v/>
      </c>
    </row>
    <row r="57" spans="1:13" ht="18" customHeight="1" x14ac:dyDescent="0.25">
      <c r="A57" s="37" t="str">
        <f>IF(Agent01_Loans!B67="","",Agent01_Loans!A67)</f>
        <v/>
      </c>
      <c r="B57" s="37" t="str">
        <f>IF(Agent01_Loans!B67="","",Agent01_Loans!B67)</f>
        <v/>
      </c>
      <c r="C57" s="37" t="str">
        <f>IF(Agent01_Loans!B67="","",Agent01_Loans!C67)</f>
        <v/>
      </c>
      <c r="D57" s="38" t="str">
        <f>IF(Agent01_Loans!B67="","",Agent01_Loans!D67)</f>
        <v/>
      </c>
      <c r="E57" s="40" t="str">
        <f>IF(Agent01_Loans!B67="","",Agent01_Loans!E67)</f>
        <v/>
      </c>
      <c r="F57" s="37" t="str">
        <f>IF(Agent01_Loans!B67="","",Agent01_Loans!F67)</f>
        <v/>
      </c>
      <c r="G57" s="37" t="str">
        <f>IF(Agent01_Loans!B67="","",Agent01_Loans!G67)</f>
        <v/>
      </c>
      <c r="H57" s="37" t="str">
        <f>IF(Agent01_Loans!B67="","",Agent01_Loans!H67)</f>
        <v/>
      </c>
      <c r="I57" s="40" t="str">
        <f>IF(Agent01_Loans!B67="","",Agent01_Loans!I67)</f>
        <v/>
      </c>
      <c r="J57" s="40" t="str">
        <f>IF(Agent01_Loans!B67="","",Agent01_Loans!J67)</f>
        <v/>
      </c>
      <c r="K57" s="37" t="str">
        <f>IF(Agent01_Loans!B67="","",Agent01_Loans!K67)</f>
        <v/>
      </c>
      <c r="L57" s="37" t="str">
        <f>IF(Agent01_Loans!B67="","",Agent01_Loans!L67)</f>
        <v/>
      </c>
      <c r="M57" s="37" t="str">
        <f>IFERROR(IF(Agent01_Loans!B67="","",YEAR(Agent01_Loans!D67)),"")</f>
        <v/>
      </c>
    </row>
    <row r="58" spans="1:13" ht="18" customHeight="1" x14ac:dyDescent="0.25">
      <c r="A58" s="37" t="str">
        <f>IF(Agent01_Loans!B68="","",Agent01_Loans!A68)</f>
        <v/>
      </c>
      <c r="B58" s="37" t="str">
        <f>IF(Agent01_Loans!B68="","",Agent01_Loans!B68)</f>
        <v/>
      </c>
      <c r="C58" s="37" t="str">
        <f>IF(Agent01_Loans!B68="","",Agent01_Loans!C68)</f>
        <v/>
      </c>
      <c r="D58" s="38" t="str">
        <f>IF(Agent01_Loans!B68="","",Agent01_Loans!D68)</f>
        <v/>
      </c>
      <c r="E58" s="40" t="str">
        <f>IF(Agent01_Loans!B68="","",Agent01_Loans!E68)</f>
        <v/>
      </c>
      <c r="F58" s="37" t="str">
        <f>IF(Agent01_Loans!B68="","",Agent01_Loans!F68)</f>
        <v/>
      </c>
      <c r="G58" s="37" t="str">
        <f>IF(Agent01_Loans!B68="","",Agent01_Loans!G68)</f>
        <v/>
      </c>
      <c r="H58" s="37" t="str">
        <f>IF(Agent01_Loans!B68="","",Agent01_Loans!H68)</f>
        <v/>
      </c>
      <c r="I58" s="40" t="str">
        <f>IF(Agent01_Loans!B68="","",Agent01_Loans!I68)</f>
        <v/>
      </c>
      <c r="J58" s="40" t="str">
        <f>IF(Agent01_Loans!B68="","",Agent01_Loans!J68)</f>
        <v/>
      </c>
      <c r="K58" s="37" t="str">
        <f>IF(Agent01_Loans!B68="","",Agent01_Loans!K68)</f>
        <v/>
      </c>
      <c r="L58" s="37" t="str">
        <f>IF(Agent01_Loans!B68="","",Agent01_Loans!L68)</f>
        <v/>
      </c>
      <c r="M58" s="37" t="str">
        <f>IFERROR(IF(Agent01_Loans!B68="","",YEAR(Agent01_Loans!D68)),"")</f>
        <v/>
      </c>
    </row>
    <row r="59" spans="1:13" ht="18" customHeight="1" x14ac:dyDescent="0.25">
      <c r="A59" s="37" t="str">
        <f>IF(Agent01_Loans!B69="","",Agent01_Loans!A69)</f>
        <v/>
      </c>
      <c r="B59" s="37" t="str">
        <f>IF(Agent01_Loans!B69="","",Agent01_Loans!B69)</f>
        <v/>
      </c>
      <c r="C59" s="37" t="str">
        <f>IF(Agent01_Loans!B69="","",Agent01_Loans!C69)</f>
        <v/>
      </c>
      <c r="D59" s="38" t="str">
        <f>IF(Agent01_Loans!B69="","",Agent01_Loans!D69)</f>
        <v/>
      </c>
      <c r="E59" s="40" t="str">
        <f>IF(Agent01_Loans!B69="","",Agent01_Loans!E69)</f>
        <v/>
      </c>
      <c r="F59" s="37" t="str">
        <f>IF(Agent01_Loans!B69="","",Agent01_Loans!F69)</f>
        <v/>
      </c>
      <c r="G59" s="37" t="str">
        <f>IF(Agent01_Loans!B69="","",Agent01_Loans!G69)</f>
        <v/>
      </c>
      <c r="H59" s="37" t="str">
        <f>IF(Agent01_Loans!B69="","",Agent01_Loans!H69)</f>
        <v/>
      </c>
      <c r="I59" s="40" t="str">
        <f>IF(Agent01_Loans!B69="","",Agent01_Loans!I69)</f>
        <v/>
      </c>
      <c r="J59" s="40" t="str">
        <f>IF(Agent01_Loans!B69="","",Agent01_Loans!J69)</f>
        <v/>
      </c>
      <c r="K59" s="37" t="str">
        <f>IF(Agent01_Loans!B69="","",Agent01_Loans!K69)</f>
        <v/>
      </c>
      <c r="L59" s="37" t="str">
        <f>IF(Agent01_Loans!B69="","",Agent01_Loans!L69)</f>
        <v/>
      </c>
      <c r="M59" s="37" t="str">
        <f>IFERROR(IF(Agent01_Loans!B69="","",YEAR(Agent01_Loans!D69)),"")</f>
        <v/>
      </c>
    </row>
    <row r="60" spans="1:13" ht="18" customHeight="1" x14ac:dyDescent="0.25">
      <c r="A60" s="37" t="str">
        <f>IF(Agent01_Loans!B70="","",Agent01_Loans!A70)</f>
        <v/>
      </c>
      <c r="B60" s="37" t="str">
        <f>IF(Agent01_Loans!B70="","",Agent01_Loans!B70)</f>
        <v/>
      </c>
      <c r="C60" s="37" t="str">
        <f>IF(Agent01_Loans!B70="","",Agent01_Loans!C70)</f>
        <v/>
      </c>
      <c r="D60" s="38" t="str">
        <f>IF(Agent01_Loans!B70="","",Agent01_Loans!D70)</f>
        <v/>
      </c>
      <c r="E60" s="40" t="str">
        <f>IF(Agent01_Loans!B70="","",Agent01_Loans!E70)</f>
        <v/>
      </c>
      <c r="F60" s="37" t="str">
        <f>IF(Agent01_Loans!B70="","",Agent01_Loans!F70)</f>
        <v/>
      </c>
      <c r="G60" s="37" t="str">
        <f>IF(Agent01_Loans!B70="","",Agent01_Loans!G70)</f>
        <v/>
      </c>
      <c r="H60" s="37" t="str">
        <f>IF(Agent01_Loans!B70="","",Agent01_Loans!H70)</f>
        <v/>
      </c>
      <c r="I60" s="40" t="str">
        <f>IF(Agent01_Loans!B70="","",Agent01_Loans!I70)</f>
        <v/>
      </c>
      <c r="J60" s="40" t="str">
        <f>IF(Agent01_Loans!B70="","",Agent01_Loans!J70)</f>
        <v/>
      </c>
      <c r="K60" s="37" t="str">
        <f>IF(Agent01_Loans!B70="","",Agent01_Loans!K70)</f>
        <v/>
      </c>
      <c r="L60" s="37" t="str">
        <f>IF(Agent01_Loans!B70="","",Agent01_Loans!L70)</f>
        <v/>
      </c>
      <c r="M60" s="37" t="str">
        <f>IFERROR(IF(Agent01_Loans!B70="","",YEAR(Agent01_Loans!D70)),"")</f>
        <v/>
      </c>
    </row>
    <row r="61" spans="1:13" ht="18" customHeight="1" x14ac:dyDescent="0.25">
      <c r="A61" s="37" t="str">
        <f>IF(Agent01_Loans!B71="","",Agent01_Loans!A71)</f>
        <v/>
      </c>
      <c r="B61" s="37" t="str">
        <f>IF(Agent01_Loans!B71="","",Agent01_Loans!B71)</f>
        <v/>
      </c>
      <c r="C61" s="37" t="str">
        <f>IF(Agent01_Loans!B71="","",Agent01_Loans!C71)</f>
        <v/>
      </c>
      <c r="D61" s="38" t="str">
        <f>IF(Agent01_Loans!B71="","",Agent01_Loans!D71)</f>
        <v/>
      </c>
      <c r="E61" s="40" t="str">
        <f>IF(Agent01_Loans!B71="","",Agent01_Loans!E71)</f>
        <v/>
      </c>
      <c r="F61" s="37" t="str">
        <f>IF(Agent01_Loans!B71="","",Agent01_Loans!F71)</f>
        <v/>
      </c>
      <c r="G61" s="37" t="str">
        <f>IF(Agent01_Loans!B71="","",Agent01_Loans!G71)</f>
        <v/>
      </c>
      <c r="H61" s="37" t="str">
        <f>IF(Agent01_Loans!B71="","",Agent01_Loans!H71)</f>
        <v/>
      </c>
      <c r="I61" s="40" t="str">
        <f>IF(Agent01_Loans!B71="","",Agent01_Loans!I71)</f>
        <v/>
      </c>
      <c r="J61" s="40" t="str">
        <f>IF(Agent01_Loans!B71="","",Agent01_Loans!J71)</f>
        <v/>
      </c>
      <c r="K61" s="37" t="str">
        <f>IF(Agent01_Loans!B71="","",Agent01_Loans!K71)</f>
        <v/>
      </c>
      <c r="L61" s="37" t="str">
        <f>IF(Agent01_Loans!B71="","",Agent01_Loans!L71)</f>
        <v/>
      </c>
      <c r="M61" s="37" t="str">
        <f>IFERROR(IF(Agent01_Loans!B71="","",YEAR(Agent01_Loans!D71)),"")</f>
        <v/>
      </c>
    </row>
    <row r="62" spans="1:13" ht="18" customHeight="1" x14ac:dyDescent="0.25">
      <c r="A62" s="37" t="str">
        <f>IF(Agent01_Loans!B72="","",Agent01_Loans!A72)</f>
        <v/>
      </c>
      <c r="B62" s="37" t="str">
        <f>IF(Agent01_Loans!B72="","",Agent01_Loans!B72)</f>
        <v/>
      </c>
      <c r="C62" s="37" t="str">
        <f>IF(Agent01_Loans!B72="","",Agent01_Loans!C72)</f>
        <v/>
      </c>
      <c r="D62" s="38" t="str">
        <f>IF(Agent01_Loans!B72="","",Agent01_Loans!D72)</f>
        <v/>
      </c>
      <c r="E62" s="40" t="str">
        <f>IF(Agent01_Loans!B72="","",Agent01_Loans!E72)</f>
        <v/>
      </c>
      <c r="F62" s="37" t="str">
        <f>IF(Agent01_Loans!B72="","",Agent01_Loans!F72)</f>
        <v/>
      </c>
      <c r="G62" s="37" t="str">
        <f>IF(Agent01_Loans!B72="","",Agent01_Loans!G72)</f>
        <v/>
      </c>
      <c r="H62" s="37" t="str">
        <f>IF(Agent01_Loans!B72="","",Agent01_Loans!H72)</f>
        <v/>
      </c>
      <c r="I62" s="40" t="str">
        <f>IF(Agent01_Loans!B72="","",Agent01_Loans!I72)</f>
        <v/>
      </c>
      <c r="J62" s="40" t="str">
        <f>IF(Agent01_Loans!B72="","",Agent01_Loans!J72)</f>
        <v/>
      </c>
      <c r="K62" s="37" t="str">
        <f>IF(Agent01_Loans!B72="","",Agent01_Loans!K72)</f>
        <v/>
      </c>
      <c r="L62" s="37" t="str">
        <f>IF(Agent01_Loans!B72="","",Agent01_Loans!L72)</f>
        <v/>
      </c>
      <c r="M62" s="37" t="str">
        <f>IFERROR(IF(Agent01_Loans!B72="","",YEAR(Agent01_Loans!D72)),"")</f>
        <v/>
      </c>
    </row>
    <row r="63" spans="1:13" ht="18" customHeight="1" x14ac:dyDescent="0.25">
      <c r="A63" s="37" t="str">
        <f>IF(Agent01_Loans!B73="","",Agent01_Loans!A73)</f>
        <v/>
      </c>
      <c r="B63" s="37" t="str">
        <f>IF(Agent01_Loans!B73="","",Agent01_Loans!B73)</f>
        <v/>
      </c>
      <c r="C63" s="37" t="str">
        <f>IF(Agent01_Loans!B73="","",Agent01_Loans!C73)</f>
        <v/>
      </c>
      <c r="D63" s="38" t="str">
        <f>IF(Agent01_Loans!B73="","",Agent01_Loans!D73)</f>
        <v/>
      </c>
      <c r="E63" s="40" t="str">
        <f>IF(Agent01_Loans!B73="","",Agent01_Loans!E73)</f>
        <v/>
      </c>
      <c r="F63" s="37" t="str">
        <f>IF(Agent01_Loans!B73="","",Agent01_Loans!F73)</f>
        <v/>
      </c>
      <c r="G63" s="37" t="str">
        <f>IF(Agent01_Loans!B73="","",Agent01_Loans!G73)</f>
        <v/>
      </c>
      <c r="H63" s="37" t="str">
        <f>IF(Agent01_Loans!B73="","",Agent01_Loans!H73)</f>
        <v/>
      </c>
      <c r="I63" s="40" t="str">
        <f>IF(Agent01_Loans!B73="","",Agent01_Loans!I73)</f>
        <v/>
      </c>
      <c r="J63" s="40" t="str">
        <f>IF(Agent01_Loans!B73="","",Agent01_Loans!J73)</f>
        <v/>
      </c>
      <c r="K63" s="37" t="str">
        <f>IF(Agent01_Loans!B73="","",Agent01_Loans!K73)</f>
        <v/>
      </c>
      <c r="L63" s="37" t="str">
        <f>IF(Agent01_Loans!B73="","",Agent01_Loans!L73)</f>
        <v/>
      </c>
      <c r="M63" s="37" t="str">
        <f>IFERROR(IF(Agent01_Loans!B73="","",YEAR(Agent01_Loans!D73)),"")</f>
        <v/>
      </c>
    </row>
    <row r="64" spans="1:13" ht="18" customHeight="1" x14ac:dyDescent="0.25">
      <c r="A64" s="37" t="str">
        <f>IF(Agent01_Loans!B74="","",Agent01_Loans!A74)</f>
        <v/>
      </c>
      <c r="B64" s="37" t="str">
        <f>IF(Agent01_Loans!B74="","",Agent01_Loans!B74)</f>
        <v/>
      </c>
      <c r="C64" s="37" t="str">
        <f>IF(Agent01_Loans!B74="","",Agent01_Loans!C74)</f>
        <v/>
      </c>
      <c r="D64" s="38" t="str">
        <f>IF(Agent01_Loans!B74="","",Agent01_Loans!D74)</f>
        <v/>
      </c>
      <c r="E64" s="40" t="str">
        <f>IF(Agent01_Loans!B74="","",Agent01_Loans!E74)</f>
        <v/>
      </c>
      <c r="F64" s="37" t="str">
        <f>IF(Agent01_Loans!B74="","",Agent01_Loans!F74)</f>
        <v/>
      </c>
      <c r="G64" s="37" t="str">
        <f>IF(Agent01_Loans!B74="","",Agent01_Loans!G74)</f>
        <v/>
      </c>
      <c r="H64" s="37" t="str">
        <f>IF(Agent01_Loans!B74="","",Agent01_Loans!H74)</f>
        <v/>
      </c>
      <c r="I64" s="40" t="str">
        <f>IF(Agent01_Loans!B74="","",Agent01_Loans!I74)</f>
        <v/>
      </c>
      <c r="J64" s="40" t="str">
        <f>IF(Agent01_Loans!B74="","",Agent01_Loans!J74)</f>
        <v/>
      </c>
      <c r="K64" s="37" t="str">
        <f>IF(Agent01_Loans!B74="","",Agent01_Loans!K74)</f>
        <v/>
      </c>
      <c r="L64" s="37" t="str">
        <f>IF(Agent01_Loans!B74="","",Agent01_Loans!L74)</f>
        <v/>
      </c>
      <c r="M64" s="37" t="str">
        <f>IFERROR(IF(Agent01_Loans!B74="","",YEAR(Agent01_Loans!D74)),"")</f>
        <v/>
      </c>
    </row>
    <row r="65" spans="1:13" ht="18" customHeight="1" x14ac:dyDescent="0.25">
      <c r="A65" s="37" t="str">
        <f>IF(Agent01_Loans!B75="","",Agent01_Loans!A75)</f>
        <v/>
      </c>
      <c r="B65" s="37" t="str">
        <f>IF(Agent01_Loans!B75="","",Agent01_Loans!B75)</f>
        <v/>
      </c>
      <c r="C65" s="37" t="str">
        <f>IF(Agent01_Loans!B75="","",Agent01_Loans!C75)</f>
        <v/>
      </c>
      <c r="D65" s="38" t="str">
        <f>IF(Agent01_Loans!B75="","",Agent01_Loans!D75)</f>
        <v/>
      </c>
      <c r="E65" s="40" t="str">
        <f>IF(Agent01_Loans!B75="","",Agent01_Loans!E75)</f>
        <v/>
      </c>
      <c r="F65" s="37" t="str">
        <f>IF(Agent01_Loans!B75="","",Agent01_Loans!F75)</f>
        <v/>
      </c>
      <c r="G65" s="37" t="str">
        <f>IF(Agent01_Loans!B75="","",Agent01_Loans!G75)</f>
        <v/>
      </c>
      <c r="H65" s="37" t="str">
        <f>IF(Agent01_Loans!B75="","",Agent01_Loans!H75)</f>
        <v/>
      </c>
      <c r="I65" s="40" t="str">
        <f>IF(Agent01_Loans!B75="","",Agent01_Loans!I75)</f>
        <v/>
      </c>
      <c r="J65" s="40" t="str">
        <f>IF(Agent01_Loans!B75="","",Agent01_Loans!J75)</f>
        <v/>
      </c>
      <c r="K65" s="37" t="str">
        <f>IF(Agent01_Loans!B75="","",Agent01_Loans!K75)</f>
        <v/>
      </c>
      <c r="L65" s="37" t="str">
        <f>IF(Agent01_Loans!B75="","",Agent01_Loans!L75)</f>
        <v/>
      </c>
      <c r="M65" s="37" t="str">
        <f>IFERROR(IF(Agent01_Loans!B75="","",YEAR(Agent01_Loans!D75)),"")</f>
        <v/>
      </c>
    </row>
    <row r="66" spans="1:13" ht="18" customHeight="1" x14ac:dyDescent="0.25">
      <c r="A66" s="37" t="str">
        <f>IF(Agent01_Loans!B76="","",Agent01_Loans!A76)</f>
        <v/>
      </c>
      <c r="B66" s="37" t="str">
        <f>IF(Agent01_Loans!B76="","",Agent01_Loans!B76)</f>
        <v/>
      </c>
      <c r="C66" s="37" t="str">
        <f>IF(Agent01_Loans!B76="","",Agent01_Loans!C76)</f>
        <v/>
      </c>
      <c r="D66" s="38" t="str">
        <f>IF(Agent01_Loans!B76="","",Agent01_Loans!D76)</f>
        <v/>
      </c>
      <c r="E66" s="40" t="str">
        <f>IF(Agent01_Loans!B76="","",Agent01_Loans!E76)</f>
        <v/>
      </c>
      <c r="F66" s="37" t="str">
        <f>IF(Agent01_Loans!B76="","",Agent01_Loans!F76)</f>
        <v/>
      </c>
      <c r="G66" s="37" t="str">
        <f>IF(Agent01_Loans!B76="","",Agent01_Loans!G76)</f>
        <v/>
      </c>
      <c r="H66" s="37" t="str">
        <f>IF(Agent01_Loans!B76="","",Agent01_Loans!H76)</f>
        <v/>
      </c>
      <c r="I66" s="40" t="str">
        <f>IF(Agent01_Loans!B76="","",Agent01_Loans!I76)</f>
        <v/>
      </c>
      <c r="J66" s="40" t="str">
        <f>IF(Agent01_Loans!B76="","",Agent01_Loans!J76)</f>
        <v/>
      </c>
      <c r="K66" s="37" t="str">
        <f>IF(Agent01_Loans!B76="","",Agent01_Loans!K76)</f>
        <v/>
      </c>
      <c r="L66" s="37" t="str">
        <f>IF(Agent01_Loans!B76="","",Agent01_Loans!L76)</f>
        <v/>
      </c>
      <c r="M66" s="37" t="str">
        <f>IFERROR(IF(Agent01_Loans!B76="","",YEAR(Agent01_Loans!D76)),"")</f>
        <v/>
      </c>
    </row>
    <row r="67" spans="1:13" ht="18" customHeight="1" x14ac:dyDescent="0.25">
      <c r="A67" s="37" t="str">
        <f>IF(Agent01_Loans!B77="","",Agent01_Loans!A77)</f>
        <v/>
      </c>
      <c r="B67" s="37" t="str">
        <f>IF(Agent01_Loans!B77="","",Agent01_Loans!B77)</f>
        <v/>
      </c>
      <c r="C67" s="37" t="str">
        <f>IF(Agent01_Loans!B77="","",Agent01_Loans!C77)</f>
        <v/>
      </c>
      <c r="D67" s="38" t="str">
        <f>IF(Agent01_Loans!B77="","",Agent01_Loans!D77)</f>
        <v/>
      </c>
      <c r="E67" s="40" t="str">
        <f>IF(Agent01_Loans!B77="","",Agent01_Loans!E77)</f>
        <v/>
      </c>
      <c r="F67" s="37" t="str">
        <f>IF(Agent01_Loans!B77="","",Agent01_Loans!F77)</f>
        <v/>
      </c>
      <c r="G67" s="37" t="str">
        <f>IF(Agent01_Loans!B77="","",Agent01_Loans!G77)</f>
        <v/>
      </c>
      <c r="H67" s="37" t="str">
        <f>IF(Agent01_Loans!B77="","",Agent01_Loans!H77)</f>
        <v/>
      </c>
      <c r="I67" s="40" t="str">
        <f>IF(Agent01_Loans!B77="","",Agent01_Loans!I77)</f>
        <v/>
      </c>
      <c r="J67" s="40" t="str">
        <f>IF(Agent01_Loans!B77="","",Agent01_Loans!J77)</f>
        <v/>
      </c>
      <c r="K67" s="37" t="str">
        <f>IF(Agent01_Loans!B77="","",Agent01_Loans!K77)</f>
        <v/>
      </c>
      <c r="L67" s="37" t="str">
        <f>IF(Agent01_Loans!B77="","",Agent01_Loans!L77)</f>
        <v/>
      </c>
      <c r="M67" s="37" t="str">
        <f>IFERROR(IF(Agent01_Loans!B77="","",YEAR(Agent01_Loans!D77)),"")</f>
        <v/>
      </c>
    </row>
    <row r="68" spans="1:13" ht="18" customHeight="1" x14ac:dyDescent="0.25">
      <c r="A68" s="37" t="str">
        <f>IF(Agent01_Loans!B78="","",Agent01_Loans!A78)</f>
        <v/>
      </c>
      <c r="B68" s="37" t="str">
        <f>IF(Agent01_Loans!B78="","",Agent01_Loans!B78)</f>
        <v/>
      </c>
      <c r="C68" s="37" t="str">
        <f>IF(Agent01_Loans!B78="","",Agent01_Loans!C78)</f>
        <v/>
      </c>
      <c r="D68" s="38" t="str">
        <f>IF(Agent01_Loans!B78="","",Agent01_Loans!D78)</f>
        <v/>
      </c>
      <c r="E68" s="40" t="str">
        <f>IF(Agent01_Loans!B78="","",Agent01_Loans!E78)</f>
        <v/>
      </c>
      <c r="F68" s="37" t="str">
        <f>IF(Agent01_Loans!B78="","",Agent01_Loans!F78)</f>
        <v/>
      </c>
      <c r="G68" s="37" t="str">
        <f>IF(Agent01_Loans!B78="","",Agent01_Loans!G78)</f>
        <v/>
      </c>
      <c r="H68" s="37" t="str">
        <f>IF(Agent01_Loans!B78="","",Agent01_Loans!H78)</f>
        <v/>
      </c>
      <c r="I68" s="40" t="str">
        <f>IF(Agent01_Loans!B78="","",Agent01_Loans!I78)</f>
        <v/>
      </c>
      <c r="J68" s="40" t="str">
        <f>IF(Agent01_Loans!B78="","",Agent01_Loans!J78)</f>
        <v/>
      </c>
      <c r="K68" s="37" t="str">
        <f>IF(Agent01_Loans!B78="","",Agent01_Loans!K78)</f>
        <v/>
      </c>
      <c r="L68" s="37" t="str">
        <f>IF(Agent01_Loans!B78="","",Agent01_Loans!L78)</f>
        <v/>
      </c>
      <c r="M68" s="37" t="str">
        <f>IFERROR(IF(Agent01_Loans!B78="","",YEAR(Agent01_Loans!D78)),"")</f>
        <v/>
      </c>
    </row>
    <row r="69" spans="1:13" ht="18" customHeight="1" x14ac:dyDescent="0.25">
      <c r="A69" s="37" t="str">
        <f>IF(Agent01_Loans!B79="","",Agent01_Loans!A79)</f>
        <v/>
      </c>
      <c r="B69" s="37" t="str">
        <f>IF(Agent01_Loans!B79="","",Agent01_Loans!B79)</f>
        <v/>
      </c>
      <c r="C69" s="37" t="str">
        <f>IF(Agent01_Loans!B79="","",Agent01_Loans!C79)</f>
        <v/>
      </c>
      <c r="D69" s="38" t="str">
        <f>IF(Agent01_Loans!B79="","",Agent01_Loans!D79)</f>
        <v/>
      </c>
      <c r="E69" s="40" t="str">
        <f>IF(Agent01_Loans!B79="","",Agent01_Loans!E79)</f>
        <v/>
      </c>
      <c r="F69" s="37" t="str">
        <f>IF(Agent01_Loans!B79="","",Agent01_Loans!F79)</f>
        <v/>
      </c>
      <c r="G69" s="37" t="str">
        <f>IF(Agent01_Loans!B79="","",Agent01_Loans!G79)</f>
        <v/>
      </c>
      <c r="H69" s="37" t="str">
        <f>IF(Agent01_Loans!B79="","",Agent01_Loans!H79)</f>
        <v/>
      </c>
      <c r="I69" s="40" t="str">
        <f>IF(Agent01_Loans!B79="","",Agent01_Loans!I79)</f>
        <v/>
      </c>
      <c r="J69" s="40" t="str">
        <f>IF(Agent01_Loans!B79="","",Agent01_Loans!J79)</f>
        <v/>
      </c>
      <c r="K69" s="37" t="str">
        <f>IF(Agent01_Loans!B79="","",Agent01_Loans!K79)</f>
        <v/>
      </c>
      <c r="L69" s="37" t="str">
        <f>IF(Agent01_Loans!B79="","",Agent01_Loans!L79)</f>
        <v/>
      </c>
      <c r="M69" s="37" t="str">
        <f>IFERROR(IF(Agent01_Loans!B79="","",YEAR(Agent01_Loans!D79)),"")</f>
        <v/>
      </c>
    </row>
    <row r="70" spans="1:13" ht="18" customHeight="1" x14ac:dyDescent="0.25">
      <c r="A70" s="37" t="str">
        <f>IF(Agent01_Loans!B80="","",Agent01_Loans!A80)</f>
        <v/>
      </c>
      <c r="B70" s="37" t="str">
        <f>IF(Agent01_Loans!B80="","",Agent01_Loans!B80)</f>
        <v/>
      </c>
      <c r="C70" s="37" t="str">
        <f>IF(Agent01_Loans!B80="","",Agent01_Loans!C80)</f>
        <v/>
      </c>
      <c r="D70" s="38" t="str">
        <f>IF(Agent01_Loans!B80="","",Agent01_Loans!D80)</f>
        <v/>
      </c>
      <c r="E70" s="40" t="str">
        <f>IF(Agent01_Loans!B80="","",Agent01_Loans!E80)</f>
        <v/>
      </c>
      <c r="F70" s="37" t="str">
        <f>IF(Agent01_Loans!B80="","",Agent01_Loans!F80)</f>
        <v/>
      </c>
      <c r="G70" s="37" t="str">
        <f>IF(Agent01_Loans!B80="","",Agent01_Loans!G80)</f>
        <v/>
      </c>
      <c r="H70" s="37" t="str">
        <f>IF(Agent01_Loans!B80="","",Agent01_Loans!H80)</f>
        <v/>
      </c>
      <c r="I70" s="40" t="str">
        <f>IF(Agent01_Loans!B80="","",Agent01_Loans!I80)</f>
        <v/>
      </c>
      <c r="J70" s="40" t="str">
        <f>IF(Agent01_Loans!B80="","",Agent01_Loans!J80)</f>
        <v/>
      </c>
      <c r="K70" s="37" t="str">
        <f>IF(Agent01_Loans!B80="","",Agent01_Loans!K80)</f>
        <v/>
      </c>
      <c r="L70" s="37" t="str">
        <f>IF(Agent01_Loans!B80="","",Agent01_Loans!L80)</f>
        <v/>
      </c>
      <c r="M70" s="37" t="str">
        <f>IFERROR(IF(Agent01_Loans!B80="","",YEAR(Agent01_Loans!D80)),"")</f>
        <v/>
      </c>
    </row>
    <row r="71" spans="1:13" ht="18" customHeight="1" x14ac:dyDescent="0.25">
      <c r="A71" s="37" t="str">
        <f>IF(Agent01_Loans!B81="","",Agent01_Loans!A81)</f>
        <v/>
      </c>
      <c r="B71" s="37" t="str">
        <f>IF(Agent01_Loans!B81="","",Agent01_Loans!B81)</f>
        <v/>
      </c>
      <c r="C71" s="37" t="str">
        <f>IF(Agent01_Loans!B81="","",Agent01_Loans!C81)</f>
        <v/>
      </c>
      <c r="D71" s="38" t="str">
        <f>IF(Agent01_Loans!B81="","",Agent01_Loans!D81)</f>
        <v/>
      </c>
      <c r="E71" s="40" t="str">
        <f>IF(Agent01_Loans!B81="","",Agent01_Loans!E81)</f>
        <v/>
      </c>
      <c r="F71" s="37" t="str">
        <f>IF(Agent01_Loans!B81="","",Agent01_Loans!F81)</f>
        <v/>
      </c>
      <c r="G71" s="37" t="str">
        <f>IF(Agent01_Loans!B81="","",Agent01_Loans!G81)</f>
        <v/>
      </c>
      <c r="H71" s="37" t="str">
        <f>IF(Agent01_Loans!B81="","",Agent01_Loans!H81)</f>
        <v/>
      </c>
      <c r="I71" s="40" t="str">
        <f>IF(Agent01_Loans!B81="","",Agent01_Loans!I81)</f>
        <v/>
      </c>
      <c r="J71" s="40" t="str">
        <f>IF(Agent01_Loans!B81="","",Agent01_Loans!J81)</f>
        <v/>
      </c>
      <c r="K71" s="37" t="str">
        <f>IF(Agent01_Loans!B81="","",Agent01_Loans!K81)</f>
        <v/>
      </c>
      <c r="L71" s="37" t="str">
        <f>IF(Agent01_Loans!B81="","",Agent01_Loans!L81)</f>
        <v/>
      </c>
      <c r="M71" s="37" t="str">
        <f>IFERROR(IF(Agent01_Loans!B81="","",YEAR(Agent01_Loans!D81)),"")</f>
        <v/>
      </c>
    </row>
    <row r="72" spans="1:13" ht="18" customHeight="1" x14ac:dyDescent="0.25">
      <c r="A72" s="37" t="str">
        <f>IF(Agent01_Loans!B82="","",Agent01_Loans!A82)</f>
        <v/>
      </c>
      <c r="B72" s="37" t="str">
        <f>IF(Agent01_Loans!B82="","",Agent01_Loans!B82)</f>
        <v/>
      </c>
      <c r="C72" s="37" t="str">
        <f>IF(Agent01_Loans!B82="","",Agent01_Loans!C82)</f>
        <v/>
      </c>
      <c r="D72" s="38" t="str">
        <f>IF(Agent01_Loans!B82="","",Agent01_Loans!D82)</f>
        <v/>
      </c>
      <c r="E72" s="40" t="str">
        <f>IF(Agent01_Loans!B82="","",Agent01_Loans!E82)</f>
        <v/>
      </c>
      <c r="F72" s="37" t="str">
        <f>IF(Agent01_Loans!B82="","",Agent01_Loans!F82)</f>
        <v/>
      </c>
      <c r="G72" s="37" t="str">
        <f>IF(Agent01_Loans!B82="","",Agent01_Loans!G82)</f>
        <v/>
      </c>
      <c r="H72" s="37" t="str">
        <f>IF(Agent01_Loans!B82="","",Agent01_Loans!H82)</f>
        <v/>
      </c>
      <c r="I72" s="40" t="str">
        <f>IF(Agent01_Loans!B82="","",Agent01_Loans!I82)</f>
        <v/>
      </c>
      <c r="J72" s="40" t="str">
        <f>IF(Agent01_Loans!B82="","",Agent01_Loans!J82)</f>
        <v/>
      </c>
      <c r="K72" s="37" t="str">
        <f>IF(Agent01_Loans!B82="","",Agent01_Loans!K82)</f>
        <v/>
      </c>
      <c r="L72" s="37" t="str">
        <f>IF(Agent01_Loans!B82="","",Agent01_Loans!L82)</f>
        <v/>
      </c>
      <c r="M72" s="37" t="str">
        <f>IFERROR(IF(Agent01_Loans!B82="","",YEAR(Agent01_Loans!D82)),"")</f>
        <v/>
      </c>
    </row>
    <row r="73" spans="1:13" ht="18" customHeight="1" x14ac:dyDescent="0.25">
      <c r="A73" s="37" t="str">
        <f>IF(Agent01_Loans!B83="","",Agent01_Loans!A83)</f>
        <v/>
      </c>
      <c r="B73" s="37" t="str">
        <f>IF(Agent01_Loans!B83="","",Agent01_Loans!B83)</f>
        <v/>
      </c>
      <c r="C73" s="37" t="str">
        <f>IF(Agent01_Loans!B83="","",Agent01_Loans!C83)</f>
        <v/>
      </c>
      <c r="D73" s="38" t="str">
        <f>IF(Agent01_Loans!B83="","",Agent01_Loans!D83)</f>
        <v/>
      </c>
      <c r="E73" s="40" t="str">
        <f>IF(Agent01_Loans!B83="","",Agent01_Loans!E83)</f>
        <v/>
      </c>
      <c r="F73" s="37" t="str">
        <f>IF(Agent01_Loans!B83="","",Agent01_Loans!F83)</f>
        <v/>
      </c>
      <c r="G73" s="37" t="str">
        <f>IF(Agent01_Loans!B83="","",Agent01_Loans!G83)</f>
        <v/>
      </c>
      <c r="H73" s="37" t="str">
        <f>IF(Agent01_Loans!B83="","",Agent01_Loans!H83)</f>
        <v/>
      </c>
      <c r="I73" s="40" t="str">
        <f>IF(Agent01_Loans!B83="","",Agent01_Loans!I83)</f>
        <v/>
      </c>
      <c r="J73" s="40" t="str">
        <f>IF(Agent01_Loans!B83="","",Agent01_Loans!J83)</f>
        <v/>
      </c>
      <c r="K73" s="37" t="str">
        <f>IF(Agent01_Loans!B83="","",Agent01_Loans!K83)</f>
        <v/>
      </c>
      <c r="L73" s="37" t="str">
        <f>IF(Agent01_Loans!B83="","",Agent01_Loans!L83)</f>
        <v/>
      </c>
      <c r="M73" s="37" t="str">
        <f>IFERROR(IF(Agent01_Loans!B83="","",YEAR(Agent01_Loans!D83)),"")</f>
        <v/>
      </c>
    </row>
    <row r="74" spans="1:13" ht="18" customHeight="1" x14ac:dyDescent="0.25">
      <c r="A74" s="37" t="str">
        <f>IF(Agent01_Loans!B84="","",Agent01_Loans!A84)</f>
        <v/>
      </c>
      <c r="B74" s="37" t="str">
        <f>IF(Agent01_Loans!B84="","",Agent01_Loans!B84)</f>
        <v/>
      </c>
      <c r="C74" s="37" t="str">
        <f>IF(Agent01_Loans!B84="","",Agent01_Loans!C84)</f>
        <v/>
      </c>
      <c r="D74" s="38" t="str">
        <f>IF(Agent01_Loans!B84="","",Agent01_Loans!D84)</f>
        <v/>
      </c>
      <c r="E74" s="40" t="str">
        <f>IF(Agent01_Loans!B84="","",Agent01_Loans!E84)</f>
        <v/>
      </c>
      <c r="F74" s="37" t="str">
        <f>IF(Agent01_Loans!B84="","",Agent01_Loans!F84)</f>
        <v/>
      </c>
      <c r="G74" s="37" t="str">
        <f>IF(Agent01_Loans!B84="","",Agent01_Loans!G84)</f>
        <v/>
      </c>
      <c r="H74" s="37" t="str">
        <f>IF(Agent01_Loans!B84="","",Agent01_Loans!H84)</f>
        <v/>
      </c>
      <c r="I74" s="40" t="str">
        <f>IF(Agent01_Loans!B84="","",Agent01_Loans!I84)</f>
        <v/>
      </c>
      <c r="J74" s="40" t="str">
        <f>IF(Agent01_Loans!B84="","",Agent01_Loans!J84)</f>
        <v/>
      </c>
      <c r="K74" s="37" t="str">
        <f>IF(Agent01_Loans!B84="","",Agent01_Loans!K84)</f>
        <v/>
      </c>
      <c r="L74" s="37" t="str">
        <f>IF(Agent01_Loans!B84="","",Agent01_Loans!L84)</f>
        <v/>
      </c>
      <c r="M74" s="37" t="str">
        <f>IFERROR(IF(Agent01_Loans!B84="","",YEAR(Agent01_Loans!D84)),"")</f>
        <v/>
      </c>
    </row>
    <row r="75" spans="1:13" ht="18" customHeight="1" x14ac:dyDescent="0.25">
      <c r="A75" s="37" t="str">
        <f>IF(Agent01_Loans!B85="","",Agent01_Loans!A85)</f>
        <v/>
      </c>
      <c r="B75" s="37" t="str">
        <f>IF(Agent01_Loans!B85="","",Agent01_Loans!B85)</f>
        <v/>
      </c>
      <c r="C75" s="37" t="str">
        <f>IF(Agent01_Loans!B85="","",Agent01_Loans!C85)</f>
        <v/>
      </c>
      <c r="D75" s="38" t="str">
        <f>IF(Agent01_Loans!B85="","",Agent01_Loans!D85)</f>
        <v/>
      </c>
      <c r="E75" s="40" t="str">
        <f>IF(Agent01_Loans!B85="","",Agent01_Loans!E85)</f>
        <v/>
      </c>
      <c r="F75" s="37" t="str">
        <f>IF(Agent01_Loans!B85="","",Agent01_Loans!F85)</f>
        <v/>
      </c>
      <c r="G75" s="37" t="str">
        <f>IF(Agent01_Loans!B85="","",Agent01_Loans!G85)</f>
        <v/>
      </c>
      <c r="H75" s="37" t="str">
        <f>IF(Agent01_Loans!B85="","",Agent01_Loans!H85)</f>
        <v/>
      </c>
      <c r="I75" s="40" t="str">
        <f>IF(Agent01_Loans!B85="","",Agent01_Loans!I85)</f>
        <v/>
      </c>
      <c r="J75" s="40" t="str">
        <f>IF(Agent01_Loans!B85="","",Agent01_Loans!J85)</f>
        <v/>
      </c>
      <c r="K75" s="37" t="str">
        <f>IF(Agent01_Loans!B85="","",Agent01_Loans!K85)</f>
        <v/>
      </c>
      <c r="L75" s="37" t="str">
        <f>IF(Agent01_Loans!B85="","",Agent01_Loans!L85)</f>
        <v/>
      </c>
      <c r="M75" s="37" t="str">
        <f>IFERROR(IF(Agent01_Loans!B85="","",YEAR(Agent01_Loans!D85)),"")</f>
        <v/>
      </c>
    </row>
    <row r="76" spans="1:13" ht="18" customHeight="1" x14ac:dyDescent="0.25">
      <c r="A76" s="37" t="str">
        <f>IF(Agent01_Loans!B86="","",Agent01_Loans!A86)</f>
        <v/>
      </c>
      <c r="B76" s="37" t="str">
        <f>IF(Agent01_Loans!B86="","",Agent01_Loans!B86)</f>
        <v/>
      </c>
      <c r="C76" s="37" t="str">
        <f>IF(Agent01_Loans!B86="","",Agent01_Loans!C86)</f>
        <v/>
      </c>
      <c r="D76" s="38" t="str">
        <f>IF(Agent01_Loans!B86="","",Agent01_Loans!D86)</f>
        <v/>
      </c>
      <c r="E76" s="40" t="str">
        <f>IF(Agent01_Loans!B86="","",Agent01_Loans!E86)</f>
        <v/>
      </c>
      <c r="F76" s="37" t="str">
        <f>IF(Agent01_Loans!B86="","",Agent01_Loans!F86)</f>
        <v/>
      </c>
      <c r="G76" s="37" t="str">
        <f>IF(Agent01_Loans!B86="","",Agent01_Loans!G86)</f>
        <v/>
      </c>
      <c r="H76" s="37" t="str">
        <f>IF(Agent01_Loans!B86="","",Agent01_Loans!H86)</f>
        <v/>
      </c>
      <c r="I76" s="40" t="str">
        <f>IF(Agent01_Loans!B86="","",Agent01_Loans!I86)</f>
        <v/>
      </c>
      <c r="J76" s="40" t="str">
        <f>IF(Agent01_Loans!B86="","",Agent01_Loans!J86)</f>
        <v/>
      </c>
      <c r="K76" s="37" t="str">
        <f>IF(Agent01_Loans!B86="","",Agent01_Loans!K86)</f>
        <v/>
      </c>
      <c r="L76" s="37" t="str">
        <f>IF(Agent01_Loans!B86="","",Agent01_Loans!L86)</f>
        <v/>
      </c>
      <c r="M76" s="37" t="str">
        <f>IFERROR(IF(Agent01_Loans!B86="","",YEAR(Agent01_Loans!D86)),"")</f>
        <v/>
      </c>
    </row>
    <row r="77" spans="1:13" ht="18" customHeight="1" x14ac:dyDescent="0.25">
      <c r="A77" s="37" t="str">
        <f>IF(Agent01_Loans!B87="","",Agent01_Loans!A87)</f>
        <v/>
      </c>
      <c r="B77" s="37" t="str">
        <f>IF(Agent01_Loans!B87="","",Agent01_Loans!B87)</f>
        <v/>
      </c>
      <c r="C77" s="37" t="str">
        <f>IF(Agent01_Loans!B87="","",Agent01_Loans!C87)</f>
        <v/>
      </c>
      <c r="D77" s="38" t="str">
        <f>IF(Agent01_Loans!B87="","",Agent01_Loans!D87)</f>
        <v/>
      </c>
      <c r="E77" s="40" t="str">
        <f>IF(Agent01_Loans!B87="","",Agent01_Loans!E87)</f>
        <v/>
      </c>
      <c r="F77" s="37" t="str">
        <f>IF(Agent01_Loans!B87="","",Agent01_Loans!F87)</f>
        <v/>
      </c>
      <c r="G77" s="37" t="str">
        <f>IF(Agent01_Loans!B87="","",Agent01_Loans!G87)</f>
        <v/>
      </c>
      <c r="H77" s="37" t="str">
        <f>IF(Agent01_Loans!B87="","",Agent01_Loans!H87)</f>
        <v/>
      </c>
      <c r="I77" s="40" t="str">
        <f>IF(Agent01_Loans!B87="","",Agent01_Loans!I87)</f>
        <v/>
      </c>
      <c r="J77" s="40" t="str">
        <f>IF(Agent01_Loans!B87="","",Agent01_Loans!J87)</f>
        <v/>
      </c>
      <c r="K77" s="37" t="str">
        <f>IF(Agent01_Loans!B87="","",Agent01_Loans!K87)</f>
        <v/>
      </c>
      <c r="L77" s="37" t="str">
        <f>IF(Agent01_Loans!B87="","",Agent01_Loans!L87)</f>
        <v/>
      </c>
      <c r="M77" s="37" t="str">
        <f>IFERROR(IF(Agent01_Loans!B87="","",YEAR(Agent01_Loans!D87)),"")</f>
        <v/>
      </c>
    </row>
    <row r="78" spans="1:13" ht="18" customHeight="1" x14ac:dyDescent="0.25">
      <c r="A78" s="37" t="str">
        <f>IF(Agent01_Loans!B88="","",Agent01_Loans!A88)</f>
        <v/>
      </c>
      <c r="B78" s="37" t="str">
        <f>IF(Agent01_Loans!B88="","",Agent01_Loans!B88)</f>
        <v/>
      </c>
      <c r="C78" s="37" t="str">
        <f>IF(Agent01_Loans!B88="","",Agent01_Loans!C88)</f>
        <v/>
      </c>
      <c r="D78" s="38" t="str">
        <f>IF(Agent01_Loans!B88="","",Agent01_Loans!D88)</f>
        <v/>
      </c>
      <c r="E78" s="40" t="str">
        <f>IF(Agent01_Loans!B88="","",Agent01_Loans!E88)</f>
        <v/>
      </c>
      <c r="F78" s="37" t="str">
        <f>IF(Agent01_Loans!B88="","",Agent01_Loans!F88)</f>
        <v/>
      </c>
      <c r="G78" s="37" t="str">
        <f>IF(Agent01_Loans!B88="","",Agent01_Loans!G88)</f>
        <v/>
      </c>
      <c r="H78" s="37" t="str">
        <f>IF(Agent01_Loans!B88="","",Agent01_Loans!H88)</f>
        <v/>
      </c>
      <c r="I78" s="40" t="str">
        <f>IF(Agent01_Loans!B88="","",Agent01_Loans!I88)</f>
        <v/>
      </c>
      <c r="J78" s="40" t="str">
        <f>IF(Agent01_Loans!B88="","",Agent01_Loans!J88)</f>
        <v/>
      </c>
      <c r="K78" s="37" t="str">
        <f>IF(Agent01_Loans!B88="","",Agent01_Loans!K88)</f>
        <v/>
      </c>
      <c r="L78" s="37" t="str">
        <f>IF(Agent01_Loans!B88="","",Agent01_Loans!L88)</f>
        <v/>
      </c>
      <c r="M78" s="37" t="str">
        <f>IFERROR(IF(Agent01_Loans!B88="","",YEAR(Agent01_Loans!D88)),"")</f>
        <v/>
      </c>
    </row>
    <row r="79" spans="1:13" ht="18" customHeight="1" x14ac:dyDescent="0.25">
      <c r="A79" s="37" t="str">
        <f>IF(Agent01_Loans!B89="","",Agent01_Loans!A89)</f>
        <v/>
      </c>
      <c r="B79" s="37" t="str">
        <f>IF(Agent01_Loans!B89="","",Agent01_Loans!B89)</f>
        <v/>
      </c>
      <c r="C79" s="37" t="str">
        <f>IF(Agent01_Loans!B89="","",Agent01_Loans!C89)</f>
        <v/>
      </c>
      <c r="D79" s="38" t="str">
        <f>IF(Agent01_Loans!B89="","",Agent01_Loans!D89)</f>
        <v/>
      </c>
      <c r="E79" s="40" t="str">
        <f>IF(Agent01_Loans!B89="","",Agent01_Loans!E89)</f>
        <v/>
      </c>
      <c r="F79" s="37" t="str">
        <f>IF(Agent01_Loans!B89="","",Agent01_Loans!F89)</f>
        <v/>
      </c>
      <c r="G79" s="37" t="str">
        <f>IF(Agent01_Loans!B89="","",Agent01_Loans!G89)</f>
        <v/>
      </c>
      <c r="H79" s="37" t="str">
        <f>IF(Agent01_Loans!B89="","",Agent01_Loans!H89)</f>
        <v/>
      </c>
      <c r="I79" s="40" t="str">
        <f>IF(Agent01_Loans!B89="","",Agent01_Loans!I89)</f>
        <v/>
      </c>
      <c r="J79" s="40" t="str">
        <f>IF(Agent01_Loans!B89="","",Agent01_Loans!J89)</f>
        <v/>
      </c>
      <c r="K79" s="37" t="str">
        <f>IF(Agent01_Loans!B89="","",Agent01_Loans!K89)</f>
        <v/>
      </c>
      <c r="L79" s="37" t="str">
        <f>IF(Agent01_Loans!B89="","",Agent01_Loans!L89)</f>
        <v/>
      </c>
      <c r="M79" s="37" t="str">
        <f>IFERROR(IF(Agent01_Loans!B89="","",YEAR(Agent01_Loans!D89)),"")</f>
        <v/>
      </c>
    </row>
    <row r="80" spans="1:13" ht="18" customHeight="1" x14ac:dyDescent="0.25">
      <c r="A80" s="37" t="str">
        <f>IF(Agent01_Loans!B90="","",Agent01_Loans!A90)</f>
        <v/>
      </c>
      <c r="B80" s="37" t="str">
        <f>IF(Agent01_Loans!B90="","",Agent01_Loans!B90)</f>
        <v/>
      </c>
      <c r="C80" s="37" t="str">
        <f>IF(Agent01_Loans!B90="","",Agent01_Loans!C90)</f>
        <v/>
      </c>
      <c r="D80" s="38" t="str">
        <f>IF(Agent01_Loans!B90="","",Agent01_Loans!D90)</f>
        <v/>
      </c>
      <c r="E80" s="40" t="str">
        <f>IF(Agent01_Loans!B90="","",Agent01_Loans!E90)</f>
        <v/>
      </c>
      <c r="F80" s="37" t="str">
        <f>IF(Agent01_Loans!B90="","",Agent01_Loans!F90)</f>
        <v/>
      </c>
      <c r="G80" s="37" t="str">
        <f>IF(Agent01_Loans!B90="","",Agent01_Loans!G90)</f>
        <v/>
      </c>
      <c r="H80" s="37" t="str">
        <f>IF(Agent01_Loans!B90="","",Agent01_Loans!H90)</f>
        <v/>
      </c>
      <c r="I80" s="40" t="str">
        <f>IF(Agent01_Loans!B90="","",Agent01_Loans!I90)</f>
        <v/>
      </c>
      <c r="J80" s="40" t="str">
        <f>IF(Agent01_Loans!B90="","",Agent01_Loans!J90)</f>
        <v/>
      </c>
      <c r="K80" s="37" t="str">
        <f>IF(Agent01_Loans!B90="","",Agent01_Loans!K90)</f>
        <v/>
      </c>
      <c r="L80" s="37" t="str">
        <f>IF(Agent01_Loans!B90="","",Agent01_Loans!L90)</f>
        <v/>
      </c>
      <c r="M80" s="37" t="str">
        <f>IFERROR(IF(Agent01_Loans!B90="","",YEAR(Agent01_Loans!D90)),"")</f>
        <v/>
      </c>
    </row>
    <row r="81" spans="1:13" ht="18" customHeight="1" x14ac:dyDescent="0.25">
      <c r="A81" s="37" t="str">
        <f>IF(Agent01_Loans!B91="","",Agent01_Loans!A91)</f>
        <v/>
      </c>
      <c r="B81" s="37" t="str">
        <f>IF(Agent01_Loans!B91="","",Agent01_Loans!B91)</f>
        <v/>
      </c>
      <c r="C81" s="37" t="str">
        <f>IF(Agent01_Loans!B91="","",Agent01_Loans!C91)</f>
        <v/>
      </c>
      <c r="D81" s="38" t="str">
        <f>IF(Agent01_Loans!B91="","",Agent01_Loans!D91)</f>
        <v/>
      </c>
      <c r="E81" s="40" t="str">
        <f>IF(Agent01_Loans!B91="","",Agent01_Loans!E91)</f>
        <v/>
      </c>
      <c r="F81" s="37" t="str">
        <f>IF(Agent01_Loans!B91="","",Agent01_Loans!F91)</f>
        <v/>
      </c>
      <c r="G81" s="37" t="str">
        <f>IF(Agent01_Loans!B91="","",Agent01_Loans!G91)</f>
        <v/>
      </c>
      <c r="H81" s="37" t="str">
        <f>IF(Agent01_Loans!B91="","",Agent01_Loans!H91)</f>
        <v/>
      </c>
      <c r="I81" s="40" t="str">
        <f>IF(Agent01_Loans!B91="","",Agent01_Loans!I91)</f>
        <v/>
      </c>
      <c r="J81" s="40" t="str">
        <f>IF(Agent01_Loans!B91="","",Agent01_Loans!J91)</f>
        <v/>
      </c>
      <c r="K81" s="37" t="str">
        <f>IF(Agent01_Loans!B91="","",Agent01_Loans!K91)</f>
        <v/>
      </c>
      <c r="L81" s="37" t="str">
        <f>IF(Agent01_Loans!B91="","",Agent01_Loans!L91)</f>
        <v/>
      </c>
      <c r="M81" s="37" t="str">
        <f>IFERROR(IF(Agent01_Loans!B91="","",YEAR(Agent01_Loans!D91)),"")</f>
        <v/>
      </c>
    </row>
    <row r="82" spans="1:13" ht="18" customHeight="1" x14ac:dyDescent="0.25">
      <c r="A82" s="37" t="str">
        <f>IF(Agent01_Loans!B92="","",Agent01_Loans!A92)</f>
        <v/>
      </c>
      <c r="B82" s="37" t="str">
        <f>IF(Agent01_Loans!B92="","",Agent01_Loans!B92)</f>
        <v/>
      </c>
      <c r="C82" s="37" t="str">
        <f>IF(Agent01_Loans!B92="","",Agent01_Loans!C92)</f>
        <v/>
      </c>
      <c r="D82" s="38" t="str">
        <f>IF(Agent01_Loans!B92="","",Agent01_Loans!D92)</f>
        <v/>
      </c>
      <c r="E82" s="40" t="str">
        <f>IF(Agent01_Loans!B92="","",Agent01_Loans!E92)</f>
        <v/>
      </c>
      <c r="F82" s="37" t="str">
        <f>IF(Agent01_Loans!B92="","",Agent01_Loans!F92)</f>
        <v/>
      </c>
      <c r="G82" s="37" t="str">
        <f>IF(Agent01_Loans!B92="","",Agent01_Loans!G92)</f>
        <v/>
      </c>
      <c r="H82" s="37" t="str">
        <f>IF(Agent01_Loans!B92="","",Agent01_Loans!H92)</f>
        <v/>
      </c>
      <c r="I82" s="40" t="str">
        <f>IF(Agent01_Loans!B92="","",Agent01_Loans!I92)</f>
        <v/>
      </c>
      <c r="J82" s="40" t="str">
        <f>IF(Agent01_Loans!B92="","",Agent01_Loans!J92)</f>
        <v/>
      </c>
      <c r="K82" s="37" t="str">
        <f>IF(Agent01_Loans!B92="","",Agent01_Loans!K92)</f>
        <v/>
      </c>
      <c r="L82" s="37" t="str">
        <f>IF(Agent01_Loans!B92="","",Agent01_Loans!L92)</f>
        <v/>
      </c>
      <c r="M82" s="37" t="str">
        <f>IFERROR(IF(Agent01_Loans!B92="","",YEAR(Agent01_Loans!D92)),"")</f>
        <v/>
      </c>
    </row>
    <row r="83" spans="1:13" ht="18" customHeight="1" x14ac:dyDescent="0.25">
      <c r="A83" s="37" t="str">
        <f>IF(Agent01_Loans!B93="","",Agent01_Loans!A93)</f>
        <v/>
      </c>
      <c r="B83" s="37" t="str">
        <f>IF(Agent01_Loans!B93="","",Agent01_Loans!B93)</f>
        <v/>
      </c>
      <c r="C83" s="37" t="str">
        <f>IF(Agent01_Loans!B93="","",Agent01_Loans!C93)</f>
        <v/>
      </c>
      <c r="D83" s="38" t="str">
        <f>IF(Agent01_Loans!B93="","",Agent01_Loans!D93)</f>
        <v/>
      </c>
      <c r="E83" s="40" t="str">
        <f>IF(Agent01_Loans!B93="","",Agent01_Loans!E93)</f>
        <v/>
      </c>
      <c r="F83" s="37" t="str">
        <f>IF(Agent01_Loans!B93="","",Agent01_Loans!F93)</f>
        <v/>
      </c>
      <c r="G83" s="37" t="str">
        <f>IF(Agent01_Loans!B93="","",Agent01_Loans!G93)</f>
        <v/>
      </c>
      <c r="H83" s="37" t="str">
        <f>IF(Agent01_Loans!B93="","",Agent01_Loans!H93)</f>
        <v/>
      </c>
      <c r="I83" s="40" t="str">
        <f>IF(Agent01_Loans!B93="","",Agent01_Loans!I93)</f>
        <v/>
      </c>
      <c r="J83" s="40" t="str">
        <f>IF(Agent01_Loans!B93="","",Agent01_Loans!J93)</f>
        <v/>
      </c>
      <c r="K83" s="37" t="str">
        <f>IF(Agent01_Loans!B93="","",Agent01_Loans!K93)</f>
        <v/>
      </c>
      <c r="L83" s="37" t="str">
        <f>IF(Agent01_Loans!B93="","",Agent01_Loans!L93)</f>
        <v/>
      </c>
      <c r="M83" s="37" t="str">
        <f>IFERROR(IF(Agent01_Loans!B93="","",YEAR(Agent01_Loans!D93)),"")</f>
        <v/>
      </c>
    </row>
    <row r="84" spans="1:13" ht="18" customHeight="1" x14ac:dyDescent="0.25">
      <c r="A84" s="37" t="str">
        <f>IF(Agent01_Loans!B94="","",Agent01_Loans!A94)</f>
        <v/>
      </c>
      <c r="B84" s="37" t="str">
        <f>IF(Agent01_Loans!B94="","",Agent01_Loans!B94)</f>
        <v/>
      </c>
      <c r="C84" s="37" t="str">
        <f>IF(Agent01_Loans!B94="","",Agent01_Loans!C94)</f>
        <v/>
      </c>
      <c r="D84" s="38" t="str">
        <f>IF(Agent01_Loans!B94="","",Agent01_Loans!D94)</f>
        <v/>
      </c>
      <c r="E84" s="40" t="str">
        <f>IF(Agent01_Loans!B94="","",Agent01_Loans!E94)</f>
        <v/>
      </c>
      <c r="F84" s="37" t="str">
        <f>IF(Agent01_Loans!B94="","",Agent01_Loans!F94)</f>
        <v/>
      </c>
      <c r="G84" s="37" t="str">
        <f>IF(Agent01_Loans!B94="","",Agent01_Loans!G94)</f>
        <v/>
      </c>
      <c r="H84" s="37" t="str">
        <f>IF(Agent01_Loans!B94="","",Agent01_Loans!H94)</f>
        <v/>
      </c>
      <c r="I84" s="40" t="str">
        <f>IF(Agent01_Loans!B94="","",Agent01_Loans!I94)</f>
        <v/>
      </c>
      <c r="J84" s="40" t="str">
        <f>IF(Agent01_Loans!B94="","",Agent01_Loans!J94)</f>
        <v/>
      </c>
      <c r="K84" s="37" t="str">
        <f>IF(Agent01_Loans!B94="","",Agent01_Loans!K94)</f>
        <v/>
      </c>
      <c r="L84" s="37" t="str">
        <f>IF(Agent01_Loans!B94="","",Agent01_Loans!L94)</f>
        <v/>
      </c>
      <c r="M84" s="37" t="str">
        <f>IFERROR(IF(Agent01_Loans!B94="","",YEAR(Agent01_Loans!D94)),"")</f>
        <v/>
      </c>
    </row>
    <row r="85" spans="1:13" ht="18" customHeight="1" x14ac:dyDescent="0.25">
      <c r="A85" s="37" t="str">
        <f>IF(Agent01_Loans!B95="","",Agent01_Loans!A95)</f>
        <v/>
      </c>
      <c r="B85" s="37" t="str">
        <f>IF(Agent01_Loans!B95="","",Agent01_Loans!B95)</f>
        <v/>
      </c>
      <c r="C85" s="37" t="str">
        <f>IF(Agent01_Loans!B95="","",Agent01_Loans!C95)</f>
        <v/>
      </c>
      <c r="D85" s="38" t="str">
        <f>IF(Agent01_Loans!B95="","",Agent01_Loans!D95)</f>
        <v/>
      </c>
      <c r="E85" s="40" t="str">
        <f>IF(Agent01_Loans!B95="","",Agent01_Loans!E95)</f>
        <v/>
      </c>
      <c r="F85" s="37" t="str">
        <f>IF(Agent01_Loans!B95="","",Agent01_Loans!F95)</f>
        <v/>
      </c>
      <c r="G85" s="37" t="str">
        <f>IF(Agent01_Loans!B95="","",Agent01_Loans!G95)</f>
        <v/>
      </c>
      <c r="H85" s="37" t="str">
        <f>IF(Agent01_Loans!B95="","",Agent01_Loans!H95)</f>
        <v/>
      </c>
      <c r="I85" s="40" t="str">
        <f>IF(Agent01_Loans!B95="","",Agent01_Loans!I95)</f>
        <v/>
      </c>
      <c r="J85" s="40" t="str">
        <f>IF(Agent01_Loans!B95="","",Agent01_Loans!J95)</f>
        <v/>
      </c>
      <c r="K85" s="37" t="str">
        <f>IF(Agent01_Loans!B95="","",Agent01_Loans!K95)</f>
        <v/>
      </c>
      <c r="L85" s="37" t="str">
        <f>IF(Agent01_Loans!B95="","",Agent01_Loans!L95)</f>
        <v/>
      </c>
      <c r="M85" s="37" t="str">
        <f>IFERROR(IF(Agent01_Loans!B95="","",YEAR(Agent01_Loans!D95)),"")</f>
        <v/>
      </c>
    </row>
    <row r="86" spans="1:13" ht="18" customHeight="1" x14ac:dyDescent="0.25">
      <c r="A86" s="37" t="str">
        <f>IF(Agent01_Loans!B96="","",Agent01_Loans!A96)</f>
        <v/>
      </c>
      <c r="B86" s="37" t="str">
        <f>IF(Agent01_Loans!B96="","",Agent01_Loans!B96)</f>
        <v/>
      </c>
      <c r="C86" s="37" t="str">
        <f>IF(Agent01_Loans!B96="","",Agent01_Loans!C96)</f>
        <v/>
      </c>
      <c r="D86" s="38" t="str">
        <f>IF(Agent01_Loans!B96="","",Agent01_Loans!D96)</f>
        <v/>
      </c>
      <c r="E86" s="40" t="str">
        <f>IF(Agent01_Loans!B96="","",Agent01_Loans!E96)</f>
        <v/>
      </c>
      <c r="F86" s="37" t="str">
        <f>IF(Agent01_Loans!B96="","",Agent01_Loans!F96)</f>
        <v/>
      </c>
      <c r="G86" s="37" t="str">
        <f>IF(Agent01_Loans!B96="","",Agent01_Loans!G96)</f>
        <v/>
      </c>
      <c r="H86" s="37" t="str">
        <f>IF(Agent01_Loans!B96="","",Agent01_Loans!H96)</f>
        <v/>
      </c>
      <c r="I86" s="40" t="str">
        <f>IF(Agent01_Loans!B96="","",Agent01_Loans!I96)</f>
        <v/>
      </c>
      <c r="J86" s="40" t="str">
        <f>IF(Agent01_Loans!B96="","",Agent01_Loans!J96)</f>
        <v/>
      </c>
      <c r="K86" s="37" t="str">
        <f>IF(Agent01_Loans!B96="","",Agent01_Loans!K96)</f>
        <v/>
      </c>
      <c r="L86" s="37" t="str">
        <f>IF(Agent01_Loans!B96="","",Agent01_Loans!L96)</f>
        <v/>
      </c>
      <c r="M86" s="37" t="str">
        <f>IFERROR(IF(Agent01_Loans!B96="","",YEAR(Agent01_Loans!D96)),"")</f>
        <v/>
      </c>
    </row>
    <row r="87" spans="1:13" ht="18" customHeight="1" x14ac:dyDescent="0.25">
      <c r="A87" s="37" t="str">
        <f>IF(Agent01_Loans!B97="","",Agent01_Loans!A97)</f>
        <v/>
      </c>
      <c r="B87" s="37" t="str">
        <f>IF(Agent01_Loans!B97="","",Agent01_Loans!B97)</f>
        <v/>
      </c>
      <c r="C87" s="37" t="str">
        <f>IF(Agent01_Loans!B97="","",Agent01_Loans!C97)</f>
        <v/>
      </c>
      <c r="D87" s="38" t="str">
        <f>IF(Agent01_Loans!B97="","",Agent01_Loans!D97)</f>
        <v/>
      </c>
      <c r="E87" s="40" t="str">
        <f>IF(Agent01_Loans!B97="","",Agent01_Loans!E97)</f>
        <v/>
      </c>
      <c r="F87" s="37" t="str">
        <f>IF(Agent01_Loans!B97="","",Agent01_Loans!F97)</f>
        <v/>
      </c>
      <c r="G87" s="37" t="str">
        <f>IF(Agent01_Loans!B97="","",Agent01_Loans!G97)</f>
        <v/>
      </c>
      <c r="H87" s="37" t="str">
        <f>IF(Agent01_Loans!B97="","",Agent01_Loans!H97)</f>
        <v/>
      </c>
      <c r="I87" s="40" t="str">
        <f>IF(Agent01_Loans!B97="","",Agent01_Loans!I97)</f>
        <v/>
      </c>
      <c r="J87" s="40" t="str">
        <f>IF(Agent01_Loans!B97="","",Agent01_Loans!J97)</f>
        <v/>
      </c>
      <c r="K87" s="37" t="str">
        <f>IF(Agent01_Loans!B97="","",Agent01_Loans!K97)</f>
        <v/>
      </c>
      <c r="L87" s="37" t="str">
        <f>IF(Agent01_Loans!B97="","",Agent01_Loans!L97)</f>
        <v/>
      </c>
      <c r="M87" s="37" t="str">
        <f>IFERROR(IF(Agent01_Loans!B97="","",YEAR(Agent01_Loans!D97)),"")</f>
        <v/>
      </c>
    </row>
    <row r="88" spans="1:13" ht="18" customHeight="1" x14ac:dyDescent="0.25">
      <c r="A88" s="37" t="str">
        <f>IF(Agent01_Loans!B98="","",Agent01_Loans!A98)</f>
        <v/>
      </c>
      <c r="B88" s="37" t="str">
        <f>IF(Agent01_Loans!B98="","",Agent01_Loans!B98)</f>
        <v/>
      </c>
      <c r="C88" s="37" t="str">
        <f>IF(Agent01_Loans!B98="","",Agent01_Loans!C98)</f>
        <v/>
      </c>
      <c r="D88" s="38" t="str">
        <f>IF(Agent01_Loans!B98="","",Agent01_Loans!D98)</f>
        <v/>
      </c>
      <c r="E88" s="40" t="str">
        <f>IF(Agent01_Loans!B98="","",Agent01_Loans!E98)</f>
        <v/>
      </c>
      <c r="F88" s="37" t="str">
        <f>IF(Agent01_Loans!B98="","",Agent01_Loans!F98)</f>
        <v/>
      </c>
      <c r="G88" s="37" t="str">
        <f>IF(Agent01_Loans!B98="","",Agent01_Loans!G98)</f>
        <v/>
      </c>
      <c r="H88" s="37" t="str">
        <f>IF(Agent01_Loans!B98="","",Agent01_Loans!H98)</f>
        <v/>
      </c>
      <c r="I88" s="40" t="str">
        <f>IF(Agent01_Loans!B98="","",Agent01_Loans!I98)</f>
        <v/>
      </c>
      <c r="J88" s="40" t="str">
        <f>IF(Agent01_Loans!B98="","",Agent01_Loans!J98)</f>
        <v/>
      </c>
      <c r="K88" s="37" t="str">
        <f>IF(Agent01_Loans!B98="","",Agent01_Loans!K98)</f>
        <v/>
      </c>
      <c r="L88" s="37" t="str">
        <f>IF(Agent01_Loans!B98="","",Agent01_Loans!L98)</f>
        <v/>
      </c>
      <c r="M88" s="37" t="str">
        <f>IFERROR(IF(Agent01_Loans!B98="","",YEAR(Agent01_Loans!D98)),"")</f>
        <v/>
      </c>
    </row>
    <row r="89" spans="1:13" ht="18" customHeight="1" x14ac:dyDescent="0.25">
      <c r="A89" s="37" t="str">
        <f>IF(Agent01_Loans!B99="","",Agent01_Loans!A99)</f>
        <v/>
      </c>
      <c r="B89" s="37" t="str">
        <f>IF(Agent01_Loans!B99="","",Agent01_Loans!B99)</f>
        <v/>
      </c>
      <c r="C89" s="37" t="str">
        <f>IF(Agent01_Loans!B99="","",Agent01_Loans!C99)</f>
        <v/>
      </c>
      <c r="D89" s="38" t="str">
        <f>IF(Agent01_Loans!B99="","",Agent01_Loans!D99)</f>
        <v/>
      </c>
      <c r="E89" s="40" t="str">
        <f>IF(Agent01_Loans!B99="","",Agent01_Loans!E99)</f>
        <v/>
      </c>
      <c r="F89" s="37" t="str">
        <f>IF(Agent01_Loans!B99="","",Agent01_Loans!F99)</f>
        <v/>
      </c>
      <c r="G89" s="37" t="str">
        <f>IF(Agent01_Loans!B99="","",Agent01_Loans!G99)</f>
        <v/>
      </c>
      <c r="H89" s="37" t="str">
        <f>IF(Agent01_Loans!B99="","",Agent01_Loans!H99)</f>
        <v/>
      </c>
      <c r="I89" s="40" t="str">
        <f>IF(Agent01_Loans!B99="","",Agent01_Loans!I99)</f>
        <v/>
      </c>
      <c r="J89" s="40" t="str">
        <f>IF(Agent01_Loans!B99="","",Agent01_Loans!J99)</f>
        <v/>
      </c>
      <c r="K89" s="37" t="str">
        <f>IF(Agent01_Loans!B99="","",Agent01_Loans!K99)</f>
        <v/>
      </c>
      <c r="L89" s="37" t="str">
        <f>IF(Agent01_Loans!B99="","",Agent01_Loans!L99)</f>
        <v/>
      </c>
      <c r="M89" s="37" t="str">
        <f>IFERROR(IF(Agent01_Loans!B99="","",YEAR(Agent01_Loans!D99)),"")</f>
        <v/>
      </c>
    </row>
    <row r="90" spans="1:13" ht="18" customHeight="1" x14ac:dyDescent="0.25">
      <c r="A90" s="37" t="str">
        <f>IF(Agent01_Loans!B100="","",Agent01_Loans!A100)</f>
        <v/>
      </c>
      <c r="B90" s="37" t="str">
        <f>IF(Agent01_Loans!B100="","",Agent01_Loans!B100)</f>
        <v/>
      </c>
      <c r="C90" s="37" t="str">
        <f>IF(Agent01_Loans!B100="","",Agent01_Loans!C100)</f>
        <v/>
      </c>
      <c r="D90" s="38" t="str">
        <f>IF(Agent01_Loans!B100="","",Agent01_Loans!D100)</f>
        <v/>
      </c>
      <c r="E90" s="40" t="str">
        <f>IF(Agent01_Loans!B100="","",Agent01_Loans!E100)</f>
        <v/>
      </c>
      <c r="F90" s="37" t="str">
        <f>IF(Agent01_Loans!B100="","",Agent01_Loans!F100)</f>
        <v/>
      </c>
      <c r="G90" s="37" t="str">
        <f>IF(Agent01_Loans!B100="","",Agent01_Loans!G100)</f>
        <v/>
      </c>
      <c r="H90" s="37" t="str">
        <f>IF(Agent01_Loans!B100="","",Agent01_Loans!H100)</f>
        <v/>
      </c>
      <c r="I90" s="40" t="str">
        <f>IF(Agent01_Loans!B100="","",Agent01_Loans!I100)</f>
        <v/>
      </c>
      <c r="J90" s="40" t="str">
        <f>IF(Agent01_Loans!B100="","",Agent01_Loans!J100)</f>
        <v/>
      </c>
      <c r="K90" s="37" t="str">
        <f>IF(Agent01_Loans!B100="","",Agent01_Loans!K100)</f>
        <v/>
      </c>
      <c r="L90" s="37" t="str">
        <f>IF(Agent01_Loans!B100="","",Agent01_Loans!L100)</f>
        <v/>
      </c>
      <c r="M90" s="37" t="str">
        <f>IFERROR(IF(Agent01_Loans!B100="","",YEAR(Agent01_Loans!D100)),"")</f>
        <v/>
      </c>
    </row>
    <row r="91" spans="1:13" ht="18" customHeight="1" x14ac:dyDescent="0.25">
      <c r="A91" s="37" t="str">
        <f>IF(Agent01_Loans!B101="","",Agent01_Loans!A101)</f>
        <v/>
      </c>
      <c r="B91" s="37" t="str">
        <f>IF(Agent01_Loans!B101="","",Agent01_Loans!B101)</f>
        <v/>
      </c>
      <c r="C91" s="37" t="str">
        <f>IF(Agent01_Loans!B101="","",Agent01_Loans!C101)</f>
        <v/>
      </c>
      <c r="D91" s="38" t="str">
        <f>IF(Agent01_Loans!B101="","",Agent01_Loans!D101)</f>
        <v/>
      </c>
      <c r="E91" s="40" t="str">
        <f>IF(Agent01_Loans!B101="","",Agent01_Loans!E101)</f>
        <v/>
      </c>
      <c r="F91" s="37" t="str">
        <f>IF(Agent01_Loans!B101="","",Agent01_Loans!F101)</f>
        <v/>
      </c>
      <c r="G91" s="37" t="str">
        <f>IF(Agent01_Loans!B101="","",Agent01_Loans!G101)</f>
        <v/>
      </c>
      <c r="H91" s="37" t="str">
        <f>IF(Agent01_Loans!B101="","",Agent01_Loans!H101)</f>
        <v/>
      </c>
      <c r="I91" s="40" t="str">
        <f>IF(Agent01_Loans!B101="","",Agent01_Loans!I101)</f>
        <v/>
      </c>
      <c r="J91" s="40" t="str">
        <f>IF(Agent01_Loans!B101="","",Agent01_Loans!J101)</f>
        <v/>
      </c>
      <c r="K91" s="37" t="str">
        <f>IF(Agent01_Loans!B101="","",Agent01_Loans!K101)</f>
        <v/>
      </c>
      <c r="L91" s="37" t="str">
        <f>IF(Agent01_Loans!B101="","",Agent01_Loans!L101)</f>
        <v/>
      </c>
      <c r="M91" s="37" t="str">
        <f>IFERROR(IF(Agent01_Loans!B101="","",YEAR(Agent01_Loans!D101)),"")</f>
        <v/>
      </c>
    </row>
    <row r="92" spans="1:13" ht="18" customHeight="1" x14ac:dyDescent="0.25">
      <c r="A92" s="37" t="str">
        <f>IF(Agent01_Loans!B102="","",Agent01_Loans!A102)</f>
        <v/>
      </c>
      <c r="B92" s="37" t="str">
        <f>IF(Agent01_Loans!B102="","",Agent01_Loans!B102)</f>
        <v/>
      </c>
      <c r="C92" s="37" t="str">
        <f>IF(Agent01_Loans!B102="","",Agent01_Loans!C102)</f>
        <v/>
      </c>
      <c r="D92" s="38" t="str">
        <f>IF(Agent01_Loans!B102="","",Agent01_Loans!D102)</f>
        <v/>
      </c>
      <c r="E92" s="40" t="str">
        <f>IF(Agent01_Loans!B102="","",Agent01_Loans!E102)</f>
        <v/>
      </c>
      <c r="F92" s="37" t="str">
        <f>IF(Agent01_Loans!B102="","",Agent01_Loans!F102)</f>
        <v/>
      </c>
      <c r="G92" s="37" t="str">
        <f>IF(Agent01_Loans!B102="","",Agent01_Loans!G102)</f>
        <v/>
      </c>
      <c r="H92" s="37" t="str">
        <f>IF(Agent01_Loans!B102="","",Agent01_Loans!H102)</f>
        <v/>
      </c>
      <c r="I92" s="40" t="str">
        <f>IF(Agent01_Loans!B102="","",Agent01_Loans!I102)</f>
        <v/>
      </c>
      <c r="J92" s="40" t="str">
        <f>IF(Agent01_Loans!B102="","",Agent01_Loans!J102)</f>
        <v/>
      </c>
      <c r="K92" s="37" t="str">
        <f>IF(Agent01_Loans!B102="","",Agent01_Loans!K102)</f>
        <v/>
      </c>
      <c r="L92" s="37" t="str">
        <f>IF(Agent01_Loans!B102="","",Agent01_Loans!L102)</f>
        <v/>
      </c>
      <c r="M92" s="37" t="str">
        <f>IFERROR(IF(Agent01_Loans!B102="","",YEAR(Agent01_Loans!D102)),"")</f>
        <v/>
      </c>
    </row>
    <row r="93" spans="1:13" ht="18" customHeight="1" x14ac:dyDescent="0.25">
      <c r="A93" s="37" t="str">
        <f>IF(Agent01_Loans!B103="","",Agent01_Loans!A103)</f>
        <v/>
      </c>
      <c r="B93" s="37" t="str">
        <f>IF(Agent01_Loans!B103="","",Agent01_Loans!B103)</f>
        <v/>
      </c>
      <c r="C93" s="37" t="str">
        <f>IF(Agent01_Loans!B103="","",Agent01_Loans!C103)</f>
        <v/>
      </c>
      <c r="D93" s="38" t="str">
        <f>IF(Agent01_Loans!B103="","",Agent01_Loans!D103)</f>
        <v/>
      </c>
      <c r="E93" s="40" t="str">
        <f>IF(Agent01_Loans!B103="","",Agent01_Loans!E103)</f>
        <v/>
      </c>
      <c r="F93" s="37" t="str">
        <f>IF(Agent01_Loans!B103="","",Agent01_Loans!F103)</f>
        <v/>
      </c>
      <c r="G93" s="37" t="str">
        <f>IF(Agent01_Loans!B103="","",Agent01_Loans!G103)</f>
        <v/>
      </c>
      <c r="H93" s="37" t="str">
        <f>IF(Agent01_Loans!B103="","",Agent01_Loans!H103)</f>
        <v/>
      </c>
      <c r="I93" s="40" t="str">
        <f>IF(Agent01_Loans!B103="","",Agent01_Loans!I103)</f>
        <v/>
      </c>
      <c r="J93" s="40" t="str">
        <f>IF(Agent01_Loans!B103="","",Agent01_Loans!J103)</f>
        <v/>
      </c>
      <c r="K93" s="37" t="str">
        <f>IF(Agent01_Loans!B103="","",Agent01_Loans!K103)</f>
        <v/>
      </c>
      <c r="L93" s="37" t="str">
        <f>IF(Agent01_Loans!B103="","",Agent01_Loans!L103)</f>
        <v/>
      </c>
      <c r="M93" s="37" t="str">
        <f>IFERROR(IF(Agent01_Loans!B103="","",YEAR(Agent01_Loans!D103)),"")</f>
        <v/>
      </c>
    </row>
    <row r="94" spans="1:13" ht="18" customHeight="1" x14ac:dyDescent="0.25">
      <c r="A94" s="37" t="str">
        <f>IF(Agent01_Loans!B104="","",Agent01_Loans!A104)</f>
        <v/>
      </c>
      <c r="B94" s="37" t="str">
        <f>IF(Agent01_Loans!B104="","",Agent01_Loans!B104)</f>
        <v/>
      </c>
      <c r="C94" s="37" t="str">
        <f>IF(Agent01_Loans!B104="","",Agent01_Loans!C104)</f>
        <v/>
      </c>
      <c r="D94" s="38" t="str">
        <f>IF(Agent01_Loans!B104="","",Agent01_Loans!D104)</f>
        <v/>
      </c>
      <c r="E94" s="40" t="str">
        <f>IF(Agent01_Loans!B104="","",Agent01_Loans!E104)</f>
        <v/>
      </c>
      <c r="F94" s="37" t="str">
        <f>IF(Agent01_Loans!B104="","",Agent01_Loans!F104)</f>
        <v/>
      </c>
      <c r="G94" s="37" t="str">
        <f>IF(Agent01_Loans!B104="","",Agent01_Loans!G104)</f>
        <v/>
      </c>
      <c r="H94" s="37" t="str">
        <f>IF(Agent01_Loans!B104="","",Agent01_Loans!H104)</f>
        <v/>
      </c>
      <c r="I94" s="40" t="str">
        <f>IF(Agent01_Loans!B104="","",Agent01_Loans!I104)</f>
        <v/>
      </c>
      <c r="J94" s="40" t="str">
        <f>IF(Agent01_Loans!B104="","",Agent01_Loans!J104)</f>
        <v/>
      </c>
      <c r="K94" s="37" t="str">
        <f>IF(Agent01_Loans!B104="","",Agent01_Loans!K104)</f>
        <v/>
      </c>
      <c r="L94" s="37" t="str">
        <f>IF(Agent01_Loans!B104="","",Agent01_Loans!L104)</f>
        <v/>
      </c>
      <c r="M94" s="37" t="str">
        <f>IFERROR(IF(Agent01_Loans!B104="","",YEAR(Agent01_Loans!D104)),"")</f>
        <v/>
      </c>
    </row>
    <row r="95" spans="1:13" ht="18" customHeight="1" x14ac:dyDescent="0.25">
      <c r="A95" s="37" t="str">
        <f>IF(Agent01_Loans!B105="","",Agent01_Loans!A105)</f>
        <v/>
      </c>
      <c r="B95" s="37" t="str">
        <f>IF(Agent01_Loans!B105="","",Agent01_Loans!B105)</f>
        <v/>
      </c>
      <c r="C95" s="37" t="str">
        <f>IF(Agent01_Loans!B105="","",Agent01_Loans!C105)</f>
        <v/>
      </c>
      <c r="D95" s="38" t="str">
        <f>IF(Agent01_Loans!B105="","",Agent01_Loans!D105)</f>
        <v/>
      </c>
      <c r="E95" s="40" t="str">
        <f>IF(Agent01_Loans!B105="","",Agent01_Loans!E105)</f>
        <v/>
      </c>
      <c r="F95" s="37" t="str">
        <f>IF(Agent01_Loans!B105="","",Agent01_Loans!F105)</f>
        <v/>
      </c>
      <c r="G95" s="37" t="str">
        <f>IF(Agent01_Loans!B105="","",Agent01_Loans!G105)</f>
        <v/>
      </c>
      <c r="H95" s="37" t="str">
        <f>IF(Agent01_Loans!B105="","",Agent01_Loans!H105)</f>
        <v/>
      </c>
      <c r="I95" s="40" t="str">
        <f>IF(Agent01_Loans!B105="","",Agent01_Loans!I105)</f>
        <v/>
      </c>
      <c r="J95" s="40" t="str">
        <f>IF(Agent01_Loans!B105="","",Agent01_Loans!J105)</f>
        <v/>
      </c>
      <c r="K95" s="37" t="str">
        <f>IF(Agent01_Loans!B105="","",Agent01_Loans!K105)</f>
        <v/>
      </c>
      <c r="L95" s="37" t="str">
        <f>IF(Agent01_Loans!B105="","",Agent01_Loans!L105)</f>
        <v/>
      </c>
      <c r="M95" s="37" t="str">
        <f>IFERROR(IF(Agent01_Loans!B105="","",YEAR(Agent01_Loans!D105)),"")</f>
        <v/>
      </c>
    </row>
    <row r="96" spans="1:13" ht="18" customHeight="1" x14ac:dyDescent="0.25">
      <c r="A96" s="37" t="str">
        <f>IF(Agent01_Loans!B106="","",Agent01_Loans!A106)</f>
        <v/>
      </c>
      <c r="B96" s="37" t="str">
        <f>IF(Agent01_Loans!B106="","",Agent01_Loans!B106)</f>
        <v/>
      </c>
      <c r="C96" s="37" t="str">
        <f>IF(Agent01_Loans!B106="","",Agent01_Loans!C106)</f>
        <v/>
      </c>
      <c r="D96" s="38" t="str">
        <f>IF(Agent01_Loans!B106="","",Agent01_Loans!D106)</f>
        <v/>
      </c>
      <c r="E96" s="40" t="str">
        <f>IF(Agent01_Loans!B106="","",Agent01_Loans!E106)</f>
        <v/>
      </c>
      <c r="F96" s="37" t="str">
        <f>IF(Agent01_Loans!B106="","",Agent01_Loans!F106)</f>
        <v/>
      </c>
      <c r="G96" s="37" t="str">
        <f>IF(Agent01_Loans!B106="","",Agent01_Loans!G106)</f>
        <v/>
      </c>
      <c r="H96" s="37" t="str">
        <f>IF(Agent01_Loans!B106="","",Agent01_Loans!H106)</f>
        <v/>
      </c>
      <c r="I96" s="40" t="str">
        <f>IF(Agent01_Loans!B106="","",Agent01_Loans!I106)</f>
        <v/>
      </c>
      <c r="J96" s="40" t="str">
        <f>IF(Agent01_Loans!B106="","",Agent01_Loans!J106)</f>
        <v/>
      </c>
      <c r="K96" s="37" t="str">
        <f>IF(Agent01_Loans!B106="","",Agent01_Loans!K106)</f>
        <v/>
      </c>
      <c r="L96" s="37" t="str">
        <f>IF(Agent01_Loans!B106="","",Agent01_Loans!L106)</f>
        <v/>
      </c>
      <c r="M96" s="37" t="str">
        <f>IFERROR(IF(Agent01_Loans!B106="","",YEAR(Agent01_Loans!D106)),"")</f>
        <v/>
      </c>
    </row>
    <row r="97" spans="1:13" ht="18" customHeight="1" x14ac:dyDescent="0.25">
      <c r="A97" s="37" t="str">
        <f>IF(Agent01_Loans!B107="","",Agent01_Loans!A107)</f>
        <v/>
      </c>
      <c r="B97" s="37" t="str">
        <f>IF(Agent01_Loans!B107="","",Agent01_Loans!B107)</f>
        <v/>
      </c>
      <c r="C97" s="37" t="str">
        <f>IF(Agent01_Loans!B107="","",Agent01_Loans!C107)</f>
        <v/>
      </c>
      <c r="D97" s="38" t="str">
        <f>IF(Agent01_Loans!B107="","",Agent01_Loans!D107)</f>
        <v/>
      </c>
      <c r="E97" s="40" t="str">
        <f>IF(Agent01_Loans!B107="","",Agent01_Loans!E107)</f>
        <v/>
      </c>
      <c r="F97" s="37" t="str">
        <f>IF(Agent01_Loans!B107="","",Agent01_Loans!F107)</f>
        <v/>
      </c>
      <c r="G97" s="37" t="str">
        <f>IF(Agent01_Loans!B107="","",Agent01_Loans!G107)</f>
        <v/>
      </c>
      <c r="H97" s="37" t="str">
        <f>IF(Agent01_Loans!B107="","",Agent01_Loans!H107)</f>
        <v/>
      </c>
      <c r="I97" s="40" t="str">
        <f>IF(Agent01_Loans!B107="","",Agent01_Loans!I107)</f>
        <v/>
      </c>
      <c r="J97" s="40" t="str">
        <f>IF(Agent01_Loans!B107="","",Agent01_Loans!J107)</f>
        <v/>
      </c>
      <c r="K97" s="37" t="str">
        <f>IF(Agent01_Loans!B107="","",Agent01_Loans!K107)</f>
        <v/>
      </c>
      <c r="L97" s="37" t="str">
        <f>IF(Agent01_Loans!B107="","",Agent01_Loans!L107)</f>
        <v/>
      </c>
      <c r="M97" s="37" t="str">
        <f>IFERROR(IF(Agent01_Loans!B107="","",YEAR(Agent01_Loans!D107)),"")</f>
        <v/>
      </c>
    </row>
    <row r="98" spans="1:13" ht="18" customHeight="1" x14ac:dyDescent="0.25">
      <c r="A98" s="37" t="str">
        <f>IF(Agent01_Loans!B108="","",Agent01_Loans!A108)</f>
        <v/>
      </c>
      <c r="B98" s="37" t="str">
        <f>IF(Agent01_Loans!B108="","",Agent01_Loans!B108)</f>
        <v/>
      </c>
      <c r="C98" s="37" t="str">
        <f>IF(Agent01_Loans!B108="","",Agent01_Loans!C108)</f>
        <v/>
      </c>
      <c r="D98" s="38" t="str">
        <f>IF(Agent01_Loans!B108="","",Agent01_Loans!D108)</f>
        <v/>
      </c>
      <c r="E98" s="40" t="str">
        <f>IF(Agent01_Loans!B108="","",Agent01_Loans!E108)</f>
        <v/>
      </c>
      <c r="F98" s="37" t="str">
        <f>IF(Agent01_Loans!B108="","",Agent01_Loans!F108)</f>
        <v/>
      </c>
      <c r="G98" s="37" t="str">
        <f>IF(Agent01_Loans!B108="","",Agent01_Loans!G108)</f>
        <v/>
      </c>
      <c r="H98" s="37" t="str">
        <f>IF(Agent01_Loans!B108="","",Agent01_Loans!H108)</f>
        <v/>
      </c>
      <c r="I98" s="40" t="str">
        <f>IF(Agent01_Loans!B108="","",Agent01_Loans!I108)</f>
        <v/>
      </c>
      <c r="J98" s="40" t="str">
        <f>IF(Agent01_Loans!B108="","",Agent01_Loans!J108)</f>
        <v/>
      </c>
      <c r="K98" s="37" t="str">
        <f>IF(Agent01_Loans!B108="","",Agent01_Loans!K108)</f>
        <v/>
      </c>
      <c r="L98" s="37" t="str">
        <f>IF(Agent01_Loans!B108="","",Agent01_Loans!L108)</f>
        <v/>
      </c>
      <c r="M98" s="37" t="str">
        <f>IFERROR(IF(Agent01_Loans!B108="","",YEAR(Agent01_Loans!D108)),"")</f>
        <v/>
      </c>
    </row>
    <row r="99" spans="1:13" ht="18" customHeight="1" x14ac:dyDescent="0.25">
      <c r="A99" s="37" t="str">
        <f>IF(Agent01_Loans!B109="","",Agent01_Loans!A109)</f>
        <v/>
      </c>
      <c r="B99" s="37" t="str">
        <f>IF(Agent01_Loans!B109="","",Agent01_Loans!B109)</f>
        <v/>
      </c>
      <c r="C99" s="37" t="str">
        <f>IF(Agent01_Loans!B109="","",Agent01_Loans!C109)</f>
        <v/>
      </c>
      <c r="D99" s="38" t="str">
        <f>IF(Agent01_Loans!B109="","",Agent01_Loans!D109)</f>
        <v/>
      </c>
      <c r="E99" s="40" t="str">
        <f>IF(Agent01_Loans!B109="","",Agent01_Loans!E109)</f>
        <v/>
      </c>
      <c r="F99" s="37" t="str">
        <f>IF(Agent01_Loans!B109="","",Agent01_Loans!F109)</f>
        <v/>
      </c>
      <c r="G99" s="37" t="str">
        <f>IF(Agent01_Loans!B109="","",Agent01_Loans!G109)</f>
        <v/>
      </c>
      <c r="H99" s="37" t="str">
        <f>IF(Agent01_Loans!B109="","",Agent01_Loans!H109)</f>
        <v/>
      </c>
      <c r="I99" s="40" t="str">
        <f>IF(Agent01_Loans!B109="","",Agent01_Loans!I109)</f>
        <v/>
      </c>
      <c r="J99" s="40" t="str">
        <f>IF(Agent01_Loans!B109="","",Agent01_Loans!J109)</f>
        <v/>
      </c>
      <c r="K99" s="37" t="str">
        <f>IF(Agent01_Loans!B109="","",Agent01_Loans!K109)</f>
        <v/>
      </c>
      <c r="L99" s="37" t="str">
        <f>IF(Agent01_Loans!B109="","",Agent01_Loans!L109)</f>
        <v/>
      </c>
      <c r="M99" s="37" t="str">
        <f>IFERROR(IF(Agent01_Loans!B109="","",YEAR(Agent01_Loans!D109)),"")</f>
        <v/>
      </c>
    </row>
    <row r="100" spans="1:13" ht="18" customHeight="1" x14ac:dyDescent="0.25">
      <c r="A100" s="37" t="str">
        <f>IF(Agent01_Loans!B110="","",Agent01_Loans!A110)</f>
        <v/>
      </c>
      <c r="B100" s="37" t="str">
        <f>IF(Agent01_Loans!B110="","",Agent01_Loans!B110)</f>
        <v/>
      </c>
      <c r="C100" s="37" t="str">
        <f>IF(Agent01_Loans!B110="","",Agent01_Loans!C110)</f>
        <v/>
      </c>
      <c r="D100" s="38" t="str">
        <f>IF(Agent01_Loans!B110="","",Agent01_Loans!D110)</f>
        <v/>
      </c>
      <c r="E100" s="40" t="str">
        <f>IF(Agent01_Loans!B110="","",Agent01_Loans!E110)</f>
        <v/>
      </c>
      <c r="F100" s="37" t="str">
        <f>IF(Agent01_Loans!B110="","",Agent01_Loans!F110)</f>
        <v/>
      </c>
      <c r="G100" s="37" t="str">
        <f>IF(Agent01_Loans!B110="","",Agent01_Loans!G110)</f>
        <v/>
      </c>
      <c r="H100" s="37" t="str">
        <f>IF(Agent01_Loans!B110="","",Agent01_Loans!H110)</f>
        <v/>
      </c>
      <c r="I100" s="40" t="str">
        <f>IF(Agent01_Loans!B110="","",Agent01_Loans!I110)</f>
        <v/>
      </c>
      <c r="J100" s="40" t="str">
        <f>IF(Agent01_Loans!B110="","",Agent01_Loans!J110)</f>
        <v/>
      </c>
      <c r="K100" s="37" t="str">
        <f>IF(Agent01_Loans!B110="","",Agent01_Loans!K110)</f>
        <v/>
      </c>
      <c r="L100" s="37" t="str">
        <f>IF(Agent01_Loans!B110="","",Agent01_Loans!L110)</f>
        <v/>
      </c>
      <c r="M100" s="37" t="str">
        <f>IFERROR(IF(Agent01_Loans!B110="","",YEAR(Agent01_Loans!D110)),"")</f>
        <v/>
      </c>
    </row>
    <row r="101" spans="1:13" ht="18" customHeight="1" x14ac:dyDescent="0.25">
      <c r="A101" s="37" t="str">
        <f>IF(Agent01_Loans!B111="","",Agent01_Loans!A111)</f>
        <v/>
      </c>
      <c r="B101" s="37" t="str">
        <f>IF(Agent01_Loans!B111="","",Agent01_Loans!B111)</f>
        <v/>
      </c>
      <c r="C101" s="37" t="str">
        <f>IF(Agent01_Loans!B111="","",Agent01_Loans!C111)</f>
        <v/>
      </c>
      <c r="D101" s="38" t="str">
        <f>IF(Agent01_Loans!B111="","",Agent01_Loans!D111)</f>
        <v/>
      </c>
      <c r="E101" s="40" t="str">
        <f>IF(Agent01_Loans!B111="","",Agent01_Loans!E111)</f>
        <v/>
      </c>
      <c r="F101" s="37" t="str">
        <f>IF(Agent01_Loans!B111="","",Agent01_Loans!F111)</f>
        <v/>
      </c>
      <c r="G101" s="37" t="str">
        <f>IF(Agent01_Loans!B111="","",Agent01_Loans!G111)</f>
        <v/>
      </c>
      <c r="H101" s="37" t="str">
        <f>IF(Agent01_Loans!B111="","",Agent01_Loans!H111)</f>
        <v/>
      </c>
      <c r="I101" s="40" t="str">
        <f>IF(Agent01_Loans!B111="","",Agent01_Loans!I111)</f>
        <v/>
      </c>
      <c r="J101" s="40" t="str">
        <f>IF(Agent01_Loans!B111="","",Agent01_Loans!J111)</f>
        <v/>
      </c>
      <c r="K101" s="37" t="str">
        <f>IF(Agent01_Loans!B111="","",Agent01_Loans!K111)</f>
        <v/>
      </c>
      <c r="L101" s="37" t="str">
        <f>IF(Agent01_Loans!B111="","",Agent01_Loans!L111)</f>
        <v/>
      </c>
      <c r="M101" s="37" t="str">
        <f>IFERROR(IF(Agent01_Loans!B111="","",YEAR(Agent01_Loans!D111)),"")</f>
        <v/>
      </c>
    </row>
    <row r="102" spans="1:13" ht="18" customHeight="1" x14ac:dyDescent="0.25">
      <c r="A102" s="37" t="str">
        <f>IF(Agent01_Loans!B112="","",Agent01_Loans!A112)</f>
        <v/>
      </c>
      <c r="B102" s="37" t="str">
        <f>IF(Agent01_Loans!B112="","",Agent01_Loans!B112)</f>
        <v/>
      </c>
      <c r="C102" s="37" t="str">
        <f>IF(Agent01_Loans!B112="","",Agent01_Loans!C112)</f>
        <v/>
      </c>
      <c r="D102" s="38" t="str">
        <f>IF(Agent01_Loans!B112="","",Agent01_Loans!D112)</f>
        <v/>
      </c>
      <c r="E102" s="40" t="str">
        <f>IF(Agent01_Loans!B112="","",Agent01_Loans!E112)</f>
        <v/>
      </c>
      <c r="F102" s="37" t="str">
        <f>IF(Agent01_Loans!B112="","",Agent01_Loans!F112)</f>
        <v/>
      </c>
      <c r="G102" s="37" t="str">
        <f>IF(Agent01_Loans!B112="","",Agent01_Loans!G112)</f>
        <v/>
      </c>
      <c r="H102" s="37" t="str">
        <f>IF(Agent01_Loans!B112="","",Agent01_Loans!H112)</f>
        <v/>
      </c>
      <c r="I102" s="40" t="str">
        <f>IF(Agent01_Loans!B112="","",Agent01_Loans!I112)</f>
        <v/>
      </c>
      <c r="J102" s="40" t="str">
        <f>IF(Agent01_Loans!B112="","",Agent01_Loans!J112)</f>
        <v/>
      </c>
      <c r="K102" s="37" t="str">
        <f>IF(Agent01_Loans!B112="","",Agent01_Loans!K112)</f>
        <v/>
      </c>
      <c r="L102" s="37" t="str">
        <f>IF(Agent01_Loans!B112="","",Agent01_Loans!L112)</f>
        <v/>
      </c>
      <c r="M102" s="37" t="str">
        <f>IFERROR(IF(Agent01_Loans!B112="","",YEAR(Agent01_Loans!D112)),"")</f>
        <v/>
      </c>
    </row>
    <row r="103" spans="1:13" ht="18" customHeight="1" x14ac:dyDescent="0.25">
      <c r="A103" s="37" t="str">
        <f>IF(Agent01_Loans!B113="","",Agent01_Loans!A113)</f>
        <v/>
      </c>
      <c r="B103" s="37" t="str">
        <f>IF(Agent01_Loans!B113="","",Agent01_Loans!B113)</f>
        <v/>
      </c>
      <c r="C103" s="37" t="str">
        <f>IF(Agent01_Loans!B113="","",Agent01_Loans!C113)</f>
        <v/>
      </c>
      <c r="D103" s="38" t="str">
        <f>IF(Agent01_Loans!B113="","",Agent01_Loans!D113)</f>
        <v/>
      </c>
      <c r="E103" s="40" t="str">
        <f>IF(Agent01_Loans!B113="","",Agent01_Loans!E113)</f>
        <v/>
      </c>
      <c r="F103" s="37" t="str">
        <f>IF(Agent01_Loans!B113="","",Agent01_Loans!F113)</f>
        <v/>
      </c>
      <c r="G103" s="37" t="str">
        <f>IF(Agent01_Loans!B113="","",Agent01_Loans!G113)</f>
        <v/>
      </c>
      <c r="H103" s="37" t="str">
        <f>IF(Agent01_Loans!B113="","",Agent01_Loans!H113)</f>
        <v/>
      </c>
      <c r="I103" s="40" t="str">
        <f>IF(Agent01_Loans!B113="","",Agent01_Loans!I113)</f>
        <v/>
      </c>
      <c r="J103" s="40" t="str">
        <f>IF(Agent01_Loans!B113="","",Agent01_Loans!J113)</f>
        <v/>
      </c>
      <c r="K103" s="37" t="str">
        <f>IF(Agent01_Loans!B113="","",Agent01_Loans!K113)</f>
        <v/>
      </c>
      <c r="L103" s="37" t="str">
        <f>IF(Agent01_Loans!B113="","",Agent01_Loans!L113)</f>
        <v/>
      </c>
      <c r="M103" s="37" t="str">
        <f>IFERROR(IF(Agent01_Loans!B113="","",YEAR(Agent01_Loans!D113)),"")</f>
        <v/>
      </c>
    </row>
    <row r="104" spans="1:13" ht="18" customHeight="1" x14ac:dyDescent="0.25">
      <c r="A104" s="37" t="str">
        <f>IF(Agent01_Loans!B114="","",Agent01_Loans!A114)</f>
        <v/>
      </c>
      <c r="B104" s="37" t="str">
        <f>IF(Agent01_Loans!B114="","",Agent01_Loans!B114)</f>
        <v/>
      </c>
      <c r="C104" s="37" t="str">
        <f>IF(Agent01_Loans!B114="","",Agent01_Loans!C114)</f>
        <v/>
      </c>
      <c r="D104" s="38" t="str">
        <f>IF(Agent01_Loans!B114="","",Agent01_Loans!D114)</f>
        <v/>
      </c>
      <c r="E104" s="40" t="str">
        <f>IF(Agent01_Loans!B114="","",Agent01_Loans!E114)</f>
        <v/>
      </c>
      <c r="F104" s="37" t="str">
        <f>IF(Agent01_Loans!B114="","",Agent01_Loans!F114)</f>
        <v/>
      </c>
      <c r="G104" s="37" t="str">
        <f>IF(Agent01_Loans!B114="","",Agent01_Loans!G114)</f>
        <v/>
      </c>
      <c r="H104" s="37" t="str">
        <f>IF(Agent01_Loans!B114="","",Agent01_Loans!H114)</f>
        <v/>
      </c>
      <c r="I104" s="40" t="str">
        <f>IF(Agent01_Loans!B114="","",Agent01_Loans!I114)</f>
        <v/>
      </c>
      <c r="J104" s="40" t="str">
        <f>IF(Agent01_Loans!B114="","",Agent01_Loans!J114)</f>
        <v/>
      </c>
      <c r="K104" s="37" t="str">
        <f>IF(Agent01_Loans!B114="","",Agent01_Loans!K114)</f>
        <v/>
      </c>
      <c r="L104" s="37" t="str">
        <f>IF(Agent01_Loans!B114="","",Agent01_Loans!L114)</f>
        <v/>
      </c>
      <c r="M104" s="37" t="str">
        <f>IFERROR(IF(Agent01_Loans!B114="","",YEAR(Agent01_Loans!D114)),"")</f>
        <v/>
      </c>
    </row>
    <row r="105" spans="1:13" ht="18" customHeight="1" x14ac:dyDescent="0.25">
      <c r="A105" s="37" t="str">
        <f>IF(Agent01_Loans!B115="","",Agent01_Loans!A115)</f>
        <v/>
      </c>
      <c r="B105" s="37" t="str">
        <f>IF(Agent01_Loans!B115="","",Agent01_Loans!B115)</f>
        <v/>
      </c>
      <c r="C105" s="37" t="str">
        <f>IF(Agent01_Loans!B115="","",Agent01_Loans!C115)</f>
        <v/>
      </c>
      <c r="D105" s="38" t="str">
        <f>IF(Agent01_Loans!B115="","",Agent01_Loans!D115)</f>
        <v/>
      </c>
      <c r="E105" s="40" t="str">
        <f>IF(Agent01_Loans!B115="","",Agent01_Loans!E115)</f>
        <v/>
      </c>
      <c r="F105" s="37" t="str">
        <f>IF(Agent01_Loans!B115="","",Agent01_Loans!F115)</f>
        <v/>
      </c>
      <c r="G105" s="37" t="str">
        <f>IF(Agent01_Loans!B115="","",Agent01_Loans!G115)</f>
        <v/>
      </c>
      <c r="H105" s="37" t="str">
        <f>IF(Agent01_Loans!B115="","",Agent01_Loans!H115)</f>
        <v/>
      </c>
      <c r="I105" s="40" t="str">
        <f>IF(Agent01_Loans!B115="","",Agent01_Loans!I115)</f>
        <v/>
      </c>
      <c r="J105" s="40" t="str">
        <f>IF(Agent01_Loans!B115="","",Agent01_Loans!J115)</f>
        <v/>
      </c>
      <c r="K105" s="37" t="str">
        <f>IF(Agent01_Loans!B115="","",Agent01_Loans!K115)</f>
        <v/>
      </c>
      <c r="L105" s="37" t="str">
        <f>IF(Agent01_Loans!B115="","",Agent01_Loans!L115)</f>
        <v/>
      </c>
      <c r="M105" s="37" t="str">
        <f>IFERROR(IF(Agent01_Loans!B115="","",YEAR(Agent01_Loans!D115)),"")</f>
        <v/>
      </c>
    </row>
    <row r="106" spans="1:13" ht="18" customHeight="1" x14ac:dyDescent="0.25">
      <c r="A106" s="37" t="str">
        <f>IF(Agent01_Loans!B116="","",Agent01_Loans!A116)</f>
        <v/>
      </c>
      <c r="B106" s="37" t="str">
        <f>IF(Agent01_Loans!B116="","",Agent01_Loans!B116)</f>
        <v/>
      </c>
      <c r="C106" s="37" t="str">
        <f>IF(Agent01_Loans!B116="","",Agent01_Loans!C116)</f>
        <v/>
      </c>
      <c r="D106" s="38" t="str">
        <f>IF(Agent01_Loans!B116="","",Agent01_Loans!D116)</f>
        <v/>
      </c>
      <c r="E106" s="40" t="str">
        <f>IF(Agent01_Loans!B116="","",Agent01_Loans!E116)</f>
        <v/>
      </c>
      <c r="F106" s="37" t="str">
        <f>IF(Agent01_Loans!B116="","",Agent01_Loans!F116)</f>
        <v/>
      </c>
      <c r="G106" s="37" t="str">
        <f>IF(Agent01_Loans!B116="","",Agent01_Loans!G116)</f>
        <v/>
      </c>
      <c r="H106" s="37" t="str">
        <f>IF(Agent01_Loans!B116="","",Agent01_Loans!H116)</f>
        <v/>
      </c>
      <c r="I106" s="40" t="str">
        <f>IF(Agent01_Loans!B116="","",Agent01_Loans!I116)</f>
        <v/>
      </c>
      <c r="J106" s="40" t="str">
        <f>IF(Agent01_Loans!B116="","",Agent01_Loans!J116)</f>
        <v/>
      </c>
      <c r="K106" s="37" t="str">
        <f>IF(Agent01_Loans!B116="","",Agent01_Loans!K116)</f>
        <v/>
      </c>
      <c r="L106" s="37" t="str">
        <f>IF(Agent01_Loans!B116="","",Agent01_Loans!L116)</f>
        <v/>
      </c>
      <c r="M106" s="37" t="str">
        <f>IFERROR(IF(Agent01_Loans!B116="","",YEAR(Agent01_Loans!D116)),"")</f>
        <v/>
      </c>
    </row>
    <row r="107" spans="1:13" ht="18" customHeight="1" x14ac:dyDescent="0.25">
      <c r="A107" s="37" t="str">
        <f>IF(Agent01_Loans!B117="","",Agent01_Loans!A117)</f>
        <v/>
      </c>
      <c r="B107" s="37" t="str">
        <f>IF(Agent01_Loans!B117="","",Agent01_Loans!B117)</f>
        <v/>
      </c>
      <c r="C107" s="37" t="str">
        <f>IF(Agent01_Loans!B117="","",Agent01_Loans!C117)</f>
        <v/>
      </c>
      <c r="D107" s="38" t="str">
        <f>IF(Agent01_Loans!B117="","",Agent01_Loans!D117)</f>
        <v/>
      </c>
      <c r="E107" s="40" t="str">
        <f>IF(Agent01_Loans!B117="","",Agent01_Loans!E117)</f>
        <v/>
      </c>
      <c r="F107" s="37" t="str">
        <f>IF(Agent01_Loans!B117="","",Agent01_Loans!F117)</f>
        <v/>
      </c>
      <c r="G107" s="37" t="str">
        <f>IF(Agent01_Loans!B117="","",Agent01_Loans!G117)</f>
        <v/>
      </c>
      <c r="H107" s="37" t="str">
        <f>IF(Agent01_Loans!B117="","",Agent01_Loans!H117)</f>
        <v/>
      </c>
      <c r="I107" s="40" t="str">
        <f>IF(Agent01_Loans!B117="","",Agent01_Loans!I117)</f>
        <v/>
      </c>
      <c r="J107" s="40" t="str">
        <f>IF(Agent01_Loans!B117="","",Agent01_Loans!J117)</f>
        <v/>
      </c>
      <c r="K107" s="37" t="str">
        <f>IF(Agent01_Loans!B117="","",Agent01_Loans!K117)</f>
        <v/>
      </c>
      <c r="L107" s="37" t="str">
        <f>IF(Agent01_Loans!B117="","",Agent01_Loans!L117)</f>
        <v/>
      </c>
      <c r="M107" s="37" t="str">
        <f>IFERROR(IF(Agent01_Loans!B117="","",YEAR(Agent01_Loans!D117)),"")</f>
        <v/>
      </c>
    </row>
    <row r="108" spans="1:13" ht="18" customHeight="1" x14ac:dyDescent="0.25">
      <c r="A108" s="37" t="str">
        <f>IF(Agent01_Loans!B118="","",Agent01_Loans!A118)</f>
        <v/>
      </c>
      <c r="B108" s="37" t="str">
        <f>IF(Agent01_Loans!B118="","",Agent01_Loans!B118)</f>
        <v/>
      </c>
      <c r="C108" s="37" t="str">
        <f>IF(Agent01_Loans!B118="","",Agent01_Loans!C118)</f>
        <v/>
      </c>
      <c r="D108" s="38" t="str">
        <f>IF(Agent01_Loans!B118="","",Agent01_Loans!D118)</f>
        <v/>
      </c>
      <c r="E108" s="40" t="str">
        <f>IF(Agent01_Loans!B118="","",Agent01_Loans!E118)</f>
        <v/>
      </c>
      <c r="F108" s="37" t="str">
        <f>IF(Agent01_Loans!B118="","",Agent01_Loans!F118)</f>
        <v/>
      </c>
      <c r="G108" s="37" t="str">
        <f>IF(Agent01_Loans!B118="","",Agent01_Loans!G118)</f>
        <v/>
      </c>
      <c r="H108" s="37" t="str">
        <f>IF(Agent01_Loans!B118="","",Agent01_Loans!H118)</f>
        <v/>
      </c>
      <c r="I108" s="40" t="str">
        <f>IF(Agent01_Loans!B118="","",Agent01_Loans!I118)</f>
        <v/>
      </c>
      <c r="J108" s="40" t="str">
        <f>IF(Agent01_Loans!B118="","",Agent01_Loans!J118)</f>
        <v/>
      </c>
      <c r="K108" s="37" t="str">
        <f>IF(Agent01_Loans!B118="","",Agent01_Loans!K118)</f>
        <v/>
      </c>
      <c r="L108" s="37" t="str">
        <f>IF(Agent01_Loans!B118="","",Agent01_Loans!L118)</f>
        <v/>
      </c>
      <c r="M108" s="37" t="str">
        <f>IFERROR(IF(Agent01_Loans!B118="","",YEAR(Agent01_Loans!D118)),"")</f>
        <v/>
      </c>
    </row>
    <row r="109" spans="1:13" ht="18" customHeight="1" x14ac:dyDescent="0.25">
      <c r="A109" s="37" t="str">
        <f>IF(Agent01_Loans!B119="","",Agent01_Loans!A119)</f>
        <v/>
      </c>
      <c r="B109" s="37" t="str">
        <f>IF(Agent01_Loans!B119="","",Agent01_Loans!B119)</f>
        <v/>
      </c>
      <c r="C109" s="37" t="str">
        <f>IF(Agent01_Loans!B119="","",Agent01_Loans!C119)</f>
        <v/>
      </c>
      <c r="D109" s="38" t="str">
        <f>IF(Agent01_Loans!B119="","",Agent01_Loans!D119)</f>
        <v/>
      </c>
      <c r="E109" s="40" t="str">
        <f>IF(Agent01_Loans!B119="","",Agent01_Loans!E119)</f>
        <v/>
      </c>
      <c r="F109" s="37" t="str">
        <f>IF(Agent01_Loans!B119="","",Agent01_Loans!F119)</f>
        <v/>
      </c>
      <c r="G109" s="37" t="str">
        <f>IF(Agent01_Loans!B119="","",Agent01_Loans!G119)</f>
        <v/>
      </c>
      <c r="H109" s="37" t="str">
        <f>IF(Agent01_Loans!B119="","",Agent01_Loans!H119)</f>
        <v/>
      </c>
      <c r="I109" s="40" t="str">
        <f>IF(Agent01_Loans!B119="","",Agent01_Loans!I119)</f>
        <v/>
      </c>
      <c r="J109" s="40" t="str">
        <f>IF(Agent01_Loans!B119="","",Agent01_Loans!J119)</f>
        <v/>
      </c>
      <c r="K109" s="37" t="str">
        <f>IF(Agent01_Loans!B119="","",Agent01_Loans!K119)</f>
        <v/>
      </c>
      <c r="L109" s="37" t="str">
        <f>IF(Agent01_Loans!B119="","",Agent01_Loans!L119)</f>
        <v/>
      </c>
      <c r="M109" s="37" t="str">
        <f>IFERROR(IF(Agent01_Loans!B119="","",YEAR(Agent01_Loans!D119)),"")</f>
        <v/>
      </c>
    </row>
    <row r="110" spans="1:13" ht="18" customHeight="1" x14ac:dyDescent="0.25">
      <c r="A110" s="37" t="str">
        <f>IF(Agent01_Loans!B120="","",Agent01_Loans!A120)</f>
        <v/>
      </c>
      <c r="B110" s="37" t="str">
        <f>IF(Agent01_Loans!B120="","",Agent01_Loans!B120)</f>
        <v/>
      </c>
      <c r="C110" s="37" t="str">
        <f>IF(Agent01_Loans!B120="","",Agent01_Loans!C120)</f>
        <v/>
      </c>
      <c r="D110" s="38" t="str">
        <f>IF(Agent01_Loans!B120="","",Agent01_Loans!D120)</f>
        <v/>
      </c>
      <c r="E110" s="40" t="str">
        <f>IF(Agent01_Loans!B120="","",Agent01_Loans!E120)</f>
        <v/>
      </c>
      <c r="F110" s="37" t="str">
        <f>IF(Agent01_Loans!B120="","",Agent01_Loans!F120)</f>
        <v/>
      </c>
      <c r="G110" s="37" t="str">
        <f>IF(Agent01_Loans!B120="","",Agent01_Loans!G120)</f>
        <v/>
      </c>
      <c r="H110" s="37" t="str">
        <f>IF(Agent01_Loans!B120="","",Agent01_Loans!H120)</f>
        <v/>
      </c>
      <c r="I110" s="40" t="str">
        <f>IF(Agent01_Loans!B120="","",Agent01_Loans!I120)</f>
        <v/>
      </c>
      <c r="J110" s="40" t="str">
        <f>IF(Agent01_Loans!B120="","",Agent01_Loans!J120)</f>
        <v/>
      </c>
      <c r="K110" s="37" t="str">
        <f>IF(Agent01_Loans!B120="","",Agent01_Loans!K120)</f>
        <v/>
      </c>
      <c r="L110" s="37" t="str">
        <f>IF(Agent01_Loans!B120="","",Agent01_Loans!L120)</f>
        <v/>
      </c>
      <c r="M110" s="37" t="str">
        <f>IFERROR(IF(Agent01_Loans!B120="","",YEAR(Agent01_Loans!D120)),"")</f>
        <v/>
      </c>
    </row>
    <row r="111" spans="1:13" ht="18" customHeight="1" x14ac:dyDescent="0.25">
      <c r="A111" s="37" t="str">
        <f>IF(Agent01_Loans!B121="","",Agent01_Loans!A121)</f>
        <v/>
      </c>
      <c r="B111" s="37" t="str">
        <f>IF(Agent01_Loans!B121="","",Agent01_Loans!B121)</f>
        <v/>
      </c>
      <c r="C111" s="37" t="str">
        <f>IF(Agent01_Loans!B121="","",Agent01_Loans!C121)</f>
        <v/>
      </c>
      <c r="D111" s="38" t="str">
        <f>IF(Agent01_Loans!B121="","",Agent01_Loans!D121)</f>
        <v/>
      </c>
      <c r="E111" s="40" t="str">
        <f>IF(Agent01_Loans!B121="","",Agent01_Loans!E121)</f>
        <v/>
      </c>
      <c r="F111" s="37" t="str">
        <f>IF(Agent01_Loans!B121="","",Agent01_Loans!F121)</f>
        <v/>
      </c>
      <c r="G111" s="37" t="str">
        <f>IF(Agent01_Loans!B121="","",Agent01_Loans!G121)</f>
        <v/>
      </c>
      <c r="H111" s="37" t="str">
        <f>IF(Agent01_Loans!B121="","",Agent01_Loans!H121)</f>
        <v/>
      </c>
      <c r="I111" s="40" t="str">
        <f>IF(Agent01_Loans!B121="","",Agent01_Loans!I121)</f>
        <v/>
      </c>
      <c r="J111" s="40" t="str">
        <f>IF(Agent01_Loans!B121="","",Agent01_Loans!J121)</f>
        <v/>
      </c>
      <c r="K111" s="37" t="str">
        <f>IF(Agent01_Loans!B121="","",Agent01_Loans!K121)</f>
        <v/>
      </c>
      <c r="L111" s="37" t="str">
        <f>IF(Agent01_Loans!B121="","",Agent01_Loans!L121)</f>
        <v/>
      </c>
      <c r="M111" s="37" t="str">
        <f>IFERROR(IF(Agent01_Loans!B121="","",YEAR(Agent01_Loans!D121)),"")</f>
        <v/>
      </c>
    </row>
    <row r="112" spans="1:13" ht="18" customHeight="1" x14ac:dyDescent="0.25">
      <c r="A112" s="37" t="str">
        <f>IF(Agent01_Loans!B122="","",Agent01_Loans!A122)</f>
        <v/>
      </c>
      <c r="B112" s="37" t="str">
        <f>IF(Agent01_Loans!B122="","",Agent01_Loans!B122)</f>
        <v/>
      </c>
      <c r="C112" s="37" t="str">
        <f>IF(Agent01_Loans!B122="","",Agent01_Loans!C122)</f>
        <v/>
      </c>
      <c r="D112" s="38" t="str">
        <f>IF(Agent01_Loans!B122="","",Agent01_Loans!D122)</f>
        <v/>
      </c>
      <c r="E112" s="40" t="str">
        <f>IF(Agent01_Loans!B122="","",Agent01_Loans!E122)</f>
        <v/>
      </c>
      <c r="F112" s="37" t="str">
        <f>IF(Agent01_Loans!B122="","",Agent01_Loans!F122)</f>
        <v/>
      </c>
      <c r="G112" s="37" t="str">
        <f>IF(Agent01_Loans!B122="","",Agent01_Loans!G122)</f>
        <v/>
      </c>
      <c r="H112" s="37" t="str">
        <f>IF(Agent01_Loans!B122="","",Agent01_Loans!H122)</f>
        <v/>
      </c>
      <c r="I112" s="40" t="str">
        <f>IF(Agent01_Loans!B122="","",Agent01_Loans!I122)</f>
        <v/>
      </c>
      <c r="J112" s="40" t="str">
        <f>IF(Agent01_Loans!B122="","",Agent01_Loans!J122)</f>
        <v/>
      </c>
      <c r="K112" s="37" t="str">
        <f>IF(Agent01_Loans!B122="","",Agent01_Loans!K122)</f>
        <v/>
      </c>
      <c r="L112" s="37" t="str">
        <f>IF(Agent01_Loans!B122="","",Agent01_Loans!L122)</f>
        <v/>
      </c>
      <c r="M112" s="37" t="str">
        <f>IFERROR(IF(Agent01_Loans!B122="","",YEAR(Agent01_Loans!D122)),"")</f>
        <v/>
      </c>
    </row>
    <row r="113" spans="1:13" ht="18" customHeight="1" x14ac:dyDescent="0.25">
      <c r="A113" s="37" t="str">
        <f>IF(Agent01_Loans!B123="","",Agent01_Loans!A123)</f>
        <v/>
      </c>
      <c r="B113" s="37" t="str">
        <f>IF(Agent01_Loans!B123="","",Agent01_Loans!B123)</f>
        <v/>
      </c>
      <c r="C113" s="37" t="str">
        <f>IF(Agent01_Loans!B123="","",Agent01_Loans!C123)</f>
        <v/>
      </c>
      <c r="D113" s="38" t="str">
        <f>IF(Agent01_Loans!B123="","",Agent01_Loans!D123)</f>
        <v/>
      </c>
      <c r="E113" s="40" t="str">
        <f>IF(Agent01_Loans!B123="","",Agent01_Loans!E123)</f>
        <v/>
      </c>
      <c r="F113" s="37" t="str">
        <f>IF(Agent01_Loans!B123="","",Agent01_Loans!F123)</f>
        <v/>
      </c>
      <c r="G113" s="37" t="str">
        <f>IF(Agent01_Loans!B123="","",Agent01_Loans!G123)</f>
        <v/>
      </c>
      <c r="H113" s="37" t="str">
        <f>IF(Agent01_Loans!B123="","",Agent01_Loans!H123)</f>
        <v/>
      </c>
      <c r="I113" s="40" t="str">
        <f>IF(Agent01_Loans!B123="","",Agent01_Loans!I123)</f>
        <v/>
      </c>
      <c r="J113" s="40" t="str">
        <f>IF(Agent01_Loans!B123="","",Agent01_Loans!J123)</f>
        <v/>
      </c>
      <c r="K113" s="37" t="str">
        <f>IF(Agent01_Loans!B123="","",Agent01_Loans!K123)</f>
        <v/>
      </c>
      <c r="L113" s="37" t="str">
        <f>IF(Agent01_Loans!B123="","",Agent01_Loans!L123)</f>
        <v/>
      </c>
      <c r="M113" s="37" t="str">
        <f>IFERROR(IF(Agent01_Loans!B123="","",YEAR(Agent01_Loans!D123)),"")</f>
        <v/>
      </c>
    </row>
    <row r="114" spans="1:13" ht="18" customHeight="1" x14ac:dyDescent="0.25">
      <c r="A114" s="37" t="str">
        <f>IF(Agent01_Loans!B124="","",Agent01_Loans!A124)</f>
        <v/>
      </c>
      <c r="B114" s="37" t="str">
        <f>IF(Agent01_Loans!B124="","",Agent01_Loans!B124)</f>
        <v/>
      </c>
      <c r="C114" s="37" t="str">
        <f>IF(Agent01_Loans!B124="","",Agent01_Loans!C124)</f>
        <v/>
      </c>
      <c r="D114" s="38" t="str">
        <f>IF(Agent01_Loans!B124="","",Agent01_Loans!D124)</f>
        <v/>
      </c>
      <c r="E114" s="40" t="str">
        <f>IF(Agent01_Loans!B124="","",Agent01_Loans!E124)</f>
        <v/>
      </c>
      <c r="F114" s="37" t="str">
        <f>IF(Agent01_Loans!B124="","",Agent01_Loans!F124)</f>
        <v/>
      </c>
      <c r="G114" s="37" t="str">
        <f>IF(Agent01_Loans!B124="","",Agent01_Loans!G124)</f>
        <v/>
      </c>
      <c r="H114" s="37" t="str">
        <f>IF(Agent01_Loans!B124="","",Agent01_Loans!H124)</f>
        <v/>
      </c>
      <c r="I114" s="40" t="str">
        <f>IF(Agent01_Loans!B124="","",Agent01_Loans!I124)</f>
        <v/>
      </c>
      <c r="J114" s="40" t="str">
        <f>IF(Agent01_Loans!B124="","",Agent01_Loans!J124)</f>
        <v/>
      </c>
      <c r="K114" s="37" t="str">
        <f>IF(Agent01_Loans!B124="","",Agent01_Loans!K124)</f>
        <v/>
      </c>
      <c r="L114" s="37" t="str">
        <f>IF(Agent01_Loans!B124="","",Agent01_Loans!L124)</f>
        <v/>
      </c>
      <c r="M114" s="37" t="str">
        <f>IFERROR(IF(Agent01_Loans!B124="","",YEAR(Agent01_Loans!D124)),"")</f>
        <v/>
      </c>
    </row>
    <row r="115" spans="1:13" ht="18" customHeight="1" x14ac:dyDescent="0.25">
      <c r="A115" s="37" t="str">
        <f>IF(Agent01_Loans!B125="","",Agent01_Loans!A125)</f>
        <v/>
      </c>
      <c r="B115" s="37" t="str">
        <f>IF(Agent01_Loans!B125="","",Agent01_Loans!B125)</f>
        <v/>
      </c>
      <c r="C115" s="37" t="str">
        <f>IF(Agent01_Loans!B125="","",Agent01_Loans!C125)</f>
        <v/>
      </c>
      <c r="D115" s="38" t="str">
        <f>IF(Agent01_Loans!B125="","",Agent01_Loans!D125)</f>
        <v/>
      </c>
      <c r="E115" s="40" t="str">
        <f>IF(Agent01_Loans!B125="","",Agent01_Loans!E125)</f>
        <v/>
      </c>
      <c r="F115" s="37" t="str">
        <f>IF(Agent01_Loans!B125="","",Agent01_Loans!F125)</f>
        <v/>
      </c>
      <c r="G115" s="37" t="str">
        <f>IF(Agent01_Loans!B125="","",Agent01_Loans!G125)</f>
        <v/>
      </c>
      <c r="H115" s="37" t="str">
        <f>IF(Agent01_Loans!B125="","",Agent01_Loans!H125)</f>
        <v/>
      </c>
      <c r="I115" s="40" t="str">
        <f>IF(Agent01_Loans!B125="","",Agent01_Loans!I125)</f>
        <v/>
      </c>
      <c r="J115" s="40" t="str">
        <f>IF(Agent01_Loans!B125="","",Agent01_Loans!J125)</f>
        <v/>
      </c>
      <c r="K115" s="37" t="str">
        <f>IF(Agent01_Loans!B125="","",Agent01_Loans!K125)</f>
        <v/>
      </c>
      <c r="L115" s="37" t="str">
        <f>IF(Agent01_Loans!B125="","",Agent01_Loans!L125)</f>
        <v/>
      </c>
      <c r="M115" s="37" t="str">
        <f>IFERROR(IF(Agent01_Loans!B125="","",YEAR(Agent01_Loans!D125)),"")</f>
        <v/>
      </c>
    </row>
    <row r="116" spans="1:13" ht="18" customHeight="1" x14ac:dyDescent="0.25">
      <c r="A116" s="37" t="str">
        <f>IF(Agent01_Loans!B126="","",Agent01_Loans!A126)</f>
        <v/>
      </c>
      <c r="B116" s="37" t="str">
        <f>IF(Agent01_Loans!B126="","",Agent01_Loans!B126)</f>
        <v/>
      </c>
      <c r="C116" s="37" t="str">
        <f>IF(Agent01_Loans!B126="","",Agent01_Loans!C126)</f>
        <v/>
      </c>
      <c r="D116" s="38" t="str">
        <f>IF(Agent01_Loans!B126="","",Agent01_Loans!D126)</f>
        <v/>
      </c>
      <c r="E116" s="40" t="str">
        <f>IF(Agent01_Loans!B126="","",Agent01_Loans!E126)</f>
        <v/>
      </c>
      <c r="F116" s="37" t="str">
        <f>IF(Agent01_Loans!B126="","",Agent01_Loans!F126)</f>
        <v/>
      </c>
      <c r="G116" s="37" t="str">
        <f>IF(Agent01_Loans!B126="","",Agent01_Loans!G126)</f>
        <v/>
      </c>
      <c r="H116" s="37" t="str">
        <f>IF(Agent01_Loans!B126="","",Agent01_Loans!H126)</f>
        <v/>
      </c>
      <c r="I116" s="40" t="str">
        <f>IF(Agent01_Loans!B126="","",Agent01_Loans!I126)</f>
        <v/>
      </c>
      <c r="J116" s="40" t="str">
        <f>IF(Agent01_Loans!B126="","",Agent01_Loans!J126)</f>
        <v/>
      </c>
      <c r="K116" s="37" t="str">
        <f>IF(Agent01_Loans!B126="","",Agent01_Loans!K126)</f>
        <v/>
      </c>
      <c r="L116" s="37" t="str">
        <f>IF(Agent01_Loans!B126="","",Agent01_Loans!L126)</f>
        <v/>
      </c>
      <c r="M116" s="37" t="str">
        <f>IFERROR(IF(Agent01_Loans!B126="","",YEAR(Agent01_Loans!D126)),"")</f>
        <v/>
      </c>
    </row>
    <row r="117" spans="1:13" ht="18" customHeight="1" x14ac:dyDescent="0.25">
      <c r="A117" s="37" t="str">
        <f>IF(Agent01_Loans!B127="","",Agent01_Loans!A127)</f>
        <v/>
      </c>
      <c r="B117" s="37" t="str">
        <f>IF(Agent01_Loans!B127="","",Agent01_Loans!B127)</f>
        <v/>
      </c>
      <c r="C117" s="37" t="str">
        <f>IF(Agent01_Loans!B127="","",Agent01_Loans!C127)</f>
        <v/>
      </c>
      <c r="D117" s="38" t="str">
        <f>IF(Agent01_Loans!B127="","",Agent01_Loans!D127)</f>
        <v/>
      </c>
      <c r="E117" s="40" t="str">
        <f>IF(Agent01_Loans!B127="","",Agent01_Loans!E127)</f>
        <v/>
      </c>
      <c r="F117" s="37" t="str">
        <f>IF(Agent01_Loans!B127="","",Agent01_Loans!F127)</f>
        <v/>
      </c>
      <c r="G117" s="37" t="str">
        <f>IF(Agent01_Loans!B127="","",Agent01_Loans!G127)</f>
        <v/>
      </c>
      <c r="H117" s="37" t="str">
        <f>IF(Agent01_Loans!B127="","",Agent01_Loans!H127)</f>
        <v/>
      </c>
      <c r="I117" s="40" t="str">
        <f>IF(Agent01_Loans!B127="","",Agent01_Loans!I127)</f>
        <v/>
      </c>
      <c r="J117" s="40" t="str">
        <f>IF(Agent01_Loans!B127="","",Agent01_Loans!J127)</f>
        <v/>
      </c>
      <c r="K117" s="37" t="str">
        <f>IF(Agent01_Loans!B127="","",Agent01_Loans!K127)</f>
        <v/>
      </c>
      <c r="L117" s="37" t="str">
        <f>IF(Agent01_Loans!B127="","",Agent01_Loans!L127)</f>
        <v/>
      </c>
      <c r="M117" s="37" t="str">
        <f>IFERROR(IF(Agent01_Loans!B127="","",YEAR(Agent01_Loans!D127)),"")</f>
        <v/>
      </c>
    </row>
    <row r="118" spans="1:13" ht="18" customHeight="1" x14ac:dyDescent="0.25">
      <c r="A118" s="37" t="str">
        <f>IF(Agent01_Loans!B128="","",Agent01_Loans!A128)</f>
        <v/>
      </c>
      <c r="B118" s="37" t="str">
        <f>IF(Agent01_Loans!B128="","",Agent01_Loans!B128)</f>
        <v/>
      </c>
      <c r="C118" s="37" t="str">
        <f>IF(Agent01_Loans!B128="","",Agent01_Loans!C128)</f>
        <v/>
      </c>
      <c r="D118" s="38" t="str">
        <f>IF(Agent01_Loans!B128="","",Agent01_Loans!D128)</f>
        <v/>
      </c>
      <c r="E118" s="40" t="str">
        <f>IF(Agent01_Loans!B128="","",Agent01_Loans!E128)</f>
        <v/>
      </c>
      <c r="F118" s="37" t="str">
        <f>IF(Agent01_Loans!B128="","",Agent01_Loans!F128)</f>
        <v/>
      </c>
      <c r="G118" s="37" t="str">
        <f>IF(Agent01_Loans!B128="","",Agent01_Loans!G128)</f>
        <v/>
      </c>
      <c r="H118" s="37" t="str">
        <f>IF(Agent01_Loans!B128="","",Agent01_Loans!H128)</f>
        <v/>
      </c>
      <c r="I118" s="40" t="str">
        <f>IF(Agent01_Loans!B128="","",Agent01_Loans!I128)</f>
        <v/>
      </c>
      <c r="J118" s="40" t="str">
        <f>IF(Agent01_Loans!B128="","",Agent01_Loans!J128)</f>
        <v/>
      </c>
      <c r="K118" s="37" t="str">
        <f>IF(Agent01_Loans!B128="","",Agent01_Loans!K128)</f>
        <v/>
      </c>
      <c r="L118" s="37" t="str">
        <f>IF(Agent01_Loans!B128="","",Agent01_Loans!L128)</f>
        <v/>
      </c>
      <c r="M118" s="37" t="str">
        <f>IFERROR(IF(Agent01_Loans!B128="","",YEAR(Agent01_Loans!D128)),"")</f>
        <v/>
      </c>
    </row>
    <row r="119" spans="1:13" ht="18" customHeight="1" x14ac:dyDescent="0.25">
      <c r="A119" s="37" t="str">
        <f>IF(Agent01_Loans!B129="","",Agent01_Loans!A129)</f>
        <v/>
      </c>
      <c r="B119" s="37" t="str">
        <f>IF(Agent01_Loans!B129="","",Agent01_Loans!B129)</f>
        <v/>
      </c>
      <c r="C119" s="37" t="str">
        <f>IF(Agent01_Loans!B129="","",Agent01_Loans!C129)</f>
        <v/>
      </c>
      <c r="D119" s="38" t="str">
        <f>IF(Agent01_Loans!B129="","",Agent01_Loans!D129)</f>
        <v/>
      </c>
      <c r="E119" s="40" t="str">
        <f>IF(Agent01_Loans!B129="","",Agent01_Loans!E129)</f>
        <v/>
      </c>
      <c r="F119" s="37" t="str">
        <f>IF(Agent01_Loans!B129="","",Agent01_Loans!F129)</f>
        <v/>
      </c>
      <c r="G119" s="37" t="str">
        <f>IF(Agent01_Loans!B129="","",Agent01_Loans!G129)</f>
        <v/>
      </c>
      <c r="H119" s="37" t="str">
        <f>IF(Agent01_Loans!B129="","",Agent01_Loans!H129)</f>
        <v/>
      </c>
      <c r="I119" s="40" t="str">
        <f>IF(Agent01_Loans!B129="","",Agent01_Loans!I129)</f>
        <v/>
      </c>
      <c r="J119" s="40" t="str">
        <f>IF(Agent01_Loans!B129="","",Agent01_Loans!J129)</f>
        <v/>
      </c>
      <c r="K119" s="37" t="str">
        <f>IF(Agent01_Loans!B129="","",Agent01_Loans!K129)</f>
        <v/>
      </c>
      <c r="L119" s="37" t="str">
        <f>IF(Agent01_Loans!B129="","",Agent01_Loans!L129)</f>
        <v/>
      </c>
      <c r="M119" s="37" t="str">
        <f>IFERROR(IF(Agent01_Loans!B129="","",YEAR(Agent01_Loans!D129)),"")</f>
        <v/>
      </c>
    </row>
    <row r="120" spans="1:13" ht="18" customHeight="1" x14ac:dyDescent="0.25">
      <c r="A120" s="37" t="str">
        <f>IF(Agent01_Loans!B130="","",Agent01_Loans!A130)</f>
        <v/>
      </c>
      <c r="B120" s="37" t="str">
        <f>IF(Agent01_Loans!B130="","",Agent01_Loans!B130)</f>
        <v/>
      </c>
      <c r="C120" s="37" t="str">
        <f>IF(Agent01_Loans!B130="","",Agent01_Loans!C130)</f>
        <v/>
      </c>
      <c r="D120" s="38" t="str">
        <f>IF(Agent01_Loans!B130="","",Agent01_Loans!D130)</f>
        <v/>
      </c>
      <c r="E120" s="40" t="str">
        <f>IF(Agent01_Loans!B130="","",Agent01_Loans!E130)</f>
        <v/>
      </c>
      <c r="F120" s="37" t="str">
        <f>IF(Agent01_Loans!B130="","",Agent01_Loans!F130)</f>
        <v/>
      </c>
      <c r="G120" s="37" t="str">
        <f>IF(Agent01_Loans!B130="","",Agent01_Loans!G130)</f>
        <v/>
      </c>
      <c r="H120" s="37" t="str">
        <f>IF(Agent01_Loans!B130="","",Agent01_Loans!H130)</f>
        <v/>
      </c>
      <c r="I120" s="40" t="str">
        <f>IF(Agent01_Loans!B130="","",Agent01_Loans!I130)</f>
        <v/>
      </c>
      <c r="J120" s="40" t="str">
        <f>IF(Agent01_Loans!B130="","",Agent01_Loans!J130)</f>
        <v/>
      </c>
      <c r="K120" s="37" t="str">
        <f>IF(Agent01_Loans!B130="","",Agent01_Loans!K130)</f>
        <v/>
      </c>
      <c r="L120" s="37" t="str">
        <f>IF(Agent01_Loans!B130="","",Agent01_Loans!L130)</f>
        <v/>
      </c>
      <c r="M120" s="37" t="str">
        <f>IFERROR(IF(Agent01_Loans!B130="","",YEAR(Agent01_Loans!D130)),"")</f>
        <v/>
      </c>
    </row>
    <row r="121" spans="1:13" ht="18" customHeight="1" x14ac:dyDescent="0.25">
      <c r="A121" s="37" t="str">
        <f>IF(Agent01_Loans!B131="","",Agent01_Loans!A131)</f>
        <v/>
      </c>
      <c r="B121" s="37" t="str">
        <f>IF(Agent01_Loans!B131="","",Agent01_Loans!B131)</f>
        <v/>
      </c>
      <c r="C121" s="37" t="str">
        <f>IF(Agent01_Loans!B131="","",Agent01_Loans!C131)</f>
        <v/>
      </c>
      <c r="D121" s="38" t="str">
        <f>IF(Agent01_Loans!B131="","",Agent01_Loans!D131)</f>
        <v/>
      </c>
      <c r="E121" s="40" t="str">
        <f>IF(Agent01_Loans!B131="","",Agent01_Loans!E131)</f>
        <v/>
      </c>
      <c r="F121" s="37" t="str">
        <f>IF(Agent01_Loans!B131="","",Agent01_Loans!F131)</f>
        <v/>
      </c>
      <c r="G121" s="37" t="str">
        <f>IF(Agent01_Loans!B131="","",Agent01_Loans!G131)</f>
        <v/>
      </c>
      <c r="H121" s="37" t="str">
        <f>IF(Agent01_Loans!B131="","",Agent01_Loans!H131)</f>
        <v/>
      </c>
      <c r="I121" s="40" t="str">
        <f>IF(Agent01_Loans!B131="","",Agent01_Loans!I131)</f>
        <v/>
      </c>
      <c r="J121" s="40" t="str">
        <f>IF(Agent01_Loans!B131="","",Agent01_Loans!J131)</f>
        <v/>
      </c>
      <c r="K121" s="37" t="str">
        <f>IF(Agent01_Loans!B131="","",Agent01_Loans!K131)</f>
        <v/>
      </c>
      <c r="L121" s="37" t="str">
        <f>IF(Agent01_Loans!B131="","",Agent01_Loans!L131)</f>
        <v/>
      </c>
      <c r="M121" s="37" t="str">
        <f>IFERROR(IF(Agent01_Loans!B131="","",YEAR(Agent01_Loans!D131)),"")</f>
        <v/>
      </c>
    </row>
    <row r="122" spans="1:13" ht="18" customHeight="1" x14ac:dyDescent="0.25">
      <c r="A122" s="37" t="str">
        <f>IF(Agent01_Loans!B132="","",Agent01_Loans!A132)</f>
        <v/>
      </c>
      <c r="B122" s="37" t="str">
        <f>IF(Agent01_Loans!B132="","",Agent01_Loans!B132)</f>
        <v/>
      </c>
      <c r="C122" s="37" t="str">
        <f>IF(Agent01_Loans!B132="","",Agent01_Loans!C132)</f>
        <v/>
      </c>
      <c r="D122" s="38" t="str">
        <f>IF(Agent01_Loans!B132="","",Agent01_Loans!D132)</f>
        <v/>
      </c>
      <c r="E122" s="40" t="str">
        <f>IF(Agent01_Loans!B132="","",Agent01_Loans!E132)</f>
        <v/>
      </c>
      <c r="F122" s="37" t="str">
        <f>IF(Agent01_Loans!B132="","",Agent01_Loans!F132)</f>
        <v/>
      </c>
      <c r="G122" s="37" t="str">
        <f>IF(Agent01_Loans!B132="","",Agent01_Loans!G132)</f>
        <v/>
      </c>
      <c r="H122" s="37" t="str">
        <f>IF(Agent01_Loans!B132="","",Agent01_Loans!H132)</f>
        <v/>
      </c>
      <c r="I122" s="40" t="str">
        <f>IF(Agent01_Loans!B132="","",Agent01_Loans!I132)</f>
        <v/>
      </c>
      <c r="J122" s="40" t="str">
        <f>IF(Agent01_Loans!B132="","",Agent01_Loans!J132)</f>
        <v/>
      </c>
      <c r="K122" s="37" t="str">
        <f>IF(Agent01_Loans!B132="","",Agent01_Loans!K132)</f>
        <v/>
      </c>
      <c r="L122" s="37" t="str">
        <f>IF(Agent01_Loans!B132="","",Agent01_Loans!L132)</f>
        <v/>
      </c>
      <c r="M122" s="37" t="str">
        <f>IFERROR(IF(Agent01_Loans!B132="","",YEAR(Agent01_Loans!D132)),"")</f>
        <v/>
      </c>
    </row>
    <row r="123" spans="1:13" ht="18" customHeight="1" x14ac:dyDescent="0.25">
      <c r="A123" s="37" t="str">
        <f>IF(Agent01_Loans!B133="","",Agent01_Loans!A133)</f>
        <v/>
      </c>
      <c r="B123" s="37" t="str">
        <f>IF(Agent01_Loans!B133="","",Agent01_Loans!B133)</f>
        <v/>
      </c>
      <c r="C123" s="37" t="str">
        <f>IF(Agent01_Loans!B133="","",Agent01_Loans!C133)</f>
        <v/>
      </c>
      <c r="D123" s="38" t="str">
        <f>IF(Agent01_Loans!B133="","",Agent01_Loans!D133)</f>
        <v/>
      </c>
      <c r="E123" s="40" t="str">
        <f>IF(Agent01_Loans!B133="","",Agent01_Loans!E133)</f>
        <v/>
      </c>
      <c r="F123" s="37" t="str">
        <f>IF(Agent01_Loans!B133="","",Agent01_Loans!F133)</f>
        <v/>
      </c>
      <c r="G123" s="37" t="str">
        <f>IF(Agent01_Loans!B133="","",Agent01_Loans!G133)</f>
        <v/>
      </c>
      <c r="H123" s="37" t="str">
        <f>IF(Agent01_Loans!B133="","",Agent01_Loans!H133)</f>
        <v/>
      </c>
      <c r="I123" s="40" t="str">
        <f>IF(Agent01_Loans!B133="","",Agent01_Loans!I133)</f>
        <v/>
      </c>
      <c r="J123" s="40" t="str">
        <f>IF(Agent01_Loans!B133="","",Agent01_Loans!J133)</f>
        <v/>
      </c>
      <c r="K123" s="37" t="str">
        <f>IF(Agent01_Loans!B133="","",Agent01_Loans!K133)</f>
        <v/>
      </c>
      <c r="L123" s="37" t="str">
        <f>IF(Agent01_Loans!B133="","",Agent01_Loans!L133)</f>
        <v/>
      </c>
      <c r="M123" s="37" t="str">
        <f>IFERROR(IF(Agent01_Loans!B133="","",YEAR(Agent01_Loans!D133)),"")</f>
        <v/>
      </c>
    </row>
    <row r="124" spans="1:13" ht="18" customHeight="1" x14ac:dyDescent="0.25">
      <c r="A124" s="37" t="str">
        <f>IF(Agent01_Loans!B134="","",Agent01_Loans!A134)</f>
        <v/>
      </c>
      <c r="B124" s="37" t="str">
        <f>IF(Agent01_Loans!B134="","",Agent01_Loans!B134)</f>
        <v/>
      </c>
      <c r="C124" s="37" t="str">
        <f>IF(Agent01_Loans!B134="","",Agent01_Loans!C134)</f>
        <v/>
      </c>
      <c r="D124" s="38" t="str">
        <f>IF(Agent01_Loans!B134="","",Agent01_Loans!D134)</f>
        <v/>
      </c>
      <c r="E124" s="40" t="str">
        <f>IF(Agent01_Loans!B134="","",Agent01_Loans!E134)</f>
        <v/>
      </c>
      <c r="F124" s="37" t="str">
        <f>IF(Agent01_Loans!B134="","",Agent01_Loans!F134)</f>
        <v/>
      </c>
      <c r="G124" s="37" t="str">
        <f>IF(Agent01_Loans!B134="","",Agent01_Loans!G134)</f>
        <v/>
      </c>
      <c r="H124" s="37" t="str">
        <f>IF(Agent01_Loans!B134="","",Agent01_Loans!H134)</f>
        <v/>
      </c>
      <c r="I124" s="40" t="str">
        <f>IF(Agent01_Loans!B134="","",Agent01_Loans!I134)</f>
        <v/>
      </c>
      <c r="J124" s="40" t="str">
        <f>IF(Agent01_Loans!B134="","",Agent01_Loans!J134)</f>
        <v/>
      </c>
      <c r="K124" s="37" t="str">
        <f>IF(Agent01_Loans!B134="","",Agent01_Loans!K134)</f>
        <v/>
      </c>
      <c r="L124" s="37" t="str">
        <f>IF(Agent01_Loans!B134="","",Agent01_Loans!L134)</f>
        <v/>
      </c>
      <c r="M124" s="37" t="str">
        <f>IFERROR(IF(Agent01_Loans!B134="","",YEAR(Agent01_Loans!D134)),"")</f>
        <v/>
      </c>
    </row>
    <row r="125" spans="1:13" ht="18" customHeight="1" x14ac:dyDescent="0.25">
      <c r="A125" s="37" t="str">
        <f>IF(Agent01_Loans!B135="","",Agent01_Loans!A135)</f>
        <v/>
      </c>
      <c r="B125" s="37" t="str">
        <f>IF(Agent01_Loans!B135="","",Agent01_Loans!B135)</f>
        <v/>
      </c>
      <c r="C125" s="37" t="str">
        <f>IF(Agent01_Loans!B135="","",Agent01_Loans!C135)</f>
        <v/>
      </c>
      <c r="D125" s="38" t="str">
        <f>IF(Agent01_Loans!B135="","",Agent01_Loans!D135)</f>
        <v/>
      </c>
      <c r="E125" s="40" t="str">
        <f>IF(Agent01_Loans!B135="","",Agent01_Loans!E135)</f>
        <v/>
      </c>
      <c r="F125" s="37" t="str">
        <f>IF(Agent01_Loans!B135="","",Agent01_Loans!F135)</f>
        <v/>
      </c>
      <c r="G125" s="37" t="str">
        <f>IF(Agent01_Loans!B135="","",Agent01_Loans!G135)</f>
        <v/>
      </c>
      <c r="H125" s="37" t="str">
        <f>IF(Agent01_Loans!B135="","",Agent01_Loans!H135)</f>
        <v/>
      </c>
      <c r="I125" s="40" t="str">
        <f>IF(Agent01_Loans!B135="","",Agent01_Loans!I135)</f>
        <v/>
      </c>
      <c r="J125" s="40" t="str">
        <f>IF(Agent01_Loans!B135="","",Agent01_Loans!J135)</f>
        <v/>
      </c>
      <c r="K125" s="37" t="str">
        <f>IF(Agent01_Loans!B135="","",Agent01_Loans!K135)</f>
        <v/>
      </c>
      <c r="L125" s="37" t="str">
        <f>IF(Agent01_Loans!B135="","",Agent01_Loans!L135)</f>
        <v/>
      </c>
      <c r="M125" s="37" t="str">
        <f>IFERROR(IF(Agent01_Loans!B135="","",YEAR(Agent01_Loans!D135)),"")</f>
        <v/>
      </c>
    </row>
    <row r="126" spans="1:13" ht="18" customHeight="1" x14ac:dyDescent="0.25">
      <c r="A126" s="37" t="str">
        <f>IF(Agent01_Loans!B136="","",Agent01_Loans!A136)</f>
        <v/>
      </c>
      <c r="B126" s="37" t="str">
        <f>IF(Agent01_Loans!B136="","",Agent01_Loans!B136)</f>
        <v/>
      </c>
      <c r="C126" s="37" t="str">
        <f>IF(Agent01_Loans!B136="","",Agent01_Loans!C136)</f>
        <v/>
      </c>
      <c r="D126" s="38" t="str">
        <f>IF(Agent01_Loans!B136="","",Agent01_Loans!D136)</f>
        <v/>
      </c>
      <c r="E126" s="40" t="str">
        <f>IF(Agent01_Loans!B136="","",Agent01_Loans!E136)</f>
        <v/>
      </c>
      <c r="F126" s="37" t="str">
        <f>IF(Agent01_Loans!B136="","",Agent01_Loans!F136)</f>
        <v/>
      </c>
      <c r="G126" s="37" t="str">
        <f>IF(Agent01_Loans!B136="","",Agent01_Loans!G136)</f>
        <v/>
      </c>
      <c r="H126" s="37" t="str">
        <f>IF(Agent01_Loans!B136="","",Agent01_Loans!H136)</f>
        <v/>
      </c>
      <c r="I126" s="40" t="str">
        <f>IF(Agent01_Loans!B136="","",Agent01_Loans!I136)</f>
        <v/>
      </c>
      <c r="J126" s="40" t="str">
        <f>IF(Agent01_Loans!B136="","",Agent01_Loans!J136)</f>
        <v/>
      </c>
      <c r="K126" s="37" t="str">
        <f>IF(Agent01_Loans!B136="","",Agent01_Loans!K136)</f>
        <v/>
      </c>
      <c r="L126" s="37" t="str">
        <f>IF(Agent01_Loans!B136="","",Agent01_Loans!L136)</f>
        <v/>
      </c>
      <c r="M126" s="37" t="str">
        <f>IFERROR(IF(Agent01_Loans!B136="","",YEAR(Agent01_Loans!D136)),"")</f>
        <v/>
      </c>
    </row>
    <row r="127" spans="1:13" ht="18" customHeight="1" x14ac:dyDescent="0.25">
      <c r="A127" s="37" t="str">
        <f>IF(Agent01_Loans!B137="","",Agent01_Loans!A137)</f>
        <v/>
      </c>
      <c r="B127" s="37" t="str">
        <f>IF(Agent01_Loans!B137="","",Agent01_Loans!B137)</f>
        <v/>
      </c>
      <c r="C127" s="37" t="str">
        <f>IF(Agent01_Loans!B137="","",Agent01_Loans!C137)</f>
        <v/>
      </c>
      <c r="D127" s="38" t="str">
        <f>IF(Agent01_Loans!B137="","",Agent01_Loans!D137)</f>
        <v/>
      </c>
      <c r="E127" s="40" t="str">
        <f>IF(Agent01_Loans!B137="","",Agent01_Loans!E137)</f>
        <v/>
      </c>
      <c r="F127" s="37" t="str">
        <f>IF(Agent01_Loans!B137="","",Agent01_Loans!F137)</f>
        <v/>
      </c>
      <c r="G127" s="37" t="str">
        <f>IF(Agent01_Loans!B137="","",Agent01_Loans!G137)</f>
        <v/>
      </c>
      <c r="H127" s="37" t="str">
        <f>IF(Agent01_Loans!B137="","",Agent01_Loans!H137)</f>
        <v/>
      </c>
      <c r="I127" s="40" t="str">
        <f>IF(Agent01_Loans!B137="","",Agent01_Loans!I137)</f>
        <v/>
      </c>
      <c r="J127" s="40" t="str">
        <f>IF(Agent01_Loans!B137="","",Agent01_Loans!J137)</f>
        <v/>
      </c>
      <c r="K127" s="37" t="str">
        <f>IF(Agent01_Loans!B137="","",Agent01_Loans!K137)</f>
        <v/>
      </c>
      <c r="L127" s="37" t="str">
        <f>IF(Agent01_Loans!B137="","",Agent01_Loans!L137)</f>
        <v/>
      </c>
      <c r="M127" s="37" t="str">
        <f>IFERROR(IF(Agent01_Loans!B137="","",YEAR(Agent01_Loans!D137)),"")</f>
        <v/>
      </c>
    </row>
    <row r="128" spans="1:13" ht="18" customHeight="1" x14ac:dyDescent="0.25">
      <c r="A128" s="37" t="str">
        <f>IF(Agent01_Loans!B138="","",Agent01_Loans!A138)</f>
        <v/>
      </c>
      <c r="B128" s="37" t="str">
        <f>IF(Agent01_Loans!B138="","",Agent01_Loans!B138)</f>
        <v/>
      </c>
      <c r="C128" s="37" t="str">
        <f>IF(Agent01_Loans!B138="","",Agent01_Loans!C138)</f>
        <v/>
      </c>
      <c r="D128" s="38" t="str">
        <f>IF(Agent01_Loans!B138="","",Agent01_Loans!D138)</f>
        <v/>
      </c>
      <c r="E128" s="40" t="str">
        <f>IF(Agent01_Loans!B138="","",Agent01_Loans!E138)</f>
        <v/>
      </c>
      <c r="F128" s="37" t="str">
        <f>IF(Agent01_Loans!B138="","",Agent01_Loans!F138)</f>
        <v/>
      </c>
      <c r="G128" s="37" t="str">
        <f>IF(Agent01_Loans!B138="","",Agent01_Loans!G138)</f>
        <v/>
      </c>
      <c r="H128" s="37" t="str">
        <f>IF(Agent01_Loans!B138="","",Agent01_Loans!H138)</f>
        <v/>
      </c>
      <c r="I128" s="40" t="str">
        <f>IF(Agent01_Loans!B138="","",Agent01_Loans!I138)</f>
        <v/>
      </c>
      <c r="J128" s="40" t="str">
        <f>IF(Agent01_Loans!B138="","",Agent01_Loans!J138)</f>
        <v/>
      </c>
      <c r="K128" s="37" t="str">
        <f>IF(Agent01_Loans!B138="","",Agent01_Loans!K138)</f>
        <v/>
      </c>
      <c r="L128" s="37" t="str">
        <f>IF(Agent01_Loans!B138="","",Agent01_Loans!L138)</f>
        <v/>
      </c>
      <c r="M128" s="37" t="str">
        <f>IFERROR(IF(Agent01_Loans!B138="","",YEAR(Agent01_Loans!D138)),"")</f>
        <v/>
      </c>
    </row>
    <row r="129" spans="1:13" ht="18" customHeight="1" x14ac:dyDescent="0.25">
      <c r="A129" s="37" t="str">
        <f>IF(Agent01_Loans!B139="","",Agent01_Loans!A139)</f>
        <v/>
      </c>
      <c r="B129" s="37" t="str">
        <f>IF(Agent01_Loans!B139="","",Agent01_Loans!B139)</f>
        <v/>
      </c>
      <c r="C129" s="37" t="str">
        <f>IF(Agent01_Loans!B139="","",Agent01_Loans!C139)</f>
        <v/>
      </c>
      <c r="D129" s="38" t="str">
        <f>IF(Agent01_Loans!B139="","",Agent01_Loans!D139)</f>
        <v/>
      </c>
      <c r="E129" s="40" t="str">
        <f>IF(Agent01_Loans!B139="","",Agent01_Loans!E139)</f>
        <v/>
      </c>
      <c r="F129" s="37" t="str">
        <f>IF(Agent01_Loans!B139="","",Agent01_Loans!F139)</f>
        <v/>
      </c>
      <c r="G129" s="37" t="str">
        <f>IF(Agent01_Loans!B139="","",Agent01_Loans!G139)</f>
        <v/>
      </c>
      <c r="H129" s="37" t="str">
        <f>IF(Agent01_Loans!B139="","",Agent01_Loans!H139)</f>
        <v/>
      </c>
      <c r="I129" s="40" t="str">
        <f>IF(Agent01_Loans!B139="","",Agent01_Loans!I139)</f>
        <v/>
      </c>
      <c r="J129" s="40" t="str">
        <f>IF(Agent01_Loans!B139="","",Agent01_Loans!J139)</f>
        <v/>
      </c>
      <c r="K129" s="37" t="str">
        <f>IF(Agent01_Loans!B139="","",Agent01_Loans!K139)</f>
        <v/>
      </c>
      <c r="L129" s="37" t="str">
        <f>IF(Agent01_Loans!B139="","",Agent01_Loans!L139)</f>
        <v/>
      </c>
      <c r="M129" s="37" t="str">
        <f>IFERROR(IF(Agent01_Loans!B139="","",YEAR(Agent01_Loans!D139)),"")</f>
        <v/>
      </c>
    </row>
    <row r="130" spans="1:13" ht="18" customHeight="1" x14ac:dyDescent="0.25">
      <c r="A130" s="37" t="str">
        <f>IF(Agent01_Loans!B140="","",Agent01_Loans!A140)</f>
        <v/>
      </c>
      <c r="B130" s="37" t="str">
        <f>IF(Agent01_Loans!B140="","",Agent01_Loans!B140)</f>
        <v/>
      </c>
      <c r="C130" s="37" t="str">
        <f>IF(Agent01_Loans!B140="","",Agent01_Loans!C140)</f>
        <v/>
      </c>
      <c r="D130" s="38" t="str">
        <f>IF(Agent01_Loans!B140="","",Agent01_Loans!D140)</f>
        <v/>
      </c>
      <c r="E130" s="40" t="str">
        <f>IF(Agent01_Loans!B140="","",Agent01_Loans!E140)</f>
        <v/>
      </c>
      <c r="F130" s="37" t="str">
        <f>IF(Agent01_Loans!B140="","",Agent01_Loans!F140)</f>
        <v/>
      </c>
      <c r="G130" s="37" t="str">
        <f>IF(Agent01_Loans!B140="","",Agent01_Loans!G140)</f>
        <v/>
      </c>
      <c r="H130" s="37" t="str">
        <f>IF(Agent01_Loans!B140="","",Agent01_Loans!H140)</f>
        <v/>
      </c>
      <c r="I130" s="40" t="str">
        <f>IF(Agent01_Loans!B140="","",Agent01_Loans!I140)</f>
        <v/>
      </c>
      <c r="J130" s="40" t="str">
        <f>IF(Agent01_Loans!B140="","",Agent01_Loans!J140)</f>
        <v/>
      </c>
      <c r="K130" s="37" t="str">
        <f>IF(Agent01_Loans!B140="","",Agent01_Loans!K140)</f>
        <v/>
      </c>
      <c r="L130" s="37" t="str">
        <f>IF(Agent01_Loans!B140="","",Agent01_Loans!L140)</f>
        <v/>
      </c>
      <c r="M130" s="37" t="str">
        <f>IFERROR(IF(Agent01_Loans!B140="","",YEAR(Agent01_Loans!D140)),"")</f>
        <v/>
      </c>
    </row>
    <row r="131" spans="1:13" ht="18" customHeight="1" x14ac:dyDescent="0.25">
      <c r="A131" s="37" t="str">
        <f>IF(Agent01_Loans!B141="","",Agent01_Loans!A141)</f>
        <v/>
      </c>
      <c r="B131" s="37" t="str">
        <f>IF(Agent01_Loans!B141="","",Agent01_Loans!B141)</f>
        <v/>
      </c>
      <c r="C131" s="37" t="str">
        <f>IF(Agent01_Loans!B141="","",Agent01_Loans!C141)</f>
        <v/>
      </c>
      <c r="D131" s="38" t="str">
        <f>IF(Agent01_Loans!B141="","",Agent01_Loans!D141)</f>
        <v/>
      </c>
      <c r="E131" s="40" t="str">
        <f>IF(Agent01_Loans!B141="","",Agent01_Loans!E141)</f>
        <v/>
      </c>
      <c r="F131" s="37" t="str">
        <f>IF(Agent01_Loans!B141="","",Agent01_Loans!F141)</f>
        <v/>
      </c>
      <c r="G131" s="37" t="str">
        <f>IF(Agent01_Loans!B141="","",Agent01_Loans!G141)</f>
        <v/>
      </c>
      <c r="H131" s="37" t="str">
        <f>IF(Agent01_Loans!B141="","",Agent01_Loans!H141)</f>
        <v/>
      </c>
      <c r="I131" s="40" t="str">
        <f>IF(Agent01_Loans!B141="","",Agent01_Loans!I141)</f>
        <v/>
      </c>
      <c r="J131" s="40" t="str">
        <f>IF(Agent01_Loans!B141="","",Agent01_Loans!J141)</f>
        <v/>
      </c>
      <c r="K131" s="37" t="str">
        <f>IF(Agent01_Loans!B141="","",Agent01_Loans!K141)</f>
        <v/>
      </c>
      <c r="L131" s="37" t="str">
        <f>IF(Agent01_Loans!B141="","",Agent01_Loans!L141)</f>
        <v/>
      </c>
      <c r="M131" s="37" t="str">
        <f>IFERROR(IF(Agent01_Loans!B141="","",YEAR(Agent01_Loans!D141)),"")</f>
        <v/>
      </c>
    </row>
    <row r="132" spans="1:13" ht="18" customHeight="1" x14ac:dyDescent="0.25">
      <c r="A132" s="37" t="str">
        <f>IF(Agent01_Loans!B142="","",Agent01_Loans!A142)</f>
        <v/>
      </c>
      <c r="B132" s="37" t="str">
        <f>IF(Agent01_Loans!B142="","",Agent01_Loans!B142)</f>
        <v/>
      </c>
      <c r="C132" s="37" t="str">
        <f>IF(Agent01_Loans!B142="","",Agent01_Loans!C142)</f>
        <v/>
      </c>
      <c r="D132" s="38" t="str">
        <f>IF(Agent01_Loans!B142="","",Agent01_Loans!D142)</f>
        <v/>
      </c>
      <c r="E132" s="40" t="str">
        <f>IF(Agent01_Loans!B142="","",Agent01_Loans!E142)</f>
        <v/>
      </c>
      <c r="F132" s="37" t="str">
        <f>IF(Agent01_Loans!B142="","",Agent01_Loans!F142)</f>
        <v/>
      </c>
      <c r="G132" s="37" t="str">
        <f>IF(Agent01_Loans!B142="","",Agent01_Loans!G142)</f>
        <v/>
      </c>
      <c r="H132" s="37" t="str">
        <f>IF(Agent01_Loans!B142="","",Agent01_Loans!H142)</f>
        <v/>
      </c>
      <c r="I132" s="40" t="str">
        <f>IF(Agent01_Loans!B142="","",Agent01_Loans!I142)</f>
        <v/>
      </c>
      <c r="J132" s="40" t="str">
        <f>IF(Agent01_Loans!B142="","",Agent01_Loans!J142)</f>
        <v/>
      </c>
      <c r="K132" s="37" t="str">
        <f>IF(Agent01_Loans!B142="","",Agent01_Loans!K142)</f>
        <v/>
      </c>
      <c r="L132" s="37" t="str">
        <f>IF(Agent01_Loans!B142="","",Agent01_Loans!L142)</f>
        <v/>
      </c>
      <c r="M132" s="37" t="str">
        <f>IFERROR(IF(Agent01_Loans!B142="","",YEAR(Agent01_Loans!D142)),"")</f>
        <v/>
      </c>
    </row>
    <row r="133" spans="1:13" ht="18" customHeight="1" x14ac:dyDescent="0.25">
      <c r="A133" s="37" t="str">
        <f>IF(Agent01_Loans!B143="","",Agent01_Loans!A143)</f>
        <v/>
      </c>
      <c r="B133" s="37" t="str">
        <f>IF(Agent01_Loans!B143="","",Agent01_Loans!B143)</f>
        <v/>
      </c>
      <c r="C133" s="37" t="str">
        <f>IF(Agent01_Loans!B143="","",Agent01_Loans!C143)</f>
        <v/>
      </c>
      <c r="D133" s="38" t="str">
        <f>IF(Agent01_Loans!B143="","",Agent01_Loans!D143)</f>
        <v/>
      </c>
      <c r="E133" s="40" t="str">
        <f>IF(Agent01_Loans!B143="","",Agent01_Loans!E143)</f>
        <v/>
      </c>
      <c r="F133" s="37" t="str">
        <f>IF(Agent01_Loans!B143="","",Agent01_Loans!F143)</f>
        <v/>
      </c>
      <c r="G133" s="37" t="str">
        <f>IF(Agent01_Loans!B143="","",Agent01_Loans!G143)</f>
        <v/>
      </c>
      <c r="H133" s="37" t="str">
        <f>IF(Agent01_Loans!B143="","",Agent01_Loans!H143)</f>
        <v/>
      </c>
      <c r="I133" s="40" t="str">
        <f>IF(Agent01_Loans!B143="","",Agent01_Loans!I143)</f>
        <v/>
      </c>
      <c r="J133" s="40" t="str">
        <f>IF(Agent01_Loans!B143="","",Agent01_Loans!J143)</f>
        <v/>
      </c>
      <c r="K133" s="37" t="str">
        <f>IF(Agent01_Loans!B143="","",Agent01_Loans!K143)</f>
        <v/>
      </c>
      <c r="L133" s="37" t="str">
        <f>IF(Agent01_Loans!B143="","",Agent01_Loans!L143)</f>
        <v/>
      </c>
      <c r="M133" s="37" t="str">
        <f>IFERROR(IF(Agent01_Loans!B143="","",YEAR(Agent01_Loans!D143)),"")</f>
        <v/>
      </c>
    </row>
    <row r="134" spans="1:13" ht="18" customHeight="1" x14ac:dyDescent="0.25">
      <c r="A134" s="37" t="str">
        <f>IF(Agent01_Loans!B144="","",Agent01_Loans!A144)</f>
        <v/>
      </c>
      <c r="B134" s="37" t="str">
        <f>IF(Agent01_Loans!B144="","",Agent01_Loans!B144)</f>
        <v/>
      </c>
      <c r="C134" s="37" t="str">
        <f>IF(Agent01_Loans!B144="","",Agent01_Loans!C144)</f>
        <v/>
      </c>
      <c r="D134" s="38" t="str">
        <f>IF(Agent01_Loans!B144="","",Agent01_Loans!D144)</f>
        <v/>
      </c>
      <c r="E134" s="40" t="str">
        <f>IF(Agent01_Loans!B144="","",Agent01_Loans!E144)</f>
        <v/>
      </c>
      <c r="F134" s="37" t="str">
        <f>IF(Agent01_Loans!B144="","",Agent01_Loans!F144)</f>
        <v/>
      </c>
      <c r="G134" s="37" t="str">
        <f>IF(Agent01_Loans!B144="","",Agent01_Loans!G144)</f>
        <v/>
      </c>
      <c r="H134" s="37" t="str">
        <f>IF(Agent01_Loans!B144="","",Agent01_Loans!H144)</f>
        <v/>
      </c>
      <c r="I134" s="40" t="str">
        <f>IF(Agent01_Loans!B144="","",Agent01_Loans!I144)</f>
        <v/>
      </c>
      <c r="J134" s="40" t="str">
        <f>IF(Agent01_Loans!B144="","",Agent01_Loans!J144)</f>
        <v/>
      </c>
      <c r="K134" s="37" t="str">
        <f>IF(Agent01_Loans!B144="","",Agent01_Loans!K144)</f>
        <v/>
      </c>
      <c r="L134" s="37" t="str">
        <f>IF(Agent01_Loans!B144="","",Agent01_Loans!L144)</f>
        <v/>
      </c>
      <c r="M134" s="37" t="str">
        <f>IFERROR(IF(Agent01_Loans!B144="","",YEAR(Agent01_Loans!D144)),"")</f>
        <v/>
      </c>
    </row>
    <row r="135" spans="1:13" ht="18" customHeight="1" x14ac:dyDescent="0.25">
      <c r="A135" s="37" t="str">
        <f>IF(Agent01_Loans!B145="","",Agent01_Loans!A145)</f>
        <v/>
      </c>
      <c r="B135" s="37" t="str">
        <f>IF(Agent01_Loans!B145="","",Agent01_Loans!B145)</f>
        <v/>
      </c>
      <c r="C135" s="37" t="str">
        <f>IF(Agent01_Loans!B145="","",Agent01_Loans!C145)</f>
        <v/>
      </c>
      <c r="D135" s="38" t="str">
        <f>IF(Agent01_Loans!B145="","",Agent01_Loans!D145)</f>
        <v/>
      </c>
      <c r="E135" s="40" t="str">
        <f>IF(Agent01_Loans!B145="","",Agent01_Loans!E145)</f>
        <v/>
      </c>
      <c r="F135" s="37" t="str">
        <f>IF(Agent01_Loans!B145="","",Agent01_Loans!F145)</f>
        <v/>
      </c>
      <c r="G135" s="37" t="str">
        <f>IF(Agent01_Loans!B145="","",Agent01_Loans!G145)</f>
        <v/>
      </c>
      <c r="H135" s="37" t="str">
        <f>IF(Agent01_Loans!B145="","",Agent01_Loans!H145)</f>
        <v/>
      </c>
      <c r="I135" s="40" t="str">
        <f>IF(Agent01_Loans!B145="","",Agent01_Loans!I145)</f>
        <v/>
      </c>
      <c r="J135" s="40" t="str">
        <f>IF(Agent01_Loans!B145="","",Agent01_Loans!J145)</f>
        <v/>
      </c>
      <c r="K135" s="37" t="str">
        <f>IF(Agent01_Loans!B145="","",Agent01_Loans!K145)</f>
        <v/>
      </c>
      <c r="L135" s="37" t="str">
        <f>IF(Agent01_Loans!B145="","",Agent01_Loans!L145)</f>
        <v/>
      </c>
      <c r="M135" s="37" t="str">
        <f>IFERROR(IF(Agent01_Loans!B145="","",YEAR(Agent01_Loans!D145)),"")</f>
        <v/>
      </c>
    </row>
    <row r="136" spans="1:13" ht="18" customHeight="1" x14ac:dyDescent="0.25">
      <c r="A136" s="37" t="str">
        <f>IF(Agent01_Loans!B146="","",Agent01_Loans!A146)</f>
        <v/>
      </c>
      <c r="B136" s="37" t="str">
        <f>IF(Agent01_Loans!B146="","",Agent01_Loans!B146)</f>
        <v/>
      </c>
      <c r="C136" s="37" t="str">
        <f>IF(Agent01_Loans!B146="","",Agent01_Loans!C146)</f>
        <v/>
      </c>
      <c r="D136" s="38" t="str">
        <f>IF(Agent01_Loans!B146="","",Agent01_Loans!D146)</f>
        <v/>
      </c>
      <c r="E136" s="40" t="str">
        <f>IF(Agent01_Loans!B146="","",Agent01_Loans!E146)</f>
        <v/>
      </c>
      <c r="F136" s="37" t="str">
        <f>IF(Agent01_Loans!B146="","",Agent01_Loans!F146)</f>
        <v/>
      </c>
      <c r="G136" s="37" t="str">
        <f>IF(Agent01_Loans!B146="","",Agent01_Loans!G146)</f>
        <v/>
      </c>
      <c r="H136" s="37" t="str">
        <f>IF(Agent01_Loans!B146="","",Agent01_Loans!H146)</f>
        <v/>
      </c>
      <c r="I136" s="40" t="str">
        <f>IF(Agent01_Loans!B146="","",Agent01_Loans!I146)</f>
        <v/>
      </c>
      <c r="J136" s="40" t="str">
        <f>IF(Agent01_Loans!B146="","",Agent01_Loans!J146)</f>
        <v/>
      </c>
      <c r="K136" s="37" t="str">
        <f>IF(Agent01_Loans!B146="","",Agent01_Loans!K146)</f>
        <v/>
      </c>
      <c r="L136" s="37" t="str">
        <f>IF(Agent01_Loans!B146="","",Agent01_Loans!L146)</f>
        <v/>
      </c>
      <c r="M136" s="37" t="str">
        <f>IFERROR(IF(Agent01_Loans!B146="","",YEAR(Agent01_Loans!D146)),"")</f>
        <v/>
      </c>
    </row>
    <row r="137" spans="1:13" ht="18" customHeight="1" x14ac:dyDescent="0.25">
      <c r="A137" s="37" t="str">
        <f>IF(Agent01_Loans!B147="","",Agent01_Loans!A147)</f>
        <v/>
      </c>
      <c r="B137" s="37" t="str">
        <f>IF(Agent01_Loans!B147="","",Agent01_Loans!B147)</f>
        <v/>
      </c>
      <c r="C137" s="37" t="str">
        <f>IF(Agent01_Loans!B147="","",Agent01_Loans!C147)</f>
        <v/>
      </c>
      <c r="D137" s="38" t="str">
        <f>IF(Agent01_Loans!B147="","",Agent01_Loans!D147)</f>
        <v/>
      </c>
      <c r="E137" s="40" t="str">
        <f>IF(Agent01_Loans!B147="","",Agent01_Loans!E147)</f>
        <v/>
      </c>
      <c r="F137" s="37" t="str">
        <f>IF(Agent01_Loans!B147="","",Agent01_Loans!F147)</f>
        <v/>
      </c>
      <c r="G137" s="37" t="str">
        <f>IF(Agent01_Loans!B147="","",Agent01_Loans!G147)</f>
        <v/>
      </c>
      <c r="H137" s="37" t="str">
        <f>IF(Agent01_Loans!B147="","",Agent01_Loans!H147)</f>
        <v/>
      </c>
      <c r="I137" s="40" t="str">
        <f>IF(Agent01_Loans!B147="","",Agent01_Loans!I147)</f>
        <v/>
      </c>
      <c r="J137" s="40" t="str">
        <f>IF(Agent01_Loans!B147="","",Agent01_Loans!J147)</f>
        <v/>
      </c>
      <c r="K137" s="37" t="str">
        <f>IF(Agent01_Loans!B147="","",Agent01_Loans!K147)</f>
        <v/>
      </c>
      <c r="L137" s="37" t="str">
        <f>IF(Agent01_Loans!B147="","",Agent01_Loans!L147)</f>
        <v/>
      </c>
      <c r="M137" s="37" t="str">
        <f>IFERROR(IF(Agent01_Loans!B147="","",YEAR(Agent01_Loans!D147)),"")</f>
        <v/>
      </c>
    </row>
    <row r="138" spans="1:13" ht="18" customHeight="1" x14ac:dyDescent="0.25">
      <c r="A138" s="37" t="str">
        <f>IF(Agent01_Loans!B148="","",Agent01_Loans!A148)</f>
        <v/>
      </c>
      <c r="B138" s="37" t="str">
        <f>IF(Agent01_Loans!B148="","",Agent01_Loans!B148)</f>
        <v/>
      </c>
      <c r="C138" s="37" t="str">
        <f>IF(Agent01_Loans!B148="","",Agent01_Loans!C148)</f>
        <v/>
      </c>
      <c r="D138" s="38" t="str">
        <f>IF(Agent01_Loans!B148="","",Agent01_Loans!D148)</f>
        <v/>
      </c>
      <c r="E138" s="40" t="str">
        <f>IF(Agent01_Loans!B148="","",Agent01_Loans!E148)</f>
        <v/>
      </c>
      <c r="F138" s="37" t="str">
        <f>IF(Agent01_Loans!B148="","",Agent01_Loans!F148)</f>
        <v/>
      </c>
      <c r="G138" s="37" t="str">
        <f>IF(Agent01_Loans!B148="","",Agent01_Loans!G148)</f>
        <v/>
      </c>
      <c r="H138" s="37" t="str">
        <f>IF(Agent01_Loans!B148="","",Agent01_Loans!H148)</f>
        <v/>
      </c>
      <c r="I138" s="40" t="str">
        <f>IF(Agent01_Loans!B148="","",Agent01_Loans!I148)</f>
        <v/>
      </c>
      <c r="J138" s="40" t="str">
        <f>IF(Agent01_Loans!B148="","",Agent01_Loans!J148)</f>
        <v/>
      </c>
      <c r="K138" s="37" t="str">
        <f>IF(Agent01_Loans!B148="","",Agent01_Loans!K148)</f>
        <v/>
      </c>
      <c r="L138" s="37" t="str">
        <f>IF(Agent01_Loans!B148="","",Agent01_Loans!L148)</f>
        <v/>
      </c>
      <c r="M138" s="37" t="str">
        <f>IFERROR(IF(Agent01_Loans!B148="","",YEAR(Agent01_Loans!D148)),"")</f>
        <v/>
      </c>
    </row>
    <row r="139" spans="1:13" ht="18" customHeight="1" x14ac:dyDescent="0.25">
      <c r="A139" s="37" t="str">
        <f>IF(Agent01_Loans!B149="","",Agent01_Loans!A149)</f>
        <v/>
      </c>
      <c r="B139" s="37" t="str">
        <f>IF(Agent01_Loans!B149="","",Agent01_Loans!B149)</f>
        <v/>
      </c>
      <c r="C139" s="37" t="str">
        <f>IF(Agent01_Loans!B149="","",Agent01_Loans!C149)</f>
        <v/>
      </c>
      <c r="D139" s="38" t="str">
        <f>IF(Agent01_Loans!B149="","",Agent01_Loans!D149)</f>
        <v/>
      </c>
      <c r="E139" s="40" t="str">
        <f>IF(Agent01_Loans!B149="","",Agent01_Loans!E149)</f>
        <v/>
      </c>
      <c r="F139" s="37" t="str">
        <f>IF(Agent01_Loans!B149="","",Agent01_Loans!F149)</f>
        <v/>
      </c>
      <c r="G139" s="37" t="str">
        <f>IF(Agent01_Loans!B149="","",Agent01_Loans!G149)</f>
        <v/>
      </c>
      <c r="H139" s="37" t="str">
        <f>IF(Agent01_Loans!B149="","",Agent01_Loans!H149)</f>
        <v/>
      </c>
      <c r="I139" s="40" t="str">
        <f>IF(Agent01_Loans!B149="","",Agent01_Loans!I149)</f>
        <v/>
      </c>
      <c r="J139" s="40" t="str">
        <f>IF(Agent01_Loans!B149="","",Agent01_Loans!J149)</f>
        <v/>
      </c>
      <c r="K139" s="37" t="str">
        <f>IF(Agent01_Loans!B149="","",Agent01_Loans!K149)</f>
        <v/>
      </c>
      <c r="L139" s="37" t="str">
        <f>IF(Agent01_Loans!B149="","",Agent01_Loans!L149)</f>
        <v/>
      </c>
      <c r="M139" s="37" t="str">
        <f>IFERROR(IF(Agent01_Loans!B149="","",YEAR(Agent01_Loans!D149)),"")</f>
        <v/>
      </c>
    </row>
    <row r="140" spans="1:13" ht="18" customHeight="1" x14ac:dyDescent="0.25">
      <c r="A140" s="37" t="str">
        <f>IF(Agent01_Loans!B150="","",Agent01_Loans!A150)</f>
        <v/>
      </c>
      <c r="B140" s="37" t="str">
        <f>IF(Agent01_Loans!B150="","",Agent01_Loans!B150)</f>
        <v/>
      </c>
      <c r="C140" s="37" t="str">
        <f>IF(Agent01_Loans!B150="","",Agent01_Loans!C150)</f>
        <v/>
      </c>
      <c r="D140" s="38" t="str">
        <f>IF(Agent01_Loans!B150="","",Agent01_Loans!D150)</f>
        <v/>
      </c>
      <c r="E140" s="40" t="str">
        <f>IF(Agent01_Loans!B150="","",Agent01_Loans!E150)</f>
        <v/>
      </c>
      <c r="F140" s="37" t="str">
        <f>IF(Agent01_Loans!B150="","",Agent01_Loans!F150)</f>
        <v/>
      </c>
      <c r="G140" s="37" t="str">
        <f>IF(Agent01_Loans!B150="","",Agent01_Loans!G150)</f>
        <v/>
      </c>
      <c r="H140" s="37" t="str">
        <f>IF(Agent01_Loans!B150="","",Agent01_Loans!H150)</f>
        <v/>
      </c>
      <c r="I140" s="40" t="str">
        <f>IF(Agent01_Loans!B150="","",Agent01_Loans!I150)</f>
        <v/>
      </c>
      <c r="J140" s="40" t="str">
        <f>IF(Agent01_Loans!B150="","",Agent01_Loans!J150)</f>
        <v/>
      </c>
      <c r="K140" s="37" t="str">
        <f>IF(Agent01_Loans!B150="","",Agent01_Loans!K150)</f>
        <v/>
      </c>
      <c r="L140" s="37" t="str">
        <f>IF(Agent01_Loans!B150="","",Agent01_Loans!L150)</f>
        <v/>
      </c>
      <c r="M140" s="37" t="str">
        <f>IFERROR(IF(Agent01_Loans!B150="","",YEAR(Agent01_Loans!D150)),"")</f>
        <v/>
      </c>
    </row>
    <row r="141" spans="1:13" ht="18" customHeight="1" x14ac:dyDescent="0.25">
      <c r="A141" s="37" t="str">
        <f>IF(Agent01_Loans!B151="","",Agent01_Loans!A151)</f>
        <v/>
      </c>
      <c r="B141" s="37" t="str">
        <f>IF(Agent01_Loans!B151="","",Agent01_Loans!B151)</f>
        <v/>
      </c>
      <c r="C141" s="37" t="str">
        <f>IF(Agent01_Loans!B151="","",Agent01_Loans!C151)</f>
        <v/>
      </c>
      <c r="D141" s="38" t="str">
        <f>IF(Agent01_Loans!B151="","",Agent01_Loans!D151)</f>
        <v/>
      </c>
      <c r="E141" s="40" t="str">
        <f>IF(Agent01_Loans!B151="","",Agent01_Loans!E151)</f>
        <v/>
      </c>
      <c r="F141" s="37" t="str">
        <f>IF(Agent01_Loans!B151="","",Agent01_Loans!F151)</f>
        <v/>
      </c>
      <c r="G141" s="37" t="str">
        <f>IF(Agent01_Loans!B151="","",Agent01_Loans!G151)</f>
        <v/>
      </c>
      <c r="H141" s="37" t="str">
        <f>IF(Agent01_Loans!B151="","",Agent01_Loans!H151)</f>
        <v/>
      </c>
      <c r="I141" s="40" t="str">
        <f>IF(Agent01_Loans!B151="","",Agent01_Loans!I151)</f>
        <v/>
      </c>
      <c r="J141" s="40" t="str">
        <f>IF(Agent01_Loans!B151="","",Agent01_Loans!J151)</f>
        <v/>
      </c>
      <c r="K141" s="37" t="str">
        <f>IF(Agent01_Loans!B151="","",Agent01_Loans!K151)</f>
        <v/>
      </c>
      <c r="L141" s="37" t="str">
        <f>IF(Agent01_Loans!B151="","",Agent01_Loans!L151)</f>
        <v/>
      </c>
      <c r="M141" s="37" t="str">
        <f>IFERROR(IF(Agent01_Loans!B151="","",YEAR(Agent01_Loans!D151)),"")</f>
        <v/>
      </c>
    </row>
    <row r="142" spans="1:13" ht="18" customHeight="1" x14ac:dyDescent="0.25">
      <c r="A142" s="37" t="str">
        <f>IF(Agent01_Loans!B152="","",Agent01_Loans!A152)</f>
        <v/>
      </c>
      <c r="B142" s="37" t="str">
        <f>IF(Agent01_Loans!B152="","",Agent01_Loans!B152)</f>
        <v/>
      </c>
      <c r="C142" s="37" t="str">
        <f>IF(Agent01_Loans!B152="","",Agent01_Loans!C152)</f>
        <v/>
      </c>
      <c r="D142" s="38" t="str">
        <f>IF(Agent01_Loans!B152="","",Agent01_Loans!D152)</f>
        <v/>
      </c>
      <c r="E142" s="40" t="str">
        <f>IF(Agent01_Loans!B152="","",Agent01_Loans!E152)</f>
        <v/>
      </c>
      <c r="F142" s="37" t="str">
        <f>IF(Agent01_Loans!B152="","",Agent01_Loans!F152)</f>
        <v/>
      </c>
      <c r="G142" s="37" t="str">
        <f>IF(Agent01_Loans!B152="","",Agent01_Loans!G152)</f>
        <v/>
      </c>
      <c r="H142" s="37" t="str">
        <f>IF(Agent01_Loans!B152="","",Agent01_Loans!H152)</f>
        <v/>
      </c>
      <c r="I142" s="40" t="str">
        <f>IF(Agent01_Loans!B152="","",Agent01_Loans!I152)</f>
        <v/>
      </c>
      <c r="J142" s="40" t="str">
        <f>IF(Agent01_Loans!B152="","",Agent01_Loans!J152)</f>
        <v/>
      </c>
      <c r="K142" s="37" t="str">
        <f>IF(Agent01_Loans!B152="","",Agent01_Loans!K152)</f>
        <v/>
      </c>
      <c r="L142" s="37" t="str">
        <f>IF(Agent01_Loans!B152="","",Agent01_Loans!L152)</f>
        <v/>
      </c>
      <c r="M142" s="37" t="str">
        <f>IFERROR(IF(Agent01_Loans!B152="","",YEAR(Agent01_Loans!D152)),"")</f>
        <v/>
      </c>
    </row>
    <row r="143" spans="1:13" ht="18" customHeight="1" x14ac:dyDescent="0.25">
      <c r="A143" s="37" t="str">
        <f>IF(Agent01_Loans!B153="","",Agent01_Loans!A153)</f>
        <v/>
      </c>
      <c r="B143" s="37" t="str">
        <f>IF(Agent01_Loans!B153="","",Agent01_Loans!B153)</f>
        <v/>
      </c>
      <c r="C143" s="37" t="str">
        <f>IF(Agent01_Loans!B153="","",Agent01_Loans!C153)</f>
        <v/>
      </c>
      <c r="D143" s="38" t="str">
        <f>IF(Agent01_Loans!B153="","",Agent01_Loans!D153)</f>
        <v/>
      </c>
      <c r="E143" s="40" t="str">
        <f>IF(Agent01_Loans!B153="","",Agent01_Loans!E153)</f>
        <v/>
      </c>
      <c r="F143" s="37" t="str">
        <f>IF(Agent01_Loans!B153="","",Agent01_Loans!F153)</f>
        <v/>
      </c>
      <c r="G143" s="37" t="str">
        <f>IF(Agent01_Loans!B153="","",Agent01_Loans!G153)</f>
        <v/>
      </c>
      <c r="H143" s="37" t="str">
        <f>IF(Agent01_Loans!B153="","",Agent01_Loans!H153)</f>
        <v/>
      </c>
      <c r="I143" s="40" t="str">
        <f>IF(Agent01_Loans!B153="","",Agent01_Loans!I153)</f>
        <v/>
      </c>
      <c r="J143" s="40" t="str">
        <f>IF(Agent01_Loans!B153="","",Agent01_Loans!J153)</f>
        <v/>
      </c>
      <c r="K143" s="37" t="str">
        <f>IF(Agent01_Loans!B153="","",Agent01_Loans!K153)</f>
        <v/>
      </c>
      <c r="L143" s="37" t="str">
        <f>IF(Agent01_Loans!B153="","",Agent01_Loans!L153)</f>
        <v/>
      </c>
      <c r="M143" s="37" t="str">
        <f>IFERROR(IF(Agent01_Loans!B153="","",YEAR(Agent01_Loans!D153)),"")</f>
        <v/>
      </c>
    </row>
    <row r="144" spans="1:13" ht="18" customHeight="1" x14ac:dyDescent="0.25">
      <c r="A144" s="37" t="str">
        <f>IF(Agent01_Loans!B154="","",Agent01_Loans!A154)</f>
        <v/>
      </c>
      <c r="B144" s="37" t="str">
        <f>IF(Agent01_Loans!B154="","",Agent01_Loans!B154)</f>
        <v/>
      </c>
      <c r="C144" s="37" t="str">
        <f>IF(Agent01_Loans!B154="","",Agent01_Loans!C154)</f>
        <v/>
      </c>
      <c r="D144" s="38" t="str">
        <f>IF(Agent01_Loans!B154="","",Agent01_Loans!D154)</f>
        <v/>
      </c>
      <c r="E144" s="40" t="str">
        <f>IF(Agent01_Loans!B154="","",Agent01_Loans!E154)</f>
        <v/>
      </c>
      <c r="F144" s="37" t="str">
        <f>IF(Agent01_Loans!B154="","",Agent01_Loans!F154)</f>
        <v/>
      </c>
      <c r="G144" s="37" t="str">
        <f>IF(Agent01_Loans!B154="","",Agent01_Loans!G154)</f>
        <v/>
      </c>
      <c r="H144" s="37" t="str">
        <f>IF(Agent01_Loans!B154="","",Agent01_Loans!H154)</f>
        <v/>
      </c>
      <c r="I144" s="40" t="str">
        <f>IF(Agent01_Loans!B154="","",Agent01_Loans!I154)</f>
        <v/>
      </c>
      <c r="J144" s="40" t="str">
        <f>IF(Agent01_Loans!B154="","",Agent01_Loans!J154)</f>
        <v/>
      </c>
      <c r="K144" s="37" t="str">
        <f>IF(Agent01_Loans!B154="","",Agent01_Loans!K154)</f>
        <v/>
      </c>
      <c r="L144" s="37" t="str">
        <f>IF(Agent01_Loans!B154="","",Agent01_Loans!L154)</f>
        <v/>
      </c>
      <c r="M144" s="37" t="str">
        <f>IFERROR(IF(Agent01_Loans!B154="","",YEAR(Agent01_Loans!D154)),"")</f>
        <v/>
      </c>
    </row>
    <row r="145" spans="1:13" ht="18" customHeight="1" x14ac:dyDescent="0.25">
      <c r="A145" s="37" t="str">
        <f>IF(Agent01_Loans!B155="","",Agent01_Loans!A155)</f>
        <v/>
      </c>
      <c r="B145" s="37" t="str">
        <f>IF(Agent01_Loans!B155="","",Agent01_Loans!B155)</f>
        <v/>
      </c>
      <c r="C145" s="37" t="str">
        <f>IF(Agent01_Loans!B155="","",Agent01_Loans!C155)</f>
        <v/>
      </c>
      <c r="D145" s="38" t="str">
        <f>IF(Agent01_Loans!B155="","",Agent01_Loans!D155)</f>
        <v/>
      </c>
      <c r="E145" s="40" t="str">
        <f>IF(Agent01_Loans!B155="","",Agent01_Loans!E155)</f>
        <v/>
      </c>
      <c r="F145" s="37" t="str">
        <f>IF(Agent01_Loans!B155="","",Agent01_Loans!F155)</f>
        <v/>
      </c>
      <c r="G145" s="37" t="str">
        <f>IF(Agent01_Loans!B155="","",Agent01_Loans!G155)</f>
        <v/>
      </c>
      <c r="H145" s="37" t="str">
        <f>IF(Agent01_Loans!B155="","",Agent01_Loans!H155)</f>
        <v/>
      </c>
      <c r="I145" s="40" t="str">
        <f>IF(Agent01_Loans!B155="","",Agent01_Loans!I155)</f>
        <v/>
      </c>
      <c r="J145" s="40" t="str">
        <f>IF(Agent01_Loans!B155="","",Agent01_Loans!J155)</f>
        <v/>
      </c>
      <c r="K145" s="37" t="str">
        <f>IF(Agent01_Loans!B155="","",Agent01_Loans!K155)</f>
        <v/>
      </c>
      <c r="L145" s="37" t="str">
        <f>IF(Agent01_Loans!B155="","",Agent01_Loans!L155)</f>
        <v/>
      </c>
      <c r="M145" s="37" t="str">
        <f>IFERROR(IF(Agent01_Loans!B155="","",YEAR(Agent01_Loans!D155)),"")</f>
        <v/>
      </c>
    </row>
    <row r="146" spans="1:13" ht="18" customHeight="1" x14ac:dyDescent="0.25">
      <c r="A146" s="37" t="str">
        <f>IF(Agent01_Loans!B156="","",Agent01_Loans!A156)</f>
        <v/>
      </c>
      <c r="B146" s="37" t="str">
        <f>IF(Agent01_Loans!B156="","",Agent01_Loans!B156)</f>
        <v/>
      </c>
      <c r="C146" s="37" t="str">
        <f>IF(Agent01_Loans!B156="","",Agent01_Loans!C156)</f>
        <v/>
      </c>
      <c r="D146" s="38" t="str">
        <f>IF(Agent01_Loans!B156="","",Agent01_Loans!D156)</f>
        <v/>
      </c>
      <c r="E146" s="40" t="str">
        <f>IF(Agent01_Loans!B156="","",Agent01_Loans!E156)</f>
        <v/>
      </c>
      <c r="F146" s="37" t="str">
        <f>IF(Agent01_Loans!B156="","",Agent01_Loans!F156)</f>
        <v/>
      </c>
      <c r="G146" s="37" t="str">
        <f>IF(Agent01_Loans!B156="","",Agent01_Loans!G156)</f>
        <v/>
      </c>
      <c r="H146" s="37" t="str">
        <f>IF(Agent01_Loans!B156="","",Agent01_Loans!H156)</f>
        <v/>
      </c>
      <c r="I146" s="40" t="str">
        <f>IF(Agent01_Loans!B156="","",Agent01_Loans!I156)</f>
        <v/>
      </c>
      <c r="J146" s="40" t="str">
        <f>IF(Agent01_Loans!B156="","",Agent01_Loans!J156)</f>
        <v/>
      </c>
      <c r="K146" s="37" t="str">
        <f>IF(Agent01_Loans!B156="","",Agent01_Loans!K156)</f>
        <v/>
      </c>
      <c r="L146" s="37" t="str">
        <f>IF(Agent01_Loans!B156="","",Agent01_Loans!L156)</f>
        <v/>
      </c>
      <c r="M146" s="37" t="str">
        <f>IFERROR(IF(Agent01_Loans!B156="","",YEAR(Agent01_Loans!D156)),"")</f>
        <v/>
      </c>
    </row>
    <row r="147" spans="1:13" ht="18" customHeight="1" x14ac:dyDescent="0.25">
      <c r="A147" s="37" t="str">
        <f>IF(Agent01_Loans!B157="","",Agent01_Loans!A157)</f>
        <v/>
      </c>
      <c r="B147" s="37" t="str">
        <f>IF(Agent01_Loans!B157="","",Agent01_Loans!B157)</f>
        <v/>
      </c>
      <c r="C147" s="37" t="str">
        <f>IF(Agent01_Loans!B157="","",Agent01_Loans!C157)</f>
        <v/>
      </c>
      <c r="D147" s="38" t="str">
        <f>IF(Agent01_Loans!B157="","",Agent01_Loans!D157)</f>
        <v/>
      </c>
      <c r="E147" s="40" t="str">
        <f>IF(Agent01_Loans!B157="","",Agent01_Loans!E157)</f>
        <v/>
      </c>
      <c r="F147" s="37" t="str">
        <f>IF(Agent01_Loans!B157="","",Agent01_Loans!F157)</f>
        <v/>
      </c>
      <c r="G147" s="37" t="str">
        <f>IF(Agent01_Loans!B157="","",Agent01_Loans!G157)</f>
        <v/>
      </c>
      <c r="H147" s="37" t="str">
        <f>IF(Agent01_Loans!B157="","",Agent01_Loans!H157)</f>
        <v/>
      </c>
      <c r="I147" s="40" t="str">
        <f>IF(Agent01_Loans!B157="","",Agent01_Loans!I157)</f>
        <v/>
      </c>
      <c r="J147" s="40" t="str">
        <f>IF(Agent01_Loans!B157="","",Agent01_Loans!J157)</f>
        <v/>
      </c>
      <c r="K147" s="37" t="str">
        <f>IF(Agent01_Loans!B157="","",Agent01_Loans!K157)</f>
        <v/>
      </c>
      <c r="L147" s="37" t="str">
        <f>IF(Agent01_Loans!B157="","",Agent01_Loans!L157)</f>
        <v/>
      </c>
      <c r="M147" s="37" t="str">
        <f>IFERROR(IF(Agent01_Loans!B157="","",YEAR(Agent01_Loans!D157)),"")</f>
        <v/>
      </c>
    </row>
    <row r="148" spans="1:13" ht="18" customHeight="1" x14ac:dyDescent="0.25">
      <c r="A148" s="37" t="str">
        <f>IF(Agent01_Loans!B158="","",Agent01_Loans!A158)</f>
        <v/>
      </c>
      <c r="B148" s="37" t="str">
        <f>IF(Agent01_Loans!B158="","",Agent01_Loans!B158)</f>
        <v/>
      </c>
      <c r="C148" s="37" t="str">
        <f>IF(Agent01_Loans!B158="","",Agent01_Loans!C158)</f>
        <v/>
      </c>
      <c r="D148" s="38" t="str">
        <f>IF(Agent01_Loans!B158="","",Agent01_Loans!D158)</f>
        <v/>
      </c>
      <c r="E148" s="40" t="str">
        <f>IF(Agent01_Loans!B158="","",Agent01_Loans!E158)</f>
        <v/>
      </c>
      <c r="F148" s="37" t="str">
        <f>IF(Agent01_Loans!B158="","",Agent01_Loans!F158)</f>
        <v/>
      </c>
      <c r="G148" s="37" t="str">
        <f>IF(Agent01_Loans!B158="","",Agent01_Loans!G158)</f>
        <v/>
      </c>
      <c r="H148" s="37" t="str">
        <f>IF(Agent01_Loans!B158="","",Agent01_Loans!H158)</f>
        <v/>
      </c>
      <c r="I148" s="40" t="str">
        <f>IF(Agent01_Loans!B158="","",Agent01_Loans!I158)</f>
        <v/>
      </c>
      <c r="J148" s="40" t="str">
        <f>IF(Agent01_Loans!B158="","",Agent01_Loans!J158)</f>
        <v/>
      </c>
      <c r="K148" s="37" t="str">
        <f>IF(Agent01_Loans!B158="","",Agent01_Loans!K158)</f>
        <v/>
      </c>
      <c r="L148" s="37" t="str">
        <f>IF(Agent01_Loans!B158="","",Agent01_Loans!L158)</f>
        <v/>
      </c>
      <c r="M148" s="37" t="str">
        <f>IFERROR(IF(Agent01_Loans!B158="","",YEAR(Agent01_Loans!D158)),"")</f>
        <v/>
      </c>
    </row>
    <row r="149" spans="1:13" ht="18" customHeight="1" x14ac:dyDescent="0.25">
      <c r="A149" s="37" t="str">
        <f>IF(Agent01_Loans!B159="","",Agent01_Loans!A159)</f>
        <v/>
      </c>
      <c r="B149" s="37" t="str">
        <f>IF(Agent01_Loans!B159="","",Agent01_Loans!B159)</f>
        <v/>
      </c>
      <c r="C149" s="37" t="str">
        <f>IF(Agent01_Loans!B159="","",Agent01_Loans!C159)</f>
        <v/>
      </c>
      <c r="D149" s="38" t="str">
        <f>IF(Agent01_Loans!B159="","",Agent01_Loans!D159)</f>
        <v/>
      </c>
      <c r="E149" s="40" t="str">
        <f>IF(Agent01_Loans!B159="","",Agent01_Loans!E159)</f>
        <v/>
      </c>
      <c r="F149" s="37" t="str">
        <f>IF(Agent01_Loans!B159="","",Agent01_Loans!F159)</f>
        <v/>
      </c>
      <c r="G149" s="37" t="str">
        <f>IF(Agent01_Loans!B159="","",Agent01_Loans!G159)</f>
        <v/>
      </c>
      <c r="H149" s="37" t="str">
        <f>IF(Agent01_Loans!B159="","",Agent01_Loans!H159)</f>
        <v/>
      </c>
      <c r="I149" s="40" t="str">
        <f>IF(Agent01_Loans!B159="","",Agent01_Loans!I159)</f>
        <v/>
      </c>
      <c r="J149" s="40" t="str">
        <f>IF(Agent01_Loans!B159="","",Agent01_Loans!J159)</f>
        <v/>
      </c>
      <c r="K149" s="37" t="str">
        <f>IF(Agent01_Loans!B159="","",Agent01_Loans!K159)</f>
        <v/>
      </c>
      <c r="L149" s="37" t="str">
        <f>IF(Agent01_Loans!B159="","",Agent01_Loans!L159)</f>
        <v/>
      </c>
      <c r="M149" s="37" t="str">
        <f>IFERROR(IF(Agent01_Loans!B159="","",YEAR(Agent01_Loans!D159)),"")</f>
        <v/>
      </c>
    </row>
    <row r="150" spans="1:13" ht="18" customHeight="1" x14ac:dyDescent="0.25">
      <c r="A150" s="37" t="str">
        <f>IF(Agent01_Loans!B160="","",Agent01_Loans!A160)</f>
        <v/>
      </c>
      <c r="B150" s="37" t="str">
        <f>IF(Agent01_Loans!B160="","",Agent01_Loans!B160)</f>
        <v/>
      </c>
      <c r="C150" s="37" t="str">
        <f>IF(Agent01_Loans!B160="","",Agent01_Loans!C160)</f>
        <v/>
      </c>
      <c r="D150" s="38" t="str">
        <f>IF(Agent01_Loans!B160="","",Agent01_Loans!D160)</f>
        <v/>
      </c>
      <c r="E150" s="40" t="str">
        <f>IF(Agent01_Loans!B160="","",Agent01_Loans!E160)</f>
        <v/>
      </c>
      <c r="F150" s="37" t="str">
        <f>IF(Agent01_Loans!B160="","",Agent01_Loans!F160)</f>
        <v/>
      </c>
      <c r="G150" s="37" t="str">
        <f>IF(Agent01_Loans!B160="","",Agent01_Loans!G160)</f>
        <v/>
      </c>
      <c r="H150" s="37" t="str">
        <f>IF(Agent01_Loans!B160="","",Agent01_Loans!H160)</f>
        <v/>
      </c>
      <c r="I150" s="40" t="str">
        <f>IF(Agent01_Loans!B160="","",Agent01_Loans!I160)</f>
        <v/>
      </c>
      <c r="J150" s="40" t="str">
        <f>IF(Agent01_Loans!B160="","",Agent01_Loans!J160)</f>
        <v/>
      </c>
      <c r="K150" s="37" t="str">
        <f>IF(Agent01_Loans!B160="","",Agent01_Loans!K160)</f>
        <v/>
      </c>
      <c r="L150" s="37" t="str">
        <f>IF(Agent01_Loans!B160="","",Agent01_Loans!L160)</f>
        <v/>
      </c>
      <c r="M150" s="37" t="str">
        <f>IFERROR(IF(Agent01_Loans!B160="","",YEAR(Agent01_Loans!D160)),"")</f>
        <v/>
      </c>
    </row>
    <row r="151" spans="1:13" ht="18" customHeight="1" x14ac:dyDescent="0.25">
      <c r="A151" s="37" t="str">
        <f>IF(Agent01_Loans!B161="","",Agent01_Loans!A161)</f>
        <v/>
      </c>
      <c r="B151" s="37" t="str">
        <f>IF(Agent01_Loans!B161="","",Agent01_Loans!B161)</f>
        <v/>
      </c>
      <c r="C151" s="37" t="str">
        <f>IF(Agent01_Loans!B161="","",Agent01_Loans!C161)</f>
        <v/>
      </c>
      <c r="D151" s="38" t="str">
        <f>IF(Agent01_Loans!B161="","",Agent01_Loans!D161)</f>
        <v/>
      </c>
      <c r="E151" s="40" t="str">
        <f>IF(Agent01_Loans!B161="","",Agent01_Loans!E161)</f>
        <v/>
      </c>
      <c r="F151" s="37" t="str">
        <f>IF(Agent01_Loans!B161="","",Agent01_Loans!F161)</f>
        <v/>
      </c>
      <c r="G151" s="37" t="str">
        <f>IF(Agent01_Loans!B161="","",Agent01_Loans!G161)</f>
        <v/>
      </c>
      <c r="H151" s="37" t="str">
        <f>IF(Agent01_Loans!B161="","",Agent01_Loans!H161)</f>
        <v/>
      </c>
      <c r="I151" s="40" t="str">
        <f>IF(Agent01_Loans!B161="","",Agent01_Loans!I161)</f>
        <v/>
      </c>
      <c r="J151" s="40" t="str">
        <f>IF(Agent01_Loans!B161="","",Agent01_Loans!J161)</f>
        <v/>
      </c>
      <c r="K151" s="37" t="str">
        <f>IF(Agent01_Loans!B161="","",Agent01_Loans!K161)</f>
        <v/>
      </c>
      <c r="L151" s="37" t="str">
        <f>IF(Agent01_Loans!B161="","",Agent01_Loans!L161)</f>
        <v/>
      </c>
      <c r="M151" s="37" t="str">
        <f>IFERROR(IF(Agent01_Loans!B161="","",YEAR(Agent01_Loans!D161)),"")</f>
        <v/>
      </c>
    </row>
    <row r="152" spans="1:13" ht="18" customHeight="1" x14ac:dyDescent="0.25">
      <c r="A152" s="37" t="str">
        <f>IF(Agent01_Loans!B162="","",Agent01_Loans!A162)</f>
        <v/>
      </c>
      <c r="B152" s="37" t="str">
        <f>IF(Agent01_Loans!B162="","",Agent01_Loans!B162)</f>
        <v/>
      </c>
      <c r="C152" s="37" t="str">
        <f>IF(Agent01_Loans!B162="","",Agent01_Loans!C162)</f>
        <v/>
      </c>
      <c r="D152" s="38" t="str">
        <f>IF(Agent01_Loans!B162="","",Agent01_Loans!D162)</f>
        <v/>
      </c>
      <c r="E152" s="40" t="str">
        <f>IF(Agent01_Loans!B162="","",Agent01_Loans!E162)</f>
        <v/>
      </c>
      <c r="F152" s="37" t="str">
        <f>IF(Agent01_Loans!B162="","",Agent01_Loans!F162)</f>
        <v/>
      </c>
      <c r="G152" s="37" t="str">
        <f>IF(Agent01_Loans!B162="","",Agent01_Loans!G162)</f>
        <v/>
      </c>
      <c r="H152" s="37" t="str">
        <f>IF(Agent01_Loans!B162="","",Agent01_Loans!H162)</f>
        <v/>
      </c>
      <c r="I152" s="40" t="str">
        <f>IF(Agent01_Loans!B162="","",Agent01_Loans!I162)</f>
        <v/>
      </c>
      <c r="J152" s="40" t="str">
        <f>IF(Agent01_Loans!B162="","",Agent01_Loans!J162)</f>
        <v/>
      </c>
      <c r="K152" s="37" t="str">
        <f>IF(Agent01_Loans!B162="","",Agent01_Loans!K162)</f>
        <v/>
      </c>
      <c r="L152" s="37" t="str">
        <f>IF(Agent01_Loans!B162="","",Agent01_Loans!L162)</f>
        <v/>
      </c>
      <c r="M152" s="37" t="str">
        <f>IFERROR(IF(Agent01_Loans!B162="","",YEAR(Agent01_Loans!D162)),"")</f>
        <v/>
      </c>
    </row>
    <row r="153" spans="1:13" ht="18" customHeight="1" x14ac:dyDescent="0.25">
      <c r="A153" s="37" t="str">
        <f>IF(Agent01_Loans!B163="","",Agent01_Loans!A163)</f>
        <v/>
      </c>
      <c r="B153" s="37" t="str">
        <f>IF(Agent01_Loans!B163="","",Agent01_Loans!B163)</f>
        <v/>
      </c>
      <c r="C153" s="37" t="str">
        <f>IF(Agent01_Loans!B163="","",Agent01_Loans!C163)</f>
        <v/>
      </c>
      <c r="D153" s="38" t="str">
        <f>IF(Agent01_Loans!B163="","",Agent01_Loans!D163)</f>
        <v/>
      </c>
      <c r="E153" s="40" t="str">
        <f>IF(Agent01_Loans!B163="","",Agent01_Loans!E163)</f>
        <v/>
      </c>
      <c r="F153" s="37" t="str">
        <f>IF(Agent01_Loans!B163="","",Agent01_Loans!F163)</f>
        <v/>
      </c>
      <c r="G153" s="37" t="str">
        <f>IF(Agent01_Loans!B163="","",Agent01_Loans!G163)</f>
        <v/>
      </c>
      <c r="H153" s="37" t="str">
        <f>IF(Agent01_Loans!B163="","",Agent01_Loans!H163)</f>
        <v/>
      </c>
      <c r="I153" s="40" t="str">
        <f>IF(Agent01_Loans!B163="","",Agent01_Loans!I163)</f>
        <v/>
      </c>
      <c r="J153" s="40" t="str">
        <f>IF(Agent01_Loans!B163="","",Agent01_Loans!J163)</f>
        <v/>
      </c>
      <c r="K153" s="37" t="str">
        <f>IF(Agent01_Loans!B163="","",Agent01_Loans!K163)</f>
        <v/>
      </c>
      <c r="L153" s="37" t="str">
        <f>IF(Agent01_Loans!B163="","",Agent01_Loans!L163)</f>
        <v/>
      </c>
      <c r="M153" s="37" t="str">
        <f>IFERROR(IF(Agent01_Loans!B163="","",YEAR(Agent01_Loans!D163)),"")</f>
        <v/>
      </c>
    </row>
    <row r="154" spans="1:13" ht="18" customHeight="1" x14ac:dyDescent="0.25">
      <c r="A154" s="37" t="str">
        <f>IF(Agent01_Loans!B164="","",Agent01_Loans!A164)</f>
        <v/>
      </c>
      <c r="B154" s="37" t="str">
        <f>IF(Agent01_Loans!B164="","",Agent01_Loans!B164)</f>
        <v/>
      </c>
      <c r="C154" s="37" t="str">
        <f>IF(Agent01_Loans!B164="","",Agent01_Loans!C164)</f>
        <v/>
      </c>
      <c r="D154" s="38" t="str">
        <f>IF(Agent01_Loans!B164="","",Agent01_Loans!D164)</f>
        <v/>
      </c>
      <c r="E154" s="40" t="str">
        <f>IF(Agent01_Loans!B164="","",Agent01_Loans!E164)</f>
        <v/>
      </c>
      <c r="F154" s="37" t="str">
        <f>IF(Agent01_Loans!B164="","",Agent01_Loans!F164)</f>
        <v/>
      </c>
      <c r="G154" s="37" t="str">
        <f>IF(Agent01_Loans!B164="","",Agent01_Loans!G164)</f>
        <v/>
      </c>
      <c r="H154" s="37" t="str">
        <f>IF(Agent01_Loans!B164="","",Agent01_Loans!H164)</f>
        <v/>
      </c>
      <c r="I154" s="40" t="str">
        <f>IF(Agent01_Loans!B164="","",Agent01_Loans!I164)</f>
        <v/>
      </c>
      <c r="J154" s="40" t="str">
        <f>IF(Agent01_Loans!B164="","",Agent01_Loans!J164)</f>
        <v/>
      </c>
      <c r="K154" s="37" t="str">
        <f>IF(Agent01_Loans!B164="","",Agent01_Loans!K164)</f>
        <v/>
      </c>
      <c r="L154" s="37" t="str">
        <f>IF(Agent01_Loans!B164="","",Agent01_Loans!L164)</f>
        <v/>
      </c>
      <c r="M154" s="37" t="str">
        <f>IFERROR(IF(Agent01_Loans!B164="","",YEAR(Agent01_Loans!D164)),"")</f>
        <v/>
      </c>
    </row>
    <row r="155" spans="1:13" ht="18" customHeight="1" x14ac:dyDescent="0.25">
      <c r="A155" s="37" t="str">
        <f>IF(Agent01_Loans!B165="","",Agent01_Loans!A165)</f>
        <v/>
      </c>
      <c r="B155" s="37" t="str">
        <f>IF(Agent01_Loans!B165="","",Agent01_Loans!B165)</f>
        <v/>
      </c>
      <c r="C155" s="37" t="str">
        <f>IF(Agent01_Loans!B165="","",Agent01_Loans!C165)</f>
        <v/>
      </c>
      <c r="D155" s="38" t="str">
        <f>IF(Agent01_Loans!B165="","",Agent01_Loans!D165)</f>
        <v/>
      </c>
      <c r="E155" s="40" t="str">
        <f>IF(Agent01_Loans!B165="","",Agent01_Loans!E165)</f>
        <v/>
      </c>
      <c r="F155" s="37" t="str">
        <f>IF(Agent01_Loans!B165="","",Agent01_Loans!F165)</f>
        <v/>
      </c>
      <c r="G155" s="37" t="str">
        <f>IF(Agent01_Loans!B165="","",Agent01_Loans!G165)</f>
        <v/>
      </c>
      <c r="H155" s="37" t="str">
        <f>IF(Agent01_Loans!B165="","",Agent01_Loans!H165)</f>
        <v/>
      </c>
      <c r="I155" s="40" t="str">
        <f>IF(Agent01_Loans!B165="","",Agent01_Loans!I165)</f>
        <v/>
      </c>
      <c r="J155" s="40" t="str">
        <f>IF(Agent01_Loans!B165="","",Agent01_Loans!J165)</f>
        <v/>
      </c>
      <c r="K155" s="37" t="str">
        <f>IF(Agent01_Loans!B165="","",Agent01_Loans!K165)</f>
        <v/>
      </c>
      <c r="L155" s="37" t="str">
        <f>IF(Agent01_Loans!B165="","",Agent01_Loans!L165)</f>
        <v/>
      </c>
      <c r="M155" s="37" t="str">
        <f>IFERROR(IF(Agent01_Loans!B165="","",YEAR(Agent01_Loans!D165)),"")</f>
        <v/>
      </c>
    </row>
    <row r="156" spans="1:13" ht="18" customHeight="1" x14ac:dyDescent="0.25">
      <c r="A156" s="37" t="str">
        <f>IF(Agent01_Loans!B166="","",Agent01_Loans!A166)</f>
        <v/>
      </c>
      <c r="B156" s="37" t="str">
        <f>IF(Agent01_Loans!B166="","",Agent01_Loans!B166)</f>
        <v/>
      </c>
      <c r="C156" s="37" t="str">
        <f>IF(Agent01_Loans!B166="","",Agent01_Loans!C166)</f>
        <v/>
      </c>
      <c r="D156" s="38" t="str">
        <f>IF(Agent01_Loans!B166="","",Agent01_Loans!D166)</f>
        <v/>
      </c>
      <c r="E156" s="40" t="str">
        <f>IF(Agent01_Loans!B166="","",Agent01_Loans!E166)</f>
        <v/>
      </c>
      <c r="F156" s="37" t="str">
        <f>IF(Agent01_Loans!B166="","",Agent01_Loans!F166)</f>
        <v/>
      </c>
      <c r="G156" s="37" t="str">
        <f>IF(Agent01_Loans!B166="","",Agent01_Loans!G166)</f>
        <v/>
      </c>
      <c r="H156" s="37" t="str">
        <f>IF(Agent01_Loans!B166="","",Agent01_Loans!H166)</f>
        <v/>
      </c>
      <c r="I156" s="40" t="str">
        <f>IF(Agent01_Loans!B166="","",Agent01_Loans!I166)</f>
        <v/>
      </c>
      <c r="J156" s="40" t="str">
        <f>IF(Agent01_Loans!B166="","",Agent01_Loans!J166)</f>
        <v/>
      </c>
      <c r="K156" s="37" t="str">
        <f>IF(Agent01_Loans!B166="","",Agent01_Loans!K166)</f>
        <v/>
      </c>
      <c r="L156" s="37" t="str">
        <f>IF(Agent01_Loans!B166="","",Agent01_Loans!L166)</f>
        <v/>
      </c>
      <c r="M156" s="37" t="str">
        <f>IFERROR(IF(Agent01_Loans!B166="","",YEAR(Agent01_Loans!D166)),"")</f>
        <v/>
      </c>
    </row>
    <row r="157" spans="1:13" ht="18" customHeight="1" x14ac:dyDescent="0.25">
      <c r="A157" s="37" t="str">
        <f>IF(Agent01_Loans!B167="","",Agent01_Loans!A167)</f>
        <v/>
      </c>
      <c r="B157" s="37" t="str">
        <f>IF(Agent01_Loans!B167="","",Agent01_Loans!B167)</f>
        <v/>
      </c>
      <c r="C157" s="37" t="str">
        <f>IF(Agent01_Loans!B167="","",Agent01_Loans!C167)</f>
        <v/>
      </c>
      <c r="D157" s="38" t="str">
        <f>IF(Agent01_Loans!B167="","",Agent01_Loans!D167)</f>
        <v/>
      </c>
      <c r="E157" s="40" t="str">
        <f>IF(Agent01_Loans!B167="","",Agent01_Loans!E167)</f>
        <v/>
      </c>
      <c r="F157" s="37" t="str">
        <f>IF(Agent01_Loans!B167="","",Agent01_Loans!F167)</f>
        <v/>
      </c>
      <c r="G157" s="37" t="str">
        <f>IF(Agent01_Loans!B167="","",Agent01_Loans!G167)</f>
        <v/>
      </c>
      <c r="H157" s="37" t="str">
        <f>IF(Agent01_Loans!B167="","",Agent01_Loans!H167)</f>
        <v/>
      </c>
      <c r="I157" s="40" t="str">
        <f>IF(Agent01_Loans!B167="","",Agent01_Loans!I167)</f>
        <v/>
      </c>
      <c r="J157" s="40" t="str">
        <f>IF(Agent01_Loans!B167="","",Agent01_Loans!J167)</f>
        <v/>
      </c>
      <c r="K157" s="37" t="str">
        <f>IF(Agent01_Loans!B167="","",Agent01_Loans!K167)</f>
        <v/>
      </c>
      <c r="L157" s="37" t="str">
        <f>IF(Agent01_Loans!B167="","",Agent01_Loans!L167)</f>
        <v/>
      </c>
      <c r="M157" s="37" t="str">
        <f>IFERROR(IF(Agent01_Loans!B167="","",YEAR(Agent01_Loans!D167)),"")</f>
        <v/>
      </c>
    </row>
    <row r="158" spans="1:13" ht="18" customHeight="1" x14ac:dyDescent="0.25">
      <c r="A158" s="37" t="str">
        <f>IF(Agent01_Loans!B168="","",Agent01_Loans!A168)</f>
        <v/>
      </c>
      <c r="B158" s="37" t="str">
        <f>IF(Agent01_Loans!B168="","",Agent01_Loans!B168)</f>
        <v/>
      </c>
      <c r="C158" s="37" t="str">
        <f>IF(Agent01_Loans!B168="","",Agent01_Loans!C168)</f>
        <v/>
      </c>
      <c r="D158" s="38" t="str">
        <f>IF(Agent01_Loans!B168="","",Agent01_Loans!D168)</f>
        <v/>
      </c>
      <c r="E158" s="40" t="str">
        <f>IF(Agent01_Loans!B168="","",Agent01_Loans!E168)</f>
        <v/>
      </c>
      <c r="F158" s="37" t="str">
        <f>IF(Agent01_Loans!B168="","",Agent01_Loans!F168)</f>
        <v/>
      </c>
      <c r="G158" s="37" t="str">
        <f>IF(Agent01_Loans!B168="","",Agent01_Loans!G168)</f>
        <v/>
      </c>
      <c r="H158" s="37" t="str">
        <f>IF(Agent01_Loans!B168="","",Agent01_Loans!H168)</f>
        <v/>
      </c>
      <c r="I158" s="40" t="str">
        <f>IF(Agent01_Loans!B168="","",Agent01_Loans!I168)</f>
        <v/>
      </c>
      <c r="J158" s="40" t="str">
        <f>IF(Agent01_Loans!B168="","",Agent01_Loans!J168)</f>
        <v/>
      </c>
      <c r="K158" s="37" t="str">
        <f>IF(Agent01_Loans!B168="","",Agent01_Loans!K168)</f>
        <v/>
      </c>
      <c r="L158" s="37" t="str">
        <f>IF(Agent01_Loans!B168="","",Agent01_Loans!L168)</f>
        <v/>
      </c>
      <c r="M158" s="37" t="str">
        <f>IFERROR(IF(Agent01_Loans!B168="","",YEAR(Agent01_Loans!D168)),"")</f>
        <v/>
      </c>
    </row>
    <row r="159" spans="1:13" ht="18" customHeight="1" x14ac:dyDescent="0.25">
      <c r="A159" s="37" t="str">
        <f>IF(Agent01_Loans!B169="","",Agent01_Loans!A169)</f>
        <v/>
      </c>
      <c r="B159" s="37" t="str">
        <f>IF(Agent01_Loans!B169="","",Agent01_Loans!B169)</f>
        <v/>
      </c>
      <c r="C159" s="37" t="str">
        <f>IF(Agent01_Loans!B169="","",Agent01_Loans!C169)</f>
        <v/>
      </c>
      <c r="D159" s="38" t="str">
        <f>IF(Agent01_Loans!B169="","",Agent01_Loans!D169)</f>
        <v/>
      </c>
      <c r="E159" s="40" t="str">
        <f>IF(Agent01_Loans!B169="","",Agent01_Loans!E169)</f>
        <v/>
      </c>
      <c r="F159" s="37" t="str">
        <f>IF(Agent01_Loans!B169="","",Agent01_Loans!F169)</f>
        <v/>
      </c>
      <c r="G159" s="37" t="str">
        <f>IF(Agent01_Loans!B169="","",Agent01_Loans!G169)</f>
        <v/>
      </c>
      <c r="H159" s="37" t="str">
        <f>IF(Agent01_Loans!B169="","",Agent01_Loans!H169)</f>
        <v/>
      </c>
      <c r="I159" s="40" t="str">
        <f>IF(Agent01_Loans!B169="","",Agent01_Loans!I169)</f>
        <v/>
      </c>
      <c r="J159" s="40" t="str">
        <f>IF(Agent01_Loans!B169="","",Agent01_Loans!J169)</f>
        <v/>
      </c>
      <c r="K159" s="37" t="str">
        <f>IF(Agent01_Loans!B169="","",Agent01_Loans!K169)</f>
        <v/>
      </c>
      <c r="L159" s="37" t="str">
        <f>IF(Agent01_Loans!B169="","",Agent01_Loans!L169)</f>
        <v/>
      </c>
      <c r="M159" s="37" t="str">
        <f>IFERROR(IF(Agent01_Loans!B169="","",YEAR(Agent01_Loans!D169)),"")</f>
        <v/>
      </c>
    </row>
    <row r="160" spans="1:13" ht="18" customHeight="1" x14ac:dyDescent="0.25">
      <c r="A160" s="37" t="str">
        <f>IF(Agent01_Loans!B170="","",Agent01_Loans!A170)</f>
        <v/>
      </c>
      <c r="B160" s="37" t="str">
        <f>IF(Agent01_Loans!B170="","",Agent01_Loans!B170)</f>
        <v/>
      </c>
      <c r="C160" s="37" t="str">
        <f>IF(Agent01_Loans!B170="","",Agent01_Loans!C170)</f>
        <v/>
      </c>
      <c r="D160" s="38" t="str">
        <f>IF(Agent01_Loans!B170="","",Agent01_Loans!D170)</f>
        <v/>
      </c>
      <c r="E160" s="40" t="str">
        <f>IF(Agent01_Loans!B170="","",Agent01_Loans!E170)</f>
        <v/>
      </c>
      <c r="F160" s="37" t="str">
        <f>IF(Agent01_Loans!B170="","",Agent01_Loans!F170)</f>
        <v/>
      </c>
      <c r="G160" s="37" t="str">
        <f>IF(Agent01_Loans!B170="","",Agent01_Loans!G170)</f>
        <v/>
      </c>
      <c r="H160" s="37" t="str">
        <f>IF(Agent01_Loans!B170="","",Agent01_Loans!H170)</f>
        <v/>
      </c>
      <c r="I160" s="40" t="str">
        <f>IF(Agent01_Loans!B170="","",Agent01_Loans!I170)</f>
        <v/>
      </c>
      <c r="J160" s="40" t="str">
        <f>IF(Agent01_Loans!B170="","",Agent01_Loans!J170)</f>
        <v/>
      </c>
      <c r="K160" s="37" t="str">
        <f>IF(Agent01_Loans!B170="","",Agent01_Loans!K170)</f>
        <v/>
      </c>
      <c r="L160" s="37" t="str">
        <f>IF(Agent01_Loans!B170="","",Agent01_Loans!L170)</f>
        <v/>
      </c>
      <c r="M160" s="37" t="str">
        <f>IFERROR(IF(Agent01_Loans!B170="","",YEAR(Agent01_Loans!D170)),"")</f>
        <v/>
      </c>
    </row>
    <row r="161" spans="1:13" ht="18" customHeight="1" x14ac:dyDescent="0.25">
      <c r="A161" s="37" t="str">
        <f>IF(Agent01_Loans!B171="","",Agent01_Loans!A171)</f>
        <v/>
      </c>
      <c r="B161" s="37" t="str">
        <f>IF(Agent01_Loans!B171="","",Agent01_Loans!B171)</f>
        <v/>
      </c>
      <c r="C161" s="37" t="str">
        <f>IF(Agent01_Loans!B171="","",Agent01_Loans!C171)</f>
        <v/>
      </c>
      <c r="D161" s="38" t="str">
        <f>IF(Agent01_Loans!B171="","",Agent01_Loans!D171)</f>
        <v/>
      </c>
      <c r="E161" s="40" t="str">
        <f>IF(Agent01_Loans!B171="","",Agent01_Loans!E171)</f>
        <v/>
      </c>
      <c r="F161" s="37" t="str">
        <f>IF(Agent01_Loans!B171="","",Agent01_Loans!F171)</f>
        <v/>
      </c>
      <c r="G161" s="37" t="str">
        <f>IF(Agent01_Loans!B171="","",Agent01_Loans!G171)</f>
        <v/>
      </c>
      <c r="H161" s="37" t="str">
        <f>IF(Agent01_Loans!B171="","",Agent01_Loans!H171)</f>
        <v/>
      </c>
      <c r="I161" s="40" t="str">
        <f>IF(Agent01_Loans!B171="","",Agent01_Loans!I171)</f>
        <v/>
      </c>
      <c r="J161" s="40" t="str">
        <f>IF(Agent01_Loans!B171="","",Agent01_Loans!J171)</f>
        <v/>
      </c>
      <c r="K161" s="37" t="str">
        <f>IF(Agent01_Loans!B171="","",Agent01_Loans!K171)</f>
        <v/>
      </c>
      <c r="L161" s="37" t="str">
        <f>IF(Agent01_Loans!B171="","",Agent01_Loans!L171)</f>
        <v/>
      </c>
      <c r="M161" s="37" t="str">
        <f>IFERROR(IF(Agent01_Loans!B171="","",YEAR(Agent01_Loans!D171)),"")</f>
        <v/>
      </c>
    </row>
    <row r="162" spans="1:13" ht="18" customHeight="1" x14ac:dyDescent="0.25">
      <c r="A162" s="37" t="str">
        <f>IF(Agent01_Loans!B172="","",Agent01_Loans!A172)</f>
        <v/>
      </c>
      <c r="B162" s="37" t="str">
        <f>IF(Agent01_Loans!B172="","",Agent01_Loans!B172)</f>
        <v/>
      </c>
      <c r="C162" s="37" t="str">
        <f>IF(Agent01_Loans!B172="","",Agent01_Loans!C172)</f>
        <v/>
      </c>
      <c r="D162" s="38" t="str">
        <f>IF(Agent01_Loans!B172="","",Agent01_Loans!D172)</f>
        <v/>
      </c>
      <c r="E162" s="40" t="str">
        <f>IF(Agent01_Loans!B172="","",Agent01_Loans!E172)</f>
        <v/>
      </c>
      <c r="F162" s="37" t="str">
        <f>IF(Agent01_Loans!B172="","",Agent01_Loans!F172)</f>
        <v/>
      </c>
      <c r="G162" s="37" t="str">
        <f>IF(Agent01_Loans!B172="","",Agent01_Loans!G172)</f>
        <v/>
      </c>
      <c r="H162" s="37" t="str">
        <f>IF(Agent01_Loans!B172="","",Agent01_Loans!H172)</f>
        <v/>
      </c>
      <c r="I162" s="40" t="str">
        <f>IF(Agent01_Loans!B172="","",Agent01_Loans!I172)</f>
        <v/>
      </c>
      <c r="J162" s="40" t="str">
        <f>IF(Agent01_Loans!B172="","",Agent01_Loans!J172)</f>
        <v/>
      </c>
      <c r="K162" s="37" t="str">
        <f>IF(Agent01_Loans!B172="","",Agent01_Loans!K172)</f>
        <v/>
      </c>
      <c r="L162" s="37" t="str">
        <f>IF(Agent01_Loans!B172="","",Agent01_Loans!L172)</f>
        <v/>
      </c>
      <c r="M162" s="37" t="str">
        <f>IFERROR(IF(Agent01_Loans!B172="","",YEAR(Agent01_Loans!D172)),"")</f>
        <v/>
      </c>
    </row>
    <row r="163" spans="1:13" ht="18" customHeight="1" x14ac:dyDescent="0.25">
      <c r="A163" s="37" t="str">
        <f>IF(Agent01_Loans!B173="","",Agent01_Loans!A173)</f>
        <v/>
      </c>
      <c r="B163" s="37" t="str">
        <f>IF(Agent01_Loans!B173="","",Agent01_Loans!B173)</f>
        <v/>
      </c>
      <c r="C163" s="37" t="str">
        <f>IF(Agent01_Loans!B173="","",Agent01_Loans!C173)</f>
        <v/>
      </c>
      <c r="D163" s="38" t="str">
        <f>IF(Agent01_Loans!B173="","",Agent01_Loans!D173)</f>
        <v/>
      </c>
      <c r="E163" s="40" t="str">
        <f>IF(Agent01_Loans!B173="","",Agent01_Loans!E173)</f>
        <v/>
      </c>
      <c r="F163" s="37" t="str">
        <f>IF(Agent01_Loans!B173="","",Agent01_Loans!F173)</f>
        <v/>
      </c>
      <c r="G163" s="37" t="str">
        <f>IF(Agent01_Loans!B173="","",Agent01_Loans!G173)</f>
        <v/>
      </c>
      <c r="H163" s="37" t="str">
        <f>IF(Agent01_Loans!B173="","",Agent01_Loans!H173)</f>
        <v/>
      </c>
      <c r="I163" s="40" t="str">
        <f>IF(Agent01_Loans!B173="","",Agent01_Loans!I173)</f>
        <v/>
      </c>
      <c r="J163" s="40" t="str">
        <f>IF(Agent01_Loans!B173="","",Agent01_Loans!J173)</f>
        <v/>
      </c>
      <c r="K163" s="37" t="str">
        <f>IF(Agent01_Loans!B173="","",Agent01_Loans!K173)</f>
        <v/>
      </c>
      <c r="L163" s="37" t="str">
        <f>IF(Agent01_Loans!B173="","",Agent01_Loans!L173)</f>
        <v/>
      </c>
      <c r="M163" s="37" t="str">
        <f>IFERROR(IF(Agent01_Loans!B173="","",YEAR(Agent01_Loans!D173)),"")</f>
        <v/>
      </c>
    </row>
    <row r="164" spans="1:13" ht="18" customHeight="1" x14ac:dyDescent="0.25">
      <c r="A164" s="37" t="str">
        <f>IF(Agent01_Loans!B174="","",Agent01_Loans!A174)</f>
        <v/>
      </c>
      <c r="B164" s="37" t="str">
        <f>IF(Agent01_Loans!B174="","",Agent01_Loans!B174)</f>
        <v/>
      </c>
      <c r="C164" s="37" t="str">
        <f>IF(Agent01_Loans!B174="","",Agent01_Loans!C174)</f>
        <v/>
      </c>
      <c r="D164" s="38" t="str">
        <f>IF(Agent01_Loans!B174="","",Agent01_Loans!D174)</f>
        <v/>
      </c>
      <c r="E164" s="40" t="str">
        <f>IF(Agent01_Loans!B174="","",Agent01_Loans!E174)</f>
        <v/>
      </c>
      <c r="F164" s="37" t="str">
        <f>IF(Agent01_Loans!B174="","",Agent01_Loans!F174)</f>
        <v/>
      </c>
      <c r="G164" s="37" t="str">
        <f>IF(Agent01_Loans!B174="","",Agent01_Loans!G174)</f>
        <v/>
      </c>
      <c r="H164" s="37" t="str">
        <f>IF(Agent01_Loans!B174="","",Agent01_Loans!H174)</f>
        <v/>
      </c>
      <c r="I164" s="40" t="str">
        <f>IF(Agent01_Loans!B174="","",Agent01_Loans!I174)</f>
        <v/>
      </c>
      <c r="J164" s="40" t="str">
        <f>IF(Agent01_Loans!B174="","",Agent01_Loans!J174)</f>
        <v/>
      </c>
      <c r="K164" s="37" t="str">
        <f>IF(Agent01_Loans!B174="","",Agent01_Loans!K174)</f>
        <v/>
      </c>
      <c r="L164" s="37" t="str">
        <f>IF(Agent01_Loans!B174="","",Agent01_Loans!L174)</f>
        <v/>
      </c>
      <c r="M164" s="37" t="str">
        <f>IFERROR(IF(Agent01_Loans!B174="","",YEAR(Agent01_Loans!D174)),"")</f>
        <v/>
      </c>
    </row>
    <row r="165" spans="1:13" ht="18" customHeight="1" x14ac:dyDescent="0.25">
      <c r="A165" s="37" t="str">
        <f>IF(Agent01_Loans!B175="","",Agent01_Loans!A175)</f>
        <v/>
      </c>
      <c r="B165" s="37" t="str">
        <f>IF(Agent01_Loans!B175="","",Agent01_Loans!B175)</f>
        <v/>
      </c>
      <c r="C165" s="37" t="str">
        <f>IF(Agent01_Loans!B175="","",Agent01_Loans!C175)</f>
        <v/>
      </c>
      <c r="D165" s="38" t="str">
        <f>IF(Agent01_Loans!B175="","",Agent01_Loans!D175)</f>
        <v/>
      </c>
      <c r="E165" s="40" t="str">
        <f>IF(Agent01_Loans!B175="","",Agent01_Loans!E175)</f>
        <v/>
      </c>
      <c r="F165" s="37" t="str">
        <f>IF(Agent01_Loans!B175="","",Agent01_Loans!F175)</f>
        <v/>
      </c>
      <c r="G165" s="37" t="str">
        <f>IF(Agent01_Loans!B175="","",Agent01_Loans!G175)</f>
        <v/>
      </c>
      <c r="H165" s="37" t="str">
        <f>IF(Agent01_Loans!B175="","",Agent01_Loans!H175)</f>
        <v/>
      </c>
      <c r="I165" s="40" t="str">
        <f>IF(Agent01_Loans!B175="","",Agent01_Loans!I175)</f>
        <v/>
      </c>
      <c r="J165" s="40" t="str">
        <f>IF(Agent01_Loans!B175="","",Agent01_Loans!J175)</f>
        <v/>
      </c>
      <c r="K165" s="37" t="str">
        <f>IF(Agent01_Loans!B175="","",Agent01_Loans!K175)</f>
        <v/>
      </c>
      <c r="L165" s="37" t="str">
        <f>IF(Agent01_Loans!B175="","",Agent01_Loans!L175)</f>
        <v/>
      </c>
      <c r="M165" s="37" t="str">
        <f>IFERROR(IF(Agent01_Loans!B175="","",YEAR(Agent01_Loans!D175)),"")</f>
        <v/>
      </c>
    </row>
    <row r="166" spans="1:13" ht="18" customHeight="1" x14ac:dyDescent="0.25">
      <c r="A166" s="37" t="str">
        <f>IF(Agent01_Loans!B176="","",Agent01_Loans!A176)</f>
        <v/>
      </c>
      <c r="B166" s="37" t="str">
        <f>IF(Agent01_Loans!B176="","",Agent01_Loans!B176)</f>
        <v/>
      </c>
      <c r="C166" s="37" t="str">
        <f>IF(Agent01_Loans!B176="","",Agent01_Loans!C176)</f>
        <v/>
      </c>
      <c r="D166" s="38" t="str">
        <f>IF(Agent01_Loans!B176="","",Agent01_Loans!D176)</f>
        <v/>
      </c>
      <c r="E166" s="40" t="str">
        <f>IF(Agent01_Loans!B176="","",Agent01_Loans!E176)</f>
        <v/>
      </c>
      <c r="F166" s="37" t="str">
        <f>IF(Agent01_Loans!B176="","",Agent01_Loans!F176)</f>
        <v/>
      </c>
      <c r="G166" s="37" t="str">
        <f>IF(Agent01_Loans!B176="","",Agent01_Loans!G176)</f>
        <v/>
      </c>
      <c r="H166" s="37" t="str">
        <f>IF(Agent01_Loans!B176="","",Agent01_Loans!H176)</f>
        <v/>
      </c>
      <c r="I166" s="40" t="str">
        <f>IF(Agent01_Loans!B176="","",Agent01_Loans!I176)</f>
        <v/>
      </c>
      <c r="J166" s="40" t="str">
        <f>IF(Agent01_Loans!B176="","",Agent01_Loans!J176)</f>
        <v/>
      </c>
      <c r="K166" s="37" t="str">
        <f>IF(Agent01_Loans!B176="","",Agent01_Loans!K176)</f>
        <v/>
      </c>
      <c r="L166" s="37" t="str">
        <f>IF(Agent01_Loans!B176="","",Agent01_Loans!L176)</f>
        <v/>
      </c>
      <c r="M166" s="37" t="str">
        <f>IFERROR(IF(Agent01_Loans!B176="","",YEAR(Agent01_Loans!D176)),"")</f>
        <v/>
      </c>
    </row>
    <row r="167" spans="1:13" ht="18" customHeight="1" x14ac:dyDescent="0.25">
      <c r="A167" s="37" t="str">
        <f>IF(Agent01_Loans!B177="","",Agent01_Loans!A177)</f>
        <v/>
      </c>
      <c r="B167" s="37" t="str">
        <f>IF(Agent01_Loans!B177="","",Agent01_Loans!B177)</f>
        <v/>
      </c>
      <c r="C167" s="37" t="str">
        <f>IF(Agent01_Loans!B177="","",Agent01_Loans!C177)</f>
        <v/>
      </c>
      <c r="D167" s="38" t="str">
        <f>IF(Agent01_Loans!B177="","",Agent01_Loans!D177)</f>
        <v/>
      </c>
      <c r="E167" s="40" t="str">
        <f>IF(Agent01_Loans!B177="","",Agent01_Loans!E177)</f>
        <v/>
      </c>
      <c r="F167" s="37" t="str">
        <f>IF(Agent01_Loans!B177="","",Agent01_Loans!F177)</f>
        <v/>
      </c>
      <c r="G167" s="37" t="str">
        <f>IF(Agent01_Loans!B177="","",Agent01_Loans!G177)</f>
        <v/>
      </c>
      <c r="H167" s="37" t="str">
        <f>IF(Agent01_Loans!B177="","",Agent01_Loans!H177)</f>
        <v/>
      </c>
      <c r="I167" s="40" t="str">
        <f>IF(Agent01_Loans!B177="","",Agent01_Loans!I177)</f>
        <v/>
      </c>
      <c r="J167" s="40" t="str">
        <f>IF(Agent01_Loans!B177="","",Agent01_Loans!J177)</f>
        <v/>
      </c>
      <c r="K167" s="37" t="str">
        <f>IF(Agent01_Loans!B177="","",Agent01_Loans!K177)</f>
        <v/>
      </c>
      <c r="L167" s="37" t="str">
        <f>IF(Agent01_Loans!B177="","",Agent01_Loans!L177)</f>
        <v/>
      </c>
      <c r="M167" s="37" t="str">
        <f>IFERROR(IF(Agent01_Loans!B177="","",YEAR(Agent01_Loans!D177)),"")</f>
        <v/>
      </c>
    </row>
    <row r="168" spans="1:13" ht="18" customHeight="1" x14ac:dyDescent="0.25">
      <c r="A168" s="37" t="str">
        <f>IF(Agent01_Loans!B178="","",Agent01_Loans!A178)</f>
        <v/>
      </c>
      <c r="B168" s="37" t="str">
        <f>IF(Agent01_Loans!B178="","",Agent01_Loans!B178)</f>
        <v/>
      </c>
      <c r="C168" s="37" t="str">
        <f>IF(Agent01_Loans!B178="","",Agent01_Loans!C178)</f>
        <v/>
      </c>
      <c r="D168" s="38" t="str">
        <f>IF(Agent01_Loans!B178="","",Agent01_Loans!D178)</f>
        <v/>
      </c>
      <c r="E168" s="40" t="str">
        <f>IF(Agent01_Loans!B178="","",Agent01_Loans!E178)</f>
        <v/>
      </c>
      <c r="F168" s="37" t="str">
        <f>IF(Agent01_Loans!B178="","",Agent01_Loans!F178)</f>
        <v/>
      </c>
      <c r="G168" s="37" t="str">
        <f>IF(Agent01_Loans!B178="","",Agent01_Loans!G178)</f>
        <v/>
      </c>
      <c r="H168" s="37" t="str">
        <f>IF(Agent01_Loans!B178="","",Agent01_Loans!H178)</f>
        <v/>
      </c>
      <c r="I168" s="40" t="str">
        <f>IF(Agent01_Loans!B178="","",Agent01_Loans!I178)</f>
        <v/>
      </c>
      <c r="J168" s="40" t="str">
        <f>IF(Agent01_Loans!B178="","",Agent01_Loans!J178)</f>
        <v/>
      </c>
      <c r="K168" s="37" t="str">
        <f>IF(Agent01_Loans!B178="","",Agent01_Loans!K178)</f>
        <v/>
      </c>
      <c r="L168" s="37" t="str">
        <f>IF(Agent01_Loans!B178="","",Agent01_Loans!L178)</f>
        <v/>
      </c>
      <c r="M168" s="37" t="str">
        <f>IFERROR(IF(Agent01_Loans!B178="","",YEAR(Agent01_Loans!D178)),"")</f>
        <v/>
      </c>
    </row>
    <row r="169" spans="1:13" ht="18" customHeight="1" x14ac:dyDescent="0.25">
      <c r="A169" s="37" t="str">
        <f>IF(Agent01_Loans!B179="","",Agent01_Loans!A179)</f>
        <v/>
      </c>
      <c r="B169" s="37" t="str">
        <f>IF(Agent01_Loans!B179="","",Agent01_Loans!B179)</f>
        <v/>
      </c>
      <c r="C169" s="37" t="str">
        <f>IF(Agent01_Loans!B179="","",Agent01_Loans!C179)</f>
        <v/>
      </c>
      <c r="D169" s="38" t="str">
        <f>IF(Agent01_Loans!B179="","",Agent01_Loans!D179)</f>
        <v/>
      </c>
      <c r="E169" s="40" t="str">
        <f>IF(Agent01_Loans!B179="","",Agent01_Loans!E179)</f>
        <v/>
      </c>
      <c r="F169" s="37" t="str">
        <f>IF(Agent01_Loans!B179="","",Agent01_Loans!F179)</f>
        <v/>
      </c>
      <c r="G169" s="37" t="str">
        <f>IF(Agent01_Loans!B179="","",Agent01_Loans!G179)</f>
        <v/>
      </c>
      <c r="H169" s="37" t="str">
        <f>IF(Agent01_Loans!B179="","",Agent01_Loans!H179)</f>
        <v/>
      </c>
      <c r="I169" s="40" t="str">
        <f>IF(Agent01_Loans!B179="","",Agent01_Loans!I179)</f>
        <v/>
      </c>
      <c r="J169" s="40" t="str">
        <f>IF(Agent01_Loans!B179="","",Agent01_Loans!J179)</f>
        <v/>
      </c>
      <c r="K169" s="37" t="str">
        <f>IF(Agent01_Loans!B179="","",Agent01_Loans!K179)</f>
        <v/>
      </c>
      <c r="L169" s="37" t="str">
        <f>IF(Agent01_Loans!B179="","",Agent01_Loans!L179)</f>
        <v/>
      </c>
      <c r="M169" s="37" t="str">
        <f>IFERROR(IF(Agent01_Loans!B179="","",YEAR(Agent01_Loans!D179)),"")</f>
        <v/>
      </c>
    </row>
    <row r="170" spans="1:13" ht="18" customHeight="1" x14ac:dyDescent="0.25">
      <c r="A170" s="37" t="str">
        <f>IF(Agent01_Loans!B180="","",Agent01_Loans!A180)</f>
        <v/>
      </c>
      <c r="B170" s="37" t="str">
        <f>IF(Agent01_Loans!B180="","",Agent01_Loans!B180)</f>
        <v/>
      </c>
      <c r="C170" s="37" t="str">
        <f>IF(Agent01_Loans!B180="","",Agent01_Loans!C180)</f>
        <v/>
      </c>
      <c r="D170" s="38" t="str">
        <f>IF(Agent01_Loans!B180="","",Agent01_Loans!D180)</f>
        <v/>
      </c>
      <c r="E170" s="40" t="str">
        <f>IF(Agent01_Loans!B180="","",Agent01_Loans!E180)</f>
        <v/>
      </c>
      <c r="F170" s="37" t="str">
        <f>IF(Agent01_Loans!B180="","",Agent01_Loans!F180)</f>
        <v/>
      </c>
      <c r="G170" s="37" t="str">
        <f>IF(Agent01_Loans!B180="","",Agent01_Loans!G180)</f>
        <v/>
      </c>
      <c r="H170" s="37" t="str">
        <f>IF(Agent01_Loans!B180="","",Agent01_Loans!H180)</f>
        <v/>
      </c>
      <c r="I170" s="40" t="str">
        <f>IF(Agent01_Loans!B180="","",Agent01_Loans!I180)</f>
        <v/>
      </c>
      <c r="J170" s="40" t="str">
        <f>IF(Agent01_Loans!B180="","",Agent01_Loans!J180)</f>
        <v/>
      </c>
      <c r="K170" s="37" t="str">
        <f>IF(Agent01_Loans!B180="","",Agent01_Loans!K180)</f>
        <v/>
      </c>
      <c r="L170" s="37" t="str">
        <f>IF(Agent01_Loans!B180="","",Agent01_Loans!L180)</f>
        <v/>
      </c>
      <c r="M170" s="37" t="str">
        <f>IFERROR(IF(Agent01_Loans!B180="","",YEAR(Agent01_Loans!D180)),"")</f>
        <v/>
      </c>
    </row>
    <row r="171" spans="1:13" ht="18" customHeight="1" x14ac:dyDescent="0.25">
      <c r="A171" s="37" t="str">
        <f>IF(Agent01_Loans!B181="","",Agent01_Loans!A181)</f>
        <v/>
      </c>
      <c r="B171" s="37" t="str">
        <f>IF(Agent01_Loans!B181="","",Agent01_Loans!B181)</f>
        <v/>
      </c>
      <c r="C171" s="37" t="str">
        <f>IF(Agent01_Loans!B181="","",Agent01_Loans!C181)</f>
        <v/>
      </c>
      <c r="D171" s="38" t="str">
        <f>IF(Agent01_Loans!B181="","",Agent01_Loans!D181)</f>
        <v/>
      </c>
      <c r="E171" s="40" t="str">
        <f>IF(Agent01_Loans!B181="","",Agent01_Loans!E181)</f>
        <v/>
      </c>
      <c r="F171" s="37" t="str">
        <f>IF(Agent01_Loans!B181="","",Agent01_Loans!F181)</f>
        <v/>
      </c>
      <c r="G171" s="37" t="str">
        <f>IF(Agent01_Loans!B181="","",Agent01_Loans!G181)</f>
        <v/>
      </c>
      <c r="H171" s="37" t="str">
        <f>IF(Agent01_Loans!B181="","",Agent01_Loans!H181)</f>
        <v/>
      </c>
      <c r="I171" s="40" t="str">
        <f>IF(Agent01_Loans!B181="","",Agent01_Loans!I181)</f>
        <v/>
      </c>
      <c r="J171" s="40" t="str">
        <f>IF(Agent01_Loans!B181="","",Agent01_Loans!J181)</f>
        <v/>
      </c>
      <c r="K171" s="37" t="str">
        <f>IF(Agent01_Loans!B181="","",Agent01_Loans!K181)</f>
        <v/>
      </c>
      <c r="L171" s="37" t="str">
        <f>IF(Agent01_Loans!B181="","",Agent01_Loans!L181)</f>
        <v/>
      </c>
      <c r="M171" s="37" t="str">
        <f>IFERROR(IF(Agent01_Loans!B181="","",YEAR(Agent01_Loans!D181)),"")</f>
        <v/>
      </c>
    </row>
    <row r="172" spans="1:13" ht="18" customHeight="1" x14ac:dyDescent="0.25">
      <c r="A172" s="37" t="str">
        <f>IF(Agent01_Loans!B182="","",Agent01_Loans!A182)</f>
        <v/>
      </c>
      <c r="B172" s="37" t="str">
        <f>IF(Agent01_Loans!B182="","",Agent01_Loans!B182)</f>
        <v/>
      </c>
      <c r="C172" s="37" t="str">
        <f>IF(Agent01_Loans!B182="","",Agent01_Loans!C182)</f>
        <v/>
      </c>
      <c r="D172" s="38" t="str">
        <f>IF(Agent01_Loans!B182="","",Agent01_Loans!D182)</f>
        <v/>
      </c>
      <c r="E172" s="40" t="str">
        <f>IF(Agent01_Loans!B182="","",Agent01_Loans!E182)</f>
        <v/>
      </c>
      <c r="F172" s="37" t="str">
        <f>IF(Agent01_Loans!B182="","",Agent01_Loans!F182)</f>
        <v/>
      </c>
      <c r="G172" s="37" t="str">
        <f>IF(Agent01_Loans!B182="","",Agent01_Loans!G182)</f>
        <v/>
      </c>
      <c r="H172" s="37" t="str">
        <f>IF(Agent01_Loans!B182="","",Agent01_Loans!H182)</f>
        <v/>
      </c>
      <c r="I172" s="40" t="str">
        <f>IF(Agent01_Loans!B182="","",Agent01_Loans!I182)</f>
        <v/>
      </c>
      <c r="J172" s="40" t="str">
        <f>IF(Agent01_Loans!B182="","",Agent01_Loans!J182)</f>
        <v/>
      </c>
      <c r="K172" s="37" t="str">
        <f>IF(Agent01_Loans!B182="","",Agent01_Loans!K182)</f>
        <v/>
      </c>
      <c r="L172" s="37" t="str">
        <f>IF(Agent01_Loans!B182="","",Agent01_Loans!L182)</f>
        <v/>
      </c>
      <c r="M172" s="37" t="str">
        <f>IFERROR(IF(Agent01_Loans!B182="","",YEAR(Agent01_Loans!D182)),"")</f>
        <v/>
      </c>
    </row>
    <row r="173" spans="1:13" ht="18" customHeight="1" x14ac:dyDescent="0.25">
      <c r="A173" s="37" t="str">
        <f>IF(Agent01_Loans!B183="","",Agent01_Loans!A183)</f>
        <v/>
      </c>
      <c r="B173" s="37" t="str">
        <f>IF(Agent01_Loans!B183="","",Agent01_Loans!B183)</f>
        <v/>
      </c>
      <c r="C173" s="37" t="str">
        <f>IF(Agent01_Loans!B183="","",Agent01_Loans!C183)</f>
        <v/>
      </c>
      <c r="D173" s="38" t="str">
        <f>IF(Agent01_Loans!B183="","",Agent01_Loans!D183)</f>
        <v/>
      </c>
      <c r="E173" s="40" t="str">
        <f>IF(Agent01_Loans!B183="","",Agent01_Loans!E183)</f>
        <v/>
      </c>
      <c r="F173" s="37" t="str">
        <f>IF(Agent01_Loans!B183="","",Agent01_Loans!F183)</f>
        <v/>
      </c>
      <c r="G173" s="37" t="str">
        <f>IF(Agent01_Loans!B183="","",Agent01_Loans!G183)</f>
        <v/>
      </c>
      <c r="H173" s="37" t="str">
        <f>IF(Agent01_Loans!B183="","",Agent01_Loans!H183)</f>
        <v/>
      </c>
      <c r="I173" s="40" t="str">
        <f>IF(Agent01_Loans!B183="","",Agent01_Loans!I183)</f>
        <v/>
      </c>
      <c r="J173" s="40" t="str">
        <f>IF(Agent01_Loans!B183="","",Agent01_Loans!J183)</f>
        <v/>
      </c>
      <c r="K173" s="37" t="str">
        <f>IF(Agent01_Loans!B183="","",Agent01_Loans!K183)</f>
        <v/>
      </c>
      <c r="L173" s="37" t="str">
        <f>IF(Agent01_Loans!B183="","",Agent01_Loans!L183)</f>
        <v/>
      </c>
      <c r="M173" s="37" t="str">
        <f>IFERROR(IF(Agent01_Loans!B183="","",YEAR(Agent01_Loans!D183)),"")</f>
        <v/>
      </c>
    </row>
    <row r="174" spans="1:13" ht="18" customHeight="1" x14ac:dyDescent="0.25">
      <c r="A174" s="37" t="str">
        <f>IF(Agent01_Loans!B184="","",Agent01_Loans!A184)</f>
        <v/>
      </c>
      <c r="B174" s="37" t="str">
        <f>IF(Agent01_Loans!B184="","",Agent01_Loans!B184)</f>
        <v/>
      </c>
      <c r="C174" s="37" t="str">
        <f>IF(Agent01_Loans!B184="","",Agent01_Loans!C184)</f>
        <v/>
      </c>
      <c r="D174" s="38" t="str">
        <f>IF(Agent01_Loans!B184="","",Agent01_Loans!D184)</f>
        <v/>
      </c>
      <c r="E174" s="40" t="str">
        <f>IF(Agent01_Loans!B184="","",Agent01_Loans!E184)</f>
        <v/>
      </c>
      <c r="F174" s="37" t="str">
        <f>IF(Agent01_Loans!B184="","",Agent01_Loans!F184)</f>
        <v/>
      </c>
      <c r="G174" s="37" t="str">
        <f>IF(Agent01_Loans!B184="","",Agent01_Loans!G184)</f>
        <v/>
      </c>
      <c r="H174" s="37" t="str">
        <f>IF(Agent01_Loans!B184="","",Agent01_Loans!H184)</f>
        <v/>
      </c>
      <c r="I174" s="40" t="str">
        <f>IF(Agent01_Loans!B184="","",Agent01_Loans!I184)</f>
        <v/>
      </c>
      <c r="J174" s="40" t="str">
        <f>IF(Agent01_Loans!B184="","",Agent01_Loans!J184)</f>
        <v/>
      </c>
      <c r="K174" s="37" t="str">
        <f>IF(Agent01_Loans!B184="","",Agent01_Loans!K184)</f>
        <v/>
      </c>
      <c r="L174" s="37" t="str">
        <f>IF(Agent01_Loans!B184="","",Agent01_Loans!L184)</f>
        <v/>
      </c>
      <c r="M174" s="37" t="str">
        <f>IFERROR(IF(Agent01_Loans!B184="","",YEAR(Agent01_Loans!D184)),"")</f>
        <v/>
      </c>
    </row>
    <row r="175" spans="1:13" ht="18" customHeight="1" x14ac:dyDescent="0.25">
      <c r="A175" s="37" t="str">
        <f>IF(Agent01_Loans!B185="","",Agent01_Loans!A185)</f>
        <v/>
      </c>
      <c r="B175" s="37" t="str">
        <f>IF(Agent01_Loans!B185="","",Agent01_Loans!B185)</f>
        <v/>
      </c>
      <c r="C175" s="37" t="str">
        <f>IF(Agent01_Loans!B185="","",Agent01_Loans!C185)</f>
        <v/>
      </c>
      <c r="D175" s="38" t="str">
        <f>IF(Agent01_Loans!B185="","",Agent01_Loans!D185)</f>
        <v/>
      </c>
      <c r="E175" s="40" t="str">
        <f>IF(Agent01_Loans!B185="","",Agent01_Loans!E185)</f>
        <v/>
      </c>
      <c r="F175" s="37" t="str">
        <f>IF(Agent01_Loans!B185="","",Agent01_Loans!F185)</f>
        <v/>
      </c>
      <c r="G175" s="37" t="str">
        <f>IF(Agent01_Loans!B185="","",Agent01_Loans!G185)</f>
        <v/>
      </c>
      <c r="H175" s="37" t="str">
        <f>IF(Agent01_Loans!B185="","",Agent01_Loans!H185)</f>
        <v/>
      </c>
      <c r="I175" s="40" t="str">
        <f>IF(Agent01_Loans!B185="","",Agent01_Loans!I185)</f>
        <v/>
      </c>
      <c r="J175" s="40" t="str">
        <f>IF(Agent01_Loans!B185="","",Agent01_Loans!J185)</f>
        <v/>
      </c>
      <c r="K175" s="37" t="str">
        <f>IF(Agent01_Loans!B185="","",Agent01_Loans!K185)</f>
        <v/>
      </c>
      <c r="L175" s="37" t="str">
        <f>IF(Agent01_Loans!B185="","",Agent01_Loans!L185)</f>
        <v/>
      </c>
      <c r="M175" s="37" t="str">
        <f>IFERROR(IF(Agent01_Loans!B185="","",YEAR(Agent01_Loans!D185)),"")</f>
        <v/>
      </c>
    </row>
    <row r="176" spans="1:13" ht="18" customHeight="1" x14ac:dyDescent="0.25">
      <c r="A176" s="37" t="str">
        <f>IF(Agent01_Loans!B186="","",Agent01_Loans!A186)</f>
        <v/>
      </c>
      <c r="B176" s="37" t="str">
        <f>IF(Agent01_Loans!B186="","",Agent01_Loans!B186)</f>
        <v/>
      </c>
      <c r="C176" s="37" t="str">
        <f>IF(Agent01_Loans!B186="","",Agent01_Loans!C186)</f>
        <v/>
      </c>
      <c r="D176" s="38" t="str">
        <f>IF(Agent01_Loans!B186="","",Agent01_Loans!D186)</f>
        <v/>
      </c>
      <c r="E176" s="40" t="str">
        <f>IF(Agent01_Loans!B186="","",Agent01_Loans!E186)</f>
        <v/>
      </c>
      <c r="F176" s="37" t="str">
        <f>IF(Agent01_Loans!B186="","",Agent01_Loans!F186)</f>
        <v/>
      </c>
      <c r="G176" s="37" t="str">
        <f>IF(Agent01_Loans!B186="","",Agent01_Loans!G186)</f>
        <v/>
      </c>
      <c r="H176" s="37" t="str">
        <f>IF(Agent01_Loans!B186="","",Agent01_Loans!H186)</f>
        <v/>
      </c>
      <c r="I176" s="40" t="str">
        <f>IF(Agent01_Loans!B186="","",Agent01_Loans!I186)</f>
        <v/>
      </c>
      <c r="J176" s="40" t="str">
        <f>IF(Agent01_Loans!B186="","",Agent01_Loans!J186)</f>
        <v/>
      </c>
      <c r="K176" s="37" t="str">
        <f>IF(Agent01_Loans!B186="","",Agent01_Loans!K186)</f>
        <v/>
      </c>
      <c r="L176" s="37" t="str">
        <f>IF(Agent01_Loans!B186="","",Agent01_Loans!L186)</f>
        <v/>
      </c>
      <c r="M176" s="37" t="str">
        <f>IFERROR(IF(Agent01_Loans!B186="","",YEAR(Agent01_Loans!D186)),"")</f>
        <v/>
      </c>
    </row>
    <row r="177" spans="1:13" ht="18" customHeight="1" x14ac:dyDescent="0.25">
      <c r="A177" s="37" t="str">
        <f>IF(Agent01_Loans!B187="","",Agent01_Loans!A187)</f>
        <v/>
      </c>
      <c r="B177" s="37" t="str">
        <f>IF(Agent01_Loans!B187="","",Agent01_Loans!B187)</f>
        <v/>
      </c>
      <c r="C177" s="37" t="str">
        <f>IF(Agent01_Loans!B187="","",Agent01_Loans!C187)</f>
        <v/>
      </c>
      <c r="D177" s="38" t="str">
        <f>IF(Agent01_Loans!B187="","",Agent01_Loans!D187)</f>
        <v/>
      </c>
      <c r="E177" s="40" t="str">
        <f>IF(Agent01_Loans!B187="","",Agent01_Loans!E187)</f>
        <v/>
      </c>
      <c r="F177" s="37" t="str">
        <f>IF(Agent01_Loans!B187="","",Agent01_Loans!F187)</f>
        <v/>
      </c>
      <c r="G177" s="37" t="str">
        <f>IF(Agent01_Loans!B187="","",Agent01_Loans!G187)</f>
        <v/>
      </c>
      <c r="H177" s="37" t="str">
        <f>IF(Agent01_Loans!B187="","",Agent01_Loans!H187)</f>
        <v/>
      </c>
      <c r="I177" s="40" t="str">
        <f>IF(Agent01_Loans!B187="","",Agent01_Loans!I187)</f>
        <v/>
      </c>
      <c r="J177" s="40" t="str">
        <f>IF(Agent01_Loans!B187="","",Agent01_Loans!J187)</f>
        <v/>
      </c>
      <c r="K177" s="37" t="str">
        <f>IF(Agent01_Loans!B187="","",Agent01_Loans!K187)</f>
        <v/>
      </c>
      <c r="L177" s="37" t="str">
        <f>IF(Agent01_Loans!B187="","",Agent01_Loans!L187)</f>
        <v/>
      </c>
      <c r="M177" s="37" t="str">
        <f>IFERROR(IF(Agent01_Loans!B187="","",YEAR(Agent01_Loans!D187)),"")</f>
        <v/>
      </c>
    </row>
    <row r="178" spans="1:13" ht="18" customHeight="1" x14ac:dyDescent="0.25">
      <c r="A178" s="37" t="str">
        <f>IF(Agent01_Loans!B188="","",Agent01_Loans!A188)</f>
        <v/>
      </c>
      <c r="B178" s="37" t="str">
        <f>IF(Agent01_Loans!B188="","",Agent01_Loans!B188)</f>
        <v/>
      </c>
      <c r="C178" s="37" t="str">
        <f>IF(Agent01_Loans!B188="","",Agent01_Loans!C188)</f>
        <v/>
      </c>
      <c r="D178" s="38" t="str">
        <f>IF(Agent01_Loans!B188="","",Agent01_Loans!D188)</f>
        <v/>
      </c>
      <c r="E178" s="40" t="str">
        <f>IF(Agent01_Loans!B188="","",Agent01_Loans!E188)</f>
        <v/>
      </c>
      <c r="F178" s="37" t="str">
        <f>IF(Agent01_Loans!B188="","",Agent01_Loans!F188)</f>
        <v/>
      </c>
      <c r="G178" s="37" t="str">
        <f>IF(Agent01_Loans!B188="","",Agent01_Loans!G188)</f>
        <v/>
      </c>
      <c r="H178" s="37" t="str">
        <f>IF(Agent01_Loans!B188="","",Agent01_Loans!H188)</f>
        <v/>
      </c>
      <c r="I178" s="40" t="str">
        <f>IF(Agent01_Loans!B188="","",Agent01_Loans!I188)</f>
        <v/>
      </c>
      <c r="J178" s="40" t="str">
        <f>IF(Agent01_Loans!B188="","",Agent01_Loans!J188)</f>
        <v/>
      </c>
      <c r="K178" s="37" t="str">
        <f>IF(Agent01_Loans!B188="","",Agent01_Loans!K188)</f>
        <v/>
      </c>
      <c r="L178" s="37" t="str">
        <f>IF(Agent01_Loans!B188="","",Agent01_Loans!L188)</f>
        <v/>
      </c>
      <c r="M178" s="37" t="str">
        <f>IFERROR(IF(Agent01_Loans!B188="","",YEAR(Agent01_Loans!D188)),"")</f>
        <v/>
      </c>
    </row>
    <row r="179" spans="1:13" ht="18" customHeight="1" x14ac:dyDescent="0.25">
      <c r="A179" s="37" t="str">
        <f>IF(Agent01_Loans!B189="","",Agent01_Loans!A189)</f>
        <v/>
      </c>
      <c r="B179" s="37" t="str">
        <f>IF(Agent01_Loans!B189="","",Agent01_Loans!B189)</f>
        <v/>
      </c>
      <c r="C179" s="37" t="str">
        <f>IF(Agent01_Loans!B189="","",Agent01_Loans!C189)</f>
        <v/>
      </c>
      <c r="D179" s="38" t="str">
        <f>IF(Agent01_Loans!B189="","",Agent01_Loans!D189)</f>
        <v/>
      </c>
      <c r="E179" s="40" t="str">
        <f>IF(Agent01_Loans!B189="","",Agent01_Loans!E189)</f>
        <v/>
      </c>
      <c r="F179" s="37" t="str">
        <f>IF(Agent01_Loans!B189="","",Agent01_Loans!F189)</f>
        <v/>
      </c>
      <c r="G179" s="37" t="str">
        <f>IF(Agent01_Loans!B189="","",Agent01_Loans!G189)</f>
        <v/>
      </c>
      <c r="H179" s="37" t="str">
        <f>IF(Agent01_Loans!B189="","",Agent01_Loans!H189)</f>
        <v/>
      </c>
      <c r="I179" s="40" t="str">
        <f>IF(Agent01_Loans!B189="","",Agent01_Loans!I189)</f>
        <v/>
      </c>
      <c r="J179" s="40" t="str">
        <f>IF(Agent01_Loans!B189="","",Agent01_Loans!J189)</f>
        <v/>
      </c>
      <c r="K179" s="37" t="str">
        <f>IF(Agent01_Loans!B189="","",Agent01_Loans!K189)</f>
        <v/>
      </c>
      <c r="L179" s="37" t="str">
        <f>IF(Agent01_Loans!B189="","",Agent01_Loans!L189)</f>
        <v/>
      </c>
      <c r="M179" s="37" t="str">
        <f>IFERROR(IF(Agent01_Loans!B189="","",YEAR(Agent01_Loans!D189)),"")</f>
        <v/>
      </c>
    </row>
    <row r="180" spans="1:13" ht="18" customHeight="1" x14ac:dyDescent="0.25">
      <c r="A180" s="37" t="str">
        <f>IF(Agent01_Loans!B190="","",Agent01_Loans!A190)</f>
        <v/>
      </c>
      <c r="B180" s="37" t="str">
        <f>IF(Agent01_Loans!B190="","",Agent01_Loans!B190)</f>
        <v/>
      </c>
      <c r="C180" s="37" t="str">
        <f>IF(Agent01_Loans!B190="","",Agent01_Loans!C190)</f>
        <v/>
      </c>
      <c r="D180" s="38" t="str">
        <f>IF(Agent01_Loans!B190="","",Agent01_Loans!D190)</f>
        <v/>
      </c>
      <c r="E180" s="40" t="str">
        <f>IF(Agent01_Loans!B190="","",Agent01_Loans!E190)</f>
        <v/>
      </c>
      <c r="F180" s="37" t="str">
        <f>IF(Agent01_Loans!B190="","",Agent01_Loans!F190)</f>
        <v/>
      </c>
      <c r="G180" s="37" t="str">
        <f>IF(Agent01_Loans!B190="","",Agent01_Loans!G190)</f>
        <v/>
      </c>
      <c r="H180" s="37" t="str">
        <f>IF(Agent01_Loans!B190="","",Agent01_Loans!H190)</f>
        <v/>
      </c>
      <c r="I180" s="40" t="str">
        <f>IF(Agent01_Loans!B190="","",Agent01_Loans!I190)</f>
        <v/>
      </c>
      <c r="J180" s="40" t="str">
        <f>IF(Agent01_Loans!B190="","",Agent01_Loans!J190)</f>
        <v/>
      </c>
      <c r="K180" s="37" t="str">
        <f>IF(Agent01_Loans!B190="","",Agent01_Loans!K190)</f>
        <v/>
      </c>
      <c r="L180" s="37" t="str">
        <f>IF(Agent01_Loans!B190="","",Agent01_Loans!L190)</f>
        <v/>
      </c>
      <c r="M180" s="37" t="str">
        <f>IFERROR(IF(Agent01_Loans!B190="","",YEAR(Agent01_Loans!D190)),"")</f>
        <v/>
      </c>
    </row>
    <row r="181" spans="1:13" ht="18" customHeight="1" x14ac:dyDescent="0.25">
      <c r="A181" s="37" t="str">
        <f>IF(Agent01_Loans!B191="","",Agent01_Loans!A191)</f>
        <v/>
      </c>
      <c r="B181" s="37" t="str">
        <f>IF(Agent01_Loans!B191="","",Agent01_Loans!B191)</f>
        <v/>
      </c>
      <c r="C181" s="37" t="str">
        <f>IF(Agent01_Loans!B191="","",Agent01_Loans!C191)</f>
        <v/>
      </c>
      <c r="D181" s="38" t="str">
        <f>IF(Agent01_Loans!B191="","",Agent01_Loans!D191)</f>
        <v/>
      </c>
      <c r="E181" s="40" t="str">
        <f>IF(Agent01_Loans!B191="","",Agent01_Loans!E191)</f>
        <v/>
      </c>
      <c r="F181" s="37" t="str">
        <f>IF(Agent01_Loans!B191="","",Agent01_Loans!F191)</f>
        <v/>
      </c>
      <c r="G181" s="37" t="str">
        <f>IF(Agent01_Loans!B191="","",Agent01_Loans!G191)</f>
        <v/>
      </c>
      <c r="H181" s="37" t="str">
        <f>IF(Agent01_Loans!B191="","",Agent01_Loans!H191)</f>
        <v/>
      </c>
      <c r="I181" s="40" t="str">
        <f>IF(Agent01_Loans!B191="","",Agent01_Loans!I191)</f>
        <v/>
      </c>
      <c r="J181" s="40" t="str">
        <f>IF(Agent01_Loans!B191="","",Agent01_Loans!J191)</f>
        <v/>
      </c>
      <c r="K181" s="37" t="str">
        <f>IF(Agent01_Loans!B191="","",Agent01_Loans!K191)</f>
        <v/>
      </c>
      <c r="L181" s="37" t="str">
        <f>IF(Agent01_Loans!B191="","",Agent01_Loans!L191)</f>
        <v/>
      </c>
      <c r="M181" s="37" t="str">
        <f>IFERROR(IF(Agent01_Loans!B191="","",YEAR(Agent01_Loans!D191)),"")</f>
        <v/>
      </c>
    </row>
    <row r="182" spans="1:13" ht="18" customHeight="1" x14ac:dyDescent="0.25">
      <c r="A182" s="37" t="str">
        <f>IF(Agent01_Loans!B192="","",Agent01_Loans!A192)</f>
        <v/>
      </c>
      <c r="B182" s="37" t="str">
        <f>IF(Agent01_Loans!B192="","",Agent01_Loans!B192)</f>
        <v/>
      </c>
      <c r="C182" s="37" t="str">
        <f>IF(Agent01_Loans!B192="","",Agent01_Loans!C192)</f>
        <v/>
      </c>
      <c r="D182" s="38" t="str">
        <f>IF(Agent01_Loans!B192="","",Agent01_Loans!D192)</f>
        <v/>
      </c>
      <c r="E182" s="40" t="str">
        <f>IF(Agent01_Loans!B192="","",Agent01_Loans!E192)</f>
        <v/>
      </c>
      <c r="F182" s="37" t="str">
        <f>IF(Agent01_Loans!B192="","",Agent01_Loans!F192)</f>
        <v/>
      </c>
      <c r="G182" s="37" t="str">
        <f>IF(Agent01_Loans!B192="","",Agent01_Loans!G192)</f>
        <v/>
      </c>
      <c r="H182" s="37" t="str">
        <f>IF(Agent01_Loans!B192="","",Agent01_Loans!H192)</f>
        <v/>
      </c>
      <c r="I182" s="40" t="str">
        <f>IF(Agent01_Loans!B192="","",Agent01_Loans!I192)</f>
        <v/>
      </c>
      <c r="J182" s="40" t="str">
        <f>IF(Agent01_Loans!B192="","",Agent01_Loans!J192)</f>
        <v/>
      </c>
      <c r="K182" s="37" t="str">
        <f>IF(Agent01_Loans!B192="","",Agent01_Loans!K192)</f>
        <v/>
      </c>
      <c r="L182" s="37" t="str">
        <f>IF(Agent01_Loans!B192="","",Agent01_Loans!L192)</f>
        <v/>
      </c>
      <c r="M182" s="37" t="str">
        <f>IFERROR(IF(Agent01_Loans!B192="","",YEAR(Agent01_Loans!D192)),"")</f>
        <v/>
      </c>
    </row>
    <row r="183" spans="1:13" ht="18" customHeight="1" x14ac:dyDescent="0.25">
      <c r="A183" s="37" t="str">
        <f>IF(Agent01_Loans!B193="","",Agent01_Loans!A193)</f>
        <v/>
      </c>
      <c r="B183" s="37" t="str">
        <f>IF(Agent01_Loans!B193="","",Agent01_Loans!B193)</f>
        <v/>
      </c>
      <c r="C183" s="37" t="str">
        <f>IF(Agent01_Loans!B193="","",Agent01_Loans!C193)</f>
        <v/>
      </c>
      <c r="D183" s="38" t="str">
        <f>IF(Agent01_Loans!B193="","",Agent01_Loans!D193)</f>
        <v/>
      </c>
      <c r="E183" s="40" t="str">
        <f>IF(Agent01_Loans!B193="","",Agent01_Loans!E193)</f>
        <v/>
      </c>
      <c r="F183" s="37" t="str">
        <f>IF(Agent01_Loans!B193="","",Agent01_Loans!F193)</f>
        <v/>
      </c>
      <c r="G183" s="37" t="str">
        <f>IF(Agent01_Loans!B193="","",Agent01_Loans!G193)</f>
        <v/>
      </c>
      <c r="H183" s="37" t="str">
        <f>IF(Agent01_Loans!B193="","",Agent01_Loans!H193)</f>
        <v/>
      </c>
      <c r="I183" s="40" t="str">
        <f>IF(Agent01_Loans!B193="","",Agent01_Loans!I193)</f>
        <v/>
      </c>
      <c r="J183" s="40" t="str">
        <f>IF(Agent01_Loans!B193="","",Agent01_Loans!J193)</f>
        <v/>
      </c>
      <c r="K183" s="37" t="str">
        <f>IF(Agent01_Loans!B193="","",Agent01_Loans!K193)</f>
        <v/>
      </c>
      <c r="L183" s="37" t="str">
        <f>IF(Agent01_Loans!B193="","",Agent01_Loans!L193)</f>
        <v/>
      </c>
      <c r="M183" s="37" t="str">
        <f>IFERROR(IF(Agent01_Loans!B193="","",YEAR(Agent01_Loans!D193)),"")</f>
        <v/>
      </c>
    </row>
    <row r="184" spans="1:13" ht="18" customHeight="1" x14ac:dyDescent="0.25">
      <c r="A184" s="37" t="str">
        <f>IF(Agent01_Loans!B194="","",Agent01_Loans!A194)</f>
        <v/>
      </c>
      <c r="B184" s="37" t="str">
        <f>IF(Agent01_Loans!B194="","",Agent01_Loans!B194)</f>
        <v/>
      </c>
      <c r="C184" s="37" t="str">
        <f>IF(Agent01_Loans!B194="","",Agent01_Loans!C194)</f>
        <v/>
      </c>
      <c r="D184" s="38" t="str">
        <f>IF(Agent01_Loans!B194="","",Agent01_Loans!D194)</f>
        <v/>
      </c>
      <c r="E184" s="40" t="str">
        <f>IF(Agent01_Loans!B194="","",Agent01_Loans!E194)</f>
        <v/>
      </c>
      <c r="F184" s="37" t="str">
        <f>IF(Agent01_Loans!B194="","",Agent01_Loans!F194)</f>
        <v/>
      </c>
      <c r="G184" s="37" t="str">
        <f>IF(Agent01_Loans!B194="","",Agent01_Loans!G194)</f>
        <v/>
      </c>
      <c r="H184" s="37" t="str">
        <f>IF(Agent01_Loans!B194="","",Agent01_Loans!H194)</f>
        <v/>
      </c>
      <c r="I184" s="40" t="str">
        <f>IF(Agent01_Loans!B194="","",Agent01_Loans!I194)</f>
        <v/>
      </c>
      <c r="J184" s="40" t="str">
        <f>IF(Agent01_Loans!B194="","",Agent01_Loans!J194)</f>
        <v/>
      </c>
      <c r="K184" s="37" t="str">
        <f>IF(Agent01_Loans!B194="","",Agent01_Loans!K194)</f>
        <v/>
      </c>
      <c r="L184" s="37" t="str">
        <f>IF(Agent01_Loans!B194="","",Agent01_Loans!L194)</f>
        <v/>
      </c>
      <c r="M184" s="37" t="str">
        <f>IFERROR(IF(Agent01_Loans!B194="","",YEAR(Agent01_Loans!D194)),"")</f>
        <v/>
      </c>
    </row>
    <row r="185" spans="1:13" ht="18" customHeight="1" x14ac:dyDescent="0.25">
      <c r="A185" s="37" t="str">
        <f>IF(Agent01_Loans!B195="","",Agent01_Loans!A195)</f>
        <v/>
      </c>
      <c r="B185" s="37" t="str">
        <f>IF(Agent01_Loans!B195="","",Agent01_Loans!B195)</f>
        <v/>
      </c>
      <c r="C185" s="37" t="str">
        <f>IF(Agent01_Loans!B195="","",Agent01_Loans!C195)</f>
        <v/>
      </c>
      <c r="D185" s="38" t="str">
        <f>IF(Agent01_Loans!B195="","",Agent01_Loans!D195)</f>
        <v/>
      </c>
      <c r="E185" s="40" t="str">
        <f>IF(Agent01_Loans!B195="","",Agent01_Loans!E195)</f>
        <v/>
      </c>
      <c r="F185" s="37" t="str">
        <f>IF(Agent01_Loans!B195="","",Agent01_Loans!F195)</f>
        <v/>
      </c>
      <c r="G185" s="37" t="str">
        <f>IF(Agent01_Loans!B195="","",Agent01_Loans!G195)</f>
        <v/>
      </c>
      <c r="H185" s="37" t="str">
        <f>IF(Agent01_Loans!B195="","",Agent01_Loans!H195)</f>
        <v/>
      </c>
      <c r="I185" s="40" t="str">
        <f>IF(Agent01_Loans!B195="","",Agent01_Loans!I195)</f>
        <v/>
      </c>
      <c r="J185" s="40" t="str">
        <f>IF(Agent01_Loans!B195="","",Agent01_Loans!J195)</f>
        <v/>
      </c>
      <c r="K185" s="37" t="str">
        <f>IF(Agent01_Loans!B195="","",Agent01_Loans!K195)</f>
        <v/>
      </c>
      <c r="L185" s="37" t="str">
        <f>IF(Agent01_Loans!B195="","",Agent01_Loans!L195)</f>
        <v/>
      </c>
      <c r="M185" s="37" t="str">
        <f>IFERROR(IF(Agent01_Loans!B195="","",YEAR(Agent01_Loans!D195)),"")</f>
        <v/>
      </c>
    </row>
    <row r="186" spans="1:13" ht="18" customHeight="1" x14ac:dyDescent="0.25">
      <c r="A186" s="37" t="str">
        <f>IF(Agent01_Loans!B196="","",Agent01_Loans!A196)</f>
        <v/>
      </c>
      <c r="B186" s="37" t="str">
        <f>IF(Agent01_Loans!B196="","",Agent01_Loans!B196)</f>
        <v/>
      </c>
      <c r="C186" s="37" t="str">
        <f>IF(Agent01_Loans!B196="","",Agent01_Loans!C196)</f>
        <v/>
      </c>
      <c r="D186" s="38" t="str">
        <f>IF(Agent01_Loans!B196="","",Agent01_Loans!D196)</f>
        <v/>
      </c>
      <c r="E186" s="40" t="str">
        <f>IF(Agent01_Loans!B196="","",Agent01_Loans!E196)</f>
        <v/>
      </c>
      <c r="F186" s="37" t="str">
        <f>IF(Agent01_Loans!B196="","",Agent01_Loans!F196)</f>
        <v/>
      </c>
      <c r="G186" s="37" t="str">
        <f>IF(Agent01_Loans!B196="","",Agent01_Loans!G196)</f>
        <v/>
      </c>
      <c r="H186" s="37" t="str">
        <f>IF(Agent01_Loans!B196="","",Agent01_Loans!H196)</f>
        <v/>
      </c>
      <c r="I186" s="40" t="str">
        <f>IF(Agent01_Loans!B196="","",Agent01_Loans!I196)</f>
        <v/>
      </c>
      <c r="J186" s="40" t="str">
        <f>IF(Agent01_Loans!B196="","",Agent01_Loans!J196)</f>
        <v/>
      </c>
      <c r="K186" s="37" t="str">
        <f>IF(Agent01_Loans!B196="","",Agent01_Loans!K196)</f>
        <v/>
      </c>
      <c r="L186" s="37" t="str">
        <f>IF(Agent01_Loans!B196="","",Agent01_Loans!L196)</f>
        <v/>
      </c>
      <c r="M186" s="37" t="str">
        <f>IFERROR(IF(Agent01_Loans!B196="","",YEAR(Agent01_Loans!D196)),"")</f>
        <v/>
      </c>
    </row>
    <row r="187" spans="1:13" ht="18" customHeight="1" x14ac:dyDescent="0.25">
      <c r="A187" s="37" t="str">
        <f>IF(Agent01_Loans!B197="","",Agent01_Loans!A197)</f>
        <v/>
      </c>
      <c r="B187" s="37" t="str">
        <f>IF(Agent01_Loans!B197="","",Agent01_Loans!B197)</f>
        <v/>
      </c>
      <c r="C187" s="37" t="str">
        <f>IF(Agent01_Loans!B197="","",Agent01_Loans!C197)</f>
        <v/>
      </c>
      <c r="D187" s="38" t="str">
        <f>IF(Agent01_Loans!B197="","",Agent01_Loans!D197)</f>
        <v/>
      </c>
      <c r="E187" s="40" t="str">
        <f>IF(Agent01_Loans!B197="","",Agent01_Loans!E197)</f>
        <v/>
      </c>
      <c r="F187" s="37" t="str">
        <f>IF(Agent01_Loans!B197="","",Agent01_Loans!F197)</f>
        <v/>
      </c>
      <c r="G187" s="37" t="str">
        <f>IF(Agent01_Loans!B197="","",Agent01_Loans!G197)</f>
        <v/>
      </c>
      <c r="H187" s="37" t="str">
        <f>IF(Agent01_Loans!B197="","",Agent01_Loans!H197)</f>
        <v/>
      </c>
      <c r="I187" s="40" t="str">
        <f>IF(Agent01_Loans!B197="","",Agent01_Loans!I197)</f>
        <v/>
      </c>
      <c r="J187" s="40" t="str">
        <f>IF(Agent01_Loans!B197="","",Agent01_Loans!J197)</f>
        <v/>
      </c>
      <c r="K187" s="37" t="str">
        <f>IF(Agent01_Loans!B197="","",Agent01_Loans!K197)</f>
        <v/>
      </c>
      <c r="L187" s="37" t="str">
        <f>IF(Agent01_Loans!B197="","",Agent01_Loans!L197)</f>
        <v/>
      </c>
      <c r="M187" s="37" t="str">
        <f>IFERROR(IF(Agent01_Loans!B197="","",YEAR(Agent01_Loans!D197)),"")</f>
        <v/>
      </c>
    </row>
    <row r="188" spans="1:13" ht="18" customHeight="1" x14ac:dyDescent="0.25">
      <c r="A188" s="37" t="str">
        <f>IF(Agent01_Loans!B198="","",Agent01_Loans!A198)</f>
        <v/>
      </c>
      <c r="B188" s="37" t="str">
        <f>IF(Agent01_Loans!B198="","",Agent01_Loans!B198)</f>
        <v/>
      </c>
      <c r="C188" s="37" t="str">
        <f>IF(Agent01_Loans!B198="","",Agent01_Loans!C198)</f>
        <v/>
      </c>
      <c r="D188" s="38" t="str">
        <f>IF(Agent01_Loans!B198="","",Agent01_Loans!D198)</f>
        <v/>
      </c>
      <c r="E188" s="40" t="str">
        <f>IF(Agent01_Loans!B198="","",Agent01_Loans!E198)</f>
        <v/>
      </c>
      <c r="F188" s="37" t="str">
        <f>IF(Agent01_Loans!B198="","",Agent01_Loans!F198)</f>
        <v/>
      </c>
      <c r="G188" s="37" t="str">
        <f>IF(Agent01_Loans!B198="","",Agent01_Loans!G198)</f>
        <v/>
      </c>
      <c r="H188" s="37" t="str">
        <f>IF(Agent01_Loans!B198="","",Agent01_Loans!H198)</f>
        <v/>
      </c>
      <c r="I188" s="40" t="str">
        <f>IF(Agent01_Loans!B198="","",Agent01_Loans!I198)</f>
        <v/>
      </c>
      <c r="J188" s="40" t="str">
        <f>IF(Agent01_Loans!B198="","",Agent01_Loans!J198)</f>
        <v/>
      </c>
      <c r="K188" s="37" t="str">
        <f>IF(Agent01_Loans!B198="","",Agent01_Loans!K198)</f>
        <v/>
      </c>
      <c r="L188" s="37" t="str">
        <f>IF(Agent01_Loans!B198="","",Agent01_Loans!L198)</f>
        <v/>
      </c>
      <c r="M188" s="37" t="str">
        <f>IFERROR(IF(Agent01_Loans!B198="","",YEAR(Agent01_Loans!D198)),"")</f>
        <v/>
      </c>
    </row>
    <row r="189" spans="1:13" ht="18" customHeight="1" x14ac:dyDescent="0.25">
      <c r="A189" s="37" t="str">
        <f>IF(Agent01_Loans!B199="","",Agent01_Loans!A199)</f>
        <v/>
      </c>
      <c r="B189" s="37" t="str">
        <f>IF(Agent01_Loans!B199="","",Agent01_Loans!B199)</f>
        <v/>
      </c>
      <c r="C189" s="37" t="str">
        <f>IF(Agent01_Loans!B199="","",Agent01_Loans!C199)</f>
        <v/>
      </c>
      <c r="D189" s="38" t="str">
        <f>IF(Agent01_Loans!B199="","",Agent01_Loans!D199)</f>
        <v/>
      </c>
      <c r="E189" s="40" t="str">
        <f>IF(Agent01_Loans!B199="","",Agent01_Loans!E199)</f>
        <v/>
      </c>
      <c r="F189" s="37" t="str">
        <f>IF(Agent01_Loans!B199="","",Agent01_Loans!F199)</f>
        <v/>
      </c>
      <c r="G189" s="37" t="str">
        <f>IF(Agent01_Loans!B199="","",Agent01_Loans!G199)</f>
        <v/>
      </c>
      <c r="H189" s="37" t="str">
        <f>IF(Agent01_Loans!B199="","",Agent01_Loans!H199)</f>
        <v/>
      </c>
      <c r="I189" s="40" t="str">
        <f>IF(Agent01_Loans!B199="","",Agent01_Loans!I199)</f>
        <v/>
      </c>
      <c r="J189" s="40" t="str">
        <f>IF(Agent01_Loans!B199="","",Agent01_Loans!J199)</f>
        <v/>
      </c>
      <c r="K189" s="37" t="str">
        <f>IF(Agent01_Loans!B199="","",Agent01_Loans!K199)</f>
        <v/>
      </c>
      <c r="L189" s="37" t="str">
        <f>IF(Agent01_Loans!B199="","",Agent01_Loans!L199)</f>
        <v/>
      </c>
      <c r="M189" s="37" t="str">
        <f>IFERROR(IF(Agent01_Loans!B199="","",YEAR(Agent01_Loans!D199)),"")</f>
        <v/>
      </c>
    </row>
    <row r="190" spans="1:13" ht="18" customHeight="1" x14ac:dyDescent="0.25">
      <c r="A190" s="37" t="str">
        <f>IF(Agent01_Loans!B200="","",Agent01_Loans!A200)</f>
        <v/>
      </c>
      <c r="B190" s="37" t="str">
        <f>IF(Agent01_Loans!B200="","",Agent01_Loans!B200)</f>
        <v/>
      </c>
      <c r="C190" s="37" t="str">
        <f>IF(Agent01_Loans!B200="","",Agent01_Loans!C200)</f>
        <v/>
      </c>
      <c r="D190" s="38" t="str">
        <f>IF(Agent01_Loans!B200="","",Agent01_Loans!D200)</f>
        <v/>
      </c>
      <c r="E190" s="40" t="str">
        <f>IF(Agent01_Loans!B200="","",Agent01_Loans!E200)</f>
        <v/>
      </c>
      <c r="F190" s="37" t="str">
        <f>IF(Agent01_Loans!B200="","",Agent01_Loans!F200)</f>
        <v/>
      </c>
      <c r="G190" s="37" t="str">
        <f>IF(Agent01_Loans!B200="","",Agent01_Loans!G200)</f>
        <v/>
      </c>
      <c r="H190" s="37" t="str">
        <f>IF(Agent01_Loans!B200="","",Agent01_Loans!H200)</f>
        <v/>
      </c>
      <c r="I190" s="40" t="str">
        <f>IF(Agent01_Loans!B200="","",Agent01_Loans!I200)</f>
        <v/>
      </c>
      <c r="J190" s="40" t="str">
        <f>IF(Agent01_Loans!B200="","",Agent01_Loans!J200)</f>
        <v/>
      </c>
      <c r="K190" s="37" t="str">
        <f>IF(Agent01_Loans!B200="","",Agent01_Loans!K200)</f>
        <v/>
      </c>
      <c r="L190" s="37" t="str">
        <f>IF(Agent01_Loans!B200="","",Agent01_Loans!L200)</f>
        <v/>
      </c>
      <c r="M190" s="37" t="str">
        <f>IFERROR(IF(Agent01_Loans!B200="","",YEAR(Agent01_Loans!D200)),"")</f>
        <v/>
      </c>
    </row>
    <row r="191" spans="1:13" ht="18" customHeight="1" x14ac:dyDescent="0.25">
      <c r="A191" s="37" t="str">
        <f>IF(Agent01_Loans!B201="","",Agent01_Loans!A201)</f>
        <v/>
      </c>
      <c r="B191" s="37" t="str">
        <f>IF(Agent01_Loans!B201="","",Agent01_Loans!B201)</f>
        <v/>
      </c>
      <c r="C191" s="37" t="str">
        <f>IF(Agent01_Loans!B201="","",Agent01_Loans!C201)</f>
        <v/>
      </c>
      <c r="D191" s="38" t="str">
        <f>IF(Agent01_Loans!B201="","",Agent01_Loans!D201)</f>
        <v/>
      </c>
      <c r="E191" s="40" t="str">
        <f>IF(Agent01_Loans!B201="","",Agent01_Loans!E201)</f>
        <v/>
      </c>
      <c r="F191" s="37" t="str">
        <f>IF(Agent01_Loans!B201="","",Agent01_Loans!F201)</f>
        <v/>
      </c>
      <c r="G191" s="37" t="str">
        <f>IF(Agent01_Loans!B201="","",Agent01_Loans!G201)</f>
        <v/>
      </c>
      <c r="H191" s="37" t="str">
        <f>IF(Agent01_Loans!B201="","",Agent01_Loans!H201)</f>
        <v/>
      </c>
      <c r="I191" s="40" t="str">
        <f>IF(Agent01_Loans!B201="","",Agent01_Loans!I201)</f>
        <v/>
      </c>
      <c r="J191" s="40" t="str">
        <f>IF(Agent01_Loans!B201="","",Agent01_Loans!J201)</f>
        <v/>
      </c>
      <c r="K191" s="37" t="str">
        <f>IF(Agent01_Loans!B201="","",Agent01_Loans!K201)</f>
        <v/>
      </c>
      <c r="L191" s="37" t="str">
        <f>IF(Agent01_Loans!B201="","",Agent01_Loans!L201)</f>
        <v/>
      </c>
      <c r="M191" s="37" t="str">
        <f>IFERROR(IF(Agent01_Loans!B201="","",YEAR(Agent01_Loans!D201)),"")</f>
        <v/>
      </c>
    </row>
    <row r="192" spans="1:13" ht="18" customHeight="1" x14ac:dyDescent="0.25">
      <c r="A192" s="37" t="str">
        <f>IF(Agent01_Loans!B202="","",Agent01_Loans!A202)</f>
        <v/>
      </c>
      <c r="B192" s="37" t="str">
        <f>IF(Agent01_Loans!B202="","",Agent01_Loans!B202)</f>
        <v/>
      </c>
      <c r="C192" s="37" t="str">
        <f>IF(Agent01_Loans!B202="","",Agent01_Loans!C202)</f>
        <v/>
      </c>
      <c r="D192" s="38" t="str">
        <f>IF(Agent01_Loans!B202="","",Agent01_Loans!D202)</f>
        <v/>
      </c>
      <c r="E192" s="40" t="str">
        <f>IF(Agent01_Loans!B202="","",Agent01_Loans!E202)</f>
        <v/>
      </c>
      <c r="F192" s="37" t="str">
        <f>IF(Agent01_Loans!B202="","",Agent01_Loans!F202)</f>
        <v/>
      </c>
      <c r="G192" s="37" t="str">
        <f>IF(Agent01_Loans!B202="","",Agent01_Loans!G202)</f>
        <v/>
      </c>
      <c r="H192" s="37" t="str">
        <f>IF(Agent01_Loans!B202="","",Agent01_Loans!H202)</f>
        <v/>
      </c>
      <c r="I192" s="40" t="str">
        <f>IF(Agent01_Loans!B202="","",Agent01_Loans!I202)</f>
        <v/>
      </c>
      <c r="J192" s="40" t="str">
        <f>IF(Agent01_Loans!B202="","",Agent01_Loans!J202)</f>
        <v/>
      </c>
      <c r="K192" s="37" t="str">
        <f>IF(Agent01_Loans!B202="","",Agent01_Loans!K202)</f>
        <v/>
      </c>
      <c r="L192" s="37" t="str">
        <f>IF(Agent01_Loans!B202="","",Agent01_Loans!L202)</f>
        <v/>
      </c>
      <c r="M192" s="37" t="str">
        <f>IFERROR(IF(Agent01_Loans!B202="","",YEAR(Agent01_Loans!D202)),"")</f>
        <v/>
      </c>
    </row>
    <row r="193" spans="1:13" ht="18" customHeight="1" x14ac:dyDescent="0.25">
      <c r="A193" s="37" t="str">
        <f>IF(Agent01_Loans!B203="","",Agent01_Loans!A203)</f>
        <v/>
      </c>
      <c r="B193" s="37" t="str">
        <f>IF(Agent01_Loans!B203="","",Agent01_Loans!B203)</f>
        <v/>
      </c>
      <c r="C193" s="37" t="str">
        <f>IF(Agent01_Loans!B203="","",Agent01_Loans!C203)</f>
        <v/>
      </c>
      <c r="D193" s="38" t="str">
        <f>IF(Agent01_Loans!B203="","",Agent01_Loans!D203)</f>
        <v/>
      </c>
      <c r="E193" s="40" t="str">
        <f>IF(Agent01_Loans!B203="","",Agent01_Loans!E203)</f>
        <v/>
      </c>
      <c r="F193" s="37" t="str">
        <f>IF(Agent01_Loans!B203="","",Agent01_Loans!F203)</f>
        <v/>
      </c>
      <c r="G193" s="37" t="str">
        <f>IF(Agent01_Loans!B203="","",Agent01_Loans!G203)</f>
        <v/>
      </c>
      <c r="H193" s="37" t="str">
        <f>IF(Agent01_Loans!B203="","",Agent01_Loans!H203)</f>
        <v/>
      </c>
      <c r="I193" s="40" t="str">
        <f>IF(Agent01_Loans!B203="","",Agent01_Loans!I203)</f>
        <v/>
      </c>
      <c r="J193" s="40" t="str">
        <f>IF(Agent01_Loans!B203="","",Agent01_Loans!J203)</f>
        <v/>
      </c>
      <c r="K193" s="37" t="str">
        <f>IF(Agent01_Loans!B203="","",Agent01_Loans!K203)</f>
        <v/>
      </c>
      <c r="L193" s="37" t="str">
        <f>IF(Agent01_Loans!B203="","",Agent01_Loans!L203)</f>
        <v/>
      </c>
      <c r="M193" s="37" t="str">
        <f>IFERROR(IF(Agent01_Loans!B203="","",YEAR(Agent01_Loans!D203)),"")</f>
        <v/>
      </c>
    </row>
    <row r="194" spans="1:13" ht="18" customHeight="1" x14ac:dyDescent="0.25">
      <c r="A194" s="37" t="str">
        <f>IF(Agent01_Loans!B204="","",Agent01_Loans!A204)</f>
        <v/>
      </c>
      <c r="B194" s="37" t="str">
        <f>IF(Agent01_Loans!B204="","",Agent01_Loans!B204)</f>
        <v/>
      </c>
      <c r="C194" s="37" t="str">
        <f>IF(Agent01_Loans!B204="","",Agent01_Loans!C204)</f>
        <v/>
      </c>
      <c r="D194" s="38" t="str">
        <f>IF(Agent01_Loans!B204="","",Agent01_Loans!D204)</f>
        <v/>
      </c>
      <c r="E194" s="40" t="str">
        <f>IF(Agent01_Loans!B204="","",Agent01_Loans!E204)</f>
        <v/>
      </c>
      <c r="F194" s="37" t="str">
        <f>IF(Agent01_Loans!B204="","",Agent01_Loans!F204)</f>
        <v/>
      </c>
      <c r="G194" s="37" t="str">
        <f>IF(Agent01_Loans!B204="","",Agent01_Loans!G204)</f>
        <v/>
      </c>
      <c r="H194" s="37" t="str">
        <f>IF(Agent01_Loans!B204="","",Agent01_Loans!H204)</f>
        <v/>
      </c>
      <c r="I194" s="40" t="str">
        <f>IF(Agent01_Loans!B204="","",Agent01_Loans!I204)</f>
        <v/>
      </c>
      <c r="J194" s="40" t="str">
        <f>IF(Agent01_Loans!B204="","",Agent01_Loans!J204)</f>
        <v/>
      </c>
      <c r="K194" s="37" t="str">
        <f>IF(Agent01_Loans!B204="","",Agent01_Loans!K204)</f>
        <v/>
      </c>
      <c r="L194" s="37" t="str">
        <f>IF(Agent01_Loans!B204="","",Agent01_Loans!L204)</f>
        <v/>
      </c>
      <c r="M194" s="37" t="str">
        <f>IFERROR(IF(Agent01_Loans!B204="","",YEAR(Agent01_Loans!D204)),"")</f>
        <v/>
      </c>
    </row>
    <row r="195" spans="1:13" ht="18" customHeight="1" x14ac:dyDescent="0.25">
      <c r="A195" s="37" t="str">
        <f>IF(Agent01_Loans!B205="","",Agent01_Loans!A205)</f>
        <v/>
      </c>
      <c r="B195" s="37" t="str">
        <f>IF(Agent01_Loans!B205="","",Agent01_Loans!B205)</f>
        <v/>
      </c>
      <c r="C195" s="37" t="str">
        <f>IF(Agent01_Loans!B205="","",Agent01_Loans!C205)</f>
        <v/>
      </c>
      <c r="D195" s="38" t="str">
        <f>IF(Agent01_Loans!B205="","",Agent01_Loans!D205)</f>
        <v/>
      </c>
      <c r="E195" s="40" t="str">
        <f>IF(Agent01_Loans!B205="","",Agent01_Loans!E205)</f>
        <v/>
      </c>
      <c r="F195" s="37" t="str">
        <f>IF(Agent01_Loans!B205="","",Agent01_Loans!F205)</f>
        <v/>
      </c>
      <c r="G195" s="37" t="str">
        <f>IF(Agent01_Loans!B205="","",Agent01_Loans!G205)</f>
        <v/>
      </c>
      <c r="H195" s="37" t="str">
        <f>IF(Agent01_Loans!B205="","",Agent01_Loans!H205)</f>
        <v/>
      </c>
      <c r="I195" s="40" t="str">
        <f>IF(Agent01_Loans!B205="","",Agent01_Loans!I205)</f>
        <v/>
      </c>
      <c r="J195" s="40" t="str">
        <f>IF(Agent01_Loans!B205="","",Agent01_Loans!J205)</f>
        <v/>
      </c>
      <c r="K195" s="37" t="str">
        <f>IF(Agent01_Loans!B205="","",Agent01_Loans!K205)</f>
        <v/>
      </c>
      <c r="L195" s="37" t="str">
        <f>IF(Agent01_Loans!B205="","",Agent01_Loans!L205)</f>
        <v/>
      </c>
      <c r="M195" s="37" t="str">
        <f>IFERROR(IF(Agent01_Loans!B205="","",YEAR(Agent01_Loans!D205)),"")</f>
        <v/>
      </c>
    </row>
    <row r="196" spans="1:13" ht="18" customHeight="1" x14ac:dyDescent="0.25">
      <c r="A196" s="37" t="str">
        <f>IF(Agent01_Loans!B206="","",Agent01_Loans!A206)</f>
        <v/>
      </c>
      <c r="B196" s="37" t="str">
        <f>IF(Agent01_Loans!B206="","",Agent01_Loans!B206)</f>
        <v/>
      </c>
      <c r="C196" s="37" t="str">
        <f>IF(Agent01_Loans!B206="","",Agent01_Loans!C206)</f>
        <v/>
      </c>
      <c r="D196" s="38" t="str">
        <f>IF(Agent01_Loans!B206="","",Agent01_Loans!D206)</f>
        <v/>
      </c>
      <c r="E196" s="40" t="str">
        <f>IF(Agent01_Loans!B206="","",Agent01_Loans!E206)</f>
        <v/>
      </c>
      <c r="F196" s="37" t="str">
        <f>IF(Agent01_Loans!B206="","",Agent01_Loans!F206)</f>
        <v/>
      </c>
      <c r="G196" s="37" t="str">
        <f>IF(Agent01_Loans!B206="","",Agent01_Loans!G206)</f>
        <v/>
      </c>
      <c r="H196" s="37" t="str">
        <f>IF(Agent01_Loans!B206="","",Agent01_Loans!H206)</f>
        <v/>
      </c>
      <c r="I196" s="40" t="str">
        <f>IF(Agent01_Loans!B206="","",Agent01_Loans!I206)</f>
        <v/>
      </c>
      <c r="J196" s="40" t="str">
        <f>IF(Agent01_Loans!B206="","",Agent01_Loans!J206)</f>
        <v/>
      </c>
      <c r="K196" s="37" t="str">
        <f>IF(Agent01_Loans!B206="","",Agent01_Loans!K206)</f>
        <v/>
      </c>
      <c r="L196" s="37" t="str">
        <f>IF(Agent01_Loans!B206="","",Agent01_Loans!L206)</f>
        <v/>
      </c>
      <c r="M196" s="37" t="str">
        <f>IFERROR(IF(Agent01_Loans!B206="","",YEAR(Agent01_Loans!D206)),"")</f>
        <v/>
      </c>
    </row>
    <row r="197" spans="1:13" ht="18" customHeight="1" x14ac:dyDescent="0.25">
      <c r="A197" s="37" t="str">
        <f>IF(Agent01_Loans!B207="","",Agent01_Loans!A207)</f>
        <v/>
      </c>
      <c r="B197" s="37" t="str">
        <f>IF(Agent01_Loans!B207="","",Agent01_Loans!B207)</f>
        <v/>
      </c>
      <c r="C197" s="37" t="str">
        <f>IF(Agent01_Loans!B207="","",Agent01_Loans!C207)</f>
        <v/>
      </c>
      <c r="D197" s="38" t="str">
        <f>IF(Agent01_Loans!B207="","",Agent01_Loans!D207)</f>
        <v/>
      </c>
      <c r="E197" s="40" t="str">
        <f>IF(Agent01_Loans!B207="","",Agent01_Loans!E207)</f>
        <v/>
      </c>
      <c r="F197" s="37" t="str">
        <f>IF(Agent01_Loans!B207="","",Agent01_Loans!F207)</f>
        <v/>
      </c>
      <c r="G197" s="37" t="str">
        <f>IF(Agent01_Loans!B207="","",Agent01_Loans!G207)</f>
        <v/>
      </c>
      <c r="H197" s="37" t="str">
        <f>IF(Agent01_Loans!B207="","",Agent01_Loans!H207)</f>
        <v/>
      </c>
      <c r="I197" s="40" t="str">
        <f>IF(Agent01_Loans!B207="","",Agent01_Loans!I207)</f>
        <v/>
      </c>
      <c r="J197" s="40" t="str">
        <f>IF(Agent01_Loans!B207="","",Agent01_Loans!J207)</f>
        <v/>
      </c>
      <c r="K197" s="37" t="str">
        <f>IF(Agent01_Loans!B207="","",Agent01_Loans!K207)</f>
        <v/>
      </c>
      <c r="L197" s="37" t="str">
        <f>IF(Agent01_Loans!B207="","",Agent01_Loans!L207)</f>
        <v/>
      </c>
      <c r="M197" s="37" t="str">
        <f>IFERROR(IF(Agent01_Loans!B207="","",YEAR(Agent01_Loans!D207)),"")</f>
        <v/>
      </c>
    </row>
    <row r="198" spans="1:13" ht="18" customHeight="1" x14ac:dyDescent="0.25">
      <c r="A198" s="37" t="str">
        <f>IF(Agent01_Loans!B208="","",Agent01_Loans!A208)</f>
        <v/>
      </c>
      <c r="B198" s="37" t="str">
        <f>IF(Agent01_Loans!B208="","",Agent01_Loans!B208)</f>
        <v/>
      </c>
      <c r="C198" s="37" t="str">
        <f>IF(Agent01_Loans!B208="","",Agent01_Loans!C208)</f>
        <v/>
      </c>
      <c r="D198" s="38" t="str">
        <f>IF(Agent01_Loans!B208="","",Agent01_Loans!D208)</f>
        <v/>
      </c>
      <c r="E198" s="40" t="str">
        <f>IF(Agent01_Loans!B208="","",Agent01_Loans!E208)</f>
        <v/>
      </c>
      <c r="F198" s="37" t="str">
        <f>IF(Agent01_Loans!B208="","",Agent01_Loans!F208)</f>
        <v/>
      </c>
      <c r="G198" s="37" t="str">
        <f>IF(Agent01_Loans!B208="","",Agent01_Loans!G208)</f>
        <v/>
      </c>
      <c r="H198" s="37" t="str">
        <f>IF(Agent01_Loans!B208="","",Agent01_Loans!H208)</f>
        <v/>
      </c>
      <c r="I198" s="40" t="str">
        <f>IF(Agent01_Loans!B208="","",Agent01_Loans!I208)</f>
        <v/>
      </c>
      <c r="J198" s="40" t="str">
        <f>IF(Agent01_Loans!B208="","",Agent01_Loans!J208)</f>
        <v/>
      </c>
      <c r="K198" s="37" t="str">
        <f>IF(Agent01_Loans!B208="","",Agent01_Loans!K208)</f>
        <v/>
      </c>
      <c r="L198" s="37" t="str">
        <f>IF(Agent01_Loans!B208="","",Agent01_Loans!L208)</f>
        <v/>
      </c>
      <c r="M198" s="37" t="str">
        <f>IFERROR(IF(Agent01_Loans!B208="","",YEAR(Agent01_Loans!D208)),"")</f>
        <v/>
      </c>
    </row>
    <row r="199" spans="1:13" ht="18" customHeight="1" x14ac:dyDescent="0.25">
      <c r="A199" s="37" t="str">
        <f>IF(Agent01_Loans!B209="","",Agent01_Loans!A209)</f>
        <v/>
      </c>
      <c r="B199" s="37" t="str">
        <f>IF(Agent01_Loans!B209="","",Agent01_Loans!B209)</f>
        <v/>
      </c>
      <c r="C199" s="37" t="str">
        <f>IF(Agent01_Loans!B209="","",Agent01_Loans!C209)</f>
        <v/>
      </c>
      <c r="D199" s="38" t="str">
        <f>IF(Agent01_Loans!B209="","",Agent01_Loans!D209)</f>
        <v/>
      </c>
      <c r="E199" s="40" t="str">
        <f>IF(Agent01_Loans!B209="","",Agent01_Loans!E209)</f>
        <v/>
      </c>
      <c r="F199" s="37" t="str">
        <f>IF(Agent01_Loans!B209="","",Agent01_Loans!F209)</f>
        <v/>
      </c>
      <c r="G199" s="37" t="str">
        <f>IF(Agent01_Loans!B209="","",Agent01_Loans!G209)</f>
        <v/>
      </c>
      <c r="H199" s="37" t="str">
        <f>IF(Agent01_Loans!B209="","",Agent01_Loans!H209)</f>
        <v/>
      </c>
      <c r="I199" s="40" t="str">
        <f>IF(Agent01_Loans!B209="","",Agent01_Loans!I209)</f>
        <v/>
      </c>
      <c r="J199" s="40" t="str">
        <f>IF(Agent01_Loans!B209="","",Agent01_Loans!J209)</f>
        <v/>
      </c>
      <c r="K199" s="37" t="str">
        <f>IF(Agent01_Loans!B209="","",Agent01_Loans!K209)</f>
        <v/>
      </c>
      <c r="L199" s="37" t="str">
        <f>IF(Agent01_Loans!B209="","",Agent01_Loans!L209)</f>
        <v/>
      </c>
      <c r="M199" s="37" t="str">
        <f>IFERROR(IF(Agent01_Loans!B209="","",YEAR(Agent01_Loans!D209)),"")</f>
        <v/>
      </c>
    </row>
    <row r="200" spans="1:13" ht="18" customHeight="1" x14ac:dyDescent="0.25">
      <c r="A200" s="37" t="str">
        <f>IF(Agent01_Loans!B210="","",Agent01_Loans!A210)</f>
        <v/>
      </c>
      <c r="B200" s="37" t="str">
        <f>IF(Agent01_Loans!B210="","",Agent01_Loans!B210)</f>
        <v/>
      </c>
      <c r="C200" s="37" t="str">
        <f>IF(Agent01_Loans!B210="","",Agent01_Loans!C210)</f>
        <v/>
      </c>
      <c r="D200" s="38" t="str">
        <f>IF(Agent01_Loans!B210="","",Agent01_Loans!D210)</f>
        <v/>
      </c>
      <c r="E200" s="40" t="str">
        <f>IF(Agent01_Loans!B210="","",Agent01_Loans!E210)</f>
        <v/>
      </c>
      <c r="F200" s="37" t="str">
        <f>IF(Agent01_Loans!B210="","",Agent01_Loans!F210)</f>
        <v/>
      </c>
      <c r="G200" s="37" t="str">
        <f>IF(Agent01_Loans!B210="","",Agent01_Loans!G210)</f>
        <v/>
      </c>
      <c r="H200" s="37" t="str">
        <f>IF(Agent01_Loans!B210="","",Agent01_Loans!H210)</f>
        <v/>
      </c>
      <c r="I200" s="40" t="str">
        <f>IF(Agent01_Loans!B210="","",Agent01_Loans!I210)</f>
        <v/>
      </c>
      <c r="J200" s="40" t="str">
        <f>IF(Agent01_Loans!B210="","",Agent01_Loans!J210)</f>
        <v/>
      </c>
      <c r="K200" s="37" t="str">
        <f>IF(Agent01_Loans!B210="","",Agent01_Loans!K210)</f>
        <v/>
      </c>
      <c r="L200" s="37" t="str">
        <f>IF(Agent01_Loans!B210="","",Agent01_Loans!L210)</f>
        <v/>
      </c>
      <c r="M200" s="37" t="str">
        <f>IFERROR(IF(Agent01_Loans!B210="","",YEAR(Agent01_Loans!D210)),"")</f>
        <v/>
      </c>
    </row>
    <row r="201" spans="1:13" ht="18" customHeight="1" x14ac:dyDescent="0.25">
      <c r="A201" s="37" t="str">
        <f>IF(Agent01_Loans!B211="","",Agent01_Loans!A211)</f>
        <v/>
      </c>
      <c r="B201" s="37" t="str">
        <f>IF(Agent01_Loans!B211="","",Agent01_Loans!B211)</f>
        <v/>
      </c>
      <c r="C201" s="37" t="str">
        <f>IF(Agent01_Loans!B211="","",Agent01_Loans!C211)</f>
        <v/>
      </c>
      <c r="D201" s="38" t="str">
        <f>IF(Agent01_Loans!B211="","",Agent01_Loans!D211)</f>
        <v/>
      </c>
      <c r="E201" s="40" t="str">
        <f>IF(Agent01_Loans!B211="","",Agent01_Loans!E211)</f>
        <v/>
      </c>
      <c r="F201" s="37" t="str">
        <f>IF(Agent01_Loans!B211="","",Agent01_Loans!F211)</f>
        <v/>
      </c>
      <c r="G201" s="37" t="str">
        <f>IF(Agent01_Loans!B211="","",Agent01_Loans!G211)</f>
        <v/>
      </c>
      <c r="H201" s="37" t="str">
        <f>IF(Agent01_Loans!B211="","",Agent01_Loans!H211)</f>
        <v/>
      </c>
      <c r="I201" s="40" t="str">
        <f>IF(Agent01_Loans!B211="","",Agent01_Loans!I211)</f>
        <v/>
      </c>
      <c r="J201" s="40" t="str">
        <f>IF(Agent01_Loans!B211="","",Agent01_Loans!J211)</f>
        <v/>
      </c>
      <c r="K201" s="37" t="str">
        <f>IF(Agent01_Loans!B211="","",Agent01_Loans!K211)</f>
        <v/>
      </c>
      <c r="L201" s="37" t="str">
        <f>IF(Agent01_Loans!B211="","",Agent01_Loans!L211)</f>
        <v/>
      </c>
      <c r="M201" s="37" t="str">
        <f>IFERROR(IF(Agent01_Loans!B211="","",YEAR(Agent01_Loans!D211)),"")</f>
        <v/>
      </c>
    </row>
    <row r="202" spans="1:13" ht="18" customHeight="1" x14ac:dyDescent="0.25">
      <c r="A202" s="37" t="str">
        <f>IF(Agent01_Loans!B212="","",Agent01_Loans!A212)</f>
        <v/>
      </c>
      <c r="B202" s="37" t="str">
        <f>IF(Agent01_Loans!B212="","",Agent01_Loans!B212)</f>
        <v/>
      </c>
      <c r="C202" s="37" t="str">
        <f>IF(Agent01_Loans!B212="","",Agent01_Loans!C212)</f>
        <v/>
      </c>
      <c r="D202" s="38" t="str">
        <f>IF(Agent01_Loans!B212="","",Agent01_Loans!D212)</f>
        <v/>
      </c>
      <c r="E202" s="40" t="str">
        <f>IF(Agent01_Loans!B212="","",Agent01_Loans!E212)</f>
        <v/>
      </c>
      <c r="F202" s="37" t="str">
        <f>IF(Agent01_Loans!B212="","",Agent01_Loans!F212)</f>
        <v/>
      </c>
      <c r="G202" s="37" t="str">
        <f>IF(Agent01_Loans!B212="","",Agent01_Loans!G212)</f>
        <v/>
      </c>
      <c r="H202" s="37" t="str">
        <f>IF(Agent01_Loans!B212="","",Agent01_Loans!H212)</f>
        <v/>
      </c>
      <c r="I202" s="40" t="str">
        <f>IF(Agent01_Loans!B212="","",Agent01_Loans!I212)</f>
        <v/>
      </c>
      <c r="J202" s="40" t="str">
        <f>IF(Agent01_Loans!B212="","",Agent01_Loans!J212)</f>
        <v/>
      </c>
      <c r="K202" s="37" t="str">
        <f>IF(Agent01_Loans!B212="","",Agent01_Loans!K212)</f>
        <v/>
      </c>
      <c r="L202" s="37" t="str">
        <f>IF(Agent01_Loans!B212="","",Agent01_Loans!L212)</f>
        <v/>
      </c>
      <c r="M202" s="37" t="str">
        <f>IFERROR(IF(Agent01_Loans!B212="","",YEAR(Agent01_Loans!D212)),"")</f>
        <v/>
      </c>
    </row>
    <row r="203" spans="1:13" ht="18" customHeight="1" x14ac:dyDescent="0.25">
      <c r="A203" s="37" t="str">
        <f>IF(Agent01_Loans!B213="","",Agent01_Loans!A213)</f>
        <v/>
      </c>
      <c r="B203" s="37" t="str">
        <f>IF(Agent01_Loans!B213="","",Agent01_Loans!B213)</f>
        <v/>
      </c>
      <c r="C203" s="37" t="str">
        <f>IF(Agent01_Loans!B213="","",Agent01_Loans!C213)</f>
        <v/>
      </c>
      <c r="D203" s="38" t="str">
        <f>IF(Agent01_Loans!B213="","",Agent01_Loans!D213)</f>
        <v/>
      </c>
      <c r="E203" s="40" t="str">
        <f>IF(Agent01_Loans!B213="","",Agent01_Loans!E213)</f>
        <v/>
      </c>
      <c r="F203" s="37" t="str">
        <f>IF(Agent01_Loans!B213="","",Agent01_Loans!F213)</f>
        <v/>
      </c>
      <c r="G203" s="37" t="str">
        <f>IF(Agent01_Loans!B213="","",Agent01_Loans!G213)</f>
        <v/>
      </c>
      <c r="H203" s="37" t="str">
        <f>IF(Agent01_Loans!B213="","",Agent01_Loans!H213)</f>
        <v/>
      </c>
      <c r="I203" s="40" t="str">
        <f>IF(Agent01_Loans!B213="","",Agent01_Loans!I213)</f>
        <v/>
      </c>
      <c r="J203" s="40" t="str">
        <f>IF(Agent01_Loans!B213="","",Agent01_Loans!J213)</f>
        <v/>
      </c>
      <c r="K203" s="37" t="str">
        <f>IF(Agent01_Loans!B213="","",Agent01_Loans!K213)</f>
        <v/>
      </c>
      <c r="L203" s="37" t="str">
        <f>IF(Agent01_Loans!B213="","",Agent01_Loans!L213)</f>
        <v/>
      </c>
      <c r="M203" s="37" t="str">
        <f>IFERROR(IF(Agent01_Loans!B213="","",YEAR(Agent01_Loans!D213)),"")</f>
        <v/>
      </c>
    </row>
    <row r="204" spans="1:13" ht="18" customHeight="1" x14ac:dyDescent="0.25">
      <c r="A204" s="37" t="str">
        <f>IF(Agent02_Loans!B14="","",Agent02_Loans!A14)</f>
        <v/>
      </c>
      <c r="B204" s="37" t="str">
        <f>IF(Agent02_Loans!B14="","",Agent02_Loans!B14)</f>
        <v/>
      </c>
      <c r="C204" s="37" t="str">
        <f>IF(Agent02_Loans!B14="","",Agent02_Loans!C14)</f>
        <v/>
      </c>
      <c r="D204" s="38" t="str">
        <f>IF(Agent02_Loans!B14="","",Agent02_Loans!D14)</f>
        <v/>
      </c>
      <c r="E204" s="40" t="str">
        <f>IF(Agent02_Loans!B14="","",Agent02_Loans!E14)</f>
        <v/>
      </c>
      <c r="F204" s="37" t="str">
        <f>IF(Agent02_Loans!B14="","",Agent02_Loans!F14)</f>
        <v/>
      </c>
      <c r="G204" s="37" t="str">
        <f>IF(Agent02_Loans!B14="","",Agent02_Loans!G14)</f>
        <v/>
      </c>
      <c r="H204" s="37" t="str">
        <f>IF(Agent02_Loans!B14="","",Agent02_Loans!H14)</f>
        <v/>
      </c>
      <c r="I204" s="40" t="str">
        <f>IF(Agent02_Loans!B14="","",Agent02_Loans!I14)</f>
        <v/>
      </c>
      <c r="J204" s="40" t="str">
        <f>IF(Agent02_Loans!B14="","",Agent02_Loans!J14)</f>
        <v/>
      </c>
      <c r="K204" s="37" t="str">
        <f>IF(Agent02_Loans!B14="","",Agent02_Loans!K14)</f>
        <v/>
      </c>
      <c r="L204" s="37" t="str">
        <f>IF(Agent02_Loans!B14="","",Agent02_Loans!L14)</f>
        <v/>
      </c>
      <c r="M204" s="37" t="str">
        <f>IFERROR(IF(Agent02_Loans!B14="","",YEAR(Agent02_Loans!D14)),"")</f>
        <v/>
      </c>
    </row>
    <row r="205" spans="1:13" ht="18" customHeight="1" x14ac:dyDescent="0.25">
      <c r="A205" s="37" t="str">
        <f>IF(Agent02_Loans!B15="","",Agent02_Loans!A15)</f>
        <v/>
      </c>
      <c r="B205" s="37" t="str">
        <f>IF(Agent02_Loans!B15="","",Agent02_Loans!B15)</f>
        <v/>
      </c>
      <c r="C205" s="37" t="str">
        <f>IF(Agent02_Loans!B15="","",Agent02_Loans!C15)</f>
        <v/>
      </c>
      <c r="D205" s="38" t="str">
        <f>IF(Agent02_Loans!B15="","",Agent02_Loans!D15)</f>
        <v/>
      </c>
      <c r="E205" s="40" t="str">
        <f>IF(Agent02_Loans!B15="","",Agent02_Loans!E15)</f>
        <v/>
      </c>
      <c r="F205" s="37" t="str">
        <f>IF(Agent02_Loans!B15="","",Agent02_Loans!F15)</f>
        <v/>
      </c>
      <c r="G205" s="37" t="str">
        <f>IF(Agent02_Loans!B15="","",Agent02_Loans!G15)</f>
        <v/>
      </c>
      <c r="H205" s="37" t="str">
        <f>IF(Agent02_Loans!B15="","",Agent02_Loans!H15)</f>
        <v/>
      </c>
      <c r="I205" s="40" t="str">
        <f>IF(Agent02_Loans!B15="","",Agent02_Loans!I15)</f>
        <v/>
      </c>
      <c r="J205" s="40" t="str">
        <f>IF(Agent02_Loans!B15="","",Agent02_Loans!J15)</f>
        <v/>
      </c>
      <c r="K205" s="37" t="str">
        <f>IF(Agent02_Loans!B15="","",Agent02_Loans!K15)</f>
        <v/>
      </c>
      <c r="L205" s="37" t="str">
        <f>IF(Agent02_Loans!B15="","",Agent02_Loans!L15)</f>
        <v/>
      </c>
      <c r="M205" s="37" t="str">
        <f>IFERROR(IF(Agent02_Loans!B15="","",YEAR(Agent02_Loans!D15)),"")</f>
        <v/>
      </c>
    </row>
    <row r="206" spans="1:13" ht="18" customHeight="1" x14ac:dyDescent="0.25">
      <c r="A206" s="37" t="str">
        <f>IF(Agent02_Loans!B16="","",Agent02_Loans!A16)</f>
        <v/>
      </c>
      <c r="B206" s="37" t="str">
        <f>IF(Agent02_Loans!B16="","",Agent02_Loans!B16)</f>
        <v/>
      </c>
      <c r="C206" s="37" t="str">
        <f>IF(Agent02_Loans!B16="","",Agent02_Loans!C16)</f>
        <v/>
      </c>
      <c r="D206" s="38" t="str">
        <f>IF(Agent02_Loans!B16="","",Agent02_Loans!D16)</f>
        <v/>
      </c>
      <c r="E206" s="40" t="str">
        <f>IF(Agent02_Loans!B16="","",Agent02_Loans!E16)</f>
        <v/>
      </c>
      <c r="F206" s="37" t="str">
        <f>IF(Agent02_Loans!B16="","",Agent02_Loans!F16)</f>
        <v/>
      </c>
      <c r="G206" s="37" t="str">
        <f>IF(Agent02_Loans!B16="","",Agent02_Loans!G16)</f>
        <v/>
      </c>
      <c r="H206" s="37" t="str">
        <f>IF(Agent02_Loans!B16="","",Agent02_Loans!H16)</f>
        <v/>
      </c>
      <c r="I206" s="40" t="str">
        <f>IF(Agent02_Loans!B16="","",Agent02_Loans!I16)</f>
        <v/>
      </c>
      <c r="J206" s="40" t="str">
        <f>IF(Agent02_Loans!B16="","",Agent02_Loans!J16)</f>
        <v/>
      </c>
      <c r="K206" s="37" t="str">
        <f>IF(Agent02_Loans!B16="","",Agent02_Loans!K16)</f>
        <v/>
      </c>
      <c r="L206" s="37" t="str">
        <f>IF(Agent02_Loans!B16="","",Agent02_Loans!L16)</f>
        <v/>
      </c>
      <c r="M206" s="37" t="str">
        <f>IFERROR(IF(Agent02_Loans!B16="","",YEAR(Agent02_Loans!D16)),"")</f>
        <v/>
      </c>
    </row>
    <row r="207" spans="1:13" ht="18" customHeight="1" x14ac:dyDescent="0.25">
      <c r="A207" s="37" t="str">
        <f>IF(Agent02_Loans!B17="","",Agent02_Loans!A17)</f>
        <v/>
      </c>
      <c r="B207" s="37" t="str">
        <f>IF(Agent02_Loans!B17="","",Agent02_Loans!B17)</f>
        <v/>
      </c>
      <c r="C207" s="37" t="str">
        <f>IF(Agent02_Loans!B17="","",Agent02_Loans!C17)</f>
        <v/>
      </c>
      <c r="D207" s="38" t="str">
        <f>IF(Agent02_Loans!B17="","",Agent02_Loans!D17)</f>
        <v/>
      </c>
      <c r="E207" s="40" t="str">
        <f>IF(Agent02_Loans!B17="","",Agent02_Loans!E17)</f>
        <v/>
      </c>
      <c r="F207" s="37" t="str">
        <f>IF(Agent02_Loans!B17="","",Agent02_Loans!F17)</f>
        <v/>
      </c>
      <c r="G207" s="37" t="str">
        <f>IF(Agent02_Loans!B17="","",Agent02_Loans!G17)</f>
        <v/>
      </c>
      <c r="H207" s="37" t="str">
        <f>IF(Agent02_Loans!B17="","",Agent02_Loans!H17)</f>
        <v/>
      </c>
      <c r="I207" s="40" t="str">
        <f>IF(Agent02_Loans!B17="","",Agent02_Loans!I17)</f>
        <v/>
      </c>
      <c r="J207" s="40" t="str">
        <f>IF(Agent02_Loans!B17="","",Agent02_Loans!J17)</f>
        <v/>
      </c>
      <c r="K207" s="37" t="str">
        <f>IF(Agent02_Loans!B17="","",Agent02_Loans!K17)</f>
        <v/>
      </c>
      <c r="L207" s="37" t="str">
        <f>IF(Agent02_Loans!B17="","",Agent02_Loans!L17)</f>
        <v/>
      </c>
      <c r="M207" s="37" t="str">
        <f>IFERROR(IF(Agent02_Loans!B17="","",YEAR(Agent02_Loans!D17)),"")</f>
        <v/>
      </c>
    </row>
    <row r="208" spans="1:13" ht="18" customHeight="1" x14ac:dyDescent="0.25">
      <c r="A208" s="37" t="str">
        <f>IF(Agent02_Loans!B18="","",Agent02_Loans!A18)</f>
        <v/>
      </c>
      <c r="B208" s="37" t="str">
        <f>IF(Agent02_Loans!B18="","",Agent02_Loans!B18)</f>
        <v/>
      </c>
      <c r="C208" s="37" t="str">
        <f>IF(Agent02_Loans!B18="","",Agent02_Loans!C18)</f>
        <v/>
      </c>
      <c r="D208" s="38" t="str">
        <f>IF(Agent02_Loans!B18="","",Agent02_Loans!D18)</f>
        <v/>
      </c>
      <c r="E208" s="40" t="str">
        <f>IF(Agent02_Loans!B18="","",Agent02_Loans!E18)</f>
        <v/>
      </c>
      <c r="F208" s="37" t="str">
        <f>IF(Agent02_Loans!B18="","",Agent02_Loans!F18)</f>
        <v/>
      </c>
      <c r="G208" s="37" t="str">
        <f>IF(Agent02_Loans!B18="","",Agent02_Loans!G18)</f>
        <v/>
      </c>
      <c r="H208" s="37" t="str">
        <f>IF(Agent02_Loans!B18="","",Agent02_Loans!H18)</f>
        <v/>
      </c>
      <c r="I208" s="40" t="str">
        <f>IF(Agent02_Loans!B18="","",Agent02_Loans!I18)</f>
        <v/>
      </c>
      <c r="J208" s="40" t="str">
        <f>IF(Agent02_Loans!B18="","",Agent02_Loans!J18)</f>
        <v/>
      </c>
      <c r="K208" s="37" t="str">
        <f>IF(Agent02_Loans!B18="","",Agent02_Loans!K18)</f>
        <v/>
      </c>
      <c r="L208" s="37" t="str">
        <f>IF(Agent02_Loans!B18="","",Agent02_Loans!L18)</f>
        <v/>
      </c>
      <c r="M208" s="37" t="str">
        <f>IFERROR(IF(Agent02_Loans!B18="","",YEAR(Agent02_Loans!D18)),"")</f>
        <v/>
      </c>
    </row>
    <row r="209" spans="1:13" ht="18" customHeight="1" x14ac:dyDescent="0.25">
      <c r="A209" s="37" t="str">
        <f>IF(Agent02_Loans!B19="","",Agent02_Loans!A19)</f>
        <v/>
      </c>
      <c r="B209" s="37" t="str">
        <f>IF(Agent02_Loans!B19="","",Agent02_Loans!B19)</f>
        <v/>
      </c>
      <c r="C209" s="37" t="str">
        <f>IF(Agent02_Loans!B19="","",Agent02_Loans!C19)</f>
        <v/>
      </c>
      <c r="D209" s="38" t="str">
        <f>IF(Agent02_Loans!B19="","",Agent02_Loans!D19)</f>
        <v/>
      </c>
      <c r="E209" s="40" t="str">
        <f>IF(Agent02_Loans!B19="","",Agent02_Loans!E19)</f>
        <v/>
      </c>
      <c r="F209" s="37" t="str">
        <f>IF(Agent02_Loans!B19="","",Agent02_Loans!F19)</f>
        <v/>
      </c>
      <c r="G209" s="37" t="str">
        <f>IF(Agent02_Loans!B19="","",Agent02_Loans!G19)</f>
        <v/>
      </c>
      <c r="H209" s="37" t="str">
        <f>IF(Agent02_Loans!B19="","",Agent02_Loans!H19)</f>
        <v/>
      </c>
      <c r="I209" s="40" t="str">
        <f>IF(Agent02_Loans!B19="","",Agent02_Loans!I19)</f>
        <v/>
      </c>
      <c r="J209" s="40" t="str">
        <f>IF(Agent02_Loans!B19="","",Agent02_Loans!J19)</f>
        <v/>
      </c>
      <c r="K209" s="37" t="str">
        <f>IF(Agent02_Loans!B19="","",Agent02_Loans!K19)</f>
        <v/>
      </c>
      <c r="L209" s="37" t="str">
        <f>IF(Agent02_Loans!B19="","",Agent02_Loans!L19)</f>
        <v/>
      </c>
      <c r="M209" s="37" t="str">
        <f>IFERROR(IF(Agent02_Loans!B19="","",YEAR(Agent02_Loans!D19)),"")</f>
        <v/>
      </c>
    </row>
    <row r="210" spans="1:13" ht="18" customHeight="1" x14ac:dyDescent="0.25">
      <c r="A210" s="37" t="str">
        <f>IF(Agent02_Loans!B20="","",Agent02_Loans!A20)</f>
        <v/>
      </c>
      <c r="B210" s="37" t="str">
        <f>IF(Agent02_Loans!B20="","",Agent02_Loans!B20)</f>
        <v/>
      </c>
      <c r="C210" s="37" t="str">
        <f>IF(Agent02_Loans!B20="","",Agent02_Loans!C20)</f>
        <v/>
      </c>
      <c r="D210" s="38" t="str">
        <f>IF(Agent02_Loans!B20="","",Agent02_Loans!D20)</f>
        <v/>
      </c>
      <c r="E210" s="40" t="str">
        <f>IF(Agent02_Loans!B20="","",Agent02_Loans!E20)</f>
        <v/>
      </c>
      <c r="F210" s="37" t="str">
        <f>IF(Agent02_Loans!B20="","",Agent02_Loans!F20)</f>
        <v/>
      </c>
      <c r="G210" s="37" t="str">
        <f>IF(Agent02_Loans!B20="","",Agent02_Loans!G20)</f>
        <v/>
      </c>
      <c r="H210" s="37" t="str">
        <f>IF(Agent02_Loans!B20="","",Agent02_Loans!H20)</f>
        <v/>
      </c>
      <c r="I210" s="40" t="str">
        <f>IF(Agent02_Loans!B20="","",Agent02_Loans!I20)</f>
        <v/>
      </c>
      <c r="J210" s="40" t="str">
        <f>IF(Agent02_Loans!B20="","",Agent02_Loans!J20)</f>
        <v/>
      </c>
      <c r="K210" s="37" t="str">
        <f>IF(Agent02_Loans!B20="","",Agent02_Loans!K20)</f>
        <v/>
      </c>
      <c r="L210" s="37" t="str">
        <f>IF(Agent02_Loans!B20="","",Agent02_Loans!L20)</f>
        <v/>
      </c>
      <c r="M210" s="37" t="str">
        <f>IFERROR(IF(Agent02_Loans!B20="","",YEAR(Agent02_Loans!D20)),"")</f>
        <v/>
      </c>
    </row>
    <row r="211" spans="1:13" ht="18" customHeight="1" x14ac:dyDescent="0.25">
      <c r="A211" s="37" t="str">
        <f>IF(Agent02_Loans!B21="","",Agent02_Loans!A21)</f>
        <v/>
      </c>
      <c r="B211" s="37" t="str">
        <f>IF(Agent02_Loans!B21="","",Agent02_Loans!B21)</f>
        <v/>
      </c>
      <c r="C211" s="37" t="str">
        <f>IF(Agent02_Loans!B21="","",Agent02_Loans!C21)</f>
        <v/>
      </c>
      <c r="D211" s="38" t="str">
        <f>IF(Agent02_Loans!B21="","",Agent02_Loans!D21)</f>
        <v/>
      </c>
      <c r="E211" s="40" t="str">
        <f>IF(Agent02_Loans!B21="","",Agent02_Loans!E21)</f>
        <v/>
      </c>
      <c r="F211" s="37" t="str">
        <f>IF(Agent02_Loans!B21="","",Agent02_Loans!F21)</f>
        <v/>
      </c>
      <c r="G211" s="37" t="str">
        <f>IF(Agent02_Loans!B21="","",Agent02_Loans!G21)</f>
        <v/>
      </c>
      <c r="H211" s="37" t="str">
        <f>IF(Agent02_Loans!B21="","",Agent02_Loans!H21)</f>
        <v/>
      </c>
      <c r="I211" s="40" t="str">
        <f>IF(Agent02_Loans!B21="","",Agent02_Loans!I21)</f>
        <v/>
      </c>
      <c r="J211" s="40" t="str">
        <f>IF(Agent02_Loans!B21="","",Agent02_Loans!J21)</f>
        <v/>
      </c>
      <c r="K211" s="37" t="str">
        <f>IF(Agent02_Loans!B21="","",Agent02_Loans!K21)</f>
        <v/>
      </c>
      <c r="L211" s="37" t="str">
        <f>IF(Agent02_Loans!B21="","",Agent02_Loans!L21)</f>
        <v/>
      </c>
      <c r="M211" s="37" t="str">
        <f>IFERROR(IF(Agent02_Loans!B21="","",YEAR(Agent02_Loans!D21)),"")</f>
        <v/>
      </c>
    </row>
    <row r="212" spans="1:13" ht="18" customHeight="1" x14ac:dyDescent="0.25">
      <c r="A212" s="37" t="str">
        <f>IF(Agent02_Loans!B22="","",Agent02_Loans!A22)</f>
        <v/>
      </c>
      <c r="B212" s="37" t="str">
        <f>IF(Agent02_Loans!B22="","",Agent02_Loans!B22)</f>
        <v/>
      </c>
      <c r="C212" s="37" t="str">
        <f>IF(Agent02_Loans!B22="","",Agent02_Loans!C22)</f>
        <v/>
      </c>
      <c r="D212" s="38" t="str">
        <f>IF(Agent02_Loans!B22="","",Agent02_Loans!D22)</f>
        <v/>
      </c>
      <c r="E212" s="40" t="str">
        <f>IF(Agent02_Loans!B22="","",Agent02_Loans!E22)</f>
        <v/>
      </c>
      <c r="F212" s="37" t="str">
        <f>IF(Agent02_Loans!B22="","",Agent02_Loans!F22)</f>
        <v/>
      </c>
      <c r="G212" s="37" t="str">
        <f>IF(Agent02_Loans!B22="","",Agent02_Loans!G22)</f>
        <v/>
      </c>
      <c r="H212" s="37" t="str">
        <f>IF(Agent02_Loans!B22="","",Agent02_Loans!H22)</f>
        <v/>
      </c>
      <c r="I212" s="40" t="str">
        <f>IF(Agent02_Loans!B22="","",Agent02_Loans!I22)</f>
        <v/>
      </c>
      <c r="J212" s="40" t="str">
        <f>IF(Agent02_Loans!B22="","",Agent02_Loans!J22)</f>
        <v/>
      </c>
      <c r="K212" s="37" t="str">
        <f>IF(Agent02_Loans!B22="","",Agent02_Loans!K22)</f>
        <v/>
      </c>
      <c r="L212" s="37" t="str">
        <f>IF(Agent02_Loans!B22="","",Agent02_Loans!L22)</f>
        <v/>
      </c>
      <c r="M212" s="37" t="str">
        <f>IFERROR(IF(Agent02_Loans!B22="","",YEAR(Agent02_Loans!D22)),"")</f>
        <v/>
      </c>
    </row>
    <row r="213" spans="1:13" ht="18" customHeight="1" x14ac:dyDescent="0.25">
      <c r="A213" s="37" t="str">
        <f>IF(Agent02_Loans!B23="","",Agent02_Loans!A23)</f>
        <v/>
      </c>
      <c r="B213" s="37" t="str">
        <f>IF(Agent02_Loans!B23="","",Agent02_Loans!B23)</f>
        <v/>
      </c>
      <c r="C213" s="37" t="str">
        <f>IF(Agent02_Loans!B23="","",Agent02_Loans!C23)</f>
        <v/>
      </c>
      <c r="D213" s="38" t="str">
        <f>IF(Agent02_Loans!B23="","",Agent02_Loans!D23)</f>
        <v/>
      </c>
      <c r="E213" s="40" t="str">
        <f>IF(Agent02_Loans!B23="","",Agent02_Loans!E23)</f>
        <v/>
      </c>
      <c r="F213" s="37" t="str">
        <f>IF(Agent02_Loans!B23="","",Agent02_Loans!F23)</f>
        <v/>
      </c>
      <c r="G213" s="37" t="str">
        <f>IF(Agent02_Loans!B23="","",Agent02_Loans!G23)</f>
        <v/>
      </c>
      <c r="H213" s="37" t="str">
        <f>IF(Agent02_Loans!B23="","",Agent02_Loans!H23)</f>
        <v/>
      </c>
      <c r="I213" s="40" t="str">
        <f>IF(Agent02_Loans!B23="","",Agent02_Loans!I23)</f>
        <v/>
      </c>
      <c r="J213" s="40" t="str">
        <f>IF(Agent02_Loans!B23="","",Agent02_Loans!J23)</f>
        <v/>
      </c>
      <c r="K213" s="37" t="str">
        <f>IF(Agent02_Loans!B23="","",Agent02_Loans!K23)</f>
        <v/>
      </c>
      <c r="L213" s="37" t="str">
        <f>IF(Agent02_Loans!B23="","",Agent02_Loans!L23)</f>
        <v/>
      </c>
      <c r="M213" s="37" t="str">
        <f>IFERROR(IF(Agent02_Loans!B23="","",YEAR(Agent02_Loans!D23)),"")</f>
        <v/>
      </c>
    </row>
    <row r="214" spans="1:13" ht="18" customHeight="1" x14ac:dyDescent="0.25">
      <c r="A214" s="37" t="str">
        <f>IF(Agent02_Loans!B24="","",Agent02_Loans!A24)</f>
        <v/>
      </c>
      <c r="B214" s="37" t="str">
        <f>IF(Agent02_Loans!B24="","",Agent02_Loans!B24)</f>
        <v/>
      </c>
      <c r="C214" s="37" t="str">
        <f>IF(Agent02_Loans!B24="","",Agent02_Loans!C24)</f>
        <v/>
      </c>
      <c r="D214" s="38" t="str">
        <f>IF(Agent02_Loans!B24="","",Agent02_Loans!D24)</f>
        <v/>
      </c>
      <c r="E214" s="40" t="str">
        <f>IF(Agent02_Loans!B24="","",Agent02_Loans!E24)</f>
        <v/>
      </c>
      <c r="F214" s="37" t="str">
        <f>IF(Agent02_Loans!B24="","",Agent02_Loans!F24)</f>
        <v/>
      </c>
      <c r="G214" s="37" t="str">
        <f>IF(Agent02_Loans!B24="","",Agent02_Loans!G24)</f>
        <v/>
      </c>
      <c r="H214" s="37" t="str">
        <f>IF(Agent02_Loans!B24="","",Agent02_Loans!H24)</f>
        <v/>
      </c>
      <c r="I214" s="40" t="str">
        <f>IF(Agent02_Loans!B24="","",Agent02_Loans!I24)</f>
        <v/>
      </c>
      <c r="J214" s="40" t="str">
        <f>IF(Agent02_Loans!B24="","",Agent02_Loans!J24)</f>
        <v/>
      </c>
      <c r="K214" s="37" t="str">
        <f>IF(Agent02_Loans!B24="","",Agent02_Loans!K24)</f>
        <v/>
      </c>
      <c r="L214" s="37" t="str">
        <f>IF(Agent02_Loans!B24="","",Agent02_Loans!L24)</f>
        <v/>
      </c>
      <c r="M214" s="37" t="str">
        <f>IFERROR(IF(Agent02_Loans!B24="","",YEAR(Agent02_Loans!D24)),"")</f>
        <v/>
      </c>
    </row>
    <row r="215" spans="1:13" ht="18" customHeight="1" x14ac:dyDescent="0.25">
      <c r="A215" s="37" t="str">
        <f>IF(Agent02_Loans!B25="","",Agent02_Loans!A25)</f>
        <v/>
      </c>
      <c r="B215" s="37" t="str">
        <f>IF(Agent02_Loans!B25="","",Agent02_Loans!B25)</f>
        <v/>
      </c>
      <c r="C215" s="37" t="str">
        <f>IF(Agent02_Loans!B25="","",Agent02_Loans!C25)</f>
        <v/>
      </c>
      <c r="D215" s="38" t="str">
        <f>IF(Agent02_Loans!B25="","",Agent02_Loans!D25)</f>
        <v/>
      </c>
      <c r="E215" s="40" t="str">
        <f>IF(Agent02_Loans!B25="","",Agent02_Loans!E25)</f>
        <v/>
      </c>
      <c r="F215" s="37" t="str">
        <f>IF(Agent02_Loans!B25="","",Agent02_Loans!F25)</f>
        <v/>
      </c>
      <c r="G215" s="37" t="str">
        <f>IF(Agent02_Loans!B25="","",Agent02_Loans!G25)</f>
        <v/>
      </c>
      <c r="H215" s="37" t="str">
        <f>IF(Agent02_Loans!B25="","",Agent02_Loans!H25)</f>
        <v/>
      </c>
      <c r="I215" s="40" t="str">
        <f>IF(Agent02_Loans!B25="","",Agent02_Loans!I25)</f>
        <v/>
      </c>
      <c r="J215" s="40" t="str">
        <f>IF(Agent02_Loans!B25="","",Agent02_Loans!J25)</f>
        <v/>
      </c>
      <c r="K215" s="37" t="str">
        <f>IF(Agent02_Loans!B25="","",Agent02_Loans!K25)</f>
        <v/>
      </c>
      <c r="L215" s="37" t="str">
        <f>IF(Agent02_Loans!B25="","",Agent02_Loans!L25)</f>
        <v/>
      </c>
      <c r="M215" s="37" t="str">
        <f>IFERROR(IF(Agent02_Loans!B25="","",YEAR(Agent02_Loans!D25)),"")</f>
        <v/>
      </c>
    </row>
    <row r="216" spans="1:13" ht="18" customHeight="1" x14ac:dyDescent="0.25">
      <c r="A216" s="37" t="str">
        <f>IF(Agent02_Loans!B26="","",Agent02_Loans!A26)</f>
        <v/>
      </c>
      <c r="B216" s="37" t="str">
        <f>IF(Agent02_Loans!B26="","",Agent02_Loans!B26)</f>
        <v/>
      </c>
      <c r="C216" s="37" t="str">
        <f>IF(Agent02_Loans!B26="","",Agent02_Loans!C26)</f>
        <v/>
      </c>
      <c r="D216" s="38" t="str">
        <f>IF(Agent02_Loans!B26="","",Agent02_Loans!D26)</f>
        <v/>
      </c>
      <c r="E216" s="40" t="str">
        <f>IF(Agent02_Loans!B26="","",Agent02_Loans!E26)</f>
        <v/>
      </c>
      <c r="F216" s="37" t="str">
        <f>IF(Agent02_Loans!B26="","",Agent02_Loans!F26)</f>
        <v/>
      </c>
      <c r="G216" s="37" t="str">
        <f>IF(Agent02_Loans!B26="","",Agent02_Loans!G26)</f>
        <v/>
      </c>
      <c r="H216" s="37" t="str">
        <f>IF(Agent02_Loans!B26="","",Agent02_Loans!H26)</f>
        <v/>
      </c>
      <c r="I216" s="40" t="str">
        <f>IF(Agent02_Loans!B26="","",Agent02_Loans!I26)</f>
        <v/>
      </c>
      <c r="J216" s="40" t="str">
        <f>IF(Agent02_Loans!B26="","",Agent02_Loans!J26)</f>
        <v/>
      </c>
      <c r="K216" s="37" t="str">
        <f>IF(Agent02_Loans!B26="","",Agent02_Loans!K26)</f>
        <v/>
      </c>
      <c r="L216" s="37" t="str">
        <f>IF(Agent02_Loans!B26="","",Agent02_Loans!L26)</f>
        <v/>
      </c>
      <c r="M216" s="37" t="str">
        <f>IFERROR(IF(Agent02_Loans!B26="","",YEAR(Agent02_Loans!D26)),"")</f>
        <v/>
      </c>
    </row>
    <row r="217" spans="1:13" ht="18" customHeight="1" x14ac:dyDescent="0.25">
      <c r="A217" s="37" t="str">
        <f>IF(Agent02_Loans!B27="","",Agent02_Loans!A27)</f>
        <v/>
      </c>
      <c r="B217" s="37" t="str">
        <f>IF(Agent02_Loans!B27="","",Agent02_Loans!B27)</f>
        <v/>
      </c>
      <c r="C217" s="37" t="str">
        <f>IF(Agent02_Loans!B27="","",Agent02_Loans!C27)</f>
        <v/>
      </c>
      <c r="D217" s="38" t="str">
        <f>IF(Agent02_Loans!B27="","",Agent02_Loans!D27)</f>
        <v/>
      </c>
      <c r="E217" s="40" t="str">
        <f>IF(Agent02_Loans!B27="","",Agent02_Loans!E27)</f>
        <v/>
      </c>
      <c r="F217" s="37" t="str">
        <f>IF(Agent02_Loans!B27="","",Agent02_Loans!F27)</f>
        <v/>
      </c>
      <c r="G217" s="37" t="str">
        <f>IF(Agent02_Loans!B27="","",Agent02_Loans!G27)</f>
        <v/>
      </c>
      <c r="H217" s="37" t="str">
        <f>IF(Agent02_Loans!B27="","",Agent02_Loans!H27)</f>
        <v/>
      </c>
      <c r="I217" s="40" t="str">
        <f>IF(Agent02_Loans!B27="","",Agent02_Loans!I27)</f>
        <v/>
      </c>
      <c r="J217" s="40" t="str">
        <f>IF(Agent02_Loans!B27="","",Agent02_Loans!J27)</f>
        <v/>
      </c>
      <c r="K217" s="37" t="str">
        <f>IF(Agent02_Loans!B27="","",Agent02_Loans!K27)</f>
        <v/>
      </c>
      <c r="L217" s="37" t="str">
        <f>IF(Agent02_Loans!B27="","",Agent02_Loans!L27)</f>
        <v/>
      </c>
      <c r="M217" s="37" t="str">
        <f>IFERROR(IF(Agent02_Loans!B27="","",YEAR(Agent02_Loans!D27)),"")</f>
        <v/>
      </c>
    </row>
    <row r="218" spans="1:13" ht="18" customHeight="1" x14ac:dyDescent="0.25">
      <c r="A218" s="37" t="str">
        <f>IF(Agent02_Loans!B28="","",Agent02_Loans!A28)</f>
        <v/>
      </c>
      <c r="B218" s="37" t="str">
        <f>IF(Agent02_Loans!B28="","",Agent02_Loans!B28)</f>
        <v/>
      </c>
      <c r="C218" s="37" t="str">
        <f>IF(Agent02_Loans!B28="","",Agent02_Loans!C28)</f>
        <v/>
      </c>
      <c r="D218" s="38" t="str">
        <f>IF(Agent02_Loans!B28="","",Agent02_Loans!D28)</f>
        <v/>
      </c>
      <c r="E218" s="40" t="str">
        <f>IF(Agent02_Loans!B28="","",Agent02_Loans!E28)</f>
        <v/>
      </c>
      <c r="F218" s="37" t="str">
        <f>IF(Agent02_Loans!B28="","",Agent02_Loans!F28)</f>
        <v/>
      </c>
      <c r="G218" s="37" t="str">
        <f>IF(Agent02_Loans!B28="","",Agent02_Loans!G28)</f>
        <v/>
      </c>
      <c r="H218" s="37" t="str">
        <f>IF(Agent02_Loans!B28="","",Agent02_Loans!H28)</f>
        <v/>
      </c>
      <c r="I218" s="40" t="str">
        <f>IF(Agent02_Loans!B28="","",Agent02_Loans!I28)</f>
        <v/>
      </c>
      <c r="J218" s="40" t="str">
        <f>IF(Agent02_Loans!B28="","",Agent02_Loans!J28)</f>
        <v/>
      </c>
      <c r="K218" s="37" t="str">
        <f>IF(Agent02_Loans!B28="","",Agent02_Loans!K28)</f>
        <v/>
      </c>
      <c r="L218" s="37" t="str">
        <f>IF(Agent02_Loans!B28="","",Agent02_Loans!L28)</f>
        <v/>
      </c>
      <c r="M218" s="37" t="str">
        <f>IFERROR(IF(Agent02_Loans!B28="","",YEAR(Agent02_Loans!D28)),"")</f>
        <v/>
      </c>
    </row>
    <row r="219" spans="1:13" ht="18" customHeight="1" x14ac:dyDescent="0.25">
      <c r="A219" s="37" t="str">
        <f>IF(Agent02_Loans!B29="","",Agent02_Loans!A29)</f>
        <v/>
      </c>
      <c r="B219" s="37" t="str">
        <f>IF(Agent02_Loans!B29="","",Agent02_Loans!B29)</f>
        <v/>
      </c>
      <c r="C219" s="37" t="str">
        <f>IF(Agent02_Loans!B29="","",Agent02_Loans!C29)</f>
        <v/>
      </c>
      <c r="D219" s="38" t="str">
        <f>IF(Agent02_Loans!B29="","",Agent02_Loans!D29)</f>
        <v/>
      </c>
      <c r="E219" s="40" t="str">
        <f>IF(Agent02_Loans!B29="","",Agent02_Loans!E29)</f>
        <v/>
      </c>
      <c r="F219" s="37" t="str">
        <f>IF(Agent02_Loans!B29="","",Agent02_Loans!F29)</f>
        <v/>
      </c>
      <c r="G219" s="37" t="str">
        <f>IF(Agent02_Loans!B29="","",Agent02_Loans!G29)</f>
        <v/>
      </c>
      <c r="H219" s="37" t="str">
        <f>IF(Agent02_Loans!B29="","",Agent02_Loans!H29)</f>
        <v/>
      </c>
      <c r="I219" s="40" t="str">
        <f>IF(Agent02_Loans!B29="","",Agent02_Loans!I29)</f>
        <v/>
      </c>
      <c r="J219" s="40" t="str">
        <f>IF(Agent02_Loans!B29="","",Agent02_Loans!J29)</f>
        <v/>
      </c>
      <c r="K219" s="37" t="str">
        <f>IF(Agent02_Loans!B29="","",Agent02_Loans!K29)</f>
        <v/>
      </c>
      <c r="L219" s="37" t="str">
        <f>IF(Agent02_Loans!B29="","",Agent02_Loans!L29)</f>
        <v/>
      </c>
      <c r="M219" s="37" t="str">
        <f>IFERROR(IF(Agent02_Loans!B29="","",YEAR(Agent02_Loans!D29)),"")</f>
        <v/>
      </c>
    </row>
    <row r="220" spans="1:13" ht="18" customHeight="1" x14ac:dyDescent="0.25">
      <c r="A220" s="37" t="str">
        <f>IF(Agent02_Loans!B30="","",Agent02_Loans!A30)</f>
        <v/>
      </c>
      <c r="B220" s="37" t="str">
        <f>IF(Agent02_Loans!B30="","",Agent02_Loans!B30)</f>
        <v/>
      </c>
      <c r="C220" s="37" t="str">
        <f>IF(Agent02_Loans!B30="","",Agent02_Loans!C30)</f>
        <v/>
      </c>
      <c r="D220" s="38" t="str">
        <f>IF(Agent02_Loans!B30="","",Agent02_Loans!D30)</f>
        <v/>
      </c>
      <c r="E220" s="40" t="str">
        <f>IF(Agent02_Loans!B30="","",Agent02_Loans!E30)</f>
        <v/>
      </c>
      <c r="F220" s="37" t="str">
        <f>IF(Agent02_Loans!B30="","",Agent02_Loans!F30)</f>
        <v/>
      </c>
      <c r="G220" s="37" t="str">
        <f>IF(Agent02_Loans!B30="","",Agent02_Loans!G30)</f>
        <v/>
      </c>
      <c r="H220" s="37" t="str">
        <f>IF(Agent02_Loans!B30="","",Agent02_Loans!H30)</f>
        <v/>
      </c>
      <c r="I220" s="40" t="str">
        <f>IF(Agent02_Loans!B30="","",Agent02_Loans!I30)</f>
        <v/>
      </c>
      <c r="J220" s="40" t="str">
        <f>IF(Agent02_Loans!B30="","",Agent02_Loans!J30)</f>
        <v/>
      </c>
      <c r="K220" s="37" t="str">
        <f>IF(Agent02_Loans!B30="","",Agent02_Loans!K30)</f>
        <v/>
      </c>
      <c r="L220" s="37" t="str">
        <f>IF(Agent02_Loans!B30="","",Agent02_Loans!L30)</f>
        <v/>
      </c>
      <c r="M220" s="37" t="str">
        <f>IFERROR(IF(Agent02_Loans!B30="","",YEAR(Agent02_Loans!D30)),"")</f>
        <v/>
      </c>
    </row>
    <row r="221" spans="1:13" ht="18" customHeight="1" x14ac:dyDescent="0.25">
      <c r="A221" s="37" t="str">
        <f>IF(Agent02_Loans!B31="","",Agent02_Loans!A31)</f>
        <v/>
      </c>
      <c r="B221" s="37" t="str">
        <f>IF(Agent02_Loans!B31="","",Agent02_Loans!B31)</f>
        <v/>
      </c>
      <c r="C221" s="37" t="str">
        <f>IF(Agent02_Loans!B31="","",Agent02_Loans!C31)</f>
        <v/>
      </c>
      <c r="D221" s="38" t="str">
        <f>IF(Agent02_Loans!B31="","",Agent02_Loans!D31)</f>
        <v/>
      </c>
      <c r="E221" s="40" t="str">
        <f>IF(Agent02_Loans!B31="","",Agent02_Loans!E31)</f>
        <v/>
      </c>
      <c r="F221" s="37" t="str">
        <f>IF(Agent02_Loans!B31="","",Agent02_Loans!F31)</f>
        <v/>
      </c>
      <c r="G221" s="37" t="str">
        <f>IF(Agent02_Loans!B31="","",Agent02_Loans!G31)</f>
        <v/>
      </c>
      <c r="H221" s="37" t="str">
        <f>IF(Agent02_Loans!B31="","",Agent02_Loans!H31)</f>
        <v/>
      </c>
      <c r="I221" s="40" t="str">
        <f>IF(Agent02_Loans!B31="","",Agent02_Loans!I31)</f>
        <v/>
      </c>
      <c r="J221" s="40" t="str">
        <f>IF(Agent02_Loans!B31="","",Agent02_Loans!J31)</f>
        <v/>
      </c>
      <c r="K221" s="37" t="str">
        <f>IF(Agent02_Loans!B31="","",Agent02_Loans!K31)</f>
        <v/>
      </c>
      <c r="L221" s="37" t="str">
        <f>IF(Agent02_Loans!B31="","",Agent02_Loans!L31)</f>
        <v/>
      </c>
      <c r="M221" s="37" t="str">
        <f>IFERROR(IF(Agent02_Loans!B31="","",YEAR(Agent02_Loans!D31)),"")</f>
        <v/>
      </c>
    </row>
    <row r="222" spans="1:13" ht="18" customHeight="1" x14ac:dyDescent="0.25">
      <c r="A222" s="37" t="str">
        <f>IF(Agent02_Loans!B32="","",Agent02_Loans!A32)</f>
        <v/>
      </c>
      <c r="B222" s="37" t="str">
        <f>IF(Agent02_Loans!B32="","",Agent02_Loans!B32)</f>
        <v/>
      </c>
      <c r="C222" s="37" t="str">
        <f>IF(Agent02_Loans!B32="","",Agent02_Loans!C32)</f>
        <v/>
      </c>
      <c r="D222" s="38" t="str">
        <f>IF(Agent02_Loans!B32="","",Agent02_Loans!D32)</f>
        <v/>
      </c>
      <c r="E222" s="40" t="str">
        <f>IF(Agent02_Loans!B32="","",Agent02_Loans!E32)</f>
        <v/>
      </c>
      <c r="F222" s="37" t="str">
        <f>IF(Agent02_Loans!B32="","",Agent02_Loans!F32)</f>
        <v/>
      </c>
      <c r="G222" s="37" t="str">
        <f>IF(Agent02_Loans!B32="","",Agent02_Loans!G32)</f>
        <v/>
      </c>
      <c r="H222" s="37" t="str">
        <f>IF(Agent02_Loans!B32="","",Agent02_Loans!H32)</f>
        <v/>
      </c>
      <c r="I222" s="40" t="str">
        <f>IF(Agent02_Loans!B32="","",Agent02_Loans!I32)</f>
        <v/>
      </c>
      <c r="J222" s="40" t="str">
        <f>IF(Agent02_Loans!B32="","",Agent02_Loans!J32)</f>
        <v/>
      </c>
      <c r="K222" s="37" t="str">
        <f>IF(Agent02_Loans!B32="","",Agent02_Loans!K32)</f>
        <v/>
      </c>
      <c r="L222" s="37" t="str">
        <f>IF(Agent02_Loans!B32="","",Agent02_Loans!L32)</f>
        <v/>
      </c>
      <c r="M222" s="37" t="str">
        <f>IFERROR(IF(Agent02_Loans!B32="","",YEAR(Agent02_Loans!D32)),"")</f>
        <v/>
      </c>
    </row>
    <row r="223" spans="1:13" ht="18" customHeight="1" x14ac:dyDescent="0.25">
      <c r="A223" s="37" t="str">
        <f>IF(Agent02_Loans!B33="","",Agent02_Loans!A33)</f>
        <v/>
      </c>
      <c r="B223" s="37" t="str">
        <f>IF(Agent02_Loans!B33="","",Agent02_Loans!B33)</f>
        <v/>
      </c>
      <c r="C223" s="37" t="str">
        <f>IF(Agent02_Loans!B33="","",Agent02_Loans!C33)</f>
        <v/>
      </c>
      <c r="D223" s="38" t="str">
        <f>IF(Agent02_Loans!B33="","",Agent02_Loans!D33)</f>
        <v/>
      </c>
      <c r="E223" s="40" t="str">
        <f>IF(Agent02_Loans!B33="","",Agent02_Loans!E33)</f>
        <v/>
      </c>
      <c r="F223" s="37" t="str">
        <f>IF(Agent02_Loans!B33="","",Agent02_Loans!F33)</f>
        <v/>
      </c>
      <c r="G223" s="37" t="str">
        <f>IF(Agent02_Loans!B33="","",Agent02_Loans!G33)</f>
        <v/>
      </c>
      <c r="H223" s="37" t="str">
        <f>IF(Agent02_Loans!B33="","",Agent02_Loans!H33)</f>
        <v/>
      </c>
      <c r="I223" s="40" t="str">
        <f>IF(Agent02_Loans!B33="","",Agent02_Loans!I33)</f>
        <v/>
      </c>
      <c r="J223" s="40" t="str">
        <f>IF(Agent02_Loans!B33="","",Agent02_Loans!J33)</f>
        <v/>
      </c>
      <c r="K223" s="37" t="str">
        <f>IF(Agent02_Loans!B33="","",Agent02_Loans!K33)</f>
        <v/>
      </c>
      <c r="L223" s="37" t="str">
        <f>IF(Agent02_Loans!B33="","",Agent02_Loans!L33)</f>
        <v/>
      </c>
      <c r="M223" s="37" t="str">
        <f>IFERROR(IF(Agent02_Loans!B33="","",YEAR(Agent02_Loans!D33)),"")</f>
        <v/>
      </c>
    </row>
    <row r="224" spans="1:13" ht="18" customHeight="1" x14ac:dyDescent="0.25">
      <c r="A224" s="37" t="str">
        <f>IF(Agent02_Loans!B34="","",Agent02_Loans!A34)</f>
        <v/>
      </c>
      <c r="B224" s="37" t="str">
        <f>IF(Agent02_Loans!B34="","",Agent02_Loans!B34)</f>
        <v/>
      </c>
      <c r="C224" s="37" t="str">
        <f>IF(Agent02_Loans!B34="","",Agent02_Loans!C34)</f>
        <v/>
      </c>
      <c r="D224" s="38" t="str">
        <f>IF(Agent02_Loans!B34="","",Agent02_Loans!D34)</f>
        <v/>
      </c>
      <c r="E224" s="40" t="str">
        <f>IF(Agent02_Loans!B34="","",Agent02_Loans!E34)</f>
        <v/>
      </c>
      <c r="F224" s="37" t="str">
        <f>IF(Agent02_Loans!B34="","",Agent02_Loans!F34)</f>
        <v/>
      </c>
      <c r="G224" s="37" t="str">
        <f>IF(Agent02_Loans!B34="","",Agent02_Loans!G34)</f>
        <v/>
      </c>
      <c r="H224" s="37" t="str">
        <f>IF(Agent02_Loans!B34="","",Agent02_Loans!H34)</f>
        <v/>
      </c>
      <c r="I224" s="40" t="str">
        <f>IF(Agent02_Loans!B34="","",Agent02_Loans!I34)</f>
        <v/>
      </c>
      <c r="J224" s="40" t="str">
        <f>IF(Agent02_Loans!B34="","",Agent02_Loans!J34)</f>
        <v/>
      </c>
      <c r="K224" s="37" t="str">
        <f>IF(Agent02_Loans!B34="","",Agent02_Loans!K34)</f>
        <v/>
      </c>
      <c r="L224" s="37" t="str">
        <f>IF(Agent02_Loans!B34="","",Agent02_Loans!L34)</f>
        <v/>
      </c>
      <c r="M224" s="37" t="str">
        <f>IFERROR(IF(Agent02_Loans!B34="","",YEAR(Agent02_Loans!D34)),"")</f>
        <v/>
      </c>
    </row>
    <row r="225" spans="1:13" ht="18" customHeight="1" x14ac:dyDescent="0.25">
      <c r="A225" s="37" t="str">
        <f>IF(Agent02_Loans!B35="","",Agent02_Loans!A35)</f>
        <v/>
      </c>
      <c r="B225" s="37" t="str">
        <f>IF(Agent02_Loans!B35="","",Agent02_Loans!B35)</f>
        <v/>
      </c>
      <c r="C225" s="37" t="str">
        <f>IF(Agent02_Loans!B35="","",Agent02_Loans!C35)</f>
        <v/>
      </c>
      <c r="D225" s="38" t="str">
        <f>IF(Agent02_Loans!B35="","",Agent02_Loans!D35)</f>
        <v/>
      </c>
      <c r="E225" s="40" t="str">
        <f>IF(Agent02_Loans!B35="","",Agent02_Loans!E35)</f>
        <v/>
      </c>
      <c r="F225" s="37" t="str">
        <f>IF(Agent02_Loans!B35="","",Agent02_Loans!F35)</f>
        <v/>
      </c>
      <c r="G225" s="37" t="str">
        <f>IF(Agent02_Loans!B35="","",Agent02_Loans!G35)</f>
        <v/>
      </c>
      <c r="H225" s="37" t="str">
        <f>IF(Agent02_Loans!B35="","",Agent02_Loans!H35)</f>
        <v/>
      </c>
      <c r="I225" s="40" t="str">
        <f>IF(Agent02_Loans!B35="","",Agent02_Loans!I35)</f>
        <v/>
      </c>
      <c r="J225" s="40" t="str">
        <f>IF(Agent02_Loans!B35="","",Agent02_Loans!J35)</f>
        <v/>
      </c>
      <c r="K225" s="37" t="str">
        <f>IF(Agent02_Loans!B35="","",Agent02_Loans!K35)</f>
        <v/>
      </c>
      <c r="L225" s="37" t="str">
        <f>IF(Agent02_Loans!B35="","",Agent02_Loans!L35)</f>
        <v/>
      </c>
      <c r="M225" s="37" t="str">
        <f>IFERROR(IF(Agent02_Loans!B35="","",YEAR(Agent02_Loans!D35)),"")</f>
        <v/>
      </c>
    </row>
    <row r="226" spans="1:13" ht="18" customHeight="1" x14ac:dyDescent="0.25">
      <c r="A226" s="37" t="str">
        <f>IF(Agent02_Loans!B36="","",Agent02_Loans!A36)</f>
        <v/>
      </c>
      <c r="B226" s="37" t="str">
        <f>IF(Agent02_Loans!B36="","",Agent02_Loans!B36)</f>
        <v/>
      </c>
      <c r="C226" s="37" t="str">
        <f>IF(Agent02_Loans!B36="","",Agent02_Loans!C36)</f>
        <v/>
      </c>
      <c r="D226" s="38" t="str">
        <f>IF(Agent02_Loans!B36="","",Agent02_Loans!D36)</f>
        <v/>
      </c>
      <c r="E226" s="40" t="str">
        <f>IF(Agent02_Loans!B36="","",Agent02_Loans!E36)</f>
        <v/>
      </c>
      <c r="F226" s="37" t="str">
        <f>IF(Agent02_Loans!B36="","",Agent02_Loans!F36)</f>
        <v/>
      </c>
      <c r="G226" s="37" t="str">
        <f>IF(Agent02_Loans!B36="","",Agent02_Loans!G36)</f>
        <v/>
      </c>
      <c r="H226" s="37" t="str">
        <f>IF(Agent02_Loans!B36="","",Agent02_Loans!H36)</f>
        <v/>
      </c>
      <c r="I226" s="40" t="str">
        <f>IF(Agent02_Loans!B36="","",Agent02_Loans!I36)</f>
        <v/>
      </c>
      <c r="J226" s="40" t="str">
        <f>IF(Agent02_Loans!B36="","",Agent02_Loans!J36)</f>
        <v/>
      </c>
      <c r="K226" s="37" t="str">
        <f>IF(Agent02_Loans!B36="","",Agent02_Loans!K36)</f>
        <v/>
      </c>
      <c r="L226" s="37" t="str">
        <f>IF(Agent02_Loans!B36="","",Agent02_Loans!L36)</f>
        <v/>
      </c>
      <c r="M226" s="37" t="str">
        <f>IFERROR(IF(Agent02_Loans!B36="","",YEAR(Agent02_Loans!D36)),"")</f>
        <v/>
      </c>
    </row>
    <row r="227" spans="1:13" ht="18" customHeight="1" x14ac:dyDescent="0.25">
      <c r="A227" s="37" t="str">
        <f>IF(Agent02_Loans!B37="","",Agent02_Loans!A37)</f>
        <v/>
      </c>
      <c r="B227" s="37" t="str">
        <f>IF(Agent02_Loans!B37="","",Agent02_Loans!B37)</f>
        <v/>
      </c>
      <c r="C227" s="37" t="str">
        <f>IF(Agent02_Loans!B37="","",Agent02_Loans!C37)</f>
        <v/>
      </c>
      <c r="D227" s="38" t="str">
        <f>IF(Agent02_Loans!B37="","",Agent02_Loans!D37)</f>
        <v/>
      </c>
      <c r="E227" s="40" t="str">
        <f>IF(Agent02_Loans!B37="","",Agent02_Loans!E37)</f>
        <v/>
      </c>
      <c r="F227" s="37" t="str">
        <f>IF(Agent02_Loans!B37="","",Agent02_Loans!F37)</f>
        <v/>
      </c>
      <c r="G227" s="37" t="str">
        <f>IF(Agent02_Loans!B37="","",Agent02_Loans!G37)</f>
        <v/>
      </c>
      <c r="H227" s="37" t="str">
        <f>IF(Agent02_Loans!B37="","",Agent02_Loans!H37)</f>
        <v/>
      </c>
      <c r="I227" s="40" t="str">
        <f>IF(Agent02_Loans!B37="","",Agent02_Loans!I37)</f>
        <v/>
      </c>
      <c r="J227" s="40" t="str">
        <f>IF(Agent02_Loans!B37="","",Agent02_Loans!J37)</f>
        <v/>
      </c>
      <c r="K227" s="37" t="str">
        <f>IF(Agent02_Loans!B37="","",Agent02_Loans!K37)</f>
        <v/>
      </c>
      <c r="L227" s="37" t="str">
        <f>IF(Agent02_Loans!B37="","",Agent02_Loans!L37)</f>
        <v/>
      </c>
      <c r="M227" s="37" t="str">
        <f>IFERROR(IF(Agent02_Loans!B37="","",YEAR(Agent02_Loans!D37)),"")</f>
        <v/>
      </c>
    </row>
    <row r="228" spans="1:13" ht="18" customHeight="1" x14ac:dyDescent="0.25">
      <c r="A228" s="37" t="str">
        <f>IF(Agent02_Loans!B38="","",Agent02_Loans!A38)</f>
        <v/>
      </c>
      <c r="B228" s="37" t="str">
        <f>IF(Agent02_Loans!B38="","",Agent02_Loans!B38)</f>
        <v/>
      </c>
      <c r="C228" s="37" t="str">
        <f>IF(Agent02_Loans!B38="","",Agent02_Loans!C38)</f>
        <v/>
      </c>
      <c r="D228" s="38" t="str">
        <f>IF(Agent02_Loans!B38="","",Agent02_Loans!D38)</f>
        <v/>
      </c>
      <c r="E228" s="40" t="str">
        <f>IF(Agent02_Loans!B38="","",Agent02_Loans!E38)</f>
        <v/>
      </c>
      <c r="F228" s="37" t="str">
        <f>IF(Agent02_Loans!B38="","",Agent02_Loans!F38)</f>
        <v/>
      </c>
      <c r="G228" s="37" t="str">
        <f>IF(Agent02_Loans!B38="","",Agent02_Loans!G38)</f>
        <v/>
      </c>
      <c r="H228" s="37" t="str">
        <f>IF(Agent02_Loans!B38="","",Agent02_Loans!H38)</f>
        <v/>
      </c>
      <c r="I228" s="40" t="str">
        <f>IF(Agent02_Loans!B38="","",Agent02_Loans!I38)</f>
        <v/>
      </c>
      <c r="J228" s="40" t="str">
        <f>IF(Agent02_Loans!B38="","",Agent02_Loans!J38)</f>
        <v/>
      </c>
      <c r="K228" s="37" t="str">
        <f>IF(Agent02_Loans!B38="","",Agent02_Loans!K38)</f>
        <v/>
      </c>
      <c r="L228" s="37" t="str">
        <f>IF(Agent02_Loans!B38="","",Agent02_Loans!L38)</f>
        <v/>
      </c>
      <c r="M228" s="37" t="str">
        <f>IFERROR(IF(Agent02_Loans!B38="","",YEAR(Agent02_Loans!D38)),"")</f>
        <v/>
      </c>
    </row>
    <row r="229" spans="1:13" ht="18" customHeight="1" x14ac:dyDescent="0.25">
      <c r="A229" s="37" t="str">
        <f>IF(Agent02_Loans!B39="","",Agent02_Loans!A39)</f>
        <v/>
      </c>
      <c r="B229" s="37" t="str">
        <f>IF(Agent02_Loans!B39="","",Agent02_Loans!B39)</f>
        <v/>
      </c>
      <c r="C229" s="37" t="str">
        <f>IF(Agent02_Loans!B39="","",Agent02_Loans!C39)</f>
        <v/>
      </c>
      <c r="D229" s="38" t="str">
        <f>IF(Agent02_Loans!B39="","",Agent02_Loans!D39)</f>
        <v/>
      </c>
      <c r="E229" s="40" t="str">
        <f>IF(Agent02_Loans!B39="","",Agent02_Loans!E39)</f>
        <v/>
      </c>
      <c r="F229" s="37" t="str">
        <f>IF(Agent02_Loans!B39="","",Agent02_Loans!F39)</f>
        <v/>
      </c>
      <c r="G229" s="37" t="str">
        <f>IF(Agent02_Loans!B39="","",Agent02_Loans!G39)</f>
        <v/>
      </c>
      <c r="H229" s="37" t="str">
        <f>IF(Agent02_Loans!B39="","",Agent02_Loans!H39)</f>
        <v/>
      </c>
      <c r="I229" s="40" t="str">
        <f>IF(Agent02_Loans!B39="","",Agent02_Loans!I39)</f>
        <v/>
      </c>
      <c r="J229" s="40" t="str">
        <f>IF(Agent02_Loans!B39="","",Agent02_Loans!J39)</f>
        <v/>
      </c>
      <c r="K229" s="37" t="str">
        <f>IF(Agent02_Loans!B39="","",Agent02_Loans!K39)</f>
        <v/>
      </c>
      <c r="L229" s="37" t="str">
        <f>IF(Agent02_Loans!B39="","",Agent02_Loans!L39)</f>
        <v/>
      </c>
      <c r="M229" s="37" t="str">
        <f>IFERROR(IF(Agent02_Loans!B39="","",YEAR(Agent02_Loans!D39)),"")</f>
        <v/>
      </c>
    </row>
    <row r="230" spans="1:13" ht="18" customHeight="1" x14ac:dyDescent="0.25">
      <c r="A230" s="37" t="str">
        <f>IF(Agent02_Loans!B40="","",Agent02_Loans!A40)</f>
        <v/>
      </c>
      <c r="B230" s="37" t="str">
        <f>IF(Agent02_Loans!B40="","",Agent02_Loans!B40)</f>
        <v/>
      </c>
      <c r="C230" s="37" t="str">
        <f>IF(Agent02_Loans!B40="","",Agent02_Loans!C40)</f>
        <v/>
      </c>
      <c r="D230" s="38" t="str">
        <f>IF(Agent02_Loans!B40="","",Agent02_Loans!D40)</f>
        <v/>
      </c>
      <c r="E230" s="40" t="str">
        <f>IF(Agent02_Loans!B40="","",Agent02_Loans!E40)</f>
        <v/>
      </c>
      <c r="F230" s="37" t="str">
        <f>IF(Agent02_Loans!B40="","",Agent02_Loans!F40)</f>
        <v/>
      </c>
      <c r="G230" s="37" t="str">
        <f>IF(Agent02_Loans!B40="","",Agent02_Loans!G40)</f>
        <v/>
      </c>
      <c r="H230" s="37" t="str">
        <f>IF(Agent02_Loans!B40="","",Agent02_Loans!H40)</f>
        <v/>
      </c>
      <c r="I230" s="40" t="str">
        <f>IF(Agent02_Loans!B40="","",Agent02_Loans!I40)</f>
        <v/>
      </c>
      <c r="J230" s="40" t="str">
        <f>IF(Agent02_Loans!B40="","",Agent02_Loans!J40)</f>
        <v/>
      </c>
      <c r="K230" s="37" t="str">
        <f>IF(Agent02_Loans!B40="","",Agent02_Loans!K40)</f>
        <v/>
      </c>
      <c r="L230" s="37" t="str">
        <f>IF(Agent02_Loans!B40="","",Agent02_Loans!L40)</f>
        <v/>
      </c>
      <c r="M230" s="37" t="str">
        <f>IFERROR(IF(Agent02_Loans!B40="","",YEAR(Agent02_Loans!D40)),"")</f>
        <v/>
      </c>
    </row>
    <row r="231" spans="1:13" ht="18" customHeight="1" x14ac:dyDescent="0.25">
      <c r="A231" s="37" t="str">
        <f>IF(Agent02_Loans!B41="","",Agent02_Loans!A41)</f>
        <v/>
      </c>
      <c r="B231" s="37" t="str">
        <f>IF(Agent02_Loans!B41="","",Agent02_Loans!B41)</f>
        <v/>
      </c>
      <c r="C231" s="37" t="str">
        <f>IF(Agent02_Loans!B41="","",Agent02_Loans!C41)</f>
        <v/>
      </c>
      <c r="D231" s="38" t="str">
        <f>IF(Agent02_Loans!B41="","",Agent02_Loans!D41)</f>
        <v/>
      </c>
      <c r="E231" s="40" t="str">
        <f>IF(Agent02_Loans!B41="","",Agent02_Loans!E41)</f>
        <v/>
      </c>
      <c r="F231" s="37" t="str">
        <f>IF(Agent02_Loans!B41="","",Agent02_Loans!F41)</f>
        <v/>
      </c>
      <c r="G231" s="37" t="str">
        <f>IF(Agent02_Loans!B41="","",Agent02_Loans!G41)</f>
        <v/>
      </c>
      <c r="H231" s="37" t="str">
        <f>IF(Agent02_Loans!B41="","",Agent02_Loans!H41)</f>
        <v/>
      </c>
      <c r="I231" s="40" t="str">
        <f>IF(Agent02_Loans!B41="","",Agent02_Loans!I41)</f>
        <v/>
      </c>
      <c r="J231" s="40" t="str">
        <f>IF(Agent02_Loans!B41="","",Agent02_Loans!J41)</f>
        <v/>
      </c>
      <c r="K231" s="37" t="str">
        <f>IF(Agent02_Loans!B41="","",Agent02_Loans!K41)</f>
        <v/>
      </c>
      <c r="L231" s="37" t="str">
        <f>IF(Agent02_Loans!B41="","",Agent02_Loans!L41)</f>
        <v/>
      </c>
      <c r="M231" s="37" t="str">
        <f>IFERROR(IF(Agent02_Loans!B41="","",YEAR(Agent02_Loans!D41)),"")</f>
        <v/>
      </c>
    </row>
    <row r="232" spans="1:13" ht="18" customHeight="1" x14ac:dyDescent="0.25">
      <c r="A232" s="37" t="str">
        <f>IF(Agent02_Loans!B42="","",Agent02_Loans!A42)</f>
        <v/>
      </c>
      <c r="B232" s="37" t="str">
        <f>IF(Agent02_Loans!B42="","",Agent02_Loans!B42)</f>
        <v/>
      </c>
      <c r="C232" s="37" t="str">
        <f>IF(Agent02_Loans!B42="","",Agent02_Loans!C42)</f>
        <v/>
      </c>
      <c r="D232" s="38" t="str">
        <f>IF(Agent02_Loans!B42="","",Agent02_Loans!D42)</f>
        <v/>
      </c>
      <c r="E232" s="40" t="str">
        <f>IF(Agent02_Loans!B42="","",Agent02_Loans!E42)</f>
        <v/>
      </c>
      <c r="F232" s="37" t="str">
        <f>IF(Agent02_Loans!B42="","",Agent02_Loans!F42)</f>
        <v/>
      </c>
      <c r="G232" s="37" t="str">
        <f>IF(Agent02_Loans!B42="","",Agent02_Loans!G42)</f>
        <v/>
      </c>
      <c r="H232" s="37" t="str">
        <f>IF(Agent02_Loans!B42="","",Agent02_Loans!H42)</f>
        <v/>
      </c>
      <c r="I232" s="40" t="str">
        <f>IF(Agent02_Loans!B42="","",Agent02_Loans!I42)</f>
        <v/>
      </c>
      <c r="J232" s="40" t="str">
        <f>IF(Agent02_Loans!B42="","",Agent02_Loans!J42)</f>
        <v/>
      </c>
      <c r="K232" s="37" t="str">
        <f>IF(Agent02_Loans!B42="","",Agent02_Loans!K42)</f>
        <v/>
      </c>
      <c r="L232" s="37" t="str">
        <f>IF(Agent02_Loans!B42="","",Agent02_Loans!L42)</f>
        <v/>
      </c>
      <c r="M232" s="37" t="str">
        <f>IFERROR(IF(Agent02_Loans!B42="","",YEAR(Agent02_Loans!D42)),"")</f>
        <v/>
      </c>
    </row>
    <row r="233" spans="1:13" ht="18" customHeight="1" x14ac:dyDescent="0.25">
      <c r="A233" s="37" t="str">
        <f>IF(Agent02_Loans!B43="","",Agent02_Loans!A43)</f>
        <v/>
      </c>
      <c r="B233" s="37" t="str">
        <f>IF(Agent02_Loans!B43="","",Agent02_Loans!B43)</f>
        <v/>
      </c>
      <c r="C233" s="37" t="str">
        <f>IF(Agent02_Loans!B43="","",Agent02_Loans!C43)</f>
        <v/>
      </c>
      <c r="D233" s="38" t="str">
        <f>IF(Agent02_Loans!B43="","",Agent02_Loans!D43)</f>
        <v/>
      </c>
      <c r="E233" s="40" t="str">
        <f>IF(Agent02_Loans!B43="","",Agent02_Loans!E43)</f>
        <v/>
      </c>
      <c r="F233" s="37" t="str">
        <f>IF(Agent02_Loans!B43="","",Agent02_Loans!F43)</f>
        <v/>
      </c>
      <c r="G233" s="37" t="str">
        <f>IF(Agent02_Loans!B43="","",Agent02_Loans!G43)</f>
        <v/>
      </c>
      <c r="H233" s="37" t="str">
        <f>IF(Agent02_Loans!B43="","",Agent02_Loans!H43)</f>
        <v/>
      </c>
      <c r="I233" s="40" t="str">
        <f>IF(Agent02_Loans!B43="","",Agent02_Loans!I43)</f>
        <v/>
      </c>
      <c r="J233" s="40" t="str">
        <f>IF(Agent02_Loans!B43="","",Agent02_Loans!J43)</f>
        <v/>
      </c>
      <c r="K233" s="37" t="str">
        <f>IF(Agent02_Loans!B43="","",Agent02_Loans!K43)</f>
        <v/>
      </c>
      <c r="L233" s="37" t="str">
        <f>IF(Agent02_Loans!B43="","",Agent02_Loans!L43)</f>
        <v/>
      </c>
      <c r="M233" s="37" t="str">
        <f>IFERROR(IF(Agent02_Loans!B43="","",YEAR(Agent02_Loans!D43)),"")</f>
        <v/>
      </c>
    </row>
    <row r="234" spans="1:13" ht="18" customHeight="1" x14ac:dyDescent="0.25">
      <c r="A234" s="37" t="str">
        <f>IF(Agent02_Loans!B44="","",Agent02_Loans!A44)</f>
        <v/>
      </c>
      <c r="B234" s="37" t="str">
        <f>IF(Agent02_Loans!B44="","",Agent02_Loans!B44)</f>
        <v/>
      </c>
      <c r="C234" s="37" t="str">
        <f>IF(Agent02_Loans!B44="","",Agent02_Loans!C44)</f>
        <v/>
      </c>
      <c r="D234" s="38" t="str">
        <f>IF(Agent02_Loans!B44="","",Agent02_Loans!D44)</f>
        <v/>
      </c>
      <c r="E234" s="40" t="str">
        <f>IF(Agent02_Loans!B44="","",Agent02_Loans!E44)</f>
        <v/>
      </c>
      <c r="F234" s="37" t="str">
        <f>IF(Agent02_Loans!B44="","",Agent02_Loans!F44)</f>
        <v/>
      </c>
      <c r="G234" s="37" t="str">
        <f>IF(Agent02_Loans!B44="","",Agent02_Loans!G44)</f>
        <v/>
      </c>
      <c r="H234" s="37" t="str">
        <f>IF(Agent02_Loans!B44="","",Agent02_Loans!H44)</f>
        <v/>
      </c>
      <c r="I234" s="40" t="str">
        <f>IF(Agent02_Loans!B44="","",Agent02_Loans!I44)</f>
        <v/>
      </c>
      <c r="J234" s="40" t="str">
        <f>IF(Agent02_Loans!B44="","",Agent02_Loans!J44)</f>
        <v/>
      </c>
      <c r="K234" s="37" t="str">
        <f>IF(Agent02_Loans!B44="","",Agent02_Loans!K44)</f>
        <v/>
      </c>
      <c r="L234" s="37" t="str">
        <f>IF(Agent02_Loans!B44="","",Agent02_Loans!L44)</f>
        <v/>
      </c>
      <c r="M234" s="37" t="str">
        <f>IFERROR(IF(Agent02_Loans!B44="","",YEAR(Agent02_Loans!D44)),"")</f>
        <v/>
      </c>
    </row>
    <row r="235" spans="1:13" ht="18" customHeight="1" x14ac:dyDescent="0.25">
      <c r="A235" s="37" t="str">
        <f>IF(Agent02_Loans!B45="","",Agent02_Loans!A45)</f>
        <v/>
      </c>
      <c r="B235" s="37" t="str">
        <f>IF(Agent02_Loans!B45="","",Agent02_Loans!B45)</f>
        <v/>
      </c>
      <c r="C235" s="37" t="str">
        <f>IF(Agent02_Loans!B45="","",Agent02_Loans!C45)</f>
        <v/>
      </c>
      <c r="D235" s="38" t="str">
        <f>IF(Agent02_Loans!B45="","",Agent02_Loans!D45)</f>
        <v/>
      </c>
      <c r="E235" s="40" t="str">
        <f>IF(Agent02_Loans!B45="","",Agent02_Loans!E45)</f>
        <v/>
      </c>
      <c r="F235" s="37" t="str">
        <f>IF(Agent02_Loans!B45="","",Agent02_Loans!F45)</f>
        <v/>
      </c>
      <c r="G235" s="37" t="str">
        <f>IF(Agent02_Loans!B45="","",Agent02_Loans!G45)</f>
        <v/>
      </c>
      <c r="H235" s="37" t="str">
        <f>IF(Agent02_Loans!B45="","",Agent02_Loans!H45)</f>
        <v/>
      </c>
      <c r="I235" s="40" t="str">
        <f>IF(Agent02_Loans!B45="","",Agent02_Loans!I45)</f>
        <v/>
      </c>
      <c r="J235" s="40" t="str">
        <f>IF(Agent02_Loans!B45="","",Agent02_Loans!J45)</f>
        <v/>
      </c>
      <c r="K235" s="37" t="str">
        <f>IF(Agent02_Loans!B45="","",Agent02_Loans!K45)</f>
        <v/>
      </c>
      <c r="L235" s="37" t="str">
        <f>IF(Agent02_Loans!B45="","",Agent02_Loans!L45)</f>
        <v/>
      </c>
      <c r="M235" s="37" t="str">
        <f>IFERROR(IF(Agent02_Loans!B45="","",YEAR(Agent02_Loans!D45)),"")</f>
        <v/>
      </c>
    </row>
    <row r="236" spans="1:13" ht="18" customHeight="1" x14ac:dyDescent="0.25">
      <c r="A236" s="37" t="str">
        <f>IF(Agent02_Loans!B46="","",Agent02_Loans!A46)</f>
        <v/>
      </c>
      <c r="B236" s="37" t="str">
        <f>IF(Agent02_Loans!B46="","",Agent02_Loans!B46)</f>
        <v/>
      </c>
      <c r="C236" s="37" t="str">
        <f>IF(Agent02_Loans!B46="","",Agent02_Loans!C46)</f>
        <v/>
      </c>
      <c r="D236" s="38" t="str">
        <f>IF(Agent02_Loans!B46="","",Agent02_Loans!D46)</f>
        <v/>
      </c>
      <c r="E236" s="40" t="str">
        <f>IF(Agent02_Loans!B46="","",Agent02_Loans!E46)</f>
        <v/>
      </c>
      <c r="F236" s="37" t="str">
        <f>IF(Agent02_Loans!B46="","",Agent02_Loans!F46)</f>
        <v/>
      </c>
      <c r="G236" s="37" t="str">
        <f>IF(Agent02_Loans!B46="","",Agent02_Loans!G46)</f>
        <v/>
      </c>
      <c r="H236" s="37" t="str">
        <f>IF(Agent02_Loans!B46="","",Agent02_Loans!H46)</f>
        <v/>
      </c>
      <c r="I236" s="40" t="str">
        <f>IF(Agent02_Loans!B46="","",Agent02_Loans!I46)</f>
        <v/>
      </c>
      <c r="J236" s="40" t="str">
        <f>IF(Agent02_Loans!B46="","",Agent02_Loans!J46)</f>
        <v/>
      </c>
      <c r="K236" s="37" t="str">
        <f>IF(Agent02_Loans!B46="","",Agent02_Loans!K46)</f>
        <v/>
      </c>
      <c r="L236" s="37" t="str">
        <f>IF(Agent02_Loans!B46="","",Agent02_Loans!L46)</f>
        <v/>
      </c>
      <c r="M236" s="37" t="str">
        <f>IFERROR(IF(Agent02_Loans!B46="","",YEAR(Agent02_Loans!D46)),"")</f>
        <v/>
      </c>
    </row>
    <row r="237" spans="1:13" ht="18" customHeight="1" x14ac:dyDescent="0.25">
      <c r="A237" s="37" t="str">
        <f>IF(Agent02_Loans!B47="","",Agent02_Loans!A47)</f>
        <v/>
      </c>
      <c r="B237" s="37" t="str">
        <f>IF(Agent02_Loans!B47="","",Agent02_Loans!B47)</f>
        <v/>
      </c>
      <c r="C237" s="37" t="str">
        <f>IF(Agent02_Loans!B47="","",Agent02_Loans!C47)</f>
        <v/>
      </c>
      <c r="D237" s="38" t="str">
        <f>IF(Agent02_Loans!B47="","",Agent02_Loans!D47)</f>
        <v/>
      </c>
      <c r="E237" s="40" t="str">
        <f>IF(Agent02_Loans!B47="","",Agent02_Loans!E47)</f>
        <v/>
      </c>
      <c r="F237" s="37" t="str">
        <f>IF(Agent02_Loans!B47="","",Agent02_Loans!F47)</f>
        <v/>
      </c>
      <c r="G237" s="37" t="str">
        <f>IF(Agent02_Loans!B47="","",Agent02_Loans!G47)</f>
        <v/>
      </c>
      <c r="H237" s="37" t="str">
        <f>IF(Agent02_Loans!B47="","",Agent02_Loans!H47)</f>
        <v/>
      </c>
      <c r="I237" s="40" t="str">
        <f>IF(Agent02_Loans!B47="","",Agent02_Loans!I47)</f>
        <v/>
      </c>
      <c r="J237" s="40" t="str">
        <f>IF(Agent02_Loans!B47="","",Agent02_Loans!J47)</f>
        <v/>
      </c>
      <c r="K237" s="37" t="str">
        <f>IF(Agent02_Loans!B47="","",Agent02_Loans!K47)</f>
        <v/>
      </c>
      <c r="L237" s="37" t="str">
        <f>IF(Agent02_Loans!B47="","",Agent02_Loans!L47)</f>
        <v/>
      </c>
      <c r="M237" s="37" t="str">
        <f>IFERROR(IF(Agent02_Loans!B47="","",YEAR(Agent02_Loans!D47)),"")</f>
        <v/>
      </c>
    </row>
    <row r="238" spans="1:13" ht="18" customHeight="1" x14ac:dyDescent="0.25">
      <c r="A238" s="37" t="str">
        <f>IF(Agent02_Loans!B48="","",Agent02_Loans!A48)</f>
        <v/>
      </c>
      <c r="B238" s="37" t="str">
        <f>IF(Agent02_Loans!B48="","",Agent02_Loans!B48)</f>
        <v/>
      </c>
      <c r="C238" s="37" t="str">
        <f>IF(Agent02_Loans!B48="","",Agent02_Loans!C48)</f>
        <v/>
      </c>
      <c r="D238" s="38" t="str">
        <f>IF(Agent02_Loans!B48="","",Agent02_Loans!D48)</f>
        <v/>
      </c>
      <c r="E238" s="40" t="str">
        <f>IF(Agent02_Loans!B48="","",Agent02_Loans!E48)</f>
        <v/>
      </c>
      <c r="F238" s="37" t="str">
        <f>IF(Agent02_Loans!B48="","",Agent02_Loans!F48)</f>
        <v/>
      </c>
      <c r="G238" s="37" t="str">
        <f>IF(Agent02_Loans!B48="","",Agent02_Loans!G48)</f>
        <v/>
      </c>
      <c r="H238" s="37" t="str">
        <f>IF(Agent02_Loans!B48="","",Agent02_Loans!H48)</f>
        <v/>
      </c>
      <c r="I238" s="40" t="str">
        <f>IF(Agent02_Loans!B48="","",Agent02_Loans!I48)</f>
        <v/>
      </c>
      <c r="J238" s="40" t="str">
        <f>IF(Agent02_Loans!B48="","",Agent02_Loans!J48)</f>
        <v/>
      </c>
      <c r="K238" s="37" t="str">
        <f>IF(Agent02_Loans!B48="","",Agent02_Loans!K48)</f>
        <v/>
      </c>
      <c r="L238" s="37" t="str">
        <f>IF(Agent02_Loans!B48="","",Agent02_Loans!L48)</f>
        <v/>
      </c>
      <c r="M238" s="37" t="str">
        <f>IFERROR(IF(Agent02_Loans!B48="","",YEAR(Agent02_Loans!D48)),"")</f>
        <v/>
      </c>
    </row>
    <row r="239" spans="1:13" ht="18" customHeight="1" x14ac:dyDescent="0.25">
      <c r="A239" s="37" t="str">
        <f>IF(Agent02_Loans!B49="","",Agent02_Loans!A49)</f>
        <v/>
      </c>
      <c r="B239" s="37" t="str">
        <f>IF(Agent02_Loans!B49="","",Agent02_Loans!B49)</f>
        <v/>
      </c>
      <c r="C239" s="37" t="str">
        <f>IF(Agent02_Loans!B49="","",Agent02_Loans!C49)</f>
        <v/>
      </c>
      <c r="D239" s="38" t="str">
        <f>IF(Agent02_Loans!B49="","",Agent02_Loans!D49)</f>
        <v/>
      </c>
      <c r="E239" s="40" t="str">
        <f>IF(Agent02_Loans!B49="","",Agent02_Loans!E49)</f>
        <v/>
      </c>
      <c r="F239" s="37" t="str">
        <f>IF(Agent02_Loans!B49="","",Agent02_Loans!F49)</f>
        <v/>
      </c>
      <c r="G239" s="37" t="str">
        <f>IF(Agent02_Loans!B49="","",Agent02_Loans!G49)</f>
        <v/>
      </c>
      <c r="H239" s="37" t="str">
        <f>IF(Agent02_Loans!B49="","",Agent02_Loans!H49)</f>
        <v/>
      </c>
      <c r="I239" s="40" t="str">
        <f>IF(Agent02_Loans!B49="","",Agent02_Loans!I49)</f>
        <v/>
      </c>
      <c r="J239" s="40" t="str">
        <f>IF(Agent02_Loans!B49="","",Agent02_Loans!J49)</f>
        <v/>
      </c>
      <c r="K239" s="37" t="str">
        <f>IF(Agent02_Loans!B49="","",Agent02_Loans!K49)</f>
        <v/>
      </c>
      <c r="L239" s="37" t="str">
        <f>IF(Agent02_Loans!B49="","",Agent02_Loans!L49)</f>
        <v/>
      </c>
      <c r="M239" s="37" t="str">
        <f>IFERROR(IF(Agent02_Loans!B49="","",YEAR(Agent02_Loans!D49)),"")</f>
        <v/>
      </c>
    </row>
    <row r="240" spans="1:13" ht="18" customHeight="1" x14ac:dyDescent="0.25">
      <c r="A240" s="37" t="str">
        <f>IF(Agent02_Loans!B50="","",Agent02_Loans!A50)</f>
        <v/>
      </c>
      <c r="B240" s="37" t="str">
        <f>IF(Agent02_Loans!B50="","",Agent02_Loans!B50)</f>
        <v/>
      </c>
      <c r="C240" s="37" t="str">
        <f>IF(Agent02_Loans!B50="","",Agent02_Loans!C50)</f>
        <v/>
      </c>
      <c r="D240" s="38" t="str">
        <f>IF(Agent02_Loans!B50="","",Agent02_Loans!D50)</f>
        <v/>
      </c>
      <c r="E240" s="40" t="str">
        <f>IF(Agent02_Loans!B50="","",Agent02_Loans!E50)</f>
        <v/>
      </c>
      <c r="F240" s="37" t="str">
        <f>IF(Agent02_Loans!B50="","",Agent02_Loans!F50)</f>
        <v/>
      </c>
      <c r="G240" s="37" t="str">
        <f>IF(Agent02_Loans!B50="","",Agent02_Loans!G50)</f>
        <v/>
      </c>
      <c r="H240" s="37" t="str">
        <f>IF(Agent02_Loans!B50="","",Agent02_Loans!H50)</f>
        <v/>
      </c>
      <c r="I240" s="40" t="str">
        <f>IF(Agent02_Loans!B50="","",Agent02_Loans!I50)</f>
        <v/>
      </c>
      <c r="J240" s="40" t="str">
        <f>IF(Agent02_Loans!B50="","",Agent02_Loans!J50)</f>
        <v/>
      </c>
      <c r="K240" s="37" t="str">
        <f>IF(Agent02_Loans!B50="","",Agent02_Loans!K50)</f>
        <v/>
      </c>
      <c r="L240" s="37" t="str">
        <f>IF(Agent02_Loans!B50="","",Agent02_Loans!L50)</f>
        <v/>
      </c>
      <c r="M240" s="37" t="str">
        <f>IFERROR(IF(Agent02_Loans!B50="","",YEAR(Agent02_Loans!D50)),"")</f>
        <v/>
      </c>
    </row>
    <row r="241" spans="1:13" ht="18" customHeight="1" x14ac:dyDescent="0.25">
      <c r="A241" s="37" t="str">
        <f>IF(Agent02_Loans!B51="","",Agent02_Loans!A51)</f>
        <v/>
      </c>
      <c r="B241" s="37" t="str">
        <f>IF(Agent02_Loans!B51="","",Agent02_Loans!B51)</f>
        <v/>
      </c>
      <c r="C241" s="37" t="str">
        <f>IF(Agent02_Loans!B51="","",Agent02_Loans!C51)</f>
        <v/>
      </c>
      <c r="D241" s="38" t="str">
        <f>IF(Agent02_Loans!B51="","",Agent02_Loans!D51)</f>
        <v/>
      </c>
      <c r="E241" s="40" t="str">
        <f>IF(Agent02_Loans!B51="","",Agent02_Loans!E51)</f>
        <v/>
      </c>
      <c r="F241" s="37" t="str">
        <f>IF(Agent02_Loans!B51="","",Agent02_Loans!F51)</f>
        <v/>
      </c>
      <c r="G241" s="37" t="str">
        <f>IF(Agent02_Loans!B51="","",Agent02_Loans!G51)</f>
        <v/>
      </c>
      <c r="H241" s="37" t="str">
        <f>IF(Agent02_Loans!B51="","",Agent02_Loans!H51)</f>
        <v/>
      </c>
      <c r="I241" s="40" t="str">
        <f>IF(Agent02_Loans!B51="","",Agent02_Loans!I51)</f>
        <v/>
      </c>
      <c r="J241" s="40" t="str">
        <f>IF(Agent02_Loans!B51="","",Agent02_Loans!J51)</f>
        <v/>
      </c>
      <c r="K241" s="37" t="str">
        <f>IF(Agent02_Loans!B51="","",Agent02_Loans!K51)</f>
        <v/>
      </c>
      <c r="L241" s="37" t="str">
        <f>IF(Agent02_Loans!B51="","",Agent02_Loans!L51)</f>
        <v/>
      </c>
      <c r="M241" s="37" t="str">
        <f>IFERROR(IF(Agent02_Loans!B51="","",YEAR(Agent02_Loans!D51)),"")</f>
        <v/>
      </c>
    </row>
    <row r="242" spans="1:13" ht="18" customHeight="1" x14ac:dyDescent="0.25">
      <c r="A242" s="37" t="str">
        <f>IF(Agent02_Loans!B52="","",Agent02_Loans!A52)</f>
        <v/>
      </c>
      <c r="B242" s="37" t="str">
        <f>IF(Agent02_Loans!B52="","",Agent02_Loans!B52)</f>
        <v/>
      </c>
      <c r="C242" s="37" t="str">
        <f>IF(Agent02_Loans!B52="","",Agent02_Loans!C52)</f>
        <v/>
      </c>
      <c r="D242" s="38" t="str">
        <f>IF(Agent02_Loans!B52="","",Agent02_Loans!D52)</f>
        <v/>
      </c>
      <c r="E242" s="40" t="str">
        <f>IF(Agent02_Loans!B52="","",Agent02_Loans!E52)</f>
        <v/>
      </c>
      <c r="F242" s="37" t="str">
        <f>IF(Agent02_Loans!B52="","",Agent02_Loans!F52)</f>
        <v/>
      </c>
      <c r="G242" s="37" t="str">
        <f>IF(Agent02_Loans!B52="","",Agent02_Loans!G52)</f>
        <v/>
      </c>
      <c r="H242" s="37" t="str">
        <f>IF(Agent02_Loans!B52="","",Agent02_Loans!H52)</f>
        <v/>
      </c>
      <c r="I242" s="40" t="str">
        <f>IF(Agent02_Loans!B52="","",Agent02_Loans!I52)</f>
        <v/>
      </c>
      <c r="J242" s="40" t="str">
        <f>IF(Agent02_Loans!B52="","",Agent02_Loans!J52)</f>
        <v/>
      </c>
      <c r="K242" s="37" t="str">
        <f>IF(Agent02_Loans!B52="","",Agent02_Loans!K52)</f>
        <v/>
      </c>
      <c r="L242" s="37" t="str">
        <f>IF(Agent02_Loans!B52="","",Agent02_Loans!L52)</f>
        <v/>
      </c>
      <c r="M242" s="37" t="str">
        <f>IFERROR(IF(Agent02_Loans!B52="","",YEAR(Agent02_Loans!D52)),"")</f>
        <v/>
      </c>
    </row>
    <row r="243" spans="1:13" ht="18" customHeight="1" x14ac:dyDescent="0.25">
      <c r="A243" s="37" t="str">
        <f>IF(Agent02_Loans!B53="","",Agent02_Loans!A53)</f>
        <v/>
      </c>
      <c r="B243" s="37" t="str">
        <f>IF(Agent02_Loans!B53="","",Agent02_Loans!B53)</f>
        <v/>
      </c>
      <c r="C243" s="37" t="str">
        <f>IF(Agent02_Loans!B53="","",Agent02_Loans!C53)</f>
        <v/>
      </c>
      <c r="D243" s="38" t="str">
        <f>IF(Agent02_Loans!B53="","",Agent02_Loans!D53)</f>
        <v/>
      </c>
      <c r="E243" s="40" t="str">
        <f>IF(Agent02_Loans!B53="","",Agent02_Loans!E53)</f>
        <v/>
      </c>
      <c r="F243" s="37" t="str">
        <f>IF(Agent02_Loans!B53="","",Agent02_Loans!F53)</f>
        <v/>
      </c>
      <c r="G243" s="37" t="str">
        <f>IF(Agent02_Loans!B53="","",Agent02_Loans!G53)</f>
        <v/>
      </c>
      <c r="H243" s="37" t="str">
        <f>IF(Agent02_Loans!B53="","",Agent02_Loans!H53)</f>
        <v/>
      </c>
      <c r="I243" s="40" t="str">
        <f>IF(Agent02_Loans!B53="","",Agent02_Loans!I53)</f>
        <v/>
      </c>
      <c r="J243" s="40" t="str">
        <f>IF(Agent02_Loans!B53="","",Agent02_Loans!J53)</f>
        <v/>
      </c>
      <c r="K243" s="37" t="str">
        <f>IF(Agent02_Loans!B53="","",Agent02_Loans!K53)</f>
        <v/>
      </c>
      <c r="L243" s="37" t="str">
        <f>IF(Agent02_Loans!B53="","",Agent02_Loans!L53)</f>
        <v/>
      </c>
      <c r="M243" s="37" t="str">
        <f>IFERROR(IF(Agent02_Loans!B53="","",YEAR(Agent02_Loans!D53)),"")</f>
        <v/>
      </c>
    </row>
    <row r="244" spans="1:13" ht="18" customHeight="1" x14ac:dyDescent="0.25">
      <c r="A244" s="37" t="str">
        <f>IF(Agent02_Loans!B54="","",Agent02_Loans!A54)</f>
        <v/>
      </c>
      <c r="B244" s="37" t="str">
        <f>IF(Agent02_Loans!B54="","",Agent02_Loans!B54)</f>
        <v/>
      </c>
      <c r="C244" s="37" t="str">
        <f>IF(Agent02_Loans!B54="","",Agent02_Loans!C54)</f>
        <v/>
      </c>
      <c r="D244" s="38" t="str">
        <f>IF(Agent02_Loans!B54="","",Agent02_Loans!D54)</f>
        <v/>
      </c>
      <c r="E244" s="40" t="str">
        <f>IF(Agent02_Loans!B54="","",Agent02_Loans!E54)</f>
        <v/>
      </c>
      <c r="F244" s="37" t="str">
        <f>IF(Agent02_Loans!B54="","",Agent02_Loans!F54)</f>
        <v/>
      </c>
      <c r="G244" s="37" t="str">
        <f>IF(Agent02_Loans!B54="","",Agent02_Loans!G54)</f>
        <v/>
      </c>
      <c r="H244" s="37" t="str">
        <f>IF(Agent02_Loans!B54="","",Agent02_Loans!H54)</f>
        <v/>
      </c>
      <c r="I244" s="40" t="str">
        <f>IF(Agent02_Loans!B54="","",Agent02_Loans!I54)</f>
        <v/>
      </c>
      <c r="J244" s="40" t="str">
        <f>IF(Agent02_Loans!B54="","",Agent02_Loans!J54)</f>
        <v/>
      </c>
      <c r="K244" s="37" t="str">
        <f>IF(Agent02_Loans!B54="","",Agent02_Loans!K54)</f>
        <v/>
      </c>
      <c r="L244" s="37" t="str">
        <f>IF(Agent02_Loans!B54="","",Agent02_Loans!L54)</f>
        <v/>
      </c>
      <c r="M244" s="37" t="str">
        <f>IFERROR(IF(Agent02_Loans!B54="","",YEAR(Agent02_Loans!D54)),"")</f>
        <v/>
      </c>
    </row>
    <row r="245" spans="1:13" ht="18" customHeight="1" x14ac:dyDescent="0.25">
      <c r="A245" s="37" t="str">
        <f>IF(Agent02_Loans!B55="","",Agent02_Loans!A55)</f>
        <v/>
      </c>
      <c r="B245" s="37" t="str">
        <f>IF(Agent02_Loans!B55="","",Agent02_Loans!B55)</f>
        <v/>
      </c>
      <c r="C245" s="37" t="str">
        <f>IF(Agent02_Loans!B55="","",Agent02_Loans!C55)</f>
        <v/>
      </c>
      <c r="D245" s="38" t="str">
        <f>IF(Agent02_Loans!B55="","",Agent02_Loans!D55)</f>
        <v/>
      </c>
      <c r="E245" s="40" t="str">
        <f>IF(Agent02_Loans!B55="","",Agent02_Loans!E55)</f>
        <v/>
      </c>
      <c r="F245" s="37" t="str">
        <f>IF(Agent02_Loans!B55="","",Agent02_Loans!F55)</f>
        <v/>
      </c>
      <c r="G245" s="37" t="str">
        <f>IF(Agent02_Loans!B55="","",Agent02_Loans!G55)</f>
        <v/>
      </c>
      <c r="H245" s="37" t="str">
        <f>IF(Agent02_Loans!B55="","",Agent02_Loans!H55)</f>
        <v/>
      </c>
      <c r="I245" s="40" t="str">
        <f>IF(Agent02_Loans!B55="","",Agent02_Loans!I55)</f>
        <v/>
      </c>
      <c r="J245" s="40" t="str">
        <f>IF(Agent02_Loans!B55="","",Agent02_Loans!J55)</f>
        <v/>
      </c>
      <c r="K245" s="37" t="str">
        <f>IF(Agent02_Loans!B55="","",Agent02_Loans!K55)</f>
        <v/>
      </c>
      <c r="L245" s="37" t="str">
        <f>IF(Agent02_Loans!B55="","",Agent02_Loans!L55)</f>
        <v/>
      </c>
      <c r="M245" s="37" t="str">
        <f>IFERROR(IF(Agent02_Loans!B55="","",YEAR(Agent02_Loans!D55)),"")</f>
        <v/>
      </c>
    </row>
    <row r="246" spans="1:13" ht="18" customHeight="1" x14ac:dyDescent="0.25">
      <c r="A246" s="37" t="str">
        <f>IF(Agent02_Loans!B56="","",Agent02_Loans!A56)</f>
        <v/>
      </c>
      <c r="B246" s="37" t="str">
        <f>IF(Agent02_Loans!B56="","",Agent02_Loans!B56)</f>
        <v/>
      </c>
      <c r="C246" s="37" t="str">
        <f>IF(Agent02_Loans!B56="","",Agent02_Loans!C56)</f>
        <v/>
      </c>
      <c r="D246" s="38" t="str">
        <f>IF(Agent02_Loans!B56="","",Agent02_Loans!D56)</f>
        <v/>
      </c>
      <c r="E246" s="40" t="str">
        <f>IF(Agent02_Loans!B56="","",Agent02_Loans!E56)</f>
        <v/>
      </c>
      <c r="F246" s="37" t="str">
        <f>IF(Agent02_Loans!B56="","",Agent02_Loans!F56)</f>
        <v/>
      </c>
      <c r="G246" s="37" t="str">
        <f>IF(Agent02_Loans!B56="","",Agent02_Loans!G56)</f>
        <v/>
      </c>
      <c r="H246" s="37" t="str">
        <f>IF(Agent02_Loans!B56="","",Agent02_Loans!H56)</f>
        <v/>
      </c>
      <c r="I246" s="40" t="str">
        <f>IF(Agent02_Loans!B56="","",Agent02_Loans!I56)</f>
        <v/>
      </c>
      <c r="J246" s="40" t="str">
        <f>IF(Agent02_Loans!B56="","",Agent02_Loans!J56)</f>
        <v/>
      </c>
      <c r="K246" s="37" t="str">
        <f>IF(Agent02_Loans!B56="","",Agent02_Loans!K56)</f>
        <v/>
      </c>
      <c r="L246" s="37" t="str">
        <f>IF(Agent02_Loans!B56="","",Agent02_Loans!L56)</f>
        <v/>
      </c>
      <c r="M246" s="37" t="str">
        <f>IFERROR(IF(Agent02_Loans!B56="","",YEAR(Agent02_Loans!D56)),"")</f>
        <v/>
      </c>
    </row>
    <row r="247" spans="1:13" ht="18" customHeight="1" x14ac:dyDescent="0.25">
      <c r="A247" s="37" t="str">
        <f>IF(Agent02_Loans!B57="","",Agent02_Loans!A57)</f>
        <v/>
      </c>
      <c r="B247" s="37" t="str">
        <f>IF(Agent02_Loans!B57="","",Agent02_Loans!B57)</f>
        <v/>
      </c>
      <c r="C247" s="37" t="str">
        <f>IF(Agent02_Loans!B57="","",Agent02_Loans!C57)</f>
        <v/>
      </c>
      <c r="D247" s="38" t="str">
        <f>IF(Agent02_Loans!B57="","",Agent02_Loans!D57)</f>
        <v/>
      </c>
      <c r="E247" s="40" t="str">
        <f>IF(Agent02_Loans!B57="","",Agent02_Loans!E57)</f>
        <v/>
      </c>
      <c r="F247" s="37" t="str">
        <f>IF(Agent02_Loans!B57="","",Agent02_Loans!F57)</f>
        <v/>
      </c>
      <c r="G247" s="37" t="str">
        <f>IF(Agent02_Loans!B57="","",Agent02_Loans!G57)</f>
        <v/>
      </c>
      <c r="H247" s="37" t="str">
        <f>IF(Agent02_Loans!B57="","",Agent02_Loans!H57)</f>
        <v/>
      </c>
      <c r="I247" s="40" t="str">
        <f>IF(Agent02_Loans!B57="","",Agent02_Loans!I57)</f>
        <v/>
      </c>
      <c r="J247" s="40" t="str">
        <f>IF(Agent02_Loans!B57="","",Agent02_Loans!J57)</f>
        <v/>
      </c>
      <c r="K247" s="37" t="str">
        <f>IF(Agent02_Loans!B57="","",Agent02_Loans!K57)</f>
        <v/>
      </c>
      <c r="L247" s="37" t="str">
        <f>IF(Agent02_Loans!B57="","",Agent02_Loans!L57)</f>
        <v/>
      </c>
      <c r="M247" s="37" t="str">
        <f>IFERROR(IF(Agent02_Loans!B57="","",YEAR(Agent02_Loans!D57)),"")</f>
        <v/>
      </c>
    </row>
    <row r="248" spans="1:13" ht="18" customHeight="1" x14ac:dyDescent="0.25">
      <c r="A248" s="37" t="str">
        <f>IF(Agent02_Loans!B58="","",Agent02_Loans!A58)</f>
        <v/>
      </c>
      <c r="B248" s="37" t="str">
        <f>IF(Agent02_Loans!B58="","",Agent02_Loans!B58)</f>
        <v/>
      </c>
      <c r="C248" s="37" t="str">
        <f>IF(Agent02_Loans!B58="","",Agent02_Loans!C58)</f>
        <v/>
      </c>
      <c r="D248" s="38" t="str">
        <f>IF(Agent02_Loans!B58="","",Agent02_Loans!D58)</f>
        <v/>
      </c>
      <c r="E248" s="40" t="str">
        <f>IF(Agent02_Loans!B58="","",Agent02_Loans!E58)</f>
        <v/>
      </c>
      <c r="F248" s="37" t="str">
        <f>IF(Agent02_Loans!B58="","",Agent02_Loans!F58)</f>
        <v/>
      </c>
      <c r="G248" s="37" t="str">
        <f>IF(Agent02_Loans!B58="","",Agent02_Loans!G58)</f>
        <v/>
      </c>
      <c r="H248" s="37" t="str">
        <f>IF(Agent02_Loans!B58="","",Agent02_Loans!H58)</f>
        <v/>
      </c>
      <c r="I248" s="40" t="str">
        <f>IF(Agent02_Loans!B58="","",Agent02_Loans!I58)</f>
        <v/>
      </c>
      <c r="J248" s="40" t="str">
        <f>IF(Agent02_Loans!B58="","",Agent02_Loans!J58)</f>
        <v/>
      </c>
      <c r="K248" s="37" t="str">
        <f>IF(Agent02_Loans!B58="","",Agent02_Loans!K58)</f>
        <v/>
      </c>
      <c r="L248" s="37" t="str">
        <f>IF(Agent02_Loans!B58="","",Agent02_Loans!L58)</f>
        <v/>
      </c>
      <c r="M248" s="37" t="str">
        <f>IFERROR(IF(Agent02_Loans!B58="","",YEAR(Agent02_Loans!D58)),"")</f>
        <v/>
      </c>
    </row>
    <row r="249" spans="1:13" ht="18" customHeight="1" x14ac:dyDescent="0.25">
      <c r="A249" s="37" t="str">
        <f>IF(Agent02_Loans!B59="","",Agent02_Loans!A59)</f>
        <v/>
      </c>
      <c r="B249" s="37" t="str">
        <f>IF(Agent02_Loans!B59="","",Agent02_Loans!B59)</f>
        <v/>
      </c>
      <c r="C249" s="37" t="str">
        <f>IF(Agent02_Loans!B59="","",Agent02_Loans!C59)</f>
        <v/>
      </c>
      <c r="D249" s="38" t="str">
        <f>IF(Agent02_Loans!B59="","",Agent02_Loans!D59)</f>
        <v/>
      </c>
      <c r="E249" s="40" t="str">
        <f>IF(Agent02_Loans!B59="","",Agent02_Loans!E59)</f>
        <v/>
      </c>
      <c r="F249" s="37" t="str">
        <f>IF(Agent02_Loans!B59="","",Agent02_Loans!F59)</f>
        <v/>
      </c>
      <c r="G249" s="37" t="str">
        <f>IF(Agent02_Loans!B59="","",Agent02_Loans!G59)</f>
        <v/>
      </c>
      <c r="H249" s="37" t="str">
        <f>IF(Agent02_Loans!B59="","",Agent02_Loans!H59)</f>
        <v/>
      </c>
      <c r="I249" s="40" t="str">
        <f>IF(Agent02_Loans!B59="","",Agent02_Loans!I59)</f>
        <v/>
      </c>
      <c r="J249" s="40" t="str">
        <f>IF(Agent02_Loans!B59="","",Agent02_Loans!J59)</f>
        <v/>
      </c>
      <c r="K249" s="37" t="str">
        <f>IF(Agent02_Loans!B59="","",Agent02_Loans!K59)</f>
        <v/>
      </c>
      <c r="L249" s="37" t="str">
        <f>IF(Agent02_Loans!B59="","",Agent02_Loans!L59)</f>
        <v/>
      </c>
      <c r="M249" s="37" t="str">
        <f>IFERROR(IF(Agent02_Loans!B59="","",YEAR(Agent02_Loans!D59)),"")</f>
        <v/>
      </c>
    </row>
    <row r="250" spans="1:13" ht="18" customHeight="1" x14ac:dyDescent="0.25">
      <c r="A250" s="37" t="str">
        <f>IF(Agent02_Loans!B60="","",Agent02_Loans!A60)</f>
        <v/>
      </c>
      <c r="B250" s="37" t="str">
        <f>IF(Agent02_Loans!B60="","",Agent02_Loans!B60)</f>
        <v/>
      </c>
      <c r="C250" s="37" t="str">
        <f>IF(Agent02_Loans!B60="","",Agent02_Loans!C60)</f>
        <v/>
      </c>
      <c r="D250" s="38" t="str">
        <f>IF(Agent02_Loans!B60="","",Agent02_Loans!D60)</f>
        <v/>
      </c>
      <c r="E250" s="40" t="str">
        <f>IF(Agent02_Loans!B60="","",Agent02_Loans!E60)</f>
        <v/>
      </c>
      <c r="F250" s="37" t="str">
        <f>IF(Agent02_Loans!B60="","",Agent02_Loans!F60)</f>
        <v/>
      </c>
      <c r="G250" s="37" t="str">
        <f>IF(Agent02_Loans!B60="","",Agent02_Loans!G60)</f>
        <v/>
      </c>
      <c r="H250" s="37" t="str">
        <f>IF(Agent02_Loans!B60="","",Agent02_Loans!H60)</f>
        <v/>
      </c>
      <c r="I250" s="40" t="str">
        <f>IF(Agent02_Loans!B60="","",Agent02_Loans!I60)</f>
        <v/>
      </c>
      <c r="J250" s="40" t="str">
        <f>IF(Agent02_Loans!B60="","",Agent02_Loans!J60)</f>
        <v/>
      </c>
      <c r="K250" s="37" t="str">
        <f>IF(Agent02_Loans!B60="","",Agent02_Loans!K60)</f>
        <v/>
      </c>
      <c r="L250" s="37" t="str">
        <f>IF(Agent02_Loans!B60="","",Agent02_Loans!L60)</f>
        <v/>
      </c>
      <c r="M250" s="37" t="str">
        <f>IFERROR(IF(Agent02_Loans!B60="","",YEAR(Agent02_Loans!D60)),"")</f>
        <v/>
      </c>
    </row>
    <row r="251" spans="1:13" ht="18" customHeight="1" x14ac:dyDescent="0.25">
      <c r="A251" s="37" t="str">
        <f>IF(Agent02_Loans!B61="","",Agent02_Loans!A61)</f>
        <v/>
      </c>
      <c r="B251" s="37" t="str">
        <f>IF(Agent02_Loans!B61="","",Agent02_Loans!B61)</f>
        <v/>
      </c>
      <c r="C251" s="37" t="str">
        <f>IF(Agent02_Loans!B61="","",Agent02_Loans!C61)</f>
        <v/>
      </c>
      <c r="D251" s="38" t="str">
        <f>IF(Agent02_Loans!B61="","",Agent02_Loans!D61)</f>
        <v/>
      </c>
      <c r="E251" s="40" t="str">
        <f>IF(Agent02_Loans!B61="","",Agent02_Loans!E61)</f>
        <v/>
      </c>
      <c r="F251" s="37" t="str">
        <f>IF(Agent02_Loans!B61="","",Agent02_Loans!F61)</f>
        <v/>
      </c>
      <c r="G251" s="37" t="str">
        <f>IF(Agent02_Loans!B61="","",Agent02_Loans!G61)</f>
        <v/>
      </c>
      <c r="H251" s="37" t="str">
        <f>IF(Agent02_Loans!B61="","",Agent02_Loans!H61)</f>
        <v/>
      </c>
      <c r="I251" s="40" t="str">
        <f>IF(Agent02_Loans!B61="","",Agent02_Loans!I61)</f>
        <v/>
      </c>
      <c r="J251" s="40" t="str">
        <f>IF(Agent02_Loans!B61="","",Agent02_Loans!J61)</f>
        <v/>
      </c>
      <c r="K251" s="37" t="str">
        <f>IF(Agent02_Loans!B61="","",Agent02_Loans!K61)</f>
        <v/>
      </c>
      <c r="L251" s="37" t="str">
        <f>IF(Agent02_Loans!B61="","",Agent02_Loans!L61)</f>
        <v/>
      </c>
      <c r="M251" s="37" t="str">
        <f>IFERROR(IF(Agent02_Loans!B61="","",YEAR(Agent02_Loans!D61)),"")</f>
        <v/>
      </c>
    </row>
    <row r="252" spans="1:13" ht="18" customHeight="1" x14ac:dyDescent="0.25">
      <c r="A252" s="37" t="str">
        <f>IF(Agent02_Loans!B62="","",Agent02_Loans!A62)</f>
        <v/>
      </c>
      <c r="B252" s="37" t="str">
        <f>IF(Agent02_Loans!B62="","",Agent02_Loans!B62)</f>
        <v/>
      </c>
      <c r="C252" s="37" t="str">
        <f>IF(Agent02_Loans!B62="","",Agent02_Loans!C62)</f>
        <v/>
      </c>
      <c r="D252" s="38" t="str">
        <f>IF(Agent02_Loans!B62="","",Agent02_Loans!D62)</f>
        <v/>
      </c>
      <c r="E252" s="40" t="str">
        <f>IF(Agent02_Loans!B62="","",Agent02_Loans!E62)</f>
        <v/>
      </c>
      <c r="F252" s="37" t="str">
        <f>IF(Agent02_Loans!B62="","",Agent02_Loans!F62)</f>
        <v/>
      </c>
      <c r="G252" s="37" t="str">
        <f>IF(Agent02_Loans!B62="","",Agent02_Loans!G62)</f>
        <v/>
      </c>
      <c r="H252" s="37" t="str">
        <f>IF(Agent02_Loans!B62="","",Agent02_Loans!H62)</f>
        <v/>
      </c>
      <c r="I252" s="40" t="str">
        <f>IF(Agent02_Loans!B62="","",Agent02_Loans!I62)</f>
        <v/>
      </c>
      <c r="J252" s="40" t="str">
        <f>IF(Agent02_Loans!B62="","",Agent02_Loans!J62)</f>
        <v/>
      </c>
      <c r="K252" s="37" t="str">
        <f>IF(Agent02_Loans!B62="","",Agent02_Loans!K62)</f>
        <v/>
      </c>
      <c r="L252" s="37" t="str">
        <f>IF(Agent02_Loans!B62="","",Agent02_Loans!L62)</f>
        <v/>
      </c>
      <c r="M252" s="37" t="str">
        <f>IFERROR(IF(Agent02_Loans!B62="","",YEAR(Agent02_Loans!D62)),"")</f>
        <v/>
      </c>
    </row>
    <row r="253" spans="1:13" ht="18" customHeight="1" x14ac:dyDescent="0.25">
      <c r="A253" s="37" t="str">
        <f>IF(Agent02_Loans!B63="","",Agent02_Loans!A63)</f>
        <v/>
      </c>
      <c r="B253" s="37" t="str">
        <f>IF(Agent02_Loans!B63="","",Agent02_Loans!B63)</f>
        <v/>
      </c>
      <c r="C253" s="37" t="str">
        <f>IF(Agent02_Loans!B63="","",Agent02_Loans!C63)</f>
        <v/>
      </c>
      <c r="D253" s="38" t="str">
        <f>IF(Agent02_Loans!B63="","",Agent02_Loans!D63)</f>
        <v/>
      </c>
      <c r="E253" s="40" t="str">
        <f>IF(Agent02_Loans!B63="","",Agent02_Loans!E63)</f>
        <v/>
      </c>
      <c r="F253" s="37" t="str">
        <f>IF(Agent02_Loans!B63="","",Agent02_Loans!F63)</f>
        <v/>
      </c>
      <c r="G253" s="37" t="str">
        <f>IF(Agent02_Loans!B63="","",Agent02_Loans!G63)</f>
        <v/>
      </c>
      <c r="H253" s="37" t="str">
        <f>IF(Agent02_Loans!B63="","",Agent02_Loans!H63)</f>
        <v/>
      </c>
      <c r="I253" s="40" t="str">
        <f>IF(Agent02_Loans!B63="","",Agent02_Loans!I63)</f>
        <v/>
      </c>
      <c r="J253" s="40" t="str">
        <f>IF(Agent02_Loans!B63="","",Agent02_Loans!J63)</f>
        <v/>
      </c>
      <c r="K253" s="37" t="str">
        <f>IF(Agent02_Loans!B63="","",Agent02_Loans!K63)</f>
        <v/>
      </c>
      <c r="L253" s="37" t="str">
        <f>IF(Agent02_Loans!B63="","",Agent02_Loans!L63)</f>
        <v/>
      </c>
      <c r="M253" s="37" t="str">
        <f>IFERROR(IF(Agent02_Loans!B63="","",YEAR(Agent02_Loans!D63)),"")</f>
        <v/>
      </c>
    </row>
    <row r="254" spans="1:13" ht="18" customHeight="1" x14ac:dyDescent="0.25">
      <c r="A254" s="37" t="str">
        <f>IF(Agent02_Loans!B64="","",Agent02_Loans!A64)</f>
        <v/>
      </c>
      <c r="B254" s="37" t="str">
        <f>IF(Agent02_Loans!B64="","",Agent02_Loans!B64)</f>
        <v/>
      </c>
      <c r="C254" s="37" t="str">
        <f>IF(Agent02_Loans!B64="","",Agent02_Loans!C64)</f>
        <v/>
      </c>
      <c r="D254" s="38" t="str">
        <f>IF(Agent02_Loans!B64="","",Agent02_Loans!D64)</f>
        <v/>
      </c>
      <c r="E254" s="40" t="str">
        <f>IF(Agent02_Loans!B64="","",Agent02_Loans!E64)</f>
        <v/>
      </c>
      <c r="F254" s="37" t="str">
        <f>IF(Agent02_Loans!B64="","",Agent02_Loans!F64)</f>
        <v/>
      </c>
      <c r="G254" s="37" t="str">
        <f>IF(Agent02_Loans!B64="","",Agent02_Loans!G64)</f>
        <v/>
      </c>
      <c r="H254" s="37" t="str">
        <f>IF(Agent02_Loans!B64="","",Agent02_Loans!H64)</f>
        <v/>
      </c>
      <c r="I254" s="40" t="str">
        <f>IF(Agent02_Loans!B64="","",Agent02_Loans!I64)</f>
        <v/>
      </c>
      <c r="J254" s="40" t="str">
        <f>IF(Agent02_Loans!B64="","",Agent02_Loans!J64)</f>
        <v/>
      </c>
      <c r="K254" s="37" t="str">
        <f>IF(Agent02_Loans!B64="","",Agent02_Loans!K64)</f>
        <v/>
      </c>
      <c r="L254" s="37" t="str">
        <f>IF(Agent02_Loans!B64="","",Agent02_Loans!L64)</f>
        <v/>
      </c>
      <c r="M254" s="37" t="str">
        <f>IFERROR(IF(Agent02_Loans!B64="","",YEAR(Agent02_Loans!D64)),"")</f>
        <v/>
      </c>
    </row>
    <row r="255" spans="1:13" ht="18" customHeight="1" x14ac:dyDescent="0.25">
      <c r="A255" s="37" t="str">
        <f>IF(Agent02_Loans!B65="","",Agent02_Loans!A65)</f>
        <v/>
      </c>
      <c r="B255" s="37" t="str">
        <f>IF(Agent02_Loans!B65="","",Agent02_Loans!B65)</f>
        <v/>
      </c>
      <c r="C255" s="37" t="str">
        <f>IF(Agent02_Loans!B65="","",Agent02_Loans!C65)</f>
        <v/>
      </c>
      <c r="D255" s="38" t="str">
        <f>IF(Agent02_Loans!B65="","",Agent02_Loans!D65)</f>
        <v/>
      </c>
      <c r="E255" s="40" t="str">
        <f>IF(Agent02_Loans!B65="","",Agent02_Loans!E65)</f>
        <v/>
      </c>
      <c r="F255" s="37" t="str">
        <f>IF(Agent02_Loans!B65="","",Agent02_Loans!F65)</f>
        <v/>
      </c>
      <c r="G255" s="37" t="str">
        <f>IF(Agent02_Loans!B65="","",Agent02_Loans!G65)</f>
        <v/>
      </c>
      <c r="H255" s="37" t="str">
        <f>IF(Agent02_Loans!B65="","",Agent02_Loans!H65)</f>
        <v/>
      </c>
      <c r="I255" s="40" t="str">
        <f>IF(Agent02_Loans!B65="","",Agent02_Loans!I65)</f>
        <v/>
      </c>
      <c r="J255" s="40" t="str">
        <f>IF(Agent02_Loans!B65="","",Agent02_Loans!J65)</f>
        <v/>
      </c>
      <c r="K255" s="37" t="str">
        <f>IF(Agent02_Loans!B65="","",Agent02_Loans!K65)</f>
        <v/>
      </c>
      <c r="L255" s="37" t="str">
        <f>IF(Agent02_Loans!B65="","",Agent02_Loans!L65)</f>
        <v/>
      </c>
      <c r="M255" s="37" t="str">
        <f>IFERROR(IF(Agent02_Loans!B65="","",YEAR(Agent02_Loans!D65)),"")</f>
        <v/>
      </c>
    </row>
    <row r="256" spans="1:13" ht="18" customHeight="1" x14ac:dyDescent="0.25">
      <c r="A256" s="37" t="str">
        <f>IF(Agent02_Loans!B66="","",Agent02_Loans!A66)</f>
        <v/>
      </c>
      <c r="B256" s="37" t="str">
        <f>IF(Agent02_Loans!B66="","",Agent02_Loans!B66)</f>
        <v/>
      </c>
      <c r="C256" s="37" t="str">
        <f>IF(Agent02_Loans!B66="","",Agent02_Loans!C66)</f>
        <v/>
      </c>
      <c r="D256" s="38" t="str">
        <f>IF(Agent02_Loans!B66="","",Agent02_Loans!D66)</f>
        <v/>
      </c>
      <c r="E256" s="40" t="str">
        <f>IF(Agent02_Loans!B66="","",Agent02_Loans!E66)</f>
        <v/>
      </c>
      <c r="F256" s="37" t="str">
        <f>IF(Agent02_Loans!B66="","",Agent02_Loans!F66)</f>
        <v/>
      </c>
      <c r="G256" s="37" t="str">
        <f>IF(Agent02_Loans!B66="","",Agent02_Loans!G66)</f>
        <v/>
      </c>
      <c r="H256" s="37" t="str">
        <f>IF(Agent02_Loans!B66="","",Agent02_Loans!H66)</f>
        <v/>
      </c>
      <c r="I256" s="40" t="str">
        <f>IF(Agent02_Loans!B66="","",Agent02_Loans!I66)</f>
        <v/>
      </c>
      <c r="J256" s="40" t="str">
        <f>IF(Agent02_Loans!B66="","",Agent02_Loans!J66)</f>
        <v/>
      </c>
      <c r="K256" s="37" t="str">
        <f>IF(Agent02_Loans!B66="","",Agent02_Loans!K66)</f>
        <v/>
      </c>
      <c r="L256" s="37" t="str">
        <f>IF(Agent02_Loans!B66="","",Agent02_Loans!L66)</f>
        <v/>
      </c>
      <c r="M256" s="37" t="str">
        <f>IFERROR(IF(Agent02_Loans!B66="","",YEAR(Agent02_Loans!D66)),"")</f>
        <v/>
      </c>
    </row>
    <row r="257" spans="1:13" ht="18" customHeight="1" x14ac:dyDescent="0.25">
      <c r="A257" s="37" t="str">
        <f>IF(Agent02_Loans!B67="","",Agent02_Loans!A67)</f>
        <v/>
      </c>
      <c r="B257" s="37" t="str">
        <f>IF(Agent02_Loans!B67="","",Agent02_Loans!B67)</f>
        <v/>
      </c>
      <c r="C257" s="37" t="str">
        <f>IF(Agent02_Loans!B67="","",Agent02_Loans!C67)</f>
        <v/>
      </c>
      <c r="D257" s="38" t="str">
        <f>IF(Agent02_Loans!B67="","",Agent02_Loans!D67)</f>
        <v/>
      </c>
      <c r="E257" s="40" t="str">
        <f>IF(Agent02_Loans!B67="","",Agent02_Loans!E67)</f>
        <v/>
      </c>
      <c r="F257" s="37" t="str">
        <f>IF(Agent02_Loans!B67="","",Agent02_Loans!F67)</f>
        <v/>
      </c>
      <c r="G257" s="37" t="str">
        <f>IF(Agent02_Loans!B67="","",Agent02_Loans!G67)</f>
        <v/>
      </c>
      <c r="H257" s="37" t="str">
        <f>IF(Agent02_Loans!B67="","",Agent02_Loans!H67)</f>
        <v/>
      </c>
      <c r="I257" s="40" t="str">
        <f>IF(Agent02_Loans!B67="","",Agent02_Loans!I67)</f>
        <v/>
      </c>
      <c r="J257" s="40" t="str">
        <f>IF(Agent02_Loans!B67="","",Agent02_Loans!J67)</f>
        <v/>
      </c>
      <c r="K257" s="37" t="str">
        <f>IF(Agent02_Loans!B67="","",Agent02_Loans!K67)</f>
        <v/>
      </c>
      <c r="L257" s="37" t="str">
        <f>IF(Agent02_Loans!B67="","",Agent02_Loans!L67)</f>
        <v/>
      </c>
      <c r="M257" s="37" t="str">
        <f>IFERROR(IF(Agent02_Loans!B67="","",YEAR(Agent02_Loans!D67)),"")</f>
        <v/>
      </c>
    </row>
    <row r="258" spans="1:13" ht="18" customHeight="1" x14ac:dyDescent="0.25">
      <c r="A258" s="37" t="str">
        <f>IF(Agent02_Loans!B68="","",Agent02_Loans!A68)</f>
        <v/>
      </c>
      <c r="B258" s="37" t="str">
        <f>IF(Agent02_Loans!B68="","",Agent02_Loans!B68)</f>
        <v/>
      </c>
      <c r="C258" s="37" t="str">
        <f>IF(Agent02_Loans!B68="","",Agent02_Loans!C68)</f>
        <v/>
      </c>
      <c r="D258" s="38" t="str">
        <f>IF(Agent02_Loans!B68="","",Agent02_Loans!D68)</f>
        <v/>
      </c>
      <c r="E258" s="40" t="str">
        <f>IF(Agent02_Loans!B68="","",Agent02_Loans!E68)</f>
        <v/>
      </c>
      <c r="F258" s="37" t="str">
        <f>IF(Agent02_Loans!B68="","",Agent02_Loans!F68)</f>
        <v/>
      </c>
      <c r="G258" s="37" t="str">
        <f>IF(Agent02_Loans!B68="","",Agent02_Loans!G68)</f>
        <v/>
      </c>
      <c r="H258" s="37" t="str">
        <f>IF(Agent02_Loans!B68="","",Agent02_Loans!H68)</f>
        <v/>
      </c>
      <c r="I258" s="40" t="str">
        <f>IF(Agent02_Loans!B68="","",Agent02_Loans!I68)</f>
        <v/>
      </c>
      <c r="J258" s="40" t="str">
        <f>IF(Agent02_Loans!B68="","",Agent02_Loans!J68)</f>
        <v/>
      </c>
      <c r="K258" s="37" t="str">
        <f>IF(Agent02_Loans!B68="","",Agent02_Loans!K68)</f>
        <v/>
      </c>
      <c r="L258" s="37" t="str">
        <f>IF(Agent02_Loans!B68="","",Agent02_Loans!L68)</f>
        <v/>
      </c>
      <c r="M258" s="37" t="str">
        <f>IFERROR(IF(Agent02_Loans!B68="","",YEAR(Agent02_Loans!D68)),"")</f>
        <v/>
      </c>
    </row>
    <row r="259" spans="1:13" ht="18" customHeight="1" x14ac:dyDescent="0.25">
      <c r="A259" s="37" t="str">
        <f>IF(Agent02_Loans!B69="","",Agent02_Loans!A69)</f>
        <v/>
      </c>
      <c r="B259" s="37" t="str">
        <f>IF(Agent02_Loans!B69="","",Agent02_Loans!B69)</f>
        <v/>
      </c>
      <c r="C259" s="37" t="str">
        <f>IF(Agent02_Loans!B69="","",Agent02_Loans!C69)</f>
        <v/>
      </c>
      <c r="D259" s="38" t="str">
        <f>IF(Agent02_Loans!B69="","",Agent02_Loans!D69)</f>
        <v/>
      </c>
      <c r="E259" s="40" t="str">
        <f>IF(Agent02_Loans!B69="","",Agent02_Loans!E69)</f>
        <v/>
      </c>
      <c r="F259" s="37" t="str">
        <f>IF(Agent02_Loans!B69="","",Agent02_Loans!F69)</f>
        <v/>
      </c>
      <c r="G259" s="37" t="str">
        <f>IF(Agent02_Loans!B69="","",Agent02_Loans!G69)</f>
        <v/>
      </c>
      <c r="H259" s="37" t="str">
        <f>IF(Agent02_Loans!B69="","",Agent02_Loans!H69)</f>
        <v/>
      </c>
      <c r="I259" s="40" t="str">
        <f>IF(Agent02_Loans!B69="","",Agent02_Loans!I69)</f>
        <v/>
      </c>
      <c r="J259" s="40" t="str">
        <f>IF(Agent02_Loans!B69="","",Agent02_Loans!J69)</f>
        <v/>
      </c>
      <c r="K259" s="37" t="str">
        <f>IF(Agent02_Loans!B69="","",Agent02_Loans!K69)</f>
        <v/>
      </c>
      <c r="L259" s="37" t="str">
        <f>IF(Agent02_Loans!B69="","",Agent02_Loans!L69)</f>
        <v/>
      </c>
      <c r="M259" s="37" t="str">
        <f>IFERROR(IF(Agent02_Loans!B69="","",YEAR(Agent02_Loans!D69)),"")</f>
        <v/>
      </c>
    </row>
    <row r="260" spans="1:13" ht="18" customHeight="1" x14ac:dyDescent="0.25">
      <c r="A260" s="37" t="str">
        <f>IF(Agent02_Loans!B70="","",Agent02_Loans!A70)</f>
        <v/>
      </c>
      <c r="B260" s="37" t="str">
        <f>IF(Agent02_Loans!B70="","",Agent02_Loans!B70)</f>
        <v/>
      </c>
      <c r="C260" s="37" t="str">
        <f>IF(Agent02_Loans!B70="","",Agent02_Loans!C70)</f>
        <v/>
      </c>
      <c r="D260" s="38" t="str">
        <f>IF(Agent02_Loans!B70="","",Agent02_Loans!D70)</f>
        <v/>
      </c>
      <c r="E260" s="40" t="str">
        <f>IF(Agent02_Loans!B70="","",Agent02_Loans!E70)</f>
        <v/>
      </c>
      <c r="F260" s="37" t="str">
        <f>IF(Agent02_Loans!B70="","",Agent02_Loans!F70)</f>
        <v/>
      </c>
      <c r="G260" s="37" t="str">
        <f>IF(Agent02_Loans!B70="","",Agent02_Loans!G70)</f>
        <v/>
      </c>
      <c r="H260" s="37" t="str">
        <f>IF(Agent02_Loans!B70="","",Agent02_Loans!H70)</f>
        <v/>
      </c>
      <c r="I260" s="40" t="str">
        <f>IF(Agent02_Loans!B70="","",Agent02_Loans!I70)</f>
        <v/>
      </c>
      <c r="J260" s="40" t="str">
        <f>IF(Agent02_Loans!B70="","",Agent02_Loans!J70)</f>
        <v/>
      </c>
      <c r="K260" s="37" t="str">
        <f>IF(Agent02_Loans!B70="","",Agent02_Loans!K70)</f>
        <v/>
      </c>
      <c r="L260" s="37" t="str">
        <f>IF(Agent02_Loans!B70="","",Agent02_Loans!L70)</f>
        <v/>
      </c>
      <c r="M260" s="37" t="str">
        <f>IFERROR(IF(Agent02_Loans!B70="","",YEAR(Agent02_Loans!D70)),"")</f>
        <v/>
      </c>
    </row>
    <row r="261" spans="1:13" ht="18" customHeight="1" x14ac:dyDescent="0.25">
      <c r="A261" s="37" t="str">
        <f>IF(Agent02_Loans!B71="","",Agent02_Loans!A71)</f>
        <v/>
      </c>
      <c r="B261" s="37" t="str">
        <f>IF(Agent02_Loans!B71="","",Agent02_Loans!B71)</f>
        <v/>
      </c>
      <c r="C261" s="37" t="str">
        <f>IF(Agent02_Loans!B71="","",Agent02_Loans!C71)</f>
        <v/>
      </c>
      <c r="D261" s="38" t="str">
        <f>IF(Agent02_Loans!B71="","",Agent02_Loans!D71)</f>
        <v/>
      </c>
      <c r="E261" s="40" t="str">
        <f>IF(Agent02_Loans!B71="","",Agent02_Loans!E71)</f>
        <v/>
      </c>
      <c r="F261" s="37" t="str">
        <f>IF(Agent02_Loans!B71="","",Agent02_Loans!F71)</f>
        <v/>
      </c>
      <c r="G261" s="37" t="str">
        <f>IF(Agent02_Loans!B71="","",Agent02_Loans!G71)</f>
        <v/>
      </c>
      <c r="H261" s="37" t="str">
        <f>IF(Agent02_Loans!B71="","",Agent02_Loans!H71)</f>
        <v/>
      </c>
      <c r="I261" s="40" t="str">
        <f>IF(Agent02_Loans!B71="","",Agent02_Loans!I71)</f>
        <v/>
      </c>
      <c r="J261" s="40" t="str">
        <f>IF(Agent02_Loans!B71="","",Agent02_Loans!J71)</f>
        <v/>
      </c>
      <c r="K261" s="37" t="str">
        <f>IF(Agent02_Loans!B71="","",Agent02_Loans!K71)</f>
        <v/>
      </c>
      <c r="L261" s="37" t="str">
        <f>IF(Agent02_Loans!B71="","",Agent02_Loans!L71)</f>
        <v/>
      </c>
      <c r="M261" s="37" t="str">
        <f>IFERROR(IF(Agent02_Loans!B71="","",YEAR(Agent02_Loans!D71)),"")</f>
        <v/>
      </c>
    </row>
    <row r="262" spans="1:13" ht="18" customHeight="1" x14ac:dyDescent="0.25">
      <c r="A262" s="37" t="str">
        <f>IF(Agent02_Loans!B72="","",Agent02_Loans!A72)</f>
        <v/>
      </c>
      <c r="B262" s="37" t="str">
        <f>IF(Agent02_Loans!B72="","",Agent02_Loans!B72)</f>
        <v/>
      </c>
      <c r="C262" s="37" t="str">
        <f>IF(Agent02_Loans!B72="","",Agent02_Loans!C72)</f>
        <v/>
      </c>
      <c r="D262" s="38" t="str">
        <f>IF(Agent02_Loans!B72="","",Agent02_Loans!D72)</f>
        <v/>
      </c>
      <c r="E262" s="40" t="str">
        <f>IF(Agent02_Loans!B72="","",Agent02_Loans!E72)</f>
        <v/>
      </c>
      <c r="F262" s="37" t="str">
        <f>IF(Agent02_Loans!B72="","",Agent02_Loans!F72)</f>
        <v/>
      </c>
      <c r="G262" s="37" t="str">
        <f>IF(Agent02_Loans!B72="","",Agent02_Loans!G72)</f>
        <v/>
      </c>
      <c r="H262" s="37" t="str">
        <f>IF(Agent02_Loans!B72="","",Agent02_Loans!H72)</f>
        <v/>
      </c>
      <c r="I262" s="40" t="str">
        <f>IF(Agent02_Loans!B72="","",Agent02_Loans!I72)</f>
        <v/>
      </c>
      <c r="J262" s="40" t="str">
        <f>IF(Agent02_Loans!B72="","",Agent02_Loans!J72)</f>
        <v/>
      </c>
      <c r="K262" s="37" t="str">
        <f>IF(Agent02_Loans!B72="","",Agent02_Loans!K72)</f>
        <v/>
      </c>
      <c r="L262" s="37" t="str">
        <f>IF(Agent02_Loans!B72="","",Agent02_Loans!L72)</f>
        <v/>
      </c>
      <c r="M262" s="37" t="str">
        <f>IFERROR(IF(Agent02_Loans!B72="","",YEAR(Agent02_Loans!D72)),"")</f>
        <v/>
      </c>
    </row>
    <row r="263" spans="1:13" ht="18" customHeight="1" x14ac:dyDescent="0.25">
      <c r="A263" s="37" t="str">
        <f>IF(Agent02_Loans!B73="","",Agent02_Loans!A73)</f>
        <v/>
      </c>
      <c r="B263" s="37" t="str">
        <f>IF(Agent02_Loans!B73="","",Agent02_Loans!B73)</f>
        <v/>
      </c>
      <c r="C263" s="37" t="str">
        <f>IF(Agent02_Loans!B73="","",Agent02_Loans!C73)</f>
        <v/>
      </c>
      <c r="D263" s="38" t="str">
        <f>IF(Agent02_Loans!B73="","",Agent02_Loans!D73)</f>
        <v/>
      </c>
      <c r="E263" s="40" t="str">
        <f>IF(Agent02_Loans!B73="","",Agent02_Loans!E73)</f>
        <v/>
      </c>
      <c r="F263" s="37" t="str">
        <f>IF(Agent02_Loans!B73="","",Agent02_Loans!F73)</f>
        <v/>
      </c>
      <c r="G263" s="37" t="str">
        <f>IF(Agent02_Loans!B73="","",Agent02_Loans!G73)</f>
        <v/>
      </c>
      <c r="H263" s="37" t="str">
        <f>IF(Agent02_Loans!B73="","",Agent02_Loans!H73)</f>
        <v/>
      </c>
      <c r="I263" s="40" t="str">
        <f>IF(Agent02_Loans!B73="","",Agent02_Loans!I73)</f>
        <v/>
      </c>
      <c r="J263" s="40" t="str">
        <f>IF(Agent02_Loans!B73="","",Agent02_Loans!J73)</f>
        <v/>
      </c>
      <c r="K263" s="37" t="str">
        <f>IF(Agent02_Loans!B73="","",Agent02_Loans!K73)</f>
        <v/>
      </c>
      <c r="L263" s="37" t="str">
        <f>IF(Agent02_Loans!B73="","",Agent02_Loans!L73)</f>
        <v/>
      </c>
      <c r="M263" s="37" t="str">
        <f>IFERROR(IF(Agent02_Loans!B73="","",YEAR(Agent02_Loans!D73)),"")</f>
        <v/>
      </c>
    </row>
    <row r="264" spans="1:13" ht="18" customHeight="1" x14ac:dyDescent="0.25">
      <c r="A264" s="37" t="str">
        <f>IF(Agent02_Loans!B74="","",Agent02_Loans!A74)</f>
        <v/>
      </c>
      <c r="B264" s="37" t="str">
        <f>IF(Agent02_Loans!B74="","",Agent02_Loans!B74)</f>
        <v/>
      </c>
      <c r="C264" s="37" t="str">
        <f>IF(Agent02_Loans!B74="","",Agent02_Loans!C74)</f>
        <v/>
      </c>
      <c r="D264" s="38" t="str">
        <f>IF(Agent02_Loans!B74="","",Agent02_Loans!D74)</f>
        <v/>
      </c>
      <c r="E264" s="40" t="str">
        <f>IF(Agent02_Loans!B74="","",Agent02_Loans!E74)</f>
        <v/>
      </c>
      <c r="F264" s="37" t="str">
        <f>IF(Agent02_Loans!B74="","",Agent02_Loans!F74)</f>
        <v/>
      </c>
      <c r="G264" s="37" t="str">
        <f>IF(Agent02_Loans!B74="","",Agent02_Loans!G74)</f>
        <v/>
      </c>
      <c r="H264" s="37" t="str">
        <f>IF(Agent02_Loans!B74="","",Agent02_Loans!H74)</f>
        <v/>
      </c>
      <c r="I264" s="40" t="str">
        <f>IF(Agent02_Loans!B74="","",Agent02_Loans!I74)</f>
        <v/>
      </c>
      <c r="J264" s="40" t="str">
        <f>IF(Agent02_Loans!B74="","",Agent02_Loans!J74)</f>
        <v/>
      </c>
      <c r="K264" s="37" t="str">
        <f>IF(Agent02_Loans!B74="","",Agent02_Loans!K74)</f>
        <v/>
      </c>
      <c r="L264" s="37" t="str">
        <f>IF(Agent02_Loans!B74="","",Agent02_Loans!L74)</f>
        <v/>
      </c>
      <c r="M264" s="37" t="str">
        <f>IFERROR(IF(Agent02_Loans!B74="","",YEAR(Agent02_Loans!D74)),"")</f>
        <v/>
      </c>
    </row>
    <row r="265" spans="1:13" ht="18" customHeight="1" x14ac:dyDescent="0.25">
      <c r="A265" s="37" t="str">
        <f>IF(Agent02_Loans!B75="","",Agent02_Loans!A75)</f>
        <v/>
      </c>
      <c r="B265" s="37" t="str">
        <f>IF(Agent02_Loans!B75="","",Agent02_Loans!B75)</f>
        <v/>
      </c>
      <c r="C265" s="37" t="str">
        <f>IF(Agent02_Loans!B75="","",Agent02_Loans!C75)</f>
        <v/>
      </c>
      <c r="D265" s="38" t="str">
        <f>IF(Agent02_Loans!B75="","",Agent02_Loans!D75)</f>
        <v/>
      </c>
      <c r="E265" s="40" t="str">
        <f>IF(Agent02_Loans!B75="","",Agent02_Loans!E75)</f>
        <v/>
      </c>
      <c r="F265" s="37" t="str">
        <f>IF(Agent02_Loans!B75="","",Agent02_Loans!F75)</f>
        <v/>
      </c>
      <c r="G265" s="37" t="str">
        <f>IF(Agent02_Loans!B75="","",Agent02_Loans!G75)</f>
        <v/>
      </c>
      <c r="H265" s="37" t="str">
        <f>IF(Agent02_Loans!B75="","",Agent02_Loans!H75)</f>
        <v/>
      </c>
      <c r="I265" s="40" t="str">
        <f>IF(Agent02_Loans!B75="","",Agent02_Loans!I75)</f>
        <v/>
      </c>
      <c r="J265" s="40" t="str">
        <f>IF(Agent02_Loans!B75="","",Agent02_Loans!J75)</f>
        <v/>
      </c>
      <c r="K265" s="37" t="str">
        <f>IF(Agent02_Loans!B75="","",Agent02_Loans!K75)</f>
        <v/>
      </c>
      <c r="L265" s="37" t="str">
        <f>IF(Agent02_Loans!B75="","",Agent02_Loans!L75)</f>
        <v/>
      </c>
      <c r="M265" s="37" t="str">
        <f>IFERROR(IF(Agent02_Loans!B75="","",YEAR(Agent02_Loans!D75)),"")</f>
        <v/>
      </c>
    </row>
    <row r="266" spans="1:13" ht="18" customHeight="1" x14ac:dyDescent="0.25">
      <c r="A266" s="37" t="str">
        <f>IF(Agent02_Loans!B76="","",Agent02_Loans!A76)</f>
        <v/>
      </c>
      <c r="B266" s="37" t="str">
        <f>IF(Agent02_Loans!B76="","",Agent02_Loans!B76)</f>
        <v/>
      </c>
      <c r="C266" s="37" t="str">
        <f>IF(Agent02_Loans!B76="","",Agent02_Loans!C76)</f>
        <v/>
      </c>
      <c r="D266" s="38" t="str">
        <f>IF(Agent02_Loans!B76="","",Agent02_Loans!D76)</f>
        <v/>
      </c>
      <c r="E266" s="40" t="str">
        <f>IF(Agent02_Loans!B76="","",Agent02_Loans!E76)</f>
        <v/>
      </c>
      <c r="F266" s="37" t="str">
        <f>IF(Agent02_Loans!B76="","",Agent02_Loans!F76)</f>
        <v/>
      </c>
      <c r="G266" s="37" t="str">
        <f>IF(Agent02_Loans!B76="","",Agent02_Loans!G76)</f>
        <v/>
      </c>
      <c r="H266" s="37" t="str">
        <f>IF(Agent02_Loans!B76="","",Agent02_Loans!H76)</f>
        <v/>
      </c>
      <c r="I266" s="40" t="str">
        <f>IF(Agent02_Loans!B76="","",Agent02_Loans!I76)</f>
        <v/>
      </c>
      <c r="J266" s="40" t="str">
        <f>IF(Agent02_Loans!B76="","",Agent02_Loans!J76)</f>
        <v/>
      </c>
      <c r="K266" s="37" t="str">
        <f>IF(Agent02_Loans!B76="","",Agent02_Loans!K76)</f>
        <v/>
      </c>
      <c r="L266" s="37" t="str">
        <f>IF(Agent02_Loans!B76="","",Agent02_Loans!L76)</f>
        <v/>
      </c>
      <c r="M266" s="37" t="str">
        <f>IFERROR(IF(Agent02_Loans!B76="","",YEAR(Agent02_Loans!D76)),"")</f>
        <v/>
      </c>
    </row>
    <row r="267" spans="1:13" ht="18" customHeight="1" x14ac:dyDescent="0.25">
      <c r="A267" s="37" t="str">
        <f>IF(Agent02_Loans!B77="","",Agent02_Loans!A77)</f>
        <v/>
      </c>
      <c r="B267" s="37" t="str">
        <f>IF(Agent02_Loans!B77="","",Agent02_Loans!B77)</f>
        <v/>
      </c>
      <c r="C267" s="37" t="str">
        <f>IF(Agent02_Loans!B77="","",Agent02_Loans!C77)</f>
        <v/>
      </c>
      <c r="D267" s="38" t="str">
        <f>IF(Agent02_Loans!B77="","",Agent02_Loans!D77)</f>
        <v/>
      </c>
      <c r="E267" s="40" t="str">
        <f>IF(Agent02_Loans!B77="","",Agent02_Loans!E77)</f>
        <v/>
      </c>
      <c r="F267" s="37" t="str">
        <f>IF(Agent02_Loans!B77="","",Agent02_Loans!F77)</f>
        <v/>
      </c>
      <c r="G267" s="37" t="str">
        <f>IF(Agent02_Loans!B77="","",Agent02_Loans!G77)</f>
        <v/>
      </c>
      <c r="H267" s="37" t="str">
        <f>IF(Agent02_Loans!B77="","",Agent02_Loans!H77)</f>
        <v/>
      </c>
      <c r="I267" s="40" t="str">
        <f>IF(Agent02_Loans!B77="","",Agent02_Loans!I77)</f>
        <v/>
      </c>
      <c r="J267" s="40" t="str">
        <f>IF(Agent02_Loans!B77="","",Agent02_Loans!J77)</f>
        <v/>
      </c>
      <c r="K267" s="37" t="str">
        <f>IF(Agent02_Loans!B77="","",Agent02_Loans!K77)</f>
        <v/>
      </c>
      <c r="L267" s="37" t="str">
        <f>IF(Agent02_Loans!B77="","",Agent02_Loans!L77)</f>
        <v/>
      </c>
      <c r="M267" s="37" t="str">
        <f>IFERROR(IF(Agent02_Loans!B77="","",YEAR(Agent02_Loans!D77)),"")</f>
        <v/>
      </c>
    </row>
    <row r="268" spans="1:13" ht="18" customHeight="1" x14ac:dyDescent="0.25">
      <c r="A268" s="37" t="str">
        <f>IF(Agent02_Loans!B78="","",Agent02_Loans!A78)</f>
        <v/>
      </c>
      <c r="B268" s="37" t="str">
        <f>IF(Agent02_Loans!B78="","",Agent02_Loans!B78)</f>
        <v/>
      </c>
      <c r="C268" s="37" t="str">
        <f>IF(Agent02_Loans!B78="","",Agent02_Loans!C78)</f>
        <v/>
      </c>
      <c r="D268" s="38" t="str">
        <f>IF(Agent02_Loans!B78="","",Agent02_Loans!D78)</f>
        <v/>
      </c>
      <c r="E268" s="40" t="str">
        <f>IF(Agent02_Loans!B78="","",Agent02_Loans!E78)</f>
        <v/>
      </c>
      <c r="F268" s="37" t="str">
        <f>IF(Agent02_Loans!B78="","",Agent02_Loans!F78)</f>
        <v/>
      </c>
      <c r="G268" s="37" t="str">
        <f>IF(Agent02_Loans!B78="","",Agent02_Loans!G78)</f>
        <v/>
      </c>
      <c r="H268" s="37" t="str">
        <f>IF(Agent02_Loans!B78="","",Agent02_Loans!H78)</f>
        <v/>
      </c>
      <c r="I268" s="40" t="str">
        <f>IF(Agent02_Loans!B78="","",Agent02_Loans!I78)</f>
        <v/>
      </c>
      <c r="J268" s="40" t="str">
        <f>IF(Agent02_Loans!B78="","",Agent02_Loans!J78)</f>
        <v/>
      </c>
      <c r="K268" s="37" t="str">
        <f>IF(Agent02_Loans!B78="","",Agent02_Loans!K78)</f>
        <v/>
      </c>
      <c r="L268" s="37" t="str">
        <f>IF(Agent02_Loans!B78="","",Agent02_Loans!L78)</f>
        <v/>
      </c>
      <c r="M268" s="37" t="str">
        <f>IFERROR(IF(Agent02_Loans!B78="","",YEAR(Agent02_Loans!D78)),"")</f>
        <v/>
      </c>
    </row>
    <row r="269" spans="1:13" ht="18" customHeight="1" x14ac:dyDescent="0.25">
      <c r="A269" s="37" t="str">
        <f>IF(Agent02_Loans!B79="","",Agent02_Loans!A79)</f>
        <v/>
      </c>
      <c r="B269" s="37" t="str">
        <f>IF(Agent02_Loans!B79="","",Agent02_Loans!B79)</f>
        <v/>
      </c>
      <c r="C269" s="37" t="str">
        <f>IF(Agent02_Loans!B79="","",Agent02_Loans!C79)</f>
        <v/>
      </c>
      <c r="D269" s="38" t="str">
        <f>IF(Agent02_Loans!B79="","",Agent02_Loans!D79)</f>
        <v/>
      </c>
      <c r="E269" s="40" t="str">
        <f>IF(Agent02_Loans!B79="","",Agent02_Loans!E79)</f>
        <v/>
      </c>
      <c r="F269" s="37" t="str">
        <f>IF(Agent02_Loans!B79="","",Agent02_Loans!F79)</f>
        <v/>
      </c>
      <c r="G269" s="37" t="str">
        <f>IF(Agent02_Loans!B79="","",Agent02_Loans!G79)</f>
        <v/>
      </c>
      <c r="H269" s="37" t="str">
        <f>IF(Agent02_Loans!B79="","",Agent02_Loans!H79)</f>
        <v/>
      </c>
      <c r="I269" s="40" t="str">
        <f>IF(Agent02_Loans!B79="","",Agent02_Loans!I79)</f>
        <v/>
      </c>
      <c r="J269" s="40" t="str">
        <f>IF(Agent02_Loans!B79="","",Agent02_Loans!J79)</f>
        <v/>
      </c>
      <c r="K269" s="37" t="str">
        <f>IF(Agent02_Loans!B79="","",Agent02_Loans!K79)</f>
        <v/>
      </c>
      <c r="L269" s="37" t="str">
        <f>IF(Agent02_Loans!B79="","",Agent02_Loans!L79)</f>
        <v/>
      </c>
      <c r="M269" s="37" t="str">
        <f>IFERROR(IF(Agent02_Loans!B79="","",YEAR(Agent02_Loans!D79)),"")</f>
        <v/>
      </c>
    </row>
    <row r="270" spans="1:13" ht="18" customHeight="1" x14ac:dyDescent="0.25">
      <c r="A270" s="37" t="str">
        <f>IF(Agent02_Loans!B80="","",Agent02_Loans!A80)</f>
        <v/>
      </c>
      <c r="B270" s="37" t="str">
        <f>IF(Agent02_Loans!B80="","",Agent02_Loans!B80)</f>
        <v/>
      </c>
      <c r="C270" s="37" t="str">
        <f>IF(Agent02_Loans!B80="","",Agent02_Loans!C80)</f>
        <v/>
      </c>
      <c r="D270" s="38" t="str">
        <f>IF(Agent02_Loans!B80="","",Agent02_Loans!D80)</f>
        <v/>
      </c>
      <c r="E270" s="40" t="str">
        <f>IF(Agent02_Loans!B80="","",Agent02_Loans!E80)</f>
        <v/>
      </c>
      <c r="F270" s="37" t="str">
        <f>IF(Agent02_Loans!B80="","",Agent02_Loans!F80)</f>
        <v/>
      </c>
      <c r="G270" s="37" t="str">
        <f>IF(Agent02_Loans!B80="","",Agent02_Loans!G80)</f>
        <v/>
      </c>
      <c r="H270" s="37" t="str">
        <f>IF(Agent02_Loans!B80="","",Agent02_Loans!H80)</f>
        <v/>
      </c>
      <c r="I270" s="40" t="str">
        <f>IF(Agent02_Loans!B80="","",Agent02_Loans!I80)</f>
        <v/>
      </c>
      <c r="J270" s="40" t="str">
        <f>IF(Agent02_Loans!B80="","",Agent02_Loans!J80)</f>
        <v/>
      </c>
      <c r="K270" s="37" t="str">
        <f>IF(Agent02_Loans!B80="","",Agent02_Loans!K80)</f>
        <v/>
      </c>
      <c r="L270" s="37" t="str">
        <f>IF(Agent02_Loans!B80="","",Agent02_Loans!L80)</f>
        <v/>
      </c>
      <c r="M270" s="37" t="str">
        <f>IFERROR(IF(Agent02_Loans!B80="","",YEAR(Agent02_Loans!D80)),"")</f>
        <v/>
      </c>
    </row>
    <row r="271" spans="1:13" ht="18" customHeight="1" x14ac:dyDescent="0.25">
      <c r="A271" s="37" t="str">
        <f>IF(Agent02_Loans!B81="","",Agent02_Loans!A81)</f>
        <v/>
      </c>
      <c r="B271" s="37" t="str">
        <f>IF(Agent02_Loans!B81="","",Agent02_Loans!B81)</f>
        <v/>
      </c>
      <c r="C271" s="37" t="str">
        <f>IF(Agent02_Loans!B81="","",Agent02_Loans!C81)</f>
        <v/>
      </c>
      <c r="D271" s="38" t="str">
        <f>IF(Agent02_Loans!B81="","",Agent02_Loans!D81)</f>
        <v/>
      </c>
      <c r="E271" s="40" t="str">
        <f>IF(Agent02_Loans!B81="","",Agent02_Loans!E81)</f>
        <v/>
      </c>
      <c r="F271" s="37" t="str">
        <f>IF(Agent02_Loans!B81="","",Agent02_Loans!F81)</f>
        <v/>
      </c>
      <c r="G271" s="37" t="str">
        <f>IF(Agent02_Loans!B81="","",Agent02_Loans!G81)</f>
        <v/>
      </c>
      <c r="H271" s="37" t="str">
        <f>IF(Agent02_Loans!B81="","",Agent02_Loans!H81)</f>
        <v/>
      </c>
      <c r="I271" s="40" t="str">
        <f>IF(Agent02_Loans!B81="","",Agent02_Loans!I81)</f>
        <v/>
      </c>
      <c r="J271" s="40" t="str">
        <f>IF(Agent02_Loans!B81="","",Agent02_Loans!J81)</f>
        <v/>
      </c>
      <c r="K271" s="37" t="str">
        <f>IF(Agent02_Loans!B81="","",Agent02_Loans!K81)</f>
        <v/>
      </c>
      <c r="L271" s="37" t="str">
        <f>IF(Agent02_Loans!B81="","",Agent02_Loans!L81)</f>
        <v/>
      </c>
      <c r="M271" s="37" t="str">
        <f>IFERROR(IF(Agent02_Loans!B81="","",YEAR(Agent02_Loans!D81)),"")</f>
        <v/>
      </c>
    </row>
    <row r="272" spans="1:13" ht="18" customHeight="1" x14ac:dyDescent="0.25">
      <c r="A272" s="37" t="str">
        <f>IF(Agent02_Loans!B82="","",Agent02_Loans!A82)</f>
        <v/>
      </c>
      <c r="B272" s="37" t="str">
        <f>IF(Agent02_Loans!B82="","",Agent02_Loans!B82)</f>
        <v/>
      </c>
      <c r="C272" s="37" t="str">
        <f>IF(Agent02_Loans!B82="","",Agent02_Loans!C82)</f>
        <v/>
      </c>
      <c r="D272" s="38" t="str">
        <f>IF(Agent02_Loans!B82="","",Agent02_Loans!D82)</f>
        <v/>
      </c>
      <c r="E272" s="40" t="str">
        <f>IF(Agent02_Loans!B82="","",Agent02_Loans!E82)</f>
        <v/>
      </c>
      <c r="F272" s="37" t="str">
        <f>IF(Agent02_Loans!B82="","",Agent02_Loans!F82)</f>
        <v/>
      </c>
      <c r="G272" s="37" t="str">
        <f>IF(Agent02_Loans!B82="","",Agent02_Loans!G82)</f>
        <v/>
      </c>
      <c r="H272" s="37" t="str">
        <f>IF(Agent02_Loans!B82="","",Agent02_Loans!H82)</f>
        <v/>
      </c>
      <c r="I272" s="40" t="str">
        <f>IF(Agent02_Loans!B82="","",Agent02_Loans!I82)</f>
        <v/>
      </c>
      <c r="J272" s="40" t="str">
        <f>IF(Agent02_Loans!B82="","",Agent02_Loans!J82)</f>
        <v/>
      </c>
      <c r="K272" s="37" t="str">
        <f>IF(Agent02_Loans!B82="","",Agent02_Loans!K82)</f>
        <v/>
      </c>
      <c r="L272" s="37" t="str">
        <f>IF(Agent02_Loans!B82="","",Agent02_Loans!L82)</f>
        <v/>
      </c>
      <c r="M272" s="37" t="str">
        <f>IFERROR(IF(Agent02_Loans!B82="","",YEAR(Agent02_Loans!D82)),"")</f>
        <v/>
      </c>
    </row>
    <row r="273" spans="1:13" ht="18" customHeight="1" x14ac:dyDescent="0.25">
      <c r="A273" s="37" t="str">
        <f>IF(Agent02_Loans!B83="","",Agent02_Loans!A83)</f>
        <v/>
      </c>
      <c r="B273" s="37" t="str">
        <f>IF(Agent02_Loans!B83="","",Agent02_Loans!B83)</f>
        <v/>
      </c>
      <c r="C273" s="37" t="str">
        <f>IF(Agent02_Loans!B83="","",Agent02_Loans!C83)</f>
        <v/>
      </c>
      <c r="D273" s="38" t="str">
        <f>IF(Agent02_Loans!B83="","",Agent02_Loans!D83)</f>
        <v/>
      </c>
      <c r="E273" s="40" t="str">
        <f>IF(Agent02_Loans!B83="","",Agent02_Loans!E83)</f>
        <v/>
      </c>
      <c r="F273" s="37" t="str">
        <f>IF(Agent02_Loans!B83="","",Agent02_Loans!F83)</f>
        <v/>
      </c>
      <c r="G273" s="37" t="str">
        <f>IF(Agent02_Loans!B83="","",Agent02_Loans!G83)</f>
        <v/>
      </c>
      <c r="H273" s="37" t="str">
        <f>IF(Agent02_Loans!B83="","",Agent02_Loans!H83)</f>
        <v/>
      </c>
      <c r="I273" s="40" t="str">
        <f>IF(Agent02_Loans!B83="","",Agent02_Loans!I83)</f>
        <v/>
      </c>
      <c r="J273" s="40" t="str">
        <f>IF(Agent02_Loans!B83="","",Agent02_Loans!J83)</f>
        <v/>
      </c>
      <c r="K273" s="37" t="str">
        <f>IF(Agent02_Loans!B83="","",Agent02_Loans!K83)</f>
        <v/>
      </c>
      <c r="L273" s="37" t="str">
        <f>IF(Agent02_Loans!B83="","",Agent02_Loans!L83)</f>
        <v/>
      </c>
      <c r="M273" s="37" t="str">
        <f>IFERROR(IF(Agent02_Loans!B83="","",YEAR(Agent02_Loans!D83)),"")</f>
        <v/>
      </c>
    </row>
    <row r="274" spans="1:13" ht="18" customHeight="1" x14ac:dyDescent="0.25">
      <c r="A274" s="37" t="str">
        <f>IF(Agent02_Loans!B84="","",Agent02_Loans!A84)</f>
        <v/>
      </c>
      <c r="B274" s="37" t="str">
        <f>IF(Agent02_Loans!B84="","",Agent02_Loans!B84)</f>
        <v/>
      </c>
      <c r="C274" s="37" t="str">
        <f>IF(Agent02_Loans!B84="","",Agent02_Loans!C84)</f>
        <v/>
      </c>
      <c r="D274" s="38" t="str">
        <f>IF(Agent02_Loans!B84="","",Agent02_Loans!D84)</f>
        <v/>
      </c>
      <c r="E274" s="40" t="str">
        <f>IF(Agent02_Loans!B84="","",Agent02_Loans!E84)</f>
        <v/>
      </c>
      <c r="F274" s="37" t="str">
        <f>IF(Agent02_Loans!B84="","",Agent02_Loans!F84)</f>
        <v/>
      </c>
      <c r="G274" s="37" t="str">
        <f>IF(Agent02_Loans!B84="","",Agent02_Loans!G84)</f>
        <v/>
      </c>
      <c r="H274" s="37" t="str">
        <f>IF(Agent02_Loans!B84="","",Agent02_Loans!H84)</f>
        <v/>
      </c>
      <c r="I274" s="40" t="str">
        <f>IF(Agent02_Loans!B84="","",Agent02_Loans!I84)</f>
        <v/>
      </c>
      <c r="J274" s="40" t="str">
        <f>IF(Agent02_Loans!B84="","",Agent02_Loans!J84)</f>
        <v/>
      </c>
      <c r="K274" s="37" t="str">
        <f>IF(Agent02_Loans!B84="","",Agent02_Loans!K84)</f>
        <v/>
      </c>
      <c r="L274" s="37" t="str">
        <f>IF(Agent02_Loans!B84="","",Agent02_Loans!L84)</f>
        <v/>
      </c>
      <c r="M274" s="37" t="str">
        <f>IFERROR(IF(Agent02_Loans!B84="","",YEAR(Agent02_Loans!D84)),"")</f>
        <v/>
      </c>
    </row>
    <row r="275" spans="1:13" ht="18" customHeight="1" x14ac:dyDescent="0.25">
      <c r="A275" s="37" t="str">
        <f>IF(Agent02_Loans!B85="","",Agent02_Loans!A85)</f>
        <v/>
      </c>
      <c r="B275" s="37" t="str">
        <f>IF(Agent02_Loans!B85="","",Agent02_Loans!B85)</f>
        <v/>
      </c>
      <c r="C275" s="37" t="str">
        <f>IF(Agent02_Loans!B85="","",Agent02_Loans!C85)</f>
        <v/>
      </c>
      <c r="D275" s="38" t="str">
        <f>IF(Agent02_Loans!B85="","",Agent02_Loans!D85)</f>
        <v/>
      </c>
      <c r="E275" s="40" t="str">
        <f>IF(Agent02_Loans!B85="","",Agent02_Loans!E85)</f>
        <v/>
      </c>
      <c r="F275" s="37" t="str">
        <f>IF(Agent02_Loans!B85="","",Agent02_Loans!F85)</f>
        <v/>
      </c>
      <c r="G275" s="37" t="str">
        <f>IF(Agent02_Loans!B85="","",Agent02_Loans!G85)</f>
        <v/>
      </c>
      <c r="H275" s="37" t="str">
        <f>IF(Agent02_Loans!B85="","",Agent02_Loans!H85)</f>
        <v/>
      </c>
      <c r="I275" s="40" t="str">
        <f>IF(Agent02_Loans!B85="","",Agent02_Loans!I85)</f>
        <v/>
      </c>
      <c r="J275" s="40" t="str">
        <f>IF(Agent02_Loans!B85="","",Agent02_Loans!J85)</f>
        <v/>
      </c>
      <c r="K275" s="37" t="str">
        <f>IF(Agent02_Loans!B85="","",Agent02_Loans!K85)</f>
        <v/>
      </c>
      <c r="L275" s="37" t="str">
        <f>IF(Agent02_Loans!B85="","",Agent02_Loans!L85)</f>
        <v/>
      </c>
      <c r="M275" s="37" t="str">
        <f>IFERROR(IF(Agent02_Loans!B85="","",YEAR(Agent02_Loans!D85)),"")</f>
        <v/>
      </c>
    </row>
    <row r="276" spans="1:13" ht="18" customHeight="1" x14ac:dyDescent="0.25">
      <c r="A276" s="37" t="str">
        <f>IF(Agent02_Loans!B86="","",Agent02_Loans!A86)</f>
        <v/>
      </c>
      <c r="B276" s="37" t="str">
        <f>IF(Agent02_Loans!B86="","",Agent02_Loans!B86)</f>
        <v/>
      </c>
      <c r="C276" s="37" t="str">
        <f>IF(Agent02_Loans!B86="","",Agent02_Loans!C86)</f>
        <v/>
      </c>
      <c r="D276" s="38" t="str">
        <f>IF(Agent02_Loans!B86="","",Agent02_Loans!D86)</f>
        <v/>
      </c>
      <c r="E276" s="40" t="str">
        <f>IF(Agent02_Loans!B86="","",Agent02_Loans!E86)</f>
        <v/>
      </c>
      <c r="F276" s="37" t="str">
        <f>IF(Agent02_Loans!B86="","",Agent02_Loans!F86)</f>
        <v/>
      </c>
      <c r="G276" s="37" t="str">
        <f>IF(Agent02_Loans!B86="","",Agent02_Loans!G86)</f>
        <v/>
      </c>
      <c r="H276" s="37" t="str">
        <f>IF(Agent02_Loans!B86="","",Agent02_Loans!H86)</f>
        <v/>
      </c>
      <c r="I276" s="40" t="str">
        <f>IF(Agent02_Loans!B86="","",Agent02_Loans!I86)</f>
        <v/>
      </c>
      <c r="J276" s="40" t="str">
        <f>IF(Agent02_Loans!B86="","",Agent02_Loans!J86)</f>
        <v/>
      </c>
      <c r="K276" s="37" t="str">
        <f>IF(Agent02_Loans!B86="","",Agent02_Loans!K86)</f>
        <v/>
      </c>
      <c r="L276" s="37" t="str">
        <f>IF(Agent02_Loans!B86="","",Agent02_Loans!L86)</f>
        <v/>
      </c>
      <c r="M276" s="37" t="str">
        <f>IFERROR(IF(Agent02_Loans!B86="","",YEAR(Agent02_Loans!D86)),"")</f>
        <v/>
      </c>
    </row>
    <row r="277" spans="1:13" ht="18" customHeight="1" x14ac:dyDescent="0.25">
      <c r="A277" s="37" t="str">
        <f>IF(Agent02_Loans!B87="","",Agent02_Loans!A87)</f>
        <v/>
      </c>
      <c r="B277" s="37" t="str">
        <f>IF(Agent02_Loans!B87="","",Agent02_Loans!B87)</f>
        <v/>
      </c>
      <c r="C277" s="37" t="str">
        <f>IF(Agent02_Loans!B87="","",Agent02_Loans!C87)</f>
        <v/>
      </c>
      <c r="D277" s="38" t="str">
        <f>IF(Agent02_Loans!B87="","",Agent02_Loans!D87)</f>
        <v/>
      </c>
      <c r="E277" s="40" t="str">
        <f>IF(Agent02_Loans!B87="","",Agent02_Loans!E87)</f>
        <v/>
      </c>
      <c r="F277" s="37" t="str">
        <f>IF(Agent02_Loans!B87="","",Agent02_Loans!F87)</f>
        <v/>
      </c>
      <c r="G277" s="37" t="str">
        <f>IF(Agent02_Loans!B87="","",Agent02_Loans!G87)</f>
        <v/>
      </c>
      <c r="H277" s="37" t="str">
        <f>IF(Agent02_Loans!B87="","",Agent02_Loans!H87)</f>
        <v/>
      </c>
      <c r="I277" s="40" t="str">
        <f>IF(Agent02_Loans!B87="","",Agent02_Loans!I87)</f>
        <v/>
      </c>
      <c r="J277" s="40" t="str">
        <f>IF(Agent02_Loans!B87="","",Agent02_Loans!J87)</f>
        <v/>
      </c>
      <c r="K277" s="37" t="str">
        <f>IF(Agent02_Loans!B87="","",Agent02_Loans!K87)</f>
        <v/>
      </c>
      <c r="L277" s="37" t="str">
        <f>IF(Agent02_Loans!B87="","",Agent02_Loans!L87)</f>
        <v/>
      </c>
      <c r="M277" s="37" t="str">
        <f>IFERROR(IF(Agent02_Loans!B87="","",YEAR(Agent02_Loans!D87)),"")</f>
        <v/>
      </c>
    </row>
    <row r="278" spans="1:13" ht="18" customHeight="1" x14ac:dyDescent="0.25">
      <c r="A278" s="37" t="str">
        <f>IF(Agent02_Loans!B88="","",Agent02_Loans!A88)</f>
        <v/>
      </c>
      <c r="B278" s="37" t="str">
        <f>IF(Agent02_Loans!B88="","",Agent02_Loans!B88)</f>
        <v/>
      </c>
      <c r="C278" s="37" t="str">
        <f>IF(Agent02_Loans!B88="","",Agent02_Loans!C88)</f>
        <v/>
      </c>
      <c r="D278" s="38" t="str">
        <f>IF(Agent02_Loans!B88="","",Agent02_Loans!D88)</f>
        <v/>
      </c>
      <c r="E278" s="40" t="str">
        <f>IF(Agent02_Loans!B88="","",Agent02_Loans!E88)</f>
        <v/>
      </c>
      <c r="F278" s="37" t="str">
        <f>IF(Agent02_Loans!B88="","",Agent02_Loans!F88)</f>
        <v/>
      </c>
      <c r="G278" s="37" t="str">
        <f>IF(Agent02_Loans!B88="","",Agent02_Loans!G88)</f>
        <v/>
      </c>
      <c r="H278" s="37" t="str">
        <f>IF(Agent02_Loans!B88="","",Agent02_Loans!H88)</f>
        <v/>
      </c>
      <c r="I278" s="40" t="str">
        <f>IF(Agent02_Loans!B88="","",Agent02_Loans!I88)</f>
        <v/>
      </c>
      <c r="J278" s="40" t="str">
        <f>IF(Agent02_Loans!B88="","",Agent02_Loans!J88)</f>
        <v/>
      </c>
      <c r="K278" s="37" t="str">
        <f>IF(Agent02_Loans!B88="","",Agent02_Loans!K88)</f>
        <v/>
      </c>
      <c r="L278" s="37" t="str">
        <f>IF(Agent02_Loans!B88="","",Agent02_Loans!L88)</f>
        <v/>
      </c>
      <c r="M278" s="37" t="str">
        <f>IFERROR(IF(Agent02_Loans!B88="","",YEAR(Agent02_Loans!D88)),"")</f>
        <v/>
      </c>
    </row>
    <row r="279" spans="1:13" ht="18" customHeight="1" x14ac:dyDescent="0.25">
      <c r="A279" s="37" t="str">
        <f>IF(Agent02_Loans!B89="","",Agent02_Loans!A89)</f>
        <v/>
      </c>
      <c r="B279" s="37" t="str">
        <f>IF(Agent02_Loans!B89="","",Agent02_Loans!B89)</f>
        <v/>
      </c>
      <c r="C279" s="37" t="str">
        <f>IF(Agent02_Loans!B89="","",Agent02_Loans!C89)</f>
        <v/>
      </c>
      <c r="D279" s="38" t="str">
        <f>IF(Agent02_Loans!B89="","",Agent02_Loans!D89)</f>
        <v/>
      </c>
      <c r="E279" s="40" t="str">
        <f>IF(Agent02_Loans!B89="","",Agent02_Loans!E89)</f>
        <v/>
      </c>
      <c r="F279" s="37" t="str">
        <f>IF(Agent02_Loans!B89="","",Agent02_Loans!F89)</f>
        <v/>
      </c>
      <c r="G279" s="37" t="str">
        <f>IF(Agent02_Loans!B89="","",Agent02_Loans!G89)</f>
        <v/>
      </c>
      <c r="H279" s="37" t="str">
        <f>IF(Agent02_Loans!B89="","",Agent02_Loans!H89)</f>
        <v/>
      </c>
      <c r="I279" s="40" t="str">
        <f>IF(Agent02_Loans!B89="","",Agent02_Loans!I89)</f>
        <v/>
      </c>
      <c r="J279" s="40" t="str">
        <f>IF(Agent02_Loans!B89="","",Agent02_Loans!J89)</f>
        <v/>
      </c>
      <c r="K279" s="37" t="str">
        <f>IF(Agent02_Loans!B89="","",Agent02_Loans!K89)</f>
        <v/>
      </c>
      <c r="L279" s="37" t="str">
        <f>IF(Agent02_Loans!B89="","",Agent02_Loans!L89)</f>
        <v/>
      </c>
      <c r="M279" s="37" t="str">
        <f>IFERROR(IF(Agent02_Loans!B89="","",YEAR(Agent02_Loans!D89)),"")</f>
        <v/>
      </c>
    </row>
    <row r="280" spans="1:13" ht="18" customHeight="1" x14ac:dyDescent="0.25">
      <c r="A280" s="37" t="str">
        <f>IF(Agent02_Loans!B90="","",Agent02_Loans!A90)</f>
        <v/>
      </c>
      <c r="B280" s="37" t="str">
        <f>IF(Agent02_Loans!B90="","",Agent02_Loans!B90)</f>
        <v/>
      </c>
      <c r="C280" s="37" t="str">
        <f>IF(Agent02_Loans!B90="","",Agent02_Loans!C90)</f>
        <v/>
      </c>
      <c r="D280" s="38" t="str">
        <f>IF(Agent02_Loans!B90="","",Agent02_Loans!D90)</f>
        <v/>
      </c>
      <c r="E280" s="40" t="str">
        <f>IF(Agent02_Loans!B90="","",Agent02_Loans!E90)</f>
        <v/>
      </c>
      <c r="F280" s="37" t="str">
        <f>IF(Agent02_Loans!B90="","",Agent02_Loans!F90)</f>
        <v/>
      </c>
      <c r="G280" s="37" t="str">
        <f>IF(Agent02_Loans!B90="","",Agent02_Loans!G90)</f>
        <v/>
      </c>
      <c r="H280" s="37" t="str">
        <f>IF(Agent02_Loans!B90="","",Agent02_Loans!H90)</f>
        <v/>
      </c>
      <c r="I280" s="40" t="str">
        <f>IF(Agent02_Loans!B90="","",Agent02_Loans!I90)</f>
        <v/>
      </c>
      <c r="J280" s="40" t="str">
        <f>IF(Agent02_Loans!B90="","",Agent02_Loans!J90)</f>
        <v/>
      </c>
      <c r="K280" s="37" t="str">
        <f>IF(Agent02_Loans!B90="","",Agent02_Loans!K90)</f>
        <v/>
      </c>
      <c r="L280" s="37" t="str">
        <f>IF(Agent02_Loans!B90="","",Agent02_Loans!L90)</f>
        <v/>
      </c>
      <c r="M280" s="37" t="str">
        <f>IFERROR(IF(Agent02_Loans!B90="","",YEAR(Agent02_Loans!D90)),"")</f>
        <v/>
      </c>
    </row>
    <row r="281" spans="1:13" ht="18" customHeight="1" x14ac:dyDescent="0.25">
      <c r="A281" s="37" t="str">
        <f>IF(Agent02_Loans!B91="","",Agent02_Loans!A91)</f>
        <v/>
      </c>
      <c r="B281" s="37" t="str">
        <f>IF(Agent02_Loans!B91="","",Agent02_Loans!B91)</f>
        <v/>
      </c>
      <c r="C281" s="37" t="str">
        <f>IF(Agent02_Loans!B91="","",Agent02_Loans!C91)</f>
        <v/>
      </c>
      <c r="D281" s="38" t="str">
        <f>IF(Agent02_Loans!B91="","",Agent02_Loans!D91)</f>
        <v/>
      </c>
      <c r="E281" s="40" t="str">
        <f>IF(Agent02_Loans!B91="","",Agent02_Loans!E91)</f>
        <v/>
      </c>
      <c r="F281" s="37" t="str">
        <f>IF(Agent02_Loans!B91="","",Agent02_Loans!F91)</f>
        <v/>
      </c>
      <c r="G281" s="37" t="str">
        <f>IF(Agent02_Loans!B91="","",Agent02_Loans!G91)</f>
        <v/>
      </c>
      <c r="H281" s="37" t="str">
        <f>IF(Agent02_Loans!B91="","",Agent02_Loans!H91)</f>
        <v/>
      </c>
      <c r="I281" s="40" t="str">
        <f>IF(Agent02_Loans!B91="","",Agent02_Loans!I91)</f>
        <v/>
      </c>
      <c r="J281" s="40" t="str">
        <f>IF(Agent02_Loans!B91="","",Agent02_Loans!J91)</f>
        <v/>
      </c>
      <c r="K281" s="37" t="str">
        <f>IF(Agent02_Loans!B91="","",Agent02_Loans!K91)</f>
        <v/>
      </c>
      <c r="L281" s="37" t="str">
        <f>IF(Agent02_Loans!B91="","",Agent02_Loans!L91)</f>
        <v/>
      </c>
      <c r="M281" s="37" t="str">
        <f>IFERROR(IF(Agent02_Loans!B91="","",YEAR(Agent02_Loans!D91)),"")</f>
        <v/>
      </c>
    </row>
    <row r="282" spans="1:13" ht="18" customHeight="1" x14ac:dyDescent="0.25">
      <c r="A282" s="37" t="str">
        <f>IF(Agent02_Loans!B92="","",Agent02_Loans!A92)</f>
        <v/>
      </c>
      <c r="B282" s="37" t="str">
        <f>IF(Agent02_Loans!B92="","",Agent02_Loans!B92)</f>
        <v/>
      </c>
      <c r="C282" s="37" t="str">
        <f>IF(Agent02_Loans!B92="","",Agent02_Loans!C92)</f>
        <v/>
      </c>
      <c r="D282" s="38" t="str">
        <f>IF(Agent02_Loans!B92="","",Agent02_Loans!D92)</f>
        <v/>
      </c>
      <c r="E282" s="40" t="str">
        <f>IF(Agent02_Loans!B92="","",Agent02_Loans!E92)</f>
        <v/>
      </c>
      <c r="F282" s="37" t="str">
        <f>IF(Agent02_Loans!B92="","",Agent02_Loans!F92)</f>
        <v/>
      </c>
      <c r="G282" s="37" t="str">
        <f>IF(Agent02_Loans!B92="","",Agent02_Loans!G92)</f>
        <v/>
      </c>
      <c r="H282" s="37" t="str">
        <f>IF(Agent02_Loans!B92="","",Agent02_Loans!H92)</f>
        <v/>
      </c>
      <c r="I282" s="40" t="str">
        <f>IF(Agent02_Loans!B92="","",Agent02_Loans!I92)</f>
        <v/>
      </c>
      <c r="J282" s="40" t="str">
        <f>IF(Agent02_Loans!B92="","",Agent02_Loans!J92)</f>
        <v/>
      </c>
      <c r="K282" s="37" t="str">
        <f>IF(Agent02_Loans!B92="","",Agent02_Loans!K92)</f>
        <v/>
      </c>
      <c r="L282" s="37" t="str">
        <f>IF(Agent02_Loans!B92="","",Agent02_Loans!L92)</f>
        <v/>
      </c>
      <c r="M282" s="37" t="str">
        <f>IFERROR(IF(Agent02_Loans!B92="","",YEAR(Agent02_Loans!D92)),"")</f>
        <v/>
      </c>
    </row>
    <row r="283" spans="1:13" ht="18" customHeight="1" x14ac:dyDescent="0.25">
      <c r="A283" s="37" t="str">
        <f>IF(Agent02_Loans!B93="","",Agent02_Loans!A93)</f>
        <v/>
      </c>
      <c r="B283" s="37" t="str">
        <f>IF(Agent02_Loans!B93="","",Agent02_Loans!B93)</f>
        <v/>
      </c>
      <c r="C283" s="37" t="str">
        <f>IF(Agent02_Loans!B93="","",Agent02_Loans!C93)</f>
        <v/>
      </c>
      <c r="D283" s="38" t="str">
        <f>IF(Agent02_Loans!B93="","",Agent02_Loans!D93)</f>
        <v/>
      </c>
      <c r="E283" s="40" t="str">
        <f>IF(Agent02_Loans!B93="","",Agent02_Loans!E93)</f>
        <v/>
      </c>
      <c r="F283" s="37" t="str">
        <f>IF(Agent02_Loans!B93="","",Agent02_Loans!F93)</f>
        <v/>
      </c>
      <c r="G283" s="37" t="str">
        <f>IF(Agent02_Loans!B93="","",Agent02_Loans!G93)</f>
        <v/>
      </c>
      <c r="H283" s="37" t="str">
        <f>IF(Agent02_Loans!B93="","",Agent02_Loans!H93)</f>
        <v/>
      </c>
      <c r="I283" s="40" t="str">
        <f>IF(Agent02_Loans!B93="","",Agent02_Loans!I93)</f>
        <v/>
      </c>
      <c r="J283" s="40" t="str">
        <f>IF(Agent02_Loans!B93="","",Agent02_Loans!J93)</f>
        <v/>
      </c>
      <c r="K283" s="37" t="str">
        <f>IF(Agent02_Loans!B93="","",Agent02_Loans!K93)</f>
        <v/>
      </c>
      <c r="L283" s="37" t="str">
        <f>IF(Agent02_Loans!B93="","",Agent02_Loans!L93)</f>
        <v/>
      </c>
      <c r="M283" s="37" t="str">
        <f>IFERROR(IF(Agent02_Loans!B93="","",YEAR(Agent02_Loans!D93)),"")</f>
        <v/>
      </c>
    </row>
    <row r="284" spans="1:13" ht="18" customHeight="1" x14ac:dyDescent="0.25">
      <c r="A284" s="37" t="str">
        <f>IF(Agent02_Loans!B94="","",Agent02_Loans!A94)</f>
        <v/>
      </c>
      <c r="B284" s="37" t="str">
        <f>IF(Agent02_Loans!B94="","",Agent02_Loans!B94)</f>
        <v/>
      </c>
      <c r="C284" s="37" t="str">
        <f>IF(Agent02_Loans!B94="","",Agent02_Loans!C94)</f>
        <v/>
      </c>
      <c r="D284" s="38" t="str">
        <f>IF(Agent02_Loans!B94="","",Agent02_Loans!D94)</f>
        <v/>
      </c>
      <c r="E284" s="40" t="str">
        <f>IF(Agent02_Loans!B94="","",Agent02_Loans!E94)</f>
        <v/>
      </c>
      <c r="F284" s="37" t="str">
        <f>IF(Agent02_Loans!B94="","",Agent02_Loans!F94)</f>
        <v/>
      </c>
      <c r="G284" s="37" t="str">
        <f>IF(Agent02_Loans!B94="","",Agent02_Loans!G94)</f>
        <v/>
      </c>
      <c r="H284" s="37" t="str">
        <f>IF(Agent02_Loans!B94="","",Agent02_Loans!H94)</f>
        <v/>
      </c>
      <c r="I284" s="40" t="str">
        <f>IF(Agent02_Loans!B94="","",Agent02_Loans!I94)</f>
        <v/>
      </c>
      <c r="J284" s="40" t="str">
        <f>IF(Agent02_Loans!B94="","",Agent02_Loans!J94)</f>
        <v/>
      </c>
      <c r="K284" s="37" t="str">
        <f>IF(Agent02_Loans!B94="","",Agent02_Loans!K94)</f>
        <v/>
      </c>
      <c r="L284" s="37" t="str">
        <f>IF(Agent02_Loans!B94="","",Agent02_Loans!L94)</f>
        <v/>
      </c>
      <c r="M284" s="37" t="str">
        <f>IFERROR(IF(Agent02_Loans!B94="","",YEAR(Agent02_Loans!D94)),"")</f>
        <v/>
      </c>
    </row>
    <row r="285" spans="1:13" ht="18" customHeight="1" x14ac:dyDescent="0.25">
      <c r="A285" s="37" t="str">
        <f>IF(Agent02_Loans!B95="","",Agent02_Loans!A95)</f>
        <v/>
      </c>
      <c r="B285" s="37" t="str">
        <f>IF(Agent02_Loans!B95="","",Agent02_Loans!B95)</f>
        <v/>
      </c>
      <c r="C285" s="37" t="str">
        <f>IF(Agent02_Loans!B95="","",Agent02_Loans!C95)</f>
        <v/>
      </c>
      <c r="D285" s="38" t="str">
        <f>IF(Agent02_Loans!B95="","",Agent02_Loans!D95)</f>
        <v/>
      </c>
      <c r="E285" s="40" t="str">
        <f>IF(Agent02_Loans!B95="","",Agent02_Loans!E95)</f>
        <v/>
      </c>
      <c r="F285" s="37" t="str">
        <f>IF(Agent02_Loans!B95="","",Agent02_Loans!F95)</f>
        <v/>
      </c>
      <c r="G285" s="37" t="str">
        <f>IF(Agent02_Loans!B95="","",Agent02_Loans!G95)</f>
        <v/>
      </c>
      <c r="H285" s="37" t="str">
        <f>IF(Agent02_Loans!B95="","",Agent02_Loans!H95)</f>
        <v/>
      </c>
      <c r="I285" s="40" t="str">
        <f>IF(Agent02_Loans!B95="","",Agent02_Loans!I95)</f>
        <v/>
      </c>
      <c r="J285" s="40" t="str">
        <f>IF(Agent02_Loans!B95="","",Agent02_Loans!J95)</f>
        <v/>
      </c>
      <c r="K285" s="37" t="str">
        <f>IF(Agent02_Loans!B95="","",Agent02_Loans!K95)</f>
        <v/>
      </c>
      <c r="L285" s="37" t="str">
        <f>IF(Agent02_Loans!B95="","",Agent02_Loans!L95)</f>
        <v/>
      </c>
      <c r="M285" s="37" t="str">
        <f>IFERROR(IF(Agent02_Loans!B95="","",YEAR(Agent02_Loans!D95)),"")</f>
        <v/>
      </c>
    </row>
    <row r="286" spans="1:13" ht="18" customHeight="1" x14ac:dyDescent="0.25">
      <c r="A286" s="37" t="str">
        <f>IF(Agent02_Loans!B96="","",Agent02_Loans!A96)</f>
        <v/>
      </c>
      <c r="B286" s="37" t="str">
        <f>IF(Agent02_Loans!B96="","",Agent02_Loans!B96)</f>
        <v/>
      </c>
      <c r="C286" s="37" t="str">
        <f>IF(Agent02_Loans!B96="","",Agent02_Loans!C96)</f>
        <v/>
      </c>
      <c r="D286" s="38" t="str">
        <f>IF(Agent02_Loans!B96="","",Agent02_Loans!D96)</f>
        <v/>
      </c>
      <c r="E286" s="40" t="str">
        <f>IF(Agent02_Loans!B96="","",Agent02_Loans!E96)</f>
        <v/>
      </c>
      <c r="F286" s="37" t="str">
        <f>IF(Agent02_Loans!B96="","",Agent02_Loans!F96)</f>
        <v/>
      </c>
      <c r="G286" s="37" t="str">
        <f>IF(Agent02_Loans!B96="","",Agent02_Loans!G96)</f>
        <v/>
      </c>
      <c r="H286" s="37" t="str">
        <f>IF(Agent02_Loans!B96="","",Agent02_Loans!H96)</f>
        <v/>
      </c>
      <c r="I286" s="40" t="str">
        <f>IF(Agent02_Loans!B96="","",Agent02_Loans!I96)</f>
        <v/>
      </c>
      <c r="J286" s="40" t="str">
        <f>IF(Agent02_Loans!B96="","",Agent02_Loans!J96)</f>
        <v/>
      </c>
      <c r="K286" s="37" t="str">
        <f>IF(Agent02_Loans!B96="","",Agent02_Loans!K96)</f>
        <v/>
      </c>
      <c r="L286" s="37" t="str">
        <f>IF(Agent02_Loans!B96="","",Agent02_Loans!L96)</f>
        <v/>
      </c>
      <c r="M286" s="37" t="str">
        <f>IFERROR(IF(Agent02_Loans!B96="","",YEAR(Agent02_Loans!D96)),"")</f>
        <v/>
      </c>
    </row>
    <row r="287" spans="1:13" ht="18" customHeight="1" x14ac:dyDescent="0.25">
      <c r="A287" s="37" t="str">
        <f>IF(Agent02_Loans!B97="","",Agent02_Loans!A97)</f>
        <v/>
      </c>
      <c r="B287" s="37" t="str">
        <f>IF(Agent02_Loans!B97="","",Agent02_Loans!B97)</f>
        <v/>
      </c>
      <c r="C287" s="37" t="str">
        <f>IF(Agent02_Loans!B97="","",Agent02_Loans!C97)</f>
        <v/>
      </c>
      <c r="D287" s="38" t="str">
        <f>IF(Agent02_Loans!B97="","",Agent02_Loans!D97)</f>
        <v/>
      </c>
      <c r="E287" s="40" t="str">
        <f>IF(Agent02_Loans!B97="","",Agent02_Loans!E97)</f>
        <v/>
      </c>
      <c r="F287" s="37" t="str">
        <f>IF(Agent02_Loans!B97="","",Agent02_Loans!F97)</f>
        <v/>
      </c>
      <c r="G287" s="37" t="str">
        <f>IF(Agent02_Loans!B97="","",Agent02_Loans!G97)</f>
        <v/>
      </c>
      <c r="H287" s="37" t="str">
        <f>IF(Agent02_Loans!B97="","",Agent02_Loans!H97)</f>
        <v/>
      </c>
      <c r="I287" s="40" t="str">
        <f>IF(Agent02_Loans!B97="","",Agent02_Loans!I97)</f>
        <v/>
      </c>
      <c r="J287" s="40" t="str">
        <f>IF(Agent02_Loans!B97="","",Agent02_Loans!J97)</f>
        <v/>
      </c>
      <c r="K287" s="37" t="str">
        <f>IF(Agent02_Loans!B97="","",Agent02_Loans!K97)</f>
        <v/>
      </c>
      <c r="L287" s="37" t="str">
        <f>IF(Agent02_Loans!B97="","",Agent02_Loans!L97)</f>
        <v/>
      </c>
      <c r="M287" s="37" t="str">
        <f>IFERROR(IF(Agent02_Loans!B97="","",YEAR(Agent02_Loans!D97)),"")</f>
        <v/>
      </c>
    </row>
    <row r="288" spans="1:13" ht="18" customHeight="1" x14ac:dyDescent="0.25">
      <c r="A288" s="37" t="str">
        <f>IF(Agent02_Loans!B98="","",Agent02_Loans!A98)</f>
        <v/>
      </c>
      <c r="B288" s="37" t="str">
        <f>IF(Agent02_Loans!B98="","",Agent02_Loans!B98)</f>
        <v/>
      </c>
      <c r="C288" s="37" t="str">
        <f>IF(Agent02_Loans!B98="","",Agent02_Loans!C98)</f>
        <v/>
      </c>
      <c r="D288" s="38" t="str">
        <f>IF(Agent02_Loans!B98="","",Agent02_Loans!D98)</f>
        <v/>
      </c>
      <c r="E288" s="40" t="str">
        <f>IF(Agent02_Loans!B98="","",Agent02_Loans!E98)</f>
        <v/>
      </c>
      <c r="F288" s="37" t="str">
        <f>IF(Agent02_Loans!B98="","",Agent02_Loans!F98)</f>
        <v/>
      </c>
      <c r="G288" s="37" t="str">
        <f>IF(Agent02_Loans!B98="","",Agent02_Loans!G98)</f>
        <v/>
      </c>
      <c r="H288" s="37" t="str">
        <f>IF(Agent02_Loans!B98="","",Agent02_Loans!H98)</f>
        <v/>
      </c>
      <c r="I288" s="40" t="str">
        <f>IF(Agent02_Loans!B98="","",Agent02_Loans!I98)</f>
        <v/>
      </c>
      <c r="J288" s="40" t="str">
        <f>IF(Agent02_Loans!B98="","",Agent02_Loans!J98)</f>
        <v/>
      </c>
      <c r="K288" s="37" t="str">
        <f>IF(Agent02_Loans!B98="","",Agent02_Loans!K98)</f>
        <v/>
      </c>
      <c r="L288" s="37" t="str">
        <f>IF(Agent02_Loans!B98="","",Agent02_Loans!L98)</f>
        <v/>
      </c>
      <c r="M288" s="37" t="str">
        <f>IFERROR(IF(Agent02_Loans!B98="","",YEAR(Agent02_Loans!D98)),"")</f>
        <v/>
      </c>
    </row>
    <row r="289" spans="1:13" ht="18" customHeight="1" x14ac:dyDescent="0.25">
      <c r="A289" s="37" t="str">
        <f>IF(Agent02_Loans!B99="","",Agent02_Loans!A99)</f>
        <v/>
      </c>
      <c r="B289" s="37" t="str">
        <f>IF(Agent02_Loans!B99="","",Agent02_Loans!B99)</f>
        <v/>
      </c>
      <c r="C289" s="37" t="str">
        <f>IF(Agent02_Loans!B99="","",Agent02_Loans!C99)</f>
        <v/>
      </c>
      <c r="D289" s="38" t="str">
        <f>IF(Agent02_Loans!B99="","",Agent02_Loans!D99)</f>
        <v/>
      </c>
      <c r="E289" s="40" t="str">
        <f>IF(Agent02_Loans!B99="","",Agent02_Loans!E99)</f>
        <v/>
      </c>
      <c r="F289" s="37" t="str">
        <f>IF(Agent02_Loans!B99="","",Agent02_Loans!F99)</f>
        <v/>
      </c>
      <c r="G289" s="37" t="str">
        <f>IF(Agent02_Loans!B99="","",Agent02_Loans!G99)</f>
        <v/>
      </c>
      <c r="H289" s="37" t="str">
        <f>IF(Agent02_Loans!B99="","",Agent02_Loans!H99)</f>
        <v/>
      </c>
      <c r="I289" s="40" t="str">
        <f>IF(Agent02_Loans!B99="","",Agent02_Loans!I99)</f>
        <v/>
      </c>
      <c r="J289" s="40" t="str">
        <f>IF(Agent02_Loans!B99="","",Agent02_Loans!J99)</f>
        <v/>
      </c>
      <c r="K289" s="37" t="str">
        <f>IF(Agent02_Loans!B99="","",Agent02_Loans!K99)</f>
        <v/>
      </c>
      <c r="L289" s="37" t="str">
        <f>IF(Agent02_Loans!B99="","",Agent02_Loans!L99)</f>
        <v/>
      </c>
      <c r="M289" s="37" t="str">
        <f>IFERROR(IF(Agent02_Loans!B99="","",YEAR(Agent02_Loans!D99)),"")</f>
        <v/>
      </c>
    </row>
    <row r="290" spans="1:13" ht="18" customHeight="1" x14ac:dyDescent="0.25">
      <c r="A290" s="37" t="str">
        <f>IF(Agent02_Loans!B100="","",Agent02_Loans!A100)</f>
        <v/>
      </c>
      <c r="B290" s="37" t="str">
        <f>IF(Agent02_Loans!B100="","",Agent02_Loans!B100)</f>
        <v/>
      </c>
      <c r="C290" s="37" t="str">
        <f>IF(Agent02_Loans!B100="","",Agent02_Loans!C100)</f>
        <v/>
      </c>
      <c r="D290" s="38" t="str">
        <f>IF(Agent02_Loans!B100="","",Agent02_Loans!D100)</f>
        <v/>
      </c>
      <c r="E290" s="40" t="str">
        <f>IF(Agent02_Loans!B100="","",Agent02_Loans!E100)</f>
        <v/>
      </c>
      <c r="F290" s="37" t="str">
        <f>IF(Agent02_Loans!B100="","",Agent02_Loans!F100)</f>
        <v/>
      </c>
      <c r="G290" s="37" t="str">
        <f>IF(Agent02_Loans!B100="","",Agent02_Loans!G100)</f>
        <v/>
      </c>
      <c r="H290" s="37" t="str">
        <f>IF(Agent02_Loans!B100="","",Agent02_Loans!H100)</f>
        <v/>
      </c>
      <c r="I290" s="40" t="str">
        <f>IF(Agent02_Loans!B100="","",Agent02_Loans!I100)</f>
        <v/>
      </c>
      <c r="J290" s="40" t="str">
        <f>IF(Agent02_Loans!B100="","",Agent02_Loans!J100)</f>
        <v/>
      </c>
      <c r="K290" s="37" t="str">
        <f>IF(Agent02_Loans!B100="","",Agent02_Loans!K100)</f>
        <v/>
      </c>
      <c r="L290" s="37" t="str">
        <f>IF(Agent02_Loans!B100="","",Agent02_Loans!L100)</f>
        <v/>
      </c>
      <c r="M290" s="37" t="str">
        <f>IFERROR(IF(Agent02_Loans!B100="","",YEAR(Agent02_Loans!D100)),"")</f>
        <v/>
      </c>
    </row>
    <row r="291" spans="1:13" ht="18" customHeight="1" x14ac:dyDescent="0.25">
      <c r="A291" s="37" t="str">
        <f>IF(Agent02_Loans!B101="","",Agent02_Loans!A101)</f>
        <v/>
      </c>
      <c r="B291" s="37" t="str">
        <f>IF(Agent02_Loans!B101="","",Agent02_Loans!B101)</f>
        <v/>
      </c>
      <c r="C291" s="37" t="str">
        <f>IF(Agent02_Loans!B101="","",Agent02_Loans!C101)</f>
        <v/>
      </c>
      <c r="D291" s="38" t="str">
        <f>IF(Agent02_Loans!B101="","",Agent02_Loans!D101)</f>
        <v/>
      </c>
      <c r="E291" s="40" t="str">
        <f>IF(Agent02_Loans!B101="","",Agent02_Loans!E101)</f>
        <v/>
      </c>
      <c r="F291" s="37" t="str">
        <f>IF(Agent02_Loans!B101="","",Agent02_Loans!F101)</f>
        <v/>
      </c>
      <c r="G291" s="37" t="str">
        <f>IF(Agent02_Loans!B101="","",Agent02_Loans!G101)</f>
        <v/>
      </c>
      <c r="H291" s="37" t="str">
        <f>IF(Agent02_Loans!B101="","",Agent02_Loans!H101)</f>
        <v/>
      </c>
      <c r="I291" s="40" t="str">
        <f>IF(Agent02_Loans!B101="","",Agent02_Loans!I101)</f>
        <v/>
      </c>
      <c r="J291" s="40" t="str">
        <f>IF(Agent02_Loans!B101="","",Agent02_Loans!J101)</f>
        <v/>
      </c>
      <c r="K291" s="37" t="str">
        <f>IF(Agent02_Loans!B101="","",Agent02_Loans!K101)</f>
        <v/>
      </c>
      <c r="L291" s="37" t="str">
        <f>IF(Agent02_Loans!B101="","",Agent02_Loans!L101)</f>
        <v/>
      </c>
      <c r="M291" s="37" t="str">
        <f>IFERROR(IF(Agent02_Loans!B101="","",YEAR(Agent02_Loans!D101)),"")</f>
        <v/>
      </c>
    </row>
    <row r="292" spans="1:13" ht="18" customHeight="1" x14ac:dyDescent="0.25">
      <c r="A292" s="37" t="str">
        <f>IF(Agent02_Loans!B102="","",Agent02_Loans!A102)</f>
        <v/>
      </c>
      <c r="B292" s="37" t="str">
        <f>IF(Agent02_Loans!B102="","",Agent02_Loans!B102)</f>
        <v/>
      </c>
      <c r="C292" s="37" t="str">
        <f>IF(Agent02_Loans!B102="","",Agent02_Loans!C102)</f>
        <v/>
      </c>
      <c r="D292" s="38" t="str">
        <f>IF(Agent02_Loans!B102="","",Agent02_Loans!D102)</f>
        <v/>
      </c>
      <c r="E292" s="40" t="str">
        <f>IF(Agent02_Loans!B102="","",Agent02_Loans!E102)</f>
        <v/>
      </c>
      <c r="F292" s="37" t="str">
        <f>IF(Agent02_Loans!B102="","",Agent02_Loans!F102)</f>
        <v/>
      </c>
      <c r="G292" s="37" t="str">
        <f>IF(Agent02_Loans!B102="","",Agent02_Loans!G102)</f>
        <v/>
      </c>
      <c r="H292" s="37" t="str">
        <f>IF(Agent02_Loans!B102="","",Agent02_Loans!H102)</f>
        <v/>
      </c>
      <c r="I292" s="40" t="str">
        <f>IF(Agent02_Loans!B102="","",Agent02_Loans!I102)</f>
        <v/>
      </c>
      <c r="J292" s="40" t="str">
        <f>IF(Agent02_Loans!B102="","",Agent02_Loans!J102)</f>
        <v/>
      </c>
      <c r="K292" s="37" t="str">
        <f>IF(Agent02_Loans!B102="","",Agent02_Loans!K102)</f>
        <v/>
      </c>
      <c r="L292" s="37" t="str">
        <f>IF(Agent02_Loans!B102="","",Agent02_Loans!L102)</f>
        <v/>
      </c>
      <c r="M292" s="37" t="str">
        <f>IFERROR(IF(Agent02_Loans!B102="","",YEAR(Agent02_Loans!D102)),"")</f>
        <v/>
      </c>
    </row>
    <row r="293" spans="1:13" ht="18" customHeight="1" x14ac:dyDescent="0.25">
      <c r="A293" s="37" t="str">
        <f>IF(Agent02_Loans!B103="","",Agent02_Loans!A103)</f>
        <v/>
      </c>
      <c r="B293" s="37" t="str">
        <f>IF(Agent02_Loans!B103="","",Agent02_Loans!B103)</f>
        <v/>
      </c>
      <c r="C293" s="37" t="str">
        <f>IF(Agent02_Loans!B103="","",Agent02_Loans!C103)</f>
        <v/>
      </c>
      <c r="D293" s="38" t="str">
        <f>IF(Agent02_Loans!B103="","",Agent02_Loans!D103)</f>
        <v/>
      </c>
      <c r="E293" s="40" t="str">
        <f>IF(Agent02_Loans!B103="","",Agent02_Loans!E103)</f>
        <v/>
      </c>
      <c r="F293" s="37" t="str">
        <f>IF(Agent02_Loans!B103="","",Agent02_Loans!F103)</f>
        <v/>
      </c>
      <c r="G293" s="37" t="str">
        <f>IF(Agent02_Loans!B103="","",Agent02_Loans!G103)</f>
        <v/>
      </c>
      <c r="H293" s="37" t="str">
        <f>IF(Agent02_Loans!B103="","",Agent02_Loans!H103)</f>
        <v/>
      </c>
      <c r="I293" s="40" t="str">
        <f>IF(Agent02_Loans!B103="","",Agent02_Loans!I103)</f>
        <v/>
      </c>
      <c r="J293" s="40" t="str">
        <f>IF(Agent02_Loans!B103="","",Agent02_Loans!J103)</f>
        <v/>
      </c>
      <c r="K293" s="37" t="str">
        <f>IF(Agent02_Loans!B103="","",Agent02_Loans!K103)</f>
        <v/>
      </c>
      <c r="L293" s="37" t="str">
        <f>IF(Agent02_Loans!B103="","",Agent02_Loans!L103)</f>
        <v/>
      </c>
      <c r="M293" s="37" t="str">
        <f>IFERROR(IF(Agent02_Loans!B103="","",YEAR(Agent02_Loans!D103)),"")</f>
        <v/>
      </c>
    </row>
    <row r="294" spans="1:13" ht="18" customHeight="1" x14ac:dyDescent="0.25">
      <c r="A294" s="37" t="str">
        <f>IF(Agent02_Loans!B104="","",Agent02_Loans!A104)</f>
        <v/>
      </c>
      <c r="B294" s="37" t="str">
        <f>IF(Agent02_Loans!B104="","",Agent02_Loans!B104)</f>
        <v/>
      </c>
      <c r="C294" s="37" t="str">
        <f>IF(Agent02_Loans!B104="","",Agent02_Loans!C104)</f>
        <v/>
      </c>
      <c r="D294" s="38" t="str">
        <f>IF(Agent02_Loans!B104="","",Agent02_Loans!D104)</f>
        <v/>
      </c>
      <c r="E294" s="40" t="str">
        <f>IF(Agent02_Loans!B104="","",Agent02_Loans!E104)</f>
        <v/>
      </c>
      <c r="F294" s="37" t="str">
        <f>IF(Agent02_Loans!B104="","",Agent02_Loans!F104)</f>
        <v/>
      </c>
      <c r="G294" s="37" t="str">
        <f>IF(Agent02_Loans!B104="","",Agent02_Loans!G104)</f>
        <v/>
      </c>
      <c r="H294" s="37" t="str">
        <f>IF(Agent02_Loans!B104="","",Agent02_Loans!H104)</f>
        <v/>
      </c>
      <c r="I294" s="40" t="str">
        <f>IF(Agent02_Loans!B104="","",Agent02_Loans!I104)</f>
        <v/>
      </c>
      <c r="J294" s="40" t="str">
        <f>IF(Agent02_Loans!B104="","",Agent02_Loans!J104)</f>
        <v/>
      </c>
      <c r="K294" s="37" t="str">
        <f>IF(Agent02_Loans!B104="","",Agent02_Loans!K104)</f>
        <v/>
      </c>
      <c r="L294" s="37" t="str">
        <f>IF(Agent02_Loans!B104="","",Agent02_Loans!L104)</f>
        <v/>
      </c>
      <c r="M294" s="37" t="str">
        <f>IFERROR(IF(Agent02_Loans!B104="","",YEAR(Agent02_Loans!D104)),"")</f>
        <v/>
      </c>
    </row>
    <row r="295" spans="1:13" ht="18" customHeight="1" x14ac:dyDescent="0.25">
      <c r="A295" s="37" t="str">
        <f>IF(Agent02_Loans!B105="","",Agent02_Loans!A105)</f>
        <v/>
      </c>
      <c r="B295" s="37" t="str">
        <f>IF(Agent02_Loans!B105="","",Agent02_Loans!B105)</f>
        <v/>
      </c>
      <c r="C295" s="37" t="str">
        <f>IF(Agent02_Loans!B105="","",Agent02_Loans!C105)</f>
        <v/>
      </c>
      <c r="D295" s="38" t="str">
        <f>IF(Agent02_Loans!B105="","",Agent02_Loans!D105)</f>
        <v/>
      </c>
      <c r="E295" s="40" t="str">
        <f>IF(Agent02_Loans!B105="","",Agent02_Loans!E105)</f>
        <v/>
      </c>
      <c r="F295" s="37" t="str">
        <f>IF(Agent02_Loans!B105="","",Agent02_Loans!F105)</f>
        <v/>
      </c>
      <c r="G295" s="37" t="str">
        <f>IF(Agent02_Loans!B105="","",Agent02_Loans!G105)</f>
        <v/>
      </c>
      <c r="H295" s="37" t="str">
        <f>IF(Agent02_Loans!B105="","",Agent02_Loans!H105)</f>
        <v/>
      </c>
      <c r="I295" s="40" t="str">
        <f>IF(Agent02_Loans!B105="","",Agent02_Loans!I105)</f>
        <v/>
      </c>
      <c r="J295" s="40" t="str">
        <f>IF(Agent02_Loans!B105="","",Agent02_Loans!J105)</f>
        <v/>
      </c>
      <c r="K295" s="37" t="str">
        <f>IF(Agent02_Loans!B105="","",Agent02_Loans!K105)</f>
        <v/>
      </c>
      <c r="L295" s="37" t="str">
        <f>IF(Agent02_Loans!B105="","",Agent02_Loans!L105)</f>
        <v/>
      </c>
      <c r="M295" s="37" t="str">
        <f>IFERROR(IF(Agent02_Loans!B105="","",YEAR(Agent02_Loans!D105)),"")</f>
        <v/>
      </c>
    </row>
    <row r="296" spans="1:13" ht="18" customHeight="1" x14ac:dyDescent="0.25">
      <c r="A296" s="37" t="str">
        <f>IF(Agent02_Loans!B106="","",Agent02_Loans!A106)</f>
        <v/>
      </c>
      <c r="B296" s="37" t="str">
        <f>IF(Agent02_Loans!B106="","",Agent02_Loans!B106)</f>
        <v/>
      </c>
      <c r="C296" s="37" t="str">
        <f>IF(Agent02_Loans!B106="","",Agent02_Loans!C106)</f>
        <v/>
      </c>
      <c r="D296" s="38" t="str">
        <f>IF(Agent02_Loans!B106="","",Agent02_Loans!D106)</f>
        <v/>
      </c>
      <c r="E296" s="40" t="str">
        <f>IF(Agent02_Loans!B106="","",Agent02_Loans!E106)</f>
        <v/>
      </c>
      <c r="F296" s="37" t="str">
        <f>IF(Agent02_Loans!B106="","",Agent02_Loans!F106)</f>
        <v/>
      </c>
      <c r="G296" s="37" t="str">
        <f>IF(Agent02_Loans!B106="","",Agent02_Loans!G106)</f>
        <v/>
      </c>
      <c r="H296" s="37" t="str">
        <f>IF(Agent02_Loans!B106="","",Agent02_Loans!H106)</f>
        <v/>
      </c>
      <c r="I296" s="40" t="str">
        <f>IF(Agent02_Loans!B106="","",Agent02_Loans!I106)</f>
        <v/>
      </c>
      <c r="J296" s="40" t="str">
        <f>IF(Agent02_Loans!B106="","",Agent02_Loans!J106)</f>
        <v/>
      </c>
      <c r="K296" s="37" t="str">
        <f>IF(Agent02_Loans!B106="","",Agent02_Loans!K106)</f>
        <v/>
      </c>
      <c r="L296" s="37" t="str">
        <f>IF(Agent02_Loans!B106="","",Agent02_Loans!L106)</f>
        <v/>
      </c>
      <c r="M296" s="37" t="str">
        <f>IFERROR(IF(Agent02_Loans!B106="","",YEAR(Agent02_Loans!D106)),"")</f>
        <v/>
      </c>
    </row>
    <row r="297" spans="1:13" ht="18" customHeight="1" x14ac:dyDescent="0.25">
      <c r="A297" s="37" t="str">
        <f>IF(Agent02_Loans!B107="","",Agent02_Loans!A107)</f>
        <v/>
      </c>
      <c r="B297" s="37" t="str">
        <f>IF(Agent02_Loans!B107="","",Agent02_Loans!B107)</f>
        <v/>
      </c>
      <c r="C297" s="37" t="str">
        <f>IF(Agent02_Loans!B107="","",Agent02_Loans!C107)</f>
        <v/>
      </c>
      <c r="D297" s="38" t="str">
        <f>IF(Agent02_Loans!B107="","",Agent02_Loans!D107)</f>
        <v/>
      </c>
      <c r="E297" s="40" t="str">
        <f>IF(Agent02_Loans!B107="","",Agent02_Loans!E107)</f>
        <v/>
      </c>
      <c r="F297" s="37" t="str">
        <f>IF(Agent02_Loans!B107="","",Agent02_Loans!F107)</f>
        <v/>
      </c>
      <c r="G297" s="37" t="str">
        <f>IF(Agent02_Loans!B107="","",Agent02_Loans!G107)</f>
        <v/>
      </c>
      <c r="H297" s="37" t="str">
        <f>IF(Agent02_Loans!B107="","",Agent02_Loans!H107)</f>
        <v/>
      </c>
      <c r="I297" s="40" t="str">
        <f>IF(Agent02_Loans!B107="","",Agent02_Loans!I107)</f>
        <v/>
      </c>
      <c r="J297" s="40" t="str">
        <f>IF(Agent02_Loans!B107="","",Agent02_Loans!J107)</f>
        <v/>
      </c>
      <c r="K297" s="37" t="str">
        <f>IF(Agent02_Loans!B107="","",Agent02_Loans!K107)</f>
        <v/>
      </c>
      <c r="L297" s="37" t="str">
        <f>IF(Agent02_Loans!B107="","",Agent02_Loans!L107)</f>
        <v/>
      </c>
      <c r="M297" s="37" t="str">
        <f>IFERROR(IF(Agent02_Loans!B107="","",YEAR(Agent02_Loans!D107)),"")</f>
        <v/>
      </c>
    </row>
    <row r="298" spans="1:13" ht="18" customHeight="1" x14ac:dyDescent="0.25">
      <c r="A298" s="37" t="str">
        <f>IF(Agent02_Loans!B108="","",Agent02_Loans!A108)</f>
        <v/>
      </c>
      <c r="B298" s="37" t="str">
        <f>IF(Agent02_Loans!B108="","",Agent02_Loans!B108)</f>
        <v/>
      </c>
      <c r="C298" s="37" t="str">
        <f>IF(Agent02_Loans!B108="","",Agent02_Loans!C108)</f>
        <v/>
      </c>
      <c r="D298" s="38" t="str">
        <f>IF(Agent02_Loans!B108="","",Agent02_Loans!D108)</f>
        <v/>
      </c>
      <c r="E298" s="40" t="str">
        <f>IF(Agent02_Loans!B108="","",Agent02_Loans!E108)</f>
        <v/>
      </c>
      <c r="F298" s="37" t="str">
        <f>IF(Agent02_Loans!B108="","",Agent02_Loans!F108)</f>
        <v/>
      </c>
      <c r="G298" s="37" t="str">
        <f>IF(Agent02_Loans!B108="","",Agent02_Loans!G108)</f>
        <v/>
      </c>
      <c r="H298" s="37" t="str">
        <f>IF(Agent02_Loans!B108="","",Agent02_Loans!H108)</f>
        <v/>
      </c>
      <c r="I298" s="40" t="str">
        <f>IF(Agent02_Loans!B108="","",Agent02_Loans!I108)</f>
        <v/>
      </c>
      <c r="J298" s="40" t="str">
        <f>IF(Agent02_Loans!B108="","",Agent02_Loans!J108)</f>
        <v/>
      </c>
      <c r="K298" s="37" t="str">
        <f>IF(Agent02_Loans!B108="","",Agent02_Loans!K108)</f>
        <v/>
      </c>
      <c r="L298" s="37" t="str">
        <f>IF(Agent02_Loans!B108="","",Agent02_Loans!L108)</f>
        <v/>
      </c>
      <c r="M298" s="37" t="str">
        <f>IFERROR(IF(Agent02_Loans!B108="","",YEAR(Agent02_Loans!D108)),"")</f>
        <v/>
      </c>
    </row>
    <row r="299" spans="1:13" ht="18" customHeight="1" x14ac:dyDescent="0.25">
      <c r="A299" s="37" t="str">
        <f>IF(Agent02_Loans!B109="","",Agent02_Loans!A109)</f>
        <v/>
      </c>
      <c r="B299" s="37" t="str">
        <f>IF(Agent02_Loans!B109="","",Agent02_Loans!B109)</f>
        <v/>
      </c>
      <c r="C299" s="37" t="str">
        <f>IF(Agent02_Loans!B109="","",Agent02_Loans!C109)</f>
        <v/>
      </c>
      <c r="D299" s="38" t="str">
        <f>IF(Agent02_Loans!B109="","",Agent02_Loans!D109)</f>
        <v/>
      </c>
      <c r="E299" s="40" t="str">
        <f>IF(Agent02_Loans!B109="","",Agent02_Loans!E109)</f>
        <v/>
      </c>
      <c r="F299" s="37" t="str">
        <f>IF(Agent02_Loans!B109="","",Agent02_Loans!F109)</f>
        <v/>
      </c>
      <c r="G299" s="37" t="str">
        <f>IF(Agent02_Loans!B109="","",Agent02_Loans!G109)</f>
        <v/>
      </c>
      <c r="H299" s="37" t="str">
        <f>IF(Agent02_Loans!B109="","",Agent02_Loans!H109)</f>
        <v/>
      </c>
      <c r="I299" s="40" t="str">
        <f>IF(Agent02_Loans!B109="","",Agent02_Loans!I109)</f>
        <v/>
      </c>
      <c r="J299" s="40" t="str">
        <f>IF(Agent02_Loans!B109="","",Agent02_Loans!J109)</f>
        <v/>
      </c>
      <c r="K299" s="37" t="str">
        <f>IF(Agent02_Loans!B109="","",Agent02_Loans!K109)</f>
        <v/>
      </c>
      <c r="L299" s="37" t="str">
        <f>IF(Agent02_Loans!B109="","",Agent02_Loans!L109)</f>
        <v/>
      </c>
      <c r="M299" s="37" t="str">
        <f>IFERROR(IF(Agent02_Loans!B109="","",YEAR(Agent02_Loans!D109)),"")</f>
        <v/>
      </c>
    </row>
    <row r="300" spans="1:13" ht="18" customHeight="1" x14ac:dyDescent="0.25">
      <c r="A300" s="37" t="str">
        <f>IF(Agent02_Loans!B110="","",Agent02_Loans!A110)</f>
        <v/>
      </c>
      <c r="B300" s="37" t="str">
        <f>IF(Agent02_Loans!B110="","",Agent02_Loans!B110)</f>
        <v/>
      </c>
      <c r="C300" s="37" t="str">
        <f>IF(Agent02_Loans!B110="","",Agent02_Loans!C110)</f>
        <v/>
      </c>
      <c r="D300" s="38" t="str">
        <f>IF(Agent02_Loans!B110="","",Agent02_Loans!D110)</f>
        <v/>
      </c>
      <c r="E300" s="40" t="str">
        <f>IF(Agent02_Loans!B110="","",Agent02_Loans!E110)</f>
        <v/>
      </c>
      <c r="F300" s="37" t="str">
        <f>IF(Agent02_Loans!B110="","",Agent02_Loans!F110)</f>
        <v/>
      </c>
      <c r="G300" s="37" t="str">
        <f>IF(Agent02_Loans!B110="","",Agent02_Loans!G110)</f>
        <v/>
      </c>
      <c r="H300" s="37" t="str">
        <f>IF(Agent02_Loans!B110="","",Agent02_Loans!H110)</f>
        <v/>
      </c>
      <c r="I300" s="40" t="str">
        <f>IF(Agent02_Loans!B110="","",Agent02_Loans!I110)</f>
        <v/>
      </c>
      <c r="J300" s="40" t="str">
        <f>IF(Agent02_Loans!B110="","",Agent02_Loans!J110)</f>
        <v/>
      </c>
      <c r="K300" s="37" t="str">
        <f>IF(Agent02_Loans!B110="","",Agent02_Loans!K110)</f>
        <v/>
      </c>
      <c r="L300" s="37" t="str">
        <f>IF(Agent02_Loans!B110="","",Agent02_Loans!L110)</f>
        <v/>
      </c>
      <c r="M300" s="37" t="str">
        <f>IFERROR(IF(Agent02_Loans!B110="","",YEAR(Agent02_Loans!D110)),"")</f>
        <v/>
      </c>
    </row>
    <row r="301" spans="1:13" ht="18" customHeight="1" x14ac:dyDescent="0.25">
      <c r="A301" s="37" t="str">
        <f>IF(Agent02_Loans!B111="","",Agent02_Loans!A111)</f>
        <v/>
      </c>
      <c r="B301" s="37" t="str">
        <f>IF(Agent02_Loans!B111="","",Agent02_Loans!B111)</f>
        <v/>
      </c>
      <c r="C301" s="37" t="str">
        <f>IF(Agent02_Loans!B111="","",Agent02_Loans!C111)</f>
        <v/>
      </c>
      <c r="D301" s="38" t="str">
        <f>IF(Agent02_Loans!B111="","",Agent02_Loans!D111)</f>
        <v/>
      </c>
      <c r="E301" s="40" t="str">
        <f>IF(Agent02_Loans!B111="","",Agent02_Loans!E111)</f>
        <v/>
      </c>
      <c r="F301" s="37" t="str">
        <f>IF(Agent02_Loans!B111="","",Agent02_Loans!F111)</f>
        <v/>
      </c>
      <c r="G301" s="37" t="str">
        <f>IF(Agent02_Loans!B111="","",Agent02_Loans!G111)</f>
        <v/>
      </c>
      <c r="H301" s="37" t="str">
        <f>IF(Agent02_Loans!B111="","",Agent02_Loans!H111)</f>
        <v/>
      </c>
      <c r="I301" s="40" t="str">
        <f>IF(Agent02_Loans!B111="","",Agent02_Loans!I111)</f>
        <v/>
      </c>
      <c r="J301" s="40" t="str">
        <f>IF(Agent02_Loans!B111="","",Agent02_Loans!J111)</f>
        <v/>
      </c>
      <c r="K301" s="37" t="str">
        <f>IF(Agent02_Loans!B111="","",Agent02_Loans!K111)</f>
        <v/>
      </c>
      <c r="L301" s="37" t="str">
        <f>IF(Agent02_Loans!B111="","",Agent02_Loans!L111)</f>
        <v/>
      </c>
      <c r="M301" s="37" t="str">
        <f>IFERROR(IF(Agent02_Loans!B111="","",YEAR(Agent02_Loans!D111)),"")</f>
        <v/>
      </c>
    </row>
    <row r="302" spans="1:13" ht="18" customHeight="1" x14ac:dyDescent="0.25">
      <c r="A302" s="37" t="str">
        <f>IF(Agent02_Loans!B112="","",Agent02_Loans!A112)</f>
        <v/>
      </c>
      <c r="B302" s="37" t="str">
        <f>IF(Agent02_Loans!B112="","",Agent02_Loans!B112)</f>
        <v/>
      </c>
      <c r="C302" s="37" t="str">
        <f>IF(Agent02_Loans!B112="","",Agent02_Loans!C112)</f>
        <v/>
      </c>
      <c r="D302" s="38" t="str">
        <f>IF(Agent02_Loans!B112="","",Agent02_Loans!D112)</f>
        <v/>
      </c>
      <c r="E302" s="40" t="str">
        <f>IF(Agent02_Loans!B112="","",Agent02_Loans!E112)</f>
        <v/>
      </c>
      <c r="F302" s="37" t="str">
        <f>IF(Agent02_Loans!B112="","",Agent02_Loans!F112)</f>
        <v/>
      </c>
      <c r="G302" s="37" t="str">
        <f>IF(Agent02_Loans!B112="","",Agent02_Loans!G112)</f>
        <v/>
      </c>
      <c r="H302" s="37" t="str">
        <f>IF(Agent02_Loans!B112="","",Agent02_Loans!H112)</f>
        <v/>
      </c>
      <c r="I302" s="40" t="str">
        <f>IF(Agent02_Loans!B112="","",Agent02_Loans!I112)</f>
        <v/>
      </c>
      <c r="J302" s="40" t="str">
        <f>IF(Agent02_Loans!B112="","",Agent02_Loans!J112)</f>
        <v/>
      </c>
      <c r="K302" s="37" t="str">
        <f>IF(Agent02_Loans!B112="","",Agent02_Loans!K112)</f>
        <v/>
      </c>
      <c r="L302" s="37" t="str">
        <f>IF(Agent02_Loans!B112="","",Agent02_Loans!L112)</f>
        <v/>
      </c>
      <c r="M302" s="37" t="str">
        <f>IFERROR(IF(Agent02_Loans!B112="","",YEAR(Agent02_Loans!D112)),"")</f>
        <v/>
      </c>
    </row>
    <row r="303" spans="1:13" ht="18" customHeight="1" x14ac:dyDescent="0.25">
      <c r="A303" s="37" t="str">
        <f>IF(Agent02_Loans!B113="","",Agent02_Loans!A113)</f>
        <v/>
      </c>
      <c r="B303" s="37" t="str">
        <f>IF(Agent02_Loans!B113="","",Agent02_Loans!B113)</f>
        <v/>
      </c>
      <c r="C303" s="37" t="str">
        <f>IF(Agent02_Loans!B113="","",Agent02_Loans!C113)</f>
        <v/>
      </c>
      <c r="D303" s="38" t="str">
        <f>IF(Agent02_Loans!B113="","",Agent02_Loans!D113)</f>
        <v/>
      </c>
      <c r="E303" s="40" t="str">
        <f>IF(Agent02_Loans!B113="","",Agent02_Loans!E113)</f>
        <v/>
      </c>
      <c r="F303" s="37" t="str">
        <f>IF(Agent02_Loans!B113="","",Agent02_Loans!F113)</f>
        <v/>
      </c>
      <c r="G303" s="37" t="str">
        <f>IF(Agent02_Loans!B113="","",Agent02_Loans!G113)</f>
        <v/>
      </c>
      <c r="H303" s="37" t="str">
        <f>IF(Agent02_Loans!B113="","",Agent02_Loans!H113)</f>
        <v/>
      </c>
      <c r="I303" s="40" t="str">
        <f>IF(Agent02_Loans!B113="","",Agent02_Loans!I113)</f>
        <v/>
      </c>
      <c r="J303" s="40" t="str">
        <f>IF(Agent02_Loans!B113="","",Agent02_Loans!J113)</f>
        <v/>
      </c>
      <c r="K303" s="37" t="str">
        <f>IF(Agent02_Loans!B113="","",Agent02_Loans!K113)</f>
        <v/>
      </c>
      <c r="L303" s="37" t="str">
        <f>IF(Agent02_Loans!B113="","",Agent02_Loans!L113)</f>
        <v/>
      </c>
      <c r="M303" s="37" t="str">
        <f>IFERROR(IF(Agent02_Loans!B113="","",YEAR(Agent02_Loans!D113)),"")</f>
        <v/>
      </c>
    </row>
    <row r="304" spans="1:13" ht="18" customHeight="1" x14ac:dyDescent="0.25">
      <c r="A304" s="37" t="str">
        <f>IF(Agent02_Loans!B114="","",Agent02_Loans!A114)</f>
        <v/>
      </c>
      <c r="B304" s="37" t="str">
        <f>IF(Agent02_Loans!B114="","",Agent02_Loans!B114)</f>
        <v/>
      </c>
      <c r="C304" s="37" t="str">
        <f>IF(Agent02_Loans!B114="","",Agent02_Loans!C114)</f>
        <v/>
      </c>
      <c r="D304" s="38" t="str">
        <f>IF(Agent02_Loans!B114="","",Agent02_Loans!D114)</f>
        <v/>
      </c>
      <c r="E304" s="40" t="str">
        <f>IF(Agent02_Loans!B114="","",Agent02_Loans!E114)</f>
        <v/>
      </c>
      <c r="F304" s="37" t="str">
        <f>IF(Agent02_Loans!B114="","",Agent02_Loans!F114)</f>
        <v/>
      </c>
      <c r="G304" s="37" t="str">
        <f>IF(Agent02_Loans!B114="","",Agent02_Loans!G114)</f>
        <v/>
      </c>
      <c r="H304" s="37" t="str">
        <f>IF(Agent02_Loans!B114="","",Agent02_Loans!H114)</f>
        <v/>
      </c>
      <c r="I304" s="40" t="str">
        <f>IF(Agent02_Loans!B114="","",Agent02_Loans!I114)</f>
        <v/>
      </c>
      <c r="J304" s="40" t="str">
        <f>IF(Agent02_Loans!B114="","",Agent02_Loans!J114)</f>
        <v/>
      </c>
      <c r="K304" s="37" t="str">
        <f>IF(Agent02_Loans!B114="","",Agent02_Loans!K114)</f>
        <v/>
      </c>
      <c r="L304" s="37" t="str">
        <f>IF(Agent02_Loans!B114="","",Agent02_Loans!L114)</f>
        <v/>
      </c>
      <c r="M304" s="37" t="str">
        <f>IFERROR(IF(Agent02_Loans!B114="","",YEAR(Agent02_Loans!D114)),"")</f>
        <v/>
      </c>
    </row>
    <row r="305" spans="1:13" ht="18" customHeight="1" x14ac:dyDescent="0.25">
      <c r="A305" s="37" t="str">
        <f>IF(Agent02_Loans!B115="","",Agent02_Loans!A115)</f>
        <v/>
      </c>
      <c r="B305" s="37" t="str">
        <f>IF(Agent02_Loans!B115="","",Agent02_Loans!B115)</f>
        <v/>
      </c>
      <c r="C305" s="37" t="str">
        <f>IF(Agent02_Loans!B115="","",Agent02_Loans!C115)</f>
        <v/>
      </c>
      <c r="D305" s="38" t="str">
        <f>IF(Agent02_Loans!B115="","",Agent02_Loans!D115)</f>
        <v/>
      </c>
      <c r="E305" s="40" t="str">
        <f>IF(Agent02_Loans!B115="","",Agent02_Loans!E115)</f>
        <v/>
      </c>
      <c r="F305" s="37" t="str">
        <f>IF(Agent02_Loans!B115="","",Agent02_Loans!F115)</f>
        <v/>
      </c>
      <c r="G305" s="37" t="str">
        <f>IF(Agent02_Loans!B115="","",Agent02_Loans!G115)</f>
        <v/>
      </c>
      <c r="H305" s="37" t="str">
        <f>IF(Agent02_Loans!B115="","",Agent02_Loans!H115)</f>
        <v/>
      </c>
      <c r="I305" s="40" t="str">
        <f>IF(Agent02_Loans!B115="","",Agent02_Loans!I115)</f>
        <v/>
      </c>
      <c r="J305" s="40" t="str">
        <f>IF(Agent02_Loans!B115="","",Agent02_Loans!J115)</f>
        <v/>
      </c>
      <c r="K305" s="37" t="str">
        <f>IF(Agent02_Loans!B115="","",Agent02_Loans!K115)</f>
        <v/>
      </c>
      <c r="L305" s="37" t="str">
        <f>IF(Agent02_Loans!B115="","",Agent02_Loans!L115)</f>
        <v/>
      </c>
      <c r="M305" s="37" t="str">
        <f>IFERROR(IF(Agent02_Loans!B115="","",YEAR(Agent02_Loans!D115)),"")</f>
        <v/>
      </c>
    </row>
    <row r="306" spans="1:13" ht="18" customHeight="1" x14ac:dyDescent="0.25">
      <c r="A306" s="37" t="str">
        <f>IF(Agent02_Loans!B116="","",Agent02_Loans!A116)</f>
        <v/>
      </c>
      <c r="B306" s="37" t="str">
        <f>IF(Agent02_Loans!B116="","",Agent02_Loans!B116)</f>
        <v/>
      </c>
      <c r="C306" s="37" t="str">
        <f>IF(Agent02_Loans!B116="","",Agent02_Loans!C116)</f>
        <v/>
      </c>
      <c r="D306" s="38" t="str">
        <f>IF(Agent02_Loans!B116="","",Agent02_Loans!D116)</f>
        <v/>
      </c>
      <c r="E306" s="40" t="str">
        <f>IF(Agent02_Loans!B116="","",Agent02_Loans!E116)</f>
        <v/>
      </c>
      <c r="F306" s="37" t="str">
        <f>IF(Agent02_Loans!B116="","",Agent02_Loans!F116)</f>
        <v/>
      </c>
      <c r="G306" s="37" t="str">
        <f>IF(Agent02_Loans!B116="","",Agent02_Loans!G116)</f>
        <v/>
      </c>
      <c r="H306" s="37" t="str">
        <f>IF(Agent02_Loans!B116="","",Agent02_Loans!H116)</f>
        <v/>
      </c>
      <c r="I306" s="40" t="str">
        <f>IF(Agent02_Loans!B116="","",Agent02_Loans!I116)</f>
        <v/>
      </c>
      <c r="J306" s="40" t="str">
        <f>IF(Agent02_Loans!B116="","",Agent02_Loans!J116)</f>
        <v/>
      </c>
      <c r="K306" s="37" t="str">
        <f>IF(Agent02_Loans!B116="","",Agent02_Loans!K116)</f>
        <v/>
      </c>
      <c r="L306" s="37" t="str">
        <f>IF(Agent02_Loans!B116="","",Agent02_Loans!L116)</f>
        <v/>
      </c>
      <c r="M306" s="37" t="str">
        <f>IFERROR(IF(Agent02_Loans!B116="","",YEAR(Agent02_Loans!D116)),"")</f>
        <v/>
      </c>
    </row>
    <row r="307" spans="1:13" ht="18" customHeight="1" x14ac:dyDescent="0.25">
      <c r="A307" s="37" t="str">
        <f>IF(Agent02_Loans!B117="","",Agent02_Loans!A117)</f>
        <v/>
      </c>
      <c r="B307" s="37" t="str">
        <f>IF(Agent02_Loans!B117="","",Agent02_Loans!B117)</f>
        <v/>
      </c>
      <c r="C307" s="37" t="str">
        <f>IF(Agent02_Loans!B117="","",Agent02_Loans!C117)</f>
        <v/>
      </c>
      <c r="D307" s="38" t="str">
        <f>IF(Agent02_Loans!B117="","",Agent02_Loans!D117)</f>
        <v/>
      </c>
      <c r="E307" s="40" t="str">
        <f>IF(Agent02_Loans!B117="","",Agent02_Loans!E117)</f>
        <v/>
      </c>
      <c r="F307" s="37" t="str">
        <f>IF(Agent02_Loans!B117="","",Agent02_Loans!F117)</f>
        <v/>
      </c>
      <c r="G307" s="37" t="str">
        <f>IF(Agent02_Loans!B117="","",Agent02_Loans!G117)</f>
        <v/>
      </c>
      <c r="H307" s="37" t="str">
        <f>IF(Agent02_Loans!B117="","",Agent02_Loans!H117)</f>
        <v/>
      </c>
      <c r="I307" s="40" t="str">
        <f>IF(Agent02_Loans!B117="","",Agent02_Loans!I117)</f>
        <v/>
      </c>
      <c r="J307" s="40" t="str">
        <f>IF(Agent02_Loans!B117="","",Agent02_Loans!J117)</f>
        <v/>
      </c>
      <c r="K307" s="37" t="str">
        <f>IF(Agent02_Loans!B117="","",Agent02_Loans!K117)</f>
        <v/>
      </c>
      <c r="L307" s="37" t="str">
        <f>IF(Agent02_Loans!B117="","",Agent02_Loans!L117)</f>
        <v/>
      </c>
      <c r="M307" s="37" t="str">
        <f>IFERROR(IF(Agent02_Loans!B117="","",YEAR(Agent02_Loans!D117)),"")</f>
        <v/>
      </c>
    </row>
    <row r="308" spans="1:13" ht="18" customHeight="1" x14ac:dyDescent="0.25">
      <c r="A308" s="37" t="str">
        <f>IF(Agent02_Loans!B118="","",Agent02_Loans!A118)</f>
        <v/>
      </c>
      <c r="B308" s="37" t="str">
        <f>IF(Agent02_Loans!B118="","",Agent02_Loans!B118)</f>
        <v/>
      </c>
      <c r="C308" s="37" t="str">
        <f>IF(Agent02_Loans!B118="","",Agent02_Loans!C118)</f>
        <v/>
      </c>
      <c r="D308" s="38" t="str">
        <f>IF(Agent02_Loans!B118="","",Agent02_Loans!D118)</f>
        <v/>
      </c>
      <c r="E308" s="40" t="str">
        <f>IF(Agent02_Loans!B118="","",Agent02_Loans!E118)</f>
        <v/>
      </c>
      <c r="F308" s="37" t="str">
        <f>IF(Agent02_Loans!B118="","",Agent02_Loans!F118)</f>
        <v/>
      </c>
      <c r="G308" s="37" t="str">
        <f>IF(Agent02_Loans!B118="","",Agent02_Loans!G118)</f>
        <v/>
      </c>
      <c r="H308" s="37" t="str">
        <f>IF(Agent02_Loans!B118="","",Agent02_Loans!H118)</f>
        <v/>
      </c>
      <c r="I308" s="40" t="str">
        <f>IF(Agent02_Loans!B118="","",Agent02_Loans!I118)</f>
        <v/>
      </c>
      <c r="J308" s="40" t="str">
        <f>IF(Agent02_Loans!B118="","",Agent02_Loans!J118)</f>
        <v/>
      </c>
      <c r="K308" s="37" t="str">
        <f>IF(Agent02_Loans!B118="","",Agent02_Loans!K118)</f>
        <v/>
      </c>
      <c r="L308" s="37" t="str">
        <f>IF(Agent02_Loans!B118="","",Agent02_Loans!L118)</f>
        <v/>
      </c>
      <c r="M308" s="37" t="str">
        <f>IFERROR(IF(Agent02_Loans!B118="","",YEAR(Agent02_Loans!D118)),"")</f>
        <v/>
      </c>
    </row>
    <row r="309" spans="1:13" ht="18" customHeight="1" x14ac:dyDescent="0.25">
      <c r="A309" s="37" t="str">
        <f>IF(Agent02_Loans!B119="","",Agent02_Loans!A119)</f>
        <v/>
      </c>
      <c r="B309" s="37" t="str">
        <f>IF(Agent02_Loans!B119="","",Agent02_Loans!B119)</f>
        <v/>
      </c>
      <c r="C309" s="37" t="str">
        <f>IF(Agent02_Loans!B119="","",Agent02_Loans!C119)</f>
        <v/>
      </c>
      <c r="D309" s="38" t="str">
        <f>IF(Agent02_Loans!B119="","",Agent02_Loans!D119)</f>
        <v/>
      </c>
      <c r="E309" s="40" t="str">
        <f>IF(Agent02_Loans!B119="","",Agent02_Loans!E119)</f>
        <v/>
      </c>
      <c r="F309" s="37" t="str">
        <f>IF(Agent02_Loans!B119="","",Agent02_Loans!F119)</f>
        <v/>
      </c>
      <c r="G309" s="37" t="str">
        <f>IF(Agent02_Loans!B119="","",Agent02_Loans!G119)</f>
        <v/>
      </c>
      <c r="H309" s="37" t="str">
        <f>IF(Agent02_Loans!B119="","",Agent02_Loans!H119)</f>
        <v/>
      </c>
      <c r="I309" s="40" t="str">
        <f>IF(Agent02_Loans!B119="","",Agent02_Loans!I119)</f>
        <v/>
      </c>
      <c r="J309" s="40" t="str">
        <f>IF(Agent02_Loans!B119="","",Agent02_Loans!J119)</f>
        <v/>
      </c>
      <c r="K309" s="37" t="str">
        <f>IF(Agent02_Loans!B119="","",Agent02_Loans!K119)</f>
        <v/>
      </c>
      <c r="L309" s="37" t="str">
        <f>IF(Agent02_Loans!B119="","",Agent02_Loans!L119)</f>
        <v/>
      </c>
      <c r="M309" s="37" t="str">
        <f>IFERROR(IF(Agent02_Loans!B119="","",YEAR(Agent02_Loans!D119)),"")</f>
        <v/>
      </c>
    </row>
    <row r="310" spans="1:13" ht="18" customHeight="1" x14ac:dyDescent="0.25">
      <c r="A310" s="37" t="str">
        <f>IF(Agent02_Loans!B120="","",Agent02_Loans!A120)</f>
        <v/>
      </c>
      <c r="B310" s="37" t="str">
        <f>IF(Agent02_Loans!B120="","",Agent02_Loans!B120)</f>
        <v/>
      </c>
      <c r="C310" s="37" t="str">
        <f>IF(Agent02_Loans!B120="","",Agent02_Loans!C120)</f>
        <v/>
      </c>
      <c r="D310" s="38" t="str">
        <f>IF(Agent02_Loans!B120="","",Agent02_Loans!D120)</f>
        <v/>
      </c>
      <c r="E310" s="40" t="str">
        <f>IF(Agent02_Loans!B120="","",Agent02_Loans!E120)</f>
        <v/>
      </c>
      <c r="F310" s="37" t="str">
        <f>IF(Agent02_Loans!B120="","",Agent02_Loans!F120)</f>
        <v/>
      </c>
      <c r="G310" s="37" t="str">
        <f>IF(Agent02_Loans!B120="","",Agent02_Loans!G120)</f>
        <v/>
      </c>
      <c r="H310" s="37" t="str">
        <f>IF(Agent02_Loans!B120="","",Agent02_Loans!H120)</f>
        <v/>
      </c>
      <c r="I310" s="40" t="str">
        <f>IF(Agent02_Loans!B120="","",Agent02_Loans!I120)</f>
        <v/>
      </c>
      <c r="J310" s="40" t="str">
        <f>IF(Agent02_Loans!B120="","",Agent02_Loans!J120)</f>
        <v/>
      </c>
      <c r="K310" s="37" t="str">
        <f>IF(Agent02_Loans!B120="","",Agent02_Loans!K120)</f>
        <v/>
      </c>
      <c r="L310" s="37" t="str">
        <f>IF(Agent02_Loans!B120="","",Agent02_Loans!L120)</f>
        <v/>
      </c>
      <c r="M310" s="37" t="str">
        <f>IFERROR(IF(Agent02_Loans!B120="","",YEAR(Agent02_Loans!D120)),"")</f>
        <v/>
      </c>
    </row>
    <row r="311" spans="1:13" ht="18" customHeight="1" x14ac:dyDescent="0.25">
      <c r="A311" s="37" t="str">
        <f>IF(Agent02_Loans!B121="","",Agent02_Loans!A121)</f>
        <v/>
      </c>
      <c r="B311" s="37" t="str">
        <f>IF(Agent02_Loans!B121="","",Agent02_Loans!B121)</f>
        <v/>
      </c>
      <c r="C311" s="37" t="str">
        <f>IF(Agent02_Loans!B121="","",Agent02_Loans!C121)</f>
        <v/>
      </c>
      <c r="D311" s="38" t="str">
        <f>IF(Agent02_Loans!B121="","",Agent02_Loans!D121)</f>
        <v/>
      </c>
      <c r="E311" s="40" t="str">
        <f>IF(Agent02_Loans!B121="","",Agent02_Loans!E121)</f>
        <v/>
      </c>
      <c r="F311" s="37" t="str">
        <f>IF(Agent02_Loans!B121="","",Agent02_Loans!F121)</f>
        <v/>
      </c>
      <c r="G311" s="37" t="str">
        <f>IF(Agent02_Loans!B121="","",Agent02_Loans!G121)</f>
        <v/>
      </c>
      <c r="H311" s="37" t="str">
        <f>IF(Agent02_Loans!B121="","",Agent02_Loans!H121)</f>
        <v/>
      </c>
      <c r="I311" s="40" t="str">
        <f>IF(Agent02_Loans!B121="","",Agent02_Loans!I121)</f>
        <v/>
      </c>
      <c r="J311" s="40" t="str">
        <f>IF(Agent02_Loans!B121="","",Agent02_Loans!J121)</f>
        <v/>
      </c>
      <c r="K311" s="37" t="str">
        <f>IF(Agent02_Loans!B121="","",Agent02_Loans!K121)</f>
        <v/>
      </c>
      <c r="L311" s="37" t="str">
        <f>IF(Agent02_Loans!B121="","",Agent02_Loans!L121)</f>
        <v/>
      </c>
      <c r="M311" s="37" t="str">
        <f>IFERROR(IF(Agent02_Loans!B121="","",YEAR(Agent02_Loans!D121)),"")</f>
        <v/>
      </c>
    </row>
    <row r="312" spans="1:13" ht="18" customHeight="1" x14ac:dyDescent="0.25">
      <c r="A312" s="37" t="str">
        <f>IF(Agent02_Loans!B122="","",Agent02_Loans!A122)</f>
        <v/>
      </c>
      <c r="B312" s="37" t="str">
        <f>IF(Agent02_Loans!B122="","",Agent02_Loans!B122)</f>
        <v/>
      </c>
      <c r="C312" s="37" t="str">
        <f>IF(Agent02_Loans!B122="","",Agent02_Loans!C122)</f>
        <v/>
      </c>
      <c r="D312" s="38" t="str">
        <f>IF(Agent02_Loans!B122="","",Agent02_Loans!D122)</f>
        <v/>
      </c>
      <c r="E312" s="40" t="str">
        <f>IF(Agent02_Loans!B122="","",Agent02_Loans!E122)</f>
        <v/>
      </c>
      <c r="F312" s="37" t="str">
        <f>IF(Agent02_Loans!B122="","",Agent02_Loans!F122)</f>
        <v/>
      </c>
      <c r="G312" s="37" t="str">
        <f>IF(Agent02_Loans!B122="","",Agent02_Loans!G122)</f>
        <v/>
      </c>
      <c r="H312" s="37" t="str">
        <f>IF(Agent02_Loans!B122="","",Agent02_Loans!H122)</f>
        <v/>
      </c>
      <c r="I312" s="40" t="str">
        <f>IF(Agent02_Loans!B122="","",Agent02_Loans!I122)</f>
        <v/>
      </c>
      <c r="J312" s="40" t="str">
        <f>IF(Agent02_Loans!B122="","",Agent02_Loans!J122)</f>
        <v/>
      </c>
      <c r="K312" s="37" t="str">
        <f>IF(Agent02_Loans!B122="","",Agent02_Loans!K122)</f>
        <v/>
      </c>
      <c r="L312" s="37" t="str">
        <f>IF(Agent02_Loans!B122="","",Agent02_Loans!L122)</f>
        <v/>
      </c>
      <c r="M312" s="37" t="str">
        <f>IFERROR(IF(Agent02_Loans!B122="","",YEAR(Agent02_Loans!D122)),"")</f>
        <v/>
      </c>
    </row>
    <row r="313" spans="1:13" ht="18" customHeight="1" x14ac:dyDescent="0.25">
      <c r="A313" s="37" t="str">
        <f>IF(Agent02_Loans!B123="","",Agent02_Loans!A123)</f>
        <v/>
      </c>
      <c r="B313" s="37" t="str">
        <f>IF(Agent02_Loans!B123="","",Agent02_Loans!B123)</f>
        <v/>
      </c>
      <c r="C313" s="37" t="str">
        <f>IF(Agent02_Loans!B123="","",Agent02_Loans!C123)</f>
        <v/>
      </c>
      <c r="D313" s="38" t="str">
        <f>IF(Agent02_Loans!B123="","",Agent02_Loans!D123)</f>
        <v/>
      </c>
      <c r="E313" s="40" t="str">
        <f>IF(Agent02_Loans!B123="","",Agent02_Loans!E123)</f>
        <v/>
      </c>
      <c r="F313" s="37" t="str">
        <f>IF(Agent02_Loans!B123="","",Agent02_Loans!F123)</f>
        <v/>
      </c>
      <c r="G313" s="37" t="str">
        <f>IF(Agent02_Loans!B123="","",Agent02_Loans!G123)</f>
        <v/>
      </c>
      <c r="H313" s="37" t="str">
        <f>IF(Agent02_Loans!B123="","",Agent02_Loans!H123)</f>
        <v/>
      </c>
      <c r="I313" s="40" t="str">
        <f>IF(Agent02_Loans!B123="","",Agent02_Loans!I123)</f>
        <v/>
      </c>
      <c r="J313" s="40" t="str">
        <f>IF(Agent02_Loans!B123="","",Agent02_Loans!J123)</f>
        <v/>
      </c>
      <c r="K313" s="37" t="str">
        <f>IF(Agent02_Loans!B123="","",Agent02_Loans!K123)</f>
        <v/>
      </c>
      <c r="L313" s="37" t="str">
        <f>IF(Agent02_Loans!B123="","",Agent02_Loans!L123)</f>
        <v/>
      </c>
      <c r="M313" s="37" t="str">
        <f>IFERROR(IF(Agent02_Loans!B123="","",YEAR(Agent02_Loans!D123)),"")</f>
        <v/>
      </c>
    </row>
    <row r="314" spans="1:13" ht="18" customHeight="1" x14ac:dyDescent="0.25">
      <c r="A314" s="37" t="str">
        <f>IF(Agent02_Loans!B124="","",Agent02_Loans!A124)</f>
        <v/>
      </c>
      <c r="B314" s="37" t="str">
        <f>IF(Agent02_Loans!B124="","",Agent02_Loans!B124)</f>
        <v/>
      </c>
      <c r="C314" s="37" t="str">
        <f>IF(Agent02_Loans!B124="","",Agent02_Loans!C124)</f>
        <v/>
      </c>
      <c r="D314" s="38" t="str">
        <f>IF(Agent02_Loans!B124="","",Agent02_Loans!D124)</f>
        <v/>
      </c>
      <c r="E314" s="40" t="str">
        <f>IF(Agent02_Loans!B124="","",Agent02_Loans!E124)</f>
        <v/>
      </c>
      <c r="F314" s="37" t="str">
        <f>IF(Agent02_Loans!B124="","",Agent02_Loans!F124)</f>
        <v/>
      </c>
      <c r="G314" s="37" t="str">
        <f>IF(Agent02_Loans!B124="","",Agent02_Loans!G124)</f>
        <v/>
      </c>
      <c r="H314" s="37" t="str">
        <f>IF(Agent02_Loans!B124="","",Agent02_Loans!H124)</f>
        <v/>
      </c>
      <c r="I314" s="40" t="str">
        <f>IF(Agent02_Loans!B124="","",Agent02_Loans!I124)</f>
        <v/>
      </c>
      <c r="J314" s="40" t="str">
        <f>IF(Agent02_Loans!B124="","",Agent02_Loans!J124)</f>
        <v/>
      </c>
      <c r="K314" s="37" t="str">
        <f>IF(Agent02_Loans!B124="","",Agent02_Loans!K124)</f>
        <v/>
      </c>
      <c r="L314" s="37" t="str">
        <f>IF(Agent02_Loans!B124="","",Agent02_Loans!L124)</f>
        <v/>
      </c>
      <c r="M314" s="37" t="str">
        <f>IFERROR(IF(Agent02_Loans!B124="","",YEAR(Agent02_Loans!D124)),"")</f>
        <v/>
      </c>
    </row>
    <row r="315" spans="1:13" ht="18" customHeight="1" x14ac:dyDescent="0.25">
      <c r="A315" s="37" t="str">
        <f>IF(Agent02_Loans!B125="","",Agent02_Loans!A125)</f>
        <v/>
      </c>
      <c r="B315" s="37" t="str">
        <f>IF(Agent02_Loans!B125="","",Agent02_Loans!B125)</f>
        <v/>
      </c>
      <c r="C315" s="37" t="str">
        <f>IF(Agent02_Loans!B125="","",Agent02_Loans!C125)</f>
        <v/>
      </c>
      <c r="D315" s="38" t="str">
        <f>IF(Agent02_Loans!B125="","",Agent02_Loans!D125)</f>
        <v/>
      </c>
      <c r="E315" s="40" t="str">
        <f>IF(Agent02_Loans!B125="","",Agent02_Loans!E125)</f>
        <v/>
      </c>
      <c r="F315" s="37" t="str">
        <f>IF(Agent02_Loans!B125="","",Agent02_Loans!F125)</f>
        <v/>
      </c>
      <c r="G315" s="37" t="str">
        <f>IF(Agent02_Loans!B125="","",Agent02_Loans!G125)</f>
        <v/>
      </c>
      <c r="H315" s="37" t="str">
        <f>IF(Agent02_Loans!B125="","",Agent02_Loans!H125)</f>
        <v/>
      </c>
      <c r="I315" s="40" t="str">
        <f>IF(Agent02_Loans!B125="","",Agent02_Loans!I125)</f>
        <v/>
      </c>
      <c r="J315" s="40" t="str">
        <f>IF(Agent02_Loans!B125="","",Agent02_Loans!J125)</f>
        <v/>
      </c>
      <c r="K315" s="37" t="str">
        <f>IF(Agent02_Loans!B125="","",Agent02_Loans!K125)</f>
        <v/>
      </c>
      <c r="L315" s="37" t="str">
        <f>IF(Agent02_Loans!B125="","",Agent02_Loans!L125)</f>
        <v/>
      </c>
      <c r="M315" s="37" t="str">
        <f>IFERROR(IF(Agent02_Loans!B125="","",YEAR(Agent02_Loans!D125)),"")</f>
        <v/>
      </c>
    </row>
    <row r="316" spans="1:13" ht="18" customHeight="1" x14ac:dyDescent="0.25">
      <c r="A316" s="37" t="str">
        <f>IF(Agent02_Loans!B126="","",Agent02_Loans!A126)</f>
        <v/>
      </c>
      <c r="B316" s="37" t="str">
        <f>IF(Agent02_Loans!B126="","",Agent02_Loans!B126)</f>
        <v/>
      </c>
      <c r="C316" s="37" t="str">
        <f>IF(Agent02_Loans!B126="","",Agent02_Loans!C126)</f>
        <v/>
      </c>
      <c r="D316" s="38" t="str">
        <f>IF(Agent02_Loans!B126="","",Agent02_Loans!D126)</f>
        <v/>
      </c>
      <c r="E316" s="40" t="str">
        <f>IF(Agent02_Loans!B126="","",Agent02_Loans!E126)</f>
        <v/>
      </c>
      <c r="F316" s="37" t="str">
        <f>IF(Agent02_Loans!B126="","",Agent02_Loans!F126)</f>
        <v/>
      </c>
      <c r="G316" s="37" t="str">
        <f>IF(Agent02_Loans!B126="","",Agent02_Loans!G126)</f>
        <v/>
      </c>
      <c r="H316" s="37" t="str">
        <f>IF(Agent02_Loans!B126="","",Agent02_Loans!H126)</f>
        <v/>
      </c>
      <c r="I316" s="40" t="str">
        <f>IF(Agent02_Loans!B126="","",Agent02_Loans!I126)</f>
        <v/>
      </c>
      <c r="J316" s="40" t="str">
        <f>IF(Agent02_Loans!B126="","",Agent02_Loans!J126)</f>
        <v/>
      </c>
      <c r="K316" s="37" t="str">
        <f>IF(Agent02_Loans!B126="","",Agent02_Loans!K126)</f>
        <v/>
      </c>
      <c r="L316" s="37" t="str">
        <f>IF(Agent02_Loans!B126="","",Agent02_Loans!L126)</f>
        <v/>
      </c>
      <c r="M316" s="37" t="str">
        <f>IFERROR(IF(Agent02_Loans!B126="","",YEAR(Agent02_Loans!D126)),"")</f>
        <v/>
      </c>
    </row>
    <row r="317" spans="1:13" ht="18" customHeight="1" x14ac:dyDescent="0.25">
      <c r="A317" s="37" t="str">
        <f>IF(Agent02_Loans!B127="","",Agent02_Loans!A127)</f>
        <v/>
      </c>
      <c r="B317" s="37" t="str">
        <f>IF(Agent02_Loans!B127="","",Agent02_Loans!B127)</f>
        <v/>
      </c>
      <c r="C317" s="37" t="str">
        <f>IF(Agent02_Loans!B127="","",Agent02_Loans!C127)</f>
        <v/>
      </c>
      <c r="D317" s="38" t="str">
        <f>IF(Agent02_Loans!B127="","",Agent02_Loans!D127)</f>
        <v/>
      </c>
      <c r="E317" s="40" t="str">
        <f>IF(Agent02_Loans!B127="","",Agent02_Loans!E127)</f>
        <v/>
      </c>
      <c r="F317" s="37" t="str">
        <f>IF(Agent02_Loans!B127="","",Agent02_Loans!F127)</f>
        <v/>
      </c>
      <c r="G317" s="37" t="str">
        <f>IF(Agent02_Loans!B127="","",Agent02_Loans!G127)</f>
        <v/>
      </c>
      <c r="H317" s="37" t="str">
        <f>IF(Agent02_Loans!B127="","",Agent02_Loans!H127)</f>
        <v/>
      </c>
      <c r="I317" s="40" t="str">
        <f>IF(Agent02_Loans!B127="","",Agent02_Loans!I127)</f>
        <v/>
      </c>
      <c r="J317" s="40" t="str">
        <f>IF(Agent02_Loans!B127="","",Agent02_Loans!J127)</f>
        <v/>
      </c>
      <c r="K317" s="37" t="str">
        <f>IF(Agent02_Loans!B127="","",Agent02_Loans!K127)</f>
        <v/>
      </c>
      <c r="L317" s="37" t="str">
        <f>IF(Agent02_Loans!B127="","",Agent02_Loans!L127)</f>
        <v/>
      </c>
      <c r="M317" s="37" t="str">
        <f>IFERROR(IF(Agent02_Loans!B127="","",YEAR(Agent02_Loans!D127)),"")</f>
        <v/>
      </c>
    </row>
    <row r="318" spans="1:13" ht="18" customHeight="1" x14ac:dyDescent="0.25">
      <c r="A318" s="37" t="str">
        <f>IF(Agent02_Loans!B128="","",Agent02_Loans!A128)</f>
        <v/>
      </c>
      <c r="B318" s="37" t="str">
        <f>IF(Agent02_Loans!B128="","",Agent02_Loans!B128)</f>
        <v/>
      </c>
      <c r="C318" s="37" t="str">
        <f>IF(Agent02_Loans!B128="","",Agent02_Loans!C128)</f>
        <v/>
      </c>
      <c r="D318" s="38" t="str">
        <f>IF(Agent02_Loans!B128="","",Agent02_Loans!D128)</f>
        <v/>
      </c>
      <c r="E318" s="40" t="str">
        <f>IF(Agent02_Loans!B128="","",Agent02_Loans!E128)</f>
        <v/>
      </c>
      <c r="F318" s="37" t="str">
        <f>IF(Agent02_Loans!B128="","",Agent02_Loans!F128)</f>
        <v/>
      </c>
      <c r="G318" s="37" t="str">
        <f>IF(Agent02_Loans!B128="","",Agent02_Loans!G128)</f>
        <v/>
      </c>
      <c r="H318" s="37" t="str">
        <f>IF(Agent02_Loans!B128="","",Agent02_Loans!H128)</f>
        <v/>
      </c>
      <c r="I318" s="40" t="str">
        <f>IF(Agent02_Loans!B128="","",Agent02_Loans!I128)</f>
        <v/>
      </c>
      <c r="J318" s="40" t="str">
        <f>IF(Agent02_Loans!B128="","",Agent02_Loans!J128)</f>
        <v/>
      </c>
      <c r="K318" s="37" t="str">
        <f>IF(Agent02_Loans!B128="","",Agent02_Loans!K128)</f>
        <v/>
      </c>
      <c r="L318" s="37" t="str">
        <f>IF(Agent02_Loans!B128="","",Agent02_Loans!L128)</f>
        <v/>
      </c>
      <c r="M318" s="37" t="str">
        <f>IFERROR(IF(Agent02_Loans!B128="","",YEAR(Agent02_Loans!D128)),"")</f>
        <v/>
      </c>
    </row>
    <row r="319" spans="1:13" ht="18" customHeight="1" x14ac:dyDescent="0.25">
      <c r="A319" s="37" t="str">
        <f>IF(Agent02_Loans!B129="","",Agent02_Loans!A129)</f>
        <v/>
      </c>
      <c r="B319" s="37" t="str">
        <f>IF(Agent02_Loans!B129="","",Agent02_Loans!B129)</f>
        <v/>
      </c>
      <c r="C319" s="37" t="str">
        <f>IF(Agent02_Loans!B129="","",Agent02_Loans!C129)</f>
        <v/>
      </c>
      <c r="D319" s="38" t="str">
        <f>IF(Agent02_Loans!B129="","",Agent02_Loans!D129)</f>
        <v/>
      </c>
      <c r="E319" s="40" t="str">
        <f>IF(Agent02_Loans!B129="","",Agent02_Loans!E129)</f>
        <v/>
      </c>
      <c r="F319" s="37" t="str">
        <f>IF(Agent02_Loans!B129="","",Agent02_Loans!F129)</f>
        <v/>
      </c>
      <c r="G319" s="37" t="str">
        <f>IF(Agent02_Loans!B129="","",Agent02_Loans!G129)</f>
        <v/>
      </c>
      <c r="H319" s="37" t="str">
        <f>IF(Agent02_Loans!B129="","",Agent02_Loans!H129)</f>
        <v/>
      </c>
      <c r="I319" s="40" t="str">
        <f>IF(Agent02_Loans!B129="","",Agent02_Loans!I129)</f>
        <v/>
      </c>
      <c r="J319" s="40" t="str">
        <f>IF(Agent02_Loans!B129="","",Agent02_Loans!J129)</f>
        <v/>
      </c>
      <c r="K319" s="37" t="str">
        <f>IF(Agent02_Loans!B129="","",Agent02_Loans!K129)</f>
        <v/>
      </c>
      <c r="L319" s="37" t="str">
        <f>IF(Agent02_Loans!B129="","",Agent02_Loans!L129)</f>
        <v/>
      </c>
      <c r="M319" s="37" t="str">
        <f>IFERROR(IF(Agent02_Loans!B129="","",YEAR(Agent02_Loans!D129)),"")</f>
        <v/>
      </c>
    </row>
    <row r="320" spans="1:13" ht="18" customHeight="1" x14ac:dyDescent="0.25">
      <c r="A320" s="37" t="str">
        <f>IF(Agent02_Loans!B130="","",Agent02_Loans!A130)</f>
        <v/>
      </c>
      <c r="B320" s="37" t="str">
        <f>IF(Agent02_Loans!B130="","",Agent02_Loans!B130)</f>
        <v/>
      </c>
      <c r="C320" s="37" t="str">
        <f>IF(Agent02_Loans!B130="","",Agent02_Loans!C130)</f>
        <v/>
      </c>
      <c r="D320" s="38" t="str">
        <f>IF(Agent02_Loans!B130="","",Agent02_Loans!D130)</f>
        <v/>
      </c>
      <c r="E320" s="40" t="str">
        <f>IF(Agent02_Loans!B130="","",Agent02_Loans!E130)</f>
        <v/>
      </c>
      <c r="F320" s="37" t="str">
        <f>IF(Agent02_Loans!B130="","",Agent02_Loans!F130)</f>
        <v/>
      </c>
      <c r="G320" s="37" t="str">
        <f>IF(Agent02_Loans!B130="","",Agent02_Loans!G130)</f>
        <v/>
      </c>
      <c r="H320" s="37" t="str">
        <f>IF(Agent02_Loans!B130="","",Agent02_Loans!H130)</f>
        <v/>
      </c>
      <c r="I320" s="40" t="str">
        <f>IF(Agent02_Loans!B130="","",Agent02_Loans!I130)</f>
        <v/>
      </c>
      <c r="J320" s="40" t="str">
        <f>IF(Agent02_Loans!B130="","",Agent02_Loans!J130)</f>
        <v/>
      </c>
      <c r="K320" s="37" t="str">
        <f>IF(Agent02_Loans!B130="","",Agent02_Loans!K130)</f>
        <v/>
      </c>
      <c r="L320" s="37" t="str">
        <f>IF(Agent02_Loans!B130="","",Agent02_Loans!L130)</f>
        <v/>
      </c>
      <c r="M320" s="37" t="str">
        <f>IFERROR(IF(Agent02_Loans!B130="","",YEAR(Agent02_Loans!D130)),"")</f>
        <v/>
      </c>
    </row>
    <row r="321" spans="1:13" ht="18" customHeight="1" x14ac:dyDescent="0.25">
      <c r="A321" s="37" t="str">
        <f>IF(Agent02_Loans!B131="","",Agent02_Loans!A131)</f>
        <v/>
      </c>
      <c r="B321" s="37" t="str">
        <f>IF(Agent02_Loans!B131="","",Agent02_Loans!B131)</f>
        <v/>
      </c>
      <c r="C321" s="37" t="str">
        <f>IF(Agent02_Loans!B131="","",Agent02_Loans!C131)</f>
        <v/>
      </c>
      <c r="D321" s="38" t="str">
        <f>IF(Agent02_Loans!B131="","",Agent02_Loans!D131)</f>
        <v/>
      </c>
      <c r="E321" s="40" t="str">
        <f>IF(Agent02_Loans!B131="","",Agent02_Loans!E131)</f>
        <v/>
      </c>
      <c r="F321" s="37" t="str">
        <f>IF(Agent02_Loans!B131="","",Agent02_Loans!F131)</f>
        <v/>
      </c>
      <c r="G321" s="37" t="str">
        <f>IF(Agent02_Loans!B131="","",Agent02_Loans!G131)</f>
        <v/>
      </c>
      <c r="H321" s="37" t="str">
        <f>IF(Agent02_Loans!B131="","",Agent02_Loans!H131)</f>
        <v/>
      </c>
      <c r="I321" s="40" t="str">
        <f>IF(Agent02_Loans!B131="","",Agent02_Loans!I131)</f>
        <v/>
      </c>
      <c r="J321" s="40" t="str">
        <f>IF(Agent02_Loans!B131="","",Agent02_Loans!J131)</f>
        <v/>
      </c>
      <c r="K321" s="37" t="str">
        <f>IF(Agent02_Loans!B131="","",Agent02_Loans!K131)</f>
        <v/>
      </c>
      <c r="L321" s="37" t="str">
        <f>IF(Agent02_Loans!B131="","",Agent02_Loans!L131)</f>
        <v/>
      </c>
      <c r="M321" s="37" t="str">
        <f>IFERROR(IF(Agent02_Loans!B131="","",YEAR(Agent02_Loans!D131)),"")</f>
        <v/>
      </c>
    </row>
    <row r="322" spans="1:13" ht="18" customHeight="1" x14ac:dyDescent="0.25">
      <c r="A322" s="37" t="str">
        <f>IF(Agent02_Loans!B132="","",Agent02_Loans!A132)</f>
        <v/>
      </c>
      <c r="B322" s="37" t="str">
        <f>IF(Agent02_Loans!B132="","",Agent02_Loans!B132)</f>
        <v/>
      </c>
      <c r="C322" s="37" t="str">
        <f>IF(Agent02_Loans!B132="","",Agent02_Loans!C132)</f>
        <v/>
      </c>
      <c r="D322" s="38" t="str">
        <f>IF(Agent02_Loans!B132="","",Agent02_Loans!D132)</f>
        <v/>
      </c>
      <c r="E322" s="40" t="str">
        <f>IF(Agent02_Loans!B132="","",Agent02_Loans!E132)</f>
        <v/>
      </c>
      <c r="F322" s="37" t="str">
        <f>IF(Agent02_Loans!B132="","",Agent02_Loans!F132)</f>
        <v/>
      </c>
      <c r="G322" s="37" t="str">
        <f>IF(Agent02_Loans!B132="","",Agent02_Loans!G132)</f>
        <v/>
      </c>
      <c r="H322" s="37" t="str">
        <f>IF(Agent02_Loans!B132="","",Agent02_Loans!H132)</f>
        <v/>
      </c>
      <c r="I322" s="40" t="str">
        <f>IF(Agent02_Loans!B132="","",Agent02_Loans!I132)</f>
        <v/>
      </c>
      <c r="J322" s="40" t="str">
        <f>IF(Agent02_Loans!B132="","",Agent02_Loans!J132)</f>
        <v/>
      </c>
      <c r="K322" s="37" t="str">
        <f>IF(Agent02_Loans!B132="","",Agent02_Loans!K132)</f>
        <v/>
      </c>
      <c r="L322" s="37" t="str">
        <f>IF(Agent02_Loans!B132="","",Agent02_Loans!L132)</f>
        <v/>
      </c>
      <c r="M322" s="37" t="str">
        <f>IFERROR(IF(Agent02_Loans!B132="","",YEAR(Agent02_Loans!D132)),"")</f>
        <v/>
      </c>
    </row>
    <row r="323" spans="1:13" ht="18" customHeight="1" x14ac:dyDescent="0.25">
      <c r="A323" s="37" t="str">
        <f>IF(Agent02_Loans!B133="","",Agent02_Loans!A133)</f>
        <v/>
      </c>
      <c r="B323" s="37" t="str">
        <f>IF(Agent02_Loans!B133="","",Agent02_Loans!B133)</f>
        <v/>
      </c>
      <c r="C323" s="37" t="str">
        <f>IF(Agent02_Loans!B133="","",Agent02_Loans!C133)</f>
        <v/>
      </c>
      <c r="D323" s="38" t="str">
        <f>IF(Agent02_Loans!B133="","",Agent02_Loans!D133)</f>
        <v/>
      </c>
      <c r="E323" s="40" t="str">
        <f>IF(Agent02_Loans!B133="","",Agent02_Loans!E133)</f>
        <v/>
      </c>
      <c r="F323" s="37" t="str">
        <f>IF(Agent02_Loans!B133="","",Agent02_Loans!F133)</f>
        <v/>
      </c>
      <c r="G323" s="37" t="str">
        <f>IF(Agent02_Loans!B133="","",Agent02_Loans!G133)</f>
        <v/>
      </c>
      <c r="H323" s="37" t="str">
        <f>IF(Agent02_Loans!B133="","",Agent02_Loans!H133)</f>
        <v/>
      </c>
      <c r="I323" s="40" t="str">
        <f>IF(Agent02_Loans!B133="","",Agent02_Loans!I133)</f>
        <v/>
      </c>
      <c r="J323" s="40" t="str">
        <f>IF(Agent02_Loans!B133="","",Agent02_Loans!J133)</f>
        <v/>
      </c>
      <c r="K323" s="37" t="str">
        <f>IF(Agent02_Loans!B133="","",Agent02_Loans!K133)</f>
        <v/>
      </c>
      <c r="L323" s="37" t="str">
        <f>IF(Agent02_Loans!B133="","",Agent02_Loans!L133)</f>
        <v/>
      </c>
      <c r="M323" s="37" t="str">
        <f>IFERROR(IF(Agent02_Loans!B133="","",YEAR(Agent02_Loans!D133)),"")</f>
        <v/>
      </c>
    </row>
    <row r="324" spans="1:13" ht="18" customHeight="1" x14ac:dyDescent="0.25">
      <c r="A324" s="37" t="str">
        <f>IF(Agent02_Loans!B134="","",Agent02_Loans!A134)</f>
        <v/>
      </c>
      <c r="B324" s="37" t="str">
        <f>IF(Agent02_Loans!B134="","",Agent02_Loans!B134)</f>
        <v/>
      </c>
      <c r="C324" s="37" t="str">
        <f>IF(Agent02_Loans!B134="","",Agent02_Loans!C134)</f>
        <v/>
      </c>
      <c r="D324" s="38" t="str">
        <f>IF(Agent02_Loans!B134="","",Agent02_Loans!D134)</f>
        <v/>
      </c>
      <c r="E324" s="40" t="str">
        <f>IF(Agent02_Loans!B134="","",Agent02_Loans!E134)</f>
        <v/>
      </c>
      <c r="F324" s="37" t="str">
        <f>IF(Agent02_Loans!B134="","",Agent02_Loans!F134)</f>
        <v/>
      </c>
      <c r="G324" s="37" t="str">
        <f>IF(Agent02_Loans!B134="","",Agent02_Loans!G134)</f>
        <v/>
      </c>
      <c r="H324" s="37" t="str">
        <f>IF(Agent02_Loans!B134="","",Agent02_Loans!H134)</f>
        <v/>
      </c>
      <c r="I324" s="40" t="str">
        <f>IF(Agent02_Loans!B134="","",Agent02_Loans!I134)</f>
        <v/>
      </c>
      <c r="J324" s="40" t="str">
        <f>IF(Agent02_Loans!B134="","",Agent02_Loans!J134)</f>
        <v/>
      </c>
      <c r="K324" s="37" t="str">
        <f>IF(Agent02_Loans!B134="","",Agent02_Loans!K134)</f>
        <v/>
      </c>
      <c r="L324" s="37" t="str">
        <f>IF(Agent02_Loans!B134="","",Agent02_Loans!L134)</f>
        <v/>
      </c>
      <c r="M324" s="37" t="str">
        <f>IFERROR(IF(Agent02_Loans!B134="","",YEAR(Agent02_Loans!D134)),"")</f>
        <v/>
      </c>
    </row>
    <row r="325" spans="1:13" ht="18" customHeight="1" x14ac:dyDescent="0.25">
      <c r="A325" s="37" t="str">
        <f>IF(Agent02_Loans!B135="","",Agent02_Loans!A135)</f>
        <v/>
      </c>
      <c r="B325" s="37" t="str">
        <f>IF(Agent02_Loans!B135="","",Agent02_Loans!B135)</f>
        <v/>
      </c>
      <c r="C325" s="37" t="str">
        <f>IF(Agent02_Loans!B135="","",Agent02_Loans!C135)</f>
        <v/>
      </c>
      <c r="D325" s="38" t="str">
        <f>IF(Agent02_Loans!B135="","",Agent02_Loans!D135)</f>
        <v/>
      </c>
      <c r="E325" s="40" t="str">
        <f>IF(Agent02_Loans!B135="","",Agent02_Loans!E135)</f>
        <v/>
      </c>
      <c r="F325" s="37" t="str">
        <f>IF(Agent02_Loans!B135="","",Agent02_Loans!F135)</f>
        <v/>
      </c>
      <c r="G325" s="37" t="str">
        <f>IF(Agent02_Loans!B135="","",Agent02_Loans!G135)</f>
        <v/>
      </c>
      <c r="H325" s="37" t="str">
        <f>IF(Agent02_Loans!B135="","",Agent02_Loans!H135)</f>
        <v/>
      </c>
      <c r="I325" s="40" t="str">
        <f>IF(Agent02_Loans!B135="","",Agent02_Loans!I135)</f>
        <v/>
      </c>
      <c r="J325" s="40" t="str">
        <f>IF(Agent02_Loans!B135="","",Agent02_Loans!J135)</f>
        <v/>
      </c>
      <c r="K325" s="37" t="str">
        <f>IF(Agent02_Loans!B135="","",Agent02_Loans!K135)</f>
        <v/>
      </c>
      <c r="L325" s="37" t="str">
        <f>IF(Agent02_Loans!B135="","",Agent02_Loans!L135)</f>
        <v/>
      </c>
      <c r="M325" s="37" t="str">
        <f>IFERROR(IF(Agent02_Loans!B135="","",YEAR(Agent02_Loans!D135)),"")</f>
        <v/>
      </c>
    </row>
    <row r="326" spans="1:13" ht="18" customHeight="1" x14ac:dyDescent="0.25">
      <c r="A326" s="37" t="str">
        <f>IF(Agent02_Loans!B136="","",Agent02_Loans!A136)</f>
        <v/>
      </c>
      <c r="B326" s="37" t="str">
        <f>IF(Agent02_Loans!B136="","",Agent02_Loans!B136)</f>
        <v/>
      </c>
      <c r="C326" s="37" t="str">
        <f>IF(Agent02_Loans!B136="","",Agent02_Loans!C136)</f>
        <v/>
      </c>
      <c r="D326" s="38" t="str">
        <f>IF(Agent02_Loans!B136="","",Agent02_Loans!D136)</f>
        <v/>
      </c>
      <c r="E326" s="40" t="str">
        <f>IF(Agent02_Loans!B136="","",Agent02_Loans!E136)</f>
        <v/>
      </c>
      <c r="F326" s="37" t="str">
        <f>IF(Agent02_Loans!B136="","",Agent02_Loans!F136)</f>
        <v/>
      </c>
      <c r="G326" s="37" t="str">
        <f>IF(Agent02_Loans!B136="","",Agent02_Loans!G136)</f>
        <v/>
      </c>
      <c r="H326" s="37" t="str">
        <f>IF(Agent02_Loans!B136="","",Agent02_Loans!H136)</f>
        <v/>
      </c>
      <c r="I326" s="40" t="str">
        <f>IF(Agent02_Loans!B136="","",Agent02_Loans!I136)</f>
        <v/>
      </c>
      <c r="J326" s="40" t="str">
        <f>IF(Agent02_Loans!B136="","",Agent02_Loans!J136)</f>
        <v/>
      </c>
      <c r="K326" s="37" t="str">
        <f>IF(Agent02_Loans!B136="","",Agent02_Loans!K136)</f>
        <v/>
      </c>
      <c r="L326" s="37" t="str">
        <f>IF(Agent02_Loans!B136="","",Agent02_Loans!L136)</f>
        <v/>
      </c>
      <c r="M326" s="37" t="str">
        <f>IFERROR(IF(Agent02_Loans!B136="","",YEAR(Agent02_Loans!D136)),"")</f>
        <v/>
      </c>
    </row>
    <row r="327" spans="1:13" ht="18" customHeight="1" x14ac:dyDescent="0.25">
      <c r="A327" s="37" t="str">
        <f>IF(Agent02_Loans!B137="","",Agent02_Loans!A137)</f>
        <v/>
      </c>
      <c r="B327" s="37" t="str">
        <f>IF(Agent02_Loans!B137="","",Agent02_Loans!B137)</f>
        <v/>
      </c>
      <c r="C327" s="37" t="str">
        <f>IF(Agent02_Loans!B137="","",Agent02_Loans!C137)</f>
        <v/>
      </c>
      <c r="D327" s="38" t="str">
        <f>IF(Agent02_Loans!B137="","",Agent02_Loans!D137)</f>
        <v/>
      </c>
      <c r="E327" s="40" t="str">
        <f>IF(Agent02_Loans!B137="","",Agent02_Loans!E137)</f>
        <v/>
      </c>
      <c r="F327" s="37" t="str">
        <f>IF(Agent02_Loans!B137="","",Agent02_Loans!F137)</f>
        <v/>
      </c>
      <c r="G327" s="37" t="str">
        <f>IF(Agent02_Loans!B137="","",Agent02_Loans!G137)</f>
        <v/>
      </c>
      <c r="H327" s="37" t="str">
        <f>IF(Agent02_Loans!B137="","",Agent02_Loans!H137)</f>
        <v/>
      </c>
      <c r="I327" s="40" t="str">
        <f>IF(Agent02_Loans!B137="","",Agent02_Loans!I137)</f>
        <v/>
      </c>
      <c r="J327" s="40" t="str">
        <f>IF(Agent02_Loans!B137="","",Agent02_Loans!J137)</f>
        <v/>
      </c>
      <c r="K327" s="37" t="str">
        <f>IF(Agent02_Loans!B137="","",Agent02_Loans!K137)</f>
        <v/>
      </c>
      <c r="L327" s="37" t="str">
        <f>IF(Agent02_Loans!B137="","",Agent02_Loans!L137)</f>
        <v/>
      </c>
      <c r="M327" s="37" t="str">
        <f>IFERROR(IF(Agent02_Loans!B137="","",YEAR(Agent02_Loans!D137)),"")</f>
        <v/>
      </c>
    </row>
    <row r="328" spans="1:13" ht="18" customHeight="1" x14ac:dyDescent="0.25">
      <c r="A328" s="37" t="str">
        <f>IF(Agent02_Loans!B138="","",Agent02_Loans!A138)</f>
        <v/>
      </c>
      <c r="B328" s="37" t="str">
        <f>IF(Agent02_Loans!B138="","",Agent02_Loans!B138)</f>
        <v/>
      </c>
      <c r="C328" s="37" t="str">
        <f>IF(Agent02_Loans!B138="","",Agent02_Loans!C138)</f>
        <v/>
      </c>
      <c r="D328" s="38" t="str">
        <f>IF(Agent02_Loans!B138="","",Agent02_Loans!D138)</f>
        <v/>
      </c>
      <c r="E328" s="40" t="str">
        <f>IF(Agent02_Loans!B138="","",Agent02_Loans!E138)</f>
        <v/>
      </c>
      <c r="F328" s="37" t="str">
        <f>IF(Agent02_Loans!B138="","",Agent02_Loans!F138)</f>
        <v/>
      </c>
      <c r="G328" s="37" t="str">
        <f>IF(Agent02_Loans!B138="","",Agent02_Loans!G138)</f>
        <v/>
      </c>
      <c r="H328" s="37" t="str">
        <f>IF(Agent02_Loans!B138="","",Agent02_Loans!H138)</f>
        <v/>
      </c>
      <c r="I328" s="40" t="str">
        <f>IF(Agent02_Loans!B138="","",Agent02_Loans!I138)</f>
        <v/>
      </c>
      <c r="J328" s="40" t="str">
        <f>IF(Agent02_Loans!B138="","",Agent02_Loans!J138)</f>
        <v/>
      </c>
      <c r="K328" s="37" t="str">
        <f>IF(Agent02_Loans!B138="","",Agent02_Loans!K138)</f>
        <v/>
      </c>
      <c r="L328" s="37" t="str">
        <f>IF(Agent02_Loans!B138="","",Agent02_Loans!L138)</f>
        <v/>
      </c>
      <c r="M328" s="37" t="str">
        <f>IFERROR(IF(Agent02_Loans!B138="","",YEAR(Agent02_Loans!D138)),"")</f>
        <v/>
      </c>
    </row>
    <row r="329" spans="1:13" ht="18" customHeight="1" x14ac:dyDescent="0.25">
      <c r="A329" s="37" t="str">
        <f>IF(Agent02_Loans!B139="","",Agent02_Loans!A139)</f>
        <v/>
      </c>
      <c r="B329" s="37" t="str">
        <f>IF(Agent02_Loans!B139="","",Agent02_Loans!B139)</f>
        <v/>
      </c>
      <c r="C329" s="37" t="str">
        <f>IF(Agent02_Loans!B139="","",Agent02_Loans!C139)</f>
        <v/>
      </c>
      <c r="D329" s="38" t="str">
        <f>IF(Agent02_Loans!B139="","",Agent02_Loans!D139)</f>
        <v/>
      </c>
      <c r="E329" s="40" t="str">
        <f>IF(Agent02_Loans!B139="","",Agent02_Loans!E139)</f>
        <v/>
      </c>
      <c r="F329" s="37" t="str">
        <f>IF(Agent02_Loans!B139="","",Agent02_Loans!F139)</f>
        <v/>
      </c>
      <c r="G329" s="37" t="str">
        <f>IF(Agent02_Loans!B139="","",Agent02_Loans!G139)</f>
        <v/>
      </c>
      <c r="H329" s="37" t="str">
        <f>IF(Agent02_Loans!B139="","",Agent02_Loans!H139)</f>
        <v/>
      </c>
      <c r="I329" s="40" t="str">
        <f>IF(Agent02_Loans!B139="","",Agent02_Loans!I139)</f>
        <v/>
      </c>
      <c r="J329" s="40" t="str">
        <f>IF(Agent02_Loans!B139="","",Agent02_Loans!J139)</f>
        <v/>
      </c>
      <c r="K329" s="37" t="str">
        <f>IF(Agent02_Loans!B139="","",Agent02_Loans!K139)</f>
        <v/>
      </c>
      <c r="L329" s="37" t="str">
        <f>IF(Agent02_Loans!B139="","",Agent02_Loans!L139)</f>
        <v/>
      </c>
      <c r="M329" s="37" t="str">
        <f>IFERROR(IF(Agent02_Loans!B139="","",YEAR(Agent02_Loans!D139)),"")</f>
        <v/>
      </c>
    </row>
    <row r="330" spans="1:13" ht="18" customHeight="1" x14ac:dyDescent="0.25">
      <c r="A330" s="37" t="str">
        <f>IF(Agent02_Loans!B140="","",Agent02_Loans!A140)</f>
        <v/>
      </c>
      <c r="B330" s="37" t="str">
        <f>IF(Agent02_Loans!B140="","",Agent02_Loans!B140)</f>
        <v/>
      </c>
      <c r="C330" s="37" t="str">
        <f>IF(Agent02_Loans!B140="","",Agent02_Loans!C140)</f>
        <v/>
      </c>
      <c r="D330" s="38" t="str">
        <f>IF(Agent02_Loans!B140="","",Agent02_Loans!D140)</f>
        <v/>
      </c>
      <c r="E330" s="40" t="str">
        <f>IF(Agent02_Loans!B140="","",Agent02_Loans!E140)</f>
        <v/>
      </c>
      <c r="F330" s="37" t="str">
        <f>IF(Agent02_Loans!B140="","",Agent02_Loans!F140)</f>
        <v/>
      </c>
      <c r="G330" s="37" t="str">
        <f>IF(Agent02_Loans!B140="","",Agent02_Loans!G140)</f>
        <v/>
      </c>
      <c r="H330" s="37" t="str">
        <f>IF(Agent02_Loans!B140="","",Agent02_Loans!H140)</f>
        <v/>
      </c>
      <c r="I330" s="40" t="str">
        <f>IF(Agent02_Loans!B140="","",Agent02_Loans!I140)</f>
        <v/>
      </c>
      <c r="J330" s="40" t="str">
        <f>IF(Agent02_Loans!B140="","",Agent02_Loans!J140)</f>
        <v/>
      </c>
      <c r="K330" s="37" t="str">
        <f>IF(Agent02_Loans!B140="","",Agent02_Loans!K140)</f>
        <v/>
      </c>
      <c r="L330" s="37" t="str">
        <f>IF(Agent02_Loans!B140="","",Agent02_Loans!L140)</f>
        <v/>
      </c>
      <c r="M330" s="37" t="str">
        <f>IFERROR(IF(Agent02_Loans!B140="","",YEAR(Agent02_Loans!D140)),"")</f>
        <v/>
      </c>
    </row>
    <row r="331" spans="1:13" ht="18" customHeight="1" x14ac:dyDescent="0.25">
      <c r="A331" s="37" t="str">
        <f>IF(Agent02_Loans!B141="","",Agent02_Loans!A141)</f>
        <v/>
      </c>
      <c r="B331" s="37" t="str">
        <f>IF(Agent02_Loans!B141="","",Agent02_Loans!B141)</f>
        <v/>
      </c>
      <c r="C331" s="37" t="str">
        <f>IF(Agent02_Loans!B141="","",Agent02_Loans!C141)</f>
        <v/>
      </c>
      <c r="D331" s="38" t="str">
        <f>IF(Agent02_Loans!B141="","",Agent02_Loans!D141)</f>
        <v/>
      </c>
      <c r="E331" s="40" t="str">
        <f>IF(Agent02_Loans!B141="","",Agent02_Loans!E141)</f>
        <v/>
      </c>
      <c r="F331" s="37" t="str">
        <f>IF(Agent02_Loans!B141="","",Agent02_Loans!F141)</f>
        <v/>
      </c>
      <c r="G331" s="37" t="str">
        <f>IF(Agent02_Loans!B141="","",Agent02_Loans!G141)</f>
        <v/>
      </c>
      <c r="H331" s="37" t="str">
        <f>IF(Agent02_Loans!B141="","",Agent02_Loans!H141)</f>
        <v/>
      </c>
      <c r="I331" s="40" t="str">
        <f>IF(Agent02_Loans!B141="","",Agent02_Loans!I141)</f>
        <v/>
      </c>
      <c r="J331" s="40" t="str">
        <f>IF(Agent02_Loans!B141="","",Agent02_Loans!J141)</f>
        <v/>
      </c>
      <c r="K331" s="37" t="str">
        <f>IF(Agent02_Loans!B141="","",Agent02_Loans!K141)</f>
        <v/>
      </c>
      <c r="L331" s="37" t="str">
        <f>IF(Agent02_Loans!B141="","",Agent02_Loans!L141)</f>
        <v/>
      </c>
      <c r="M331" s="37" t="str">
        <f>IFERROR(IF(Agent02_Loans!B141="","",YEAR(Agent02_Loans!D141)),"")</f>
        <v/>
      </c>
    </row>
    <row r="332" spans="1:13" ht="18" customHeight="1" x14ac:dyDescent="0.25">
      <c r="A332" s="37" t="str">
        <f>IF(Agent02_Loans!B142="","",Agent02_Loans!A142)</f>
        <v/>
      </c>
      <c r="B332" s="37" t="str">
        <f>IF(Agent02_Loans!B142="","",Agent02_Loans!B142)</f>
        <v/>
      </c>
      <c r="C332" s="37" t="str">
        <f>IF(Agent02_Loans!B142="","",Agent02_Loans!C142)</f>
        <v/>
      </c>
      <c r="D332" s="38" t="str">
        <f>IF(Agent02_Loans!B142="","",Agent02_Loans!D142)</f>
        <v/>
      </c>
      <c r="E332" s="40" t="str">
        <f>IF(Agent02_Loans!B142="","",Agent02_Loans!E142)</f>
        <v/>
      </c>
      <c r="F332" s="37" t="str">
        <f>IF(Agent02_Loans!B142="","",Agent02_Loans!F142)</f>
        <v/>
      </c>
      <c r="G332" s="37" t="str">
        <f>IF(Agent02_Loans!B142="","",Agent02_Loans!G142)</f>
        <v/>
      </c>
      <c r="H332" s="37" t="str">
        <f>IF(Agent02_Loans!B142="","",Agent02_Loans!H142)</f>
        <v/>
      </c>
      <c r="I332" s="40" t="str">
        <f>IF(Agent02_Loans!B142="","",Agent02_Loans!I142)</f>
        <v/>
      </c>
      <c r="J332" s="40" t="str">
        <f>IF(Agent02_Loans!B142="","",Agent02_Loans!J142)</f>
        <v/>
      </c>
      <c r="K332" s="37" t="str">
        <f>IF(Agent02_Loans!B142="","",Agent02_Loans!K142)</f>
        <v/>
      </c>
      <c r="L332" s="37" t="str">
        <f>IF(Agent02_Loans!B142="","",Agent02_Loans!L142)</f>
        <v/>
      </c>
      <c r="M332" s="37" t="str">
        <f>IFERROR(IF(Agent02_Loans!B142="","",YEAR(Agent02_Loans!D142)),"")</f>
        <v/>
      </c>
    </row>
    <row r="333" spans="1:13" ht="18" customHeight="1" x14ac:dyDescent="0.25">
      <c r="A333" s="37" t="str">
        <f>IF(Agent02_Loans!B143="","",Agent02_Loans!A143)</f>
        <v/>
      </c>
      <c r="B333" s="37" t="str">
        <f>IF(Agent02_Loans!B143="","",Agent02_Loans!B143)</f>
        <v/>
      </c>
      <c r="C333" s="37" t="str">
        <f>IF(Agent02_Loans!B143="","",Agent02_Loans!C143)</f>
        <v/>
      </c>
      <c r="D333" s="38" t="str">
        <f>IF(Agent02_Loans!B143="","",Agent02_Loans!D143)</f>
        <v/>
      </c>
      <c r="E333" s="40" t="str">
        <f>IF(Agent02_Loans!B143="","",Agent02_Loans!E143)</f>
        <v/>
      </c>
      <c r="F333" s="37" t="str">
        <f>IF(Agent02_Loans!B143="","",Agent02_Loans!F143)</f>
        <v/>
      </c>
      <c r="G333" s="37" t="str">
        <f>IF(Agent02_Loans!B143="","",Agent02_Loans!G143)</f>
        <v/>
      </c>
      <c r="H333" s="37" t="str">
        <f>IF(Agent02_Loans!B143="","",Agent02_Loans!H143)</f>
        <v/>
      </c>
      <c r="I333" s="40" t="str">
        <f>IF(Agent02_Loans!B143="","",Agent02_Loans!I143)</f>
        <v/>
      </c>
      <c r="J333" s="40" t="str">
        <f>IF(Agent02_Loans!B143="","",Agent02_Loans!J143)</f>
        <v/>
      </c>
      <c r="K333" s="37" t="str">
        <f>IF(Agent02_Loans!B143="","",Agent02_Loans!K143)</f>
        <v/>
      </c>
      <c r="L333" s="37" t="str">
        <f>IF(Agent02_Loans!B143="","",Agent02_Loans!L143)</f>
        <v/>
      </c>
      <c r="M333" s="37" t="str">
        <f>IFERROR(IF(Agent02_Loans!B143="","",YEAR(Agent02_Loans!D143)),"")</f>
        <v/>
      </c>
    </row>
    <row r="334" spans="1:13" ht="18" customHeight="1" x14ac:dyDescent="0.25">
      <c r="A334" s="37" t="str">
        <f>IF(Agent02_Loans!B144="","",Agent02_Loans!A144)</f>
        <v/>
      </c>
      <c r="B334" s="37" t="str">
        <f>IF(Agent02_Loans!B144="","",Agent02_Loans!B144)</f>
        <v/>
      </c>
      <c r="C334" s="37" t="str">
        <f>IF(Agent02_Loans!B144="","",Agent02_Loans!C144)</f>
        <v/>
      </c>
      <c r="D334" s="38" t="str">
        <f>IF(Agent02_Loans!B144="","",Agent02_Loans!D144)</f>
        <v/>
      </c>
      <c r="E334" s="40" t="str">
        <f>IF(Agent02_Loans!B144="","",Agent02_Loans!E144)</f>
        <v/>
      </c>
      <c r="F334" s="37" t="str">
        <f>IF(Agent02_Loans!B144="","",Agent02_Loans!F144)</f>
        <v/>
      </c>
      <c r="G334" s="37" t="str">
        <f>IF(Agent02_Loans!B144="","",Agent02_Loans!G144)</f>
        <v/>
      </c>
      <c r="H334" s="37" t="str">
        <f>IF(Agent02_Loans!B144="","",Agent02_Loans!H144)</f>
        <v/>
      </c>
      <c r="I334" s="40" t="str">
        <f>IF(Agent02_Loans!B144="","",Agent02_Loans!I144)</f>
        <v/>
      </c>
      <c r="J334" s="40" t="str">
        <f>IF(Agent02_Loans!B144="","",Agent02_Loans!J144)</f>
        <v/>
      </c>
      <c r="K334" s="37" t="str">
        <f>IF(Agent02_Loans!B144="","",Agent02_Loans!K144)</f>
        <v/>
      </c>
      <c r="L334" s="37" t="str">
        <f>IF(Agent02_Loans!B144="","",Agent02_Loans!L144)</f>
        <v/>
      </c>
      <c r="M334" s="37" t="str">
        <f>IFERROR(IF(Agent02_Loans!B144="","",YEAR(Agent02_Loans!D144)),"")</f>
        <v/>
      </c>
    </row>
    <row r="335" spans="1:13" ht="18" customHeight="1" x14ac:dyDescent="0.25">
      <c r="A335" s="37" t="str">
        <f>IF(Agent02_Loans!B145="","",Agent02_Loans!A145)</f>
        <v/>
      </c>
      <c r="B335" s="37" t="str">
        <f>IF(Agent02_Loans!B145="","",Agent02_Loans!B145)</f>
        <v/>
      </c>
      <c r="C335" s="37" t="str">
        <f>IF(Agent02_Loans!B145="","",Agent02_Loans!C145)</f>
        <v/>
      </c>
      <c r="D335" s="38" t="str">
        <f>IF(Agent02_Loans!B145="","",Agent02_Loans!D145)</f>
        <v/>
      </c>
      <c r="E335" s="40" t="str">
        <f>IF(Agent02_Loans!B145="","",Agent02_Loans!E145)</f>
        <v/>
      </c>
      <c r="F335" s="37" t="str">
        <f>IF(Agent02_Loans!B145="","",Agent02_Loans!F145)</f>
        <v/>
      </c>
      <c r="G335" s="37" t="str">
        <f>IF(Agent02_Loans!B145="","",Agent02_Loans!G145)</f>
        <v/>
      </c>
      <c r="H335" s="37" t="str">
        <f>IF(Agent02_Loans!B145="","",Agent02_Loans!H145)</f>
        <v/>
      </c>
      <c r="I335" s="40" t="str">
        <f>IF(Agent02_Loans!B145="","",Agent02_Loans!I145)</f>
        <v/>
      </c>
      <c r="J335" s="40" t="str">
        <f>IF(Agent02_Loans!B145="","",Agent02_Loans!J145)</f>
        <v/>
      </c>
      <c r="K335" s="37" t="str">
        <f>IF(Agent02_Loans!B145="","",Agent02_Loans!K145)</f>
        <v/>
      </c>
      <c r="L335" s="37" t="str">
        <f>IF(Agent02_Loans!B145="","",Agent02_Loans!L145)</f>
        <v/>
      </c>
      <c r="M335" s="37" t="str">
        <f>IFERROR(IF(Agent02_Loans!B145="","",YEAR(Agent02_Loans!D145)),"")</f>
        <v/>
      </c>
    </row>
    <row r="336" spans="1:13" ht="18" customHeight="1" x14ac:dyDescent="0.25">
      <c r="A336" s="37" t="str">
        <f>IF(Agent02_Loans!B146="","",Agent02_Loans!A146)</f>
        <v/>
      </c>
      <c r="B336" s="37" t="str">
        <f>IF(Agent02_Loans!B146="","",Agent02_Loans!B146)</f>
        <v/>
      </c>
      <c r="C336" s="37" t="str">
        <f>IF(Agent02_Loans!B146="","",Agent02_Loans!C146)</f>
        <v/>
      </c>
      <c r="D336" s="38" t="str">
        <f>IF(Agent02_Loans!B146="","",Agent02_Loans!D146)</f>
        <v/>
      </c>
      <c r="E336" s="40" t="str">
        <f>IF(Agent02_Loans!B146="","",Agent02_Loans!E146)</f>
        <v/>
      </c>
      <c r="F336" s="37" t="str">
        <f>IF(Agent02_Loans!B146="","",Agent02_Loans!F146)</f>
        <v/>
      </c>
      <c r="G336" s="37" t="str">
        <f>IF(Agent02_Loans!B146="","",Agent02_Loans!G146)</f>
        <v/>
      </c>
      <c r="H336" s="37" t="str">
        <f>IF(Agent02_Loans!B146="","",Agent02_Loans!H146)</f>
        <v/>
      </c>
      <c r="I336" s="40" t="str">
        <f>IF(Agent02_Loans!B146="","",Agent02_Loans!I146)</f>
        <v/>
      </c>
      <c r="J336" s="40" t="str">
        <f>IF(Agent02_Loans!B146="","",Agent02_Loans!J146)</f>
        <v/>
      </c>
      <c r="K336" s="37" t="str">
        <f>IF(Agent02_Loans!B146="","",Agent02_Loans!K146)</f>
        <v/>
      </c>
      <c r="L336" s="37" t="str">
        <f>IF(Agent02_Loans!B146="","",Agent02_Loans!L146)</f>
        <v/>
      </c>
      <c r="M336" s="37" t="str">
        <f>IFERROR(IF(Agent02_Loans!B146="","",YEAR(Agent02_Loans!D146)),"")</f>
        <v/>
      </c>
    </row>
    <row r="337" spans="1:13" ht="18" customHeight="1" x14ac:dyDescent="0.25">
      <c r="A337" s="37" t="str">
        <f>IF(Agent02_Loans!B147="","",Agent02_Loans!A147)</f>
        <v/>
      </c>
      <c r="B337" s="37" t="str">
        <f>IF(Agent02_Loans!B147="","",Agent02_Loans!B147)</f>
        <v/>
      </c>
      <c r="C337" s="37" t="str">
        <f>IF(Agent02_Loans!B147="","",Agent02_Loans!C147)</f>
        <v/>
      </c>
      <c r="D337" s="38" t="str">
        <f>IF(Agent02_Loans!B147="","",Agent02_Loans!D147)</f>
        <v/>
      </c>
      <c r="E337" s="40" t="str">
        <f>IF(Agent02_Loans!B147="","",Agent02_Loans!E147)</f>
        <v/>
      </c>
      <c r="F337" s="37" t="str">
        <f>IF(Agent02_Loans!B147="","",Agent02_Loans!F147)</f>
        <v/>
      </c>
      <c r="G337" s="37" t="str">
        <f>IF(Agent02_Loans!B147="","",Agent02_Loans!G147)</f>
        <v/>
      </c>
      <c r="H337" s="37" t="str">
        <f>IF(Agent02_Loans!B147="","",Agent02_Loans!H147)</f>
        <v/>
      </c>
      <c r="I337" s="40" t="str">
        <f>IF(Agent02_Loans!B147="","",Agent02_Loans!I147)</f>
        <v/>
      </c>
      <c r="J337" s="40" t="str">
        <f>IF(Agent02_Loans!B147="","",Agent02_Loans!J147)</f>
        <v/>
      </c>
      <c r="K337" s="37" t="str">
        <f>IF(Agent02_Loans!B147="","",Agent02_Loans!K147)</f>
        <v/>
      </c>
      <c r="L337" s="37" t="str">
        <f>IF(Agent02_Loans!B147="","",Agent02_Loans!L147)</f>
        <v/>
      </c>
      <c r="M337" s="37" t="str">
        <f>IFERROR(IF(Agent02_Loans!B147="","",YEAR(Agent02_Loans!D147)),"")</f>
        <v/>
      </c>
    </row>
    <row r="338" spans="1:13" ht="18" customHeight="1" x14ac:dyDescent="0.25">
      <c r="A338" s="37" t="str">
        <f>IF(Agent02_Loans!B148="","",Agent02_Loans!A148)</f>
        <v/>
      </c>
      <c r="B338" s="37" t="str">
        <f>IF(Agent02_Loans!B148="","",Agent02_Loans!B148)</f>
        <v/>
      </c>
      <c r="C338" s="37" t="str">
        <f>IF(Agent02_Loans!B148="","",Agent02_Loans!C148)</f>
        <v/>
      </c>
      <c r="D338" s="38" t="str">
        <f>IF(Agent02_Loans!B148="","",Agent02_Loans!D148)</f>
        <v/>
      </c>
      <c r="E338" s="40" t="str">
        <f>IF(Agent02_Loans!B148="","",Agent02_Loans!E148)</f>
        <v/>
      </c>
      <c r="F338" s="37" t="str">
        <f>IF(Agent02_Loans!B148="","",Agent02_Loans!F148)</f>
        <v/>
      </c>
      <c r="G338" s="37" t="str">
        <f>IF(Agent02_Loans!B148="","",Agent02_Loans!G148)</f>
        <v/>
      </c>
      <c r="H338" s="37" t="str">
        <f>IF(Agent02_Loans!B148="","",Agent02_Loans!H148)</f>
        <v/>
      </c>
      <c r="I338" s="40" t="str">
        <f>IF(Agent02_Loans!B148="","",Agent02_Loans!I148)</f>
        <v/>
      </c>
      <c r="J338" s="40" t="str">
        <f>IF(Agent02_Loans!B148="","",Agent02_Loans!J148)</f>
        <v/>
      </c>
      <c r="K338" s="37" t="str">
        <f>IF(Agent02_Loans!B148="","",Agent02_Loans!K148)</f>
        <v/>
      </c>
      <c r="L338" s="37" t="str">
        <f>IF(Agent02_Loans!B148="","",Agent02_Loans!L148)</f>
        <v/>
      </c>
      <c r="M338" s="37" t="str">
        <f>IFERROR(IF(Agent02_Loans!B148="","",YEAR(Agent02_Loans!D148)),"")</f>
        <v/>
      </c>
    </row>
    <row r="339" spans="1:13" ht="18" customHeight="1" x14ac:dyDescent="0.25">
      <c r="A339" s="37" t="str">
        <f>IF(Agent02_Loans!B149="","",Agent02_Loans!A149)</f>
        <v/>
      </c>
      <c r="B339" s="37" t="str">
        <f>IF(Agent02_Loans!B149="","",Agent02_Loans!B149)</f>
        <v/>
      </c>
      <c r="C339" s="37" t="str">
        <f>IF(Agent02_Loans!B149="","",Agent02_Loans!C149)</f>
        <v/>
      </c>
      <c r="D339" s="38" t="str">
        <f>IF(Agent02_Loans!B149="","",Agent02_Loans!D149)</f>
        <v/>
      </c>
      <c r="E339" s="40" t="str">
        <f>IF(Agent02_Loans!B149="","",Agent02_Loans!E149)</f>
        <v/>
      </c>
      <c r="F339" s="37" t="str">
        <f>IF(Agent02_Loans!B149="","",Agent02_Loans!F149)</f>
        <v/>
      </c>
      <c r="G339" s="37" t="str">
        <f>IF(Agent02_Loans!B149="","",Agent02_Loans!G149)</f>
        <v/>
      </c>
      <c r="H339" s="37" t="str">
        <f>IF(Agent02_Loans!B149="","",Agent02_Loans!H149)</f>
        <v/>
      </c>
      <c r="I339" s="40" t="str">
        <f>IF(Agent02_Loans!B149="","",Agent02_Loans!I149)</f>
        <v/>
      </c>
      <c r="J339" s="40" t="str">
        <f>IF(Agent02_Loans!B149="","",Agent02_Loans!J149)</f>
        <v/>
      </c>
      <c r="K339" s="37" t="str">
        <f>IF(Agent02_Loans!B149="","",Agent02_Loans!K149)</f>
        <v/>
      </c>
      <c r="L339" s="37" t="str">
        <f>IF(Agent02_Loans!B149="","",Agent02_Loans!L149)</f>
        <v/>
      </c>
      <c r="M339" s="37" t="str">
        <f>IFERROR(IF(Agent02_Loans!B149="","",YEAR(Agent02_Loans!D149)),"")</f>
        <v/>
      </c>
    </row>
    <row r="340" spans="1:13" ht="18" customHeight="1" x14ac:dyDescent="0.25">
      <c r="A340" s="37" t="str">
        <f>IF(Agent02_Loans!B150="","",Agent02_Loans!A150)</f>
        <v/>
      </c>
      <c r="B340" s="37" t="str">
        <f>IF(Agent02_Loans!B150="","",Agent02_Loans!B150)</f>
        <v/>
      </c>
      <c r="C340" s="37" t="str">
        <f>IF(Agent02_Loans!B150="","",Agent02_Loans!C150)</f>
        <v/>
      </c>
      <c r="D340" s="38" t="str">
        <f>IF(Agent02_Loans!B150="","",Agent02_Loans!D150)</f>
        <v/>
      </c>
      <c r="E340" s="40" t="str">
        <f>IF(Agent02_Loans!B150="","",Agent02_Loans!E150)</f>
        <v/>
      </c>
      <c r="F340" s="37" t="str">
        <f>IF(Agent02_Loans!B150="","",Agent02_Loans!F150)</f>
        <v/>
      </c>
      <c r="G340" s="37" t="str">
        <f>IF(Agent02_Loans!B150="","",Agent02_Loans!G150)</f>
        <v/>
      </c>
      <c r="H340" s="37" t="str">
        <f>IF(Agent02_Loans!B150="","",Agent02_Loans!H150)</f>
        <v/>
      </c>
      <c r="I340" s="40" t="str">
        <f>IF(Agent02_Loans!B150="","",Agent02_Loans!I150)</f>
        <v/>
      </c>
      <c r="J340" s="40" t="str">
        <f>IF(Agent02_Loans!B150="","",Agent02_Loans!J150)</f>
        <v/>
      </c>
      <c r="K340" s="37" t="str">
        <f>IF(Agent02_Loans!B150="","",Agent02_Loans!K150)</f>
        <v/>
      </c>
      <c r="L340" s="37" t="str">
        <f>IF(Agent02_Loans!B150="","",Agent02_Loans!L150)</f>
        <v/>
      </c>
      <c r="M340" s="37" t="str">
        <f>IFERROR(IF(Agent02_Loans!B150="","",YEAR(Agent02_Loans!D150)),"")</f>
        <v/>
      </c>
    </row>
    <row r="341" spans="1:13" ht="18" customHeight="1" x14ac:dyDescent="0.25">
      <c r="A341" s="37" t="str">
        <f>IF(Agent02_Loans!B151="","",Agent02_Loans!A151)</f>
        <v/>
      </c>
      <c r="B341" s="37" t="str">
        <f>IF(Agent02_Loans!B151="","",Agent02_Loans!B151)</f>
        <v/>
      </c>
      <c r="C341" s="37" t="str">
        <f>IF(Agent02_Loans!B151="","",Agent02_Loans!C151)</f>
        <v/>
      </c>
      <c r="D341" s="38" t="str">
        <f>IF(Agent02_Loans!B151="","",Agent02_Loans!D151)</f>
        <v/>
      </c>
      <c r="E341" s="40" t="str">
        <f>IF(Agent02_Loans!B151="","",Agent02_Loans!E151)</f>
        <v/>
      </c>
      <c r="F341" s="37" t="str">
        <f>IF(Agent02_Loans!B151="","",Agent02_Loans!F151)</f>
        <v/>
      </c>
      <c r="G341" s="37" t="str">
        <f>IF(Agent02_Loans!B151="","",Agent02_Loans!G151)</f>
        <v/>
      </c>
      <c r="H341" s="37" t="str">
        <f>IF(Agent02_Loans!B151="","",Agent02_Loans!H151)</f>
        <v/>
      </c>
      <c r="I341" s="40" t="str">
        <f>IF(Agent02_Loans!B151="","",Agent02_Loans!I151)</f>
        <v/>
      </c>
      <c r="J341" s="40" t="str">
        <f>IF(Agent02_Loans!B151="","",Agent02_Loans!J151)</f>
        <v/>
      </c>
      <c r="K341" s="37" t="str">
        <f>IF(Agent02_Loans!B151="","",Agent02_Loans!K151)</f>
        <v/>
      </c>
      <c r="L341" s="37" t="str">
        <f>IF(Agent02_Loans!B151="","",Agent02_Loans!L151)</f>
        <v/>
      </c>
      <c r="M341" s="37" t="str">
        <f>IFERROR(IF(Agent02_Loans!B151="","",YEAR(Agent02_Loans!D151)),"")</f>
        <v/>
      </c>
    </row>
    <row r="342" spans="1:13" ht="18" customHeight="1" x14ac:dyDescent="0.25">
      <c r="A342" s="37" t="str">
        <f>IF(Agent02_Loans!B152="","",Agent02_Loans!A152)</f>
        <v/>
      </c>
      <c r="B342" s="37" t="str">
        <f>IF(Agent02_Loans!B152="","",Agent02_Loans!B152)</f>
        <v/>
      </c>
      <c r="C342" s="37" t="str">
        <f>IF(Agent02_Loans!B152="","",Agent02_Loans!C152)</f>
        <v/>
      </c>
      <c r="D342" s="38" t="str">
        <f>IF(Agent02_Loans!B152="","",Agent02_Loans!D152)</f>
        <v/>
      </c>
      <c r="E342" s="40" t="str">
        <f>IF(Agent02_Loans!B152="","",Agent02_Loans!E152)</f>
        <v/>
      </c>
      <c r="F342" s="37" t="str">
        <f>IF(Agent02_Loans!B152="","",Agent02_Loans!F152)</f>
        <v/>
      </c>
      <c r="G342" s="37" t="str">
        <f>IF(Agent02_Loans!B152="","",Agent02_Loans!G152)</f>
        <v/>
      </c>
      <c r="H342" s="37" t="str">
        <f>IF(Agent02_Loans!B152="","",Agent02_Loans!H152)</f>
        <v/>
      </c>
      <c r="I342" s="40" t="str">
        <f>IF(Agent02_Loans!B152="","",Agent02_Loans!I152)</f>
        <v/>
      </c>
      <c r="J342" s="40" t="str">
        <f>IF(Agent02_Loans!B152="","",Agent02_Loans!J152)</f>
        <v/>
      </c>
      <c r="K342" s="37" t="str">
        <f>IF(Agent02_Loans!B152="","",Agent02_Loans!K152)</f>
        <v/>
      </c>
      <c r="L342" s="37" t="str">
        <f>IF(Agent02_Loans!B152="","",Agent02_Loans!L152)</f>
        <v/>
      </c>
      <c r="M342" s="37" t="str">
        <f>IFERROR(IF(Agent02_Loans!B152="","",YEAR(Agent02_Loans!D152)),"")</f>
        <v/>
      </c>
    </row>
    <row r="343" spans="1:13" ht="18" customHeight="1" x14ac:dyDescent="0.25">
      <c r="A343" s="37" t="str">
        <f>IF(Agent02_Loans!B153="","",Agent02_Loans!A153)</f>
        <v/>
      </c>
      <c r="B343" s="37" t="str">
        <f>IF(Agent02_Loans!B153="","",Agent02_Loans!B153)</f>
        <v/>
      </c>
      <c r="C343" s="37" t="str">
        <f>IF(Agent02_Loans!B153="","",Agent02_Loans!C153)</f>
        <v/>
      </c>
      <c r="D343" s="38" t="str">
        <f>IF(Agent02_Loans!B153="","",Agent02_Loans!D153)</f>
        <v/>
      </c>
      <c r="E343" s="40" t="str">
        <f>IF(Agent02_Loans!B153="","",Agent02_Loans!E153)</f>
        <v/>
      </c>
      <c r="F343" s="37" t="str">
        <f>IF(Agent02_Loans!B153="","",Agent02_Loans!F153)</f>
        <v/>
      </c>
      <c r="G343" s="37" t="str">
        <f>IF(Agent02_Loans!B153="","",Agent02_Loans!G153)</f>
        <v/>
      </c>
      <c r="H343" s="37" t="str">
        <f>IF(Agent02_Loans!B153="","",Agent02_Loans!H153)</f>
        <v/>
      </c>
      <c r="I343" s="40" t="str">
        <f>IF(Agent02_Loans!B153="","",Agent02_Loans!I153)</f>
        <v/>
      </c>
      <c r="J343" s="40" t="str">
        <f>IF(Agent02_Loans!B153="","",Agent02_Loans!J153)</f>
        <v/>
      </c>
      <c r="K343" s="37" t="str">
        <f>IF(Agent02_Loans!B153="","",Agent02_Loans!K153)</f>
        <v/>
      </c>
      <c r="L343" s="37" t="str">
        <f>IF(Agent02_Loans!B153="","",Agent02_Loans!L153)</f>
        <v/>
      </c>
      <c r="M343" s="37" t="str">
        <f>IFERROR(IF(Agent02_Loans!B153="","",YEAR(Agent02_Loans!D153)),"")</f>
        <v/>
      </c>
    </row>
    <row r="344" spans="1:13" ht="18" customHeight="1" x14ac:dyDescent="0.25">
      <c r="A344" s="37" t="str">
        <f>IF(Agent02_Loans!B154="","",Agent02_Loans!A154)</f>
        <v/>
      </c>
      <c r="B344" s="37" t="str">
        <f>IF(Agent02_Loans!B154="","",Agent02_Loans!B154)</f>
        <v/>
      </c>
      <c r="C344" s="37" t="str">
        <f>IF(Agent02_Loans!B154="","",Agent02_Loans!C154)</f>
        <v/>
      </c>
      <c r="D344" s="38" t="str">
        <f>IF(Agent02_Loans!B154="","",Agent02_Loans!D154)</f>
        <v/>
      </c>
      <c r="E344" s="40" t="str">
        <f>IF(Agent02_Loans!B154="","",Agent02_Loans!E154)</f>
        <v/>
      </c>
      <c r="F344" s="37" t="str">
        <f>IF(Agent02_Loans!B154="","",Agent02_Loans!F154)</f>
        <v/>
      </c>
      <c r="G344" s="37" t="str">
        <f>IF(Agent02_Loans!B154="","",Agent02_Loans!G154)</f>
        <v/>
      </c>
      <c r="H344" s="37" t="str">
        <f>IF(Agent02_Loans!B154="","",Agent02_Loans!H154)</f>
        <v/>
      </c>
      <c r="I344" s="40" t="str">
        <f>IF(Agent02_Loans!B154="","",Agent02_Loans!I154)</f>
        <v/>
      </c>
      <c r="J344" s="40" t="str">
        <f>IF(Agent02_Loans!B154="","",Agent02_Loans!J154)</f>
        <v/>
      </c>
      <c r="K344" s="37" t="str">
        <f>IF(Agent02_Loans!B154="","",Agent02_Loans!K154)</f>
        <v/>
      </c>
      <c r="L344" s="37" t="str">
        <f>IF(Agent02_Loans!B154="","",Agent02_Loans!L154)</f>
        <v/>
      </c>
      <c r="M344" s="37" t="str">
        <f>IFERROR(IF(Agent02_Loans!B154="","",YEAR(Agent02_Loans!D154)),"")</f>
        <v/>
      </c>
    </row>
    <row r="345" spans="1:13" ht="18" customHeight="1" x14ac:dyDescent="0.25">
      <c r="A345" s="37" t="str">
        <f>IF(Agent02_Loans!B155="","",Agent02_Loans!A155)</f>
        <v/>
      </c>
      <c r="B345" s="37" t="str">
        <f>IF(Agent02_Loans!B155="","",Agent02_Loans!B155)</f>
        <v/>
      </c>
      <c r="C345" s="37" t="str">
        <f>IF(Agent02_Loans!B155="","",Agent02_Loans!C155)</f>
        <v/>
      </c>
      <c r="D345" s="38" t="str">
        <f>IF(Agent02_Loans!B155="","",Agent02_Loans!D155)</f>
        <v/>
      </c>
      <c r="E345" s="40" t="str">
        <f>IF(Agent02_Loans!B155="","",Agent02_Loans!E155)</f>
        <v/>
      </c>
      <c r="F345" s="37" t="str">
        <f>IF(Agent02_Loans!B155="","",Agent02_Loans!F155)</f>
        <v/>
      </c>
      <c r="G345" s="37" t="str">
        <f>IF(Agent02_Loans!B155="","",Agent02_Loans!G155)</f>
        <v/>
      </c>
      <c r="H345" s="37" t="str">
        <f>IF(Agent02_Loans!B155="","",Agent02_Loans!H155)</f>
        <v/>
      </c>
      <c r="I345" s="40" t="str">
        <f>IF(Agent02_Loans!B155="","",Agent02_Loans!I155)</f>
        <v/>
      </c>
      <c r="J345" s="40" t="str">
        <f>IF(Agent02_Loans!B155="","",Agent02_Loans!J155)</f>
        <v/>
      </c>
      <c r="K345" s="37" t="str">
        <f>IF(Agent02_Loans!B155="","",Agent02_Loans!K155)</f>
        <v/>
      </c>
      <c r="L345" s="37" t="str">
        <f>IF(Agent02_Loans!B155="","",Agent02_Loans!L155)</f>
        <v/>
      </c>
      <c r="M345" s="37" t="str">
        <f>IFERROR(IF(Agent02_Loans!B155="","",YEAR(Agent02_Loans!D155)),"")</f>
        <v/>
      </c>
    </row>
    <row r="346" spans="1:13" ht="18" customHeight="1" x14ac:dyDescent="0.25">
      <c r="A346" s="37" t="str">
        <f>IF(Agent02_Loans!B156="","",Agent02_Loans!A156)</f>
        <v/>
      </c>
      <c r="B346" s="37" t="str">
        <f>IF(Agent02_Loans!B156="","",Agent02_Loans!B156)</f>
        <v/>
      </c>
      <c r="C346" s="37" t="str">
        <f>IF(Agent02_Loans!B156="","",Agent02_Loans!C156)</f>
        <v/>
      </c>
      <c r="D346" s="38" t="str">
        <f>IF(Agent02_Loans!B156="","",Agent02_Loans!D156)</f>
        <v/>
      </c>
      <c r="E346" s="40" t="str">
        <f>IF(Agent02_Loans!B156="","",Agent02_Loans!E156)</f>
        <v/>
      </c>
      <c r="F346" s="37" t="str">
        <f>IF(Agent02_Loans!B156="","",Agent02_Loans!F156)</f>
        <v/>
      </c>
      <c r="G346" s="37" t="str">
        <f>IF(Agent02_Loans!B156="","",Agent02_Loans!G156)</f>
        <v/>
      </c>
      <c r="H346" s="37" t="str">
        <f>IF(Agent02_Loans!B156="","",Agent02_Loans!H156)</f>
        <v/>
      </c>
      <c r="I346" s="40" t="str">
        <f>IF(Agent02_Loans!B156="","",Agent02_Loans!I156)</f>
        <v/>
      </c>
      <c r="J346" s="40" t="str">
        <f>IF(Agent02_Loans!B156="","",Agent02_Loans!J156)</f>
        <v/>
      </c>
      <c r="K346" s="37" t="str">
        <f>IF(Agent02_Loans!B156="","",Agent02_Loans!K156)</f>
        <v/>
      </c>
      <c r="L346" s="37" t="str">
        <f>IF(Agent02_Loans!B156="","",Agent02_Loans!L156)</f>
        <v/>
      </c>
      <c r="M346" s="37" t="str">
        <f>IFERROR(IF(Agent02_Loans!B156="","",YEAR(Agent02_Loans!D156)),"")</f>
        <v/>
      </c>
    </row>
    <row r="347" spans="1:13" ht="18" customHeight="1" x14ac:dyDescent="0.25">
      <c r="A347" s="37" t="str">
        <f>IF(Agent02_Loans!B157="","",Agent02_Loans!A157)</f>
        <v/>
      </c>
      <c r="B347" s="37" t="str">
        <f>IF(Agent02_Loans!B157="","",Agent02_Loans!B157)</f>
        <v/>
      </c>
      <c r="C347" s="37" t="str">
        <f>IF(Agent02_Loans!B157="","",Agent02_Loans!C157)</f>
        <v/>
      </c>
      <c r="D347" s="38" t="str">
        <f>IF(Agent02_Loans!B157="","",Agent02_Loans!D157)</f>
        <v/>
      </c>
      <c r="E347" s="40" t="str">
        <f>IF(Agent02_Loans!B157="","",Agent02_Loans!E157)</f>
        <v/>
      </c>
      <c r="F347" s="37" t="str">
        <f>IF(Agent02_Loans!B157="","",Agent02_Loans!F157)</f>
        <v/>
      </c>
      <c r="G347" s="37" t="str">
        <f>IF(Agent02_Loans!B157="","",Agent02_Loans!G157)</f>
        <v/>
      </c>
      <c r="H347" s="37" t="str">
        <f>IF(Agent02_Loans!B157="","",Agent02_Loans!H157)</f>
        <v/>
      </c>
      <c r="I347" s="40" t="str">
        <f>IF(Agent02_Loans!B157="","",Agent02_Loans!I157)</f>
        <v/>
      </c>
      <c r="J347" s="40" t="str">
        <f>IF(Agent02_Loans!B157="","",Agent02_Loans!J157)</f>
        <v/>
      </c>
      <c r="K347" s="37" t="str">
        <f>IF(Agent02_Loans!B157="","",Agent02_Loans!K157)</f>
        <v/>
      </c>
      <c r="L347" s="37" t="str">
        <f>IF(Agent02_Loans!B157="","",Agent02_Loans!L157)</f>
        <v/>
      </c>
      <c r="M347" s="37" t="str">
        <f>IFERROR(IF(Agent02_Loans!B157="","",YEAR(Agent02_Loans!D157)),"")</f>
        <v/>
      </c>
    </row>
    <row r="348" spans="1:13" ht="18" customHeight="1" x14ac:dyDescent="0.25">
      <c r="A348" s="37" t="str">
        <f>IF(Agent02_Loans!B158="","",Agent02_Loans!A158)</f>
        <v/>
      </c>
      <c r="B348" s="37" t="str">
        <f>IF(Agent02_Loans!B158="","",Agent02_Loans!B158)</f>
        <v/>
      </c>
      <c r="C348" s="37" t="str">
        <f>IF(Agent02_Loans!B158="","",Agent02_Loans!C158)</f>
        <v/>
      </c>
      <c r="D348" s="38" t="str">
        <f>IF(Agent02_Loans!B158="","",Agent02_Loans!D158)</f>
        <v/>
      </c>
      <c r="E348" s="40" t="str">
        <f>IF(Agent02_Loans!B158="","",Agent02_Loans!E158)</f>
        <v/>
      </c>
      <c r="F348" s="37" t="str">
        <f>IF(Agent02_Loans!B158="","",Agent02_Loans!F158)</f>
        <v/>
      </c>
      <c r="G348" s="37" t="str">
        <f>IF(Agent02_Loans!B158="","",Agent02_Loans!G158)</f>
        <v/>
      </c>
      <c r="H348" s="37" t="str">
        <f>IF(Agent02_Loans!B158="","",Agent02_Loans!H158)</f>
        <v/>
      </c>
      <c r="I348" s="40" t="str">
        <f>IF(Agent02_Loans!B158="","",Agent02_Loans!I158)</f>
        <v/>
      </c>
      <c r="J348" s="40" t="str">
        <f>IF(Agent02_Loans!B158="","",Agent02_Loans!J158)</f>
        <v/>
      </c>
      <c r="K348" s="37" t="str">
        <f>IF(Agent02_Loans!B158="","",Agent02_Loans!K158)</f>
        <v/>
      </c>
      <c r="L348" s="37" t="str">
        <f>IF(Agent02_Loans!B158="","",Agent02_Loans!L158)</f>
        <v/>
      </c>
      <c r="M348" s="37" t="str">
        <f>IFERROR(IF(Agent02_Loans!B158="","",YEAR(Agent02_Loans!D158)),"")</f>
        <v/>
      </c>
    </row>
    <row r="349" spans="1:13" ht="18" customHeight="1" x14ac:dyDescent="0.25">
      <c r="A349" s="37" t="str">
        <f>IF(Agent02_Loans!B159="","",Agent02_Loans!A159)</f>
        <v/>
      </c>
      <c r="B349" s="37" t="str">
        <f>IF(Agent02_Loans!B159="","",Agent02_Loans!B159)</f>
        <v/>
      </c>
      <c r="C349" s="37" t="str">
        <f>IF(Agent02_Loans!B159="","",Agent02_Loans!C159)</f>
        <v/>
      </c>
      <c r="D349" s="38" t="str">
        <f>IF(Agent02_Loans!B159="","",Agent02_Loans!D159)</f>
        <v/>
      </c>
      <c r="E349" s="40" t="str">
        <f>IF(Agent02_Loans!B159="","",Agent02_Loans!E159)</f>
        <v/>
      </c>
      <c r="F349" s="37" t="str">
        <f>IF(Agent02_Loans!B159="","",Agent02_Loans!F159)</f>
        <v/>
      </c>
      <c r="G349" s="37" t="str">
        <f>IF(Agent02_Loans!B159="","",Agent02_Loans!G159)</f>
        <v/>
      </c>
      <c r="H349" s="37" t="str">
        <f>IF(Agent02_Loans!B159="","",Agent02_Loans!H159)</f>
        <v/>
      </c>
      <c r="I349" s="40" t="str">
        <f>IF(Agent02_Loans!B159="","",Agent02_Loans!I159)</f>
        <v/>
      </c>
      <c r="J349" s="40" t="str">
        <f>IF(Agent02_Loans!B159="","",Agent02_Loans!J159)</f>
        <v/>
      </c>
      <c r="K349" s="37" t="str">
        <f>IF(Agent02_Loans!B159="","",Agent02_Loans!K159)</f>
        <v/>
      </c>
      <c r="L349" s="37" t="str">
        <f>IF(Agent02_Loans!B159="","",Agent02_Loans!L159)</f>
        <v/>
      </c>
      <c r="M349" s="37" t="str">
        <f>IFERROR(IF(Agent02_Loans!B159="","",YEAR(Agent02_Loans!D159)),"")</f>
        <v/>
      </c>
    </row>
    <row r="350" spans="1:13" ht="18" customHeight="1" x14ac:dyDescent="0.25">
      <c r="A350" s="37" t="str">
        <f>IF(Agent02_Loans!B160="","",Agent02_Loans!A160)</f>
        <v/>
      </c>
      <c r="B350" s="37" t="str">
        <f>IF(Agent02_Loans!B160="","",Agent02_Loans!B160)</f>
        <v/>
      </c>
      <c r="C350" s="37" t="str">
        <f>IF(Agent02_Loans!B160="","",Agent02_Loans!C160)</f>
        <v/>
      </c>
      <c r="D350" s="38" t="str">
        <f>IF(Agent02_Loans!B160="","",Agent02_Loans!D160)</f>
        <v/>
      </c>
      <c r="E350" s="40" t="str">
        <f>IF(Agent02_Loans!B160="","",Agent02_Loans!E160)</f>
        <v/>
      </c>
      <c r="F350" s="37" t="str">
        <f>IF(Agent02_Loans!B160="","",Agent02_Loans!F160)</f>
        <v/>
      </c>
      <c r="G350" s="37" t="str">
        <f>IF(Agent02_Loans!B160="","",Agent02_Loans!G160)</f>
        <v/>
      </c>
      <c r="H350" s="37" t="str">
        <f>IF(Agent02_Loans!B160="","",Agent02_Loans!H160)</f>
        <v/>
      </c>
      <c r="I350" s="40" t="str">
        <f>IF(Agent02_Loans!B160="","",Agent02_Loans!I160)</f>
        <v/>
      </c>
      <c r="J350" s="40" t="str">
        <f>IF(Agent02_Loans!B160="","",Agent02_Loans!J160)</f>
        <v/>
      </c>
      <c r="K350" s="37" t="str">
        <f>IF(Agent02_Loans!B160="","",Agent02_Loans!K160)</f>
        <v/>
      </c>
      <c r="L350" s="37" t="str">
        <f>IF(Agent02_Loans!B160="","",Agent02_Loans!L160)</f>
        <v/>
      </c>
      <c r="M350" s="37" t="str">
        <f>IFERROR(IF(Agent02_Loans!B160="","",YEAR(Agent02_Loans!D160)),"")</f>
        <v/>
      </c>
    </row>
    <row r="351" spans="1:13" ht="18" customHeight="1" x14ac:dyDescent="0.25">
      <c r="A351" s="37" t="str">
        <f>IF(Agent02_Loans!B161="","",Agent02_Loans!A161)</f>
        <v/>
      </c>
      <c r="B351" s="37" t="str">
        <f>IF(Agent02_Loans!B161="","",Agent02_Loans!B161)</f>
        <v/>
      </c>
      <c r="C351" s="37" t="str">
        <f>IF(Agent02_Loans!B161="","",Agent02_Loans!C161)</f>
        <v/>
      </c>
      <c r="D351" s="38" t="str">
        <f>IF(Agent02_Loans!B161="","",Agent02_Loans!D161)</f>
        <v/>
      </c>
      <c r="E351" s="40" t="str">
        <f>IF(Agent02_Loans!B161="","",Agent02_Loans!E161)</f>
        <v/>
      </c>
      <c r="F351" s="37" t="str">
        <f>IF(Agent02_Loans!B161="","",Agent02_Loans!F161)</f>
        <v/>
      </c>
      <c r="G351" s="37" t="str">
        <f>IF(Agent02_Loans!B161="","",Agent02_Loans!G161)</f>
        <v/>
      </c>
      <c r="H351" s="37" t="str">
        <f>IF(Agent02_Loans!B161="","",Agent02_Loans!H161)</f>
        <v/>
      </c>
      <c r="I351" s="40" t="str">
        <f>IF(Agent02_Loans!B161="","",Agent02_Loans!I161)</f>
        <v/>
      </c>
      <c r="J351" s="40" t="str">
        <f>IF(Agent02_Loans!B161="","",Agent02_Loans!J161)</f>
        <v/>
      </c>
      <c r="K351" s="37" t="str">
        <f>IF(Agent02_Loans!B161="","",Agent02_Loans!K161)</f>
        <v/>
      </c>
      <c r="L351" s="37" t="str">
        <f>IF(Agent02_Loans!B161="","",Agent02_Loans!L161)</f>
        <v/>
      </c>
      <c r="M351" s="37" t="str">
        <f>IFERROR(IF(Agent02_Loans!B161="","",YEAR(Agent02_Loans!D161)),"")</f>
        <v/>
      </c>
    </row>
    <row r="352" spans="1:13" ht="18" customHeight="1" x14ac:dyDescent="0.25">
      <c r="A352" s="37" t="str">
        <f>IF(Agent02_Loans!B162="","",Agent02_Loans!A162)</f>
        <v/>
      </c>
      <c r="B352" s="37" t="str">
        <f>IF(Agent02_Loans!B162="","",Agent02_Loans!B162)</f>
        <v/>
      </c>
      <c r="C352" s="37" t="str">
        <f>IF(Agent02_Loans!B162="","",Agent02_Loans!C162)</f>
        <v/>
      </c>
      <c r="D352" s="38" t="str">
        <f>IF(Agent02_Loans!B162="","",Agent02_Loans!D162)</f>
        <v/>
      </c>
      <c r="E352" s="40" t="str">
        <f>IF(Agent02_Loans!B162="","",Agent02_Loans!E162)</f>
        <v/>
      </c>
      <c r="F352" s="37" t="str">
        <f>IF(Agent02_Loans!B162="","",Agent02_Loans!F162)</f>
        <v/>
      </c>
      <c r="G352" s="37" t="str">
        <f>IF(Agent02_Loans!B162="","",Agent02_Loans!G162)</f>
        <v/>
      </c>
      <c r="H352" s="37" t="str">
        <f>IF(Agent02_Loans!B162="","",Agent02_Loans!H162)</f>
        <v/>
      </c>
      <c r="I352" s="40" t="str">
        <f>IF(Agent02_Loans!B162="","",Agent02_Loans!I162)</f>
        <v/>
      </c>
      <c r="J352" s="40" t="str">
        <f>IF(Agent02_Loans!B162="","",Agent02_Loans!J162)</f>
        <v/>
      </c>
      <c r="K352" s="37" t="str">
        <f>IF(Agent02_Loans!B162="","",Agent02_Loans!K162)</f>
        <v/>
      </c>
      <c r="L352" s="37" t="str">
        <f>IF(Agent02_Loans!B162="","",Agent02_Loans!L162)</f>
        <v/>
      </c>
      <c r="M352" s="37" t="str">
        <f>IFERROR(IF(Agent02_Loans!B162="","",YEAR(Agent02_Loans!D162)),"")</f>
        <v/>
      </c>
    </row>
    <row r="353" spans="1:13" ht="18" customHeight="1" x14ac:dyDescent="0.25">
      <c r="A353" s="37" t="str">
        <f>IF(Agent02_Loans!B163="","",Agent02_Loans!A163)</f>
        <v/>
      </c>
      <c r="B353" s="37" t="str">
        <f>IF(Agent02_Loans!B163="","",Agent02_Loans!B163)</f>
        <v/>
      </c>
      <c r="C353" s="37" t="str">
        <f>IF(Agent02_Loans!B163="","",Agent02_Loans!C163)</f>
        <v/>
      </c>
      <c r="D353" s="38" t="str">
        <f>IF(Agent02_Loans!B163="","",Agent02_Loans!D163)</f>
        <v/>
      </c>
      <c r="E353" s="40" t="str">
        <f>IF(Agent02_Loans!B163="","",Agent02_Loans!E163)</f>
        <v/>
      </c>
      <c r="F353" s="37" t="str">
        <f>IF(Agent02_Loans!B163="","",Agent02_Loans!F163)</f>
        <v/>
      </c>
      <c r="G353" s="37" t="str">
        <f>IF(Agent02_Loans!B163="","",Agent02_Loans!G163)</f>
        <v/>
      </c>
      <c r="H353" s="37" t="str">
        <f>IF(Agent02_Loans!B163="","",Agent02_Loans!H163)</f>
        <v/>
      </c>
      <c r="I353" s="40" t="str">
        <f>IF(Agent02_Loans!B163="","",Agent02_Loans!I163)</f>
        <v/>
      </c>
      <c r="J353" s="40" t="str">
        <f>IF(Agent02_Loans!B163="","",Agent02_Loans!J163)</f>
        <v/>
      </c>
      <c r="K353" s="37" t="str">
        <f>IF(Agent02_Loans!B163="","",Agent02_Loans!K163)</f>
        <v/>
      </c>
      <c r="L353" s="37" t="str">
        <f>IF(Agent02_Loans!B163="","",Agent02_Loans!L163)</f>
        <v/>
      </c>
      <c r="M353" s="37" t="str">
        <f>IFERROR(IF(Agent02_Loans!B163="","",YEAR(Agent02_Loans!D163)),"")</f>
        <v/>
      </c>
    </row>
    <row r="354" spans="1:13" ht="18" customHeight="1" x14ac:dyDescent="0.25">
      <c r="A354" s="37" t="str">
        <f>IF(Agent02_Loans!B164="","",Agent02_Loans!A164)</f>
        <v/>
      </c>
      <c r="B354" s="37" t="str">
        <f>IF(Agent02_Loans!B164="","",Agent02_Loans!B164)</f>
        <v/>
      </c>
      <c r="C354" s="37" t="str">
        <f>IF(Agent02_Loans!B164="","",Agent02_Loans!C164)</f>
        <v/>
      </c>
      <c r="D354" s="38" t="str">
        <f>IF(Agent02_Loans!B164="","",Agent02_Loans!D164)</f>
        <v/>
      </c>
      <c r="E354" s="40" t="str">
        <f>IF(Agent02_Loans!B164="","",Agent02_Loans!E164)</f>
        <v/>
      </c>
      <c r="F354" s="37" t="str">
        <f>IF(Agent02_Loans!B164="","",Agent02_Loans!F164)</f>
        <v/>
      </c>
      <c r="G354" s="37" t="str">
        <f>IF(Agent02_Loans!B164="","",Agent02_Loans!G164)</f>
        <v/>
      </c>
      <c r="H354" s="37" t="str">
        <f>IF(Agent02_Loans!B164="","",Agent02_Loans!H164)</f>
        <v/>
      </c>
      <c r="I354" s="40" t="str">
        <f>IF(Agent02_Loans!B164="","",Agent02_Loans!I164)</f>
        <v/>
      </c>
      <c r="J354" s="40" t="str">
        <f>IF(Agent02_Loans!B164="","",Agent02_Loans!J164)</f>
        <v/>
      </c>
      <c r="K354" s="37" t="str">
        <f>IF(Agent02_Loans!B164="","",Agent02_Loans!K164)</f>
        <v/>
      </c>
      <c r="L354" s="37" t="str">
        <f>IF(Agent02_Loans!B164="","",Agent02_Loans!L164)</f>
        <v/>
      </c>
      <c r="M354" s="37" t="str">
        <f>IFERROR(IF(Agent02_Loans!B164="","",YEAR(Agent02_Loans!D164)),"")</f>
        <v/>
      </c>
    </row>
    <row r="355" spans="1:13" ht="18" customHeight="1" x14ac:dyDescent="0.25">
      <c r="A355" s="37" t="str">
        <f>IF(Agent02_Loans!B165="","",Agent02_Loans!A165)</f>
        <v/>
      </c>
      <c r="B355" s="37" t="str">
        <f>IF(Agent02_Loans!B165="","",Agent02_Loans!B165)</f>
        <v/>
      </c>
      <c r="C355" s="37" t="str">
        <f>IF(Agent02_Loans!B165="","",Agent02_Loans!C165)</f>
        <v/>
      </c>
      <c r="D355" s="38" t="str">
        <f>IF(Agent02_Loans!B165="","",Agent02_Loans!D165)</f>
        <v/>
      </c>
      <c r="E355" s="40" t="str">
        <f>IF(Agent02_Loans!B165="","",Agent02_Loans!E165)</f>
        <v/>
      </c>
      <c r="F355" s="37" t="str">
        <f>IF(Agent02_Loans!B165="","",Agent02_Loans!F165)</f>
        <v/>
      </c>
      <c r="G355" s="37" t="str">
        <f>IF(Agent02_Loans!B165="","",Agent02_Loans!G165)</f>
        <v/>
      </c>
      <c r="H355" s="37" t="str">
        <f>IF(Agent02_Loans!B165="","",Agent02_Loans!H165)</f>
        <v/>
      </c>
      <c r="I355" s="40" t="str">
        <f>IF(Agent02_Loans!B165="","",Agent02_Loans!I165)</f>
        <v/>
      </c>
      <c r="J355" s="40" t="str">
        <f>IF(Agent02_Loans!B165="","",Agent02_Loans!J165)</f>
        <v/>
      </c>
      <c r="K355" s="37" t="str">
        <f>IF(Agent02_Loans!B165="","",Agent02_Loans!K165)</f>
        <v/>
      </c>
      <c r="L355" s="37" t="str">
        <f>IF(Agent02_Loans!B165="","",Agent02_Loans!L165)</f>
        <v/>
      </c>
      <c r="M355" s="37" t="str">
        <f>IFERROR(IF(Agent02_Loans!B165="","",YEAR(Agent02_Loans!D165)),"")</f>
        <v/>
      </c>
    </row>
    <row r="356" spans="1:13" ht="18" customHeight="1" x14ac:dyDescent="0.25">
      <c r="A356" s="37" t="str">
        <f>IF(Agent02_Loans!B166="","",Agent02_Loans!A166)</f>
        <v/>
      </c>
      <c r="B356" s="37" t="str">
        <f>IF(Agent02_Loans!B166="","",Agent02_Loans!B166)</f>
        <v/>
      </c>
      <c r="C356" s="37" t="str">
        <f>IF(Agent02_Loans!B166="","",Agent02_Loans!C166)</f>
        <v/>
      </c>
      <c r="D356" s="38" t="str">
        <f>IF(Agent02_Loans!B166="","",Agent02_Loans!D166)</f>
        <v/>
      </c>
      <c r="E356" s="40" t="str">
        <f>IF(Agent02_Loans!B166="","",Agent02_Loans!E166)</f>
        <v/>
      </c>
      <c r="F356" s="37" t="str">
        <f>IF(Agent02_Loans!B166="","",Agent02_Loans!F166)</f>
        <v/>
      </c>
      <c r="G356" s="37" t="str">
        <f>IF(Agent02_Loans!B166="","",Agent02_Loans!G166)</f>
        <v/>
      </c>
      <c r="H356" s="37" t="str">
        <f>IF(Agent02_Loans!B166="","",Agent02_Loans!H166)</f>
        <v/>
      </c>
      <c r="I356" s="40" t="str">
        <f>IF(Agent02_Loans!B166="","",Agent02_Loans!I166)</f>
        <v/>
      </c>
      <c r="J356" s="40" t="str">
        <f>IF(Agent02_Loans!B166="","",Agent02_Loans!J166)</f>
        <v/>
      </c>
      <c r="K356" s="37" t="str">
        <f>IF(Agent02_Loans!B166="","",Agent02_Loans!K166)</f>
        <v/>
      </c>
      <c r="L356" s="37" t="str">
        <f>IF(Agent02_Loans!B166="","",Agent02_Loans!L166)</f>
        <v/>
      </c>
      <c r="M356" s="37" t="str">
        <f>IFERROR(IF(Agent02_Loans!B166="","",YEAR(Agent02_Loans!D166)),"")</f>
        <v/>
      </c>
    </row>
    <row r="357" spans="1:13" ht="18" customHeight="1" x14ac:dyDescent="0.25">
      <c r="A357" s="37" t="str">
        <f>IF(Agent02_Loans!B167="","",Agent02_Loans!A167)</f>
        <v/>
      </c>
      <c r="B357" s="37" t="str">
        <f>IF(Agent02_Loans!B167="","",Agent02_Loans!B167)</f>
        <v/>
      </c>
      <c r="C357" s="37" t="str">
        <f>IF(Agent02_Loans!B167="","",Agent02_Loans!C167)</f>
        <v/>
      </c>
      <c r="D357" s="38" t="str">
        <f>IF(Agent02_Loans!B167="","",Agent02_Loans!D167)</f>
        <v/>
      </c>
      <c r="E357" s="40" t="str">
        <f>IF(Agent02_Loans!B167="","",Agent02_Loans!E167)</f>
        <v/>
      </c>
      <c r="F357" s="37" t="str">
        <f>IF(Agent02_Loans!B167="","",Agent02_Loans!F167)</f>
        <v/>
      </c>
      <c r="G357" s="37" t="str">
        <f>IF(Agent02_Loans!B167="","",Agent02_Loans!G167)</f>
        <v/>
      </c>
      <c r="H357" s="37" t="str">
        <f>IF(Agent02_Loans!B167="","",Agent02_Loans!H167)</f>
        <v/>
      </c>
      <c r="I357" s="40" t="str">
        <f>IF(Agent02_Loans!B167="","",Agent02_Loans!I167)</f>
        <v/>
      </c>
      <c r="J357" s="40" t="str">
        <f>IF(Agent02_Loans!B167="","",Agent02_Loans!J167)</f>
        <v/>
      </c>
      <c r="K357" s="37" t="str">
        <f>IF(Agent02_Loans!B167="","",Agent02_Loans!K167)</f>
        <v/>
      </c>
      <c r="L357" s="37" t="str">
        <f>IF(Agent02_Loans!B167="","",Agent02_Loans!L167)</f>
        <v/>
      </c>
      <c r="M357" s="37" t="str">
        <f>IFERROR(IF(Agent02_Loans!B167="","",YEAR(Agent02_Loans!D167)),"")</f>
        <v/>
      </c>
    </row>
    <row r="358" spans="1:13" ht="18" customHeight="1" x14ac:dyDescent="0.25">
      <c r="A358" s="37" t="str">
        <f>IF(Agent02_Loans!B168="","",Agent02_Loans!A168)</f>
        <v/>
      </c>
      <c r="B358" s="37" t="str">
        <f>IF(Agent02_Loans!B168="","",Agent02_Loans!B168)</f>
        <v/>
      </c>
      <c r="C358" s="37" t="str">
        <f>IF(Agent02_Loans!B168="","",Agent02_Loans!C168)</f>
        <v/>
      </c>
      <c r="D358" s="38" t="str">
        <f>IF(Agent02_Loans!B168="","",Agent02_Loans!D168)</f>
        <v/>
      </c>
      <c r="E358" s="40" t="str">
        <f>IF(Agent02_Loans!B168="","",Agent02_Loans!E168)</f>
        <v/>
      </c>
      <c r="F358" s="37" t="str">
        <f>IF(Agent02_Loans!B168="","",Agent02_Loans!F168)</f>
        <v/>
      </c>
      <c r="G358" s="37" t="str">
        <f>IF(Agent02_Loans!B168="","",Agent02_Loans!G168)</f>
        <v/>
      </c>
      <c r="H358" s="37" t="str">
        <f>IF(Agent02_Loans!B168="","",Agent02_Loans!H168)</f>
        <v/>
      </c>
      <c r="I358" s="40" t="str">
        <f>IF(Agent02_Loans!B168="","",Agent02_Loans!I168)</f>
        <v/>
      </c>
      <c r="J358" s="40" t="str">
        <f>IF(Agent02_Loans!B168="","",Agent02_Loans!J168)</f>
        <v/>
      </c>
      <c r="K358" s="37" t="str">
        <f>IF(Agent02_Loans!B168="","",Agent02_Loans!K168)</f>
        <v/>
      </c>
      <c r="L358" s="37" t="str">
        <f>IF(Agent02_Loans!B168="","",Agent02_Loans!L168)</f>
        <v/>
      </c>
      <c r="M358" s="37" t="str">
        <f>IFERROR(IF(Agent02_Loans!B168="","",YEAR(Agent02_Loans!D168)),"")</f>
        <v/>
      </c>
    </row>
    <row r="359" spans="1:13" ht="18" customHeight="1" x14ac:dyDescent="0.25">
      <c r="A359" s="37" t="str">
        <f>IF(Agent02_Loans!B169="","",Agent02_Loans!A169)</f>
        <v/>
      </c>
      <c r="B359" s="37" t="str">
        <f>IF(Agent02_Loans!B169="","",Agent02_Loans!B169)</f>
        <v/>
      </c>
      <c r="C359" s="37" t="str">
        <f>IF(Agent02_Loans!B169="","",Agent02_Loans!C169)</f>
        <v/>
      </c>
      <c r="D359" s="38" t="str">
        <f>IF(Agent02_Loans!B169="","",Agent02_Loans!D169)</f>
        <v/>
      </c>
      <c r="E359" s="40" t="str">
        <f>IF(Agent02_Loans!B169="","",Agent02_Loans!E169)</f>
        <v/>
      </c>
      <c r="F359" s="37" t="str">
        <f>IF(Agent02_Loans!B169="","",Agent02_Loans!F169)</f>
        <v/>
      </c>
      <c r="G359" s="37" t="str">
        <f>IF(Agent02_Loans!B169="","",Agent02_Loans!G169)</f>
        <v/>
      </c>
      <c r="H359" s="37" t="str">
        <f>IF(Agent02_Loans!B169="","",Agent02_Loans!H169)</f>
        <v/>
      </c>
      <c r="I359" s="40" t="str">
        <f>IF(Agent02_Loans!B169="","",Agent02_Loans!I169)</f>
        <v/>
      </c>
      <c r="J359" s="40" t="str">
        <f>IF(Agent02_Loans!B169="","",Agent02_Loans!J169)</f>
        <v/>
      </c>
      <c r="K359" s="37" t="str">
        <f>IF(Agent02_Loans!B169="","",Agent02_Loans!K169)</f>
        <v/>
      </c>
      <c r="L359" s="37" t="str">
        <f>IF(Agent02_Loans!B169="","",Agent02_Loans!L169)</f>
        <v/>
      </c>
      <c r="M359" s="37" t="str">
        <f>IFERROR(IF(Agent02_Loans!B169="","",YEAR(Agent02_Loans!D169)),"")</f>
        <v/>
      </c>
    </row>
    <row r="360" spans="1:13" ht="18" customHeight="1" x14ac:dyDescent="0.25">
      <c r="A360" s="37" t="str">
        <f>IF(Agent02_Loans!B170="","",Agent02_Loans!A170)</f>
        <v/>
      </c>
      <c r="B360" s="37" t="str">
        <f>IF(Agent02_Loans!B170="","",Agent02_Loans!B170)</f>
        <v/>
      </c>
      <c r="C360" s="37" t="str">
        <f>IF(Agent02_Loans!B170="","",Agent02_Loans!C170)</f>
        <v/>
      </c>
      <c r="D360" s="38" t="str">
        <f>IF(Agent02_Loans!B170="","",Agent02_Loans!D170)</f>
        <v/>
      </c>
      <c r="E360" s="40" t="str">
        <f>IF(Agent02_Loans!B170="","",Agent02_Loans!E170)</f>
        <v/>
      </c>
      <c r="F360" s="37" t="str">
        <f>IF(Agent02_Loans!B170="","",Agent02_Loans!F170)</f>
        <v/>
      </c>
      <c r="G360" s="37" t="str">
        <f>IF(Agent02_Loans!B170="","",Agent02_Loans!G170)</f>
        <v/>
      </c>
      <c r="H360" s="37" t="str">
        <f>IF(Agent02_Loans!B170="","",Agent02_Loans!H170)</f>
        <v/>
      </c>
      <c r="I360" s="40" t="str">
        <f>IF(Agent02_Loans!B170="","",Agent02_Loans!I170)</f>
        <v/>
      </c>
      <c r="J360" s="40" t="str">
        <f>IF(Agent02_Loans!B170="","",Agent02_Loans!J170)</f>
        <v/>
      </c>
      <c r="K360" s="37" t="str">
        <f>IF(Agent02_Loans!B170="","",Agent02_Loans!K170)</f>
        <v/>
      </c>
      <c r="L360" s="37" t="str">
        <f>IF(Agent02_Loans!B170="","",Agent02_Loans!L170)</f>
        <v/>
      </c>
      <c r="M360" s="37" t="str">
        <f>IFERROR(IF(Agent02_Loans!B170="","",YEAR(Agent02_Loans!D170)),"")</f>
        <v/>
      </c>
    </row>
    <row r="361" spans="1:13" ht="18" customHeight="1" x14ac:dyDescent="0.25">
      <c r="A361" s="37" t="str">
        <f>IF(Agent02_Loans!B171="","",Agent02_Loans!A171)</f>
        <v/>
      </c>
      <c r="B361" s="37" t="str">
        <f>IF(Agent02_Loans!B171="","",Agent02_Loans!B171)</f>
        <v/>
      </c>
      <c r="C361" s="37" t="str">
        <f>IF(Agent02_Loans!B171="","",Agent02_Loans!C171)</f>
        <v/>
      </c>
      <c r="D361" s="38" t="str">
        <f>IF(Agent02_Loans!B171="","",Agent02_Loans!D171)</f>
        <v/>
      </c>
      <c r="E361" s="40" t="str">
        <f>IF(Agent02_Loans!B171="","",Agent02_Loans!E171)</f>
        <v/>
      </c>
      <c r="F361" s="37" t="str">
        <f>IF(Agent02_Loans!B171="","",Agent02_Loans!F171)</f>
        <v/>
      </c>
      <c r="G361" s="37" t="str">
        <f>IF(Agent02_Loans!B171="","",Agent02_Loans!G171)</f>
        <v/>
      </c>
      <c r="H361" s="37" t="str">
        <f>IF(Agent02_Loans!B171="","",Agent02_Loans!H171)</f>
        <v/>
      </c>
      <c r="I361" s="40" t="str">
        <f>IF(Agent02_Loans!B171="","",Agent02_Loans!I171)</f>
        <v/>
      </c>
      <c r="J361" s="40" t="str">
        <f>IF(Agent02_Loans!B171="","",Agent02_Loans!J171)</f>
        <v/>
      </c>
      <c r="K361" s="37" t="str">
        <f>IF(Agent02_Loans!B171="","",Agent02_Loans!K171)</f>
        <v/>
      </c>
      <c r="L361" s="37" t="str">
        <f>IF(Agent02_Loans!B171="","",Agent02_Loans!L171)</f>
        <v/>
      </c>
      <c r="M361" s="37" t="str">
        <f>IFERROR(IF(Agent02_Loans!B171="","",YEAR(Agent02_Loans!D171)),"")</f>
        <v/>
      </c>
    </row>
    <row r="362" spans="1:13" ht="18" customHeight="1" x14ac:dyDescent="0.25">
      <c r="A362" s="37" t="str">
        <f>IF(Agent02_Loans!B172="","",Agent02_Loans!A172)</f>
        <v/>
      </c>
      <c r="B362" s="37" t="str">
        <f>IF(Agent02_Loans!B172="","",Agent02_Loans!B172)</f>
        <v/>
      </c>
      <c r="C362" s="37" t="str">
        <f>IF(Agent02_Loans!B172="","",Agent02_Loans!C172)</f>
        <v/>
      </c>
      <c r="D362" s="38" t="str">
        <f>IF(Agent02_Loans!B172="","",Agent02_Loans!D172)</f>
        <v/>
      </c>
      <c r="E362" s="40" t="str">
        <f>IF(Agent02_Loans!B172="","",Agent02_Loans!E172)</f>
        <v/>
      </c>
      <c r="F362" s="37" t="str">
        <f>IF(Agent02_Loans!B172="","",Agent02_Loans!F172)</f>
        <v/>
      </c>
      <c r="G362" s="37" t="str">
        <f>IF(Agent02_Loans!B172="","",Agent02_Loans!G172)</f>
        <v/>
      </c>
      <c r="H362" s="37" t="str">
        <f>IF(Agent02_Loans!B172="","",Agent02_Loans!H172)</f>
        <v/>
      </c>
      <c r="I362" s="40" t="str">
        <f>IF(Agent02_Loans!B172="","",Agent02_Loans!I172)</f>
        <v/>
      </c>
      <c r="J362" s="40" t="str">
        <f>IF(Agent02_Loans!B172="","",Agent02_Loans!J172)</f>
        <v/>
      </c>
      <c r="K362" s="37" t="str">
        <f>IF(Agent02_Loans!B172="","",Agent02_Loans!K172)</f>
        <v/>
      </c>
      <c r="L362" s="37" t="str">
        <f>IF(Agent02_Loans!B172="","",Agent02_Loans!L172)</f>
        <v/>
      </c>
      <c r="M362" s="37" t="str">
        <f>IFERROR(IF(Agent02_Loans!B172="","",YEAR(Agent02_Loans!D172)),"")</f>
        <v/>
      </c>
    </row>
    <row r="363" spans="1:13" ht="18" customHeight="1" x14ac:dyDescent="0.25">
      <c r="A363" s="37" t="str">
        <f>IF(Agent02_Loans!B173="","",Agent02_Loans!A173)</f>
        <v/>
      </c>
      <c r="B363" s="37" t="str">
        <f>IF(Agent02_Loans!B173="","",Agent02_Loans!B173)</f>
        <v/>
      </c>
      <c r="C363" s="37" t="str">
        <f>IF(Agent02_Loans!B173="","",Agent02_Loans!C173)</f>
        <v/>
      </c>
      <c r="D363" s="38" t="str">
        <f>IF(Agent02_Loans!B173="","",Agent02_Loans!D173)</f>
        <v/>
      </c>
      <c r="E363" s="40" t="str">
        <f>IF(Agent02_Loans!B173="","",Agent02_Loans!E173)</f>
        <v/>
      </c>
      <c r="F363" s="37" t="str">
        <f>IF(Agent02_Loans!B173="","",Agent02_Loans!F173)</f>
        <v/>
      </c>
      <c r="G363" s="37" t="str">
        <f>IF(Agent02_Loans!B173="","",Agent02_Loans!G173)</f>
        <v/>
      </c>
      <c r="H363" s="37" t="str">
        <f>IF(Agent02_Loans!B173="","",Agent02_Loans!H173)</f>
        <v/>
      </c>
      <c r="I363" s="40" t="str">
        <f>IF(Agent02_Loans!B173="","",Agent02_Loans!I173)</f>
        <v/>
      </c>
      <c r="J363" s="40" t="str">
        <f>IF(Agent02_Loans!B173="","",Agent02_Loans!J173)</f>
        <v/>
      </c>
      <c r="K363" s="37" t="str">
        <f>IF(Agent02_Loans!B173="","",Agent02_Loans!K173)</f>
        <v/>
      </c>
      <c r="L363" s="37" t="str">
        <f>IF(Agent02_Loans!B173="","",Agent02_Loans!L173)</f>
        <v/>
      </c>
      <c r="M363" s="37" t="str">
        <f>IFERROR(IF(Agent02_Loans!B173="","",YEAR(Agent02_Loans!D173)),"")</f>
        <v/>
      </c>
    </row>
    <row r="364" spans="1:13" ht="18" customHeight="1" x14ac:dyDescent="0.25">
      <c r="A364" s="37" t="str">
        <f>IF(Agent02_Loans!B174="","",Agent02_Loans!A174)</f>
        <v/>
      </c>
      <c r="B364" s="37" t="str">
        <f>IF(Agent02_Loans!B174="","",Agent02_Loans!B174)</f>
        <v/>
      </c>
      <c r="C364" s="37" t="str">
        <f>IF(Agent02_Loans!B174="","",Agent02_Loans!C174)</f>
        <v/>
      </c>
      <c r="D364" s="38" t="str">
        <f>IF(Agent02_Loans!B174="","",Agent02_Loans!D174)</f>
        <v/>
      </c>
      <c r="E364" s="40" t="str">
        <f>IF(Agent02_Loans!B174="","",Agent02_Loans!E174)</f>
        <v/>
      </c>
      <c r="F364" s="37" t="str">
        <f>IF(Agent02_Loans!B174="","",Agent02_Loans!F174)</f>
        <v/>
      </c>
      <c r="G364" s="37" t="str">
        <f>IF(Agent02_Loans!B174="","",Agent02_Loans!G174)</f>
        <v/>
      </c>
      <c r="H364" s="37" t="str">
        <f>IF(Agent02_Loans!B174="","",Agent02_Loans!H174)</f>
        <v/>
      </c>
      <c r="I364" s="40" t="str">
        <f>IF(Agent02_Loans!B174="","",Agent02_Loans!I174)</f>
        <v/>
      </c>
      <c r="J364" s="40" t="str">
        <f>IF(Agent02_Loans!B174="","",Agent02_Loans!J174)</f>
        <v/>
      </c>
      <c r="K364" s="37" t="str">
        <f>IF(Agent02_Loans!B174="","",Agent02_Loans!K174)</f>
        <v/>
      </c>
      <c r="L364" s="37" t="str">
        <f>IF(Agent02_Loans!B174="","",Agent02_Loans!L174)</f>
        <v/>
      </c>
      <c r="M364" s="37" t="str">
        <f>IFERROR(IF(Agent02_Loans!B174="","",YEAR(Agent02_Loans!D174)),"")</f>
        <v/>
      </c>
    </row>
    <row r="365" spans="1:13" ht="18" customHeight="1" x14ac:dyDescent="0.25">
      <c r="A365" s="37" t="str">
        <f>IF(Agent02_Loans!B175="","",Agent02_Loans!A175)</f>
        <v/>
      </c>
      <c r="B365" s="37" t="str">
        <f>IF(Agent02_Loans!B175="","",Agent02_Loans!B175)</f>
        <v/>
      </c>
      <c r="C365" s="37" t="str">
        <f>IF(Agent02_Loans!B175="","",Agent02_Loans!C175)</f>
        <v/>
      </c>
      <c r="D365" s="38" t="str">
        <f>IF(Agent02_Loans!B175="","",Agent02_Loans!D175)</f>
        <v/>
      </c>
      <c r="E365" s="40" t="str">
        <f>IF(Agent02_Loans!B175="","",Agent02_Loans!E175)</f>
        <v/>
      </c>
      <c r="F365" s="37" t="str">
        <f>IF(Agent02_Loans!B175="","",Agent02_Loans!F175)</f>
        <v/>
      </c>
      <c r="G365" s="37" t="str">
        <f>IF(Agent02_Loans!B175="","",Agent02_Loans!G175)</f>
        <v/>
      </c>
      <c r="H365" s="37" t="str">
        <f>IF(Agent02_Loans!B175="","",Agent02_Loans!H175)</f>
        <v/>
      </c>
      <c r="I365" s="40" t="str">
        <f>IF(Agent02_Loans!B175="","",Agent02_Loans!I175)</f>
        <v/>
      </c>
      <c r="J365" s="40" t="str">
        <f>IF(Agent02_Loans!B175="","",Agent02_Loans!J175)</f>
        <v/>
      </c>
      <c r="K365" s="37" t="str">
        <f>IF(Agent02_Loans!B175="","",Agent02_Loans!K175)</f>
        <v/>
      </c>
      <c r="L365" s="37" t="str">
        <f>IF(Agent02_Loans!B175="","",Agent02_Loans!L175)</f>
        <v/>
      </c>
      <c r="M365" s="37" t="str">
        <f>IFERROR(IF(Agent02_Loans!B175="","",YEAR(Agent02_Loans!D175)),"")</f>
        <v/>
      </c>
    </row>
    <row r="366" spans="1:13" ht="18" customHeight="1" x14ac:dyDescent="0.25">
      <c r="A366" s="37" t="str">
        <f>IF(Agent02_Loans!B176="","",Agent02_Loans!A176)</f>
        <v/>
      </c>
      <c r="B366" s="37" t="str">
        <f>IF(Agent02_Loans!B176="","",Agent02_Loans!B176)</f>
        <v/>
      </c>
      <c r="C366" s="37" t="str">
        <f>IF(Agent02_Loans!B176="","",Agent02_Loans!C176)</f>
        <v/>
      </c>
      <c r="D366" s="38" t="str">
        <f>IF(Agent02_Loans!B176="","",Agent02_Loans!D176)</f>
        <v/>
      </c>
      <c r="E366" s="40" t="str">
        <f>IF(Agent02_Loans!B176="","",Agent02_Loans!E176)</f>
        <v/>
      </c>
      <c r="F366" s="37" t="str">
        <f>IF(Agent02_Loans!B176="","",Agent02_Loans!F176)</f>
        <v/>
      </c>
      <c r="G366" s="37" t="str">
        <f>IF(Agent02_Loans!B176="","",Agent02_Loans!G176)</f>
        <v/>
      </c>
      <c r="H366" s="37" t="str">
        <f>IF(Agent02_Loans!B176="","",Agent02_Loans!H176)</f>
        <v/>
      </c>
      <c r="I366" s="40" t="str">
        <f>IF(Agent02_Loans!B176="","",Agent02_Loans!I176)</f>
        <v/>
      </c>
      <c r="J366" s="40" t="str">
        <f>IF(Agent02_Loans!B176="","",Agent02_Loans!J176)</f>
        <v/>
      </c>
      <c r="K366" s="37" t="str">
        <f>IF(Agent02_Loans!B176="","",Agent02_Loans!K176)</f>
        <v/>
      </c>
      <c r="L366" s="37" t="str">
        <f>IF(Agent02_Loans!B176="","",Agent02_Loans!L176)</f>
        <v/>
      </c>
      <c r="M366" s="37" t="str">
        <f>IFERROR(IF(Agent02_Loans!B176="","",YEAR(Agent02_Loans!D176)),"")</f>
        <v/>
      </c>
    </row>
    <row r="367" spans="1:13" ht="18" customHeight="1" x14ac:dyDescent="0.25">
      <c r="A367" s="37" t="str">
        <f>IF(Agent02_Loans!B177="","",Agent02_Loans!A177)</f>
        <v/>
      </c>
      <c r="B367" s="37" t="str">
        <f>IF(Agent02_Loans!B177="","",Agent02_Loans!B177)</f>
        <v/>
      </c>
      <c r="C367" s="37" t="str">
        <f>IF(Agent02_Loans!B177="","",Agent02_Loans!C177)</f>
        <v/>
      </c>
      <c r="D367" s="38" t="str">
        <f>IF(Agent02_Loans!B177="","",Agent02_Loans!D177)</f>
        <v/>
      </c>
      <c r="E367" s="40" t="str">
        <f>IF(Agent02_Loans!B177="","",Agent02_Loans!E177)</f>
        <v/>
      </c>
      <c r="F367" s="37" t="str">
        <f>IF(Agent02_Loans!B177="","",Agent02_Loans!F177)</f>
        <v/>
      </c>
      <c r="G367" s="37" t="str">
        <f>IF(Agent02_Loans!B177="","",Agent02_Loans!G177)</f>
        <v/>
      </c>
      <c r="H367" s="37" t="str">
        <f>IF(Agent02_Loans!B177="","",Agent02_Loans!H177)</f>
        <v/>
      </c>
      <c r="I367" s="40" t="str">
        <f>IF(Agent02_Loans!B177="","",Agent02_Loans!I177)</f>
        <v/>
      </c>
      <c r="J367" s="40" t="str">
        <f>IF(Agent02_Loans!B177="","",Agent02_Loans!J177)</f>
        <v/>
      </c>
      <c r="K367" s="37" t="str">
        <f>IF(Agent02_Loans!B177="","",Agent02_Loans!K177)</f>
        <v/>
      </c>
      <c r="L367" s="37" t="str">
        <f>IF(Agent02_Loans!B177="","",Agent02_Loans!L177)</f>
        <v/>
      </c>
      <c r="M367" s="37" t="str">
        <f>IFERROR(IF(Agent02_Loans!B177="","",YEAR(Agent02_Loans!D177)),"")</f>
        <v/>
      </c>
    </row>
    <row r="368" spans="1:13" ht="18" customHeight="1" x14ac:dyDescent="0.25">
      <c r="A368" s="37" t="str">
        <f>IF(Agent02_Loans!B178="","",Agent02_Loans!A178)</f>
        <v/>
      </c>
      <c r="B368" s="37" t="str">
        <f>IF(Agent02_Loans!B178="","",Agent02_Loans!B178)</f>
        <v/>
      </c>
      <c r="C368" s="37" t="str">
        <f>IF(Agent02_Loans!B178="","",Agent02_Loans!C178)</f>
        <v/>
      </c>
      <c r="D368" s="38" t="str">
        <f>IF(Agent02_Loans!B178="","",Agent02_Loans!D178)</f>
        <v/>
      </c>
      <c r="E368" s="40" t="str">
        <f>IF(Agent02_Loans!B178="","",Agent02_Loans!E178)</f>
        <v/>
      </c>
      <c r="F368" s="37" t="str">
        <f>IF(Agent02_Loans!B178="","",Agent02_Loans!F178)</f>
        <v/>
      </c>
      <c r="G368" s="37" t="str">
        <f>IF(Agent02_Loans!B178="","",Agent02_Loans!G178)</f>
        <v/>
      </c>
      <c r="H368" s="37" t="str">
        <f>IF(Agent02_Loans!B178="","",Agent02_Loans!H178)</f>
        <v/>
      </c>
      <c r="I368" s="40" t="str">
        <f>IF(Agent02_Loans!B178="","",Agent02_Loans!I178)</f>
        <v/>
      </c>
      <c r="J368" s="40" t="str">
        <f>IF(Agent02_Loans!B178="","",Agent02_Loans!J178)</f>
        <v/>
      </c>
      <c r="K368" s="37" t="str">
        <f>IF(Agent02_Loans!B178="","",Agent02_Loans!K178)</f>
        <v/>
      </c>
      <c r="L368" s="37" t="str">
        <f>IF(Agent02_Loans!B178="","",Agent02_Loans!L178)</f>
        <v/>
      </c>
      <c r="M368" s="37" t="str">
        <f>IFERROR(IF(Agent02_Loans!B178="","",YEAR(Agent02_Loans!D178)),"")</f>
        <v/>
      </c>
    </row>
    <row r="369" spans="1:13" ht="18" customHeight="1" x14ac:dyDescent="0.25">
      <c r="A369" s="37" t="str">
        <f>IF(Agent02_Loans!B179="","",Agent02_Loans!A179)</f>
        <v/>
      </c>
      <c r="B369" s="37" t="str">
        <f>IF(Agent02_Loans!B179="","",Agent02_Loans!B179)</f>
        <v/>
      </c>
      <c r="C369" s="37" t="str">
        <f>IF(Agent02_Loans!B179="","",Agent02_Loans!C179)</f>
        <v/>
      </c>
      <c r="D369" s="38" t="str">
        <f>IF(Agent02_Loans!B179="","",Agent02_Loans!D179)</f>
        <v/>
      </c>
      <c r="E369" s="40" t="str">
        <f>IF(Agent02_Loans!B179="","",Agent02_Loans!E179)</f>
        <v/>
      </c>
      <c r="F369" s="37" t="str">
        <f>IF(Agent02_Loans!B179="","",Agent02_Loans!F179)</f>
        <v/>
      </c>
      <c r="G369" s="37" t="str">
        <f>IF(Agent02_Loans!B179="","",Agent02_Loans!G179)</f>
        <v/>
      </c>
      <c r="H369" s="37" t="str">
        <f>IF(Agent02_Loans!B179="","",Agent02_Loans!H179)</f>
        <v/>
      </c>
      <c r="I369" s="40" t="str">
        <f>IF(Agent02_Loans!B179="","",Agent02_Loans!I179)</f>
        <v/>
      </c>
      <c r="J369" s="40" t="str">
        <f>IF(Agent02_Loans!B179="","",Agent02_Loans!J179)</f>
        <v/>
      </c>
      <c r="K369" s="37" t="str">
        <f>IF(Agent02_Loans!B179="","",Agent02_Loans!K179)</f>
        <v/>
      </c>
      <c r="L369" s="37" t="str">
        <f>IF(Agent02_Loans!B179="","",Agent02_Loans!L179)</f>
        <v/>
      </c>
      <c r="M369" s="37" t="str">
        <f>IFERROR(IF(Agent02_Loans!B179="","",YEAR(Agent02_Loans!D179)),"")</f>
        <v/>
      </c>
    </row>
    <row r="370" spans="1:13" ht="18" customHeight="1" x14ac:dyDescent="0.25">
      <c r="A370" s="37" t="str">
        <f>IF(Agent02_Loans!B180="","",Agent02_Loans!A180)</f>
        <v/>
      </c>
      <c r="B370" s="37" t="str">
        <f>IF(Agent02_Loans!B180="","",Agent02_Loans!B180)</f>
        <v/>
      </c>
      <c r="C370" s="37" t="str">
        <f>IF(Agent02_Loans!B180="","",Agent02_Loans!C180)</f>
        <v/>
      </c>
      <c r="D370" s="38" t="str">
        <f>IF(Agent02_Loans!B180="","",Agent02_Loans!D180)</f>
        <v/>
      </c>
      <c r="E370" s="40" t="str">
        <f>IF(Agent02_Loans!B180="","",Agent02_Loans!E180)</f>
        <v/>
      </c>
      <c r="F370" s="37" t="str">
        <f>IF(Agent02_Loans!B180="","",Agent02_Loans!F180)</f>
        <v/>
      </c>
      <c r="G370" s="37" t="str">
        <f>IF(Agent02_Loans!B180="","",Agent02_Loans!G180)</f>
        <v/>
      </c>
      <c r="H370" s="37" t="str">
        <f>IF(Agent02_Loans!B180="","",Agent02_Loans!H180)</f>
        <v/>
      </c>
      <c r="I370" s="40" t="str">
        <f>IF(Agent02_Loans!B180="","",Agent02_Loans!I180)</f>
        <v/>
      </c>
      <c r="J370" s="40" t="str">
        <f>IF(Agent02_Loans!B180="","",Agent02_Loans!J180)</f>
        <v/>
      </c>
      <c r="K370" s="37" t="str">
        <f>IF(Agent02_Loans!B180="","",Agent02_Loans!K180)</f>
        <v/>
      </c>
      <c r="L370" s="37" t="str">
        <f>IF(Agent02_Loans!B180="","",Agent02_Loans!L180)</f>
        <v/>
      </c>
      <c r="M370" s="37" t="str">
        <f>IFERROR(IF(Agent02_Loans!B180="","",YEAR(Agent02_Loans!D180)),"")</f>
        <v/>
      </c>
    </row>
    <row r="371" spans="1:13" ht="18" customHeight="1" x14ac:dyDescent="0.25">
      <c r="A371" s="37" t="str">
        <f>IF(Agent02_Loans!B181="","",Agent02_Loans!A181)</f>
        <v/>
      </c>
      <c r="B371" s="37" t="str">
        <f>IF(Agent02_Loans!B181="","",Agent02_Loans!B181)</f>
        <v/>
      </c>
      <c r="C371" s="37" t="str">
        <f>IF(Agent02_Loans!B181="","",Agent02_Loans!C181)</f>
        <v/>
      </c>
      <c r="D371" s="38" t="str">
        <f>IF(Agent02_Loans!B181="","",Agent02_Loans!D181)</f>
        <v/>
      </c>
      <c r="E371" s="40" t="str">
        <f>IF(Agent02_Loans!B181="","",Agent02_Loans!E181)</f>
        <v/>
      </c>
      <c r="F371" s="37" t="str">
        <f>IF(Agent02_Loans!B181="","",Agent02_Loans!F181)</f>
        <v/>
      </c>
      <c r="G371" s="37" t="str">
        <f>IF(Agent02_Loans!B181="","",Agent02_Loans!G181)</f>
        <v/>
      </c>
      <c r="H371" s="37" t="str">
        <f>IF(Agent02_Loans!B181="","",Agent02_Loans!H181)</f>
        <v/>
      </c>
      <c r="I371" s="40" t="str">
        <f>IF(Agent02_Loans!B181="","",Agent02_Loans!I181)</f>
        <v/>
      </c>
      <c r="J371" s="40" t="str">
        <f>IF(Agent02_Loans!B181="","",Agent02_Loans!J181)</f>
        <v/>
      </c>
      <c r="K371" s="37" t="str">
        <f>IF(Agent02_Loans!B181="","",Agent02_Loans!K181)</f>
        <v/>
      </c>
      <c r="L371" s="37" t="str">
        <f>IF(Agent02_Loans!B181="","",Agent02_Loans!L181)</f>
        <v/>
      </c>
      <c r="M371" s="37" t="str">
        <f>IFERROR(IF(Agent02_Loans!B181="","",YEAR(Agent02_Loans!D181)),"")</f>
        <v/>
      </c>
    </row>
    <row r="372" spans="1:13" ht="18" customHeight="1" x14ac:dyDescent="0.25">
      <c r="A372" s="37" t="str">
        <f>IF(Agent02_Loans!B182="","",Agent02_Loans!A182)</f>
        <v/>
      </c>
      <c r="B372" s="37" t="str">
        <f>IF(Agent02_Loans!B182="","",Agent02_Loans!B182)</f>
        <v/>
      </c>
      <c r="C372" s="37" t="str">
        <f>IF(Agent02_Loans!B182="","",Agent02_Loans!C182)</f>
        <v/>
      </c>
      <c r="D372" s="38" t="str">
        <f>IF(Agent02_Loans!B182="","",Agent02_Loans!D182)</f>
        <v/>
      </c>
      <c r="E372" s="40" t="str">
        <f>IF(Agent02_Loans!B182="","",Agent02_Loans!E182)</f>
        <v/>
      </c>
      <c r="F372" s="37" t="str">
        <f>IF(Agent02_Loans!B182="","",Agent02_Loans!F182)</f>
        <v/>
      </c>
      <c r="G372" s="37" t="str">
        <f>IF(Agent02_Loans!B182="","",Agent02_Loans!G182)</f>
        <v/>
      </c>
      <c r="H372" s="37" t="str">
        <f>IF(Agent02_Loans!B182="","",Agent02_Loans!H182)</f>
        <v/>
      </c>
      <c r="I372" s="40" t="str">
        <f>IF(Agent02_Loans!B182="","",Agent02_Loans!I182)</f>
        <v/>
      </c>
      <c r="J372" s="40" t="str">
        <f>IF(Agent02_Loans!B182="","",Agent02_Loans!J182)</f>
        <v/>
      </c>
      <c r="K372" s="37" t="str">
        <f>IF(Agent02_Loans!B182="","",Agent02_Loans!K182)</f>
        <v/>
      </c>
      <c r="L372" s="37" t="str">
        <f>IF(Agent02_Loans!B182="","",Agent02_Loans!L182)</f>
        <v/>
      </c>
      <c r="M372" s="37" t="str">
        <f>IFERROR(IF(Agent02_Loans!B182="","",YEAR(Agent02_Loans!D182)),"")</f>
        <v/>
      </c>
    </row>
    <row r="373" spans="1:13" ht="18" customHeight="1" x14ac:dyDescent="0.25">
      <c r="A373" s="37" t="str">
        <f>IF(Agent02_Loans!B183="","",Agent02_Loans!A183)</f>
        <v/>
      </c>
      <c r="B373" s="37" t="str">
        <f>IF(Agent02_Loans!B183="","",Agent02_Loans!B183)</f>
        <v/>
      </c>
      <c r="C373" s="37" t="str">
        <f>IF(Agent02_Loans!B183="","",Agent02_Loans!C183)</f>
        <v/>
      </c>
      <c r="D373" s="38" t="str">
        <f>IF(Agent02_Loans!B183="","",Agent02_Loans!D183)</f>
        <v/>
      </c>
      <c r="E373" s="40" t="str">
        <f>IF(Agent02_Loans!B183="","",Agent02_Loans!E183)</f>
        <v/>
      </c>
      <c r="F373" s="37" t="str">
        <f>IF(Agent02_Loans!B183="","",Agent02_Loans!F183)</f>
        <v/>
      </c>
      <c r="G373" s="37" t="str">
        <f>IF(Agent02_Loans!B183="","",Agent02_Loans!G183)</f>
        <v/>
      </c>
      <c r="H373" s="37" t="str">
        <f>IF(Agent02_Loans!B183="","",Agent02_Loans!H183)</f>
        <v/>
      </c>
      <c r="I373" s="40" t="str">
        <f>IF(Agent02_Loans!B183="","",Agent02_Loans!I183)</f>
        <v/>
      </c>
      <c r="J373" s="40" t="str">
        <f>IF(Agent02_Loans!B183="","",Agent02_Loans!J183)</f>
        <v/>
      </c>
      <c r="K373" s="37" t="str">
        <f>IF(Agent02_Loans!B183="","",Agent02_Loans!K183)</f>
        <v/>
      </c>
      <c r="L373" s="37" t="str">
        <f>IF(Agent02_Loans!B183="","",Agent02_Loans!L183)</f>
        <v/>
      </c>
      <c r="M373" s="37" t="str">
        <f>IFERROR(IF(Agent02_Loans!B183="","",YEAR(Agent02_Loans!D183)),"")</f>
        <v/>
      </c>
    </row>
    <row r="374" spans="1:13" ht="18" customHeight="1" x14ac:dyDescent="0.25">
      <c r="A374" s="37" t="str">
        <f>IF(Agent02_Loans!B184="","",Agent02_Loans!A184)</f>
        <v/>
      </c>
      <c r="B374" s="37" t="str">
        <f>IF(Agent02_Loans!B184="","",Agent02_Loans!B184)</f>
        <v/>
      </c>
      <c r="C374" s="37" t="str">
        <f>IF(Agent02_Loans!B184="","",Agent02_Loans!C184)</f>
        <v/>
      </c>
      <c r="D374" s="38" t="str">
        <f>IF(Agent02_Loans!B184="","",Agent02_Loans!D184)</f>
        <v/>
      </c>
      <c r="E374" s="40" t="str">
        <f>IF(Agent02_Loans!B184="","",Agent02_Loans!E184)</f>
        <v/>
      </c>
      <c r="F374" s="37" t="str">
        <f>IF(Agent02_Loans!B184="","",Agent02_Loans!F184)</f>
        <v/>
      </c>
      <c r="G374" s="37" t="str">
        <f>IF(Agent02_Loans!B184="","",Agent02_Loans!G184)</f>
        <v/>
      </c>
      <c r="H374" s="37" t="str">
        <f>IF(Agent02_Loans!B184="","",Agent02_Loans!H184)</f>
        <v/>
      </c>
      <c r="I374" s="40" t="str">
        <f>IF(Agent02_Loans!B184="","",Agent02_Loans!I184)</f>
        <v/>
      </c>
      <c r="J374" s="40" t="str">
        <f>IF(Agent02_Loans!B184="","",Agent02_Loans!J184)</f>
        <v/>
      </c>
      <c r="K374" s="37" t="str">
        <f>IF(Agent02_Loans!B184="","",Agent02_Loans!K184)</f>
        <v/>
      </c>
      <c r="L374" s="37" t="str">
        <f>IF(Agent02_Loans!B184="","",Agent02_Loans!L184)</f>
        <v/>
      </c>
      <c r="M374" s="37" t="str">
        <f>IFERROR(IF(Agent02_Loans!B184="","",YEAR(Agent02_Loans!D184)),"")</f>
        <v/>
      </c>
    </row>
    <row r="375" spans="1:13" ht="18" customHeight="1" x14ac:dyDescent="0.25">
      <c r="A375" s="37" t="str">
        <f>IF(Agent02_Loans!B185="","",Agent02_Loans!A185)</f>
        <v/>
      </c>
      <c r="B375" s="37" t="str">
        <f>IF(Agent02_Loans!B185="","",Agent02_Loans!B185)</f>
        <v/>
      </c>
      <c r="C375" s="37" t="str">
        <f>IF(Agent02_Loans!B185="","",Agent02_Loans!C185)</f>
        <v/>
      </c>
      <c r="D375" s="38" t="str">
        <f>IF(Agent02_Loans!B185="","",Agent02_Loans!D185)</f>
        <v/>
      </c>
      <c r="E375" s="40" t="str">
        <f>IF(Agent02_Loans!B185="","",Agent02_Loans!E185)</f>
        <v/>
      </c>
      <c r="F375" s="37" t="str">
        <f>IF(Agent02_Loans!B185="","",Agent02_Loans!F185)</f>
        <v/>
      </c>
      <c r="G375" s="37" t="str">
        <f>IF(Agent02_Loans!B185="","",Agent02_Loans!G185)</f>
        <v/>
      </c>
      <c r="H375" s="37" t="str">
        <f>IF(Agent02_Loans!B185="","",Agent02_Loans!H185)</f>
        <v/>
      </c>
      <c r="I375" s="40" t="str">
        <f>IF(Agent02_Loans!B185="","",Agent02_Loans!I185)</f>
        <v/>
      </c>
      <c r="J375" s="40" t="str">
        <f>IF(Agent02_Loans!B185="","",Agent02_Loans!J185)</f>
        <v/>
      </c>
      <c r="K375" s="37" t="str">
        <f>IF(Agent02_Loans!B185="","",Agent02_Loans!K185)</f>
        <v/>
      </c>
      <c r="L375" s="37" t="str">
        <f>IF(Agent02_Loans!B185="","",Agent02_Loans!L185)</f>
        <v/>
      </c>
      <c r="M375" s="37" t="str">
        <f>IFERROR(IF(Agent02_Loans!B185="","",YEAR(Agent02_Loans!D185)),"")</f>
        <v/>
      </c>
    </row>
    <row r="376" spans="1:13" ht="18" customHeight="1" x14ac:dyDescent="0.25">
      <c r="A376" s="37" t="str">
        <f>IF(Agent02_Loans!B186="","",Agent02_Loans!A186)</f>
        <v/>
      </c>
      <c r="B376" s="37" t="str">
        <f>IF(Agent02_Loans!B186="","",Agent02_Loans!B186)</f>
        <v/>
      </c>
      <c r="C376" s="37" t="str">
        <f>IF(Agent02_Loans!B186="","",Agent02_Loans!C186)</f>
        <v/>
      </c>
      <c r="D376" s="38" t="str">
        <f>IF(Agent02_Loans!B186="","",Agent02_Loans!D186)</f>
        <v/>
      </c>
      <c r="E376" s="40" t="str">
        <f>IF(Agent02_Loans!B186="","",Agent02_Loans!E186)</f>
        <v/>
      </c>
      <c r="F376" s="37" t="str">
        <f>IF(Agent02_Loans!B186="","",Agent02_Loans!F186)</f>
        <v/>
      </c>
      <c r="G376" s="37" t="str">
        <f>IF(Agent02_Loans!B186="","",Agent02_Loans!G186)</f>
        <v/>
      </c>
      <c r="H376" s="37" t="str">
        <f>IF(Agent02_Loans!B186="","",Agent02_Loans!H186)</f>
        <v/>
      </c>
      <c r="I376" s="40" t="str">
        <f>IF(Agent02_Loans!B186="","",Agent02_Loans!I186)</f>
        <v/>
      </c>
      <c r="J376" s="40" t="str">
        <f>IF(Agent02_Loans!B186="","",Agent02_Loans!J186)</f>
        <v/>
      </c>
      <c r="K376" s="37" t="str">
        <f>IF(Agent02_Loans!B186="","",Agent02_Loans!K186)</f>
        <v/>
      </c>
      <c r="L376" s="37" t="str">
        <f>IF(Agent02_Loans!B186="","",Agent02_Loans!L186)</f>
        <v/>
      </c>
      <c r="M376" s="37" t="str">
        <f>IFERROR(IF(Agent02_Loans!B186="","",YEAR(Agent02_Loans!D186)),"")</f>
        <v/>
      </c>
    </row>
    <row r="377" spans="1:13" ht="18" customHeight="1" x14ac:dyDescent="0.25">
      <c r="A377" s="37" t="str">
        <f>IF(Agent02_Loans!B187="","",Agent02_Loans!A187)</f>
        <v/>
      </c>
      <c r="B377" s="37" t="str">
        <f>IF(Agent02_Loans!B187="","",Agent02_Loans!B187)</f>
        <v/>
      </c>
      <c r="C377" s="37" t="str">
        <f>IF(Agent02_Loans!B187="","",Agent02_Loans!C187)</f>
        <v/>
      </c>
      <c r="D377" s="38" t="str">
        <f>IF(Agent02_Loans!B187="","",Agent02_Loans!D187)</f>
        <v/>
      </c>
      <c r="E377" s="40" t="str">
        <f>IF(Agent02_Loans!B187="","",Agent02_Loans!E187)</f>
        <v/>
      </c>
      <c r="F377" s="37" t="str">
        <f>IF(Agent02_Loans!B187="","",Agent02_Loans!F187)</f>
        <v/>
      </c>
      <c r="G377" s="37" t="str">
        <f>IF(Agent02_Loans!B187="","",Agent02_Loans!G187)</f>
        <v/>
      </c>
      <c r="H377" s="37" t="str">
        <f>IF(Agent02_Loans!B187="","",Agent02_Loans!H187)</f>
        <v/>
      </c>
      <c r="I377" s="40" t="str">
        <f>IF(Agent02_Loans!B187="","",Agent02_Loans!I187)</f>
        <v/>
      </c>
      <c r="J377" s="40" t="str">
        <f>IF(Agent02_Loans!B187="","",Agent02_Loans!J187)</f>
        <v/>
      </c>
      <c r="K377" s="37" t="str">
        <f>IF(Agent02_Loans!B187="","",Agent02_Loans!K187)</f>
        <v/>
      </c>
      <c r="L377" s="37" t="str">
        <f>IF(Agent02_Loans!B187="","",Agent02_Loans!L187)</f>
        <v/>
      </c>
      <c r="M377" s="37" t="str">
        <f>IFERROR(IF(Agent02_Loans!B187="","",YEAR(Agent02_Loans!D187)),"")</f>
        <v/>
      </c>
    </row>
    <row r="378" spans="1:13" ht="18" customHeight="1" x14ac:dyDescent="0.25">
      <c r="A378" s="37" t="str">
        <f>IF(Agent02_Loans!B188="","",Agent02_Loans!A188)</f>
        <v/>
      </c>
      <c r="B378" s="37" t="str">
        <f>IF(Agent02_Loans!B188="","",Agent02_Loans!B188)</f>
        <v/>
      </c>
      <c r="C378" s="37" t="str">
        <f>IF(Agent02_Loans!B188="","",Agent02_Loans!C188)</f>
        <v/>
      </c>
      <c r="D378" s="38" t="str">
        <f>IF(Agent02_Loans!B188="","",Agent02_Loans!D188)</f>
        <v/>
      </c>
      <c r="E378" s="40" t="str">
        <f>IF(Agent02_Loans!B188="","",Agent02_Loans!E188)</f>
        <v/>
      </c>
      <c r="F378" s="37" t="str">
        <f>IF(Agent02_Loans!B188="","",Agent02_Loans!F188)</f>
        <v/>
      </c>
      <c r="G378" s="37" t="str">
        <f>IF(Agent02_Loans!B188="","",Agent02_Loans!G188)</f>
        <v/>
      </c>
      <c r="H378" s="37" t="str">
        <f>IF(Agent02_Loans!B188="","",Agent02_Loans!H188)</f>
        <v/>
      </c>
      <c r="I378" s="40" t="str">
        <f>IF(Agent02_Loans!B188="","",Agent02_Loans!I188)</f>
        <v/>
      </c>
      <c r="J378" s="40" t="str">
        <f>IF(Agent02_Loans!B188="","",Agent02_Loans!J188)</f>
        <v/>
      </c>
      <c r="K378" s="37" t="str">
        <f>IF(Agent02_Loans!B188="","",Agent02_Loans!K188)</f>
        <v/>
      </c>
      <c r="L378" s="37" t="str">
        <f>IF(Agent02_Loans!B188="","",Agent02_Loans!L188)</f>
        <v/>
      </c>
      <c r="M378" s="37" t="str">
        <f>IFERROR(IF(Agent02_Loans!B188="","",YEAR(Agent02_Loans!D188)),"")</f>
        <v/>
      </c>
    </row>
    <row r="379" spans="1:13" ht="18" customHeight="1" x14ac:dyDescent="0.25">
      <c r="A379" s="37" t="str">
        <f>IF(Agent02_Loans!B189="","",Agent02_Loans!A189)</f>
        <v/>
      </c>
      <c r="B379" s="37" t="str">
        <f>IF(Agent02_Loans!B189="","",Agent02_Loans!B189)</f>
        <v/>
      </c>
      <c r="C379" s="37" t="str">
        <f>IF(Agent02_Loans!B189="","",Agent02_Loans!C189)</f>
        <v/>
      </c>
      <c r="D379" s="38" t="str">
        <f>IF(Agent02_Loans!B189="","",Agent02_Loans!D189)</f>
        <v/>
      </c>
      <c r="E379" s="40" t="str">
        <f>IF(Agent02_Loans!B189="","",Agent02_Loans!E189)</f>
        <v/>
      </c>
      <c r="F379" s="37" t="str">
        <f>IF(Agent02_Loans!B189="","",Agent02_Loans!F189)</f>
        <v/>
      </c>
      <c r="G379" s="37" t="str">
        <f>IF(Agent02_Loans!B189="","",Agent02_Loans!G189)</f>
        <v/>
      </c>
      <c r="H379" s="37" t="str">
        <f>IF(Agent02_Loans!B189="","",Agent02_Loans!H189)</f>
        <v/>
      </c>
      <c r="I379" s="40" t="str">
        <f>IF(Agent02_Loans!B189="","",Agent02_Loans!I189)</f>
        <v/>
      </c>
      <c r="J379" s="40" t="str">
        <f>IF(Agent02_Loans!B189="","",Agent02_Loans!J189)</f>
        <v/>
      </c>
      <c r="K379" s="37" t="str">
        <f>IF(Agent02_Loans!B189="","",Agent02_Loans!K189)</f>
        <v/>
      </c>
      <c r="L379" s="37" t="str">
        <f>IF(Agent02_Loans!B189="","",Agent02_Loans!L189)</f>
        <v/>
      </c>
      <c r="M379" s="37" t="str">
        <f>IFERROR(IF(Agent02_Loans!B189="","",YEAR(Agent02_Loans!D189)),"")</f>
        <v/>
      </c>
    </row>
    <row r="380" spans="1:13" ht="18" customHeight="1" x14ac:dyDescent="0.25">
      <c r="A380" s="37" t="str">
        <f>IF(Agent02_Loans!B190="","",Agent02_Loans!A190)</f>
        <v/>
      </c>
      <c r="B380" s="37" t="str">
        <f>IF(Agent02_Loans!B190="","",Agent02_Loans!B190)</f>
        <v/>
      </c>
      <c r="C380" s="37" t="str">
        <f>IF(Agent02_Loans!B190="","",Agent02_Loans!C190)</f>
        <v/>
      </c>
      <c r="D380" s="38" t="str">
        <f>IF(Agent02_Loans!B190="","",Agent02_Loans!D190)</f>
        <v/>
      </c>
      <c r="E380" s="40" t="str">
        <f>IF(Agent02_Loans!B190="","",Agent02_Loans!E190)</f>
        <v/>
      </c>
      <c r="F380" s="37" t="str">
        <f>IF(Agent02_Loans!B190="","",Agent02_Loans!F190)</f>
        <v/>
      </c>
      <c r="G380" s="37" t="str">
        <f>IF(Agent02_Loans!B190="","",Agent02_Loans!G190)</f>
        <v/>
      </c>
      <c r="H380" s="37" t="str">
        <f>IF(Agent02_Loans!B190="","",Agent02_Loans!H190)</f>
        <v/>
      </c>
      <c r="I380" s="40" t="str">
        <f>IF(Agent02_Loans!B190="","",Agent02_Loans!I190)</f>
        <v/>
      </c>
      <c r="J380" s="40" t="str">
        <f>IF(Agent02_Loans!B190="","",Agent02_Loans!J190)</f>
        <v/>
      </c>
      <c r="K380" s="37" t="str">
        <f>IF(Agent02_Loans!B190="","",Agent02_Loans!K190)</f>
        <v/>
      </c>
      <c r="L380" s="37" t="str">
        <f>IF(Agent02_Loans!B190="","",Agent02_Loans!L190)</f>
        <v/>
      </c>
      <c r="M380" s="37" t="str">
        <f>IFERROR(IF(Agent02_Loans!B190="","",YEAR(Agent02_Loans!D190)),"")</f>
        <v/>
      </c>
    </row>
    <row r="381" spans="1:13" ht="18" customHeight="1" x14ac:dyDescent="0.25">
      <c r="A381" s="37" t="str">
        <f>IF(Agent02_Loans!B191="","",Agent02_Loans!A191)</f>
        <v/>
      </c>
      <c r="B381" s="37" t="str">
        <f>IF(Agent02_Loans!B191="","",Agent02_Loans!B191)</f>
        <v/>
      </c>
      <c r="C381" s="37" t="str">
        <f>IF(Agent02_Loans!B191="","",Agent02_Loans!C191)</f>
        <v/>
      </c>
      <c r="D381" s="38" t="str">
        <f>IF(Agent02_Loans!B191="","",Agent02_Loans!D191)</f>
        <v/>
      </c>
      <c r="E381" s="40" t="str">
        <f>IF(Agent02_Loans!B191="","",Agent02_Loans!E191)</f>
        <v/>
      </c>
      <c r="F381" s="37" t="str">
        <f>IF(Agent02_Loans!B191="","",Agent02_Loans!F191)</f>
        <v/>
      </c>
      <c r="G381" s="37" t="str">
        <f>IF(Agent02_Loans!B191="","",Agent02_Loans!G191)</f>
        <v/>
      </c>
      <c r="H381" s="37" t="str">
        <f>IF(Agent02_Loans!B191="","",Agent02_Loans!H191)</f>
        <v/>
      </c>
      <c r="I381" s="40" t="str">
        <f>IF(Agent02_Loans!B191="","",Agent02_Loans!I191)</f>
        <v/>
      </c>
      <c r="J381" s="40" t="str">
        <f>IF(Agent02_Loans!B191="","",Agent02_Loans!J191)</f>
        <v/>
      </c>
      <c r="K381" s="37" t="str">
        <f>IF(Agent02_Loans!B191="","",Agent02_Loans!K191)</f>
        <v/>
      </c>
      <c r="L381" s="37" t="str">
        <f>IF(Agent02_Loans!B191="","",Agent02_Loans!L191)</f>
        <v/>
      </c>
      <c r="M381" s="37" t="str">
        <f>IFERROR(IF(Agent02_Loans!B191="","",YEAR(Agent02_Loans!D191)),"")</f>
        <v/>
      </c>
    </row>
    <row r="382" spans="1:13" ht="18" customHeight="1" x14ac:dyDescent="0.25">
      <c r="A382" s="37" t="str">
        <f>IF(Agent02_Loans!B192="","",Agent02_Loans!A192)</f>
        <v/>
      </c>
      <c r="B382" s="37" t="str">
        <f>IF(Agent02_Loans!B192="","",Agent02_Loans!B192)</f>
        <v/>
      </c>
      <c r="C382" s="37" t="str">
        <f>IF(Agent02_Loans!B192="","",Agent02_Loans!C192)</f>
        <v/>
      </c>
      <c r="D382" s="38" t="str">
        <f>IF(Agent02_Loans!B192="","",Agent02_Loans!D192)</f>
        <v/>
      </c>
      <c r="E382" s="40" t="str">
        <f>IF(Agent02_Loans!B192="","",Agent02_Loans!E192)</f>
        <v/>
      </c>
      <c r="F382" s="37" t="str">
        <f>IF(Agent02_Loans!B192="","",Agent02_Loans!F192)</f>
        <v/>
      </c>
      <c r="G382" s="37" t="str">
        <f>IF(Agent02_Loans!B192="","",Agent02_Loans!G192)</f>
        <v/>
      </c>
      <c r="H382" s="37" t="str">
        <f>IF(Agent02_Loans!B192="","",Agent02_Loans!H192)</f>
        <v/>
      </c>
      <c r="I382" s="40" t="str">
        <f>IF(Agent02_Loans!B192="","",Agent02_Loans!I192)</f>
        <v/>
      </c>
      <c r="J382" s="40" t="str">
        <f>IF(Agent02_Loans!B192="","",Agent02_Loans!J192)</f>
        <v/>
      </c>
      <c r="K382" s="37" t="str">
        <f>IF(Agent02_Loans!B192="","",Agent02_Loans!K192)</f>
        <v/>
      </c>
      <c r="L382" s="37" t="str">
        <f>IF(Agent02_Loans!B192="","",Agent02_Loans!L192)</f>
        <v/>
      </c>
      <c r="M382" s="37" t="str">
        <f>IFERROR(IF(Agent02_Loans!B192="","",YEAR(Agent02_Loans!D192)),"")</f>
        <v/>
      </c>
    </row>
    <row r="383" spans="1:13" ht="18" customHeight="1" x14ac:dyDescent="0.25">
      <c r="A383" s="37" t="str">
        <f>IF(Agent02_Loans!B193="","",Agent02_Loans!A193)</f>
        <v/>
      </c>
      <c r="B383" s="37" t="str">
        <f>IF(Agent02_Loans!B193="","",Agent02_Loans!B193)</f>
        <v/>
      </c>
      <c r="C383" s="37" t="str">
        <f>IF(Agent02_Loans!B193="","",Agent02_Loans!C193)</f>
        <v/>
      </c>
      <c r="D383" s="38" t="str">
        <f>IF(Agent02_Loans!B193="","",Agent02_Loans!D193)</f>
        <v/>
      </c>
      <c r="E383" s="40" t="str">
        <f>IF(Agent02_Loans!B193="","",Agent02_Loans!E193)</f>
        <v/>
      </c>
      <c r="F383" s="37" t="str">
        <f>IF(Agent02_Loans!B193="","",Agent02_Loans!F193)</f>
        <v/>
      </c>
      <c r="G383" s="37" t="str">
        <f>IF(Agent02_Loans!B193="","",Agent02_Loans!G193)</f>
        <v/>
      </c>
      <c r="H383" s="37" t="str">
        <f>IF(Agent02_Loans!B193="","",Agent02_Loans!H193)</f>
        <v/>
      </c>
      <c r="I383" s="40" t="str">
        <f>IF(Agent02_Loans!B193="","",Agent02_Loans!I193)</f>
        <v/>
      </c>
      <c r="J383" s="40" t="str">
        <f>IF(Agent02_Loans!B193="","",Agent02_Loans!J193)</f>
        <v/>
      </c>
      <c r="K383" s="37" t="str">
        <f>IF(Agent02_Loans!B193="","",Agent02_Loans!K193)</f>
        <v/>
      </c>
      <c r="L383" s="37" t="str">
        <f>IF(Agent02_Loans!B193="","",Agent02_Loans!L193)</f>
        <v/>
      </c>
      <c r="M383" s="37" t="str">
        <f>IFERROR(IF(Agent02_Loans!B193="","",YEAR(Agent02_Loans!D193)),"")</f>
        <v/>
      </c>
    </row>
    <row r="384" spans="1:13" ht="18" customHeight="1" x14ac:dyDescent="0.25">
      <c r="A384" s="37" t="str">
        <f>IF(Agent02_Loans!B194="","",Agent02_Loans!A194)</f>
        <v/>
      </c>
      <c r="B384" s="37" t="str">
        <f>IF(Agent02_Loans!B194="","",Agent02_Loans!B194)</f>
        <v/>
      </c>
      <c r="C384" s="37" t="str">
        <f>IF(Agent02_Loans!B194="","",Agent02_Loans!C194)</f>
        <v/>
      </c>
      <c r="D384" s="38" t="str">
        <f>IF(Agent02_Loans!B194="","",Agent02_Loans!D194)</f>
        <v/>
      </c>
      <c r="E384" s="40" t="str">
        <f>IF(Agent02_Loans!B194="","",Agent02_Loans!E194)</f>
        <v/>
      </c>
      <c r="F384" s="37" t="str">
        <f>IF(Agent02_Loans!B194="","",Agent02_Loans!F194)</f>
        <v/>
      </c>
      <c r="G384" s="37" t="str">
        <f>IF(Agent02_Loans!B194="","",Agent02_Loans!G194)</f>
        <v/>
      </c>
      <c r="H384" s="37" t="str">
        <f>IF(Agent02_Loans!B194="","",Agent02_Loans!H194)</f>
        <v/>
      </c>
      <c r="I384" s="40" t="str">
        <f>IF(Agent02_Loans!B194="","",Agent02_Loans!I194)</f>
        <v/>
      </c>
      <c r="J384" s="40" t="str">
        <f>IF(Agent02_Loans!B194="","",Agent02_Loans!J194)</f>
        <v/>
      </c>
      <c r="K384" s="37" t="str">
        <f>IF(Agent02_Loans!B194="","",Agent02_Loans!K194)</f>
        <v/>
      </c>
      <c r="L384" s="37" t="str">
        <f>IF(Agent02_Loans!B194="","",Agent02_Loans!L194)</f>
        <v/>
      </c>
      <c r="M384" s="37" t="str">
        <f>IFERROR(IF(Agent02_Loans!B194="","",YEAR(Agent02_Loans!D194)),"")</f>
        <v/>
      </c>
    </row>
    <row r="385" spans="1:13" ht="18" customHeight="1" x14ac:dyDescent="0.25">
      <c r="A385" s="37" t="str">
        <f>IF(Agent02_Loans!B195="","",Agent02_Loans!A195)</f>
        <v/>
      </c>
      <c r="B385" s="37" t="str">
        <f>IF(Agent02_Loans!B195="","",Agent02_Loans!B195)</f>
        <v/>
      </c>
      <c r="C385" s="37" t="str">
        <f>IF(Agent02_Loans!B195="","",Agent02_Loans!C195)</f>
        <v/>
      </c>
      <c r="D385" s="38" t="str">
        <f>IF(Agent02_Loans!B195="","",Agent02_Loans!D195)</f>
        <v/>
      </c>
      <c r="E385" s="40" t="str">
        <f>IF(Agent02_Loans!B195="","",Agent02_Loans!E195)</f>
        <v/>
      </c>
      <c r="F385" s="37" t="str">
        <f>IF(Agent02_Loans!B195="","",Agent02_Loans!F195)</f>
        <v/>
      </c>
      <c r="G385" s="37" t="str">
        <f>IF(Agent02_Loans!B195="","",Agent02_Loans!G195)</f>
        <v/>
      </c>
      <c r="H385" s="37" t="str">
        <f>IF(Agent02_Loans!B195="","",Agent02_Loans!H195)</f>
        <v/>
      </c>
      <c r="I385" s="40" t="str">
        <f>IF(Agent02_Loans!B195="","",Agent02_Loans!I195)</f>
        <v/>
      </c>
      <c r="J385" s="40" t="str">
        <f>IF(Agent02_Loans!B195="","",Agent02_Loans!J195)</f>
        <v/>
      </c>
      <c r="K385" s="37" t="str">
        <f>IF(Agent02_Loans!B195="","",Agent02_Loans!K195)</f>
        <v/>
      </c>
      <c r="L385" s="37" t="str">
        <f>IF(Agent02_Loans!B195="","",Agent02_Loans!L195)</f>
        <v/>
      </c>
      <c r="M385" s="37" t="str">
        <f>IFERROR(IF(Agent02_Loans!B195="","",YEAR(Agent02_Loans!D195)),"")</f>
        <v/>
      </c>
    </row>
    <row r="386" spans="1:13" ht="18" customHeight="1" x14ac:dyDescent="0.25">
      <c r="A386" s="37" t="str">
        <f>IF(Agent02_Loans!B196="","",Agent02_Loans!A196)</f>
        <v/>
      </c>
      <c r="B386" s="37" t="str">
        <f>IF(Agent02_Loans!B196="","",Agent02_Loans!B196)</f>
        <v/>
      </c>
      <c r="C386" s="37" t="str">
        <f>IF(Agent02_Loans!B196="","",Agent02_Loans!C196)</f>
        <v/>
      </c>
      <c r="D386" s="38" t="str">
        <f>IF(Agent02_Loans!B196="","",Agent02_Loans!D196)</f>
        <v/>
      </c>
      <c r="E386" s="40" t="str">
        <f>IF(Agent02_Loans!B196="","",Agent02_Loans!E196)</f>
        <v/>
      </c>
      <c r="F386" s="37" t="str">
        <f>IF(Agent02_Loans!B196="","",Agent02_Loans!F196)</f>
        <v/>
      </c>
      <c r="G386" s="37" t="str">
        <f>IF(Agent02_Loans!B196="","",Agent02_Loans!G196)</f>
        <v/>
      </c>
      <c r="H386" s="37" t="str">
        <f>IF(Agent02_Loans!B196="","",Agent02_Loans!H196)</f>
        <v/>
      </c>
      <c r="I386" s="40" t="str">
        <f>IF(Agent02_Loans!B196="","",Agent02_Loans!I196)</f>
        <v/>
      </c>
      <c r="J386" s="40" t="str">
        <f>IF(Agent02_Loans!B196="","",Agent02_Loans!J196)</f>
        <v/>
      </c>
      <c r="K386" s="37" t="str">
        <f>IF(Agent02_Loans!B196="","",Agent02_Loans!K196)</f>
        <v/>
      </c>
      <c r="L386" s="37" t="str">
        <f>IF(Agent02_Loans!B196="","",Agent02_Loans!L196)</f>
        <v/>
      </c>
      <c r="M386" s="37" t="str">
        <f>IFERROR(IF(Agent02_Loans!B196="","",YEAR(Agent02_Loans!D196)),"")</f>
        <v/>
      </c>
    </row>
    <row r="387" spans="1:13" ht="18" customHeight="1" x14ac:dyDescent="0.25">
      <c r="A387" s="37" t="str">
        <f>IF(Agent02_Loans!B197="","",Agent02_Loans!A197)</f>
        <v/>
      </c>
      <c r="B387" s="37" t="str">
        <f>IF(Agent02_Loans!B197="","",Agent02_Loans!B197)</f>
        <v/>
      </c>
      <c r="C387" s="37" t="str">
        <f>IF(Agent02_Loans!B197="","",Agent02_Loans!C197)</f>
        <v/>
      </c>
      <c r="D387" s="38" t="str">
        <f>IF(Agent02_Loans!B197="","",Agent02_Loans!D197)</f>
        <v/>
      </c>
      <c r="E387" s="40" t="str">
        <f>IF(Agent02_Loans!B197="","",Agent02_Loans!E197)</f>
        <v/>
      </c>
      <c r="F387" s="37" t="str">
        <f>IF(Agent02_Loans!B197="","",Agent02_Loans!F197)</f>
        <v/>
      </c>
      <c r="G387" s="37" t="str">
        <f>IF(Agent02_Loans!B197="","",Agent02_Loans!G197)</f>
        <v/>
      </c>
      <c r="H387" s="37" t="str">
        <f>IF(Agent02_Loans!B197="","",Agent02_Loans!H197)</f>
        <v/>
      </c>
      <c r="I387" s="40" t="str">
        <f>IF(Agent02_Loans!B197="","",Agent02_Loans!I197)</f>
        <v/>
      </c>
      <c r="J387" s="40" t="str">
        <f>IF(Agent02_Loans!B197="","",Agent02_Loans!J197)</f>
        <v/>
      </c>
      <c r="K387" s="37" t="str">
        <f>IF(Agent02_Loans!B197="","",Agent02_Loans!K197)</f>
        <v/>
      </c>
      <c r="L387" s="37" t="str">
        <f>IF(Agent02_Loans!B197="","",Agent02_Loans!L197)</f>
        <v/>
      </c>
      <c r="M387" s="37" t="str">
        <f>IFERROR(IF(Agent02_Loans!B197="","",YEAR(Agent02_Loans!D197)),"")</f>
        <v/>
      </c>
    </row>
    <row r="388" spans="1:13" ht="18" customHeight="1" x14ac:dyDescent="0.25">
      <c r="A388" s="37" t="str">
        <f>IF(Agent02_Loans!B198="","",Agent02_Loans!A198)</f>
        <v/>
      </c>
      <c r="B388" s="37" t="str">
        <f>IF(Agent02_Loans!B198="","",Agent02_Loans!B198)</f>
        <v/>
      </c>
      <c r="C388" s="37" t="str">
        <f>IF(Agent02_Loans!B198="","",Agent02_Loans!C198)</f>
        <v/>
      </c>
      <c r="D388" s="38" t="str">
        <f>IF(Agent02_Loans!B198="","",Agent02_Loans!D198)</f>
        <v/>
      </c>
      <c r="E388" s="40" t="str">
        <f>IF(Agent02_Loans!B198="","",Agent02_Loans!E198)</f>
        <v/>
      </c>
      <c r="F388" s="37" t="str">
        <f>IF(Agent02_Loans!B198="","",Agent02_Loans!F198)</f>
        <v/>
      </c>
      <c r="G388" s="37" t="str">
        <f>IF(Agent02_Loans!B198="","",Agent02_Loans!G198)</f>
        <v/>
      </c>
      <c r="H388" s="37" t="str">
        <f>IF(Agent02_Loans!B198="","",Agent02_Loans!H198)</f>
        <v/>
      </c>
      <c r="I388" s="40" t="str">
        <f>IF(Agent02_Loans!B198="","",Agent02_Loans!I198)</f>
        <v/>
      </c>
      <c r="J388" s="40" t="str">
        <f>IF(Agent02_Loans!B198="","",Agent02_Loans!J198)</f>
        <v/>
      </c>
      <c r="K388" s="37" t="str">
        <f>IF(Agent02_Loans!B198="","",Agent02_Loans!K198)</f>
        <v/>
      </c>
      <c r="L388" s="37" t="str">
        <f>IF(Agent02_Loans!B198="","",Agent02_Loans!L198)</f>
        <v/>
      </c>
      <c r="M388" s="37" t="str">
        <f>IFERROR(IF(Agent02_Loans!B198="","",YEAR(Agent02_Loans!D198)),"")</f>
        <v/>
      </c>
    </row>
    <row r="389" spans="1:13" ht="18" customHeight="1" x14ac:dyDescent="0.25">
      <c r="A389" s="37" t="str">
        <f>IF(Agent02_Loans!B199="","",Agent02_Loans!A199)</f>
        <v/>
      </c>
      <c r="B389" s="37" t="str">
        <f>IF(Agent02_Loans!B199="","",Agent02_Loans!B199)</f>
        <v/>
      </c>
      <c r="C389" s="37" t="str">
        <f>IF(Agent02_Loans!B199="","",Agent02_Loans!C199)</f>
        <v/>
      </c>
      <c r="D389" s="38" t="str">
        <f>IF(Agent02_Loans!B199="","",Agent02_Loans!D199)</f>
        <v/>
      </c>
      <c r="E389" s="40" t="str">
        <f>IF(Agent02_Loans!B199="","",Agent02_Loans!E199)</f>
        <v/>
      </c>
      <c r="F389" s="37" t="str">
        <f>IF(Agent02_Loans!B199="","",Agent02_Loans!F199)</f>
        <v/>
      </c>
      <c r="G389" s="37" t="str">
        <f>IF(Agent02_Loans!B199="","",Agent02_Loans!G199)</f>
        <v/>
      </c>
      <c r="H389" s="37" t="str">
        <f>IF(Agent02_Loans!B199="","",Agent02_Loans!H199)</f>
        <v/>
      </c>
      <c r="I389" s="40" t="str">
        <f>IF(Agent02_Loans!B199="","",Agent02_Loans!I199)</f>
        <v/>
      </c>
      <c r="J389" s="40" t="str">
        <f>IF(Agent02_Loans!B199="","",Agent02_Loans!J199)</f>
        <v/>
      </c>
      <c r="K389" s="37" t="str">
        <f>IF(Agent02_Loans!B199="","",Agent02_Loans!K199)</f>
        <v/>
      </c>
      <c r="L389" s="37" t="str">
        <f>IF(Agent02_Loans!B199="","",Agent02_Loans!L199)</f>
        <v/>
      </c>
      <c r="M389" s="37" t="str">
        <f>IFERROR(IF(Agent02_Loans!B199="","",YEAR(Agent02_Loans!D199)),"")</f>
        <v/>
      </c>
    </row>
    <row r="390" spans="1:13" ht="18" customHeight="1" x14ac:dyDescent="0.25">
      <c r="A390" s="37" t="str">
        <f>IF(Agent02_Loans!B200="","",Agent02_Loans!A200)</f>
        <v/>
      </c>
      <c r="B390" s="37" t="str">
        <f>IF(Agent02_Loans!B200="","",Agent02_Loans!B200)</f>
        <v/>
      </c>
      <c r="C390" s="37" t="str">
        <f>IF(Agent02_Loans!B200="","",Agent02_Loans!C200)</f>
        <v/>
      </c>
      <c r="D390" s="38" t="str">
        <f>IF(Agent02_Loans!B200="","",Agent02_Loans!D200)</f>
        <v/>
      </c>
      <c r="E390" s="40" t="str">
        <f>IF(Agent02_Loans!B200="","",Agent02_Loans!E200)</f>
        <v/>
      </c>
      <c r="F390" s="37" t="str">
        <f>IF(Agent02_Loans!B200="","",Agent02_Loans!F200)</f>
        <v/>
      </c>
      <c r="G390" s="37" t="str">
        <f>IF(Agent02_Loans!B200="","",Agent02_Loans!G200)</f>
        <v/>
      </c>
      <c r="H390" s="37" t="str">
        <f>IF(Agent02_Loans!B200="","",Agent02_Loans!H200)</f>
        <v/>
      </c>
      <c r="I390" s="40" t="str">
        <f>IF(Agent02_Loans!B200="","",Agent02_Loans!I200)</f>
        <v/>
      </c>
      <c r="J390" s="40" t="str">
        <f>IF(Agent02_Loans!B200="","",Agent02_Loans!J200)</f>
        <v/>
      </c>
      <c r="K390" s="37" t="str">
        <f>IF(Agent02_Loans!B200="","",Agent02_Loans!K200)</f>
        <v/>
      </c>
      <c r="L390" s="37" t="str">
        <f>IF(Agent02_Loans!B200="","",Agent02_Loans!L200)</f>
        <v/>
      </c>
      <c r="M390" s="37" t="str">
        <f>IFERROR(IF(Agent02_Loans!B200="","",YEAR(Agent02_Loans!D200)),"")</f>
        <v/>
      </c>
    </row>
    <row r="391" spans="1:13" ht="18" customHeight="1" x14ac:dyDescent="0.25">
      <c r="A391" s="37" t="str">
        <f>IF(Agent02_Loans!B201="","",Agent02_Loans!A201)</f>
        <v/>
      </c>
      <c r="B391" s="37" t="str">
        <f>IF(Agent02_Loans!B201="","",Agent02_Loans!B201)</f>
        <v/>
      </c>
      <c r="C391" s="37" t="str">
        <f>IF(Agent02_Loans!B201="","",Agent02_Loans!C201)</f>
        <v/>
      </c>
      <c r="D391" s="38" t="str">
        <f>IF(Agent02_Loans!B201="","",Agent02_Loans!D201)</f>
        <v/>
      </c>
      <c r="E391" s="40" t="str">
        <f>IF(Agent02_Loans!B201="","",Agent02_Loans!E201)</f>
        <v/>
      </c>
      <c r="F391" s="37" t="str">
        <f>IF(Agent02_Loans!B201="","",Agent02_Loans!F201)</f>
        <v/>
      </c>
      <c r="G391" s="37" t="str">
        <f>IF(Agent02_Loans!B201="","",Agent02_Loans!G201)</f>
        <v/>
      </c>
      <c r="H391" s="37" t="str">
        <f>IF(Agent02_Loans!B201="","",Agent02_Loans!H201)</f>
        <v/>
      </c>
      <c r="I391" s="40" t="str">
        <f>IF(Agent02_Loans!B201="","",Agent02_Loans!I201)</f>
        <v/>
      </c>
      <c r="J391" s="40" t="str">
        <f>IF(Agent02_Loans!B201="","",Agent02_Loans!J201)</f>
        <v/>
      </c>
      <c r="K391" s="37" t="str">
        <f>IF(Agent02_Loans!B201="","",Agent02_Loans!K201)</f>
        <v/>
      </c>
      <c r="L391" s="37" t="str">
        <f>IF(Agent02_Loans!B201="","",Agent02_Loans!L201)</f>
        <v/>
      </c>
      <c r="M391" s="37" t="str">
        <f>IFERROR(IF(Agent02_Loans!B201="","",YEAR(Agent02_Loans!D201)),"")</f>
        <v/>
      </c>
    </row>
    <row r="392" spans="1:13" ht="18" customHeight="1" x14ac:dyDescent="0.25">
      <c r="A392" s="37" t="str">
        <f>IF(Agent02_Loans!B202="","",Agent02_Loans!A202)</f>
        <v/>
      </c>
      <c r="B392" s="37" t="str">
        <f>IF(Agent02_Loans!B202="","",Agent02_Loans!B202)</f>
        <v/>
      </c>
      <c r="C392" s="37" t="str">
        <f>IF(Agent02_Loans!B202="","",Agent02_Loans!C202)</f>
        <v/>
      </c>
      <c r="D392" s="38" t="str">
        <f>IF(Agent02_Loans!B202="","",Agent02_Loans!D202)</f>
        <v/>
      </c>
      <c r="E392" s="40" t="str">
        <f>IF(Agent02_Loans!B202="","",Agent02_Loans!E202)</f>
        <v/>
      </c>
      <c r="F392" s="37" t="str">
        <f>IF(Agent02_Loans!B202="","",Agent02_Loans!F202)</f>
        <v/>
      </c>
      <c r="G392" s="37" t="str">
        <f>IF(Agent02_Loans!B202="","",Agent02_Loans!G202)</f>
        <v/>
      </c>
      <c r="H392" s="37" t="str">
        <f>IF(Agent02_Loans!B202="","",Agent02_Loans!H202)</f>
        <v/>
      </c>
      <c r="I392" s="40" t="str">
        <f>IF(Agent02_Loans!B202="","",Agent02_Loans!I202)</f>
        <v/>
      </c>
      <c r="J392" s="40" t="str">
        <f>IF(Agent02_Loans!B202="","",Agent02_Loans!J202)</f>
        <v/>
      </c>
      <c r="K392" s="37" t="str">
        <f>IF(Agent02_Loans!B202="","",Agent02_Loans!K202)</f>
        <v/>
      </c>
      <c r="L392" s="37" t="str">
        <f>IF(Agent02_Loans!B202="","",Agent02_Loans!L202)</f>
        <v/>
      </c>
      <c r="M392" s="37" t="str">
        <f>IFERROR(IF(Agent02_Loans!B202="","",YEAR(Agent02_Loans!D202)),"")</f>
        <v/>
      </c>
    </row>
    <row r="393" spans="1:13" ht="18" customHeight="1" x14ac:dyDescent="0.25">
      <c r="A393" s="37" t="str">
        <f>IF(Agent02_Loans!B203="","",Agent02_Loans!A203)</f>
        <v/>
      </c>
      <c r="B393" s="37" t="str">
        <f>IF(Agent02_Loans!B203="","",Agent02_Loans!B203)</f>
        <v/>
      </c>
      <c r="C393" s="37" t="str">
        <f>IF(Agent02_Loans!B203="","",Agent02_Loans!C203)</f>
        <v/>
      </c>
      <c r="D393" s="38" t="str">
        <f>IF(Agent02_Loans!B203="","",Agent02_Loans!D203)</f>
        <v/>
      </c>
      <c r="E393" s="40" t="str">
        <f>IF(Agent02_Loans!B203="","",Agent02_Loans!E203)</f>
        <v/>
      </c>
      <c r="F393" s="37" t="str">
        <f>IF(Agent02_Loans!B203="","",Agent02_Loans!F203)</f>
        <v/>
      </c>
      <c r="G393" s="37" t="str">
        <f>IF(Agent02_Loans!B203="","",Agent02_Loans!G203)</f>
        <v/>
      </c>
      <c r="H393" s="37" t="str">
        <f>IF(Agent02_Loans!B203="","",Agent02_Loans!H203)</f>
        <v/>
      </c>
      <c r="I393" s="40" t="str">
        <f>IF(Agent02_Loans!B203="","",Agent02_Loans!I203)</f>
        <v/>
      </c>
      <c r="J393" s="40" t="str">
        <f>IF(Agent02_Loans!B203="","",Agent02_Loans!J203)</f>
        <v/>
      </c>
      <c r="K393" s="37" t="str">
        <f>IF(Agent02_Loans!B203="","",Agent02_Loans!K203)</f>
        <v/>
      </c>
      <c r="L393" s="37" t="str">
        <f>IF(Agent02_Loans!B203="","",Agent02_Loans!L203)</f>
        <v/>
      </c>
      <c r="M393" s="37" t="str">
        <f>IFERROR(IF(Agent02_Loans!B203="","",YEAR(Agent02_Loans!D203)),"")</f>
        <v/>
      </c>
    </row>
    <row r="394" spans="1:13" ht="18" customHeight="1" x14ac:dyDescent="0.25">
      <c r="A394" s="37" t="str">
        <f>IF(Agent02_Loans!B204="","",Agent02_Loans!A204)</f>
        <v/>
      </c>
      <c r="B394" s="37" t="str">
        <f>IF(Agent02_Loans!B204="","",Agent02_Loans!B204)</f>
        <v/>
      </c>
      <c r="C394" s="37" t="str">
        <f>IF(Agent02_Loans!B204="","",Agent02_Loans!C204)</f>
        <v/>
      </c>
      <c r="D394" s="38" t="str">
        <f>IF(Agent02_Loans!B204="","",Agent02_Loans!D204)</f>
        <v/>
      </c>
      <c r="E394" s="40" t="str">
        <f>IF(Agent02_Loans!B204="","",Agent02_Loans!E204)</f>
        <v/>
      </c>
      <c r="F394" s="37" t="str">
        <f>IF(Agent02_Loans!B204="","",Agent02_Loans!F204)</f>
        <v/>
      </c>
      <c r="G394" s="37" t="str">
        <f>IF(Agent02_Loans!B204="","",Agent02_Loans!G204)</f>
        <v/>
      </c>
      <c r="H394" s="37" t="str">
        <f>IF(Agent02_Loans!B204="","",Agent02_Loans!H204)</f>
        <v/>
      </c>
      <c r="I394" s="40" t="str">
        <f>IF(Agent02_Loans!B204="","",Agent02_Loans!I204)</f>
        <v/>
      </c>
      <c r="J394" s="40" t="str">
        <f>IF(Agent02_Loans!B204="","",Agent02_Loans!J204)</f>
        <v/>
      </c>
      <c r="K394" s="37" t="str">
        <f>IF(Agent02_Loans!B204="","",Agent02_Loans!K204)</f>
        <v/>
      </c>
      <c r="L394" s="37" t="str">
        <f>IF(Agent02_Loans!B204="","",Agent02_Loans!L204)</f>
        <v/>
      </c>
      <c r="M394" s="37" t="str">
        <f>IFERROR(IF(Agent02_Loans!B204="","",YEAR(Agent02_Loans!D204)),"")</f>
        <v/>
      </c>
    </row>
    <row r="395" spans="1:13" ht="18" customHeight="1" x14ac:dyDescent="0.25">
      <c r="A395" s="37" t="str">
        <f>IF(Agent02_Loans!B205="","",Agent02_Loans!A205)</f>
        <v/>
      </c>
      <c r="B395" s="37" t="str">
        <f>IF(Agent02_Loans!B205="","",Agent02_Loans!B205)</f>
        <v/>
      </c>
      <c r="C395" s="37" t="str">
        <f>IF(Agent02_Loans!B205="","",Agent02_Loans!C205)</f>
        <v/>
      </c>
      <c r="D395" s="38" t="str">
        <f>IF(Agent02_Loans!B205="","",Agent02_Loans!D205)</f>
        <v/>
      </c>
      <c r="E395" s="40" t="str">
        <f>IF(Agent02_Loans!B205="","",Agent02_Loans!E205)</f>
        <v/>
      </c>
      <c r="F395" s="37" t="str">
        <f>IF(Agent02_Loans!B205="","",Agent02_Loans!F205)</f>
        <v/>
      </c>
      <c r="G395" s="37" t="str">
        <f>IF(Agent02_Loans!B205="","",Agent02_Loans!G205)</f>
        <v/>
      </c>
      <c r="H395" s="37" t="str">
        <f>IF(Agent02_Loans!B205="","",Agent02_Loans!H205)</f>
        <v/>
      </c>
      <c r="I395" s="40" t="str">
        <f>IF(Agent02_Loans!B205="","",Agent02_Loans!I205)</f>
        <v/>
      </c>
      <c r="J395" s="40" t="str">
        <f>IF(Agent02_Loans!B205="","",Agent02_Loans!J205)</f>
        <v/>
      </c>
      <c r="K395" s="37" t="str">
        <f>IF(Agent02_Loans!B205="","",Agent02_Loans!K205)</f>
        <v/>
      </c>
      <c r="L395" s="37" t="str">
        <f>IF(Agent02_Loans!B205="","",Agent02_Loans!L205)</f>
        <v/>
      </c>
      <c r="M395" s="37" t="str">
        <f>IFERROR(IF(Agent02_Loans!B205="","",YEAR(Agent02_Loans!D205)),"")</f>
        <v/>
      </c>
    </row>
    <row r="396" spans="1:13" ht="18" customHeight="1" x14ac:dyDescent="0.25">
      <c r="A396" s="37" t="str">
        <f>IF(Agent02_Loans!B206="","",Agent02_Loans!A206)</f>
        <v/>
      </c>
      <c r="B396" s="37" t="str">
        <f>IF(Agent02_Loans!B206="","",Agent02_Loans!B206)</f>
        <v/>
      </c>
      <c r="C396" s="37" t="str">
        <f>IF(Agent02_Loans!B206="","",Agent02_Loans!C206)</f>
        <v/>
      </c>
      <c r="D396" s="38" t="str">
        <f>IF(Agent02_Loans!B206="","",Agent02_Loans!D206)</f>
        <v/>
      </c>
      <c r="E396" s="40" t="str">
        <f>IF(Agent02_Loans!B206="","",Agent02_Loans!E206)</f>
        <v/>
      </c>
      <c r="F396" s="37" t="str">
        <f>IF(Agent02_Loans!B206="","",Agent02_Loans!F206)</f>
        <v/>
      </c>
      <c r="G396" s="37" t="str">
        <f>IF(Agent02_Loans!B206="","",Agent02_Loans!G206)</f>
        <v/>
      </c>
      <c r="H396" s="37" t="str">
        <f>IF(Agent02_Loans!B206="","",Agent02_Loans!H206)</f>
        <v/>
      </c>
      <c r="I396" s="40" t="str">
        <f>IF(Agent02_Loans!B206="","",Agent02_Loans!I206)</f>
        <v/>
      </c>
      <c r="J396" s="40" t="str">
        <f>IF(Agent02_Loans!B206="","",Agent02_Loans!J206)</f>
        <v/>
      </c>
      <c r="K396" s="37" t="str">
        <f>IF(Agent02_Loans!B206="","",Agent02_Loans!K206)</f>
        <v/>
      </c>
      <c r="L396" s="37" t="str">
        <f>IF(Agent02_Loans!B206="","",Agent02_Loans!L206)</f>
        <v/>
      </c>
      <c r="M396" s="37" t="str">
        <f>IFERROR(IF(Agent02_Loans!B206="","",YEAR(Agent02_Loans!D206)),"")</f>
        <v/>
      </c>
    </row>
    <row r="397" spans="1:13" ht="18" customHeight="1" x14ac:dyDescent="0.25">
      <c r="A397" s="37" t="str">
        <f>IF(Agent02_Loans!B207="","",Agent02_Loans!A207)</f>
        <v/>
      </c>
      <c r="B397" s="37" t="str">
        <f>IF(Agent02_Loans!B207="","",Agent02_Loans!B207)</f>
        <v/>
      </c>
      <c r="C397" s="37" t="str">
        <f>IF(Agent02_Loans!B207="","",Agent02_Loans!C207)</f>
        <v/>
      </c>
      <c r="D397" s="38" t="str">
        <f>IF(Agent02_Loans!B207="","",Agent02_Loans!D207)</f>
        <v/>
      </c>
      <c r="E397" s="40" t="str">
        <f>IF(Agent02_Loans!B207="","",Agent02_Loans!E207)</f>
        <v/>
      </c>
      <c r="F397" s="37" t="str">
        <f>IF(Agent02_Loans!B207="","",Agent02_Loans!F207)</f>
        <v/>
      </c>
      <c r="G397" s="37" t="str">
        <f>IF(Agent02_Loans!B207="","",Agent02_Loans!G207)</f>
        <v/>
      </c>
      <c r="H397" s="37" t="str">
        <f>IF(Agent02_Loans!B207="","",Agent02_Loans!H207)</f>
        <v/>
      </c>
      <c r="I397" s="40" t="str">
        <f>IF(Agent02_Loans!B207="","",Agent02_Loans!I207)</f>
        <v/>
      </c>
      <c r="J397" s="40" t="str">
        <f>IF(Agent02_Loans!B207="","",Agent02_Loans!J207)</f>
        <v/>
      </c>
      <c r="K397" s="37" t="str">
        <f>IF(Agent02_Loans!B207="","",Agent02_Loans!K207)</f>
        <v/>
      </c>
      <c r="L397" s="37" t="str">
        <f>IF(Agent02_Loans!B207="","",Agent02_Loans!L207)</f>
        <v/>
      </c>
      <c r="M397" s="37" t="str">
        <f>IFERROR(IF(Agent02_Loans!B207="","",YEAR(Agent02_Loans!D207)),"")</f>
        <v/>
      </c>
    </row>
    <row r="398" spans="1:13" ht="18" customHeight="1" x14ac:dyDescent="0.25">
      <c r="A398" s="37" t="str">
        <f>IF(Agent02_Loans!B208="","",Agent02_Loans!A208)</f>
        <v/>
      </c>
      <c r="B398" s="37" t="str">
        <f>IF(Agent02_Loans!B208="","",Agent02_Loans!B208)</f>
        <v/>
      </c>
      <c r="C398" s="37" t="str">
        <f>IF(Agent02_Loans!B208="","",Agent02_Loans!C208)</f>
        <v/>
      </c>
      <c r="D398" s="38" t="str">
        <f>IF(Agent02_Loans!B208="","",Agent02_Loans!D208)</f>
        <v/>
      </c>
      <c r="E398" s="40" t="str">
        <f>IF(Agent02_Loans!B208="","",Agent02_Loans!E208)</f>
        <v/>
      </c>
      <c r="F398" s="37" t="str">
        <f>IF(Agent02_Loans!B208="","",Agent02_Loans!F208)</f>
        <v/>
      </c>
      <c r="G398" s="37" t="str">
        <f>IF(Agent02_Loans!B208="","",Agent02_Loans!G208)</f>
        <v/>
      </c>
      <c r="H398" s="37" t="str">
        <f>IF(Agent02_Loans!B208="","",Agent02_Loans!H208)</f>
        <v/>
      </c>
      <c r="I398" s="40" t="str">
        <f>IF(Agent02_Loans!B208="","",Agent02_Loans!I208)</f>
        <v/>
      </c>
      <c r="J398" s="40" t="str">
        <f>IF(Agent02_Loans!B208="","",Agent02_Loans!J208)</f>
        <v/>
      </c>
      <c r="K398" s="37" t="str">
        <f>IF(Agent02_Loans!B208="","",Agent02_Loans!K208)</f>
        <v/>
      </c>
      <c r="L398" s="37" t="str">
        <f>IF(Agent02_Loans!B208="","",Agent02_Loans!L208)</f>
        <v/>
      </c>
      <c r="M398" s="37" t="str">
        <f>IFERROR(IF(Agent02_Loans!B208="","",YEAR(Agent02_Loans!D208)),"")</f>
        <v/>
      </c>
    </row>
    <row r="399" spans="1:13" ht="18" customHeight="1" x14ac:dyDescent="0.25">
      <c r="A399" s="37" t="str">
        <f>IF(Agent02_Loans!B209="","",Agent02_Loans!A209)</f>
        <v/>
      </c>
      <c r="B399" s="37" t="str">
        <f>IF(Agent02_Loans!B209="","",Agent02_Loans!B209)</f>
        <v/>
      </c>
      <c r="C399" s="37" t="str">
        <f>IF(Agent02_Loans!B209="","",Agent02_Loans!C209)</f>
        <v/>
      </c>
      <c r="D399" s="38" t="str">
        <f>IF(Agent02_Loans!B209="","",Agent02_Loans!D209)</f>
        <v/>
      </c>
      <c r="E399" s="40" t="str">
        <f>IF(Agent02_Loans!B209="","",Agent02_Loans!E209)</f>
        <v/>
      </c>
      <c r="F399" s="37" t="str">
        <f>IF(Agent02_Loans!B209="","",Agent02_Loans!F209)</f>
        <v/>
      </c>
      <c r="G399" s="37" t="str">
        <f>IF(Agent02_Loans!B209="","",Agent02_Loans!G209)</f>
        <v/>
      </c>
      <c r="H399" s="37" t="str">
        <f>IF(Agent02_Loans!B209="","",Agent02_Loans!H209)</f>
        <v/>
      </c>
      <c r="I399" s="40" t="str">
        <f>IF(Agent02_Loans!B209="","",Agent02_Loans!I209)</f>
        <v/>
      </c>
      <c r="J399" s="40" t="str">
        <f>IF(Agent02_Loans!B209="","",Agent02_Loans!J209)</f>
        <v/>
      </c>
      <c r="K399" s="37" t="str">
        <f>IF(Agent02_Loans!B209="","",Agent02_Loans!K209)</f>
        <v/>
      </c>
      <c r="L399" s="37" t="str">
        <f>IF(Agent02_Loans!B209="","",Agent02_Loans!L209)</f>
        <v/>
      </c>
      <c r="M399" s="37" t="str">
        <f>IFERROR(IF(Agent02_Loans!B209="","",YEAR(Agent02_Loans!D209)),"")</f>
        <v/>
      </c>
    </row>
    <row r="400" spans="1:13" ht="18" customHeight="1" x14ac:dyDescent="0.25">
      <c r="A400" s="37" t="str">
        <f>IF(Agent02_Loans!B210="","",Agent02_Loans!A210)</f>
        <v/>
      </c>
      <c r="B400" s="37" t="str">
        <f>IF(Agent02_Loans!B210="","",Agent02_Loans!B210)</f>
        <v/>
      </c>
      <c r="C400" s="37" t="str">
        <f>IF(Agent02_Loans!B210="","",Agent02_Loans!C210)</f>
        <v/>
      </c>
      <c r="D400" s="38" t="str">
        <f>IF(Agent02_Loans!B210="","",Agent02_Loans!D210)</f>
        <v/>
      </c>
      <c r="E400" s="40" t="str">
        <f>IF(Agent02_Loans!B210="","",Agent02_Loans!E210)</f>
        <v/>
      </c>
      <c r="F400" s="37" t="str">
        <f>IF(Agent02_Loans!B210="","",Agent02_Loans!F210)</f>
        <v/>
      </c>
      <c r="G400" s="37" t="str">
        <f>IF(Agent02_Loans!B210="","",Agent02_Loans!G210)</f>
        <v/>
      </c>
      <c r="H400" s="37" t="str">
        <f>IF(Agent02_Loans!B210="","",Agent02_Loans!H210)</f>
        <v/>
      </c>
      <c r="I400" s="40" t="str">
        <f>IF(Agent02_Loans!B210="","",Agent02_Loans!I210)</f>
        <v/>
      </c>
      <c r="J400" s="40" t="str">
        <f>IF(Agent02_Loans!B210="","",Agent02_Loans!J210)</f>
        <v/>
      </c>
      <c r="K400" s="37" t="str">
        <f>IF(Agent02_Loans!B210="","",Agent02_Loans!K210)</f>
        <v/>
      </c>
      <c r="L400" s="37" t="str">
        <f>IF(Agent02_Loans!B210="","",Agent02_Loans!L210)</f>
        <v/>
      </c>
      <c r="M400" s="37" t="str">
        <f>IFERROR(IF(Agent02_Loans!B210="","",YEAR(Agent02_Loans!D210)),"")</f>
        <v/>
      </c>
    </row>
    <row r="401" spans="1:13" ht="18" customHeight="1" x14ac:dyDescent="0.25">
      <c r="A401" s="37" t="str">
        <f>IF(Agent02_Loans!B211="","",Agent02_Loans!A211)</f>
        <v/>
      </c>
      <c r="B401" s="37" t="str">
        <f>IF(Agent02_Loans!B211="","",Agent02_Loans!B211)</f>
        <v/>
      </c>
      <c r="C401" s="37" t="str">
        <f>IF(Agent02_Loans!B211="","",Agent02_Loans!C211)</f>
        <v/>
      </c>
      <c r="D401" s="38" t="str">
        <f>IF(Agent02_Loans!B211="","",Agent02_Loans!D211)</f>
        <v/>
      </c>
      <c r="E401" s="40" t="str">
        <f>IF(Agent02_Loans!B211="","",Agent02_Loans!E211)</f>
        <v/>
      </c>
      <c r="F401" s="37" t="str">
        <f>IF(Agent02_Loans!B211="","",Agent02_Loans!F211)</f>
        <v/>
      </c>
      <c r="G401" s="37" t="str">
        <f>IF(Agent02_Loans!B211="","",Agent02_Loans!G211)</f>
        <v/>
      </c>
      <c r="H401" s="37" t="str">
        <f>IF(Agent02_Loans!B211="","",Agent02_Loans!H211)</f>
        <v/>
      </c>
      <c r="I401" s="40" t="str">
        <f>IF(Agent02_Loans!B211="","",Agent02_Loans!I211)</f>
        <v/>
      </c>
      <c r="J401" s="40" t="str">
        <f>IF(Agent02_Loans!B211="","",Agent02_Loans!J211)</f>
        <v/>
      </c>
      <c r="K401" s="37" t="str">
        <f>IF(Agent02_Loans!B211="","",Agent02_Loans!K211)</f>
        <v/>
      </c>
      <c r="L401" s="37" t="str">
        <f>IF(Agent02_Loans!B211="","",Agent02_Loans!L211)</f>
        <v/>
      </c>
      <c r="M401" s="37" t="str">
        <f>IFERROR(IF(Agent02_Loans!B211="","",YEAR(Agent02_Loans!D211)),"")</f>
        <v/>
      </c>
    </row>
    <row r="402" spans="1:13" ht="18" customHeight="1" x14ac:dyDescent="0.25">
      <c r="A402" s="37" t="str">
        <f>IF(Agent02_Loans!B212="","",Agent02_Loans!A212)</f>
        <v/>
      </c>
      <c r="B402" s="37" t="str">
        <f>IF(Agent02_Loans!B212="","",Agent02_Loans!B212)</f>
        <v/>
      </c>
      <c r="C402" s="37" t="str">
        <f>IF(Agent02_Loans!B212="","",Agent02_Loans!C212)</f>
        <v/>
      </c>
      <c r="D402" s="38" t="str">
        <f>IF(Agent02_Loans!B212="","",Agent02_Loans!D212)</f>
        <v/>
      </c>
      <c r="E402" s="40" t="str">
        <f>IF(Agent02_Loans!B212="","",Agent02_Loans!E212)</f>
        <v/>
      </c>
      <c r="F402" s="37" t="str">
        <f>IF(Agent02_Loans!B212="","",Agent02_Loans!F212)</f>
        <v/>
      </c>
      <c r="G402" s="37" t="str">
        <f>IF(Agent02_Loans!B212="","",Agent02_Loans!G212)</f>
        <v/>
      </c>
      <c r="H402" s="37" t="str">
        <f>IF(Agent02_Loans!B212="","",Agent02_Loans!H212)</f>
        <v/>
      </c>
      <c r="I402" s="40" t="str">
        <f>IF(Agent02_Loans!B212="","",Agent02_Loans!I212)</f>
        <v/>
      </c>
      <c r="J402" s="40" t="str">
        <f>IF(Agent02_Loans!B212="","",Agent02_Loans!J212)</f>
        <v/>
      </c>
      <c r="K402" s="37" t="str">
        <f>IF(Agent02_Loans!B212="","",Agent02_Loans!K212)</f>
        <v/>
      </c>
      <c r="L402" s="37" t="str">
        <f>IF(Agent02_Loans!B212="","",Agent02_Loans!L212)</f>
        <v/>
      </c>
      <c r="M402" s="37" t="str">
        <f>IFERROR(IF(Agent02_Loans!B212="","",YEAR(Agent02_Loans!D212)),"")</f>
        <v/>
      </c>
    </row>
    <row r="403" spans="1:13" ht="18" customHeight="1" x14ac:dyDescent="0.25">
      <c r="A403" s="37" t="str">
        <f>IF(Agent02_Loans!B213="","",Agent02_Loans!A213)</f>
        <v/>
      </c>
      <c r="B403" s="37" t="str">
        <f>IF(Agent02_Loans!B213="","",Agent02_Loans!B213)</f>
        <v/>
      </c>
      <c r="C403" s="37" t="str">
        <f>IF(Agent02_Loans!B213="","",Agent02_Loans!C213)</f>
        <v/>
      </c>
      <c r="D403" s="38" t="str">
        <f>IF(Agent02_Loans!B213="","",Agent02_Loans!D213)</f>
        <v/>
      </c>
      <c r="E403" s="40" t="str">
        <f>IF(Agent02_Loans!B213="","",Agent02_Loans!E213)</f>
        <v/>
      </c>
      <c r="F403" s="37" t="str">
        <f>IF(Agent02_Loans!B213="","",Agent02_Loans!F213)</f>
        <v/>
      </c>
      <c r="G403" s="37" t="str">
        <f>IF(Agent02_Loans!B213="","",Agent02_Loans!G213)</f>
        <v/>
      </c>
      <c r="H403" s="37" t="str">
        <f>IF(Agent02_Loans!B213="","",Agent02_Loans!H213)</f>
        <v/>
      </c>
      <c r="I403" s="40" t="str">
        <f>IF(Agent02_Loans!B213="","",Agent02_Loans!I213)</f>
        <v/>
      </c>
      <c r="J403" s="40" t="str">
        <f>IF(Agent02_Loans!B213="","",Agent02_Loans!J213)</f>
        <v/>
      </c>
      <c r="K403" s="37" t="str">
        <f>IF(Agent02_Loans!B213="","",Agent02_Loans!K213)</f>
        <v/>
      </c>
      <c r="L403" s="37" t="str">
        <f>IF(Agent02_Loans!B213="","",Agent02_Loans!L213)</f>
        <v/>
      </c>
      <c r="M403" s="37" t="str">
        <f>IFERROR(IF(Agent02_Loans!B213="","",YEAR(Agent02_Loans!D213)),"")</f>
        <v/>
      </c>
    </row>
    <row r="404" spans="1:13" ht="18" customHeight="1" x14ac:dyDescent="0.25">
      <c r="A404" s="37" t="str">
        <f>IF(Agent03_Loans!B14="","",Agent03_Loans!A14)</f>
        <v/>
      </c>
      <c r="B404" s="37" t="str">
        <f>IF(Agent03_Loans!B14="","",Agent03_Loans!B14)</f>
        <v/>
      </c>
      <c r="C404" s="37" t="str">
        <f>IF(Agent03_Loans!B14="","",Agent03_Loans!C14)</f>
        <v/>
      </c>
      <c r="D404" s="38" t="str">
        <f>IF(Agent03_Loans!B14="","",Agent03_Loans!D14)</f>
        <v/>
      </c>
      <c r="E404" s="40" t="str">
        <f>IF(Agent03_Loans!B14="","",Agent03_Loans!E14)</f>
        <v/>
      </c>
      <c r="F404" s="37" t="str">
        <f>IF(Agent03_Loans!B14="","",Agent03_Loans!F14)</f>
        <v/>
      </c>
      <c r="G404" s="37" t="str">
        <f>IF(Agent03_Loans!B14="","",Agent03_Loans!G14)</f>
        <v/>
      </c>
      <c r="H404" s="37" t="str">
        <f>IF(Agent03_Loans!B14="","",Agent03_Loans!H14)</f>
        <v/>
      </c>
      <c r="I404" s="40" t="str">
        <f>IF(Agent03_Loans!B14="","",Agent03_Loans!I14)</f>
        <v/>
      </c>
      <c r="J404" s="40" t="str">
        <f>IF(Agent03_Loans!B14="","",Agent03_Loans!J14)</f>
        <v/>
      </c>
      <c r="K404" s="37" t="str">
        <f>IF(Agent03_Loans!B14="","",Agent03_Loans!K14)</f>
        <v/>
      </c>
      <c r="L404" s="37" t="str">
        <f>IF(Agent03_Loans!B14="","",Agent03_Loans!L14)</f>
        <v/>
      </c>
      <c r="M404" s="37" t="str">
        <f>IFERROR(IF(Agent03_Loans!B14="","",YEAR(Agent03_Loans!D14)),"")</f>
        <v/>
      </c>
    </row>
    <row r="405" spans="1:13" ht="18" customHeight="1" x14ac:dyDescent="0.25">
      <c r="A405" s="37" t="str">
        <f>IF(Agent03_Loans!B15="","",Agent03_Loans!A15)</f>
        <v/>
      </c>
      <c r="B405" s="37" t="str">
        <f>IF(Agent03_Loans!B15="","",Agent03_Loans!B15)</f>
        <v/>
      </c>
      <c r="C405" s="37" t="str">
        <f>IF(Agent03_Loans!B15="","",Agent03_Loans!C15)</f>
        <v/>
      </c>
      <c r="D405" s="38" t="str">
        <f>IF(Agent03_Loans!B15="","",Agent03_Loans!D15)</f>
        <v/>
      </c>
      <c r="E405" s="40" t="str">
        <f>IF(Agent03_Loans!B15="","",Agent03_Loans!E15)</f>
        <v/>
      </c>
      <c r="F405" s="37" t="str">
        <f>IF(Agent03_Loans!B15="","",Agent03_Loans!F15)</f>
        <v/>
      </c>
      <c r="G405" s="37" t="str">
        <f>IF(Agent03_Loans!B15="","",Agent03_Loans!G15)</f>
        <v/>
      </c>
      <c r="H405" s="37" t="str">
        <f>IF(Agent03_Loans!B15="","",Agent03_Loans!H15)</f>
        <v/>
      </c>
      <c r="I405" s="40" t="str">
        <f>IF(Agent03_Loans!B15="","",Agent03_Loans!I15)</f>
        <v/>
      </c>
      <c r="J405" s="40" t="str">
        <f>IF(Agent03_Loans!B15="","",Agent03_Loans!J15)</f>
        <v/>
      </c>
      <c r="K405" s="37" t="str">
        <f>IF(Agent03_Loans!B15="","",Agent03_Loans!K15)</f>
        <v/>
      </c>
      <c r="L405" s="37" t="str">
        <f>IF(Agent03_Loans!B15="","",Agent03_Loans!L15)</f>
        <v/>
      </c>
      <c r="M405" s="37" t="str">
        <f>IFERROR(IF(Agent03_Loans!B15="","",YEAR(Agent03_Loans!D15)),"")</f>
        <v/>
      </c>
    </row>
    <row r="406" spans="1:13" ht="18" customHeight="1" x14ac:dyDescent="0.25">
      <c r="A406" s="37" t="str">
        <f>IF(Agent03_Loans!B16="","",Agent03_Loans!A16)</f>
        <v/>
      </c>
      <c r="B406" s="37" t="str">
        <f>IF(Agent03_Loans!B16="","",Agent03_Loans!B16)</f>
        <v/>
      </c>
      <c r="C406" s="37" t="str">
        <f>IF(Agent03_Loans!B16="","",Agent03_Loans!C16)</f>
        <v/>
      </c>
      <c r="D406" s="38" t="str">
        <f>IF(Agent03_Loans!B16="","",Agent03_Loans!D16)</f>
        <v/>
      </c>
      <c r="E406" s="40" t="str">
        <f>IF(Agent03_Loans!B16="","",Agent03_Loans!E16)</f>
        <v/>
      </c>
      <c r="F406" s="37" t="str">
        <f>IF(Agent03_Loans!B16="","",Agent03_Loans!F16)</f>
        <v/>
      </c>
      <c r="G406" s="37" t="str">
        <f>IF(Agent03_Loans!B16="","",Agent03_Loans!G16)</f>
        <v/>
      </c>
      <c r="H406" s="37" t="str">
        <f>IF(Agent03_Loans!B16="","",Agent03_Loans!H16)</f>
        <v/>
      </c>
      <c r="I406" s="40" t="str">
        <f>IF(Agent03_Loans!B16="","",Agent03_Loans!I16)</f>
        <v/>
      </c>
      <c r="J406" s="40" t="str">
        <f>IF(Agent03_Loans!B16="","",Agent03_Loans!J16)</f>
        <v/>
      </c>
      <c r="K406" s="37" t="str">
        <f>IF(Agent03_Loans!B16="","",Agent03_Loans!K16)</f>
        <v/>
      </c>
      <c r="L406" s="37" t="str">
        <f>IF(Agent03_Loans!B16="","",Agent03_Loans!L16)</f>
        <v/>
      </c>
      <c r="M406" s="37" t="str">
        <f>IFERROR(IF(Agent03_Loans!B16="","",YEAR(Agent03_Loans!D16)),"")</f>
        <v/>
      </c>
    </row>
    <row r="407" spans="1:13" ht="18" customHeight="1" x14ac:dyDescent="0.25">
      <c r="A407" s="37" t="str">
        <f>IF(Agent03_Loans!B17="","",Agent03_Loans!A17)</f>
        <v/>
      </c>
      <c r="B407" s="37" t="str">
        <f>IF(Agent03_Loans!B17="","",Agent03_Loans!B17)</f>
        <v/>
      </c>
      <c r="C407" s="37" t="str">
        <f>IF(Agent03_Loans!B17="","",Agent03_Loans!C17)</f>
        <v/>
      </c>
      <c r="D407" s="38" t="str">
        <f>IF(Agent03_Loans!B17="","",Agent03_Loans!D17)</f>
        <v/>
      </c>
      <c r="E407" s="40" t="str">
        <f>IF(Agent03_Loans!B17="","",Agent03_Loans!E17)</f>
        <v/>
      </c>
      <c r="F407" s="37" t="str">
        <f>IF(Agent03_Loans!B17="","",Agent03_Loans!F17)</f>
        <v/>
      </c>
      <c r="G407" s="37" t="str">
        <f>IF(Agent03_Loans!B17="","",Agent03_Loans!G17)</f>
        <v/>
      </c>
      <c r="H407" s="37" t="str">
        <f>IF(Agent03_Loans!B17="","",Agent03_Loans!H17)</f>
        <v/>
      </c>
      <c r="I407" s="40" t="str">
        <f>IF(Agent03_Loans!B17="","",Agent03_Loans!I17)</f>
        <v/>
      </c>
      <c r="J407" s="40" t="str">
        <f>IF(Agent03_Loans!B17="","",Agent03_Loans!J17)</f>
        <v/>
      </c>
      <c r="K407" s="37" t="str">
        <f>IF(Agent03_Loans!B17="","",Agent03_Loans!K17)</f>
        <v/>
      </c>
      <c r="L407" s="37" t="str">
        <f>IF(Agent03_Loans!B17="","",Agent03_Loans!L17)</f>
        <v/>
      </c>
      <c r="M407" s="37" t="str">
        <f>IFERROR(IF(Agent03_Loans!B17="","",YEAR(Agent03_Loans!D17)),"")</f>
        <v/>
      </c>
    </row>
    <row r="408" spans="1:13" ht="18" customHeight="1" x14ac:dyDescent="0.25">
      <c r="A408" s="37" t="str">
        <f>IF(Agent03_Loans!B18="","",Agent03_Loans!A18)</f>
        <v/>
      </c>
      <c r="B408" s="37" t="str">
        <f>IF(Agent03_Loans!B18="","",Agent03_Loans!B18)</f>
        <v/>
      </c>
      <c r="C408" s="37" t="str">
        <f>IF(Agent03_Loans!B18="","",Agent03_Loans!C18)</f>
        <v/>
      </c>
      <c r="D408" s="38" t="str">
        <f>IF(Agent03_Loans!B18="","",Agent03_Loans!D18)</f>
        <v/>
      </c>
      <c r="E408" s="40" t="str">
        <f>IF(Agent03_Loans!B18="","",Agent03_Loans!E18)</f>
        <v/>
      </c>
      <c r="F408" s="37" t="str">
        <f>IF(Agent03_Loans!B18="","",Agent03_Loans!F18)</f>
        <v/>
      </c>
      <c r="G408" s="37" t="str">
        <f>IF(Agent03_Loans!B18="","",Agent03_Loans!G18)</f>
        <v/>
      </c>
      <c r="H408" s="37" t="str">
        <f>IF(Agent03_Loans!B18="","",Agent03_Loans!H18)</f>
        <v/>
      </c>
      <c r="I408" s="40" t="str">
        <f>IF(Agent03_Loans!B18="","",Agent03_Loans!I18)</f>
        <v/>
      </c>
      <c r="J408" s="40" t="str">
        <f>IF(Agent03_Loans!B18="","",Agent03_Loans!J18)</f>
        <v/>
      </c>
      <c r="K408" s="37" t="str">
        <f>IF(Agent03_Loans!B18="","",Agent03_Loans!K18)</f>
        <v/>
      </c>
      <c r="L408" s="37" t="str">
        <f>IF(Agent03_Loans!B18="","",Agent03_Loans!L18)</f>
        <v/>
      </c>
      <c r="M408" s="37" t="str">
        <f>IFERROR(IF(Agent03_Loans!B18="","",YEAR(Agent03_Loans!D18)),"")</f>
        <v/>
      </c>
    </row>
    <row r="409" spans="1:13" ht="18" customHeight="1" x14ac:dyDescent="0.25">
      <c r="A409" s="37" t="str">
        <f>IF(Agent03_Loans!B19="","",Agent03_Loans!A19)</f>
        <v/>
      </c>
      <c r="B409" s="37" t="str">
        <f>IF(Agent03_Loans!B19="","",Agent03_Loans!B19)</f>
        <v/>
      </c>
      <c r="C409" s="37" t="str">
        <f>IF(Agent03_Loans!B19="","",Agent03_Loans!C19)</f>
        <v/>
      </c>
      <c r="D409" s="38" t="str">
        <f>IF(Agent03_Loans!B19="","",Agent03_Loans!D19)</f>
        <v/>
      </c>
      <c r="E409" s="40" t="str">
        <f>IF(Agent03_Loans!B19="","",Agent03_Loans!E19)</f>
        <v/>
      </c>
      <c r="F409" s="37" t="str">
        <f>IF(Agent03_Loans!B19="","",Agent03_Loans!F19)</f>
        <v/>
      </c>
      <c r="G409" s="37" t="str">
        <f>IF(Agent03_Loans!B19="","",Agent03_Loans!G19)</f>
        <v/>
      </c>
      <c r="H409" s="37" t="str">
        <f>IF(Agent03_Loans!B19="","",Agent03_Loans!H19)</f>
        <v/>
      </c>
      <c r="I409" s="40" t="str">
        <f>IF(Agent03_Loans!B19="","",Agent03_Loans!I19)</f>
        <v/>
      </c>
      <c r="J409" s="40" t="str">
        <f>IF(Agent03_Loans!B19="","",Agent03_Loans!J19)</f>
        <v/>
      </c>
      <c r="K409" s="37" t="str">
        <f>IF(Agent03_Loans!B19="","",Agent03_Loans!K19)</f>
        <v/>
      </c>
      <c r="L409" s="37" t="str">
        <f>IF(Agent03_Loans!B19="","",Agent03_Loans!L19)</f>
        <v/>
      </c>
      <c r="M409" s="37" t="str">
        <f>IFERROR(IF(Agent03_Loans!B19="","",YEAR(Agent03_Loans!D19)),"")</f>
        <v/>
      </c>
    </row>
    <row r="410" spans="1:13" ht="18" customHeight="1" x14ac:dyDescent="0.25">
      <c r="A410" s="37" t="str">
        <f>IF(Agent03_Loans!B20="","",Agent03_Loans!A20)</f>
        <v/>
      </c>
      <c r="B410" s="37" t="str">
        <f>IF(Agent03_Loans!B20="","",Agent03_Loans!B20)</f>
        <v/>
      </c>
      <c r="C410" s="37" t="str">
        <f>IF(Agent03_Loans!B20="","",Agent03_Loans!C20)</f>
        <v/>
      </c>
      <c r="D410" s="38" t="str">
        <f>IF(Agent03_Loans!B20="","",Agent03_Loans!D20)</f>
        <v/>
      </c>
      <c r="E410" s="40" t="str">
        <f>IF(Agent03_Loans!B20="","",Agent03_Loans!E20)</f>
        <v/>
      </c>
      <c r="F410" s="37" t="str">
        <f>IF(Agent03_Loans!B20="","",Agent03_Loans!F20)</f>
        <v/>
      </c>
      <c r="G410" s="37" t="str">
        <f>IF(Agent03_Loans!B20="","",Agent03_Loans!G20)</f>
        <v/>
      </c>
      <c r="H410" s="37" t="str">
        <f>IF(Agent03_Loans!B20="","",Agent03_Loans!H20)</f>
        <v/>
      </c>
      <c r="I410" s="40" t="str">
        <f>IF(Agent03_Loans!B20="","",Agent03_Loans!I20)</f>
        <v/>
      </c>
      <c r="J410" s="40" t="str">
        <f>IF(Agent03_Loans!B20="","",Agent03_Loans!J20)</f>
        <v/>
      </c>
      <c r="K410" s="37" t="str">
        <f>IF(Agent03_Loans!B20="","",Agent03_Loans!K20)</f>
        <v/>
      </c>
      <c r="L410" s="37" t="str">
        <f>IF(Agent03_Loans!B20="","",Agent03_Loans!L20)</f>
        <v/>
      </c>
      <c r="M410" s="37" t="str">
        <f>IFERROR(IF(Agent03_Loans!B20="","",YEAR(Agent03_Loans!D20)),"")</f>
        <v/>
      </c>
    </row>
    <row r="411" spans="1:13" ht="18" customHeight="1" x14ac:dyDescent="0.25">
      <c r="A411" s="37" t="str">
        <f>IF(Agent03_Loans!B21="","",Agent03_Loans!A21)</f>
        <v/>
      </c>
      <c r="B411" s="37" t="str">
        <f>IF(Agent03_Loans!B21="","",Agent03_Loans!B21)</f>
        <v/>
      </c>
      <c r="C411" s="37" t="str">
        <f>IF(Agent03_Loans!B21="","",Agent03_Loans!C21)</f>
        <v/>
      </c>
      <c r="D411" s="38" t="str">
        <f>IF(Agent03_Loans!B21="","",Agent03_Loans!D21)</f>
        <v/>
      </c>
      <c r="E411" s="40" t="str">
        <f>IF(Agent03_Loans!B21="","",Agent03_Loans!E21)</f>
        <v/>
      </c>
      <c r="F411" s="37" t="str">
        <f>IF(Agent03_Loans!B21="","",Agent03_Loans!F21)</f>
        <v/>
      </c>
      <c r="G411" s="37" t="str">
        <f>IF(Agent03_Loans!B21="","",Agent03_Loans!G21)</f>
        <v/>
      </c>
      <c r="H411" s="37" t="str">
        <f>IF(Agent03_Loans!B21="","",Agent03_Loans!H21)</f>
        <v/>
      </c>
      <c r="I411" s="40" t="str">
        <f>IF(Agent03_Loans!B21="","",Agent03_Loans!I21)</f>
        <v/>
      </c>
      <c r="J411" s="40" t="str">
        <f>IF(Agent03_Loans!B21="","",Agent03_Loans!J21)</f>
        <v/>
      </c>
      <c r="K411" s="37" t="str">
        <f>IF(Agent03_Loans!B21="","",Agent03_Loans!K21)</f>
        <v/>
      </c>
      <c r="L411" s="37" t="str">
        <f>IF(Agent03_Loans!B21="","",Agent03_Loans!L21)</f>
        <v/>
      </c>
      <c r="M411" s="37" t="str">
        <f>IFERROR(IF(Agent03_Loans!B21="","",YEAR(Agent03_Loans!D21)),"")</f>
        <v/>
      </c>
    </row>
    <row r="412" spans="1:13" ht="18" customHeight="1" x14ac:dyDescent="0.25">
      <c r="A412" s="37" t="str">
        <f>IF(Agent03_Loans!B22="","",Agent03_Loans!A22)</f>
        <v/>
      </c>
      <c r="B412" s="37" t="str">
        <f>IF(Agent03_Loans!B22="","",Agent03_Loans!B22)</f>
        <v/>
      </c>
      <c r="C412" s="37" t="str">
        <f>IF(Agent03_Loans!B22="","",Agent03_Loans!C22)</f>
        <v/>
      </c>
      <c r="D412" s="38" t="str">
        <f>IF(Agent03_Loans!B22="","",Agent03_Loans!D22)</f>
        <v/>
      </c>
      <c r="E412" s="40" t="str">
        <f>IF(Agent03_Loans!B22="","",Agent03_Loans!E22)</f>
        <v/>
      </c>
      <c r="F412" s="37" t="str">
        <f>IF(Agent03_Loans!B22="","",Agent03_Loans!F22)</f>
        <v/>
      </c>
      <c r="G412" s="37" t="str">
        <f>IF(Agent03_Loans!B22="","",Agent03_Loans!G22)</f>
        <v/>
      </c>
      <c r="H412" s="37" t="str">
        <f>IF(Agent03_Loans!B22="","",Agent03_Loans!H22)</f>
        <v/>
      </c>
      <c r="I412" s="40" t="str">
        <f>IF(Agent03_Loans!B22="","",Agent03_Loans!I22)</f>
        <v/>
      </c>
      <c r="J412" s="40" t="str">
        <f>IF(Agent03_Loans!B22="","",Agent03_Loans!J22)</f>
        <v/>
      </c>
      <c r="K412" s="37" t="str">
        <f>IF(Agent03_Loans!B22="","",Agent03_Loans!K22)</f>
        <v/>
      </c>
      <c r="L412" s="37" t="str">
        <f>IF(Agent03_Loans!B22="","",Agent03_Loans!L22)</f>
        <v/>
      </c>
      <c r="M412" s="37" t="str">
        <f>IFERROR(IF(Agent03_Loans!B22="","",YEAR(Agent03_Loans!D22)),"")</f>
        <v/>
      </c>
    </row>
    <row r="413" spans="1:13" ht="18" customHeight="1" x14ac:dyDescent="0.25">
      <c r="A413" s="37" t="str">
        <f>IF(Agent03_Loans!B23="","",Agent03_Loans!A23)</f>
        <v/>
      </c>
      <c r="B413" s="37" t="str">
        <f>IF(Agent03_Loans!B23="","",Agent03_Loans!B23)</f>
        <v/>
      </c>
      <c r="C413" s="37" t="str">
        <f>IF(Agent03_Loans!B23="","",Agent03_Loans!C23)</f>
        <v/>
      </c>
      <c r="D413" s="38" t="str">
        <f>IF(Agent03_Loans!B23="","",Agent03_Loans!D23)</f>
        <v/>
      </c>
      <c r="E413" s="40" t="str">
        <f>IF(Agent03_Loans!B23="","",Agent03_Loans!E23)</f>
        <v/>
      </c>
      <c r="F413" s="37" t="str">
        <f>IF(Agent03_Loans!B23="","",Agent03_Loans!F23)</f>
        <v/>
      </c>
      <c r="G413" s="37" t="str">
        <f>IF(Agent03_Loans!B23="","",Agent03_Loans!G23)</f>
        <v/>
      </c>
      <c r="H413" s="37" t="str">
        <f>IF(Agent03_Loans!B23="","",Agent03_Loans!H23)</f>
        <v/>
      </c>
      <c r="I413" s="40" t="str">
        <f>IF(Agent03_Loans!B23="","",Agent03_Loans!I23)</f>
        <v/>
      </c>
      <c r="J413" s="40" t="str">
        <f>IF(Agent03_Loans!B23="","",Agent03_Loans!J23)</f>
        <v/>
      </c>
      <c r="K413" s="37" t="str">
        <f>IF(Agent03_Loans!B23="","",Agent03_Loans!K23)</f>
        <v/>
      </c>
      <c r="L413" s="37" t="str">
        <f>IF(Agent03_Loans!B23="","",Agent03_Loans!L23)</f>
        <v/>
      </c>
      <c r="M413" s="37" t="str">
        <f>IFERROR(IF(Agent03_Loans!B23="","",YEAR(Agent03_Loans!D23)),"")</f>
        <v/>
      </c>
    </row>
    <row r="414" spans="1:13" ht="18" customHeight="1" x14ac:dyDescent="0.25">
      <c r="A414" s="37" t="str">
        <f>IF(Agent03_Loans!B24="","",Agent03_Loans!A24)</f>
        <v/>
      </c>
      <c r="B414" s="37" t="str">
        <f>IF(Agent03_Loans!B24="","",Agent03_Loans!B24)</f>
        <v/>
      </c>
      <c r="C414" s="37" t="str">
        <f>IF(Agent03_Loans!B24="","",Agent03_Loans!C24)</f>
        <v/>
      </c>
      <c r="D414" s="38" t="str">
        <f>IF(Agent03_Loans!B24="","",Agent03_Loans!D24)</f>
        <v/>
      </c>
      <c r="E414" s="40" t="str">
        <f>IF(Agent03_Loans!B24="","",Agent03_Loans!E24)</f>
        <v/>
      </c>
      <c r="F414" s="37" t="str">
        <f>IF(Agent03_Loans!B24="","",Agent03_Loans!F24)</f>
        <v/>
      </c>
      <c r="G414" s="37" t="str">
        <f>IF(Agent03_Loans!B24="","",Agent03_Loans!G24)</f>
        <v/>
      </c>
      <c r="H414" s="37" t="str">
        <f>IF(Agent03_Loans!B24="","",Agent03_Loans!H24)</f>
        <v/>
      </c>
      <c r="I414" s="40" t="str">
        <f>IF(Agent03_Loans!B24="","",Agent03_Loans!I24)</f>
        <v/>
      </c>
      <c r="J414" s="40" t="str">
        <f>IF(Agent03_Loans!B24="","",Agent03_Loans!J24)</f>
        <v/>
      </c>
      <c r="K414" s="37" t="str">
        <f>IF(Agent03_Loans!B24="","",Agent03_Loans!K24)</f>
        <v/>
      </c>
      <c r="L414" s="37" t="str">
        <f>IF(Agent03_Loans!B24="","",Agent03_Loans!L24)</f>
        <v/>
      </c>
      <c r="M414" s="37" t="str">
        <f>IFERROR(IF(Agent03_Loans!B24="","",YEAR(Agent03_Loans!D24)),"")</f>
        <v/>
      </c>
    </row>
    <row r="415" spans="1:13" ht="18" customHeight="1" x14ac:dyDescent="0.25">
      <c r="A415" s="37" t="str">
        <f>IF(Agent03_Loans!B25="","",Agent03_Loans!A25)</f>
        <v/>
      </c>
      <c r="B415" s="37" t="str">
        <f>IF(Agent03_Loans!B25="","",Agent03_Loans!B25)</f>
        <v/>
      </c>
      <c r="C415" s="37" t="str">
        <f>IF(Agent03_Loans!B25="","",Agent03_Loans!C25)</f>
        <v/>
      </c>
      <c r="D415" s="38" t="str">
        <f>IF(Agent03_Loans!B25="","",Agent03_Loans!D25)</f>
        <v/>
      </c>
      <c r="E415" s="40" t="str">
        <f>IF(Agent03_Loans!B25="","",Agent03_Loans!E25)</f>
        <v/>
      </c>
      <c r="F415" s="37" t="str">
        <f>IF(Agent03_Loans!B25="","",Agent03_Loans!F25)</f>
        <v/>
      </c>
      <c r="G415" s="37" t="str">
        <f>IF(Agent03_Loans!B25="","",Agent03_Loans!G25)</f>
        <v/>
      </c>
      <c r="H415" s="37" t="str">
        <f>IF(Agent03_Loans!B25="","",Agent03_Loans!H25)</f>
        <v/>
      </c>
      <c r="I415" s="40" t="str">
        <f>IF(Agent03_Loans!B25="","",Agent03_Loans!I25)</f>
        <v/>
      </c>
      <c r="J415" s="40" t="str">
        <f>IF(Agent03_Loans!B25="","",Agent03_Loans!J25)</f>
        <v/>
      </c>
      <c r="K415" s="37" t="str">
        <f>IF(Agent03_Loans!B25="","",Agent03_Loans!K25)</f>
        <v/>
      </c>
      <c r="L415" s="37" t="str">
        <f>IF(Agent03_Loans!B25="","",Agent03_Loans!L25)</f>
        <v/>
      </c>
      <c r="M415" s="37" t="str">
        <f>IFERROR(IF(Agent03_Loans!B25="","",YEAR(Agent03_Loans!D25)),"")</f>
        <v/>
      </c>
    </row>
    <row r="416" spans="1:13" ht="18" customHeight="1" x14ac:dyDescent="0.25">
      <c r="A416" s="37" t="str">
        <f>IF(Agent03_Loans!B26="","",Agent03_Loans!A26)</f>
        <v/>
      </c>
      <c r="B416" s="37" t="str">
        <f>IF(Agent03_Loans!B26="","",Agent03_Loans!B26)</f>
        <v/>
      </c>
      <c r="C416" s="37" t="str">
        <f>IF(Agent03_Loans!B26="","",Agent03_Loans!C26)</f>
        <v/>
      </c>
      <c r="D416" s="38" t="str">
        <f>IF(Agent03_Loans!B26="","",Agent03_Loans!D26)</f>
        <v/>
      </c>
      <c r="E416" s="40" t="str">
        <f>IF(Agent03_Loans!B26="","",Agent03_Loans!E26)</f>
        <v/>
      </c>
      <c r="F416" s="37" t="str">
        <f>IF(Agent03_Loans!B26="","",Agent03_Loans!F26)</f>
        <v/>
      </c>
      <c r="G416" s="37" t="str">
        <f>IF(Agent03_Loans!B26="","",Agent03_Loans!G26)</f>
        <v/>
      </c>
      <c r="H416" s="37" t="str">
        <f>IF(Agent03_Loans!B26="","",Agent03_Loans!H26)</f>
        <v/>
      </c>
      <c r="I416" s="40" t="str">
        <f>IF(Agent03_Loans!B26="","",Agent03_Loans!I26)</f>
        <v/>
      </c>
      <c r="J416" s="40" t="str">
        <f>IF(Agent03_Loans!B26="","",Agent03_Loans!J26)</f>
        <v/>
      </c>
      <c r="K416" s="37" t="str">
        <f>IF(Agent03_Loans!B26="","",Agent03_Loans!K26)</f>
        <v/>
      </c>
      <c r="L416" s="37" t="str">
        <f>IF(Agent03_Loans!B26="","",Agent03_Loans!L26)</f>
        <v/>
      </c>
      <c r="M416" s="37" t="str">
        <f>IFERROR(IF(Agent03_Loans!B26="","",YEAR(Agent03_Loans!D26)),"")</f>
        <v/>
      </c>
    </row>
    <row r="417" spans="1:13" ht="18" customHeight="1" x14ac:dyDescent="0.25">
      <c r="A417" s="37" t="str">
        <f>IF(Agent03_Loans!B27="","",Agent03_Loans!A27)</f>
        <v/>
      </c>
      <c r="B417" s="37" t="str">
        <f>IF(Agent03_Loans!B27="","",Agent03_Loans!B27)</f>
        <v/>
      </c>
      <c r="C417" s="37" t="str">
        <f>IF(Agent03_Loans!B27="","",Agent03_Loans!C27)</f>
        <v/>
      </c>
      <c r="D417" s="38" t="str">
        <f>IF(Agent03_Loans!B27="","",Agent03_Loans!D27)</f>
        <v/>
      </c>
      <c r="E417" s="40" t="str">
        <f>IF(Agent03_Loans!B27="","",Agent03_Loans!E27)</f>
        <v/>
      </c>
      <c r="F417" s="37" t="str">
        <f>IF(Agent03_Loans!B27="","",Agent03_Loans!F27)</f>
        <v/>
      </c>
      <c r="G417" s="37" t="str">
        <f>IF(Agent03_Loans!B27="","",Agent03_Loans!G27)</f>
        <v/>
      </c>
      <c r="H417" s="37" t="str">
        <f>IF(Agent03_Loans!B27="","",Agent03_Loans!H27)</f>
        <v/>
      </c>
      <c r="I417" s="40" t="str">
        <f>IF(Agent03_Loans!B27="","",Agent03_Loans!I27)</f>
        <v/>
      </c>
      <c r="J417" s="40" t="str">
        <f>IF(Agent03_Loans!B27="","",Agent03_Loans!J27)</f>
        <v/>
      </c>
      <c r="K417" s="37" t="str">
        <f>IF(Agent03_Loans!B27="","",Agent03_Loans!K27)</f>
        <v/>
      </c>
      <c r="L417" s="37" t="str">
        <f>IF(Agent03_Loans!B27="","",Agent03_Loans!L27)</f>
        <v/>
      </c>
      <c r="M417" s="37" t="str">
        <f>IFERROR(IF(Agent03_Loans!B27="","",YEAR(Agent03_Loans!D27)),"")</f>
        <v/>
      </c>
    </row>
    <row r="418" spans="1:13" ht="18" customHeight="1" x14ac:dyDescent="0.25">
      <c r="A418" s="37" t="str">
        <f>IF(Agent03_Loans!B28="","",Agent03_Loans!A28)</f>
        <v/>
      </c>
      <c r="B418" s="37" t="str">
        <f>IF(Agent03_Loans!B28="","",Agent03_Loans!B28)</f>
        <v/>
      </c>
      <c r="C418" s="37" t="str">
        <f>IF(Agent03_Loans!B28="","",Agent03_Loans!C28)</f>
        <v/>
      </c>
      <c r="D418" s="38" t="str">
        <f>IF(Agent03_Loans!B28="","",Agent03_Loans!D28)</f>
        <v/>
      </c>
      <c r="E418" s="40" t="str">
        <f>IF(Agent03_Loans!B28="","",Agent03_Loans!E28)</f>
        <v/>
      </c>
      <c r="F418" s="37" t="str">
        <f>IF(Agent03_Loans!B28="","",Agent03_Loans!F28)</f>
        <v/>
      </c>
      <c r="G418" s="37" t="str">
        <f>IF(Agent03_Loans!B28="","",Agent03_Loans!G28)</f>
        <v/>
      </c>
      <c r="H418" s="37" t="str">
        <f>IF(Agent03_Loans!B28="","",Agent03_Loans!H28)</f>
        <v/>
      </c>
      <c r="I418" s="40" t="str">
        <f>IF(Agent03_Loans!B28="","",Agent03_Loans!I28)</f>
        <v/>
      </c>
      <c r="J418" s="40" t="str">
        <f>IF(Agent03_Loans!B28="","",Agent03_Loans!J28)</f>
        <v/>
      </c>
      <c r="K418" s="37" t="str">
        <f>IF(Agent03_Loans!B28="","",Agent03_Loans!K28)</f>
        <v/>
      </c>
      <c r="L418" s="37" t="str">
        <f>IF(Agent03_Loans!B28="","",Agent03_Loans!L28)</f>
        <v/>
      </c>
      <c r="M418" s="37" t="str">
        <f>IFERROR(IF(Agent03_Loans!B28="","",YEAR(Agent03_Loans!D28)),"")</f>
        <v/>
      </c>
    </row>
    <row r="419" spans="1:13" ht="18" customHeight="1" x14ac:dyDescent="0.25">
      <c r="A419" s="37" t="str">
        <f>IF(Agent03_Loans!B29="","",Agent03_Loans!A29)</f>
        <v/>
      </c>
      <c r="B419" s="37" t="str">
        <f>IF(Agent03_Loans!B29="","",Agent03_Loans!B29)</f>
        <v/>
      </c>
      <c r="C419" s="37" t="str">
        <f>IF(Agent03_Loans!B29="","",Agent03_Loans!C29)</f>
        <v/>
      </c>
      <c r="D419" s="38" t="str">
        <f>IF(Agent03_Loans!B29="","",Agent03_Loans!D29)</f>
        <v/>
      </c>
      <c r="E419" s="40" t="str">
        <f>IF(Agent03_Loans!B29="","",Agent03_Loans!E29)</f>
        <v/>
      </c>
      <c r="F419" s="37" t="str">
        <f>IF(Agent03_Loans!B29="","",Agent03_Loans!F29)</f>
        <v/>
      </c>
      <c r="G419" s="37" t="str">
        <f>IF(Agent03_Loans!B29="","",Agent03_Loans!G29)</f>
        <v/>
      </c>
      <c r="H419" s="37" t="str">
        <f>IF(Agent03_Loans!B29="","",Agent03_Loans!H29)</f>
        <v/>
      </c>
      <c r="I419" s="40" t="str">
        <f>IF(Agent03_Loans!B29="","",Agent03_Loans!I29)</f>
        <v/>
      </c>
      <c r="J419" s="40" t="str">
        <f>IF(Agent03_Loans!B29="","",Agent03_Loans!J29)</f>
        <v/>
      </c>
      <c r="K419" s="37" t="str">
        <f>IF(Agent03_Loans!B29="","",Agent03_Loans!K29)</f>
        <v/>
      </c>
      <c r="L419" s="37" t="str">
        <f>IF(Agent03_Loans!B29="","",Agent03_Loans!L29)</f>
        <v/>
      </c>
      <c r="M419" s="37" t="str">
        <f>IFERROR(IF(Agent03_Loans!B29="","",YEAR(Agent03_Loans!D29)),"")</f>
        <v/>
      </c>
    </row>
    <row r="420" spans="1:13" ht="18" customHeight="1" x14ac:dyDescent="0.25">
      <c r="A420" s="37" t="str">
        <f>IF(Agent03_Loans!B30="","",Agent03_Loans!A30)</f>
        <v/>
      </c>
      <c r="B420" s="37" t="str">
        <f>IF(Agent03_Loans!B30="","",Agent03_Loans!B30)</f>
        <v/>
      </c>
      <c r="C420" s="37" t="str">
        <f>IF(Agent03_Loans!B30="","",Agent03_Loans!C30)</f>
        <v/>
      </c>
      <c r="D420" s="38" t="str">
        <f>IF(Agent03_Loans!B30="","",Agent03_Loans!D30)</f>
        <v/>
      </c>
      <c r="E420" s="40" t="str">
        <f>IF(Agent03_Loans!B30="","",Agent03_Loans!E30)</f>
        <v/>
      </c>
      <c r="F420" s="37" t="str">
        <f>IF(Agent03_Loans!B30="","",Agent03_Loans!F30)</f>
        <v/>
      </c>
      <c r="G420" s="37" t="str">
        <f>IF(Agent03_Loans!B30="","",Agent03_Loans!G30)</f>
        <v/>
      </c>
      <c r="H420" s="37" t="str">
        <f>IF(Agent03_Loans!B30="","",Agent03_Loans!H30)</f>
        <v/>
      </c>
      <c r="I420" s="40" t="str">
        <f>IF(Agent03_Loans!B30="","",Agent03_Loans!I30)</f>
        <v/>
      </c>
      <c r="J420" s="40" t="str">
        <f>IF(Agent03_Loans!B30="","",Agent03_Loans!J30)</f>
        <v/>
      </c>
      <c r="K420" s="37" t="str">
        <f>IF(Agent03_Loans!B30="","",Agent03_Loans!K30)</f>
        <v/>
      </c>
      <c r="L420" s="37" t="str">
        <f>IF(Agent03_Loans!B30="","",Agent03_Loans!L30)</f>
        <v/>
      </c>
      <c r="M420" s="37" t="str">
        <f>IFERROR(IF(Agent03_Loans!B30="","",YEAR(Agent03_Loans!D30)),"")</f>
        <v/>
      </c>
    </row>
    <row r="421" spans="1:13" ht="18" customHeight="1" x14ac:dyDescent="0.25">
      <c r="A421" s="37" t="str">
        <f>IF(Agent03_Loans!B31="","",Agent03_Loans!A31)</f>
        <v/>
      </c>
      <c r="B421" s="37" t="str">
        <f>IF(Agent03_Loans!B31="","",Agent03_Loans!B31)</f>
        <v/>
      </c>
      <c r="C421" s="37" t="str">
        <f>IF(Agent03_Loans!B31="","",Agent03_Loans!C31)</f>
        <v/>
      </c>
      <c r="D421" s="38" t="str">
        <f>IF(Agent03_Loans!B31="","",Agent03_Loans!D31)</f>
        <v/>
      </c>
      <c r="E421" s="40" t="str">
        <f>IF(Agent03_Loans!B31="","",Agent03_Loans!E31)</f>
        <v/>
      </c>
      <c r="F421" s="37" t="str">
        <f>IF(Agent03_Loans!B31="","",Agent03_Loans!F31)</f>
        <v/>
      </c>
      <c r="G421" s="37" t="str">
        <f>IF(Agent03_Loans!B31="","",Agent03_Loans!G31)</f>
        <v/>
      </c>
      <c r="H421" s="37" t="str">
        <f>IF(Agent03_Loans!B31="","",Agent03_Loans!H31)</f>
        <v/>
      </c>
      <c r="I421" s="40" t="str">
        <f>IF(Agent03_Loans!B31="","",Agent03_Loans!I31)</f>
        <v/>
      </c>
      <c r="J421" s="40" t="str">
        <f>IF(Agent03_Loans!B31="","",Agent03_Loans!J31)</f>
        <v/>
      </c>
      <c r="K421" s="37" t="str">
        <f>IF(Agent03_Loans!B31="","",Agent03_Loans!K31)</f>
        <v/>
      </c>
      <c r="L421" s="37" t="str">
        <f>IF(Agent03_Loans!B31="","",Agent03_Loans!L31)</f>
        <v/>
      </c>
      <c r="M421" s="37" t="str">
        <f>IFERROR(IF(Agent03_Loans!B31="","",YEAR(Agent03_Loans!D31)),"")</f>
        <v/>
      </c>
    </row>
    <row r="422" spans="1:13" ht="18" customHeight="1" x14ac:dyDescent="0.25">
      <c r="A422" s="37" t="str">
        <f>IF(Agent03_Loans!B32="","",Agent03_Loans!A32)</f>
        <v/>
      </c>
      <c r="B422" s="37" t="str">
        <f>IF(Agent03_Loans!B32="","",Agent03_Loans!B32)</f>
        <v/>
      </c>
      <c r="C422" s="37" t="str">
        <f>IF(Agent03_Loans!B32="","",Agent03_Loans!C32)</f>
        <v/>
      </c>
      <c r="D422" s="38" t="str">
        <f>IF(Agent03_Loans!B32="","",Agent03_Loans!D32)</f>
        <v/>
      </c>
      <c r="E422" s="40" t="str">
        <f>IF(Agent03_Loans!B32="","",Agent03_Loans!E32)</f>
        <v/>
      </c>
      <c r="F422" s="37" t="str">
        <f>IF(Agent03_Loans!B32="","",Agent03_Loans!F32)</f>
        <v/>
      </c>
      <c r="G422" s="37" t="str">
        <f>IF(Agent03_Loans!B32="","",Agent03_Loans!G32)</f>
        <v/>
      </c>
      <c r="H422" s="37" t="str">
        <f>IF(Agent03_Loans!B32="","",Agent03_Loans!H32)</f>
        <v/>
      </c>
      <c r="I422" s="40" t="str">
        <f>IF(Agent03_Loans!B32="","",Agent03_Loans!I32)</f>
        <v/>
      </c>
      <c r="J422" s="40" t="str">
        <f>IF(Agent03_Loans!B32="","",Agent03_Loans!J32)</f>
        <v/>
      </c>
      <c r="K422" s="37" t="str">
        <f>IF(Agent03_Loans!B32="","",Agent03_Loans!K32)</f>
        <v/>
      </c>
      <c r="L422" s="37" t="str">
        <f>IF(Agent03_Loans!B32="","",Agent03_Loans!L32)</f>
        <v/>
      </c>
      <c r="M422" s="37" t="str">
        <f>IFERROR(IF(Agent03_Loans!B32="","",YEAR(Agent03_Loans!D32)),"")</f>
        <v/>
      </c>
    </row>
    <row r="423" spans="1:13" ht="18" customHeight="1" x14ac:dyDescent="0.25">
      <c r="A423" s="37" t="str">
        <f>IF(Agent03_Loans!B33="","",Agent03_Loans!A33)</f>
        <v/>
      </c>
      <c r="B423" s="37" t="str">
        <f>IF(Agent03_Loans!B33="","",Agent03_Loans!B33)</f>
        <v/>
      </c>
      <c r="C423" s="37" t="str">
        <f>IF(Agent03_Loans!B33="","",Agent03_Loans!C33)</f>
        <v/>
      </c>
      <c r="D423" s="38" t="str">
        <f>IF(Agent03_Loans!B33="","",Agent03_Loans!D33)</f>
        <v/>
      </c>
      <c r="E423" s="40" t="str">
        <f>IF(Agent03_Loans!B33="","",Agent03_Loans!E33)</f>
        <v/>
      </c>
      <c r="F423" s="37" t="str">
        <f>IF(Agent03_Loans!B33="","",Agent03_Loans!F33)</f>
        <v/>
      </c>
      <c r="G423" s="37" t="str">
        <f>IF(Agent03_Loans!B33="","",Agent03_Loans!G33)</f>
        <v/>
      </c>
      <c r="H423" s="37" t="str">
        <f>IF(Agent03_Loans!B33="","",Agent03_Loans!H33)</f>
        <v/>
      </c>
      <c r="I423" s="40" t="str">
        <f>IF(Agent03_Loans!B33="","",Agent03_Loans!I33)</f>
        <v/>
      </c>
      <c r="J423" s="40" t="str">
        <f>IF(Agent03_Loans!B33="","",Agent03_Loans!J33)</f>
        <v/>
      </c>
      <c r="K423" s="37" t="str">
        <f>IF(Agent03_Loans!B33="","",Agent03_Loans!K33)</f>
        <v/>
      </c>
      <c r="L423" s="37" t="str">
        <f>IF(Agent03_Loans!B33="","",Agent03_Loans!L33)</f>
        <v/>
      </c>
      <c r="M423" s="37" t="str">
        <f>IFERROR(IF(Agent03_Loans!B33="","",YEAR(Agent03_Loans!D33)),"")</f>
        <v/>
      </c>
    </row>
    <row r="424" spans="1:13" ht="18" customHeight="1" x14ac:dyDescent="0.25">
      <c r="A424" s="37" t="str">
        <f>IF(Agent03_Loans!B34="","",Agent03_Loans!A34)</f>
        <v/>
      </c>
      <c r="B424" s="37" t="str">
        <f>IF(Agent03_Loans!B34="","",Agent03_Loans!B34)</f>
        <v/>
      </c>
      <c r="C424" s="37" t="str">
        <f>IF(Agent03_Loans!B34="","",Agent03_Loans!C34)</f>
        <v/>
      </c>
      <c r="D424" s="38" t="str">
        <f>IF(Agent03_Loans!B34="","",Agent03_Loans!D34)</f>
        <v/>
      </c>
      <c r="E424" s="40" t="str">
        <f>IF(Agent03_Loans!B34="","",Agent03_Loans!E34)</f>
        <v/>
      </c>
      <c r="F424" s="37" t="str">
        <f>IF(Agent03_Loans!B34="","",Agent03_Loans!F34)</f>
        <v/>
      </c>
      <c r="G424" s="37" t="str">
        <f>IF(Agent03_Loans!B34="","",Agent03_Loans!G34)</f>
        <v/>
      </c>
      <c r="H424" s="37" t="str">
        <f>IF(Agent03_Loans!B34="","",Agent03_Loans!H34)</f>
        <v/>
      </c>
      <c r="I424" s="40" t="str">
        <f>IF(Agent03_Loans!B34="","",Agent03_Loans!I34)</f>
        <v/>
      </c>
      <c r="J424" s="40" t="str">
        <f>IF(Agent03_Loans!B34="","",Agent03_Loans!J34)</f>
        <v/>
      </c>
      <c r="K424" s="37" t="str">
        <f>IF(Agent03_Loans!B34="","",Agent03_Loans!K34)</f>
        <v/>
      </c>
      <c r="L424" s="37" t="str">
        <f>IF(Agent03_Loans!B34="","",Agent03_Loans!L34)</f>
        <v/>
      </c>
      <c r="M424" s="37" t="str">
        <f>IFERROR(IF(Agent03_Loans!B34="","",YEAR(Agent03_Loans!D34)),"")</f>
        <v/>
      </c>
    </row>
    <row r="425" spans="1:13" ht="18" customHeight="1" x14ac:dyDescent="0.25">
      <c r="A425" s="37" t="str">
        <f>IF(Agent03_Loans!B35="","",Agent03_Loans!A35)</f>
        <v/>
      </c>
      <c r="B425" s="37" t="str">
        <f>IF(Agent03_Loans!B35="","",Agent03_Loans!B35)</f>
        <v/>
      </c>
      <c r="C425" s="37" t="str">
        <f>IF(Agent03_Loans!B35="","",Agent03_Loans!C35)</f>
        <v/>
      </c>
      <c r="D425" s="38" t="str">
        <f>IF(Agent03_Loans!B35="","",Agent03_Loans!D35)</f>
        <v/>
      </c>
      <c r="E425" s="40" t="str">
        <f>IF(Agent03_Loans!B35="","",Agent03_Loans!E35)</f>
        <v/>
      </c>
      <c r="F425" s="37" t="str">
        <f>IF(Agent03_Loans!B35="","",Agent03_Loans!F35)</f>
        <v/>
      </c>
      <c r="G425" s="37" t="str">
        <f>IF(Agent03_Loans!B35="","",Agent03_Loans!G35)</f>
        <v/>
      </c>
      <c r="H425" s="37" t="str">
        <f>IF(Agent03_Loans!B35="","",Agent03_Loans!H35)</f>
        <v/>
      </c>
      <c r="I425" s="40" t="str">
        <f>IF(Agent03_Loans!B35="","",Agent03_Loans!I35)</f>
        <v/>
      </c>
      <c r="J425" s="40" t="str">
        <f>IF(Agent03_Loans!B35="","",Agent03_Loans!J35)</f>
        <v/>
      </c>
      <c r="K425" s="37" t="str">
        <f>IF(Agent03_Loans!B35="","",Agent03_Loans!K35)</f>
        <v/>
      </c>
      <c r="L425" s="37" t="str">
        <f>IF(Agent03_Loans!B35="","",Agent03_Loans!L35)</f>
        <v/>
      </c>
      <c r="M425" s="37" t="str">
        <f>IFERROR(IF(Agent03_Loans!B35="","",YEAR(Agent03_Loans!D35)),"")</f>
        <v/>
      </c>
    </row>
    <row r="426" spans="1:13" ht="18" customHeight="1" x14ac:dyDescent="0.25">
      <c r="A426" s="37" t="str">
        <f>IF(Agent03_Loans!B36="","",Agent03_Loans!A36)</f>
        <v/>
      </c>
      <c r="B426" s="37" t="str">
        <f>IF(Agent03_Loans!B36="","",Agent03_Loans!B36)</f>
        <v/>
      </c>
      <c r="C426" s="37" t="str">
        <f>IF(Agent03_Loans!B36="","",Agent03_Loans!C36)</f>
        <v/>
      </c>
      <c r="D426" s="38" t="str">
        <f>IF(Agent03_Loans!B36="","",Agent03_Loans!D36)</f>
        <v/>
      </c>
      <c r="E426" s="40" t="str">
        <f>IF(Agent03_Loans!B36="","",Agent03_Loans!E36)</f>
        <v/>
      </c>
      <c r="F426" s="37" t="str">
        <f>IF(Agent03_Loans!B36="","",Agent03_Loans!F36)</f>
        <v/>
      </c>
      <c r="G426" s="37" t="str">
        <f>IF(Agent03_Loans!B36="","",Agent03_Loans!G36)</f>
        <v/>
      </c>
      <c r="H426" s="37" t="str">
        <f>IF(Agent03_Loans!B36="","",Agent03_Loans!H36)</f>
        <v/>
      </c>
      <c r="I426" s="40" t="str">
        <f>IF(Agent03_Loans!B36="","",Agent03_Loans!I36)</f>
        <v/>
      </c>
      <c r="J426" s="40" t="str">
        <f>IF(Agent03_Loans!B36="","",Agent03_Loans!J36)</f>
        <v/>
      </c>
      <c r="K426" s="37" t="str">
        <f>IF(Agent03_Loans!B36="","",Agent03_Loans!K36)</f>
        <v/>
      </c>
      <c r="L426" s="37" t="str">
        <f>IF(Agent03_Loans!B36="","",Agent03_Loans!L36)</f>
        <v/>
      </c>
      <c r="M426" s="37" t="str">
        <f>IFERROR(IF(Agent03_Loans!B36="","",YEAR(Agent03_Loans!D36)),"")</f>
        <v/>
      </c>
    </row>
    <row r="427" spans="1:13" ht="18" customHeight="1" x14ac:dyDescent="0.25">
      <c r="A427" s="37" t="str">
        <f>IF(Agent03_Loans!B37="","",Agent03_Loans!A37)</f>
        <v/>
      </c>
      <c r="B427" s="37" t="str">
        <f>IF(Agent03_Loans!B37="","",Agent03_Loans!B37)</f>
        <v/>
      </c>
      <c r="C427" s="37" t="str">
        <f>IF(Agent03_Loans!B37="","",Agent03_Loans!C37)</f>
        <v/>
      </c>
      <c r="D427" s="38" t="str">
        <f>IF(Agent03_Loans!B37="","",Agent03_Loans!D37)</f>
        <v/>
      </c>
      <c r="E427" s="40" t="str">
        <f>IF(Agent03_Loans!B37="","",Agent03_Loans!E37)</f>
        <v/>
      </c>
      <c r="F427" s="37" t="str">
        <f>IF(Agent03_Loans!B37="","",Agent03_Loans!F37)</f>
        <v/>
      </c>
      <c r="G427" s="37" t="str">
        <f>IF(Agent03_Loans!B37="","",Agent03_Loans!G37)</f>
        <v/>
      </c>
      <c r="H427" s="37" t="str">
        <f>IF(Agent03_Loans!B37="","",Agent03_Loans!H37)</f>
        <v/>
      </c>
      <c r="I427" s="40" t="str">
        <f>IF(Agent03_Loans!B37="","",Agent03_Loans!I37)</f>
        <v/>
      </c>
      <c r="J427" s="40" t="str">
        <f>IF(Agent03_Loans!B37="","",Agent03_Loans!J37)</f>
        <v/>
      </c>
      <c r="K427" s="37" t="str">
        <f>IF(Agent03_Loans!B37="","",Agent03_Loans!K37)</f>
        <v/>
      </c>
      <c r="L427" s="37" t="str">
        <f>IF(Agent03_Loans!B37="","",Agent03_Loans!L37)</f>
        <v/>
      </c>
      <c r="M427" s="37" t="str">
        <f>IFERROR(IF(Agent03_Loans!B37="","",YEAR(Agent03_Loans!D37)),"")</f>
        <v/>
      </c>
    </row>
    <row r="428" spans="1:13" ht="18" customHeight="1" x14ac:dyDescent="0.25">
      <c r="A428" s="37" t="str">
        <f>IF(Agent03_Loans!B38="","",Agent03_Loans!A38)</f>
        <v/>
      </c>
      <c r="B428" s="37" t="str">
        <f>IF(Agent03_Loans!B38="","",Agent03_Loans!B38)</f>
        <v/>
      </c>
      <c r="C428" s="37" t="str">
        <f>IF(Agent03_Loans!B38="","",Agent03_Loans!C38)</f>
        <v/>
      </c>
      <c r="D428" s="38" t="str">
        <f>IF(Agent03_Loans!B38="","",Agent03_Loans!D38)</f>
        <v/>
      </c>
      <c r="E428" s="40" t="str">
        <f>IF(Agent03_Loans!B38="","",Agent03_Loans!E38)</f>
        <v/>
      </c>
      <c r="F428" s="37" t="str">
        <f>IF(Agent03_Loans!B38="","",Agent03_Loans!F38)</f>
        <v/>
      </c>
      <c r="G428" s="37" t="str">
        <f>IF(Agent03_Loans!B38="","",Agent03_Loans!G38)</f>
        <v/>
      </c>
      <c r="H428" s="37" t="str">
        <f>IF(Agent03_Loans!B38="","",Agent03_Loans!H38)</f>
        <v/>
      </c>
      <c r="I428" s="40" t="str">
        <f>IF(Agent03_Loans!B38="","",Agent03_Loans!I38)</f>
        <v/>
      </c>
      <c r="J428" s="40" t="str">
        <f>IF(Agent03_Loans!B38="","",Agent03_Loans!J38)</f>
        <v/>
      </c>
      <c r="K428" s="37" t="str">
        <f>IF(Agent03_Loans!B38="","",Agent03_Loans!K38)</f>
        <v/>
      </c>
      <c r="L428" s="37" t="str">
        <f>IF(Agent03_Loans!B38="","",Agent03_Loans!L38)</f>
        <v/>
      </c>
      <c r="M428" s="37" t="str">
        <f>IFERROR(IF(Agent03_Loans!B38="","",YEAR(Agent03_Loans!D38)),"")</f>
        <v/>
      </c>
    </row>
    <row r="429" spans="1:13" ht="18" customHeight="1" x14ac:dyDescent="0.25">
      <c r="A429" s="37" t="str">
        <f>IF(Agent03_Loans!B39="","",Agent03_Loans!A39)</f>
        <v/>
      </c>
      <c r="B429" s="37" t="str">
        <f>IF(Agent03_Loans!B39="","",Agent03_Loans!B39)</f>
        <v/>
      </c>
      <c r="C429" s="37" t="str">
        <f>IF(Agent03_Loans!B39="","",Agent03_Loans!C39)</f>
        <v/>
      </c>
      <c r="D429" s="38" t="str">
        <f>IF(Agent03_Loans!B39="","",Agent03_Loans!D39)</f>
        <v/>
      </c>
      <c r="E429" s="40" t="str">
        <f>IF(Agent03_Loans!B39="","",Agent03_Loans!E39)</f>
        <v/>
      </c>
      <c r="F429" s="37" t="str">
        <f>IF(Agent03_Loans!B39="","",Agent03_Loans!F39)</f>
        <v/>
      </c>
      <c r="G429" s="37" t="str">
        <f>IF(Agent03_Loans!B39="","",Agent03_Loans!G39)</f>
        <v/>
      </c>
      <c r="H429" s="37" t="str">
        <f>IF(Agent03_Loans!B39="","",Agent03_Loans!H39)</f>
        <v/>
      </c>
      <c r="I429" s="40" t="str">
        <f>IF(Agent03_Loans!B39="","",Agent03_Loans!I39)</f>
        <v/>
      </c>
      <c r="J429" s="40" t="str">
        <f>IF(Agent03_Loans!B39="","",Agent03_Loans!J39)</f>
        <v/>
      </c>
      <c r="K429" s="37" t="str">
        <f>IF(Agent03_Loans!B39="","",Agent03_Loans!K39)</f>
        <v/>
      </c>
      <c r="L429" s="37" t="str">
        <f>IF(Agent03_Loans!B39="","",Agent03_Loans!L39)</f>
        <v/>
      </c>
      <c r="M429" s="37" t="str">
        <f>IFERROR(IF(Agent03_Loans!B39="","",YEAR(Agent03_Loans!D39)),"")</f>
        <v/>
      </c>
    </row>
    <row r="430" spans="1:13" ht="18" customHeight="1" x14ac:dyDescent="0.25">
      <c r="A430" s="37" t="str">
        <f>IF(Agent03_Loans!B40="","",Agent03_Loans!A40)</f>
        <v/>
      </c>
      <c r="B430" s="37" t="str">
        <f>IF(Agent03_Loans!B40="","",Agent03_Loans!B40)</f>
        <v/>
      </c>
      <c r="C430" s="37" t="str">
        <f>IF(Agent03_Loans!B40="","",Agent03_Loans!C40)</f>
        <v/>
      </c>
      <c r="D430" s="38" t="str">
        <f>IF(Agent03_Loans!B40="","",Agent03_Loans!D40)</f>
        <v/>
      </c>
      <c r="E430" s="40" t="str">
        <f>IF(Agent03_Loans!B40="","",Agent03_Loans!E40)</f>
        <v/>
      </c>
      <c r="F430" s="37" t="str">
        <f>IF(Agent03_Loans!B40="","",Agent03_Loans!F40)</f>
        <v/>
      </c>
      <c r="G430" s="37" t="str">
        <f>IF(Agent03_Loans!B40="","",Agent03_Loans!G40)</f>
        <v/>
      </c>
      <c r="H430" s="37" t="str">
        <f>IF(Agent03_Loans!B40="","",Agent03_Loans!H40)</f>
        <v/>
      </c>
      <c r="I430" s="40" t="str">
        <f>IF(Agent03_Loans!B40="","",Agent03_Loans!I40)</f>
        <v/>
      </c>
      <c r="J430" s="40" t="str">
        <f>IF(Agent03_Loans!B40="","",Agent03_Loans!J40)</f>
        <v/>
      </c>
      <c r="K430" s="37" t="str">
        <f>IF(Agent03_Loans!B40="","",Agent03_Loans!K40)</f>
        <v/>
      </c>
      <c r="L430" s="37" t="str">
        <f>IF(Agent03_Loans!B40="","",Agent03_Loans!L40)</f>
        <v/>
      </c>
      <c r="M430" s="37" t="str">
        <f>IFERROR(IF(Agent03_Loans!B40="","",YEAR(Agent03_Loans!D40)),"")</f>
        <v/>
      </c>
    </row>
    <row r="431" spans="1:13" ht="18" customHeight="1" x14ac:dyDescent="0.25">
      <c r="A431" s="37" t="str">
        <f>IF(Agent03_Loans!B41="","",Agent03_Loans!A41)</f>
        <v/>
      </c>
      <c r="B431" s="37" t="str">
        <f>IF(Agent03_Loans!B41="","",Agent03_Loans!B41)</f>
        <v/>
      </c>
      <c r="C431" s="37" t="str">
        <f>IF(Agent03_Loans!B41="","",Agent03_Loans!C41)</f>
        <v/>
      </c>
      <c r="D431" s="38" t="str">
        <f>IF(Agent03_Loans!B41="","",Agent03_Loans!D41)</f>
        <v/>
      </c>
      <c r="E431" s="40" t="str">
        <f>IF(Agent03_Loans!B41="","",Agent03_Loans!E41)</f>
        <v/>
      </c>
      <c r="F431" s="37" t="str">
        <f>IF(Agent03_Loans!B41="","",Agent03_Loans!F41)</f>
        <v/>
      </c>
      <c r="G431" s="37" t="str">
        <f>IF(Agent03_Loans!B41="","",Agent03_Loans!G41)</f>
        <v/>
      </c>
      <c r="H431" s="37" t="str">
        <f>IF(Agent03_Loans!B41="","",Agent03_Loans!H41)</f>
        <v/>
      </c>
      <c r="I431" s="40" t="str">
        <f>IF(Agent03_Loans!B41="","",Agent03_Loans!I41)</f>
        <v/>
      </c>
      <c r="J431" s="40" t="str">
        <f>IF(Agent03_Loans!B41="","",Agent03_Loans!J41)</f>
        <v/>
      </c>
      <c r="K431" s="37" t="str">
        <f>IF(Agent03_Loans!B41="","",Agent03_Loans!K41)</f>
        <v/>
      </c>
      <c r="L431" s="37" t="str">
        <f>IF(Agent03_Loans!B41="","",Agent03_Loans!L41)</f>
        <v/>
      </c>
      <c r="M431" s="37" t="str">
        <f>IFERROR(IF(Agent03_Loans!B41="","",YEAR(Agent03_Loans!D41)),"")</f>
        <v/>
      </c>
    </row>
    <row r="432" spans="1:13" ht="18" customHeight="1" x14ac:dyDescent="0.25">
      <c r="A432" s="37" t="str">
        <f>IF(Agent03_Loans!B42="","",Agent03_Loans!A42)</f>
        <v/>
      </c>
      <c r="B432" s="37" t="str">
        <f>IF(Agent03_Loans!B42="","",Agent03_Loans!B42)</f>
        <v/>
      </c>
      <c r="C432" s="37" t="str">
        <f>IF(Agent03_Loans!B42="","",Agent03_Loans!C42)</f>
        <v/>
      </c>
      <c r="D432" s="38" t="str">
        <f>IF(Agent03_Loans!B42="","",Agent03_Loans!D42)</f>
        <v/>
      </c>
      <c r="E432" s="40" t="str">
        <f>IF(Agent03_Loans!B42="","",Agent03_Loans!E42)</f>
        <v/>
      </c>
      <c r="F432" s="37" t="str">
        <f>IF(Agent03_Loans!B42="","",Agent03_Loans!F42)</f>
        <v/>
      </c>
      <c r="G432" s="37" t="str">
        <f>IF(Agent03_Loans!B42="","",Agent03_Loans!G42)</f>
        <v/>
      </c>
      <c r="H432" s="37" t="str">
        <f>IF(Agent03_Loans!B42="","",Agent03_Loans!H42)</f>
        <v/>
      </c>
      <c r="I432" s="40" t="str">
        <f>IF(Agent03_Loans!B42="","",Agent03_Loans!I42)</f>
        <v/>
      </c>
      <c r="J432" s="40" t="str">
        <f>IF(Agent03_Loans!B42="","",Agent03_Loans!J42)</f>
        <v/>
      </c>
      <c r="K432" s="37" t="str">
        <f>IF(Agent03_Loans!B42="","",Agent03_Loans!K42)</f>
        <v/>
      </c>
      <c r="L432" s="37" t="str">
        <f>IF(Agent03_Loans!B42="","",Agent03_Loans!L42)</f>
        <v/>
      </c>
      <c r="M432" s="37" t="str">
        <f>IFERROR(IF(Agent03_Loans!B42="","",YEAR(Agent03_Loans!D42)),"")</f>
        <v/>
      </c>
    </row>
    <row r="433" spans="1:13" ht="18" customHeight="1" x14ac:dyDescent="0.25">
      <c r="A433" s="37" t="str">
        <f>IF(Agent03_Loans!B43="","",Agent03_Loans!A43)</f>
        <v/>
      </c>
      <c r="B433" s="37" t="str">
        <f>IF(Agent03_Loans!B43="","",Agent03_Loans!B43)</f>
        <v/>
      </c>
      <c r="C433" s="37" t="str">
        <f>IF(Agent03_Loans!B43="","",Agent03_Loans!C43)</f>
        <v/>
      </c>
      <c r="D433" s="38" t="str">
        <f>IF(Agent03_Loans!B43="","",Agent03_Loans!D43)</f>
        <v/>
      </c>
      <c r="E433" s="40" t="str">
        <f>IF(Agent03_Loans!B43="","",Agent03_Loans!E43)</f>
        <v/>
      </c>
      <c r="F433" s="37" t="str">
        <f>IF(Agent03_Loans!B43="","",Agent03_Loans!F43)</f>
        <v/>
      </c>
      <c r="G433" s="37" t="str">
        <f>IF(Agent03_Loans!B43="","",Agent03_Loans!G43)</f>
        <v/>
      </c>
      <c r="H433" s="37" t="str">
        <f>IF(Agent03_Loans!B43="","",Agent03_Loans!H43)</f>
        <v/>
      </c>
      <c r="I433" s="40" t="str">
        <f>IF(Agent03_Loans!B43="","",Agent03_Loans!I43)</f>
        <v/>
      </c>
      <c r="J433" s="40" t="str">
        <f>IF(Agent03_Loans!B43="","",Agent03_Loans!J43)</f>
        <v/>
      </c>
      <c r="K433" s="37" t="str">
        <f>IF(Agent03_Loans!B43="","",Agent03_Loans!K43)</f>
        <v/>
      </c>
      <c r="L433" s="37" t="str">
        <f>IF(Agent03_Loans!B43="","",Agent03_Loans!L43)</f>
        <v/>
      </c>
      <c r="M433" s="37" t="str">
        <f>IFERROR(IF(Agent03_Loans!B43="","",YEAR(Agent03_Loans!D43)),"")</f>
        <v/>
      </c>
    </row>
    <row r="434" spans="1:13" ht="18" customHeight="1" x14ac:dyDescent="0.25">
      <c r="A434" s="37" t="str">
        <f>IF(Agent03_Loans!B44="","",Agent03_Loans!A44)</f>
        <v/>
      </c>
      <c r="B434" s="37" t="str">
        <f>IF(Agent03_Loans!B44="","",Agent03_Loans!B44)</f>
        <v/>
      </c>
      <c r="C434" s="37" t="str">
        <f>IF(Agent03_Loans!B44="","",Agent03_Loans!C44)</f>
        <v/>
      </c>
      <c r="D434" s="38" t="str">
        <f>IF(Agent03_Loans!B44="","",Agent03_Loans!D44)</f>
        <v/>
      </c>
      <c r="E434" s="40" t="str">
        <f>IF(Agent03_Loans!B44="","",Agent03_Loans!E44)</f>
        <v/>
      </c>
      <c r="F434" s="37" t="str">
        <f>IF(Agent03_Loans!B44="","",Agent03_Loans!F44)</f>
        <v/>
      </c>
      <c r="G434" s="37" t="str">
        <f>IF(Agent03_Loans!B44="","",Agent03_Loans!G44)</f>
        <v/>
      </c>
      <c r="H434" s="37" t="str">
        <f>IF(Agent03_Loans!B44="","",Agent03_Loans!H44)</f>
        <v/>
      </c>
      <c r="I434" s="40" t="str">
        <f>IF(Agent03_Loans!B44="","",Agent03_Loans!I44)</f>
        <v/>
      </c>
      <c r="J434" s="40" t="str">
        <f>IF(Agent03_Loans!B44="","",Agent03_Loans!J44)</f>
        <v/>
      </c>
      <c r="K434" s="37" t="str">
        <f>IF(Agent03_Loans!B44="","",Agent03_Loans!K44)</f>
        <v/>
      </c>
      <c r="L434" s="37" t="str">
        <f>IF(Agent03_Loans!B44="","",Agent03_Loans!L44)</f>
        <v/>
      </c>
      <c r="M434" s="37" t="str">
        <f>IFERROR(IF(Agent03_Loans!B44="","",YEAR(Agent03_Loans!D44)),"")</f>
        <v/>
      </c>
    </row>
    <row r="435" spans="1:13" ht="18" customHeight="1" x14ac:dyDescent="0.25">
      <c r="A435" s="37" t="str">
        <f>IF(Agent03_Loans!B45="","",Agent03_Loans!A45)</f>
        <v/>
      </c>
      <c r="B435" s="37" t="str">
        <f>IF(Agent03_Loans!B45="","",Agent03_Loans!B45)</f>
        <v/>
      </c>
      <c r="C435" s="37" t="str">
        <f>IF(Agent03_Loans!B45="","",Agent03_Loans!C45)</f>
        <v/>
      </c>
      <c r="D435" s="38" t="str">
        <f>IF(Agent03_Loans!B45="","",Agent03_Loans!D45)</f>
        <v/>
      </c>
      <c r="E435" s="40" t="str">
        <f>IF(Agent03_Loans!B45="","",Agent03_Loans!E45)</f>
        <v/>
      </c>
      <c r="F435" s="37" t="str">
        <f>IF(Agent03_Loans!B45="","",Agent03_Loans!F45)</f>
        <v/>
      </c>
      <c r="G435" s="37" t="str">
        <f>IF(Agent03_Loans!B45="","",Agent03_Loans!G45)</f>
        <v/>
      </c>
      <c r="H435" s="37" t="str">
        <f>IF(Agent03_Loans!B45="","",Agent03_Loans!H45)</f>
        <v/>
      </c>
      <c r="I435" s="40" t="str">
        <f>IF(Agent03_Loans!B45="","",Agent03_Loans!I45)</f>
        <v/>
      </c>
      <c r="J435" s="40" t="str">
        <f>IF(Agent03_Loans!B45="","",Agent03_Loans!J45)</f>
        <v/>
      </c>
      <c r="K435" s="37" t="str">
        <f>IF(Agent03_Loans!B45="","",Agent03_Loans!K45)</f>
        <v/>
      </c>
      <c r="L435" s="37" t="str">
        <f>IF(Agent03_Loans!B45="","",Agent03_Loans!L45)</f>
        <v/>
      </c>
      <c r="M435" s="37" t="str">
        <f>IFERROR(IF(Agent03_Loans!B45="","",YEAR(Agent03_Loans!D45)),"")</f>
        <v/>
      </c>
    </row>
    <row r="436" spans="1:13" ht="18" customHeight="1" x14ac:dyDescent="0.25">
      <c r="A436" s="37" t="str">
        <f>IF(Agent03_Loans!B46="","",Agent03_Loans!A46)</f>
        <v/>
      </c>
      <c r="B436" s="37" t="str">
        <f>IF(Agent03_Loans!B46="","",Agent03_Loans!B46)</f>
        <v/>
      </c>
      <c r="C436" s="37" t="str">
        <f>IF(Agent03_Loans!B46="","",Agent03_Loans!C46)</f>
        <v/>
      </c>
      <c r="D436" s="38" t="str">
        <f>IF(Agent03_Loans!B46="","",Agent03_Loans!D46)</f>
        <v/>
      </c>
      <c r="E436" s="40" t="str">
        <f>IF(Agent03_Loans!B46="","",Agent03_Loans!E46)</f>
        <v/>
      </c>
      <c r="F436" s="37" t="str">
        <f>IF(Agent03_Loans!B46="","",Agent03_Loans!F46)</f>
        <v/>
      </c>
      <c r="G436" s="37" t="str">
        <f>IF(Agent03_Loans!B46="","",Agent03_Loans!G46)</f>
        <v/>
      </c>
      <c r="H436" s="37" t="str">
        <f>IF(Agent03_Loans!B46="","",Agent03_Loans!H46)</f>
        <v/>
      </c>
      <c r="I436" s="40" t="str">
        <f>IF(Agent03_Loans!B46="","",Agent03_Loans!I46)</f>
        <v/>
      </c>
      <c r="J436" s="40" t="str">
        <f>IF(Agent03_Loans!B46="","",Agent03_Loans!J46)</f>
        <v/>
      </c>
      <c r="K436" s="37" t="str">
        <f>IF(Agent03_Loans!B46="","",Agent03_Loans!K46)</f>
        <v/>
      </c>
      <c r="L436" s="37" t="str">
        <f>IF(Agent03_Loans!B46="","",Agent03_Loans!L46)</f>
        <v/>
      </c>
      <c r="M436" s="37" t="str">
        <f>IFERROR(IF(Agent03_Loans!B46="","",YEAR(Agent03_Loans!D46)),"")</f>
        <v/>
      </c>
    </row>
    <row r="437" spans="1:13" ht="18" customHeight="1" x14ac:dyDescent="0.25">
      <c r="A437" s="37" t="str">
        <f>IF(Agent03_Loans!B47="","",Agent03_Loans!A47)</f>
        <v/>
      </c>
      <c r="B437" s="37" t="str">
        <f>IF(Agent03_Loans!B47="","",Agent03_Loans!B47)</f>
        <v/>
      </c>
      <c r="C437" s="37" t="str">
        <f>IF(Agent03_Loans!B47="","",Agent03_Loans!C47)</f>
        <v/>
      </c>
      <c r="D437" s="38" t="str">
        <f>IF(Agent03_Loans!B47="","",Agent03_Loans!D47)</f>
        <v/>
      </c>
      <c r="E437" s="40" t="str">
        <f>IF(Agent03_Loans!B47="","",Agent03_Loans!E47)</f>
        <v/>
      </c>
      <c r="F437" s="37" t="str">
        <f>IF(Agent03_Loans!B47="","",Agent03_Loans!F47)</f>
        <v/>
      </c>
      <c r="G437" s="37" t="str">
        <f>IF(Agent03_Loans!B47="","",Agent03_Loans!G47)</f>
        <v/>
      </c>
      <c r="H437" s="37" t="str">
        <f>IF(Agent03_Loans!B47="","",Agent03_Loans!H47)</f>
        <v/>
      </c>
      <c r="I437" s="40" t="str">
        <f>IF(Agent03_Loans!B47="","",Agent03_Loans!I47)</f>
        <v/>
      </c>
      <c r="J437" s="40" t="str">
        <f>IF(Agent03_Loans!B47="","",Agent03_Loans!J47)</f>
        <v/>
      </c>
      <c r="K437" s="37" t="str">
        <f>IF(Agent03_Loans!B47="","",Agent03_Loans!K47)</f>
        <v/>
      </c>
      <c r="L437" s="37" t="str">
        <f>IF(Agent03_Loans!B47="","",Agent03_Loans!L47)</f>
        <v/>
      </c>
      <c r="M437" s="37" t="str">
        <f>IFERROR(IF(Agent03_Loans!B47="","",YEAR(Agent03_Loans!D47)),"")</f>
        <v/>
      </c>
    </row>
    <row r="438" spans="1:13" ht="18" customHeight="1" x14ac:dyDescent="0.25">
      <c r="A438" s="37" t="str">
        <f>IF(Agent03_Loans!B48="","",Agent03_Loans!A48)</f>
        <v/>
      </c>
      <c r="B438" s="37" t="str">
        <f>IF(Agent03_Loans!B48="","",Agent03_Loans!B48)</f>
        <v/>
      </c>
      <c r="C438" s="37" t="str">
        <f>IF(Agent03_Loans!B48="","",Agent03_Loans!C48)</f>
        <v/>
      </c>
      <c r="D438" s="38" t="str">
        <f>IF(Agent03_Loans!B48="","",Agent03_Loans!D48)</f>
        <v/>
      </c>
      <c r="E438" s="40" t="str">
        <f>IF(Agent03_Loans!B48="","",Agent03_Loans!E48)</f>
        <v/>
      </c>
      <c r="F438" s="37" t="str">
        <f>IF(Agent03_Loans!B48="","",Agent03_Loans!F48)</f>
        <v/>
      </c>
      <c r="G438" s="37" t="str">
        <f>IF(Agent03_Loans!B48="","",Agent03_Loans!G48)</f>
        <v/>
      </c>
      <c r="H438" s="37" t="str">
        <f>IF(Agent03_Loans!B48="","",Agent03_Loans!H48)</f>
        <v/>
      </c>
      <c r="I438" s="40" t="str">
        <f>IF(Agent03_Loans!B48="","",Agent03_Loans!I48)</f>
        <v/>
      </c>
      <c r="J438" s="40" t="str">
        <f>IF(Agent03_Loans!B48="","",Agent03_Loans!J48)</f>
        <v/>
      </c>
      <c r="K438" s="37" t="str">
        <f>IF(Agent03_Loans!B48="","",Agent03_Loans!K48)</f>
        <v/>
      </c>
      <c r="L438" s="37" t="str">
        <f>IF(Agent03_Loans!B48="","",Agent03_Loans!L48)</f>
        <v/>
      </c>
      <c r="M438" s="37" t="str">
        <f>IFERROR(IF(Agent03_Loans!B48="","",YEAR(Agent03_Loans!D48)),"")</f>
        <v/>
      </c>
    </row>
    <row r="439" spans="1:13" ht="18" customHeight="1" x14ac:dyDescent="0.25">
      <c r="A439" s="37" t="str">
        <f>IF(Agent03_Loans!B49="","",Agent03_Loans!A49)</f>
        <v/>
      </c>
      <c r="B439" s="37" t="str">
        <f>IF(Agent03_Loans!B49="","",Agent03_Loans!B49)</f>
        <v/>
      </c>
      <c r="C439" s="37" t="str">
        <f>IF(Agent03_Loans!B49="","",Agent03_Loans!C49)</f>
        <v/>
      </c>
      <c r="D439" s="38" t="str">
        <f>IF(Agent03_Loans!B49="","",Agent03_Loans!D49)</f>
        <v/>
      </c>
      <c r="E439" s="40" t="str">
        <f>IF(Agent03_Loans!B49="","",Agent03_Loans!E49)</f>
        <v/>
      </c>
      <c r="F439" s="37" t="str">
        <f>IF(Agent03_Loans!B49="","",Agent03_Loans!F49)</f>
        <v/>
      </c>
      <c r="G439" s="37" t="str">
        <f>IF(Agent03_Loans!B49="","",Agent03_Loans!G49)</f>
        <v/>
      </c>
      <c r="H439" s="37" t="str">
        <f>IF(Agent03_Loans!B49="","",Agent03_Loans!H49)</f>
        <v/>
      </c>
      <c r="I439" s="40" t="str">
        <f>IF(Agent03_Loans!B49="","",Agent03_Loans!I49)</f>
        <v/>
      </c>
      <c r="J439" s="40" t="str">
        <f>IF(Agent03_Loans!B49="","",Agent03_Loans!J49)</f>
        <v/>
      </c>
      <c r="K439" s="37" t="str">
        <f>IF(Agent03_Loans!B49="","",Agent03_Loans!K49)</f>
        <v/>
      </c>
      <c r="L439" s="37" t="str">
        <f>IF(Agent03_Loans!B49="","",Agent03_Loans!L49)</f>
        <v/>
      </c>
      <c r="M439" s="37" t="str">
        <f>IFERROR(IF(Agent03_Loans!B49="","",YEAR(Agent03_Loans!D49)),"")</f>
        <v/>
      </c>
    </row>
    <row r="440" spans="1:13" ht="18" customHeight="1" x14ac:dyDescent="0.25">
      <c r="A440" s="37" t="str">
        <f>IF(Agent03_Loans!B50="","",Agent03_Loans!A50)</f>
        <v/>
      </c>
      <c r="B440" s="37" t="str">
        <f>IF(Agent03_Loans!B50="","",Agent03_Loans!B50)</f>
        <v/>
      </c>
      <c r="C440" s="37" t="str">
        <f>IF(Agent03_Loans!B50="","",Agent03_Loans!C50)</f>
        <v/>
      </c>
      <c r="D440" s="38" t="str">
        <f>IF(Agent03_Loans!B50="","",Agent03_Loans!D50)</f>
        <v/>
      </c>
      <c r="E440" s="40" t="str">
        <f>IF(Agent03_Loans!B50="","",Agent03_Loans!E50)</f>
        <v/>
      </c>
      <c r="F440" s="37" t="str">
        <f>IF(Agent03_Loans!B50="","",Agent03_Loans!F50)</f>
        <v/>
      </c>
      <c r="G440" s="37" t="str">
        <f>IF(Agent03_Loans!B50="","",Agent03_Loans!G50)</f>
        <v/>
      </c>
      <c r="H440" s="37" t="str">
        <f>IF(Agent03_Loans!B50="","",Agent03_Loans!H50)</f>
        <v/>
      </c>
      <c r="I440" s="40" t="str">
        <f>IF(Agent03_Loans!B50="","",Agent03_Loans!I50)</f>
        <v/>
      </c>
      <c r="J440" s="40" t="str">
        <f>IF(Agent03_Loans!B50="","",Agent03_Loans!J50)</f>
        <v/>
      </c>
      <c r="K440" s="37" t="str">
        <f>IF(Agent03_Loans!B50="","",Agent03_Loans!K50)</f>
        <v/>
      </c>
      <c r="L440" s="37" t="str">
        <f>IF(Agent03_Loans!B50="","",Agent03_Loans!L50)</f>
        <v/>
      </c>
      <c r="M440" s="37" t="str">
        <f>IFERROR(IF(Agent03_Loans!B50="","",YEAR(Agent03_Loans!D50)),"")</f>
        <v/>
      </c>
    </row>
    <row r="441" spans="1:13" ht="18" customHeight="1" x14ac:dyDescent="0.25">
      <c r="A441" s="37" t="str">
        <f>IF(Agent03_Loans!B51="","",Agent03_Loans!A51)</f>
        <v/>
      </c>
      <c r="B441" s="37" t="str">
        <f>IF(Agent03_Loans!B51="","",Agent03_Loans!B51)</f>
        <v/>
      </c>
      <c r="C441" s="37" t="str">
        <f>IF(Agent03_Loans!B51="","",Agent03_Loans!C51)</f>
        <v/>
      </c>
      <c r="D441" s="38" t="str">
        <f>IF(Agent03_Loans!B51="","",Agent03_Loans!D51)</f>
        <v/>
      </c>
      <c r="E441" s="40" t="str">
        <f>IF(Agent03_Loans!B51="","",Agent03_Loans!E51)</f>
        <v/>
      </c>
      <c r="F441" s="37" t="str">
        <f>IF(Agent03_Loans!B51="","",Agent03_Loans!F51)</f>
        <v/>
      </c>
      <c r="G441" s="37" t="str">
        <f>IF(Agent03_Loans!B51="","",Agent03_Loans!G51)</f>
        <v/>
      </c>
      <c r="H441" s="37" t="str">
        <f>IF(Agent03_Loans!B51="","",Agent03_Loans!H51)</f>
        <v/>
      </c>
      <c r="I441" s="40" t="str">
        <f>IF(Agent03_Loans!B51="","",Agent03_Loans!I51)</f>
        <v/>
      </c>
      <c r="J441" s="40" t="str">
        <f>IF(Agent03_Loans!B51="","",Agent03_Loans!J51)</f>
        <v/>
      </c>
      <c r="K441" s="37" t="str">
        <f>IF(Agent03_Loans!B51="","",Agent03_Loans!K51)</f>
        <v/>
      </c>
      <c r="L441" s="37" t="str">
        <f>IF(Agent03_Loans!B51="","",Agent03_Loans!L51)</f>
        <v/>
      </c>
      <c r="M441" s="37" t="str">
        <f>IFERROR(IF(Agent03_Loans!B51="","",YEAR(Agent03_Loans!D51)),"")</f>
        <v/>
      </c>
    </row>
    <row r="442" spans="1:13" ht="18" customHeight="1" x14ac:dyDescent="0.25">
      <c r="A442" s="37" t="str">
        <f>IF(Agent03_Loans!B52="","",Agent03_Loans!A52)</f>
        <v/>
      </c>
      <c r="B442" s="37" t="str">
        <f>IF(Agent03_Loans!B52="","",Agent03_Loans!B52)</f>
        <v/>
      </c>
      <c r="C442" s="37" t="str">
        <f>IF(Agent03_Loans!B52="","",Agent03_Loans!C52)</f>
        <v/>
      </c>
      <c r="D442" s="38" t="str">
        <f>IF(Agent03_Loans!B52="","",Agent03_Loans!D52)</f>
        <v/>
      </c>
      <c r="E442" s="40" t="str">
        <f>IF(Agent03_Loans!B52="","",Agent03_Loans!E52)</f>
        <v/>
      </c>
      <c r="F442" s="37" t="str">
        <f>IF(Agent03_Loans!B52="","",Agent03_Loans!F52)</f>
        <v/>
      </c>
      <c r="G442" s="37" t="str">
        <f>IF(Agent03_Loans!B52="","",Agent03_Loans!G52)</f>
        <v/>
      </c>
      <c r="H442" s="37" t="str">
        <f>IF(Agent03_Loans!B52="","",Agent03_Loans!H52)</f>
        <v/>
      </c>
      <c r="I442" s="40" t="str">
        <f>IF(Agent03_Loans!B52="","",Agent03_Loans!I52)</f>
        <v/>
      </c>
      <c r="J442" s="40" t="str">
        <f>IF(Agent03_Loans!B52="","",Agent03_Loans!J52)</f>
        <v/>
      </c>
      <c r="K442" s="37" t="str">
        <f>IF(Agent03_Loans!B52="","",Agent03_Loans!K52)</f>
        <v/>
      </c>
      <c r="L442" s="37" t="str">
        <f>IF(Agent03_Loans!B52="","",Agent03_Loans!L52)</f>
        <v/>
      </c>
      <c r="M442" s="37" t="str">
        <f>IFERROR(IF(Agent03_Loans!B52="","",YEAR(Agent03_Loans!D52)),"")</f>
        <v/>
      </c>
    </row>
    <row r="443" spans="1:13" ht="18" customHeight="1" x14ac:dyDescent="0.25">
      <c r="A443" s="37" t="str">
        <f>IF(Agent03_Loans!B53="","",Agent03_Loans!A53)</f>
        <v/>
      </c>
      <c r="B443" s="37" t="str">
        <f>IF(Agent03_Loans!B53="","",Agent03_Loans!B53)</f>
        <v/>
      </c>
      <c r="C443" s="37" t="str">
        <f>IF(Agent03_Loans!B53="","",Agent03_Loans!C53)</f>
        <v/>
      </c>
      <c r="D443" s="38" t="str">
        <f>IF(Agent03_Loans!B53="","",Agent03_Loans!D53)</f>
        <v/>
      </c>
      <c r="E443" s="40" t="str">
        <f>IF(Agent03_Loans!B53="","",Agent03_Loans!E53)</f>
        <v/>
      </c>
      <c r="F443" s="37" t="str">
        <f>IF(Agent03_Loans!B53="","",Agent03_Loans!F53)</f>
        <v/>
      </c>
      <c r="G443" s="37" t="str">
        <f>IF(Agent03_Loans!B53="","",Agent03_Loans!G53)</f>
        <v/>
      </c>
      <c r="H443" s="37" t="str">
        <f>IF(Agent03_Loans!B53="","",Agent03_Loans!H53)</f>
        <v/>
      </c>
      <c r="I443" s="40" t="str">
        <f>IF(Agent03_Loans!B53="","",Agent03_Loans!I53)</f>
        <v/>
      </c>
      <c r="J443" s="40" t="str">
        <f>IF(Agent03_Loans!B53="","",Agent03_Loans!J53)</f>
        <v/>
      </c>
      <c r="K443" s="37" t="str">
        <f>IF(Agent03_Loans!B53="","",Agent03_Loans!K53)</f>
        <v/>
      </c>
      <c r="L443" s="37" t="str">
        <f>IF(Agent03_Loans!B53="","",Agent03_Loans!L53)</f>
        <v/>
      </c>
      <c r="M443" s="37" t="str">
        <f>IFERROR(IF(Agent03_Loans!B53="","",YEAR(Agent03_Loans!D53)),"")</f>
        <v/>
      </c>
    </row>
    <row r="444" spans="1:13" ht="18" customHeight="1" x14ac:dyDescent="0.25">
      <c r="A444" s="37" t="str">
        <f>IF(Agent03_Loans!B54="","",Agent03_Loans!A54)</f>
        <v/>
      </c>
      <c r="B444" s="37" t="str">
        <f>IF(Agent03_Loans!B54="","",Agent03_Loans!B54)</f>
        <v/>
      </c>
      <c r="C444" s="37" t="str">
        <f>IF(Agent03_Loans!B54="","",Agent03_Loans!C54)</f>
        <v/>
      </c>
      <c r="D444" s="38" t="str">
        <f>IF(Agent03_Loans!B54="","",Agent03_Loans!D54)</f>
        <v/>
      </c>
      <c r="E444" s="40" t="str">
        <f>IF(Agent03_Loans!B54="","",Agent03_Loans!E54)</f>
        <v/>
      </c>
      <c r="F444" s="37" t="str">
        <f>IF(Agent03_Loans!B54="","",Agent03_Loans!F54)</f>
        <v/>
      </c>
      <c r="G444" s="37" t="str">
        <f>IF(Agent03_Loans!B54="","",Agent03_Loans!G54)</f>
        <v/>
      </c>
      <c r="H444" s="37" t="str">
        <f>IF(Agent03_Loans!B54="","",Agent03_Loans!H54)</f>
        <v/>
      </c>
      <c r="I444" s="40" t="str">
        <f>IF(Agent03_Loans!B54="","",Agent03_Loans!I54)</f>
        <v/>
      </c>
      <c r="J444" s="40" t="str">
        <f>IF(Agent03_Loans!B54="","",Agent03_Loans!J54)</f>
        <v/>
      </c>
      <c r="K444" s="37" t="str">
        <f>IF(Agent03_Loans!B54="","",Agent03_Loans!K54)</f>
        <v/>
      </c>
      <c r="L444" s="37" t="str">
        <f>IF(Agent03_Loans!B54="","",Agent03_Loans!L54)</f>
        <v/>
      </c>
      <c r="M444" s="37" t="str">
        <f>IFERROR(IF(Agent03_Loans!B54="","",YEAR(Agent03_Loans!D54)),"")</f>
        <v/>
      </c>
    </row>
    <row r="445" spans="1:13" ht="18" customHeight="1" x14ac:dyDescent="0.25">
      <c r="A445" s="37" t="str">
        <f>IF(Agent03_Loans!B55="","",Agent03_Loans!A55)</f>
        <v/>
      </c>
      <c r="B445" s="37" t="str">
        <f>IF(Agent03_Loans!B55="","",Agent03_Loans!B55)</f>
        <v/>
      </c>
      <c r="C445" s="37" t="str">
        <f>IF(Agent03_Loans!B55="","",Agent03_Loans!C55)</f>
        <v/>
      </c>
      <c r="D445" s="38" t="str">
        <f>IF(Agent03_Loans!B55="","",Agent03_Loans!D55)</f>
        <v/>
      </c>
      <c r="E445" s="40" t="str">
        <f>IF(Agent03_Loans!B55="","",Agent03_Loans!E55)</f>
        <v/>
      </c>
      <c r="F445" s="37" t="str">
        <f>IF(Agent03_Loans!B55="","",Agent03_Loans!F55)</f>
        <v/>
      </c>
      <c r="G445" s="37" t="str">
        <f>IF(Agent03_Loans!B55="","",Agent03_Loans!G55)</f>
        <v/>
      </c>
      <c r="H445" s="37" t="str">
        <f>IF(Agent03_Loans!B55="","",Agent03_Loans!H55)</f>
        <v/>
      </c>
      <c r="I445" s="40" t="str">
        <f>IF(Agent03_Loans!B55="","",Agent03_Loans!I55)</f>
        <v/>
      </c>
      <c r="J445" s="40" t="str">
        <f>IF(Agent03_Loans!B55="","",Agent03_Loans!J55)</f>
        <v/>
      </c>
      <c r="K445" s="37" t="str">
        <f>IF(Agent03_Loans!B55="","",Agent03_Loans!K55)</f>
        <v/>
      </c>
      <c r="L445" s="37" t="str">
        <f>IF(Agent03_Loans!B55="","",Agent03_Loans!L55)</f>
        <v/>
      </c>
      <c r="M445" s="37" t="str">
        <f>IFERROR(IF(Agent03_Loans!B55="","",YEAR(Agent03_Loans!D55)),"")</f>
        <v/>
      </c>
    </row>
    <row r="446" spans="1:13" ht="18" customHeight="1" x14ac:dyDescent="0.25">
      <c r="A446" s="37" t="str">
        <f>IF(Agent03_Loans!B56="","",Agent03_Loans!A56)</f>
        <v/>
      </c>
      <c r="B446" s="37" t="str">
        <f>IF(Agent03_Loans!B56="","",Agent03_Loans!B56)</f>
        <v/>
      </c>
      <c r="C446" s="37" t="str">
        <f>IF(Agent03_Loans!B56="","",Agent03_Loans!C56)</f>
        <v/>
      </c>
      <c r="D446" s="38" t="str">
        <f>IF(Agent03_Loans!B56="","",Agent03_Loans!D56)</f>
        <v/>
      </c>
      <c r="E446" s="40" t="str">
        <f>IF(Agent03_Loans!B56="","",Agent03_Loans!E56)</f>
        <v/>
      </c>
      <c r="F446" s="37" t="str">
        <f>IF(Agent03_Loans!B56="","",Agent03_Loans!F56)</f>
        <v/>
      </c>
      <c r="G446" s="37" t="str">
        <f>IF(Agent03_Loans!B56="","",Agent03_Loans!G56)</f>
        <v/>
      </c>
      <c r="H446" s="37" t="str">
        <f>IF(Agent03_Loans!B56="","",Agent03_Loans!H56)</f>
        <v/>
      </c>
      <c r="I446" s="40" t="str">
        <f>IF(Agent03_Loans!B56="","",Agent03_Loans!I56)</f>
        <v/>
      </c>
      <c r="J446" s="40" t="str">
        <f>IF(Agent03_Loans!B56="","",Agent03_Loans!J56)</f>
        <v/>
      </c>
      <c r="K446" s="37" t="str">
        <f>IF(Agent03_Loans!B56="","",Agent03_Loans!K56)</f>
        <v/>
      </c>
      <c r="L446" s="37" t="str">
        <f>IF(Agent03_Loans!B56="","",Agent03_Loans!L56)</f>
        <v/>
      </c>
      <c r="M446" s="37" t="str">
        <f>IFERROR(IF(Agent03_Loans!B56="","",YEAR(Agent03_Loans!D56)),"")</f>
        <v/>
      </c>
    </row>
    <row r="447" spans="1:13" ht="18" customHeight="1" x14ac:dyDescent="0.25">
      <c r="A447" s="37" t="str">
        <f>IF(Agent03_Loans!B57="","",Agent03_Loans!A57)</f>
        <v/>
      </c>
      <c r="B447" s="37" t="str">
        <f>IF(Agent03_Loans!B57="","",Agent03_Loans!B57)</f>
        <v/>
      </c>
      <c r="C447" s="37" t="str">
        <f>IF(Agent03_Loans!B57="","",Agent03_Loans!C57)</f>
        <v/>
      </c>
      <c r="D447" s="38" t="str">
        <f>IF(Agent03_Loans!B57="","",Agent03_Loans!D57)</f>
        <v/>
      </c>
      <c r="E447" s="40" t="str">
        <f>IF(Agent03_Loans!B57="","",Agent03_Loans!E57)</f>
        <v/>
      </c>
      <c r="F447" s="37" t="str">
        <f>IF(Agent03_Loans!B57="","",Agent03_Loans!F57)</f>
        <v/>
      </c>
      <c r="G447" s="37" t="str">
        <f>IF(Agent03_Loans!B57="","",Agent03_Loans!G57)</f>
        <v/>
      </c>
      <c r="H447" s="37" t="str">
        <f>IF(Agent03_Loans!B57="","",Agent03_Loans!H57)</f>
        <v/>
      </c>
      <c r="I447" s="40" t="str">
        <f>IF(Agent03_Loans!B57="","",Agent03_Loans!I57)</f>
        <v/>
      </c>
      <c r="J447" s="40" t="str">
        <f>IF(Agent03_Loans!B57="","",Agent03_Loans!J57)</f>
        <v/>
      </c>
      <c r="K447" s="37" t="str">
        <f>IF(Agent03_Loans!B57="","",Agent03_Loans!K57)</f>
        <v/>
      </c>
      <c r="L447" s="37" t="str">
        <f>IF(Agent03_Loans!B57="","",Agent03_Loans!L57)</f>
        <v/>
      </c>
      <c r="M447" s="37" t="str">
        <f>IFERROR(IF(Agent03_Loans!B57="","",YEAR(Agent03_Loans!D57)),"")</f>
        <v/>
      </c>
    </row>
    <row r="448" spans="1:13" ht="18" customHeight="1" x14ac:dyDescent="0.25">
      <c r="A448" s="37" t="str">
        <f>IF(Agent03_Loans!B58="","",Agent03_Loans!A58)</f>
        <v/>
      </c>
      <c r="B448" s="37" t="str">
        <f>IF(Agent03_Loans!B58="","",Agent03_Loans!B58)</f>
        <v/>
      </c>
      <c r="C448" s="37" t="str">
        <f>IF(Agent03_Loans!B58="","",Agent03_Loans!C58)</f>
        <v/>
      </c>
      <c r="D448" s="38" t="str">
        <f>IF(Agent03_Loans!B58="","",Agent03_Loans!D58)</f>
        <v/>
      </c>
      <c r="E448" s="40" t="str">
        <f>IF(Agent03_Loans!B58="","",Agent03_Loans!E58)</f>
        <v/>
      </c>
      <c r="F448" s="37" t="str">
        <f>IF(Agent03_Loans!B58="","",Agent03_Loans!F58)</f>
        <v/>
      </c>
      <c r="G448" s="37" t="str">
        <f>IF(Agent03_Loans!B58="","",Agent03_Loans!G58)</f>
        <v/>
      </c>
      <c r="H448" s="37" t="str">
        <f>IF(Agent03_Loans!B58="","",Agent03_Loans!H58)</f>
        <v/>
      </c>
      <c r="I448" s="40" t="str">
        <f>IF(Agent03_Loans!B58="","",Agent03_Loans!I58)</f>
        <v/>
      </c>
      <c r="J448" s="40" t="str">
        <f>IF(Agent03_Loans!B58="","",Agent03_Loans!J58)</f>
        <v/>
      </c>
      <c r="K448" s="37" t="str">
        <f>IF(Agent03_Loans!B58="","",Agent03_Loans!K58)</f>
        <v/>
      </c>
      <c r="L448" s="37" t="str">
        <f>IF(Agent03_Loans!B58="","",Agent03_Loans!L58)</f>
        <v/>
      </c>
      <c r="M448" s="37" t="str">
        <f>IFERROR(IF(Agent03_Loans!B58="","",YEAR(Agent03_Loans!D58)),"")</f>
        <v/>
      </c>
    </row>
    <row r="449" spans="1:13" ht="18" customHeight="1" x14ac:dyDescent="0.25">
      <c r="A449" s="37" t="str">
        <f>IF(Agent03_Loans!B59="","",Agent03_Loans!A59)</f>
        <v/>
      </c>
      <c r="B449" s="37" t="str">
        <f>IF(Agent03_Loans!B59="","",Agent03_Loans!B59)</f>
        <v/>
      </c>
      <c r="C449" s="37" t="str">
        <f>IF(Agent03_Loans!B59="","",Agent03_Loans!C59)</f>
        <v/>
      </c>
      <c r="D449" s="38" t="str">
        <f>IF(Agent03_Loans!B59="","",Agent03_Loans!D59)</f>
        <v/>
      </c>
      <c r="E449" s="40" t="str">
        <f>IF(Agent03_Loans!B59="","",Agent03_Loans!E59)</f>
        <v/>
      </c>
      <c r="F449" s="37" t="str">
        <f>IF(Agent03_Loans!B59="","",Agent03_Loans!F59)</f>
        <v/>
      </c>
      <c r="G449" s="37" t="str">
        <f>IF(Agent03_Loans!B59="","",Agent03_Loans!G59)</f>
        <v/>
      </c>
      <c r="H449" s="37" t="str">
        <f>IF(Agent03_Loans!B59="","",Agent03_Loans!H59)</f>
        <v/>
      </c>
      <c r="I449" s="40" t="str">
        <f>IF(Agent03_Loans!B59="","",Agent03_Loans!I59)</f>
        <v/>
      </c>
      <c r="J449" s="40" t="str">
        <f>IF(Agent03_Loans!B59="","",Agent03_Loans!J59)</f>
        <v/>
      </c>
      <c r="K449" s="37" t="str">
        <f>IF(Agent03_Loans!B59="","",Agent03_Loans!K59)</f>
        <v/>
      </c>
      <c r="L449" s="37" t="str">
        <f>IF(Agent03_Loans!B59="","",Agent03_Loans!L59)</f>
        <v/>
      </c>
      <c r="M449" s="37" t="str">
        <f>IFERROR(IF(Agent03_Loans!B59="","",YEAR(Agent03_Loans!D59)),"")</f>
        <v/>
      </c>
    </row>
    <row r="450" spans="1:13" ht="18" customHeight="1" x14ac:dyDescent="0.25">
      <c r="A450" s="37" t="str">
        <f>IF(Agent03_Loans!B60="","",Agent03_Loans!A60)</f>
        <v/>
      </c>
      <c r="B450" s="37" t="str">
        <f>IF(Agent03_Loans!B60="","",Agent03_Loans!B60)</f>
        <v/>
      </c>
      <c r="C450" s="37" t="str">
        <f>IF(Agent03_Loans!B60="","",Agent03_Loans!C60)</f>
        <v/>
      </c>
      <c r="D450" s="38" t="str">
        <f>IF(Agent03_Loans!B60="","",Agent03_Loans!D60)</f>
        <v/>
      </c>
      <c r="E450" s="40" t="str">
        <f>IF(Agent03_Loans!B60="","",Agent03_Loans!E60)</f>
        <v/>
      </c>
      <c r="F450" s="37" t="str">
        <f>IF(Agent03_Loans!B60="","",Agent03_Loans!F60)</f>
        <v/>
      </c>
      <c r="G450" s="37" t="str">
        <f>IF(Agent03_Loans!B60="","",Agent03_Loans!G60)</f>
        <v/>
      </c>
      <c r="H450" s="37" t="str">
        <f>IF(Agent03_Loans!B60="","",Agent03_Loans!H60)</f>
        <v/>
      </c>
      <c r="I450" s="40" t="str">
        <f>IF(Agent03_Loans!B60="","",Agent03_Loans!I60)</f>
        <v/>
      </c>
      <c r="J450" s="40" t="str">
        <f>IF(Agent03_Loans!B60="","",Agent03_Loans!J60)</f>
        <v/>
      </c>
      <c r="K450" s="37" t="str">
        <f>IF(Agent03_Loans!B60="","",Agent03_Loans!K60)</f>
        <v/>
      </c>
      <c r="L450" s="37" t="str">
        <f>IF(Agent03_Loans!B60="","",Agent03_Loans!L60)</f>
        <v/>
      </c>
      <c r="M450" s="37" t="str">
        <f>IFERROR(IF(Agent03_Loans!B60="","",YEAR(Agent03_Loans!D60)),"")</f>
        <v/>
      </c>
    </row>
    <row r="451" spans="1:13" ht="18" customHeight="1" x14ac:dyDescent="0.25">
      <c r="A451" s="37" t="str">
        <f>IF(Agent03_Loans!B61="","",Agent03_Loans!A61)</f>
        <v/>
      </c>
      <c r="B451" s="37" t="str">
        <f>IF(Agent03_Loans!B61="","",Agent03_Loans!B61)</f>
        <v/>
      </c>
      <c r="C451" s="37" t="str">
        <f>IF(Agent03_Loans!B61="","",Agent03_Loans!C61)</f>
        <v/>
      </c>
      <c r="D451" s="38" t="str">
        <f>IF(Agent03_Loans!B61="","",Agent03_Loans!D61)</f>
        <v/>
      </c>
      <c r="E451" s="40" t="str">
        <f>IF(Agent03_Loans!B61="","",Agent03_Loans!E61)</f>
        <v/>
      </c>
      <c r="F451" s="37" t="str">
        <f>IF(Agent03_Loans!B61="","",Agent03_Loans!F61)</f>
        <v/>
      </c>
      <c r="G451" s="37" t="str">
        <f>IF(Agent03_Loans!B61="","",Agent03_Loans!G61)</f>
        <v/>
      </c>
      <c r="H451" s="37" t="str">
        <f>IF(Agent03_Loans!B61="","",Agent03_Loans!H61)</f>
        <v/>
      </c>
      <c r="I451" s="40" t="str">
        <f>IF(Agent03_Loans!B61="","",Agent03_Loans!I61)</f>
        <v/>
      </c>
      <c r="J451" s="40" t="str">
        <f>IF(Agent03_Loans!B61="","",Agent03_Loans!J61)</f>
        <v/>
      </c>
      <c r="K451" s="37" t="str">
        <f>IF(Agent03_Loans!B61="","",Agent03_Loans!K61)</f>
        <v/>
      </c>
      <c r="L451" s="37" t="str">
        <f>IF(Agent03_Loans!B61="","",Agent03_Loans!L61)</f>
        <v/>
      </c>
      <c r="M451" s="37" t="str">
        <f>IFERROR(IF(Agent03_Loans!B61="","",YEAR(Agent03_Loans!D61)),"")</f>
        <v/>
      </c>
    </row>
    <row r="452" spans="1:13" ht="18" customHeight="1" x14ac:dyDescent="0.25">
      <c r="A452" s="37" t="str">
        <f>IF(Agent03_Loans!B62="","",Agent03_Loans!A62)</f>
        <v/>
      </c>
      <c r="B452" s="37" t="str">
        <f>IF(Agent03_Loans!B62="","",Agent03_Loans!B62)</f>
        <v/>
      </c>
      <c r="C452" s="37" t="str">
        <f>IF(Agent03_Loans!B62="","",Agent03_Loans!C62)</f>
        <v/>
      </c>
      <c r="D452" s="38" t="str">
        <f>IF(Agent03_Loans!B62="","",Agent03_Loans!D62)</f>
        <v/>
      </c>
      <c r="E452" s="40" t="str">
        <f>IF(Agent03_Loans!B62="","",Agent03_Loans!E62)</f>
        <v/>
      </c>
      <c r="F452" s="37" t="str">
        <f>IF(Agent03_Loans!B62="","",Agent03_Loans!F62)</f>
        <v/>
      </c>
      <c r="G452" s="37" t="str">
        <f>IF(Agent03_Loans!B62="","",Agent03_Loans!G62)</f>
        <v/>
      </c>
      <c r="H452" s="37" t="str">
        <f>IF(Agent03_Loans!B62="","",Agent03_Loans!H62)</f>
        <v/>
      </c>
      <c r="I452" s="40" t="str">
        <f>IF(Agent03_Loans!B62="","",Agent03_Loans!I62)</f>
        <v/>
      </c>
      <c r="J452" s="40" t="str">
        <f>IF(Agent03_Loans!B62="","",Agent03_Loans!J62)</f>
        <v/>
      </c>
      <c r="K452" s="37" t="str">
        <f>IF(Agent03_Loans!B62="","",Agent03_Loans!K62)</f>
        <v/>
      </c>
      <c r="L452" s="37" t="str">
        <f>IF(Agent03_Loans!B62="","",Agent03_Loans!L62)</f>
        <v/>
      </c>
      <c r="M452" s="37" t="str">
        <f>IFERROR(IF(Agent03_Loans!B62="","",YEAR(Agent03_Loans!D62)),"")</f>
        <v/>
      </c>
    </row>
    <row r="453" spans="1:13" ht="18" customHeight="1" x14ac:dyDescent="0.25">
      <c r="A453" s="37" t="str">
        <f>IF(Agent03_Loans!B63="","",Agent03_Loans!A63)</f>
        <v/>
      </c>
      <c r="B453" s="37" t="str">
        <f>IF(Agent03_Loans!B63="","",Agent03_Loans!B63)</f>
        <v/>
      </c>
      <c r="C453" s="37" t="str">
        <f>IF(Agent03_Loans!B63="","",Agent03_Loans!C63)</f>
        <v/>
      </c>
      <c r="D453" s="38" t="str">
        <f>IF(Agent03_Loans!B63="","",Agent03_Loans!D63)</f>
        <v/>
      </c>
      <c r="E453" s="40" t="str">
        <f>IF(Agent03_Loans!B63="","",Agent03_Loans!E63)</f>
        <v/>
      </c>
      <c r="F453" s="37" t="str">
        <f>IF(Agent03_Loans!B63="","",Agent03_Loans!F63)</f>
        <v/>
      </c>
      <c r="G453" s="37" t="str">
        <f>IF(Agent03_Loans!B63="","",Agent03_Loans!G63)</f>
        <v/>
      </c>
      <c r="H453" s="37" t="str">
        <f>IF(Agent03_Loans!B63="","",Agent03_Loans!H63)</f>
        <v/>
      </c>
      <c r="I453" s="40" t="str">
        <f>IF(Agent03_Loans!B63="","",Agent03_Loans!I63)</f>
        <v/>
      </c>
      <c r="J453" s="40" t="str">
        <f>IF(Agent03_Loans!B63="","",Agent03_Loans!J63)</f>
        <v/>
      </c>
      <c r="K453" s="37" t="str">
        <f>IF(Agent03_Loans!B63="","",Agent03_Loans!K63)</f>
        <v/>
      </c>
      <c r="L453" s="37" t="str">
        <f>IF(Agent03_Loans!B63="","",Agent03_Loans!L63)</f>
        <v/>
      </c>
      <c r="M453" s="37" t="str">
        <f>IFERROR(IF(Agent03_Loans!B63="","",YEAR(Agent03_Loans!D63)),"")</f>
        <v/>
      </c>
    </row>
    <row r="454" spans="1:13" ht="18" customHeight="1" x14ac:dyDescent="0.25">
      <c r="A454" s="37" t="str">
        <f>IF(Agent03_Loans!B64="","",Agent03_Loans!A64)</f>
        <v/>
      </c>
      <c r="B454" s="37" t="str">
        <f>IF(Agent03_Loans!B64="","",Agent03_Loans!B64)</f>
        <v/>
      </c>
      <c r="C454" s="37" t="str">
        <f>IF(Agent03_Loans!B64="","",Agent03_Loans!C64)</f>
        <v/>
      </c>
      <c r="D454" s="38" t="str">
        <f>IF(Agent03_Loans!B64="","",Agent03_Loans!D64)</f>
        <v/>
      </c>
      <c r="E454" s="40" t="str">
        <f>IF(Agent03_Loans!B64="","",Agent03_Loans!E64)</f>
        <v/>
      </c>
      <c r="F454" s="37" t="str">
        <f>IF(Agent03_Loans!B64="","",Agent03_Loans!F64)</f>
        <v/>
      </c>
      <c r="G454" s="37" t="str">
        <f>IF(Agent03_Loans!B64="","",Agent03_Loans!G64)</f>
        <v/>
      </c>
      <c r="H454" s="37" t="str">
        <f>IF(Agent03_Loans!B64="","",Agent03_Loans!H64)</f>
        <v/>
      </c>
      <c r="I454" s="40" t="str">
        <f>IF(Agent03_Loans!B64="","",Agent03_Loans!I64)</f>
        <v/>
      </c>
      <c r="J454" s="40" t="str">
        <f>IF(Agent03_Loans!B64="","",Agent03_Loans!J64)</f>
        <v/>
      </c>
      <c r="K454" s="37" t="str">
        <f>IF(Agent03_Loans!B64="","",Agent03_Loans!K64)</f>
        <v/>
      </c>
      <c r="L454" s="37" t="str">
        <f>IF(Agent03_Loans!B64="","",Agent03_Loans!L64)</f>
        <v/>
      </c>
      <c r="M454" s="37" t="str">
        <f>IFERROR(IF(Agent03_Loans!B64="","",YEAR(Agent03_Loans!D64)),"")</f>
        <v/>
      </c>
    </row>
    <row r="455" spans="1:13" ht="18" customHeight="1" x14ac:dyDescent="0.25">
      <c r="A455" s="37" t="str">
        <f>IF(Agent03_Loans!B65="","",Agent03_Loans!A65)</f>
        <v/>
      </c>
      <c r="B455" s="37" t="str">
        <f>IF(Agent03_Loans!B65="","",Agent03_Loans!B65)</f>
        <v/>
      </c>
      <c r="C455" s="37" t="str">
        <f>IF(Agent03_Loans!B65="","",Agent03_Loans!C65)</f>
        <v/>
      </c>
      <c r="D455" s="38" t="str">
        <f>IF(Agent03_Loans!B65="","",Agent03_Loans!D65)</f>
        <v/>
      </c>
      <c r="E455" s="40" t="str">
        <f>IF(Agent03_Loans!B65="","",Agent03_Loans!E65)</f>
        <v/>
      </c>
      <c r="F455" s="37" t="str">
        <f>IF(Agent03_Loans!B65="","",Agent03_Loans!F65)</f>
        <v/>
      </c>
      <c r="G455" s="37" t="str">
        <f>IF(Agent03_Loans!B65="","",Agent03_Loans!G65)</f>
        <v/>
      </c>
      <c r="H455" s="37" t="str">
        <f>IF(Agent03_Loans!B65="","",Agent03_Loans!H65)</f>
        <v/>
      </c>
      <c r="I455" s="40" t="str">
        <f>IF(Agent03_Loans!B65="","",Agent03_Loans!I65)</f>
        <v/>
      </c>
      <c r="J455" s="40" t="str">
        <f>IF(Agent03_Loans!B65="","",Agent03_Loans!J65)</f>
        <v/>
      </c>
      <c r="K455" s="37" t="str">
        <f>IF(Agent03_Loans!B65="","",Agent03_Loans!K65)</f>
        <v/>
      </c>
      <c r="L455" s="37" t="str">
        <f>IF(Agent03_Loans!B65="","",Agent03_Loans!L65)</f>
        <v/>
      </c>
      <c r="M455" s="37" t="str">
        <f>IFERROR(IF(Agent03_Loans!B65="","",YEAR(Agent03_Loans!D65)),"")</f>
        <v/>
      </c>
    </row>
    <row r="456" spans="1:13" ht="18" customHeight="1" x14ac:dyDescent="0.25">
      <c r="A456" s="37" t="str">
        <f>IF(Agent03_Loans!B66="","",Agent03_Loans!A66)</f>
        <v/>
      </c>
      <c r="B456" s="37" t="str">
        <f>IF(Agent03_Loans!B66="","",Agent03_Loans!B66)</f>
        <v/>
      </c>
      <c r="C456" s="37" t="str">
        <f>IF(Agent03_Loans!B66="","",Agent03_Loans!C66)</f>
        <v/>
      </c>
      <c r="D456" s="38" t="str">
        <f>IF(Agent03_Loans!B66="","",Agent03_Loans!D66)</f>
        <v/>
      </c>
      <c r="E456" s="40" t="str">
        <f>IF(Agent03_Loans!B66="","",Agent03_Loans!E66)</f>
        <v/>
      </c>
      <c r="F456" s="37" t="str">
        <f>IF(Agent03_Loans!B66="","",Agent03_Loans!F66)</f>
        <v/>
      </c>
      <c r="G456" s="37" t="str">
        <f>IF(Agent03_Loans!B66="","",Agent03_Loans!G66)</f>
        <v/>
      </c>
      <c r="H456" s="37" t="str">
        <f>IF(Agent03_Loans!B66="","",Agent03_Loans!H66)</f>
        <v/>
      </c>
      <c r="I456" s="40" t="str">
        <f>IF(Agent03_Loans!B66="","",Agent03_Loans!I66)</f>
        <v/>
      </c>
      <c r="J456" s="40" t="str">
        <f>IF(Agent03_Loans!B66="","",Agent03_Loans!J66)</f>
        <v/>
      </c>
      <c r="K456" s="37" t="str">
        <f>IF(Agent03_Loans!B66="","",Agent03_Loans!K66)</f>
        <v/>
      </c>
      <c r="L456" s="37" t="str">
        <f>IF(Agent03_Loans!B66="","",Agent03_Loans!L66)</f>
        <v/>
      </c>
      <c r="M456" s="37" t="str">
        <f>IFERROR(IF(Agent03_Loans!B66="","",YEAR(Agent03_Loans!D66)),"")</f>
        <v/>
      </c>
    </row>
    <row r="457" spans="1:13" ht="18" customHeight="1" x14ac:dyDescent="0.25">
      <c r="A457" s="37" t="str">
        <f>IF(Agent03_Loans!B67="","",Agent03_Loans!A67)</f>
        <v/>
      </c>
      <c r="B457" s="37" t="str">
        <f>IF(Agent03_Loans!B67="","",Agent03_Loans!B67)</f>
        <v/>
      </c>
      <c r="C457" s="37" t="str">
        <f>IF(Agent03_Loans!B67="","",Agent03_Loans!C67)</f>
        <v/>
      </c>
      <c r="D457" s="38" t="str">
        <f>IF(Agent03_Loans!B67="","",Agent03_Loans!D67)</f>
        <v/>
      </c>
      <c r="E457" s="40" t="str">
        <f>IF(Agent03_Loans!B67="","",Agent03_Loans!E67)</f>
        <v/>
      </c>
      <c r="F457" s="37" t="str">
        <f>IF(Agent03_Loans!B67="","",Agent03_Loans!F67)</f>
        <v/>
      </c>
      <c r="G457" s="37" t="str">
        <f>IF(Agent03_Loans!B67="","",Agent03_Loans!G67)</f>
        <v/>
      </c>
      <c r="H457" s="37" t="str">
        <f>IF(Agent03_Loans!B67="","",Agent03_Loans!H67)</f>
        <v/>
      </c>
      <c r="I457" s="40" t="str">
        <f>IF(Agent03_Loans!B67="","",Agent03_Loans!I67)</f>
        <v/>
      </c>
      <c r="J457" s="40" t="str">
        <f>IF(Agent03_Loans!B67="","",Agent03_Loans!J67)</f>
        <v/>
      </c>
      <c r="K457" s="37" t="str">
        <f>IF(Agent03_Loans!B67="","",Agent03_Loans!K67)</f>
        <v/>
      </c>
      <c r="L457" s="37" t="str">
        <f>IF(Agent03_Loans!B67="","",Agent03_Loans!L67)</f>
        <v/>
      </c>
      <c r="M457" s="37" t="str">
        <f>IFERROR(IF(Agent03_Loans!B67="","",YEAR(Agent03_Loans!D67)),"")</f>
        <v/>
      </c>
    </row>
    <row r="458" spans="1:13" ht="18" customHeight="1" x14ac:dyDescent="0.25">
      <c r="A458" s="37" t="str">
        <f>IF(Agent03_Loans!B68="","",Agent03_Loans!A68)</f>
        <v/>
      </c>
      <c r="B458" s="37" t="str">
        <f>IF(Agent03_Loans!B68="","",Agent03_Loans!B68)</f>
        <v/>
      </c>
      <c r="C458" s="37" t="str">
        <f>IF(Agent03_Loans!B68="","",Agent03_Loans!C68)</f>
        <v/>
      </c>
      <c r="D458" s="38" t="str">
        <f>IF(Agent03_Loans!B68="","",Agent03_Loans!D68)</f>
        <v/>
      </c>
      <c r="E458" s="40" t="str">
        <f>IF(Agent03_Loans!B68="","",Agent03_Loans!E68)</f>
        <v/>
      </c>
      <c r="F458" s="37" t="str">
        <f>IF(Agent03_Loans!B68="","",Agent03_Loans!F68)</f>
        <v/>
      </c>
      <c r="G458" s="37" t="str">
        <f>IF(Agent03_Loans!B68="","",Agent03_Loans!G68)</f>
        <v/>
      </c>
      <c r="H458" s="37" t="str">
        <f>IF(Agent03_Loans!B68="","",Agent03_Loans!H68)</f>
        <v/>
      </c>
      <c r="I458" s="40" t="str">
        <f>IF(Agent03_Loans!B68="","",Agent03_Loans!I68)</f>
        <v/>
      </c>
      <c r="J458" s="40" t="str">
        <f>IF(Agent03_Loans!B68="","",Agent03_Loans!J68)</f>
        <v/>
      </c>
      <c r="K458" s="37" t="str">
        <f>IF(Agent03_Loans!B68="","",Agent03_Loans!K68)</f>
        <v/>
      </c>
      <c r="L458" s="37" t="str">
        <f>IF(Agent03_Loans!B68="","",Agent03_Loans!L68)</f>
        <v/>
      </c>
      <c r="M458" s="37" t="str">
        <f>IFERROR(IF(Agent03_Loans!B68="","",YEAR(Agent03_Loans!D68)),"")</f>
        <v/>
      </c>
    </row>
    <row r="459" spans="1:13" ht="18" customHeight="1" x14ac:dyDescent="0.25">
      <c r="A459" s="37" t="str">
        <f>IF(Agent03_Loans!B69="","",Agent03_Loans!A69)</f>
        <v/>
      </c>
      <c r="B459" s="37" t="str">
        <f>IF(Agent03_Loans!B69="","",Agent03_Loans!B69)</f>
        <v/>
      </c>
      <c r="C459" s="37" t="str">
        <f>IF(Agent03_Loans!B69="","",Agent03_Loans!C69)</f>
        <v/>
      </c>
      <c r="D459" s="38" t="str">
        <f>IF(Agent03_Loans!B69="","",Agent03_Loans!D69)</f>
        <v/>
      </c>
      <c r="E459" s="40" t="str">
        <f>IF(Agent03_Loans!B69="","",Agent03_Loans!E69)</f>
        <v/>
      </c>
      <c r="F459" s="37" t="str">
        <f>IF(Agent03_Loans!B69="","",Agent03_Loans!F69)</f>
        <v/>
      </c>
      <c r="G459" s="37" t="str">
        <f>IF(Agent03_Loans!B69="","",Agent03_Loans!G69)</f>
        <v/>
      </c>
      <c r="H459" s="37" t="str">
        <f>IF(Agent03_Loans!B69="","",Agent03_Loans!H69)</f>
        <v/>
      </c>
      <c r="I459" s="40" t="str">
        <f>IF(Agent03_Loans!B69="","",Agent03_Loans!I69)</f>
        <v/>
      </c>
      <c r="J459" s="40" t="str">
        <f>IF(Agent03_Loans!B69="","",Agent03_Loans!J69)</f>
        <v/>
      </c>
      <c r="K459" s="37" t="str">
        <f>IF(Agent03_Loans!B69="","",Agent03_Loans!K69)</f>
        <v/>
      </c>
      <c r="L459" s="37" t="str">
        <f>IF(Agent03_Loans!B69="","",Agent03_Loans!L69)</f>
        <v/>
      </c>
      <c r="M459" s="37" t="str">
        <f>IFERROR(IF(Agent03_Loans!B69="","",YEAR(Agent03_Loans!D69)),"")</f>
        <v/>
      </c>
    </row>
    <row r="460" spans="1:13" ht="18" customHeight="1" x14ac:dyDescent="0.25">
      <c r="A460" s="37" t="str">
        <f>IF(Agent03_Loans!B70="","",Agent03_Loans!A70)</f>
        <v/>
      </c>
      <c r="B460" s="37" t="str">
        <f>IF(Agent03_Loans!B70="","",Agent03_Loans!B70)</f>
        <v/>
      </c>
      <c r="C460" s="37" t="str">
        <f>IF(Agent03_Loans!B70="","",Agent03_Loans!C70)</f>
        <v/>
      </c>
      <c r="D460" s="38" t="str">
        <f>IF(Agent03_Loans!B70="","",Agent03_Loans!D70)</f>
        <v/>
      </c>
      <c r="E460" s="40" t="str">
        <f>IF(Agent03_Loans!B70="","",Agent03_Loans!E70)</f>
        <v/>
      </c>
      <c r="F460" s="37" t="str">
        <f>IF(Agent03_Loans!B70="","",Agent03_Loans!F70)</f>
        <v/>
      </c>
      <c r="G460" s="37" t="str">
        <f>IF(Agent03_Loans!B70="","",Agent03_Loans!G70)</f>
        <v/>
      </c>
      <c r="H460" s="37" t="str">
        <f>IF(Agent03_Loans!B70="","",Agent03_Loans!H70)</f>
        <v/>
      </c>
      <c r="I460" s="40" t="str">
        <f>IF(Agent03_Loans!B70="","",Agent03_Loans!I70)</f>
        <v/>
      </c>
      <c r="J460" s="40" t="str">
        <f>IF(Agent03_Loans!B70="","",Agent03_Loans!J70)</f>
        <v/>
      </c>
      <c r="K460" s="37" t="str">
        <f>IF(Agent03_Loans!B70="","",Agent03_Loans!K70)</f>
        <v/>
      </c>
      <c r="L460" s="37" t="str">
        <f>IF(Agent03_Loans!B70="","",Agent03_Loans!L70)</f>
        <v/>
      </c>
      <c r="M460" s="37" t="str">
        <f>IFERROR(IF(Agent03_Loans!B70="","",YEAR(Agent03_Loans!D70)),"")</f>
        <v/>
      </c>
    </row>
    <row r="461" spans="1:13" ht="18" customHeight="1" x14ac:dyDescent="0.25">
      <c r="A461" s="37" t="str">
        <f>IF(Agent03_Loans!B71="","",Agent03_Loans!A71)</f>
        <v/>
      </c>
      <c r="B461" s="37" t="str">
        <f>IF(Agent03_Loans!B71="","",Agent03_Loans!B71)</f>
        <v/>
      </c>
      <c r="C461" s="37" t="str">
        <f>IF(Agent03_Loans!B71="","",Agent03_Loans!C71)</f>
        <v/>
      </c>
      <c r="D461" s="38" t="str">
        <f>IF(Agent03_Loans!B71="","",Agent03_Loans!D71)</f>
        <v/>
      </c>
      <c r="E461" s="40" t="str">
        <f>IF(Agent03_Loans!B71="","",Agent03_Loans!E71)</f>
        <v/>
      </c>
      <c r="F461" s="37" t="str">
        <f>IF(Agent03_Loans!B71="","",Agent03_Loans!F71)</f>
        <v/>
      </c>
      <c r="G461" s="37" t="str">
        <f>IF(Agent03_Loans!B71="","",Agent03_Loans!G71)</f>
        <v/>
      </c>
      <c r="H461" s="37" t="str">
        <f>IF(Agent03_Loans!B71="","",Agent03_Loans!H71)</f>
        <v/>
      </c>
      <c r="I461" s="40" t="str">
        <f>IF(Agent03_Loans!B71="","",Agent03_Loans!I71)</f>
        <v/>
      </c>
      <c r="J461" s="40" t="str">
        <f>IF(Agent03_Loans!B71="","",Agent03_Loans!J71)</f>
        <v/>
      </c>
      <c r="K461" s="37" t="str">
        <f>IF(Agent03_Loans!B71="","",Agent03_Loans!K71)</f>
        <v/>
      </c>
      <c r="L461" s="37" t="str">
        <f>IF(Agent03_Loans!B71="","",Agent03_Loans!L71)</f>
        <v/>
      </c>
      <c r="M461" s="37" t="str">
        <f>IFERROR(IF(Agent03_Loans!B71="","",YEAR(Agent03_Loans!D71)),"")</f>
        <v/>
      </c>
    </row>
    <row r="462" spans="1:13" ht="18" customHeight="1" x14ac:dyDescent="0.25">
      <c r="A462" s="37" t="str">
        <f>IF(Agent03_Loans!B72="","",Agent03_Loans!A72)</f>
        <v/>
      </c>
      <c r="B462" s="37" t="str">
        <f>IF(Agent03_Loans!B72="","",Agent03_Loans!B72)</f>
        <v/>
      </c>
      <c r="C462" s="37" t="str">
        <f>IF(Agent03_Loans!B72="","",Agent03_Loans!C72)</f>
        <v/>
      </c>
      <c r="D462" s="38" t="str">
        <f>IF(Agent03_Loans!B72="","",Agent03_Loans!D72)</f>
        <v/>
      </c>
      <c r="E462" s="40" t="str">
        <f>IF(Agent03_Loans!B72="","",Agent03_Loans!E72)</f>
        <v/>
      </c>
      <c r="F462" s="37" t="str">
        <f>IF(Agent03_Loans!B72="","",Agent03_Loans!F72)</f>
        <v/>
      </c>
      <c r="G462" s="37" t="str">
        <f>IF(Agent03_Loans!B72="","",Agent03_Loans!G72)</f>
        <v/>
      </c>
      <c r="H462" s="37" t="str">
        <f>IF(Agent03_Loans!B72="","",Agent03_Loans!H72)</f>
        <v/>
      </c>
      <c r="I462" s="40" t="str">
        <f>IF(Agent03_Loans!B72="","",Agent03_Loans!I72)</f>
        <v/>
      </c>
      <c r="J462" s="40" t="str">
        <f>IF(Agent03_Loans!B72="","",Agent03_Loans!J72)</f>
        <v/>
      </c>
      <c r="K462" s="37" t="str">
        <f>IF(Agent03_Loans!B72="","",Agent03_Loans!K72)</f>
        <v/>
      </c>
      <c r="L462" s="37" t="str">
        <f>IF(Agent03_Loans!B72="","",Agent03_Loans!L72)</f>
        <v/>
      </c>
      <c r="M462" s="37" t="str">
        <f>IFERROR(IF(Agent03_Loans!B72="","",YEAR(Agent03_Loans!D72)),"")</f>
        <v/>
      </c>
    </row>
    <row r="463" spans="1:13" ht="18" customHeight="1" x14ac:dyDescent="0.25">
      <c r="A463" s="37" t="str">
        <f>IF(Agent03_Loans!B73="","",Agent03_Loans!A73)</f>
        <v/>
      </c>
      <c r="B463" s="37" t="str">
        <f>IF(Agent03_Loans!B73="","",Agent03_Loans!B73)</f>
        <v/>
      </c>
      <c r="C463" s="37" t="str">
        <f>IF(Agent03_Loans!B73="","",Agent03_Loans!C73)</f>
        <v/>
      </c>
      <c r="D463" s="38" t="str">
        <f>IF(Agent03_Loans!B73="","",Agent03_Loans!D73)</f>
        <v/>
      </c>
      <c r="E463" s="40" t="str">
        <f>IF(Agent03_Loans!B73="","",Agent03_Loans!E73)</f>
        <v/>
      </c>
      <c r="F463" s="37" t="str">
        <f>IF(Agent03_Loans!B73="","",Agent03_Loans!F73)</f>
        <v/>
      </c>
      <c r="G463" s="37" t="str">
        <f>IF(Agent03_Loans!B73="","",Agent03_Loans!G73)</f>
        <v/>
      </c>
      <c r="H463" s="37" t="str">
        <f>IF(Agent03_Loans!B73="","",Agent03_Loans!H73)</f>
        <v/>
      </c>
      <c r="I463" s="40" t="str">
        <f>IF(Agent03_Loans!B73="","",Agent03_Loans!I73)</f>
        <v/>
      </c>
      <c r="J463" s="40" t="str">
        <f>IF(Agent03_Loans!B73="","",Agent03_Loans!J73)</f>
        <v/>
      </c>
      <c r="K463" s="37" t="str">
        <f>IF(Agent03_Loans!B73="","",Agent03_Loans!K73)</f>
        <v/>
      </c>
      <c r="L463" s="37" t="str">
        <f>IF(Agent03_Loans!B73="","",Agent03_Loans!L73)</f>
        <v/>
      </c>
      <c r="M463" s="37" t="str">
        <f>IFERROR(IF(Agent03_Loans!B73="","",YEAR(Agent03_Loans!D73)),"")</f>
        <v/>
      </c>
    </row>
    <row r="464" spans="1:13" ht="18" customHeight="1" x14ac:dyDescent="0.25">
      <c r="A464" s="37" t="str">
        <f>IF(Agent03_Loans!B74="","",Agent03_Loans!A74)</f>
        <v/>
      </c>
      <c r="B464" s="37" t="str">
        <f>IF(Agent03_Loans!B74="","",Agent03_Loans!B74)</f>
        <v/>
      </c>
      <c r="C464" s="37" t="str">
        <f>IF(Agent03_Loans!B74="","",Agent03_Loans!C74)</f>
        <v/>
      </c>
      <c r="D464" s="38" t="str">
        <f>IF(Agent03_Loans!B74="","",Agent03_Loans!D74)</f>
        <v/>
      </c>
      <c r="E464" s="40" t="str">
        <f>IF(Agent03_Loans!B74="","",Agent03_Loans!E74)</f>
        <v/>
      </c>
      <c r="F464" s="37" t="str">
        <f>IF(Agent03_Loans!B74="","",Agent03_Loans!F74)</f>
        <v/>
      </c>
      <c r="G464" s="37" t="str">
        <f>IF(Agent03_Loans!B74="","",Agent03_Loans!G74)</f>
        <v/>
      </c>
      <c r="H464" s="37" t="str">
        <f>IF(Agent03_Loans!B74="","",Agent03_Loans!H74)</f>
        <v/>
      </c>
      <c r="I464" s="40" t="str">
        <f>IF(Agent03_Loans!B74="","",Agent03_Loans!I74)</f>
        <v/>
      </c>
      <c r="J464" s="40" t="str">
        <f>IF(Agent03_Loans!B74="","",Agent03_Loans!J74)</f>
        <v/>
      </c>
      <c r="K464" s="37" t="str">
        <f>IF(Agent03_Loans!B74="","",Agent03_Loans!K74)</f>
        <v/>
      </c>
      <c r="L464" s="37" t="str">
        <f>IF(Agent03_Loans!B74="","",Agent03_Loans!L74)</f>
        <v/>
      </c>
      <c r="M464" s="37" t="str">
        <f>IFERROR(IF(Agent03_Loans!B74="","",YEAR(Agent03_Loans!D74)),"")</f>
        <v/>
      </c>
    </row>
    <row r="465" spans="1:13" ht="18" customHeight="1" x14ac:dyDescent="0.25">
      <c r="A465" s="37" t="str">
        <f>IF(Agent03_Loans!B75="","",Agent03_Loans!A75)</f>
        <v/>
      </c>
      <c r="B465" s="37" t="str">
        <f>IF(Agent03_Loans!B75="","",Agent03_Loans!B75)</f>
        <v/>
      </c>
      <c r="C465" s="37" t="str">
        <f>IF(Agent03_Loans!B75="","",Agent03_Loans!C75)</f>
        <v/>
      </c>
      <c r="D465" s="38" t="str">
        <f>IF(Agent03_Loans!B75="","",Agent03_Loans!D75)</f>
        <v/>
      </c>
      <c r="E465" s="40" t="str">
        <f>IF(Agent03_Loans!B75="","",Agent03_Loans!E75)</f>
        <v/>
      </c>
      <c r="F465" s="37" t="str">
        <f>IF(Agent03_Loans!B75="","",Agent03_Loans!F75)</f>
        <v/>
      </c>
      <c r="G465" s="37" t="str">
        <f>IF(Agent03_Loans!B75="","",Agent03_Loans!G75)</f>
        <v/>
      </c>
      <c r="H465" s="37" t="str">
        <f>IF(Agent03_Loans!B75="","",Agent03_Loans!H75)</f>
        <v/>
      </c>
      <c r="I465" s="40" t="str">
        <f>IF(Agent03_Loans!B75="","",Agent03_Loans!I75)</f>
        <v/>
      </c>
      <c r="J465" s="40" t="str">
        <f>IF(Agent03_Loans!B75="","",Agent03_Loans!J75)</f>
        <v/>
      </c>
      <c r="K465" s="37" t="str">
        <f>IF(Agent03_Loans!B75="","",Agent03_Loans!K75)</f>
        <v/>
      </c>
      <c r="L465" s="37" t="str">
        <f>IF(Agent03_Loans!B75="","",Agent03_Loans!L75)</f>
        <v/>
      </c>
      <c r="M465" s="37" t="str">
        <f>IFERROR(IF(Agent03_Loans!B75="","",YEAR(Agent03_Loans!D75)),"")</f>
        <v/>
      </c>
    </row>
    <row r="466" spans="1:13" ht="18" customHeight="1" x14ac:dyDescent="0.25">
      <c r="A466" s="37" t="str">
        <f>IF(Agent03_Loans!B76="","",Agent03_Loans!A76)</f>
        <v/>
      </c>
      <c r="B466" s="37" t="str">
        <f>IF(Agent03_Loans!B76="","",Agent03_Loans!B76)</f>
        <v/>
      </c>
      <c r="C466" s="37" t="str">
        <f>IF(Agent03_Loans!B76="","",Agent03_Loans!C76)</f>
        <v/>
      </c>
      <c r="D466" s="38" t="str">
        <f>IF(Agent03_Loans!B76="","",Agent03_Loans!D76)</f>
        <v/>
      </c>
      <c r="E466" s="40" t="str">
        <f>IF(Agent03_Loans!B76="","",Agent03_Loans!E76)</f>
        <v/>
      </c>
      <c r="F466" s="37" t="str">
        <f>IF(Agent03_Loans!B76="","",Agent03_Loans!F76)</f>
        <v/>
      </c>
      <c r="G466" s="37" t="str">
        <f>IF(Agent03_Loans!B76="","",Agent03_Loans!G76)</f>
        <v/>
      </c>
      <c r="H466" s="37" t="str">
        <f>IF(Agent03_Loans!B76="","",Agent03_Loans!H76)</f>
        <v/>
      </c>
      <c r="I466" s="40" t="str">
        <f>IF(Agent03_Loans!B76="","",Agent03_Loans!I76)</f>
        <v/>
      </c>
      <c r="J466" s="40" t="str">
        <f>IF(Agent03_Loans!B76="","",Agent03_Loans!J76)</f>
        <v/>
      </c>
      <c r="K466" s="37" t="str">
        <f>IF(Agent03_Loans!B76="","",Agent03_Loans!K76)</f>
        <v/>
      </c>
      <c r="L466" s="37" t="str">
        <f>IF(Agent03_Loans!B76="","",Agent03_Loans!L76)</f>
        <v/>
      </c>
      <c r="M466" s="37" t="str">
        <f>IFERROR(IF(Agent03_Loans!B76="","",YEAR(Agent03_Loans!D76)),"")</f>
        <v/>
      </c>
    </row>
    <row r="467" spans="1:13" ht="18" customHeight="1" x14ac:dyDescent="0.25">
      <c r="A467" s="37" t="str">
        <f>IF(Agent03_Loans!B77="","",Agent03_Loans!A77)</f>
        <v/>
      </c>
      <c r="B467" s="37" t="str">
        <f>IF(Agent03_Loans!B77="","",Agent03_Loans!B77)</f>
        <v/>
      </c>
      <c r="C467" s="37" t="str">
        <f>IF(Agent03_Loans!B77="","",Agent03_Loans!C77)</f>
        <v/>
      </c>
      <c r="D467" s="38" t="str">
        <f>IF(Agent03_Loans!B77="","",Agent03_Loans!D77)</f>
        <v/>
      </c>
      <c r="E467" s="40" t="str">
        <f>IF(Agent03_Loans!B77="","",Agent03_Loans!E77)</f>
        <v/>
      </c>
      <c r="F467" s="37" t="str">
        <f>IF(Agent03_Loans!B77="","",Agent03_Loans!F77)</f>
        <v/>
      </c>
      <c r="G467" s="37" t="str">
        <f>IF(Agent03_Loans!B77="","",Agent03_Loans!G77)</f>
        <v/>
      </c>
      <c r="H467" s="37" t="str">
        <f>IF(Agent03_Loans!B77="","",Agent03_Loans!H77)</f>
        <v/>
      </c>
      <c r="I467" s="40" t="str">
        <f>IF(Agent03_Loans!B77="","",Agent03_Loans!I77)</f>
        <v/>
      </c>
      <c r="J467" s="40" t="str">
        <f>IF(Agent03_Loans!B77="","",Agent03_Loans!J77)</f>
        <v/>
      </c>
      <c r="K467" s="37" t="str">
        <f>IF(Agent03_Loans!B77="","",Agent03_Loans!K77)</f>
        <v/>
      </c>
      <c r="L467" s="37" t="str">
        <f>IF(Agent03_Loans!B77="","",Agent03_Loans!L77)</f>
        <v/>
      </c>
      <c r="M467" s="37" t="str">
        <f>IFERROR(IF(Agent03_Loans!B77="","",YEAR(Agent03_Loans!D77)),"")</f>
        <v/>
      </c>
    </row>
    <row r="468" spans="1:13" ht="18" customHeight="1" x14ac:dyDescent="0.25">
      <c r="A468" s="37" t="str">
        <f>IF(Agent03_Loans!B78="","",Agent03_Loans!A78)</f>
        <v/>
      </c>
      <c r="B468" s="37" t="str">
        <f>IF(Agent03_Loans!B78="","",Agent03_Loans!B78)</f>
        <v/>
      </c>
      <c r="C468" s="37" t="str">
        <f>IF(Agent03_Loans!B78="","",Agent03_Loans!C78)</f>
        <v/>
      </c>
      <c r="D468" s="38" t="str">
        <f>IF(Agent03_Loans!B78="","",Agent03_Loans!D78)</f>
        <v/>
      </c>
      <c r="E468" s="40" t="str">
        <f>IF(Agent03_Loans!B78="","",Agent03_Loans!E78)</f>
        <v/>
      </c>
      <c r="F468" s="37" t="str">
        <f>IF(Agent03_Loans!B78="","",Agent03_Loans!F78)</f>
        <v/>
      </c>
      <c r="G468" s="37" t="str">
        <f>IF(Agent03_Loans!B78="","",Agent03_Loans!G78)</f>
        <v/>
      </c>
      <c r="H468" s="37" t="str">
        <f>IF(Agent03_Loans!B78="","",Agent03_Loans!H78)</f>
        <v/>
      </c>
      <c r="I468" s="40" t="str">
        <f>IF(Agent03_Loans!B78="","",Agent03_Loans!I78)</f>
        <v/>
      </c>
      <c r="J468" s="40" t="str">
        <f>IF(Agent03_Loans!B78="","",Agent03_Loans!J78)</f>
        <v/>
      </c>
      <c r="K468" s="37" t="str">
        <f>IF(Agent03_Loans!B78="","",Agent03_Loans!K78)</f>
        <v/>
      </c>
      <c r="L468" s="37" t="str">
        <f>IF(Agent03_Loans!B78="","",Agent03_Loans!L78)</f>
        <v/>
      </c>
      <c r="M468" s="37" t="str">
        <f>IFERROR(IF(Agent03_Loans!B78="","",YEAR(Agent03_Loans!D78)),"")</f>
        <v/>
      </c>
    </row>
    <row r="469" spans="1:13" ht="18" customHeight="1" x14ac:dyDescent="0.25">
      <c r="A469" s="37" t="str">
        <f>IF(Agent03_Loans!B79="","",Agent03_Loans!A79)</f>
        <v/>
      </c>
      <c r="B469" s="37" t="str">
        <f>IF(Agent03_Loans!B79="","",Agent03_Loans!B79)</f>
        <v/>
      </c>
      <c r="C469" s="37" t="str">
        <f>IF(Agent03_Loans!B79="","",Agent03_Loans!C79)</f>
        <v/>
      </c>
      <c r="D469" s="38" t="str">
        <f>IF(Agent03_Loans!B79="","",Agent03_Loans!D79)</f>
        <v/>
      </c>
      <c r="E469" s="40" t="str">
        <f>IF(Agent03_Loans!B79="","",Agent03_Loans!E79)</f>
        <v/>
      </c>
      <c r="F469" s="37" t="str">
        <f>IF(Agent03_Loans!B79="","",Agent03_Loans!F79)</f>
        <v/>
      </c>
      <c r="G469" s="37" t="str">
        <f>IF(Agent03_Loans!B79="","",Agent03_Loans!G79)</f>
        <v/>
      </c>
      <c r="H469" s="37" t="str">
        <f>IF(Agent03_Loans!B79="","",Agent03_Loans!H79)</f>
        <v/>
      </c>
      <c r="I469" s="40" t="str">
        <f>IF(Agent03_Loans!B79="","",Agent03_Loans!I79)</f>
        <v/>
      </c>
      <c r="J469" s="40" t="str">
        <f>IF(Agent03_Loans!B79="","",Agent03_Loans!J79)</f>
        <v/>
      </c>
      <c r="K469" s="37" t="str">
        <f>IF(Agent03_Loans!B79="","",Agent03_Loans!K79)</f>
        <v/>
      </c>
      <c r="L469" s="37" t="str">
        <f>IF(Agent03_Loans!B79="","",Agent03_Loans!L79)</f>
        <v/>
      </c>
      <c r="M469" s="37" t="str">
        <f>IFERROR(IF(Agent03_Loans!B79="","",YEAR(Agent03_Loans!D79)),"")</f>
        <v/>
      </c>
    </row>
    <row r="470" spans="1:13" ht="18" customHeight="1" x14ac:dyDescent="0.25">
      <c r="A470" s="37" t="str">
        <f>IF(Agent03_Loans!B80="","",Agent03_Loans!A80)</f>
        <v/>
      </c>
      <c r="B470" s="37" t="str">
        <f>IF(Agent03_Loans!B80="","",Agent03_Loans!B80)</f>
        <v/>
      </c>
      <c r="C470" s="37" t="str">
        <f>IF(Agent03_Loans!B80="","",Agent03_Loans!C80)</f>
        <v/>
      </c>
      <c r="D470" s="38" t="str">
        <f>IF(Agent03_Loans!B80="","",Agent03_Loans!D80)</f>
        <v/>
      </c>
      <c r="E470" s="40" t="str">
        <f>IF(Agent03_Loans!B80="","",Agent03_Loans!E80)</f>
        <v/>
      </c>
      <c r="F470" s="37" t="str">
        <f>IF(Agent03_Loans!B80="","",Agent03_Loans!F80)</f>
        <v/>
      </c>
      <c r="G470" s="37" t="str">
        <f>IF(Agent03_Loans!B80="","",Agent03_Loans!G80)</f>
        <v/>
      </c>
      <c r="H470" s="37" t="str">
        <f>IF(Agent03_Loans!B80="","",Agent03_Loans!H80)</f>
        <v/>
      </c>
      <c r="I470" s="40" t="str">
        <f>IF(Agent03_Loans!B80="","",Agent03_Loans!I80)</f>
        <v/>
      </c>
      <c r="J470" s="40" t="str">
        <f>IF(Agent03_Loans!B80="","",Agent03_Loans!J80)</f>
        <v/>
      </c>
      <c r="K470" s="37" t="str">
        <f>IF(Agent03_Loans!B80="","",Agent03_Loans!K80)</f>
        <v/>
      </c>
      <c r="L470" s="37" t="str">
        <f>IF(Agent03_Loans!B80="","",Agent03_Loans!L80)</f>
        <v/>
      </c>
      <c r="M470" s="37" t="str">
        <f>IFERROR(IF(Agent03_Loans!B80="","",YEAR(Agent03_Loans!D80)),"")</f>
        <v/>
      </c>
    </row>
    <row r="471" spans="1:13" ht="18" customHeight="1" x14ac:dyDescent="0.25">
      <c r="A471" s="37" t="str">
        <f>IF(Agent03_Loans!B81="","",Agent03_Loans!A81)</f>
        <v/>
      </c>
      <c r="B471" s="37" t="str">
        <f>IF(Agent03_Loans!B81="","",Agent03_Loans!B81)</f>
        <v/>
      </c>
      <c r="C471" s="37" t="str">
        <f>IF(Agent03_Loans!B81="","",Agent03_Loans!C81)</f>
        <v/>
      </c>
      <c r="D471" s="38" t="str">
        <f>IF(Agent03_Loans!B81="","",Agent03_Loans!D81)</f>
        <v/>
      </c>
      <c r="E471" s="40" t="str">
        <f>IF(Agent03_Loans!B81="","",Agent03_Loans!E81)</f>
        <v/>
      </c>
      <c r="F471" s="37" t="str">
        <f>IF(Agent03_Loans!B81="","",Agent03_Loans!F81)</f>
        <v/>
      </c>
      <c r="G471" s="37" t="str">
        <f>IF(Agent03_Loans!B81="","",Agent03_Loans!G81)</f>
        <v/>
      </c>
      <c r="H471" s="37" t="str">
        <f>IF(Agent03_Loans!B81="","",Agent03_Loans!H81)</f>
        <v/>
      </c>
      <c r="I471" s="40" t="str">
        <f>IF(Agent03_Loans!B81="","",Agent03_Loans!I81)</f>
        <v/>
      </c>
      <c r="J471" s="40" t="str">
        <f>IF(Agent03_Loans!B81="","",Agent03_Loans!J81)</f>
        <v/>
      </c>
      <c r="K471" s="37" t="str">
        <f>IF(Agent03_Loans!B81="","",Agent03_Loans!K81)</f>
        <v/>
      </c>
      <c r="L471" s="37" t="str">
        <f>IF(Agent03_Loans!B81="","",Agent03_Loans!L81)</f>
        <v/>
      </c>
      <c r="M471" s="37" t="str">
        <f>IFERROR(IF(Agent03_Loans!B81="","",YEAR(Agent03_Loans!D81)),"")</f>
        <v/>
      </c>
    </row>
    <row r="472" spans="1:13" ht="18" customHeight="1" x14ac:dyDescent="0.25">
      <c r="A472" s="37" t="str">
        <f>IF(Agent03_Loans!B82="","",Agent03_Loans!A82)</f>
        <v/>
      </c>
      <c r="B472" s="37" t="str">
        <f>IF(Agent03_Loans!B82="","",Agent03_Loans!B82)</f>
        <v/>
      </c>
      <c r="C472" s="37" t="str">
        <f>IF(Agent03_Loans!B82="","",Agent03_Loans!C82)</f>
        <v/>
      </c>
      <c r="D472" s="38" t="str">
        <f>IF(Agent03_Loans!B82="","",Agent03_Loans!D82)</f>
        <v/>
      </c>
      <c r="E472" s="40" t="str">
        <f>IF(Agent03_Loans!B82="","",Agent03_Loans!E82)</f>
        <v/>
      </c>
      <c r="F472" s="37" t="str">
        <f>IF(Agent03_Loans!B82="","",Agent03_Loans!F82)</f>
        <v/>
      </c>
      <c r="G472" s="37" t="str">
        <f>IF(Agent03_Loans!B82="","",Agent03_Loans!G82)</f>
        <v/>
      </c>
      <c r="H472" s="37" t="str">
        <f>IF(Agent03_Loans!B82="","",Agent03_Loans!H82)</f>
        <v/>
      </c>
      <c r="I472" s="40" t="str">
        <f>IF(Agent03_Loans!B82="","",Agent03_Loans!I82)</f>
        <v/>
      </c>
      <c r="J472" s="40" t="str">
        <f>IF(Agent03_Loans!B82="","",Agent03_Loans!J82)</f>
        <v/>
      </c>
      <c r="K472" s="37" t="str">
        <f>IF(Agent03_Loans!B82="","",Agent03_Loans!K82)</f>
        <v/>
      </c>
      <c r="L472" s="37" t="str">
        <f>IF(Agent03_Loans!B82="","",Agent03_Loans!L82)</f>
        <v/>
      </c>
      <c r="M472" s="37" t="str">
        <f>IFERROR(IF(Agent03_Loans!B82="","",YEAR(Agent03_Loans!D82)),"")</f>
        <v/>
      </c>
    </row>
    <row r="473" spans="1:13" ht="18" customHeight="1" x14ac:dyDescent="0.25">
      <c r="A473" s="37" t="str">
        <f>IF(Agent03_Loans!B83="","",Agent03_Loans!A83)</f>
        <v/>
      </c>
      <c r="B473" s="37" t="str">
        <f>IF(Agent03_Loans!B83="","",Agent03_Loans!B83)</f>
        <v/>
      </c>
      <c r="C473" s="37" t="str">
        <f>IF(Agent03_Loans!B83="","",Agent03_Loans!C83)</f>
        <v/>
      </c>
      <c r="D473" s="38" t="str">
        <f>IF(Agent03_Loans!B83="","",Agent03_Loans!D83)</f>
        <v/>
      </c>
      <c r="E473" s="40" t="str">
        <f>IF(Agent03_Loans!B83="","",Agent03_Loans!E83)</f>
        <v/>
      </c>
      <c r="F473" s="37" t="str">
        <f>IF(Agent03_Loans!B83="","",Agent03_Loans!F83)</f>
        <v/>
      </c>
      <c r="G473" s="37" t="str">
        <f>IF(Agent03_Loans!B83="","",Agent03_Loans!G83)</f>
        <v/>
      </c>
      <c r="H473" s="37" t="str">
        <f>IF(Agent03_Loans!B83="","",Agent03_Loans!H83)</f>
        <v/>
      </c>
      <c r="I473" s="40" t="str">
        <f>IF(Agent03_Loans!B83="","",Agent03_Loans!I83)</f>
        <v/>
      </c>
      <c r="J473" s="40" t="str">
        <f>IF(Agent03_Loans!B83="","",Agent03_Loans!J83)</f>
        <v/>
      </c>
      <c r="K473" s="37" t="str">
        <f>IF(Agent03_Loans!B83="","",Agent03_Loans!K83)</f>
        <v/>
      </c>
      <c r="L473" s="37" t="str">
        <f>IF(Agent03_Loans!B83="","",Agent03_Loans!L83)</f>
        <v/>
      </c>
      <c r="M473" s="37" t="str">
        <f>IFERROR(IF(Agent03_Loans!B83="","",YEAR(Agent03_Loans!D83)),"")</f>
        <v/>
      </c>
    </row>
    <row r="474" spans="1:13" ht="18" customHeight="1" x14ac:dyDescent="0.25">
      <c r="A474" s="37" t="str">
        <f>IF(Agent03_Loans!B84="","",Agent03_Loans!A84)</f>
        <v/>
      </c>
      <c r="B474" s="37" t="str">
        <f>IF(Agent03_Loans!B84="","",Agent03_Loans!B84)</f>
        <v/>
      </c>
      <c r="C474" s="37" t="str">
        <f>IF(Agent03_Loans!B84="","",Agent03_Loans!C84)</f>
        <v/>
      </c>
      <c r="D474" s="38" t="str">
        <f>IF(Agent03_Loans!B84="","",Agent03_Loans!D84)</f>
        <v/>
      </c>
      <c r="E474" s="40" t="str">
        <f>IF(Agent03_Loans!B84="","",Agent03_Loans!E84)</f>
        <v/>
      </c>
      <c r="F474" s="37" t="str">
        <f>IF(Agent03_Loans!B84="","",Agent03_Loans!F84)</f>
        <v/>
      </c>
      <c r="G474" s="37" t="str">
        <f>IF(Agent03_Loans!B84="","",Agent03_Loans!G84)</f>
        <v/>
      </c>
      <c r="H474" s="37" t="str">
        <f>IF(Agent03_Loans!B84="","",Agent03_Loans!H84)</f>
        <v/>
      </c>
      <c r="I474" s="40" t="str">
        <f>IF(Agent03_Loans!B84="","",Agent03_Loans!I84)</f>
        <v/>
      </c>
      <c r="J474" s="40" t="str">
        <f>IF(Agent03_Loans!B84="","",Agent03_Loans!J84)</f>
        <v/>
      </c>
      <c r="K474" s="37" t="str">
        <f>IF(Agent03_Loans!B84="","",Agent03_Loans!K84)</f>
        <v/>
      </c>
      <c r="L474" s="37" t="str">
        <f>IF(Agent03_Loans!B84="","",Agent03_Loans!L84)</f>
        <v/>
      </c>
      <c r="M474" s="37" t="str">
        <f>IFERROR(IF(Agent03_Loans!B84="","",YEAR(Agent03_Loans!D84)),"")</f>
        <v/>
      </c>
    </row>
    <row r="475" spans="1:13" ht="18" customHeight="1" x14ac:dyDescent="0.25">
      <c r="A475" s="37" t="str">
        <f>IF(Agent03_Loans!B85="","",Agent03_Loans!A85)</f>
        <v/>
      </c>
      <c r="B475" s="37" t="str">
        <f>IF(Agent03_Loans!B85="","",Agent03_Loans!B85)</f>
        <v/>
      </c>
      <c r="C475" s="37" t="str">
        <f>IF(Agent03_Loans!B85="","",Agent03_Loans!C85)</f>
        <v/>
      </c>
      <c r="D475" s="38" t="str">
        <f>IF(Agent03_Loans!B85="","",Agent03_Loans!D85)</f>
        <v/>
      </c>
      <c r="E475" s="40" t="str">
        <f>IF(Agent03_Loans!B85="","",Agent03_Loans!E85)</f>
        <v/>
      </c>
      <c r="F475" s="37" t="str">
        <f>IF(Agent03_Loans!B85="","",Agent03_Loans!F85)</f>
        <v/>
      </c>
      <c r="G475" s="37" t="str">
        <f>IF(Agent03_Loans!B85="","",Agent03_Loans!G85)</f>
        <v/>
      </c>
      <c r="H475" s="37" t="str">
        <f>IF(Agent03_Loans!B85="","",Agent03_Loans!H85)</f>
        <v/>
      </c>
      <c r="I475" s="40" t="str">
        <f>IF(Agent03_Loans!B85="","",Agent03_Loans!I85)</f>
        <v/>
      </c>
      <c r="J475" s="40" t="str">
        <f>IF(Agent03_Loans!B85="","",Agent03_Loans!J85)</f>
        <v/>
      </c>
      <c r="K475" s="37" t="str">
        <f>IF(Agent03_Loans!B85="","",Agent03_Loans!K85)</f>
        <v/>
      </c>
      <c r="L475" s="37" t="str">
        <f>IF(Agent03_Loans!B85="","",Agent03_Loans!L85)</f>
        <v/>
      </c>
      <c r="M475" s="37" t="str">
        <f>IFERROR(IF(Agent03_Loans!B85="","",YEAR(Agent03_Loans!D85)),"")</f>
        <v/>
      </c>
    </row>
    <row r="476" spans="1:13" ht="18" customHeight="1" x14ac:dyDescent="0.25">
      <c r="A476" s="37" t="str">
        <f>IF(Agent03_Loans!B86="","",Agent03_Loans!A86)</f>
        <v/>
      </c>
      <c r="B476" s="37" t="str">
        <f>IF(Agent03_Loans!B86="","",Agent03_Loans!B86)</f>
        <v/>
      </c>
      <c r="C476" s="37" t="str">
        <f>IF(Agent03_Loans!B86="","",Agent03_Loans!C86)</f>
        <v/>
      </c>
      <c r="D476" s="38" t="str">
        <f>IF(Agent03_Loans!B86="","",Agent03_Loans!D86)</f>
        <v/>
      </c>
      <c r="E476" s="40" t="str">
        <f>IF(Agent03_Loans!B86="","",Agent03_Loans!E86)</f>
        <v/>
      </c>
      <c r="F476" s="37" t="str">
        <f>IF(Agent03_Loans!B86="","",Agent03_Loans!F86)</f>
        <v/>
      </c>
      <c r="G476" s="37" t="str">
        <f>IF(Agent03_Loans!B86="","",Agent03_Loans!G86)</f>
        <v/>
      </c>
      <c r="H476" s="37" t="str">
        <f>IF(Agent03_Loans!B86="","",Agent03_Loans!H86)</f>
        <v/>
      </c>
      <c r="I476" s="40" t="str">
        <f>IF(Agent03_Loans!B86="","",Agent03_Loans!I86)</f>
        <v/>
      </c>
      <c r="J476" s="40" t="str">
        <f>IF(Agent03_Loans!B86="","",Agent03_Loans!J86)</f>
        <v/>
      </c>
      <c r="K476" s="37" t="str">
        <f>IF(Agent03_Loans!B86="","",Agent03_Loans!K86)</f>
        <v/>
      </c>
      <c r="L476" s="37" t="str">
        <f>IF(Agent03_Loans!B86="","",Agent03_Loans!L86)</f>
        <v/>
      </c>
      <c r="M476" s="37" t="str">
        <f>IFERROR(IF(Agent03_Loans!B86="","",YEAR(Agent03_Loans!D86)),"")</f>
        <v/>
      </c>
    </row>
    <row r="477" spans="1:13" ht="18" customHeight="1" x14ac:dyDescent="0.25">
      <c r="A477" s="37" t="str">
        <f>IF(Agent03_Loans!B87="","",Agent03_Loans!A87)</f>
        <v/>
      </c>
      <c r="B477" s="37" t="str">
        <f>IF(Agent03_Loans!B87="","",Agent03_Loans!B87)</f>
        <v/>
      </c>
      <c r="C477" s="37" t="str">
        <f>IF(Agent03_Loans!B87="","",Agent03_Loans!C87)</f>
        <v/>
      </c>
      <c r="D477" s="38" t="str">
        <f>IF(Agent03_Loans!B87="","",Agent03_Loans!D87)</f>
        <v/>
      </c>
      <c r="E477" s="40" t="str">
        <f>IF(Agent03_Loans!B87="","",Agent03_Loans!E87)</f>
        <v/>
      </c>
      <c r="F477" s="37" t="str">
        <f>IF(Agent03_Loans!B87="","",Agent03_Loans!F87)</f>
        <v/>
      </c>
      <c r="G477" s="37" t="str">
        <f>IF(Agent03_Loans!B87="","",Agent03_Loans!G87)</f>
        <v/>
      </c>
      <c r="H477" s="37" t="str">
        <f>IF(Agent03_Loans!B87="","",Agent03_Loans!H87)</f>
        <v/>
      </c>
      <c r="I477" s="40" t="str">
        <f>IF(Agent03_Loans!B87="","",Agent03_Loans!I87)</f>
        <v/>
      </c>
      <c r="J477" s="40" t="str">
        <f>IF(Agent03_Loans!B87="","",Agent03_Loans!J87)</f>
        <v/>
      </c>
      <c r="K477" s="37" t="str">
        <f>IF(Agent03_Loans!B87="","",Agent03_Loans!K87)</f>
        <v/>
      </c>
      <c r="L477" s="37" t="str">
        <f>IF(Agent03_Loans!B87="","",Agent03_Loans!L87)</f>
        <v/>
      </c>
      <c r="M477" s="37" t="str">
        <f>IFERROR(IF(Agent03_Loans!B87="","",YEAR(Agent03_Loans!D87)),"")</f>
        <v/>
      </c>
    </row>
    <row r="478" spans="1:13" ht="18" customHeight="1" x14ac:dyDescent="0.25">
      <c r="A478" s="37" t="str">
        <f>IF(Agent03_Loans!B88="","",Agent03_Loans!A88)</f>
        <v/>
      </c>
      <c r="B478" s="37" t="str">
        <f>IF(Agent03_Loans!B88="","",Agent03_Loans!B88)</f>
        <v/>
      </c>
      <c r="C478" s="37" t="str">
        <f>IF(Agent03_Loans!B88="","",Agent03_Loans!C88)</f>
        <v/>
      </c>
      <c r="D478" s="38" t="str">
        <f>IF(Agent03_Loans!B88="","",Agent03_Loans!D88)</f>
        <v/>
      </c>
      <c r="E478" s="40" t="str">
        <f>IF(Agent03_Loans!B88="","",Agent03_Loans!E88)</f>
        <v/>
      </c>
      <c r="F478" s="37" t="str">
        <f>IF(Agent03_Loans!B88="","",Agent03_Loans!F88)</f>
        <v/>
      </c>
      <c r="G478" s="37" t="str">
        <f>IF(Agent03_Loans!B88="","",Agent03_Loans!G88)</f>
        <v/>
      </c>
      <c r="H478" s="37" t="str">
        <f>IF(Agent03_Loans!B88="","",Agent03_Loans!H88)</f>
        <v/>
      </c>
      <c r="I478" s="40" t="str">
        <f>IF(Agent03_Loans!B88="","",Agent03_Loans!I88)</f>
        <v/>
      </c>
      <c r="J478" s="40" t="str">
        <f>IF(Agent03_Loans!B88="","",Agent03_Loans!J88)</f>
        <v/>
      </c>
      <c r="K478" s="37" t="str">
        <f>IF(Agent03_Loans!B88="","",Agent03_Loans!K88)</f>
        <v/>
      </c>
      <c r="L478" s="37" t="str">
        <f>IF(Agent03_Loans!B88="","",Agent03_Loans!L88)</f>
        <v/>
      </c>
      <c r="M478" s="37" t="str">
        <f>IFERROR(IF(Agent03_Loans!B88="","",YEAR(Agent03_Loans!D88)),"")</f>
        <v/>
      </c>
    </row>
    <row r="479" spans="1:13" ht="18" customHeight="1" x14ac:dyDescent="0.25">
      <c r="A479" s="37" t="str">
        <f>IF(Agent03_Loans!B89="","",Agent03_Loans!A89)</f>
        <v/>
      </c>
      <c r="B479" s="37" t="str">
        <f>IF(Agent03_Loans!B89="","",Agent03_Loans!B89)</f>
        <v/>
      </c>
      <c r="C479" s="37" t="str">
        <f>IF(Agent03_Loans!B89="","",Agent03_Loans!C89)</f>
        <v/>
      </c>
      <c r="D479" s="38" t="str">
        <f>IF(Agent03_Loans!B89="","",Agent03_Loans!D89)</f>
        <v/>
      </c>
      <c r="E479" s="40" t="str">
        <f>IF(Agent03_Loans!B89="","",Agent03_Loans!E89)</f>
        <v/>
      </c>
      <c r="F479" s="37" t="str">
        <f>IF(Agent03_Loans!B89="","",Agent03_Loans!F89)</f>
        <v/>
      </c>
      <c r="G479" s="37" t="str">
        <f>IF(Agent03_Loans!B89="","",Agent03_Loans!G89)</f>
        <v/>
      </c>
      <c r="H479" s="37" t="str">
        <f>IF(Agent03_Loans!B89="","",Agent03_Loans!H89)</f>
        <v/>
      </c>
      <c r="I479" s="40" t="str">
        <f>IF(Agent03_Loans!B89="","",Agent03_Loans!I89)</f>
        <v/>
      </c>
      <c r="J479" s="40" t="str">
        <f>IF(Agent03_Loans!B89="","",Agent03_Loans!J89)</f>
        <v/>
      </c>
      <c r="K479" s="37" t="str">
        <f>IF(Agent03_Loans!B89="","",Agent03_Loans!K89)</f>
        <v/>
      </c>
      <c r="L479" s="37" t="str">
        <f>IF(Agent03_Loans!B89="","",Agent03_Loans!L89)</f>
        <v/>
      </c>
      <c r="M479" s="37" t="str">
        <f>IFERROR(IF(Agent03_Loans!B89="","",YEAR(Agent03_Loans!D89)),"")</f>
        <v/>
      </c>
    </row>
    <row r="480" spans="1:13" ht="18" customHeight="1" x14ac:dyDescent="0.25">
      <c r="A480" s="37" t="str">
        <f>IF(Agent03_Loans!B90="","",Agent03_Loans!A90)</f>
        <v/>
      </c>
      <c r="B480" s="37" t="str">
        <f>IF(Agent03_Loans!B90="","",Agent03_Loans!B90)</f>
        <v/>
      </c>
      <c r="C480" s="37" t="str">
        <f>IF(Agent03_Loans!B90="","",Agent03_Loans!C90)</f>
        <v/>
      </c>
      <c r="D480" s="38" t="str">
        <f>IF(Agent03_Loans!B90="","",Agent03_Loans!D90)</f>
        <v/>
      </c>
      <c r="E480" s="40" t="str">
        <f>IF(Agent03_Loans!B90="","",Agent03_Loans!E90)</f>
        <v/>
      </c>
      <c r="F480" s="37" t="str">
        <f>IF(Agent03_Loans!B90="","",Agent03_Loans!F90)</f>
        <v/>
      </c>
      <c r="G480" s="37" t="str">
        <f>IF(Agent03_Loans!B90="","",Agent03_Loans!G90)</f>
        <v/>
      </c>
      <c r="H480" s="37" t="str">
        <f>IF(Agent03_Loans!B90="","",Agent03_Loans!H90)</f>
        <v/>
      </c>
      <c r="I480" s="40" t="str">
        <f>IF(Agent03_Loans!B90="","",Agent03_Loans!I90)</f>
        <v/>
      </c>
      <c r="J480" s="40" t="str">
        <f>IF(Agent03_Loans!B90="","",Agent03_Loans!J90)</f>
        <v/>
      </c>
      <c r="K480" s="37" t="str">
        <f>IF(Agent03_Loans!B90="","",Agent03_Loans!K90)</f>
        <v/>
      </c>
      <c r="L480" s="37" t="str">
        <f>IF(Agent03_Loans!B90="","",Agent03_Loans!L90)</f>
        <v/>
      </c>
      <c r="M480" s="37" t="str">
        <f>IFERROR(IF(Agent03_Loans!B90="","",YEAR(Agent03_Loans!D90)),"")</f>
        <v/>
      </c>
    </row>
    <row r="481" spans="1:13" ht="18" customHeight="1" x14ac:dyDescent="0.25">
      <c r="A481" s="37" t="str">
        <f>IF(Agent03_Loans!B91="","",Agent03_Loans!A91)</f>
        <v/>
      </c>
      <c r="B481" s="37" t="str">
        <f>IF(Agent03_Loans!B91="","",Agent03_Loans!B91)</f>
        <v/>
      </c>
      <c r="C481" s="37" t="str">
        <f>IF(Agent03_Loans!B91="","",Agent03_Loans!C91)</f>
        <v/>
      </c>
      <c r="D481" s="38" t="str">
        <f>IF(Agent03_Loans!B91="","",Agent03_Loans!D91)</f>
        <v/>
      </c>
      <c r="E481" s="40" t="str">
        <f>IF(Agent03_Loans!B91="","",Agent03_Loans!E91)</f>
        <v/>
      </c>
      <c r="F481" s="37" t="str">
        <f>IF(Agent03_Loans!B91="","",Agent03_Loans!F91)</f>
        <v/>
      </c>
      <c r="G481" s="37" t="str">
        <f>IF(Agent03_Loans!B91="","",Agent03_Loans!G91)</f>
        <v/>
      </c>
      <c r="H481" s="37" t="str">
        <f>IF(Agent03_Loans!B91="","",Agent03_Loans!H91)</f>
        <v/>
      </c>
      <c r="I481" s="40" t="str">
        <f>IF(Agent03_Loans!B91="","",Agent03_Loans!I91)</f>
        <v/>
      </c>
      <c r="J481" s="40" t="str">
        <f>IF(Agent03_Loans!B91="","",Agent03_Loans!J91)</f>
        <v/>
      </c>
      <c r="K481" s="37" t="str">
        <f>IF(Agent03_Loans!B91="","",Agent03_Loans!K91)</f>
        <v/>
      </c>
      <c r="L481" s="37" t="str">
        <f>IF(Agent03_Loans!B91="","",Agent03_Loans!L91)</f>
        <v/>
      </c>
      <c r="M481" s="37" t="str">
        <f>IFERROR(IF(Agent03_Loans!B91="","",YEAR(Agent03_Loans!D91)),"")</f>
        <v/>
      </c>
    </row>
    <row r="482" spans="1:13" ht="18" customHeight="1" x14ac:dyDescent="0.25">
      <c r="A482" s="37" t="str">
        <f>IF(Agent03_Loans!B92="","",Agent03_Loans!A92)</f>
        <v/>
      </c>
      <c r="B482" s="37" t="str">
        <f>IF(Agent03_Loans!B92="","",Agent03_Loans!B92)</f>
        <v/>
      </c>
      <c r="C482" s="37" t="str">
        <f>IF(Agent03_Loans!B92="","",Agent03_Loans!C92)</f>
        <v/>
      </c>
      <c r="D482" s="38" t="str">
        <f>IF(Agent03_Loans!B92="","",Agent03_Loans!D92)</f>
        <v/>
      </c>
      <c r="E482" s="40" t="str">
        <f>IF(Agent03_Loans!B92="","",Agent03_Loans!E92)</f>
        <v/>
      </c>
      <c r="F482" s="37" t="str">
        <f>IF(Agent03_Loans!B92="","",Agent03_Loans!F92)</f>
        <v/>
      </c>
      <c r="G482" s="37" t="str">
        <f>IF(Agent03_Loans!B92="","",Agent03_Loans!G92)</f>
        <v/>
      </c>
      <c r="H482" s="37" t="str">
        <f>IF(Agent03_Loans!B92="","",Agent03_Loans!H92)</f>
        <v/>
      </c>
      <c r="I482" s="40" t="str">
        <f>IF(Agent03_Loans!B92="","",Agent03_Loans!I92)</f>
        <v/>
      </c>
      <c r="J482" s="40" t="str">
        <f>IF(Agent03_Loans!B92="","",Agent03_Loans!J92)</f>
        <v/>
      </c>
      <c r="K482" s="37" t="str">
        <f>IF(Agent03_Loans!B92="","",Agent03_Loans!K92)</f>
        <v/>
      </c>
      <c r="L482" s="37" t="str">
        <f>IF(Agent03_Loans!B92="","",Agent03_Loans!L92)</f>
        <v/>
      </c>
      <c r="M482" s="37" t="str">
        <f>IFERROR(IF(Agent03_Loans!B92="","",YEAR(Agent03_Loans!D92)),"")</f>
        <v/>
      </c>
    </row>
    <row r="483" spans="1:13" ht="18" customHeight="1" x14ac:dyDescent="0.25">
      <c r="A483" s="37" t="str">
        <f>IF(Agent03_Loans!B93="","",Agent03_Loans!A93)</f>
        <v/>
      </c>
      <c r="B483" s="37" t="str">
        <f>IF(Agent03_Loans!B93="","",Agent03_Loans!B93)</f>
        <v/>
      </c>
      <c r="C483" s="37" t="str">
        <f>IF(Agent03_Loans!B93="","",Agent03_Loans!C93)</f>
        <v/>
      </c>
      <c r="D483" s="38" t="str">
        <f>IF(Agent03_Loans!B93="","",Agent03_Loans!D93)</f>
        <v/>
      </c>
      <c r="E483" s="40" t="str">
        <f>IF(Agent03_Loans!B93="","",Agent03_Loans!E93)</f>
        <v/>
      </c>
      <c r="F483" s="37" t="str">
        <f>IF(Agent03_Loans!B93="","",Agent03_Loans!F93)</f>
        <v/>
      </c>
      <c r="G483" s="37" t="str">
        <f>IF(Agent03_Loans!B93="","",Agent03_Loans!G93)</f>
        <v/>
      </c>
      <c r="H483" s="37" t="str">
        <f>IF(Agent03_Loans!B93="","",Agent03_Loans!H93)</f>
        <v/>
      </c>
      <c r="I483" s="40" t="str">
        <f>IF(Agent03_Loans!B93="","",Agent03_Loans!I93)</f>
        <v/>
      </c>
      <c r="J483" s="40" t="str">
        <f>IF(Agent03_Loans!B93="","",Agent03_Loans!J93)</f>
        <v/>
      </c>
      <c r="K483" s="37" t="str">
        <f>IF(Agent03_Loans!B93="","",Agent03_Loans!K93)</f>
        <v/>
      </c>
      <c r="L483" s="37" t="str">
        <f>IF(Agent03_Loans!B93="","",Agent03_Loans!L93)</f>
        <v/>
      </c>
      <c r="M483" s="37" t="str">
        <f>IFERROR(IF(Agent03_Loans!B93="","",YEAR(Agent03_Loans!D93)),"")</f>
        <v/>
      </c>
    </row>
    <row r="484" spans="1:13" ht="18" customHeight="1" x14ac:dyDescent="0.25">
      <c r="A484" s="37" t="str">
        <f>IF(Agent03_Loans!B94="","",Agent03_Loans!A94)</f>
        <v/>
      </c>
      <c r="B484" s="37" t="str">
        <f>IF(Agent03_Loans!B94="","",Agent03_Loans!B94)</f>
        <v/>
      </c>
      <c r="C484" s="37" t="str">
        <f>IF(Agent03_Loans!B94="","",Agent03_Loans!C94)</f>
        <v/>
      </c>
      <c r="D484" s="38" t="str">
        <f>IF(Agent03_Loans!B94="","",Agent03_Loans!D94)</f>
        <v/>
      </c>
      <c r="E484" s="40" t="str">
        <f>IF(Agent03_Loans!B94="","",Agent03_Loans!E94)</f>
        <v/>
      </c>
      <c r="F484" s="37" t="str">
        <f>IF(Agent03_Loans!B94="","",Agent03_Loans!F94)</f>
        <v/>
      </c>
      <c r="G484" s="37" t="str">
        <f>IF(Agent03_Loans!B94="","",Agent03_Loans!G94)</f>
        <v/>
      </c>
      <c r="H484" s="37" t="str">
        <f>IF(Agent03_Loans!B94="","",Agent03_Loans!H94)</f>
        <v/>
      </c>
      <c r="I484" s="40" t="str">
        <f>IF(Agent03_Loans!B94="","",Agent03_Loans!I94)</f>
        <v/>
      </c>
      <c r="J484" s="40" t="str">
        <f>IF(Agent03_Loans!B94="","",Agent03_Loans!J94)</f>
        <v/>
      </c>
      <c r="K484" s="37" t="str">
        <f>IF(Agent03_Loans!B94="","",Agent03_Loans!K94)</f>
        <v/>
      </c>
      <c r="L484" s="37" t="str">
        <f>IF(Agent03_Loans!B94="","",Agent03_Loans!L94)</f>
        <v/>
      </c>
      <c r="M484" s="37" t="str">
        <f>IFERROR(IF(Agent03_Loans!B94="","",YEAR(Agent03_Loans!D94)),"")</f>
        <v/>
      </c>
    </row>
    <row r="485" spans="1:13" ht="18" customHeight="1" x14ac:dyDescent="0.25">
      <c r="A485" s="37" t="str">
        <f>IF(Agent03_Loans!B95="","",Agent03_Loans!A95)</f>
        <v/>
      </c>
      <c r="B485" s="37" t="str">
        <f>IF(Agent03_Loans!B95="","",Agent03_Loans!B95)</f>
        <v/>
      </c>
      <c r="C485" s="37" t="str">
        <f>IF(Agent03_Loans!B95="","",Agent03_Loans!C95)</f>
        <v/>
      </c>
      <c r="D485" s="38" t="str">
        <f>IF(Agent03_Loans!B95="","",Agent03_Loans!D95)</f>
        <v/>
      </c>
      <c r="E485" s="40" t="str">
        <f>IF(Agent03_Loans!B95="","",Agent03_Loans!E95)</f>
        <v/>
      </c>
      <c r="F485" s="37" t="str">
        <f>IF(Agent03_Loans!B95="","",Agent03_Loans!F95)</f>
        <v/>
      </c>
      <c r="G485" s="37" t="str">
        <f>IF(Agent03_Loans!B95="","",Agent03_Loans!G95)</f>
        <v/>
      </c>
      <c r="H485" s="37" t="str">
        <f>IF(Agent03_Loans!B95="","",Agent03_Loans!H95)</f>
        <v/>
      </c>
      <c r="I485" s="40" t="str">
        <f>IF(Agent03_Loans!B95="","",Agent03_Loans!I95)</f>
        <v/>
      </c>
      <c r="J485" s="40" t="str">
        <f>IF(Agent03_Loans!B95="","",Agent03_Loans!J95)</f>
        <v/>
      </c>
      <c r="K485" s="37" t="str">
        <f>IF(Agent03_Loans!B95="","",Agent03_Loans!K95)</f>
        <v/>
      </c>
      <c r="L485" s="37" t="str">
        <f>IF(Agent03_Loans!B95="","",Agent03_Loans!L95)</f>
        <v/>
      </c>
      <c r="M485" s="37" t="str">
        <f>IFERROR(IF(Agent03_Loans!B95="","",YEAR(Agent03_Loans!D95)),"")</f>
        <v/>
      </c>
    </row>
    <row r="486" spans="1:13" ht="18" customHeight="1" x14ac:dyDescent="0.25">
      <c r="A486" s="37" t="str">
        <f>IF(Agent03_Loans!B96="","",Agent03_Loans!A96)</f>
        <v/>
      </c>
      <c r="B486" s="37" t="str">
        <f>IF(Agent03_Loans!B96="","",Agent03_Loans!B96)</f>
        <v/>
      </c>
      <c r="C486" s="37" t="str">
        <f>IF(Agent03_Loans!B96="","",Agent03_Loans!C96)</f>
        <v/>
      </c>
      <c r="D486" s="38" t="str">
        <f>IF(Agent03_Loans!B96="","",Agent03_Loans!D96)</f>
        <v/>
      </c>
      <c r="E486" s="40" t="str">
        <f>IF(Agent03_Loans!B96="","",Agent03_Loans!E96)</f>
        <v/>
      </c>
      <c r="F486" s="37" t="str">
        <f>IF(Agent03_Loans!B96="","",Agent03_Loans!F96)</f>
        <v/>
      </c>
      <c r="G486" s="37" t="str">
        <f>IF(Agent03_Loans!B96="","",Agent03_Loans!G96)</f>
        <v/>
      </c>
      <c r="H486" s="37" t="str">
        <f>IF(Agent03_Loans!B96="","",Agent03_Loans!H96)</f>
        <v/>
      </c>
      <c r="I486" s="40" t="str">
        <f>IF(Agent03_Loans!B96="","",Agent03_Loans!I96)</f>
        <v/>
      </c>
      <c r="J486" s="40" t="str">
        <f>IF(Agent03_Loans!B96="","",Agent03_Loans!J96)</f>
        <v/>
      </c>
      <c r="K486" s="37" t="str">
        <f>IF(Agent03_Loans!B96="","",Agent03_Loans!K96)</f>
        <v/>
      </c>
      <c r="L486" s="37" t="str">
        <f>IF(Agent03_Loans!B96="","",Agent03_Loans!L96)</f>
        <v/>
      </c>
      <c r="M486" s="37" t="str">
        <f>IFERROR(IF(Agent03_Loans!B96="","",YEAR(Agent03_Loans!D96)),"")</f>
        <v/>
      </c>
    </row>
    <row r="487" spans="1:13" ht="18" customHeight="1" x14ac:dyDescent="0.25">
      <c r="A487" s="37" t="str">
        <f>IF(Agent03_Loans!B97="","",Agent03_Loans!A97)</f>
        <v/>
      </c>
      <c r="B487" s="37" t="str">
        <f>IF(Agent03_Loans!B97="","",Agent03_Loans!B97)</f>
        <v/>
      </c>
      <c r="C487" s="37" t="str">
        <f>IF(Agent03_Loans!B97="","",Agent03_Loans!C97)</f>
        <v/>
      </c>
      <c r="D487" s="38" t="str">
        <f>IF(Agent03_Loans!B97="","",Agent03_Loans!D97)</f>
        <v/>
      </c>
      <c r="E487" s="40" t="str">
        <f>IF(Agent03_Loans!B97="","",Agent03_Loans!E97)</f>
        <v/>
      </c>
      <c r="F487" s="37" t="str">
        <f>IF(Agent03_Loans!B97="","",Agent03_Loans!F97)</f>
        <v/>
      </c>
      <c r="G487" s="37" t="str">
        <f>IF(Agent03_Loans!B97="","",Agent03_Loans!G97)</f>
        <v/>
      </c>
      <c r="H487" s="37" t="str">
        <f>IF(Agent03_Loans!B97="","",Agent03_Loans!H97)</f>
        <v/>
      </c>
      <c r="I487" s="40" t="str">
        <f>IF(Agent03_Loans!B97="","",Agent03_Loans!I97)</f>
        <v/>
      </c>
      <c r="J487" s="40" t="str">
        <f>IF(Agent03_Loans!B97="","",Agent03_Loans!J97)</f>
        <v/>
      </c>
      <c r="K487" s="37" t="str">
        <f>IF(Agent03_Loans!B97="","",Agent03_Loans!K97)</f>
        <v/>
      </c>
      <c r="L487" s="37" t="str">
        <f>IF(Agent03_Loans!B97="","",Agent03_Loans!L97)</f>
        <v/>
      </c>
      <c r="M487" s="37" t="str">
        <f>IFERROR(IF(Agent03_Loans!B97="","",YEAR(Agent03_Loans!D97)),"")</f>
        <v/>
      </c>
    </row>
    <row r="488" spans="1:13" ht="18" customHeight="1" x14ac:dyDescent="0.25">
      <c r="A488" s="37" t="str">
        <f>IF(Agent03_Loans!B98="","",Agent03_Loans!A98)</f>
        <v/>
      </c>
      <c r="B488" s="37" t="str">
        <f>IF(Agent03_Loans!B98="","",Agent03_Loans!B98)</f>
        <v/>
      </c>
      <c r="C488" s="37" t="str">
        <f>IF(Agent03_Loans!B98="","",Agent03_Loans!C98)</f>
        <v/>
      </c>
      <c r="D488" s="38" t="str">
        <f>IF(Agent03_Loans!B98="","",Agent03_Loans!D98)</f>
        <v/>
      </c>
      <c r="E488" s="40" t="str">
        <f>IF(Agent03_Loans!B98="","",Agent03_Loans!E98)</f>
        <v/>
      </c>
      <c r="F488" s="37" t="str">
        <f>IF(Agent03_Loans!B98="","",Agent03_Loans!F98)</f>
        <v/>
      </c>
      <c r="G488" s="37" t="str">
        <f>IF(Agent03_Loans!B98="","",Agent03_Loans!G98)</f>
        <v/>
      </c>
      <c r="H488" s="37" t="str">
        <f>IF(Agent03_Loans!B98="","",Agent03_Loans!H98)</f>
        <v/>
      </c>
      <c r="I488" s="40" t="str">
        <f>IF(Agent03_Loans!B98="","",Agent03_Loans!I98)</f>
        <v/>
      </c>
      <c r="J488" s="40" t="str">
        <f>IF(Agent03_Loans!B98="","",Agent03_Loans!J98)</f>
        <v/>
      </c>
      <c r="K488" s="37" t="str">
        <f>IF(Agent03_Loans!B98="","",Agent03_Loans!K98)</f>
        <v/>
      </c>
      <c r="L488" s="37" t="str">
        <f>IF(Agent03_Loans!B98="","",Agent03_Loans!L98)</f>
        <v/>
      </c>
      <c r="M488" s="37" t="str">
        <f>IFERROR(IF(Agent03_Loans!B98="","",YEAR(Agent03_Loans!D98)),"")</f>
        <v/>
      </c>
    </row>
    <row r="489" spans="1:13" ht="18" customHeight="1" x14ac:dyDescent="0.25">
      <c r="A489" s="37" t="str">
        <f>IF(Agent03_Loans!B99="","",Agent03_Loans!A99)</f>
        <v/>
      </c>
      <c r="B489" s="37" t="str">
        <f>IF(Agent03_Loans!B99="","",Agent03_Loans!B99)</f>
        <v/>
      </c>
      <c r="C489" s="37" t="str">
        <f>IF(Agent03_Loans!B99="","",Agent03_Loans!C99)</f>
        <v/>
      </c>
      <c r="D489" s="38" t="str">
        <f>IF(Agent03_Loans!B99="","",Agent03_Loans!D99)</f>
        <v/>
      </c>
      <c r="E489" s="40" t="str">
        <f>IF(Agent03_Loans!B99="","",Agent03_Loans!E99)</f>
        <v/>
      </c>
      <c r="F489" s="37" t="str">
        <f>IF(Agent03_Loans!B99="","",Agent03_Loans!F99)</f>
        <v/>
      </c>
      <c r="G489" s="37" t="str">
        <f>IF(Agent03_Loans!B99="","",Agent03_Loans!G99)</f>
        <v/>
      </c>
      <c r="H489" s="37" t="str">
        <f>IF(Agent03_Loans!B99="","",Agent03_Loans!H99)</f>
        <v/>
      </c>
      <c r="I489" s="40" t="str">
        <f>IF(Agent03_Loans!B99="","",Agent03_Loans!I99)</f>
        <v/>
      </c>
      <c r="J489" s="40" t="str">
        <f>IF(Agent03_Loans!B99="","",Agent03_Loans!J99)</f>
        <v/>
      </c>
      <c r="K489" s="37" t="str">
        <f>IF(Agent03_Loans!B99="","",Agent03_Loans!K99)</f>
        <v/>
      </c>
      <c r="L489" s="37" t="str">
        <f>IF(Agent03_Loans!B99="","",Agent03_Loans!L99)</f>
        <v/>
      </c>
      <c r="M489" s="37" t="str">
        <f>IFERROR(IF(Agent03_Loans!B99="","",YEAR(Agent03_Loans!D99)),"")</f>
        <v/>
      </c>
    </row>
    <row r="490" spans="1:13" ht="18" customHeight="1" x14ac:dyDescent="0.25">
      <c r="A490" s="37" t="str">
        <f>IF(Agent03_Loans!B100="","",Agent03_Loans!A100)</f>
        <v/>
      </c>
      <c r="B490" s="37" t="str">
        <f>IF(Agent03_Loans!B100="","",Agent03_Loans!B100)</f>
        <v/>
      </c>
      <c r="C490" s="37" t="str">
        <f>IF(Agent03_Loans!B100="","",Agent03_Loans!C100)</f>
        <v/>
      </c>
      <c r="D490" s="38" t="str">
        <f>IF(Agent03_Loans!B100="","",Agent03_Loans!D100)</f>
        <v/>
      </c>
      <c r="E490" s="40" t="str">
        <f>IF(Agent03_Loans!B100="","",Agent03_Loans!E100)</f>
        <v/>
      </c>
      <c r="F490" s="37" t="str">
        <f>IF(Agent03_Loans!B100="","",Agent03_Loans!F100)</f>
        <v/>
      </c>
      <c r="G490" s="37" t="str">
        <f>IF(Agent03_Loans!B100="","",Agent03_Loans!G100)</f>
        <v/>
      </c>
      <c r="H490" s="37" t="str">
        <f>IF(Agent03_Loans!B100="","",Agent03_Loans!H100)</f>
        <v/>
      </c>
      <c r="I490" s="40" t="str">
        <f>IF(Agent03_Loans!B100="","",Agent03_Loans!I100)</f>
        <v/>
      </c>
      <c r="J490" s="40" t="str">
        <f>IF(Agent03_Loans!B100="","",Agent03_Loans!J100)</f>
        <v/>
      </c>
      <c r="K490" s="37" t="str">
        <f>IF(Agent03_Loans!B100="","",Agent03_Loans!K100)</f>
        <v/>
      </c>
      <c r="L490" s="37" t="str">
        <f>IF(Agent03_Loans!B100="","",Agent03_Loans!L100)</f>
        <v/>
      </c>
      <c r="M490" s="37" t="str">
        <f>IFERROR(IF(Agent03_Loans!B100="","",YEAR(Agent03_Loans!D100)),"")</f>
        <v/>
      </c>
    </row>
    <row r="491" spans="1:13" ht="18" customHeight="1" x14ac:dyDescent="0.25">
      <c r="A491" s="37" t="str">
        <f>IF(Agent03_Loans!B101="","",Agent03_Loans!A101)</f>
        <v/>
      </c>
      <c r="B491" s="37" t="str">
        <f>IF(Agent03_Loans!B101="","",Agent03_Loans!B101)</f>
        <v/>
      </c>
      <c r="C491" s="37" t="str">
        <f>IF(Agent03_Loans!B101="","",Agent03_Loans!C101)</f>
        <v/>
      </c>
      <c r="D491" s="38" t="str">
        <f>IF(Agent03_Loans!B101="","",Agent03_Loans!D101)</f>
        <v/>
      </c>
      <c r="E491" s="40" t="str">
        <f>IF(Agent03_Loans!B101="","",Agent03_Loans!E101)</f>
        <v/>
      </c>
      <c r="F491" s="37" t="str">
        <f>IF(Agent03_Loans!B101="","",Agent03_Loans!F101)</f>
        <v/>
      </c>
      <c r="G491" s="37" t="str">
        <f>IF(Agent03_Loans!B101="","",Agent03_Loans!G101)</f>
        <v/>
      </c>
      <c r="H491" s="37" t="str">
        <f>IF(Agent03_Loans!B101="","",Agent03_Loans!H101)</f>
        <v/>
      </c>
      <c r="I491" s="40" t="str">
        <f>IF(Agent03_Loans!B101="","",Agent03_Loans!I101)</f>
        <v/>
      </c>
      <c r="J491" s="40" t="str">
        <f>IF(Agent03_Loans!B101="","",Agent03_Loans!J101)</f>
        <v/>
      </c>
      <c r="K491" s="37" t="str">
        <f>IF(Agent03_Loans!B101="","",Agent03_Loans!K101)</f>
        <v/>
      </c>
      <c r="L491" s="37" t="str">
        <f>IF(Agent03_Loans!B101="","",Agent03_Loans!L101)</f>
        <v/>
      </c>
      <c r="M491" s="37" t="str">
        <f>IFERROR(IF(Agent03_Loans!B101="","",YEAR(Agent03_Loans!D101)),"")</f>
        <v/>
      </c>
    </row>
    <row r="492" spans="1:13" ht="18" customHeight="1" x14ac:dyDescent="0.25">
      <c r="A492" s="37" t="str">
        <f>IF(Agent03_Loans!B102="","",Agent03_Loans!A102)</f>
        <v/>
      </c>
      <c r="B492" s="37" t="str">
        <f>IF(Agent03_Loans!B102="","",Agent03_Loans!B102)</f>
        <v/>
      </c>
      <c r="C492" s="37" t="str">
        <f>IF(Agent03_Loans!B102="","",Agent03_Loans!C102)</f>
        <v/>
      </c>
      <c r="D492" s="38" t="str">
        <f>IF(Agent03_Loans!B102="","",Agent03_Loans!D102)</f>
        <v/>
      </c>
      <c r="E492" s="40" t="str">
        <f>IF(Agent03_Loans!B102="","",Agent03_Loans!E102)</f>
        <v/>
      </c>
      <c r="F492" s="37" t="str">
        <f>IF(Agent03_Loans!B102="","",Agent03_Loans!F102)</f>
        <v/>
      </c>
      <c r="G492" s="37" t="str">
        <f>IF(Agent03_Loans!B102="","",Agent03_Loans!G102)</f>
        <v/>
      </c>
      <c r="H492" s="37" t="str">
        <f>IF(Agent03_Loans!B102="","",Agent03_Loans!H102)</f>
        <v/>
      </c>
      <c r="I492" s="40" t="str">
        <f>IF(Agent03_Loans!B102="","",Agent03_Loans!I102)</f>
        <v/>
      </c>
      <c r="J492" s="40" t="str">
        <f>IF(Agent03_Loans!B102="","",Agent03_Loans!J102)</f>
        <v/>
      </c>
      <c r="K492" s="37" t="str">
        <f>IF(Agent03_Loans!B102="","",Agent03_Loans!K102)</f>
        <v/>
      </c>
      <c r="L492" s="37" t="str">
        <f>IF(Agent03_Loans!B102="","",Agent03_Loans!L102)</f>
        <v/>
      </c>
      <c r="M492" s="37" t="str">
        <f>IFERROR(IF(Agent03_Loans!B102="","",YEAR(Agent03_Loans!D102)),"")</f>
        <v/>
      </c>
    </row>
    <row r="493" spans="1:13" ht="18" customHeight="1" x14ac:dyDescent="0.25">
      <c r="A493" s="37" t="str">
        <f>IF(Agent03_Loans!B103="","",Agent03_Loans!A103)</f>
        <v/>
      </c>
      <c r="B493" s="37" t="str">
        <f>IF(Agent03_Loans!B103="","",Agent03_Loans!B103)</f>
        <v/>
      </c>
      <c r="C493" s="37" t="str">
        <f>IF(Agent03_Loans!B103="","",Agent03_Loans!C103)</f>
        <v/>
      </c>
      <c r="D493" s="38" t="str">
        <f>IF(Agent03_Loans!B103="","",Agent03_Loans!D103)</f>
        <v/>
      </c>
      <c r="E493" s="40" t="str">
        <f>IF(Agent03_Loans!B103="","",Agent03_Loans!E103)</f>
        <v/>
      </c>
      <c r="F493" s="37" t="str">
        <f>IF(Agent03_Loans!B103="","",Agent03_Loans!F103)</f>
        <v/>
      </c>
      <c r="G493" s="37" t="str">
        <f>IF(Agent03_Loans!B103="","",Agent03_Loans!G103)</f>
        <v/>
      </c>
      <c r="H493" s="37" t="str">
        <f>IF(Agent03_Loans!B103="","",Agent03_Loans!H103)</f>
        <v/>
      </c>
      <c r="I493" s="40" t="str">
        <f>IF(Agent03_Loans!B103="","",Agent03_Loans!I103)</f>
        <v/>
      </c>
      <c r="J493" s="40" t="str">
        <f>IF(Agent03_Loans!B103="","",Agent03_Loans!J103)</f>
        <v/>
      </c>
      <c r="K493" s="37" t="str">
        <f>IF(Agent03_Loans!B103="","",Agent03_Loans!K103)</f>
        <v/>
      </c>
      <c r="L493" s="37" t="str">
        <f>IF(Agent03_Loans!B103="","",Agent03_Loans!L103)</f>
        <v/>
      </c>
      <c r="M493" s="37" t="str">
        <f>IFERROR(IF(Agent03_Loans!B103="","",YEAR(Agent03_Loans!D103)),"")</f>
        <v/>
      </c>
    </row>
    <row r="494" spans="1:13" ht="18" customHeight="1" x14ac:dyDescent="0.25">
      <c r="A494" s="37" t="str">
        <f>IF(Agent03_Loans!B104="","",Agent03_Loans!A104)</f>
        <v/>
      </c>
      <c r="B494" s="37" t="str">
        <f>IF(Agent03_Loans!B104="","",Agent03_Loans!B104)</f>
        <v/>
      </c>
      <c r="C494" s="37" t="str">
        <f>IF(Agent03_Loans!B104="","",Agent03_Loans!C104)</f>
        <v/>
      </c>
      <c r="D494" s="38" t="str">
        <f>IF(Agent03_Loans!B104="","",Agent03_Loans!D104)</f>
        <v/>
      </c>
      <c r="E494" s="40" t="str">
        <f>IF(Agent03_Loans!B104="","",Agent03_Loans!E104)</f>
        <v/>
      </c>
      <c r="F494" s="37" t="str">
        <f>IF(Agent03_Loans!B104="","",Agent03_Loans!F104)</f>
        <v/>
      </c>
      <c r="G494" s="37" t="str">
        <f>IF(Agent03_Loans!B104="","",Agent03_Loans!G104)</f>
        <v/>
      </c>
      <c r="H494" s="37" t="str">
        <f>IF(Agent03_Loans!B104="","",Agent03_Loans!H104)</f>
        <v/>
      </c>
      <c r="I494" s="40" t="str">
        <f>IF(Agent03_Loans!B104="","",Agent03_Loans!I104)</f>
        <v/>
      </c>
      <c r="J494" s="40" t="str">
        <f>IF(Agent03_Loans!B104="","",Agent03_Loans!J104)</f>
        <v/>
      </c>
      <c r="K494" s="37" t="str">
        <f>IF(Agent03_Loans!B104="","",Agent03_Loans!K104)</f>
        <v/>
      </c>
      <c r="L494" s="37" t="str">
        <f>IF(Agent03_Loans!B104="","",Agent03_Loans!L104)</f>
        <v/>
      </c>
      <c r="M494" s="37" t="str">
        <f>IFERROR(IF(Agent03_Loans!B104="","",YEAR(Agent03_Loans!D104)),"")</f>
        <v/>
      </c>
    </row>
    <row r="495" spans="1:13" ht="18" customHeight="1" x14ac:dyDescent="0.25">
      <c r="A495" s="37" t="str">
        <f>IF(Agent03_Loans!B105="","",Agent03_Loans!A105)</f>
        <v/>
      </c>
      <c r="B495" s="37" t="str">
        <f>IF(Agent03_Loans!B105="","",Agent03_Loans!B105)</f>
        <v/>
      </c>
      <c r="C495" s="37" t="str">
        <f>IF(Agent03_Loans!B105="","",Agent03_Loans!C105)</f>
        <v/>
      </c>
      <c r="D495" s="38" t="str">
        <f>IF(Agent03_Loans!B105="","",Agent03_Loans!D105)</f>
        <v/>
      </c>
      <c r="E495" s="40" t="str">
        <f>IF(Agent03_Loans!B105="","",Agent03_Loans!E105)</f>
        <v/>
      </c>
      <c r="F495" s="37" t="str">
        <f>IF(Agent03_Loans!B105="","",Agent03_Loans!F105)</f>
        <v/>
      </c>
      <c r="G495" s="37" t="str">
        <f>IF(Agent03_Loans!B105="","",Agent03_Loans!G105)</f>
        <v/>
      </c>
      <c r="H495" s="37" t="str">
        <f>IF(Agent03_Loans!B105="","",Agent03_Loans!H105)</f>
        <v/>
      </c>
      <c r="I495" s="40" t="str">
        <f>IF(Agent03_Loans!B105="","",Agent03_Loans!I105)</f>
        <v/>
      </c>
      <c r="J495" s="40" t="str">
        <f>IF(Agent03_Loans!B105="","",Agent03_Loans!J105)</f>
        <v/>
      </c>
      <c r="K495" s="37" t="str">
        <f>IF(Agent03_Loans!B105="","",Agent03_Loans!K105)</f>
        <v/>
      </c>
      <c r="L495" s="37" t="str">
        <f>IF(Agent03_Loans!B105="","",Agent03_Loans!L105)</f>
        <v/>
      </c>
      <c r="M495" s="37" t="str">
        <f>IFERROR(IF(Agent03_Loans!B105="","",YEAR(Agent03_Loans!D105)),"")</f>
        <v/>
      </c>
    </row>
    <row r="496" spans="1:13" ht="18" customHeight="1" x14ac:dyDescent="0.25">
      <c r="A496" s="37" t="str">
        <f>IF(Agent03_Loans!B106="","",Agent03_Loans!A106)</f>
        <v/>
      </c>
      <c r="B496" s="37" t="str">
        <f>IF(Agent03_Loans!B106="","",Agent03_Loans!B106)</f>
        <v/>
      </c>
      <c r="C496" s="37" t="str">
        <f>IF(Agent03_Loans!B106="","",Agent03_Loans!C106)</f>
        <v/>
      </c>
      <c r="D496" s="38" t="str">
        <f>IF(Agent03_Loans!B106="","",Agent03_Loans!D106)</f>
        <v/>
      </c>
      <c r="E496" s="40" t="str">
        <f>IF(Agent03_Loans!B106="","",Agent03_Loans!E106)</f>
        <v/>
      </c>
      <c r="F496" s="37" t="str">
        <f>IF(Agent03_Loans!B106="","",Agent03_Loans!F106)</f>
        <v/>
      </c>
      <c r="G496" s="37" t="str">
        <f>IF(Agent03_Loans!B106="","",Agent03_Loans!G106)</f>
        <v/>
      </c>
      <c r="H496" s="37" t="str">
        <f>IF(Agent03_Loans!B106="","",Agent03_Loans!H106)</f>
        <v/>
      </c>
      <c r="I496" s="40" t="str">
        <f>IF(Agent03_Loans!B106="","",Agent03_Loans!I106)</f>
        <v/>
      </c>
      <c r="J496" s="40" t="str">
        <f>IF(Agent03_Loans!B106="","",Agent03_Loans!J106)</f>
        <v/>
      </c>
      <c r="K496" s="37" t="str">
        <f>IF(Agent03_Loans!B106="","",Agent03_Loans!K106)</f>
        <v/>
      </c>
      <c r="L496" s="37" t="str">
        <f>IF(Agent03_Loans!B106="","",Agent03_Loans!L106)</f>
        <v/>
      </c>
      <c r="M496" s="37" t="str">
        <f>IFERROR(IF(Agent03_Loans!B106="","",YEAR(Agent03_Loans!D106)),"")</f>
        <v/>
      </c>
    </row>
    <row r="497" spans="1:13" ht="18" customHeight="1" x14ac:dyDescent="0.25">
      <c r="A497" s="37" t="str">
        <f>IF(Agent03_Loans!B107="","",Agent03_Loans!A107)</f>
        <v/>
      </c>
      <c r="B497" s="37" t="str">
        <f>IF(Agent03_Loans!B107="","",Agent03_Loans!B107)</f>
        <v/>
      </c>
      <c r="C497" s="37" t="str">
        <f>IF(Agent03_Loans!B107="","",Agent03_Loans!C107)</f>
        <v/>
      </c>
      <c r="D497" s="38" t="str">
        <f>IF(Agent03_Loans!B107="","",Agent03_Loans!D107)</f>
        <v/>
      </c>
      <c r="E497" s="40" t="str">
        <f>IF(Agent03_Loans!B107="","",Agent03_Loans!E107)</f>
        <v/>
      </c>
      <c r="F497" s="37" t="str">
        <f>IF(Agent03_Loans!B107="","",Agent03_Loans!F107)</f>
        <v/>
      </c>
      <c r="G497" s="37" t="str">
        <f>IF(Agent03_Loans!B107="","",Agent03_Loans!G107)</f>
        <v/>
      </c>
      <c r="H497" s="37" t="str">
        <f>IF(Agent03_Loans!B107="","",Agent03_Loans!H107)</f>
        <v/>
      </c>
      <c r="I497" s="40" t="str">
        <f>IF(Agent03_Loans!B107="","",Agent03_Loans!I107)</f>
        <v/>
      </c>
      <c r="J497" s="40" t="str">
        <f>IF(Agent03_Loans!B107="","",Agent03_Loans!J107)</f>
        <v/>
      </c>
      <c r="K497" s="37" t="str">
        <f>IF(Agent03_Loans!B107="","",Agent03_Loans!K107)</f>
        <v/>
      </c>
      <c r="L497" s="37" t="str">
        <f>IF(Agent03_Loans!B107="","",Agent03_Loans!L107)</f>
        <v/>
      </c>
      <c r="M497" s="37" t="str">
        <f>IFERROR(IF(Agent03_Loans!B107="","",YEAR(Agent03_Loans!D107)),"")</f>
        <v/>
      </c>
    </row>
    <row r="498" spans="1:13" ht="18" customHeight="1" x14ac:dyDescent="0.25">
      <c r="A498" s="37" t="str">
        <f>IF(Agent03_Loans!B108="","",Agent03_Loans!A108)</f>
        <v/>
      </c>
      <c r="B498" s="37" t="str">
        <f>IF(Agent03_Loans!B108="","",Agent03_Loans!B108)</f>
        <v/>
      </c>
      <c r="C498" s="37" t="str">
        <f>IF(Agent03_Loans!B108="","",Agent03_Loans!C108)</f>
        <v/>
      </c>
      <c r="D498" s="38" t="str">
        <f>IF(Agent03_Loans!B108="","",Agent03_Loans!D108)</f>
        <v/>
      </c>
      <c r="E498" s="40" t="str">
        <f>IF(Agent03_Loans!B108="","",Agent03_Loans!E108)</f>
        <v/>
      </c>
      <c r="F498" s="37" t="str">
        <f>IF(Agent03_Loans!B108="","",Agent03_Loans!F108)</f>
        <v/>
      </c>
      <c r="G498" s="37" t="str">
        <f>IF(Agent03_Loans!B108="","",Agent03_Loans!G108)</f>
        <v/>
      </c>
      <c r="H498" s="37" t="str">
        <f>IF(Agent03_Loans!B108="","",Agent03_Loans!H108)</f>
        <v/>
      </c>
      <c r="I498" s="40" t="str">
        <f>IF(Agent03_Loans!B108="","",Agent03_Loans!I108)</f>
        <v/>
      </c>
      <c r="J498" s="40" t="str">
        <f>IF(Agent03_Loans!B108="","",Agent03_Loans!J108)</f>
        <v/>
      </c>
      <c r="K498" s="37" t="str">
        <f>IF(Agent03_Loans!B108="","",Agent03_Loans!K108)</f>
        <v/>
      </c>
      <c r="L498" s="37" t="str">
        <f>IF(Agent03_Loans!B108="","",Agent03_Loans!L108)</f>
        <v/>
      </c>
      <c r="M498" s="37" t="str">
        <f>IFERROR(IF(Agent03_Loans!B108="","",YEAR(Agent03_Loans!D108)),"")</f>
        <v/>
      </c>
    </row>
    <row r="499" spans="1:13" ht="18" customHeight="1" x14ac:dyDescent="0.25">
      <c r="A499" s="37" t="str">
        <f>IF(Agent03_Loans!B109="","",Agent03_Loans!A109)</f>
        <v/>
      </c>
      <c r="B499" s="37" t="str">
        <f>IF(Agent03_Loans!B109="","",Agent03_Loans!B109)</f>
        <v/>
      </c>
      <c r="C499" s="37" t="str">
        <f>IF(Agent03_Loans!B109="","",Agent03_Loans!C109)</f>
        <v/>
      </c>
      <c r="D499" s="38" t="str">
        <f>IF(Agent03_Loans!B109="","",Agent03_Loans!D109)</f>
        <v/>
      </c>
      <c r="E499" s="40" t="str">
        <f>IF(Agent03_Loans!B109="","",Agent03_Loans!E109)</f>
        <v/>
      </c>
      <c r="F499" s="37" t="str">
        <f>IF(Agent03_Loans!B109="","",Agent03_Loans!F109)</f>
        <v/>
      </c>
      <c r="G499" s="37" t="str">
        <f>IF(Agent03_Loans!B109="","",Agent03_Loans!G109)</f>
        <v/>
      </c>
      <c r="H499" s="37" t="str">
        <f>IF(Agent03_Loans!B109="","",Agent03_Loans!H109)</f>
        <v/>
      </c>
      <c r="I499" s="40" t="str">
        <f>IF(Agent03_Loans!B109="","",Agent03_Loans!I109)</f>
        <v/>
      </c>
      <c r="J499" s="40" t="str">
        <f>IF(Agent03_Loans!B109="","",Agent03_Loans!J109)</f>
        <v/>
      </c>
      <c r="K499" s="37" t="str">
        <f>IF(Agent03_Loans!B109="","",Agent03_Loans!K109)</f>
        <v/>
      </c>
      <c r="L499" s="37" t="str">
        <f>IF(Agent03_Loans!B109="","",Agent03_Loans!L109)</f>
        <v/>
      </c>
      <c r="M499" s="37" t="str">
        <f>IFERROR(IF(Agent03_Loans!B109="","",YEAR(Agent03_Loans!D109)),"")</f>
        <v/>
      </c>
    </row>
    <row r="500" spans="1:13" ht="18" customHeight="1" x14ac:dyDescent="0.25">
      <c r="A500" s="37" t="str">
        <f>IF(Agent03_Loans!B110="","",Agent03_Loans!A110)</f>
        <v/>
      </c>
      <c r="B500" s="37" t="str">
        <f>IF(Agent03_Loans!B110="","",Agent03_Loans!B110)</f>
        <v/>
      </c>
      <c r="C500" s="37" t="str">
        <f>IF(Agent03_Loans!B110="","",Agent03_Loans!C110)</f>
        <v/>
      </c>
      <c r="D500" s="38" t="str">
        <f>IF(Agent03_Loans!B110="","",Agent03_Loans!D110)</f>
        <v/>
      </c>
      <c r="E500" s="40" t="str">
        <f>IF(Agent03_Loans!B110="","",Agent03_Loans!E110)</f>
        <v/>
      </c>
      <c r="F500" s="37" t="str">
        <f>IF(Agent03_Loans!B110="","",Agent03_Loans!F110)</f>
        <v/>
      </c>
      <c r="G500" s="37" t="str">
        <f>IF(Agent03_Loans!B110="","",Agent03_Loans!G110)</f>
        <v/>
      </c>
      <c r="H500" s="37" t="str">
        <f>IF(Agent03_Loans!B110="","",Agent03_Loans!H110)</f>
        <v/>
      </c>
      <c r="I500" s="40" t="str">
        <f>IF(Agent03_Loans!B110="","",Agent03_Loans!I110)</f>
        <v/>
      </c>
      <c r="J500" s="40" t="str">
        <f>IF(Agent03_Loans!B110="","",Agent03_Loans!J110)</f>
        <v/>
      </c>
      <c r="K500" s="37" t="str">
        <f>IF(Agent03_Loans!B110="","",Agent03_Loans!K110)</f>
        <v/>
      </c>
      <c r="L500" s="37" t="str">
        <f>IF(Agent03_Loans!B110="","",Agent03_Loans!L110)</f>
        <v/>
      </c>
      <c r="M500" s="37" t="str">
        <f>IFERROR(IF(Agent03_Loans!B110="","",YEAR(Agent03_Loans!D110)),"")</f>
        <v/>
      </c>
    </row>
    <row r="501" spans="1:13" ht="18" customHeight="1" x14ac:dyDescent="0.25">
      <c r="A501" s="37" t="str">
        <f>IF(Agent03_Loans!B111="","",Agent03_Loans!A111)</f>
        <v/>
      </c>
      <c r="B501" s="37" t="str">
        <f>IF(Agent03_Loans!B111="","",Agent03_Loans!B111)</f>
        <v/>
      </c>
      <c r="C501" s="37" t="str">
        <f>IF(Agent03_Loans!B111="","",Agent03_Loans!C111)</f>
        <v/>
      </c>
      <c r="D501" s="38" t="str">
        <f>IF(Agent03_Loans!B111="","",Agent03_Loans!D111)</f>
        <v/>
      </c>
      <c r="E501" s="40" t="str">
        <f>IF(Agent03_Loans!B111="","",Agent03_Loans!E111)</f>
        <v/>
      </c>
      <c r="F501" s="37" t="str">
        <f>IF(Agent03_Loans!B111="","",Agent03_Loans!F111)</f>
        <v/>
      </c>
      <c r="G501" s="37" t="str">
        <f>IF(Agent03_Loans!B111="","",Agent03_Loans!G111)</f>
        <v/>
      </c>
      <c r="H501" s="37" t="str">
        <f>IF(Agent03_Loans!B111="","",Agent03_Loans!H111)</f>
        <v/>
      </c>
      <c r="I501" s="40" t="str">
        <f>IF(Agent03_Loans!B111="","",Agent03_Loans!I111)</f>
        <v/>
      </c>
      <c r="J501" s="40" t="str">
        <f>IF(Agent03_Loans!B111="","",Agent03_Loans!J111)</f>
        <v/>
      </c>
      <c r="K501" s="37" t="str">
        <f>IF(Agent03_Loans!B111="","",Agent03_Loans!K111)</f>
        <v/>
      </c>
      <c r="L501" s="37" t="str">
        <f>IF(Agent03_Loans!B111="","",Agent03_Loans!L111)</f>
        <v/>
      </c>
      <c r="M501" s="37" t="str">
        <f>IFERROR(IF(Agent03_Loans!B111="","",YEAR(Agent03_Loans!D111)),"")</f>
        <v/>
      </c>
    </row>
    <row r="502" spans="1:13" ht="18" customHeight="1" x14ac:dyDescent="0.25">
      <c r="A502" s="37" t="str">
        <f>IF(Agent03_Loans!B112="","",Agent03_Loans!A112)</f>
        <v/>
      </c>
      <c r="B502" s="37" t="str">
        <f>IF(Agent03_Loans!B112="","",Agent03_Loans!B112)</f>
        <v/>
      </c>
      <c r="C502" s="37" t="str">
        <f>IF(Agent03_Loans!B112="","",Agent03_Loans!C112)</f>
        <v/>
      </c>
      <c r="D502" s="38" t="str">
        <f>IF(Agent03_Loans!B112="","",Agent03_Loans!D112)</f>
        <v/>
      </c>
      <c r="E502" s="40" t="str">
        <f>IF(Agent03_Loans!B112="","",Agent03_Loans!E112)</f>
        <v/>
      </c>
      <c r="F502" s="37" t="str">
        <f>IF(Agent03_Loans!B112="","",Agent03_Loans!F112)</f>
        <v/>
      </c>
      <c r="G502" s="37" t="str">
        <f>IF(Agent03_Loans!B112="","",Agent03_Loans!G112)</f>
        <v/>
      </c>
      <c r="H502" s="37" t="str">
        <f>IF(Agent03_Loans!B112="","",Agent03_Loans!H112)</f>
        <v/>
      </c>
      <c r="I502" s="40" t="str">
        <f>IF(Agent03_Loans!B112="","",Agent03_Loans!I112)</f>
        <v/>
      </c>
      <c r="J502" s="40" t="str">
        <f>IF(Agent03_Loans!B112="","",Agent03_Loans!J112)</f>
        <v/>
      </c>
      <c r="K502" s="37" t="str">
        <f>IF(Agent03_Loans!B112="","",Agent03_Loans!K112)</f>
        <v/>
      </c>
      <c r="L502" s="37" t="str">
        <f>IF(Agent03_Loans!B112="","",Agent03_Loans!L112)</f>
        <v/>
      </c>
      <c r="M502" s="37" t="str">
        <f>IFERROR(IF(Agent03_Loans!B112="","",YEAR(Agent03_Loans!D112)),"")</f>
        <v/>
      </c>
    </row>
    <row r="503" spans="1:13" ht="18" customHeight="1" x14ac:dyDescent="0.25">
      <c r="A503" s="37" t="str">
        <f>IF(Agent03_Loans!B113="","",Agent03_Loans!A113)</f>
        <v/>
      </c>
      <c r="B503" s="37" t="str">
        <f>IF(Agent03_Loans!B113="","",Agent03_Loans!B113)</f>
        <v/>
      </c>
      <c r="C503" s="37" t="str">
        <f>IF(Agent03_Loans!B113="","",Agent03_Loans!C113)</f>
        <v/>
      </c>
      <c r="D503" s="38" t="str">
        <f>IF(Agent03_Loans!B113="","",Agent03_Loans!D113)</f>
        <v/>
      </c>
      <c r="E503" s="40" t="str">
        <f>IF(Agent03_Loans!B113="","",Agent03_Loans!E113)</f>
        <v/>
      </c>
      <c r="F503" s="37" t="str">
        <f>IF(Agent03_Loans!B113="","",Agent03_Loans!F113)</f>
        <v/>
      </c>
      <c r="G503" s="37" t="str">
        <f>IF(Agent03_Loans!B113="","",Agent03_Loans!G113)</f>
        <v/>
      </c>
      <c r="H503" s="37" t="str">
        <f>IF(Agent03_Loans!B113="","",Agent03_Loans!H113)</f>
        <v/>
      </c>
      <c r="I503" s="40" t="str">
        <f>IF(Agent03_Loans!B113="","",Agent03_Loans!I113)</f>
        <v/>
      </c>
      <c r="J503" s="40" t="str">
        <f>IF(Agent03_Loans!B113="","",Agent03_Loans!J113)</f>
        <v/>
      </c>
      <c r="K503" s="37" t="str">
        <f>IF(Agent03_Loans!B113="","",Agent03_Loans!K113)</f>
        <v/>
      </c>
      <c r="L503" s="37" t="str">
        <f>IF(Agent03_Loans!B113="","",Agent03_Loans!L113)</f>
        <v/>
      </c>
      <c r="M503" s="37" t="str">
        <f>IFERROR(IF(Agent03_Loans!B113="","",YEAR(Agent03_Loans!D113)),"")</f>
        <v/>
      </c>
    </row>
    <row r="504" spans="1:13" ht="18" customHeight="1" x14ac:dyDescent="0.25">
      <c r="A504" s="37" t="str">
        <f>IF(Agent03_Loans!B114="","",Agent03_Loans!A114)</f>
        <v/>
      </c>
      <c r="B504" s="37" t="str">
        <f>IF(Agent03_Loans!B114="","",Agent03_Loans!B114)</f>
        <v/>
      </c>
      <c r="C504" s="37" t="str">
        <f>IF(Agent03_Loans!B114="","",Agent03_Loans!C114)</f>
        <v/>
      </c>
      <c r="D504" s="38" t="str">
        <f>IF(Agent03_Loans!B114="","",Agent03_Loans!D114)</f>
        <v/>
      </c>
      <c r="E504" s="40" t="str">
        <f>IF(Agent03_Loans!B114="","",Agent03_Loans!E114)</f>
        <v/>
      </c>
      <c r="F504" s="37" t="str">
        <f>IF(Agent03_Loans!B114="","",Agent03_Loans!F114)</f>
        <v/>
      </c>
      <c r="G504" s="37" t="str">
        <f>IF(Agent03_Loans!B114="","",Agent03_Loans!G114)</f>
        <v/>
      </c>
      <c r="H504" s="37" t="str">
        <f>IF(Agent03_Loans!B114="","",Agent03_Loans!H114)</f>
        <v/>
      </c>
      <c r="I504" s="40" t="str">
        <f>IF(Agent03_Loans!B114="","",Agent03_Loans!I114)</f>
        <v/>
      </c>
      <c r="J504" s="40" t="str">
        <f>IF(Agent03_Loans!B114="","",Agent03_Loans!J114)</f>
        <v/>
      </c>
      <c r="K504" s="37" t="str">
        <f>IF(Agent03_Loans!B114="","",Agent03_Loans!K114)</f>
        <v/>
      </c>
      <c r="L504" s="37" t="str">
        <f>IF(Agent03_Loans!B114="","",Agent03_Loans!L114)</f>
        <v/>
      </c>
      <c r="M504" s="37" t="str">
        <f>IFERROR(IF(Agent03_Loans!B114="","",YEAR(Agent03_Loans!D114)),"")</f>
        <v/>
      </c>
    </row>
    <row r="505" spans="1:13" ht="18" customHeight="1" x14ac:dyDescent="0.25">
      <c r="A505" s="37" t="str">
        <f>IF(Agent03_Loans!B115="","",Agent03_Loans!A115)</f>
        <v/>
      </c>
      <c r="B505" s="37" t="str">
        <f>IF(Agent03_Loans!B115="","",Agent03_Loans!B115)</f>
        <v/>
      </c>
      <c r="C505" s="37" t="str">
        <f>IF(Agent03_Loans!B115="","",Agent03_Loans!C115)</f>
        <v/>
      </c>
      <c r="D505" s="38" t="str">
        <f>IF(Agent03_Loans!B115="","",Agent03_Loans!D115)</f>
        <v/>
      </c>
      <c r="E505" s="40" t="str">
        <f>IF(Agent03_Loans!B115="","",Agent03_Loans!E115)</f>
        <v/>
      </c>
      <c r="F505" s="37" t="str">
        <f>IF(Agent03_Loans!B115="","",Agent03_Loans!F115)</f>
        <v/>
      </c>
      <c r="G505" s="37" t="str">
        <f>IF(Agent03_Loans!B115="","",Agent03_Loans!G115)</f>
        <v/>
      </c>
      <c r="H505" s="37" t="str">
        <f>IF(Agent03_Loans!B115="","",Agent03_Loans!H115)</f>
        <v/>
      </c>
      <c r="I505" s="40" t="str">
        <f>IF(Agent03_Loans!B115="","",Agent03_Loans!I115)</f>
        <v/>
      </c>
      <c r="J505" s="40" t="str">
        <f>IF(Agent03_Loans!B115="","",Agent03_Loans!J115)</f>
        <v/>
      </c>
      <c r="K505" s="37" t="str">
        <f>IF(Agent03_Loans!B115="","",Agent03_Loans!K115)</f>
        <v/>
      </c>
      <c r="L505" s="37" t="str">
        <f>IF(Agent03_Loans!B115="","",Agent03_Loans!L115)</f>
        <v/>
      </c>
      <c r="M505" s="37" t="str">
        <f>IFERROR(IF(Agent03_Loans!B115="","",YEAR(Agent03_Loans!D115)),"")</f>
        <v/>
      </c>
    </row>
    <row r="506" spans="1:13" ht="18" customHeight="1" x14ac:dyDescent="0.25">
      <c r="A506" s="37" t="str">
        <f>IF(Agent03_Loans!B116="","",Agent03_Loans!A116)</f>
        <v/>
      </c>
      <c r="B506" s="37" t="str">
        <f>IF(Agent03_Loans!B116="","",Agent03_Loans!B116)</f>
        <v/>
      </c>
      <c r="C506" s="37" t="str">
        <f>IF(Agent03_Loans!B116="","",Agent03_Loans!C116)</f>
        <v/>
      </c>
      <c r="D506" s="38" t="str">
        <f>IF(Agent03_Loans!B116="","",Agent03_Loans!D116)</f>
        <v/>
      </c>
      <c r="E506" s="40" t="str">
        <f>IF(Agent03_Loans!B116="","",Agent03_Loans!E116)</f>
        <v/>
      </c>
      <c r="F506" s="37" t="str">
        <f>IF(Agent03_Loans!B116="","",Agent03_Loans!F116)</f>
        <v/>
      </c>
      <c r="G506" s="37" t="str">
        <f>IF(Agent03_Loans!B116="","",Agent03_Loans!G116)</f>
        <v/>
      </c>
      <c r="H506" s="37" t="str">
        <f>IF(Agent03_Loans!B116="","",Agent03_Loans!H116)</f>
        <v/>
      </c>
      <c r="I506" s="40" t="str">
        <f>IF(Agent03_Loans!B116="","",Agent03_Loans!I116)</f>
        <v/>
      </c>
      <c r="J506" s="40" t="str">
        <f>IF(Agent03_Loans!B116="","",Agent03_Loans!J116)</f>
        <v/>
      </c>
      <c r="K506" s="37" t="str">
        <f>IF(Agent03_Loans!B116="","",Agent03_Loans!K116)</f>
        <v/>
      </c>
      <c r="L506" s="37" t="str">
        <f>IF(Agent03_Loans!B116="","",Agent03_Loans!L116)</f>
        <v/>
      </c>
      <c r="M506" s="37" t="str">
        <f>IFERROR(IF(Agent03_Loans!B116="","",YEAR(Agent03_Loans!D116)),"")</f>
        <v/>
      </c>
    </row>
    <row r="507" spans="1:13" ht="18" customHeight="1" x14ac:dyDescent="0.25">
      <c r="A507" s="37" t="str">
        <f>IF(Agent03_Loans!B117="","",Agent03_Loans!A117)</f>
        <v/>
      </c>
      <c r="B507" s="37" t="str">
        <f>IF(Agent03_Loans!B117="","",Agent03_Loans!B117)</f>
        <v/>
      </c>
      <c r="C507" s="37" t="str">
        <f>IF(Agent03_Loans!B117="","",Agent03_Loans!C117)</f>
        <v/>
      </c>
      <c r="D507" s="38" t="str">
        <f>IF(Agent03_Loans!B117="","",Agent03_Loans!D117)</f>
        <v/>
      </c>
      <c r="E507" s="40" t="str">
        <f>IF(Agent03_Loans!B117="","",Agent03_Loans!E117)</f>
        <v/>
      </c>
      <c r="F507" s="37" t="str">
        <f>IF(Agent03_Loans!B117="","",Agent03_Loans!F117)</f>
        <v/>
      </c>
      <c r="G507" s="37" t="str">
        <f>IF(Agent03_Loans!B117="","",Agent03_Loans!G117)</f>
        <v/>
      </c>
      <c r="H507" s="37" t="str">
        <f>IF(Agent03_Loans!B117="","",Agent03_Loans!H117)</f>
        <v/>
      </c>
      <c r="I507" s="40" t="str">
        <f>IF(Agent03_Loans!B117="","",Agent03_Loans!I117)</f>
        <v/>
      </c>
      <c r="J507" s="40" t="str">
        <f>IF(Agent03_Loans!B117="","",Agent03_Loans!J117)</f>
        <v/>
      </c>
      <c r="K507" s="37" t="str">
        <f>IF(Agent03_Loans!B117="","",Agent03_Loans!K117)</f>
        <v/>
      </c>
      <c r="L507" s="37" t="str">
        <f>IF(Agent03_Loans!B117="","",Agent03_Loans!L117)</f>
        <v/>
      </c>
      <c r="M507" s="37" t="str">
        <f>IFERROR(IF(Agent03_Loans!B117="","",YEAR(Agent03_Loans!D117)),"")</f>
        <v/>
      </c>
    </row>
    <row r="508" spans="1:13" ht="18" customHeight="1" x14ac:dyDescent="0.25">
      <c r="A508" s="37" t="str">
        <f>IF(Agent03_Loans!B118="","",Agent03_Loans!A118)</f>
        <v/>
      </c>
      <c r="B508" s="37" t="str">
        <f>IF(Agent03_Loans!B118="","",Agent03_Loans!B118)</f>
        <v/>
      </c>
      <c r="C508" s="37" t="str">
        <f>IF(Agent03_Loans!B118="","",Agent03_Loans!C118)</f>
        <v/>
      </c>
      <c r="D508" s="38" t="str">
        <f>IF(Agent03_Loans!B118="","",Agent03_Loans!D118)</f>
        <v/>
      </c>
      <c r="E508" s="40" t="str">
        <f>IF(Agent03_Loans!B118="","",Agent03_Loans!E118)</f>
        <v/>
      </c>
      <c r="F508" s="37" t="str">
        <f>IF(Agent03_Loans!B118="","",Agent03_Loans!F118)</f>
        <v/>
      </c>
      <c r="G508" s="37" t="str">
        <f>IF(Agent03_Loans!B118="","",Agent03_Loans!G118)</f>
        <v/>
      </c>
      <c r="H508" s="37" t="str">
        <f>IF(Agent03_Loans!B118="","",Agent03_Loans!H118)</f>
        <v/>
      </c>
      <c r="I508" s="40" t="str">
        <f>IF(Agent03_Loans!B118="","",Agent03_Loans!I118)</f>
        <v/>
      </c>
      <c r="J508" s="40" t="str">
        <f>IF(Agent03_Loans!B118="","",Agent03_Loans!J118)</f>
        <v/>
      </c>
      <c r="K508" s="37" t="str">
        <f>IF(Agent03_Loans!B118="","",Agent03_Loans!K118)</f>
        <v/>
      </c>
      <c r="L508" s="37" t="str">
        <f>IF(Agent03_Loans!B118="","",Agent03_Loans!L118)</f>
        <v/>
      </c>
      <c r="M508" s="37" t="str">
        <f>IFERROR(IF(Agent03_Loans!B118="","",YEAR(Agent03_Loans!D118)),"")</f>
        <v/>
      </c>
    </row>
    <row r="509" spans="1:13" ht="18" customHeight="1" x14ac:dyDescent="0.25">
      <c r="A509" s="37" t="str">
        <f>IF(Agent03_Loans!B119="","",Agent03_Loans!A119)</f>
        <v/>
      </c>
      <c r="B509" s="37" t="str">
        <f>IF(Agent03_Loans!B119="","",Agent03_Loans!B119)</f>
        <v/>
      </c>
      <c r="C509" s="37" t="str">
        <f>IF(Agent03_Loans!B119="","",Agent03_Loans!C119)</f>
        <v/>
      </c>
      <c r="D509" s="38" t="str">
        <f>IF(Agent03_Loans!B119="","",Agent03_Loans!D119)</f>
        <v/>
      </c>
      <c r="E509" s="40" t="str">
        <f>IF(Agent03_Loans!B119="","",Agent03_Loans!E119)</f>
        <v/>
      </c>
      <c r="F509" s="37" t="str">
        <f>IF(Agent03_Loans!B119="","",Agent03_Loans!F119)</f>
        <v/>
      </c>
      <c r="G509" s="37" t="str">
        <f>IF(Agent03_Loans!B119="","",Agent03_Loans!G119)</f>
        <v/>
      </c>
      <c r="H509" s="37" t="str">
        <f>IF(Agent03_Loans!B119="","",Agent03_Loans!H119)</f>
        <v/>
      </c>
      <c r="I509" s="40" t="str">
        <f>IF(Agent03_Loans!B119="","",Agent03_Loans!I119)</f>
        <v/>
      </c>
      <c r="J509" s="40" t="str">
        <f>IF(Agent03_Loans!B119="","",Agent03_Loans!J119)</f>
        <v/>
      </c>
      <c r="K509" s="37" t="str">
        <f>IF(Agent03_Loans!B119="","",Agent03_Loans!K119)</f>
        <v/>
      </c>
      <c r="L509" s="37" t="str">
        <f>IF(Agent03_Loans!B119="","",Agent03_Loans!L119)</f>
        <v/>
      </c>
      <c r="M509" s="37" t="str">
        <f>IFERROR(IF(Agent03_Loans!B119="","",YEAR(Agent03_Loans!D119)),"")</f>
        <v/>
      </c>
    </row>
    <row r="510" spans="1:13" ht="18" customHeight="1" x14ac:dyDescent="0.25">
      <c r="A510" s="37" t="str">
        <f>IF(Agent03_Loans!B120="","",Agent03_Loans!A120)</f>
        <v/>
      </c>
      <c r="B510" s="37" t="str">
        <f>IF(Agent03_Loans!B120="","",Agent03_Loans!B120)</f>
        <v/>
      </c>
      <c r="C510" s="37" t="str">
        <f>IF(Agent03_Loans!B120="","",Agent03_Loans!C120)</f>
        <v/>
      </c>
      <c r="D510" s="38" t="str">
        <f>IF(Agent03_Loans!B120="","",Agent03_Loans!D120)</f>
        <v/>
      </c>
      <c r="E510" s="40" t="str">
        <f>IF(Agent03_Loans!B120="","",Agent03_Loans!E120)</f>
        <v/>
      </c>
      <c r="F510" s="37" t="str">
        <f>IF(Agent03_Loans!B120="","",Agent03_Loans!F120)</f>
        <v/>
      </c>
      <c r="G510" s="37" t="str">
        <f>IF(Agent03_Loans!B120="","",Agent03_Loans!G120)</f>
        <v/>
      </c>
      <c r="H510" s="37" t="str">
        <f>IF(Agent03_Loans!B120="","",Agent03_Loans!H120)</f>
        <v/>
      </c>
      <c r="I510" s="40" t="str">
        <f>IF(Agent03_Loans!B120="","",Agent03_Loans!I120)</f>
        <v/>
      </c>
      <c r="J510" s="40" t="str">
        <f>IF(Agent03_Loans!B120="","",Agent03_Loans!J120)</f>
        <v/>
      </c>
      <c r="K510" s="37" t="str">
        <f>IF(Agent03_Loans!B120="","",Agent03_Loans!K120)</f>
        <v/>
      </c>
      <c r="L510" s="37" t="str">
        <f>IF(Agent03_Loans!B120="","",Agent03_Loans!L120)</f>
        <v/>
      </c>
      <c r="M510" s="37" t="str">
        <f>IFERROR(IF(Agent03_Loans!B120="","",YEAR(Agent03_Loans!D120)),"")</f>
        <v/>
      </c>
    </row>
    <row r="511" spans="1:13" ht="18" customHeight="1" x14ac:dyDescent="0.25">
      <c r="A511" s="37" t="str">
        <f>IF(Agent03_Loans!B121="","",Agent03_Loans!A121)</f>
        <v/>
      </c>
      <c r="B511" s="37" t="str">
        <f>IF(Agent03_Loans!B121="","",Agent03_Loans!B121)</f>
        <v/>
      </c>
      <c r="C511" s="37" t="str">
        <f>IF(Agent03_Loans!B121="","",Agent03_Loans!C121)</f>
        <v/>
      </c>
      <c r="D511" s="38" t="str">
        <f>IF(Agent03_Loans!B121="","",Agent03_Loans!D121)</f>
        <v/>
      </c>
      <c r="E511" s="40" t="str">
        <f>IF(Agent03_Loans!B121="","",Agent03_Loans!E121)</f>
        <v/>
      </c>
      <c r="F511" s="37" t="str">
        <f>IF(Agent03_Loans!B121="","",Agent03_Loans!F121)</f>
        <v/>
      </c>
      <c r="G511" s="37" t="str">
        <f>IF(Agent03_Loans!B121="","",Agent03_Loans!G121)</f>
        <v/>
      </c>
      <c r="H511" s="37" t="str">
        <f>IF(Agent03_Loans!B121="","",Agent03_Loans!H121)</f>
        <v/>
      </c>
      <c r="I511" s="40" t="str">
        <f>IF(Agent03_Loans!B121="","",Agent03_Loans!I121)</f>
        <v/>
      </c>
      <c r="J511" s="40" t="str">
        <f>IF(Agent03_Loans!B121="","",Agent03_Loans!J121)</f>
        <v/>
      </c>
      <c r="K511" s="37" t="str">
        <f>IF(Agent03_Loans!B121="","",Agent03_Loans!K121)</f>
        <v/>
      </c>
      <c r="L511" s="37" t="str">
        <f>IF(Agent03_Loans!B121="","",Agent03_Loans!L121)</f>
        <v/>
      </c>
      <c r="M511" s="37" t="str">
        <f>IFERROR(IF(Agent03_Loans!B121="","",YEAR(Agent03_Loans!D121)),"")</f>
        <v/>
      </c>
    </row>
    <row r="512" spans="1:13" ht="18" customHeight="1" x14ac:dyDescent="0.25">
      <c r="A512" s="37" t="str">
        <f>IF(Agent03_Loans!B122="","",Agent03_Loans!A122)</f>
        <v/>
      </c>
      <c r="B512" s="37" t="str">
        <f>IF(Agent03_Loans!B122="","",Agent03_Loans!B122)</f>
        <v/>
      </c>
      <c r="C512" s="37" t="str">
        <f>IF(Agent03_Loans!B122="","",Agent03_Loans!C122)</f>
        <v/>
      </c>
      <c r="D512" s="38" t="str">
        <f>IF(Agent03_Loans!B122="","",Agent03_Loans!D122)</f>
        <v/>
      </c>
      <c r="E512" s="40" t="str">
        <f>IF(Agent03_Loans!B122="","",Agent03_Loans!E122)</f>
        <v/>
      </c>
      <c r="F512" s="37" t="str">
        <f>IF(Agent03_Loans!B122="","",Agent03_Loans!F122)</f>
        <v/>
      </c>
      <c r="G512" s="37" t="str">
        <f>IF(Agent03_Loans!B122="","",Agent03_Loans!G122)</f>
        <v/>
      </c>
      <c r="H512" s="37" t="str">
        <f>IF(Agent03_Loans!B122="","",Agent03_Loans!H122)</f>
        <v/>
      </c>
      <c r="I512" s="40" t="str">
        <f>IF(Agent03_Loans!B122="","",Agent03_Loans!I122)</f>
        <v/>
      </c>
      <c r="J512" s="40" t="str">
        <f>IF(Agent03_Loans!B122="","",Agent03_Loans!J122)</f>
        <v/>
      </c>
      <c r="K512" s="37" t="str">
        <f>IF(Agent03_Loans!B122="","",Agent03_Loans!K122)</f>
        <v/>
      </c>
      <c r="L512" s="37" t="str">
        <f>IF(Agent03_Loans!B122="","",Agent03_Loans!L122)</f>
        <v/>
      </c>
      <c r="M512" s="37" t="str">
        <f>IFERROR(IF(Agent03_Loans!B122="","",YEAR(Agent03_Loans!D122)),"")</f>
        <v/>
      </c>
    </row>
    <row r="513" spans="1:13" ht="18" customHeight="1" x14ac:dyDescent="0.25">
      <c r="A513" s="37" t="str">
        <f>IF(Agent03_Loans!B123="","",Agent03_Loans!A123)</f>
        <v/>
      </c>
      <c r="B513" s="37" t="str">
        <f>IF(Agent03_Loans!B123="","",Agent03_Loans!B123)</f>
        <v/>
      </c>
      <c r="C513" s="37" t="str">
        <f>IF(Agent03_Loans!B123="","",Agent03_Loans!C123)</f>
        <v/>
      </c>
      <c r="D513" s="38" t="str">
        <f>IF(Agent03_Loans!B123="","",Agent03_Loans!D123)</f>
        <v/>
      </c>
      <c r="E513" s="40" t="str">
        <f>IF(Agent03_Loans!B123="","",Agent03_Loans!E123)</f>
        <v/>
      </c>
      <c r="F513" s="37" t="str">
        <f>IF(Agent03_Loans!B123="","",Agent03_Loans!F123)</f>
        <v/>
      </c>
      <c r="G513" s="37" t="str">
        <f>IF(Agent03_Loans!B123="","",Agent03_Loans!G123)</f>
        <v/>
      </c>
      <c r="H513" s="37" t="str">
        <f>IF(Agent03_Loans!B123="","",Agent03_Loans!H123)</f>
        <v/>
      </c>
      <c r="I513" s="40" t="str">
        <f>IF(Agent03_Loans!B123="","",Agent03_Loans!I123)</f>
        <v/>
      </c>
      <c r="J513" s="40" t="str">
        <f>IF(Agent03_Loans!B123="","",Agent03_Loans!J123)</f>
        <v/>
      </c>
      <c r="K513" s="37" t="str">
        <f>IF(Agent03_Loans!B123="","",Agent03_Loans!K123)</f>
        <v/>
      </c>
      <c r="L513" s="37" t="str">
        <f>IF(Agent03_Loans!B123="","",Agent03_Loans!L123)</f>
        <v/>
      </c>
      <c r="M513" s="37" t="str">
        <f>IFERROR(IF(Agent03_Loans!B123="","",YEAR(Agent03_Loans!D123)),"")</f>
        <v/>
      </c>
    </row>
    <row r="514" spans="1:13" ht="18" customHeight="1" x14ac:dyDescent="0.25">
      <c r="A514" s="37" t="str">
        <f>IF(Agent03_Loans!B124="","",Agent03_Loans!A124)</f>
        <v/>
      </c>
      <c r="B514" s="37" t="str">
        <f>IF(Agent03_Loans!B124="","",Agent03_Loans!B124)</f>
        <v/>
      </c>
      <c r="C514" s="37" t="str">
        <f>IF(Agent03_Loans!B124="","",Agent03_Loans!C124)</f>
        <v/>
      </c>
      <c r="D514" s="38" t="str">
        <f>IF(Agent03_Loans!B124="","",Agent03_Loans!D124)</f>
        <v/>
      </c>
      <c r="E514" s="40" t="str">
        <f>IF(Agent03_Loans!B124="","",Agent03_Loans!E124)</f>
        <v/>
      </c>
      <c r="F514" s="37" t="str">
        <f>IF(Agent03_Loans!B124="","",Agent03_Loans!F124)</f>
        <v/>
      </c>
      <c r="G514" s="37" t="str">
        <f>IF(Agent03_Loans!B124="","",Agent03_Loans!G124)</f>
        <v/>
      </c>
      <c r="H514" s="37" t="str">
        <f>IF(Agent03_Loans!B124="","",Agent03_Loans!H124)</f>
        <v/>
      </c>
      <c r="I514" s="40" t="str">
        <f>IF(Agent03_Loans!B124="","",Agent03_Loans!I124)</f>
        <v/>
      </c>
      <c r="J514" s="40" t="str">
        <f>IF(Agent03_Loans!B124="","",Agent03_Loans!J124)</f>
        <v/>
      </c>
      <c r="K514" s="37" t="str">
        <f>IF(Agent03_Loans!B124="","",Agent03_Loans!K124)</f>
        <v/>
      </c>
      <c r="L514" s="37" t="str">
        <f>IF(Agent03_Loans!B124="","",Agent03_Loans!L124)</f>
        <v/>
      </c>
      <c r="M514" s="37" t="str">
        <f>IFERROR(IF(Agent03_Loans!B124="","",YEAR(Agent03_Loans!D124)),"")</f>
        <v/>
      </c>
    </row>
    <row r="515" spans="1:13" ht="18" customHeight="1" x14ac:dyDescent="0.25">
      <c r="A515" s="37" t="str">
        <f>IF(Agent03_Loans!B125="","",Agent03_Loans!A125)</f>
        <v/>
      </c>
      <c r="B515" s="37" t="str">
        <f>IF(Agent03_Loans!B125="","",Agent03_Loans!B125)</f>
        <v/>
      </c>
      <c r="C515" s="37" t="str">
        <f>IF(Agent03_Loans!B125="","",Agent03_Loans!C125)</f>
        <v/>
      </c>
      <c r="D515" s="38" t="str">
        <f>IF(Agent03_Loans!B125="","",Agent03_Loans!D125)</f>
        <v/>
      </c>
      <c r="E515" s="40" t="str">
        <f>IF(Agent03_Loans!B125="","",Agent03_Loans!E125)</f>
        <v/>
      </c>
      <c r="F515" s="37" t="str">
        <f>IF(Agent03_Loans!B125="","",Agent03_Loans!F125)</f>
        <v/>
      </c>
      <c r="G515" s="37" t="str">
        <f>IF(Agent03_Loans!B125="","",Agent03_Loans!G125)</f>
        <v/>
      </c>
      <c r="H515" s="37" t="str">
        <f>IF(Agent03_Loans!B125="","",Agent03_Loans!H125)</f>
        <v/>
      </c>
      <c r="I515" s="40" t="str">
        <f>IF(Agent03_Loans!B125="","",Agent03_Loans!I125)</f>
        <v/>
      </c>
      <c r="J515" s="40" t="str">
        <f>IF(Agent03_Loans!B125="","",Agent03_Loans!J125)</f>
        <v/>
      </c>
      <c r="K515" s="37" t="str">
        <f>IF(Agent03_Loans!B125="","",Agent03_Loans!K125)</f>
        <v/>
      </c>
      <c r="L515" s="37" t="str">
        <f>IF(Agent03_Loans!B125="","",Agent03_Loans!L125)</f>
        <v/>
      </c>
      <c r="M515" s="37" t="str">
        <f>IFERROR(IF(Agent03_Loans!B125="","",YEAR(Agent03_Loans!D125)),"")</f>
        <v/>
      </c>
    </row>
    <row r="516" spans="1:13" ht="18" customHeight="1" x14ac:dyDescent="0.25">
      <c r="A516" s="37" t="str">
        <f>IF(Agent03_Loans!B126="","",Agent03_Loans!A126)</f>
        <v/>
      </c>
      <c r="B516" s="37" t="str">
        <f>IF(Agent03_Loans!B126="","",Agent03_Loans!B126)</f>
        <v/>
      </c>
      <c r="C516" s="37" t="str">
        <f>IF(Agent03_Loans!B126="","",Agent03_Loans!C126)</f>
        <v/>
      </c>
      <c r="D516" s="38" t="str">
        <f>IF(Agent03_Loans!B126="","",Agent03_Loans!D126)</f>
        <v/>
      </c>
      <c r="E516" s="40" t="str">
        <f>IF(Agent03_Loans!B126="","",Agent03_Loans!E126)</f>
        <v/>
      </c>
      <c r="F516" s="37" t="str">
        <f>IF(Agent03_Loans!B126="","",Agent03_Loans!F126)</f>
        <v/>
      </c>
      <c r="G516" s="37" t="str">
        <f>IF(Agent03_Loans!B126="","",Agent03_Loans!G126)</f>
        <v/>
      </c>
      <c r="H516" s="37" t="str">
        <f>IF(Agent03_Loans!B126="","",Agent03_Loans!H126)</f>
        <v/>
      </c>
      <c r="I516" s="40" t="str">
        <f>IF(Agent03_Loans!B126="","",Agent03_Loans!I126)</f>
        <v/>
      </c>
      <c r="J516" s="40" t="str">
        <f>IF(Agent03_Loans!B126="","",Agent03_Loans!J126)</f>
        <v/>
      </c>
      <c r="K516" s="37" t="str">
        <f>IF(Agent03_Loans!B126="","",Agent03_Loans!K126)</f>
        <v/>
      </c>
      <c r="L516" s="37" t="str">
        <f>IF(Agent03_Loans!B126="","",Agent03_Loans!L126)</f>
        <v/>
      </c>
      <c r="M516" s="37" t="str">
        <f>IFERROR(IF(Agent03_Loans!B126="","",YEAR(Agent03_Loans!D126)),"")</f>
        <v/>
      </c>
    </row>
    <row r="517" spans="1:13" ht="18" customHeight="1" x14ac:dyDescent="0.25">
      <c r="A517" s="37" t="str">
        <f>IF(Agent03_Loans!B127="","",Agent03_Loans!A127)</f>
        <v/>
      </c>
      <c r="B517" s="37" t="str">
        <f>IF(Agent03_Loans!B127="","",Agent03_Loans!B127)</f>
        <v/>
      </c>
      <c r="C517" s="37" t="str">
        <f>IF(Agent03_Loans!B127="","",Agent03_Loans!C127)</f>
        <v/>
      </c>
      <c r="D517" s="38" t="str">
        <f>IF(Agent03_Loans!B127="","",Agent03_Loans!D127)</f>
        <v/>
      </c>
      <c r="E517" s="40" t="str">
        <f>IF(Agent03_Loans!B127="","",Agent03_Loans!E127)</f>
        <v/>
      </c>
      <c r="F517" s="37" t="str">
        <f>IF(Agent03_Loans!B127="","",Agent03_Loans!F127)</f>
        <v/>
      </c>
      <c r="G517" s="37" t="str">
        <f>IF(Agent03_Loans!B127="","",Agent03_Loans!G127)</f>
        <v/>
      </c>
      <c r="H517" s="37" t="str">
        <f>IF(Agent03_Loans!B127="","",Agent03_Loans!H127)</f>
        <v/>
      </c>
      <c r="I517" s="40" t="str">
        <f>IF(Agent03_Loans!B127="","",Agent03_Loans!I127)</f>
        <v/>
      </c>
      <c r="J517" s="40" t="str">
        <f>IF(Agent03_Loans!B127="","",Agent03_Loans!J127)</f>
        <v/>
      </c>
      <c r="K517" s="37" t="str">
        <f>IF(Agent03_Loans!B127="","",Agent03_Loans!K127)</f>
        <v/>
      </c>
      <c r="L517" s="37" t="str">
        <f>IF(Agent03_Loans!B127="","",Agent03_Loans!L127)</f>
        <v/>
      </c>
      <c r="M517" s="37" t="str">
        <f>IFERROR(IF(Agent03_Loans!B127="","",YEAR(Agent03_Loans!D127)),"")</f>
        <v/>
      </c>
    </row>
    <row r="518" spans="1:13" ht="18" customHeight="1" x14ac:dyDescent="0.25">
      <c r="A518" s="37" t="str">
        <f>IF(Agent03_Loans!B128="","",Agent03_Loans!A128)</f>
        <v/>
      </c>
      <c r="B518" s="37" t="str">
        <f>IF(Agent03_Loans!B128="","",Agent03_Loans!B128)</f>
        <v/>
      </c>
      <c r="C518" s="37" t="str">
        <f>IF(Agent03_Loans!B128="","",Agent03_Loans!C128)</f>
        <v/>
      </c>
      <c r="D518" s="38" t="str">
        <f>IF(Agent03_Loans!B128="","",Agent03_Loans!D128)</f>
        <v/>
      </c>
      <c r="E518" s="40" t="str">
        <f>IF(Agent03_Loans!B128="","",Agent03_Loans!E128)</f>
        <v/>
      </c>
      <c r="F518" s="37" t="str">
        <f>IF(Agent03_Loans!B128="","",Agent03_Loans!F128)</f>
        <v/>
      </c>
      <c r="G518" s="37" t="str">
        <f>IF(Agent03_Loans!B128="","",Agent03_Loans!G128)</f>
        <v/>
      </c>
      <c r="H518" s="37" t="str">
        <f>IF(Agent03_Loans!B128="","",Agent03_Loans!H128)</f>
        <v/>
      </c>
      <c r="I518" s="40" t="str">
        <f>IF(Agent03_Loans!B128="","",Agent03_Loans!I128)</f>
        <v/>
      </c>
      <c r="J518" s="40" t="str">
        <f>IF(Agent03_Loans!B128="","",Agent03_Loans!J128)</f>
        <v/>
      </c>
      <c r="K518" s="37" t="str">
        <f>IF(Agent03_Loans!B128="","",Agent03_Loans!K128)</f>
        <v/>
      </c>
      <c r="L518" s="37" t="str">
        <f>IF(Agent03_Loans!B128="","",Agent03_Loans!L128)</f>
        <v/>
      </c>
      <c r="M518" s="37" t="str">
        <f>IFERROR(IF(Agent03_Loans!B128="","",YEAR(Agent03_Loans!D128)),"")</f>
        <v/>
      </c>
    </row>
    <row r="519" spans="1:13" ht="18" customHeight="1" x14ac:dyDescent="0.25">
      <c r="A519" s="37" t="str">
        <f>IF(Agent03_Loans!B129="","",Agent03_Loans!A129)</f>
        <v/>
      </c>
      <c r="B519" s="37" t="str">
        <f>IF(Agent03_Loans!B129="","",Agent03_Loans!B129)</f>
        <v/>
      </c>
      <c r="C519" s="37" t="str">
        <f>IF(Agent03_Loans!B129="","",Agent03_Loans!C129)</f>
        <v/>
      </c>
      <c r="D519" s="38" t="str">
        <f>IF(Agent03_Loans!B129="","",Agent03_Loans!D129)</f>
        <v/>
      </c>
      <c r="E519" s="40" t="str">
        <f>IF(Agent03_Loans!B129="","",Agent03_Loans!E129)</f>
        <v/>
      </c>
      <c r="F519" s="37" t="str">
        <f>IF(Agent03_Loans!B129="","",Agent03_Loans!F129)</f>
        <v/>
      </c>
      <c r="G519" s="37" t="str">
        <f>IF(Agent03_Loans!B129="","",Agent03_Loans!G129)</f>
        <v/>
      </c>
      <c r="H519" s="37" t="str">
        <f>IF(Agent03_Loans!B129="","",Agent03_Loans!H129)</f>
        <v/>
      </c>
      <c r="I519" s="40" t="str">
        <f>IF(Agent03_Loans!B129="","",Agent03_Loans!I129)</f>
        <v/>
      </c>
      <c r="J519" s="40" t="str">
        <f>IF(Agent03_Loans!B129="","",Agent03_Loans!J129)</f>
        <v/>
      </c>
      <c r="K519" s="37" t="str">
        <f>IF(Agent03_Loans!B129="","",Agent03_Loans!K129)</f>
        <v/>
      </c>
      <c r="L519" s="37" t="str">
        <f>IF(Agent03_Loans!B129="","",Agent03_Loans!L129)</f>
        <v/>
      </c>
      <c r="M519" s="37" t="str">
        <f>IFERROR(IF(Agent03_Loans!B129="","",YEAR(Agent03_Loans!D129)),"")</f>
        <v/>
      </c>
    </row>
    <row r="520" spans="1:13" ht="18" customHeight="1" x14ac:dyDescent="0.25">
      <c r="A520" s="37" t="str">
        <f>IF(Agent03_Loans!B130="","",Agent03_Loans!A130)</f>
        <v/>
      </c>
      <c r="B520" s="37" t="str">
        <f>IF(Agent03_Loans!B130="","",Agent03_Loans!B130)</f>
        <v/>
      </c>
      <c r="C520" s="37" t="str">
        <f>IF(Agent03_Loans!B130="","",Agent03_Loans!C130)</f>
        <v/>
      </c>
      <c r="D520" s="38" t="str">
        <f>IF(Agent03_Loans!B130="","",Agent03_Loans!D130)</f>
        <v/>
      </c>
      <c r="E520" s="40" t="str">
        <f>IF(Agent03_Loans!B130="","",Agent03_Loans!E130)</f>
        <v/>
      </c>
      <c r="F520" s="37" t="str">
        <f>IF(Agent03_Loans!B130="","",Agent03_Loans!F130)</f>
        <v/>
      </c>
      <c r="G520" s="37" t="str">
        <f>IF(Agent03_Loans!B130="","",Agent03_Loans!G130)</f>
        <v/>
      </c>
      <c r="H520" s="37" t="str">
        <f>IF(Agent03_Loans!B130="","",Agent03_Loans!H130)</f>
        <v/>
      </c>
      <c r="I520" s="40" t="str">
        <f>IF(Agent03_Loans!B130="","",Agent03_Loans!I130)</f>
        <v/>
      </c>
      <c r="J520" s="40" t="str">
        <f>IF(Agent03_Loans!B130="","",Agent03_Loans!J130)</f>
        <v/>
      </c>
      <c r="K520" s="37" t="str">
        <f>IF(Agent03_Loans!B130="","",Agent03_Loans!K130)</f>
        <v/>
      </c>
      <c r="L520" s="37" t="str">
        <f>IF(Agent03_Loans!B130="","",Agent03_Loans!L130)</f>
        <v/>
      </c>
      <c r="M520" s="37" t="str">
        <f>IFERROR(IF(Agent03_Loans!B130="","",YEAR(Agent03_Loans!D130)),"")</f>
        <v/>
      </c>
    </row>
    <row r="521" spans="1:13" ht="18" customHeight="1" x14ac:dyDescent="0.25">
      <c r="A521" s="37" t="str">
        <f>IF(Agent03_Loans!B131="","",Agent03_Loans!A131)</f>
        <v/>
      </c>
      <c r="B521" s="37" t="str">
        <f>IF(Agent03_Loans!B131="","",Agent03_Loans!B131)</f>
        <v/>
      </c>
      <c r="C521" s="37" t="str">
        <f>IF(Agent03_Loans!B131="","",Agent03_Loans!C131)</f>
        <v/>
      </c>
      <c r="D521" s="38" t="str">
        <f>IF(Agent03_Loans!B131="","",Agent03_Loans!D131)</f>
        <v/>
      </c>
      <c r="E521" s="40" t="str">
        <f>IF(Agent03_Loans!B131="","",Agent03_Loans!E131)</f>
        <v/>
      </c>
      <c r="F521" s="37" t="str">
        <f>IF(Agent03_Loans!B131="","",Agent03_Loans!F131)</f>
        <v/>
      </c>
      <c r="G521" s="37" t="str">
        <f>IF(Agent03_Loans!B131="","",Agent03_Loans!G131)</f>
        <v/>
      </c>
      <c r="H521" s="37" t="str">
        <f>IF(Agent03_Loans!B131="","",Agent03_Loans!H131)</f>
        <v/>
      </c>
      <c r="I521" s="40" t="str">
        <f>IF(Agent03_Loans!B131="","",Agent03_Loans!I131)</f>
        <v/>
      </c>
      <c r="J521" s="40" t="str">
        <f>IF(Agent03_Loans!B131="","",Agent03_Loans!J131)</f>
        <v/>
      </c>
      <c r="K521" s="37" t="str">
        <f>IF(Agent03_Loans!B131="","",Agent03_Loans!K131)</f>
        <v/>
      </c>
      <c r="L521" s="37" t="str">
        <f>IF(Agent03_Loans!B131="","",Agent03_Loans!L131)</f>
        <v/>
      </c>
      <c r="M521" s="37" t="str">
        <f>IFERROR(IF(Agent03_Loans!B131="","",YEAR(Agent03_Loans!D131)),"")</f>
        <v/>
      </c>
    </row>
    <row r="522" spans="1:13" ht="18" customHeight="1" x14ac:dyDescent="0.25">
      <c r="A522" s="37" t="str">
        <f>IF(Agent03_Loans!B132="","",Agent03_Loans!A132)</f>
        <v/>
      </c>
      <c r="B522" s="37" t="str">
        <f>IF(Agent03_Loans!B132="","",Agent03_Loans!B132)</f>
        <v/>
      </c>
      <c r="C522" s="37" t="str">
        <f>IF(Agent03_Loans!B132="","",Agent03_Loans!C132)</f>
        <v/>
      </c>
      <c r="D522" s="38" t="str">
        <f>IF(Agent03_Loans!B132="","",Agent03_Loans!D132)</f>
        <v/>
      </c>
      <c r="E522" s="40" t="str">
        <f>IF(Agent03_Loans!B132="","",Agent03_Loans!E132)</f>
        <v/>
      </c>
      <c r="F522" s="37" t="str">
        <f>IF(Agent03_Loans!B132="","",Agent03_Loans!F132)</f>
        <v/>
      </c>
      <c r="G522" s="37" t="str">
        <f>IF(Agent03_Loans!B132="","",Agent03_Loans!G132)</f>
        <v/>
      </c>
      <c r="H522" s="37" t="str">
        <f>IF(Agent03_Loans!B132="","",Agent03_Loans!H132)</f>
        <v/>
      </c>
      <c r="I522" s="40" t="str">
        <f>IF(Agent03_Loans!B132="","",Agent03_Loans!I132)</f>
        <v/>
      </c>
      <c r="J522" s="40" t="str">
        <f>IF(Agent03_Loans!B132="","",Agent03_Loans!J132)</f>
        <v/>
      </c>
      <c r="K522" s="37" t="str">
        <f>IF(Agent03_Loans!B132="","",Agent03_Loans!K132)</f>
        <v/>
      </c>
      <c r="L522" s="37" t="str">
        <f>IF(Agent03_Loans!B132="","",Agent03_Loans!L132)</f>
        <v/>
      </c>
      <c r="M522" s="37" t="str">
        <f>IFERROR(IF(Agent03_Loans!B132="","",YEAR(Agent03_Loans!D132)),"")</f>
        <v/>
      </c>
    </row>
    <row r="523" spans="1:13" ht="18" customHeight="1" x14ac:dyDescent="0.25">
      <c r="A523" s="37" t="str">
        <f>IF(Agent03_Loans!B133="","",Agent03_Loans!A133)</f>
        <v/>
      </c>
      <c r="B523" s="37" t="str">
        <f>IF(Agent03_Loans!B133="","",Agent03_Loans!B133)</f>
        <v/>
      </c>
      <c r="C523" s="37" t="str">
        <f>IF(Agent03_Loans!B133="","",Agent03_Loans!C133)</f>
        <v/>
      </c>
      <c r="D523" s="38" t="str">
        <f>IF(Agent03_Loans!B133="","",Agent03_Loans!D133)</f>
        <v/>
      </c>
      <c r="E523" s="40" t="str">
        <f>IF(Agent03_Loans!B133="","",Agent03_Loans!E133)</f>
        <v/>
      </c>
      <c r="F523" s="37" t="str">
        <f>IF(Agent03_Loans!B133="","",Agent03_Loans!F133)</f>
        <v/>
      </c>
      <c r="G523" s="37" t="str">
        <f>IF(Agent03_Loans!B133="","",Agent03_Loans!G133)</f>
        <v/>
      </c>
      <c r="H523" s="37" t="str">
        <f>IF(Agent03_Loans!B133="","",Agent03_Loans!H133)</f>
        <v/>
      </c>
      <c r="I523" s="40" t="str">
        <f>IF(Agent03_Loans!B133="","",Agent03_Loans!I133)</f>
        <v/>
      </c>
      <c r="J523" s="40" t="str">
        <f>IF(Agent03_Loans!B133="","",Agent03_Loans!J133)</f>
        <v/>
      </c>
      <c r="K523" s="37" t="str">
        <f>IF(Agent03_Loans!B133="","",Agent03_Loans!K133)</f>
        <v/>
      </c>
      <c r="L523" s="37" t="str">
        <f>IF(Agent03_Loans!B133="","",Agent03_Loans!L133)</f>
        <v/>
      </c>
      <c r="M523" s="37" t="str">
        <f>IFERROR(IF(Agent03_Loans!B133="","",YEAR(Agent03_Loans!D133)),"")</f>
        <v/>
      </c>
    </row>
    <row r="524" spans="1:13" ht="18" customHeight="1" x14ac:dyDescent="0.25">
      <c r="A524" s="37" t="str">
        <f>IF(Agent03_Loans!B134="","",Agent03_Loans!A134)</f>
        <v/>
      </c>
      <c r="B524" s="37" t="str">
        <f>IF(Agent03_Loans!B134="","",Agent03_Loans!B134)</f>
        <v/>
      </c>
      <c r="C524" s="37" t="str">
        <f>IF(Agent03_Loans!B134="","",Agent03_Loans!C134)</f>
        <v/>
      </c>
      <c r="D524" s="38" t="str">
        <f>IF(Agent03_Loans!B134="","",Agent03_Loans!D134)</f>
        <v/>
      </c>
      <c r="E524" s="40" t="str">
        <f>IF(Agent03_Loans!B134="","",Agent03_Loans!E134)</f>
        <v/>
      </c>
      <c r="F524" s="37" t="str">
        <f>IF(Agent03_Loans!B134="","",Agent03_Loans!F134)</f>
        <v/>
      </c>
      <c r="G524" s="37" t="str">
        <f>IF(Agent03_Loans!B134="","",Agent03_Loans!G134)</f>
        <v/>
      </c>
      <c r="H524" s="37" t="str">
        <f>IF(Agent03_Loans!B134="","",Agent03_Loans!H134)</f>
        <v/>
      </c>
      <c r="I524" s="40" t="str">
        <f>IF(Agent03_Loans!B134="","",Agent03_Loans!I134)</f>
        <v/>
      </c>
      <c r="J524" s="40" t="str">
        <f>IF(Agent03_Loans!B134="","",Agent03_Loans!J134)</f>
        <v/>
      </c>
      <c r="K524" s="37" t="str">
        <f>IF(Agent03_Loans!B134="","",Agent03_Loans!K134)</f>
        <v/>
      </c>
      <c r="L524" s="37" t="str">
        <f>IF(Agent03_Loans!B134="","",Agent03_Loans!L134)</f>
        <v/>
      </c>
      <c r="M524" s="37" t="str">
        <f>IFERROR(IF(Agent03_Loans!B134="","",YEAR(Agent03_Loans!D134)),"")</f>
        <v/>
      </c>
    </row>
    <row r="525" spans="1:13" ht="18" customHeight="1" x14ac:dyDescent="0.25">
      <c r="A525" s="37" t="str">
        <f>IF(Agent03_Loans!B135="","",Agent03_Loans!A135)</f>
        <v/>
      </c>
      <c r="B525" s="37" t="str">
        <f>IF(Agent03_Loans!B135="","",Agent03_Loans!B135)</f>
        <v/>
      </c>
      <c r="C525" s="37" t="str">
        <f>IF(Agent03_Loans!B135="","",Agent03_Loans!C135)</f>
        <v/>
      </c>
      <c r="D525" s="38" t="str">
        <f>IF(Agent03_Loans!B135="","",Agent03_Loans!D135)</f>
        <v/>
      </c>
      <c r="E525" s="40" t="str">
        <f>IF(Agent03_Loans!B135="","",Agent03_Loans!E135)</f>
        <v/>
      </c>
      <c r="F525" s="37" t="str">
        <f>IF(Agent03_Loans!B135="","",Agent03_Loans!F135)</f>
        <v/>
      </c>
      <c r="G525" s="37" t="str">
        <f>IF(Agent03_Loans!B135="","",Agent03_Loans!G135)</f>
        <v/>
      </c>
      <c r="H525" s="37" t="str">
        <f>IF(Agent03_Loans!B135="","",Agent03_Loans!H135)</f>
        <v/>
      </c>
      <c r="I525" s="40" t="str">
        <f>IF(Agent03_Loans!B135="","",Agent03_Loans!I135)</f>
        <v/>
      </c>
      <c r="J525" s="40" t="str">
        <f>IF(Agent03_Loans!B135="","",Agent03_Loans!J135)</f>
        <v/>
      </c>
      <c r="K525" s="37" t="str">
        <f>IF(Agent03_Loans!B135="","",Agent03_Loans!K135)</f>
        <v/>
      </c>
      <c r="L525" s="37" t="str">
        <f>IF(Agent03_Loans!B135="","",Agent03_Loans!L135)</f>
        <v/>
      </c>
      <c r="M525" s="37" t="str">
        <f>IFERROR(IF(Agent03_Loans!B135="","",YEAR(Agent03_Loans!D135)),"")</f>
        <v/>
      </c>
    </row>
    <row r="526" spans="1:13" ht="18" customHeight="1" x14ac:dyDescent="0.25">
      <c r="A526" s="37" t="str">
        <f>IF(Agent03_Loans!B136="","",Agent03_Loans!A136)</f>
        <v/>
      </c>
      <c r="B526" s="37" t="str">
        <f>IF(Agent03_Loans!B136="","",Agent03_Loans!B136)</f>
        <v/>
      </c>
      <c r="C526" s="37" t="str">
        <f>IF(Agent03_Loans!B136="","",Agent03_Loans!C136)</f>
        <v/>
      </c>
      <c r="D526" s="38" t="str">
        <f>IF(Agent03_Loans!B136="","",Agent03_Loans!D136)</f>
        <v/>
      </c>
      <c r="E526" s="40" t="str">
        <f>IF(Agent03_Loans!B136="","",Agent03_Loans!E136)</f>
        <v/>
      </c>
      <c r="F526" s="37" t="str">
        <f>IF(Agent03_Loans!B136="","",Agent03_Loans!F136)</f>
        <v/>
      </c>
      <c r="G526" s="37" t="str">
        <f>IF(Agent03_Loans!B136="","",Agent03_Loans!G136)</f>
        <v/>
      </c>
      <c r="H526" s="37" t="str">
        <f>IF(Agent03_Loans!B136="","",Agent03_Loans!H136)</f>
        <v/>
      </c>
      <c r="I526" s="40" t="str">
        <f>IF(Agent03_Loans!B136="","",Agent03_Loans!I136)</f>
        <v/>
      </c>
      <c r="J526" s="40" t="str">
        <f>IF(Agent03_Loans!B136="","",Agent03_Loans!J136)</f>
        <v/>
      </c>
      <c r="K526" s="37" t="str">
        <f>IF(Agent03_Loans!B136="","",Agent03_Loans!K136)</f>
        <v/>
      </c>
      <c r="L526" s="37" t="str">
        <f>IF(Agent03_Loans!B136="","",Agent03_Loans!L136)</f>
        <v/>
      </c>
      <c r="M526" s="37" t="str">
        <f>IFERROR(IF(Agent03_Loans!B136="","",YEAR(Agent03_Loans!D136)),"")</f>
        <v/>
      </c>
    </row>
    <row r="527" spans="1:13" ht="18" customHeight="1" x14ac:dyDescent="0.25">
      <c r="A527" s="37" t="str">
        <f>IF(Agent03_Loans!B137="","",Agent03_Loans!A137)</f>
        <v/>
      </c>
      <c r="B527" s="37" t="str">
        <f>IF(Agent03_Loans!B137="","",Agent03_Loans!B137)</f>
        <v/>
      </c>
      <c r="C527" s="37" t="str">
        <f>IF(Agent03_Loans!B137="","",Agent03_Loans!C137)</f>
        <v/>
      </c>
      <c r="D527" s="38" t="str">
        <f>IF(Agent03_Loans!B137="","",Agent03_Loans!D137)</f>
        <v/>
      </c>
      <c r="E527" s="40" t="str">
        <f>IF(Agent03_Loans!B137="","",Agent03_Loans!E137)</f>
        <v/>
      </c>
      <c r="F527" s="37" t="str">
        <f>IF(Agent03_Loans!B137="","",Agent03_Loans!F137)</f>
        <v/>
      </c>
      <c r="G527" s="37" t="str">
        <f>IF(Agent03_Loans!B137="","",Agent03_Loans!G137)</f>
        <v/>
      </c>
      <c r="H527" s="37" t="str">
        <f>IF(Agent03_Loans!B137="","",Agent03_Loans!H137)</f>
        <v/>
      </c>
      <c r="I527" s="40" t="str">
        <f>IF(Agent03_Loans!B137="","",Agent03_Loans!I137)</f>
        <v/>
      </c>
      <c r="J527" s="40" t="str">
        <f>IF(Agent03_Loans!B137="","",Agent03_Loans!J137)</f>
        <v/>
      </c>
      <c r="K527" s="37" t="str">
        <f>IF(Agent03_Loans!B137="","",Agent03_Loans!K137)</f>
        <v/>
      </c>
      <c r="L527" s="37" t="str">
        <f>IF(Agent03_Loans!B137="","",Agent03_Loans!L137)</f>
        <v/>
      </c>
      <c r="M527" s="37" t="str">
        <f>IFERROR(IF(Agent03_Loans!B137="","",YEAR(Agent03_Loans!D137)),"")</f>
        <v/>
      </c>
    </row>
    <row r="528" spans="1:13" ht="18" customHeight="1" x14ac:dyDescent="0.25">
      <c r="A528" s="37" t="str">
        <f>IF(Agent03_Loans!B138="","",Agent03_Loans!A138)</f>
        <v/>
      </c>
      <c r="B528" s="37" t="str">
        <f>IF(Agent03_Loans!B138="","",Agent03_Loans!B138)</f>
        <v/>
      </c>
      <c r="C528" s="37" t="str">
        <f>IF(Agent03_Loans!B138="","",Agent03_Loans!C138)</f>
        <v/>
      </c>
      <c r="D528" s="38" t="str">
        <f>IF(Agent03_Loans!B138="","",Agent03_Loans!D138)</f>
        <v/>
      </c>
      <c r="E528" s="40" t="str">
        <f>IF(Agent03_Loans!B138="","",Agent03_Loans!E138)</f>
        <v/>
      </c>
      <c r="F528" s="37" t="str">
        <f>IF(Agent03_Loans!B138="","",Agent03_Loans!F138)</f>
        <v/>
      </c>
      <c r="G528" s="37" t="str">
        <f>IF(Agent03_Loans!B138="","",Agent03_Loans!G138)</f>
        <v/>
      </c>
      <c r="H528" s="37" t="str">
        <f>IF(Agent03_Loans!B138="","",Agent03_Loans!H138)</f>
        <v/>
      </c>
      <c r="I528" s="40" t="str">
        <f>IF(Agent03_Loans!B138="","",Agent03_Loans!I138)</f>
        <v/>
      </c>
      <c r="J528" s="40" t="str">
        <f>IF(Agent03_Loans!B138="","",Agent03_Loans!J138)</f>
        <v/>
      </c>
      <c r="K528" s="37" t="str">
        <f>IF(Agent03_Loans!B138="","",Agent03_Loans!K138)</f>
        <v/>
      </c>
      <c r="L528" s="37" t="str">
        <f>IF(Agent03_Loans!B138="","",Agent03_Loans!L138)</f>
        <v/>
      </c>
      <c r="M528" s="37" t="str">
        <f>IFERROR(IF(Agent03_Loans!B138="","",YEAR(Agent03_Loans!D138)),"")</f>
        <v/>
      </c>
    </row>
    <row r="529" spans="1:13" ht="18" customHeight="1" x14ac:dyDescent="0.25">
      <c r="A529" s="37" t="str">
        <f>IF(Agent03_Loans!B139="","",Agent03_Loans!A139)</f>
        <v/>
      </c>
      <c r="B529" s="37" t="str">
        <f>IF(Agent03_Loans!B139="","",Agent03_Loans!B139)</f>
        <v/>
      </c>
      <c r="C529" s="37" t="str">
        <f>IF(Agent03_Loans!B139="","",Agent03_Loans!C139)</f>
        <v/>
      </c>
      <c r="D529" s="38" t="str">
        <f>IF(Agent03_Loans!B139="","",Agent03_Loans!D139)</f>
        <v/>
      </c>
      <c r="E529" s="40" t="str">
        <f>IF(Agent03_Loans!B139="","",Agent03_Loans!E139)</f>
        <v/>
      </c>
      <c r="F529" s="37" t="str">
        <f>IF(Agent03_Loans!B139="","",Agent03_Loans!F139)</f>
        <v/>
      </c>
      <c r="G529" s="37" t="str">
        <f>IF(Agent03_Loans!B139="","",Agent03_Loans!G139)</f>
        <v/>
      </c>
      <c r="H529" s="37" t="str">
        <f>IF(Agent03_Loans!B139="","",Agent03_Loans!H139)</f>
        <v/>
      </c>
      <c r="I529" s="40" t="str">
        <f>IF(Agent03_Loans!B139="","",Agent03_Loans!I139)</f>
        <v/>
      </c>
      <c r="J529" s="40" t="str">
        <f>IF(Agent03_Loans!B139="","",Agent03_Loans!J139)</f>
        <v/>
      </c>
      <c r="K529" s="37" t="str">
        <f>IF(Agent03_Loans!B139="","",Agent03_Loans!K139)</f>
        <v/>
      </c>
      <c r="L529" s="37" t="str">
        <f>IF(Agent03_Loans!B139="","",Agent03_Loans!L139)</f>
        <v/>
      </c>
      <c r="M529" s="37" t="str">
        <f>IFERROR(IF(Agent03_Loans!B139="","",YEAR(Agent03_Loans!D139)),"")</f>
        <v/>
      </c>
    </row>
    <row r="530" spans="1:13" ht="18" customHeight="1" x14ac:dyDescent="0.25">
      <c r="A530" s="37" t="str">
        <f>IF(Agent03_Loans!B140="","",Agent03_Loans!A140)</f>
        <v/>
      </c>
      <c r="B530" s="37" t="str">
        <f>IF(Agent03_Loans!B140="","",Agent03_Loans!B140)</f>
        <v/>
      </c>
      <c r="C530" s="37" t="str">
        <f>IF(Agent03_Loans!B140="","",Agent03_Loans!C140)</f>
        <v/>
      </c>
      <c r="D530" s="38" t="str">
        <f>IF(Agent03_Loans!B140="","",Agent03_Loans!D140)</f>
        <v/>
      </c>
      <c r="E530" s="40" t="str">
        <f>IF(Agent03_Loans!B140="","",Agent03_Loans!E140)</f>
        <v/>
      </c>
      <c r="F530" s="37" t="str">
        <f>IF(Agent03_Loans!B140="","",Agent03_Loans!F140)</f>
        <v/>
      </c>
      <c r="G530" s="37" t="str">
        <f>IF(Agent03_Loans!B140="","",Agent03_Loans!G140)</f>
        <v/>
      </c>
      <c r="H530" s="37" t="str">
        <f>IF(Agent03_Loans!B140="","",Agent03_Loans!H140)</f>
        <v/>
      </c>
      <c r="I530" s="40" t="str">
        <f>IF(Agent03_Loans!B140="","",Agent03_Loans!I140)</f>
        <v/>
      </c>
      <c r="J530" s="40" t="str">
        <f>IF(Agent03_Loans!B140="","",Agent03_Loans!J140)</f>
        <v/>
      </c>
      <c r="K530" s="37" t="str">
        <f>IF(Agent03_Loans!B140="","",Agent03_Loans!K140)</f>
        <v/>
      </c>
      <c r="L530" s="37" t="str">
        <f>IF(Agent03_Loans!B140="","",Agent03_Loans!L140)</f>
        <v/>
      </c>
      <c r="M530" s="37" t="str">
        <f>IFERROR(IF(Agent03_Loans!B140="","",YEAR(Agent03_Loans!D140)),"")</f>
        <v/>
      </c>
    </row>
    <row r="531" spans="1:13" ht="18" customHeight="1" x14ac:dyDescent="0.25">
      <c r="A531" s="37" t="str">
        <f>IF(Agent03_Loans!B141="","",Agent03_Loans!A141)</f>
        <v/>
      </c>
      <c r="B531" s="37" t="str">
        <f>IF(Agent03_Loans!B141="","",Agent03_Loans!B141)</f>
        <v/>
      </c>
      <c r="C531" s="37" t="str">
        <f>IF(Agent03_Loans!B141="","",Agent03_Loans!C141)</f>
        <v/>
      </c>
      <c r="D531" s="38" t="str">
        <f>IF(Agent03_Loans!B141="","",Agent03_Loans!D141)</f>
        <v/>
      </c>
      <c r="E531" s="40" t="str">
        <f>IF(Agent03_Loans!B141="","",Agent03_Loans!E141)</f>
        <v/>
      </c>
      <c r="F531" s="37" t="str">
        <f>IF(Agent03_Loans!B141="","",Agent03_Loans!F141)</f>
        <v/>
      </c>
      <c r="G531" s="37" t="str">
        <f>IF(Agent03_Loans!B141="","",Agent03_Loans!G141)</f>
        <v/>
      </c>
      <c r="H531" s="37" t="str">
        <f>IF(Agent03_Loans!B141="","",Agent03_Loans!H141)</f>
        <v/>
      </c>
      <c r="I531" s="40" t="str">
        <f>IF(Agent03_Loans!B141="","",Agent03_Loans!I141)</f>
        <v/>
      </c>
      <c r="J531" s="40" t="str">
        <f>IF(Agent03_Loans!B141="","",Agent03_Loans!J141)</f>
        <v/>
      </c>
      <c r="K531" s="37" t="str">
        <f>IF(Agent03_Loans!B141="","",Agent03_Loans!K141)</f>
        <v/>
      </c>
      <c r="L531" s="37" t="str">
        <f>IF(Agent03_Loans!B141="","",Agent03_Loans!L141)</f>
        <v/>
      </c>
      <c r="M531" s="37" t="str">
        <f>IFERROR(IF(Agent03_Loans!B141="","",YEAR(Agent03_Loans!D141)),"")</f>
        <v/>
      </c>
    </row>
    <row r="532" spans="1:13" ht="18" customHeight="1" x14ac:dyDescent="0.25">
      <c r="A532" s="37" t="str">
        <f>IF(Agent03_Loans!B142="","",Agent03_Loans!A142)</f>
        <v/>
      </c>
      <c r="B532" s="37" t="str">
        <f>IF(Agent03_Loans!B142="","",Agent03_Loans!B142)</f>
        <v/>
      </c>
      <c r="C532" s="37" t="str">
        <f>IF(Agent03_Loans!B142="","",Agent03_Loans!C142)</f>
        <v/>
      </c>
      <c r="D532" s="38" t="str">
        <f>IF(Agent03_Loans!B142="","",Agent03_Loans!D142)</f>
        <v/>
      </c>
      <c r="E532" s="40" t="str">
        <f>IF(Agent03_Loans!B142="","",Agent03_Loans!E142)</f>
        <v/>
      </c>
      <c r="F532" s="37" t="str">
        <f>IF(Agent03_Loans!B142="","",Agent03_Loans!F142)</f>
        <v/>
      </c>
      <c r="G532" s="37" t="str">
        <f>IF(Agent03_Loans!B142="","",Agent03_Loans!G142)</f>
        <v/>
      </c>
      <c r="H532" s="37" t="str">
        <f>IF(Agent03_Loans!B142="","",Agent03_Loans!H142)</f>
        <v/>
      </c>
      <c r="I532" s="40" t="str">
        <f>IF(Agent03_Loans!B142="","",Agent03_Loans!I142)</f>
        <v/>
      </c>
      <c r="J532" s="40" t="str">
        <f>IF(Agent03_Loans!B142="","",Agent03_Loans!J142)</f>
        <v/>
      </c>
      <c r="K532" s="37" t="str">
        <f>IF(Agent03_Loans!B142="","",Agent03_Loans!K142)</f>
        <v/>
      </c>
      <c r="L532" s="37" t="str">
        <f>IF(Agent03_Loans!B142="","",Agent03_Loans!L142)</f>
        <v/>
      </c>
      <c r="M532" s="37" t="str">
        <f>IFERROR(IF(Agent03_Loans!B142="","",YEAR(Agent03_Loans!D142)),"")</f>
        <v/>
      </c>
    </row>
    <row r="533" spans="1:13" ht="18" customHeight="1" x14ac:dyDescent="0.25">
      <c r="A533" s="37" t="str">
        <f>IF(Agent03_Loans!B143="","",Agent03_Loans!A143)</f>
        <v/>
      </c>
      <c r="B533" s="37" t="str">
        <f>IF(Agent03_Loans!B143="","",Agent03_Loans!B143)</f>
        <v/>
      </c>
      <c r="C533" s="37" t="str">
        <f>IF(Agent03_Loans!B143="","",Agent03_Loans!C143)</f>
        <v/>
      </c>
      <c r="D533" s="38" t="str">
        <f>IF(Agent03_Loans!B143="","",Agent03_Loans!D143)</f>
        <v/>
      </c>
      <c r="E533" s="40" t="str">
        <f>IF(Agent03_Loans!B143="","",Agent03_Loans!E143)</f>
        <v/>
      </c>
      <c r="F533" s="37" t="str">
        <f>IF(Agent03_Loans!B143="","",Agent03_Loans!F143)</f>
        <v/>
      </c>
      <c r="G533" s="37" t="str">
        <f>IF(Agent03_Loans!B143="","",Agent03_Loans!G143)</f>
        <v/>
      </c>
      <c r="H533" s="37" t="str">
        <f>IF(Agent03_Loans!B143="","",Agent03_Loans!H143)</f>
        <v/>
      </c>
      <c r="I533" s="40" t="str">
        <f>IF(Agent03_Loans!B143="","",Agent03_Loans!I143)</f>
        <v/>
      </c>
      <c r="J533" s="40" t="str">
        <f>IF(Agent03_Loans!B143="","",Agent03_Loans!J143)</f>
        <v/>
      </c>
      <c r="K533" s="37" t="str">
        <f>IF(Agent03_Loans!B143="","",Agent03_Loans!K143)</f>
        <v/>
      </c>
      <c r="L533" s="37" t="str">
        <f>IF(Agent03_Loans!B143="","",Agent03_Loans!L143)</f>
        <v/>
      </c>
      <c r="M533" s="37" t="str">
        <f>IFERROR(IF(Agent03_Loans!B143="","",YEAR(Agent03_Loans!D143)),"")</f>
        <v/>
      </c>
    </row>
    <row r="534" spans="1:13" ht="18" customHeight="1" x14ac:dyDescent="0.25">
      <c r="A534" s="37" t="str">
        <f>IF(Agent03_Loans!B144="","",Agent03_Loans!A144)</f>
        <v/>
      </c>
      <c r="B534" s="37" t="str">
        <f>IF(Agent03_Loans!B144="","",Agent03_Loans!B144)</f>
        <v/>
      </c>
      <c r="C534" s="37" t="str">
        <f>IF(Agent03_Loans!B144="","",Agent03_Loans!C144)</f>
        <v/>
      </c>
      <c r="D534" s="38" t="str">
        <f>IF(Agent03_Loans!B144="","",Agent03_Loans!D144)</f>
        <v/>
      </c>
      <c r="E534" s="40" t="str">
        <f>IF(Agent03_Loans!B144="","",Agent03_Loans!E144)</f>
        <v/>
      </c>
      <c r="F534" s="37" t="str">
        <f>IF(Agent03_Loans!B144="","",Agent03_Loans!F144)</f>
        <v/>
      </c>
      <c r="G534" s="37" t="str">
        <f>IF(Agent03_Loans!B144="","",Agent03_Loans!G144)</f>
        <v/>
      </c>
      <c r="H534" s="37" t="str">
        <f>IF(Agent03_Loans!B144="","",Agent03_Loans!H144)</f>
        <v/>
      </c>
      <c r="I534" s="40" t="str">
        <f>IF(Agent03_Loans!B144="","",Agent03_Loans!I144)</f>
        <v/>
      </c>
      <c r="J534" s="40" t="str">
        <f>IF(Agent03_Loans!B144="","",Agent03_Loans!J144)</f>
        <v/>
      </c>
      <c r="K534" s="37" t="str">
        <f>IF(Agent03_Loans!B144="","",Agent03_Loans!K144)</f>
        <v/>
      </c>
      <c r="L534" s="37" t="str">
        <f>IF(Agent03_Loans!B144="","",Agent03_Loans!L144)</f>
        <v/>
      </c>
      <c r="M534" s="37" t="str">
        <f>IFERROR(IF(Agent03_Loans!B144="","",YEAR(Agent03_Loans!D144)),"")</f>
        <v/>
      </c>
    </row>
    <row r="535" spans="1:13" ht="18" customHeight="1" x14ac:dyDescent="0.25">
      <c r="A535" s="37" t="str">
        <f>IF(Agent03_Loans!B145="","",Agent03_Loans!A145)</f>
        <v/>
      </c>
      <c r="B535" s="37" t="str">
        <f>IF(Agent03_Loans!B145="","",Agent03_Loans!B145)</f>
        <v/>
      </c>
      <c r="C535" s="37" t="str">
        <f>IF(Agent03_Loans!B145="","",Agent03_Loans!C145)</f>
        <v/>
      </c>
      <c r="D535" s="38" t="str">
        <f>IF(Agent03_Loans!B145="","",Agent03_Loans!D145)</f>
        <v/>
      </c>
      <c r="E535" s="40" t="str">
        <f>IF(Agent03_Loans!B145="","",Agent03_Loans!E145)</f>
        <v/>
      </c>
      <c r="F535" s="37" t="str">
        <f>IF(Agent03_Loans!B145="","",Agent03_Loans!F145)</f>
        <v/>
      </c>
      <c r="G535" s="37" t="str">
        <f>IF(Agent03_Loans!B145="","",Agent03_Loans!G145)</f>
        <v/>
      </c>
      <c r="H535" s="37" t="str">
        <f>IF(Agent03_Loans!B145="","",Agent03_Loans!H145)</f>
        <v/>
      </c>
      <c r="I535" s="40" t="str">
        <f>IF(Agent03_Loans!B145="","",Agent03_Loans!I145)</f>
        <v/>
      </c>
      <c r="J535" s="40" t="str">
        <f>IF(Agent03_Loans!B145="","",Agent03_Loans!J145)</f>
        <v/>
      </c>
      <c r="K535" s="37" t="str">
        <f>IF(Agent03_Loans!B145="","",Agent03_Loans!K145)</f>
        <v/>
      </c>
      <c r="L535" s="37" t="str">
        <f>IF(Agent03_Loans!B145="","",Agent03_Loans!L145)</f>
        <v/>
      </c>
      <c r="M535" s="37" t="str">
        <f>IFERROR(IF(Agent03_Loans!B145="","",YEAR(Agent03_Loans!D145)),"")</f>
        <v/>
      </c>
    </row>
    <row r="536" spans="1:13" ht="18" customHeight="1" x14ac:dyDescent="0.25">
      <c r="A536" s="37" t="str">
        <f>IF(Agent03_Loans!B146="","",Agent03_Loans!A146)</f>
        <v/>
      </c>
      <c r="B536" s="37" t="str">
        <f>IF(Agent03_Loans!B146="","",Agent03_Loans!B146)</f>
        <v/>
      </c>
      <c r="C536" s="37" t="str">
        <f>IF(Agent03_Loans!B146="","",Agent03_Loans!C146)</f>
        <v/>
      </c>
      <c r="D536" s="38" t="str">
        <f>IF(Agent03_Loans!B146="","",Agent03_Loans!D146)</f>
        <v/>
      </c>
      <c r="E536" s="40" t="str">
        <f>IF(Agent03_Loans!B146="","",Agent03_Loans!E146)</f>
        <v/>
      </c>
      <c r="F536" s="37" t="str">
        <f>IF(Agent03_Loans!B146="","",Agent03_Loans!F146)</f>
        <v/>
      </c>
      <c r="G536" s="37" t="str">
        <f>IF(Agent03_Loans!B146="","",Agent03_Loans!G146)</f>
        <v/>
      </c>
      <c r="H536" s="37" t="str">
        <f>IF(Agent03_Loans!B146="","",Agent03_Loans!H146)</f>
        <v/>
      </c>
      <c r="I536" s="40" t="str">
        <f>IF(Agent03_Loans!B146="","",Agent03_Loans!I146)</f>
        <v/>
      </c>
      <c r="J536" s="40" t="str">
        <f>IF(Agent03_Loans!B146="","",Agent03_Loans!J146)</f>
        <v/>
      </c>
      <c r="K536" s="37" t="str">
        <f>IF(Agent03_Loans!B146="","",Agent03_Loans!K146)</f>
        <v/>
      </c>
      <c r="L536" s="37" t="str">
        <f>IF(Agent03_Loans!B146="","",Agent03_Loans!L146)</f>
        <v/>
      </c>
      <c r="M536" s="37" t="str">
        <f>IFERROR(IF(Agent03_Loans!B146="","",YEAR(Agent03_Loans!D146)),"")</f>
        <v/>
      </c>
    </row>
    <row r="537" spans="1:13" ht="18" customHeight="1" x14ac:dyDescent="0.25">
      <c r="A537" s="37" t="str">
        <f>IF(Agent03_Loans!B147="","",Agent03_Loans!A147)</f>
        <v/>
      </c>
      <c r="B537" s="37" t="str">
        <f>IF(Agent03_Loans!B147="","",Agent03_Loans!B147)</f>
        <v/>
      </c>
      <c r="C537" s="37" t="str">
        <f>IF(Agent03_Loans!B147="","",Agent03_Loans!C147)</f>
        <v/>
      </c>
      <c r="D537" s="38" t="str">
        <f>IF(Agent03_Loans!B147="","",Agent03_Loans!D147)</f>
        <v/>
      </c>
      <c r="E537" s="40" t="str">
        <f>IF(Agent03_Loans!B147="","",Agent03_Loans!E147)</f>
        <v/>
      </c>
      <c r="F537" s="37" t="str">
        <f>IF(Agent03_Loans!B147="","",Agent03_Loans!F147)</f>
        <v/>
      </c>
      <c r="G537" s="37" t="str">
        <f>IF(Agent03_Loans!B147="","",Agent03_Loans!G147)</f>
        <v/>
      </c>
      <c r="H537" s="37" t="str">
        <f>IF(Agent03_Loans!B147="","",Agent03_Loans!H147)</f>
        <v/>
      </c>
      <c r="I537" s="40" t="str">
        <f>IF(Agent03_Loans!B147="","",Agent03_Loans!I147)</f>
        <v/>
      </c>
      <c r="J537" s="40" t="str">
        <f>IF(Agent03_Loans!B147="","",Agent03_Loans!J147)</f>
        <v/>
      </c>
      <c r="K537" s="37" t="str">
        <f>IF(Agent03_Loans!B147="","",Agent03_Loans!K147)</f>
        <v/>
      </c>
      <c r="L537" s="37" t="str">
        <f>IF(Agent03_Loans!B147="","",Agent03_Loans!L147)</f>
        <v/>
      </c>
      <c r="M537" s="37" t="str">
        <f>IFERROR(IF(Agent03_Loans!B147="","",YEAR(Agent03_Loans!D147)),"")</f>
        <v/>
      </c>
    </row>
    <row r="538" spans="1:13" ht="18" customHeight="1" x14ac:dyDescent="0.25">
      <c r="A538" s="37" t="str">
        <f>IF(Agent03_Loans!B148="","",Agent03_Loans!A148)</f>
        <v/>
      </c>
      <c r="B538" s="37" t="str">
        <f>IF(Agent03_Loans!B148="","",Agent03_Loans!B148)</f>
        <v/>
      </c>
      <c r="C538" s="37" t="str">
        <f>IF(Agent03_Loans!B148="","",Agent03_Loans!C148)</f>
        <v/>
      </c>
      <c r="D538" s="38" t="str">
        <f>IF(Agent03_Loans!B148="","",Agent03_Loans!D148)</f>
        <v/>
      </c>
      <c r="E538" s="40" t="str">
        <f>IF(Agent03_Loans!B148="","",Agent03_Loans!E148)</f>
        <v/>
      </c>
      <c r="F538" s="37" t="str">
        <f>IF(Agent03_Loans!B148="","",Agent03_Loans!F148)</f>
        <v/>
      </c>
      <c r="G538" s="37" t="str">
        <f>IF(Agent03_Loans!B148="","",Agent03_Loans!G148)</f>
        <v/>
      </c>
      <c r="H538" s="37" t="str">
        <f>IF(Agent03_Loans!B148="","",Agent03_Loans!H148)</f>
        <v/>
      </c>
      <c r="I538" s="40" t="str">
        <f>IF(Agent03_Loans!B148="","",Agent03_Loans!I148)</f>
        <v/>
      </c>
      <c r="J538" s="40" t="str">
        <f>IF(Agent03_Loans!B148="","",Agent03_Loans!J148)</f>
        <v/>
      </c>
      <c r="K538" s="37" t="str">
        <f>IF(Agent03_Loans!B148="","",Agent03_Loans!K148)</f>
        <v/>
      </c>
      <c r="L538" s="37" t="str">
        <f>IF(Agent03_Loans!B148="","",Agent03_Loans!L148)</f>
        <v/>
      </c>
      <c r="M538" s="37" t="str">
        <f>IFERROR(IF(Agent03_Loans!B148="","",YEAR(Agent03_Loans!D148)),"")</f>
        <v/>
      </c>
    </row>
    <row r="539" spans="1:13" ht="18" customHeight="1" x14ac:dyDescent="0.25">
      <c r="A539" s="37" t="str">
        <f>IF(Agent03_Loans!B149="","",Agent03_Loans!A149)</f>
        <v/>
      </c>
      <c r="B539" s="37" t="str">
        <f>IF(Agent03_Loans!B149="","",Agent03_Loans!B149)</f>
        <v/>
      </c>
      <c r="C539" s="37" t="str">
        <f>IF(Agent03_Loans!B149="","",Agent03_Loans!C149)</f>
        <v/>
      </c>
      <c r="D539" s="38" t="str">
        <f>IF(Agent03_Loans!B149="","",Agent03_Loans!D149)</f>
        <v/>
      </c>
      <c r="E539" s="40" t="str">
        <f>IF(Agent03_Loans!B149="","",Agent03_Loans!E149)</f>
        <v/>
      </c>
      <c r="F539" s="37" t="str">
        <f>IF(Agent03_Loans!B149="","",Agent03_Loans!F149)</f>
        <v/>
      </c>
      <c r="G539" s="37" t="str">
        <f>IF(Agent03_Loans!B149="","",Agent03_Loans!G149)</f>
        <v/>
      </c>
      <c r="H539" s="37" t="str">
        <f>IF(Agent03_Loans!B149="","",Agent03_Loans!H149)</f>
        <v/>
      </c>
      <c r="I539" s="40" t="str">
        <f>IF(Agent03_Loans!B149="","",Agent03_Loans!I149)</f>
        <v/>
      </c>
      <c r="J539" s="40" t="str">
        <f>IF(Agent03_Loans!B149="","",Agent03_Loans!J149)</f>
        <v/>
      </c>
      <c r="K539" s="37" t="str">
        <f>IF(Agent03_Loans!B149="","",Agent03_Loans!K149)</f>
        <v/>
      </c>
      <c r="L539" s="37" t="str">
        <f>IF(Agent03_Loans!B149="","",Agent03_Loans!L149)</f>
        <v/>
      </c>
      <c r="M539" s="37" t="str">
        <f>IFERROR(IF(Agent03_Loans!B149="","",YEAR(Agent03_Loans!D149)),"")</f>
        <v/>
      </c>
    </row>
    <row r="540" spans="1:13" ht="18" customHeight="1" x14ac:dyDescent="0.25">
      <c r="A540" s="37" t="str">
        <f>IF(Agent03_Loans!B150="","",Agent03_Loans!A150)</f>
        <v/>
      </c>
      <c r="B540" s="37" t="str">
        <f>IF(Agent03_Loans!B150="","",Agent03_Loans!B150)</f>
        <v/>
      </c>
      <c r="C540" s="37" t="str">
        <f>IF(Agent03_Loans!B150="","",Agent03_Loans!C150)</f>
        <v/>
      </c>
      <c r="D540" s="38" t="str">
        <f>IF(Agent03_Loans!B150="","",Agent03_Loans!D150)</f>
        <v/>
      </c>
      <c r="E540" s="40" t="str">
        <f>IF(Agent03_Loans!B150="","",Agent03_Loans!E150)</f>
        <v/>
      </c>
      <c r="F540" s="37" t="str">
        <f>IF(Agent03_Loans!B150="","",Agent03_Loans!F150)</f>
        <v/>
      </c>
      <c r="G540" s="37" t="str">
        <f>IF(Agent03_Loans!B150="","",Agent03_Loans!G150)</f>
        <v/>
      </c>
      <c r="H540" s="37" t="str">
        <f>IF(Agent03_Loans!B150="","",Agent03_Loans!H150)</f>
        <v/>
      </c>
      <c r="I540" s="40" t="str">
        <f>IF(Agent03_Loans!B150="","",Agent03_Loans!I150)</f>
        <v/>
      </c>
      <c r="J540" s="40" t="str">
        <f>IF(Agent03_Loans!B150="","",Agent03_Loans!J150)</f>
        <v/>
      </c>
      <c r="K540" s="37" t="str">
        <f>IF(Agent03_Loans!B150="","",Agent03_Loans!K150)</f>
        <v/>
      </c>
      <c r="L540" s="37" t="str">
        <f>IF(Agent03_Loans!B150="","",Agent03_Loans!L150)</f>
        <v/>
      </c>
      <c r="M540" s="37" t="str">
        <f>IFERROR(IF(Agent03_Loans!B150="","",YEAR(Agent03_Loans!D150)),"")</f>
        <v/>
      </c>
    </row>
    <row r="541" spans="1:13" ht="18" customHeight="1" x14ac:dyDescent="0.25">
      <c r="A541" s="37" t="str">
        <f>IF(Agent03_Loans!B151="","",Agent03_Loans!A151)</f>
        <v/>
      </c>
      <c r="B541" s="37" t="str">
        <f>IF(Agent03_Loans!B151="","",Agent03_Loans!B151)</f>
        <v/>
      </c>
      <c r="C541" s="37" t="str">
        <f>IF(Agent03_Loans!B151="","",Agent03_Loans!C151)</f>
        <v/>
      </c>
      <c r="D541" s="38" t="str">
        <f>IF(Agent03_Loans!B151="","",Agent03_Loans!D151)</f>
        <v/>
      </c>
      <c r="E541" s="40" t="str">
        <f>IF(Agent03_Loans!B151="","",Agent03_Loans!E151)</f>
        <v/>
      </c>
      <c r="F541" s="37" t="str">
        <f>IF(Agent03_Loans!B151="","",Agent03_Loans!F151)</f>
        <v/>
      </c>
      <c r="G541" s="37" t="str">
        <f>IF(Agent03_Loans!B151="","",Agent03_Loans!G151)</f>
        <v/>
      </c>
      <c r="H541" s="37" t="str">
        <f>IF(Agent03_Loans!B151="","",Agent03_Loans!H151)</f>
        <v/>
      </c>
      <c r="I541" s="40" t="str">
        <f>IF(Agent03_Loans!B151="","",Agent03_Loans!I151)</f>
        <v/>
      </c>
      <c r="J541" s="40" t="str">
        <f>IF(Agent03_Loans!B151="","",Agent03_Loans!J151)</f>
        <v/>
      </c>
      <c r="K541" s="37" t="str">
        <f>IF(Agent03_Loans!B151="","",Agent03_Loans!K151)</f>
        <v/>
      </c>
      <c r="L541" s="37" t="str">
        <f>IF(Agent03_Loans!B151="","",Agent03_Loans!L151)</f>
        <v/>
      </c>
      <c r="M541" s="37" t="str">
        <f>IFERROR(IF(Agent03_Loans!B151="","",YEAR(Agent03_Loans!D151)),"")</f>
        <v/>
      </c>
    </row>
    <row r="542" spans="1:13" ht="18" customHeight="1" x14ac:dyDescent="0.25">
      <c r="A542" s="37" t="str">
        <f>IF(Agent03_Loans!B152="","",Agent03_Loans!A152)</f>
        <v/>
      </c>
      <c r="B542" s="37" t="str">
        <f>IF(Agent03_Loans!B152="","",Agent03_Loans!B152)</f>
        <v/>
      </c>
      <c r="C542" s="37" t="str">
        <f>IF(Agent03_Loans!B152="","",Agent03_Loans!C152)</f>
        <v/>
      </c>
      <c r="D542" s="38" t="str">
        <f>IF(Agent03_Loans!B152="","",Agent03_Loans!D152)</f>
        <v/>
      </c>
      <c r="E542" s="40" t="str">
        <f>IF(Agent03_Loans!B152="","",Agent03_Loans!E152)</f>
        <v/>
      </c>
      <c r="F542" s="37" t="str">
        <f>IF(Agent03_Loans!B152="","",Agent03_Loans!F152)</f>
        <v/>
      </c>
      <c r="G542" s="37" t="str">
        <f>IF(Agent03_Loans!B152="","",Agent03_Loans!G152)</f>
        <v/>
      </c>
      <c r="H542" s="37" t="str">
        <f>IF(Agent03_Loans!B152="","",Agent03_Loans!H152)</f>
        <v/>
      </c>
      <c r="I542" s="40" t="str">
        <f>IF(Agent03_Loans!B152="","",Agent03_Loans!I152)</f>
        <v/>
      </c>
      <c r="J542" s="40" t="str">
        <f>IF(Agent03_Loans!B152="","",Agent03_Loans!J152)</f>
        <v/>
      </c>
      <c r="K542" s="37" t="str">
        <f>IF(Agent03_Loans!B152="","",Agent03_Loans!K152)</f>
        <v/>
      </c>
      <c r="L542" s="37" t="str">
        <f>IF(Agent03_Loans!B152="","",Agent03_Loans!L152)</f>
        <v/>
      </c>
      <c r="M542" s="37" t="str">
        <f>IFERROR(IF(Agent03_Loans!B152="","",YEAR(Agent03_Loans!D152)),"")</f>
        <v/>
      </c>
    </row>
    <row r="543" spans="1:13" ht="18" customHeight="1" x14ac:dyDescent="0.25">
      <c r="A543" s="37" t="str">
        <f>IF(Agent03_Loans!B153="","",Agent03_Loans!A153)</f>
        <v/>
      </c>
      <c r="B543" s="37" t="str">
        <f>IF(Agent03_Loans!B153="","",Agent03_Loans!B153)</f>
        <v/>
      </c>
      <c r="C543" s="37" t="str">
        <f>IF(Agent03_Loans!B153="","",Agent03_Loans!C153)</f>
        <v/>
      </c>
      <c r="D543" s="38" t="str">
        <f>IF(Agent03_Loans!B153="","",Agent03_Loans!D153)</f>
        <v/>
      </c>
      <c r="E543" s="40" t="str">
        <f>IF(Agent03_Loans!B153="","",Agent03_Loans!E153)</f>
        <v/>
      </c>
      <c r="F543" s="37" t="str">
        <f>IF(Agent03_Loans!B153="","",Agent03_Loans!F153)</f>
        <v/>
      </c>
      <c r="G543" s="37" t="str">
        <f>IF(Agent03_Loans!B153="","",Agent03_Loans!G153)</f>
        <v/>
      </c>
      <c r="H543" s="37" t="str">
        <f>IF(Agent03_Loans!B153="","",Agent03_Loans!H153)</f>
        <v/>
      </c>
      <c r="I543" s="40" t="str">
        <f>IF(Agent03_Loans!B153="","",Agent03_Loans!I153)</f>
        <v/>
      </c>
      <c r="J543" s="40" t="str">
        <f>IF(Agent03_Loans!B153="","",Agent03_Loans!J153)</f>
        <v/>
      </c>
      <c r="K543" s="37" t="str">
        <f>IF(Agent03_Loans!B153="","",Agent03_Loans!K153)</f>
        <v/>
      </c>
      <c r="L543" s="37" t="str">
        <f>IF(Agent03_Loans!B153="","",Agent03_Loans!L153)</f>
        <v/>
      </c>
      <c r="M543" s="37" t="str">
        <f>IFERROR(IF(Agent03_Loans!B153="","",YEAR(Agent03_Loans!D153)),"")</f>
        <v/>
      </c>
    </row>
    <row r="544" spans="1:13" ht="18" customHeight="1" x14ac:dyDescent="0.25">
      <c r="A544" s="37" t="str">
        <f>IF(Agent03_Loans!B154="","",Agent03_Loans!A154)</f>
        <v/>
      </c>
      <c r="B544" s="37" t="str">
        <f>IF(Agent03_Loans!B154="","",Agent03_Loans!B154)</f>
        <v/>
      </c>
      <c r="C544" s="37" t="str">
        <f>IF(Agent03_Loans!B154="","",Agent03_Loans!C154)</f>
        <v/>
      </c>
      <c r="D544" s="38" t="str">
        <f>IF(Agent03_Loans!B154="","",Agent03_Loans!D154)</f>
        <v/>
      </c>
      <c r="E544" s="40" t="str">
        <f>IF(Agent03_Loans!B154="","",Agent03_Loans!E154)</f>
        <v/>
      </c>
      <c r="F544" s="37" t="str">
        <f>IF(Agent03_Loans!B154="","",Agent03_Loans!F154)</f>
        <v/>
      </c>
      <c r="G544" s="37" t="str">
        <f>IF(Agent03_Loans!B154="","",Agent03_Loans!G154)</f>
        <v/>
      </c>
      <c r="H544" s="37" t="str">
        <f>IF(Agent03_Loans!B154="","",Agent03_Loans!H154)</f>
        <v/>
      </c>
      <c r="I544" s="40" t="str">
        <f>IF(Agent03_Loans!B154="","",Agent03_Loans!I154)</f>
        <v/>
      </c>
      <c r="J544" s="40" t="str">
        <f>IF(Agent03_Loans!B154="","",Agent03_Loans!J154)</f>
        <v/>
      </c>
      <c r="K544" s="37" t="str">
        <f>IF(Agent03_Loans!B154="","",Agent03_Loans!K154)</f>
        <v/>
      </c>
      <c r="L544" s="37" t="str">
        <f>IF(Agent03_Loans!B154="","",Agent03_Loans!L154)</f>
        <v/>
      </c>
      <c r="M544" s="37" t="str">
        <f>IFERROR(IF(Agent03_Loans!B154="","",YEAR(Agent03_Loans!D154)),"")</f>
        <v/>
      </c>
    </row>
    <row r="545" spans="1:13" ht="18" customHeight="1" x14ac:dyDescent="0.25">
      <c r="A545" s="37" t="str">
        <f>IF(Agent03_Loans!B155="","",Agent03_Loans!A155)</f>
        <v/>
      </c>
      <c r="B545" s="37" t="str">
        <f>IF(Agent03_Loans!B155="","",Agent03_Loans!B155)</f>
        <v/>
      </c>
      <c r="C545" s="37" t="str">
        <f>IF(Agent03_Loans!B155="","",Agent03_Loans!C155)</f>
        <v/>
      </c>
      <c r="D545" s="38" t="str">
        <f>IF(Agent03_Loans!B155="","",Agent03_Loans!D155)</f>
        <v/>
      </c>
      <c r="E545" s="40" t="str">
        <f>IF(Agent03_Loans!B155="","",Agent03_Loans!E155)</f>
        <v/>
      </c>
      <c r="F545" s="37" t="str">
        <f>IF(Agent03_Loans!B155="","",Agent03_Loans!F155)</f>
        <v/>
      </c>
      <c r="G545" s="37" t="str">
        <f>IF(Agent03_Loans!B155="","",Agent03_Loans!G155)</f>
        <v/>
      </c>
      <c r="H545" s="37" t="str">
        <f>IF(Agent03_Loans!B155="","",Agent03_Loans!H155)</f>
        <v/>
      </c>
      <c r="I545" s="40" t="str">
        <f>IF(Agent03_Loans!B155="","",Agent03_Loans!I155)</f>
        <v/>
      </c>
      <c r="J545" s="40" t="str">
        <f>IF(Agent03_Loans!B155="","",Agent03_Loans!J155)</f>
        <v/>
      </c>
      <c r="K545" s="37" t="str">
        <f>IF(Agent03_Loans!B155="","",Agent03_Loans!K155)</f>
        <v/>
      </c>
      <c r="L545" s="37" t="str">
        <f>IF(Agent03_Loans!B155="","",Agent03_Loans!L155)</f>
        <v/>
      </c>
      <c r="M545" s="37" t="str">
        <f>IFERROR(IF(Agent03_Loans!B155="","",YEAR(Agent03_Loans!D155)),"")</f>
        <v/>
      </c>
    </row>
    <row r="546" spans="1:13" ht="18" customHeight="1" x14ac:dyDescent="0.25">
      <c r="A546" s="37" t="str">
        <f>IF(Agent03_Loans!B156="","",Agent03_Loans!A156)</f>
        <v/>
      </c>
      <c r="B546" s="37" t="str">
        <f>IF(Agent03_Loans!B156="","",Agent03_Loans!B156)</f>
        <v/>
      </c>
      <c r="C546" s="37" t="str">
        <f>IF(Agent03_Loans!B156="","",Agent03_Loans!C156)</f>
        <v/>
      </c>
      <c r="D546" s="38" t="str">
        <f>IF(Agent03_Loans!B156="","",Agent03_Loans!D156)</f>
        <v/>
      </c>
      <c r="E546" s="40" t="str">
        <f>IF(Agent03_Loans!B156="","",Agent03_Loans!E156)</f>
        <v/>
      </c>
      <c r="F546" s="37" t="str">
        <f>IF(Agent03_Loans!B156="","",Agent03_Loans!F156)</f>
        <v/>
      </c>
      <c r="G546" s="37" t="str">
        <f>IF(Agent03_Loans!B156="","",Agent03_Loans!G156)</f>
        <v/>
      </c>
      <c r="H546" s="37" t="str">
        <f>IF(Agent03_Loans!B156="","",Agent03_Loans!H156)</f>
        <v/>
      </c>
      <c r="I546" s="40" t="str">
        <f>IF(Agent03_Loans!B156="","",Agent03_Loans!I156)</f>
        <v/>
      </c>
      <c r="J546" s="40" t="str">
        <f>IF(Agent03_Loans!B156="","",Agent03_Loans!J156)</f>
        <v/>
      </c>
      <c r="K546" s="37" t="str">
        <f>IF(Agent03_Loans!B156="","",Agent03_Loans!K156)</f>
        <v/>
      </c>
      <c r="L546" s="37" t="str">
        <f>IF(Agent03_Loans!B156="","",Agent03_Loans!L156)</f>
        <v/>
      </c>
      <c r="M546" s="37" t="str">
        <f>IFERROR(IF(Agent03_Loans!B156="","",YEAR(Agent03_Loans!D156)),"")</f>
        <v/>
      </c>
    </row>
    <row r="547" spans="1:13" ht="18" customHeight="1" x14ac:dyDescent="0.25">
      <c r="A547" s="37" t="str">
        <f>IF(Agent03_Loans!B157="","",Agent03_Loans!A157)</f>
        <v/>
      </c>
      <c r="B547" s="37" t="str">
        <f>IF(Agent03_Loans!B157="","",Agent03_Loans!B157)</f>
        <v/>
      </c>
      <c r="C547" s="37" t="str">
        <f>IF(Agent03_Loans!B157="","",Agent03_Loans!C157)</f>
        <v/>
      </c>
      <c r="D547" s="38" t="str">
        <f>IF(Agent03_Loans!B157="","",Agent03_Loans!D157)</f>
        <v/>
      </c>
      <c r="E547" s="40" t="str">
        <f>IF(Agent03_Loans!B157="","",Agent03_Loans!E157)</f>
        <v/>
      </c>
      <c r="F547" s="37" t="str">
        <f>IF(Agent03_Loans!B157="","",Agent03_Loans!F157)</f>
        <v/>
      </c>
      <c r="G547" s="37" t="str">
        <f>IF(Agent03_Loans!B157="","",Agent03_Loans!G157)</f>
        <v/>
      </c>
      <c r="H547" s="37" t="str">
        <f>IF(Agent03_Loans!B157="","",Agent03_Loans!H157)</f>
        <v/>
      </c>
      <c r="I547" s="40" t="str">
        <f>IF(Agent03_Loans!B157="","",Agent03_Loans!I157)</f>
        <v/>
      </c>
      <c r="J547" s="40" t="str">
        <f>IF(Agent03_Loans!B157="","",Agent03_Loans!J157)</f>
        <v/>
      </c>
      <c r="K547" s="37" t="str">
        <f>IF(Agent03_Loans!B157="","",Agent03_Loans!K157)</f>
        <v/>
      </c>
      <c r="L547" s="37" t="str">
        <f>IF(Agent03_Loans!B157="","",Agent03_Loans!L157)</f>
        <v/>
      </c>
      <c r="M547" s="37" t="str">
        <f>IFERROR(IF(Agent03_Loans!B157="","",YEAR(Agent03_Loans!D157)),"")</f>
        <v/>
      </c>
    </row>
    <row r="548" spans="1:13" ht="18" customHeight="1" x14ac:dyDescent="0.25">
      <c r="A548" s="37" t="str">
        <f>IF(Agent03_Loans!B158="","",Agent03_Loans!A158)</f>
        <v/>
      </c>
      <c r="B548" s="37" t="str">
        <f>IF(Agent03_Loans!B158="","",Agent03_Loans!B158)</f>
        <v/>
      </c>
      <c r="C548" s="37" t="str">
        <f>IF(Agent03_Loans!B158="","",Agent03_Loans!C158)</f>
        <v/>
      </c>
      <c r="D548" s="38" t="str">
        <f>IF(Agent03_Loans!B158="","",Agent03_Loans!D158)</f>
        <v/>
      </c>
      <c r="E548" s="40" t="str">
        <f>IF(Agent03_Loans!B158="","",Agent03_Loans!E158)</f>
        <v/>
      </c>
      <c r="F548" s="37" t="str">
        <f>IF(Agent03_Loans!B158="","",Agent03_Loans!F158)</f>
        <v/>
      </c>
      <c r="G548" s="37" t="str">
        <f>IF(Agent03_Loans!B158="","",Agent03_Loans!G158)</f>
        <v/>
      </c>
      <c r="H548" s="37" t="str">
        <f>IF(Agent03_Loans!B158="","",Agent03_Loans!H158)</f>
        <v/>
      </c>
      <c r="I548" s="40" t="str">
        <f>IF(Agent03_Loans!B158="","",Agent03_Loans!I158)</f>
        <v/>
      </c>
      <c r="J548" s="40" t="str">
        <f>IF(Agent03_Loans!B158="","",Agent03_Loans!J158)</f>
        <v/>
      </c>
      <c r="K548" s="37" t="str">
        <f>IF(Agent03_Loans!B158="","",Agent03_Loans!K158)</f>
        <v/>
      </c>
      <c r="L548" s="37" t="str">
        <f>IF(Agent03_Loans!B158="","",Agent03_Loans!L158)</f>
        <v/>
      </c>
      <c r="M548" s="37" t="str">
        <f>IFERROR(IF(Agent03_Loans!B158="","",YEAR(Agent03_Loans!D158)),"")</f>
        <v/>
      </c>
    </row>
    <row r="549" spans="1:13" ht="18" customHeight="1" x14ac:dyDescent="0.25">
      <c r="A549" s="37" t="str">
        <f>IF(Agent03_Loans!B159="","",Agent03_Loans!A159)</f>
        <v/>
      </c>
      <c r="B549" s="37" t="str">
        <f>IF(Agent03_Loans!B159="","",Agent03_Loans!B159)</f>
        <v/>
      </c>
      <c r="C549" s="37" t="str">
        <f>IF(Agent03_Loans!B159="","",Agent03_Loans!C159)</f>
        <v/>
      </c>
      <c r="D549" s="38" t="str">
        <f>IF(Agent03_Loans!B159="","",Agent03_Loans!D159)</f>
        <v/>
      </c>
      <c r="E549" s="40" t="str">
        <f>IF(Agent03_Loans!B159="","",Agent03_Loans!E159)</f>
        <v/>
      </c>
      <c r="F549" s="37" t="str">
        <f>IF(Agent03_Loans!B159="","",Agent03_Loans!F159)</f>
        <v/>
      </c>
      <c r="G549" s="37" t="str">
        <f>IF(Agent03_Loans!B159="","",Agent03_Loans!G159)</f>
        <v/>
      </c>
      <c r="H549" s="37" t="str">
        <f>IF(Agent03_Loans!B159="","",Agent03_Loans!H159)</f>
        <v/>
      </c>
      <c r="I549" s="40" t="str">
        <f>IF(Agent03_Loans!B159="","",Agent03_Loans!I159)</f>
        <v/>
      </c>
      <c r="J549" s="40" t="str">
        <f>IF(Agent03_Loans!B159="","",Agent03_Loans!J159)</f>
        <v/>
      </c>
      <c r="K549" s="37" t="str">
        <f>IF(Agent03_Loans!B159="","",Agent03_Loans!K159)</f>
        <v/>
      </c>
      <c r="L549" s="37" t="str">
        <f>IF(Agent03_Loans!B159="","",Agent03_Loans!L159)</f>
        <v/>
      </c>
      <c r="M549" s="37" t="str">
        <f>IFERROR(IF(Agent03_Loans!B159="","",YEAR(Agent03_Loans!D159)),"")</f>
        <v/>
      </c>
    </row>
    <row r="550" spans="1:13" ht="18" customHeight="1" x14ac:dyDescent="0.25">
      <c r="A550" s="37" t="str">
        <f>IF(Agent03_Loans!B160="","",Agent03_Loans!A160)</f>
        <v/>
      </c>
      <c r="B550" s="37" t="str">
        <f>IF(Agent03_Loans!B160="","",Agent03_Loans!B160)</f>
        <v/>
      </c>
      <c r="C550" s="37" t="str">
        <f>IF(Agent03_Loans!B160="","",Agent03_Loans!C160)</f>
        <v/>
      </c>
      <c r="D550" s="38" t="str">
        <f>IF(Agent03_Loans!B160="","",Agent03_Loans!D160)</f>
        <v/>
      </c>
      <c r="E550" s="40" t="str">
        <f>IF(Agent03_Loans!B160="","",Agent03_Loans!E160)</f>
        <v/>
      </c>
      <c r="F550" s="37" t="str">
        <f>IF(Agent03_Loans!B160="","",Agent03_Loans!F160)</f>
        <v/>
      </c>
      <c r="G550" s="37" t="str">
        <f>IF(Agent03_Loans!B160="","",Agent03_Loans!G160)</f>
        <v/>
      </c>
      <c r="H550" s="37" t="str">
        <f>IF(Agent03_Loans!B160="","",Agent03_Loans!H160)</f>
        <v/>
      </c>
      <c r="I550" s="40" t="str">
        <f>IF(Agent03_Loans!B160="","",Agent03_Loans!I160)</f>
        <v/>
      </c>
      <c r="J550" s="40" t="str">
        <f>IF(Agent03_Loans!B160="","",Agent03_Loans!J160)</f>
        <v/>
      </c>
      <c r="K550" s="37" t="str">
        <f>IF(Agent03_Loans!B160="","",Agent03_Loans!K160)</f>
        <v/>
      </c>
      <c r="L550" s="37" t="str">
        <f>IF(Agent03_Loans!B160="","",Agent03_Loans!L160)</f>
        <v/>
      </c>
      <c r="M550" s="37" t="str">
        <f>IFERROR(IF(Agent03_Loans!B160="","",YEAR(Agent03_Loans!D160)),"")</f>
        <v/>
      </c>
    </row>
    <row r="551" spans="1:13" ht="18" customHeight="1" x14ac:dyDescent="0.25">
      <c r="A551" s="37" t="str">
        <f>IF(Agent03_Loans!B161="","",Agent03_Loans!A161)</f>
        <v/>
      </c>
      <c r="B551" s="37" t="str">
        <f>IF(Agent03_Loans!B161="","",Agent03_Loans!B161)</f>
        <v/>
      </c>
      <c r="C551" s="37" t="str">
        <f>IF(Agent03_Loans!B161="","",Agent03_Loans!C161)</f>
        <v/>
      </c>
      <c r="D551" s="38" t="str">
        <f>IF(Agent03_Loans!B161="","",Agent03_Loans!D161)</f>
        <v/>
      </c>
      <c r="E551" s="40" t="str">
        <f>IF(Agent03_Loans!B161="","",Agent03_Loans!E161)</f>
        <v/>
      </c>
      <c r="F551" s="37" t="str">
        <f>IF(Agent03_Loans!B161="","",Agent03_Loans!F161)</f>
        <v/>
      </c>
      <c r="G551" s="37" t="str">
        <f>IF(Agent03_Loans!B161="","",Agent03_Loans!G161)</f>
        <v/>
      </c>
      <c r="H551" s="37" t="str">
        <f>IF(Agent03_Loans!B161="","",Agent03_Loans!H161)</f>
        <v/>
      </c>
      <c r="I551" s="40" t="str">
        <f>IF(Agent03_Loans!B161="","",Agent03_Loans!I161)</f>
        <v/>
      </c>
      <c r="J551" s="40" t="str">
        <f>IF(Agent03_Loans!B161="","",Agent03_Loans!J161)</f>
        <v/>
      </c>
      <c r="K551" s="37" t="str">
        <f>IF(Agent03_Loans!B161="","",Agent03_Loans!K161)</f>
        <v/>
      </c>
      <c r="L551" s="37" t="str">
        <f>IF(Agent03_Loans!B161="","",Agent03_Loans!L161)</f>
        <v/>
      </c>
      <c r="M551" s="37" t="str">
        <f>IFERROR(IF(Agent03_Loans!B161="","",YEAR(Agent03_Loans!D161)),"")</f>
        <v/>
      </c>
    </row>
    <row r="552" spans="1:13" ht="18" customHeight="1" x14ac:dyDescent="0.25">
      <c r="A552" s="37" t="str">
        <f>IF(Agent03_Loans!B162="","",Agent03_Loans!A162)</f>
        <v/>
      </c>
      <c r="B552" s="37" t="str">
        <f>IF(Agent03_Loans!B162="","",Agent03_Loans!B162)</f>
        <v/>
      </c>
      <c r="C552" s="37" t="str">
        <f>IF(Agent03_Loans!B162="","",Agent03_Loans!C162)</f>
        <v/>
      </c>
      <c r="D552" s="38" t="str">
        <f>IF(Agent03_Loans!B162="","",Agent03_Loans!D162)</f>
        <v/>
      </c>
      <c r="E552" s="40" t="str">
        <f>IF(Agent03_Loans!B162="","",Agent03_Loans!E162)</f>
        <v/>
      </c>
      <c r="F552" s="37" t="str">
        <f>IF(Agent03_Loans!B162="","",Agent03_Loans!F162)</f>
        <v/>
      </c>
      <c r="G552" s="37" t="str">
        <f>IF(Agent03_Loans!B162="","",Agent03_Loans!G162)</f>
        <v/>
      </c>
      <c r="H552" s="37" t="str">
        <f>IF(Agent03_Loans!B162="","",Agent03_Loans!H162)</f>
        <v/>
      </c>
      <c r="I552" s="40" t="str">
        <f>IF(Agent03_Loans!B162="","",Agent03_Loans!I162)</f>
        <v/>
      </c>
      <c r="J552" s="40" t="str">
        <f>IF(Agent03_Loans!B162="","",Agent03_Loans!J162)</f>
        <v/>
      </c>
      <c r="K552" s="37" t="str">
        <f>IF(Agent03_Loans!B162="","",Agent03_Loans!K162)</f>
        <v/>
      </c>
      <c r="L552" s="37" t="str">
        <f>IF(Agent03_Loans!B162="","",Agent03_Loans!L162)</f>
        <v/>
      </c>
      <c r="M552" s="37" t="str">
        <f>IFERROR(IF(Agent03_Loans!B162="","",YEAR(Agent03_Loans!D162)),"")</f>
        <v/>
      </c>
    </row>
    <row r="553" spans="1:13" ht="18" customHeight="1" x14ac:dyDescent="0.25">
      <c r="A553" s="37" t="str">
        <f>IF(Agent03_Loans!B163="","",Agent03_Loans!A163)</f>
        <v/>
      </c>
      <c r="B553" s="37" t="str">
        <f>IF(Agent03_Loans!B163="","",Agent03_Loans!B163)</f>
        <v/>
      </c>
      <c r="C553" s="37" t="str">
        <f>IF(Agent03_Loans!B163="","",Agent03_Loans!C163)</f>
        <v/>
      </c>
      <c r="D553" s="38" t="str">
        <f>IF(Agent03_Loans!B163="","",Agent03_Loans!D163)</f>
        <v/>
      </c>
      <c r="E553" s="40" t="str">
        <f>IF(Agent03_Loans!B163="","",Agent03_Loans!E163)</f>
        <v/>
      </c>
      <c r="F553" s="37" t="str">
        <f>IF(Agent03_Loans!B163="","",Agent03_Loans!F163)</f>
        <v/>
      </c>
      <c r="G553" s="37" t="str">
        <f>IF(Agent03_Loans!B163="","",Agent03_Loans!G163)</f>
        <v/>
      </c>
      <c r="H553" s="37" t="str">
        <f>IF(Agent03_Loans!B163="","",Agent03_Loans!H163)</f>
        <v/>
      </c>
      <c r="I553" s="40" t="str">
        <f>IF(Agent03_Loans!B163="","",Agent03_Loans!I163)</f>
        <v/>
      </c>
      <c r="J553" s="40" t="str">
        <f>IF(Agent03_Loans!B163="","",Agent03_Loans!J163)</f>
        <v/>
      </c>
      <c r="K553" s="37" t="str">
        <f>IF(Agent03_Loans!B163="","",Agent03_Loans!K163)</f>
        <v/>
      </c>
      <c r="L553" s="37" t="str">
        <f>IF(Agent03_Loans!B163="","",Agent03_Loans!L163)</f>
        <v/>
      </c>
      <c r="M553" s="37" t="str">
        <f>IFERROR(IF(Agent03_Loans!B163="","",YEAR(Agent03_Loans!D163)),"")</f>
        <v/>
      </c>
    </row>
    <row r="554" spans="1:13" ht="18" customHeight="1" x14ac:dyDescent="0.25">
      <c r="A554" s="37" t="str">
        <f>IF(Agent03_Loans!B164="","",Agent03_Loans!A164)</f>
        <v/>
      </c>
      <c r="B554" s="37" t="str">
        <f>IF(Agent03_Loans!B164="","",Agent03_Loans!B164)</f>
        <v/>
      </c>
      <c r="C554" s="37" t="str">
        <f>IF(Agent03_Loans!B164="","",Agent03_Loans!C164)</f>
        <v/>
      </c>
      <c r="D554" s="38" t="str">
        <f>IF(Agent03_Loans!B164="","",Agent03_Loans!D164)</f>
        <v/>
      </c>
      <c r="E554" s="40" t="str">
        <f>IF(Agent03_Loans!B164="","",Agent03_Loans!E164)</f>
        <v/>
      </c>
      <c r="F554" s="37" t="str">
        <f>IF(Agent03_Loans!B164="","",Agent03_Loans!F164)</f>
        <v/>
      </c>
      <c r="G554" s="37" t="str">
        <f>IF(Agent03_Loans!B164="","",Agent03_Loans!G164)</f>
        <v/>
      </c>
      <c r="H554" s="37" t="str">
        <f>IF(Agent03_Loans!B164="","",Agent03_Loans!H164)</f>
        <v/>
      </c>
      <c r="I554" s="40" t="str">
        <f>IF(Agent03_Loans!B164="","",Agent03_Loans!I164)</f>
        <v/>
      </c>
      <c r="J554" s="40" t="str">
        <f>IF(Agent03_Loans!B164="","",Agent03_Loans!J164)</f>
        <v/>
      </c>
      <c r="K554" s="37" t="str">
        <f>IF(Agent03_Loans!B164="","",Agent03_Loans!K164)</f>
        <v/>
      </c>
      <c r="L554" s="37" t="str">
        <f>IF(Agent03_Loans!B164="","",Agent03_Loans!L164)</f>
        <v/>
      </c>
      <c r="M554" s="37" t="str">
        <f>IFERROR(IF(Agent03_Loans!B164="","",YEAR(Agent03_Loans!D164)),"")</f>
        <v/>
      </c>
    </row>
    <row r="555" spans="1:13" ht="18" customHeight="1" x14ac:dyDescent="0.25">
      <c r="A555" s="37" t="str">
        <f>IF(Agent03_Loans!B165="","",Agent03_Loans!A165)</f>
        <v/>
      </c>
      <c r="B555" s="37" t="str">
        <f>IF(Agent03_Loans!B165="","",Agent03_Loans!B165)</f>
        <v/>
      </c>
      <c r="C555" s="37" t="str">
        <f>IF(Agent03_Loans!B165="","",Agent03_Loans!C165)</f>
        <v/>
      </c>
      <c r="D555" s="38" t="str">
        <f>IF(Agent03_Loans!B165="","",Agent03_Loans!D165)</f>
        <v/>
      </c>
      <c r="E555" s="40" t="str">
        <f>IF(Agent03_Loans!B165="","",Agent03_Loans!E165)</f>
        <v/>
      </c>
      <c r="F555" s="37" t="str">
        <f>IF(Agent03_Loans!B165="","",Agent03_Loans!F165)</f>
        <v/>
      </c>
      <c r="G555" s="37" t="str">
        <f>IF(Agent03_Loans!B165="","",Agent03_Loans!G165)</f>
        <v/>
      </c>
      <c r="H555" s="37" t="str">
        <f>IF(Agent03_Loans!B165="","",Agent03_Loans!H165)</f>
        <v/>
      </c>
      <c r="I555" s="40" t="str">
        <f>IF(Agent03_Loans!B165="","",Agent03_Loans!I165)</f>
        <v/>
      </c>
      <c r="J555" s="40" t="str">
        <f>IF(Agent03_Loans!B165="","",Agent03_Loans!J165)</f>
        <v/>
      </c>
      <c r="K555" s="37" t="str">
        <f>IF(Agent03_Loans!B165="","",Agent03_Loans!K165)</f>
        <v/>
      </c>
      <c r="L555" s="37" t="str">
        <f>IF(Agent03_Loans!B165="","",Agent03_Loans!L165)</f>
        <v/>
      </c>
      <c r="M555" s="37" t="str">
        <f>IFERROR(IF(Agent03_Loans!B165="","",YEAR(Agent03_Loans!D165)),"")</f>
        <v/>
      </c>
    </row>
    <row r="556" spans="1:13" ht="18" customHeight="1" x14ac:dyDescent="0.25">
      <c r="A556" s="37" t="str">
        <f>IF(Agent03_Loans!B166="","",Agent03_Loans!A166)</f>
        <v/>
      </c>
      <c r="B556" s="37" t="str">
        <f>IF(Agent03_Loans!B166="","",Agent03_Loans!B166)</f>
        <v/>
      </c>
      <c r="C556" s="37" t="str">
        <f>IF(Agent03_Loans!B166="","",Agent03_Loans!C166)</f>
        <v/>
      </c>
      <c r="D556" s="38" t="str">
        <f>IF(Agent03_Loans!B166="","",Agent03_Loans!D166)</f>
        <v/>
      </c>
      <c r="E556" s="40" t="str">
        <f>IF(Agent03_Loans!B166="","",Agent03_Loans!E166)</f>
        <v/>
      </c>
      <c r="F556" s="37" t="str">
        <f>IF(Agent03_Loans!B166="","",Agent03_Loans!F166)</f>
        <v/>
      </c>
      <c r="G556" s="37" t="str">
        <f>IF(Agent03_Loans!B166="","",Agent03_Loans!G166)</f>
        <v/>
      </c>
      <c r="H556" s="37" t="str">
        <f>IF(Agent03_Loans!B166="","",Agent03_Loans!H166)</f>
        <v/>
      </c>
      <c r="I556" s="40" t="str">
        <f>IF(Agent03_Loans!B166="","",Agent03_Loans!I166)</f>
        <v/>
      </c>
      <c r="J556" s="40" t="str">
        <f>IF(Agent03_Loans!B166="","",Agent03_Loans!J166)</f>
        <v/>
      </c>
      <c r="K556" s="37" t="str">
        <f>IF(Agent03_Loans!B166="","",Agent03_Loans!K166)</f>
        <v/>
      </c>
      <c r="L556" s="37" t="str">
        <f>IF(Agent03_Loans!B166="","",Agent03_Loans!L166)</f>
        <v/>
      </c>
      <c r="M556" s="37" t="str">
        <f>IFERROR(IF(Agent03_Loans!B166="","",YEAR(Agent03_Loans!D166)),"")</f>
        <v/>
      </c>
    </row>
    <row r="557" spans="1:13" ht="18" customHeight="1" x14ac:dyDescent="0.25">
      <c r="A557" s="37" t="str">
        <f>IF(Agent03_Loans!B167="","",Agent03_Loans!A167)</f>
        <v/>
      </c>
      <c r="B557" s="37" t="str">
        <f>IF(Agent03_Loans!B167="","",Agent03_Loans!B167)</f>
        <v/>
      </c>
      <c r="C557" s="37" t="str">
        <f>IF(Agent03_Loans!B167="","",Agent03_Loans!C167)</f>
        <v/>
      </c>
      <c r="D557" s="38" t="str">
        <f>IF(Agent03_Loans!B167="","",Agent03_Loans!D167)</f>
        <v/>
      </c>
      <c r="E557" s="40" t="str">
        <f>IF(Agent03_Loans!B167="","",Agent03_Loans!E167)</f>
        <v/>
      </c>
      <c r="F557" s="37" t="str">
        <f>IF(Agent03_Loans!B167="","",Agent03_Loans!F167)</f>
        <v/>
      </c>
      <c r="G557" s="37" t="str">
        <f>IF(Agent03_Loans!B167="","",Agent03_Loans!G167)</f>
        <v/>
      </c>
      <c r="H557" s="37" t="str">
        <f>IF(Agent03_Loans!B167="","",Agent03_Loans!H167)</f>
        <v/>
      </c>
      <c r="I557" s="40" t="str">
        <f>IF(Agent03_Loans!B167="","",Agent03_Loans!I167)</f>
        <v/>
      </c>
      <c r="J557" s="40" t="str">
        <f>IF(Agent03_Loans!B167="","",Agent03_Loans!J167)</f>
        <v/>
      </c>
      <c r="K557" s="37" t="str">
        <f>IF(Agent03_Loans!B167="","",Agent03_Loans!K167)</f>
        <v/>
      </c>
      <c r="L557" s="37" t="str">
        <f>IF(Agent03_Loans!B167="","",Agent03_Loans!L167)</f>
        <v/>
      </c>
      <c r="M557" s="37" t="str">
        <f>IFERROR(IF(Agent03_Loans!B167="","",YEAR(Agent03_Loans!D167)),"")</f>
        <v/>
      </c>
    </row>
    <row r="558" spans="1:13" ht="18" customHeight="1" x14ac:dyDescent="0.25">
      <c r="A558" s="37" t="str">
        <f>IF(Agent03_Loans!B168="","",Agent03_Loans!A168)</f>
        <v/>
      </c>
      <c r="B558" s="37" t="str">
        <f>IF(Agent03_Loans!B168="","",Agent03_Loans!B168)</f>
        <v/>
      </c>
      <c r="C558" s="37" t="str">
        <f>IF(Agent03_Loans!B168="","",Agent03_Loans!C168)</f>
        <v/>
      </c>
      <c r="D558" s="38" t="str">
        <f>IF(Agent03_Loans!B168="","",Agent03_Loans!D168)</f>
        <v/>
      </c>
      <c r="E558" s="40" t="str">
        <f>IF(Agent03_Loans!B168="","",Agent03_Loans!E168)</f>
        <v/>
      </c>
      <c r="F558" s="37" t="str">
        <f>IF(Agent03_Loans!B168="","",Agent03_Loans!F168)</f>
        <v/>
      </c>
      <c r="G558" s="37" t="str">
        <f>IF(Agent03_Loans!B168="","",Agent03_Loans!G168)</f>
        <v/>
      </c>
      <c r="H558" s="37" t="str">
        <f>IF(Agent03_Loans!B168="","",Agent03_Loans!H168)</f>
        <v/>
      </c>
      <c r="I558" s="40" t="str">
        <f>IF(Agent03_Loans!B168="","",Agent03_Loans!I168)</f>
        <v/>
      </c>
      <c r="J558" s="40" t="str">
        <f>IF(Agent03_Loans!B168="","",Agent03_Loans!J168)</f>
        <v/>
      </c>
      <c r="K558" s="37" t="str">
        <f>IF(Agent03_Loans!B168="","",Agent03_Loans!K168)</f>
        <v/>
      </c>
      <c r="L558" s="37" t="str">
        <f>IF(Agent03_Loans!B168="","",Agent03_Loans!L168)</f>
        <v/>
      </c>
      <c r="M558" s="37" t="str">
        <f>IFERROR(IF(Agent03_Loans!B168="","",YEAR(Agent03_Loans!D168)),"")</f>
        <v/>
      </c>
    </row>
    <row r="559" spans="1:13" ht="18" customHeight="1" x14ac:dyDescent="0.25">
      <c r="A559" s="37" t="str">
        <f>IF(Agent03_Loans!B169="","",Agent03_Loans!A169)</f>
        <v/>
      </c>
      <c r="B559" s="37" t="str">
        <f>IF(Agent03_Loans!B169="","",Agent03_Loans!B169)</f>
        <v/>
      </c>
      <c r="C559" s="37" t="str">
        <f>IF(Agent03_Loans!B169="","",Agent03_Loans!C169)</f>
        <v/>
      </c>
      <c r="D559" s="38" t="str">
        <f>IF(Agent03_Loans!B169="","",Agent03_Loans!D169)</f>
        <v/>
      </c>
      <c r="E559" s="40" t="str">
        <f>IF(Agent03_Loans!B169="","",Agent03_Loans!E169)</f>
        <v/>
      </c>
      <c r="F559" s="37" t="str">
        <f>IF(Agent03_Loans!B169="","",Agent03_Loans!F169)</f>
        <v/>
      </c>
      <c r="G559" s="37" t="str">
        <f>IF(Agent03_Loans!B169="","",Agent03_Loans!G169)</f>
        <v/>
      </c>
      <c r="H559" s="37" t="str">
        <f>IF(Agent03_Loans!B169="","",Agent03_Loans!H169)</f>
        <v/>
      </c>
      <c r="I559" s="40" t="str">
        <f>IF(Agent03_Loans!B169="","",Agent03_Loans!I169)</f>
        <v/>
      </c>
      <c r="J559" s="40" t="str">
        <f>IF(Agent03_Loans!B169="","",Agent03_Loans!J169)</f>
        <v/>
      </c>
      <c r="K559" s="37" t="str">
        <f>IF(Agent03_Loans!B169="","",Agent03_Loans!K169)</f>
        <v/>
      </c>
      <c r="L559" s="37" t="str">
        <f>IF(Agent03_Loans!B169="","",Agent03_Loans!L169)</f>
        <v/>
      </c>
      <c r="M559" s="37" t="str">
        <f>IFERROR(IF(Agent03_Loans!B169="","",YEAR(Agent03_Loans!D169)),"")</f>
        <v/>
      </c>
    </row>
    <row r="560" spans="1:13" ht="18" customHeight="1" x14ac:dyDescent="0.25">
      <c r="A560" s="37" t="str">
        <f>IF(Agent03_Loans!B170="","",Agent03_Loans!A170)</f>
        <v/>
      </c>
      <c r="B560" s="37" t="str">
        <f>IF(Agent03_Loans!B170="","",Agent03_Loans!B170)</f>
        <v/>
      </c>
      <c r="C560" s="37" t="str">
        <f>IF(Agent03_Loans!B170="","",Agent03_Loans!C170)</f>
        <v/>
      </c>
      <c r="D560" s="38" t="str">
        <f>IF(Agent03_Loans!B170="","",Agent03_Loans!D170)</f>
        <v/>
      </c>
      <c r="E560" s="40" t="str">
        <f>IF(Agent03_Loans!B170="","",Agent03_Loans!E170)</f>
        <v/>
      </c>
      <c r="F560" s="37" t="str">
        <f>IF(Agent03_Loans!B170="","",Agent03_Loans!F170)</f>
        <v/>
      </c>
      <c r="G560" s="37" t="str">
        <f>IF(Agent03_Loans!B170="","",Agent03_Loans!G170)</f>
        <v/>
      </c>
      <c r="H560" s="37" t="str">
        <f>IF(Agent03_Loans!B170="","",Agent03_Loans!H170)</f>
        <v/>
      </c>
      <c r="I560" s="40" t="str">
        <f>IF(Agent03_Loans!B170="","",Agent03_Loans!I170)</f>
        <v/>
      </c>
      <c r="J560" s="40" t="str">
        <f>IF(Agent03_Loans!B170="","",Agent03_Loans!J170)</f>
        <v/>
      </c>
      <c r="K560" s="37" t="str">
        <f>IF(Agent03_Loans!B170="","",Agent03_Loans!K170)</f>
        <v/>
      </c>
      <c r="L560" s="37" t="str">
        <f>IF(Agent03_Loans!B170="","",Agent03_Loans!L170)</f>
        <v/>
      </c>
      <c r="M560" s="37" t="str">
        <f>IFERROR(IF(Agent03_Loans!B170="","",YEAR(Agent03_Loans!D170)),"")</f>
        <v/>
      </c>
    </row>
    <row r="561" spans="1:13" ht="18" customHeight="1" x14ac:dyDescent="0.25">
      <c r="A561" s="37" t="str">
        <f>IF(Agent03_Loans!B171="","",Agent03_Loans!A171)</f>
        <v/>
      </c>
      <c r="B561" s="37" t="str">
        <f>IF(Agent03_Loans!B171="","",Agent03_Loans!B171)</f>
        <v/>
      </c>
      <c r="C561" s="37" t="str">
        <f>IF(Agent03_Loans!B171="","",Agent03_Loans!C171)</f>
        <v/>
      </c>
      <c r="D561" s="38" t="str">
        <f>IF(Agent03_Loans!B171="","",Agent03_Loans!D171)</f>
        <v/>
      </c>
      <c r="E561" s="40" t="str">
        <f>IF(Agent03_Loans!B171="","",Agent03_Loans!E171)</f>
        <v/>
      </c>
      <c r="F561" s="37" t="str">
        <f>IF(Agent03_Loans!B171="","",Agent03_Loans!F171)</f>
        <v/>
      </c>
      <c r="G561" s="37" t="str">
        <f>IF(Agent03_Loans!B171="","",Agent03_Loans!G171)</f>
        <v/>
      </c>
      <c r="H561" s="37" t="str">
        <f>IF(Agent03_Loans!B171="","",Agent03_Loans!H171)</f>
        <v/>
      </c>
      <c r="I561" s="40" t="str">
        <f>IF(Agent03_Loans!B171="","",Agent03_Loans!I171)</f>
        <v/>
      </c>
      <c r="J561" s="40" t="str">
        <f>IF(Agent03_Loans!B171="","",Agent03_Loans!J171)</f>
        <v/>
      </c>
      <c r="K561" s="37" t="str">
        <f>IF(Agent03_Loans!B171="","",Agent03_Loans!K171)</f>
        <v/>
      </c>
      <c r="L561" s="37" t="str">
        <f>IF(Agent03_Loans!B171="","",Agent03_Loans!L171)</f>
        <v/>
      </c>
      <c r="M561" s="37" t="str">
        <f>IFERROR(IF(Agent03_Loans!B171="","",YEAR(Agent03_Loans!D171)),"")</f>
        <v/>
      </c>
    </row>
    <row r="562" spans="1:13" ht="18" customHeight="1" x14ac:dyDescent="0.25">
      <c r="A562" s="37" t="str">
        <f>IF(Agent03_Loans!B172="","",Agent03_Loans!A172)</f>
        <v/>
      </c>
      <c r="B562" s="37" t="str">
        <f>IF(Agent03_Loans!B172="","",Agent03_Loans!B172)</f>
        <v/>
      </c>
      <c r="C562" s="37" t="str">
        <f>IF(Agent03_Loans!B172="","",Agent03_Loans!C172)</f>
        <v/>
      </c>
      <c r="D562" s="38" t="str">
        <f>IF(Agent03_Loans!B172="","",Agent03_Loans!D172)</f>
        <v/>
      </c>
      <c r="E562" s="40" t="str">
        <f>IF(Agent03_Loans!B172="","",Agent03_Loans!E172)</f>
        <v/>
      </c>
      <c r="F562" s="37" t="str">
        <f>IF(Agent03_Loans!B172="","",Agent03_Loans!F172)</f>
        <v/>
      </c>
      <c r="G562" s="37" t="str">
        <f>IF(Agent03_Loans!B172="","",Agent03_Loans!G172)</f>
        <v/>
      </c>
      <c r="H562" s="37" t="str">
        <f>IF(Agent03_Loans!B172="","",Agent03_Loans!H172)</f>
        <v/>
      </c>
      <c r="I562" s="40" t="str">
        <f>IF(Agent03_Loans!B172="","",Agent03_Loans!I172)</f>
        <v/>
      </c>
      <c r="J562" s="40" t="str">
        <f>IF(Agent03_Loans!B172="","",Agent03_Loans!J172)</f>
        <v/>
      </c>
      <c r="K562" s="37" t="str">
        <f>IF(Agent03_Loans!B172="","",Agent03_Loans!K172)</f>
        <v/>
      </c>
      <c r="L562" s="37" t="str">
        <f>IF(Agent03_Loans!B172="","",Agent03_Loans!L172)</f>
        <v/>
      </c>
      <c r="M562" s="37" t="str">
        <f>IFERROR(IF(Agent03_Loans!B172="","",YEAR(Agent03_Loans!D172)),"")</f>
        <v/>
      </c>
    </row>
    <row r="563" spans="1:13" ht="18" customHeight="1" x14ac:dyDescent="0.25">
      <c r="A563" s="37" t="str">
        <f>IF(Agent03_Loans!B173="","",Agent03_Loans!A173)</f>
        <v/>
      </c>
      <c r="B563" s="37" t="str">
        <f>IF(Agent03_Loans!B173="","",Agent03_Loans!B173)</f>
        <v/>
      </c>
      <c r="C563" s="37" t="str">
        <f>IF(Agent03_Loans!B173="","",Agent03_Loans!C173)</f>
        <v/>
      </c>
      <c r="D563" s="38" t="str">
        <f>IF(Agent03_Loans!B173="","",Agent03_Loans!D173)</f>
        <v/>
      </c>
      <c r="E563" s="40" t="str">
        <f>IF(Agent03_Loans!B173="","",Agent03_Loans!E173)</f>
        <v/>
      </c>
      <c r="F563" s="37" t="str">
        <f>IF(Agent03_Loans!B173="","",Agent03_Loans!F173)</f>
        <v/>
      </c>
      <c r="G563" s="37" t="str">
        <f>IF(Agent03_Loans!B173="","",Agent03_Loans!G173)</f>
        <v/>
      </c>
      <c r="H563" s="37" t="str">
        <f>IF(Agent03_Loans!B173="","",Agent03_Loans!H173)</f>
        <v/>
      </c>
      <c r="I563" s="40" t="str">
        <f>IF(Agent03_Loans!B173="","",Agent03_Loans!I173)</f>
        <v/>
      </c>
      <c r="J563" s="40" t="str">
        <f>IF(Agent03_Loans!B173="","",Agent03_Loans!J173)</f>
        <v/>
      </c>
      <c r="K563" s="37" t="str">
        <f>IF(Agent03_Loans!B173="","",Agent03_Loans!K173)</f>
        <v/>
      </c>
      <c r="L563" s="37" t="str">
        <f>IF(Agent03_Loans!B173="","",Agent03_Loans!L173)</f>
        <v/>
      </c>
      <c r="M563" s="37" t="str">
        <f>IFERROR(IF(Agent03_Loans!B173="","",YEAR(Agent03_Loans!D173)),"")</f>
        <v/>
      </c>
    </row>
    <row r="564" spans="1:13" ht="18" customHeight="1" x14ac:dyDescent="0.25">
      <c r="A564" s="37" t="str">
        <f>IF(Agent03_Loans!B174="","",Agent03_Loans!A174)</f>
        <v/>
      </c>
      <c r="B564" s="37" t="str">
        <f>IF(Agent03_Loans!B174="","",Agent03_Loans!B174)</f>
        <v/>
      </c>
      <c r="C564" s="37" t="str">
        <f>IF(Agent03_Loans!B174="","",Agent03_Loans!C174)</f>
        <v/>
      </c>
      <c r="D564" s="38" t="str">
        <f>IF(Agent03_Loans!B174="","",Agent03_Loans!D174)</f>
        <v/>
      </c>
      <c r="E564" s="40" t="str">
        <f>IF(Agent03_Loans!B174="","",Agent03_Loans!E174)</f>
        <v/>
      </c>
      <c r="F564" s="37" t="str">
        <f>IF(Agent03_Loans!B174="","",Agent03_Loans!F174)</f>
        <v/>
      </c>
      <c r="G564" s="37" t="str">
        <f>IF(Agent03_Loans!B174="","",Agent03_Loans!G174)</f>
        <v/>
      </c>
      <c r="H564" s="37" t="str">
        <f>IF(Agent03_Loans!B174="","",Agent03_Loans!H174)</f>
        <v/>
      </c>
      <c r="I564" s="40" t="str">
        <f>IF(Agent03_Loans!B174="","",Agent03_Loans!I174)</f>
        <v/>
      </c>
      <c r="J564" s="40" t="str">
        <f>IF(Agent03_Loans!B174="","",Agent03_Loans!J174)</f>
        <v/>
      </c>
      <c r="K564" s="37" t="str">
        <f>IF(Agent03_Loans!B174="","",Agent03_Loans!K174)</f>
        <v/>
      </c>
      <c r="L564" s="37" t="str">
        <f>IF(Agent03_Loans!B174="","",Agent03_Loans!L174)</f>
        <v/>
      </c>
      <c r="M564" s="37" t="str">
        <f>IFERROR(IF(Agent03_Loans!B174="","",YEAR(Agent03_Loans!D174)),"")</f>
        <v/>
      </c>
    </row>
    <row r="565" spans="1:13" ht="18" customHeight="1" x14ac:dyDescent="0.25">
      <c r="A565" s="37" t="str">
        <f>IF(Agent03_Loans!B175="","",Agent03_Loans!A175)</f>
        <v/>
      </c>
      <c r="B565" s="37" t="str">
        <f>IF(Agent03_Loans!B175="","",Agent03_Loans!B175)</f>
        <v/>
      </c>
      <c r="C565" s="37" t="str">
        <f>IF(Agent03_Loans!B175="","",Agent03_Loans!C175)</f>
        <v/>
      </c>
      <c r="D565" s="38" t="str">
        <f>IF(Agent03_Loans!B175="","",Agent03_Loans!D175)</f>
        <v/>
      </c>
      <c r="E565" s="40" t="str">
        <f>IF(Agent03_Loans!B175="","",Agent03_Loans!E175)</f>
        <v/>
      </c>
      <c r="F565" s="37" t="str">
        <f>IF(Agent03_Loans!B175="","",Agent03_Loans!F175)</f>
        <v/>
      </c>
      <c r="G565" s="37" t="str">
        <f>IF(Agent03_Loans!B175="","",Agent03_Loans!G175)</f>
        <v/>
      </c>
      <c r="H565" s="37" t="str">
        <f>IF(Agent03_Loans!B175="","",Agent03_Loans!H175)</f>
        <v/>
      </c>
      <c r="I565" s="40" t="str">
        <f>IF(Agent03_Loans!B175="","",Agent03_Loans!I175)</f>
        <v/>
      </c>
      <c r="J565" s="40" t="str">
        <f>IF(Agent03_Loans!B175="","",Agent03_Loans!J175)</f>
        <v/>
      </c>
      <c r="K565" s="37" t="str">
        <f>IF(Agent03_Loans!B175="","",Agent03_Loans!K175)</f>
        <v/>
      </c>
      <c r="L565" s="37" t="str">
        <f>IF(Agent03_Loans!B175="","",Agent03_Loans!L175)</f>
        <v/>
      </c>
      <c r="M565" s="37" t="str">
        <f>IFERROR(IF(Agent03_Loans!B175="","",YEAR(Agent03_Loans!D175)),"")</f>
        <v/>
      </c>
    </row>
    <row r="566" spans="1:13" ht="18" customHeight="1" x14ac:dyDescent="0.25">
      <c r="A566" s="37" t="str">
        <f>IF(Agent03_Loans!B176="","",Agent03_Loans!A176)</f>
        <v/>
      </c>
      <c r="B566" s="37" t="str">
        <f>IF(Agent03_Loans!B176="","",Agent03_Loans!B176)</f>
        <v/>
      </c>
      <c r="C566" s="37" t="str">
        <f>IF(Agent03_Loans!B176="","",Agent03_Loans!C176)</f>
        <v/>
      </c>
      <c r="D566" s="38" t="str">
        <f>IF(Agent03_Loans!B176="","",Agent03_Loans!D176)</f>
        <v/>
      </c>
      <c r="E566" s="40" t="str">
        <f>IF(Agent03_Loans!B176="","",Agent03_Loans!E176)</f>
        <v/>
      </c>
      <c r="F566" s="37" t="str">
        <f>IF(Agent03_Loans!B176="","",Agent03_Loans!F176)</f>
        <v/>
      </c>
      <c r="G566" s="37" t="str">
        <f>IF(Agent03_Loans!B176="","",Agent03_Loans!G176)</f>
        <v/>
      </c>
      <c r="H566" s="37" t="str">
        <f>IF(Agent03_Loans!B176="","",Agent03_Loans!H176)</f>
        <v/>
      </c>
      <c r="I566" s="40" t="str">
        <f>IF(Agent03_Loans!B176="","",Agent03_Loans!I176)</f>
        <v/>
      </c>
      <c r="J566" s="40" t="str">
        <f>IF(Agent03_Loans!B176="","",Agent03_Loans!J176)</f>
        <v/>
      </c>
      <c r="K566" s="37" t="str">
        <f>IF(Agent03_Loans!B176="","",Agent03_Loans!K176)</f>
        <v/>
      </c>
      <c r="L566" s="37" t="str">
        <f>IF(Agent03_Loans!B176="","",Agent03_Loans!L176)</f>
        <v/>
      </c>
      <c r="M566" s="37" t="str">
        <f>IFERROR(IF(Agent03_Loans!B176="","",YEAR(Agent03_Loans!D176)),"")</f>
        <v/>
      </c>
    </row>
    <row r="567" spans="1:13" ht="18" customHeight="1" x14ac:dyDescent="0.25">
      <c r="A567" s="37" t="str">
        <f>IF(Agent03_Loans!B177="","",Agent03_Loans!A177)</f>
        <v/>
      </c>
      <c r="B567" s="37" t="str">
        <f>IF(Agent03_Loans!B177="","",Agent03_Loans!B177)</f>
        <v/>
      </c>
      <c r="C567" s="37" t="str">
        <f>IF(Agent03_Loans!B177="","",Agent03_Loans!C177)</f>
        <v/>
      </c>
      <c r="D567" s="38" t="str">
        <f>IF(Agent03_Loans!B177="","",Agent03_Loans!D177)</f>
        <v/>
      </c>
      <c r="E567" s="40" t="str">
        <f>IF(Agent03_Loans!B177="","",Agent03_Loans!E177)</f>
        <v/>
      </c>
      <c r="F567" s="37" t="str">
        <f>IF(Agent03_Loans!B177="","",Agent03_Loans!F177)</f>
        <v/>
      </c>
      <c r="G567" s="37" t="str">
        <f>IF(Agent03_Loans!B177="","",Agent03_Loans!G177)</f>
        <v/>
      </c>
      <c r="H567" s="37" t="str">
        <f>IF(Agent03_Loans!B177="","",Agent03_Loans!H177)</f>
        <v/>
      </c>
      <c r="I567" s="40" t="str">
        <f>IF(Agent03_Loans!B177="","",Agent03_Loans!I177)</f>
        <v/>
      </c>
      <c r="J567" s="40" t="str">
        <f>IF(Agent03_Loans!B177="","",Agent03_Loans!J177)</f>
        <v/>
      </c>
      <c r="K567" s="37" t="str">
        <f>IF(Agent03_Loans!B177="","",Agent03_Loans!K177)</f>
        <v/>
      </c>
      <c r="L567" s="37" t="str">
        <f>IF(Agent03_Loans!B177="","",Agent03_Loans!L177)</f>
        <v/>
      </c>
      <c r="M567" s="37" t="str">
        <f>IFERROR(IF(Agent03_Loans!B177="","",YEAR(Agent03_Loans!D177)),"")</f>
        <v/>
      </c>
    </row>
    <row r="568" spans="1:13" ht="18" customHeight="1" x14ac:dyDescent="0.25">
      <c r="A568" s="37" t="str">
        <f>IF(Agent03_Loans!B178="","",Agent03_Loans!A178)</f>
        <v/>
      </c>
      <c r="B568" s="37" t="str">
        <f>IF(Agent03_Loans!B178="","",Agent03_Loans!B178)</f>
        <v/>
      </c>
      <c r="C568" s="37" t="str">
        <f>IF(Agent03_Loans!B178="","",Agent03_Loans!C178)</f>
        <v/>
      </c>
      <c r="D568" s="38" t="str">
        <f>IF(Agent03_Loans!B178="","",Agent03_Loans!D178)</f>
        <v/>
      </c>
      <c r="E568" s="40" t="str">
        <f>IF(Agent03_Loans!B178="","",Agent03_Loans!E178)</f>
        <v/>
      </c>
      <c r="F568" s="37" t="str">
        <f>IF(Agent03_Loans!B178="","",Agent03_Loans!F178)</f>
        <v/>
      </c>
      <c r="G568" s="37" t="str">
        <f>IF(Agent03_Loans!B178="","",Agent03_Loans!G178)</f>
        <v/>
      </c>
      <c r="H568" s="37" t="str">
        <f>IF(Agent03_Loans!B178="","",Agent03_Loans!H178)</f>
        <v/>
      </c>
      <c r="I568" s="40" t="str">
        <f>IF(Agent03_Loans!B178="","",Agent03_Loans!I178)</f>
        <v/>
      </c>
      <c r="J568" s="40" t="str">
        <f>IF(Agent03_Loans!B178="","",Agent03_Loans!J178)</f>
        <v/>
      </c>
      <c r="K568" s="37" t="str">
        <f>IF(Agent03_Loans!B178="","",Agent03_Loans!K178)</f>
        <v/>
      </c>
      <c r="L568" s="37" t="str">
        <f>IF(Agent03_Loans!B178="","",Agent03_Loans!L178)</f>
        <v/>
      </c>
      <c r="M568" s="37" t="str">
        <f>IFERROR(IF(Agent03_Loans!B178="","",YEAR(Agent03_Loans!D178)),"")</f>
        <v/>
      </c>
    </row>
    <row r="569" spans="1:13" ht="18" customHeight="1" x14ac:dyDescent="0.25">
      <c r="A569" s="37" t="str">
        <f>IF(Agent03_Loans!B179="","",Agent03_Loans!A179)</f>
        <v/>
      </c>
      <c r="B569" s="37" t="str">
        <f>IF(Agent03_Loans!B179="","",Agent03_Loans!B179)</f>
        <v/>
      </c>
      <c r="C569" s="37" t="str">
        <f>IF(Agent03_Loans!B179="","",Agent03_Loans!C179)</f>
        <v/>
      </c>
      <c r="D569" s="38" t="str">
        <f>IF(Agent03_Loans!B179="","",Agent03_Loans!D179)</f>
        <v/>
      </c>
      <c r="E569" s="40" t="str">
        <f>IF(Agent03_Loans!B179="","",Agent03_Loans!E179)</f>
        <v/>
      </c>
      <c r="F569" s="37" t="str">
        <f>IF(Agent03_Loans!B179="","",Agent03_Loans!F179)</f>
        <v/>
      </c>
      <c r="G569" s="37" t="str">
        <f>IF(Agent03_Loans!B179="","",Agent03_Loans!G179)</f>
        <v/>
      </c>
      <c r="H569" s="37" t="str">
        <f>IF(Agent03_Loans!B179="","",Agent03_Loans!H179)</f>
        <v/>
      </c>
      <c r="I569" s="40" t="str">
        <f>IF(Agent03_Loans!B179="","",Agent03_Loans!I179)</f>
        <v/>
      </c>
      <c r="J569" s="40" t="str">
        <f>IF(Agent03_Loans!B179="","",Agent03_Loans!J179)</f>
        <v/>
      </c>
      <c r="K569" s="37" t="str">
        <f>IF(Agent03_Loans!B179="","",Agent03_Loans!K179)</f>
        <v/>
      </c>
      <c r="L569" s="37" t="str">
        <f>IF(Agent03_Loans!B179="","",Agent03_Loans!L179)</f>
        <v/>
      </c>
      <c r="M569" s="37" t="str">
        <f>IFERROR(IF(Agent03_Loans!B179="","",YEAR(Agent03_Loans!D179)),"")</f>
        <v/>
      </c>
    </row>
    <row r="570" spans="1:13" ht="18" customHeight="1" x14ac:dyDescent="0.25">
      <c r="A570" s="37" t="str">
        <f>IF(Agent03_Loans!B180="","",Agent03_Loans!A180)</f>
        <v/>
      </c>
      <c r="B570" s="37" t="str">
        <f>IF(Agent03_Loans!B180="","",Agent03_Loans!B180)</f>
        <v/>
      </c>
      <c r="C570" s="37" t="str">
        <f>IF(Agent03_Loans!B180="","",Agent03_Loans!C180)</f>
        <v/>
      </c>
      <c r="D570" s="38" t="str">
        <f>IF(Agent03_Loans!B180="","",Agent03_Loans!D180)</f>
        <v/>
      </c>
      <c r="E570" s="40" t="str">
        <f>IF(Agent03_Loans!B180="","",Agent03_Loans!E180)</f>
        <v/>
      </c>
      <c r="F570" s="37" t="str">
        <f>IF(Agent03_Loans!B180="","",Agent03_Loans!F180)</f>
        <v/>
      </c>
      <c r="G570" s="37" t="str">
        <f>IF(Agent03_Loans!B180="","",Agent03_Loans!G180)</f>
        <v/>
      </c>
      <c r="H570" s="37" t="str">
        <f>IF(Agent03_Loans!B180="","",Agent03_Loans!H180)</f>
        <v/>
      </c>
      <c r="I570" s="40" t="str">
        <f>IF(Agent03_Loans!B180="","",Agent03_Loans!I180)</f>
        <v/>
      </c>
      <c r="J570" s="40" t="str">
        <f>IF(Agent03_Loans!B180="","",Agent03_Loans!J180)</f>
        <v/>
      </c>
      <c r="K570" s="37" t="str">
        <f>IF(Agent03_Loans!B180="","",Agent03_Loans!K180)</f>
        <v/>
      </c>
      <c r="L570" s="37" t="str">
        <f>IF(Agent03_Loans!B180="","",Agent03_Loans!L180)</f>
        <v/>
      </c>
      <c r="M570" s="37" t="str">
        <f>IFERROR(IF(Agent03_Loans!B180="","",YEAR(Agent03_Loans!D180)),"")</f>
        <v/>
      </c>
    </row>
    <row r="571" spans="1:13" ht="18" customHeight="1" x14ac:dyDescent="0.25">
      <c r="A571" s="37" t="str">
        <f>IF(Agent03_Loans!B181="","",Agent03_Loans!A181)</f>
        <v/>
      </c>
      <c r="B571" s="37" t="str">
        <f>IF(Agent03_Loans!B181="","",Agent03_Loans!B181)</f>
        <v/>
      </c>
      <c r="C571" s="37" t="str">
        <f>IF(Agent03_Loans!B181="","",Agent03_Loans!C181)</f>
        <v/>
      </c>
      <c r="D571" s="38" t="str">
        <f>IF(Agent03_Loans!B181="","",Agent03_Loans!D181)</f>
        <v/>
      </c>
      <c r="E571" s="40" t="str">
        <f>IF(Agent03_Loans!B181="","",Agent03_Loans!E181)</f>
        <v/>
      </c>
      <c r="F571" s="37" t="str">
        <f>IF(Agent03_Loans!B181="","",Agent03_Loans!F181)</f>
        <v/>
      </c>
      <c r="G571" s="37" t="str">
        <f>IF(Agent03_Loans!B181="","",Agent03_Loans!G181)</f>
        <v/>
      </c>
      <c r="H571" s="37" t="str">
        <f>IF(Agent03_Loans!B181="","",Agent03_Loans!H181)</f>
        <v/>
      </c>
      <c r="I571" s="40" t="str">
        <f>IF(Agent03_Loans!B181="","",Agent03_Loans!I181)</f>
        <v/>
      </c>
      <c r="J571" s="40" t="str">
        <f>IF(Agent03_Loans!B181="","",Agent03_Loans!J181)</f>
        <v/>
      </c>
      <c r="K571" s="37" t="str">
        <f>IF(Agent03_Loans!B181="","",Agent03_Loans!K181)</f>
        <v/>
      </c>
      <c r="L571" s="37" t="str">
        <f>IF(Agent03_Loans!B181="","",Agent03_Loans!L181)</f>
        <v/>
      </c>
      <c r="M571" s="37" t="str">
        <f>IFERROR(IF(Agent03_Loans!B181="","",YEAR(Agent03_Loans!D181)),"")</f>
        <v/>
      </c>
    </row>
    <row r="572" spans="1:13" ht="18" customHeight="1" x14ac:dyDescent="0.25">
      <c r="A572" s="37" t="str">
        <f>IF(Agent03_Loans!B182="","",Agent03_Loans!A182)</f>
        <v/>
      </c>
      <c r="B572" s="37" t="str">
        <f>IF(Agent03_Loans!B182="","",Agent03_Loans!B182)</f>
        <v/>
      </c>
      <c r="C572" s="37" t="str">
        <f>IF(Agent03_Loans!B182="","",Agent03_Loans!C182)</f>
        <v/>
      </c>
      <c r="D572" s="38" t="str">
        <f>IF(Agent03_Loans!B182="","",Agent03_Loans!D182)</f>
        <v/>
      </c>
      <c r="E572" s="40" t="str">
        <f>IF(Agent03_Loans!B182="","",Agent03_Loans!E182)</f>
        <v/>
      </c>
      <c r="F572" s="37" t="str">
        <f>IF(Agent03_Loans!B182="","",Agent03_Loans!F182)</f>
        <v/>
      </c>
      <c r="G572" s="37" t="str">
        <f>IF(Agent03_Loans!B182="","",Agent03_Loans!G182)</f>
        <v/>
      </c>
      <c r="H572" s="37" t="str">
        <f>IF(Agent03_Loans!B182="","",Agent03_Loans!H182)</f>
        <v/>
      </c>
      <c r="I572" s="40" t="str">
        <f>IF(Agent03_Loans!B182="","",Agent03_Loans!I182)</f>
        <v/>
      </c>
      <c r="J572" s="40" t="str">
        <f>IF(Agent03_Loans!B182="","",Agent03_Loans!J182)</f>
        <v/>
      </c>
      <c r="K572" s="37" t="str">
        <f>IF(Agent03_Loans!B182="","",Agent03_Loans!K182)</f>
        <v/>
      </c>
      <c r="L572" s="37" t="str">
        <f>IF(Agent03_Loans!B182="","",Agent03_Loans!L182)</f>
        <v/>
      </c>
      <c r="M572" s="37" t="str">
        <f>IFERROR(IF(Agent03_Loans!B182="","",YEAR(Agent03_Loans!D182)),"")</f>
        <v/>
      </c>
    </row>
    <row r="573" spans="1:13" ht="18" customHeight="1" x14ac:dyDescent="0.25">
      <c r="A573" s="37" t="str">
        <f>IF(Agent03_Loans!B183="","",Agent03_Loans!A183)</f>
        <v/>
      </c>
      <c r="B573" s="37" t="str">
        <f>IF(Agent03_Loans!B183="","",Agent03_Loans!B183)</f>
        <v/>
      </c>
      <c r="C573" s="37" t="str">
        <f>IF(Agent03_Loans!B183="","",Agent03_Loans!C183)</f>
        <v/>
      </c>
      <c r="D573" s="38" t="str">
        <f>IF(Agent03_Loans!B183="","",Agent03_Loans!D183)</f>
        <v/>
      </c>
      <c r="E573" s="40" t="str">
        <f>IF(Agent03_Loans!B183="","",Agent03_Loans!E183)</f>
        <v/>
      </c>
      <c r="F573" s="37" t="str">
        <f>IF(Agent03_Loans!B183="","",Agent03_Loans!F183)</f>
        <v/>
      </c>
      <c r="G573" s="37" t="str">
        <f>IF(Agent03_Loans!B183="","",Agent03_Loans!G183)</f>
        <v/>
      </c>
      <c r="H573" s="37" t="str">
        <f>IF(Agent03_Loans!B183="","",Agent03_Loans!H183)</f>
        <v/>
      </c>
      <c r="I573" s="40" t="str">
        <f>IF(Agent03_Loans!B183="","",Agent03_Loans!I183)</f>
        <v/>
      </c>
      <c r="J573" s="40" t="str">
        <f>IF(Agent03_Loans!B183="","",Agent03_Loans!J183)</f>
        <v/>
      </c>
      <c r="K573" s="37" t="str">
        <f>IF(Agent03_Loans!B183="","",Agent03_Loans!K183)</f>
        <v/>
      </c>
      <c r="L573" s="37" t="str">
        <f>IF(Agent03_Loans!B183="","",Agent03_Loans!L183)</f>
        <v/>
      </c>
      <c r="M573" s="37" t="str">
        <f>IFERROR(IF(Agent03_Loans!B183="","",YEAR(Agent03_Loans!D183)),"")</f>
        <v/>
      </c>
    </row>
    <row r="574" spans="1:13" ht="18" customHeight="1" x14ac:dyDescent="0.25">
      <c r="A574" s="37" t="str">
        <f>IF(Agent03_Loans!B184="","",Agent03_Loans!A184)</f>
        <v/>
      </c>
      <c r="B574" s="37" t="str">
        <f>IF(Agent03_Loans!B184="","",Agent03_Loans!B184)</f>
        <v/>
      </c>
      <c r="C574" s="37" t="str">
        <f>IF(Agent03_Loans!B184="","",Agent03_Loans!C184)</f>
        <v/>
      </c>
      <c r="D574" s="38" t="str">
        <f>IF(Agent03_Loans!B184="","",Agent03_Loans!D184)</f>
        <v/>
      </c>
      <c r="E574" s="40" t="str">
        <f>IF(Agent03_Loans!B184="","",Agent03_Loans!E184)</f>
        <v/>
      </c>
      <c r="F574" s="37" t="str">
        <f>IF(Agent03_Loans!B184="","",Agent03_Loans!F184)</f>
        <v/>
      </c>
      <c r="G574" s="37" t="str">
        <f>IF(Agent03_Loans!B184="","",Agent03_Loans!G184)</f>
        <v/>
      </c>
      <c r="H574" s="37" t="str">
        <f>IF(Agent03_Loans!B184="","",Agent03_Loans!H184)</f>
        <v/>
      </c>
      <c r="I574" s="40" t="str">
        <f>IF(Agent03_Loans!B184="","",Agent03_Loans!I184)</f>
        <v/>
      </c>
      <c r="J574" s="40" t="str">
        <f>IF(Agent03_Loans!B184="","",Agent03_Loans!J184)</f>
        <v/>
      </c>
      <c r="K574" s="37" t="str">
        <f>IF(Agent03_Loans!B184="","",Agent03_Loans!K184)</f>
        <v/>
      </c>
      <c r="L574" s="37" t="str">
        <f>IF(Agent03_Loans!B184="","",Agent03_Loans!L184)</f>
        <v/>
      </c>
      <c r="M574" s="37" t="str">
        <f>IFERROR(IF(Agent03_Loans!B184="","",YEAR(Agent03_Loans!D184)),"")</f>
        <v/>
      </c>
    </row>
    <row r="575" spans="1:13" ht="18" customHeight="1" x14ac:dyDescent="0.25">
      <c r="A575" s="37" t="str">
        <f>IF(Agent03_Loans!B185="","",Agent03_Loans!A185)</f>
        <v/>
      </c>
      <c r="B575" s="37" t="str">
        <f>IF(Agent03_Loans!B185="","",Agent03_Loans!B185)</f>
        <v/>
      </c>
      <c r="C575" s="37" t="str">
        <f>IF(Agent03_Loans!B185="","",Agent03_Loans!C185)</f>
        <v/>
      </c>
      <c r="D575" s="38" t="str">
        <f>IF(Agent03_Loans!B185="","",Agent03_Loans!D185)</f>
        <v/>
      </c>
      <c r="E575" s="40" t="str">
        <f>IF(Agent03_Loans!B185="","",Agent03_Loans!E185)</f>
        <v/>
      </c>
      <c r="F575" s="37" t="str">
        <f>IF(Agent03_Loans!B185="","",Agent03_Loans!F185)</f>
        <v/>
      </c>
      <c r="G575" s="37" t="str">
        <f>IF(Agent03_Loans!B185="","",Agent03_Loans!G185)</f>
        <v/>
      </c>
      <c r="H575" s="37" t="str">
        <f>IF(Agent03_Loans!B185="","",Agent03_Loans!H185)</f>
        <v/>
      </c>
      <c r="I575" s="40" t="str">
        <f>IF(Agent03_Loans!B185="","",Agent03_Loans!I185)</f>
        <v/>
      </c>
      <c r="J575" s="40" t="str">
        <f>IF(Agent03_Loans!B185="","",Agent03_Loans!J185)</f>
        <v/>
      </c>
      <c r="K575" s="37" t="str">
        <f>IF(Agent03_Loans!B185="","",Agent03_Loans!K185)</f>
        <v/>
      </c>
      <c r="L575" s="37" t="str">
        <f>IF(Agent03_Loans!B185="","",Agent03_Loans!L185)</f>
        <v/>
      </c>
      <c r="M575" s="37" t="str">
        <f>IFERROR(IF(Agent03_Loans!B185="","",YEAR(Agent03_Loans!D185)),"")</f>
        <v/>
      </c>
    </row>
    <row r="576" spans="1:13" ht="18" customHeight="1" x14ac:dyDescent="0.25">
      <c r="A576" s="37" t="str">
        <f>IF(Agent03_Loans!B186="","",Agent03_Loans!A186)</f>
        <v/>
      </c>
      <c r="B576" s="37" t="str">
        <f>IF(Agent03_Loans!B186="","",Agent03_Loans!B186)</f>
        <v/>
      </c>
      <c r="C576" s="37" t="str">
        <f>IF(Agent03_Loans!B186="","",Agent03_Loans!C186)</f>
        <v/>
      </c>
      <c r="D576" s="38" t="str">
        <f>IF(Agent03_Loans!B186="","",Agent03_Loans!D186)</f>
        <v/>
      </c>
      <c r="E576" s="40" t="str">
        <f>IF(Agent03_Loans!B186="","",Agent03_Loans!E186)</f>
        <v/>
      </c>
      <c r="F576" s="37" t="str">
        <f>IF(Agent03_Loans!B186="","",Agent03_Loans!F186)</f>
        <v/>
      </c>
      <c r="G576" s="37" t="str">
        <f>IF(Agent03_Loans!B186="","",Agent03_Loans!G186)</f>
        <v/>
      </c>
      <c r="H576" s="37" t="str">
        <f>IF(Agent03_Loans!B186="","",Agent03_Loans!H186)</f>
        <v/>
      </c>
      <c r="I576" s="40" t="str">
        <f>IF(Agent03_Loans!B186="","",Agent03_Loans!I186)</f>
        <v/>
      </c>
      <c r="J576" s="40" t="str">
        <f>IF(Agent03_Loans!B186="","",Agent03_Loans!J186)</f>
        <v/>
      </c>
      <c r="K576" s="37" t="str">
        <f>IF(Agent03_Loans!B186="","",Agent03_Loans!K186)</f>
        <v/>
      </c>
      <c r="L576" s="37" t="str">
        <f>IF(Agent03_Loans!B186="","",Agent03_Loans!L186)</f>
        <v/>
      </c>
      <c r="M576" s="37" t="str">
        <f>IFERROR(IF(Agent03_Loans!B186="","",YEAR(Agent03_Loans!D186)),"")</f>
        <v/>
      </c>
    </row>
    <row r="577" spans="1:13" ht="18" customHeight="1" x14ac:dyDescent="0.25">
      <c r="A577" s="37" t="str">
        <f>IF(Agent03_Loans!B187="","",Agent03_Loans!A187)</f>
        <v/>
      </c>
      <c r="B577" s="37" t="str">
        <f>IF(Agent03_Loans!B187="","",Agent03_Loans!B187)</f>
        <v/>
      </c>
      <c r="C577" s="37" t="str">
        <f>IF(Agent03_Loans!B187="","",Agent03_Loans!C187)</f>
        <v/>
      </c>
      <c r="D577" s="38" t="str">
        <f>IF(Agent03_Loans!B187="","",Agent03_Loans!D187)</f>
        <v/>
      </c>
      <c r="E577" s="40" t="str">
        <f>IF(Agent03_Loans!B187="","",Agent03_Loans!E187)</f>
        <v/>
      </c>
      <c r="F577" s="37" t="str">
        <f>IF(Agent03_Loans!B187="","",Agent03_Loans!F187)</f>
        <v/>
      </c>
      <c r="G577" s="37" t="str">
        <f>IF(Agent03_Loans!B187="","",Agent03_Loans!G187)</f>
        <v/>
      </c>
      <c r="H577" s="37" t="str">
        <f>IF(Agent03_Loans!B187="","",Agent03_Loans!H187)</f>
        <v/>
      </c>
      <c r="I577" s="40" t="str">
        <f>IF(Agent03_Loans!B187="","",Agent03_Loans!I187)</f>
        <v/>
      </c>
      <c r="J577" s="40" t="str">
        <f>IF(Agent03_Loans!B187="","",Agent03_Loans!J187)</f>
        <v/>
      </c>
      <c r="K577" s="37" t="str">
        <f>IF(Agent03_Loans!B187="","",Agent03_Loans!K187)</f>
        <v/>
      </c>
      <c r="L577" s="37" t="str">
        <f>IF(Agent03_Loans!B187="","",Agent03_Loans!L187)</f>
        <v/>
      </c>
      <c r="M577" s="37" t="str">
        <f>IFERROR(IF(Agent03_Loans!B187="","",YEAR(Agent03_Loans!D187)),"")</f>
        <v/>
      </c>
    </row>
    <row r="578" spans="1:13" ht="18" customHeight="1" x14ac:dyDescent="0.25">
      <c r="A578" s="37" t="str">
        <f>IF(Agent03_Loans!B188="","",Agent03_Loans!A188)</f>
        <v/>
      </c>
      <c r="B578" s="37" t="str">
        <f>IF(Agent03_Loans!B188="","",Agent03_Loans!B188)</f>
        <v/>
      </c>
      <c r="C578" s="37" t="str">
        <f>IF(Agent03_Loans!B188="","",Agent03_Loans!C188)</f>
        <v/>
      </c>
      <c r="D578" s="38" t="str">
        <f>IF(Agent03_Loans!B188="","",Agent03_Loans!D188)</f>
        <v/>
      </c>
      <c r="E578" s="40" t="str">
        <f>IF(Agent03_Loans!B188="","",Agent03_Loans!E188)</f>
        <v/>
      </c>
      <c r="F578" s="37" t="str">
        <f>IF(Agent03_Loans!B188="","",Agent03_Loans!F188)</f>
        <v/>
      </c>
      <c r="G578" s="37" t="str">
        <f>IF(Agent03_Loans!B188="","",Agent03_Loans!G188)</f>
        <v/>
      </c>
      <c r="H578" s="37" t="str">
        <f>IF(Agent03_Loans!B188="","",Agent03_Loans!H188)</f>
        <v/>
      </c>
      <c r="I578" s="40" t="str">
        <f>IF(Agent03_Loans!B188="","",Agent03_Loans!I188)</f>
        <v/>
      </c>
      <c r="J578" s="40" t="str">
        <f>IF(Agent03_Loans!B188="","",Agent03_Loans!J188)</f>
        <v/>
      </c>
      <c r="K578" s="37" t="str">
        <f>IF(Agent03_Loans!B188="","",Agent03_Loans!K188)</f>
        <v/>
      </c>
      <c r="L578" s="37" t="str">
        <f>IF(Agent03_Loans!B188="","",Agent03_Loans!L188)</f>
        <v/>
      </c>
      <c r="M578" s="37" t="str">
        <f>IFERROR(IF(Agent03_Loans!B188="","",YEAR(Agent03_Loans!D188)),"")</f>
        <v/>
      </c>
    </row>
    <row r="579" spans="1:13" ht="18" customHeight="1" x14ac:dyDescent="0.25">
      <c r="A579" s="37" t="str">
        <f>IF(Agent03_Loans!B189="","",Agent03_Loans!A189)</f>
        <v/>
      </c>
      <c r="B579" s="37" t="str">
        <f>IF(Agent03_Loans!B189="","",Agent03_Loans!B189)</f>
        <v/>
      </c>
      <c r="C579" s="37" t="str">
        <f>IF(Agent03_Loans!B189="","",Agent03_Loans!C189)</f>
        <v/>
      </c>
      <c r="D579" s="38" t="str">
        <f>IF(Agent03_Loans!B189="","",Agent03_Loans!D189)</f>
        <v/>
      </c>
      <c r="E579" s="40" t="str">
        <f>IF(Agent03_Loans!B189="","",Agent03_Loans!E189)</f>
        <v/>
      </c>
      <c r="F579" s="37" t="str">
        <f>IF(Agent03_Loans!B189="","",Agent03_Loans!F189)</f>
        <v/>
      </c>
      <c r="G579" s="37" t="str">
        <f>IF(Agent03_Loans!B189="","",Agent03_Loans!G189)</f>
        <v/>
      </c>
      <c r="H579" s="37" t="str">
        <f>IF(Agent03_Loans!B189="","",Agent03_Loans!H189)</f>
        <v/>
      </c>
      <c r="I579" s="40" t="str">
        <f>IF(Agent03_Loans!B189="","",Agent03_Loans!I189)</f>
        <v/>
      </c>
      <c r="J579" s="40" t="str">
        <f>IF(Agent03_Loans!B189="","",Agent03_Loans!J189)</f>
        <v/>
      </c>
      <c r="K579" s="37" t="str">
        <f>IF(Agent03_Loans!B189="","",Agent03_Loans!K189)</f>
        <v/>
      </c>
      <c r="L579" s="37" t="str">
        <f>IF(Agent03_Loans!B189="","",Agent03_Loans!L189)</f>
        <v/>
      </c>
      <c r="M579" s="37" t="str">
        <f>IFERROR(IF(Agent03_Loans!B189="","",YEAR(Agent03_Loans!D189)),"")</f>
        <v/>
      </c>
    </row>
    <row r="580" spans="1:13" ht="18" customHeight="1" x14ac:dyDescent="0.25">
      <c r="A580" s="37" t="str">
        <f>IF(Agent03_Loans!B190="","",Agent03_Loans!A190)</f>
        <v/>
      </c>
      <c r="B580" s="37" t="str">
        <f>IF(Agent03_Loans!B190="","",Agent03_Loans!B190)</f>
        <v/>
      </c>
      <c r="C580" s="37" t="str">
        <f>IF(Agent03_Loans!B190="","",Agent03_Loans!C190)</f>
        <v/>
      </c>
      <c r="D580" s="38" t="str">
        <f>IF(Agent03_Loans!B190="","",Agent03_Loans!D190)</f>
        <v/>
      </c>
      <c r="E580" s="40" t="str">
        <f>IF(Agent03_Loans!B190="","",Agent03_Loans!E190)</f>
        <v/>
      </c>
      <c r="F580" s="37" t="str">
        <f>IF(Agent03_Loans!B190="","",Agent03_Loans!F190)</f>
        <v/>
      </c>
      <c r="G580" s="37" t="str">
        <f>IF(Agent03_Loans!B190="","",Agent03_Loans!G190)</f>
        <v/>
      </c>
      <c r="H580" s="37" t="str">
        <f>IF(Agent03_Loans!B190="","",Agent03_Loans!H190)</f>
        <v/>
      </c>
      <c r="I580" s="40" t="str">
        <f>IF(Agent03_Loans!B190="","",Agent03_Loans!I190)</f>
        <v/>
      </c>
      <c r="J580" s="40" t="str">
        <f>IF(Agent03_Loans!B190="","",Agent03_Loans!J190)</f>
        <v/>
      </c>
      <c r="K580" s="37" t="str">
        <f>IF(Agent03_Loans!B190="","",Agent03_Loans!K190)</f>
        <v/>
      </c>
      <c r="L580" s="37" t="str">
        <f>IF(Agent03_Loans!B190="","",Agent03_Loans!L190)</f>
        <v/>
      </c>
      <c r="M580" s="37" t="str">
        <f>IFERROR(IF(Agent03_Loans!B190="","",YEAR(Agent03_Loans!D190)),"")</f>
        <v/>
      </c>
    </row>
    <row r="581" spans="1:13" ht="18" customHeight="1" x14ac:dyDescent="0.25">
      <c r="A581" s="37" t="str">
        <f>IF(Agent03_Loans!B191="","",Agent03_Loans!A191)</f>
        <v/>
      </c>
      <c r="B581" s="37" t="str">
        <f>IF(Agent03_Loans!B191="","",Agent03_Loans!B191)</f>
        <v/>
      </c>
      <c r="C581" s="37" t="str">
        <f>IF(Agent03_Loans!B191="","",Agent03_Loans!C191)</f>
        <v/>
      </c>
      <c r="D581" s="38" t="str">
        <f>IF(Agent03_Loans!B191="","",Agent03_Loans!D191)</f>
        <v/>
      </c>
      <c r="E581" s="40" t="str">
        <f>IF(Agent03_Loans!B191="","",Agent03_Loans!E191)</f>
        <v/>
      </c>
      <c r="F581" s="37" t="str">
        <f>IF(Agent03_Loans!B191="","",Agent03_Loans!F191)</f>
        <v/>
      </c>
      <c r="G581" s="37" t="str">
        <f>IF(Agent03_Loans!B191="","",Agent03_Loans!G191)</f>
        <v/>
      </c>
      <c r="H581" s="37" t="str">
        <f>IF(Agent03_Loans!B191="","",Agent03_Loans!H191)</f>
        <v/>
      </c>
      <c r="I581" s="40" t="str">
        <f>IF(Agent03_Loans!B191="","",Agent03_Loans!I191)</f>
        <v/>
      </c>
      <c r="J581" s="40" t="str">
        <f>IF(Agent03_Loans!B191="","",Agent03_Loans!J191)</f>
        <v/>
      </c>
      <c r="K581" s="37" t="str">
        <f>IF(Agent03_Loans!B191="","",Agent03_Loans!K191)</f>
        <v/>
      </c>
      <c r="L581" s="37" t="str">
        <f>IF(Agent03_Loans!B191="","",Agent03_Loans!L191)</f>
        <v/>
      </c>
      <c r="M581" s="37" t="str">
        <f>IFERROR(IF(Agent03_Loans!B191="","",YEAR(Agent03_Loans!D191)),"")</f>
        <v/>
      </c>
    </row>
    <row r="582" spans="1:13" ht="18" customHeight="1" x14ac:dyDescent="0.25">
      <c r="A582" s="37" t="str">
        <f>IF(Agent03_Loans!B192="","",Agent03_Loans!A192)</f>
        <v/>
      </c>
      <c r="B582" s="37" t="str">
        <f>IF(Agent03_Loans!B192="","",Agent03_Loans!B192)</f>
        <v/>
      </c>
      <c r="C582" s="37" t="str">
        <f>IF(Agent03_Loans!B192="","",Agent03_Loans!C192)</f>
        <v/>
      </c>
      <c r="D582" s="38" t="str">
        <f>IF(Agent03_Loans!B192="","",Agent03_Loans!D192)</f>
        <v/>
      </c>
      <c r="E582" s="40" t="str">
        <f>IF(Agent03_Loans!B192="","",Agent03_Loans!E192)</f>
        <v/>
      </c>
      <c r="F582" s="37" t="str">
        <f>IF(Agent03_Loans!B192="","",Agent03_Loans!F192)</f>
        <v/>
      </c>
      <c r="G582" s="37" t="str">
        <f>IF(Agent03_Loans!B192="","",Agent03_Loans!G192)</f>
        <v/>
      </c>
      <c r="H582" s="37" t="str">
        <f>IF(Agent03_Loans!B192="","",Agent03_Loans!H192)</f>
        <v/>
      </c>
      <c r="I582" s="40" t="str">
        <f>IF(Agent03_Loans!B192="","",Agent03_Loans!I192)</f>
        <v/>
      </c>
      <c r="J582" s="40" t="str">
        <f>IF(Agent03_Loans!B192="","",Agent03_Loans!J192)</f>
        <v/>
      </c>
      <c r="K582" s="37" t="str">
        <f>IF(Agent03_Loans!B192="","",Agent03_Loans!K192)</f>
        <v/>
      </c>
      <c r="L582" s="37" t="str">
        <f>IF(Agent03_Loans!B192="","",Agent03_Loans!L192)</f>
        <v/>
      </c>
      <c r="M582" s="37" t="str">
        <f>IFERROR(IF(Agent03_Loans!B192="","",YEAR(Agent03_Loans!D192)),"")</f>
        <v/>
      </c>
    </row>
    <row r="583" spans="1:13" ht="18" customHeight="1" x14ac:dyDescent="0.25">
      <c r="A583" s="37" t="str">
        <f>IF(Agent03_Loans!B193="","",Agent03_Loans!A193)</f>
        <v/>
      </c>
      <c r="B583" s="37" t="str">
        <f>IF(Agent03_Loans!B193="","",Agent03_Loans!B193)</f>
        <v/>
      </c>
      <c r="C583" s="37" t="str">
        <f>IF(Agent03_Loans!B193="","",Agent03_Loans!C193)</f>
        <v/>
      </c>
      <c r="D583" s="38" t="str">
        <f>IF(Agent03_Loans!B193="","",Agent03_Loans!D193)</f>
        <v/>
      </c>
      <c r="E583" s="40" t="str">
        <f>IF(Agent03_Loans!B193="","",Agent03_Loans!E193)</f>
        <v/>
      </c>
      <c r="F583" s="37" t="str">
        <f>IF(Agent03_Loans!B193="","",Agent03_Loans!F193)</f>
        <v/>
      </c>
      <c r="G583" s="37" t="str">
        <f>IF(Agent03_Loans!B193="","",Agent03_Loans!G193)</f>
        <v/>
      </c>
      <c r="H583" s="37" t="str">
        <f>IF(Agent03_Loans!B193="","",Agent03_Loans!H193)</f>
        <v/>
      </c>
      <c r="I583" s="40" t="str">
        <f>IF(Agent03_Loans!B193="","",Agent03_Loans!I193)</f>
        <v/>
      </c>
      <c r="J583" s="40" t="str">
        <f>IF(Agent03_Loans!B193="","",Agent03_Loans!J193)</f>
        <v/>
      </c>
      <c r="K583" s="37" t="str">
        <f>IF(Agent03_Loans!B193="","",Agent03_Loans!K193)</f>
        <v/>
      </c>
      <c r="L583" s="37" t="str">
        <f>IF(Agent03_Loans!B193="","",Agent03_Loans!L193)</f>
        <v/>
      </c>
      <c r="M583" s="37" t="str">
        <f>IFERROR(IF(Agent03_Loans!B193="","",YEAR(Agent03_Loans!D193)),"")</f>
        <v/>
      </c>
    </row>
    <row r="584" spans="1:13" ht="18" customHeight="1" x14ac:dyDescent="0.25">
      <c r="A584" s="37" t="str">
        <f>IF(Agent03_Loans!B194="","",Agent03_Loans!A194)</f>
        <v/>
      </c>
      <c r="B584" s="37" t="str">
        <f>IF(Agent03_Loans!B194="","",Agent03_Loans!B194)</f>
        <v/>
      </c>
      <c r="C584" s="37" t="str">
        <f>IF(Agent03_Loans!B194="","",Agent03_Loans!C194)</f>
        <v/>
      </c>
      <c r="D584" s="38" t="str">
        <f>IF(Agent03_Loans!B194="","",Agent03_Loans!D194)</f>
        <v/>
      </c>
      <c r="E584" s="40" t="str">
        <f>IF(Agent03_Loans!B194="","",Agent03_Loans!E194)</f>
        <v/>
      </c>
      <c r="F584" s="37" t="str">
        <f>IF(Agent03_Loans!B194="","",Agent03_Loans!F194)</f>
        <v/>
      </c>
      <c r="G584" s="37" t="str">
        <f>IF(Agent03_Loans!B194="","",Agent03_Loans!G194)</f>
        <v/>
      </c>
      <c r="H584" s="37" t="str">
        <f>IF(Agent03_Loans!B194="","",Agent03_Loans!H194)</f>
        <v/>
      </c>
      <c r="I584" s="40" t="str">
        <f>IF(Agent03_Loans!B194="","",Agent03_Loans!I194)</f>
        <v/>
      </c>
      <c r="J584" s="40" t="str">
        <f>IF(Agent03_Loans!B194="","",Agent03_Loans!J194)</f>
        <v/>
      </c>
      <c r="K584" s="37" t="str">
        <f>IF(Agent03_Loans!B194="","",Agent03_Loans!K194)</f>
        <v/>
      </c>
      <c r="L584" s="37" t="str">
        <f>IF(Agent03_Loans!B194="","",Agent03_Loans!L194)</f>
        <v/>
      </c>
      <c r="M584" s="37" t="str">
        <f>IFERROR(IF(Agent03_Loans!B194="","",YEAR(Agent03_Loans!D194)),"")</f>
        <v/>
      </c>
    </row>
    <row r="585" spans="1:13" ht="18" customHeight="1" x14ac:dyDescent="0.25">
      <c r="A585" s="37" t="str">
        <f>IF(Agent03_Loans!B195="","",Agent03_Loans!A195)</f>
        <v/>
      </c>
      <c r="B585" s="37" t="str">
        <f>IF(Agent03_Loans!B195="","",Agent03_Loans!B195)</f>
        <v/>
      </c>
      <c r="C585" s="37" t="str">
        <f>IF(Agent03_Loans!B195="","",Agent03_Loans!C195)</f>
        <v/>
      </c>
      <c r="D585" s="38" t="str">
        <f>IF(Agent03_Loans!B195="","",Agent03_Loans!D195)</f>
        <v/>
      </c>
      <c r="E585" s="40" t="str">
        <f>IF(Agent03_Loans!B195="","",Agent03_Loans!E195)</f>
        <v/>
      </c>
      <c r="F585" s="37" t="str">
        <f>IF(Agent03_Loans!B195="","",Agent03_Loans!F195)</f>
        <v/>
      </c>
      <c r="G585" s="37" t="str">
        <f>IF(Agent03_Loans!B195="","",Agent03_Loans!G195)</f>
        <v/>
      </c>
      <c r="H585" s="37" t="str">
        <f>IF(Agent03_Loans!B195="","",Agent03_Loans!H195)</f>
        <v/>
      </c>
      <c r="I585" s="40" t="str">
        <f>IF(Agent03_Loans!B195="","",Agent03_Loans!I195)</f>
        <v/>
      </c>
      <c r="J585" s="40" t="str">
        <f>IF(Agent03_Loans!B195="","",Agent03_Loans!J195)</f>
        <v/>
      </c>
      <c r="K585" s="37" t="str">
        <f>IF(Agent03_Loans!B195="","",Agent03_Loans!K195)</f>
        <v/>
      </c>
      <c r="L585" s="37" t="str">
        <f>IF(Agent03_Loans!B195="","",Agent03_Loans!L195)</f>
        <v/>
      </c>
      <c r="M585" s="37" t="str">
        <f>IFERROR(IF(Agent03_Loans!B195="","",YEAR(Agent03_Loans!D195)),"")</f>
        <v/>
      </c>
    </row>
    <row r="586" spans="1:13" ht="18" customHeight="1" x14ac:dyDescent="0.25">
      <c r="A586" s="37" t="str">
        <f>IF(Agent03_Loans!B196="","",Agent03_Loans!A196)</f>
        <v/>
      </c>
      <c r="B586" s="37" t="str">
        <f>IF(Agent03_Loans!B196="","",Agent03_Loans!B196)</f>
        <v/>
      </c>
      <c r="C586" s="37" t="str">
        <f>IF(Agent03_Loans!B196="","",Agent03_Loans!C196)</f>
        <v/>
      </c>
      <c r="D586" s="38" t="str">
        <f>IF(Agent03_Loans!B196="","",Agent03_Loans!D196)</f>
        <v/>
      </c>
      <c r="E586" s="40" t="str">
        <f>IF(Agent03_Loans!B196="","",Agent03_Loans!E196)</f>
        <v/>
      </c>
      <c r="F586" s="37" t="str">
        <f>IF(Agent03_Loans!B196="","",Agent03_Loans!F196)</f>
        <v/>
      </c>
      <c r="G586" s="37" t="str">
        <f>IF(Agent03_Loans!B196="","",Agent03_Loans!G196)</f>
        <v/>
      </c>
      <c r="H586" s="37" t="str">
        <f>IF(Agent03_Loans!B196="","",Agent03_Loans!H196)</f>
        <v/>
      </c>
      <c r="I586" s="40" t="str">
        <f>IF(Agent03_Loans!B196="","",Agent03_Loans!I196)</f>
        <v/>
      </c>
      <c r="J586" s="40" t="str">
        <f>IF(Agent03_Loans!B196="","",Agent03_Loans!J196)</f>
        <v/>
      </c>
      <c r="K586" s="37" t="str">
        <f>IF(Agent03_Loans!B196="","",Agent03_Loans!K196)</f>
        <v/>
      </c>
      <c r="L586" s="37" t="str">
        <f>IF(Agent03_Loans!B196="","",Agent03_Loans!L196)</f>
        <v/>
      </c>
      <c r="M586" s="37" t="str">
        <f>IFERROR(IF(Agent03_Loans!B196="","",YEAR(Agent03_Loans!D196)),"")</f>
        <v/>
      </c>
    </row>
    <row r="587" spans="1:13" ht="18" customHeight="1" x14ac:dyDescent="0.25">
      <c r="A587" s="37" t="str">
        <f>IF(Agent03_Loans!B197="","",Agent03_Loans!A197)</f>
        <v/>
      </c>
      <c r="B587" s="37" t="str">
        <f>IF(Agent03_Loans!B197="","",Agent03_Loans!B197)</f>
        <v/>
      </c>
      <c r="C587" s="37" t="str">
        <f>IF(Agent03_Loans!B197="","",Agent03_Loans!C197)</f>
        <v/>
      </c>
      <c r="D587" s="38" t="str">
        <f>IF(Agent03_Loans!B197="","",Agent03_Loans!D197)</f>
        <v/>
      </c>
      <c r="E587" s="40" t="str">
        <f>IF(Agent03_Loans!B197="","",Agent03_Loans!E197)</f>
        <v/>
      </c>
      <c r="F587" s="37" t="str">
        <f>IF(Agent03_Loans!B197="","",Agent03_Loans!F197)</f>
        <v/>
      </c>
      <c r="G587" s="37" t="str">
        <f>IF(Agent03_Loans!B197="","",Agent03_Loans!G197)</f>
        <v/>
      </c>
      <c r="H587" s="37" t="str">
        <f>IF(Agent03_Loans!B197="","",Agent03_Loans!H197)</f>
        <v/>
      </c>
      <c r="I587" s="40" t="str">
        <f>IF(Agent03_Loans!B197="","",Agent03_Loans!I197)</f>
        <v/>
      </c>
      <c r="J587" s="40" t="str">
        <f>IF(Agent03_Loans!B197="","",Agent03_Loans!J197)</f>
        <v/>
      </c>
      <c r="K587" s="37" t="str">
        <f>IF(Agent03_Loans!B197="","",Agent03_Loans!K197)</f>
        <v/>
      </c>
      <c r="L587" s="37" t="str">
        <f>IF(Agent03_Loans!B197="","",Agent03_Loans!L197)</f>
        <v/>
      </c>
      <c r="M587" s="37" t="str">
        <f>IFERROR(IF(Agent03_Loans!B197="","",YEAR(Agent03_Loans!D197)),"")</f>
        <v/>
      </c>
    </row>
    <row r="588" spans="1:13" ht="18" customHeight="1" x14ac:dyDescent="0.25">
      <c r="A588" s="37" t="str">
        <f>IF(Agent03_Loans!B198="","",Agent03_Loans!A198)</f>
        <v/>
      </c>
      <c r="B588" s="37" t="str">
        <f>IF(Agent03_Loans!B198="","",Agent03_Loans!B198)</f>
        <v/>
      </c>
      <c r="C588" s="37" t="str">
        <f>IF(Agent03_Loans!B198="","",Agent03_Loans!C198)</f>
        <v/>
      </c>
      <c r="D588" s="38" t="str">
        <f>IF(Agent03_Loans!B198="","",Agent03_Loans!D198)</f>
        <v/>
      </c>
      <c r="E588" s="40" t="str">
        <f>IF(Agent03_Loans!B198="","",Agent03_Loans!E198)</f>
        <v/>
      </c>
      <c r="F588" s="37" t="str">
        <f>IF(Agent03_Loans!B198="","",Agent03_Loans!F198)</f>
        <v/>
      </c>
      <c r="G588" s="37" t="str">
        <f>IF(Agent03_Loans!B198="","",Agent03_Loans!G198)</f>
        <v/>
      </c>
      <c r="H588" s="37" t="str">
        <f>IF(Agent03_Loans!B198="","",Agent03_Loans!H198)</f>
        <v/>
      </c>
      <c r="I588" s="40" t="str">
        <f>IF(Agent03_Loans!B198="","",Agent03_Loans!I198)</f>
        <v/>
      </c>
      <c r="J588" s="40" t="str">
        <f>IF(Agent03_Loans!B198="","",Agent03_Loans!J198)</f>
        <v/>
      </c>
      <c r="K588" s="37" t="str">
        <f>IF(Agent03_Loans!B198="","",Agent03_Loans!K198)</f>
        <v/>
      </c>
      <c r="L588" s="37" t="str">
        <f>IF(Agent03_Loans!B198="","",Agent03_Loans!L198)</f>
        <v/>
      </c>
      <c r="M588" s="37" t="str">
        <f>IFERROR(IF(Agent03_Loans!B198="","",YEAR(Agent03_Loans!D198)),"")</f>
        <v/>
      </c>
    </row>
    <row r="589" spans="1:13" ht="18" customHeight="1" x14ac:dyDescent="0.25">
      <c r="A589" s="37" t="str">
        <f>IF(Agent03_Loans!B199="","",Agent03_Loans!A199)</f>
        <v/>
      </c>
      <c r="B589" s="37" t="str">
        <f>IF(Agent03_Loans!B199="","",Agent03_Loans!B199)</f>
        <v/>
      </c>
      <c r="C589" s="37" t="str">
        <f>IF(Agent03_Loans!B199="","",Agent03_Loans!C199)</f>
        <v/>
      </c>
      <c r="D589" s="38" t="str">
        <f>IF(Agent03_Loans!B199="","",Agent03_Loans!D199)</f>
        <v/>
      </c>
      <c r="E589" s="40" t="str">
        <f>IF(Agent03_Loans!B199="","",Agent03_Loans!E199)</f>
        <v/>
      </c>
      <c r="F589" s="37" t="str">
        <f>IF(Agent03_Loans!B199="","",Agent03_Loans!F199)</f>
        <v/>
      </c>
      <c r="G589" s="37" t="str">
        <f>IF(Agent03_Loans!B199="","",Agent03_Loans!G199)</f>
        <v/>
      </c>
      <c r="H589" s="37" t="str">
        <f>IF(Agent03_Loans!B199="","",Agent03_Loans!H199)</f>
        <v/>
      </c>
      <c r="I589" s="40" t="str">
        <f>IF(Agent03_Loans!B199="","",Agent03_Loans!I199)</f>
        <v/>
      </c>
      <c r="J589" s="40" t="str">
        <f>IF(Agent03_Loans!B199="","",Agent03_Loans!J199)</f>
        <v/>
      </c>
      <c r="K589" s="37" t="str">
        <f>IF(Agent03_Loans!B199="","",Agent03_Loans!K199)</f>
        <v/>
      </c>
      <c r="L589" s="37" t="str">
        <f>IF(Agent03_Loans!B199="","",Agent03_Loans!L199)</f>
        <v/>
      </c>
      <c r="M589" s="37" t="str">
        <f>IFERROR(IF(Agent03_Loans!B199="","",YEAR(Agent03_Loans!D199)),"")</f>
        <v/>
      </c>
    </row>
    <row r="590" spans="1:13" ht="18" customHeight="1" x14ac:dyDescent="0.25">
      <c r="A590" s="37" t="str">
        <f>IF(Agent03_Loans!B200="","",Agent03_Loans!A200)</f>
        <v/>
      </c>
      <c r="B590" s="37" t="str">
        <f>IF(Agent03_Loans!B200="","",Agent03_Loans!B200)</f>
        <v/>
      </c>
      <c r="C590" s="37" t="str">
        <f>IF(Agent03_Loans!B200="","",Agent03_Loans!C200)</f>
        <v/>
      </c>
      <c r="D590" s="38" t="str">
        <f>IF(Agent03_Loans!B200="","",Agent03_Loans!D200)</f>
        <v/>
      </c>
      <c r="E590" s="40" t="str">
        <f>IF(Agent03_Loans!B200="","",Agent03_Loans!E200)</f>
        <v/>
      </c>
      <c r="F590" s="37" t="str">
        <f>IF(Agent03_Loans!B200="","",Agent03_Loans!F200)</f>
        <v/>
      </c>
      <c r="G590" s="37" t="str">
        <f>IF(Agent03_Loans!B200="","",Agent03_Loans!G200)</f>
        <v/>
      </c>
      <c r="H590" s="37" t="str">
        <f>IF(Agent03_Loans!B200="","",Agent03_Loans!H200)</f>
        <v/>
      </c>
      <c r="I590" s="40" t="str">
        <f>IF(Agent03_Loans!B200="","",Agent03_Loans!I200)</f>
        <v/>
      </c>
      <c r="J590" s="40" t="str">
        <f>IF(Agent03_Loans!B200="","",Agent03_Loans!J200)</f>
        <v/>
      </c>
      <c r="K590" s="37" t="str">
        <f>IF(Agent03_Loans!B200="","",Agent03_Loans!K200)</f>
        <v/>
      </c>
      <c r="L590" s="37" t="str">
        <f>IF(Agent03_Loans!B200="","",Agent03_Loans!L200)</f>
        <v/>
      </c>
      <c r="M590" s="37" t="str">
        <f>IFERROR(IF(Agent03_Loans!B200="","",YEAR(Agent03_Loans!D200)),"")</f>
        <v/>
      </c>
    </row>
    <row r="591" spans="1:13" ht="18" customHeight="1" x14ac:dyDescent="0.25">
      <c r="A591" s="37" t="str">
        <f>IF(Agent03_Loans!B201="","",Agent03_Loans!A201)</f>
        <v/>
      </c>
      <c r="B591" s="37" t="str">
        <f>IF(Agent03_Loans!B201="","",Agent03_Loans!B201)</f>
        <v/>
      </c>
      <c r="C591" s="37" t="str">
        <f>IF(Agent03_Loans!B201="","",Agent03_Loans!C201)</f>
        <v/>
      </c>
      <c r="D591" s="38" t="str">
        <f>IF(Agent03_Loans!B201="","",Agent03_Loans!D201)</f>
        <v/>
      </c>
      <c r="E591" s="40" t="str">
        <f>IF(Agent03_Loans!B201="","",Agent03_Loans!E201)</f>
        <v/>
      </c>
      <c r="F591" s="37" t="str">
        <f>IF(Agent03_Loans!B201="","",Agent03_Loans!F201)</f>
        <v/>
      </c>
      <c r="G591" s="37" t="str">
        <f>IF(Agent03_Loans!B201="","",Agent03_Loans!G201)</f>
        <v/>
      </c>
      <c r="H591" s="37" t="str">
        <f>IF(Agent03_Loans!B201="","",Agent03_Loans!H201)</f>
        <v/>
      </c>
      <c r="I591" s="40" t="str">
        <f>IF(Agent03_Loans!B201="","",Agent03_Loans!I201)</f>
        <v/>
      </c>
      <c r="J591" s="40" t="str">
        <f>IF(Agent03_Loans!B201="","",Agent03_Loans!J201)</f>
        <v/>
      </c>
      <c r="K591" s="37" t="str">
        <f>IF(Agent03_Loans!B201="","",Agent03_Loans!K201)</f>
        <v/>
      </c>
      <c r="L591" s="37" t="str">
        <f>IF(Agent03_Loans!B201="","",Agent03_Loans!L201)</f>
        <v/>
      </c>
      <c r="M591" s="37" t="str">
        <f>IFERROR(IF(Agent03_Loans!B201="","",YEAR(Agent03_Loans!D201)),"")</f>
        <v/>
      </c>
    </row>
    <row r="592" spans="1:13" ht="18" customHeight="1" x14ac:dyDescent="0.25">
      <c r="A592" s="37" t="str">
        <f>IF(Agent03_Loans!B202="","",Agent03_Loans!A202)</f>
        <v/>
      </c>
      <c r="B592" s="37" t="str">
        <f>IF(Agent03_Loans!B202="","",Agent03_Loans!B202)</f>
        <v/>
      </c>
      <c r="C592" s="37" t="str">
        <f>IF(Agent03_Loans!B202="","",Agent03_Loans!C202)</f>
        <v/>
      </c>
      <c r="D592" s="38" t="str">
        <f>IF(Agent03_Loans!B202="","",Agent03_Loans!D202)</f>
        <v/>
      </c>
      <c r="E592" s="40" t="str">
        <f>IF(Agent03_Loans!B202="","",Agent03_Loans!E202)</f>
        <v/>
      </c>
      <c r="F592" s="37" t="str">
        <f>IF(Agent03_Loans!B202="","",Agent03_Loans!F202)</f>
        <v/>
      </c>
      <c r="G592" s="37" t="str">
        <f>IF(Agent03_Loans!B202="","",Agent03_Loans!G202)</f>
        <v/>
      </c>
      <c r="H592" s="37" t="str">
        <f>IF(Agent03_Loans!B202="","",Agent03_Loans!H202)</f>
        <v/>
      </c>
      <c r="I592" s="40" t="str">
        <f>IF(Agent03_Loans!B202="","",Agent03_Loans!I202)</f>
        <v/>
      </c>
      <c r="J592" s="40" t="str">
        <f>IF(Agent03_Loans!B202="","",Agent03_Loans!J202)</f>
        <v/>
      </c>
      <c r="K592" s="37" t="str">
        <f>IF(Agent03_Loans!B202="","",Agent03_Loans!K202)</f>
        <v/>
      </c>
      <c r="L592" s="37" t="str">
        <f>IF(Agent03_Loans!B202="","",Agent03_Loans!L202)</f>
        <v/>
      </c>
      <c r="M592" s="37" t="str">
        <f>IFERROR(IF(Agent03_Loans!B202="","",YEAR(Agent03_Loans!D202)),"")</f>
        <v/>
      </c>
    </row>
    <row r="593" spans="1:13" ht="18" customHeight="1" x14ac:dyDescent="0.25">
      <c r="A593" s="37" t="str">
        <f>IF(Agent03_Loans!B203="","",Agent03_Loans!A203)</f>
        <v/>
      </c>
      <c r="B593" s="37" t="str">
        <f>IF(Agent03_Loans!B203="","",Agent03_Loans!B203)</f>
        <v/>
      </c>
      <c r="C593" s="37" t="str">
        <f>IF(Agent03_Loans!B203="","",Agent03_Loans!C203)</f>
        <v/>
      </c>
      <c r="D593" s="38" t="str">
        <f>IF(Agent03_Loans!B203="","",Agent03_Loans!D203)</f>
        <v/>
      </c>
      <c r="E593" s="40" t="str">
        <f>IF(Agent03_Loans!B203="","",Agent03_Loans!E203)</f>
        <v/>
      </c>
      <c r="F593" s="37" t="str">
        <f>IF(Agent03_Loans!B203="","",Agent03_Loans!F203)</f>
        <v/>
      </c>
      <c r="G593" s="37" t="str">
        <f>IF(Agent03_Loans!B203="","",Agent03_Loans!G203)</f>
        <v/>
      </c>
      <c r="H593" s="37" t="str">
        <f>IF(Agent03_Loans!B203="","",Agent03_Loans!H203)</f>
        <v/>
      </c>
      <c r="I593" s="40" t="str">
        <f>IF(Agent03_Loans!B203="","",Agent03_Loans!I203)</f>
        <v/>
      </c>
      <c r="J593" s="40" t="str">
        <f>IF(Agent03_Loans!B203="","",Agent03_Loans!J203)</f>
        <v/>
      </c>
      <c r="K593" s="37" t="str">
        <f>IF(Agent03_Loans!B203="","",Agent03_Loans!K203)</f>
        <v/>
      </c>
      <c r="L593" s="37" t="str">
        <f>IF(Agent03_Loans!B203="","",Agent03_Loans!L203)</f>
        <v/>
      </c>
      <c r="M593" s="37" t="str">
        <f>IFERROR(IF(Agent03_Loans!B203="","",YEAR(Agent03_Loans!D203)),"")</f>
        <v/>
      </c>
    </row>
    <row r="594" spans="1:13" ht="18" customHeight="1" x14ac:dyDescent="0.25">
      <c r="A594" s="37" t="str">
        <f>IF(Agent03_Loans!B204="","",Agent03_Loans!A204)</f>
        <v/>
      </c>
      <c r="B594" s="37" t="str">
        <f>IF(Agent03_Loans!B204="","",Agent03_Loans!B204)</f>
        <v/>
      </c>
      <c r="C594" s="37" t="str">
        <f>IF(Agent03_Loans!B204="","",Agent03_Loans!C204)</f>
        <v/>
      </c>
      <c r="D594" s="38" t="str">
        <f>IF(Agent03_Loans!B204="","",Agent03_Loans!D204)</f>
        <v/>
      </c>
      <c r="E594" s="40" t="str">
        <f>IF(Agent03_Loans!B204="","",Agent03_Loans!E204)</f>
        <v/>
      </c>
      <c r="F594" s="37" t="str">
        <f>IF(Agent03_Loans!B204="","",Agent03_Loans!F204)</f>
        <v/>
      </c>
      <c r="G594" s="37" t="str">
        <f>IF(Agent03_Loans!B204="","",Agent03_Loans!G204)</f>
        <v/>
      </c>
      <c r="H594" s="37" t="str">
        <f>IF(Agent03_Loans!B204="","",Agent03_Loans!H204)</f>
        <v/>
      </c>
      <c r="I594" s="40" t="str">
        <f>IF(Agent03_Loans!B204="","",Agent03_Loans!I204)</f>
        <v/>
      </c>
      <c r="J594" s="40" t="str">
        <f>IF(Agent03_Loans!B204="","",Agent03_Loans!J204)</f>
        <v/>
      </c>
      <c r="K594" s="37" t="str">
        <f>IF(Agent03_Loans!B204="","",Agent03_Loans!K204)</f>
        <v/>
      </c>
      <c r="L594" s="37" t="str">
        <f>IF(Agent03_Loans!B204="","",Agent03_Loans!L204)</f>
        <v/>
      </c>
      <c r="M594" s="37" t="str">
        <f>IFERROR(IF(Agent03_Loans!B204="","",YEAR(Agent03_Loans!D204)),"")</f>
        <v/>
      </c>
    </row>
    <row r="595" spans="1:13" ht="18" customHeight="1" x14ac:dyDescent="0.25">
      <c r="A595" s="37" t="str">
        <f>IF(Agent03_Loans!B205="","",Agent03_Loans!A205)</f>
        <v/>
      </c>
      <c r="B595" s="37" t="str">
        <f>IF(Agent03_Loans!B205="","",Agent03_Loans!B205)</f>
        <v/>
      </c>
      <c r="C595" s="37" t="str">
        <f>IF(Agent03_Loans!B205="","",Agent03_Loans!C205)</f>
        <v/>
      </c>
      <c r="D595" s="38" t="str">
        <f>IF(Agent03_Loans!B205="","",Agent03_Loans!D205)</f>
        <v/>
      </c>
      <c r="E595" s="40" t="str">
        <f>IF(Agent03_Loans!B205="","",Agent03_Loans!E205)</f>
        <v/>
      </c>
      <c r="F595" s="37" t="str">
        <f>IF(Agent03_Loans!B205="","",Agent03_Loans!F205)</f>
        <v/>
      </c>
      <c r="G595" s="37" t="str">
        <f>IF(Agent03_Loans!B205="","",Agent03_Loans!G205)</f>
        <v/>
      </c>
      <c r="H595" s="37" t="str">
        <f>IF(Agent03_Loans!B205="","",Agent03_Loans!H205)</f>
        <v/>
      </c>
      <c r="I595" s="40" t="str">
        <f>IF(Agent03_Loans!B205="","",Agent03_Loans!I205)</f>
        <v/>
      </c>
      <c r="J595" s="40" t="str">
        <f>IF(Agent03_Loans!B205="","",Agent03_Loans!J205)</f>
        <v/>
      </c>
      <c r="K595" s="37" t="str">
        <f>IF(Agent03_Loans!B205="","",Agent03_Loans!K205)</f>
        <v/>
      </c>
      <c r="L595" s="37" t="str">
        <f>IF(Agent03_Loans!B205="","",Agent03_Loans!L205)</f>
        <v/>
      </c>
      <c r="M595" s="37" t="str">
        <f>IFERROR(IF(Agent03_Loans!B205="","",YEAR(Agent03_Loans!D205)),"")</f>
        <v/>
      </c>
    </row>
    <row r="596" spans="1:13" ht="18" customHeight="1" x14ac:dyDescent="0.25">
      <c r="A596" s="37" t="str">
        <f>IF(Agent03_Loans!B206="","",Agent03_Loans!A206)</f>
        <v/>
      </c>
      <c r="B596" s="37" t="str">
        <f>IF(Agent03_Loans!B206="","",Agent03_Loans!B206)</f>
        <v/>
      </c>
      <c r="C596" s="37" t="str">
        <f>IF(Agent03_Loans!B206="","",Agent03_Loans!C206)</f>
        <v/>
      </c>
      <c r="D596" s="38" t="str">
        <f>IF(Agent03_Loans!B206="","",Agent03_Loans!D206)</f>
        <v/>
      </c>
      <c r="E596" s="40" t="str">
        <f>IF(Agent03_Loans!B206="","",Agent03_Loans!E206)</f>
        <v/>
      </c>
      <c r="F596" s="37" t="str">
        <f>IF(Agent03_Loans!B206="","",Agent03_Loans!F206)</f>
        <v/>
      </c>
      <c r="G596" s="37" t="str">
        <f>IF(Agent03_Loans!B206="","",Agent03_Loans!G206)</f>
        <v/>
      </c>
      <c r="H596" s="37" t="str">
        <f>IF(Agent03_Loans!B206="","",Agent03_Loans!H206)</f>
        <v/>
      </c>
      <c r="I596" s="40" t="str">
        <f>IF(Agent03_Loans!B206="","",Agent03_Loans!I206)</f>
        <v/>
      </c>
      <c r="J596" s="40" t="str">
        <f>IF(Agent03_Loans!B206="","",Agent03_Loans!J206)</f>
        <v/>
      </c>
      <c r="K596" s="37" t="str">
        <f>IF(Agent03_Loans!B206="","",Agent03_Loans!K206)</f>
        <v/>
      </c>
      <c r="L596" s="37" t="str">
        <f>IF(Agent03_Loans!B206="","",Agent03_Loans!L206)</f>
        <v/>
      </c>
      <c r="M596" s="37" t="str">
        <f>IFERROR(IF(Agent03_Loans!B206="","",YEAR(Agent03_Loans!D206)),"")</f>
        <v/>
      </c>
    </row>
    <row r="597" spans="1:13" ht="18" customHeight="1" x14ac:dyDescent="0.25">
      <c r="A597" s="37" t="str">
        <f>IF(Agent03_Loans!B207="","",Agent03_Loans!A207)</f>
        <v/>
      </c>
      <c r="B597" s="37" t="str">
        <f>IF(Agent03_Loans!B207="","",Agent03_Loans!B207)</f>
        <v/>
      </c>
      <c r="C597" s="37" t="str">
        <f>IF(Agent03_Loans!B207="","",Agent03_Loans!C207)</f>
        <v/>
      </c>
      <c r="D597" s="38" t="str">
        <f>IF(Agent03_Loans!B207="","",Agent03_Loans!D207)</f>
        <v/>
      </c>
      <c r="E597" s="40" t="str">
        <f>IF(Agent03_Loans!B207="","",Agent03_Loans!E207)</f>
        <v/>
      </c>
      <c r="F597" s="37" t="str">
        <f>IF(Agent03_Loans!B207="","",Agent03_Loans!F207)</f>
        <v/>
      </c>
      <c r="G597" s="37" t="str">
        <f>IF(Agent03_Loans!B207="","",Agent03_Loans!G207)</f>
        <v/>
      </c>
      <c r="H597" s="37" t="str">
        <f>IF(Agent03_Loans!B207="","",Agent03_Loans!H207)</f>
        <v/>
      </c>
      <c r="I597" s="40" t="str">
        <f>IF(Agent03_Loans!B207="","",Agent03_Loans!I207)</f>
        <v/>
      </c>
      <c r="J597" s="40" t="str">
        <f>IF(Agent03_Loans!B207="","",Agent03_Loans!J207)</f>
        <v/>
      </c>
      <c r="K597" s="37" t="str">
        <f>IF(Agent03_Loans!B207="","",Agent03_Loans!K207)</f>
        <v/>
      </c>
      <c r="L597" s="37" t="str">
        <f>IF(Agent03_Loans!B207="","",Agent03_Loans!L207)</f>
        <v/>
      </c>
      <c r="M597" s="37" t="str">
        <f>IFERROR(IF(Agent03_Loans!B207="","",YEAR(Agent03_Loans!D207)),"")</f>
        <v/>
      </c>
    </row>
    <row r="598" spans="1:13" ht="18" customHeight="1" x14ac:dyDescent="0.25">
      <c r="A598" s="37" t="str">
        <f>IF(Agent03_Loans!B208="","",Agent03_Loans!A208)</f>
        <v/>
      </c>
      <c r="B598" s="37" t="str">
        <f>IF(Agent03_Loans!B208="","",Agent03_Loans!B208)</f>
        <v/>
      </c>
      <c r="C598" s="37" t="str">
        <f>IF(Agent03_Loans!B208="","",Agent03_Loans!C208)</f>
        <v/>
      </c>
      <c r="D598" s="38" t="str">
        <f>IF(Agent03_Loans!B208="","",Agent03_Loans!D208)</f>
        <v/>
      </c>
      <c r="E598" s="40" t="str">
        <f>IF(Agent03_Loans!B208="","",Agent03_Loans!E208)</f>
        <v/>
      </c>
      <c r="F598" s="37" t="str">
        <f>IF(Agent03_Loans!B208="","",Agent03_Loans!F208)</f>
        <v/>
      </c>
      <c r="G598" s="37" t="str">
        <f>IF(Agent03_Loans!B208="","",Agent03_Loans!G208)</f>
        <v/>
      </c>
      <c r="H598" s="37" t="str">
        <f>IF(Agent03_Loans!B208="","",Agent03_Loans!H208)</f>
        <v/>
      </c>
      <c r="I598" s="40" t="str">
        <f>IF(Agent03_Loans!B208="","",Agent03_Loans!I208)</f>
        <v/>
      </c>
      <c r="J598" s="40" t="str">
        <f>IF(Agent03_Loans!B208="","",Agent03_Loans!J208)</f>
        <v/>
      </c>
      <c r="K598" s="37" t="str">
        <f>IF(Agent03_Loans!B208="","",Agent03_Loans!K208)</f>
        <v/>
      </c>
      <c r="L598" s="37" t="str">
        <f>IF(Agent03_Loans!B208="","",Agent03_Loans!L208)</f>
        <v/>
      </c>
      <c r="M598" s="37" t="str">
        <f>IFERROR(IF(Agent03_Loans!B208="","",YEAR(Agent03_Loans!D208)),"")</f>
        <v/>
      </c>
    </row>
    <row r="599" spans="1:13" ht="18" customHeight="1" x14ac:dyDescent="0.25">
      <c r="A599" s="37" t="str">
        <f>IF(Agent03_Loans!B209="","",Agent03_Loans!A209)</f>
        <v/>
      </c>
      <c r="B599" s="37" t="str">
        <f>IF(Agent03_Loans!B209="","",Agent03_Loans!B209)</f>
        <v/>
      </c>
      <c r="C599" s="37" t="str">
        <f>IF(Agent03_Loans!B209="","",Agent03_Loans!C209)</f>
        <v/>
      </c>
      <c r="D599" s="38" t="str">
        <f>IF(Agent03_Loans!B209="","",Agent03_Loans!D209)</f>
        <v/>
      </c>
      <c r="E599" s="40" t="str">
        <f>IF(Agent03_Loans!B209="","",Agent03_Loans!E209)</f>
        <v/>
      </c>
      <c r="F599" s="37" t="str">
        <f>IF(Agent03_Loans!B209="","",Agent03_Loans!F209)</f>
        <v/>
      </c>
      <c r="G599" s="37" t="str">
        <f>IF(Agent03_Loans!B209="","",Agent03_Loans!G209)</f>
        <v/>
      </c>
      <c r="H599" s="37" t="str">
        <f>IF(Agent03_Loans!B209="","",Agent03_Loans!H209)</f>
        <v/>
      </c>
      <c r="I599" s="40" t="str">
        <f>IF(Agent03_Loans!B209="","",Agent03_Loans!I209)</f>
        <v/>
      </c>
      <c r="J599" s="40" t="str">
        <f>IF(Agent03_Loans!B209="","",Agent03_Loans!J209)</f>
        <v/>
      </c>
      <c r="K599" s="37" t="str">
        <f>IF(Agent03_Loans!B209="","",Agent03_Loans!K209)</f>
        <v/>
      </c>
      <c r="L599" s="37" t="str">
        <f>IF(Agent03_Loans!B209="","",Agent03_Loans!L209)</f>
        <v/>
      </c>
      <c r="M599" s="37" t="str">
        <f>IFERROR(IF(Agent03_Loans!B209="","",YEAR(Agent03_Loans!D209)),"")</f>
        <v/>
      </c>
    </row>
    <row r="600" spans="1:13" ht="18" customHeight="1" x14ac:dyDescent="0.25">
      <c r="A600" s="37" t="str">
        <f>IF(Agent03_Loans!B210="","",Agent03_Loans!A210)</f>
        <v/>
      </c>
      <c r="B600" s="37" t="str">
        <f>IF(Agent03_Loans!B210="","",Agent03_Loans!B210)</f>
        <v/>
      </c>
      <c r="C600" s="37" t="str">
        <f>IF(Agent03_Loans!B210="","",Agent03_Loans!C210)</f>
        <v/>
      </c>
      <c r="D600" s="38" t="str">
        <f>IF(Agent03_Loans!B210="","",Agent03_Loans!D210)</f>
        <v/>
      </c>
      <c r="E600" s="40" t="str">
        <f>IF(Agent03_Loans!B210="","",Agent03_Loans!E210)</f>
        <v/>
      </c>
      <c r="F600" s="37" t="str">
        <f>IF(Agent03_Loans!B210="","",Agent03_Loans!F210)</f>
        <v/>
      </c>
      <c r="G600" s="37" t="str">
        <f>IF(Agent03_Loans!B210="","",Agent03_Loans!G210)</f>
        <v/>
      </c>
      <c r="H600" s="37" t="str">
        <f>IF(Agent03_Loans!B210="","",Agent03_Loans!H210)</f>
        <v/>
      </c>
      <c r="I600" s="40" t="str">
        <f>IF(Agent03_Loans!B210="","",Agent03_Loans!I210)</f>
        <v/>
      </c>
      <c r="J600" s="40" t="str">
        <f>IF(Agent03_Loans!B210="","",Agent03_Loans!J210)</f>
        <v/>
      </c>
      <c r="K600" s="37" t="str">
        <f>IF(Agent03_Loans!B210="","",Agent03_Loans!K210)</f>
        <v/>
      </c>
      <c r="L600" s="37" t="str">
        <f>IF(Agent03_Loans!B210="","",Agent03_Loans!L210)</f>
        <v/>
      </c>
      <c r="M600" s="37" t="str">
        <f>IFERROR(IF(Agent03_Loans!B210="","",YEAR(Agent03_Loans!D210)),"")</f>
        <v/>
      </c>
    </row>
    <row r="601" spans="1:13" ht="18" customHeight="1" x14ac:dyDescent="0.25">
      <c r="A601" s="37" t="str">
        <f>IF(Agent03_Loans!B211="","",Agent03_Loans!A211)</f>
        <v/>
      </c>
      <c r="B601" s="37" t="str">
        <f>IF(Agent03_Loans!B211="","",Agent03_Loans!B211)</f>
        <v/>
      </c>
      <c r="C601" s="37" t="str">
        <f>IF(Agent03_Loans!B211="","",Agent03_Loans!C211)</f>
        <v/>
      </c>
      <c r="D601" s="38" t="str">
        <f>IF(Agent03_Loans!B211="","",Agent03_Loans!D211)</f>
        <v/>
      </c>
      <c r="E601" s="40" t="str">
        <f>IF(Agent03_Loans!B211="","",Agent03_Loans!E211)</f>
        <v/>
      </c>
      <c r="F601" s="37" t="str">
        <f>IF(Agent03_Loans!B211="","",Agent03_Loans!F211)</f>
        <v/>
      </c>
      <c r="G601" s="37" t="str">
        <f>IF(Agent03_Loans!B211="","",Agent03_Loans!G211)</f>
        <v/>
      </c>
      <c r="H601" s="37" t="str">
        <f>IF(Agent03_Loans!B211="","",Agent03_Loans!H211)</f>
        <v/>
      </c>
      <c r="I601" s="40" t="str">
        <f>IF(Agent03_Loans!B211="","",Agent03_Loans!I211)</f>
        <v/>
      </c>
      <c r="J601" s="40" t="str">
        <f>IF(Agent03_Loans!B211="","",Agent03_Loans!J211)</f>
        <v/>
      </c>
      <c r="K601" s="37" t="str">
        <f>IF(Agent03_Loans!B211="","",Agent03_Loans!K211)</f>
        <v/>
      </c>
      <c r="L601" s="37" t="str">
        <f>IF(Agent03_Loans!B211="","",Agent03_Loans!L211)</f>
        <v/>
      </c>
      <c r="M601" s="37" t="str">
        <f>IFERROR(IF(Agent03_Loans!B211="","",YEAR(Agent03_Loans!D211)),"")</f>
        <v/>
      </c>
    </row>
    <row r="602" spans="1:13" ht="18" customHeight="1" x14ac:dyDescent="0.25">
      <c r="A602" s="37" t="str">
        <f>IF(Agent03_Loans!B212="","",Agent03_Loans!A212)</f>
        <v/>
      </c>
      <c r="B602" s="37" t="str">
        <f>IF(Agent03_Loans!B212="","",Agent03_Loans!B212)</f>
        <v/>
      </c>
      <c r="C602" s="37" t="str">
        <f>IF(Agent03_Loans!B212="","",Agent03_Loans!C212)</f>
        <v/>
      </c>
      <c r="D602" s="38" t="str">
        <f>IF(Agent03_Loans!B212="","",Agent03_Loans!D212)</f>
        <v/>
      </c>
      <c r="E602" s="40" t="str">
        <f>IF(Agent03_Loans!B212="","",Agent03_Loans!E212)</f>
        <v/>
      </c>
      <c r="F602" s="37" t="str">
        <f>IF(Agent03_Loans!B212="","",Agent03_Loans!F212)</f>
        <v/>
      </c>
      <c r="G602" s="37" t="str">
        <f>IF(Agent03_Loans!B212="","",Agent03_Loans!G212)</f>
        <v/>
      </c>
      <c r="H602" s="37" t="str">
        <f>IF(Agent03_Loans!B212="","",Agent03_Loans!H212)</f>
        <v/>
      </c>
      <c r="I602" s="40" t="str">
        <f>IF(Agent03_Loans!B212="","",Agent03_Loans!I212)</f>
        <v/>
      </c>
      <c r="J602" s="40" t="str">
        <f>IF(Agent03_Loans!B212="","",Agent03_Loans!J212)</f>
        <v/>
      </c>
      <c r="K602" s="37" t="str">
        <f>IF(Agent03_Loans!B212="","",Agent03_Loans!K212)</f>
        <v/>
      </c>
      <c r="L602" s="37" t="str">
        <f>IF(Agent03_Loans!B212="","",Agent03_Loans!L212)</f>
        <v/>
      </c>
      <c r="M602" s="37" t="str">
        <f>IFERROR(IF(Agent03_Loans!B212="","",YEAR(Agent03_Loans!D212)),"")</f>
        <v/>
      </c>
    </row>
    <row r="603" spans="1:13" ht="18" customHeight="1" x14ac:dyDescent="0.25">
      <c r="A603" s="37" t="str">
        <f>IF(Agent03_Loans!B213="","",Agent03_Loans!A213)</f>
        <v/>
      </c>
      <c r="B603" s="37" t="str">
        <f>IF(Agent03_Loans!B213="","",Agent03_Loans!B213)</f>
        <v/>
      </c>
      <c r="C603" s="37" t="str">
        <f>IF(Agent03_Loans!B213="","",Agent03_Loans!C213)</f>
        <v/>
      </c>
      <c r="D603" s="38" t="str">
        <f>IF(Agent03_Loans!B213="","",Agent03_Loans!D213)</f>
        <v/>
      </c>
      <c r="E603" s="40" t="str">
        <f>IF(Agent03_Loans!B213="","",Agent03_Loans!E213)</f>
        <v/>
      </c>
      <c r="F603" s="37" t="str">
        <f>IF(Agent03_Loans!B213="","",Agent03_Loans!F213)</f>
        <v/>
      </c>
      <c r="G603" s="37" t="str">
        <f>IF(Agent03_Loans!B213="","",Agent03_Loans!G213)</f>
        <v/>
      </c>
      <c r="H603" s="37" t="str">
        <f>IF(Agent03_Loans!B213="","",Agent03_Loans!H213)</f>
        <v/>
      </c>
      <c r="I603" s="40" t="str">
        <f>IF(Agent03_Loans!B213="","",Agent03_Loans!I213)</f>
        <v/>
      </c>
      <c r="J603" s="40" t="str">
        <f>IF(Agent03_Loans!B213="","",Agent03_Loans!J213)</f>
        <v/>
      </c>
      <c r="K603" s="37" t="str">
        <f>IF(Agent03_Loans!B213="","",Agent03_Loans!K213)</f>
        <v/>
      </c>
      <c r="L603" s="37" t="str">
        <f>IF(Agent03_Loans!B213="","",Agent03_Loans!L213)</f>
        <v/>
      </c>
      <c r="M603" s="37" t="str">
        <f>IFERROR(IF(Agent03_Loans!B213="","",YEAR(Agent03_Loans!D213)),"")</f>
        <v/>
      </c>
    </row>
    <row r="604" spans="1:13" ht="18" customHeight="1" x14ac:dyDescent="0.25">
      <c r="A604" s="37" t="str">
        <f>IF(Agent04_Loans!B14="","",Agent04_Loans!A14)</f>
        <v/>
      </c>
      <c r="B604" s="37" t="str">
        <f>IF(Agent04_Loans!B14="","",Agent04_Loans!B14)</f>
        <v/>
      </c>
      <c r="C604" s="37" t="str">
        <f>IF(Agent04_Loans!B14="","",Agent04_Loans!C14)</f>
        <v/>
      </c>
      <c r="D604" s="38" t="str">
        <f>IF(Agent04_Loans!B14="","",Agent04_Loans!D14)</f>
        <v/>
      </c>
      <c r="E604" s="40" t="str">
        <f>IF(Agent04_Loans!B14="","",Agent04_Loans!E14)</f>
        <v/>
      </c>
      <c r="F604" s="37" t="str">
        <f>IF(Agent04_Loans!B14="","",Agent04_Loans!F14)</f>
        <v/>
      </c>
      <c r="G604" s="37" t="str">
        <f>IF(Agent04_Loans!B14="","",Agent04_Loans!G14)</f>
        <v/>
      </c>
      <c r="H604" s="37" t="str">
        <f>IF(Agent04_Loans!B14="","",Agent04_Loans!H14)</f>
        <v/>
      </c>
      <c r="I604" s="40" t="str">
        <f>IF(Agent04_Loans!B14="","",Agent04_Loans!I14)</f>
        <v/>
      </c>
      <c r="J604" s="40" t="str">
        <f>IF(Agent04_Loans!B14="","",Agent04_Loans!J14)</f>
        <v/>
      </c>
      <c r="K604" s="37" t="str">
        <f>IF(Agent04_Loans!B14="","",Agent04_Loans!K14)</f>
        <v/>
      </c>
      <c r="L604" s="37" t="str">
        <f>IF(Agent04_Loans!B14="","",Agent04_Loans!L14)</f>
        <v/>
      </c>
      <c r="M604" s="37" t="str">
        <f>IFERROR(IF(Agent04_Loans!B14="","",YEAR(Agent04_Loans!D14)),"")</f>
        <v/>
      </c>
    </row>
    <row r="605" spans="1:13" ht="18" customHeight="1" x14ac:dyDescent="0.25">
      <c r="A605" s="37" t="str">
        <f>IF(Agent04_Loans!B15="","",Agent04_Loans!A15)</f>
        <v/>
      </c>
      <c r="B605" s="37" t="str">
        <f>IF(Agent04_Loans!B15="","",Agent04_Loans!B15)</f>
        <v/>
      </c>
      <c r="C605" s="37" t="str">
        <f>IF(Agent04_Loans!B15="","",Agent04_Loans!C15)</f>
        <v/>
      </c>
      <c r="D605" s="38" t="str">
        <f>IF(Agent04_Loans!B15="","",Agent04_Loans!D15)</f>
        <v/>
      </c>
      <c r="E605" s="40" t="str">
        <f>IF(Agent04_Loans!B15="","",Agent04_Loans!E15)</f>
        <v/>
      </c>
      <c r="F605" s="37" t="str">
        <f>IF(Agent04_Loans!B15="","",Agent04_Loans!F15)</f>
        <v/>
      </c>
      <c r="G605" s="37" t="str">
        <f>IF(Agent04_Loans!B15="","",Agent04_Loans!G15)</f>
        <v/>
      </c>
      <c r="H605" s="37" t="str">
        <f>IF(Agent04_Loans!B15="","",Agent04_Loans!H15)</f>
        <v/>
      </c>
      <c r="I605" s="40" t="str">
        <f>IF(Agent04_Loans!B15="","",Agent04_Loans!I15)</f>
        <v/>
      </c>
      <c r="J605" s="40" t="str">
        <f>IF(Agent04_Loans!B15="","",Agent04_Loans!J15)</f>
        <v/>
      </c>
      <c r="K605" s="37" t="str">
        <f>IF(Agent04_Loans!B15="","",Agent04_Loans!K15)</f>
        <v/>
      </c>
      <c r="L605" s="37" t="str">
        <f>IF(Agent04_Loans!B15="","",Agent04_Loans!L15)</f>
        <v/>
      </c>
      <c r="M605" s="37" t="str">
        <f>IFERROR(IF(Agent04_Loans!B15="","",YEAR(Agent04_Loans!D15)),"")</f>
        <v/>
      </c>
    </row>
    <row r="606" spans="1:13" ht="18" customHeight="1" x14ac:dyDescent="0.25">
      <c r="A606" s="37" t="str">
        <f>IF(Agent04_Loans!B16="","",Agent04_Loans!A16)</f>
        <v/>
      </c>
      <c r="B606" s="37" t="str">
        <f>IF(Agent04_Loans!B16="","",Agent04_Loans!B16)</f>
        <v/>
      </c>
      <c r="C606" s="37" t="str">
        <f>IF(Agent04_Loans!B16="","",Agent04_Loans!C16)</f>
        <v/>
      </c>
      <c r="D606" s="38" t="str">
        <f>IF(Agent04_Loans!B16="","",Agent04_Loans!D16)</f>
        <v/>
      </c>
      <c r="E606" s="40" t="str">
        <f>IF(Agent04_Loans!B16="","",Agent04_Loans!E16)</f>
        <v/>
      </c>
      <c r="F606" s="37" t="str">
        <f>IF(Agent04_Loans!B16="","",Agent04_Loans!F16)</f>
        <v/>
      </c>
      <c r="G606" s="37" t="str">
        <f>IF(Agent04_Loans!B16="","",Agent04_Loans!G16)</f>
        <v/>
      </c>
      <c r="H606" s="37" t="str">
        <f>IF(Agent04_Loans!B16="","",Agent04_Loans!H16)</f>
        <v/>
      </c>
      <c r="I606" s="40" t="str">
        <f>IF(Agent04_Loans!B16="","",Agent04_Loans!I16)</f>
        <v/>
      </c>
      <c r="J606" s="40" t="str">
        <f>IF(Agent04_Loans!B16="","",Agent04_Loans!J16)</f>
        <v/>
      </c>
      <c r="K606" s="37" t="str">
        <f>IF(Agent04_Loans!B16="","",Agent04_Loans!K16)</f>
        <v/>
      </c>
      <c r="L606" s="37" t="str">
        <f>IF(Agent04_Loans!B16="","",Agent04_Loans!L16)</f>
        <v/>
      </c>
      <c r="M606" s="37" t="str">
        <f>IFERROR(IF(Agent04_Loans!B16="","",YEAR(Agent04_Loans!D16)),"")</f>
        <v/>
      </c>
    </row>
    <row r="607" spans="1:13" ht="18" customHeight="1" x14ac:dyDescent="0.25">
      <c r="A607" s="37" t="str">
        <f>IF(Agent04_Loans!B17="","",Agent04_Loans!A17)</f>
        <v/>
      </c>
      <c r="B607" s="37" t="str">
        <f>IF(Agent04_Loans!B17="","",Agent04_Loans!B17)</f>
        <v/>
      </c>
      <c r="C607" s="37" t="str">
        <f>IF(Agent04_Loans!B17="","",Agent04_Loans!C17)</f>
        <v/>
      </c>
      <c r="D607" s="38" t="str">
        <f>IF(Agent04_Loans!B17="","",Agent04_Loans!D17)</f>
        <v/>
      </c>
      <c r="E607" s="40" t="str">
        <f>IF(Agent04_Loans!B17="","",Agent04_Loans!E17)</f>
        <v/>
      </c>
      <c r="F607" s="37" t="str">
        <f>IF(Agent04_Loans!B17="","",Agent04_Loans!F17)</f>
        <v/>
      </c>
      <c r="G607" s="37" t="str">
        <f>IF(Agent04_Loans!B17="","",Agent04_Loans!G17)</f>
        <v/>
      </c>
      <c r="H607" s="37" t="str">
        <f>IF(Agent04_Loans!B17="","",Agent04_Loans!H17)</f>
        <v/>
      </c>
      <c r="I607" s="40" t="str">
        <f>IF(Agent04_Loans!B17="","",Agent04_Loans!I17)</f>
        <v/>
      </c>
      <c r="J607" s="40" t="str">
        <f>IF(Agent04_Loans!B17="","",Agent04_Loans!J17)</f>
        <v/>
      </c>
      <c r="K607" s="37" t="str">
        <f>IF(Agent04_Loans!B17="","",Agent04_Loans!K17)</f>
        <v/>
      </c>
      <c r="L607" s="37" t="str">
        <f>IF(Agent04_Loans!B17="","",Agent04_Loans!L17)</f>
        <v/>
      </c>
      <c r="M607" s="37" t="str">
        <f>IFERROR(IF(Agent04_Loans!B17="","",YEAR(Agent04_Loans!D17)),"")</f>
        <v/>
      </c>
    </row>
    <row r="608" spans="1:13" ht="18" customHeight="1" x14ac:dyDescent="0.25">
      <c r="A608" s="37" t="str">
        <f>IF(Agent04_Loans!B18="","",Agent04_Loans!A18)</f>
        <v/>
      </c>
      <c r="B608" s="37" t="str">
        <f>IF(Agent04_Loans!B18="","",Agent04_Loans!B18)</f>
        <v/>
      </c>
      <c r="C608" s="37" t="str">
        <f>IF(Agent04_Loans!B18="","",Agent04_Loans!C18)</f>
        <v/>
      </c>
      <c r="D608" s="38" t="str">
        <f>IF(Agent04_Loans!B18="","",Agent04_Loans!D18)</f>
        <v/>
      </c>
      <c r="E608" s="40" t="str">
        <f>IF(Agent04_Loans!B18="","",Agent04_Loans!E18)</f>
        <v/>
      </c>
      <c r="F608" s="37" t="str">
        <f>IF(Agent04_Loans!B18="","",Agent04_Loans!F18)</f>
        <v/>
      </c>
      <c r="G608" s="37" t="str">
        <f>IF(Agent04_Loans!B18="","",Agent04_Loans!G18)</f>
        <v/>
      </c>
      <c r="H608" s="37" t="str">
        <f>IF(Agent04_Loans!B18="","",Agent04_Loans!H18)</f>
        <v/>
      </c>
      <c r="I608" s="40" t="str">
        <f>IF(Agent04_Loans!B18="","",Agent04_Loans!I18)</f>
        <v/>
      </c>
      <c r="J608" s="40" t="str">
        <f>IF(Agent04_Loans!B18="","",Agent04_Loans!J18)</f>
        <v/>
      </c>
      <c r="K608" s="37" t="str">
        <f>IF(Agent04_Loans!B18="","",Agent04_Loans!K18)</f>
        <v/>
      </c>
      <c r="L608" s="37" t="str">
        <f>IF(Agent04_Loans!B18="","",Agent04_Loans!L18)</f>
        <v/>
      </c>
      <c r="M608" s="37" t="str">
        <f>IFERROR(IF(Agent04_Loans!B18="","",YEAR(Agent04_Loans!D18)),"")</f>
        <v/>
      </c>
    </row>
    <row r="609" spans="1:13" ht="18" customHeight="1" x14ac:dyDescent="0.25">
      <c r="A609" s="37" t="str">
        <f>IF(Agent04_Loans!B19="","",Agent04_Loans!A19)</f>
        <v/>
      </c>
      <c r="B609" s="37" t="str">
        <f>IF(Agent04_Loans!B19="","",Agent04_Loans!B19)</f>
        <v/>
      </c>
      <c r="C609" s="37" t="str">
        <f>IF(Agent04_Loans!B19="","",Agent04_Loans!C19)</f>
        <v/>
      </c>
      <c r="D609" s="38" t="str">
        <f>IF(Agent04_Loans!B19="","",Agent04_Loans!D19)</f>
        <v/>
      </c>
      <c r="E609" s="40" t="str">
        <f>IF(Agent04_Loans!B19="","",Agent04_Loans!E19)</f>
        <v/>
      </c>
      <c r="F609" s="37" t="str">
        <f>IF(Agent04_Loans!B19="","",Agent04_Loans!F19)</f>
        <v/>
      </c>
      <c r="G609" s="37" t="str">
        <f>IF(Agent04_Loans!B19="","",Agent04_Loans!G19)</f>
        <v/>
      </c>
      <c r="H609" s="37" t="str">
        <f>IF(Agent04_Loans!B19="","",Agent04_Loans!H19)</f>
        <v/>
      </c>
      <c r="I609" s="40" t="str">
        <f>IF(Agent04_Loans!B19="","",Agent04_Loans!I19)</f>
        <v/>
      </c>
      <c r="J609" s="40" t="str">
        <f>IF(Agent04_Loans!B19="","",Agent04_Loans!J19)</f>
        <v/>
      </c>
      <c r="K609" s="37" t="str">
        <f>IF(Agent04_Loans!B19="","",Agent04_Loans!K19)</f>
        <v/>
      </c>
      <c r="L609" s="37" t="str">
        <f>IF(Agent04_Loans!B19="","",Agent04_Loans!L19)</f>
        <v/>
      </c>
      <c r="M609" s="37" t="str">
        <f>IFERROR(IF(Agent04_Loans!B19="","",YEAR(Agent04_Loans!D19)),"")</f>
        <v/>
      </c>
    </row>
    <row r="610" spans="1:13" ht="18" customHeight="1" x14ac:dyDescent="0.25">
      <c r="A610" s="37" t="str">
        <f>IF(Agent04_Loans!B20="","",Agent04_Loans!A20)</f>
        <v/>
      </c>
      <c r="B610" s="37" t="str">
        <f>IF(Agent04_Loans!B20="","",Agent04_Loans!B20)</f>
        <v/>
      </c>
      <c r="C610" s="37" t="str">
        <f>IF(Agent04_Loans!B20="","",Agent04_Loans!C20)</f>
        <v/>
      </c>
      <c r="D610" s="38" t="str">
        <f>IF(Agent04_Loans!B20="","",Agent04_Loans!D20)</f>
        <v/>
      </c>
      <c r="E610" s="40" t="str">
        <f>IF(Agent04_Loans!B20="","",Agent04_Loans!E20)</f>
        <v/>
      </c>
      <c r="F610" s="37" t="str">
        <f>IF(Agent04_Loans!B20="","",Agent04_Loans!F20)</f>
        <v/>
      </c>
      <c r="G610" s="37" t="str">
        <f>IF(Agent04_Loans!B20="","",Agent04_Loans!G20)</f>
        <v/>
      </c>
      <c r="H610" s="37" t="str">
        <f>IF(Agent04_Loans!B20="","",Agent04_Loans!H20)</f>
        <v/>
      </c>
      <c r="I610" s="40" t="str">
        <f>IF(Agent04_Loans!B20="","",Agent04_Loans!I20)</f>
        <v/>
      </c>
      <c r="J610" s="40" t="str">
        <f>IF(Agent04_Loans!B20="","",Agent04_Loans!J20)</f>
        <v/>
      </c>
      <c r="K610" s="37" t="str">
        <f>IF(Agent04_Loans!B20="","",Agent04_Loans!K20)</f>
        <v/>
      </c>
      <c r="L610" s="37" t="str">
        <f>IF(Agent04_Loans!B20="","",Agent04_Loans!L20)</f>
        <v/>
      </c>
      <c r="M610" s="37" t="str">
        <f>IFERROR(IF(Agent04_Loans!B20="","",YEAR(Agent04_Loans!D20)),"")</f>
        <v/>
      </c>
    </row>
    <row r="611" spans="1:13" ht="18" customHeight="1" x14ac:dyDescent="0.25">
      <c r="A611" s="37" t="str">
        <f>IF(Agent04_Loans!B21="","",Agent04_Loans!A21)</f>
        <v/>
      </c>
      <c r="B611" s="37" t="str">
        <f>IF(Agent04_Loans!B21="","",Agent04_Loans!B21)</f>
        <v/>
      </c>
      <c r="C611" s="37" t="str">
        <f>IF(Agent04_Loans!B21="","",Agent04_Loans!C21)</f>
        <v/>
      </c>
      <c r="D611" s="38" t="str">
        <f>IF(Agent04_Loans!B21="","",Agent04_Loans!D21)</f>
        <v/>
      </c>
      <c r="E611" s="40" t="str">
        <f>IF(Agent04_Loans!B21="","",Agent04_Loans!E21)</f>
        <v/>
      </c>
      <c r="F611" s="37" t="str">
        <f>IF(Agent04_Loans!B21="","",Agent04_Loans!F21)</f>
        <v/>
      </c>
      <c r="G611" s="37" t="str">
        <f>IF(Agent04_Loans!B21="","",Agent04_Loans!G21)</f>
        <v/>
      </c>
      <c r="H611" s="37" t="str">
        <f>IF(Agent04_Loans!B21="","",Agent04_Loans!H21)</f>
        <v/>
      </c>
      <c r="I611" s="40" t="str">
        <f>IF(Agent04_Loans!B21="","",Agent04_Loans!I21)</f>
        <v/>
      </c>
      <c r="J611" s="40" t="str">
        <f>IF(Agent04_Loans!B21="","",Agent04_Loans!J21)</f>
        <v/>
      </c>
      <c r="K611" s="37" t="str">
        <f>IF(Agent04_Loans!B21="","",Agent04_Loans!K21)</f>
        <v/>
      </c>
      <c r="L611" s="37" t="str">
        <f>IF(Agent04_Loans!B21="","",Agent04_Loans!L21)</f>
        <v/>
      </c>
      <c r="M611" s="37" t="str">
        <f>IFERROR(IF(Agent04_Loans!B21="","",YEAR(Agent04_Loans!D21)),"")</f>
        <v/>
      </c>
    </row>
    <row r="612" spans="1:13" ht="18" customHeight="1" x14ac:dyDescent="0.25">
      <c r="A612" s="37" t="str">
        <f>IF(Agent04_Loans!B22="","",Agent04_Loans!A22)</f>
        <v/>
      </c>
      <c r="B612" s="37" t="str">
        <f>IF(Agent04_Loans!B22="","",Agent04_Loans!B22)</f>
        <v/>
      </c>
      <c r="C612" s="37" t="str">
        <f>IF(Agent04_Loans!B22="","",Agent04_Loans!C22)</f>
        <v/>
      </c>
      <c r="D612" s="38" t="str">
        <f>IF(Agent04_Loans!B22="","",Agent04_Loans!D22)</f>
        <v/>
      </c>
      <c r="E612" s="40" t="str">
        <f>IF(Agent04_Loans!B22="","",Agent04_Loans!E22)</f>
        <v/>
      </c>
      <c r="F612" s="37" t="str">
        <f>IF(Agent04_Loans!B22="","",Agent04_Loans!F22)</f>
        <v/>
      </c>
      <c r="G612" s="37" t="str">
        <f>IF(Agent04_Loans!B22="","",Agent04_Loans!G22)</f>
        <v/>
      </c>
      <c r="H612" s="37" t="str">
        <f>IF(Agent04_Loans!B22="","",Agent04_Loans!H22)</f>
        <v/>
      </c>
      <c r="I612" s="40" t="str">
        <f>IF(Agent04_Loans!B22="","",Agent04_Loans!I22)</f>
        <v/>
      </c>
      <c r="J612" s="40" t="str">
        <f>IF(Agent04_Loans!B22="","",Agent04_Loans!J22)</f>
        <v/>
      </c>
      <c r="K612" s="37" t="str">
        <f>IF(Agent04_Loans!B22="","",Agent04_Loans!K22)</f>
        <v/>
      </c>
      <c r="L612" s="37" t="str">
        <f>IF(Agent04_Loans!B22="","",Agent04_Loans!L22)</f>
        <v/>
      </c>
      <c r="M612" s="37" t="str">
        <f>IFERROR(IF(Agent04_Loans!B22="","",YEAR(Agent04_Loans!D22)),"")</f>
        <v/>
      </c>
    </row>
    <row r="613" spans="1:13" ht="18" customHeight="1" x14ac:dyDescent="0.25">
      <c r="A613" s="37" t="str">
        <f>IF(Agent04_Loans!B23="","",Agent04_Loans!A23)</f>
        <v/>
      </c>
      <c r="B613" s="37" t="str">
        <f>IF(Agent04_Loans!B23="","",Agent04_Loans!B23)</f>
        <v/>
      </c>
      <c r="C613" s="37" t="str">
        <f>IF(Agent04_Loans!B23="","",Agent04_Loans!C23)</f>
        <v/>
      </c>
      <c r="D613" s="38" t="str">
        <f>IF(Agent04_Loans!B23="","",Agent04_Loans!D23)</f>
        <v/>
      </c>
      <c r="E613" s="40" t="str">
        <f>IF(Agent04_Loans!B23="","",Agent04_Loans!E23)</f>
        <v/>
      </c>
      <c r="F613" s="37" t="str">
        <f>IF(Agent04_Loans!B23="","",Agent04_Loans!F23)</f>
        <v/>
      </c>
      <c r="G613" s="37" t="str">
        <f>IF(Agent04_Loans!B23="","",Agent04_Loans!G23)</f>
        <v/>
      </c>
      <c r="H613" s="37" t="str">
        <f>IF(Agent04_Loans!B23="","",Agent04_Loans!H23)</f>
        <v/>
      </c>
      <c r="I613" s="40" t="str">
        <f>IF(Agent04_Loans!B23="","",Agent04_Loans!I23)</f>
        <v/>
      </c>
      <c r="J613" s="40" t="str">
        <f>IF(Agent04_Loans!B23="","",Agent04_Loans!J23)</f>
        <v/>
      </c>
      <c r="K613" s="37" t="str">
        <f>IF(Agent04_Loans!B23="","",Agent04_Loans!K23)</f>
        <v/>
      </c>
      <c r="L613" s="37" t="str">
        <f>IF(Agent04_Loans!B23="","",Agent04_Loans!L23)</f>
        <v/>
      </c>
      <c r="M613" s="37" t="str">
        <f>IFERROR(IF(Agent04_Loans!B23="","",YEAR(Agent04_Loans!D23)),"")</f>
        <v/>
      </c>
    </row>
    <row r="614" spans="1:13" ht="18" customHeight="1" x14ac:dyDescent="0.25">
      <c r="A614" s="37" t="str">
        <f>IF(Agent04_Loans!B24="","",Agent04_Loans!A24)</f>
        <v/>
      </c>
      <c r="B614" s="37" t="str">
        <f>IF(Agent04_Loans!B24="","",Agent04_Loans!B24)</f>
        <v/>
      </c>
      <c r="C614" s="37" t="str">
        <f>IF(Agent04_Loans!B24="","",Agent04_Loans!C24)</f>
        <v/>
      </c>
      <c r="D614" s="38" t="str">
        <f>IF(Agent04_Loans!B24="","",Agent04_Loans!D24)</f>
        <v/>
      </c>
      <c r="E614" s="40" t="str">
        <f>IF(Agent04_Loans!B24="","",Agent04_Loans!E24)</f>
        <v/>
      </c>
      <c r="F614" s="37" t="str">
        <f>IF(Agent04_Loans!B24="","",Agent04_Loans!F24)</f>
        <v/>
      </c>
      <c r="G614" s="37" t="str">
        <f>IF(Agent04_Loans!B24="","",Agent04_Loans!G24)</f>
        <v/>
      </c>
      <c r="H614" s="37" t="str">
        <f>IF(Agent04_Loans!B24="","",Agent04_Loans!H24)</f>
        <v/>
      </c>
      <c r="I614" s="40" t="str">
        <f>IF(Agent04_Loans!B24="","",Agent04_Loans!I24)</f>
        <v/>
      </c>
      <c r="J614" s="40" t="str">
        <f>IF(Agent04_Loans!B24="","",Agent04_Loans!J24)</f>
        <v/>
      </c>
      <c r="K614" s="37" t="str">
        <f>IF(Agent04_Loans!B24="","",Agent04_Loans!K24)</f>
        <v/>
      </c>
      <c r="L614" s="37" t="str">
        <f>IF(Agent04_Loans!B24="","",Agent04_Loans!L24)</f>
        <v/>
      </c>
      <c r="M614" s="37" t="str">
        <f>IFERROR(IF(Agent04_Loans!B24="","",YEAR(Agent04_Loans!D24)),"")</f>
        <v/>
      </c>
    </row>
    <row r="615" spans="1:13" ht="18" customHeight="1" x14ac:dyDescent="0.25">
      <c r="A615" s="37" t="str">
        <f>IF(Agent04_Loans!B25="","",Agent04_Loans!A25)</f>
        <v/>
      </c>
      <c r="B615" s="37" t="str">
        <f>IF(Agent04_Loans!B25="","",Agent04_Loans!B25)</f>
        <v/>
      </c>
      <c r="C615" s="37" t="str">
        <f>IF(Agent04_Loans!B25="","",Agent04_Loans!C25)</f>
        <v/>
      </c>
      <c r="D615" s="38" t="str">
        <f>IF(Agent04_Loans!B25="","",Agent04_Loans!D25)</f>
        <v/>
      </c>
      <c r="E615" s="40" t="str">
        <f>IF(Agent04_Loans!B25="","",Agent04_Loans!E25)</f>
        <v/>
      </c>
      <c r="F615" s="37" t="str">
        <f>IF(Agent04_Loans!B25="","",Agent04_Loans!F25)</f>
        <v/>
      </c>
      <c r="G615" s="37" t="str">
        <f>IF(Agent04_Loans!B25="","",Agent04_Loans!G25)</f>
        <v/>
      </c>
      <c r="H615" s="37" t="str">
        <f>IF(Agent04_Loans!B25="","",Agent04_Loans!H25)</f>
        <v/>
      </c>
      <c r="I615" s="40" t="str">
        <f>IF(Agent04_Loans!B25="","",Agent04_Loans!I25)</f>
        <v/>
      </c>
      <c r="J615" s="40" t="str">
        <f>IF(Agent04_Loans!B25="","",Agent04_Loans!J25)</f>
        <v/>
      </c>
      <c r="K615" s="37" t="str">
        <f>IF(Agent04_Loans!B25="","",Agent04_Loans!K25)</f>
        <v/>
      </c>
      <c r="L615" s="37" t="str">
        <f>IF(Agent04_Loans!B25="","",Agent04_Loans!L25)</f>
        <v/>
      </c>
      <c r="M615" s="37" t="str">
        <f>IFERROR(IF(Agent04_Loans!B25="","",YEAR(Agent04_Loans!D25)),"")</f>
        <v/>
      </c>
    </row>
    <row r="616" spans="1:13" ht="18" customHeight="1" x14ac:dyDescent="0.25">
      <c r="A616" s="37" t="str">
        <f>IF(Agent04_Loans!B26="","",Agent04_Loans!A26)</f>
        <v/>
      </c>
      <c r="B616" s="37" t="str">
        <f>IF(Agent04_Loans!B26="","",Agent04_Loans!B26)</f>
        <v/>
      </c>
      <c r="C616" s="37" t="str">
        <f>IF(Agent04_Loans!B26="","",Agent04_Loans!C26)</f>
        <v/>
      </c>
      <c r="D616" s="38" t="str">
        <f>IF(Agent04_Loans!B26="","",Agent04_Loans!D26)</f>
        <v/>
      </c>
      <c r="E616" s="40" t="str">
        <f>IF(Agent04_Loans!B26="","",Agent04_Loans!E26)</f>
        <v/>
      </c>
      <c r="F616" s="37" t="str">
        <f>IF(Agent04_Loans!B26="","",Agent04_Loans!F26)</f>
        <v/>
      </c>
      <c r="G616" s="37" t="str">
        <f>IF(Agent04_Loans!B26="","",Agent04_Loans!G26)</f>
        <v/>
      </c>
      <c r="H616" s="37" t="str">
        <f>IF(Agent04_Loans!B26="","",Agent04_Loans!H26)</f>
        <v/>
      </c>
      <c r="I616" s="40" t="str">
        <f>IF(Agent04_Loans!B26="","",Agent04_Loans!I26)</f>
        <v/>
      </c>
      <c r="J616" s="40" t="str">
        <f>IF(Agent04_Loans!B26="","",Agent04_Loans!J26)</f>
        <v/>
      </c>
      <c r="K616" s="37" t="str">
        <f>IF(Agent04_Loans!B26="","",Agent04_Loans!K26)</f>
        <v/>
      </c>
      <c r="L616" s="37" t="str">
        <f>IF(Agent04_Loans!B26="","",Agent04_Loans!L26)</f>
        <v/>
      </c>
      <c r="M616" s="37" t="str">
        <f>IFERROR(IF(Agent04_Loans!B26="","",YEAR(Agent04_Loans!D26)),"")</f>
        <v/>
      </c>
    </row>
    <row r="617" spans="1:13" ht="18" customHeight="1" x14ac:dyDescent="0.25">
      <c r="A617" s="37" t="str">
        <f>IF(Agent04_Loans!B27="","",Agent04_Loans!A27)</f>
        <v/>
      </c>
      <c r="B617" s="37" t="str">
        <f>IF(Agent04_Loans!B27="","",Agent04_Loans!B27)</f>
        <v/>
      </c>
      <c r="C617" s="37" t="str">
        <f>IF(Agent04_Loans!B27="","",Agent04_Loans!C27)</f>
        <v/>
      </c>
      <c r="D617" s="38" t="str">
        <f>IF(Agent04_Loans!B27="","",Agent04_Loans!D27)</f>
        <v/>
      </c>
      <c r="E617" s="40" t="str">
        <f>IF(Agent04_Loans!B27="","",Agent04_Loans!E27)</f>
        <v/>
      </c>
      <c r="F617" s="37" t="str">
        <f>IF(Agent04_Loans!B27="","",Agent04_Loans!F27)</f>
        <v/>
      </c>
      <c r="G617" s="37" t="str">
        <f>IF(Agent04_Loans!B27="","",Agent04_Loans!G27)</f>
        <v/>
      </c>
      <c r="H617" s="37" t="str">
        <f>IF(Agent04_Loans!B27="","",Agent04_Loans!H27)</f>
        <v/>
      </c>
      <c r="I617" s="40" t="str">
        <f>IF(Agent04_Loans!B27="","",Agent04_Loans!I27)</f>
        <v/>
      </c>
      <c r="J617" s="40" t="str">
        <f>IF(Agent04_Loans!B27="","",Agent04_Loans!J27)</f>
        <v/>
      </c>
      <c r="K617" s="37" t="str">
        <f>IF(Agent04_Loans!B27="","",Agent04_Loans!K27)</f>
        <v/>
      </c>
      <c r="L617" s="37" t="str">
        <f>IF(Agent04_Loans!B27="","",Agent04_Loans!L27)</f>
        <v/>
      </c>
      <c r="M617" s="37" t="str">
        <f>IFERROR(IF(Agent04_Loans!B27="","",YEAR(Agent04_Loans!D27)),"")</f>
        <v/>
      </c>
    </row>
    <row r="618" spans="1:13" ht="18" customHeight="1" x14ac:dyDescent="0.25">
      <c r="A618" s="37" t="str">
        <f>IF(Agent04_Loans!B28="","",Agent04_Loans!A28)</f>
        <v/>
      </c>
      <c r="B618" s="37" t="str">
        <f>IF(Agent04_Loans!B28="","",Agent04_Loans!B28)</f>
        <v/>
      </c>
      <c r="C618" s="37" t="str">
        <f>IF(Agent04_Loans!B28="","",Agent04_Loans!C28)</f>
        <v/>
      </c>
      <c r="D618" s="38" t="str">
        <f>IF(Agent04_Loans!B28="","",Agent04_Loans!D28)</f>
        <v/>
      </c>
      <c r="E618" s="40" t="str">
        <f>IF(Agent04_Loans!B28="","",Agent04_Loans!E28)</f>
        <v/>
      </c>
      <c r="F618" s="37" t="str">
        <f>IF(Agent04_Loans!B28="","",Agent04_Loans!F28)</f>
        <v/>
      </c>
      <c r="G618" s="37" t="str">
        <f>IF(Agent04_Loans!B28="","",Agent04_Loans!G28)</f>
        <v/>
      </c>
      <c r="H618" s="37" t="str">
        <f>IF(Agent04_Loans!B28="","",Agent04_Loans!H28)</f>
        <v/>
      </c>
      <c r="I618" s="40" t="str">
        <f>IF(Agent04_Loans!B28="","",Agent04_Loans!I28)</f>
        <v/>
      </c>
      <c r="J618" s="40" t="str">
        <f>IF(Agent04_Loans!B28="","",Agent04_Loans!J28)</f>
        <v/>
      </c>
      <c r="K618" s="37" t="str">
        <f>IF(Agent04_Loans!B28="","",Agent04_Loans!K28)</f>
        <v/>
      </c>
      <c r="L618" s="37" t="str">
        <f>IF(Agent04_Loans!B28="","",Agent04_Loans!L28)</f>
        <v/>
      </c>
      <c r="M618" s="37" t="str">
        <f>IFERROR(IF(Agent04_Loans!B28="","",YEAR(Agent04_Loans!D28)),"")</f>
        <v/>
      </c>
    </row>
    <row r="619" spans="1:13" ht="18" customHeight="1" x14ac:dyDescent="0.25">
      <c r="A619" s="37" t="str">
        <f>IF(Agent04_Loans!B29="","",Agent04_Loans!A29)</f>
        <v/>
      </c>
      <c r="B619" s="37" t="str">
        <f>IF(Agent04_Loans!B29="","",Agent04_Loans!B29)</f>
        <v/>
      </c>
      <c r="C619" s="37" t="str">
        <f>IF(Agent04_Loans!B29="","",Agent04_Loans!C29)</f>
        <v/>
      </c>
      <c r="D619" s="38" t="str">
        <f>IF(Agent04_Loans!B29="","",Agent04_Loans!D29)</f>
        <v/>
      </c>
      <c r="E619" s="40" t="str">
        <f>IF(Agent04_Loans!B29="","",Agent04_Loans!E29)</f>
        <v/>
      </c>
      <c r="F619" s="37" t="str">
        <f>IF(Agent04_Loans!B29="","",Agent04_Loans!F29)</f>
        <v/>
      </c>
      <c r="G619" s="37" t="str">
        <f>IF(Agent04_Loans!B29="","",Agent04_Loans!G29)</f>
        <v/>
      </c>
      <c r="H619" s="37" t="str">
        <f>IF(Agent04_Loans!B29="","",Agent04_Loans!H29)</f>
        <v/>
      </c>
      <c r="I619" s="40" t="str">
        <f>IF(Agent04_Loans!B29="","",Agent04_Loans!I29)</f>
        <v/>
      </c>
      <c r="J619" s="40" t="str">
        <f>IF(Agent04_Loans!B29="","",Agent04_Loans!J29)</f>
        <v/>
      </c>
      <c r="K619" s="37" t="str">
        <f>IF(Agent04_Loans!B29="","",Agent04_Loans!K29)</f>
        <v/>
      </c>
      <c r="L619" s="37" t="str">
        <f>IF(Agent04_Loans!B29="","",Agent04_Loans!L29)</f>
        <v/>
      </c>
      <c r="M619" s="37" t="str">
        <f>IFERROR(IF(Agent04_Loans!B29="","",YEAR(Agent04_Loans!D29)),"")</f>
        <v/>
      </c>
    </row>
    <row r="620" spans="1:13" ht="18" customHeight="1" x14ac:dyDescent="0.25">
      <c r="A620" s="37" t="str">
        <f>IF(Agent04_Loans!B30="","",Agent04_Loans!A30)</f>
        <v/>
      </c>
      <c r="B620" s="37" t="str">
        <f>IF(Agent04_Loans!B30="","",Agent04_Loans!B30)</f>
        <v/>
      </c>
      <c r="C620" s="37" t="str">
        <f>IF(Agent04_Loans!B30="","",Agent04_Loans!C30)</f>
        <v/>
      </c>
      <c r="D620" s="38" t="str">
        <f>IF(Agent04_Loans!B30="","",Agent04_Loans!D30)</f>
        <v/>
      </c>
      <c r="E620" s="40" t="str">
        <f>IF(Agent04_Loans!B30="","",Agent04_Loans!E30)</f>
        <v/>
      </c>
      <c r="F620" s="37" t="str">
        <f>IF(Agent04_Loans!B30="","",Agent04_Loans!F30)</f>
        <v/>
      </c>
      <c r="G620" s="37" t="str">
        <f>IF(Agent04_Loans!B30="","",Agent04_Loans!G30)</f>
        <v/>
      </c>
      <c r="H620" s="37" t="str">
        <f>IF(Agent04_Loans!B30="","",Agent04_Loans!H30)</f>
        <v/>
      </c>
      <c r="I620" s="40" t="str">
        <f>IF(Agent04_Loans!B30="","",Agent04_Loans!I30)</f>
        <v/>
      </c>
      <c r="J620" s="40" t="str">
        <f>IF(Agent04_Loans!B30="","",Agent04_Loans!J30)</f>
        <v/>
      </c>
      <c r="K620" s="37" t="str">
        <f>IF(Agent04_Loans!B30="","",Agent04_Loans!K30)</f>
        <v/>
      </c>
      <c r="L620" s="37" t="str">
        <f>IF(Agent04_Loans!B30="","",Agent04_Loans!L30)</f>
        <v/>
      </c>
      <c r="M620" s="37" t="str">
        <f>IFERROR(IF(Agent04_Loans!B30="","",YEAR(Agent04_Loans!D30)),"")</f>
        <v/>
      </c>
    </row>
    <row r="621" spans="1:13" ht="18" customHeight="1" x14ac:dyDescent="0.25">
      <c r="A621" s="37" t="str">
        <f>IF(Agent04_Loans!B31="","",Agent04_Loans!A31)</f>
        <v/>
      </c>
      <c r="B621" s="37" t="str">
        <f>IF(Agent04_Loans!B31="","",Agent04_Loans!B31)</f>
        <v/>
      </c>
      <c r="C621" s="37" t="str">
        <f>IF(Agent04_Loans!B31="","",Agent04_Loans!C31)</f>
        <v/>
      </c>
      <c r="D621" s="38" t="str">
        <f>IF(Agent04_Loans!B31="","",Agent04_Loans!D31)</f>
        <v/>
      </c>
      <c r="E621" s="40" t="str">
        <f>IF(Agent04_Loans!B31="","",Agent04_Loans!E31)</f>
        <v/>
      </c>
      <c r="F621" s="37" t="str">
        <f>IF(Agent04_Loans!B31="","",Agent04_Loans!F31)</f>
        <v/>
      </c>
      <c r="G621" s="37" t="str">
        <f>IF(Agent04_Loans!B31="","",Agent04_Loans!G31)</f>
        <v/>
      </c>
      <c r="H621" s="37" t="str">
        <f>IF(Agent04_Loans!B31="","",Agent04_Loans!H31)</f>
        <v/>
      </c>
      <c r="I621" s="40" t="str">
        <f>IF(Agent04_Loans!B31="","",Agent04_Loans!I31)</f>
        <v/>
      </c>
      <c r="J621" s="40" t="str">
        <f>IF(Agent04_Loans!B31="","",Agent04_Loans!J31)</f>
        <v/>
      </c>
      <c r="K621" s="37" t="str">
        <f>IF(Agent04_Loans!B31="","",Agent04_Loans!K31)</f>
        <v/>
      </c>
      <c r="L621" s="37" t="str">
        <f>IF(Agent04_Loans!B31="","",Agent04_Loans!L31)</f>
        <v/>
      </c>
      <c r="M621" s="37" t="str">
        <f>IFERROR(IF(Agent04_Loans!B31="","",YEAR(Agent04_Loans!D31)),"")</f>
        <v/>
      </c>
    </row>
    <row r="622" spans="1:13" ht="18" customHeight="1" x14ac:dyDescent="0.25">
      <c r="A622" s="37" t="str">
        <f>IF(Agent04_Loans!B32="","",Agent04_Loans!A32)</f>
        <v/>
      </c>
      <c r="B622" s="37" t="str">
        <f>IF(Agent04_Loans!B32="","",Agent04_Loans!B32)</f>
        <v/>
      </c>
      <c r="C622" s="37" t="str">
        <f>IF(Agent04_Loans!B32="","",Agent04_Loans!C32)</f>
        <v/>
      </c>
      <c r="D622" s="38" t="str">
        <f>IF(Agent04_Loans!B32="","",Agent04_Loans!D32)</f>
        <v/>
      </c>
      <c r="E622" s="40" t="str">
        <f>IF(Agent04_Loans!B32="","",Agent04_Loans!E32)</f>
        <v/>
      </c>
      <c r="F622" s="37" t="str">
        <f>IF(Agent04_Loans!B32="","",Agent04_Loans!F32)</f>
        <v/>
      </c>
      <c r="G622" s="37" t="str">
        <f>IF(Agent04_Loans!B32="","",Agent04_Loans!G32)</f>
        <v/>
      </c>
      <c r="H622" s="37" t="str">
        <f>IF(Agent04_Loans!B32="","",Agent04_Loans!H32)</f>
        <v/>
      </c>
      <c r="I622" s="40" t="str">
        <f>IF(Agent04_Loans!B32="","",Agent04_Loans!I32)</f>
        <v/>
      </c>
      <c r="J622" s="40" t="str">
        <f>IF(Agent04_Loans!B32="","",Agent04_Loans!J32)</f>
        <v/>
      </c>
      <c r="K622" s="37" t="str">
        <f>IF(Agent04_Loans!B32="","",Agent04_Loans!K32)</f>
        <v/>
      </c>
      <c r="L622" s="37" t="str">
        <f>IF(Agent04_Loans!B32="","",Agent04_Loans!L32)</f>
        <v/>
      </c>
      <c r="M622" s="37" t="str">
        <f>IFERROR(IF(Agent04_Loans!B32="","",YEAR(Agent04_Loans!D32)),"")</f>
        <v/>
      </c>
    </row>
    <row r="623" spans="1:13" ht="18" customHeight="1" x14ac:dyDescent="0.25">
      <c r="A623" s="37" t="str">
        <f>IF(Agent04_Loans!B33="","",Agent04_Loans!A33)</f>
        <v/>
      </c>
      <c r="B623" s="37" t="str">
        <f>IF(Agent04_Loans!B33="","",Agent04_Loans!B33)</f>
        <v/>
      </c>
      <c r="C623" s="37" t="str">
        <f>IF(Agent04_Loans!B33="","",Agent04_Loans!C33)</f>
        <v/>
      </c>
      <c r="D623" s="38" t="str">
        <f>IF(Agent04_Loans!B33="","",Agent04_Loans!D33)</f>
        <v/>
      </c>
      <c r="E623" s="40" t="str">
        <f>IF(Agent04_Loans!B33="","",Agent04_Loans!E33)</f>
        <v/>
      </c>
      <c r="F623" s="37" t="str">
        <f>IF(Agent04_Loans!B33="","",Agent04_Loans!F33)</f>
        <v/>
      </c>
      <c r="G623" s="37" t="str">
        <f>IF(Agent04_Loans!B33="","",Agent04_Loans!G33)</f>
        <v/>
      </c>
      <c r="H623" s="37" t="str">
        <f>IF(Agent04_Loans!B33="","",Agent04_Loans!H33)</f>
        <v/>
      </c>
      <c r="I623" s="40" t="str">
        <f>IF(Agent04_Loans!B33="","",Agent04_Loans!I33)</f>
        <v/>
      </c>
      <c r="J623" s="40" t="str">
        <f>IF(Agent04_Loans!B33="","",Agent04_Loans!J33)</f>
        <v/>
      </c>
      <c r="K623" s="37" t="str">
        <f>IF(Agent04_Loans!B33="","",Agent04_Loans!K33)</f>
        <v/>
      </c>
      <c r="L623" s="37" t="str">
        <f>IF(Agent04_Loans!B33="","",Agent04_Loans!L33)</f>
        <v/>
      </c>
      <c r="M623" s="37" t="str">
        <f>IFERROR(IF(Agent04_Loans!B33="","",YEAR(Agent04_Loans!D33)),"")</f>
        <v/>
      </c>
    </row>
    <row r="624" spans="1:13" ht="18" customHeight="1" x14ac:dyDescent="0.25">
      <c r="A624" s="37" t="str">
        <f>IF(Agent04_Loans!B34="","",Agent04_Loans!A34)</f>
        <v/>
      </c>
      <c r="B624" s="37" t="str">
        <f>IF(Agent04_Loans!B34="","",Agent04_Loans!B34)</f>
        <v/>
      </c>
      <c r="C624" s="37" t="str">
        <f>IF(Agent04_Loans!B34="","",Agent04_Loans!C34)</f>
        <v/>
      </c>
      <c r="D624" s="38" t="str">
        <f>IF(Agent04_Loans!B34="","",Agent04_Loans!D34)</f>
        <v/>
      </c>
      <c r="E624" s="40" t="str">
        <f>IF(Agent04_Loans!B34="","",Agent04_Loans!E34)</f>
        <v/>
      </c>
      <c r="F624" s="37" t="str">
        <f>IF(Agent04_Loans!B34="","",Agent04_Loans!F34)</f>
        <v/>
      </c>
      <c r="G624" s="37" t="str">
        <f>IF(Agent04_Loans!B34="","",Agent04_Loans!G34)</f>
        <v/>
      </c>
      <c r="H624" s="37" t="str">
        <f>IF(Agent04_Loans!B34="","",Agent04_Loans!H34)</f>
        <v/>
      </c>
      <c r="I624" s="40" t="str">
        <f>IF(Agent04_Loans!B34="","",Agent04_Loans!I34)</f>
        <v/>
      </c>
      <c r="J624" s="40" t="str">
        <f>IF(Agent04_Loans!B34="","",Agent04_Loans!J34)</f>
        <v/>
      </c>
      <c r="K624" s="37" t="str">
        <f>IF(Agent04_Loans!B34="","",Agent04_Loans!K34)</f>
        <v/>
      </c>
      <c r="L624" s="37" t="str">
        <f>IF(Agent04_Loans!B34="","",Agent04_Loans!L34)</f>
        <v/>
      </c>
      <c r="M624" s="37" t="str">
        <f>IFERROR(IF(Agent04_Loans!B34="","",YEAR(Agent04_Loans!D34)),"")</f>
        <v/>
      </c>
    </row>
    <row r="625" spans="1:13" ht="18" customHeight="1" x14ac:dyDescent="0.25">
      <c r="A625" s="37" t="str">
        <f>IF(Agent04_Loans!B35="","",Agent04_Loans!A35)</f>
        <v/>
      </c>
      <c r="B625" s="37" t="str">
        <f>IF(Agent04_Loans!B35="","",Agent04_Loans!B35)</f>
        <v/>
      </c>
      <c r="C625" s="37" t="str">
        <f>IF(Agent04_Loans!B35="","",Agent04_Loans!C35)</f>
        <v/>
      </c>
      <c r="D625" s="38" t="str">
        <f>IF(Agent04_Loans!B35="","",Agent04_Loans!D35)</f>
        <v/>
      </c>
      <c r="E625" s="40" t="str">
        <f>IF(Agent04_Loans!B35="","",Agent04_Loans!E35)</f>
        <v/>
      </c>
      <c r="F625" s="37" t="str">
        <f>IF(Agent04_Loans!B35="","",Agent04_Loans!F35)</f>
        <v/>
      </c>
      <c r="G625" s="37" t="str">
        <f>IF(Agent04_Loans!B35="","",Agent04_Loans!G35)</f>
        <v/>
      </c>
      <c r="H625" s="37" t="str">
        <f>IF(Agent04_Loans!B35="","",Agent04_Loans!H35)</f>
        <v/>
      </c>
      <c r="I625" s="40" t="str">
        <f>IF(Agent04_Loans!B35="","",Agent04_Loans!I35)</f>
        <v/>
      </c>
      <c r="J625" s="40" t="str">
        <f>IF(Agent04_Loans!B35="","",Agent04_Loans!J35)</f>
        <v/>
      </c>
      <c r="K625" s="37" t="str">
        <f>IF(Agent04_Loans!B35="","",Agent04_Loans!K35)</f>
        <v/>
      </c>
      <c r="L625" s="37" t="str">
        <f>IF(Agent04_Loans!B35="","",Agent04_Loans!L35)</f>
        <v/>
      </c>
      <c r="M625" s="37" t="str">
        <f>IFERROR(IF(Agent04_Loans!B35="","",YEAR(Agent04_Loans!D35)),"")</f>
        <v/>
      </c>
    </row>
    <row r="626" spans="1:13" ht="18" customHeight="1" x14ac:dyDescent="0.25">
      <c r="A626" s="37" t="str">
        <f>IF(Agent04_Loans!B36="","",Agent04_Loans!A36)</f>
        <v/>
      </c>
      <c r="B626" s="37" t="str">
        <f>IF(Agent04_Loans!B36="","",Agent04_Loans!B36)</f>
        <v/>
      </c>
      <c r="C626" s="37" t="str">
        <f>IF(Agent04_Loans!B36="","",Agent04_Loans!C36)</f>
        <v/>
      </c>
      <c r="D626" s="38" t="str">
        <f>IF(Agent04_Loans!B36="","",Agent04_Loans!D36)</f>
        <v/>
      </c>
      <c r="E626" s="40" t="str">
        <f>IF(Agent04_Loans!B36="","",Agent04_Loans!E36)</f>
        <v/>
      </c>
      <c r="F626" s="37" t="str">
        <f>IF(Agent04_Loans!B36="","",Agent04_Loans!F36)</f>
        <v/>
      </c>
      <c r="G626" s="37" t="str">
        <f>IF(Agent04_Loans!B36="","",Agent04_Loans!G36)</f>
        <v/>
      </c>
      <c r="H626" s="37" t="str">
        <f>IF(Agent04_Loans!B36="","",Agent04_Loans!H36)</f>
        <v/>
      </c>
      <c r="I626" s="40" t="str">
        <f>IF(Agent04_Loans!B36="","",Agent04_Loans!I36)</f>
        <v/>
      </c>
      <c r="J626" s="40" t="str">
        <f>IF(Agent04_Loans!B36="","",Agent04_Loans!J36)</f>
        <v/>
      </c>
      <c r="K626" s="37" t="str">
        <f>IF(Agent04_Loans!B36="","",Agent04_Loans!K36)</f>
        <v/>
      </c>
      <c r="L626" s="37" t="str">
        <f>IF(Agent04_Loans!B36="","",Agent04_Loans!L36)</f>
        <v/>
      </c>
      <c r="M626" s="37" t="str">
        <f>IFERROR(IF(Agent04_Loans!B36="","",YEAR(Agent04_Loans!D36)),"")</f>
        <v/>
      </c>
    </row>
    <row r="627" spans="1:13" ht="18" customHeight="1" x14ac:dyDescent="0.25">
      <c r="A627" s="37" t="str">
        <f>IF(Agent04_Loans!B37="","",Agent04_Loans!A37)</f>
        <v/>
      </c>
      <c r="B627" s="37" t="str">
        <f>IF(Agent04_Loans!B37="","",Agent04_Loans!B37)</f>
        <v/>
      </c>
      <c r="C627" s="37" t="str">
        <f>IF(Agent04_Loans!B37="","",Agent04_Loans!C37)</f>
        <v/>
      </c>
      <c r="D627" s="38" t="str">
        <f>IF(Agent04_Loans!B37="","",Agent04_Loans!D37)</f>
        <v/>
      </c>
      <c r="E627" s="40" t="str">
        <f>IF(Agent04_Loans!B37="","",Agent04_Loans!E37)</f>
        <v/>
      </c>
      <c r="F627" s="37" t="str">
        <f>IF(Agent04_Loans!B37="","",Agent04_Loans!F37)</f>
        <v/>
      </c>
      <c r="G627" s="37" t="str">
        <f>IF(Agent04_Loans!B37="","",Agent04_Loans!G37)</f>
        <v/>
      </c>
      <c r="H627" s="37" t="str">
        <f>IF(Agent04_Loans!B37="","",Agent04_Loans!H37)</f>
        <v/>
      </c>
      <c r="I627" s="40" t="str">
        <f>IF(Agent04_Loans!B37="","",Agent04_Loans!I37)</f>
        <v/>
      </c>
      <c r="J627" s="40" t="str">
        <f>IF(Agent04_Loans!B37="","",Agent04_Loans!J37)</f>
        <v/>
      </c>
      <c r="K627" s="37" t="str">
        <f>IF(Agent04_Loans!B37="","",Agent04_Loans!K37)</f>
        <v/>
      </c>
      <c r="L627" s="37" t="str">
        <f>IF(Agent04_Loans!B37="","",Agent04_Loans!L37)</f>
        <v/>
      </c>
      <c r="M627" s="37" t="str">
        <f>IFERROR(IF(Agent04_Loans!B37="","",YEAR(Agent04_Loans!D37)),"")</f>
        <v/>
      </c>
    </row>
    <row r="628" spans="1:13" ht="18" customHeight="1" x14ac:dyDescent="0.25">
      <c r="A628" s="37" t="str">
        <f>IF(Agent04_Loans!B38="","",Agent04_Loans!A38)</f>
        <v/>
      </c>
      <c r="B628" s="37" t="str">
        <f>IF(Agent04_Loans!B38="","",Agent04_Loans!B38)</f>
        <v/>
      </c>
      <c r="C628" s="37" t="str">
        <f>IF(Agent04_Loans!B38="","",Agent04_Loans!C38)</f>
        <v/>
      </c>
      <c r="D628" s="38" t="str">
        <f>IF(Agent04_Loans!B38="","",Agent04_Loans!D38)</f>
        <v/>
      </c>
      <c r="E628" s="40" t="str">
        <f>IF(Agent04_Loans!B38="","",Agent04_Loans!E38)</f>
        <v/>
      </c>
      <c r="F628" s="37" t="str">
        <f>IF(Agent04_Loans!B38="","",Agent04_Loans!F38)</f>
        <v/>
      </c>
      <c r="G628" s="37" t="str">
        <f>IF(Agent04_Loans!B38="","",Agent04_Loans!G38)</f>
        <v/>
      </c>
      <c r="H628" s="37" t="str">
        <f>IF(Agent04_Loans!B38="","",Agent04_Loans!H38)</f>
        <v/>
      </c>
      <c r="I628" s="40" t="str">
        <f>IF(Agent04_Loans!B38="","",Agent04_Loans!I38)</f>
        <v/>
      </c>
      <c r="J628" s="40" t="str">
        <f>IF(Agent04_Loans!B38="","",Agent04_Loans!J38)</f>
        <v/>
      </c>
      <c r="K628" s="37" t="str">
        <f>IF(Agent04_Loans!B38="","",Agent04_Loans!K38)</f>
        <v/>
      </c>
      <c r="L628" s="37" t="str">
        <f>IF(Agent04_Loans!B38="","",Agent04_Loans!L38)</f>
        <v/>
      </c>
      <c r="M628" s="37" t="str">
        <f>IFERROR(IF(Agent04_Loans!B38="","",YEAR(Agent04_Loans!D38)),"")</f>
        <v/>
      </c>
    </row>
    <row r="629" spans="1:13" ht="18" customHeight="1" x14ac:dyDescent="0.25">
      <c r="A629" s="37" t="str">
        <f>IF(Agent04_Loans!B39="","",Agent04_Loans!A39)</f>
        <v/>
      </c>
      <c r="B629" s="37" t="str">
        <f>IF(Agent04_Loans!B39="","",Agent04_Loans!B39)</f>
        <v/>
      </c>
      <c r="C629" s="37" t="str">
        <f>IF(Agent04_Loans!B39="","",Agent04_Loans!C39)</f>
        <v/>
      </c>
      <c r="D629" s="38" t="str">
        <f>IF(Agent04_Loans!B39="","",Agent04_Loans!D39)</f>
        <v/>
      </c>
      <c r="E629" s="40" t="str">
        <f>IF(Agent04_Loans!B39="","",Agent04_Loans!E39)</f>
        <v/>
      </c>
      <c r="F629" s="37" t="str">
        <f>IF(Agent04_Loans!B39="","",Agent04_Loans!F39)</f>
        <v/>
      </c>
      <c r="G629" s="37" t="str">
        <f>IF(Agent04_Loans!B39="","",Agent04_Loans!G39)</f>
        <v/>
      </c>
      <c r="H629" s="37" t="str">
        <f>IF(Agent04_Loans!B39="","",Agent04_Loans!H39)</f>
        <v/>
      </c>
      <c r="I629" s="40" t="str">
        <f>IF(Agent04_Loans!B39="","",Agent04_Loans!I39)</f>
        <v/>
      </c>
      <c r="J629" s="40" t="str">
        <f>IF(Agent04_Loans!B39="","",Agent04_Loans!J39)</f>
        <v/>
      </c>
      <c r="K629" s="37" t="str">
        <f>IF(Agent04_Loans!B39="","",Agent04_Loans!K39)</f>
        <v/>
      </c>
      <c r="L629" s="37" t="str">
        <f>IF(Agent04_Loans!B39="","",Agent04_Loans!L39)</f>
        <v/>
      </c>
      <c r="M629" s="37" t="str">
        <f>IFERROR(IF(Agent04_Loans!B39="","",YEAR(Agent04_Loans!D39)),"")</f>
        <v/>
      </c>
    </row>
    <row r="630" spans="1:13" ht="18" customHeight="1" x14ac:dyDescent="0.25">
      <c r="A630" s="37" t="str">
        <f>IF(Agent04_Loans!B40="","",Agent04_Loans!A40)</f>
        <v/>
      </c>
      <c r="B630" s="37" t="str">
        <f>IF(Agent04_Loans!B40="","",Agent04_Loans!B40)</f>
        <v/>
      </c>
      <c r="C630" s="37" t="str">
        <f>IF(Agent04_Loans!B40="","",Agent04_Loans!C40)</f>
        <v/>
      </c>
      <c r="D630" s="38" t="str">
        <f>IF(Agent04_Loans!B40="","",Agent04_Loans!D40)</f>
        <v/>
      </c>
      <c r="E630" s="40" t="str">
        <f>IF(Agent04_Loans!B40="","",Agent04_Loans!E40)</f>
        <v/>
      </c>
      <c r="F630" s="37" t="str">
        <f>IF(Agent04_Loans!B40="","",Agent04_Loans!F40)</f>
        <v/>
      </c>
      <c r="G630" s="37" t="str">
        <f>IF(Agent04_Loans!B40="","",Agent04_Loans!G40)</f>
        <v/>
      </c>
      <c r="H630" s="37" t="str">
        <f>IF(Agent04_Loans!B40="","",Agent04_Loans!H40)</f>
        <v/>
      </c>
      <c r="I630" s="40" t="str">
        <f>IF(Agent04_Loans!B40="","",Agent04_Loans!I40)</f>
        <v/>
      </c>
      <c r="J630" s="40" t="str">
        <f>IF(Agent04_Loans!B40="","",Agent04_Loans!J40)</f>
        <v/>
      </c>
      <c r="K630" s="37" t="str">
        <f>IF(Agent04_Loans!B40="","",Agent04_Loans!K40)</f>
        <v/>
      </c>
      <c r="L630" s="37" t="str">
        <f>IF(Agent04_Loans!B40="","",Agent04_Loans!L40)</f>
        <v/>
      </c>
      <c r="M630" s="37" t="str">
        <f>IFERROR(IF(Agent04_Loans!B40="","",YEAR(Agent04_Loans!D40)),"")</f>
        <v/>
      </c>
    </row>
    <row r="631" spans="1:13" ht="18" customHeight="1" x14ac:dyDescent="0.25">
      <c r="A631" s="37" t="str">
        <f>IF(Agent04_Loans!B41="","",Agent04_Loans!A41)</f>
        <v/>
      </c>
      <c r="B631" s="37" t="str">
        <f>IF(Agent04_Loans!B41="","",Agent04_Loans!B41)</f>
        <v/>
      </c>
      <c r="C631" s="37" t="str">
        <f>IF(Agent04_Loans!B41="","",Agent04_Loans!C41)</f>
        <v/>
      </c>
      <c r="D631" s="38" t="str">
        <f>IF(Agent04_Loans!B41="","",Agent04_Loans!D41)</f>
        <v/>
      </c>
      <c r="E631" s="40" t="str">
        <f>IF(Agent04_Loans!B41="","",Agent04_Loans!E41)</f>
        <v/>
      </c>
      <c r="F631" s="37" t="str">
        <f>IF(Agent04_Loans!B41="","",Agent04_Loans!F41)</f>
        <v/>
      </c>
      <c r="G631" s="37" t="str">
        <f>IF(Agent04_Loans!B41="","",Agent04_Loans!G41)</f>
        <v/>
      </c>
      <c r="H631" s="37" t="str">
        <f>IF(Agent04_Loans!B41="","",Agent04_Loans!H41)</f>
        <v/>
      </c>
      <c r="I631" s="40" t="str">
        <f>IF(Agent04_Loans!B41="","",Agent04_Loans!I41)</f>
        <v/>
      </c>
      <c r="J631" s="40" t="str">
        <f>IF(Agent04_Loans!B41="","",Agent04_Loans!J41)</f>
        <v/>
      </c>
      <c r="K631" s="37" t="str">
        <f>IF(Agent04_Loans!B41="","",Agent04_Loans!K41)</f>
        <v/>
      </c>
      <c r="L631" s="37" t="str">
        <f>IF(Agent04_Loans!B41="","",Agent04_Loans!L41)</f>
        <v/>
      </c>
      <c r="M631" s="37" t="str">
        <f>IFERROR(IF(Agent04_Loans!B41="","",YEAR(Agent04_Loans!D41)),"")</f>
        <v/>
      </c>
    </row>
    <row r="632" spans="1:13" ht="18" customHeight="1" x14ac:dyDescent="0.25">
      <c r="A632" s="37" t="str">
        <f>IF(Agent04_Loans!B42="","",Agent04_Loans!A42)</f>
        <v/>
      </c>
      <c r="B632" s="37" t="str">
        <f>IF(Agent04_Loans!B42="","",Agent04_Loans!B42)</f>
        <v/>
      </c>
      <c r="C632" s="37" t="str">
        <f>IF(Agent04_Loans!B42="","",Agent04_Loans!C42)</f>
        <v/>
      </c>
      <c r="D632" s="38" t="str">
        <f>IF(Agent04_Loans!B42="","",Agent04_Loans!D42)</f>
        <v/>
      </c>
      <c r="E632" s="40" t="str">
        <f>IF(Agent04_Loans!B42="","",Agent04_Loans!E42)</f>
        <v/>
      </c>
      <c r="F632" s="37" t="str">
        <f>IF(Agent04_Loans!B42="","",Agent04_Loans!F42)</f>
        <v/>
      </c>
      <c r="G632" s="37" t="str">
        <f>IF(Agent04_Loans!B42="","",Agent04_Loans!G42)</f>
        <v/>
      </c>
      <c r="H632" s="37" t="str">
        <f>IF(Agent04_Loans!B42="","",Agent04_Loans!H42)</f>
        <v/>
      </c>
      <c r="I632" s="40" t="str">
        <f>IF(Agent04_Loans!B42="","",Agent04_Loans!I42)</f>
        <v/>
      </c>
      <c r="J632" s="40" t="str">
        <f>IF(Agent04_Loans!B42="","",Agent04_Loans!J42)</f>
        <v/>
      </c>
      <c r="K632" s="37" t="str">
        <f>IF(Agent04_Loans!B42="","",Agent04_Loans!K42)</f>
        <v/>
      </c>
      <c r="L632" s="37" t="str">
        <f>IF(Agent04_Loans!B42="","",Agent04_Loans!L42)</f>
        <v/>
      </c>
      <c r="M632" s="37" t="str">
        <f>IFERROR(IF(Agent04_Loans!B42="","",YEAR(Agent04_Loans!D42)),"")</f>
        <v/>
      </c>
    </row>
    <row r="633" spans="1:13" ht="18" customHeight="1" x14ac:dyDescent="0.25">
      <c r="A633" s="37" t="str">
        <f>IF(Agent04_Loans!B43="","",Agent04_Loans!A43)</f>
        <v/>
      </c>
      <c r="B633" s="37" t="str">
        <f>IF(Agent04_Loans!B43="","",Agent04_Loans!B43)</f>
        <v/>
      </c>
      <c r="C633" s="37" t="str">
        <f>IF(Agent04_Loans!B43="","",Agent04_Loans!C43)</f>
        <v/>
      </c>
      <c r="D633" s="38" t="str">
        <f>IF(Agent04_Loans!B43="","",Agent04_Loans!D43)</f>
        <v/>
      </c>
      <c r="E633" s="40" t="str">
        <f>IF(Agent04_Loans!B43="","",Agent04_Loans!E43)</f>
        <v/>
      </c>
      <c r="F633" s="37" t="str">
        <f>IF(Agent04_Loans!B43="","",Agent04_Loans!F43)</f>
        <v/>
      </c>
      <c r="G633" s="37" t="str">
        <f>IF(Agent04_Loans!B43="","",Agent04_Loans!G43)</f>
        <v/>
      </c>
      <c r="H633" s="37" t="str">
        <f>IF(Agent04_Loans!B43="","",Agent04_Loans!H43)</f>
        <v/>
      </c>
      <c r="I633" s="40" t="str">
        <f>IF(Agent04_Loans!B43="","",Agent04_Loans!I43)</f>
        <v/>
      </c>
      <c r="J633" s="40" t="str">
        <f>IF(Agent04_Loans!B43="","",Agent04_Loans!J43)</f>
        <v/>
      </c>
      <c r="K633" s="37" t="str">
        <f>IF(Agent04_Loans!B43="","",Agent04_Loans!K43)</f>
        <v/>
      </c>
      <c r="L633" s="37" t="str">
        <f>IF(Agent04_Loans!B43="","",Agent04_Loans!L43)</f>
        <v/>
      </c>
      <c r="M633" s="37" t="str">
        <f>IFERROR(IF(Agent04_Loans!B43="","",YEAR(Agent04_Loans!D43)),"")</f>
        <v/>
      </c>
    </row>
    <row r="634" spans="1:13" ht="18" customHeight="1" x14ac:dyDescent="0.25">
      <c r="A634" s="37" t="str">
        <f>IF(Agent04_Loans!B44="","",Agent04_Loans!A44)</f>
        <v/>
      </c>
      <c r="B634" s="37" t="str">
        <f>IF(Agent04_Loans!B44="","",Agent04_Loans!B44)</f>
        <v/>
      </c>
      <c r="C634" s="37" t="str">
        <f>IF(Agent04_Loans!B44="","",Agent04_Loans!C44)</f>
        <v/>
      </c>
      <c r="D634" s="38" t="str">
        <f>IF(Agent04_Loans!B44="","",Agent04_Loans!D44)</f>
        <v/>
      </c>
      <c r="E634" s="40" t="str">
        <f>IF(Agent04_Loans!B44="","",Agent04_Loans!E44)</f>
        <v/>
      </c>
      <c r="F634" s="37" t="str">
        <f>IF(Agent04_Loans!B44="","",Agent04_Loans!F44)</f>
        <v/>
      </c>
      <c r="G634" s="37" t="str">
        <f>IF(Agent04_Loans!B44="","",Agent04_Loans!G44)</f>
        <v/>
      </c>
      <c r="H634" s="37" t="str">
        <f>IF(Agent04_Loans!B44="","",Agent04_Loans!H44)</f>
        <v/>
      </c>
      <c r="I634" s="40" t="str">
        <f>IF(Agent04_Loans!B44="","",Agent04_Loans!I44)</f>
        <v/>
      </c>
      <c r="J634" s="40" t="str">
        <f>IF(Agent04_Loans!B44="","",Agent04_Loans!J44)</f>
        <v/>
      </c>
      <c r="K634" s="37" t="str">
        <f>IF(Agent04_Loans!B44="","",Agent04_Loans!K44)</f>
        <v/>
      </c>
      <c r="L634" s="37" t="str">
        <f>IF(Agent04_Loans!B44="","",Agent04_Loans!L44)</f>
        <v/>
      </c>
      <c r="M634" s="37" t="str">
        <f>IFERROR(IF(Agent04_Loans!B44="","",YEAR(Agent04_Loans!D44)),"")</f>
        <v/>
      </c>
    </row>
    <row r="635" spans="1:13" ht="18" customHeight="1" x14ac:dyDescent="0.25">
      <c r="A635" s="37" t="str">
        <f>IF(Agent04_Loans!B45="","",Agent04_Loans!A45)</f>
        <v/>
      </c>
      <c r="B635" s="37" t="str">
        <f>IF(Agent04_Loans!B45="","",Agent04_Loans!B45)</f>
        <v/>
      </c>
      <c r="C635" s="37" t="str">
        <f>IF(Agent04_Loans!B45="","",Agent04_Loans!C45)</f>
        <v/>
      </c>
      <c r="D635" s="38" t="str">
        <f>IF(Agent04_Loans!B45="","",Agent04_Loans!D45)</f>
        <v/>
      </c>
      <c r="E635" s="40" t="str">
        <f>IF(Agent04_Loans!B45="","",Agent04_Loans!E45)</f>
        <v/>
      </c>
      <c r="F635" s="37" t="str">
        <f>IF(Agent04_Loans!B45="","",Agent04_Loans!F45)</f>
        <v/>
      </c>
      <c r="G635" s="37" t="str">
        <f>IF(Agent04_Loans!B45="","",Agent04_Loans!G45)</f>
        <v/>
      </c>
      <c r="H635" s="37" t="str">
        <f>IF(Agent04_Loans!B45="","",Agent04_Loans!H45)</f>
        <v/>
      </c>
      <c r="I635" s="40" t="str">
        <f>IF(Agent04_Loans!B45="","",Agent04_Loans!I45)</f>
        <v/>
      </c>
      <c r="J635" s="40" t="str">
        <f>IF(Agent04_Loans!B45="","",Agent04_Loans!J45)</f>
        <v/>
      </c>
      <c r="K635" s="37" t="str">
        <f>IF(Agent04_Loans!B45="","",Agent04_Loans!K45)</f>
        <v/>
      </c>
      <c r="L635" s="37" t="str">
        <f>IF(Agent04_Loans!B45="","",Agent04_Loans!L45)</f>
        <v/>
      </c>
      <c r="M635" s="37" t="str">
        <f>IFERROR(IF(Agent04_Loans!B45="","",YEAR(Agent04_Loans!D45)),"")</f>
        <v/>
      </c>
    </row>
    <row r="636" spans="1:13" ht="18" customHeight="1" x14ac:dyDescent="0.25">
      <c r="A636" s="37" t="str">
        <f>IF(Agent04_Loans!B46="","",Agent04_Loans!A46)</f>
        <v/>
      </c>
      <c r="B636" s="37" t="str">
        <f>IF(Agent04_Loans!B46="","",Agent04_Loans!B46)</f>
        <v/>
      </c>
      <c r="C636" s="37" t="str">
        <f>IF(Agent04_Loans!B46="","",Agent04_Loans!C46)</f>
        <v/>
      </c>
      <c r="D636" s="38" t="str">
        <f>IF(Agent04_Loans!B46="","",Agent04_Loans!D46)</f>
        <v/>
      </c>
      <c r="E636" s="40" t="str">
        <f>IF(Agent04_Loans!B46="","",Agent04_Loans!E46)</f>
        <v/>
      </c>
      <c r="F636" s="37" t="str">
        <f>IF(Agent04_Loans!B46="","",Agent04_Loans!F46)</f>
        <v/>
      </c>
      <c r="G636" s="37" t="str">
        <f>IF(Agent04_Loans!B46="","",Agent04_Loans!G46)</f>
        <v/>
      </c>
      <c r="H636" s="37" t="str">
        <f>IF(Agent04_Loans!B46="","",Agent04_Loans!H46)</f>
        <v/>
      </c>
      <c r="I636" s="40" t="str">
        <f>IF(Agent04_Loans!B46="","",Agent04_Loans!I46)</f>
        <v/>
      </c>
      <c r="J636" s="40" t="str">
        <f>IF(Agent04_Loans!B46="","",Agent04_Loans!J46)</f>
        <v/>
      </c>
      <c r="K636" s="37" t="str">
        <f>IF(Agent04_Loans!B46="","",Agent04_Loans!K46)</f>
        <v/>
      </c>
      <c r="L636" s="37" t="str">
        <f>IF(Agent04_Loans!B46="","",Agent04_Loans!L46)</f>
        <v/>
      </c>
      <c r="M636" s="37" t="str">
        <f>IFERROR(IF(Agent04_Loans!B46="","",YEAR(Agent04_Loans!D46)),"")</f>
        <v/>
      </c>
    </row>
    <row r="637" spans="1:13" ht="18" customHeight="1" x14ac:dyDescent="0.25">
      <c r="A637" s="37" t="str">
        <f>IF(Agent04_Loans!B47="","",Agent04_Loans!A47)</f>
        <v/>
      </c>
      <c r="B637" s="37" t="str">
        <f>IF(Agent04_Loans!B47="","",Agent04_Loans!B47)</f>
        <v/>
      </c>
      <c r="C637" s="37" t="str">
        <f>IF(Agent04_Loans!B47="","",Agent04_Loans!C47)</f>
        <v/>
      </c>
      <c r="D637" s="38" t="str">
        <f>IF(Agent04_Loans!B47="","",Agent04_Loans!D47)</f>
        <v/>
      </c>
      <c r="E637" s="40" t="str">
        <f>IF(Agent04_Loans!B47="","",Agent04_Loans!E47)</f>
        <v/>
      </c>
      <c r="F637" s="37" t="str">
        <f>IF(Agent04_Loans!B47="","",Agent04_Loans!F47)</f>
        <v/>
      </c>
      <c r="G637" s="37" t="str">
        <f>IF(Agent04_Loans!B47="","",Agent04_Loans!G47)</f>
        <v/>
      </c>
      <c r="H637" s="37" t="str">
        <f>IF(Agent04_Loans!B47="","",Agent04_Loans!H47)</f>
        <v/>
      </c>
      <c r="I637" s="40" t="str">
        <f>IF(Agent04_Loans!B47="","",Agent04_Loans!I47)</f>
        <v/>
      </c>
      <c r="J637" s="40" t="str">
        <f>IF(Agent04_Loans!B47="","",Agent04_Loans!J47)</f>
        <v/>
      </c>
      <c r="K637" s="37" t="str">
        <f>IF(Agent04_Loans!B47="","",Agent04_Loans!K47)</f>
        <v/>
      </c>
      <c r="L637" s="37" t="str">
        <f>IF(Agent04_Loans!B47="","",Agent04_Loans!L47)</f>
        <v/>
      </c>
      <c r="M637" s="37" t="str">
        <f>IFERROR(IF(Agent04_Loans!B47="","",YEAR(Agent04_Loans!D47)),"")</f>
        <v/>
      </c>
    </row>
    <row r="638" spans="1:13" ht="18" customHeight="1" x14ac:dyDescent="0.25">
      <c r="A638" s="37" t="str">
        <f>IF(Agent04_Loans!B48="","",Agent04_Loans!A48)</f>
        <v/>
      </c>
      <c r="B638" s="37" t="str">
        <f>IF(Agent04_Loans!B48="","",Agent04_Loans!B48)</f>
        <v/>
      </c>
      <c r="C638" s="37" t="str">
        <f>IF(Agent04_Loans!B48="","",Agent04_Loans!C48)</f>
        <v/>
      </c>
      <c r="D638" s="38" t="str">
        <f>IF(Agent04_Loans!B48="","",Agent04_Loans!D48)</f>
        <v/>
      </c>
      <c r="E638" s="40" t="str">
        <f>IF(Agent04_Loans!B48="","",Agent04_Loans!E48)</f>
        <v/>
      </c>
      <c r="F638" s="37" t="str">
        <f>IF(Agent04_Loans!B48="","",Agent04_Loans!F48)</f>
        <v/>
      </c>
      <c r="G638" s="37" t="str">
        <f>IF(Agent04_Loans!B48="","",Agent04_Loans!G48)</f>
        <v/>
      </c>
      <c r="H638" s="37" t="str">
        <f>IF(Agent04_Loans!B48="","",Agent04_Loans!H48)</f>
        <v/>
      </c>
      <c r="I638" s="40" t="str">
        <f>IF(Agent04_Loans!B48="","",Agent04_Loans!I48)</f>
        <v/>
      </c>
      <c r="J638" s="40" t="str">
        <f>IF(Agent04_Loans!B48="","",Agent04_Loans!J48)</f>
        <v/>
      </c>
      <c r="K638" s="37" t="str">
        <f>IF(Agent04_Loans!B48="","",Agent04_Loans!K48)</f>
        <v/>
      </c>
      <c r="L638" s="37" t="str">
        <f>IF(Agent04_Loans!B48="","",Agent04_Loans!L48)</f>
        <v/>
      </c>
      <c r="M638" s="37" t="str">
        <f>IFERROR(IF(Agent04_Loans!B48="","",YEAR(Agent04_Loans!D48)),"")</f>
        <v/>
      </c>
    </row>
    <row r="639" spans="1:13" ht="18" customHeight="1" x14ac:dyDescent="0.25">
      <c r="A639" s="37" t="str">
        <f>IF(Agent04_Loans!B49="","",Agent04_Loans!A49)</f>
        <v/>
      </c>
      <c r="B639" s="37" t="str">
        <f>IF(Agent04_Loans!B49="","",Agent04_Loans!B49)</f>
        <v/>
      </c>
      <c r="C639" s="37" t="str">
        <f>IF(Agent04_Loans!B49="","",Agent04_Loans!C49)</f>
        <v/>
      </c>
      <c r="D639" s="38" t="str">
        <f>IF(Agent04_Loans!B49="","",Agent04_Loans!D49)</f>
        <v/>
      </c>
      <c r="E639" s="40" t="str">
        <f>IF(Agent04_Loans!B49="","",Agent04_Loans!E49)</f>
        <v/>
      </c>
      <c r="F639" s="37" t="str">
        <f>IF(Agent04_Loans!B49="","",Agent04_Loans!F49)</f>
        <v/>
      </c>
      <c r="G639" s="37" t="str">
        <f>IF(Agent04_Loans!B49="","",Agent04_Loans!G49)</f>
        <v/>
      </c>
      <c r="H639" s="37" t="str">
        <f>IF(Agent04_Loans!B49="","",Agent04_Loans!H49)</f>
        <v/>
      </c>
      <c r="I639" s="40" t="str">
        <f>IF(Agent04_Loans!B49="","",Agent04_Loans!I49)</f>
        <v/>
      </c>
      <c r="J639" s="40" t="str">
        <f>IF(Agent04_Loans!B49="","",Agent04_Loans!J49)</f>
        <v/>
      </c>
      <c r="K639" s="37" t="str">
        <f>IF(Agent04_Loans!B49="","",Agent04_Loans!K49)</f>
        <v/>
      </c>
      <c r="L639" s="37" t="str">
        <f>IF(Agent04_Loans!B49="","",Agent04_Loans!L49)</f>
        <v/>
      </c>
      <c r="M639" s="37" t="str">
        <f>IFERROR(IF(Agent04_Loans!B49="","",YEAR(Agent04_Loans!D49)),"")</f>
        <v/>
      </c>
    </row>
    <row r="640" spans="1:13" ht="18" customHeight="1" x14ac:dyDescent="0.25">
      <c r="A640" s="37" t="str">
        <f>IF(Agent04_Loans!B50="","",Agent04_Loans!A50)</f>
        <v/>
      </c>
      <c r="B640" s="37" t="str">
        <f>IF(Agent04_Loans!B50="","",Agent04_Loans!B50)</f>
        <v/>
      </c>
      <c r="C640" s="37" t="str">
        <f>IF(Agent04_Loans!B50="","",Agent04_Loans!C50)</f>
        <v/>
      </c>
      <c r="D640" s="38" t="str">
        <f>IF(Agent04_Loans!B50="","",Agent04_Loans!D50)</f>
        <v/>
      </c>
      <c r="E640" s="40" t="str">
        <f>IF(Agent04_Loans!B50="","",Agent04_Loans!E50)</f>
        <v/>
      </c>
      <c r="F640" s="37" t="str">
        <f>IF(Agent04_Loans!B50="","",Agent04_Loans!F50)</f>
        <v/>
      </c>
      <c r="G640" s="37" t="str">
        <f>IF(Agent04_Loans!B50="","",Agent04_Loans!G50)</f>
        <v/>
      </c>
      <c r="H640" s="37" t="str">
        <f>IF(Agent04_Loans!B50="","",Agent04_Loans!H50)</f>
        <v/>
      </c>
      <c r="I640" s="40" t="str">
        <f>IF(Agent04_Loans!B50="","",Agent04_Loans!I50)</f>
        <v/>
      </c>
      <c r="J640" s="40" t="str">
        <f>IF(Agent04_Loans!B50="","",Agent04_Loans!J50)</f>
        <v/>
      </c>
      <c r="K640" s="37" t="str">
        <f>IF(Agent04_Loans!B50="","",Agent04_Loans!K50)</f>
        <v/>
      </c>
      <c r="L640" s="37" t="str">
        <f>IF(Agent04_Loans!B50="","",Agent04_Loans!L50)</f>
        <v/>
      </c>
      <c r="M640" s="37" t="str">
        <f>IFERROR(IF(Agent04_Loans!B50="","",YEAR(Agent04_Loans!D50)),"")</f>
        <v/>
      </c>
    </row>
    <row r="641" spans="1:13" ht="18" customHeight="1" x14ac:dyDescent="0.25">
      <c r="A641" s="37" t="str">
        <f>IF(Agent04_Loans!B51="","",Agent04_Loans!A51)</f>
        <v/>
      </c>
      <c r="B641" s="37" t="str">
        <f>IF(Agent04_Loans!B51="","",Agent04_Loans!B51)</f>
        <v/>
      </c>
      <c r="C641" s="37" t="str">
        <f>IF(Agent04_Loans!B51="","",Agent04_Loans!C51)</f>
        <v/>
      </c>
      <c r="D641" s="38" t="str">
        <f>IF(Agent04_Loans!B51="","",Agent04_Loans!D51)</f>
        <v/>
      </c>
      <c r="E641" s="40" t="str">
        <f>IF(Agent04_Loans!B51="","",Agent04_Loans!E51)</f>
        <v/>
      </c>
      <c r="F641" s="37" t="str">
        <f>IF(Agent04_Loans!B51="","",Agent04_Loans!F51)</f>
        <v/>
      </c>
      <c r="G641" s="37" t="str">
        <f>IF(Agent04_Loans!B51="","",Agent04_Loans!G51)</f>
        <v/>
      </c>
      <c r="H641" s="37" t="str">
        <f>IF(Agent04_Loans!B51="","",Agent04_Loans!H51)</f>
        <v/>
      </c>
      <c r="I641" s="40" t="str">
        <f>IF(Agent04_Loans!B51="","",Agent04_Loans!I51)</f>
        <v/>
      </c>
      <c r="J641" s="40" t="str">
        <f>IF(Agent04_Loans!B51="","",Agent04_Loans!J51)</f>
        <v/>
      </c>
      <c r="K641" s="37" t="str">
        <f>IF(Agent04_Loans!B51="","",Agent04_Loans!K51)</f>
        <v/>
      </c>
      <c r="L641" s="37" t="str">
        <f>IF(Agent04_Loans!B51="","",Agent04_Loans!L51)</f>
        <v/>
      </c>
      <c r="M641" s="37" t="str">
        <f>IFERROR(IF(Agent04_Loans!B51="","",YEAR(Agent04_Loans!D51)),"")</f>
        <v/>
      </c>
    </row>
    <row r="642" spans="1:13" ht="18" customHeight="1" x14ac:dyDescent="0.25">
      <c r="A642" s="37" t="str">
        <f>IF(Agent04_Loans!B52="","",Agent04_Loans!A52)</f>
        <v/>
      </c>
      <c r="B642" s="37" t="str">
        <f>IF(Agent04_Loans!B52="","",Agent04_Loans!B52)</f>
        <v/>
      </c>
      <c r="C642" s="37" t="str">
        <f>IF(Agent04_Loans!B52="","",Agent04_Loans!C52)</f>
        <v/>
      </c>
      <c r="D642" s="38" t="str">
        <f>IF(Agent04_Loans!B52="","",Agent04_Loans!D52)</f>
        <v/>
      </c>
      <c r="E642" s="40" t="str">
        <f>IF(Agent04_Loans!B52="","",Agent04_Loans!E52)</f>
        <v/>
      </c>
      <c r="F642" s="37" t="str">
        <f>IF(Agent04_Loans!B52="","",Agent04_Loans!F52)</f>
        <v/>
      </c>
      <c r="G642" s="37" t="str">
        <f>IF(Agent04_Loans!B52="","",Agent04_Loans!G52)</f>
        <v/>
      </c>
      <c r="H642" s="37" t="str">
        <f>IF(Agent04_Loans!B52="","",Agent04_Loans!H52)</f>
        <v/>
      </c>
      <c r="I642" s="40" t="str">
        <f>IF(Agent04_Loans!B52="","",Agent04_Loans!I52)</f>
        <v/>
      </c>
      <c r="J642" s="40" t="str">
        <f>IF(Agent04_Loans!B52="","",Agent04_Loans!J52)</f>
        <v/>
      </c>
      <c r="K642" s="37" t="str">
        <f>IF(Agent04_Loans!B52="","",Agent04_Loans!K52)</f>
        <v/>
      </c>
      <c r="L642" s="37" t="str">
        <f>IF(Agent04_Loans!B52="","",Agent04_Loans!L52)</f>
        <v/>
      </c>
      <c r="M642" s="37" t="str">
        <f>IFERROR(IF(Agent04_Loans!B52="","",YEAR(Agent04_Loans!D52)),"")</f>
        <v/>
      </c>
    </row>
    <row r="643" spans="1:13" ht="18" customHeight="1" x14ac:dyDescent="0.25">
      <c r="A643" s="37" t="str">
        <f>IF(Agent04_Loans!B53="","",Agent04_Loans!A53)</f>
        <v/>
      </c>
      <c r="B643" s="37" t="str">
        <f>IF(Agent04_Loans!B53="","",Agent04_Loans!B53)</f>
        <v/>
      </c>
      <c r="C643" s="37" t="str">
        <f>IF(Agent04_Loans!B53="","",Agent04_Loans!C53)</f>
        <v/>
      </c>
      <c r="D643" s="38" t="str">
        <f>IF(Agent04_Loans!B53="","",Agent04_Loans!D53)</f>
        <v/>
      </c>
      <c r="E643" s="40" t="str">
        <f>IF(Agent04_Loans!B53="","",Agent04_Loans!E53)</f>
        <v/>
      </c>
      <c r="F643" s="37" t="str">
        <f>IF(Agent04_Loans!B53="","",Agent04_Loans!F53)</f>
        <v/>
      </c>
      <c r="G643" s="37" t="str">
        <f>IF(Agent04_Loans!B53="","",Agent04_Loans!G53)</f>
        <v/>
      </c>
      <c r="H643" s="37" t="str">
        <f>IF(Agent04_Loans!B53="","",Agent04_Loans!H53)</f>
        <v/>
      </c>
      <c r="I643" s="40" t="str">
        <f>IF(Agent04_Loans!B53="","",Agent04_Loans!I53)</f>
        <v/>
      </c>
      <c r="J643" s="40" t="str">
        <f>IF(Agent04_Loans!B53="","",Agent04_Loans!J53)</f>
        <v/>
      </c>
      <c r="K643" s="37" t="str">
        <f>IF(Agent04_Loans!B53="","",Agent04_Loans!K53)</f>
        <v/>
      </c>
      <c r="L643" s="37" t="str">
        <f>IF(Agent04_Loans!B53="","",Agent04_Loans!L53)</f>
        <v/>
      </c>
      <c r="M643" s="37" t="str">
        <f>IFERROR(IF(Agent04_Loans!B53="","",YEAR(Agent04_Loans!D53)),"")</f>
        <v/>
      </c>
    </row>
    <row r="644" spans="1:13" ht="18" customHeight="1" x14ac:dyDescent="0.25">
      <c r="A644" s="37" t="str">
        <f>IF(Agent04_Loans!B54="","",Agent04_Loans!A54)</f>
        <v/>
      </c>
      <c r="B644" s="37" t="str">
        <f>IF(Agent04_Loans!B54="","",Agent04_Loans!B54)</f>
        <v/>
      </c>
      <c r="C644" s="37" t="str">
        <f>IF(Agent04_Loans!B54="","",Agent04_Loans!C54)</f>
        <v/>
      </c>
      <c r="D644" s="38" t="str">
        <f>IF(Agent04_Loans!B54="","",Agent04_Loans!D54)</f>
        <v/>
      </c>
      <c r="E644" s="40" t="str">
        <f>IF(Agent04_Loans!B54="","",Agent04_Loans!E54)</f>
        <v/>
      </c>
      <c r="F644" s="37" t="str">
        <f>IF(Agent04_Loans!B54="","",Agent04_Loans!F54)</f>
        <v/>
      </c>
      <c r="G644" s="37" t="str">
        <f>IF(Agent04_Loans!B54="","",Agent04_Loans!G54)</f>
        <v/>
      </c>
      <c r="H644" s="37" t="str">
        <f>IF(Agent04_Loans!B54="","",Agent04_Loans!H54)</f>
        <v/>
      </c>
      <c r="I644" s="40" t="str">
        <f>IF(Agent04_Loans!B54="","",Agent04_Loans!I54)</f>
        <v/>
      </c>
      <c r="J644" s="40" t="str">
        <f>IF(Agent04_Loans!B54="","",Agent04_Loans!J54)</f>
        <v/>
      </c>
      <c r="K644" s="37" t="str">
        <f>IF(Agent04_Loans!B54="","",Agent04_Loans!K54)</f>
        <v/>
      </c>
      <c r="L644" s="37" t="str">
        <f>IF(Agent04_Loans!B54="","",Agent04_Loans!L54)</f>
        <v/>
      </c>
      <c r="M644" s="37" t="str">
        <f>IFERROR(IF(Agent04_Loans!B54="","",YEAR(Agent04_Loans!D54)),"")</f>
        <v/>
      </c>
    </row>
    <row r="645" spans="1:13" ht="18" customHeight="1" x14ac:dyDescent="0.25">
      <c r="A645" s="37" t="str">
        <f>IF(Agent04_Loans!B55="","",Agent04_Loans!A55)</f>
        <v/>
      </c>
      <c r="B645" s="37" t="str">
        <f>IF(Agent04_Loans!B55="","",Agent04_Loans!B55)</f>
        <v/>
      </c>
      <c r="C645" s="37" t="str">
        <f>IF(Agent04_Loans!B55="","",Agent04_Loans!C55)</f>
        <v/>
      </c>
      <c r="D645" s="38" t="str">
        <f>IF(Agent04_Loans!B55="","",Agent04_Loans!D55)</f>
        <v/>
      </c>
      <c r="E645" s="40" t="str">
        <f>IF(Agent04_Loans!B55="","",Agent04_Loans!E55)</f>
        <v/>
      </c>
      <c r="F645" s="37" t="str">
        <f>IF(Agent04_Loans!B55="","",Agent04_Loans!F55)</f>
        <v/>
      </c>
      <c r="G645" s="37" t="str">
        <f>IF(Agent04_Loans!B55="","",Agent04_Loans!G55)</f>
        <v/>
      </c>
      <c r="H645" s="37" t="str">
        <f>IF(Agent04_Loans!B55="","",Agent04_Loans!H55)</f>
        <v/>
      </c>
      <c r="I645" s="40" t="str">
        <f>IF(Agent04_Loans!B55="","",Agent04_Loans!I55)</f>
        <v/>
      </c>
      <c r="J645" s="40" t="str">
        <f>IF(Agent04_Loans!B55="","",Agent04_Loans!J55)</f>
        <v/>
      </c>
      <c r="K645" s="37" t="str">
        <f>IF(Agent04_Loans!B55="","",Agent04_Loans!K55)</f>
        <v/>
      </c>
      <c r="L645" s="37" t="str">
        <f>IF(Agent04_Loans!B55="","",Agent04_Loans!L55)</f>
        <v/>
      </c>
      <c r="M645" s="37" t="str">
        <f>IFERROR(IF(Agent04_Loans!B55="","",YEAR(Agent04_Loans!D55)),"")</f>
        <v/>
      </c>
    </row>
    <row r="646" spans="1:13" ht="18" customHeight="1" x14ac:dyDescent="0.25">
      <c r="A646" s="37" t="str">
        <f>IF(Agent04_Loans!B56="","",Agent04_Loans!A56)</f>
        <v/>
      </c>
      <c r="B646" s="37" t="str">
        <f>IF(Agent04_Loans!B56="","",Agent04_Loans!B56)</f>
        <v/>
      </c>
      <c r="C646" s="37" t="str">
        <f>IF(Agent04_Loans!B56="","",Agent04_Loans!C56)</f>
        <v/>
      </c>
      <c r="D646" s="38" t="str">
        <f>IF(Agent04_Loans!B56="","",Agent04_Loans!D56)</f>
        <v/>
      </c>
      <c r="E646" s="40" t="str">
        <f>IF(Agent04_Loans!B56="","",Agent04_Loans!E56)</f>
        <v/>
      </c>
      <c r="F646" s="37" t="str">
        <f>IF(Agent04_Loans!B56="","",Agent04_Loans!F56)</f>
        <v/>
      </c>
      <c r="G646" s="37" t="str">
        <f>IF(Agent04_Loans!B56="","",Agent04_Loans!G56)</f>
        <v/>
      </c>
      <c r="H646" s="37" t="str">
        <f>IF(Agent04_Loans!B56="","",Agent04_Loans!H56)</f>
        <v/>
      </c>
      <c r="I646" s="40" t="str">
        <f>IF(Agent04_Loans!B56="","",Agent04_Loans!I56)</f>
        <v/>
      </c>
      <c r="J646" s="40" t="str">
        <f>IF(Agent04_Loans!B56="","",Agent04_Loans!J56)</f>
        <v/>
      </c>
      <c r="K646" s="37" t="str">
        <f>IF(Agent04_Loans!B56="","",Agent04_Loans!K56)</f>
        <v/>
      </c>
      <c r="L646" s="37" t="str">
        <f>IF(Agent04_Loans!B56="","",Agent04_Loans!L56)</f>
        <v/>
      </c>
      <c r="M646" s="37" t="str">
        <f>IFERROR(IF(Agent04_Loans!B56="","",YEAR(Agent04_Loans!D56)),"")</f>
        <v/>
      </c>
    </row>
    <row r="647" spans="1:13" ht="18" customHeight="1" x14ac:dyDescent="0.25">
      <c r="A647" s="37" t="str">
        <f>IF(Agent04_Loans!B57="","",Agent04_Loans!A57)</f>
        <v/>
      </c>
      <c r="B647" s="37" t="str">
        <f>IF(Agent04_Loans!B57="","",Agent04_Loans!B57)</f>
        <v/>
      </c>
      <c r="C647" s="37" t="str">
        <f>IF(Agent04_Loans!B57="","",Agent04_Loans!C57)</f>
        <v/>
      </c>
      <c r="D647" s="38" t="str">
        <f>IF(Agent04_Loans!B57="","",Agent04_Loans!D57)</f>
        <v/>
      </c>
      <c r="E647" s="40" t="str">
        <f>IF(Agent04_Loans!B57="","",Agent04_Loans!E57)</f>
        <v/>
      </c>
      <c r="F647" s="37" t="str">
        <f>IF(Agent04_Loans!B57="","",Agent04_Loans!F57)</f>
        <v/>
      </c>
      <c r="G647" s="37" t="str">
        <f>IF(Agent04_Loans!B57="","",Agent04_Loans!G57)</f>
        <v/>
      </c>
      <c r="H647" s="37" t="str">
        <f>IF(Agent04_Loans!B57="","",Agent04_Loans!H57)</f>
        <v/>
      </c>
      <c r="I647" s="40" t="str">
        <f>IF(Agent04_Loans!B57="","",Agent04_Loans!I57)</f>
        <v/>
      </c>
      <c r="J647" s="40" t="str">
        <f>IF(Agent04_Loans!B57="","",Agent04_Loans!J57)</f>
        <v/>
      </c>
      <c r="K647" s="37" t="str">
        <f>IF(Agent04_Loans!B57="","",Agent04_Loans!K57)</f>
        <v/>
      </c>
      <c r="L647" s="37" t="str">
        <f>IF(Agent04_Loans!B57="","",Agent04_Loans!L57)</f>
        <v/>
      </c>
      <c r="M647" s="37" t="str">
        <f>IFERROR(IF(Agent04_Loans!B57="","",YEAR(Agent04_Loans!D57)),"")</f>
        <v/>
      </c>
    </row>
    <row r="648" spans="1:13" ht="18" customHeight="1" x14ac:dyDescent="0.25">
      <c r="A648" s="37" t="str">
        <f>IF(Agent04_Loans!B58="","",Agent04_Loans!A58)</f>
        <v/>
      </c>
      <c r="B648" s="37" t="str">
        <f>IF(Agent04_Loans!B58="","",Agent04_Loans!B58)</f>
        <v/>
      </c>
      <c r="C648" s="37" t="str">
        <f>IF(Agent04_Loans!B58="","",Agent04_Loans!C58)</f>
        <v/>
      </c>
      <c r="D648" s="38" t="str">
        <f>IF(Agent04_Loans!B58="","",Agent04_Loans!D58)</f>
        <v/>
      </c>
      <c r="E648" s="40" t="str">
        <f>IF(Agent04_Loans!B58="","",Agent04_Loans!E58)</f>
        <v/>
      </c>
      <c r="F648" s="37" t="str">
        <f>IF(Agent04_Loans!B58="","",Agent04_Loans!F58)</f>
        <v/>
      </c>
      <c r="G648" s="37" t="str">
        <f>IF(Agent04_Loans!B58="","",Agent04_Loans!G58)</f>
        <v/>
      </c>
      <c r="H648" s="37" t="str">
        <f>IF(Agent04_Loans!B58="","",Agent04_Loans!H58)</f>
        <v/>
      </c>
      <c r="I648" s="40" t="str">
        <f>IF(Agent04_Loans!B58="","",Agent04_Loans!I58)</f>
        <v/>
      </c>
      <c r="J648" s="40" t="str">
        <f>IF(Agent04_Loans!B58="","",Agent04_Loans!J58)</f>
        <v/>
      </c>
      <c r="K648" s="37" t="str">
        <f>IF(Agent04_Loans!B58="","",Agent04_Loans!K58)</f>
        <v/>
      </c>
      <c r="L648" s="37" t="str">
        <f>IF(Agent04_Loans!B58="","",Agent04_Loans!L58)</f>
        <v/>
      </c>
      <c r="M648" s="37" t="str">
        <f>IFERROR(IF(Agent04_Loans!B58="","",YEAR(Agent04_Loans!D58)),"")</f>
        <v/>
      </c>
    </row>
    <row r="649" spans="1:13" ht="18" customHeight="1" x14ac:dyDescent="0.25">
      <c r="A649" s="37" t="str">
        <f>IF(Agent04_Loans!B59="","",Agent04_Loans!A59)</f>
        <v/>
      </c>
      <c r="B649" s="37" t="str">
        <f>IF(Agent04_Loans!B59="","",Agent04_Loans!B59)</f>
        <v/>
      </c>
      <c r="C649" s="37" t="str">
        <f>IF(Agent04_Loans!B59="","",Agent04_Loans!C59)</f>
        <v/>
      </c>
      <c r="D649" s="38" t="str">
        <f>IF(Agent04_Loans!B59="","",Agent04_Loans!D59)</f>
        <v/>
      </c>
      <c r="E649" s="40" t="str">
        <f>IF(Agent04_Loans!B59="","",Agent04_Loans!E59)</f>
        <v/>
      </c>
      <c r="F649" s="37" t="str">
        <f>IF(Agent04_Loans!B59="","",Agent04_Loans!F59)</f>
        <v/>
      </c>
      <c r="G649" s="37" t="str">
        <f>IF(Agent04_Loans!B59="","",Agent04_Loans!G59)</f>
        <v/>
      </c>
      <c r="H649" s="37" t="str">
        <f>IF(Agent04_Loans!B59="","",Agent04_Loans!H59)</f>
        <v/>
      </c>
      <c r="I649" s="40" t="str">
        <f>IF(Agent04_Loans!B59="","",Agent04_Loans!I59)</f>
        <v/>
      </c>
      <c r="J649" s="40" t="str">
        <f>IF(Agent04_Loans!B59="","",Agent04_Loans!J59)</f>
        <v/>
      </c>
      <c r="K649" s="37" t="str">
        <f>IF(Agent04_Loans!B59="","",Agent04_Loans!K59)</f>
        <v/>
      </c>
      <c r="L649" s="37" t="str">
        <f>IF(Agent04_Loans!B59="","",Agent04_Loans!L59)</f>
        <v/>
      </c>
      <c r="M649" s="37" t="str">
        <f>IFERROR(IF(Agent04_Loans!B59="","",YEAR(Agent04_Loans!D59)),"")</f>
        <v/>
      </c>
    </row>
    <row r="650" spans="1:13" ht="18" customHeight="1" x14ac:dyDescent="0.25">
      <c r="A650" s="37" t="str">
        <f>IF(Agent04_Loans!B60="","",Agent04_Loans!A60)</f>
        <v/>
      </c>
      <c r="B650" s="37" t="str">
        <f>IF(Agent04_Loans!B60="","",Agent04_Loans!B60)</f>
        <v/>
      </c>
      <c r="C650" s="37" t="str">
        <f>IF(Agent04_Loans!B60="","",Agent04_Loans!C60)</f>
        <v/>
      </c>
      <c r="D650" s="38" t="str">
        <f>IF(Agent04_Loans!B60="","",Agent04_Loans!D60)</f>
        <v/>
      </c>
      <c r="E650" s="40" t="str">
        <f>IF(Agent04_Loans!B60="","",Agent04_Loans!E60)</f>
        <v/>
      </c>
      <c r="F650" s="37" t="str">
        <f>IF(Agent04_Loans!B60="","",Agent04_Loans!F60)</f>
        <v/>
      </c>
      <c r="G650" s="37" t="str">
        <f>IF(Agent04_Loans!B60="","",Agent04_Loans!G60)</f>
        <v/>
      </c>
      <c r="H650" s="37" t="str">
        <f>IF(Agent04_Loans!B60="","",Agent04_Loans!H60)</f>
        <v/>
      </c>
      <c r="I650" s="40" t="str">
        <f>IF(Agent04_Loans!B60="","",Agent04_Loans!I60)</f>
        <v/>
      </c>
      <c r="J650" s="40" t="str">
        <f>IF(Agent04_Loans!B60="","",Agent04_Loans!J60)</f>
        <v/>
      </c>
      <c r="K650" s="37" t="str">
        <f>IF(Agent04_Loans!B60="","",Agent04_Loans!K60)</f>
        <v/>
      </c>
      <c r="L650" s="37" t="str">
        <f>IF(Agent04_Loans!B60="","",Agent04_Loans!L60)</f>
        <v/>
      </c>
      <c r="M650" s="37" t="str">
        <f>IFERROR(IF(Agent04_Loans!B60="","",YEAR(Agent04_Loans!D60)),"")</f>
        <v/>
      </c>
    </row>
    <row r="651" spans="1:13" ht="18" customHeight="1" x14ac:dyDescent="0.25">
      <c r="A651" s="37" t="str">
        <f>IF(Agent04_Loans!B61="","",Agent04_Loans!A61)</f>
        <v/>
      </c>
      <c r="B651" s="37" t="str">
        <f>IF(Agent04_Loans!B61="","",Agent04_Loans!B61)</f>
        <v/>
      </c>
      <c r="C651" s="37" t="str">
        <f>IF(Agent04_Loans!B61="","",Agent04_Loans!C61)</f>
        <v/>
      </c>
      <c r="D651" s="38" t="str">
        <f>IF(Agent04_Loans!B61="","",Agent04_Loans!D61)</f>
        <v/>
      </c>
      <c r="E651" s="40" t="str">
        <f>IF(Agent04_Loans!B61="","",Agent04_Loans!E61)</f>
        <v/>
      </c>
      <c r="F651" s="37" t="str">
        <f>IF(Agent04_Loans!B61="","",Agent04_Loans!F61)</f>
        <v/>
      </c>
      <c r="G651" s="37" t="str">
        <f>IF(Agent04_Loans!B61="","",Agent04_Loans!G61)</f>
        <v/>
      </c>
      <c r="H651" s="37" t="str">
        <f>IF(Agent04_Loans!B61="","",Agent04_Loans!H61)</f>
        <v/>
      </c>
      <c r="I651" s="40" t="str">
        <f>IF(Agent04_Loans!B61="","",Agent04_Loans!I61)</f>
        <v/>
      </c>
      <c r="J651" s="40" t="str">
        <f>IF(Agent04_Loans!B61="","",Agent04_Loans!J61)</f>
        <v/>
      </c>
      <c r="K651" s="37" t="str">
        <f>IF(Agent04_Loans!B61="","",Agent04_Loans!K61)</f>
        <v/>
      </c>
      <c r="L651" s="37" t="str">
        <f>IF(Agent04_Loans!B61="","",Agent04_Loans!L61)</f>
        <v/>
      </c>
      <c r="M651" s="37" t="str">
        <f>IFERROR(IF(Agent04_Loans!B61="","",YEAR(Agent04_Loans!D61)),"")</f>
        <v/>
      </c>
    </row>
    <row r="652" spans="1:13" ht="18" customHeight="1" x14ac:dyDescent="0.25">
      <c r="A652" s="37" t="str">
        <f>IF(Agent04_Loans!B62="","",Agent04_Loans!A62)</f>
        <v/>
      </c>
      <c r="B652" s="37" t="str">
        <f>IF(Agent04_Loans!B62="","",Agent04_Loans!B62)</f>
        <v/>
      </c>
      <c r="C652" s="37" t="str">
        <f>IF(Agent04_Loans!B62="","",Agent04_Loans!C62)</f>
        <v/>
      </c>
      <c r="D652" s="38" t="str">
        <f>IF(Agent04_Loans!B62="","",Agent04_Loans!D62)</f>
        <v/>
      </c>
      <c r="E652" s="40" t="str">
        <f>IF(Agent04_Loans!B62="","",Agent04_Loans!E62)</f>
        <v/>
      </c>
      <c r="F652" s="37" t="str">
        <f>IF(Agent04_Loans!B62="","",Agent04_Loans!F62)</f>
        <v/>
      </c>
      <c r="G652" s="37" t="str">
        <f>IF(Agent04_Loans!B62="","",Agent04_Loans!G62)</f>
        <v/>
      </c>
      <c r="H652" s="37" t="str">
        <f>IF(Agent04_Loans!B62="","",Agent04_Loans!H62)</f>
        <v/>
      </c>
      <c r="I652" s="40" t="str">
        <f>IF(Agent04_Loans!B62="","",Agent04_Loans!I62)</f>
        <v/>
      </c>
      <c r="J652" s="40" t="str">
        <f>IF(Agent04_Loans!B62="","",Agent04_Loans!J62)</f>
        <v/>
      </c>
      <c r="K652" s="37" t="str">
        <f>IF(Agent04_Loans!B62="","",Agent04_Loans!K62)</f>
        <v/>
      </c>
      <c r="L652" s="37" t="str">
        <f>IF(Agent04_Loans!B62="","",Agent04_Loans!L62)</f>
        <v/>
      </c>
      <c r="M652" s="37" t="str">
        <f>IFERROR(IF(Agent04_Loans!B62="","",YEAR(Agent04_Loans!D62)),"")</f>
        <v/>
      </c>
    </row>
    <row r="653" spans="1:13" ht="18" customHeight="1" x14ac:dyDescent="0.25">
      <c r="A653" s="37" t="str">
        <f>IF(Agent04_Loans!B63="","",Agent04_Loans!A63)</f>
        <v/>
      </c>
      <c r="B653" s="37" t="str">
        <f>IF(Agent04_Loans!B63="","",Agent04_Loans!B63)</f>
        <v/>
      </c>
      <c r="C653" s="37" t="str">
        <f>IF(Agent04_Loans!B63="","",Agent04_Loans!C63)</f>
        <v/>
      </c>
      <c r="D653" s="38" t="str">
        <f>IF(Agent04_Loans!B63="","",Agent04_Loans!D63)</f>
        <v/>
      </c>
      <c r="E653" s="40" t="str">
        <f>IF(Agent04_Loans!B63="","",Agent04_Loans!E63)</f>
        <v/>
      </c>
      <c r="F653" s="37" t="str">
        <f>IF(Agent04_Loans!B63="","",Agent04_Loans!F63)</f>
        <v/>
      </c>
      <c r="G653" s="37" t="str">
        <f>IF(Agent04_Loans!B63="","",Agent04_Loans!G63)</f>
        <v/>
      </c>
      <c r="H653" s="37" t="str">
        <f>IF(Agent04_Loans!B63="","",Agent04_Loans!H63)</f>
        <v/>
      </c>
      <c r="I653" s="40" t="str">
        <f>IF(Agent04_Loans!B63="","",Agent04_Loans!I63)</f>
        <v/>
      </c>
      <c r="J653" s="40" t="str">
        <f>IF(Agent04_Loans!B63="","",Agent04_Loans!J63)</f>
        <v/>
      </c>
      <c r="K653" s="37" t="str">
        <f>IF(Agent04_Loans!B63="","",Agent04_Loans!K63)</f>
        <v/>
      </c>
      <c r="L653" s="37" t="str">
        <f>IF(Agent04_Loans!B63="","",Agent04_Loans!L63)</f>
        <v/>
      </c>
      <c r="M653" s="37" t="str">
        <f>IFERROR(IF(Agent04_Loans!B63="","",YEAR(Agent04_Loans!D63)),"")</f>
        <v/>
      </c>
    </row>
    <row r="654" spans="1:13" ht="18" customHeight="1" x14ac:dyDescent="0.25">
      <c r="A654" s="37" t="str">
        <f>IF(Agent04_Loans!B64="","",Agent04_Loans!A64)</f>
        <v/>
      </c>
      <c r="B654" s="37" t="str">
        <f>IF(Agent04_Loans!B64="","",Agent04_Loans!B64)</f>
        <v/>
      </c>
      <c r="C654" s="37" t="str">
        <f>IF(Agent04_Loans!B64="","",Agent04_Loans!C64)</f>
        <v/>
      </c>
      <c r="D654" s="38" t="str">
        <f>IF(Agent04_Loans!B64="","",Agent04_Loans!D64)</f>
        <v/>
      </c>
      <c r="E654" s="40" t="str">
        <f>IF(Agent04_Loans!B64="","",Agent04_Loans!E64)</f>
        <v/>
      </c>
      <c r="F654" s="37" t="str">
        <f>IF(Agent04_Loans!B64="","",Agent04_Loans!F64)</f>
        <v/>
      </c>
      <c r="G654" s="37" t="str">
        <f>IF(Agent04_Loans!B64="","",Agent04_Loans!G64)</f>
        <v/>
      </c>
      <c r="H654" s="37" t="str">
        <f>IF(Agent04_Loans!B64="","",Agent04_Loans!H64)</f>
        <v/>
      </c>
      <c r="I654" s="40" t="str">
        <f>IF(Agent04_Loans!B64="","",Agent04_Loans!I64)</f>
        <v/>
      </c>
      <c r="J654" s="40" t="str">
        <f>IF(Agent04_Loans!B64="","",Agent04_Loans!J64)</f>
        <v/>
      </c>
      <c r="K654" s="37" t="str">
        <f>IF(Agent04_Loans!B64="","",Agent04_Loans!K64)</f>
        <v/>
      </c>
      <c r="L654" s="37" t="str">
        <f>IF(Agent04_Loans!B64="","",Agent04_Loans!L64)</f>
        <v/>
      </c>
      <c r="M654" s="37" t="str">
        <f>IFERROR(IF(Agent04_Loans!B64="","",YEAR(Agent04_Loans!D64)),"")</f>
        <v/>
      </c>
    </row>
    <row r="655" spans="1:13" ht="18" customHeight="1" x14ac:dyDescent="0.25">
      <c r="A655" s="37" t="str">
        <f>IF(Agent04_Loans!B65="","",Agent04_Loans!A65)</f>
        <v/>
      </c>
      <c r="B655" s="37" t="str">
        <f>IF(Agent04_Loans!B65="","",Agent04_Loans!B65)</f>
        <v/>
      </c>
      <c r="C655" s="37" t="str">
        <f>IF(Agent04_Loans!B65="","",Agent04_Loans!C65)</f>
        <v/>
      </c>
      <c r="D655" s="38" t="str">
        <f>IF(Agent04_Loans!B65="","",Agent04_Loans!D65)</f>
        <v/>
      </c>
      <c r="E655" s="40" t="str">
        <f>IF(Agent04_Loans!B65="","",Agent04_Loans!E65)</f>
        <v/>
      </c>
      <c r="F655" s="37" t="str">
        <f>IF(Agent04_Loans!B65="","",Agent04_Loans!F65)</f>
        <v/>
      </c>
      <c r="G655" s="37" t="str">
        <f>IF(Agent04_Loans!B65="","",Agent04_Loans!G65)</f>
        <v/>
      </c>
      <c r="H655" s="37" t="str">
        <f>IF(Agent04_Loans!B65="","",Agent04_Loans!H65)</f>
        <v/>
      </c>
      <c r="I655" s="40" t="str">
        <f>IF(Agent04_Loans!B65="","",Agent04_Loans!I65)</f>
        <v/>
      </c>
      <c r="J655" s="40" t="str">
        <f>IF(Agent04_Loans!B65="","",Agent04_Loans!J65)</f>
        <v/>
      </c>
      <c r="K655" s="37" t="str">
        <f>IF(Agent04_Loans!B65="","",Agent04_Loans!K65)</f>
        <v/>
      </c>
      <c r="L655" s="37" t="str">
        <f>IF(Agent04_Loans!B65="","",Agent04_Loans!L65)</f>
        <v/>
      </c>
      <c r="M655" s="37" t="str">
        <f>IFERROR(IF(Agent04_Loans!B65="","",YEAR(Agent04_Loans!D65)),"")</f>
        <v/>
      </c>
    </row>
    <row r="656" spans="1:13" ht="18" customHeight="1" x14ac:dyDescent="0.25">
      <c r="A656" s="37" t="str">
        <f>IF(Agent04_Loans!B66="","",Agent04_Loans!A66)</f>
        <v/>
      </c>
      <c r="B656" s="37" t="str">
        <f>IF(Agent04_Loans!B66="","",Agent04_Loans!B66)</f>
        <v/>
      </c>
      <c r="C656" s="37" t="str">
        <f>IF(Agent04_Loans!B66="","",Agent04_Loans!C66)</f>
        <v/>
      </c>
      <c r="D656" s="38" t="str">
        <f>IF(Agent04_Loans!B66="","",Agent04_Loans!D66)</f>
        <v/>
      </c>
      <c r="E656" s="40" t="str">
        <f>IF(Agent04_Loans!B66="","",Agent04_Loans!E66)</f>
        <v/>
      </c>
      <c r="F656" s="37" t="str">
        <f>IF(Agent04_Loans!B66="","",Agent04_Loans!F66)</f>
        <v/>
      </c>
      <c r="G656" s="37" t="str">
        <f>IF(Agent04_Loans!B66="","",Agent04_Loans!G66)</f>
        <v/>
      </c>
      <c r="H656" s="37" t="str">
        <f>IF(Agent04_Loans!B66="","",Agent04_Loans!H66)</f>
        <v/>
      </c>
      <c r="I656" s="40" t="str">
        <f>IF(Agent04_Loans!B66="","",Agent04_Loans!I66)</f>
        <v/>
      </c>
      <c r="J656" s="40" t="str">
        <f>IF(Agent04_Loans!B66="","",Agent04_Loans!J66)</f>
        <v/>
      </c>
      <c r="K656" s="37" t="str">
        <f>IF(Agent04_Loans!B66="","",Agent04_Loans!K66)</f>
        <v/>
      </c>
      <c r="L656" s="37" t="str">
        <f>IF(Agent04_Loans!B66="","",Agent04_Loans!L66)</f>
        <v/>
      </c>
      <c r="M656" s="37" t="str">
        <f>IFERROR(IF(Agent04_Loans!B66="","",YEAR(Agent04_Loans!D66)),"")</f>
        <v/>
      </c>
    </row>
    <row r="657" spans="1:13" ht="18" customHeight="1" x14ac:dyDescent="0.25">
      <c r="A657" s="37" t="str">
        <f>IF(Agent04_Loans!B67="","",Agent04_Loans!A67)</f>
        <v/>
      </c>
      <c r="B657" s="37" t="str">
        <f>IF(Agent04_Loans!B67="","",Agent04_Loans!B67)</f>
        <v/>
      </c>
      <c r="C657" s="37" t="str">
        <f>IF(Agent04_Loans!B67="","",Agent04_Loans!C67)</f>
        <v/>
      </c>
      <c r="D657" s="38" t="str">
        <f>IF(Agent04_Loans!B67="","",Agent04_Loans!D67)</f>
        <v/>
      </c>
      <c r="E657" s="40" t="str">
        <f>IF(Agent04_Loans!B67="","",Agent04_Loans!E67)</f>
        <v/>
      </c>
      <c r="F657" s="37" t="str">
        <f>IF(Agent04_Loans!B67="","",Agent04_Loans!F67)</f>
        <v/>
      </c>
      <c r="G657" s="37" t="str">
        <f>IF(Agent04_Loans!B67="","",Agent04_Loans!G67)</f>
        <v/>
      </c>
      <c r="H657" s="37" t="str">
        <f>IF(Agent04_Loans!B67="","",Agent04_Loans!H67)</f>
        <v/>
      </c>
      <c r="I657" s="40" t="str">
        <f>IF(Agent04_Loans!B67="","",Agent04_Loans!I67)</f>
        <v/>
      </c>
      <c r="J657" s="40" t="str">
        <f>IF(Agent04_Loans!B67="","",Agent04_Loans!J67)</f>
        <v/>
      </c>
      <c r="K657" s="37" t="str">
        <f>IF(Agent04_Loans!B67="","",Agent04_Loans!K67)</f>
        <v/>
      </c>
      <c r="L657" s="37" t="str">
        <f>IF(Agent04_Loans!B67="","",Agent04_Loans!L67)</f>
        <v/>
      </c>
      <c r="M657" s="37" t="str">
        <f>IFERROR(IF(Agent04_Loans!B67="","",YEAR(Agent04_Loans!D67)),"")</f>
        <v/>
      </c>
    </row>
    <row r="658" spans="1:13" ht="18" customHeight="1" x14ac:dyDescent="0.25">
      <c r="A658" s="37" t="str">
        <f>IF(Agent04_Loans!B68="","",Agent04_Loans!A68)</f>
        <v/>
      </c>
      <c r="B658" s="37" t="str">
        <f>IF(Agent04_Loans!B68="","",Agent04_Loans!B68)</f>
        <v/>
      </c>
      <c r="C658" s="37" t="str">
        <f>IF(Agent04_Loans!B68="","",Agent04_Loans!C68)</f>
        <v/>
      </c>
      <c r="D658" s="38" t="str">
        <f>IF(Agent04_Loans!B68="","",Agent04_Loans!D68)</f>
        <v/>
      </c>
      <c r="E658" s="40" t="str">
        <f>IF(Agent04_Loans!B68="","",Agent04_Loans!E68)</f>
        <v/>
      </c>
      <c r="F658" s="37" t="str">
        <f>IF(Agent04_Loans!B68="","",Agent04_Loans!F68)</f>
        <v/>
      </c>
      <c r="G658" s="37" t="str">
        <f>IF(Agent04_Loans!B68="","",Agent04_Loans!G68)</f>
        <v/>
      </c>
      <c r="H658" s="37" t="str">
        <f>IF(Agent04_Loans!B68="","",Agent04_Loans!H68)</f>
        <v/>
      </c>
      <c r="I658" s="40" t="str">
        <f>IF(Agent04_Loans!B68="","",Agent04_Loans!I68)</f>
        <v/>
      </c>
      <c r="J658" s="40" t="str">
        <f>IF(Agent04_Loans!B68="","",Agent04_Loans!J68)</f>
        <v/>
      </c>
      <c r="K658" s="37" t="str">
        <f>IF(Agent04_Loans!B68="","",Agent04_Loans!K68)</f>
        <v/>
      </c>
      <c r="L658" s="37" t="str">
        <f>IF(Agent04_Loans!B68="","",Agent04_Loans!L68)</f>
        <v/>
      </c>
      <c r="M658" s="37" t="str">
        <f>IFERROR(IF(Agent04_Loans!B68="","",YEAR(Agent04_Loans!D68)),"")</f>
        <v/>
      </c>
    </row>
    <row r="659" spans="1:13" ht="18" customHeight="1" x14ac:dyDescent="0.25">
      <c r="A659" s="37" t="str">
        <f>IF(Agent04_Loans!B69="","",Agent04_Loans!A69)</f>
        <v/>
      </c>
      <c r="B659" s="37" t="str">
        <f>IF(Agent04_Loans!B69="","",Agent04_Loans!B69)</f>
        <v/>
      </c>
      <c r="C659" s="37" t="str">
        <f>IF(Agent04_Loans!B69="","",Agent04_Loans!C69)</f>
        <v/>
      </c>
      <c r="D659" s="38" t="str">
        <f>IF(Agent04_Loans!B69="","",Agent04_Loans!D69)</f>
        <v/>
      </c>
      <c r="E659" s="40" t="str">
        <f>IF(Agent04_Loans!B69="","",Agent04_Loans!E69)</f>
        <v/>
      </c>
      <c r="F659" s="37" t="str">
        <f>IF(Agent04_Loans!B69="","",Agent04_Loans!F69)</f>
        <v/>
      </c>
      <c r="G659" s="37" t="str">
        <f>IF(Agent04_Loans!B69="","",Agent04_Loans!G69)</f>
        <v/>
      </c>
      <c r="H659" s="37" t="str">
        <f>IF(Agent04_Loans!B69="","",Agent04_Loans!H69)</f>
        <v/>
      </c>
      <c r="I659" s="40" t="str">
        <f>IF(Agent04_Loans!B69="","",Agent04_Loans!I69)</f>
        <v/>
      </c>
      <c r="J659" s="40" t="str">
        <f>IF(Agent04_Loans!B69="","",Agent04_Loans!J69)</f>
        <v/>
      </c>
      <c r="K659" s="37" t="str">
        <f>IF(Agent04_Loans!B69="","",Agent04_Loans!K69)</f>
        <v/>
      </c>
      <c r="L659" s="37" t="str">
        <f>IF(Agent04_Loans!B69="","",Agent04_Loans!L69)</f>
        <v/>
      </c>
      <c r="M659" s="37" t="str">
        <f>IFERROR(IF(Agent04_Loans!B69="","",YEAR(Agent04_Loans!D69)),"")</f>
        <v/>
      </c>
    </row>
    <row r="660" spans="1:13" ht="18" customHeight="1" x14ac:dyDescent="0.25">
      <c r="A660" s="37" t="str">
        <f>IF(Agent04_Loans!B70="","",Agent04_Loans!A70)</f>
        <v/>
      </c>
      <c r="B660" s="37" t="str">
        <f>IF(Agent04_Loans!B70="","",Agent04_Loans!B70)</f>
        <v/>
      </c>
      <c r="C660" s="37" t="str">
        <f>IF(Agent04_Loans!B70="","",Agent04_Loans!C70)</f>
        <v/>
      </c>
      <c r="D660" s="38" t="str">
        <f>IF(Agent04_Loans!B70="","",Agent04_Loans!D70)</f>
        <v/>
      </c>
      <c r="E660" s="40" t="str">
        <f>IF(Agent04_Loans!B70="","",Agent04_Loans!E70)</f>
        <v/>
      </c>
      <c r="F660" s="37" t="str">
        <f>IF(Agent04_Loans!B70="","",Agent04_Loans!F70)</f>
        <v/>
      </c>
      <c r="G660" s="37" t="str">
        <f>IF(Agent04_Loans!B70="","",Agent04_Loans!G70)</f>
        <v/>
      </c>
      <c r="H660" s="37" t="str">
        <f>IF(Agent04_Loans!B70="","",Agent04_Loans!H70)</f>
        <v/>
      </c>
      <c r="I660" s="40" t="str">
        <f>IF(Agent04_Loans!B70="","",Agent04_Loans!I70)</f>
        <v/>
      </c>
      <c r="J660" s="40" t="str">
        <f>IF(Agent04_Loans!B70="","",Agent04_Loans!J70)</f>
        <v/>
      </c>
      <c r="K660" s="37" t="str">
        <f>IF(Agent04_Loans!B70="","",Agent04_Loans!K70)</f>
        <v/>
      </c>
      <c r="L660" s="37" t="str">
        <f>IF(Agent04_Loans!B70="","",Agent04_Loans!L70)</f>
        <v/>
      </c>
      <c r="M660" s="37" t="str">
        <f>IFERROR(IF(Agent04_Loans!B70="","",YEAR(Agent04_Loans!D70)),"")</f>
        <v/>
      </c>
    </row>
    <row r="661" spans="1:13" ht="18" customHeight="1" x14ac:dyDescent="0.25">
      <c r="A661" s="37" t="str">
        <f>IF(Agent04_Loans!B71="","",Agent04_Loans!A71)</f>
        <v/>
      </c>
      <c r="B661" s="37" t="str">
        <f>IF(Agent04_Loans!B71="","",Agent04_Loans!B71)</f>
        <v/>
      </c>
      <c r="C661" s="37" t="str">
        <f>IF(Agent04_Loans!B71="","",Agent04_Loans!C71)</f>
        <v/>
      </c>
      <c r="D661" s="38" t="str">
        <f>IF(Agent04_Loans!B71="","",Agent04_Loans!D71)</f>
        <v/>
      </c>
      <c r="E661" s="40" t="str">
        <f>IF(Agent04_Loans!B71="","",Agent04_Loans!E71)</f>
        <v/>
      </c>
      <c r="F661" s="37" t="str">
        <f>IF(Agent04_Loans!B71="","",Agent04_Loans!F71)</f>
        <v/>
      </c>
      <c r="G661" s="37" t="str">
        <f>IF(Agent04_Loans!B71="","",Agent04_Loans!G71)</f>
        <v/>
      </c>
      <c r="H661" s="37" t="str">
        <f>IF(Agent04_Loans!B71="","",Agent04_Loans!H71)</f>
        <v/>
      </c>
      <c r="I661" s="40" t="str">
        <f>IF(Agent04_Loans!B71="","",Agent04_Loans!I71)</f>
        <v/>
      </c>
      <c r="J661" s="40" t="str">
        <f>IF(Agent04_Loans!B71="","",Agent04_Loans!J71)</f>
        <v/>
      </c>
      <c r="K661" s="37" t="str">
        <f>IF(Agent04_Loans!B71="","",Agent04_Loans!K71)</f>
        <v/>
      </c>
      <c r="L661" s="37" t="str">
        <f>IF(Agent04_Loans!B71="","",Agent04_Loans!L71)</f>
        <v/>
      </c>
      <c r="M661" s="37" t="str">
        <f>IFERROR(IF(Agent04_Loans!B71="","",YEAR(Agent04_Loans!D71)),"")</f>
        <v/>
      </c>
    </row>
    <row r="662" spans="1:13" ht="18" customHeight="1" x14ac:dyDescent="0.25">
      <c r="A662" s="37" t="str">
        <f>IF(Agent04_Loans!B72="","",Agent04_Loans!A72)</f>
        <v/>
      </c>
      <c r="B662" s="37" t="str">
        <f>IF(Agent04_Loans!B72="","",Agent04_Loans!B72)</f>
        <v/>
      </c>
      <c r="C662" s="37" t="str">
        <f>IF(Agent04_Loans!B72="","",Agent04_Loans!C72)</f>
        <v/>
      </c>
      <c r="D662" s="38" t="str">
        <f>IF(Agent04_Loans!B72="","",Agent04_Loans!D72)</f>
        <v/>
      </c>
      <c r="E662" s="40" t="str">
        <f>IF(Agent04_Loans!B72="","",Agent04_Loans!E72)</f>
        <v/>
      </c>
      <c r="F662" s="37" t="str">
        <f>IF(Agent04_Loans!B72="","",Agent04_Loans!F72)</f>
        <v/>
      </c>
      <c r="G662" s="37" t="str">
        <f>IF(Agent04_Loans!B72="","",Agent04_Loans!G72)</f>
        <v/>
      </c>
      <c r="H662" s="37" t="str">
        <f>IF(Agent04_Loans!B72="","",Agent04_Loans!H72)</f>
        <v/>
      </c>
      <c r="I662" s="40" t="str">
        <f>IF(Agent04_Loans!B72="","",Agent04_Loans!I72)</f>
        <v/>
      </c>
      <c r="J662" s="40" t="str">
        <f>IF(Agent04_Loans!B72="","",Agent04_Loans!J72)</f>
        <v/>
      </c>
      <c r="K662" s="37" t="str">
        <f>IF(Agent04_Loans!B72="","",Agent04_Loans!K72)</f>
        <v/>
      </c>
      <c r="L662" s="37" t="str">
        <f>IF(Agent04_Loans!B72="","",Agent04_Loans!L72)</f>
        <v/>
      </c>
      <c r="M662" s="37" t="str">
        <f>IFERROR(IF(Agent04_Loans!B72="","",YEAR(Agent04_Loans!D72)),"")</f>
        <v/>
      </c>
    </row>
    <row r="663" spans="1:13" ht="18" customHeight="1" x14ac:dyDescent="0.25">
      <c r="A663" s="37" t="str">
        <f>IF(Agent04_Loans!B73="","",Agent04_Loans!A73)</f>
        <v/>
      </c>
      <c r="B663" s="37" t="str">
        <f>IF(Agent04_Loans!B73="","",Agent04_Loans!B73)</f>
        <v/>
      </c>
      <c r="C663" s="37" t="str">
        <f>IF(Agent04_Loans!B73="","",Agent04_Loans!C73)</f>
        <v/>
      </c>
      <c r="D663" s="38" t="str">
        <f>IF(Agent04_Loans!B73="","",Agent04_Loans!D73)</f>
        <v/>
      </c>
      <c r="E663" s="40" t="str">
        <f>IF(Agent04_Loans!B73="","",Agent04_Loans!E73)</f>
        <v/>
      </c>
      <c r="F663" s="37" t="str">
        <f>IF(Agent04_Loans!B73="","",Agent04_Loans!F73)</f>
        <v/>
      </c>
      <c r="G663" s="37" t="str">
        <f>IF(Agent04_Loans!B73="","",Agent04_Loans!G73)</f>
        <v/>
      </c>
      <c r="H663" s="37" t="str">
        <f>IF(Agent04_Loans!B73="","",Agent04_Loans!H73)</f>
        <v/>
      </c>
      <c r="I663" s="40" t="str">
        <f>IF(Agent04_Loans!B73="","",Agent04_Loans!I73)</f>
        <v/>
      </c>
      <c r="J663" s="40" t="str">
        <f>IF(Agent04_Loans!B73="","",Agent04_Loans!J73)</f>
        <v/>
      </c>
      <c r="K663" s="37" t="str">
        <f>IF(Agent04_Loans!B73="","",Agent04_Loans!K73)</f>
        <v/>
      </c>
      <c r="L663" s="37" t="str">
        <f>IF(Agent04_Loans!B73="","",Agent04_Loans!L73)</f>
        <v/>
      </c>
      <c r="M663" s="37" t="str">
        <f>IFERROR(IF(Agent04_Loans!B73="","",YEAR(Agent04_Loans!D73)),"")</f>
        <v/>
      </c>
    </row>
    <row r="664" spans="1:13" ht="18" customHeight="1" x14ac:dyDescent="0.25">
      <c r="A664" s="37" t="str">
        <f>IF(Agent04_Loans!B74="","",Agent04_Loans!A74)</f>
        <v/>
      </c>
      <c r="B664" s="37" t="str">
        <f>IF(Agent04_Loans!B74="","",Agent04_Loans!B74)</f>
        <v/>
      </c>
      <c r="C664" s="37" t="str">
        <f>IF(Agent04_Loans!B74="","",Agent04_Loans!C74)</f>
        <v/>
      </c>
      <c r="D664" s="38" t="str">
        <f>IF(Agent04_Loans!B74="","",Agent04_Loans!D74)</f>
        <v/>
      </c>
      <c r="E664" s="40" t="str">
        <f>IF(Agent04_Loans!B74="","",Agent04_Loans!E74)</f>
        <v/>
      </c>
      <c r="F664" s="37" t="str">
        <f>IF(Agent04_Loans!B74="","",Agent04_Loans!F74)</f>
        <v/>
      </c>
      <c r="G664" s="37" t="str">
        <f>IF(Agent04_Loans!B74="","",Agent04_Loans!G74)</f>
        <v/>
      </c>
      <c r="H664" s="37" t="str">
        <f>IF(Agent04_Loans!B74="","",Agent04_Loans!H74)</f>
        <v/>
      </c>
      <c r="I664" s="40" t="str">
        <f>IF(Agent04_Loans!B74="","",Agent04_Loans!I74)</f>
        <v/>
      </c>
      <c r="J664" s="40" t="str">
        <f>IF(Agent04_Loans!B74="","",Agent04_Loans!J74)</f>
        <v/>
      </c>
      <c r="K664" s="37" t="str">
        <f>IF(Agent04_Loans!B74="","",Agent04_Loans!K74)</f>
        <v/>
      </c>
      <c r="L664" s="37" t="str">
        <f>IF(Agent04_Loans!B74="","",Agent04_Loans!L74)</f>
        <v/>
      </c>
      <c r="M664" s="37" t="str">
        <f>IFERROR(IF(Agent04_Loans!B74="","",YEAR(Agent04_Loans!D74)),"")</f>
        <v/>
      </c>
    </row>
    <row r="665" spans="1:13" ht="18" customHeight="1" x14ac:dyDescent="0.25">
      <c r="A665" s="37" t="str">
        <f>IF(Agent04_Loans!B75="","",Agent04_Loans!A75)</f>
        <v/>
      </c>
      <c r="B665" s="37" t="str">
        <f>IF(Agent04_Loans!B75="","",Agent04_Loans!B75)</f>
        <v/>
      </c>
      <c r="C665" s="37" t="str">
        <f>IF(Agent04_Loans!B75="","",Agent04_Loans!C75)</f>
        <v/>
      </c>
      <c r="D665" s="38" t="str">
        <f>IF(Agent04_Loans!B75="","",Agent04_Loans!D75)</f>
        <v/>
      </c>
      <c r="E665" s="40" t="str">
        <f>IF(Agent04_Loans!B75="","",Agent04_Loans!E75)</f>
        <v/>
      </c>
      <c r="F665" s="37" t="str">
        <f>IF(Agent04_Loans!B75="","",Agent04_Loans!F75)</f>
        <v/>
      </c>
      <c r="G665" s="37" t="str">
        <f>IF(Agent04_Loans!B75="","",Agent04_Loans!G75)</f>
        <v/>
      </c>
      <c r="H665" s="37" t="str">
        <f>IF(Agent04_Loans!B75="","",Agent04_Loans!H75)</f>
        <v/>
      </c>
      <c r="I665" s="40" t="str">
        <f>IF(Agent04_Loans!B75="","",Agent04_Loans!I75)</f>
        <v/>
      </c>
      <c r="J665" s="40" t="str">
        <f>IF(Agent04_Loans!B75="","",Agent04_Loans!J75)</f>
        <v/>
      </c>
      <c r="K665" s="37" t="str">
        <f>IF(Agent04_Loans!B75="","",Agent04_Loans!K75)</f>
        <v/>
      </c>
      <c r="L665" s="37" t="str">
        <f>IF(Agent04_Loans!B75="","",Agent04_Loans!L75)</f>
        <v/>
      </c>
      <c r="M665" s="37" t="str">
        <f>IFERROR(IF(Agent04_Loans!B75="","",YEAR(Agent04_Loans!D75)),"")</f>
        <v/>
      </c>
    </row>
    <row r="666" spans="1:13" ht="18" customHeight="1" x14ac:dyDescent="0.25">
      <c r="A666" s="37" t="str">
        <f>IF(Agent04_Loans!B76="","",Agent04_Loans!A76)</f>
        <v/>
      </c>
      <c r="B666" s="37" t="str">
        <f>IF(Agent04_Loans!B76="","",Agent04_Loans!B76)</f>
        <v/>
      </c>
      <c r="C666" s="37" t="str">
        <f>IF(Agent04_Loans!B76="","",Agent04_Loans!C76)</f>
        <v/>
      </c>
      <c r="D666" s="38" t="str">
        <f>IF(Agent04_Loans!B76="","",Agent04_Loans!D76)</f>
        <v/>
      </c>
      <c r="E666" s="40" t="str">
        <f>IF(Agent04_Loans!B76="","",Agent04_Loans!E76)</f>
        <v/>
      </c>
      <c r="F666" s="37" t="str">
        <f>IF(Agent04_Loans!B76="","",Agent04_Loans!F76)</f>
        <v/>
      </c>
      <c r="G666" s="37" t="str">
        <f>IF(Agent04_Loans!B76="","",Agent04_Loans!G76)</f>
        <v/>
      </c>
      <c r="H666" s="37" t="str">
        <f>IF(Agent04_Loans!B76="","",Agent04_Loans!H76)</f>
        <v/>
      </c>
      <c r="I666" s="40" t="str">
        <f>IF(Agent04_Loans!B76="","",Agent04_Loans!I76)</f>
        <v/>
      </c>
      <c r="J666" s="40" t="str">
        <f>IF(Agent04_Loans!B76="","",Agent04_Loans!J76)</f>
        <v/>
      </c>
      <c r="K666" s="37" t="str">
        <f>IF(Agent04_Loans!B76="","",Agent04_Loans!K76)</f>
        <v/>
      </c>
      <c r="L666" s="37" t="str">
        <f>IF(Agent04_Loans!B76="","",Agent04_Loans!L76)</f>
        <v/>
      </c>
      <c r="M666" s="37" t="str">
        <f>IFERROR(IF(Agent04_Loans!B76="","",YEAR(Agent04_Loans!D76)),"")</f>
        <v/>
      </c>
    </row>
    <row r="667" spans="1:13" ht="18" customHeight="1" x14ac:dyDescent="0.25">
      <c r="A667" s="37" t="str">
        <f>IF(Agent04_Loans!B77="","",Agent04_Loans!A77)</f>
        <v/>
      </c>
      <c r="B667" s="37" t="str">
        <f>IF(Agent04_Loans!B77="","",Agent04_Loans!B77)</f>
        <v/>
      </c>
      <c r="C667" s="37" t="str">
        <f>IF(Agent04_Loans!B77="","",Agent04_Loans!C77)</f>
        <v/>
      </c>
      <c r="D667" s="38" t="str">
        <f>IF(Agent04_Loans!B77="","",Agent04_Loans!D77)</f>
        <v/>
      </c>
      <c r="E667" s="40" t="str">
        <f>IF(Agent04_Loans!B77="","",Agent04_Loans!E77)</f>
        <v/>
      </c>
      <c r="F667" s="37" t="str">
        <f>IF(Agent04_Loans!B77="","",Agent04_Loans!F77)</f>
        <v/>
      </c>
      <c r="G667" s="37" t="str">
        <f>IF(Agent04_Loans!B77="","",Agent04_Loans!G77)</f>
        <v/>
      </c>
      <c r="H667" s="37" t="str">
        <f>IF(Agent04_Loans!B77="","",Agent04_Loans!H77)</f>
        <v/>
      </c>
      <c r="I667" s="40" t="str">
        <f>IF(Agent04_Loans!B77="","",Agent04_Loans!I77)</f>
        <v/>
      </c>
      <c r="J667" s="40" t="str">
        <f>IF(Agent04_Loans!B77="","",Agent04_Loans!J77)</f>
        <v/>
      </c>
      <c r="K667" s="37" t="str">
        <f>IF(Agent04_Loans!B77="","",Agent04_Loans!K77)</f>
        <v/>
      </c>
      <c r="L667" s="37" t="str">
        <f>IF(Agent04_Loans!B77="","",Agent04_Loans!L77)</f>
        <v/>
      </c>
      <c r="M667" s="37" t="str">
        <f>IFERROR(IF(Agent04_Loans!B77="","",YEAR(Agent04_Loans!D77)),"")</f>
        <v/>
      </c>
    </row>
    <row r="668" spans="1:13" ht="18" customHeight="1" x14ac:dyDescent="0.25">
      <c r="A668" s="37" t="str">
        <f>IF(Agent04_Loans!B78="","",Agent04_Loans!A78)</f>
        <v/>
      </c>
      <c r="B668" s="37" t="str">
        <f>IF(Agent04_Loans!B78="","",Agent04_Loans!B78)</f>
        <v/>
      </c>
      <c r="C668" s="37" t="str">
        <f>IF(Agent04_Loans!B78="","",Agent04_Loans!C78)</f>
        <v/>
      </c>
      <c r="D668" s="38" t="str">
        <f>IF(Agent04_Loans!B78="","",Agent04_Loans!D78)</f>
        <v/>
      </c>
      <c r="E668" s="40" t="str">
        <f>IF(Agent04_Loans!B78="","",Agent04_Loans!E78)</f>
        <v/>
      </c>
      <c r="F668" s="37" t="str">
        <f>IF(Agent04_Loans!B78="","",Agent04_Loans!F78)</f>
        <v/>
      </c>
      <c r="G668" s="37" t="str">
        <f>IF(Agent04_Loans!B78="","",Agent04_Loans!G78)</f>
        <v/>
      </c>
      <c r="H668" s="37" t="str">
        <f>IF(Agent04_Loans!B78="","",Agent04_Loans!H78)</f>
        <v/>
      </c>
      <c r="I668" s="40" t="str">
        <f>IF(Agent04_Loans!B78="","",Agent04_Loans!I78)</f>
        <v/>
      </c>
      <c r="J668" s="40" t="str">
        <f>IF(Agent04_Loans!B78="","",Agent04_Loans!J78)</f>
        <v/>
      </c>
      <c r="K668" s="37" t="str">
        <f>IF(Agent04_Loans!B78="","",Agent04_Loans!K78)</f>
        <v/>
      </c>
      <c r="L668" s="37" t="str">
        <f>IF(Agent04_Loans!B78="","",Agent04_Loans!L78)</f>
        <v/>
      </c>
      <c r="M668" s="37" t="str">
        <f>IFERROR(IF(Agent04_Loans!B78="","",YEAR(Agent04_Loans!D78)),"")</f>
        <v/>
      </c>
    </row>
    <row r="669" spans="1:13" ht="18" customHeight="1" x14ac:dyDescent="0.25">
      <c r="A669" s="37" t="str">
        <f>IF(Agent04_Loans!B79="","",Agent04_Loans!A79)</f>
        <v/>
      </c>
      <c r="B669" s="37" t="str">
        <f>IF(Agent04_Loans!B79="","",Agent04_Loans!B79)</f>
        <v/>
      </c>
      <c r="C669" s="37" t="str">
        <f>IF(Agent04_Loans!B79="","",Agent04_Loans!C79)</f>
        <v/>
      </c>
      <c r="D669" s="38" t="str">
        <f>IF(Agent04_Loans!B79="","",Agent04_Loans!D79)</f>
        <v/>
      </c>
      <c r="E669" s="40" t="str">
        <f>IF(Agent04_Loans!B79="","",Agent04_Loans!E79)</f>
        <v/>
      </c>
      <c r="F669" s="37" t="str">
        <f>IF(Agent04_Loans!B79="","",Agent04_Loans!F79)</f>
        <v/>
      </c>
      <c r="G669" s="37" t="str">
        <f>IF(Agent04_Loans!B79="","",Agent04_Loans!G79)</f>
        <v/>
      </c>
      <c r="H669" s="37" t="str">
        <f>IF(Agent04_Loans!B79="","",Agent04_Loans!H79)</f>
        <v/>
      </c>
      <c r="I669" s="40" t="str">
        <f>IF(Agent04_Loans!B79="","",Agent04_Loans!I79)</f>
        <v/>
      </c>
      <c r="J669" s="40" t="str">
        <f>IF(Agent04_Loans!B79="","",Agent04_Loans!J79)</f>
        <v/>
      </c>
      <c r="K669" s="37" t="str">
        <f>IF(Agent04_Loans!B79="","",Agent04_Loans!K79)</f>
        <v/>
      </c>
      <c r="L669" s="37" t="str">
        <f>IF(Agent04_Loans!B79="","",Agent04_Loans!L79)</f>
        <v/>
      </c>
      <c r="M669" s="37" t="str">
        <f>IFERROR(IF(Agent04_Loans!B79="","",YEAR(Agent04_Loans!D79)),"")</f>
        <v/>
      </c>
    </row>
    <row r="670" spans="1:13" ht="18" customHeight="1" x14ac:dyDescent="0.25">
      <c r="A670" s="37" t="str">
        <f>IF(Agent04_Loans!B80="","",Agent04_Loans!A80)</f>
        <v/>
      </c>
      <c r="B670" s="37" t="str">
        <f>IF(Agent04_Loans!B80="","",Agent04_Loans!B80)</f>
        <v/>
      </c>
      <c r="C670" s="37" t="str">
        <f>IF(Agent04_Loans!B80="","",Agent04_Loans!C80)</f>
        <v/>
      </c>
      <c r="D670" s="38" t="str">
        <f>IF(Agent04_Loans!B80="","",Agent04_Loans!D80)</f>
        <v/>
      </c>
      <c r="E670" s="40" t="str">
        <f>IF(Agent04_Loans!B80="","",Agent04_Loans!E80)</f>
        <v/>
      </c>
      <c r="F670" s="37" t="str">
        <f>IF(Agent04_Loans!B80="","",Agent04_Loans!F80)</f>
        <v/>
      </c>
      <c r="G670" s="37" t="str">
        <f>IF(Agent04_Loans!B80="","",Agent04_Loans!G80)</f>
        <v/>
      </c>
      <c r="H670" s="37" t="str">
        <f>IF(Agent04_Loans!B80="","",Agent04_Loans!H80)</f>
        <v/>
      </c>
      <c r="I670" s="40" t="str">
        <f>IF(Agent04_Loans!B80="","",Agent04_Loans!I80)</f>
        <v/>
      </c>
      <c r="J670" s="40" t="str">
        <f>IF(Agent04_Loans!B80="","",Agent04_Loans!J80)</f>
        <v/>
      </c>
      <c r="K670" s="37" t="str">
        <f>IF(Agent04_Loans!B80="","",Agent04_Loans!K80)</f>
        <v/>
      </c>
      <c r="L670" s="37" t="str">
        <f>IF(Agent04_Loans!B80="","",Agent04_Loans!L80)</f>
        <v/>
      </c>
      <c r="M670" s="37" t="str">
        <f>IFERROR(IF(Agent04_Loans!B80="","",YEAR(Agent04_Loans!D80)),"")</f>
        <v/>
      </c>
    </row>
    <row r="671" spans="1:13" ht="18" customHeight="1" x14ac:dyDescent="0.25">
      <c r="A671" s="37" t="str">
        <f>IF(Agent04_Loans!B81="","",Agent04_Loans!A81)</f>
        <v/>
      </c>
      <c r="B671" s="37" t="str">
        <f>IF(Agent04_Loans!B81="","",Agent04_Loans!B81)</f>
        <v/>
      </c>
      <c r="C671" s="37" t="str">
        <f>IF(Agent04_Loans!B81="","",Agent04_Loans!C81)</f>
        <v/>
      </c>
      <c r="D671" s="38" t="str">
        <f>IF(Agent04_Loans!B81="","",Agent04_Loans!D81)</f>
        <v/>
      </c>
      <c r="E671" s="40" t="str">
        <f>IF(Agent04_Loans!B81="","",Agent04_Loans!E81)</f>
        <v/>
      </c>
      <c r="F671" s="37" t="str">
        <f>IF(Agent04_Loans!B81="","",Agent04_Loans!F81)</f>
        <v/>
      </c>
      <c r="G671" s="37" t="str">
        <f>IF(Agent04_Loans!B81="","",Agent04_Loans!G81)</f>
        <v/>
      </c>
      <c r="H671" s="37" t="str">
        <f>IF(Agent04_Loans!B81="","",Agent04_Loans!H81)</f>
        <v/>
      </c>
      <c r="I671" s="40" t="str">
        <f>IF(Agent04_Loans!B81="","",Agent04_Loans!I81)</f>
        <v/>
      </c>
      <c r="J671" s="40" t="str">
        <f>IF(Agent04_Loans!B81="","",Agent04_Loans!J81)</f>
        <v/>
      </c>
      <c r="K671" s="37" t="str">
        <f>IF(Agent04_Loans!B81="","",Agent04_Loans!K81)</f>
        <v/>
      </c>
      <c r="L671" s="37" t="str">
        <f>IF(Agent04_Loans!B81="","",Agent04_Loans!L81)</f>
        <v/>
      </c>
      <c r="M671" s="37" t="str">
        <f>IFERROR(IF(Agent04_Loans!B81="","",YEAR(Agent04_Loans!D81)),"")</f>
        <v/>
      </c>
    </row>
    <row r="672" spans="1:13" ht="18" customHeight="1" x14ac:dyDescent="0.25">
      <c r="A672" s="37" t="str">
        <f>IF(Agent04_Loans!B82="","",Agent04_Loans!A82)</f>
        <v/>
      </c>
      <c r="B672" s="37" t="str">
        <f>IF(Agent04_Loans!B82="","",Agent04_Loans!B82)</f>
        <v/>
      </c>
      <c r="C672" s="37" t="str">
        <f>IF(Agent04_Loans!B82="","",Agent04_Loans!C82)</f>
        <v/>
      </c>
      <c r="D672" s="38" t="str">
        <f>IF(Agent04_Loans!B82="","",Agent04_Loans!D82)</f>
        <v/>
      </c>
      <c r="E672" s="40" t="str">
        <f>IF(Agent04_Loans!B82="","",Agent04_Loans!E82)</f>
        <v/>
      </c>
      <c r="F672" s="37" t="str">
        <f>IF(Agent04_Loans!B82="","",Agent04_Loans!F82)</f>
        <v/>
      </c>
      <c r="G672" s="37" t="str">
        <f>IF(Agent04_Loans!B82="","",Agent04_Loans!G82)</f>
        <v/>
      </c>
      <c r="H672" s="37" t="str">
        <f>IF(Agent04_Loans!B82="","",Agent04_Loans!H82)</f>
        <v/>
      </c>
      <c r="I672" s="40" t="str">
        <f>IF(Agent04_Loans!B82="","",Agent04_Loans!I82)</f>
        <v/>
      </c>
      <c r="J672" s="40" t="str">
        <f>IF(Agent04_Loans!B82="","",Agent04_Loans!J82)</f>
        <v/>
      </c>
      <c r="K672" s="37" t="str">
        <f>IF(Agent04_Loans!B82="","",Agent04_Loans!K82)</f>
        <v/>
      </c>
      <c r="L672" s="37" t="str">
        <f>IF(Agent04_Loans!B82="","",Agent04_Loans!L82)</f>
        <v/>
      </c>
      <c r="M672" s="37" t="str">
        <f>IFERROR(IF(Agent04_Loans!B82="","",YEAR(Agent04_Loans!D82)),"")</f>
        <v/>
      </c>
    </row>
    <row r="673" spans="1:13" ht="18" customHeight="1" x14ac:dyDescent="0.25">
      <c r="A673" s="37" t="str">
        <f>IF(Agent04_Loans!B83="","",Agent04_Loans!A83)</f>
        <v/>
      </c>
      <c r="B673" s="37" t="str">
        <f>IF(Agent04_Loans!B83="","",Agent04_Loans!B83)</f>
        <v/>
      </c>
      <c r="C673" s="37" t="str">
        <f>IF(Agent04_Loans!B83="","",Agent04_Loans!C83)</f>
        <v/>
      </c>
      <c r="D673" s="38" t="str">
        <f>IF(Agent04_Loans!B83="","",Agent04_Loans!D83)</f>
        <v/>
      </c>
      <c r="E673" s="40" t="str">
        <f>IF(Agent04_Loans!B83="","",Agent04_Loans!E83)</f>
        <v/>
      </c>
      <c r="F673" s="37" t="str">
        <f>IF(Agent04_Loans!B83="","",Agent04_Loans!F83)</f>
        <v/>
      </c>
      <c r="G673" s="37" t="str">
        <f>IF(Agent04_Loans!B83="","",Agent04_Loans!G83)</f>
        <v/>
      </c>
      <c r="H673" s="37" t="str">
        <f>IF(Agent04_Loans!B83="","",Agent04_Loans!H83)</f>
        <v/>
      </c>
      <c r="I673" s="40" t="str">
        <f>IF(Agent04_Loans!B83="","",Agent04_Loans!I83)</f>
        <v/>
      </c>
      <c r="J673" s="40" t="str">
        <f>IF(Agent04_Loans!B83="","",Agent04_Loans!J83)</f>
        <v/>
      </c>
      <c r="K673" s="37" t="str">
        <f>IF(Agent04_Loans!B83="","",Agent04_Loans!K83)</f>
        <v/>
      </c>
      <c r="L673" s="37" t="str">
        <f>IF(Agent04_Loans!B83="","",Agent04_Loans!L83)</f>
        <v/>
      </c>
      <c r="M673" s="37" t="str">
        <f>IFERROR(IF(Agent04_Loans!B83="","",YEAR(Agent04_Loans!D83)),"")</f>
        <v/>
      </c>
    </row>
    <row r="674" spans="1:13" ht="18" customHeight="1" x14ac:dyDescent="0.25">
      <c r="A674" s="37" t="str">
        <f>IF(Agent04_Loans!B84="","",Agent04_Loans!A84)</f>
        <v/>
      </c>
      <c r="B674" s="37" t="str">
        <f>IF(Agent04_Loans!B84="","",Agent04_Loans!B84)</f>
        <v/>
      </c>
      <c r="C674" s="37" t="str">
        <f>IF(Agent04_Loans!B84="","",Agent04_Loans!C84)</f>
        <v/>
      </c>
      <c r="D674" s="38" t="str">
        <f>IF(Agent04_Loans!B84="","",Agent04_Loans!D84)</f>
        <v/>
      </c>
      <c r="E674" s="40" t="str">
        <f>IF(Agent04_Loans!B84="","",Agent04_Loans!E84)</f>
        <v/>
      </c>
      <c r="F674" s="37" t="str">
        <f>IF(Agent04_Loans!B84="","",Agent04_Loans!F84)</f>
        <v/>
      </c>
      <c r="G674" s="37" t="str">
        <f>IF(Agent04_Loans!B84="","",Agent04_Loans!G84)</f>
        <v/>
      </c>
      <c r="H674" s="37" t="str">
        <f>IF(Agent04_Loans!B84="","",Agent04_Loans!H84)</f>
        <v/>
      </c>
      <c r="I674" s="40" t="str">
        <f>IF(Agent04_Loans!B84="","",Agent04_Loans!I84)</f>
        <v/>
      </c>
      <c r="J674" s="40" t="str">
        <f>IF(Agent04_Loans!B84="","",Agent04_Loans!J84)</f>
        <v/>
      </c>
      <c r="K674" s="37" t="str">
        <f>IF(Agent04_Loans!B84="","",Agent04_Loans!K84)</f>
        <v/>
      </c>
      <c r="L674" s="37" t="str">
        <f>IF(Agent04_Loans!B84="","",Agent04_Loans!L84)</f>
        <v/>
      </c>
      <c r="M674" s="37" t="str">
        <f>IFERROR(IF(Agent04_Loans!B84="","",YEAR(Agent04_Loans!D84)),"")</f>
        <v/>
      </c>
    </row>
    <row r="675" spans="1:13" ht="18" customHeight="1" x14ac:dyDescent="0.25">
      <c r="A675" s="37" t="str">
        <f>IF(Agent04_Loans!B85="","",Agent04_Loans!A85)</f>
        <v/>
      </c>
      <c r="B675" s="37" t="str">
        <f>IF(Agent04_Loans!B85="","",Agent04_Loans!B85)</f>
        <v/>
      </c>
      <c r="C675" s="37" t="str">
        <f>IF(Agent04_Loans!B85="","",Agent04_Loans!C85)</f>
        <v/>
      </c>
      <c r="D675" s="38" t="str">
        <f>IF(Agent04_Loans!B85="","",Agent04_Loans!D85)</f>
        <v/>
      </c>
      <c r="E675" s="40" t="str">
        <f>IF(Agent04_Loans!B85="","",Agent04_Loans!E85)</f>
        <v/>
      </c>
      <c r="F675" s="37" t="str">
        <f>IF(Agent04_Loans!B85="","",Agent04_Loans!F85)</f>
        <v/>
      </c>
      <c r="G675" s="37" t="str">
        <f>IF(Agent04_Loans!B85="","",Agent04_Loans!G85)</f>
        <v/>
      </c>
      <c r="H675" s="37" t="str">
        <f>IF(Agent04_Loans!B85="","",Agent04_Loans!H85)</f>
        <v/>
      </c>
      <c r="I675" s="40" t="str">
        <f>IF(Agent04_Loans!B85="","",Agent04_Loans!I85)</f>
        <v/>
      </c>
      <c r="J675" s="40" t="str">
        <f>IF(Agent04_Loans!B85="","",Agent04_Loans!J85)</f>
        <v/>
      </c>
      <c r="K675" s="37" t="str">
        <f>IF(Agent04_Loans!B85="","",Agent04_Loans!K85)</f>
        <v/>
      </c>
      <c r="L675" s="37" t="str">
        <f>IF(Agent04_Loans!B85="","",Agent04_Loans!L85)</f>
        <v/>
      </c>
      <c r="M675" s="37" t="str">
        <f>IFERROR(IF(Agent04_Loans!B85="","",YEAR(Agent04_Loans!D85)),"")</f>
        <v/>
      </c>
    </row>
    <row r="676" spans="1:13" ht="18" customHeight="1" x14ac:dyDescent="0.25">
      <c r="A676" s="37" t="str">
        <f>IF(Agent04_Loans!B86="","",Agent04_Loans!A86)</f>
        <v/>
      </c>
      <c r="B676" s="37" t="str">
        <f>IF(Agent04_Loans!B86="","",Agent04_Loans!B86)</f>
        <v/>
      </c>
      <c r="C676" s="37" t="str">
        <f>IF(Agent04_Loans!B86="","",Agent04_Loans!C86)</f>
        <v/>
      </c>
      <c r="D676" s="38" t="str">
        <f>IF(Agent04_Loans!B86="","",Agent04_Loans!D86)</f>
        <v/>
      </c>
      <c r="E676" s="40" t="str">
        <f>IF(Agent04_Loans!B86="","",Agent04_Loans!E86)</f>
        <v/>
      </c>
      <c r="F676" s="37" t="str">
        <f>IF(Agent04_Loans!B86="","",Agent04_Loans!F86)</f>
        <v/>
      </c>
      <c r="G676" s="37" t="str">
        <f>IF(Agent04_Loans!B86="","",Agent04_Loans!G86)</f>
        <v/>
      </c>
      <c r="H676" s="37" t="str">
        <f>IF(Agent04_Loans!B86="","",Agent04_Loans!H86)</f>
        <v/>
      </c>
      <c r="I676" s="40" t="str">
        <f>IF(Agent04_Loans!B86="","",Agent04_Loans!I86)</f>
        <v/>
      </c>
      <c r="J676" s="40" t="str">
        <f>IF(Agent04_Loans!B86="","",Agent04_Loans!J86)</f>
        <v/>
      </c>
      <c r="K676" s="37" t="str">
        <f>IF(Agent04_Loans!B86="","",Agent04_Loans!K86)</f>
        <v/>
      </c>
      <c r="L676" s="37" t="str">
        <f>IF(Agent04_Loans!B86="","",Agent04_Loans!L86)</f>
        <v/>
      </c>
      <c r="M676" s="37" t="str">
        <f>IFERROR(IF(Agent04_Loans!B86="","",YEAR(Agent04_Loans!D86)),"")</f>
        <v/>
      </c>
    </row>
    <row r="677" spans="1:13" ht="18" customHeight="1" x14ac:dyDescent="0.25">
      <c r="A677" s="37" t="str">
        <f>IF(Agent04_Loans!B87="","",Agent04_Loans!A87)</f>
        <v/>
      </c>
      <c r="B677" s="37" t="str">
        <f>IF(Agent04_Loans!B87="","",Agent04_Loans!B87)</f>
        <v/>
      </c>
      <c r="C677" s="37" t="str">
        <f>IF(Agent04_Loans!B87="","",Agent04_Loans!C87)</f>
        <v/>
      </c>
      <c r="D677" s="38" t="str">
        <f>IF(Agent04_Loans!B87="","",Agent04_Loans!D87)</f>
        <v/>
      </c>
      <c r="E677" s="40" t="str">
        <f>IF(Agent04_Loans!B87="","",Agent04_Loans!E87)</f>
        <v/>
      </c>
      <c r="F677" s="37" t="str">
        <f>IF(Agent04_Loans!B87="","",Agent04_Loans!F87)</f>
        <v/>
      </c>
      <c r="G677" s="37" t="str">
        <f>IF(Agent04_Loans!B87="","",Agent04_Loans!G87)</f>
        <v/>
      </c>
      <c r="H677" s="37" t="str">
        <f>IF(Agent04_Loans!B87="","",Agent04_Loans!H87)</f>
        <v/>
      </c>
      <c r="I677" s="40" t="str">
        <f>IF(Agent04_Loans!B87="","",Agent04_Loans!I87)</f>
        <v/>
      </c>
      <c r="J677" s="40" t="str">
        <f>IF(Agent04_Loans!B87="","",Agent04_Loans!J87)</f>
        <v/>
      </c>
      <c r="K677" s="37" t="str">
        <f>IF(Agent04_Loans!B87="","",Agent04_Loans!K87)</f>
        <v/>
      </c>
      <c r="L677" s="37" t="str">
        <f>IF(Agent04_Loans!B87="","",Agent04_Loans!L87)</f>
        <v/>
      </c>
      <c r="M677" s="37" t="str">
        <f>IFERROR(IF(Agent04_Loans!B87="","",YEAR(Agent04_Loans!D87)),"")</f>
        <v/>
      </c>
    </row>
    <row r="678" spans="1:13" ht="18" customHeight="1" x14ac:dyDescent="0.25">
      <c r="A678" s="37" t="str">
        <f>IF(Agent04_Loans!B88="","",Agent04_Loans!A88)</f>
        <v/>
      </c>
      <c r="B678" s="37" t="str">
        <f>IF(Agent04_Loans!B88="","",Agent04_Loans!B88)</f>
        <v/>
      </c>
      <c r="C678" s="37" t="str">
        <f>IF(Agent04_Loans!B88="","",Agent04_Loans!C88)</f>
        <v/>
      </c>
      <c r="D678" s="38" t="str">
        <f>IF(Agent04_Loans!B88="","",Agent04_Loans!D88)</f>
        <v/>
      </c>
      <c r="E678" s="40" t="str">
        <f>IF(Agent04_Loans!B88="","",Agent04_Loans!E88)</f>
        <v/>
      </c>
      <c r="F678" s="37" t="str">
        <f>IF(Agent04_Loans!B88="","",Agent04_Loans!F88)</f>
        <v/>
      </c>
      <c r="G678" s="37" t="str">
        <f>IF(Agent04_Loans!B88="","",Agent04_Loans!G88)</f>
        <v/>
      </c>
      <c r="H678" s="37" t="str">
        <f>IF(Agent04_Loans!B88="","",Agent04_Loans!H88)</f>
        <v/>
      </c>
      <c r="I678" s="40" t="str">
        <f>IF(Agent04_Loans!B88="","",Agent04_Loans!I88)</f>
        <v/>
      </c>
      <c r="J678" s="40" t="str">
        <f>IF(Agent04_Loans!B88="","",Agent04_Loans!J88)</f>
        <v/>
      </c>
      <c r="K678" s="37" t="str">
        <f>IF(Agent04_Loans!B88="","",Agent04_Loans!K88)</f>
        <v/>
      </c>
      <c r="L678" s="37" t="str">
        <f>IF(Agent04_Loans!B88="","",Agent04_Loans!L88)</f>
        <v/>
      </c>
      <c r="M678" s="37" t="str">
        <f>IFERROR(IF(Agent04_Loans!B88="","",YEAR(Agent04_Loans!D88)),"")</f>
        <v/>
      </c>
    </row>
    <row r="679" spans="1:13" ht="18" customHeight="1" x14ac:dyDescent="0.25">
      <c r="A679" s="37" t="str">
        <f>IF(Agent04_Loans!B89="","",Agent04_Loans!A89)</f>
        <v/>
      </c>
      <c r="B679" s="37" t="str">
        <f>IF(Agent04_Loans!B89="","",Agent04_Loans!B89)</f>
        <v/>
      </c>
      <c r="C679" s="37" t="str">
        <f>IF(Agent04_Loans!B89="","",Agent04_Loans!C89)</f>
        <v/>
      </c>
      <c r="D679" s="38" t="str">
        <f>IF(Agent04_Loans!B89="","",Agent04_Loans!D89)</f>
        <v/>
      </c>
      <c r="E679" s="40" t="str">
        <f>IF(Agent04_Loans!B89="","",Agent04_Loans!E89)</f>
        <v/>
      </c>
      <c r="F679" s="37" t="str">
        <f>IF(Agent04_Loans!B89="","",Agent04_Loans!F89)</f>
        <v/>
      </c>
      <c r="G679" s="37" t="str">
        <f>IF(Agent04_Loans!B89="","",Agent04_Loans!G89)</f>
        <v/>
      </c>
      <c r="H679" s="37" t="str">
        <f>IF(Agent04_Loans!B89="","",Agent04_Loans!H89)</f>
        <v/>
      </c>
      <c r="I679" s="40" t="str">
        <f>IF(Agent04_Loans!B89="","",Agent04_Loans!I89)</f>
        <v/>
      </c>
      <c r="J679" s="40" t="str">
        <f>IF(Agent04_Loans!B89="","",Agent04_Loans!J89)</f>
        <v/>
      </c>
      <c r="K679" s="37" t="str">
        <f>IF(Agent04_Loans!B89="","",Agent04_Loans!K89)</f>
        <v/>
      </c>
      <c r="L679" s="37" t="str">
        <f>IF(Agent04_Loans!B89="","",Agent04_Loans!L89)</f>
        <v/>
      </c>
      <c r="M679" s="37" t="str">
        <f>IFERROR(IF(Agent04_Loans!B89="","",YEAR(Agent04_Loans!D89)),"")</f>
        <v/>
      </c>
    </row>
    <row r="680" spans="1:13" ht="18" customHeight="1" x14ac:dyDescent="0.25">
      <c r="A680" s="37" t="str">
        <f>IF(Agent04_Loans!B90="","",Agent04_Loans!A90)</f>
        <v/>
      </c>
      <c r="B680" s="37" t="str">
        <f>IF(Agent04_Loans!B90="","",Agent04_Loans!B90)</f>
        <v/>
      </c>
      <c r="C680" s="37" t="str">
        <f>IF(Agent04_Loans!B90="","",Agent04_Loans!C90)</f>
        <v/>
      </c>
      <c r="D680" s="38" t="str">
        <f>IF(Agent04_Loans!B90="","",Agent04_Loans!D90)</f>
        <v/>
      </c>
      <c r="E680" s="40" t="str">
        <f>IF(Agent04_Loans!B90="","",Agent04_Loans!E90)</f>
        <v/>
      </c>
      <c r="F680" s="37" t="str">
        <f>IF(Agent04_Loans!B90="","",Agent04_Loans!F90)</f>
        <v/>
      </c>
      <c r="G680" s="37" t="str">
        <f>IF(Agent04_Loans!B90="","",Agent04_Loans!G90)</f>
        <v/>
      </c>
      <c r="H680" s="37" t="str">
        <f>IF(Agent04_Loans!B90="","",Agent04_Loans!H90)</f>
        <v/>
      </c>
      <c r="I680" s="40" t="str">
        <f>IF(Agent04_Loans!B90="","",Agent04_Loans!I90)</f>
        <v/>
      </c>
      <c r="J680" s="40" t="str">
        <f>IF(Agent04_Loans!B90="","",Agent04_Loans!J90)</f>
        <v/>
      </c>
      <c r="K680" s="37" t="str">
        <f>IF(Agent04_Loans!B90="","",Agent04_Loans!K90)</f>
        <v/>
      </c>
      <c r="L680" s="37" t="str">
        <f>IF(Agent04_Loans!B90="","",Agent04_Loans!L90)</f>
        <v/>
      </c>
      <c r="M680" s="37" t="str">
        <f>IFERROR(IF(Agent04_Loans!B90="","",YEAR(Agent04_Loans!D90)),"")</f>
        <v/>
      </c>
    </row>
    <row r="681" spans="1:13" ht="18" customHeight="1" x14ac:dyDescent="0.25">
      <c r="A681" s="37" t="str">
        <f>IF(Agent04_Loans!B91="","",Agent04_Loans!A91)</f>
        <v/>
      </c>
      <c r="B681" s="37" t="str">
        <f>IF(Agent04_Loans!B91="","",Agent04_Loans!B91)</f>
        <v/>
      </c>
      <c r="C681" s="37" t="str">
        <f>IF(Agent04_Loans!B91="","",Agent04_Loans!C91)</f>
        <v/>
      </c>
      <c r="D681" s="38" t="str">
        <f>IF(Agent04_Loans!B91="","",Agent04_Loans!D91)</f>
        <v/>
      </c>
      <c r="E681" s="40" t="str">
        <f>IF(Agent04_Loans!B91="","",Agent04_Loans!E91)</f>
        <v/>
      </c>
      <c r="F681" s="37" t="str">
        <f>IF(Agent04_Loans!B91="","",Agent04_Loans!F91)</f>
        <v/>
      </c>
      <c r="G681" s="37" t="str">
        <f>IF(Agent04_Loans!B91="","",Agent04_Loans!G91)</f>
        <v/>
      </c>
      <c r="H681" s="37" t="str">
        <f>IF(Agent04_Loans!B91="","",Agent04_Loans!H91)</f>
        <v/>
      </c>
      <c r="I681" s="40" t="str">
        <f>IF(Agent04_Loans!B91="","",Agent04_Loans!I91)</f>
        <v/>
      </c>
      <c r="J681" s="40" t="str">
        <f>IF(Agent04_Loans!B91="","",Agent04_Loans!J91)</f>
        <v/>
      </c>
      <c r="K681" s="37" t="str">
        <f>IF(Agent04_Loans!B91="","",Agent04_Loans!K91)</f>
        <v/>
      </c>
      <c r="L681" s="37" t="str">
        <f>IF(Agent04_Loans!B91="","",Agent04_Loans!L91)</f>
        <v/>
      </c>
      <c r="M681" s="37" t="str">
        <f>IFERROR(IF(Agent04_Loans!B91="","",YEAR(Agent04_Loans!D91)),"")</f>
        <v/>
      </c>
    </row>
    <row r="682" spans="1:13" ht="18" customHeight="1" x14ac:dyDescent="0.25">
      <c r="A682" s="37" t="str">
        <f>IF(Agent04_Loans!B92="","",Agent04_Loans!A92)</f>
        <v/>
      </c>
      <c r="B682" s="37" t="str">
        <f>IF(Agent04_Loans!B92="","",Agent04_Loans!B92)</f>
        <v/>
      </c>
      <c r="C682" s="37" t="str">
        <f>IF(Agent04_Loans!B92="","",Agent04_Loans!C92)</f>
        <v/>
      </c>
      <c r="D682" s="38" t="str">
        <f>IF(Agent04_Loans!B92="","",Agent04_Loans!D92)</f>
        <v/>
      </c>
      <c r="E682" s="40" t="str">
        <f>IF(Agent04_Loans!B92="","",Agent04_Loans!E92)</f>
        <v/>
      </c>
      <c r="F682" s="37" t="str">
        <f>IF(Agent04_Loans!B92="","",Agent04_Loans!F92)</f>
        <v/>
      </c>
      <c r="G682" s="37" t="str">
        <f>IF(Agent04_Loans!B92="","",Agent04_Loans!G92)</f>
        <v/>
      </c>
      <c r="H682" s="37" t="str">
        <f>IF(Agent04_Loans!B92="","",Agent04_Loans!H92)</f>
        <v/>
      </c>
      <c r="I682" s="40" t="str">
        <f>IF(Agent04_Loans!B92="","",Agent04_Loans!I92)</f>
        <v/>
      </c>
      <c r="J682" s="40" t="str">
        <f>IF(Agent04_Loans!B92="","",Agent04_Loans!J92)</f>
        <v/>
      </c>
      <c r="K682" s="37" t="str">
        <f>IF(Agent04_Loans!B92="","",Agent04_Loans!K92)</f>
        <v/>
      </c>
      <c r="L682" s="37" t="str">
        <f>IF(Agent04_Loans!B92="","",Agent04_Loans!L92)</f>
        <v/>
      </c>
      <c r="M682" s="37" t="str">
        <f>IFERROR(IF(Agent04_Loans!B92="","",YEAR(Agent04_Loans!D92)),"")</f>
        <v/>
      </c>
    </row>
    <row r="683" spans="1:13" ht="18" customHeight="1" x14ac:dyDescent="0.25">
      <c r="A683" s="37" t="str">
        <f>IF(Agent04_Loans!B93="","",Agent04_Loans!A93)</f>
        <v/>
      </c>
      <c r="B683" s="37" t="str">
        <f>IF(Agent04_Loans!B93="","",Agent04_Loans!B93)</f>
        <v/>
      </c>
      <c r="C683" s="37" t="str">
        <f>IF(Agent04_Loans!B93="","",Agent04_Loans!C93)</f>
        <v/>
      </c>
      <c r="D683" s="38" t="str">
        <f>IF(Agent04_Loans!B93="","",Agent04_Loans!D93)</f>
        <v/>
      </c>
      <c r="E683" s="40" t="str">
        <f>IF(Agent04_Loans!B93="","",Agent04_Loans!E93)</f>
        <v/>
      </c>
      <c r="F683" s="37" t="str">
        <f>IF(Agent04_Loans!B93="","",Agent04_Loans!F93)</f>
        <v/>
      </c>
      <c r="G683" s="37" t="str">
        <f>IF(Agent04_Loans!B93="","",Agent04_Loans!G93)</f>
        <v/>
      </c>
      <c r="H683" s="37" t="str">
        <f>IF(Agent04_Loans!B93="","",Agent04_Loans!H93)</f>
        <v/>
      </c>
      <c r="I683" s="40" t="str">
        <f>IF(Agent04_Loans!B93="","",Agent04_Loans!I93)</f>
        <v/>
      </c>
      <c r="J683" s="40" t="str">
        <f>IF(Agent04_Loans!B93="","",Agent04_Loans!J93)</f>
        <v/>
      </c>
      <c r="K683" s="37" t="str">
        <f>IF(Agent04_Loans!B93="","",Agent04_Loans!K93)</f>
        <v/>
      </c>
      <c r="L683" s="37" t="str">
        <f>IF(Agent04_Loans!B93="","",Agent04_Loans!L93)</f>
        <v/>
      </c>
      <c r="M683" s="37" t="str">
        <f>IFERROR(IF(Agent04_Loans!B93="","",YEAR(Agent04_Loans!D93)),"")</f>
        <v/>
      </c>
    </row>
    <row r="684" spans="1:13" ht="18" customHeight="1" x14ac:dyDescent="0.25">
      <c r="A684" s="37" t="str">
        <f>IF(Agent04_Loans!B94="","",Agent04_Loans!A94)</f>
        <v/>
      </c>
      <c r="B684" s="37" t="str">
        <f>IF(Agent04_Loans!B94="","",Agent04_Loans!B94)</f>
        <v/>
      </c>
      <c r="C684" s="37" t="str">
        <f>IF(Agent04_Loans!B94="","",Agent04_Loans!C94)</f>
        <v/>
      </c>
      <c r="D684" s="38" t="str">
        <f>IF(Agent04_Loans!B94="","",Agent04_Loans!D94)</f>
        <v/>
      </c>
      <c r="E684" s="40" t="str">
        <f>IF(Agent04_Loans!B94="","",Agent04_Loans!E94)</f>
        <v/>
      </c>
      <c r="F684" s="37" t="str">
        <f>IF(Agent04_Loans!B94="","",Agent04_Loans!F94)</f>
        <v/>
      </c>
      <c r="G684" s="37" t="str">
        <f>IF(Agent04_Loans!B94="","",Agent04_Loans!G94)</f>
        <v/>
      </c>
      <c r="H684" s="37" t="str">
        <f>IF(Agent04_Loans!B94="","",Agent04_Loans!H94)</f>
        <v/>
      </c>
      <c r="I684" s="40" t="str">
        <f>IF(Agent04_Loans!B94="","",Agent04_Loans!I94)</f>
        <v/>
      </c>
      <c r="J684" s="40" t="str">
        <f>IF(Agent04_Loans!B94="","",Agent04_Loans!J94)</f>
        <v/>
      </c>
      <c r="K684" s="37" t="str">
        <f>IF(Agent04_Loans!B94="","",Agent04_Loans!K94)</f>
        <v/>
      </c>
      <c r="L684" s="37" t="str">
        <f>IF(Agent04_Loans!B94="","",Agent04_Loans!L94)</f>
        <v/>
      </c>
      <c r="M684" s="37" t="str">
        <f>IFERROR(IF(Agent04_Loans!B94="","",YEAR(Agent04_Loans!D94)),"")</f>
        <v/>
      </c>
    </row>
    <row r="685" spans="1:13" ht="18" customHeight="1" x14ac:dyDescent="0.25">
      <c r="A685" s="37" t="str">
        <f>IF(Agent04_Loans!B95="","",Agent04_Loans!A95)</f>
        <v/>
      </c>
      <c r="B685" s="37" t="str">
        <f>IF(Agent04_Loans!B95="","",Agent04_Loans!B95)</f>
        <v/>
      </c>
      <c r="C685" s="37" t="str">
        <f>IF(Agent04_Loans!B95="","",Agent04_Loans!C95)</f>
        <v/>
      </c>
      <c r="D685" s="38" t="str">
        <f>IF(Agent04_Loans!B95="","",Agent04_Loans!D95)</f>
        <v/>
      </c>
      <c r="E685" s="40" t="str">
        <f>IF(Agent04_Loans!B95="","",Agent04_Loans!E95)</f>
        <v/>
      </c>
      <c r="F685" s="37" t="str">
        <f>IF(Agent04_Loans!B95="","",Agent04_Loans!F95)</f>
        <v/>
      </c>
      <c r="G685" s="37" t="str">
        <f>IF(Agent04_Loans!B95="","",Agent04_Loans!G95)</f>
        <v/>
      </c>
      <c r="H685" s="37" t="str">
        <f>IF(Agent04_Loans!B95="","",Agent04_Loans!H95)</f>
        <v/>
      </c>
      <c r="I685" s="40" t="str">
        <f>IF(Agent04_Loans!B95="","",Agent04_Loans!I95)</f>
        <v/>
      </c>
      <c r="J685" s="40" t="str">
        <f>IF(Agent04_Loans!B95="","",Agent04_Loans!J95)</f>
        <v/>
      </c>
      <c r="K685" s="37" t="str">
        <f>IF(Agent04_Loans!B95="","",Agent04_Loans!K95)</f>
        <v/>
      </c>
      <c r="L685" s="37" t="str">
        <f>IF(Agent04_Loans!B95="","",Agent04_Loans!L95)</f>
        <v/>
      </c>
      <c r="M685" s="37" t="str">
        <f>IFERROR(IF(Agent04_Loans!B95="","",YEAR(Agent04_Loans!D95)),"")</f>
        <v/>
      </c>
    </row>
    <row r="686" spans="1:13" ht="18" customHeight="1" x14ac:dyDescent="0.25">
      <c r="A686" s="37" t="str">
        <f>IF(Agent04_Loans!B96="","",Agent04_Loans!A96)</f>
        <v/>
      </c>
      <c r="B686" s="37" t="str">
        <f>IF(Agent04_Loans!B96="","",Agent04_Loans!B96)</f>
        <v/>
      </c>
      <c r="C686" s="37" t="str">
        <f>IF(Agent04_Loans!B96="","",Agent04_Loans!C96)</f>
        <v/>
      </c>
      <c r="D686" s="38" t="str">
        <f>IF(Agent04_Loans!B96="","",Agent04_Loans!D96)</f>
        <v/>
      </c>
      <c r="E686" s="40" t="str">
        <f>IF(Agent04_Loans!B96="","",Agent04_Loans!E96)</f>
        <v/>
      </c>
      <c r="F686" s="37" t="str">
        <f>IF(Agent04_Loans!B96="","",Agent04_Loans!F96)</f>
        <v/>
      </c>
      <c r="G686" s="37" t="str">
        <f>IF(Agent04_Loans!B96="","",Agent04_Loans!G96)</f>
        <v/>
      </c>
      <c r="H686" s="37" t="str">
        <f>IF(Agent04_Loans!B96="","",Agent04_Loans!H96)</f>
        <v/>
      </c>
      <c r="I686" s="40" t="str">
        <f>IF(Agent04_Loans!B96="","",Agent04_Loans!I96)</f>
        <v/>
      </c>
      <c r="J686" s="40" t="str">
        <f>IF(Agent04_Loans!B96="","",Agent04_Loans!J96)</f>
        <v/>
      </c>
      <c r="K686" s="37" t="str">
        <f>IF(Agent04_Loans!B96="","",Agent04_Loans!K96)</f>
        <v/>
      </c>
      <c r="L686" s="37" t="str">
        <f>IF(Agent04_Loans!B96="","",Agent04_Loans!L96)</f>
        <v/>
      </c>
      <c r="M686" s="37" t="str">
        <f>IFERROR(IF(Agent04_Loans!B96="","",YEAR(Agent04_Loans!D96)),"")</f>
        <v/>
      </c>
    </row>
    <row r="687" spans="1:13" ht="18" customHeight="1" x14ac:dyDescent="0.25">
      <c r="A687" s="37" t="str">
        <f>IF(Agent04_Loans!B97="","",Agent04_Loans!A97)</f>
        <v/>
      </c>
      <c r="B687" s="37" t="str">
        <f>IF(Agent04_Loans!B97="","",Agent04_Loans!B97)</f>
        <v/>
      </c>
      <c r="C687" s="37" t="str">
        <f>IF(Agent04_Loans!B97="","",Agent04_Loans!C97)</f>
        <v/>
      </c>
      <c r="D687" s="38" t="str">
        <f>IF(Agent04_Loans!B97="","",Agent04_Loans!D97)</f>
        <v/>
      </c>
      <c r="E687" s="40" t="str">
        <f>IF(Agent04_Loans!B97="","",Agent04_Loans!E97)</f>
        <v/>
      </c>
      <c r="F687" s="37" t="str">
        <f>IF(Agent04_Loans!B97="","",Agent04_Loans!F97)</f>
        <v/>
      </c>
      <c r="G687" s="37" t="str">
        <f>IF(Agent04_Loans!B97="","",Agent04_Loans!G97)</f>
        <v/>
      </c>
      <c r="H687" s="37" t="str">
        <f>IF(Agent04_Loans!B97="","",Agent04_Loans!H97)</f>
        <v/>
      </c>
      <c r="I687" s="40" t="str">
        <f>IF(Agent04_Loans!B97="","",Agent04_Loans!I97)</f>
        <v/>
      </c>
      <c r="J687" s="40" t="str">
        <f>IF(Agent04_Loans!B97="","",Agent04_Loans!J97)</f>
        <v/>
      </c>
      <c r="K687" s="37" t="str">
        <f>IF(Agent04_Loans!B97="","",Agent04_Loans!K97)</f>
        <v/>
      </c>
      <c r="L687" s="37" t="str">
        <f>IF(Agent04_Loans!B97="","",Agent04_Loans!L97)</f>
        <v/>
      </c>
      <c r="M687" s="37" t="str">
        <f>IFERROR(IF(Agent04_Loans!B97="","",YEAR(Agent04_Loans!D97)),"")</f>
        <v/>
      </c>
    </row>
    <row r="688" spans="1:13" ht="18" customHeight="1" x14ac:dyDescent="0.25">
      <c r="A688" s="37" t="str">
        <f>IF(Agent04_Loans!B98="","",Agent04_Loans!A98)</f>
        <v/>
      </c>
      <c r="B688" s="37" t="str">
        <f>IF(Agent04_Loans!B98="","",Agent04_Loans!B98)</f>
        <v/>
      </c>
      <c r="C688" s="37" t="str">
        <f>IF(Agent04_Loans!B98="","",Agent04_Loans!C98)</f>
        <v/>
      </c>
      <c r="D688" s="38" t="str">
        <f>IF(Agent04_Loans!B98="","",Agent04_Loans!D98)</f>
        <v/>
      </c>
      <c r="E688" s="40" t="str">
        <f>IF(Agent04_Loans!B98="","",Agent04_Loans!E98)</f>
        <v/>
      </c>
      <c r="F688" s="37" t="str">
        <f>IF(Agent04_Loans!B98="","",Agent04_Loans!F98)</f>
        <v/>
      </c>
      <c r="G688" s="37" t="str">
        <f>IF(Agent04_Loans!B98="","",Agent04_Loans!G98)</f>
        <v/>
      </c>
      <c r="H688" s="37" t="str">
        <f>IF(Agent04_Loans!B98="","",Agent04_Loans!H98)</f>
        <v/>
      </c>
      <c r="I688" s="40" t="str">
        <f>IF(Agent04_Loans!B98="","",Agent04_Loans!I98)</f>
        <v/>
      </c>
      <c r="J688" s="40" t="str">
        <f>IF(Agent04_Loans!B98="","",Agent04_Loans!J98)</f>
        <v/>
      </c>
      <c r="K688" s="37" t="str">
        <f>IF(Agent04_Loans!B98="","",Agent04_Loans!K98)</f>
        <v/>
      </c>
      <c r="L688" s="37" t="str">
        <f>IF(Agent04_Loans!B98="","",Agent04_Loans!L98)</f>
        <v/>
      </c>
      <c r="M688" s="37" t="str">
        <f>IFERROR(IF(Agent04_Loans!B98="","",YEAR(Agent04_Loans!D98)),"")</f>
        <v/>
      </c>
    </row>
    <row r="689" spans="1:13" ht="18" customHeight="1" x14ac:dyDescent="0.25">
      <c r="A689" s="37" t="str">
        <f>IF(Agent04_Loans!B99="","",Agent04_Loans!A99)</f>
        <v/>
      </c>
      <c r="B689" s="37" t="str">
        <f>IF(Agent04_Loans!B99="","",Agent04_Loans!B99)</f>
        <v/>
      </c>
      <c r="C689" s="37" t="str">
        <f>IF(Agent04_Loans!B99="","",Agent04_Loans!C99)</f>
        <v/>
      </c>
      <c r="D689" s="38" t="str">
        <f>IF(Agent04_Loans!B99="","",Agent04_Loans!D99)</f>
        <v/>
      </c>
      <c r="E689" s="40" t="str">
        <f>IF(Agent04_Loans!B99="","",Agent04_Loans!E99)</f>
        <v/>
      </c>
      <c r="F689" s="37" t="str">
        <f>IF(Agent04_Loans!B99="","",Agent04_Loans!F99)</f>
        <v/>
      </c>
      <c r="G689" s="37" t="str">
        <f>IF(Agent04_Loans!B99="","",Agent04_Loans!G99)</f>
        <v/>
      </c>
      <c r="H689" s="37" t="str">
        <f>IF(Agent04_Loans!B99="","",Agent04_Loans!H99)</f>
        <v/>
      </c>
      <c r="I689" s="40" t="str">
        <f>IF(Agent04_Loans!B99="","",Agent04_Loans!I99)</f>
        <v/>
      </c>
      <c r="J689" s="40" t="str">
        <f>IF(Agent04_Loans!B99="","",Agent04_Loans!J99)</f>
        <v/>
      </c>
      <c r="K689" s="37" t="str">
        <f>IF(Agent04_Loans!B99="","",Agent04_Loans!K99)</f>
        <v/>
      </c>
      <c r="L689" s="37" t="str">
        <f>IF(Agent04_Loans!B99="","",Agent04_Loans!L99)</f>
        <v/>
      </c>
      <c r="M689" s="37" t="str">
        <f>IFERROR(IF(Agent04_Loans!B99="","",YEAR(Agent04_Loans!D99)),"")</f>
        <v/>
      </c>
    </row>
    <row r="690" spans="1:13" ht="18" customHeight="1" x14ac:dyDescent="0.25">
      <c r="A690" s="37" t="str">
        <f>IF(Agent04_Loans!B100="","",Agent04_Loans!A100)</f>
        <v/>
      </c>
      <c r="B690" s="37" t="str">
        <f>IF(Agent04_Loans!B100="","",Agent04_Loans!B100)</f>
        <v/>
      </c>
      <c r="C690" s="37" t="str">
        <f>IF(Agent04_Loans!B100="","",Agent04_Loans!C100)</f>
        <v/>
      </c>
      <c r="D690" s="38" t="str">
        <f>IF(Agent04_Loans!B100="","",Agent04_Loans!D100)</f>
        <v/>
      </c>
      <c r="E690" s="40" t="str">
        <f>IF(Agent04_Loans!B100="","",Agent04_Loans!E100)</f>
        <v/>
      </c>
      <c r="F690" s="37" t="str">
        <f>IF(Agent04_Loans!B100="","",Agent04_Loans!F100)</f>
        <v/>
      </c>
      <c r="G690" s="37" t="str">
        <f>IF(Agent04_Loans!B100="","",Agent04_Loans!G100)</f>
        <v/>
      </c>
      <c r="H690" s="37" t="str">
        <f>IF(Agent04_Loans!B100="","",Agent04_Loans!H100)</f>
        <v/>
      </c>
      <c r="I690" s="40" t="str">
        <f>IF(Agent04_Loans!B100="","",Agent04_Loans!I100)</f>
        <v/>
      </c>
      <c r="J690" s="40" t="str">
        <f>IF(Agent04_Loans!B100="","",Agent04_Loans!J100)</f>
        <v/>
      </c>
      <c r="K690" s="37" t="str">
        <f>IF(Agent04_Loans!B100="","",Agent04_Loans!K100)</f>
        <v/>
      </c>
      <c r="L690" s="37" t="str">
        <f>IF(Agent04_Loans!B100="","",Agent04_Loans!L100)</f>
        <v/>
      </c>
      <c r="M690" s="37" t="str">
        <f>IFERROR(IF(Agent04_Loans!B100="","",YEAR(Agent04_Loans!D100)),"")</f>
        <v/>
      </c>
    </row>
    <row r="691" spans="1:13" ht="18" customHeight="1" x14ac:dyDescent="0.25">
      <c r="A691" s="37" t="str">
        <f>IF(Agent04_Loans!B101="","",Agent04_Loans!A101)</f>
        <v/>
      </c>
      <c r="B691" s="37" t="str">
        <f>IF(Agent04_Loans!B101="","",Agent04_Loans!B101)</f>
        <v/>
      </c>
      <c r="C691" s="37" t="str">
        <f>IF(Agent04_Loans!B101="","",Agent04_Loans!C101)</f>
        <v/>
      </c>
      <c r="D691" s="38" t="str">
        <f>IF(Agent04_Loans!B101="","",Agent04_Loans!D101)</f>
        <v/>
      </c>
      <c r="E691" s="40" t="str">
        <f>IF(Agent04_Loans!B101="","",Agent04_Loans!E101)</f>
        <v/>
      </c>
      <c r="F691" s="37" t="str">
        <f>IF(Agent04_Loans!B101="","",Agent04_Loans!F101)</f>
        <v/>
      </c>
      <c r="G691" s="37" t="str">
        <f>IF(Agent04_Loans!B101="","",Agent04_Loans!G101)</f>
        <v/>
      </c>
      <c r="H691" s="37" t="str">
        <f>IF(Agent04_Loans!B101="","",Agent04_Loans!H101)</f>
        <v/>
      </c>
      <c r="I691" s="40" t="str">
        <f>IF(Agent04_Loans!B101="","",Agent04_Loans!I101)</f>
        <v/>
      </c>
      <c r="J691" s="40" t="str">
        <f>IF(Agent04_Loans!B101="","",Agent04_Loans!J101)</f>
        <v/>
      </c>
      <c r="K691" s="37" t="str">
        <f>IF(Agent04_Loans!B101="","",Agent04_Loans!K101)</f>
        <v/>
      </c>
      <c r="L691" s="37" t="str">
        <f>IF(Agent04_Loans!B101="","",Agent04_Loans!L101)</f>
        <v/>
      </c>
      <c r="M691" s="37" t="str">
        <f>IFERROR(IF(Agent04_Loans!B101="","",YEAR(Agent04_Loans!D101)),"")</f>
        <v/>
      </c>
    </row>
    <row r="692" spans="1:13" ht="18" customHeight="1" x14ac:dyDescent="0.25">
      <c r="A692" s="37" t="str">
        <f>IF(Agent04_Loans!B102="","",Agent04_Loans!A102)</f>
        <v/>
      </c>
      <c r="B692" s="37" t="str">
        <f>IF(Agent04_Loans!B102="","",Agent04_Loans!B102)</f>
        <v/>
      </c>
      <c r="C692" s="37" t="str">
        <f>IF(Agent04_Loans!B102="","",Agent04_Loans!C102)</f>
        <v/>
      </c>
      <c r="D692" s="38" t="str">
        <f>IF(Agent04_Loans!B102="","",Agent04_Loans!D102)</f>
        <v/>
      </c>
      <c r="E692" s="40" t="str">
        <f>IF(Agent04_Loans!B102="","",Agent04_Loans!E102)</f>
        <v/>
      </c>
      <c r="F692" s="37" t="str">
        <f>IF(Agent04_Loans!B102="","",Agent04_Loans!F102)</f>
        <v/>
      </c>
      <c r="G692" s="37" t="str">
        <f>IF(Agent04_Loans!B102="","",Agent04_Loans!G102)</f>
        <v/>
      </c>
      <c r="H692" s="37" t="str">
        <f>IF(Agent04_Loans!B102="","",Agent04_Loans!H102)</f>
        <v/>
      </c>
      <c r="I692" s="40" t="str">
        <f>IF(Agent04_Loans!B102="","",Agent04_Loans!I102)</f>
        <v/>
      </c>
      <c r="J692" s="40" t="str">
        <f>IF(Agent04_Loans!B102="","",Agent04_Loans!J102)</f>
        <v/>
      </c>
      <c r="K692" s="37" t="str">
        <f>IF(Agent04_Loans!B102="","",Agent04_Loans!K102)</f>
        <v/>
      </c>
      <c r="L692" s="37" t="str">
        <f>IF(Agent04_Loans!B102="","",Agent04_Loans!L102)</f>
        <v/>
      </c>
      <c r="M692" s="37" t="str">
        <f>IFERROR(IF(Agent04_Loans!B102="","",YEAR(Agent04_Loans!D102)),"")</f>
        <v/>
      </c>
    </row>
    <row r="693" spans="1:13" ht="18" customHeight="1" x14ac:dyDescent="0.25">
      <c r="A693" s="37" t="str">
        <f>IF(Agent04_Loans!B103="","",Agent04_Loans!A103)</f>
        <v/>
      </c>
      <c r="B693" s="37" t="str">
        <f>IF(Agent04_Loans!B103="","",Agent04_Loans!B103)</f>
        <v/>
      </c>
      <c r="C693" s="37" t="str">
        <f>IF(Agent04_Loans!B103="","",Agent04_Loans!C103)</f>
        <v/>
      </c>
      <c r="D693" s="38" t="str">
        <f>IF(Agent04_Loans!B103="","",Agent04_Loans!D103)</f>
        <v/>
      </c>
      <c r="E693" s="40" t="str">
        <f>IF(Agent04_Loans!B103="","",Agent04_Loans!E103)</f>
        <v/>
      </c>
      <c r="F693" s="37" t="str">
        <f>IF(Agent04_Loans!B103="","",Agent04_Loans!F103)</f>
        <v/>
      </c>
      <c r="G693" s="37" t="str">
        <f>IF(Agent04_Loans!B103="","",Agent04_Loans!G103)</f>
        <v/>
      </c>
      <c r="H693" s="37" t="str">
        <f>IF(Agent04_Loans!B103="","",Agent04_Loans!H103)</f>
        <v/>
      </c>
      <c r="I693" s="40" t="str">
        <f>IF(Agent04_Loans!B103="","",Agent04_Loans!I103)</f>
        <v/>
      </c>
      <c r="J693" s="40" t="str">
        <f>IF(Agent04_Loans!B103="","",Agent04_Loans!J103)</f>
        <v/>
      </c>
      <c r="K693" s="37" t="str">
        <f>IF(Agent04_Loans!B103="","",Agent04_Loans!K103)</f>
        <v/>
      </c>
      <c r="L693" s="37" t="str">
        <f>IF(Agent04_Loans!B103="","",Agent04_Loans!L103)</f>
        <v/>
      </c>
      <c r="M693" s="37" t="str">
        <f>IFERROR(IF(Agent04_Loans!B103="","",YEAR(Agent04_Loans!D103)),"")</f>
        <v/>
      </c>
    </row>
    <row r="694" spans="1:13" ht="18" customHeight="1" x14ac:dyDescent="0.25">
      <c r="A694" s="37" t="str">
        <f>IF(Agent04_Loans!B104="","",Agent04_Loans!A104)</f>
        <v/>
      </c>
      <c r="B694" s="37" t="str">
        <f>IF(Agent04_Loans!B104="","",Agent04_Loans!B104)</f>
        <v/>
      </c>
      <c r="C694" s="37" t="str">
        <f>IF(Agent04_Loans!B104="","",Agent04_Loans!C104)</f>
        <v/>
      </c>
      <c r="D694" s="38" t="str">
        <f>IF(Agent04_Loans!B104="","",Agent04_Loans!D104)</f>
        <v/>
      </c>
      <c r="E694" s="40" t="str">
        <f>IF(Agent04_Loans!B104="","",Agent04_Loans!E104)</f>
        <v/>
      </c>
      <c r="F694" s="37" t="str">
        <f>IF(Agent04_Loans!B104="","",Agent04_Loans!F104)</f>
        <v/>
      </c>
      <c r="G694" s="37" t="str">
        <f>IF(Agent04_Loans!B104="","",Agent04_Loans!G104)</f>
        <v/>
      </c>
      <c r="H694" s="37" t="str">
        <f>IF(Agent04_Loans!B104="","",Agent04_Loans!H104)</f>
        <v/>
      </c>
      <c r="I694" s="40" t="str">
        <f>IF(Agent04_Loans!B104="","",Agent04_Loans!I104)</f>
        <v/>
      </c>
      <c r="J694" s="40" t="str">
        <f>IF(Agent04_Loans!B104="","",Agent04_Loans!J104)</f>
        <v/>
      </c>
      <c r="K694" s="37" t="str">
        <f>IF(Agent04_Loans!B104="","",Agent04_Loans!K104)</f>
        <v/>
      </c>
      <c r="L694" s="37" t="str">
        <f>IF(Agent04_Loans!B104="","",Agent04_Loans!L104)</f>
        <v/>
      </c>
      <c r="M694" s="37" t="str">
        <f>IFERROR(IF(Agent04_Loans!B104="","",YEAR(Agent04_Loans!D104)),"")</f>
        <v/>
      </c>
    </row>
    <row r="695" spans="1:13" ht="18" customHeight="1" x14ac:dyDescent="0.25">
      <c r="A695" s="37" t="str">
        <f>IF(Agent04_Loans!B105="","",Agent04_Loans!A105)</f>
        <v/>
      </c>
      <c r="B695" s="37" t="str">
        <f>IF(Agent04_Loans!B105="","",Agent04_Loans!B105)</f>
        <v/>
      </c>
      <c r="C695" s="37" t="str">
        <f>IF(Agent04_Loans!B105="","",Agent04_Loans!C105)</f>
        <v/>
      </c>
      <c r="D695" s="38" t="str">
        <f>IF(Agent04_Loans!B105="","",Agent04_Loans!D105)</f>
        <v/>
      </c>
      <c r="E695" s="40" t="str">
        <f>IF(Agent04_Loans!B105="","",Agent04_Loans!E105)</f>
        <v/>
      </c>
      <c r="F695" s="37" t="str">
        <f>IF(Agent04_Loans!B105="","",Agent04_Loans!F105)</f>
        <v/>
      </c>
      <c r="G695" s="37" t="str">
        <f>IF(Agent04_Loans!B105="","",Agent04_Loans!G105)</f>
        <v/>
      </c>
      <c r="H695" s="37" t="str">
        <f>IF(Agent04_Loans!B105="","",Agent04_Loans!H105)</f>
        <v/>
      </c>
      <c r="I695" s="40" t="str">
        <f>IF(Agent04_Loans!B105="","",Agent04_Loans!I105)</f>
        <v/>
      </c>
      <c r="J695" s="40" t="str">
        <f>IF(Agent04_Loans!B105="","",Agent04_Loans!J105)</f>
        <v/>
      </c>
      <c r="K695" s="37" t="str">
        <f>IF(Agent04_Loans!B105="","",Agent04_Loans!K105)</f>
        <v/>
      </c>
      <c r="L695" s="37" t="str">
        <f>IF(Agent04_Loans!B105="","",Agent04_Loans!L105)</f>
        <v/>
      </c>
      <c r="M695" s="37" t="str">
        <f>IFERROR(IF(Agent04_Loans!B105="","",YEAR(Agent04_Loans!D105)),"")</f>
        <v/>
      </c>
    </row>
    <row r="696" spans="1:13" ht="18" customHeight="1" x14ac:dyDescent="0.25">
      <c r="A696" s="37" t="str">
        <f>IF(Agent04_Loans!B106="","",Agent04_Loans!A106)</f>
        <v/>
      </c>
      <c r="B696" s="37" t="str">
        <f>IF(Agent04_Loans!B106="","",Agent04_Loans!B106)</f>
        <v/>
      </c>
      <c r="C696" s="37" t="str">
        <f>IF(Agent04_Loans!B106="","",Agent04_Loans!C106)</f>
        <v/>
      </c>
      <c r="D696" s="38" t="str">
        <f>IF(Agent04_Loans!B106="","",Agent04_Loans!D106)</f>
        <v/>
      </c>
      <c r="E696" s="40" t="str">
        <f>IF(Agent04_Loans!B106="","",Agent04_Loans!E106)</f>
        <v/>
      </c>
      <c r="F696" s="37" t="str">
        <f>IF(Agent04_Loans!B106="","",Agent04_Loans!F106)</f>
        <v/>
      </c>
      <c r="G696" s="37" t="str">
        <f>IF(Agent04_Loans!B106="","",Agent04_Loans!G106)</f>
        <v/>
      </c>
      <c r="H696" s="37" t="str">
        <f>IF(Agent04_Loans!B106="","",Agent04_Loans!H106)</f>
        <v/>
      </c>
      <c r="I696" s="40" t="str">
        <f>IF(Agent04_Loans!B106="","",Agent04_Loans!I106)</f>
        <v/>
      </c>
      <c r="J696" s="40" t="str">
        <f>IF(Agent04_Loans!B106="","",Agent04_Loans!J106)</f>
        <v/>
      </c>
      <c r="K696" s="37" t="str">
        <f>IF(Agent04_Loans!B106="","",Agent04_Loans!K106)</f>
        <v/>
      </c>
      <c r="L696" s="37" t="str">
        <f>IF(Agent04_Loans!B106="","",Agent04_Loans!L106)</f>
        <v/>
      </c>
      <c r="M696" s="37" t="str">
        <f>IFERROR(IF(Agent04_Loans!B106="","",YEAR(Agent04_Loans!D106)),"")</f>
        <v/>
      </c>
    </row>
    <row r="697" spans="1:13" ht="18" customHeight="1" x14ac:dyDescent="0.25">
      <c r="A697" s="37" t="str">
        <f>IF(Agent04_Loans!B107="","",Agent04_Loans!A107)</f>
        <v/>
      </c>
      <c r="B697" s="37" t="str">
        <f>IF(Agent04_Loans!B107="","",Agent04_Loans!B107)</f>
        <v/>
      </c>
      <c r="C697" s="37" t="str">
        <f>IF(Agent04_Loans!B107="","",Agent04_Loans!C107)</f>
        <v/>
      </c>
      <c r="D697" s="38" t="str">
        <f>IF(Agent04_Loans!B107="","",Agent04_Loans!D107)</f>
        <v/>
      </c>
      <c r="E697" s="40" t="str">
        <f>IF(Agent04_Loans!B107="","",Agent04_Loans!E107)</f>
        <v/>
      </c>
      <c r="F697" s="37" t="str">
        <f>IF(Agent04_Loans!B107="","",Agent04_Loans!F107)</f>
        <v/>
      </c>
      <c r="G697" s="37" t="str">
        <f>IF(Agent04_Loans!B107="","",Agent04_Loans!G107)</f>
        <v/>
      </c>
      <c r="H697" s="37" t="str">
        <f>IF(Agent04_Loans!B107="","",Agent04_Loans!H107)</f>
        <v/>
      </c>
      <c r="I697" s="40" t="str">
        <f>IF(Agent04_Loans!B107="","",Agent04_Loans!I107)</f>
        <v/>
      </c>
      <c r="J697" s="40" t="str">
        <f>IF(Agent04_Loans!B107="","",Agent04_Loans!J107)</f>
        <v/>
      </c>
      <c r="K697" s="37" t="str">
        <f>IF(Agent04_Loans!B107="","",Agent04_Loans!K107)</f>
        <v/>
      </c>
      <c r="L697" s="37" t="str">
        <f>IF(Agent04_Loans!B107="","",Agent04_Loans!L107)</f>
        <v/>
      </c>
      <c r="M697" s="37" t="str">
        <f>IFERROR(IF(Agent04_Loans!B107="","",YEAR(Agent04_Loans!D107)),"")</f>
        <v/>
      </c>
    </row>
    <row r="698" spans="1:13" ht="18" customHeight="1" x14ac:dyDescent="0.25">
      <c r="A698" s="37" t="str">
        <f>IF(Agent04_Loans!B108="","",Agent04_Loans!A108)</f>
        <v/>
      </c>
      <c r="B698" s="37" t="str">
        <f>IF(Agent04_Loans!B108="","",Agent04_Loans!B108)</f>
        <v/>
      </c>
      <c r="C698" s="37" t="str">
        <f>IF(Agent04_Loans!B108="","",Agent04_Loans!C108)</f>
        <v/>
      </c>
      <c r="D698" s="38" t="str">
        <f>IF(Agent04_Loans!B108="","",Agent04_Loans!D108)</f>
        <v/>
      </c>
      <c r="E698" s="40" t="str">
        <f>IF(Agent04_Loans!B108="","",Agent04_Loans!E108)</f>
        <v/>
      </c>
      <c r="F698" s="37" t="str">
        <f>IF(Agent04_Loans!B108="","",Agent04_Loans!F108)</f>
        <v/>
      </c>
      <c r="G698" s="37" t="str">
        <f>IF(Agent04_Loans!B108="","",Agent04_Loans!G108)</f>
        <v/>
      </c>
      <c r="H698" s="37" t="str">
        <f>IF(Agent04_Loans!B108="","",Agent04_Loans!H108)</f>
        <v/>
      </c>
      <c r="I698" s="40" t="str">
        <f>IF(Agent04_Loans!B108="","",Agent04_Loans!I108)</f>
        <v/>
      </c>
      <c r="J698" s="40" t="str">
        <f>IF(Agent04_Loans!B108="","",Agent04_Loans!J108)</f>
        <v/>
      </c>
      <c r="K698" s="37" t="str">
        <f>IF(Agent04_Loans!B108="","",Agent04_Loans!K108)</f>
        <v/>
      </c>
      <c r="L698" s="37" t="str">
        <f>IF(Agent04_Loans!B108="","",Agent04_Loans!L108)</f>
        <v/>
      </c>
      <c r="M698" s="37" t="str">
        <f>IFERROR(IF(Agent04_Loans!B108="","",YEAR(Agent04_Loans!D108)),"")</f>
        <v/>
      </c>
    </row>
    <row r="699" spans="1:13" ht="18" customHeight="1" x14ac:dyDescent="0.25">
      <c r="A699" s="37" t="str">
        <f>IF(Agent04_Loans!B109="","",Agent04_Loans!A109)</f>
        <v/>
      </c>
      <c r="B699" s="37" t="str">
        <f>IF(Agent04_Loans!B109="","",Agent04_Loans!B109)</f>
        <v/>
      </c>
      <c r="C699" s="37" t="str">
        <f>IF(Agent04_Loans!B109="","",Agent04_Loans!C109)</f>
        <v/>
      </c>
      <c r="D699" s="38" t="str">
        <f>IF(Agent04_Loans!B109="","",Agent04_Loans!D109)</f>
        <v/>
      </c>
      <c r="E699" s="40" t="str">
        <f>IF(Agent04_Loans!B109="","",Agent04_Loans!E109)</f>
        <v/>
      </c>
      <c r="F699" s="37" t="str">
        <f>IF(Agent04_Loans!B109="","",Agent04_Loans!F109)</f>
        <v/>
      </c>
      <c r="G699" s="37" t="str">
        <f>IF(Agent04_Loans!B109="","",Agent04_Loans!G109)</f>
        <v/>
      </c>
      <c r="H699" s="37" t="str">
        <f>IF(Agent04_Loans!B109="","",Agent04_Loans!H109)</f>
        <v/>
      </c>
      <c r="I699" s="40" t="str">
        <f>IF(Agent04_Loans!B109="","",Agent04_Loans!I109)</f>
        <v/>
      </c>
      <c r="J699" s="40" t="str">
        <f>IF(Agent04_Loans!B109="","",Agent04_Loans!J109)</f>
        <v/>
      </c>
      <c r="K699" s="37" t="str">
        <f>IF(Agent04_Loans!B109="","",Agent04_Loans!K109)</f>
        <v/>
      </c>
      <c r="L699" s="37" t="str">
        <f>IF(Agent04_Loans!B109="","",Agent04_Loans!L109)</f>
        <v/>
      </c>
      <c r="M699" s="37" t="str">
        <f>IFERROR(IF(Agent04_Loans!B109="","",YEAR(Agent04_Loans!D109)),"")</f>
        <v/>
      </c>
    </row>
    <row r="700" spans="1:13" ht="18" customHeight="1" x14ac:dyDescent="0.25">
      <c r="A700" s="37" t="str">
        <f>IF(Agent04_Loans!B110="","",Agent04_Loans!A110)</f>
        <v/>
      </c>
      <c r="B700" s="37" t="str">
        <f>IF(Agent04_Loans!B110="","",Agent04_Loans!B110)</f>
        <v/>
      </c>
      <c r="C700" s="37" t="str">
        <f>IF(Agent04_Loans!B110="","",Agent04_Loans!C110)</f>
        <v/>
      </c>
      <c r="D700" s="38" t="str">
        <f>IF(Agent04_Loans!B110="","",Agent04_Loans!D110)</f>
        <v/>
      </c>
      <c r="E700" s="40" t="str">
        <f>IF(Agent04_Loans!B110="","",Agent04_Loans!E110)</f>
        <v/>
      </c>
      <c r="F700" s="37" t="str">
        <f>IF(Agent04_Loans!B110="","",Agent04_Loans!F110)</f>
        <v/>
      </c>
      <c r="G700" s="37" t="str">
        <f>IF(Agent04_Loans!B110="","",Agent04_Loans!G110)</f>
        <v/>
      </c>
      <c r="H700" s="37" t="str">
        <f>IF(Agent04_Loans!B110="","",Agent04_Loans!H110)</f>
        <v/>
      </c>
      <c r="I700" s="40" t="str">
        <f>IF(Agent04_Loans!B110="","",Agent04_Loans!I110)</f>
        <v/>
      </c>
      <c r="J700" s="40" t="str">
        <f>IF(Agent04_Loans!B110="","",Agent04_Loans!J110)</f>
        <v/>
      </c>
      <c r="K700" s="37" t="str">
        <f>IF(Agent04_Loans!B110="","",Agent04_Loans!K110)</f>
        <v/>
      </c>
      <c r="L700" s="37" t="str">
        <f>IF(Agent04_Loans!B110="","",Agent04_Loans!L110)</f>
        <v/>
      </c>
      <c r="M700" s="37" t="str">
        <f>IFERROR(IF(Agent04_Loans!B110="","",YEAR(Agent04_Loans!D110)),"")</f>
        <v/>
      </c>
    </row>
    <row r="701" spans="1:13" ht="18" customHeight="1" x14ac:dyDescent="0.25">
      <c r="A701" s="37" t="str">
        <f>IF(Agent04_Loans!B111="","",Agent04_Loans!A111)</f>
        <v/>
      </c>
      <c r="B701" s="37" t="str">
        <f>IF(Agent04_Loans!B111="","",Agent04_Loans!B111)</f>
        <v/>
      </c>
      <c r="C701" s="37" t="str">
        <f>IF(Agent04_Loans!B111="","",Agent04_Loans!C111)</f>
        <v/>
      </c>
      <c r="D701" s="38" t="str">
        <f>IF(Agent04_Loans!B111="","",Agent04_Loans!D111)</f>
        <v/>
      </c>
      <c r="E701" s="40" t="str">
        <f>IF(Agent04_Loans!B111="","",Agent04_Loans!E111)</f>
        <v/>
      </c>
      <c r="F701" s="37" t="str">
        <f>IF(Agent04_Loans!B111="","",Agent04_Loans!F111)</f>
        <v/>
      </c>
      <c r="G701" s="37" t="str">
        <f>IF(Agent04_Loans!B111="","",Agent04_Loans!G111)</f>
        <v/>
      </c>
      <c r="H701" s="37" t="str">
        <f>IF(Agent04_Loans!B111="","",Agent04_Loans!H111)</f>
        <v/>
      </c>
      <c r="I701" s="40" t="str">
        <f>IF(Agent04_Loans!B111="","",Agent04_Loans!I111)</f>
        <v/>
      </c>
      <c r="J701" s="40" t="str">
        <f>IF(Agent04_Loans!B111="","",Agent04_Loans!J111)</f>
        <v/>
      </c>
      <c r="K701" s="37" t="str">
        <f>IF(Agent04_Loans!B111="","",Agent04_Loans!K111)</f>
        <v/>
      </c>
      <c r="L701" s="37" t="str">
        <f>IF(Agent04_Loans!B111="","",Agent04_Loans!L111)</f>
        <v/>
      </c>
      <c r="M701" s="37" t="str">
        <f>IFERROR(IF(Agent04_Loans!B111="","",YEAR(Agent04_Loans!D111)),"")</f>
        <v/>
      </c>
    </row>
    <row r="702" spans="1:13" ht="18" customHeight="1" x14ac:dyDescent="0.25">
      <c r="A702" s="37" t="str">
        <f>IF(Agent04_Loans!B112="","",Agent04_Loans!A112)</f>
        <v/>
      </c>
      <c r="B702" s="37" t="str">
        <f>IF(Agent04_Loans!B112="","",Agent04_Loans!B112)</f>
        <v/>
      </c>
      <c r="C702" s="37" t="str">
        <f>IF(Agent04_Loans!B112="","",Agent04_Loans!C112)</f>
        <v/>
      </c>
      <c r="D702" s="38" t="str">
        <f>IF(Agent04_Loans!B112="","",Agent04_Loans!D112)</f>
        <v/>
      </c>
      <c r="E702" s="40" t="str">
        <f>IF(Agent04_Loans!B112="","",Agent04_Loans!E112)</f>
        <v/>
      </c>
      <c r="F702" s="37" t="str">
        <f>IF(Agent04_Loans!B112="","",Agent04_Loans!F112)</f>
        <v/>
      </c>
      <c r="G702" s="37" t="str">
        <f>IF(Agent04_Loans!B112="","",Agent04_Loans!G112)</f>
        <v/>
      </c>
      <c r="H702" s="37" t="str">
        <f>IF(Agent04_Loans!B112="","",Agent04_Loans!H112)</f>
        <v/>
      </c>
      <c r="I702" s="40" t="str">
        <f>IF(Agent04_Loans!B112="","",Agent04_Loans!I112)</f>
        <v/>
      </c>
      <c r="J702" s="40" t="str">
        <f>IF(Agent04_Loans!B112="","",Agent04_Loans!J112)</f>
        <v/>
      </c>
      <c r="K702" s="37" t="str">
        <f>IF(Agent04_Loans!B112="","",Agent04_Loans!K112)</f>
        <v/>
      </c>
      <c r="L702" s="37" t="str">
        <f>IF(Agent04_Loans!B112="","",Agent04_Loans!L112)</f>
        <v/>
      </c>
      <c r="M702" s="37" t="str">
        <f>IFERROR(IF(Agent04_Loans!B112="","",YEAR(Agent04_Loans!D112)),"")</f>
        <v/>
      </c>
    </row>
    <row r="703" spans="1:13" ht="18" customHeight="1" x14ac:dyDescent="0.25">
      <c r="A703" s="37" t="str">
        <f>IF(Agent04_Loans!B113="","",Agent04_Loans!A113)</f>
        <v/>
      </c>
      <c r="B703" s="37" t="str">
        <f>IF(Agent04_Loans!B113="","",Agent04_Loans!B113)</f>
        <v/>
      </c>
      <c r="C703" s="37" t="str">
        <f>IF(Agent04_Loans!B113="","",Agent04_Loans!C113)</f>
        <v/>
      </c>
      <c r="D703" s="38" t="str">
        <f>IF(Agent04_Loans!B113="","",Agent04_Loans!D113)</f>
        <v/>
      </c>
      <c r="E703" s="40" t="str">
        <f>IF(Agent04_Loans!B113="","",Agent04_Loans!E113)</f>
        <v/>
      </c>
      <c r="F703" s="37" t="str">
        <f>IF(Agent04_Loans!B113="","",Agent04_Loans!F113)</f>
        <v/>
      </c>
      <c r="G703" s="37" t="str">
        <f>IF(Agent04_Loans!B113="","",Agent04_Loans!G113)</f>
        <v/>
      </c>
      <c r="H703" s="37" t="str">
        <f>IF(Agent04_Loans!B113="","",Agent04_Loans!H113)</f>
        <v/>
      </c>
      <c r="I703" s="40" t="str">
        <f>IF(Agent04_Loans!B113="","",Agent04_Loans!I113)</f>
        <v/>
      </c>
      <c r="J703" s="40" t="str">
        <f>IF(Agent04_Loans!B113="","",Agent04_Loans!J113)</f>
        <v/>
      </c>
      <c r="K703" s="37" t="str">
        <f>IF(Agent04_Loans!B113="","",Agent04_Loans!K113)</f>
        <v/>
      </c>
      <c r="L703" s="37" t="str">
        <f>IF(Agent04_Loans!B113="","",Agent04_Loans!L113)</f>
        <v/>
      </c>
      <c r="M703" s="37" t="str">
        <f>IFERROR(IF(Agent04_Loans!B113="","",YEAR(Agent04_Loans!D113)),"")</f>
        <v/>
      </c>
    </row>
    <row r="704" spans="1:13" ht="18" customHeight="1" x14ac:dyDescent="0.25">
      <c r="A704" s="37" t="str">
        <f>IF(Agent04_Loans!B114="","",Agent04_Loans!A114)</f>
        <v/>
      </c>
      <c r="B704" s="37" t="str">
        <f>IF(Agent04_Loans!B114="","",Agent04_Loans!B114)</f>
        <v/>
      </c>
      <c r="C704" s="37" t="str">
        <f>IF(Agent04_Loans!B114="","",Agent04_Loans!C114)</f>
        <v/>
      </c>
      <c r="D704" s="38" t="str">
        <f>IF(Agent04_Loans!B114="","",Agent04_Loans!D114)</f>
        <v/>
      </c>
      <c r="E704" s="40" t="str">
        <f>IF(Agent04_Loans!B114="","",Agent04_Loans!E114)</f>
        <v/>
      </c>
      <c r="F704" s="37" t="str">
        <f>IF(Agent04_Loans!B114="","",Agent04_Loans!F114)</f>
        <v/>
      </c>
      <c r="G704" s="37" t="str">
        <f>IF(Agent04_Loans!B114="","",Agent04_Loans!G114)</f>
        <v/>
      </c>
      <c r="H704" s="37" t="str">
        <f>IF(Agent04_Loans!B114="","",Agent04_Loans!H114)</f>
        <v/>
      </c>
      <c r="I704" s="40" t="str">
        <f>IF(Agent04_Loans!B114="","",Agent04_Loans!I114)</f>
        <v/>
      </c>
      <c r="J704" s="40" t="str">
        <f>IF(Agent04_Loans!B114="","",Agent04_Loans!J114)</f>
        <v/>
      </c>
      <c r="K704" s="37" t="str">
        <f>IF(Agent04_Loans!B114="","",Agent04_Loans!K114)</f>
        <v/>
      </c>
      <c r="L704" s="37" t="str">
        <f>IF(Agent04_Loans!B114="","",Agent04_Loans!L114)</f>
        <v/>
      </c>
      <c r="M704" s="37" t="str">
        <f>IFERROR(IF(Agent04_Loans!B114="","",YEAR(Agent04_Loans!D114)),"")</f>
        <v/>
      </c>
    </row>
    <row r="705" spans="1:13" ht="18" customHeight="1" x14ac:dyDescent="0.25">
      <c r="A705" s="37" t="str">
        <f>IF(Agent04_Loans!B115="","",Agent04_Loans!A115)</f>
        <v/>
      </c>
      <c r="B705" s="37" t="str">
        <f>IF(Agent04_Loans!B115="","",Agent04_Loans!B115)</f>
        <v/>
      </c>
      <c r="C705" s="37" t="str">
        <f>IF(Agent04_Loans!B115="","",Agent04_Loans!C115)</f>
        <v/>
      </c>
      <c r="D705" s="38" t="str">
        <f>IF(Agent04_Loans!B115="","",Agent04_Loans!D115)</f>
        <v/>
      </c>
      <c r="E705" s="40" t="str">
        <f>IF(Agent04_Loans!B115="","",Agent04_Loans!E115)</f>
        <v/>
      </c>
      <c r="F705" s="37" t="str">
        <f>IF(Agent04_Loans!B115="","",Agent04_Loans!F115)</f>
        <v/>
      </c>
      <c r="G705" s="37" t="str">
        <f>IF(Agent04_Loans!B115="","",Agent04_Loans!G115)</f>
        <v/>
      </c>
      <c r="H705" s="37" t="str">
        <f>IF(Agent04_Loans!B115="","",Agent04_Loans!H115)</f>
        <v/>
      </c>
      <c r="I705" s="40" t="str">
        <f>IF(Agent04_Loans!B115="","",Agent04_Loans!I115)</f>
        <v/>
      </c>
      <c r="J705" s="40" t="str">
        <f>IF(Agent04_Loans!B115="","",Agent04_Loans!J115)</f>
        <v/>
      </c>
      <c r="K705" s="37" t="str">
        <f>IF(Agent04_Loans!B115="","",Agent04_Loans!K115)</f>
        <v/>
      </c>
      <c r="L705" s="37" t="str">
        <f>IF(Agent04_Loans!B115="","",Agent04_Loans!L115)</f>
        <v/>
      </c>
      <c r="M705" s="37" t="str">
        <f>IFERROR(IF(Agent04_Loans!B115="","",YEAR(Agent04_Loans!D115)),"")</f>
        <v/>
      </c>
    </row>
    <row r="706" spans="1:13" ht="18" customHeight="1" x14ac:dyDescent="0.25">
      <c r="A706" s="37" t="str">
        <f>IF(Agent04_Loans!B116="","",Agent04_Loans!A116)</f>
        <v/>
      </c>
      <c r="B706" s="37" t="str">
        <f>IF(Agent04_Loans!B116="","",Agent04_Loans!B116)</f>
        <v/>
      </c>
      <c r="C706" s="37" t="str">
        <f>IF(Agent04_Loans!B116="","",Agent04_Loans!C116)</f>
        <v/>
      </c>
      <c r="D706" s="38" t="str">
        <f>IF(Agent04_Loans!B116="","",Agent04_Loans!D116)</f>
        <v/>
      </c>
      <c r="E706" s="40" t="str">
        <f>IF(Agent04_Loans!B116="","",Agent04_Loans!E116)</f>
        <v/>
      </c>
      <c r="F706" s="37" t="str">
        <f>IF(Agent04_Loans!B116="","",Agent04_Loans!F116)</f>
        <v/>
      </c>
      <c r="G706" s="37" t="str">
        <f>IF(Agent04_Loans!B116="","",Agent04_Loans!G116)</f>
        <v/>
      </c>
      <c r="H706" s="37" t="str">
        <f>IF(Agent04_Loans!B116="","",Agent04_Loans!H116)</f>
        <v/>
      </c>
      <c r="I706" s="40" t="str">
        <f>IF(Agent04_Loans!B116="","",Agent04_Loans!I116)</f>
        <v/>
      </c>
      <c r="J706" s="40" t="str">
        <f>IF(Agent04_Loans!B116="","",Agent04_Loans!J116)</f>
        <v/>
      </c>
      <c r="K706" s="37" t="str">
        <f>IF(Agent04_Loans!B116="","",Agent04_Loans!K116)</f>
        <v/>
      </c>
      <c r="L706" s="37" t="str">
        <f>IF(Agent04_Loans!B116="","",Agent04_Loans!L116)</f>
        <v/>
      </c>
      <c r="M706" s="37" t="str">
        <f>IFERROR(IF(Agent04_Loans!B116="","",YEAR(Agent04_Loans!D116)),"")</f>
        <v/>
      </c>
    </row>
    <row r="707" spans="1:13" ht="18" customHeight="1" x14ac:dyDescent="0.25">
      <c r="A707" s="37" t="str">
        <f>IF(Agent04_Loans!B117="","",Agent04_Loans!A117)</f>
        <v/>
      </c>
      <c r="B707" s="37" t="str">
        <f>IF(Agent04_Loans!B117="","",Agent04_Loans!B117)</f>
        <v/>
      </c>
      <c r="C707" s="37" t="str">
        <f>IF(Agent04_Loans!B117="","",Agent04_Loans!C117)</f>
        <v/>
      </c>
      <c r="D707" s="38" t="str">
        <f>IF(Agent04_Loans!B117="","",Agent04_Loans!D117)</f>
        <v/>
      </c>
      <c r="E707" s="40" t="str">
        <f>IF(Agent04_Loans!B117="","",Agent04_Loans!E117)</f>
        <v/>
      </c>
      <c r="F707" s="37" t="str">
        <f>IF(Agent04_Loans!B117="","",Agent04_Loans!F117)</f>
        <v/>
      </c>
      <c r="G707" s="37" t="str">
        <f>IF(Agent04_Loans!B117="","",Agent04_Loans!G117)</f>
        <v/>
      </c>
      <c r="H707" s="37" t="str">
        <f>IF(Agent04_Loans!B117="","",Agent04_Loans!H117)</f>
        <v/>
      </c>
      <c r="I707" s="40" t="str">
        <f>IF(Agent04_Loans!B117="","",Agent04_Loans!I117)</f>
        <v/>
      </c>
      <c r="J707" s="40" t="str">
        <f>IF(Agent04_Loans!B117="","",Agent04_Loans!J117)</f>
        <v/>
      </c>
      <c r="K707" s="37" t="str">
        <f>IF(Agent04_Loans!B117="","",Agent04_Loans!K117)</f>
        <v/>
      </c>
      <c r="L707" s="37" t="str">
        <f>IF(Agent04_Loans!B117="","",Agent04_Loans!L117)</f>
        <v/>
      </c>
      <c r="M707" s="37" t="str">
        <f>IFERROR(IF(Agent04_Loans!B117="","",YEAR(Agent04_Loans!D117)),"")</f>
        <v/>
      </c>
    </row>
    <row r="708" spans="1:13" ht="18" customHeight="1" x14ac:dyDescent="0.25">
      <c r="A708" s="37" t="str">
        <f>IF(Agent04_Loans!B118="","",Agent04_Loans!A118)</f>
        <v/>
      </c>
      <c r="B708" s="37" t="str">
        <f>IF(Agent04_Loans!B118="","",Agent04_Loans!B118)</f>
        <v/>
      </c>
      <c r="C708" s="37" t="str">
        <f>IF(Agent04_Loans!B118="","",Agent04_Loans!C118)</f>
        <v/>
      </c>
      <c r="D708" s="38" t="str">
        <f>IF(Agent04_Loans!B118="","",Agent04_Loans!D118)</f>
        <v/>
      </c>
      <c r="E708" s="40" t="str">
        <f>IF(Agent04_Loans!B118="","",Agent04_Loans!E118)</f>
        <v/>
      </c>
      <c r="F708" s="37" t="str">
        <f>IF(Agent04_Loans!B118="","",Agent04_Loans!F118)</f>
        <v/>
      </c>
      <c r="G708" s="37" t="str">
        <f>IF(Agent04_Loans!B118="","",Agent04_Loans!G118)</f>
        <v/>
      </c>
      <c r="H708" s="37" t="str">
        <f>IF(Agent04_Loans!B118="","",Agent04_Loans!H118)</f>
        <v/>
      </c>
      <c r="I708" s="40" t="str">
        <f>IF(Agent04_Loans!B118="","",Agent04_Loans!I118)</f>
        <v/>
      </c>
      <c r="J708" s="40" t="str">
        <f>IF(Agent04_Loans!B118="","",Agent04_Loans!J118)</f>
        <v/>
      </c>
      <c r="K708" s="37" t="str">
        <f>IF(Agent04_Loans!B118="","",Agent04_Loans!K118)</f>
        <v/>
      </c>
      <c r="L708" s="37" t="str">
        <f>IF(Agent04_Loans!B118="","",Agent04_Loans!L118)</f>
        <v/>
      </c>
      <c r="M708" s="37" t="str">
        <f>IFERROR(IF(Agent04_Loans!B118="","",YEAR(Agent04_Loans!D118)),"")</f>
        <v/>
      </c>
    </row>
    <row r="709" spans="1:13" ht="18" customHeight="1" x14ac:dyDescent="0.25">
      <c r="A709" s="37" t="str">
        <f>IF(Agent04_Loans!B119="","",Agent04_Loans!A119)</f>
        <v/>
      </c>
      <c r="B709" s="37" t="str">
        <f>IF(Agent04_Loans!B119="","",Agent04_Loans!B119)</f>
        <v/>
      </c>
      <c r="C709" s="37" t="str">
        <f>IF(Agent04_Loans!B119="","",Agent04_Loans!C119)</f>
        <v/>
      </c>
      <c r="D709" s="38" t="str">
        <f>IF(Agent04_Loans!B119="","",Agent04_Loans!D119)</f>
        <v/>
      </c>
      <c r="E709" s="40" t="str">
        <f>IF(Agent04_Loans!B119="","",Agent04_Loans!E119)</f>
        <v/>
      </c>
      <c r="F709" s="37" t="str">
        <f>IF(Agent04_Loans!B119="","",Agent04_Loans!F119)</f>
        <v/>
      </c>
      <c r="G709" s="37" t="str">
        <f>IF(Agent04_Loans!B119="","",Agent04_Loans!G119)</f>
        <v/>
      </c>
      <c r="H709" s="37" t="str">
        <f>IF(Agent04_Loans!B119="","",Agent04_Loans!H119)</f>
        <v/>
      </c>
      <c r="I709" s="40" t="str">
        <f>IF(Agent04_Loans!B119="","",Agent04_Loans!I119)</f>
        <v/>
      </c>
      <c r="J709" s="40" t="str">
        <f>IF(Agent04_Loans!B119="","",Agent04_Loans!J119)</f>
        <v/>
      </c>
      <c r="K709" s="37" t="str">
        <f>IF(Agent04_Loans!B119="","",Agent04_Loans!K119)</f>
        <v/>
      </c>
      <c r="L709" s="37" t="str">
        <f>IF(Agent04_Loans!B119="","",Agent04_Loans!L119)</f>
        <v/>
      </c>
      <c r="M709" s="37" t="str">
        <f>IFERROR(IF(Agent04_Loans!B119="","",YEAR(Agent04_Loans!D119)),"")</f>
        <v/>
      </c>
    </row>
    <row r="710" spans="1:13" ht="18" customHeight="1" x14ac:dyDescent="0.25">
      <c r="A710" s="37" t="str">
        <f>IF(Agent04_Loans!B120="","",Agent04_Loans!A120)</f>
        <v/>
      </c>
      <c r="B710" s="37" t="str">
        <f>IF(Agent04_Loans!B120="","",Agent04_Loans!B120)</f>
        <v/>
      </c>
      <c r="C710" s="37" t="str">
        <f>IF(Agent04_Loans!B120="","",Agent04_Loans!C120)</f>
        <v/>
      </c>
      <c r="D710" s="38" t="str">
        <f>IF(Agent04_Loans!B120="","",Agent04_Loans!D120)</f>
        <v/>
      </c>
      <c r="E710" s="40" t="str">
        <f>IF(Agent04_Loans!B120="","",Agent04_Loans!E120)</f>
        <v/>
      </c>
      <c r="F710" s="37" t="str">
        <f>IF(Agent04_Loans!B120="","",Agent04_Loans!F120)</f>
        <v/>
      </c>
      <c r="G710" s="37" t="str">
        <f>IF(Agent04_Loans!B120="","",Agent04_Loans!G120)</f>
        <v/>
      </c>
      <c r="H710" s="37" t="str">
        <f>IF(Agent04_Loans!B120="","",Agent04_Loans!H120)</f>
        <v/>
      </c>
      <c r="I710" s="40" t="str">
        <f>IF(Agent04_Loans!B120="","",Agent04_Loans!I120)</f>
        <v/>
      </c>
      <c r="J710" s="40" t="str">
        <f>IF(Agent04_Loans!B120="","",Agent04_Loans!J120)</f>
        <v/>
      </c>
      <c r="K710" s="37" t="str">
        <f>IF(Agent04_Loans!B120="","",Agent04_Loans!K120)</f>
        <v/>
      </c>
      <c r="L710" s="37" t="str">
        <f>IF(Agent04_Loans!B120="","",Agent04_Loans!L120)</f>
        <v/>
      </c>
      <c r="M710" s="37" t="str">
        <f>IFERROR(IF(Agent04_Loans!B120="","",YEAR(Agent04_Loans!D120)),"")</f>
        <v/>
      </c>
    </row>
    <row r="711" spans="1:13" ht="18" customHeight="1" x14ac:dyDescent="0.25">
      <c r="A711" s="37" t="str">
        <f>IF(Agent04_Loans!B121="","",Agent04_Loans!A121)</f>
        <v/>
      </c>
      <c r="B711" s="37" t="str">
        <f>IF(Agent04_Loans!B121="","",Agent04_Loans!B121)</f>
        <v/>
      </c>
      <c r="C711" s="37" t="str">
        <f>IF(Agent04_Loans!B121="","",Agent04_Loans!C121)</f>
        <v/>
      </c>
      <c r="D711" s="38" t="str">
        <f>IF(Agent04_Loans!B121="","",Agent04_Loans!D121)</f>
        <v/>
      </c>
      <c r="E711" s="40" t="str">
        <f>IF(Agent04_Loans!B121="","",Agent04_Loans!E121)</f>
        <v/>
      </c>
      <c r="F711" s="37" t="str">
        <f>IF(Agent04_Loans!B121="","",Agent04_Loans!F121)</f>
        <v/>
      </c>
      <c r="G711" s="37" t="str">
        <f>IF(Agent04_Loans!B121="","",Agent04_Loans!G121)</f>
        <v/>
      </c>
      <c r="H711" s="37" t="str">
        <f>IF(Agent04_Loans!B121="","",Agent04_Loans!H121)</f>
        <v/>
      </c>
      <c r="I711" s="40" t="str">
        <f>IF(Agent04_Loans!B121="","",Agent04_Loans!I121)</f>
        <v/>
      </c>
      <c r="J711" s="40" t="str">
        <f>IF(Agent04_Loans!B121="","",Agent04_Loans!J121)</f>
        <v/>
      </c>
      <c r="K711" s="37" t="str">
        <f>IF(Agent04_Loans!B121="","",Agent04_Loans!K121)</f>
        <v/>
      </c>
      <c r="L711" s="37" t="str">
        <f>IF(Agent04_Loans!B121="","",Agent04_Loans!L121)</f>
        <v/>
      </c>
      <c r="M711" s="37" t="str">
        <f>IFERROR(IF(Agent04_Loans!B121="","",YEAR(Agent04_Loans!D121)),"")</f>
        <v/>
      </c>
    </row>
    <row r="712" spans="1:13" ht="18" customHeight="1" x14ac:dyDescent="0.25">
      <c r="A712" s="37" t="str">
        <f>IF(Agent04_Loans!B122="","",Agent04_Loans!A122)</f>
        <v/>
      </c>
      <c r="B712" s="37" t="str">
        <f>IF(Agent04_Loans!B122="","",Agent04_Loans!B122)</f>
        <v/>
      </c>
      <c r="C712" s="37" t="str">
        <f>IF(Agent04_Loans!B122="","",Agent04_Loans!C122)</f>
        <v/>
      </c>
      <c r="D712" s="38" t="str">
        <f>IF(Agent04_Loans!B122="","",Agent04_Loans!D122)</f>
        <v/>
      </c>
      <c r="E712" s="40" t="str">
        <f>IF(Agent04_Loans!B122="","",Agent04_Loans!E122)</f>
        <v/>
      </c>
      <c r="F712" s="37" t="str">
        <f>IF(Agent04_Loans!B122="","",Agent04_Loans!F122)</f>
        <v/>
      </c>
      <c r="G712" s="37" t="str">
        <f>IF(Agent04_Loans!B122="","",Agent04_Loans!G122)</f>
        <v/>
      </c>
      <c r="H712" s="37" t="str">
        <f>IF(Agent04_Loans!B122="","",Agent04_Loans!H122)</f>
        <v/>
      </c>
      <c r="I712" s="40" t="str">
        <f>IF(Agent04_Loans!B122="","",Agent04_Loans!I122)</f>
        <v/>
      </c>
      <c r="J712" s="40" t="str">
        <f>IF(Agent04_Loans!B122="","",Agent04_Loans!J122)</f>
        <v/>
      </c>
      <c r="K712" s="37" t="str">
        <f>IF(Agent04_Loans!B122="","",Agent04_Loans!K122)</f>
        <v/>
      </c>
      <c r="L712" s="37" t="str">
        <f>IF(Agent04_Loans!B122="","",Agent04_Loans!L122)</f>
        <v/>
      </c>
      <c r="M712" s="37" t="str">
        <f>IFERROR(IF(Agent04_Loans!B122="","",YEAR(Agent04_Loans!D122)),"")</f>
        <v/>
      </c>
    </row>
    <row r="713" spans="1:13" ht="18" customHeight="1" x14ac:dyDescent="0.25">
      <c r="A713" s="37" t="str">
        <f>IF(Agent04_Loans!B123="","",Agent04_Loans!A123)</f>
        <v/>
      </c>
      <c r="B713" s="37" t="str">
        <f>IF(Agent04_Loans!B123="","",Agent04_Loans!B123)</f>
        <v/>
      </c>
      <c r="C713" s="37" t="str">
        <f>IF(Agent04_Loans!B123="","",Agent04_Loans!C123)</f>
        <v/>
      </c>
      <c r="D713" s="38" t="str">
        <f>IF(Agent04_Loans!B123="","",Agent04_Loans!D123)</f>
        <v/>
      </c>
      <c r="E713" s="40" t="str">
        <f>IF(Agent04_Loans!B123="","",Agent04_Loans!E123)</f>
        <v/>
      </c>
      <c r="F713" s="37" t="str">
        <f>IF(Agent04_Loans!B123="","",Agent04_Loans!F123)</f>
        <v/>
      </c>
      <c r="G713" s="37" t="str">
        <f>IF(Agent04_Loans!B123="","",Agent04_Loans!G123)</f>
        <v/>
      </c>
      <c r="H713" s="37" t="str">
        <f>IF(Agent04_Loans!B123="","",Agent04_Loans!H123)</f>
        <v/>
      </c>
      <c r="I713" s="40" t="str">
        <f>IF(Agent04_Loans!B123="","",Agent04_Loans!I123)</f>
        <v/>
      </c>
      <c r="J713" s="40" t="str">
        <f>IF(Agent04_Loans!B123="","",Agent04_Loans!J123)</f>
        <v/>
      </c>
      <c r="K713" s="37" t="str">
        <f>IF(Agent04_Loans!B123="","",Agent04_Loans!K123)</f>
        <v/>
      </c>
      <c r="L713" s="37" t="str">
        <f>IF(Agent04_Loans!B123="","",Agent04_Loans!L123)</f>
        <v/>
      </c>
      <c r="M713" s="37" t="str">
        <f>IFERROR(IF(Agent04_Loans!B123="","",YEAR(Agent04_Loans!D123)),"")</f>
        <v/>
      </c>
    </row>
    <row r="714" spans="1:13" ht="18" customHeight="1" x14ac:dyDescent="0.25">
      <c r="A714" s="37" t="str">
        <f>IF(Agent04_Loans!B124="","",Agent04_Loans!A124)</f>
        <v/>
      </c>
      <c r="B714" s="37" t="str">
        <f>IF(Agent04_Loans!B124="","",Agent04_Loans!B124)</f>
        <v/>
      </c>
      <c r="C714" s="37" t="str">
        <f>IF(Agent04_Loans!B124="","",Agent04_Loans!C124)</f>
        <v/>
      </c>
      <c r="D714" s="38" t="str">
        <f>IF(Agent04_Loans!B124="","",Agent04_Loans!D124)</f>
        <v/>
      </c>
      <c r="E714" s="40" t="str">
        <f>IF(Agent04_Loans!B124="","",Agent04_Loans!E124)</f>
        <v/>
      </c>
      <c r="F714" s="37" t="str">
        <f>IF(Agent04_Loans!B124="","",Agent04_Loans!F124)</f>
        <v/>
      </c>
      <c r="G714" s="37" t="str">
        <f>IF(Agent04_Loans!B124="","",Agent04_Loans!G124)</f>
        <v/>
      </c>
      <c r="H714" s="37" t="str">
        <f>IF(Agent04_Loans!B124="","",Agent04_Loans!H124)</f>
        <v/>
      </c>
      <c r="I714" s="40" t="str">
        <f>IF(Agent04_Loans!B124="","",Agent04_Loans!I124)</f>
        <v/>
      </c>
      <c r="J714" s="40" t="str">
        <f>IF(Agent04_Loans!B124="","",Agent04_Loans!J124)</f>
        <v/>
      </c>
      <c r="K714" s="37" t="str">
        <f>IF(Agent04_Loans!B124="","",Agent04_Loans!K124)</f>
        <v/>
      </c>
      <c r="L714" s="37" t="str">
        <f>IF(Agent04_Loans!B124="","",Agent04_Loans!L124)</f>
        <v/>
      </c>
      <c r="M714" s="37" t="str">
        <f>IFERROR(IF(Agent04_Loans!B124="","",YEAR(Agent04_Loans!D124)),"")</f>
        <v/>
      </c>
    </row>
    <row r="715" spans="1:13" ht="18" customHeight="1" x14ac:dyDescent="0.25">
      <c r="A715" s="37" t="str">
        <f>IF(Agent04_Loans!B125="","",Agent04_Loans!A125)</f>
        <v/>
      </c>
      <c r="B715" s="37" t="str">
        <f>IF(Agent04_Loans!B125="","",Agent04_Loans!B125)</f>
        <v/>
      </c>
      <c r="C715" s="37" t="str">
        <f>IF(Agent04_Loans!B125="","",Agent04_Loans!C125)</f>
        <v/>
      </c>
      <c r="D715" s="38" t="str">
        <f>IF(Agent04_Loans!B125="","",Agent04_Loans!D125)</f>
        <v/>
      </c>
      <c r="E715" s="40" t="str">
        <f>IF(Agent04_Loans!B125="","",Agent04_Loans!E125)</f>
        <v/>
      </c>
      <c r="F715" s="37" t="str">
        <f>IF(Agent04_Loans!B125="","",Agent04_Loans!F125)</f>
        <v/>
      </c>
      <c r="G715" s="37" t="str">
        <f>IF(Agent04_Loans!B125="","",Agent04_Loans!G125)</f>
        <v/>
      </c>
      <c r="H715" s="37" t="str">
        <f>IF(Agent04_Loans!B125="","",Agent04_Loans!H125)</f>
        <v/>
      </c>
      <c r="I715" s="40" t="str">
        <f>IF(Agent04_Loans!B125="","",Agent04_Loans!I125)</f>
        <v/>
      </c>
      <c r="J715" s="40" t="str">
        <f>IF(Agent04_Loans!B125="","",Agent04_Loans!J125)</f>
        <v/>
      </c>
      <c r="K715" s="37" t="str">
        <f>IF(Agent04_Loans!B125="","",Agent04_Loans!K125)</f>
        <v/>
      </c>
      <c r="L715" s="37" t="str">
        <f>IF(Agent04_Loans!B125="","",Agent04_Loans!L125)</f>
        <v/>
      </c>
      <c r="M715" s="37" t="str">
        <f>IFERROR(IF(Agent04_Loans!B125="","",YEAR(Agent04_Loans!D125)),"")</f>
        <v/>
      </c>
    </row>
    <row r="716" spans="1:13" ht="18" customHeight="1" x14ac:dyDescent="0.25">
      <c r="A716" s="37" t="str">
        <f>IF(Agent04_Loans!B126="","",Agent04_Loans!A126)</f>
        <v/>
      </c>
      <c r="B716" s="37" t="str">
        <f>IF(Agent04_Loans!B126="","",Agent04_Loans!B126)</f>
        <v/>
      </c>
      <c r="C716" s="37" t="str">
        <f>IF(Agent04_Loans!B126="","",Agent04_Loans!C126)</f>
        <v/>
      </c>
      <c r="D716" s="38" t="str">
        <f>IF(Agent04_Loans!B126="","",Agent04_Loans!D126)</f>
        <v/>
      </c>
      <c r="E716" s="40" t="str">
        <f>IF(Agent04_Loans!B126="","",Agent04_Loans!E126)</f>
        <v/>
      </c>
      <c r="F716" s="37" t="str">
        <f>IF(Agent04_Loans!B126="","",Agent04_Loans!F126)</f>
        <v/>
      </c>
      <c r="G716" s="37" t="str">
        <f>IF(Agent04_Loans!B126="","",Agent04_Loans!G126)</f>
        <v/>
      </c>
      <c r="H716" s="37" t="str">
        <f>IF(Agent04_Loans!B126="","",Agent04_Loans!H126)</f>
        <v/>
      </c>
      <c r="I716" s="40" t="str">
        <f>IF(Agent04_Loans!B126="","",Agent04_Loans!I126)</f>
        <v/>
      </c>
      <c r="J716" s="40" t="str">
        <f>IF(Agent04_Loans!B126="","",Agent04_Loans!J126)</f>
        <v/>
      </c>
      <c r="K716" s="37" t="str">
        <f>IF(Agent04_Loans!B126="","",Agent04_Loans!K126)</f>
        <v/>
      </c>
      <c r="L716" s="37" t="str">
        <f>IF(Agent04_Loans!B126="","",Agent04_Loans!L126)</f>
        <v/>
      </c>
      <c r="M716" s="37" t="str">
        <f>IFERROR(IF(Agent04_Loans!B126="","",YEAR(Agent04_Loans!D126)),"")</f>
        <v/>
      </c>
    </row>
    <row r="717" spans="1:13" ht="18" customHeight="1" x14ac:dyDescent="0.25">
      <c r="A717" s="37" t="str">
        <f>IF(Agent04_Loans!B127="","",Agent04_Loans!A127)</f>
        <v/>
      </c>
      <c r="B717" s="37" t="str">
        <f>IF(Agent04_Loans!B127="","",Agent04_Loans!B127)</f>
        <v/>
      </c>
      <c r="C717" s="37" t="str">
        <f>IF(Agent04_Loans!B127="","",Agent04_Loans!C127)</f>
        <v/>
      </c>
      <c r="D717" s="38" t="str">
        <f>IF(Agent04_Loans!B127="","",Agent04_Loans!D127)</f>
        <v/>
      </c>
      <c r="E717" s="40" t="str">
        <f>IF(Agent04_Loans!B127="","",Agent04_Loans!E127)</f>
        <v/>
      </c>
      <c r="F717" s="37" t="str">
        <f>IF(Agent04_Loans!B127="","",Agent04_Loans!F127)</f>
        <v/>
      </c>
      <c r="G717" s="37" t="str">
        <f>IF(Agent04_Loans!B127="","",Agent04_Loans!G127)</f>
        <v/>
      </c>
      <c r="H717" s="37" t="str">
        <f>IF(Agent04_Loans!B127="","",Agent04_Loans!H127)</f>
        <v/>
      </c>
      <c r="I717" s="40" t="str">
        <f>IF(Agent04_Loans!B127="","",Agent04_Loans!I127)</f>
        <v/>
      </c>
      <c r="J717" s="40" t="str">
        <f>IF(Agent04_Loans!B127="","",Agent04_Loans!J127)</f>
        <v/>
      </c>
      <c r="K717" s="37" t="str">
        <f>IF(Agent04_Loans!B127="","",Agent04_Loans!K127)</f>
        <v/>
      </c>
      <c r="L717" s="37" t="str">
        <f>IF(Agent04_Loans!B127="","",Agent04_Loans!L127)</f>
        <v/>
      </c>
      <c r="M717" s="37" t="str">
        <f>IFERROR(IF(Agent04_Loans!B127="","",YEAR(Agent04_Loans!D127)),"")</f>
        <v/>
      </c>
    </row>
    <row r="718" spans="1:13" ht="18" customHeight="1" x14ac:dyDescent="0.25">
      <c r="A718" s="37" t="str">
        <f>IF(Agent04_Loans!B128="","",Agent04_Loans!A128)</f>
        <v/>
      </c>
      <c r="B718" s="37" t="str">
        <f>IF(Agent04_Loans!B128="","",Agent04_Loans!B128)</f>
        <v/>
      </c>
      <c r="C718" s="37" t="str">
        <f>IF(Agent04_Loans!B128="","",Agent04_Loans!C128)</f>
        <v/>
      </c>
      <c r="D718" s="38" t="str">
        <f>IF(Agent04_Loans!B128="","",Agent04_Loans!D128)</f>
        <v/>
      </c>
      <c r="E718" s="40" t="str">
        <f>IF(Agent04_Loans!B128="","",Agent04_Loans!E128)</f>
        <v/>
      </c>
      <c r="F718" s="37" t="str">
        <f>IF(Agent04_Loans!B128="","",Agent04_Loans!F128)</f>
        <v/>
      </c>
      <c r="G718" s="37" t="str">
        <f>IF(Agent04_Loans!B128="","",Agent04_Loans!G128)</f>
        <v/>
      </c>
      <c r="H718" s="37" t="str">
        <f>IF(Agent04_Loans!B128="","",Agent04_Loans!H128)</f>
        <v/>
      </c>
      <c r="I718" s="40" t="str">
        <f>IF(Agent04_Loans!B128="","",Agent04_Loans!I128)</f>
        <v/>
      </c>
      <c r="J718" s="40" t="str">
        <f>IF(Agent04_Loans!B128="","",Agent04_Loans!J128)</f>
        <v/>
      </c>
      <c r="K718" s="37" t="str">
        <f>IF(Agent04_Loans!B128="","",Agent04_Loans!K128)</f>
        <v/>
      </c>
      <c r="L718" s="37" t="str">
        <f>IF(Agent04_Loans!B128="","",Agent04_Loans!L128)</f>
        <v/>
      </c>
      <c r="M718" s="37" t="str">
        <f>IFERROR(IF(Agent04_Loans!B128="","",YEAR(Agent04_Loans!D128)),"")</f>
        <v/>
      </c>
    </row>
    <row r="719" spans="1:13" ht="18" customHeight="1" x14ac:dyDescent="0.25">
      <c r="A719" s="37" t="str">
        <f>IF(Agent04_Loans!B129="","",Agent04_Loans!A129)</f>
        <v/>
      </c>
      <c r="B719" s="37" t="str">
        <f>IF(Agent04_Loans!B129="","",Agent04_Loans!B129)</f>
        <v/>
      </c>
      <c r="C719" s="37" t="str">
        <f>IF(Agent04_Loans!B129="","",Agent04_Loans!C129)</f>
        <v/>
      </c>
      <c r="D719" s="38" t="str">
        <f>IF(Agent04_Loans!B129="","",Agent04_Loans!D129)</f>
        <v/>
      </c>
      <c r="E719" s="40" t="str">
        <f>IF(Agent04_Loans!B129="","",Agent04_Loans!E129)</f>
        <v/>
      </c>
      <c r="F719" s="37" t="str">
        <f>IF(Agent04_Loans!B129="","",Agent04_Loans!F129)</f>
        <v/>
      </c>
      <c r="G719" s="37" t="str">
        <f>IF(Agent04_Loans!B129="","",Agent04_Loans!G129)</f>
        <v/>
      </c>
      <c r="H719" s="37" t="str">
        <f>IF(Agent04_Loans!B129="","",Agent04_Loans!H129)</f>
        <v/>
      </c>
      <c r="I719" s="40" t="str">
        <f>IF(Agent04_Loans!B129="","",Agent04_Loans!I129)</f>
        <v/>
      </c>
      <c r="J719" s="40" t="str">
        <f>IF(Agent04_Loans!B129="","",Agent04_Loans!J129)</f>
        <v/>
      </c>
      <c r="K719" s="37" t="str">
        <f>IF(Agent04_Loans!B129="","",Agent04_Loans!K129)</f>
        <v/>
      </c>
      <c r="L719" s="37" t="str">
        <f>IF(Agent04_Loans!B129="","",Agent04_Loans!L129)</f>
        <v/>
      </c>
      <c r="M719" s="37" t="str">
        <f>IFERROR(IF(Agent04_Loans!B129="","",YEAR(Agent04_Loans!D129)),"")</f>
        <v/>
      </c>
    </row>
    <row r="720" spans="1:13" ht="18" customHeight="1" x14ac:dyDescent="0.25">
      <c r="A720" s="37" t="str">
        <f>IF(Agent04_Loans!B130="","",Agent04_Loans!A130)</f>
        <v/>
      </c>
      <c r="B720" s="37" t="str">
        <f>IF(Agent04_Loans!B130="","",Agent04_Loans!B130)</f>
        <v/>
      </c>
      <c r="C720" s="37" t="str">
        <f>IF(Agent04_Loans!B130="","",Agent04_Loans!C130)</f>
        <v/>
      </c>
      <c r="D720" s="38" t="str">
        <f>IF(Agent04_Loans!B130="","",Agent04_Loans!D130)</f>
        <v/>
      </c>
      <c r="E720" s="40" t="str">
        <f>IF(Agent04_Loans!B130="","",Agent04_Loans!E130)</f>
        <v/>
      </c>
      <c r="F720" s="37" t="str">
        <f>IF(Agent04_Loans!B130="","",Agent04_Loans!F130)</f>
        <v/>
      </c>
      <c r="G720" s="37" t="str">
        <f>IF(Agent04_Loans!B130="","",Agent04_Loans!G130)</f>
        <v/>
      </c>
      <c r="H720" s="37" t="str">
        <f>IF(Agent04_Loans!B130="","",Agent04_Loans!H130)</f>
        <v/>
      </c>
      <c r="I720" s="40" t="str">
        <f>IF(Agent04_Loans!B130="","",Agent04_Loans!I130)</f>
        <v/>
      </c>
      <c r="J720" s="40" t="str">
        <f>IF(Agent04_Loans!B130="","",Agent04_Loans!J130)</f>
        <v/>
      </c>
      <c r="K720" s="37" t="str">
        <f>IF(Agent04_Loans!B130="","",Agent04_Loans!K130)</f>
        <v/>
      </c>
      <c r="L720" s="37" t="str">
        <f>IF(Agent04_Loans!B130="","",Agent04_Loans!L130)</f>
        <v/>
      </c>
      <c r="M720" s="37" t="str">
        <f>IFERROR(IF(Agent04_Loans!B130="","",YEAR(Agent04_Loans!D130)),"")</f>
        <v/>
      </c>
    </row>
    <row r="721" spans="1:13" ht="18" customHeight="1" x14ac:dyDescent="0.25">
      <c r="A721" s="37" t="str">
        <f>IF(Agent04_Loans!B131="","",Agent04_Loans!A131)</f>
        <v/>
      </c>
      <c r="B721" s="37" t="str">
        <f>IF(Agent04_Loans!B131="","",Agent04_Loans!B131)</f>
        <v/>
      </c>
      <c r="C721" s="37" t="str">
        <f>IF(Agent04_Loans!B131="","",Agent04_Loans!C131)</f>
        <v/>
      </c>
      <c r="D721" s="38" t="str">
        <f>IF(Agent04_Loans!B131="","",Agent04_Loans!D131)</f>
        <v/>
      </c>
      <c r="E721" s="40" t="str">
        <f>IF(Agent04_Loans!B131="","",Agent04_Loans!E131)</f>
        <v/>
      </c>
      <c r="F721" s="37" t="str">
        <f>IF(Agent04_Loans!B131="","",Agent04_Loans!F131)</f>
        <v/>
      </c>
      <c r="G721" s="37" t="str">
        <f>IF(Agent04_Loans!B131="","",Agent04_Loans!G131)</f>
        <v/>
      </c>
      <c r="H721" s="37" t="str">
        <f>IF(Agent04_Loans!B131="","",Agent04_Loans!H131)</f>
        <v/>
      </c>
      <c r="I721" s="40" t="str">
        <f>IF(Agent04_Loans!B131="","",Agent04_Loans!I131)</f>
        <v/>
      </c>
      <c r="J721" s="40" t="str">
        <f>IF(Agent04_Loans!B131="","",Agent04_Loans!J131)</f>
        <v/>
      </c>
      <c r="K721" s="37" t="str">
        <f>IF(Agent04_Loans!B131="","",Agent04_Loans!K131)</f>
        <v/>
      </c>
      <c r="L721" s="37" t="str">
        <f>IF(Agent04_Loans!B131="","",Agent04_Loans!L131)</f>
        <v/>
      </c>
      <c r="M721" s="37" t="str">
        <f>IFERROR(IF(Agent04_Loans!B131="","",YEAR(Agent04_Loans!D131)),"")</f>
        <v/>
      </c>
    </row>
    <row r="722" spans="1:13" ht="18" customHeight="1" x14ac:dyDescent="0.25">
      <c r="A722" s="37" t="str">
        <f>IF(Agent04_Loans!B132="","",Agent04_Loans!A132)</f>
        <v/>
      </c>
      <c r="B722" s="37" t="str">
        <f>IF(Agent04_Loans!B132="","",Agent04_Loans!B132)</f>
        <v/>
      </c>
      <c r="C722" s="37" t="str">
        <f>IF(Agent04_Loans!B132="","",Agent04_Loans!C132)</f>
        <v/>
      </c>
      <c r="D722" s="38" t="str">
        <f>IF(Agent04_Loans!B132="","",Agent04_Loans!D132)</f>
        <v/>
      </c>
      <c r="E722" s="40" t="str">
        <f>IF(Agent04_Loans!B132="","",Agent04_Loans!E132)</f>
        <v/>
      </c>
      <c r="F722" s="37" t="str">
        <f>IF(Agent04_Loans!B132="","",Agent04_Loans!F132)</f>
        <v/>
      </c>
      <c r="G722" s="37" t="str">
        <f>IF(Agent04_Loans!B132="","",Agent04_Loans!G132)</f>
        <v/>
      </c>
      <c r="H722" s="37" t="str">
        <f>IF(Agent04_Loans!B132="","",Agent04_Loans!H132)</f>
        <v/>
      </c>
      <c r="I722" s="40" t="str">
        <f>IF(Agent04_Loans!B132="","",Agent04_Loans!I132)</f>
        <v/>
      </c>
      <c r="J722" s="40" t="str">
        <f>IF(Agent04_Loans!B132="","",Agent04_Loans!J132)</f>
        <v/>
      </c>
      <c r="K722" s="37" t="str">
        <f>IF(Agent04_Loans!B132="","",Agent04_Loans!K132)</f>
        <v/>
      </c>
      <c r="L722" s="37" t="str">
        <f>IF(Agent04_Loans!B132="","",Agent04_Loans!L132)</f>
        <v/>
      </c>
      <c r="M722" s="37" t="str">
        <f>IFERROR(IF(Agent04_Loans!B132="","",YEAR(Agent04_Loans!D132)),"")</f>
        <v/>
      </c>
    </row>
    <row r="723" spans="1:13" ht="18" customHeight="1" x14ac:dyDescent="0.25">
      <c r="A723" s="37" t="str">
        <f>IF(Agent04_Loans!B133="","",Agent04_Loans!A133)</f>
        <v/>
      </c>
      <c r="B723" s="37" t="str">
        <f>IF(Agent04_Loans!B133="","",Agent04_Loans!B133)</f>
        <v/>
      </c>
      <c r="C723" s="37" t="str">
        <f>IF(Agent04_Loans!B133="","",Agent04_Loans!C133)</f>
        <v/>
      </c>
      <c r="D723" s="38" t="str">
        <f>IF(Agent04_Loans!B133="","",Agent04_Loans!D133)</f>
        <v/>
      </c>
      <c r="E723" s="40" t="str">
        <f>IF(Agent04_Loans!B133="","",Agent04_Loans!E133)</f>
        <v/>
      </c>
      <c r="F723" s="37" t="str">
        <f>IF(Agent04_Loans!B133="","",Agent04_Loans!F133)</f>
        <v/>
      </c>
      <c r="G723" s="37" t="str">
        <f>IF(Agent04_Loans!B133="","",Agent04_Loans!G133)</f>
        <v/>
      </c>
      <c r="H723" s="37" t="str">
        <f>IF(Agent04_Loans!B133="","",Agent04_Loans!H133)</f>
        <v/>
      </c>
      <c r="I723" s="40" t="str">
        <f>IF(Agent04_Loans!B133="","",Agent04_Loans!I133)</f>
        <v/>
      </c>
      <c r="J723" s="40" t="str">
        <f>IF(Agent04_Loans!B133="","",Agent04_Loans!J133)</f>
        <v/>
      </c>
      <c r="K723" s="37" t="str">
        <f>IF(Agent04_Loans!B133="","",Agent04_Loans!K133)</f>
        <v/>
      </c>
      <c r="L723" s="37" t="str">
        <f>IF(Agent04_Loans!B133="","",Agent04_Loans!L133)</f>
        <v/>
      </c>
      <c r="M723" s="37" t="str">
        <f>IFERROR(IF(Agent04_Loans!B133="","",YEAR(Agent04_Loans!D133)),"")</f>
        <v/>
      </c>
    </row>
    <row r="724" spans="1:13" ht="18" customHeight="1" x14ac:dyDescent="0.25">
      <c r="A724" s="37" t="str">
        <f>IF(Agent04_Loans!B134="","",Agent04_Loans!A134)</f>
        <v/>
      </c>
      <c r="B724" s="37" t="str">
        <f>IF(Agent04_Loans!B134="","",Agent04_Loans!B134)</f>
        <v/>
      </c>
      <c r="C724" s="37" t="str">
        <f>IF(Agent04_Loans!B134="","",Agent04_Loans!C134)</f>
        <v/>
      </c>
      <c r="D724" s="38" t="str">
        <f>IF(Agent04_Loans!B134="","",Agent04_Loans!D134)</f>
        <v/>
      </c>
      <c r="E724" s="40" t="str">
        <f>IF(Agent04_Loans!B134="","",Agent04_Loans!E134)</f>
        <v/>
      </c>
      <c r="F724" s="37" t="str">
        <f>IF(Agent04_Loans!B134="","",Agent04_Loans!F134)</f>
        <v/>
      </c>
      <c r="G724" s="37" t="str">
        <f>IF(Agent04_Loans!B134="","",Agent04_Loans!G134)</f>
        <v/>
      </c>
      <c r="H724" s="37" t="str">
        <f>IF(Agent04_Loans!B134="","",Agent04_Loans!H134)</f>
        <v/>
      </c>
      <c r="I724" s="40" t="str">
        <f>IF(Agent04_Loans!B134="","",Agent04_Loans!I134)</f>
        <v/>
      </c>
      <c r="J724" s="40" t="str">
        <f>IF(Agent04_Loans!B134="","",Agent04_Loans!J134)</f>
        <v/>
      </c>
      <c r="K724" s="37" t="str">
        <f>IF(Agent04_Loans!B134="","",Agent04_Loans!K134)</f>
        <v/>
      </c>
      <c r="L724" s="37" t="str">
        <f>IF(Agent04_Loans!B134="","",Agent04_Loans!L134)</f>
        <v/>
      </c>
      <c r="M724" s="37" t="str">
        <f>IFERROR(IF(Agent04_Loans!B134="","",YEAR(Agent04_Loans!D134)),"")</f>
        <v/>
      </c>
    </row>
    <row r="725" spans="1:13" ht="18" customHeight="1" x14ac:dyDescent="0.25">
      <c r="A725" s="37" t="str">
        <f>IF(Agent04_Loans!B135="","",Agent04_Loans!A135)</f>
        <v/>
      </c>
      <c r="B725" s="37" t="str">
        <f>IF(Agent04_Loans!B135="","",Agent04_Loans!B135)</f>
        <v/>
      </c>
      <c r="C725" s="37" t="str">
        <f>IF(Agent04_Loans!B135="","",Agent04_Loans!C135)</f>
        <v/>
      </c>
      <c r="D725" s="38" t="str">
        <f>IF(Agent04_Loans!B135="","",Agent04_Loans!D135)</f>
        <v/>
      </c>
      <c r="E725" s="40" t="str">
        <f>IF(Agent04_Loans!B135="","",Agent04_Loans!E135)</f>
        <v/>
      </c>
      <c r="F725" s="37" t="str">
        <f>IF(Agent04_Loans!B135="","",Agent04_Loans!F135)</f>
        <v/>
      </c>
      <c r="G725" s="37" t="str">
        <f>IF(Agent04_Loans!B135="","",Agent04_Loans!G135)</f>
        <v/>
      </c>
      <c r="H725" s="37" t="str">
        <f>IF(Agent04_Loans!B135="","",Agent04_Loans!H135)</f>
        <v/>
      </c>
      <c r="I725" s="40" t="str">
        <f>IF(Agent04_Loans!B135="","",Agent04_Loans!I135)</f>
        <v/>
      </c>
      <c r="J725" s="40" t="str">
        <f>IF(Agent04_Loans!B135="","",Agent04_Loans!J135)</f>
        <v/>
      </c>
      <c r="K725" s="37" t="str">
        <f>IF(Agent04_Loans!B135="","",Agent04_Loans!K135)</f>
        <v/>
      </c>
      <c r="L725" s="37" t="str">
        <f>IF(Agent04_Loans!B135="","",Agent04_Loans!L135)</f>
        <v/>
      </c>
      <c r="M725" s="37" t="str">
        <f>IFERROR(IF(Agent04_Loans!B135="","",YEAR(Agent04_Loans!D135)),"")</f>
        <v/>
      </c>
    </row>
    <row r="726" spans="1:13" ht="18" customHeight="1" x14ac:dyDescent="0.25">
      <c r="A726" s="37" t="str">
        <f>IF(Agent04_Loans!B136="","",Agent04_Loans!A136)</f>
        <v/>
      </c>
      <c r="B726" s="37" t="str">
        <f>IF(Agent04_Loans!B136="","",Agent04_Loans!B136)</f>
        <v/>
      </c>
      <c r="C726" s="37" t="str">
        <f>IF(Agent04_Loans!B136="","",Agent04_Loans!C136)</f>
        <v/>
      </c>
      <c r="D726" s="38" t="str">
        <f>IF(Agent04_Loans!B136="","",Agent04_Loans!D136)</f>
        <v/>
      </c>
      <c r="E726" s="40" t="str">
        <f>IF(Agent04_Loans!B136="","",Agent04_Loans!E136)</f>
        <v/>
      </c>
      <c r="F726" s="37" t="str">
        <f>IF(Agent04_Loans!B136="","",Agent04_Loans!F136)</f>
        <v/>
      </c>
      <c r="G726" s="37" t="str">
        <f>IF(Agent04_Loans!B136="","",Agent04_Loans!G136)</f>
        <v/>
      </c>
      <c r="H726" s="37" t="str">
        <f>IF(Agent04_Loans!B136="","",Agent04_Loans!H136)</f>
        <v/>
      </c>
      <c r="I726" s="40" t="str">
        <f>IF(Agent04_Loans!B136="","",Agent04_Loans!I136)</f>
        <v/>
      </c>
      <c r="J726" s="40" t="str">
        <f>IF(Agent04_Loans!B136="","",Agent04_Loans!J136)</f>
        <v/>
      </c>
      <c r="K726" s="37" t="str">
        <f>IF(Agent04_Loans!B136="","",Agent04_Loans!K136)</f>
        <v/>
      </c>
      <c r="L726" s="37" t="str">
        <f>IF(Agent04_Loans!B136="","",Agent04_Loans!L136)</f>
        <v/>
      </c>
      <c r="M726" s="37" t="str">
        <f>IFERROR(IF(Agent04_Loans!B136="","",YEAR(Agent04_Loans!D136)),"")</f>
        <v/>
      </c>
    </row>
    <row r="727" spans="1:13" ht="18" customHeight="1" x14ac:dyDescent="0.25">
      <c r="A727" s="37" t="str">
        <f>IF(Agent04_Loans!B137="","",Agent04_Loans!A137)</f>
        <v/>
      </c>
      <c r="B727" s="37" t="str">
        <f>IF(Agent04_Loans!B137="","",Agent04_Loans!B137)</f>
        <v/>
      </c>
      <c r="C727" s="37" t="str">
        <f>IF(Agent04_Loans!B137="","",Agent04_Loans!C137)</f>
        <v/>
      </c>
      <c r="D727" s="38" t="str">
        <f>IF(Agent04_Loans!B137="","",Agent04_Loans!D137)</f>
        <v/>
      </c>
      <c r="E727" s="40" t="str">
        <f>IF(Agent04_Loans!B137="","",Agent04_Loans!E137)</f>
        <v/>
      </c>
      <c r="F727" s="37" t="str">
        <f>IF(Agent04_Loans!B137="","",Agent04_Loans!F137)</f>
        <v/>
      </c>
      <c r="G727" s="37" t="str">
        <f>IF(Agent04_Loans!B137="","",Agent04_Loans!G137)</f>
        <v/>
      </c>
      <c r="H727" s="37" t="str">
        <f>IF(Agent04_Loans!B137="","",Agent04_Loans!H137)</f>
        <v/>
      </c>
      <c r="I727" s="40" t="str">
        <f>IF(Agent04_Loans!B137="","",Agent04_Loans!I137)</f>
        <v/>
      </c>
      <c r="J727" s="40" t="str">
        <f>IF(Agent04_Loans!B137="","",Agent04_Loans!J137)</f>
        <v/>
      </c>
      <c r="K727" s="37" t="str">
        <f>IF(Agent04_Loans!B137="","",Agent04_Loans!K137)</f>
        <v/>
      </c>
      <c r="L727" s="37" t="str">
        <f>IF(Agent04_Loans!B137="","",Agent04_Loans!L137)</f>
        <v/>
      </c>
      <c r="M727" s="37" t="str">
        <f>IFERROR(IF(Agent04_Loans!B137="","",YEAR(Agent04_Loans!D137)),"")</f>
        <v/>
      </c>
    </row>
    <row r="728" spans="1:13" ht="18" customHeight="1" x14ac:dyDescent="0.25">
      <c r="A728" s="37" t="str">
        <f>IF(Agent04_Loans!B138="","",Agent04_Loans!A138)</f>
        <v/>
      </c>
      <c r="B728" s="37" t="str">
        <f>IF(Agent04_Loans!B138="","",Agent04_Loans!B138)</f>
        <v/>
      </c>
      <c r="C728" s="37" t="str">
        <f>IF(Agent04_Loans!B138="","",Agent04_Loans!C138)</f>
        <v/>
      </c>
      <c r="D728" s="38" t="str">
        <f>IF(Agent04_Loans!B138="","",Agent04_Loans!D138)</f>
        <v/>
      </c>
      <c r="E728" s="40" t="str">
        <f>IF(Agent04_Loans!B138="","",Agent04_Loans!E138)</f>
        <v/>
      </c>
      <c r="F728" s="37" t="str">
        <f>IF(Agent04_Loans!B138="","",Agent04_Loans!F138)</f>
        <v/>
      </c>
      <c r="G728" s="37" t="str">
        <f>IF(Agent04_Loans!B138="","",Agent04_Loans!G138)</f>
        <v/>
      </c>
      <c r="H728" s="37" t="str">
        <f>IF(Agent04_Loans!B138="","",Agent04_Loans!H138)</f>
        <v/>
      </c>
      <c r="I728" s="40" t="str">
        <f>IF(Agent04_Loans!B138="","",Agent04_Loans!I138)</f>
        <v/>
      </c>
      <c r="J728" s="40" t="str">
        <f>IF(Agent04_Loans!B138="","",Agent04_Loans!J138)</f>
        <v/>
      </c>
      <c r="K728" s="37" t="str">
        <f>IF(Agent04_Loans!B138="","",Agent04_Loans!K138)</f>
        <v/>
      </c>
      <c r="L728" s="37" t="str">
        <f>IF(Agent04_Loans!B138="","",Agent04_Loans!L138)</f>
        <v/>
      </c>
      <c r="M728" s="37" t="str">
        <f>IFERROR(IF(Agent04_Loans!B138="","",YEAR(Agent04_Loans!D138)),"")</f>
        <v/>
      </c>
    </row>
    <row r="729" spans="1:13" ht="18" customHeight="1" x14ac:dyDescent="0.25">
      <c r="A729" s="37" t="str">
        <f>IF(Agent04_Loans!B139="","",Agent04_Loans!A139)</f>
        <v/>
      </c>
      <c r="B729" s="37" t="str">
        <f>IF(Agent04_Loans!B139="","",Agent04_Loans!B139)</f>
        <v/>
      </c>
      <c r="C729" s="37" t="str">
        <f>IF(Agent04_Loans!B139="","",Agent04_Loans!C139)</f>
        <v/>
      </c>
      <c r="D729" s="38" t="str">
        <f>IF(Agent04_Loans!B139="","",Agent04_Loans!D139)</f>
        <v/>
      </c>
      <c r="E729" s="40" t="str">
        <f>IF(Agent04_Loans!B139="","",Agent04_Loans!E139)</f>
        <v/>
      </c>
      <c r="F729" s="37" t="str">
        <f>IF(Agent04_Loans!B139="","",Agent04_Loans!F139)</f>
        <v/>
      </c>
      <c r="G729" s="37" t="str">
        <f>IF(Agent04_Loans!B139="","",Agent04_Loans!G139)</f>
        <v/>
      </c>
      <c r="H729" s="37" t="str">
        <f>IF(Agent04_Loans!B139="","",Agent04_Loans!H139)</f>
        <v/>
      </c>
      <c r="I729" s="40" t="str">
        <f>IF(Agent04_Loans!B139="","",Agent04_Loans!I139)</f>
        <v/>
      </c>
      <c r="J729" s="40" t="str">
        <f>IF(Agent04_Loans!B139="","",Agent04_Loans!J139)</f>
        <v/>
      </c>
      <c r="K729" s="37" t="str">
        <f>IF(Agent04_Loans!B139="","",Agent04_Loans!K139)</f>
        <v/>
      </c>
      <c r="L729" s="37" t="str">
        <f>IF(Agent04_Loans!B139="","",Agent04_Loans!L139)</f>
        <v/>
      </c>
      <c r="M729" s="37" t="str">
        <f>IFERROR(IF(Agent04_Loans!B139="","",YEAR(Agent04_Loans!D139)),"")</f>
        <v/>
      </c>
    </row>
    <row r="730" spans="1:13" ht="18" customHeight="1" x14ac:dyDescent="0.25">
      <c r="A730" s="37" t="str">
        <f>IF(Agent04_Loans!B140="","",Agent04_Loans!A140)</f>
        <v/>
      </c>
      <c r="B730" s="37" t="str">
        <f>IF(Agent04_Loans!B140="","",Agent04_Loans!B140)</f>
        <v/>
      </c>
      <c r="C730" s="37" t="str">
        <f>IF(Agent04_Loans!B140="","",Agent04_Loans!C140)</f>
        <v/>
      </c>
      <c r="D730" s="38" t="str">
        <f>IF(Agent04_Loans!B140="","",Agent04_Loans!D140)</f>
        <v/>
      </c>
      <c r="E730" s="40" t="str">
        <f>IF(Agent04_Loans!B140="","",Agent04_Loans!E140)</f>
        <v/>
      </c>
      <c r="F730" s="37" t="str">
        <f>IF(Agent04_Loans!B140="","",Agent04_Loans!F140)</f>
        <v/>
      </c>
      <c r="G730" s="37" t="str">
        <f>IF(Agent04_Loans!B140="","",Agent04_Loans!G140)</f>
        <v/>
      </c>
      <c r="H730" s="37" t="str">
        <f>IF(Agent04_Loans!B140="","",Agent04_Loans!H140)</f>
        <v/>
      </c>
      <c r="I730" s="40" t="str">
        <f>IF(Agent04_Loans!B140="","",Agent04_Loans!I140)</f>
        <v/>
      </c>
      <c r="J730" s="40" t="str">
        <f>IF(Agent04_Loans!B140="","",Agent04_Loans!J140)</f>
        <v/>
      </c>
      <c r="K730" s="37" t="str">
        <f>IF(Agent04_Loans!B140="","",Agent04_Loans!K140)</f>
        <v/>
      </c>
      <c r="L730" s="37" t="str">
        <f>IF(Agent04_Loans!B140="","",Agent04_Loans!L140)</f>
        <v/>
      </c>
      <c r="M730" s="37" t="str">
        <f>IFERROR(IF(Agent04_Loans!B140="","",YEAR(Agent04_Loans!D140)),"")</f>
        <v/>
      </c>
    </row>
    <row r="731" spans="1:13" ht="18" customHeight="1" x14ac:dyDescent="0.25">
      <c r="A731" s="37" t="str">
        <f>IF(Agent04_Loans!B141="","",Agent04_Loans!A141)</f>
        <v/>
      </c>
      <c r="B731" s="37" t="str">
        <f>IF(Agent04_Loans!B141="","",Agent04_Loans!B141)</f>
        <v/>
      </c>
      <c r="C731" s="37" t="str">
        <f>IF(Agent04_Loans!B141="","",Agent04_Loans!C141)</f>
        <v/>
      </c>
      <c r="D731" s="38" t="str">
        <f>IF(Agent04_Loans!B141="","",Agent04_Loans!D141)</f>
        <v/>
      </c>
      <c r="E731" s="40" t="str">
        <f>IF(Agent04_Loans!B141="","",Agent04_Loans!E141)</f>
        <v/>
      </c>
      <c r="F731" s="37" t="str">
        <f>IF(Agent04_Loans!B141="","",Agent04_Loans!F141)</f>
        <v/>
      </c>
      <c r="G731" s="37" t="str">
        <f>IF(Agent04_Loans!B141="","",Agent04_Loans!G141)</f>
        <v/>
      </c>
      <c r="H731" s="37" t="str">
        <f>IF(Agent04_Loans!B141="","",Agent04_Loans!H141)</f>
        <v/>
      </c>
      <c r="I731" s="40" t="str">
        <f>IF(Agent04_Loans!B141="","",Agent04_Loans!I141)</f>
        <v/>
      </c>
      <c r="J731" s="40" t="str">
        <f>IF(Agent04_Loans!B141="","",Agent04_Loans!J141)</f>
        <v/>
      </c>
      <c r="K731" s="37" t="str">
        <f>IF(Agent04_Loans!B141="","",Agent04_Loans!K141)</f>
        <v/>
      </c>
      <c r="L731" s="37" t="str">
        <f>IF(Agent04_Loans!B141="","",Agent04_Loans!L141)</f>
        <v/>
      </c>
      <c r="M731" s="37" t="str">
        <f>IFERROR(IF(Agent04_Loans!B141="","",YEAR(Agent04_Loans!D141)),"")</f>
        <v/>
      </c>
    </row>
    <row r="732" spans="1:13" ht="18" customHeight="1" x14ac:dyDescent="0.25">
      <c r="A732" s="37" t="str">
        <f>IF(Agent04_Loans!B142="","",Agent04_Loans!A142)</f>
        <v/>
      </c>
      <c r="B732" s="37" t="str">
        <f>IF(Agent04_Loans!B142="","",Agent04_Loans!B142)</f>
        <v/>
      </c>
      <c r="C732" s="37" t="str">
        <f>IF(Agent04_Loans!B142="","",Agent04_Loans!C142)</f>
        <v/>
      </c>
      <c r="D732" s="38" t="str">
        <f>IF(Agent04_Loans!B142="","",Agent04_Loans!D142)</f>
        <v/>
      </c>
      <c r="E732" s="40" t="str">
        <f>IF(Agent04_Loans!B142="","",Agent04_Loans!E142)</f>
        <v/>
      </c>
      <c r="F732" s="37" t="str">
        <f>IF(Agent04_Loans!B142="","",Agent04_Loans!F142)</f>
        <v/>
      </c>
      <c r="G732" s="37" t="str">
        <f>IF(Agent04_Loans!B142="","",Agent04_Loans!G142)</f>
        <v/>
      </c>
      <c r="H732" s="37" t="str">
        <f>IF(Agent04_Loans!B142="","",Agent04_Loans!H142)</f>
        <v/>
      </c>
      <c r="I732" s="40" t="str">
        <f>IF(Agent04_Loans!B142="","",Agent04_Loans!I142)</f>
        <v/>
      </c>
      <c r="J732" s="40" t="str">
        <f>IF(Agent04_Loans!B142="","",Agent04_Loans!J142)</f>
        <v/>
      </c>
      <c r="K732" s="37" t="str">
        <f>IF(Agent04_Loans!B142="","",Agent04_Loans!K142)</f>
        <v/>
      </c>
      <c r="L732" s="37" t="str">
        <f>IF(Agent04_Loans!B142="","",Agent04_Loans!L142)</f>
        <v/>
      </c>
      <c r="M732" s="37" t="str">
        <f>IFERROR(IF(Agent04_Loans!B142="","",YEAR(Agent04_Loans!D142)),"")</f>
        <v/>
      </c>
    </row>
    <row r="733" spans="1:13" ht="18" customHeight="1" x14ac:dyDescent="0.25">
      <c r="A733" s="37" t="str">
        <f>IF(Agent04_Loans!B143="","",Agent04_Loans!A143)</f>
        <v/>
      </c>
      <c r="B733" s="37" t="str">
        <f>IF(Agent04_Loans!B143="","",Agent04_Loans!B143)</f>
        <v/>
      </c>
      <c r="C733" s="37" t="str">
        <f>IF(Agent04_Loans!B143="","",Agent04_Loans!C143)</f>
        <v/>
      </c>
      <c r="D733" s="38" t="str">
        <f>IF(Agent04_Loans!B143="","",Agent04_Loans!D143)</f>
        <v/>
      </c>
      <c r="E733" s="40" t="str">
        <f>IF(Agent04_Loans!B143="","",Agent04_Loans!E143)</f>
        <v/>
      </c>
      <c r="F733" s="37" t="str">
        <f>IF(Agent04_Loans!B143="","",Agent04_Loans!F143)</f>
        <v/>
      </c>
      <c r="G733" s="37" t="str">
        <f>IF(Agent04_Loans!B143="","",Agent04_Loans!G143)</f>
        <v/>
      </c>
      <c r="H733" s="37" t="str">
        <f>IF(Agent04_Loans!B143="","",Agent04_Loans!H143)</f>
        <v/>
      </c>
      <c r="I733" s="40" t="str">
        <f>IF(Agent04_Loans!B143="","",Agent04_Loans!I143)</f>
        <v/>
      </c>
      <c r="J733" s="40" t="str">
        <f>IF(Agent04_Loans!B143="","",Agent04_Loans!J143)</f>
        <v/>
      </c>
      <c r="K733" s="37" t="str">
        <f>IF(Agent04_Loans!B143="","",Agent04_Loans!K143)</f>
        <v/>
      </c>
      <c r="L733" s="37" t="str">
        <f>IF(Agent04_Loans!B143="","",Agent04_Loans!L143)</f>
        <v/>
      </c>
      <c r="M733" s="37" t="str">
        <f>IFERROR(IF(Agent04_Loans!B143="","",YEAR(Agent04_Loans!D143)),"")</f>
        <v/>
      </c>
    </row>
    <row r="734" spans="1:13" ht="18" customHeight="1" x14ac:dyDescent="0.25">
      <c r="A734" s="37" t="str">
        <f>IF(Agent04_Loans!B144="","",Agent04_Loans!A144)</f>
        <v/>
      </c>
      <c r="B734" s="37" t="str">
        <f>IF(Agent04_Loans!B144="","",Agent04_Loans!B144)</f>
        <v/>
      </c>
      <c r="C734" s="37" t="str">
        <f>IF(Agent04_Loans!B144="","",Agent04_Loans!C144)</f>
        <v/>
      </c>
      <c r="D734" s="38" t="str">
        <f>IF(Agent04_Loans!B144="","",Agent04_Loans!D144)</f>
        <v/>
      </c>
      <c r="E734" s="40" t="str">
        <f>IF(Agent04_Loans!B144="","",Agent04_Loans!E144)</f>
        <v/>
      </c>
      <c r="F734" s="37" t="str">
        <f>IF(Agent04_Loans!B144="","",Agent04_Loans!F144)</f>
        <v/>
      </c>
      <c r="G734" s="37" t="str">
        <f>IF(Agent04_Loans!B144="","",Agent04_Loans!G144)</f>
        <v/>
      </c>
      <c r="H734" s="37" t="str">
        <f>IF(Agent04_Loans!B144="","",Agent04_Loans!H144)</f>
        <v/>
      </c>
      <c r="I734" s="40" t="str">
        <f>IF(Agent04_Loans!B144="","",Agent04_Loans!I144)</f>
        <v/>
      </c>
      <c r="J734" s="40" t="str">
        <f>IF(Agent04_Loans!B144="","",Agent04_Loans!J144)</f>
        <v/>
      </c>
      <c r="K734" s="37" t="str">
        <f>IF(Agent04_Loans!B144="","",Agent04_Loans!K144)</f>
        <v/>
      </c>
      <c r="L734" s="37" t="str">
        <f>IF(Agent04_Loans!B144="","",Agent04_Loans!L144)</f>
        <v/>
      </c>
      <c r="M734" s="37" t="str">
        <f>IFERROR(IF(Agent04_Loans!B144="","",YEAR(Agent04_Loans!D144)),"")</f>
        <v/>
      </c>
    </row>
    <row r="735" spans="1:13" ht="18" customHeight="1" x14ac:dyDescent="0.25">
      <c r="A735" s="37" t="str">
        <f>IF(Agent04_Loans!B145="","",Agent04_Loans!A145)</f>
        <v/>
      </c>
      <c r="B735" s="37" t="str">
        <f>IF(Agent04_Loans!B145="","",Agent04_Loans!B145)</f>
        <v/>
      </c>
      <c r="C735" s="37" t="str">
        <f>IF(Agent04_Loans!B145="","",Agent04_Loans!C145)</f>
        <v/>
      </c>
      <c r="D735" s="38" t="str">
        <f>IF(Agent04_Loans!B145="","",Agent04_Loans!D145)</f>
        <v/>
      </c>
      <c r="E735" s="40" t="str">
        <f>IF(Agent04_Loans!B145="","",Agent04_Loans!E145)</f>
        <v/>
      </c>
      <c r="F735" s="37" t="str">
        <f>IF(Agent04_Loans!B145="","",Agent04_Loans!F145)</f>
        <v/>
      </c>
      <c r="G735" s="37" t="str">
        <f>IF(Agent04_Loans!B145="","",Agent04_Loans!G145)</f>
        <v/>
      </c>
      <c r="H735" s="37" t="str">
        <f>IF(Agent04_Loans!B145="","",Agent04_Loans!H145)</f>
        <v/>
      </c>
      <c r="I735" s="40" t="str">
        <f>IF(Agent04_Loans!B145="","",Agent04_Loans!I145)</f>
        <v/>
      </c>
      <c r="J735" s="40" t="str">
        <f>IF(Agent04_Loans!B145="","",Agent04_Loans!J145)</f>
        <v/>
      </c>
      <c r="K735" s="37" t="str">
        <f>IF(Agent04_Loans!B145="","",Agent04_Loans!K145)</f>
        <v/>
      </c>
      <c r="L735" s="37" t="str">
        <f>IF(Agent04_Loans!B145="","",Agent04_Loans!L145)</f>
        <v/>
      </c>
      <c r="M735" s="37" t="str">
        <f>IFERROR(IF(Agent04_Loans!B145="","",YEAR(Agent04_Loans!D145)),"")</f>
        <v/>
      </c>
    </row>
    <row r="736" spans="1:13" ht="18" customHeight="1" x14ac:dyDescent="0.25">
      <c r="A736" s="37" t="str">
        <f>IF(Agent04_Loans!B146="","",Agent04_Loans!A146)</f>
        <v/>
      </c>
      <c r="B736" s="37" t="str">
        <f>IF(Agent04_Loans!B146="","",Agent04_Loans!B146)</f>
        <v/>
      </c>
      <c r="C736" s="37" t="str">
        <f>IF(Agent04_Loans!B146="","",Agent04_Loans!C146)</f>
        <v/>
      </c>
      <c r="D736" s="38" t="str">
        <f>IF(Agent04_Loans!B146="","",Agent04_Loans!D146)</f>
        <v/>
      </c>
      <c r="E736" s="40" t="str">
        <f>IF(Agent04_Loans!B146="","",Agent04_Loans!E146)</f>
        <v/>
      </c>
      <c r="F736" s="37" t="str">
        <f>IF(Agent04_Loans!B146="","",Agent04_Loans!F146)</f>
        <v/>
      </c>
      <c r="G736" s="37" t="str">
        <f>IF(Agent04_Loans!B146="","",Agent04_Loans!G146)</f>
        <v/>
      </c>
      <c r="H736" s="37" t="str">
        <f>IF(Agent04_Loans!B146="","",Agent04_Loans!H146)</f>
        <v/>
      </c>
      <c r="I736" s="40" t="str">
        <f>IF(Agent04_Loans!B146="","",Agent04_Loans!I146)</f>
        <v/>
      </c>
      <c r="J736" s="40" t="str">
        <f>IF(Agent04_Loans!B146="","",Agent04_Loans!J146)</f>
        <v/>
      </c>
      <c r="K736" s="37" t="str">
        <f>IF(Agent04_Loans!B146="","",Agent04_Loans!K146)</f>
        <v/>
      </c>
      <c r="L736" s="37" t="str">
        <f>IF(Agent04_Loans!B146="","",Agent04_Loans!L146)</f>
        <v/>
      </c>
      <c r="M736" s="37" t="str">
        <f>IFERROR(IF(Agent04_Loans!B146="","",YEAR(Agent04_Loans!D146)),"")</f>
        <v/>
      </c>
    </row>
    <row r="737" spans="1:13" ht="18" customHeight="1" x14ac:dyDescent="0.25">
      <c r="A737" s="37" t="str">
        <f>IF(Agent04_Loans!B147="","",Agent04_Loans!A147)</f>
        <v/>
      </c>
      <c r="B737" s="37" t="str">
        <f>IF(Agent04_Loans!B147="","",Agent04_Loans!B147)</f>
        <v/>
      </c>
      <c r="C737" s="37" t="str">
        <f>IF(Agent04_Loans!B147="","",Agent04_Loans!C147)</f>
        <v/>
      </c>
      <c r="D737" s="38" t="str">
        <f>IF(Agent04_Loans!B147="","",Agent04_Loans!D147)</f>
        <v/>
      </c>
      <c r="E737" s="40" t="str">
        <f>IF(Agent04_Loans!B147="","",Agent04_Loans!E147)</f>
        <v/>
      </c>
      <c r="F737" s="37" t="str">
        <f>IF(Agent04_Loans!B147="","",Agent04_Loans!F147)</f>
        <v/>
      </c>
      <c r="G737" s="37" t="str">
        <f>IF(Agent04_Loans!B147="","",Agent04_Loans!G147)</f>
        <v/>
      </c>
      <c r="H737" s="37" t="str">
        <f>IF(Agent04_Loans!B147="","",Agent04_Loans!H147)</f>
        <v/>
      </c>
      <c r="I737" s="40" t="str">
        <f>IF(Agent04_Loans!B147="","",Agent04_Loans!I147)</f>
        <v/>
      </c>
      <c r="J737" s="40" t="str">
        <f>IF(Agent04_Loans!B147="","",Agent04_Loans!J147)</f>
        <v/>
      </c>
      <c r="K737" s="37" t="str">
        <f>IF(Agent04_Loans!B147="","",Agent04_Loans!K147)</f>
        <v/>
      </c>
      <c r="L737" s="37" t="str">
        <f>IF(Agent04_Loans!B147="","",Agent04_Loans!L147)</f>
        <v/>
      </c>
      <c r="M737" s="37" t="str">
        <f>IFERROR(IF(Agent04_Loans!B147="","",YEAR(Agent04_Loans!D147)),"")</f>
        <v/>
      </c>
    </row>
    <row r="738" spans="1:13" ht="18" customHeight="1" x14ac:dyDescent="0.25">
      <c r="A738" s="37" t="str">
        <f>IF(Agent04_Loans!B148="","",Agent04_Loans!A148)</f>
        <v/>
      </c>
      <c r="B738" s="37" t="str">
        <f>IF(Agent04_Loans!B148="","",Agent04_Loans!B148)</f>
        <v/>
      </c>
      <c r="C738" s="37" t="str">
        <f>IF(Agent04_Loans!B148="","",Agent04_Loans!C148)</f>
        <v/>
      </c>
      <c r="D738" s="38" t="str">
        <f>IF(Agent04_Loans!B148="","",Agent04_Loans!D148)</f>
        <v/>
      </c>
      <c r="E738" s="40" t="str">
        <f>IF(Agent04_Loans!B148="","",Agent04_Loans!E148)</f>
        <v/>
      </c>
      <c r="F738" s="37" t="str">
        <f>IF(Agent04_Loans!B148="","",Agent04_Loans!F148)</f>
        <v/>
      </c>
      <c r="G738" s="37" t="str">
        <f>IF(Agent04_Loans!B148="","",Agent04_Loans!G148)</f>
        <v/>
      </c>
      <c r="H738" s="37" t="str">
        <f>IF(Agent04_Loans!B148="","",Agent04_Loans!H148)</f>
        <v/>
      </c>
      <c r="I738" s="40" t="str">
        <f>IF(Agent04_Loans!B148="","",Agent04_Loans!I148)</f>
        <v/>
      </c>
      <c r="J738" s="40" t="str">
        <f>IF(Agent04_Loans!B148="","",Agent04_Loans!J148)</f>
        <v/>
      </c>
      <c r="K738" s="37" t="str">
        <f>IF(Agent04_Loans!B148="","",Agent04_Loans!K148)</f>
        <v/>
      </c>
      <c r="L738" s="37" t="str">
        <f>IF(Agent04_Loans!B148="","",Agent04_Loans!L148)</f>
        <v/>
      </c>
      <c r="M738" s="37" t="str">
        <f>IFERROR(IF(Agent04_Loans!B148="","",YEAR(Agent04_Loans!D148)),"")</f>
        <v/>
      </c>
    </row>
    <row r="739" spans="1:13" ht="18" customHeight="1" x14ac:dyDescent="0.25">
      <c r="A739" s="37" t="str">
        <f>IF(Agent04_Loans!B149="","",Agent04_Loans!A149)</f>
        <v/>
      </c>
      <c r="B739" s="37" t="str">
        <f>IF(Agent04_Loans!B149="","",Agent04_Loans!B149)</f>
        <v/>
      </c>
      <c r="C739" s="37" t="str">
        <f>IF(Agent04_Loans!B149="","",Agent04_Loans!C149)</f>
        <v/>
      </c>
      <c r="D739" s="38" t="str">
        <f>IF(Agent04_Loans!B149="","",Agent04_Loans!D149)</f>
        <v/>
      </c>
      <c r="E739" s="40" t="str">
        <f>IF(Agent04_Loans!B149="","",Agent04_Loans!E149)</f>
        <v/>
      </c>
      <c r="F739" s="37" t="str">
        <f>IF(Agent04_Loans!B149="","",Agent04_Loans!F149)</f>
        <v/>
      </c>
      <c r="G739" s="37" t="str">
        <f>IF(Agent04_Loans!B149="","",Agent04_Loans!G149)</f>
        <v/>
      </c>
      <c r="H739" s="37" t="str">
        <f>IF(Agent04_Loans!B149="","",Agent04_Loans!H149)</f>
        <v/>
      </c>
      <c r="I739" s="40" t="str">
        <f>IF(Agent04_Loans!B149="","",Agent04_Loans!I149)</f>
        <v/>
      </c>
      <c r="J739" s="40" t="str">
        <f>IF(Agent04_Loans!B149="","",Agent04_Loans!J149)</f>
        <v/>
      </c>
      <c r="K739" s="37" t="str">
        <f>IF(Agent04_Loans!B149="","",Agent04_Loans!K149)</f>
        <v/>
      </c>
      <c r="L739" s="37" t="str">
        <f>IF(Agent04_Loans!B149="","",Agent04_Loans!L149)</f>
        <v/>
      </c>
      <c r="M739" s="37" t="str">
        <f>IFERROR(IF(Agent04_Loans!B149="","",YEAR(Agent04_Loans!D149)),"")</f>
        <v/>
      </c>
    </row>
    <row r="740" spans="1:13" ht="18" customHeight="1" x14ac:dyDescent="0.25">
      <c r="A740" s="37" t="str">
        <f>IF(Agent04_Loans!B150="","",Agent04_Loans!A150)</f>
        <v/>
      </c>
      <c r="B740" s="37" t="str">
        <f>IF(Agent04_Loans!B150="","",Agent04_Loans!B150)</f>
        <v/>
      </c>
      <c r="C740" s="37" t="str">
        <f>IF(Agent04_Loans!B150="","",Agent04_Loans!C150)</f>
        <v/>
      </c>
      <c r="D740" s="38" t="str">
        <f>IF(Agent04_Loans!B150="","",Agent04_Loans!D150)</f>
        <v/>
      </c>
      <c r="E740" s="40" t="str">
        <f>IF(Agent04_Loans!B150="","",Agent04_Loans!E150)</f>
        <v/>
      </c>
      <c r="F740" s="37" t="str">
        <f>IF(Agent04_Loans!B150="","",Agent04_Loans!F150)</f>
        <v/>
      </c>
      <c r="G740" s="37" t="str">
        <f>IF(Agent04_Loans!B150="","",Agent04_Loans!G150)</f>
        <v/>
      </c>
      <c r="H740" s="37" t="str">
        <f>IF(Agent04_Loans!B150="","",Agent04_Loans!H150)</f>
        <v/>
      </c>
      <c r="I740" s="40" t="str">
        <f>IF(Agent04_Loans!B150="","",Agent04_Loans!I150)</f>
        <v/>
      </c>
      <c r="J740" s="40" t="str">
        <f>IF(Agent04_Loans!B150="","",Agent04_Loans!J150)</f>
        <v/>
      </c>
      <c r="K740" s="37" t="str">
        <f>IF(Agent04_Loans!B150="","",Agent04_Loans!K150)</f>
        <v/>
      </c>
      <c r="L740" s="37" t="str">
        <f>IF(Agent04_Loans!B150="","",Agent04_Loans!L150)</f>
        <v/>
      </c>
      <c r="M740" s="37" t="str">
        <f>IFERROR(IF(Agent04_Loans!B150="","",YEAR(Agent04_Loans!D150)),"")</f>
        <v/>
      </c>
    </row>
    <row r="741" spans="1:13" ht="18" customHeight="1" x14ac:dyDescent="0.25">
      <c r="A741" s="37" t="str">
        <f>IF(Agent04_Loans!B151="","",Agent04_Loans!A151)</f>
        <v/>
      </c>
      <c r="B741" s="37" t="str">
        <f>IF(Agent04_Loans!B151="","",Agent04_Loans!B151)</f>
        <v/>
      </c>
      <c r="C741" s="37" t="str">
        <f>IF(Agent04_Loans!B151="","",Agent04_Loans!C151)</f>
        <v/>
      </c>
      <c r="D741" s="38" t="str">
        <f>IF(Agent04_Loans!B151="","",Agent04_Loans!D151)</f>
        <v/>
      </c>
      <c r="E741" s="40" t="str">
        <f>IF(Agent04_Loans!B151="","",Agent04_Loans!E151)</f>
        <v/>
      </c>
      <c r="F741" s="37" t="str">
        <f>IF(Agent04_Loans!B151="","",Agent04_Loans!F151)</f>
        <v/>
      </c>
      <c r="G741" s="37" t="str">
        <f>IF(Agent04_Loans!B151="","",Agent04_Loans!G151)</f>
        <v/>
      </c>
      <c r="H741" s="37" t="str">
        <f>IF(Agent04_Loans!B151="","",Agent04_Loans!H151)</f>
        <v/>
      </c>
      <c r="I741" s="40" t="str">
        <f>IF(Agent04_Loans!B151="","",Agent04_Loans!I151)</f>
        <v/>
      </c>
      <c r="J741" s="40" t="str">
        <f>IF(Agent04_Loans!B151="","",Agent04_Loans!J151)</f>
        <v/>
      </c>
      <c r="K741" s="37" t="str">
        <f>IF(Agent04_Loans!B151="","",Agent04_Loans!K151)</f>
        <v/>
      </c>
      <c r="L741" s="37" t="str">
        <f>IF(Agent04_Loans!B151="","",Agent04_Loans!L151)</f>
        <v/>
      </c>
      <c r="M741" s="37" t="str">
        <f>IFERROR(IF(Agent04_Loans!B151="","",YEAR(Agent04_Loans!D151)),"")</f>
        <v/>
      </c>
    </row>
    <row r="742" spans="1:13" ht="18" customHeight="1" x14ac:dyDescent="0.25">
      <c r="A742" s="37" t="str">
        <f>IF(Agent04_Loans!B152="","",Agent04_Loans!A152)</f>
        <v/>
      </c>
      <c r="B742" s="37" t="str">
        <f>IF(Agent04_Loans!B152="","",Agent04_Loans!B152)</f>
        <v/>
      </c>
      <c r="C742" s="37" t="str">
        <f>IF(Agent04_Loans!B152="","",Agent04_Loans!C152)</f>
        <v/>
      </c>
      <c r="D742" s="38" t="str">
        <f>IF(Agent04_Loans!B152="","",Agent04_Loans!D152)</f>
        <v/>
      </c>
      <c r="E742" s="40" t="str">
        <f>IF(Agent04_Loans!B152="","",Agent04_Loans!E152)</f>
        <v/>
      </c>
      <c r="F742" s="37" t="str">
        <f>IF(Agent04_Loans!B152="","",Agent04_Loans!F152)</f>
        <v/>
      </c>
      <c r="G742" s="37" t="str">
        <f>IF(Agent04_Loans!B152="","",Agent04_Loans!G152)</f>
        <v/>
      </c>
      <c r="H742" s="37" t="str">
        <f>IF(Agent04_Loans!B152="","",Agent04_Loans!H152)</f>
        <v/>
      </c>
      <c r="I742" s="40" t="str">
        <f>IF(Agent04_Loans!B152="","",Agent04_Loans!I152)</f>
        <v/>
      </c>
      <c r="J742" s="40" t="str">
        <f>IF(Agent04_Loans!B152="","",Agent04_Loans!J152)</f>
        <v/>
      </c>
      <c r="K742" s="37" t="str">
        <f>IF(Agent04_Loans!B152="","",Agent04_Loans!K152)</f>
        <v/>
      </c>
      <c r="L742" s="37" t="str">
        <f>IF(Agent04_Loans!B152="","",Agent04_Loans!L152)</f>
        <v/>
      </c>
      <c r="M742" s="37" t="str">
        <f>IFERROR(IF(Agent04_Loans!B152="","",YEAR(Agent04_Loans!D152)),"")</f>
        <v/>
      </c>
    </row>
    <row r="743" spans="1:13" ht="18" customHeight="1" x14ac:dyDescent="0.25">
      <c r="A743" s="37" t="str">
        <f>IF(Agent04_Loans!B153="","",Agent04_Loans!A153)</f>
        <v/>
      </c>
      <c r="B743" s="37" t="str">
        <f>IF(Agent04_Loans!B153="","",Agent04_Loans!B153)</f>
        <v/>
      </c>
      <c r="C743" s="37" t="str">
        <f>IF(Agent04_Loans!B153="","",Agent04_Loans!C153)</f>
        <v/>
      </c>
      <c r="D743" s="38" t="str">
        <f>IF(Agent04_Loans!B153="","",Agent04_Loans!D153)</f>
        <v/>
      </c>
      <c r="E743" s="40" t="str">
        <f>IF(Agent04_Loans!B153="","",Agent04_Loans!E153)</f>
        <v/>
      </c>
      <c r="F743" s="37" t="str">
        <f>IF(Agent04_Loans!B153="","",Agent04_Loans!F153)</f>
        <v/>
      </c>
      <c r="G743" s="37" t="str">
        <f>IF(Agent04_Loans!B153="","",Agent04_Loans!G153)</f>
        <v/>
      </c>
      <c r="H743" s="37" t="str">
        <f>IF(Agent04_Loans!B153="","",Agent04_Loans!H153)</f>
        <v/>
      </c>
      <c r="I743" s="40" t="str">
        <f>IF(Agent04_Loans!B153="","",Agent04_Loans!I153)</f>
        <v/>
      </c>
      <c r="J743" s="40" t="str">
        <f>IF(Agent04_Loans!B153="","",Agent04_Loans!J153)</f>
        <v/>
      </c>
      <c r="K743" s="37" t="str">
        <f>IF(Agent04_Loans!B153="","",Agent04_Loans!K153)</f>
        <v/>
      </c>
      <c r="L743" s="37" t="str">
        <f>IF(Agent04_Loans!B153="","",Agent04_Loans!L153)</f>
        <v/>
      </c>
      <c r="M743" s="37" t="str">
        <f>IFERROR(IF(Agent04_Loans!B153="","",YEAR(Agent04_Loans!D153)),"")</f>
        <v/>
      </c>
    </row>
    <row r="744" spans="1:13" ht="18" customHeight="1" x14ac:dyDescent="0.25">
      <c r="A744" s="37" t="str">
        <f>IF(Agent04_Loans!B154="","",Agent04_Loans!A154)</f>
        <v/>
      </c>
      <c r="B744" s="37" t="str">
        <f>IF(Agent04_Loans!B154="","",Agent04_Loans!B154)</f>
        <v/>
      </c>
      <c r="C744" s="37" t="str">
        <f>IF(Agent04_Loans!B154="","",Agent04_Loans!C154)</f>
        <v/>
      </c>
      <c r="D744" s="38" t="str">
        <f>IF(Agent04_Loans!B154="","",Agent04_Loans!D154)</f>
        <v/>
      </c>
      <c r="E744" s="40" t="str">
        <f>IF(Agent04_Loans!B154="","",Agent04_Loans!E154)</f>
        <v/>
      </c>
      <c r="F744" s="37" t="str">
        <f>IF(Agent04_Loans!B154="","",Agent04_Loans!F154)</f>
        <v/>
      </c>
      <c r="G744" s="37" t="str">
        <f>IF(Agent04_Loans!B154="","",Agent04_Loans!G154)</f>
        <v/>
      </c>
      <c r="H744" s="37" t="str">
        <f>IF(Agent04_Loans!B154="","",Agent04_Loans!H154)</f>
        <v/>
      </c>
      <c r="I744" s="40" t="str">
        <f>IF(Agent04_Loans!B154="","",Agent04_Loans!I154)</f>
        <v/>
      </c>
      <c r="J744" s="40" t="str">
        <f>IF(Agent04_Loans!B154="","",Agent04_Loans!J154)</f>
        <v/>
      </c>
      <c r="K744" s="37" t="str">
        <f>IF(Agent04_Loans!B154="","",Agent04_Loans!K154)</f>
        <v/>
      </c>
      <c r="L744" s="37" t="str">
        <f>IF(Agent04_Loans!B154="","",Agent04_Loans!L154)</f>
        <v/>
      </c>
      <c r="M744" s="37" t="str">
        <f>IFERROR(IF(Agent04_Loans!B154="","",YEAR(Agent04_Loans!D154)),"")</f>
        <v/>
      </c>
    </row>
    <row r="745" spans="1:13" ht="18" customHeight="1" x14ac:dyDescent="0.25">
      <c r="A745" s="37" t="str">
        <f>IF(Agent04_Loans!B155="","",Agent04_Loans!A155)</f>
        <v/>
      </c>
      <c r="B745" s="37" t="str">
        <f>IF(Agent04_Loans!B155="","",Agent04_Loans!B155)</f>
        <v/>
      </c>
      <c r="C745" s="37" t="str">
        <f>IF(Agent04_Loans!B155="","",Agent04_Loans!C155)</f>
        <v/>
      </c>
      <c r="D745" s="38" t="str">
        <f>IF(Agent04_Loans!B155="","",Agent04_Loans!D155)</f>
        <v/>
      </c>
      <c r="E745" s="40" t="str">
        <f>IF(Agent04_Loans!B155="","",Agent04_Loans!E155)</f>
        <v/>
      </c>
      <c r="F745" s="37" t="str">
        <f>IF(Agent04_Loans!B155="","",Agent04_Loans!F155)</f>
        <v/>
      </c>
      <c r="G745" s="37" t="str">
        <f>IF(Agent04_Loans!B155="","",Agent04_Loans!G155)</f>
        <v/>
      </c>
      <c r="H745" s="37" t="str">
        <f>IF(Agent04_Loans!B155="","",Agent04_Loans!H155)</f>
        <v/>
      </c>
      <c r="I745" s="40" t="str">
        <f>IF(Agent04_Loans!B155="","",Agent04_Loans!I155)</f>
        <v/>
      </c>
      <c r="J745" s="40" t="str">
        <f>IF(Agent04_Loans!B155="","",Agent04_Loans!J155)</f>
        <v/>
      </c>
      <c r="K745" s="37" t="str">
        <f>IF(Agent04_Loans!B155="","",Agent04_Loans!K155)</f>
        <v/>
      </c>
      <c r="L745" s="37" t="str">
        <f>IF(Agent04_Loans!B155="","",Agent04_Loans!L155)</f>
        <v/>
      </c>
      <c r="M745" s="37" t="str">
        <f>IFERROR(IF(Agent04_Loans!B155="","",YEAR(Agent04_Loans!D155)),"")</f>
        <v/>
      </c>
    </row>
    <row r="746" spans="1:13" ht="18" customHeight="1" x14ac:dyDescent="0.25">
      <c r="A746" s="37" t="str">
        <f>IF(Agent04_Loans!B156="","",Agent04_Loans!A156)</f>
        <v/>
      </c>
      <c r="B746" s="37" t="str">
        <f>IF(Agent04_Loans!B156="","",Agent04_Loans!B156)</f>
        <v/>
      </c>
      <c r="C746" s="37" t="str">
        <f>IF(Agent04_Loans!B156="","",Agent04_Loans!C156)</f>
        <v/>
      </c>
      <c r="D746" s="38" t="str">
        <f>IF(Agent04_Loans!B156="","",Agent04_Loans!D156)</f>
        <v/>
      </c>
      <c r="E746" s="40" t="str">
        <f>IF(Agent04_Loans!B156="","",Agent04_Loans!E156)</f>
        <v/>
      </c>
      <c r="F746" s="37" t="str">
        <f>IF(Agent04_Loans!B156="","",Agent04_Loans!F156)</f>
        <v/>
      </c>
      <c r="G746" s="37" t="str">
        <f>IF(Agent04_Loans!B156="","",Agent04_Loans!G156)</f>
        <v/>
      </c>
      <c r="H746" s="37" t="str">
        <f>IF(Agent04_Loans!B156="","",Agent04_Loans!H156)</f>
        <v/>
      </c>
      <c r="I746" s="40" t="str">
        <f>IF(Agent04_Loans!B156="","",Agent04_Loans!I156)</f>
        <v/>
      </c>
      <c r="J746" s="40" t="str">
        <f>IF(Agent04_Loans!B156="","",Agent04_Loans!J156)</f>
        <v/>
      </c>
      <c r="K746" s="37" t="str">
        <f>IF(Agent04_Loans!B156="","",Agent04_Loans!K156)</f>
        <v/>
      </c>
      <c r="L746" s="37" t="str">
        <f>IF(Agent04_Loans!B156="","",Agent04_Loans!L156)</f>
        <v/>
      </c>
      <c r="M746" s="37" t="str">
        <f>IFERROR(IF(Agent04_Loans!B156="","",YEAR(Agent04_Loans!D156)),"")</f>
        <v/>
      </c>
    </row>
    <row r="747" spans="1:13" ht="18" customHeight="1" x14ac:dyDescent="0.25">
      <c r="A747" s="37" t="str">
        <f>IF(Agent04_Loans!B157="","",Agent04_Loans!A157)</f>
        <v/>
      </c>
      <c r="B747" s="37" t="str">
        <f>IF(Agent04_Loans!B157="","",Agent04_Loans!B157)</f>
        <v/>
      </c>
      <c r="C747" s="37" t="str">
        <f>IF(Agent04_Loans!B157="","",Agent04_Loans!C157)</f>
        <v/>
      </c>
      <c r="D747" s="38" t="str">
        <f>IF(Agent04_Loans!B157="","",Agent04_Loans!D157)</f>
        <v/>
      </c>
      <c r="E747" s="40" t="str">
        <f>IF(Agent04_Loans!B157="","",Agent04_Loans!E157)</f>
        <v/>
      </c>
      <c r="F747" s="37" t="str">
        <f>IF(Agent04_Loans!B157="","",Agent04_Loans!F157)</f>
        <v/>
      </c>
      <c r="G747" s="37" t="str">
        <f>IF(Agent04_Loans!B157="","",Agent04_Loans!G157)</f>
        <v/>
      </c>
      <c r="H747" s="37" t="str">
        <f>IF(Agent04_Loans!B157="","",Agent04_Loans!H157)</f>
        <v/>
      </c>
      <c r="I747" s="40" t="str">
        <f>IF(Agent04_Loans!B157="","",Agent04_Loans!I157)</f>
        <v/>
      </c>
      <c r="J747" s="40" t="str">
        <f>IF(Agent04_Loans!B157="","",Agent04_Loans!J157)</f>
        <v/>
      </c>
      <c r="K747" s="37" t="str">
        <f>IF(Agent04_Loans!B157="","",Agent04_Loans!K157)</f>
        <v/>
      </c>
      <c r="L747" s="37" t="str">
        <f>IF(Agent04_Loans!B157="","",Agent04_Loans!L157)</f>
        <v/>
      </c>
      <c r="M747" s="37" t="str">
        <f>IFERROR(IF(Agent04_Loans!B157="","",YEAR(Agent04_Loans!D157)),"")</f>
        <v/>
      </c>
    </row>
    <row r="748" spans="1:13" ht="18" customHeight="1" x14ac:dyDescent="0.25">
      <c r="A748" s="37" t="str">
        <f>IF(Agent04_Loans!B158="","",Agent04_Loans!A158)</f>
        <v/>
      </c>
      <c r="B748" s="37" t="str">
        <f>IF(Agent04_Loans!B158="","",Agent04_Loans!B158)</f>
        <v/>
      </c>
      <c r="C748" s="37" t="str">
        <f>IF(Agent04_Loans!B158="","",Agent04_Loans!C158)</f>
        <v/>
      </c>
      <c r="D748" s="38" t="str">
        <f>IF(Agent04_Loans!B158="","",Agent04_Loans!D158)</f>
        <v/>
      </c>
      <c r="E748" s="40" t="str">
        <f>IF(Agent04_Loans!B158="","",Agent04_Loans!E158)</f>
        <v/>
      </c>
      <c r="F748" s="37" t="str">
        <f>IF(Agent04_Loans!B158="","",Agent04_Loans!F158)</f>
        <v/>
      </c>
      <c r="G748" s="37" t="str">
        <f>IF(Agent04_Loans!B158="","",Agent04_Loans!G158)</f>
        <v/>
      </c>
      <c r="H748" s="37" t="str">
        <f>IF(Agent04_Loans!B158="","",Agent04_Loans!H158)</f>
        <v/>
      </c>
      <c r="I748" s="40" t="str">
        <f>IF(Agent04_Loans!B158="","",Agent04_Loans!I158)</f>
        <v/>
      </c>
      <c r="J748" s="40" t="str">
        <f>IF(Agent04_Loans!B158="","",Agent04_Loans!J158)</f>
        <v/>
      </c>
      <c r="K748" s="37" t="str">
        <f>IF(Agent04_Loans!B158="","",Agent04_Loans!K158)</f>
        <v/>
      </c>
      <c r="L748" s="37" t="str">
        <f>IF(Agent04_Loans!B158="","",Agent04_Loans!L158)</f>
        <v/>
      </c>
      <c r="M748" s="37" t="str">
        <f>IFERROR(IF(Agent04_Loans!B158="","",YEAR(Agent04_Loans!D158)),"")</f>
        <v/>
      </c>
    </row>
    <row r="749" spans="1:13" ht="18" customHeight="1" x14ac:dyDescent="0.25">
      <c r="A749" s="37" t="str">
        <f>IF(Agent04_Loans!B159="","",Agent04_Loans!A159)</f>
        <v/>
      </c>
      <c r="B749" s="37" t="str">
        <f>IF(Agent04_Loans!B159="","",Agent04_Loans!B159)</f>
        <v/>
      </c>
      <c r="C749" s="37" t="str">
        <f>IF(Agent04_Loans!B159="","",Agent04_Loans!C159)</f>
        <v/>
      </c>
      <c r="D749" s="38" t="str">
        <f>IF(Agent04_Loans!B159="","",Agent04_Loans!D159)</f>
        <v/>
      </c>
      <c r="E749" s="40" t="str">
        <f>IF(Agent04_Loans!B159="","",Agent04_Loans!E159)</f>
        <v/>
      </c>
      <c r="F749" s="37" t="str">
        <f>IF(Agent04_Loans!B159="","",Agent04_Loans!F159)</f>
        <v/>
      </c>
      <c r="G749" s="37" t="str">
        <f>IF(Agent04_Loans!B159="","",Agent04_Loans!G159)</f>
        <v/>
      </c>
      <c r="H749" s="37" t="str">
        <f>IF(Agent04_Loans!B159="","",Agent04_Loans!H159)</f>
        <v/>
      </c>
      <c r="I749" s="40" t="str">
        <f>IF(Agent04_Loans!B159="","",Agent04_Loans!I159)</f>
        <v/>
      </c>
      <c r="J749" s="40" t="str">
        <f>IF(Agent04_Loans!B159="","",Agent04_Loans!J159)</f>
        <v/>
      </c>
      <c r="K749" s="37" t="str">
        <f>IF(Agent04_Loans!B159="","",Agent04_Loans!K159)</f>
        <v/>
      </c>
      <c r="L749" s="37" t="str">
        <f>IF(Agent04_Loans!B159="","",Agent04_Loans!L159)</f>
        <v/>
      </c>
      <c r="M749" s="37" t="str">
        <f>IFERROR(IF(Agent04_Loans!B159="","",YEAR(Agent04_Loans!D159)),"")</f>
        <v/>
      </c>
    </row>
    <row r="750" spans="1:13" ht="18" customHeight="1" x14ac:dyDescent="0.25">
      <c r="A750" s="37" t="str">
        <f>IF(Agent04_Loans!B160="","",Agent04_Loans!A160)</f>
        <v/>
      </c>
      <c r="B750" s="37" t="str">
        <f>IF(Agent04_Loans!B160="","",Agent04_Loans!B160)</f>
        <v/>
      </c>
      <c r="C750" s="37" t="str">
        <f>IF(Agent04_Loans!B160="","",Agent04_Loans!C160)</f>
        <v/>
      </c>
      <c r="D750" s="38" t="str">
        <f>IF(Agent04_Loans!B160="","",Agent04_Loans!D160)</f>
        <v/>
      </c>
      <c r="E750" s="40" t="str">
        <f>IF(Agent04_Loans!B160="","",Agent04_Loans!E160)</f>
        <v/>
      </c>
      <c r="F750" s="37" t="str">
        <f>IF(Agent04_Loans!B160="","",Agent04_Loans!F160)</f>
        <v/>
      </c>
      <c r="G750" s="37" t="str">
        <f>IF(Agent04_Loans!B160="","",Agent04_Loans!G160)</f>
        <v/>
      </c>
      <c r="H750" s="37" t="str">
        <f>IF(Agent04_Loans!B160="","",Agent04_Loans!H160)</f>
        <v/>
      </c>
      <c r="I750" s="40" t="str">
        <f>IF(Agent04_Loans!B160="","",Agent04_Loans!I160)</f>
        <v/>
      </c>
      <c r="J750" s="40" t="str">
        <f>IF(Agent04_Loans!B160="","",Agent04_Loans!J160)</f>
        <v/>
      </c>
      <c r="K750" s="37" t="str">
        <f>IF(Agent04_Loans!B160="","",Agent04_Loans!K160)</f>
        <v/>
      </c>
      <c r="L750" s="37" t="str">
        <f>IF(Agent04_Loans!B160="","",Agent04_Loans!L160)</f>
        <v/>
      </c>
      <c r="M750" s="37" t="str">
        <f>IFERROR(IF(Agent04_Loans!B160="","",YEAR(Agent04_Loans!D160)),"")</f>
        <v/>
      </c>
    </row>
    <row r="751" spans="1:13" ht="18" customHeight="1" x14ac:dyDescent="0.25">
      <c r="A751" s="37" t="str">
        <f>IF(Agent04_Loans!B161="","",Agent04_Loans!A161)</f>
        <v/>
      </c>
      <c r="B751" s="37" t="str">
        <f>IF(Agent04_Loans!B161="","",Agent04_Loans!B161)</f>
        <v/>
      </c>
      <c r="C751" s="37" t="str">
        <f>IF(Agent04_Loans!B161="","",Agent04_Loans!C161)</f>
        <v/>
      </c>
      <c r="D751" s="38" t="str">
        <f>IF(Agent04_Loans!B161="","",Agent04_Loans!D161)</f>
        <v/>
      </c>
      <c r="E751" s="40" t="str">
        <f>IF(Agent04_Loans!B161="","",Agent04_Loans!E161)</f>
        <v/>
      </c>
      <c r="F751" s="37" t="str">
        <f>IF(Agent04_Loans!B161="","",Agent04_Loans!F161)</f>
        <v/>
      </c>
      <c r="G751" s="37" t="str">
        <f>IF(Agent04_Loans!B161="","",Agent04_Loans!G161)</f>
        <v/>
      </c>
      <c r="H751" s="37" t="str">
        <f>IF(Agent04_Loans!B161="","",Agent04_Loans!H161)</f>
        <v/>
      </c>
      <c r="I751" s="40" t="str">
        <f>IF(Agent04_Loans!B161="","",Agent04_Loans!I161)</f>
        <v/>
      </c>
      <c r="J751" s="40" t="str">
        <f>IF(Agent04_Loans!B161="","",Agent04_Loans!J161)</f>
        <v/>
      </c>
      <c r="K751" s="37" t="str">
        <f>IF(Agent04_Loans!B161="","",Agent04_Loans!K161)</f>
        <v/>
      </c>
      <c r="L751" s="37" t="str">
        <f>IF(Agent04_Loans!B161="","",Agent04_Loans!L161)</f>
        <v/>
      </c>
      <c r="M751" s="37" t="str">
        <f>IFERROR(IF(Agent04_Loans!B161="","",YEAR(Agent04_Loans!D161)),"")</f>
        <v/>
      </c>
    </row>
    <row r="752" spans="1:13" ht="18" customHeight="1" x14ac:dyDescent="0.25">
      <c r="A752" s="37" t="str">
        <f>IF(Agent04_Loans!B162="","",Agent04_Loans!A162)</f>
        <v/>
      </c>
      <c r="B752" s="37" t="str">
        <f>IF(Agent04_Loans!B162="","",Agent04_Loans!B162)</f>
        <v/>
      </c>
      <c r="C752" s="37" t="str">
        <f>IF(Agent04_Loans!B162="","",Agent04_Loans!C162)</f>
        <v/>
      </c>
      <c r="D752" s="38" t="str">
        <f>IF(Agent04_Loans!B162="","",Agent04_Loans!D162)</f>
        <v/>
      </c>
      <c r="E752" s="40" t="str">
        <f>IF(Agent04_Loans!B162="","",Agent04_Loans!E162)</f>
        <v/>
      </c>
      <c r="F752" s="37" t="str">
        <f>IF(Agent04_Loans!B162="","",Agent04_Loans!F162)</f>
        <v/>
      </c>
      <c r="G752" s="37" t="str">
        <f>IF(Agent04_Loans!B162="","",Agent04_Loans!G162)</f>
        <v/>
      </c>
      <c r="H752" s="37" t="str">
        <f>IF(Agent04_Loans!B162="","",Agent04_Loans!H162)</f>
        <v/>
      </c>
      <c r="I752" s="40" t="str">
        <f>IF(Agent04_Loans!B162="","",Agent04_Loans!I162)</f>
        <v/>
      </c>
      <c r="J752" s="40" t="str">
        <f>IF(Agent04_Loans!B162="","",Agent04_Loans!J162)</f>
        <v/>
      </c>
      <c r="K752" s="37" t="str">
        <f>IF(Agent04_Loans!B162="","",Agent04_Loans!K162)</f>
        <v/>
      </c>
      <c r="L752" s="37" t="str">
        <f>IF(Agent04_Loans!B162="","",Agent04_Loans!L162)</f>
        <v/>
      </c>
      <c r="M752" s="37" t="str">
        <f>IFERROR(IF(Agent04_Loans!B162="","",YEAR(Agent04_Loans!D162)),"")</f>
        <v/>
      </c>
    </row>
    <row r="753" spans="1:13" ht="18" customHeight="1" x14ac:dyDescent="0.25">
      <c r="A753" s="37" t="str">
        <f>IF(Agent04_Loans!B163="","",Agent04_Loans!A163)</f>
        <v/>
      </c>
      <c r="B753" s="37" t="str">
        <f>IF(Agent04_Loans!B163="","",Agent04_Loans!B163)</f>
        <v/>
      </c>
      <c r="C753" s="37" t="str">
        <f>IF(Agent04_Loans!B163="","",Agent04_Loans!C163)</f>
        <v/>
      </c>
      <c r="D753" s="38" t="str">
        <f>IF(Agent04_Loans!B163="","",Agent04_Loans!D163)</f>
        <v/>
      </c>
      <c r="E753" s="40" t="str">
        <f>IF(Agent04_Loans!B163="","",Agent04_Loans!E163)</f>
        <v/>
      </c>
      <c r="F753" s="37" t="str">
        <f>IF(Agent04_Loans!B163="","",Agent04_Loans!F163)</f>
        <v/>
      </c>
      <c r="G753" s="37" t="str">
        <f>IF(Agent04_Loans!B163="","",Agent04_Loans!G163)</f>
        <v/>
      </c>
      <c r="H753" s="37" t="str">
        <f>IF(Agent04_Loans!B163="","",Agent04_Loans!H163)</f>
        <v/>
      </c>
      <c r="I753" s="40" t="str">
        <f>IF(Agent04_Loans!B163="","",Agent04_Loans!I163)</f>
        <v/>
      </c>
      <c r="J753" s="40" t="str">
        <f>IF(Agent04_Loans!B163="","",Agent04_Loans!J163)</f>
        <v/>
      </c>
      <c r="K753" s="37" t="str">
        <f>IF(Agent04_Loans!B163="","",Agent04_Loans!K163)</f>
        <v/>
      </c>
      <c r="L753" s="37" t="str">
        <f>IF(Agent04_Loans!B163="","",Agent04_Loans!L163)</f>
        <v/>
      </c>
      <c r="M753" s="37" t="str">
        <f>IFERROR(IF(Agent04_Loans!B163="","",YEAR(Agent04_Loans!D163)),"")</f>
        <v/>
      </c>
    </row>
    <row r="754" spans="1:13" ht="18" customHeight="1" x14ac:dyDescent="0.25">
      <c r="A754" s="37" t="str">
        <f>IF(Agent04_Loans!B164="","",Agent04_Loans!A164)</f>
        <v/>
      </c>
      <c r="B754" s="37" t="str">
        <f>IF(Agent04_Loans!B164="","",Agent04_Loans!B164)</f>
        <v/>
      </c>
      <c r="C754" s="37" t="str">
        <f>IF(Agent04_Loans!B164="","",Agent04_Loans!C164)</f>
        <v/>
      </c>
      <c r="D754" s="38" t="str">
        <f>IF(Agent04_Loans!B164="","",Agent04_Loans!D164)</f>
        <v/>
      </c>
      <c r="E754" s="40" t="str">
        <f>IF(Agent04_Loans!B164="","",Agent04_Loans!E164)</f>
        <v/>
      </c>
      <c r="F754" s="37" t="str">
        <f>IF(Agent04_Loans!B164="","",Agent04_Loans!F164)</f>
        <v/>
      </c>
      <c r="G754" s="37" t="str">
        <f>IF(Agent04_Loans!B164="","",Agent04_Loans!G164)</f>
        <v/>
      </c>
      <c r="H754" s="37" t="str">
        <f>IF(Agent04_Loans!B164="","",Agent04_Loans!H164)</f>
        <v/>
      </c>
      <c r="I754" s="40" t="str">
        <f>IF(Agent04_Loans!B164="","",Agent04_Loans!I164)</f>
        <v/>
      </c>
      <c r="J754" s="40" t="str">
        <f>IF(Agent04_Loans!B164="","",Agent04_Loans!J164)</f>
        <v/>
      </c>
      <c r="K754" s="37" t="str">
        <f>IF(Agent04_Loans!B164="","",Agent04_Loans!K164)</f>
        <v/>
      </c>
      <c r="L754" s="37" t="str">
        <f>IF(Agent04_Loans!B164="","",Agent04_Loans!L164)</f>
        <v/>
      </c>
      <c r="M754" s="37" t="str">
        <f>IFERROR(IF(Agent04_Loans!B164="","",YEAR(Agent04_Loans!D164)),"")</f>
        <v/>
      </c>
    </row>
    <row r="755" spans="1:13" ht="18" customHeight="1" x14ac:dyDescent="0.25">
      <c r="A755" s="37" t="str">
        <f>IF(Agent04_Loans!B165="","",Agent04_Loans!A165)</f>
        <v/>
      </c>
      <c r="B755" s="37" t="str">
        <f>IF(Agent04_Loans!B165="","",Agent04_Loans!B165)</f>
        <v/>
      </c>
      <c r="C755" s="37" t="str">
        <f>IF(Agent04_Loans!B165="","",Agent04_Loans!C165)</f>
        <v/>
      </c>
      <c r="D755" s="38" t="str">
        <f>IF(Agent04_Loans!B165="","",Agent04_Loans!D165)</f>
        <v/>
      </c>
      <c r="E755" s="40" t="str">
        <f>IF(Agent04_Loans!B165="","",Agent04_Loans!E165)</f>
        <v/>
      </c>
      <c r="F755" s="37" t="str">
        <f>IF(Agent04_Loans!B165="","",Agent04_Loans!F165)</f>
        <v/>
      </c>
      <c r="G755" s="37" t="str">
        <f>IF(Agent04_Loans!B165="","",Agent04_Loans!G165)</f>
        <v/>
      </c>
      <c r="H755" s="37" t="str">
        <f>IF(Agent04_Loans!B165="","",Agent04_Loans!H165)</f>
        <v/>
      </c>
      <c r="I755" s="40" t="str">
        <f>IF(Agent04_Loans!B165="","",Agent04_Loans!I165)</f>
        <v/>
      </c>
      <c r="J755" s="40" t="str">
        <f>IF(Agent04_Loans!B165="","",Agent04_Loans!J165)</f>
        <v/>
      </c>
      <c r="K755" s="37" t="str">
        <f>IF(Agent04_Loans!B165="","",Agent04_Loans!K165)</f>
        <v/>
      </c>
      <c r="L755" s="37" t="str">
        <f>IF(Agent04_Loans!B165="","",Agent04_Loans!L165)</f>
        <v/>
      </c>
      <c r="M755" s="37" t="str">
        <f>IFERROR(IF(Agent04_Loans!B165="","",YEAR(Agent04_Loans!D165)),"")</f>
        <v/>
      </c>
    </row>
    <row r="756" spans="1:13" ht="18" customHeight="1" x14ac:dyDescent="0.25">
      <c r="A756" s="37" t="str">
        <f>IF(Agent04_Loans!B166="","",Agent04_Loans!A166)</f>
        <v/>
      </c>
      <c r="B756" s="37" t="str">
        <f>IF(Agent04_Loans!B166="","",Agent04_Loans!B166)</f>
        <v/>
      </c>
      <c r="C756" s="37" t="str">
        <f>IF(Agent04_Loans!B166="","",Agent04_Loans!C166)</f>
        <v/>
      </c>
      <c r="D756" s="38" t="str">
        <f>IF(Agent04_Loans!B166="","",Agent04_Loans!D166)</f>
        <v/>
      </c>
      <c r="E756" s="40" t="str">
        <f>IF(Agent04_Loans!B166="","",Agent04_Loans!E166)</f>
        <v/>
      </c>
      <c r="F756" s="37" t="str">
        <f>IF(Agent04_Loans!B166="","",Agent04_Loans!F166)</f>
        <v/>
      </c>
      <c r="G756" s="37" t="str">
        <f>IF(Agent04_Loans!B166="","",Agent04_Loans!G166)</f>
        <v/>
      </c>
      <c r="H756" s="37" t="str">
        <f>IF(Agent04_Loans!B166="","",Agent04_Loans!H166)</f>
        <v/>
      </c>
      <c r="I756" s="40" t="str">
        <f>IF(Agent04_Loans!B166="","",Agent04_Loans!I166)</f>
        <v/>
      </c>
      <c r="J756" s="40" t="str">
        <f>IF(Agent04_Loans!B166="","",Agent04_Loans!J166)</f>
        <v/>
      </c>
      <c r="K756" s="37" t="str">
        <f>IF(Agent04_Loans!B166="","",Agent04_Loans!K166)</f>
        <v/>
      </c>
      <c r="L756" s="37" t="str">
        <f>IF(Agent04_Loans!B166="","",Agent04_Loans!L166)</f>
        <v/>
      </c>
      <c r="M756" s="37" t="str">
        <f>IFERROR(IF(Agent04_Loans!B166="","",YEAR(Agent04_Loans!D166)),"")</f>
        <v/>
      </c>
    </row>
    <row r="757" spans="1:13" ht="18" customHeight="1" x14ac:dyDescent="0.25">
      <c r="A757" s="37" t="str">
        <f>IF(Agent04_Loans!B167="","",Agent04_Loans!A167)</f>
        <v/>
      </c>
      <c r="B757" s="37" t="str">
        <f>IF(Agent04_Loans!B167="","",Agent04_Loans!B167)</f>
        <v/>
      </c>
      <c r="C757" s="37" t="str">
        <f>IF(Agent04_Loans!B167="","",Agent04_Loans!C167)</f>
        <v/>
      </c>
      <c r="D757" s="38" t="str">
        <f>IF(Agent04_Loans!B167="","",Agent04_Loans!D167)</f>
        <v/>
      </c>
      <c r="E757" s="40" t="str">
        <f>IF(Agent04_Loans!B167="","",Agent04_Loans!E167)</f>
        <v/>
      </c>
      <c r="F757" s="37" t="str">
        <f>IF(Agent04_Loans!B167="","",Agent04_Loans!F167)</f>
        <v/>
      </c>
      <c r="G757" s="37" t="str">
        <f>IF(Agent04_Loans!B167="","",Agent04_Loans!G167)</f>
        <v/>
      </c>
      <c r="H757" s="37" t="str">
        <f>IF(Agent04_Loans!B167="","",Agent04_Loans!H167)</f>
        <v/>
      </c>
      <c r="I757" s="40" t="str">
        <f>IF(Agent04_Loans!B167="","",Agent04_Loans!I167)</f>
        <v/>
      </c>
      <c r="J757" s="40" t="str">
        <f>IF(Agent04_Loans!B167="","",Agent04_Loans!J167)</f>
        <v/>
      </c>
      <c r="K757" s="37" t="str">
        <f>IF(Agent04_Loans!B167="","",Agent04_Loans!K167)</f>
        <v/>
      </c>
      <c r="L757" s="37" t="str">
        <f>IF(Agent04_Loans!B167="","",Agent04_Loans!L167)</f>
        <v/>
      </c>
      <c r="M757" s="37" t="str">
        <f>IFERROR(IF(Agent04_Loans!B167="","",YEAR(Agent04_Loans!D167)),"")</f>
        <v/>
      </c>
    </row>
    <row r="758" spans="1:13" ht="18" customHeight="1" x14ac:dyDescent="0.25">
      <c r="A758" s="37" t="str">
        <f>IF(Agent04_Loans!B168="","",Agent04_Loans!A168)</f>
        <v/>
      </c>
      <c r="B758" s="37" t="str">
        <f>IF(Agent04_Loans!B168="","",Agent04_Loans!B168)</f>
        <v/>
      </c>
      <c r="C758" s="37" t="str">
        <f>IF(Agent04_Loans!B168="","",Agent04_Loans!C168)</f>
        <v/>
      </c>
      <c r="D758" s="38" t="str">
        <f>IF(Agent04_Loans!B168="","",Agent04_Loans!D168)</f>
        <v/>
      </c>
      <c r="E758" s="40" t="str">
        <f>IF(Agent04_Loans!B168="","",Agent04_Loans!E168)</f>
        <v/>
      </c>
      <c r="F758" s="37" t="str">
        <f>IF(Agent04_Loans!B168="","",Agent04_Loans!F168)</f>
        <v/>
      </c>
      <c r="G758" s="37" t="str">
        <f>IF(Agent04_Loans!B168="","",Agent04_Loans!G168)</f>
        <v/>
      </c>
      <c r="H758" s="37" t="str">
        <f>IF(Agent04_Loans!B168="","",Agent04_Loans!H168)</f>
        <v/>
      </c>
      <c r="I758" s="40" t="str">
        <f>IF(Agent04_Loans!B168="","",Agent04_Loans!I168)</f>
        <v/>
      </c>
      <c r="J758" s="40" t="str">
        <f>IF(Agent04_Loans!B168="","",Agent04_Loans!J168)</f>
        <v/>
      </c>
      <c r="K758" s="37" t="str">
        <f>IF(Agent04_Loans!B168="","",Agent04_Loans!K168)</f>
        <v/>
      </c>
      <c r="L758" s="37" t="str">
        <f>IF(Agent04_Loans!B168="","",Agent04_Loans!L168)</f>
        <v/>
      </c>
      <c r="M758" s="37" t="str">
        <f>IFERROR(IF(Agent04_Loans!B168="","",YEAR(Agent04_Loans!D168)),"")</f>
        <v/>
      </c>
    </row>
    <row r="759" spans="1:13" ht="18" customHeight="1" x14ac:dyDescent="0.25">
      <c r="A759" s="37" t="str">
        <f>IF(Agent04_Loans!B169="","",Agent04_Loans!A169)</f>
        <v/>
      </c>
      <c r="B759" s="37" t="str">
        <f>IF(Agent04_Loans!B169="","",Agent04_Loans!B169)</f>
        <v/>
      </c>
      <c r="C759" s="37" t="str">
        <f>IF(Agent04_Loans!B169="","",Agent04_Loans!C169)</f>
        <v/>
      </c>
      <c r="D759" s="38" t="str">
        <f>IF(Agent04_Loans!B169="","",Agent04_Loans!D169)</f>
        <v/>
      </c>
      <c r="E759" s="40" t="str">
        <f>IF(Agent04_Loans!B169="","",Agent04_Loans!E169)</f>
        <v/>
      </c>
      <c r="F759" s="37" t="str">
        <f>IF(Agent04_Loans!B169="","",Agent04_Loans!F169)</f>
        <v/>
      </c>
      <c r="G759" s="37" t="str">
        <f>IF(Agent04_Loans!B169="","",Agent04_Loans!G169)</f>
        <v/>
      </c>
      <c r="H759" s="37" t="str">
        <f>IF(Agent04_Loans!B169="","",Agent04_Loans!H169)</f>
        <v/>
      </c>
      <c r="I759" s="40" t="str">
        <f>IF(Agent04_Loans!B169="","",Agent04_Loans!I169)</f>
        <v/>
      </c>
      <c r="J759" s="40" t="str">
        <f>IF(Agent04_Loans!B169="","",Agent04_Loans!J169)</f>
        <v/>
      </c>
      <c r="K759" s="37" t="str">
        <f>IF(Agent04_Loans!B169="","",Agent04_Loans!K169)</f>
        <v/>
      </c>
      <c r="L759" s="37" t="str">
        <f>IF(Agent04_Loans!B169="","",Agent04_Loans!L169)</f>
        <v/>
      </c>
      <c r="M759" s="37" t="str">
        <f>IFERROR(IF(Agent04_Loans!B169="","",YEAR(Agent04_Loans!D169)),"")</f>
        <v/>
      </c>
    </row>
    <row r="760" spans="1:13" ht="18" customHeight="1" x14ac:dyDescent="0.25">
      <c r="A760" s="37" t="str">
        <f>IF(Agent04_Loans!B170="","",Agent04_Loans!A170)</f>
        <v/>
      </c>
      <c r="B760" s="37" t="str">
        <f>IF(Agent04_Loans!B170="","",Agent04_Loans!B170)</f>
        <v/>
      </c>
      <c r="C760" s="37" t="str">
        <f>IF(Agent04_Loans!B170="","",Agent04_Loans!C170)</f>
        <v/>
      </c>
      <c r="D760" s="38" t="str">
        <f>IF(Agent04_Loans!B170="","",Agent04_Loans!D170)</f>
        <v/>
      </c>
      <c r="E760" s="40" t="str">
        <f>IF(Agent04_Loans!B170="","",Agent04_Loans!E170)</f>
        <v/>
      </c>
      <c r="F760" s="37" t="str">
        <f>IF(Agent04_Loans!B170="","",Agent04_Loans!F170)</f>
        <v/>
      </c>
      <c r="G760" s="37" t="str">
        <f>IF(Agent04_Loans!B170="","",Agent04_Loans!G170)</f>
        <v/>
      </c>
      <c r="H760" s="37" t="str">
        <f>IF(Agent04_Loans!B170="","",Agent04_Loans!H170)</f>
        <v/>
      </c>
      <c r="I760" s="40" t="str">
        <f>IF(Agent04_Loans!B170="","",Agent04_Loans!I170)</f>
        <v/>
      </c>
      <c r="J760" s="40" t="str">
        <f>IF(Agent04_Loans!B170="","",Agent04_Loans!J170)</f>
        <v/>
      </c>
      <c r="K760" s="37" t="str">
        <f>IF(Agent04_Loans!B170="","",Agent04_Loans!K170)</f>
        <v/>
      </c>
      <c r="L760" s="37" t="str">
        <f>IF(Agent04_Loans!B170="","",Agent04_Loans!L170)</f>
        <v/>
      </c>
      <c r="M760" s="37" t="str">
        <f>IFERROR(IF(Agent04_Loans!B170="","",YEAR(Agent04_Loans!D170)),"")</f>
        <v/>
      </c>
    </row>
    <row r="761" spans="1:13" ht="18" customHeight="1" x14ac:dyDescent="0.25">
      <c r="A761" s="37" t="str">
        <f>IF(Agent04_Loans!B171="","",Agent04_Loans!A171)</f>
        <v/>
      </c>
      <c r="B761" s="37" t="str">
        <f>IF(Agent04_Loans!B171="","",Agent04_Loans!B171)</f>
        <v/>
      </c>
      <c r="C761" s="37" t="str">
        <f>IF(Agent04_Loans!B171="","",Agent04_Loans!C171)</f>
        <v/>
      </c>
      <c r="D761" s="38" t="str">
        <f>IF(Agent04_Loans!B171="","",Agent04_Loans!D171)</f>
        <v/>
      </c>
      <c r="E761" s="40" t="str">
        <f>IF(Agent04_Loans!B171="","",Agent04_Loans!E171)</f>
        <v/>
      </c>
      <c r="F761" s="37" t="str">
        <f>IF(Agent04_Loans!B171="","",Agent04_Loans!F171)</f>
        <v/>
      </c>
      <c r="G761" s="37" t="str">
        <f>IF(Agent04_Loans!B171="","",Agent04_Loans!G171)</f>
        <v/>
      </c>
      <c r="H761" s="37" t="str">
        <f>IF(Agent04_Loans!B171="","",Agent04_Loans!H171)</f>
        <v/>
      </c>
      <c r="I761" s="40" t="str">
        <f>IF(Agent04_Loans!B171="","",Agent04_Loans!I171)</f>
        <v/>
      </c>
      <c r="J761" s="40" t="str">
        <f>IF(Agent04_Loans!B171="","",Agent04_Loans!J171)</f>
        <v/>
      </c>
      <c r="K761" s="37" t="str">
        <f>IF(Agent04_Loans!B171="","",Agent04_Loans!K171)</f>
        <v/>
      </c>
      <c r="L761" s="37" t="str">
        <f>IF(Agent04_Loans!B171="","",Agent04_Loans!L171)</f>
        <v/>
      </c>
      <c r="M761" s="37" t="str">
        <f>IFERROR(IF(Agent04_Loans!B171="","",YEAR(Agent04_Loans!D171)),"")</f>
        <v/>
      </c>
    </row>
    <row r="762" spans="1:13" ht="18" customHeight="1" x14ac:dyDescent="0.25">
      <c r="A762" s="37" t="str">
        <f>IF(Agent04_Loans!B172="","",Agent04_Loans!A172)</f>
        <v/>
      </c>
      <c r="B762" s="37" t="str">
        <f>IF(Agent04_Loans!B172="","",Agent04_Loans!B172)</f>
        <v/>
      </c>
      <c r="C762" s="37" t="str">
        <f>IF(Agent04_Loans!B172="","",Agent04_Loans!C172)</f>
        <v/>
      </c>
      <c r="D762" s="38" t="str">
        <f>IF(Agent04_Loans!B172="","",Agent04_Loans!D172)</f>
        <v/>
      </c>
      <c r="E762" s="40" t="str">
        <f>IF(Agent04_Loans!B172="","",Agent04_Loans!E172)</f>
        <v/>
      </c>
      <c r="F762" s="37" t="str">
        <f>IF(Agent04_Loans!B172="","",Agent04_Loans!F172)</f>
        <v/>
      </c>
      <c r="G762" s="37" t="str">
        <f>IF(Agent04_Loans!B172="","",Agent04_Loans!G172)</f>
        <v/>
      </c>
      <c r="H762" s="37" t="str">
        <f>IF(Agent04_Loans!B172="","",Agent04_Loans!H172)</f>
        <v/>
      </c>
      <c r="I762" s="40" t="str">
        <f>IF(Agent04_Loans!B172="","",Agent04_Loans!I172)</f>
        <v/>
      </c>
      <c r="J762" s="40" t="str">
        <f>IF(Agent04_Loans!B172="","",Agent04_Loans!J172)</f>
        <v/>
      </c>
      <c r="K762" s="37" t="str">
        <f>IF(Agent04_Loans!B172="","",Agent04_Loans!K172)</f>
        <v/>
      </c>
      <c r="L762" s="37" t="str">
        <f>IF(Agent04_Loans!B172="","",Agent04_Loans!L172)</f>
        <v/>
      </c>
      <c r="M762" s="37" t="str">
        <f>IFERROR(IF(Agent04_Loans!B172="","",YEAR(Agent04_Loans!D172)),"")</f>
        <v/>
      </c>
    </row>
    <row r="763" spans="1:13" ht="18" customHeight="1" x14ac:dyDescent="0.25">
      <c r="A763" s="37" t="str">
        <f>IF(Agent04_Loans!B173="","",Agent04_Loans!A173)</f>
        <v/>
      </c>
      <c r="B763" s="37" t="str">
        <f>IF(Agent04_Loans!B173="","",Agent04_Loans!B173)</f>
        <v/>
      </c>
      <c r="C763" s="37" t="str">
        <f>IF(Agent04_Loans!B173="","",Agent04_Loans!C173)</f>
        <v/>
      </c>
      <c r="D763" s="38" t="str">
        <f>IF(Agent04_Loans!B173="","",Agent04_Loans!D173)</f>
        <v/>
      </c>
      <c r="E763" s="40" t="str">
        <f>IF(Agent04_Loans!B173="","",Agent04_Loans!E173)</f>
        <v/>
      </c>
      <c r="F763" s="37" t="str">
        <f>IF(Agent04_Loans!B173="","",Agent04_Loans!F173)</f>
        <v/>
      </c>
      <c r="G763" s="37" t="str">
        <f>IF(Agent04_Loans!B173="","",Agent04_Loans!G173)</f>
        <v/>
      </c>
      <c r="H763" s="37" t="str">
        <f>IF(Agent04_Loans!B173="","",Agent04_Loans!H173)</f>
        <v/>
      </c>
      <c r="I763" s="40" t="str">
        <f>IF(Agent04_Loans!B173="","",Agent04_Loans!I173)</f>
        <v/>
      </c>
      <c r="J763" s="40" t="str">
        <f>IF(Agent04_Loans!B173="","",Agent04_Loans!J173)</f>
        <v/>
      </c>
      <c r="K763" s="37" t="str">
        <f>IF(Agent04_Loans!B173="","",Agent04_Loans!K173)</f>
        <v/>
      </c>
      <c r="L763" s="37" t="str">
        <f>IF(Agent04_Loans!B173="","",Agent04_Loans!L173)</f>
        <v/>
      </c>
      <c r="M763" s="37" t="str">
        <f>IFERROR(IF(Agent04_Loans!B173="","",YEAR(Agent04_Loans!D173)),"")</f>
        <v/>
      </c>
    </row>
    <row r="764" spans="1:13" ht="18" customHeight="1" x14ac:dyDescent="0.25">
      <c r="A764" s="37" t="str">
        <f>IF(Agent04_Loans!B174="","",Agent04_Loans!A174)</f>
        <v/>
      </c>
      <c r="B764" s="37" t="str">
        <f>IF(Agent04_Loans!B174="","",Agent04_Loans!B174)</f>
        <v/>
      </c>
      <c r="C764" s="37" t="str">
        <f>IF(Agent04_Loans!B174="","",Agent04_Loans!C174)</f>
        <v/>
      </c>
      <c r="D764" s="38" t="str">
        <f>IF(Agent04_Loans!B174="","",Agent04_Loans!D174)</f>
        <v/>
      </c>
      <c r="E764" s="40" t="str">
        <f>IF(Agent04_Loans!B174="","",Agent04_Loans!E174)</f>
        <v/>
      </c>
      <c r="F764" s="37" t="str">
        <f>IF(Agent04_Loans!B174="","",Agent04_Loans!F174)</f>
        <v/>
      </c>
      <c r="G764" s="37" t="str">
        <f>IF(Agent04_Loans!B174="","",Agent04_Loans!G174)</f>
        <v/>
      </c>
      <c r="H764" s="37" t="str">
        <f>IF(Agent04_Loans!B174="","",Agent04_Loans!H174)</f>
        <v/>
      </c>
      <c r="I764" s="40" t="str">
        <f>IF(Agent04_Loans!B174="","",Agent04_Loans!I174)</f>
        <v/>
      </c>
      <c r="J764" s="40" t="str">
        <f>IF(Agent04_Loans!B174="","",Agent04_Loans!J174)</f>
        <v/>
      </c>
      <c r="K764" s="37" t="str">
        <f>IF(Agent04_Loans!B174="","",Agent04_Loans!K174)</f>
        <v/>
      </c>
      <c r="L764" s="37" t="str">
        <f>IF(Agent04_Loans!B174="","",Agent04_Loans!L174)</f>
        <v/>
      </c>
      <c r="M764" s="37" t="str">
        <f>IFERROR(IF(Agent04_Loans!B174="","",YEAR(Agent04_Loans!D174)),"")</f>
        <v/>
      </c>
    </row>
    <row r="765" spans="1:13" ht="18" customHeight="1" x14ac:dyDescent="0.25">
      <c r="A765" s="37" t="str">
        <f>IF(Agent04_Loans!B175="","",Agent04_Loans!A175)</f>
        <v/>
      </c>
      <c r="B765" s="37" t="str">
        <f>IF(Agent04_Loans!B175="","",Agent04_Loans!B175)</f>
        <v/>
      </c>
      <c r="C765" s="37" t="str">
        <f>IF(Agent04_Loans!B175="","",Agent04_Loans!C175)</f>
        <v/>
      </c>
      <c r="D765" s="38" t="str">
        <f>IF(Agent04_Loans!B175="","",Agent04_Loans!D175)</f>
        <v/>
      </c>
      <c r="E765" s="40" t="str">
        <f>IF(Agent04_Loans!B175="","",Agent04_Loans!E175)</f>
        <v/>
      </c>
      <c r="F765" s="37" t="str">
        <f>IF(Agent04_Loans!B175="","",Agent04_Loans!F175)</f>
        <v/>
      </c>
      <c r="G765" s="37" t="str">
        <f>IF(Agent04_Loans!B175="","",Agent04_Loans!G175)</f>
        <v/>
      </c>
      <c r="H765" s="37" t="str">
        <f>IF(Agent04_Loans!B175="","",Agent04_Loans!H175)</f>
        <v/>
      </c>
      <c r="I765" s="40" t="str">
        <f>IF(Agent04_Loans!B175="","",Agent04_Loans!I175)</f>
        <v/>
      </c>
      <c r="J765" s="40" t="str">
        <f>IF(Agent04_Loans!B175="","",Agent04_Loans!J175)</f>
        <v/>
      </c>
      <c r="K765" s="37" t="str">
        <f>IF(Agent04_Loans!B175="","",Agent04_Loans!K175)</f>
        <v/>
      </c>
      <c r="L765" s="37" t="str">
        <f>IF(Agent04_Loans!B175="","",Agent04_Loans!L175)</f>
        <v/>
      </c>
      <c r="M765" s="37" t="str">
        <f>IFERROR(IF(Agent04_Loans!B175="","",YEAR(Agent04_Loans!D175)),"")</f>
        <v/>
      </c>
    </row>
    <row r="766" spans="1:13" ht="18" customHeight="1" x14ac:dyDescent="0.25">
      <c r="A766" s="37" t="str">
        <f>IF(Agent04_Loans!B176="","",Agent04_Loans!A176)</f>
        <v/>
      </c>
      <c r="B766" s="37" t="str">
        <f>IF(Agent04_Loans!B176="","",Agent04_Loans!B176)</f>
        <v/>
      </c>
      <c r="C766" s="37" t="str">
        <f>IF(Agent04_Loans!B176="","",Agent04_Loans!C176)</f>
        <v/>
      </c>
      <c r="D766" s="38" t="str">
        <f>IF(Agent04_Loans!B176="","",Agent04_Loans!D176)</f>
        <v/>
      </c>
      <c r="E766" s="40" t="str">
        <f>IF(Agent04_Loans!B176="","",Agent04_Loans!E176)</f>
        <v/>
      </c>
      <c r="F766" s="37" t="str">
        <f>IF(Agent04_Loans!B176="","",Agent04_Loans!F176)</f>
        <v/>
      </c>
      <c r="G766" s="37" t="str">
        <f>IF(Agent04_Loans!B176="","",Agent04_Loans!G176)</f>
        <v/>
      </c>
      <c r="H766" s="37" t="str">
        <f>IF(Agent04_Loans!B176="","",Agent04_Loans!H176)</f>
        <v/>
      </c>
      <c r="I766" s="40" t="str">
        <f>IF(Agent04_Loans!B176="","",Agent04_Loans!I176)</f>
        <v/>
      </c>
      <c r="J766" s="40" t="str">
        <f>IF(Agent04_Loans!B176="","",Agent04_Loans!J176)</f>
        <v/>
      </c>
      <c r="K766" s="37" t="str">
        <f>IF(Agent04_Loans!B176="","",Agent04_Loans!K176)</f>
        <v/>
      </c>
      <c r="L766" s="37" t="str">
        <f>IF(Agent04_Loans!B176="","",Agent04_Loans!L176)</f>
        <v/>
      </c>
      <c r="M766" s="37" t="str">
        <f>IFERROR(IF(Agent04_Loans!B176="","",YEAR(Agent04_Loans!D176)),"")</f>
        <v/>
      </c>
    </row>
    <row r="767" spans="1:13" ht="18" customHeight="1" x14ac:dyDescent="0.25">
      <c r="A767" s="37" t="str">
        <f>IF(Agent04_Loans!B177="","",Agent04_Loans!A177)</f>
        <v/>
      </c>
      <c r="B767" s="37" t="str">
        <f>IF(Agent04_Loans!B177="","",Agent04_Loans!B177)</f>
        <v/>
      </c>
      <c r="C767" s="37" t="str">
        <f>IF(Agent04_Loans!B177="","",Agent04_Loans!C177)</f>
        <v/>
      </c>
      <c r="D767" s="38" t="str">
        <f>IF(Agent04_Loans!B177="","",Agent04_Loans!D177)</f>
        <v/>
      </c>
      <c r="E767" s="40" t="str">
        <f>IF(Agent04_Loans!B177="","",Agent04_Loans!E177)</f>
        <v/>
      </c>
      <c r="F767" s="37" t="str">
        <f>IF(Agent04_Loans!B177="","",Agent04_Loans!F177)</f>
        <v/>
      </c>
      <c r="G767" s="37" t="str">
        <f>IF(Agent04_Loans!B177="","",Agent04_Loans!G177)</f>
        <v/>
      </c>
      <c r="H767" s="37" t="str">
        <f>IF(Agent04_Loans!B177="","",Agent04_Loans!H177)</f>
        <v/>
      </c>
      <c r="I767" s="40" t="str">
        <f>IF(Agent04_Loans!B177="","",Agent04_Loans!I177)</f>
        <v/>
      </c>
      <c r="J767" s="40" t="str">
        <f>IF(Agent04_Loans!B177="","",Agent04_Loans!J177)</f>
        <v/>
      </c>
      <c r="K767" s="37" t="str">
        <f>IF(Agent04_Loans!B177="","",Agent04_Loans!K177)</f>
        <v/>
      </c>
      <c r="L767" s="37" t="str">
        <f>IF(Agent04_Loans!B177="","",Agent04_Loans!L177)</f>
        <v/>
      </c>
      <c r="M767" s="37" t="str">
        <f>IFERROR(IF(Agent04_Loans!B177="","",YEAR(Agent04_Loans!D177)),"")</f>
        <v/>
      </c>
    </row>
    <row r="768" spans="1:13" ht="18" customHeight="1" x14ac:dyDescent="0.25">
      <c r="A768" s="37" t="str">
        <f>IF(Agent04_Loans!B178="","",Agent04_Loans!A178)</f>
        <v/>
      </c>
      <c r="B768" s="37" t="str">
        <f>IF(Agent04_Loans!B178="","",Agent04_Loans!B178)</f>
        <v/>
      </c>
      <c r="C768" s="37" t="str">
        <f>IF(Agent04_Loans!B178="","",Agent04_Loans!C178)</f>
        <v/>
      </c>
      <c r="D768" s="38" t="str">
        <f>IF(Agent04_Loans!B178="","",Agent04_Loans!D178)</f>
        <v/>
      </c>
      <c r="E768" s="40" t="str">
        <f>IF(Agent04_Loans!B178="","",Agent04_Loans!E178)</f>
        <v/>
      </c>
      <c r="F768" s="37" t="str">
        <f>IF(Agent04_Loans!B178="","",Agent04_Loans!F178)</f>
        <v/>
      </c>
      <c r="G768" s="37" t="str">
        <f>IF(Agent04_Loans!B178="","",Agent04_Loans!G178)</f>
        <v/>
      </c>
      <c r="H768" s="37" t="str">
        <f>IF(Agent04_Loans!B178="","",Agent04_Loans!H178)</f>
        <v/>
      </c>
      <c r="I768" s="40" t="str">
        <f>IF(Agent04_Loans!B178="","",Agent04_Loans!I178)</f>
        <v/>
      </c>
      <c r="J768" s="40" t="str">
        <f>IF(Agent04_Loans!B178="","",Agent04_Loans!J178)</f>
        <v/>
      </c>
      <c r="K768" s="37" t="str">
        <f>IF(Agent04_Loans!B178="","",Agent04_Loans!K178)</f>
        <v/>
      </c>
      <c r="L768" s="37" t="str">
        <f>IF(Agent04_Loans!B178="","",Agent04_Loans!L178)</f>
        <v/>
      </c>
      <c r="M768" s="37" t="str">
        <f>IFERROR(IF(Agent04_Loans!B178="","",YEAR(Agent04_Loans!D178)),"")</f>
        <v/>
      </c>
    </row>
    <row r="769" spans="1:13" ht="18" customHeight="1" x14ac:dyDescent="0.25">
      <c r="A769" s="37" t="str">
        <f>IF(Agent04_Loans!B179="","",Agent04_Loans!A179)</f>
        <v/>
      </c>
      <c r="B769" s="37" t="str">
        <f>IF(Agent04_Loans!B179="","",Agent04_Loans!B179)</f>
        <v/>
      </c>
      <c r="C769" s="37" t="str">
        <f>IF(Agent04_Loans!B179="","",Agent04_Loans!C179)</f>
        <v/>
      </c>
      <c r="D769" s="38" t="str">
        <f>IF(Agent04_Loans!B179="","",Agent04_Loans!D179)</f>
        <v/>
      </c>
      <c r="E769" s="40" t="str">
        <f>IF(Agent04_Loans!B179="","",Agent04_Loans!E179)</f>
        <v/>
      </c>
      <c r="F769" s="37" t="str">
        <f>IF(Agent04_Loans!B179="","",Agent04_Loans!F179)</f>
        <v/>
      </c>
      <c r="G769" s="37" t="str">
        <f>IF(Agent04_Loans!B179="","",Agent04_Loans!G179)</f>
        <v/>
      </c>
      <c r="H769" s="37" t="str">
        <f>IF(Agent04_Loans!B179="","",Agent04_Loans!H179)</f>
        <v/>
      </c>
      <c r="I769" s="40" t="str">
        <f>IF(Agent04_Loans!B179="","",Agent04_Loans!I179)</f>
        <v/>
      </c>
      <c r="J769" s="40" t="str">
        <f>IF(Agent04_Loans!B179="","",Agent04_Loans!J179)</f>
        <v/>
      </c>
      <c r="K769" s="37" t="str">
        <f>IF(Agent04_Loans!B179="","",Agent04_Loans!K179)</f>
        <v/>
      </c>
      <c r="L769" s="37" t="str">
        <f>IF(Agent04_Loans!B179="","",Agent04_Loans!L179)</f>
        <v/>
      </c>
      <c r="M769" s="37" t="str">
        <f>IFERROR(IF(Agent04_Loans!B179="","",YEAR(Agent04_Loans!D179)),"")</f>
        <v/>
      </c>
    </row>
    <row r="770" spans="1:13" ht="18" customHeight="1" x14ac:dyDescent="0.25">
      <c r="A770" s="37" t="str">
        <f>IF(Agent04_Loans!B180="","",Agent04_Loans!A180)</f>
        <v/>
      </c>
      <c r="B770" s="37" t="str">
        <f>IF(Agent04_Loans!B180="","",Agent04_Loans!B180)</f>
        <v/>
      </c>
      <c r="C770" s="37" t="str">
        <f>IF(Agent04_Loans!B180="","",Agent04_Loans!C180)</f>
        <v/>
      </c>
      <c r="D770" s="38" t="str">
        <f>IF(Agent04_Loans!B180="","",Agent04_Loans!D180)</f>
        <v/>
      </c>
      <c r="E770" s="40" t="str">
        <f>IF(Agent04_Loans!B180="","",Agent04_Loans!E180)</f>
        <v/>
      </c>
      <c r="F770" s="37" t="str">
        <f>IF(Agent04_Loans!B180="","",Agent04_Loans!F180)</f>
        <v/>
      </c>
      <c r="G770" s="37" t="str">
        <f>IF(Agent04_Loans!B180="","",Agent04_Loans!G180)</f>
        <v/>
      </c>
      <c r="H770" s="37" t="str">
        <f>IF(Agent04_Loans!B180="","",Agent04_Loans!H180)</f>
        <v/>
      </c>
      <c r="I770" s="40" t="str">
        <f>IF(Agent04_Loans!B180="","",Agent04_Loans!I180)</f>
        <v/>
      </c>
      <c r="J770" s="40" t="str">
        <f>IF(Agent04_Loans!B180="","",Agent04_Loans!J180)</f>
        <v/>
      </c>
      <c r="K770" s="37" t="str">
        <f>IF(Agent04_Loans!B180="","",Agent04_Loans!K180)</f>
        <v/>
      </c>
      <c r="L770" s="37" t="str">
        <f>IF(Agent04_Loans!B180="","",Agent04_Loans!L180)</f>
        <v/>
      </c>
      <c r="M770" s="37" t="str">
        <f>IFERROR(IF(Agent04_Loans!B180="","",YEAR(Agent04_Loans!D180)),"")</f>
        <v/>
      </c>
    </row>
    <row r="771" spans="1:13" ht="18" customHeight="1" x14ac:dyDescent="0.25">
      <c r="A771" s="37" t="str">
        <f>IF(Agent04_Loans!B181="","",Agent04_Loans!A181)</f>
        <v/>
      </c>
      <c r="B771" s="37" t="str">
        <f>IF(Agent04_Loans!B181="","",Agent04_Loans!B181)</f>
        <v/>
      </c>
      <c r="C771" s="37" t="str">
        <f>IF(Agent04_Loans!B181="","",Agent04_Loans!C181)</f>
        <v/>
      </c>
      <c r="D771" s="38" t="str">
        <f>IF(Agent04_Loans!B181="","",Agent04_Loans!D181)</f>
        <v/>
      </c>
      <c r="E771" s="40" t="str">
        <f>IF(Agent04_Loans!B181="","",Agent04_Loans!E181)</f>
        <v/>
      </c>
      <c r="F771" s="37" t="str">
        <f>IF(Agent04_Loans!B181="","",Agent04_Loans!F181)</f>
        <v/>
      </c>
      <c r="G771" s="37" t="str">
        <f>IF(Agent04_Loans!B181="","",Agent04_Loans!G181)</f>
        <v/>
      </c>
      <c r="H771" s="37" t="str">
        <f>IF(Agent04_Loans!B181="","",Agent04_Loans!H181)</f>
        <v/>
      </c>
      <c r="I771" s="40" t="str">
        <f>IF(Agent04_Loans!B181="","",Agent04_Loans!I181)</f>
        <v/>
      </c>
      <c r="J771" s="40" t="str">
        <f>IF(Agent04_Loans!B181="","",Agent04_Loans!J181)</f>
        <v/>
      </c>
      <c r="K771" s="37" t="str">
        <f>IF(Agent04_Loans!B181="","",Agent04_Loans!K181)</f>
        <v/>
      </c>
      <c r="L771" s="37" t="str">
        <f>IF(Agent04_Loans!B181="","",Agent04_Loans!L181)</f>
        <v/>
      </c>
      <c r="M771" s="37" t="str">
        <f>IFERROR(IF(Agent04_Loans!B181="","",YEAR(Agent04_Loans!D181)),"")</f>
        <v/>
      </c>
    </row>
    <row r="772" spans="1:13" ht="18" customHeight="1" x14ac:dyDescent="0.25">
      <c r="A772" s="37" t="str">
        <f>IF(Agent04_Loans!B182="","",Agent04_Loans!A182)</f>
        <v/>
      </c>
      <c r="B772" s="37" t="str">
        <f>IF(Agent04_Loans!B182="","",Agent04_Loans!B182)</f>
        <v/>
      </c>
      <c r="C772" s="37" t="str">
        <f>IF(Agent04_Loans!B182="","",Agent04_Loans!C182)</f>
        <v/>
      </c>
      <c r="D772" s="38" t="str">
        <f>IF(Agent04_Loans!B182="","",Agent04_Loans!D182)</f>
        <v/>
      </c>
      <c r="E772" s="40" t="str">
        <f>IF(Agent04_Loans!B182="","",Agent04_Loans!E182)</f>
        <v/>
      </c>
      <c r="F772" s="37" t="str">
        <f>IF(Agent04_Loans!B182="","",Agent04_Loans!F182)</f>
        <v/>
      </c>
      <c r="G772" s="37" t="str">
        <f>IF(Agent04_Loans!B182="","",Agent04_Loans!G182)</f>
        <v/>
      </c>
      <c r="H772" s="37" t="str">
        <f>IF(Agent04_Loans!B182="","",Agent04_Loans!H182)</f>
        <v/>
      </c>
      <c r="I772" s="40" t="str">
        <f>IF(Agent04_Loans!B182="","",Agent04_Loans!I182)</f>
        <v/>
      </c>
      <c r="J772" s="40" t="str">
        <f>IF(Agent04_Loans!B182="","",Agent04_Loans!J182)</f>
        <v/>
      </c>
      <c r="K772" s="37" t="str">
        <f>IF(Agent04_Loans!B182="","",Agent04_Loans!K182)</f>
        <v/>
      </c>
      <c r="L772" s="37" t="str">
        <f>IF(Agent04_Loans!B182="","",Agent04_Loans!L182)</f>
        <v/>
      </c>
      <c r="M772" s="37" t="str">
        <f>IFERROR(IF(Agent04_Loans!B182="","",YEAR(Agent04_Loans!D182)),"")</f>
        <v/>
      </c>
    </row>
    <row r="773" spans="1:13" ht="18" customHeight="1" x14ac:dyDescent="0.25">
      <c r="A773" s="37" t="str">
        <f>IF(Agent04_Loans!B183="","",Agent04_Loans!A183)</f>
        <v/>
      </c>
      <c r="B773" s="37" t="str">
        <f>IF(Agent04_Loans!B183="","",Agent04_Loans!B183)</f>
        <v/>
      </c>
      <c r="C773" s="37" t="str">
        <f>IF(Agent04_Loans!B183="","",Agent04_Loans!C183)</f>
        <v/>
      </c>
      <c r="D773" s="38" t="str">
        <f>IF(Agent04_Loans!B183="","",Agent04_Loans!D183)</f>
        <v/>
      </c>
      <c r="E773" s="40" t="str">
        <f>IF(Agent04_Loans!B183="","",Agent04_Loans!E183)</f>
        <v/>
      </c>
      <c r="F773" s="37" t="str">
        <f>IF(Agent04_Loans!B183="","",Agent04_Loans!F183)</f>
        <v/>
      </c>
      <c r="G773" s="37" t="str">
        <f>IF(Agent04_Loans!B183="","",Agent04_Loans!G183)</f>
        <v/>
      </c>
      <c r="H773" s="37" t="str">
        <f>IF(Agent04_Loans!B183="","",Agent04_Loans!H183)</f>
        <v/>
      </c>
      <c r="I773" s="40" t="str">
        <f>IF(Agent04_Loans!B183="","",Agent04_Loans!I183)</f>
        <v/>
      </c>
      <c r="J773" s="40" t="str">
        <f>IF(Agent04_Loans!B183="","",Agent04_Loans!J183)</f>
        <v/>
      </c>
      <c r="K773" s="37" t="str">
        <f>IF(Agent04_Loans!B183="","",Agent04_Loans!K183)</f>
        <v/>
      </c>
      <c r="L773" s="37" t="str">
        <f>IF(Agent04_Loans!B183="","",Agent04_Loans!L183)</f>
        <v/>
      </c>
      <c r="M773" s="37" t="str">
        <f>IFERROR(IF(Agent04_Loans!B183="","",YEAR(Agent04_Loans!D183)),"")</f>
        <v/>
      </c>
    </row>
    <row r="774" spans="1:13" ht="18" customHeight="1" x14ac:dyDescent="0.25">
      <c r="A774" s="37" t="str">
        <f>IF(Agent04_Loans!B184="","",Agent04_Loans!A184)</f>
        <v/>
      </c>
      <c r="B774" s="37" t="str">
        <f>IF(Agent04_Loans!B184="","",Agent04_Loans!B184)</f>
        <v/>
      </c>
      <c r="C774" s="37" t="str">
        <f>IF(Agent04_Loans!B184="","",Agent04_Loans!C184)</f>
        <v/>
      </c>
      <c r="D774" s="38" t="str">
        <f>IF(Agent04_Loans!B184="","",Agent04_Loans!D184)</f>
        <v/>
      </c>
      <c r="E774" s="40" t="str">
        <f>IF(Agent04_Loans!B184="","",Agent04_Loans!E184)</f>
        <v/>
      </c>
      <c r="F774" s="37" t="str">
        <f>IF(Agent04_Loans!B184="","",Agent04_Loans!F184)</f>
        <v/>
      </c>
      <c r="G774" s="37" t="str">
        <f>IF(Agent04_Loans!B184="","",Agent04_Loans!G184)</f>
        <v/>
      </c>
      <c r="H774" s="37" t="str">
        <f>IF(Agent04_Loans!B184="","",Agent04_Loans!H184)</f>
        <v/>
      </c>
      <c r="I774" s="40" t="str">
        <f>IF(Agent04_Loans!B184="","",Agent04_Loans!I184)</f>
        <v/>
      </c>
      <c r="J774" s="40" t="str">
        <f>IF(Agent04_Loans!B184="","",Agent04_Loans!J184)</f>
        <v/>
      </c>
      <c r="K774" s="37" t="str">
        <f>IF(Agent04_Loans!B184="","",Agent04_Loans!K184)</f>
        <v/>
      </c>
      <c r="L774" s="37" t="str">
        <f>IF(Agent04_Loans!B184="","",Agent04_Loans!L184)</f>
        <v/>
      </c>
      <c r="M774" s="37" t="str">
        <f>IFERROR(IF(Agent04_Loans!B184="","",YEAR(Agent04_Loans!D184)),"")</f>
        <v/>
      </c>
    </row>
    <row r="775" spans="1:13" ht="18" customHeight="1" x14ac:dyDescent="0.25">
      <c r="A775" s="37" t="str">
        <f>IF(Agent04_Loans!B185="","",Agent04_Loans!A185)</f>
        <v/>
      </c>
      <c r="B775" s="37" t="str">
        <f>IF(Agent04_Loans!B185="","",Agent04_Loans!B185)</f>
        <v/>
      </c>
      <c r="C775" s="37" t="str">
        <f>IF(Agent04_Loans!B185="","",Agent04_Loans!C185)</f>
        <v/>
      </c>
      <c r="D775" s="38" t="str">
        <f>IF(Agent04_Loans!B185="","",Agent04_Loans!D185)</f>
        <v/>
      </c>
      <c r="E775" s="40" t="str">
        <f>IF(Agent04_Loans!B185="","",Agent04_Loans!E185)</f>
        <v/>
      </c>
      <c r="F775" s="37" t="str">
        <f>IF(Agent04_Loans!B185="","",Agent04_Loans!F185)</f>
        <v/>
      </c>
      <c r="G775" s="37" t="str">
        <f>IF(Agent04_Loans!B185="","",Agent04_Loans!G185)</f>
        <v/>
      </c>
      <c r="H775" s="37" t="str">
        <f>IF(Agent04_Loans!B185="","",Agent04_Loans!H185)</f>
        <v/>
      </c>
      <c r="I775" s="40" t="str">
        <f>IF(Agent04_Loans!B185="","",Agent04_Loans!I185)</f>
        <v/>
      </c>
      <c r="J775" s="40" t="str">
        <f>IF(Agent04_Loans!B185="","",Agent04_Loans!J185)</f>
        <v/>
      </c>
      <c r="K775" s="37" t="str">
        <f>IF(Agent04_Loans!B185="","",Agent04_Loans!K185)</f>
        <v/>
      </c>
      <c r="L775" s="37" t="str">
        <f>IF(Agent04_Loans!B185="","",Agent04_Loans!L185)</f>
        <v/>
      </c>
      <c r="M775" s="37" t="str">
        <f>IFERROR(IF(Agent04_Loans!B185="","",YEAR(Agent04_Loans!D185)),"")</f>
        <v/>
      </c>
    </row>
    <row r="776" spans="1:13" ht="18" customHeight="1" x14ac:dyDescent="0.25">
      <c r="A776" s="37" t="str">
        <f>IF(Agent04_Loans!B186="","",Agent04_Loans!A186)</f>
        <v/>
      </c>
      <c r="B776" s="37" t="str">
        <f>IF(Agent04_Loans!B186="","",Agent04_Loans!B186)</f>
        <v/>
      </c>
      <c r="C776" s="37" t="str">
        <f>IF(Agent04_Loans!B186="","",Agent04_Loans!C186)</f>
        <v/>
      </c>
      <c r="D776" s="38" t="str">
        <f>IF(Agent04_Loans!B186="","",Agent04_Loans!D186)</f>
        <v/>
      </c>
      <c r="E776" s="40" t="str">
        <f>IF(Agent04_Loans!B186="","",Agent04_Loans!E186)</f>
        <v/>
      </c>
      <c r="F776" s="37" t="str">
        <f>IF(Agent04_Loans!B186="","",Agent04_Loans!F186)</f>
        <v/>
      </c>
      <c r="G776" s="37" t="str">
        <f>IF(Agent04_Loans!B186="","",Agent04_Loans!G186)</f>
        <v/>
      </c>
      <c r="H776" s="37" t="str">
        <f>IF(Agent04_Loans!B186="","",Agent04_Loans!H186)</f>
        <v/>
      </c>
      <c r="I776" s="40" t="str">
        <f>IF(Agent04_Loans!B186="","",Agent04_Loans!I186)</f>
        <v/>
      </c>
      <c r="J776" s="40" t="str">
        <f>IF(Agent04_Loans!B186="","",Agent04_Loans!J186)</f>
        <v/>
      </c>
      <c r="K776" s="37" t="str">
        <f>IF(Agent04_Loans!B186="","",Agent04_Loans!K186)</f>
        <v/>
      </c>
      <c r="L776" s="37" t="str">
        <f>IF(Agent04_Loans!B186="","",Agent04_Loans!L186)</f>
        <v/>
      </c>
      <c r="M776" s="37" t="str">
        <f>IFERROR(IF(Agent04_Loans!B186="","",YEAR(Agent04_Loans!D186)),"")</f>
        <v/>
      </c>
    </row>
    <row r="777" spans="1:13" ht="18" customHeight="1" x14ac:dyDescent="0.25">
      <c r="A777" s="37" t="str">
        <f>IF(Agent04_Loans!B187="","",Agent04_Loans!A187)</f>
        <v/>
      </c>
      <c r="B777" s="37" t="str">
        <f>IF(Agent04_Loans!B187="","",Agent04_Loans!B187)</f>
        <v/>
      </c>
      <c r="C777" s="37" t="str">
        <f>IF(Agent04_Loans!B187="","",Agent04_Loans!C187)</f>
        <v/>
      </c>
      <c r="D777" s="38" t="str">
        <f>IF(Agent04_Loans!B187="","",Agent04_Loans!D187)</f>
        <v/>
      </c>
      <c r="E777" s="40" t="str">
        <f>IF(Agent04_Loans!B187="","",Agent04_Loans!E187)</f>
        <v/>
      </c>
      <c r="F777" s="37" t="str">
        <f>IF(Agent04_Loans!B187="","",Agent04_Loans!F187)</f>
        <v/>
      </c>
      <c r="G777" s="37" t="str">
        <f>IF(Agent04_Loans!B187="","",Agent04_Loans!G187)</f>
        <v/>
      </c>
      <c r="H777" s="37" t="str">
        <f>IF(Agent04_Loans!B187="","",Agent04_Loans!H187)</f>
        <v/>
      </c>
      <c r="I777" s="40" t="str">
        <f>IF(Agent04_Loans!B187="","",Agent04_Loans!I187)</f>
        <v/>
      </c>
      <c r="J777" s="40" t="str">
        <f>IF(Agent04_Loans!B187="","",Agent04_Loans!J187)</f>
        <v/>
      </c>
      <c r="K777" s="37" t="str">
        <f>IF(Agent04_Loans!B187="","",Agent04_Loans!K187)</f>
        <v/>
      </c>
      <c r="L777" s="37" t="str">
        <f>IF(Agent04_Loans!B187="","",Agent04_Loans!L187)</f>
        <v/>
      </c>
      <c r="M777" s="37" t="str">
        <f>IFERROR(IF(Agent04_Loans!B187="","",YEAR(Agent04_Loans!D187)),"")</f>
        <v/>
      </c>
    </row>
    <row r="778" spans="1:13" ht="18" customHeight="1" x14ac:dyDescent="0.25">
      <c r="A778" s="37" t="str">
        <f>IF(Agent04_Loans!B188="","",Agent04_Loans!A188)</f>
        <v/>
      </c>
      <c r="B778" s="37" t="str">
        <f>IF(Agent04_Loans!B188="","",Agent04_Loans!B188)</f>
        <v/>
      </c>
      <c r="C778" s="37" t="str">
        <f>IF(Agent04_Loans!B188="","",Agent04_Loans!C188)</f>
        <v/>
      </c>
      <c r="D778" s="38" t="str">
        <f>IF(Agent04_Loans!B188="","",Agent04_Loans!D188)</f>
        <v/>
      </c>
      <c r="E778" s="40" t="str">
        <f>IF(Agent04_Loans!B188="","",Agent04_Loans!E188)</f>
        <v/>
      </c>
      <c r="F778" s="37" t="str">
        <f>IF(Agent04_Loans!B188="","",Agent04_Loans!F188)</f>
        <v/>
      </c>
      <c r="G778" s="37" t="str">
        <f>IF(Agent04_Loans!B188="","",Agent04_Loans!G188)</f>
        <v/>
      </c>
      <c r="H778" s="37" t="str">
        <f>IF(Agent04_Loans!B188="","",Agent04_Loans!H188)</f>
        <v/>
      </c>
      <c r="I778" s="40" t="str">
        <f>IF(Agent04_Loans!B188="","",Agent04_Loans!I188)</f>
        <v/>
      </c>
      <c r="J778" s="40" t="str">
        <f>IF(Agent04_Loans!B188="","",Agent04_Loans!J188)</f>
        <v/>
      </c>
      <c r="K778" s="37" t="str">
        <f>IF(Agent04_Loans!B188="","",Agent04_Loans!K188)</f>
        <v/>
      </c>
      <c r="L778" s="37" t="str">
        <f>IF(Agent04_Loans!B188="","",Agent04_Loans!L188)</f>
        <v/>
      </c>
      <c r="M778" s="37" t="str">
        <f>IFERROR(IF(Agent04_Loans!B188="","",YEAR(Agent04_Loans!D188)),"")</f>
        <v/>
      </c>
    </row>
    <row r="779" spans="1:13" ht="18" customHeight="1" x14ac:dyDescent="0.25">
      <c r="A779" s="37" t="str">
        <f>IF(Agent04_Loans!B189="","",Agent04_Loans!A189)</f>
        <v/>
      </c>
      <c r="B779" s="37" t="str">
        <f>IF(Agent04_Loans!B189="","",Agent04_Loans!B189)</f>
        <v/>
      </c>
      <c r="C779" s="37" t="str">
        <f>IF(Agent04_Loans!B189="","",Agent04_Loans!C189)</f>
        <v/>
      </c>
      <c r="D779" s="38" t="str">
        <f>IF(Agent04_Loans!B189="","",Agent04_Loans!D189)</f>
        <v/>
      </c>
      <c r="E779" s="40" t="str">
        <f>IF(Agent04_Loans!B189="","",Agent04_Loans!E189)</f>
        <v/>
      </c>
      <c r="F779" s="37" t="str">
        <f>IF(Agent04_Loans!B189="","",Agent04_Loans!F189)</f>
        <v/>
      </c>
      <c r="G779" s="37" t="str">
        <f>IF(Agent04_Loans!B189="","",Agent04_Loans!G189)</f>
        <v/>
      </c>
      <c r="H779" s="37" t="str">
        <f>IF(Agent04_Loans!B189="","",Agent04_Loans!H189)</f>
        <v/>
      </c>
      <c r="I779" s="40" t="str">
        <f>IF(Agent04_Loans!B189="","",Agent04_Loans!I189)</f>
        <v/>
      </c>
      <c r="J779" s="40" t="str">
        <f>IF(Agent04_Loans!B189="","",Agent04_Loans!J189)</f>
        <v/>
      </c>
      <c r="K779" s="37" t="str">
        <f>IF(Agent04_Loans!B189="","",Agent04_Loans!K189)</f>
        <v/>
      </c>
      <c r="L779" s="37" t="str">
        <f>IF(Agent04_Loans!B189="","",Agent04_Loans!L189)</f>
        <v/>
      </c>
      <c r="M779" s="37" t="str">
        <f>IFERROR(IF(Agent04_Loans!B189="","",YEAR(Agent04_Loans!D189)),"")</f>
        <v/>
      </c>
    </row>
    <row r="780" spans="1:13" ht="18" customHeight="1" x14ac:dyDescent="0.25">
      <c r="A780" s="37" t="str">
        <f>IF(Agent04_Loans!B190="","",Agent04_Loans!A190)</f>
        <v/>
      </c>
      <c r="B780" s="37" t="str">
        <f>IF(Agent04_Loans!B190="","",Agent04_Loans!B190)</f>
        <v/>
      </c>
      <c r="C780" s="37" t="str">
        <f>IF(Agent04_Loans!B190="","",Agent04_Loans!C190)</f>
        <v/>
      </c>
      <c r="D780" s="38" t="str">
        <f>IF(Agent04_Loans!B190="","",Agent04_Loans!D190)</f>
        <v/>
      </c>
      <c r="E780" s="40" t="str">
        <f>IF(Agent04_Loans!B190="","",Agent04_Loans!E190)</f>
        <v/>
      </c>
      <c r="F780" s="37" t="str">
        <f>IF(Agent04_Loans!B190="","",Agent04_Loans!F190)</f>
        <v/>
      </c>
      <c r="G780" s="37" t="str">
        <f>IF(Agent04_Loans!B190="","",Agent04_Loans!G190)</f>
        <v/>
      </c>
      <c r="H780" s="37" t="str">
        <f>IF(Agent04_Loans!B190="","",Agent04_Loans!H190)</f>
        <v/>
      </c>
      <c r="I780" s="40" t="str">
        <f>IF(Agent04_Loans!B190="","",Agent04_Loans!I190)</f>
        <v/>
      </c>
      <c r="J780" s="40" t="str">
        <f>IF(Agent04_Loans!B190="","",Agent04_Loans!J190)</f>
        <v/>
      </c>
      <c r="K780" s="37" t="str">
        <f>IF(Agent04_Loans!B190="","",Agent04_Loans!K190)</f>
        <v/>
      </c>
      <c r="L780" s="37" t="str">
        <f>IF(Agent04_Loans!B190="","",Agent04_Loans!L190)</f>
        <v/>
      </c>
      <c r="M780" s="37" t="str">
        <f>IFERROR(IF(Agent04_Loans!B190="","",YEAR(Agent04_Loans!D190)),"")</f>
        <v/>
      </c>
    </row>
    <row r="781" spans="1:13" ht="18" customHeight="1" x14ac:dyDescent="0.25">
      <c r="A781" s="37" t="str">
        <f>IF(Agent04_Loans!B191="","",Agent04_Loans!A191)</f>
        <v/>
      </c>
      <c r="B781" s="37" t="str">
        <f>IF(Agent04_Loans!B191="","",Agent04_Loans!B191)</f>
        <v/>
      </c>
      <c r="C781" s="37" t="str">
        <f>IF(Agent04_Loans!B191="","",Agent04_Loans!C191)</f>
        <v/>
      </c>
      <c r="D781" s="38" t="str">
        <f>IF(Agent04_Loans!B191="","",Agent04_Loans!D191)</f>
        <v/>
      </c>
      <c r="E781" s="40" t="str">
        <f>IF(Agent04_Loans!B191="","",Agent04_Loans!E191)</f>
        <v/>
      </c>
      <c r="F781" s="37" t="str">
        <f>IF(Agent04_Loans!B191="","",Agent04_Loans!F191)</f>
        <v/>
      </c>
      <c r="G781" s="37" t="str">
        <f>IF(Agent04_Loans!B191="","",Agent04_Loans!G191)</f>
        <v/>
      </c>
      <c r="H781" s="37" t="str">
        <f>IF(Agent04_Loans!B191="","",Agent04_Loans!H191)</f>
        <v/>
      </c>
      <c r="I781" s="40" t="str">
        <f>IF(Agent04_Loans!B191="","",Agent04_Loans!I191)</f>
        <v/>
      </c>
      <c r="J781" s="40" t="str">
        <f>IF(Agent04_Loans!B191="","",Agent04_Loans!J191)</f>
        <v/>
      </c>
      <c r="K781" s="37" t="str">
        <f>IF(Agent04_Loans!B191="","",Agent04_Loans!K191)</f>
        <v/>
      </c>
      <c r="L781" s="37" t="str">
        <f>IF(Agent04_Loans!B191="","",Agent04_Loans!L191)</f>
        <v/>
      </c>
      <c r="M781" s="37" t="str">
        <f>IFERROR(IF(Agent04_Loans!B191="","",YEAR(Agent04_Loans!D191)),"")</f>
        <v/>
      </c>
    </row>
    <row r="782" spans="1:13" ht="18" customHeight="1" x14ac:dyDescent="0.25">
      <c r="A782" s="37" t="str">
        <f>IF(Agent04_Loans!B192="","",Agent04_Loans!A192)</f>
        <v/>
      </c>
      <c r="B782" s="37" t="str">
        <f>IF(Agent04_Loans!B192="","",Agent04_Loans!B192)</f>
        <v/>
      </c>
      <c r="C782" s="37" t="str">
        <f>IF(Agent04_Loans!B192="","",Agent04_Loans!C192)</f>
        <v/>
      </c>
      <c r="D782" s="38" t="str">
        <f>IF(Agent04_Loans!B192="","",Agent04_Loans!D192)</f>
        <v/>
      </c>
      <c r="E782" s="40" t="str">
        <f>IF(Agent04_Loans!B192="","",Agent04_Loans!E192)</f>
        <v/>
      </c>
      <c r="F782" s="37" t="str">
        <f>IF(Agent04_Loans!B192="","",Agent04_Loans!F192)</f>
        <v/>
      </c>
      <c r="G782" s="37" t="str">
        <f>IF(Agent04_Loans!B192="","",Agent04_Loans!G192)</f>
        <v/>
      </c>
      <c r="H782" s="37" t="str">
        <f>IF(Agent04_Loans!B192="","",Agent04_Loans!H192)</f>
        <v/>
      </c>
      <c r="I782" s="40" t="str">
        <f>IF(Agent04_Loans!B192="","",Agent04_Loans!I192)</f>
        <v/>
      </c>
      <c r="J782" s="40" t="str">
        <f>IF(Agent04_Loans!B192="","",Agent04_Loans!J192)</f>
        <v/>
      </c>
      <c r="K782" s="37" t="str">
        <f>IF(Agent04_Loans!B192="","",Agent04_Loans!K192)</f>
        <v/>
      </c>
      <c r="L782" s="37" t="str">
        <f>IF(Agent04_Loans!B192="","",Agent04_Loans!L192)</f>
        <v/>
      </c>
      <c r="M782" s="37" t="str">
        <f>IFERROR(IF(Agent04_Loans!B192="","",YEAR(Agent04_Loans!D192)),"")</f>
        <v/>
      </c>
    </row>
    <row r="783" spans="1:13" ht="18" customHeight="1" x14ac:dyDescent="0.25">
      <c r="A783" s="37" t="str">
        <f>IF(Agent04_Loans!B193="","",Agent04_Loans!A193)</f>
        <v/>
      </c>
      <c r="B783" s="37" t="str">
        <f>IF(Agent04_Loans!B193="","",Agent04_Loans!B193)</f>
        <v/>
      </c>
      <c r="C783" s="37" t="str">
        <f>IF(Agent04_Loans!B193="","",Agent04_Loans!C193)</f>
        <v/>
      </c>
      <c r="D783" s="38" t="str">
        <f>IF(Agent04_Loans!B193="","",Agent04_Loans!D193)</f>
        <v/>
      </c>
      <c r="E783" s="40" t="str">
        <f>IF(Agent04_Loans!B193="","",Agent04_Loans!E193)</f>
        <v/>
      </c>
      <c r="F783" s="37" t="str">
        <f>IF(Agent04_Loans!B193="","",Agent04_Loans!F193)</f>
        <v/>
      </c>
      <c r="G783" s="37" t="str">
        <f>IF(Agent04_Loans!B193="","",Agent04_Loans!G193)</f>
        <v/>
      </c>
      <c r="H783" s="37" t="str">
        <f>IF(Agent04_Loans!B193="","",Agent04_Loans!H193)</f>
        <v/>
      </c>
      <c r="I783" s="40" t="str">
        <f>IF(Agent04_Loans!B193="","",Agent04_Loans!I193)</f>
        <v/>
      </c>
      <c r="J783" s="40" t="str">
        <f>IF(Agent04_Loans!B193="","",Agent04_Loans!J193)</f>
        <v/>
      </c>
      <c r="K783" s="37" t="str">
        <f>IF(Agent04_Loans!B193="","",Agent04_Loans!K193)</f>
        <v/>
      </c>
      <c r="L783" s="37" t="str">
        <f>IF(Agent04_Loans!B193="","",Agent04_Loans!L193)</f>
        <v/>
      </c>
      <c r="M783" s="37" t="str">
        <f>IFERROR(IF(Agent04_Loans!B193="","",YEAR(Agent04_Loans!D193)),"")</f>
        <v/>
      </c>
    </row>
    <row r="784" spans="1:13" ht="18" customHeight="1" x14ac:dyDescent="0.25">
      <c r="A784" s="37" t="str">
        <f>IF(Agent04_Loans!B194="","",Agent04_Loans!A194)</f>
        <v/>
      </c>
      <c r="B784" s="37" t="str">
        <f>IF(Agent04_Loans!B194="","",Agent04_Loans!B194)</f>
        <v/>
      </c>
      <c r="C784" s="37" t="str">
        <f>IF(Agent04_Loans!B194="","",Agent04_Loans!C194)</f>
        <v/>
      </c>
      <c r="D784" s="38" t="str">
        <f>IF(Agent04_Loans!B194="","",Agent04_Loans!D194)</f>
        <v/>
      </c>
      <c r="E784" s="40" t="str">
        <f>IF(Agent04_Loans!B194="","",Agent04_Loans!E194)</f>
        <v/>
      </c>
      <c r="F784" s="37" t="str">
        <f>IF(Agent04_Loans!B194="","",Agent04_Loans!F194)</f>
        <v/>
      </c>
      <c r="G784" s="37" t="str">
        <f>IF(Agent04_Loans!B194="","",Agent04_Loans!G194)</f>
        <v/>
      </c>
      <c r="H784" s="37" t="str">
        <f>IF(Agent04_Loans!B194="","",Agent04_Loans!H194)</f>
        <v/>
      </c>
      <c r="I784" s="40" t="str">
        <f>IF(Agent04_Loans!B194="","",Agent04_Loans!I194)</f>
        <v/>
      </c>
      <c r="J784" s="40" t="str">
        <f>IF(Agent04_Loans!B194="","",Agent04_Loans!J194)</f>
        <v/>
      </c>
      <c r="K784" s="37" t="str">
        <f>IF(Agent04_Loans!B194="","",Agent04_Loans!K194)</f>
        <v/>
      </c>
      <c r="L784" s="37" t="str">
        <f>IF(Agent04_Loans!B194="","",Agent04_Loans!L194)</f>
        <v/>
      </c>
      <c r="M784" s="37" t="str">
        <f>IFERROR(IF(Agent04_Loans!B194="","",YEAR(Agent04_Loans!D194)),"")</f>
        <v/>
      </c>
    </row>
    <row r="785" spans="1:13" ht="18" customHeight="1" x14ac:dyDescent="0.25">
      <c r="A785" s="37" t="str">
        <f>IF(Agent04_Loans!B195="","",Agent04_Loans!A195)</f>
        <v/>
      </c>
      <c r="B785" s="37" t="str">
        <f>IF(Agent04_Loans!B195="","",Agent04_Loans!B195)</f>
        <v/>
      </c>
      <c r="C785" s="37" t="str">
        <f>IF(Agent04_Loans!B195="","",Agent04_Loans!C195)</f>
        <v/>
      </c>
      <c r="D785" s="38" t="str">
        <f>IF(Agent04_Loans!B195="","",Agent04_Loans!D195)</f>
        <v/>
      </c>
      <c r="E785" s="40" t="str">
        <f>IF(Agent04_Loans!B195="","",Agent04_Loans!E195)</f>
        <v/>
      </c>
      <c r="F785" s="37" t="str">
        <f>IF(Agent04_Loans!B195="","",Agent04_Loans!F195)</f>
        <v/>
      </c>
      <c r="G785" s="37" t="str">
        <f>IF(Agent04_Loans!B195="","",Agent04_Loans!G195)</f>
        <v/>
      </c>
      <c r="H785" s="37" t="str">
        <f>IF(Agent04_Loans!B195="","",Agent04_Loans!H195)</f>
        <v/>
      </c>
      <c r="I785" s="40" t="str">
        <f>IF(Agent04_Loans!B195="","",Agent04_Loans!I195)</f>
        <v/>
      </c>
      <c r="J785" s="40" t="str">
        <f>IF(Agent04_Loans!B195="","",Agent04_Loans!J195)</f>
        <v/>
      </c>
      <c r="K785" s="37" t="str">
        <f>IF(Agent04_Loans!B195="","",Agent04_Loans!K195)</f>
        <v/>
      </c>
      <c r="L785" s="37" t="str">
        <f>IF(Agent04_Loans!B195="","",Agent04_Loans!L195)</f>
        <v/>
      </c>
      <c r="M785" s="37" t="str">
        <f>IFERROR(IF(Agent04_Loans!B195="","",YEAR(Agent04_Loans!D195)),"")</f>
        <v/>
      </c>
    </row>
    <row r="786" spans="1:13" ht="18" customHeight="1" x14ac:dyDescent="0.25">
      <c r="A786" s="37" t="str">
        <f>IF(Agent04_Loans!B196="","",Agent04_Loans!A196)</f>
        <v/>
      </c>
      <c r="B786" s="37" t="str">
        <f>IF(Agent04_Loans!B196="","",Agent04_Loans!B196)</f>
        <v/>
      </c>
      <c r="C786" s="37" t="str">
        <f>IF(Agent04_Loans!B196="","",Agent04_Loans!C196)</f>
        <v/>
      </c>
      <c r="D786" s="38" t="str">
        <f>IF(Agent04_Loans!B196="","",Agent04_Loans!D196)</f>
        <v/>
      </c>
      <c r="E786" s="40" t="str">
        <f>IF(Agent04_Loans!B196="","",Agent04_Loans!E196)</f>
        <v/>
      </c>
      <c r="F786" s="37" t="str">
        <f>IF(Agent04_Loans!B196="","",Agent04_Loans!F196)</f>
        <v/>
      </c>
      <c r="G786" s="37" t="str">
        <f>IF(Agent04_Loans!B196="","",Agent04_Loans!G196)</f>
        <v/>
      </c>
      <c r="H786" s="37" t="str">
        <f>IF(Agent04_Loans!B196="","",Agent04_Loans!H196)</f>
        <v/>
      </c>
      <c r="I786" s="40" t="str">
        <f>IF(Agent04_Loans!B196="","",Agent04_Loans!I196)</f>
        <v/>
      </c>
      <c r="J786" s="40" t="str">
        <f>IF(Agent04_Loans!B196="","",Agent04_Loans!J196)</f>
        <v/>
      </c>
      <c r="K786" s="37" t="str">
        <f>IF(Agent04_Loans!B196="","",Agent04_Loans!K196)</f>
        <v/>
      </c>
      <c r="L786" s="37" t="str">
        <f>IF(Agent04_Loans!B196="","",Agent04_Loans!L196)</f>
        <v/>
      </c>
      <c r="M786" s="37" t="str">
        <f>IFERROR(IF(Agent04_Loans!B196="","",YEAR(Agent04_Loans!D196)),"")</f>
        <v/>
      </c>
    </row>
    <row r="787" spans="1:13" ht="18" customHeight="1" x14ac:dyDescent="0.25">
      <c r="A787" s="37" t="str">
        <f>IF(Agent04_Loans!B197="","",Agent04_Loans!A197)</f>
        <v/>
      </c>
      <c r="B787" s="37" t="str">
        <f>IF(Agent04_Loans!B197="","",Agent04_Loans!B197)</f>
        <v/>
      </c>
      <c r="C787" s="37" t="str">
        <f>IF(Agent04_Loans!B197="","",Agent04_Loans!C197)</f>
        <v/>
      </c>
      <c r="D787" s="38" t="str">
        <f>IF(Agent04_Loans!B197="","",Agent04_Loans!D197)</f>
        <v/>
      </c>
      <c r="E787" s="40" t="str">
        <f>IF(Agent04_Loans!B197="","",Agent04_Loans!E197)</f>
        <v/>
      </c>
      <c r="F787" s="37" t="str">
        <f>IF(Agent04_Loans!B197="","",Agent04_Loans!F197)</f>
        <v/>
      </c>
      <c r="G787" s="37" t="str">
        <f>IF(Agent04_Loans!B197="","",Agent04_Loans!G197)</f>
        <v/>
      </c>
      <c r="H787" s="37" t="str">
        <f>IF(Agent04_Loans!B197="","",Agent04_Loans!H197)</f>
        <v/>
      </c>
      <c r="I787" s="40" t="str">
        <f>IF(Agent04_Loans!B197="","",Agent04_Loans!I197)</f>
        <v/>
      </c>
      <c r="J787" s="40" t="str">
        <f>IF(Agent04_Loans!B197="","",Agent04_Loans!J197)</f>
        <v/>
      </c>
      <c r="K787" s="37" t="str">
        <f>IF(Agent04_Loans!B197="","",Agent04_Loans!K197)</f>
        <v/>
      </c>
      <c r="L787" s="37" t="str">
        <f>IF(Agent04_Loans!B197="","",Agent04_Loans!L197)</f>
        <v/>
      </c>
      <c r="M787" s="37" t="str">
        <f>IFERROR(IF(Agent04_Loans!B197="","",YEAR(Agent04_Loans!D197)),"")</f>
        <v/>
      </c>
    </row>
    <row r="788" spans="1:13" ht="18" customHeight="1" x14ac:dyDescent="0.25">
      <c r="A788" s="37" t="str">
        <f>IF(Agent04_Loans!B198="","",Agent04_Loans!A198)</f>
        <v/>
      </c>
      <c r="B788" s="37" t="str">
        <f>IF(Agent04_Loans!B198="","",Agent04_Loans!B198)</f>
        <v/>
      </c>
      <c r="C788" s="37" t="str">
        <f>IF(Agent04_Loans!B198="","",Agent04_Loans!C198)</f>
        <v/>
      </c>
      <c r="D788" s="38" t="str">
        <f>IF(Agent04_Loans!B198="","",Agent04_Loans!D198)</f>
        <v/>
      </c>
      <c r="E788" s="40" t="str">
        <f>IF(Agent04_Loans!B198="","",Agent04_Loans!E198)</f>
        <v/>
      </c>
      <c r="F788" s="37" t="str">
        <f>IF(Agent04_Loans!B198="","",Agent04_Loans!F198)</f>
        <v/>
      </c>
      <c r="G788" s="37" t="str">
        <f>IF(Agent04_Loans!B198="","",Agent04_Loans!G198)</f>
        <v/>
      </c>
      <c r="H788" s="37" t="str">
        <f>IF(Agent04_Loans!B198="","",Agent04_Loans!H198)</f>
        <v/>
      </c>
      <c r="I788" s="40" t="str">
        <f>IF(Agent04_Loans!B198="","",Agent04_Loans!I198)</f>
        <v/>
      </c>
      <c r="J788" s="40" t="str">
        <f>IF(Agent04_Loans!B198="","",Agent04_Loans!J198)</f>
        <v/>
      </c>
      <c r="K788" s="37" t="str">
        <f>IF(Agent04_Loans!B198="","",Agent04_Loans!K198)</f>
        <v/>
      </c>
      <c r="L788" s="37" t="str">
        <f>IF(Agent04_Loans!B198="","",Agent04_Loans!L198)</f>
        <v/>
      </c>
      <c r="M788" s="37" t="str">
        <f>IFERROR(IF(Agent04_Loans!B198="","",YEAR(Agent04_Loans!D198)),"")</f>
        <v/>
      </c>
    </row>
    <row r="789" spans="1:13" ht="18" customHeight="1" x14ac:dyDescent="0.25">
      <c r="A789" s="37" t="str">
        <f>IF(Agent04_Loans!B199="","",Agent04_Loans!A199)</f>
        <v/>
      </c>
      <c r="B789" s="37" t="str">
        <f>IF(Agent04_Loans!B199="","",Agent04_Loans!B199)</f>
        <v/>
      </c>
      <c r="C789" s="37" t="str">
        <f>IF(Agent04_Loans!B199="","",Agent04_Loans!C199)</f>
        <v/>
      </c>
      <c r="D789" s="38" t="str">
        <f>IF(Agent04_Loans!B199="","",Agent04_Loans!D199)</f>
        <v/>
      </c>
      <c r="E789" s="40" t="str">
        <f>IF(Agent04_Loans!B199="","",Agent04_Loans!E199)</f>
        <v/>
      </c>
      <c r="F789" s="37" t="str">
        <f>IF(Agent04_Loans!B199="","",Agent04_Loans!F199)</f>
        <v/>
      </c>
      <c r="G789" s="37" t="str">
        <f>IF(Agent04_Loans!B199="","",Agent04_Loans!G199)</f>
        <v/>
      </c>
      <c r="H789" s="37" t="str">
        <f>IF(Agent04_Loans!B199="","",Agent04_Loans!H199)</f>
        <v/>
      </c>
      <c r="I789" s="40" t="str">
        <f>IF(Agent04_Loans!B199="","",Agent04_Loans!I199)</f>
        <v/>
      </c>
      <c r="J789" s="40" t="str">
        <f>IF(Agent04_Loans!B199="","",Agent04_Loans!J199)</f>
        <v/>
      </c>
      <c r="K789" s="37" t="str">
        <f>IF(Agent04_Loans!B199="","",Agent04_Loans!K199)</f>
        <v/>
      </c>
      <c r="L789" s="37" t="str">
        <f>IF(Agent04_Loans!B199="","",Agent04_Loans!L199)</f>
        <v/>
      </c>
      <c r="M789" s="37" t="str">
        <f>IFERROR(IF(Agent04_Loans!B199="","",YEAR(Agent04_Loans!D199)),"")</f>
        <v/>
      </c>
    </row>
    <row r="790" spans="1:13" ht="18" customHeight="1" x14ac:dyDescent="0.25">
      <c r="A790" s="37" t="str">
        <f>IF(Agent04_Loans!B200="","",Agent04_Loans!A200)</f>
        <v/>
      </c>
      <c r="B790" s="37" t="str">
        <f>IF(Agent04_Loans!B200="","",Agent04_Loans!B200)</f>
        <v/>
      </c>
      <c r="C790" s="37" t="str">
        <f>IF(Agent04_Loans!B200="","",Agent04_Loans!C200)</f>
        <v/>
      </c>
      <c r="D790" s="38" t="str">
        <f>IF(Agent04_Loans!B200="","",Agent04_Loans!D200)</f>
        <v/>
      </c>
      <c r="E790" s="40" t="str">
        <f>IF(Agent04_Loans!B200="","",Agent04_Loans!E200)</f>
        <v/>
      </c>
      <c r="F790" s="37" t="str">
        <f>IF(Agent04_Loans!B200="","",Agent04_Loans!F200)</f>
        <v/>
      </c>
      <c r="G790" s="37" t="str">
        <f>IF(Agent04_Loans!B200="","",Agent04_Loans!G200)</f>
        <v/>
      </c>
      <c r="H790" s="37" t="str">
        <f>IF(Agent04_Loans!B200="","",Agent04_Loans!H200)</f>
        <v/>
      </c>
      <c r="I790" s="40" t="str">
        <f>IF(Agent04_Loans!B200="","",Agent04_Loans!I200)</f>
        <v/>
      </c>
      <c r="J790" s="40" t="str">
        <f>IF(Agent04_Loans!B200="","",Agent04_Loans!J200)</f>
        <v/>
      </c>
      <c r="K790" s="37" t="str">
        <f>IF(Agent04_Loans!B200="","",Agent04_Loans!K200)</f>
        <v/>
      </c>
      <c r="L790" s="37" t="str">
        <f>IF(Agent04_Loans!B200="","",Agent04_Loans!L200)</f>
        <v/>
      </c>
      <c r="M790" s="37" t="str">
        <f>IFERROR(IF(Agent04_Loans!B200="","",YEAR(Agent04_Loans!D200)),"")</f>
        <v/>
      </c>
    </row>
    <row r="791" spans="1:13" ht="18" customHeight="1" x14ac:dyDescent="0.25">
      <c r="A791" s="37" t="str">
        <f>IF(Agent04_Loans!B201="","",Agent04_Loans!A201)</f>
        <v/>
      </c>
      <c r="B791" s="37" t="str">
        <f>IF(Agent04_Loans!B201="","",Agent04_Loans!B201)</f>
        <v/>
      </c>
      <c r="C791" s="37" t="str">
        <f>IF(Agent04_Loans!B201="","",Agent04_Loans!C201)</f>
        <v/>
      </c>
      <c r="D791" s="38" t="str">
        <f>IF(Agent04_Loans!B201="","",Agent04_Loans!D201)</f>
        <v/>
      </c>
      <c r="E791" s="40" t="str">
        <f>IF(Agent04_Loans!B201="","",Agent04_Loans!E201)</f>
        <v/>
      </c>
      <c r="F791" s="37" t="str">
        <f>IF(Agent04_Loans!B201="","",Agent04_Loans!F201)</f>
        <v/>
      </c>
      <c r="G791" s="37" t="str">
        <f>IF(Agent04_Loans!B201="","",Agent04_Loans!G201)</f>
        <v/>
      </c>
      <c r="H791" s="37" t="str">
        <f>IF(Agent04_Loans!B201="","",Agent04_Loans!H201)</f>
        <v/>
      </c>
      <c r="I791" s="40" t="str">
        <f>IF(Agent04_Loans!B201="","",Agent04_Loans!I201)</f>
        <v/>
      </c>
      <c r="J791" s="40" t="str">
        <f>IF(Agent04_Loans!B201="","",Agent04_Loans!J201)</f>
        <v/>
      </c>
      <c r="K791" s="37" t="str">
        <f>IF(Agent04_Loans!B201="","",Agent04_Loans!K201)</f>
        <v/>
      </c>
      <c r="L791" s="37" t="str">
        <f>IF(Agent04_Loans!B201="","",Agent04_Loans!L201)</f>
        <v/>
      </c>
      <c r="M791" s="37" t="str">
        <f>IFERROR(IF(Agent04_Loans!B201="","",YEAR(Agent04_Loans!D201)),"")</f>
        <v/>
      </c>
    </row>
    <row r="792" spans="1:13" ht="18" customHeight="1" x14ac:dyDescent="0.25">
      <c r="A792" s="37" t="str">
        <f>IF(Agent04_Loans!B202="","",Agent04_Loans!A202)</f>
        <v/>
      </c>
      <c r="B792" s="37" t="str">
        <f>IF(Agent04_Loans!B202="","",Agent04_Loans!B202)</f>
        <v/>
      </c>
      <c r="C792" s="37" t="str">
        <f>IF(Agent04_Loans!B202="","",Agent04_Loans!C202)</f>
        <v/>
      </c>
      <c r="D792" s="38" t="str">
        <f>IF(Agent04_Loans!B202="","",Agent04_Loans!D202)</f>
        <v/>
      </c>
      <c r="E792" s="40" t="str">
        <f>IF(Agent04_Loans!B202="","",Agent04_Loans!E202)</f>
        <v/>
      </c>
      <c r="F792" s="37" t="str">
        <f>IF(Agent04_Loans!B202="","",Agent04_Loans!F202)</f>
        <v/>
      </c>
      <c r="G792" s="37" t="str">
        <f>IF(Agent04_Loans!B202="","",Agent04_Loans!G202)</f>
        <v/>
      </c>
      <c r="H792" s="37" t="str">
        <f>IF(Agent04_Loans!B202="","",Agent04_Loans!H202)</f>
        <v/>
      </c>
      <c r="I792" s="40" t="str">
        <f>IF(Agent04_Loans!B202="","",Agent04_Loans!I202)</f>
        <v/>
      </c>
      <c r="J792" s="40" t="str">
        <f>IF(Agent04_Loans!B202="","",Agent04_Loans!J202)</f>
        <v/>
      </c>
      <c r="K792" s="37" t="str">
        <f>IF(Agent04_Loans!B202="","",Agent04_Loans!K202)</f>
        <v/>
      </c>
      <c r="L792" s="37" t="str">
        <f>IF(Agent04_Loans!B202="","",Agent04_Loans!L202)</f>
        <v/>
      </c>
      <c r="M792" s="37" t="str">
        <f>IFERROR(IF(Agent04_Loans!B202="","",YEAR(Agent04_Loans!D202)),"")</f>
        <v/>
      </c>
    </row>
    <row r="793" spans="1:13" ht="18" customHeight="1" x14ac:dyDescent="0.25">
      <c r="A793" s="37" t="str">
        <f>IF(Agent04_Loans!B203="","",Agent04_Loans!A203)</f>
        <v/>
      </c>
      <c r="B793" s="37" t="str">
        <f>IF(Agent04_Loans!B203="","",Agent04_Loans!B203)</f>
        <v/>
      </c>
      <c r="C793" s="37" t="str">
        <f>IF(Agent04_Loans!B203="","",Agent04_Loans!C203)</f>
        <v/>
      </c>
      <c r="D793" s="38" t="str">
        <f>IF(Agent04_Loans!B203="","",Agent04_Loans!D203)</f>
        <v/>
      </c>
      <c r="E793" s="40" t="str">
        <f>IF(Agent04_Loans!B203="","",Agent04_Loans!E203)</f>
        <v/>
      </c>
      <c r="F793" s="37" t="str">
        <f>IF(Agent04_Loans!B203="","",Agent04_Loans!F203)</f>
        <v/>
      </c>
      <c r="G793" s="37" t="str">
        <f>IF(Agent04_Loans!B203="","",Agent04_Loans!G203)</f>
        <v/>
      </c>
      <c r="H793" s="37" t="str">
        <f>IF(Agent04_Loans!B203="","",Agent04_Loans!H203)</f>
        <v/>
      </c>
      <c r="I793" s="40" t="str">
        <f>IF(Agent04_Loans!B203="","",Agent04_Loans!I203)</f>
        <v/>
      </c>
      <c r="J793" s="40" t="str">
        <f>IF(Agent04_Loans!B203="","",Agent04_Loans!J203)</f>
        <v/>
      </c>
      <c r="K793" s="37" t="str">
        <f>IF(Agent04_Loans!B203="","",Agent04_Loans!K203)</f>
        <v/>
      </c>
      <c r="L793" s="37" t="str">
        <f>IF(Agent04_Loans!B203="","",Agent04_Loans!L203)</f>
        <v/>
      </c>
      <c r="M793" s="37" t="str">
        <f>IFERROR(IF(Agent04_Loans!B203="","",YEAR(Agent04_Loans!D203)),"")</f>
        <v/>
      </c>
    </row>
    <row r="794" spans="1:13" ht="18" customHeight="1" x14ac:dyDescent="0.25">
      <c r="A794" s="37" t="str">
        <f>IF(Agent04_Loans!B204="","",Agent04_Loans!A204)</f>
        <v/>
      </c>
      <c r="B794" s="37" t="str">
        <f>IF(Agent04_Loans!B204="","",Agent04_Loans!B204)</f>
        <v/>
      </c>
      <c r="C794" s="37" t="str">
        <f>IF(Agent04_Loans!B204="","",Agent04_Loans!C204)</f>
        <v/>
      </c>
      <c r="D794" s="38" t="str">
        <f>IF(Agent04_Loans!B204="","",Agent04_Loans!D204)</f>
        <v/>
      </c>
      <c r="E794" s="40" t="str">
        <f>IF(Agent04_Loans!B204="","",Agent04_Loans!E204)</f>
        <v/>
      </c>
      <c r="F794" s="37" t="str">
        <f>IF(Agent04_Loans!B204="","",Agent04_Loans!F204)</f>
        <v/>
      </c>
      <c r="G794" s="37" t="str">
        <f>IF(Agent04_Loans!B204="","",Agent04_Loans!G204)</f>
        <v/>
      </c>
      <c r="H794" s="37" t="str">
        <f>IF(Agent04_Loans!B204="","",Agent04_Loans!H204)</f>
        <v/>
      </c>
      <c r="I794" s="40" t="str">
        <f>IF(Agent04_Loans!B204="","",Agent04_Loans!I204)</f>
        <v/>
      </c>
      <c r="J794" s="40" t="str">
        <f>IF(Agent04_Loans!B204="","",Agent04_Loans!J204)</f>
        <v/>
      </c>
      <c r="K794" s="37" t="str">
        <f>IF(Agent04_Loans!B204="","",Agent04_Loans!K204)</f>
        <v/>
      </c>
      <c r="L794" s="37" t="str">
        <f>IF(Agent04_Loans!B204="","",Agent04_Loans!L204)</f>
        <v/>
      </c>
      <c r="M794" s="37" t="str">
        <f>IFERROR(IF(Agent04_Loans!B204="","",YEAR(Agent04_Loans!D204)),"")</f>
        <v/>
      </c>
    </row>
    <row r="795" spans="1:13" ht="18" customHeight="1" x14ac:dyDescent="0.25">
      <c r="A795" s="37" t="str">
        <f>IF(Agent04_Loans!B205="","",Agent04_Loans!A205)</f>
        <v/>
      </c>
      <c r="B795" s="37" t="str">
        <f>IF(Agent04_Loans!B205="","",Agent04_Loans!B205)</f>
        <v/>
      </c>
      <c r="C795" s="37" t="str">
        <f>IF(Agent04_Loans!B205="","",Agent04_Loans!C205)</f>
        <v/>
      </c>
      <c r="D795" s="38" t="str">
        <f>IF(Agent04_Loans!B205="","",Agent04_Loans!D205)</f>
        <v/>
      </c>
      <c r="E795" s="40" t="str">
        <f>IF(Agent04_Loans!B205="","",Agent04_Loans!E205)</f>
        <v/>
      </c>
      <c r="F795" s="37" t="str">
        <f>IF(Agent04_Loans!B205="","",Agent04_Loans!F205)</f>
        <v/>
      </c>
      <c r="G795" s="37" t="str">
        <f>IF(Agent04_Loans!B205="","",Agent04_Loans!G205)</f>
        <v/>
      </c>
      <c r="H795" s="37" t="str">
        <f>IF(Agent04_Loans!B205="","",Agent04_Loans!H205)</f>
        <v/>
      </c>
      <c r="I795" s="40" t="str">
        <f>IF(Agent04_Loans!B205="","",Agent04_Loans!I205)</f>
        <v/>
      </c>
      <c r="J795" s="40" t="str">
        <f>IF(Agent04_Loans!B205="","",Agent04_Loans!J205)</f>
        <v/>
      </c>
      <c r="K795" s="37" t="str">
        <f>IF(Agent04_Loans!B205="","",Agent04_Loans!K205)</f>
        <v/>
      </c>
      <c r="L795" s="37" t="str">
        <f>IF(Agent04_Loans!B205="","",Agent04_Loans!L205)</f>
        <v/>
      </c>
      <c r="M795" s="37" t="str">
        <f>IFERROR(IF(Agent04_Loans!B205="","",YEAR(Agent04_Loans!D205)),"")</f>
        <v/>
      </c>
    </row>
    <row r="796" spans="1:13" ht="18" customHeight="1" x14ac:dyDescent="0.25">
      <c r="A796" s="37" t="str">
        <f>IF(Agent04_Loans!B206="","",Agent04_Loans!A206)</f>
        <v/>
      </c>
      <c r="B796" s="37" t="str">
        <f>IF(Agent04_Loans!B206="","",Agent04_Loans!B206)</f>
        <v/>
      </c>
      <c r="C796" s="37" t="str">
        <f>IF(Agent04_Loans!B206="","",Agent04_Loans!C206)</f>
        <v/>
      </c>
      <c r="D796" s="38" t="str">
        <f>IF(Agent04_Loans!B206="","",Agent04_Loans!D206)</f>
        <v/>
      </c>
      <c r="E796" s="40" t="str">
        <f>IF(Agent04_Loans!B206="","",Agent04_Loans!E206)</f>
        <v/>
      </c>
      <c r="F796" s="37" t="str">
        <f>IF(Agent04_Loans!B206="","",Agent04_Loans!F206)</f>
        <v/>
      </c>
      <c r="G796" s="37" t="str">
        <f>IF(Agent04_Loans!B206="","",Agent04_Loans!G206)</f>
        <v/>
      </c>
      <c r="H796" s="37" t="str">
        <f>IF(Agent04_Loans!B206="","",Agent04_Loans!H206)</f>
        <v/>
      </c>
      <c r="I796" s="40" t="str">
        <f>IF(Agent04_Loans!B206="","",Agent04_Loans!I206)</f>
        <v/>
      </c>
      <c r="J796" s="40" t="str">
        <f>IF(Agent04_Loans!B206="","",Agent04_Loans!J206)</f>
        <v/>
      </c>
      <c r="K796" s="37" t="str">
        <f>IF(Agent04_Loans!B206="","",Agent04_Loans!K206)</f>
        <v/>
      </c>
      <c r="L796" s="37" t="str">
        <f>IF(Agent04_Loans!B206="","",Agent04_Loans!L206)</f>
        <v/>
      </c>
      <c r="M796" s="37" t="str">
        <f>IFERROR(IF(Agent04_Loans!B206="","",YEAR(Agent04_Loans!D206)),"")</f>
        <v/>
      </c>
    </row>
    <row r="797" spans="1:13" ht="18" customHeight="1" x14ac:dyDescent="0.25">
      <c r="A797" s="37" t="str">
        <f>IF(Agent04_Loans!B207="","",Agent04_Loans!A207)</f>
        <v/>
      </c>
      <c r="B797" s="37" t="str">
        <f>IF(Agent04_Loans!B207="","",Agent04_Loans!B207)</f>
        <v/>
      </c>
      <c r="C797" s="37" t="str">
        <f>IF(Agent04_Loans!B207="","",Agent04_Loans!C207)</f>
        <v/>
      </c>
      <c r="D797" s="38" t="str">
        <f>IF(Agent04_Loans!B207="","",Agent04_Loans!D207)</f>
        <v/>
      </c>
      <c r="E797" s="40" t="str">
        <f>IF(Agent04_Loans!B207="","",Agent04_Loans!E207)</f>
        <v/>
      </c>
      <c r="F797" s="37" t="str">
        <f>IF(Agent04_Loans!B207="","",Agent04_Loans!F207)</f>
        <v/>
      </c>
      <c r="G797" s="37" t="str">
        <f>IF(Agent04_Loans!B207="","",Agent04_Loans!G207)</f>
        <v/>
      </c>
      <c r="H797" s="37" t="str">
        <f>IF(Agent04_Loans!B207="","",Agent04_Loans!H207)</f>
        <v/>
      </c>
      <c r="I797" s="40" t="str">
        <f>IF(Agent04_Loans!B207="","",Agent04_Loans!I207)</f>
        <v/>
      </c>
      <c r="J797" s="40" t="str">
        <f>IF(Agent04_Loans!B207="","",Agent04_Loans!J207)</f>
        <v/>
      </c>
      <c r="K797" s="37" t="str">
        <f>IF(Agent04_Loans!B207="","",Agent04_Loans!K207)</f>
        <v/>
      </c>
      <c r="L797" s="37" t="str">
        <f>IF(Agent04_Loans!B207="","",Agent04_Loans!L207)</f>
        <v/>
      </c>
      <c r="M797" s="37" t="str">
        <f>IFERROR(IF(Agent04_Loans!B207="","",YEAR(Agent04_Loans!D207)),"")</f>
        <v/>
      </c>
    </row>
    <row r="798" spans="1:13" ht="18" customHeight="1" x14ac:dyDescent="0.25">
      <c r="A798" s="37" t="str">
        <f>IF(Agent04_Loans!B208="","",Agent04_Loans!A208)</f>
        <v/>
      </c>
      <c r="B798" s="37" t="str">
        <f>IF(Agent04_Loans!B208="","",Agent04_Loans!B208)</f>
        <v/>
      </c>
      <c r="C798" s="37" t="str">
        <f>IF(Agent04_Loans!B208="","",Agent04_Loans!C208)</f>
        <v/>
      </c>
      <c r="D798" s="38" t="str">
        <f>IF(Agent04_Loans!B208="","",Agent04_Loans!D208)</f>
        <v/>
      </c>
      <c r="E798" s="40" t="str">
        <f>IF(Agent04_Loans!B208="","",Agent04_Loans!E208)</f>
        <v/>
      </c>
      <c r="F798" s="37" t="str">
        <f>IF(Agent04_Loans!B208="","",Agent04_Loans!F208)</f>
        <v/>
      </c>
      <c r="G798" s="37" t="str">
        <f>IF(Agent04_Loans!B208="","",Agent04_Loans!G208)</f>
        <v/>
      </c>
      <c r="H798" s="37" t="str">
        <f>IF(Agent04_Loans!B208="","",Agent04_Loans!H208)</f>
        <v/>
      </c>
      <c r="I798" s="40" t="str">
        <f>IF(Agent04_Loans!B208="","",Agent04_Loans!I208)</f>
        <v/>
      </c>
      <c r="J798" s="40" t="str">
        <f>IF(Agent04_Loans!B208="","",Agent04_Loans!J208)</f>
        <v/>
      </c>
      <c r="K798" s="37" t="str">
        <f>IF(Agent04_Loans!B208="","",Agent04_Loans!K208)</f>
        <v/>
      </c>
      <c r="L798" s="37" t="str">
        <f>IF(Agent04_Loans!B208="","",Agent04_Loans!L208)</f>
        <v/>
      </c>
      <c r="M798" s="37" t="str">
        <f>IFERROR(IF(Agent04_Loans!B208="","",YEAR(Agent04_Loans!D208)),"")</f>
        <v/>
      </c>
    </row>
    <row r="799" spans="1:13" ht="18" customHeight="1" x14ac:dyDescent="0.25">
      <c r="A799" s="37" t="str">
        <f>IF(Agent04_Loans!B209="","",Agent04_Loans!A209)</f>
        <v/>
      </c>
      <c r="B799" s="37" t="str">
        <f>IF(Agent04_Loans!B209="","",Agent04_Loans!B209)</f>
        <v/>
      </c>
      <c r="C799" s="37" t="str">
        <f>IF(Agent04_Loans!B209="","",Agent04_Loans!C209)</f>
        <v/>
      </c>
      <c r="D799" s="38" t="str">
        <f>IF(Agent04_Loans!B209="","",Agent04_Loans!D209)</f>
        <v/>
      </c>
      <c r="E799" s="40" t="str">
        <f>IF(Agent04_Loans!B209="","",Agent04_Loans!E209)</f>
        <v/>
      </c>
      <c r="F799" s="37" t="str">
        <f>IF(Agent04_Loans!B209="","",Agent04_Loans!F209)</f>
        <v/>
      </c>
      <c r="G799" s="37" t="str">
        <f>IF(Agent04_Loans!B209="","",Agent04_Loans!G209)</f>
        <v/>
      </c>
      <c r="H799" s="37" t="str">
        <f>IF(Agent04_Loans!B209="","",Agent04_Loans!H209)</f>
        <v/>
      </c>
      <c r="I799" s="40" t="str">
        <f>IF(Agent04_Loans!B209="","",Agent04_Loans!I209)</f>
        <v/>
      </c>
      <c r="J799" s="40" t="str">
        <f>IF(Agent04_Loans!B209="","",Agent04_Loans!J209)</f>
        <v/>
      </c>
      <c r="K799" s="37" t="str">
        <f>IF(Agent04_Loans!B209="","",Agent04_Loans!K209)</f>
        <v/>
      </c>
      <c r="L799" s="37" t="str">
        <f>IF(Agent04_Loans!B209="","",Agent04_Loans!L209)</f>
        <v/>
      </c>
      <c r="M799" s="37" t="str">
        <f>IFERROR(IF(Agent04_Loans!B209="","",YEAR(Agent04_Loans!D209)),"")</f>
        <v/>
      </c>
    </row>
    <row r="800" spans="1:13" ht="18" customHeight="1" x14ac:dyDescent="0.25">
      <c r="A800" s="37" t="str">
        <f>IF(Agent04_Loans!B210="","",Agent04_Loans!A210)</f>
        <v/>
      </c>
      <c r="B800" s="37" t="str">
        <f>IF(Agent04_Loans!B210="","",Agent04_Loans!B210)</f>
        <v/>
      </c>
      <c r="C800" s="37" t="str">
        <f>IF(Agent04_Loans!B210="","",Agent04_Loans!C210)</f>
        <v/>
      </c>
      <c r="D800" s="38" t="str">
        <f>IF(Agent04_Loans!B210="","",Agent04_Loans!D210)</f>
        <v/>
      </c>
      <c r="E800" s="40" t="str">
        <f>IF(Agent04_Loans!B210="","",Agent04_Loans!E210)</f>
        <v/>
      </c>
      <c r="F800" s="37" t="str">
        <f>IF(Agent04_Loans!B210="","",Agent04_Loans!F210)</f>
        <v/>
      </c>
      <c r="G800" s="37" t="str">
        <f>IF(Agent04_Loans!B210="","",Agent04_Loans!G210)</f>
        <v/>
      </c>
      <c r="H800" s="37" t="str">
        <f>IF(Agent04_Loans!B210="","",Agent04_Loans!H210)</f>
        <v/>
      </c>
      <c r="I800" s="40" t="str">
        <f>IF(Agent04_Loans!B210="","",Agent04_Loans!I210)</f>
        <v/>
      </c>
      <c r="J800" s="40" t="str">
        <f>IF(Agent04_Loans!B210="","",Agent04_Loans!J210)</f>
        <v/>
      </c>
      <c r="K800" s="37" t="str">
        <f>IF(Agent04_Loans!B210="","",Agent04_Loans!K210)</f>
        <v/>
      </c>
      <c r="L800" s="37" t="str">
        <f>IF(Agent04_Loans!B210="","",Agent04_Loans!L210)</f>
        <v/>
      </c>
      <c r="M800" s="37" t="str">
        <f>IFERROR(IF(Agent04_Loans!B210="","",YEAR(Agent04_Loans!D210)),"")</f>
        <v/>
      </c>
    </row>
    <row r="801" spans="1:13" ht="18" customHeight="1" x14ac:dyDescent="0.25">
      <c r="A801" s="37" t="str">
        <f>IF(Agent04_Loans!B211="","",Agent04_Loans!A211)</f>
        <v/>
      </c>
      <c r="B801" s="37" t="str">
        <f>IF(Agent04_Loans!B211="","",Agent04_Loans!B211)</f>
        <v/>
      </c>
      <c r="C801" s="37" t="str">
        <f>IF(Agent04_Loans!B211="","",Agent04_Loans!C211)</f>
        <v/>
      </c>
      <c r="D801" s="38" t="str">
        <f>IF(Agent04_Loans!B211="","",Agent04_Loans!D211)</f>
        <v/>
      </c>
      <c r="E801" s="40" t="str">
        <f>IF(Agent04_Loans!B211="","",Agent04_Loans!E211)</f>
        <v/>
      </c>
      <c r="F801" s="37" t="str">
        <f>IF(Agent04_Loans!B211="","",Agent04_Loans!F211)</f>
        <v/>
      </c>
      <c r="G801" s="37" t="str">
        <f>IF(Agent04_Loans!B211="","",Agent04_Loans!G211)</f>
        <v/>
      </c>
      <c r="H801" s="37" t="str">
        <f>IF(Agent04_Loans!B211="","",Agent04_Loans!H211)</f>
        <v/>
      </c>
      <c r="I801" s="40" t="str">
        <f>IF(Agent04_Loans!B211="","",Agent04_Loans!I211)</f>
        <v/>
      </c>
      <c r="J801" s="40" t="str">
        <f>IF(Agent04_Loans!B211="","",Agent04_Loans!J211)</f>
        <v/>
      </c>
      <c r="K801" s="37" t="str">
        <f>IF(Agent04_Loans!B211="","",Agent04_Loans!K211)</f>
        <v/>
      </c>
      <c r="L801" s="37" t="str">
        <f>IF(Agent04_Loans!B211="","",Agent04_Loans!L211)</f>
        <v/>
      </c>
      <c r="M801" s="37" t="str">
        <f>IFERROR(IF(Agent04_Loans!B211="","",YEAR(Agent04_Loans!D211)),"")</f>
        <v/>
      </c>
    </row>
    <row r="802" spans="1:13" ht="18" customHeight="1" x14ac:dyDescent="0.25">
      <c r="A802" s="37" t="str">
        <f>IF(Agent04_Loans!B212="","",Agent04_Loans!A212)</f>
        <v/>
      </c>
      <c r="B802" s="37" t="str">
        <f>IF(Agent04_Loans!B212="","",Agent04_Loans!B212)</f>
        <v/>
      </c>
      <c r="C802" s="37" t="str">
        <f>IF(Agent04_Loans!B212="","",Agent04_Loans!C212)</f>
        <v/>
      </c>
      <c r="D802" s="38" t="str">
        <f>IF(Agent04_Loans!B212="","",Agent04_Loans!D212)</f>
        <v/>
      </c>
      <c r="E802" s="40" t="str">
        <f>IF(Agent04_Loans!B212="","",Agent04_Loans!E212)</f>
        <v/>
      </c>
      <c r="F802" s="37" t="str">
        <f>IF(Agent04_Loans!B212="","",Agent04_Loans!F212)</f>
        <v/>
      </c>
      <c r="G802" s="37" t="str">
        <f>IF(Agent04_Loans!B212="","",Agent04_Loans!G212)</f>
        <v/>
      </c>
      <c r="H802" s="37" t="str">
        <f>IF(Agent04_Loans!B212="","",Agent04_Loans!H212)</f>
        <v/>
      </c>
      <c r="I802" s="40" t="str">
        <f>IF(Agent04_Loans!B212="","",Agent04_Loans!I212)</f>
        <v/>
      </c>
      <c r="J802" s="40" t="str">
        <f>IF(Agent04_Loans!B212="","",Agent04_Loans!J212)</f>
        <v/>
      </c>
      <c r="K802" s="37" t="str">
        <f>IF(Agent04_Loans!B212="","",Agent04_Loans!K212)</f>
        <v/>
      </c>
      <c r="L802" s="37" t="str">
        <f>IF(Agent04_Loans!B212="","",Agent04_Loans!L212)</f>
        <v/>
      </c>
      <c r="M802" s="37" t="str">
        <f>IFERROR(IF(Agent04_Loans!B212="","",YEAR(Agent04_Loans!D212)),"")</f>
        <v/>
      </c>
    </row>
    <row r="803" spans="1:13" ht="18" customHeight="1" x14ac:dyDescent="0.25">
      <c r="A803" s="37" t="str">
        <f>IF(Agent04_Loans!B213="","",Agent04_Loans!A213)</f>
        <v/>
      </c>
      <c r="B803" s="37" t="str">
        <f>IF(Agent04_Loans!B213="","",Agent04_Loans!B213)</f>
        <v/>
      </c>
      <c r="C803" s="37" t="str">
        <f>IF(Agent04_Loans!B213="","",Agent04_Loans!C213)</f>
        <v/>
      </c>
      <c r="D803" s="38" t="str">
        <f>IF(Agent04_Loans!B213="","",Agent04_Loans!D213)</f>
        <v/>
      </c>
      <c r="E803" s="40" t="str">
        <f>IF(Agent04_Loans!B213="","",Agent04_Loans!E213)</f>
        <v/>
      </c>
      <c r="F803" s="37" t="str">
        <f>IF(Agent04_Loans!B213="","",Agent04_Loans!F213)</f>
        <v/>
      </c>
      <c r="G803" s="37" t="str">
        <f>IF(Agent04_Loans!B213="","",Agent04_Loans!G213)</f>
        <v/>
      </c>
      <c r="H803" s="37" t="str">
        <f>IF(Agent04_Loans!B213="","",Agent04_Loans!H213)</f>
        <v/>
      </c>
      <c r="I803" s="40" t="str">
        <f>IF(Agent04_Loans!B213="","",Agent04_Loans!I213)</f>
        <v/>
      </c>
      <c r="J803" s="40" t="str">
        <f>IF(Agent04_Loans!B213="","",Agent04_Loans!J213)</f>
        <v/>
      </c>
      <c r="K803" s="37" t="str">
        <f>IF(Agent04_Loans!B213="","",Agent04_Loans!K213)</f>
        <v/>
      </c>
      <c r="L803" s="37" t="str">
        <f>IF(Agent04_Loans!B213="","",Agent04_Loans!L213)</f>
        <v/>
      </c>
      <c r="M803" s="37" t="str">
        <f>IFERROR(IF(Agent04_Loans!B213="","",YEAR(Agent04_Loans!D213)),"")</f>
        <v/>
      </c>
    </row>
    <row r="804" spans="1:13" ht="18" customHeight="1" x14ac:dyDescent="0.25">
      <c r="A804" s="37" t="str">
        <f>IF(Agent05_Loans!B14="","",Agent05_Loans!A14)</f>
        <v/>
      </c>
      <c r="B804" s="37" t="str">
        <f>IF(Agent05_Loans!B14="","",Agent05_Loans!B14)</f>
        <v/>
      </c>
      <c r="C804" s="37" t="str">
        <f>IF(Agent05_Loans!B14="","",Agent05_Loans!C14)</f>
        <v/>
      </c>
      <c r="D804" s="38" t="str">
        <f>IF(Agent05_Loans!B14="","",Agent05_Loans!D14)</f>
        <v/>
      </c>
      <c r="E804" s="40" t="str">
        <f>IF(Agent05_Loans!B14="","",Agent05_Loans!E14)</f>
        <v/>
      </c>
      <c r="F804" s="37" t="str">
        <f>IF(Agent05_Loans!B14="","",Agent05_Loans!F14)</f>
        <v/>
      </c>
      <c r="G804" s="37" t="str">
        <f>IF(Agent05_Loans!B14="","",Agent05_Loans!G14)</f>
        <v/>
      </c>
      <c r="H804" s="37" t="str">
        <f>IF(Agent05_Loans!B14="","",Agent05_Loans!H14)</f>
        <v/>
      </c>
      <c r="I804" s="40" t="str">
        <f>IF(Agent05_Loans!B14="","",Agent05_Loans!I14)</f>
        <v/>
      </c>
      <c r="J804" s="40" t="str">
        <f>IF(Agent05_Loans!B14="","",Agent05_Loans!J14)</f>
        <v/>
      </c>
      <c r="K804" s="37" t="str">
        <f>IF(Agent05_Loans!B14="","",Agent05_Loans!K14)</f>
        <v/>
      </c>
      <c r="L804" s="37" t="str">
        <f>IF(Agent05_Loans!B14="","",Agent05_Loans!L14)</f>
        <v/>
      </c>
      <c r="M804" s="37" t="str">
        <f>IFERROR(IF(Agent05_Loans!B14="","",YEAR(Agent05_Loans!D14)),"")</f>
        <v/>
      </c>
    </row>
    <row r="805" spans="1:13" ht="18" customHeight="1" x14ac:dyDescent="0.25">
      <c r="A805" s="37" t="str">
        <f>IF(Agent05_Loans!B15="","",Agent05_Loans!A15)</f>
        <v/>
      </c>
      <c r="B805" s="37" t="str">
        <f>IF(Agent05_Loans!B15="","",Agent05_Loans!B15)</f>
        <v/>
      </c>
      <c r="C805" s="37" t="str">
        <f>IF(Agent05_Loans!B15="","",Agent05_Loans!C15)</f>
        <v/>
      </c>
      <c r="D805" s="38" t="str">
        <f>IF(Agent05_Loans!B15="","",Agent05_Loans!D15)</f>
        <v/>
      </c>
      <c r="E805" s="40" t="str">
        <f>IF(Agent05_Loans!B15="","",Agent05_Loans!E15)</f>
        <v/>
      </c>
      <c r="F805" s="37" t="str">
        <f>IF(Agent05_Loans!B15="","",Agent05_Loans!F15)</f>
        <v/>
      </c>
      <c r="G805" s="37" t="str">
        <f>IF(Agent05_Loans!B15="","",Agent05_Loans!G15)</f>
        <v/>
      </c>
      <c r="H805" s="37" t="str">
        <f>IF(Agent05_Loans!B15="","",Agent05_Loans!H15)</f>
        <v/>
      </c>
      <c r="I805" s="40" t="str">
        <f>IF(Agent05_Loans!B15="","",Agent05_Loans!I15)</f>
        <v/>
      </c>
      <c r="J805" s="40" t="str">
        <f>IF(Agent05_Loans!B15="","",Agent05_Loans!J15)</f>
        <v/>
      </c>
      <c r="K805" s="37" t="str">
        <f>IF(Agent05_Loans!B15="","",Agent05_Loans!K15)</f>
        <v/>
      </c>
      <c r="L805" s="37" t="str">
        <f>IF(Agent05_Loans!B15="","",Agent05_Loans!L15)</f>
        <v/>
      </c>
      <c r="M805" s="37" t="str">
        <f>IFERROR(IF(Agent05_Loans!B15="","",YEAR(Agent05_Loans!D15)),"")</f>
        <v/>
      </c>
    </row>
    <row r="806" spans="1:13" ht="18" customHeight="1" x14ac:dyDescent="0.25">
      <c r="A806" s="37" t="str">
        <f>IF(Agent05_Loans!B16="","",Agent05_Loans!A16)</f>
        <v/>
      </c>
      <c r="B806" s="37" t="str">
        <f>IF(Agent05_Loans!B16="","",Agent05_Loans!B16)</f>
        <v/>
      </c>
      <c r="C806" s="37" t="str">
        <f>IF(Agent05_Loans!B16="","",Agent05_Loans!C16)</f>
        <v/>
      </c>
      <c r="D806" s="38" t="str">
        <f>IF(Agent05_Loans!B16="","",Agent05_Loans!D16)</f>
        <v/>
      </c>
      <c r="E806" s="40" t="str">
        <f>IF(Agent05_Loans!B16="","",Agent05_Loans!E16)</f>
        <v/>
      </c>
      <c r="F806" s="37" t="str">
        <f>IF(Agent05_Loans!B16="","",Agent05_Loans!F16)</f>
        <v/>
      </c>
      <c r="G806" s="37" t="str">
        <f>IF(Agent05_Loans!B16="","",Agent05_Loans!G16)</f>
        <v/>
      </c>
      <c r="H806" s="37" t="str">
        <f>IF(Agent05_Loans!B16="","",Agent05_Loans!H16)</f>
        <v/>
      </c>
      <c r="I806" s="40" t="str">
        <f>IF(Agent05_Loans!B16="","",Agent05_Loans!I16)</f>
        <v/>
      </c>
      <c r="J806" s="40" t="str">
        <f>IF(Agent05_Loans!B16="","",Agent05_Loans!J16)</f>
        <v/>
      </c>
      <c r="K806" s="37" t="str">
        <f>IF(Agent05_Loans!B16="","",Agent05_Loans!K16)</f>
        <v/>
      </c>
      <c r="L806" s="37" t="str">
        <f>IF(Agent05_Loans!B16="","",Agent05_Loans!L16)</f>
        <v/>
      </c>
      <c r="M806" s="37" t="str">
        <f>IFERROR(IF(Agent05_Loans!B16="","",YEAR(Agent05_Loans!D16)),"")</f>
        <v/>
      </c>
    </row>
    <row r="807" spans="1:13" ht="18" customHeight="1" x14ac:dyDescent="0.25">
      <c r="A807" s="37" t="str">
        <f>IF(Agent05_Loans!B17="","",Agent05_Loans!A17)</f>
        <v/>
      </c>
      <c r="B807" s="37" t="str">
        <f>IF(Agent05_Loans!B17="","",Agent05_Loans!B17)</f>
        <v/>
      </c>
      <c r="C807" s="37" t="str">
        <f>IF(Agent05_Loans!B17="","",Agent05_Loans!C17)</f>
        <v/>
      </c>
      <c r="D807" s="38" t="str">
        <f>IF(Agent05_Loans!B17="","",Agent05_Loans!D17)</f>
        <v/>
      </c>
      <c r="E807" s="40" t="str">
        <f>IF(Agent05_Loans!B17="","",Agent05_Loans!E17)</f>
        <v/>
      </c>
      <c r="F807" s="37" t="str">
        <f>IF(Agent05_Loans!B17="","",Agent05_Loans!F17)</f>
        <v/>
      </c>
      <c r="G807" s="37" t="str">
        <f>IF(Agent05_Loans!B17="","",Agent05_Loans!G17)</f>
        <v/>
      </c>
      <c r="H807" s="37" t="str">
        <f>IF(Agent05_Loans!B17="","",Agent05_Loans!H17)</f>
        <v/>
      </c>
      <c r="I807" s="40" t="str">
        <f>IF(Agent05_Loans!B17="","",Agent05_Loans!I17)</f>
        <v/>
      </c>
      <c r="J807" s="40" t="str">
        <f>IF(Agent05_Loans!B17="","",Agent05_Loans!J17)</f>
        <v/>
      </c>
      <c r="K807" s="37" t="str">
        <f>IF(Agent05_Loans!B17="","",Agent05_Loans!K17)</f>
        <v/>
      </c>
      <c r="L807" s="37" t="str">
        <f>IF(Agent05_Loans!B17="","",Agent05_Loans!L17)</f>
        <v/>
      </c>
      <c r="M807" s="37" t="str">
        <f>IFERROR(IF(Agent05_Loans!B17="","",YEAR(Agent05_Loans!D17)),"")</f>
        <v/>
      </c>
    </row>
    <row r="808" spans="1:13" ht="18" customHeight="1" x14ac:dyDescent="0.25">
      <c r="A808" s="37" t="str">
        <f>IF(Agent05_Loans!B18="","",Agent05_Loans!A18)</f>
        <v/>
      </c>
      <c r="B808" s="37" t="str">
        <f>IF(Agent05_Loans!B18="","",Agent05_Loans!B18)</f>
        <v/>
      </c>
      <c r="C808" s="37" t="str">
        <f>IF(Agent05_Loans!B18="","",Agent05_Loans!C18)</f>
        <v/>
      </c>
      <c r="D808" s="38" t="str">
        <f>IF(Agent05_Loans!B18="","",Agent05_Loans!D18)</f>
        <v/>
      </c>
      <c r="E808" s="40" t="str">
        <f>IF(Agent05_Loans!B18="","",Agent05_Loans!E18)</f>
        <v/>
      </c>
      <c r="F808" s="37" t="str">
        <f>IF(Agent05_Loans!B18="","",Agent05_Loans!F18)</f>
        <v/>
      </c>
      <c r="G808" s="37" t="str">
        <f>IF(Agent05_Loans!B18="","",Agent05_Loans!G18)</f>
        <v/>
      </c>
      <c r="H808" s="37" t="str">
        <f>IF(Agent05_Loans!B18="","",Agent05_Loans!H18)</f>
        <v/>
      </c>
      <c r="I808" s="40" t="str">
        <f>IF(Agent05_Loans!B18="","",Agent05_Loans!I18)</f>
        <v/>
      </c>
      <c r="J808" s="40" t="str">
        <f>IF(Agent05_Loans!B18="","",Agent05_Loans!J18)</f>
        <v/>
      </c>
      <c r="K808" s="37" t="str">
        <f>IF(Agent05_Loans!B18="","",Agent05_Loans!K18)</f>
        <v/>
      </c>
      <c r="L808" s="37" t="str">
        <f>IF(Agent05_Loans!B18="","",Agent05_Loans!L18)</f>
        <v/>
      </c>
      <c r="M808" s="37" t="str">
        <f>IFERROR(IF(Agent05_Loans!B18="","",YEAR(Agent05_Loans!D18)),"")</f>
        <v/>
      </c>
    </row>
    <row r="809" spans="1:13" ht="18" customHeight="1" x14ac:dyDescent="0.25">
      <c r="A809" s="37" t="str">
        <f>IF(Agent05_Loans!B19="","",Agent05_Loans!A19)</f>
        <v/>
      </c>
      <c r="B809" s="37" t="str">
        <f>IF(Agent05_Loans!B19="","",Agent05_Loans!B19)</f>
        <v/>
      </c>
      <c r="C809" s="37" t="str">
        <f>IF(Agent05_Loans!B19="","",Agent05_Loans!C19)</f>
        <v/>
      </c>
      <c r="D809" s="38" t="str">
        <f>IF(Agent05_Loans!B19="","",Agent05_Loans!D19)</f>
        <v/>
      </c>
      <c r="E809" s="40" t="str">
        <f>IF(Agent05_Loans!B19="","",Agent05_Loans!E19)</f>
        <v/>
      </c>
      <c r="F809" s="37" t="str">
        <f>IF(Agent05_Loans!B19="","",Agent05_Loans!F19)</f>
        <v/>
      </c>
      <c r="G809" s="37" t="str">
        <f>IF(Agent05_Loans!B19="","",Agent05_Loans!G19)</f>
        <v/>
      </c>
      <c r="H809" s="37" t="str">
        <f>IF(Agent05_Loans!B19="","",Agent05_Loans!H19)</f>
        <v/>
      </c>
      <c r="I809" s="40" t="str">
        <f>IF(Agent05_Loans!B19="","",Agent05_Loans!I19)</f>
        <v/>
      </c>
      <c r="J809" s="40" t="str">
        <f>IF(Agent05_Loans!B19="","",Agent05_Loans!J19)</f>
        <v/>
      </c>
      <c r="K809" s="37" t="str">
        <f>IF(Agent05_Loans!B19="","",Agent05_Loans!K19)</f>
        <v/>
      </c>
      <c r="L809" s="37" t="str">
        <f>IF(Agent05_Loans!B19="","",Agent05_Loans!L19)</f>
        <v/>
      </c>
      <c r="M809" s="37" t="str">
        <f>IFERROR(IF(Agent05_Loans!B19="","",YEAR(Agent05_Loans!D19)),"")</f>
        <v/>
      </c>
    </row>
    <row r="810" spans="1:13" ht="18" customHeight="1" x14ac:dyDescent="0.25">
      <c r="A810" s="37" t="str">
        <f>IF(Agent05_Loans!B20="","",Agent05_Loans!A20)</f>
        <v/>
      </c>
      <c r="B810" s="37" t="str">
        <f>IF(Agent05_Loans!B20="","",Agent05_Loans!B20)</f>
        <v/>
      </c>
      <c r="C810" s="37" t="str">
        <f>IF(Agent05_Loans!B20="","",Agent05_Loans!C20)</f>
        <v/>
      </c>
      <c r="D810" s="38" t="str">
        <f>IF(Agent05_Loans!B20="","",Agent05_Loans!D20)</f>
        <v/>
      </c>
      <c r="E810" s="40" t="str">
        <f>IF(Agent05_Loans!B20="","",Agent05_Loans!E20)</f>
        <v/>
      </c>
      <c r="F810" s="37" t="str">
        <f>IF(Agent05_Loans!B20="","",Agent05_Loans!F20)</f>
        <v/>
      </c>
      <c r="G810" s="37" t="str">
        <f>IF(Agent05_Loans!B20="","",Agent05_Loans!G20)</f>
        <v/>
      </c>
      <c r="H810" s="37" t="str">
        <f>IF(Agent05_Loans!B20="","",Agent05_Loans!H20)</f>
        <v/>
      </c>
      <c r="I810" s="40" t="str">
        <f>IF(Agent05_Loans!B20="","",Agent05_Loans!I20)</f>
        <v/>
      </c>
      <c r="J810" s="40" t="str">
        <f>IF(Agent05_Loans!B20="","",Agent05_Loans!J20)</f>
        <v/>
      </c>
      <c r="K810" s="37" t="str">
        <f>IF(Agent05_Loans!B20="","",Agent05_Loans!K20)</f>
        <v/>
      </c>
      <c r="L810" s="37" t="str">
        <f>IF(Agent05_Loans!B20="","",Agent05_Loans!L20)</f>
        <v/>
      </c>
      <c r="M810" s="37" t="str">
        <f>IFERROR(IF(Agent05_Loans!B20="","",YEAR(Agent05_Loans!D20)),"")</f>
        <v/>
      </c>
    </row>
    <row r="811" spans="1:13" ht="18" customHeight="1" x14ac:dyDescent="0.25">
      <c r="A811" s="37" t="str">
        <f>IF(Agent05_Loans!B21="","",Agent05_Loans!A21)</f>
        <v/>
      </c>
      <c r="B811" s="37" t="str">
        <f>IF(Agent05_Loans!B21="","",Agent05_Loans!B21)</f>
        <v/>
      </c>
      <c r="C811" s="37" t="str">
        <f>IF(Agent05_Loans!B21="","",Agent05_Loans!C21)</f>
        <v/>
      </c>
      <c r="D811" s="38" t="str">
        <f>IF(Agent05_Loans!B21="","",Agent05_Loans!D21)</f>
        <v/>
      </c>
      <c r="E811" s="40" t="str">
        <f>IF(Agent05_Loans!B21="","",Agent05_Loans!E21)</f>
        <v/>
      </c>
      <c r="F811" s="37" t="str">
        <f>IF(Agent05_Loans!B21="","",Agent05_Loans!F21)</f>
        <v/>
      </c>
      <c r="G811" s="37" t="str">
        <f>IF(Agent05_Loans!B21="","",Agent05_Loans!G21)</f>
        <v/>
      </c>
      <c r="H811" s="37" t="str">
        <f>IF(Agent05_Loans!B21="","",Agent05_Loans!H21)</f>
        <v/>
      </c>
      <c r="I811" s="40" t="str">
        <f>IF(Agent05_Loans!B21="","",Agent05_Loans!I21)</f>
        <v/>
      </c>
      <c r="J811" s="40" t="str">
        <f>IF(Agent05_Loans!B21="","",Agent05_Loans!J21)</f>
        <v/>
      </c>
      <c r="K811" s="37" t="str">
        <f>IF(Agent05_Loans!B21="","",Agent05_Loans!K21)</f>
        <v/>
      </c>
      <c r="L811" s="37" t="str">
        <f>IF(Agent05_Loans!B21="","",Agent05_Loans!L21)</f>
        <v/>
      </c>
      <c r="M811" s="37" t="str">
        <f>IFERROR(IF(Agent05_Loans!B21="","",YEAR(Agent05_Loans!D21)),"")</f>
        <v/>
      </c>
    </row>
    <row r="812" spans="1:13" ht="18" customHeight="1" x14ac:dyDescent="0.25">
      <c r="A812" s="37" t="str">
        <f>IF(Agent05_Loans!B22="","",Agent05_Loans!A22)</f>
        <v/>
      </c>
      <c r="B812" s="37" t="str">
        <f>IF(Agent05_Loans!B22="","",Agent05_Loans!B22)</f>
        <v/>
      </c>
      <c r="C812" s="37" t="str">
        <f>IF(Agent05_Loans!B22="","",Agent05_Loans!C22)</f>
        <v/>
      </c>
      <c r="D812" s="38" t="str">
        <f>IF(Agent05_Loans!B22="","",Agent05_Loans!D22)</f>
        <v/>
      </c>
      <c r="E812" s="40" t="str">
        <f>IF(Agent05_Loans!B22="","",Agent05_Loans!E22)</f>
        <v/>
      </c>
      <c r="F812" s="37" t="str">
        <f>IF(Agent05_Loans!B22="","",Agent05_Loans!F22)</f>
        <v/>
      </c>
      <c r="G812" s="37" t="str">
        <f>IF(Agent05_Loans!B22="","",Agent05_Loans!G22)</f>
        <v/>
      </c>
      <c r="H812" s="37" t="str">
        <f>IF(Agent05_Loans!B22="","",Agent05_Loans!H22)</f>
        <v/>
      </c>
      <c r="I812" s="40" t="str">
        <f>IF(Agent05_Loans!B22="","",Agent05_Loans!I22)</f>
        <v/>
      </c>
      <c r="J812" s="40" t="str">
        <f>IF(Agent05_Loans!B22="","",Agent05_Loans!J22)</f>
        <v/>
      </c>
      <c r="K812" s="37" t="str">
        <f>IF(Agent05_Loans!B22="","",Agent05_Loans!K22)</f>
        <v/>
      </c>
      <c r="L812" s="37" t="str">
        <f>IF(Agent05_Loans!B22="","",Agent05_Loans!L22)</f>
        <v/>
      </c>
      <c r="M812" s="37" t="str">
        <f>IFERROR(IF(Agent05_Loans!B22="","",YEAR(Agent05_Loans!D22)),"")</f>
        <v/>
      </c>
    </row>
    <row r="813" spans="1:13" ht="18" customHeight="1" x14ac:dyDescent="0.25">
      <c r="A813" s="37" t="str">
        <f>IF(Agent05_Loans!B23="","",Agent05_Loans!A23)</f>
        <v/>
      </c>
      <c r="B813" s="37" t="str">
        <f>IF(Agent05_Loans!B23="","",Agent05_Loans!B23)</f>
        <v/>
      </c>
      <c r="C813" s="37" t="str">
        <f>IF(Agent05_Loans!B23="","",Agent05_Loans!C23)</f>
        <v/>
      </c>
      <c r="D813" s="38" t="str">
        <f>IF(Agent05_Loans!B23="","",Agent05_Loans!D23)</f>
        <v/>
      </c>
      <c r="E813" s="40" t="str">
        <f>IF(Agent05_Loans!B23="","",Agent05_Loans!E23)</f>
        <v/>
      </c>
      <c r="F813" s="37" t="str">
        <f>IF(Agent05_Loans!B23="","",Agent05_Loans!F23)</f>
        <v/>
      </c>
      <c r="G813" s="37" t="str">
        <f>IF(Agent05_Loans!B23="","",Agent05_Loans!G23)</f>
        <v/>
      </c>
      <c r="H813" s="37" t="str">
        <f>IF(Agent05_Loans!B23="","",Agent05_Loans!H23)</f>
        <v/>
      </c>
      <c r="I813" s="40" t="str">
        <f>IF(Agent05_Loans!B23="","",Agent05_Loans!I23)</f>
        <v/>
      </c>
      <c r="J813" s="40" t="str">
        <f>IF(Agent05_Loans!B23="","",Agent05_Loans!J23)</f>
        <v/>
      </c>
      <c r="K813" s="37" t="str">
        <f>IF(Agent05_Loans!B23="","",Agent05_Loans!K23)</f>
        <v/>
      </c>
      <c r="L813" s="37" t="str">
        <f>IF(Agent05_Loans!B23="","",Agent05_Loans!L23)</f>
        <v/>
      </c>
      <c r="M813" s="37" t="str">
        <f>IFERROR(IF(Agent05_Loans!B23="","",YEAR(Agent05_Loans!D23)),"")</f>
        <v/>
      </c>
    </row>
    <row r="814" spans="1:13" ht="18" customHeight="1" x14ac:dyDescent="0.25">
      <c r="A814" s="37" t="str">
        <f>IF(Agent05_Loans!B24="","",Agent05_Loans!A24)</f>
        <v/>
      </c>
      <c r="B814" s="37" t="str">
        <f>IF(Agent05_Loans!B24="","",Agent05_Loans!B24)</f>
        <v/>
      </c>
      <c r="C814" s="37" t="str">
        <f>IF(Agent05_Loans!B24="","",Agent05_Loans!C24)</f>
        <v/>
      </c>
      <c r="D814" s="38" t="str">
        <f>IF(Agent05_Loans!B24="","",Agent05_Loans!D24)</f>
        <v/>
      </c>
      <c r="E814" s="40" t="str">
        <f>IF(Agent05_Loans!B24="","",Agent05_Loans!E24)</f>
        <v/>
      </c>
      <c r="F814" s="37" t="str">
        <f>IF(Agent05_Loans!B24="","",Agent05_Loans!F24)</f>
        <v/>
      </c>
      <c r="G814" s="37" t="str">
        <f>IF(Agent05_Loans!B24="","",Agent05_Loans!G24)</f>
        <v/>
      </c>
      <c r="H814" s="37" t="str">
        <f>IF(Agent05_Loans!B24="","",Agent05_Loans!H24)</f>
        <v/>
      </c>
      <c r="I814" s="40" t="str">
        <f>IF(Agent05_Loans!B24="","",Agent05_Loans!I24)</f>
        <v/>
      </c>
      <c r="J814" s="40" t="str">
        <f>IF(Agent05_Loans!B24="","",Agent05_Loans!J24)</f>
        <v/>
      </c>
      <c r="K814" s="37" t="str">
        <f>IF(Agent05_Loans!B24="","",Agent05_Loans!K24)</f>
        <v/>
      </c>
      <c r="L814" s="37" t="str">
        <f>IF(Agent05_Loans!B24="","",Agent05_Loans!L24)</f>
        <v/>
      </c>
      <c r="M814" s="37" t="str">
        <f>IFERROR(IF(Agent05_Loans!B24="","",YEAR(Agent05_Loans!D24)),"")</f>
        <v/>
      </c>
    </row>
    <row r="815" spans="1:13" ht="18" customHeight="1" x14ac:dyDescent="0.25">
      <c r="A815" s="37" t="str">
        <f>IF(Agent05_Loans!B25="","",Agent05_Loans!A25)</f>
        <v/>
      </c>
      <c r="B815" s="37" t="str">
        <f>IF(Agent05_Loans!B25="","",Agent05_Loans!B25)</f>
        <v/>
      </c>
      <c r="C815" s="37" t="str">
        <f>IF(Agent05_Loans!B25="","",Agent05_Loans!C25)</f>
        <v/>
      </c>
      <c r="D815" s="38" t="str">
        <f>IF(Agent05_Loans!B25="","",Agent05_Loans!D25)</f>
        <v/>
      </c>
      <c r="E815" s="40" t="str">
        <f>IF(Agent05_Loans!B25="","",Agent05_Loans!E25)</f>
        <v/>
      </c>
      <c r="F815" s="37" t="str">
        <f>IF(Agent05_Loans!B25="","",Agent05_Loans!F25)</f>
        <v/>
      </c>
      <c r="G815" s="37" t="str">
        <f>IF(Agent05_Loans!B25="","",Agent05_Loans!G25)</f>
        <v/>
      </c>
      <c r="H815" s="37" t="str">
        <f>IF(Agent05_Loans!B25="","",Agent05_Loans!H25)</f>
        <v/>
      </c>
      <c r="I815" s="40" t="str">
        <f>IF(Agent05_Loans!B25="","",Agent05_Loans!I25)</f>
        <v/>
      </c>
      <c r="J815" s="40" t="str">
        <f>IF(Agent05_Loans!B25="","",Agent05_Loans!J25)</f>
        <v/>
      </c>
      <c r="K815" s="37" t="str">
        <f>IF(Agent05_Loans!B25="","",Agent05_Loans!K25)</f>
        <v/>
      </c>
      <c r="L815" s="37" t="str">
        <f>IF(Agent05_Loans!B25="","",Agent05_Loans!L25)</f>
        <v/>
      </c>
      <c r="M815" s="37" t="str">
        <f>IFERROR(IF(Agent05_Loans!B25="","",YEAR(Agent05_Loans!D25)),"")</f>
        <v/>
      </c>
    </row>
    <row r="816" spans="1:13" ht="18" customHeight="1" x14ac:dyDescent="0.25">
      <c r="A816" s="37" t="str">
        <f>IF(Agent05_Loans!B26="","",Agent05_Loans!A26)</f>
        <v/>
      </c>
      <c r="B816" s="37" t="str">
        <f>IF(Agent05_Loans!B26="","",Agent05_Loans!B26)</f>
        <v/>
      </c>
      <c r="C816" s="37" t="str">
        <f>IF(Agent05_Loans!B26="","",Agent05_Loans!C26)</f>
        <v/>
      </c>
      <c r="D816" s="38" t="str">
        <f>IF(Agent05_Loans!B26="","",Agent05_Loans!D26)</f>
        <v/>
      </c>
      <c r="E816" s="40" t="str">
        <f>IF(Agent05_Loans!B26="","",Agent05_Loans!E26)</f>
        <v/>
      </c>
      <c r="F816" s="37" t="str">
        <f>IF(Agent05_Loans!B26="","",Agent05_Loans!F26)</f>
        <v/>
      </c>
      <c r="G816" s="37" t="str">
        <f>IF(Agent05_Loans!B26="","",Agent05_Loans!G26)</f>
        <v/>
      </c>
      <c r="H816" s="37" t="str">
        <f>IF(Agent05_Loans!B26="","",Agent05_Loans!H26)</f>
        <v/>
      </c>
      <c r="I816" s="40" t="str">
        <f>IF(Agent05_Loans!B26="","",Agent05_Loans!I26)</f>
        <v/>
      </c>
      <c r="J816" s="40" t="str">
        <f>IF(Agent05_Loans!B26="","",Agent05_Loans!J26)</f>
        <v/>
      </c>
      <c r="K816" s="37" t="str">
        <f>IF(Agent05_Loans!B26="","",Agent05_Loans!K26)</f>
        <v/>
      </c>
      <c r="L816" s="37" t="str">
        <f>IF(Agent05_Loans!B26="","",Agent05_Loans!L26)</f>
        <v/>
      </c>
      <c r="M816" s="37" t="str">
        <f>IFERROR(IF(Agent05_Loans!B26="","",YEAR(Agent05_Loans!D26)),"")</f>
        <v/>
      </c>
    </row>
    <row r="817" spans="1:13" ht="18" customHeight="1" x14ac:dyDescent="0.25">
      <c r="A817" s="37" t="str">
        <f>IF(Agent05_Loans!B27="","",Agent05_Loans!A27)</f>
        <v/>
      </c>
      <c r="B817" s="37" t="str">
        <f>IF(Agent05_Loans!B27="","",Agent05_Loans!B27)</f>
        <v/>
      </c>
      <c r="C817" s="37" t="str">
        <f>IF(Agent05_Loans!B27="","",Agent05_Loans!C27)</f>
        <v/>
      </c>
      <c r="D817" s="38" t="str">
        <f>IF(Agent05_Loans!B27="","",Agent05_Loans!D27)</f>
        <v/>
      </c>
      <c r="E817" s="40" t="str">
        <f>IF(Agent05_Loans!B27="","",Agent05_Loans!E27)</f>
        <v/>
      </c>
      <c r="F817" s="37" t="str">
        <f>IF(Agent05_Loans!B27="","",Agent05_Loans!F27)</f>
        <v/>
      </c>
      <c r="G817" s="37" t="str">
        <f>IF(Agent05_Loans!B27="","",Agent05_Loans!G27)</f>
        <v/>
      </c>
      <c r="H817" s="37" t="str">
        <f>IF(Agent05_Loans!B27="","",Agent05_Loans!H27)</f>
        <v/>
      </c>
      <c r="I817" s="40" t="str">
        <f>IF(Agent05_Loans!B27="","",Agent05_Loans!I27)</f>
        <v/>
      </c>
      <c r="J817" s="40" t="str">
        <f>IF(Agent05_Loans!B27="","",Agent05_Loans!J27)</f>
        <v/>
      </c>
      <c r="K817" s="37" t="str">
        <f>IF(Agent05_Loans!B27="","",Agent05_Loans!K27)</f>
        <v/>
      </c>
      <c r="L817" s="37" t="str">
        <f>IF(Agent05_Loans!B27="","",Agent05_Loans!L27)</f>
        <v/>
      </c>
      <c r="M817" s="37" t="str">
        <f>IFERROR(IF(Agent05_Loans!B27="","",YEAR(Agent05_Loans!D27)),"")</f>
        <v/>
      </c>
    </row>
    <row r="818" spans="1:13" ht="18" customHeight="1" x14ac:dyDescent="0.25">
      <c r="A818" s="37" t="str">
        <f>IF(Agent05_Loans!B28="","",Agent05_Loans!A28)</f>
        <v/>
      </c>
      <c r="B818" s="37" t="str">
        <f>IF(Agent05_Loans!B28="","",Agent05_Loans!B28)</f>
        <v/>
      </c>
      <c r="C818" s="37" t="str">
        <f>IF(Agent05_Loans!B28="","",Agent05_Loans!C28)</f>
        <v/>
      </c>
      <c r="D818" s="38" t="str">
        <f>IF(Agent05_Loans!B28="","",Agent05_Loans!D28)</f>
        <v/>
      </c>
      <c r="E818" s="40" t="str">
        <f>IF(Agent05_Loans!B28="","",Agent05_Loans!E28)</f>
        <v/>
      </c>
      <c r="F818" s="37" t="str">
        <f>IF(Agent05_Loans!B28="","",Agent05_Loans!F28)</f>
        <v/>
      </c>
      <c r="G818" s="37" t="str">
        <f>IF(Agent05_Loans!B28="","",Agent05_Loans!G28)</f>
        <v/>
      </c>
      <c r="H818" s="37" t="str">
        <f>IF(Agent05_Loans!B28="","",Agent05_Loans!H28)</f>
        <v/>
      </c>
      <c r="I818" s="40" t="str">
        <f>IF(Agent05_Loans!B28="","",Agent05_Loans!I28)</f>
        <v/>
      </c>
      <c r="J818" s="40" t="str">
        <f>IF(Agent05_Loans!B28="","",Agent05_Loans!J28)</f>
        <v/>
      </c>
      <c r="K818" s="37" t="str">
        <f>IF(Agent05_Loans!B28="","",Agent05_Loans!K28)</f>
        <v/>
      </c>
      <c r="L818" s="37" t="str">
        <f>IF(Agent05_Loans!B28="","",Agent05_Loans!L28)</f>
        <v/>
      </c>
      <c r="M818" s="37" t="str">
        <f>IFERROR(IF(Agent05_Loans!B28="","",YEAR(Agent05_Loans!D28)),"")</f>
        <v/>
      </c>
    </row>
    <row r="819" spans="1:13" ht="18" customHeight="1" x14ac:dyDescent="0.25">
      <c r="A819" s="37" t="str">
        <f>IF(Agent05_Loans!B29="","",Agent05_Loans!A29)</f>
        <v/>
      </c>
      <c r="B819" s="37" t="str">
        <f>IF(Agent05_Loans!B29="","",Agent05_Loans!B29)</f>
        <v/>
      </c>
      <c r="C819" s="37" t="str">
        <f>IF(Agent05_Loans!B29="","",Agent05_Loans!C29)</f>
        <v/>
      </c>
      <c r="D819" s="38" t="str">
        <f>IF(Agent05_Loans!B29="","",Agent05_Loans!D29)</f>
        <v/>
      </c>
      <c r="E819" s="40" t="str">
        <f>IF(Agent05_Loans!B29="","",Agent05_Loans!E29)</f>
        <v/>
      </c>
      <c r="F819" s="37" t="str">
        <f>IF(Agent05_Loans!B29="","",Agent05_Loans!F29)</f>
        <v/>
      </c>
      <c r="G819" s="37" t="str">
        <f>IF(Agent05_Loans!B29="","",Agent05_Loans!G29)</f>
        <v/>
      </c>
      <c r="H819" s="37" t="str">
        <f>IF(Agent05_Loans!B29="","",Agent05_Loans!H29)</f>
        <v/>
      </c>
      <c r="I819" s="40" t="str">
        <f>IF(Agent05_Loans!B29="","",Agent05_Loans!I29)</f>
        <v/>
      </c>
      <c r="J819" s="40" t="str">
        <f>IF(Agent05_Loans!B29="","",Agent05_Loans!J29)</f>
        <v/>
      </c>
      <c r="K819" s="37" t="str">
        <f>IF(Agent05_Loans!B29="","",Agent05_Loans!K29)</f>
        <v/>
      </c>
      <c r="L819" s="37" t="str">
        <f>IF(Agent05_Loans!B29="","",Agent05_Loans!L29)</f>
        <v/>
      </c>
      <c r="M819" s="37" t="str">
        <f>IFERROR(IF(Agent05_Loans!B29="","",YEAR(Agent05_Loans!D29)),"")</f>
        <v/>
      </c>
    </row>
    <row r="820" spans="1:13" ht="18" customHeight="1" x14ac:dyDescent="0.25">
      <c r="A820" s="37" t="str">
        <f>IF(Agent05_Loans!B30="","",Agent05_Loans!A30)</f>
        <v/>
      </c>
      <c r="B820" s="37" t="str">
        <f>IF(Agent05_Loans!B30="","",Agent05_Loans!B30)</f>
        <v/>
      </c>
      <c r="C820" s="37" t="str">
        <f>IF(Agent05_Loans!B30="","",Agent05_Loans!C30)</f>
        <v/>
      </c>
      <c r="D820" s="38" t="str">
        <f>IF(Agent05_Loans!B30="","",Agent05_Loans!D30)</f>
        <v/>
      </c>
      <c r="E820" s="40" t="str">
        <f>IF(Agent05_Loans!B30="","",Agent05_Loans!E30)</f>
        <v/>
      </c>
      <c r="F820" s="37" t="str">
        <f>IF(Agent05_Loans!B30="","",Agent05_Loans!F30)</f>
        <v/>
      </c>
      <c r="G820" s="37" t="str">
        <f>IF(Agent05_Loans!B30="","",Agent05_Loans!G30)</f>
        <v/>
      </c>
      <c r="H820" s="37" t="str">
        <f>IF(Agent05_Loans!B30="","",Agent05_Loans!H30)</f>
        <v/>
      </c>
      <c r="I820" s="40" t="str">
        <f>IF(Agent05_Loans!B30="","",Agent05_Loans!I30)</f>
        <v/>
      </c>
      <c r="J820" s="40" t="str">
        <f>IF(Agent05_Loans!B30="","",Agent05_Loans!J30)</f>
        <v/>
      </c>
      <c r="K820" s="37" t="str">
        <f>IF(Agent05_Loans!B30="","",Agent05_Loans!K30)</f>
        <v/>
      </c>
      <c r="L820" s="37" t="str">
        <f>IF(Agent05_Loans!B30="","",Agent05_Loans!L30)</f>
        <v/>
      </c>
      <c r="M820" s="37" t="str">
        <f>IFERROR(IF(Agent05_Loans!B30="","",YEAR(Agent05_Loans!D30)),"")</f>
        <v/>
      </c>
    </row>
    <row r="821" spans="1:13" ht="18" customHeight="1" x14ac:dyDescent="0.25">
      <c r="A821" s="37" t="str">
        <f>IF(Agent05_Loans!B31="","",Agent05_Loans!A31)</f>
        <v/>
      </c>
      <c r="B821" s="37" t="str">
        <f>IF(Agent05_Loans!B31="","",Agent05_Loans!B31)</f>
        <v/>
      </c>
      <c r="C821" s="37" t="str">
        <f>IF(Agent05_Loans!B31="","",Agent05_Loans!C31)</f>
        <v/>
      </c>
      <c r="D821" s="38" t="str">
        <f>IF(Agent05_Loans!B31="","",Agent05_Loans!D31)</f>
        <v/>
      </c>
      <c r="E821" s="40" t="str">
        <f>IF(Agent05_Loans!B31="","",Agent05_Loans!E31)</f>
        <v/>
      </c>
      <c r="F821" s="37" t="str">
        <f>IF(Agent05_Loans!B31="","",Agent05_Loans!F31)</f>
        <v/>
      </c>
      <c r="G821" s="37" t="str">
        <f>IF(Agent05_Loans!B31="","",Agent05_Loans!G31)</f>
        <v/>
      </c>
      <c r="H821" s="37" t="str">
        <f>IF(Agent05_Loans!B31="","",Agent05_Loans!H31)</f>
        <v/>
      </c>
      <c r="I821" s="40" t="str">
        <f>IF(Agent05_Loans!B31="","",Agent05_Loans!I31)</f>
        <v/>
      </c>
      <c r="J821" s="40" t="str">
        <f>IF(Agent05_Loans!B31="","",Agent05_Loans!J31)</f>
        <v/>
      </c>
      <c r="K821" s="37" t="str">
        <f>IF(Agent05_Loans!B31="","",Agent05_Loans!K31)</f>
        <v/>
      </c>
      <c r="L821" s="37" t="str">
        <f>IF(Agent05_Loans!B31="","",Agent05_Loans!L31)</f>
        <v/>
      </c>
      <c r="M821" s="37" t="str">
        <f>IFERROR(IF(Agent05_Loans!B31="","",YEAR(Agent05_Loans!D31)),"")</f>
        <v/>
      </c>
    </row>
    <row r="822" spans="1:13" ht="18" customHeight="1" x14ac:dyDescent="0.25">
      <c r="A822" s="37" t="str">
        <f>IF(Agent05_Loans!B32="","",Agent05_Loans!A32)</f>
        <v/>
      </c>
      <c r="B822" s="37" t="str">
        <f>IF(Agent05_Loans!B32="","",Agent05_Loans!B32)</f>
        <v/>
      </c>
      <c r="C822" s="37" t="str">
        <f>IF(Agent05_Loans!B32="","",Agent05_Loans!C32)</f>
        <v/>
      </c>
      <c r="D822" s="38" t="str">
        <f>IF(Agent05_Loans!B32="","",Agent05_Loans!D32)</f>
        <v/>
      </c>
      <c r="E822" s="40" t="str">
        <f>IF(Agent05_Loans!B32="","",Agent05_Loans!E32)</f>
        <v/>
      </c>
      <c r="F822" s="37" t="str">
        <f>IF(Agent05_Loans!B32="","",Agent05_Loans!F32)</f>
        <v/>
      </c>
      <c r="G822" s="37" t="str">
        <f>IF(Agent05_Loans!B32="","",Agent05_Loans!G32)</f>
        <v/>
      </c>
      <c r="H822" s="37" t="str">
        <f>IF(Agent05_Loans!B32="","",Agent05_Loans!H32)</f>
        <v/>
      </c>
      <c r="I822" s="40" t="str">
        <f>IF(Agent05_Loans!B32="","",Agent05_Loans!I32)</f>
        <v/>
      </c>
      <c r="J822" s="40" t="str">
        <f>IF(Agent05_Loans!B32="","",Agent05_Loans!J32)</f>
        <v/>
      </c>
      <c r="K822" s="37" t="str">
        <f>IF(Agent05_Loans!B32="","",Agent05_Loans!K32)</f>
        <v/>
      </c>
      <c r="L822" s="37" t="str">
        <f>IF(Agent05_Loans!B32="","",Agent05_Loans!L32)</f>
        <v/>
      </c>
      <c r="M822" s="37" t="str">
        <f>IFERROR(IF(Agent05_Loans!B32="","",YEAR(Agent05_Loans!D32)),"")</f>
        <v/>
      </c>
    </row>
    <row r="823" spans="1:13" ht="18" customHeight="1" x14ac:dyDescent="0.25">
      <c r="A823" s="37" t="str">
        <f>IF(Agent05_Loans!B33="","",Agent05_Loans!A33)</f>
        <v/>
      </c>
      <c r="B823" s="37" t="str">
        <f>IF(Agent05_Loans!B33="","",Agent05_Loans!B33)</f>
        <v/>
      </c>
      <c r="C823" s="37" t="str">
        <f>IF(Agent05_Loans!B33="","",Agent05_Loans!C33)</f>
        <v/>
      </c>
      <c r="D823" s="38" t="str">
        <f>IF(Agent05_Loans!B33="","",Agent05_Loans!D33)</f>
        <v/>
      </c>
      <c r="E823" s="40" t="str">
        <f>IF(Agent05_Loans!B33="","",Agent05_Loans!E33)</f>
        <v/>
      </c>
      <c r="F823" s="37" t="str">
        <f>IF(Agent05_Loans!B33="","",Agent05_Loans!F33)</f>
        <v/>
      </c>
      <c r="G823" s="37" t="str">
        <f>IF(Agent05_Loans!B33="","",Agent05_Loans!G33)</f>
        <v/>
      </c>
      <c r="H823" s="37" t="str">
        <f>IF(Agent05_Loans!B33="","",Agent05_Loans!H33)</f>
        <v/>
      </c>
      <c r="I823" s="40" t="str">
        <f>IF(Agent05_Loans!B33="","",Agent05_Loans!I33)</f>
        <v/>
      </c>
      <c r="J823" s="40" t="str">
        <f>IF(Agent05_Loans!B33="","",Agent05_Loans!J33)</f>
        <v/>
      </c>
      <c r="K823" s="37" t="str">
        <f>IF(Agent05_Loans!B33="","",Agent05_Loans!K33)</f>
        <v/>
      </c>
      <c r="L823" s="37" t="str">
        <f>IF(Agent05_Loans!B33="","",Agent05_Loans!L33)</f>
        <v/>
      </c>
      <c r="M823" s="37" t="str">
        <f>IFERROR(IF(Agent05_Loans!B33="","",YEAR(Agent05_Loans!D33)),"")</f>
        <v/>
      </c>
    </row>
    <row r="824" spans="1:13" ht="18" customHeight="1" x14ac:dyDescent="0.25">
      <c r="A824" s="37" t="str">
        <f>IF(Agent05_Loans!B34="","",Agent05_Loans!A34)</f>
        <v/>
      </c>
      <c r="B824" s="37" t="str">
        <f>IF(Agent05_Loans!B34="","",Agent05_Loans!B34)</f>
        <v/>
      </c>
      <c r="C824" s="37" t="str">
        <f>IF(Agent05_Loans!B34="","",Agent05_Loans!C34)</f>
        <v/>
      </c>
      <c r="D824" s="38" t="str">
        <f>IF(Agent05_Loans!B34="","",Agent05_Loans!D34)</f>
        <v/>
      </c>
      <c r="E824" s="40" t="str">
        <f>IF(Agent05_Loans!B34="","",Agent05_Loans!E34)</f>
        <v/>
      </c>
      <c r="F824" s="37" t="str">
        <f>IF(Agent05_Loans!B34="","",Agent05_Loans!F34)</f>
        <v/>
      </c>
      <c r="G824" s="37" t="str">
        <f>IF(Agent05_Loans!B34="","",Agent05_Loans!G34)</f>
        <v/>
      </c>
      <c r="H824" s="37" t="str">
        <f>IF(Agent05_Loans!B34="","",Agent05_Loans!H34)</f>
        <v/>
      </c>
      <c r="I824" s="40" t="str">
        <f>IF(Agent05_Loans!B34="","",Agent05_Loans!I34)</f>
        <v/>
      </c>
      <c r="J824" s="40" t="str">
        <f>IF(Agent05_Loans!B34="","",Agent05_Loans!J34)</f>
        <v/>
      </c>
      <c r="K824" s="37" t="str">
        <f>IF(Agent05_Loans!B34="","",Agent05_Loans!K34)</f>
        <v/>
      </c>
      <c r="L824" s="37" t="str">
        <f>IF(Agent05_Loans!B34="","",Agent05_Loans!L34)</f>
        <v/>
      </c>
      <c r="M824" s="37" t="str">
        <f>IFERROR(IF(Agent05_Loans!B34="","",YEAR(Agent05_Loans!D34)),"")</f>
        <v/>
      </c>
    </row>
    <row r="825" spans="1:13" ht="18" customHeight="1" x14ac:dyDescent="0.25">
      <c r="A825" s="37" t="str">
        <f>IF(Agent05_Loans!B35="","",Agent05_Loans!A35)</f>
        <v/>
      </c>
      <c r="B825" s="37" t="str">
        <f>IF(Agent05_Loans!B35="","",Agent05_Loans!B35)</f>
        <v/>
      </c>
      <c r="C825" s="37" t="str">
        <f>IF(Agent05_Loans!B35="","",Agent05_Loans!C35)</f>
        <v/>
      </c>
      <c r="D825" s="38" t="str">
        <f>IF(Agent05_Loans!B35="","",Agent05_Loans!D35)</f>
        <v/>
      </c>
      <c r="E825" s="40" t="str">
        <f>IF(Agent05_Loans!B35="","",Agent05_Loans!E35)</f>
        <v/>
      </c>
      <c r="F825" s="37" t="str">
        <f>IF(Agent05_Loans!B35="","",Agent05_Loans!F35)</f>
        <v/>
      </c>
      <c r="G825" s="37" t="str">
        <f>IF(Agent05_Loans!B35="","",Agent05_Loans!G35)</f>
        <v/>
      </c>
      <c r="H825" s="37" t="str">
        <f>IF(Agent05_Loans!B35="","",Agent05_Loans!H35)</f>
        <v/>
      </c>
      <c r="I825" s="40" t="str">
        <f>IF(Agent05_Loans!B35="","",Agent05_Loans!I35)</f>
        <v/>
      </c>
      <c r="J825" s="40" t="str">
        <f>IF(Agent05_Loans!B35="","",Agent05_Loans!J35)</f>
        <v/>
      </c>
      <c r="K825" s="37" t="str">
        <f>IF(Agent05_Loans!B35="","",Agent05_Loans!K35)</f>
        <v/>
      </c>
      <c r="L825" s="37" t="str">
        <f>IF(Agent05_Loans!B35="","",Agent05_Loans!L35)</f>
        <v/>
      </c>
      <c r="M825" s="37" t="str">
        <f>IFERROR(IF(Agent05_Loans!B35="","",YEAR(Agent05_Loans!D35)),"")</f>
        <v/>
      </c>
    </row>
    <row r="826" spans="1:13" ht="18" customHeight="1" x14ac:dyDescent="0.25">
      <c r="A826" s="37" t="str">
        <f>IF(Agent05_Loans!B36="","",Agent05_Loans!A36)</f>
        <v/>
      </c>
      <c r="B826" s="37" t="str">
        <f>IF(Agent05_Loans!B36="","",Agent05_Loans!B36)</f>
        <v/>
      </c>
      <c r="C826" s="37" t="str">
        <f>IF(Agent05_Loans!B36="","",Agent05_Loans!C36)</f>
        <v/>
      </c>
      <c r="D826" s="38" t="str">
        <f>IF(Agent05_Loans!B36="","",Agent05_Loans!D36)</f>
        <v/>
      </c>
      <c r="E826" s="40" t="str">
        <f>IF(Agent05_Loans!B36="","",Agent05_Loans!E36)</f>
        <v/>
      </c>
      <c r="F826" s="37" t="str">
        <f>IF(Agent05_Loans!B36="","",Agent05_Loans!F36)</f>
        <v/>
      </c>
      <c r="G826" s="37" t="str">
        <f>IF(Agent05_Loans!B36="","",Agent05_Loans!G36)</f>
        <v/>
      </c>
      <c r="H826" s="37" t="str">
        <f>IF(Agent05_Loans!B36="","",Agent05_Loans!H36)</f>
        <v/>
      </c>
      <c r="I826" s="40" t="str">
        <f>IF(Agent05_Loans!B36="","",Agent05_Loans!I36)</f>
        <v/>
      </c>
      <c r="J826" s="40" t="str">
        <f>IF(Agent05_Loans!B36="","",Agent05_Loans!J36)</f>
        <v/>
      </c>
      <c r="K826" s="37" t="str">
        <f>IF(Agent05_Loans!B36="","",Agent05_Loans!K36)</f>
        <v/>
      </c>
      <c r="L826" s="37" t="str">
        <f>IF(Agent05_Loans!B36="","",Agent05_Loans!L36)</f>
        <v/>
      </c>
      <c r="M826" s="37" t="str">
        <f>IFERROR(IF(Agent05_Loans!B36="","",YEAR(Agent05_Loans!D36)),"")</f>
        <v/>
      </c>
    </row>
    <row r="827" spans="1:13" ht="18" customHeight="1" x14ac:dyDescent="0.25">
      <c r="A827" s="37" t="str">
        <f>IF(Agent05_Loans!B37="","",Agent05_Loans!A37)</f>
        <v/>
      </c>
      <c r="B827" s="37" t="str">
        <f>IF(Agent05_Loans!B37="","",Agent05_Loans!B37)</f>
        <v/>
      </c>
      <c r="C827" s="37" t="str">
        <f>IF(Agent05_Loans!B37="","",Agent05_Loans!C37)</f>
        <v/>
      </c>
      <c r="D827" s="38" t="str">
        <f>IF(Agent05_Loans!B37="","",Agent05_Loans!D37)</f>
        <v/>
      </c>
      <c r="E827" s="40" t="str">
        <f>IF(Agent05_Loans!B37="","",Agent05_Loans!E37)</f>
        <v/>
      </c>
      <c r="F827" s="37" t="str">
        <f>IF(Agent05_Loans!B37="","",Agent05_Loans!F37)</f>
        <v/>
      </c>
      <c r="G827" s="37" t="str">
        <f>IF(Agent05_Loans!B37="","",Agent05_Loans!G37)</f>
        <v/>
      </c>
      <c r="H827" s="37" t="str">
        <f>IF(Agent05_Loans!B37="","",Agent05_Loans!H37)</f>
        <v/>
      </c>
      <c r="I827" s="40" t="str">
        <f>IF(Agent05_Loans!B37="","",Agent05_Loans!I37)</f>
        <v/>
      </c>
      <c r="J827" s="40" t="str">
        <f>IF(Agent05_Loans!B37="","",Agent05_Loans!J37)</f>
        <v/>
      </c>
      <c r="K827" s="37" t="str">
        <f>IF(Agent05_Loans!B37="","",Agent05_Loans!K37)</f>
        <v/>
      </c>
      <c r="L827" s="37" t="str">
        <f>IF(Agent05_Loans!B37="","",Agent05_Loans!L37)</f>
        <v/>
      </c>
      <c r="M827" s="37" t="str">
        <f>IFERROR(IF(Agent05_Loans!B37="","",YEAR(Agent05_Loans!D37)),"")</f>
        <v/>
      </c>
    </row>
    <row r="828" spans="1:13" ht="18" customHeight="1" x14ac:dyDescent="0.25">
      <c r="A828" s="37" t="str">
        <f>IF(Agent05_Loans!B38="","",Agent05_Loans!A38)</f>
        <v/>
      </c>
      <c r="B828" s="37" t="str">
        <f>IF(Agent05_Loans!B38="","",Agent05_Loans!B38)</f>
        <v/>
      </c>
      <c r="C828" s="37" t="str">
        <f>IF(Agent05_Loans!B38="","",Agent05_Loans!C38)</f>
        <v/>
      </c>
      <c r="D828" s="38" t="str">
        <f>IF(Agent05_Loans!B38="","",Agent05_Loans!D38)</f>
        <v/>
      </c>
      <c r="E828" s="40" t="str">
        <f>IF(Agent05_Loans!B38="","",Agent05_Loans!E38)</f>
        <v/>
      </c>
      <c r="F828" s="37" t="str">
        <f>IF(Agent05_Loans!B38="","",Agent05_Loans!F38)</f>
        <v/>
      </c>
      <c r="G828" s="37" t="str">
        <f>IF(Agent05_Loans!B38="","",Agent05_Loans!G38)</f>
        <v/>
      </c>
      <c r="H828" s="37" t="str">
        <f>IF(Agent05_Loans!B38="","",Agent05_Loans!H38)</f>
        <v/>
      </c>
      <c r="I828" s="40" t="str">
        <f>IF(Agent05_Loans!B38="","",Agent05_Loans!I38)</f>
        <v/>
      </c>
      <c r="J828" s="40" t="str">
        <f>IF(Agent05_Loans!B38="","",Agent05_Loans!J38)</f>
        <v/>
      </c>
      <c r="K828" s="37" t="str">
        <f>IF(Agent05_Loans!B38="","",Agent05_Loans!K38)</f>
        <v/>
      </c>
      <c r="L828" s="37" t="str">
        <f>IF(Agent05_Loans!B38="","",Agent05_Loans!L38)</f>
        <v/>
      </c>
      <c r="M828" s="37" t="str">
        <f>IFERROR(IF(Agent05_Loans!B38="","",YEAR(Agent05_Loans!D38)),"")</f>
        <v/>
      </c>
    </row>
    <row r="829" spans="1:13" ht="18" customHeight="1" x14ac:dyDescent="0.25">
      <c r="A829" s="37" t="str">
        <f>IF(Agent05_Loans!B39="","",Agent05_Loans!A39)</f>
        <v/>
      </c>
      <c r="B829" s="37" t="str">
        <f>IF(Agent05_Loans!B39="","",Agent05_Loans!B39)</f>
        <v/>
      </c>
      <c r="C829" s="37" t="str">
        <f>IF(Agent05_Loans!B39="","",Agent05_Loans!C39)</f>
        <v/>
      </c>
      <c r="D829" s="38" t="str">
        <f>IF(Agent05_Loans!B39="","",Agent05_Loans!D39)</f>
        <v/>
      </c>
      <c r="E829" s="40" t="str">
        <f>IF(Agent05_Loans!B39="","",Agent05_Loans!E39)</f>
        <v/>
      </c>
      <c r="F829" s="37" t="str">
        <f>IF(Agent05_Loans!B39="","",Agent05_Loans!F39)</f>
        <v/>
      </c>
      <c r="G829" s="37" t="str">
        <f>IF(Agent05_Loans!B39="","",Agent05_Loans!G39)</f>
        <v/>
      </c>
      <c r="H829" s="37" t="str">
        <f>IF(Agent05_Loans!B39="","",Agent05_Loans!H39)</f>
        <v/>
      </c>
      <c r="I829" s="40" t="str">
        <f>IF(Agent05_Loans!B39="","",Agent05_Loans!I39)</f>
        <v/>
      </c>
      <c r="J829" s="40" t="str">
        <f>IF(Agent05_Loans!B39="","",Agent05_Loans!J39)</f>
        <v/>
      </c>
      <c r="K829" s="37" t="str">
        <f>IF(Agent05_Loans!B39="","",Agent05_Loans!K39)</f>
        <v/>
      </c>
      <c r="L829" s="37" t="str">
        <f>IF(Agent05_Loans!B39="","",Agent05_Loans!L39)</f>
        <v/>
      </c>
      <c r="M829" s="37" t="str">
        <f>IFERROR(IF(Agent05_Loans!B39="","",YEAR(Agent05_Loans!D39)),"")</f>
        <v/>
      </c>
    </row>
    <row r="830" spans="1:13" ht="18" customHeight="1" x14ac:dyDescent="0.25">
      <c r="A830" s="37" t="str">
        <f>IF(Agent05_Loans!B40="","",Agent05_Loans!A40)</f>
        <v/>
      </c>
      <c r="B830" s="37" t="str">
        <f>IF(Agent05_Loans!B40="","",Agent05_Loans!B40)</f>
        <v/>
      </c>
      <c r="C830" s="37" t="str">
        <f>IF(Agent05_Loans!B40="","",Agent05_Loans!C40)</f>
        <v/>
      </c>
      <c r="D830" s="38" t="str">
        <f>IF(Agent05_Loans!B40="","",Agent05_Loans!D40)</f>
        <v/>
      </c>
      <c r="E830" s="40" t="str">
        <f>IF(Agent05_Loans!B40="","",Agent05_Loans!E40)</f>
        <v/>
      </c>
      <c r="F830" s="37" t="str">
        <f>IF(Agent05_Loans!B40="","",Agent05_Loans!F40)</f>
        <v/>
      </c>
      <c r="G830" s="37" t="str">
        <f>IF(Agent05_Loans!B40="","",Agent05_Loans!G40)</f>
        <v/>
      </c>
      <c r="H830" s="37" t="str">
        <f>IF(Agent05_Loans!B40="","",Agent05_Loans!H40)</f>
        <v/>
      </c>
      <c r="I830" s="40" t="str">
        <f>IF(Agent05_Loans!B40="","",Agent05_Loans!I40)</f>
        <v/>
      </c>
      <c r="J830" s="40" t="str">
        <f>IF(Agent05_Loans!B40="","",Agent05_Loans!J40)</f>
        <v/>
      </c>
      <c r="K830" s="37" t="str">
        <f>IF(Agent05_Loans!B40="","",Agent05_Loans!K40)</f>
        <v/>
      </c>
      <c r="L830" s="37" t="str">
        <f>IF(Agent05_Loans!B40="","",Agent05_Loans!L40)</f>
        <v/>
      </c>
      <c r="M830" s="37" t="str">
        <f>IFERROR(IF(Agent05_Loans!B40="","",YEAR(Agent05_Loans!D40)),"")</f>
        <v/>
      </c>
    </row>
    <row r="831" spans="1:13" ht="18" customHeight="1" x14ac:dyDescent="0.25">
      <c r="A831" s="37" t="str">
        <f>IF(Agent05_Loans!B41="","",Agent05_Loans!A41)</f>
        <v/>
      </c>
      <c r="B831" s="37" t="str">
        <f>IF(Agent05_Loans!B41="","",Agent05_Loans!B41)</f>
        <v/>
      </c>
      <c r="C831" s="37" t="str">
        <f>IF(Agent05_Loans!B41="","",Agent05_Loans!C41)</f>
        <v/>
      </c>
      <c r="D831" s="38" t="str">
        <f>IF(Agent05_Loans!B41="","",Agent05_Loans!D41)</f>
        <v/>
      </c>
      <c r="E831" s="40" t="str">
        <f>IF(Agent05_Loans!B41="","",Agent05_Loans!E41)</f>
        <v/>
      </c>
      <c r="F831" s="37" t="str">
        <f>IF(Agent05_Loans!B41="","",Agent05_Loans!F41)</f>
        <v/>
      </c>
      <c r="G831" s="37" t="str">
        <f>IF(Agent05_Loans!B41="","",Agent05_Loans!G41)</f>
        <v/>
      </c>
      <c r="H831" s="37" t="str">
        <f>IF(Agent05_Loans!B41="","",Agent05_Loans!H41)</f>
        <v/>
      </c>
      <c r="I831" s="40" t="str">
        <f>IF(Agent05_Loans!B41="","",Agent05_Loans!I41)</f>
        <v/>
      </c>
      <c r="J831" s="40" t="str">
        <f>IF(Agent05_Loans!B41="","",Agent05_Loans!J41)</f>
        <v/>
      </c>
      <c r="K831" s="37" t="str">
        <f>IF(Agent05_Loans!B41="","",Agent05_Loans!K41)</f>
        <v/>
      </c>
      <c r="L831" s="37" t="str">
        <f>IF(Agent05_Loans!B41="","",Agent05_Loans!L41)</f>
        <v/>
      </c>
      <c r="M831" s="37" t="str">
        <f>IFERROR(IF(Agent05_Loans!B41="","",YEAR(Agent05_Loans!D41)),"")</f>
        <v/>
      </c>
    </row>
    <row r="832" spans="1:13" ht="18" customHeight="1" x14ac:dyDescent="0.25">
      <c r="A832" s="37" t="str">
        <f>IF(Agent05_Loans!B42="","",Agent05_Loans!A42)</f>
        <v/>
      </c>
      <c r="B832" s="37" t="str">
        <f>IF(Agent05_Loans!B42="","",Agent05_Loans!B42)</f>
        <v/>
      </c>
      <c r="C832" s="37" t="str">
        <f>IF(Agent05_Loans!B42="","",Agent05_Loans!C42)</f>
        <v/>
      </c>
      <c r="D832" s="38" t="str">
        <f>IF(Agent05_Loans!B42="","",Agent05_Loans!D42)</f>
        <v/>
      </c>
      <c r="E832" s="40" t="str">
        <f>IF(Agent05_Loans!B42="","",Agent05_Loans!E42)</f>
        <v/>
      </c>
      <c r="F832" s="37" t="str">
        <f>IF(Agent05_Loans!B42="","",Agent05_Loans!F42)</f>
        <v/>
      </c>
      <c r="G832" s="37" t="str">
        <f>IF(Agent05_Loans!B42="","",Agent05_Loans!G42)</f>
        <v/>
      </c>
      <c r="H832" s="37" t="str">
        <f>IF(Agent05_Loans!B42="","",Agent05_Loans!H42)</f>
        <v/>
      </c>
      <c r="I832" s="40" t="str">
        <f>IF(Agent05_Loans!B42="","",Agent05_Loans!I42)</f>
        <v/>
      </c>
      <c r="J832" s="40" t="str">
        <f>IF(Agent05_Loans!B42="","",Agent05_Loans!J42)</f>
        <v/>
      </c>
      <c r="K832" s="37" t="str">
        <f>IF(Agent05_Loans!B42="","",Agent05_Loans!K42)</f>
        <v/>
      </c>
      <c r="L832" s="37" t="str">
        <f>IF(Agent05_Loans!B42="","",Agent05_Loans!L42)</f>
        <v/>
      </c>
      <c r="M832" s="37" t="str">
        <f>IFERROR(IF(Agent05_Loans!B42="","",YEAR(Agent05_Loans!D42)),"")</f>
        <v/>
      </c>
    </row>
    <row r="833" spans="1:13" ht="18" customHeight="1" x14ac:dyDescent="0.25">
      <c r="A833" s="37" t="str">
        <f>IF(Agent05_Loans!B43="","",Agent05_Loans!A43)</f>
        <v/>
      </c>
      <c r="B833" s="37" t="str">
        <f>IF(Agent05_Loans!B43="","",Agent05_Loans!B43)</f>
        <v/>
      </c>
      <c r="C833" s="37" t="str">
        <f>IF(Agent05_Loans!B43="","",Agent05_Loans!C43)</f>
        <v/>
      </c>
      <c r="D833" s="38" t="str">
        <f>IF(Agent05_Loans!B43="","",Agent05_Loans!D43)</f>
        <v/>
      </c>
      <c r="E833" s="40" t="str">
        <f>IF(Agent05_Loans!B43="","",Agent05_Loans!E43)</f>
        <v/>
      </c>
      <c r="F833" s="37" t="str">
        <f>IF(Agent05_Loans!B43="","",Agent05_Loans!F43)</f>
        <v/>
      </c>
      <c r="G833" s="37" t="str">
        <f>IF(Agent05_Loans!B43="","",Agent05_Loans!G43)</f>
        <v/>
      </c>
      <c r="H833" s="37" t="str">
        <f>IF(Agent05_Loans!B43="","",Agent05_Loans!H43)</f>
        <v/>
      </c>
      <c r="I833" s="40" t="str">
        <f>IF(Agent05_Loans!B43="","",Agent05_Loans!I43)</f>
        <v/>
      </c>
      <c r="J833" s="40" t="str">
        <f>IF(Agent05_Loans!B43="","",Agent05_Loans!J43)</f>
        <v/>
      </c>
      <c r="K833" s="37" t="str">
        <f>IF(Agent05_Loans!B43="","",Agent05_Loans!K43)</f>
        <v/>
      </c>
      <c r="L833" s="37" t="str">
        <f>IF(Agent05_Loans!B43="","",Agent05_Loans!L43)</f>
        <v/>
      </c>
      <c r="M833" s="37" t="str">
        <f>IFERROR(IF(Agent05_Loans!B43="","",YEAR(Agent05_Loans!D43)),"")</f>
        <v/>
      </c>
    </row>
    <row r="834" spans="1:13" ht="18" customHeight="1" x14ac:dyDescent="0.25">
      <c r="A834" s="37" t="str">
        <f>IF(Agent05_Loans!B44="","",Agent05_Loans!A44)</f>
        <v/>
      </c>
      <c r="B834" s="37" t="str">
        <f>IF(Agent05_Loans!B44="","",Agent05_Loans!B44)</f>
        <v/>
      </c>
      <c r="C834" s="37" t="str">
        <f>IF(Agent05_Loans!B44="","",Agent05_Loans!C44)</f>
        <v/>
      </c>
      <c r="D834" s="38" t="str">
        <f>IF(Agent05_Loans!B44="","",Agent05_Loans!D44)</f>
        <v/>
      </c>
      <c r="E834" s="40" t="str">
        <f>IF(Agent05_Loans!B44="","",Agent05_Loans!E44)</f>
        <v/>
      </c>
      <c r="F834" s="37" t="str">
        <f>IF(Agent05_Loans!B44="","",Agent05_Loans!F44)</f>
        <v/>
      </c>
      <c r="G834" s="37" t="str">
        <f>IF(Agent05_Loans!B44="","",Agent05_Loans!G44)</f>
        <v/>
      </c>
      <c r="H834" s="37" t="str">
        <f>IF(Agent05_Loans!B44="","",Agent05_Loans!H44)</f>
        <v/>
      </c>
      <c r="I834" s="40" t="str">
        <f>IF(Agent05_Loans!B44="","",Agent05_Loans!I44)</f>
        <v/>
      </c>
      <c r="J834" s="40" t="str">
        <f>IF(Agent05_Loans!B44="","",Agent05_Loans!J44)</f>
        <v/>
      </c>
      <c r="K834" s="37" t="str">
        <f>IF(Agent05_Loans!B44="","",Agent05_Loans!K44)</f>
        <v/>
      </c>
      <c r="L834" s="37" t="str">
        <f>IF(Agent05_Loans!B44="","",Agent05_Loans!L44)</f>
        <v/>
      </c>
      <c r="M834" s="37" t="str">
        <f>IFERROR(IF(Agent05_Loans!B44="","",YEAR(Agent05_Loans!D44)),"")</f>
        <v/>
      </c>
    </row>
    <row r="835" spans="1:13" ht="18" customHeight="1" x14ac:dyDescent="0.25">
      <c r="A835" s="37" t="str">
        <f>IF(Agent05_Loans!B45="","",Agent05_Loans!A45)</f>
        <v/>
      </c>
      <c r="B835" s="37" t="str">
        <f>IF(Agent05_Loans!B45="","",Agent05_Loans!B45)</f>
        <v/>
      </c>
      <c r="C835" s="37" t="str">
        <f>IF(Agent05_Loans!B45="","",Agent05_Loans!C45)</f>
        <v/>
      </c>
      <c r="D835" s="38" t="str">
        <f>IF(Agent05_Loans!B45="","",Agent05_Loans!D45)</f>
        <v/>
      </c>
      <c r="E835" s="40" t="str">
        <f>IF(Agent05_Loans!B45="","",Agent05_Loans!E45)</f>
        <v/>
      </c>
      <c r="F835" s="37" t="str">
        <f>IF(Agent05_Loans!B45="","",Agent05_Loans!F45)</f>
        <v/>
      </c>
      <c r="G835" s="37" t="str">
        <f>IF(Agent05_Loans!B45="","",Agent05_Loans!G45)</f>
        <v/>
      </c>
      <c r="H835" s="37" t="str">
        <f>IF(Agent05_Loans!B45="","",Agent05_Loans!H45)</f>
        <v/>
      </c>
      <c r="I835" s="40" t="str">
        <f>IF(Agent05_Loans!B45="","",Agent05_Loans!I45)</f>
        <v/>
      </c>
      <c r="J835" s="40" t="str">
        <f>IF(Agent05_Loans!B45="","",Agent05_Loans!J45)</f>
        <v/>
      </c>
      <c r="K835" s="37" t="str">
        <f>IF(Agent05_Loans!B45="","",Agent05_Loans!K45)</f>
        <v/>
      </c>
      <c r="L835" s="37" t="str">
        <f>IF(Agent05_Loans!B45="","",Agent05_Loans!L45)</f>
        <v/>
      </c>
      <c r="M835" s="37" t="str">
        <f>IFERROR(IF(Agent05_Loans!B45="","",YEAR(Agent05_Loans!D45)),"")</f>
        <v/>
      </c>
    </row>
    <row r="836" spans="1:13" ht="18" customHeight="1" x14ac:dyDescent="0.25">
      <c r="A836" s="37" t="str">
        <f>IF(Agent05_Loans!B46="","",Agent05_Loans!A46)</f>
        <v/>
      </c>
      <c r="B836" s="37" t="str">
        <f>IF(Agent05_Loans!B46="","",Agent05_Loans!B46)</f>
        <v/>
      </c>
      <c r="C836" s="37" t="str">
        <f>IF(Agent05_Loans!B46="","",Agent05_Loans!C46)</f>
        <v/>
      </c>
      <c r="D836" s="38" t="str">
        <f>IF(Agent05_Loans!B46="","",Agent05_Loans!D46)</f>
        <v/>
      </c>
      <c r="E836" s="40" t="str">
        <f>IF(Agent05_Loans!B46="","",Agent05_Loans!E46)</f>
        <v/>
      </c>
      <c r="F836" s="37" t="str">
        <f>IF(Agent05_Loans!B46="","",Agent05_Loans!F46)</f>
        <v/>
      </c>
      <c r="G836" s="37" t="str">
        <f>IF(Agent05_Loans!B46="","",Agent05_Loans!G46)</f>
        <v/>
      </c>
      <c r="H836" s="37" t="str">
        <f>IF(Agent05_Loans!B46="","",Agent05_Loans!H46)</f>
        <v/>
      </c>
      <c r="I836" s="40" t="str">
        <f>IF(Agent05_Loans!B46="","",Agent05_Loans!I46)</f>
        <v/>
      </c>
      <c r="J836" s="40" t="str">
        <f>IF(Agent05_Loans!B46="","",Agent05_Loans!J46)</f>
        <v/>
      </c>
      <c r="K836" s="37" t="str">
        <f>IF(Agent05_Loans!B46="","",Agent05_Loans!K46)</f>
        <v/>
      </c>
      <c r="L836" s="37" t="str">
        <f>IF(Agent05_Loans!B46="","",Agent05_Loans!L46)</f>
        <v/>
      </c>
      <c r="M836" s="37" t="str">
        <f>IFERROR(IF(Agent05_Loans!B46="","",YEAR(Agent05_Loans!D46)),"")</f>
        <v/>
      </c>
    </row>
    <row r="837" spans="1:13" ht="18" customHeight="1" x14ac:dyDescent="0.25">
      <c r="A837" s="37" t="str">
        <f>IF(Agent05_Loans!B47="","",Agent05_Loans!A47)</f>
        <v/>
      </c>
      <c r="B837" s="37" t="str">
        <f>IF(Agent05_Loans!B47="","",Agent05_Loans!B47)</f>
        <v/>
      </c>
      <c r="C837" s="37" t="str">
        <f>IF(Agent05_Loans!B47="","",Agent05_Loans!C47)</f>
        <v/>
      </c>
      <c r="D837" s="38" t="str">
        <f>IF(Agent05_Loans!B47="","",Agent05_Loans!D47)</f>
        <v/>
      </c>
      <c r="E837" s="40" t="str">
        <f>IF(Agent05_Loans!B47="","",Agent05_Loans!E47)</f>
        <v/>
      </c>
      <c r="F837" s="37" t="str">
        <f>IF(Agent05_Loans!B47="","",Agent05_Loans!F47)</f>
        <v/>
      </c>
      <c r="G837" s="37" t="str">
        <f>IF(Agent05_Loans!B47="","",Agent05_Loans!G47)</f>
        <v/>
      </c>
      <c r="H837" s="37" t="str">
        <f>IF(Agent05_Loans!B47="","",Agent05_Loans!H47)</f>
        <v/>
      </c>
      <c r="I837" s="40" t="str">
        <f>IF(Agent05_Loans!B47="","",Agent05_Loans!I47)</f>
        <v/>
      </c>
      <c r="J837" s="40" t="str">
        <f>IF(Agent05_Loans!B47="","",Agent05_Loans!J47)</f>
        <v/>
      </c>
      <c r="K837" s="37" t="str">
        <f>IF(Agent05_Loans!B47="","",Agent05_Loans!K47)</f>
        <v/>
      </c>
      <c r="L837" s="37" t="str">
        <f>IF(Agent05_Loans!B47="","",Agent05_Loans!L47)</f>
        <v/>
      </c>
      <c r="M837" s="37" t="str">
        <f>IFERROR(IF(Agent05_Loans!B47="","",YEAR(Agent05_Loans!D47)),"")</f>
        <v/>
      </c>
    </row>
    <row r="838" spans="1:13" ht="18" customHeight="1" x14ac:dyDescent="0.25">
      <c r="A838" s="37" t="str">
        <f>IF(Agent05_Loans!B48="","",Agent05_Loans!A48)</f>
        <v/>
      </c>
      <c r="B838" s="37" t="str">
        <f>IF(Agent05_Loans!B48="","",Agent05_Loans!B48)</f>
        <v/>
      </c>
      <c r="C838" s="37" t="str">
        <f>IF(Agent05_Loans!B48="","",Agent05_Loans!C48)</f>
        <v/>
      </c>
      <c r="D838" s="38" t="str">
        <f>IF(Agent05_Loans!B48="","",Agent05_Loans!D48)</f>
        <v/>
      </c>
      <c r="E838" s="40" t="str">
        <f>IF(Agent05_Loans!B48="","",Agent05_Loans!E48)</f>
        <v/>
      </c>
      <c r="F838" s="37" t="str">
        <f>IF(Agent05_Loans!B48="","",Agent05_Loans!F48)</f>
        <v/>
      </c>
      <c r="G838" s="37" t="str">
        <f>IF(Agent05_Loans!B48="","",Agent05_Loans!G48)</f>
        <v/>
      </c>
      <c r="H838" s="37" t="str">
        <f>IF(Agent05_Loans!B48="","",Agent05_Loans!H48)</f>
        <v/>
      </c>
      <c r="I838" s="40" t="str">
        <f>IF(Agent05_Loans!B48="","",Agent05_Loans!I48)</f>
        <v/>
      </c>
      <c r="J838" s="40" t="str">
        <f>IF(Agent05_Loans!B48="","",Agent05_Loans!J48)</f>
        <v/>
      </c>
      <c r="K838" s="37" t="str">
        <f>IF(Agent05_Loans!B48="","",Agent05_Loans!K48)</f>
        <v/>
      </c>
      <c r="L838" s="37" t="str">
        <f>IF(Agent05_Loans!B48="","",Agent05_Loans!L48)</f>
        <v/>
      </c>
      <c r="M838" s="37" t="str">
        <f>IFERROR(IF(Agent05_Loans!B48="","",YEAR(Agent05_Loans!D48)),"")</f>
        <v/>
      </c>
    </row>
    <row r="839" spans="1:13" ht="18" customHeight="1" x14ac:dyDescent="0.25">
      <c r="A839" s="37" t="str">
        <f>IF(Agent05_Loans!B49="","",Agent05_Loans!A49)</f>
        <v/>
      </c>
      <c r="B839" s="37" t="str">
        <f>IF(Agent05_Loans!B49="","",Agent05_Loans!B49)</f>
        <v/>
      </c>
      <c r="C839" s="37" t="str">
        <f>IF(Agent05_Loans!B49="","",Agent05_Loans!C49)</f>
        <v/>
      </c>
      <c r="D839" s="38" t="str">
        <f>IF(Agent05_Loans!B49="","",Agent05_Loans!D49)</f>
        <v/>
      </c>
      <c r="E839" s="40" t="str">
        <f>IF(Agent05_Loans!B49="","",Agent05_Loans!E49)</f>
        <v/>
      </c>
      <c r="F839" s="37" t="str">
        <f>IF(Agent05_Loans!B49="","",Agent05_Loans!F49)</f>
        <v/>
      </c>
      <c r="G839" s="37" t="str">
        <f>IF(Agent05_Loans!B49="","",Agent05_Loans!G49)</f>
        <v/>
      </c>
      <c r="H839" s="37" t="str">
        <f>IF(Agent05_Loans!B49="","",Agent05_Loans!H49)</f>
        <v/>
      </c>
      <c r="I839" s="40" t="str">
        <f>IF(Agent05_Loans!B49="","",Agent05_Loans!I49)</f>
        <v/>
      </c>
      <c r="J839" s="40" t="str">
        <f>IF(Agent05_Loans!B49="","",Agent05_Loans!J49)</f>
        <v/>
      </c>
      <c r="K839" s="37" t="str">
        <f>IF(Agent05_Loans!B49="","",Agent05_Loans!K49)</f>
        <v/>
      </c>
      <c r="L839" s="37" t="str">
        <f>IF(Agent05_Loans!B49="","",Agent05_Loans!L49)</f>
        <v/>
      </c>
      <c r="M839" s="37" t="str">
        <f>IFERROR(IF(Agent05_Loans!B49="","",YEAR(Agent05_Loans!D49)),"")</f>
        <v/>
      </c>
    </row>
    <row r="840" spans="1:13" ht="18" customHeight="1" x14ac:dyDescent="0.25">
      <c r="A840" s="37" t="str">
        <f>IF(Agent05_Loans!B50="","",Agent05_Loans!A50)</f>
        <v/>
      </c>
      <c r="B840" s="37" t="str">
        <f>IF(Agent05_Loans!B50="","",Agent05_Loans!B50)</f>
        <v/>
      </c>
      <c r="C840" s="37" t="str">
        <f>IF(Agent05_Loans!B50="","",Agent05_Loans!C50)</f>
        <v/>
      </c>
      <c r="D840" s="38" t="str">
        <f>IF(Agent05_Loans!B50="","",Agent05_Loans!D50)</f>
        <v/>
      </c>
      <c r="E840" s="40" t="str">
        <f>IF(Agent05_Loans!B50="","",Agent05_Loans!E50)</f>
        <v/>
      </c>
      <c r="F840" s="37" t="str">
        <f>IF(Agent05_Loans!B50="","",Agent05_Loans!F50)</f>
        <v/>
      </c>
      <c r="G840" s="37" t="str">
        <f>IF(Agent05_Loans!B50="","",Agent05_Loans!G50)</f>
        <v/>
      </c>
      <c r="H840" s="37" t="str">
        <f>IF(Agent05_Loans!B50="","",Agent05_Loans!H50)</f>
        <v/>
      </c>
      <c r="I840" s="40" t="str">
        <f>IF(Agent05_Loans!B50="","",Agent05_Loans!I50)</f>
        <v/>
      </c>
      <c r="J840" s="40" t="str">
        <f>IF(Agent05_Loans!B50="","",Agent05_Loans!J50)</f>
        <v/>
      </c>
      <c r="K840" s="37" t="str">
        <f>IF(Agent05_Loans!B50="","",Agent05_Loans!K50)</f>
        <v/>
      </c>
      <c r="L840" s="37" t="str">
        <f>IF(Agent05_Loans!B50="","",Agent05_Loans!L50)</f>
        <v/>
      </c>
      <c r="M840" s="37" t="str">
        <f>IFERROR(IF(Agent05_Loans!B50="","",YEAR(Agent05_Loans!D50)),"")</f>
        <v/>
      </c>
    </row>
    <row r="841" spans="1:13" ht="18" customHeight="1" x14ac:dyDescent="0.25">
      <c r="A841" s="37" t="str">
        <f>IF(Agent05_Loans!B51="","",Agent05_Loans!A51)</f>
        <v/>
      </c>
      <c r="B841" s="37" t="str">
        <f>IF(Agent05_Loans!B51="","",Agent05_Loans!B51)</f>
        <v/>
      </c>
      <c r="C841" s="37" t="str">
        <f>IF(Agent05_Loans!B51="","",Agent05_Loans!C51)</f>
        <v/>
      </c>
      <c r="D841" s="38" t="str">
        <f>IF(Agent05_Loans!B51="","",Agent05_Loans!D51)</f>
        <v/>
      </c>
      <c r="E841" s="40" t="str">
        <f>IF(Agent05_Loans!B51="","",Agent05_Loans!E51)</f>
        <v/>
      </c>
      <c r="F841" s="37" t="str">
        <f>IF(Agent05_Loans!B51="","",Agent05_Loans!F51)</f>
        <v/>
      </c>
      <c r="G841" s="37" t="str">
        <f>IF(Agent05_Loans!B51="","",Agent05_Loans!G51)</f>
        <v/>
      </c>
      <c r="H841" s="37" t="str">
        <f>IF(Agent05_Loans!B51="","",Agent05_Loans!H51)</f>
        <v/>
      </c>
      <c r="I841" s="40" t="str">
        <f>IF(Agent05_Loans!B51="","",Agent05_Loans!I51)</f>
        <v/>
      </c>
      <c r="J841" s="40" t="str">
        <f>IF(Agent05_Loans!B51="","",Agent05_Loans!J51)</f>
        <v/>
      </c>
      <c r="K841" s="37" t="str">
        <f>IF(Agent05_Loans!B51="","",Agent05_Loans!K51)</f>
        <v/>
      </c>
      <c r="L841" s="37" t="str">
        <f>IF(Agent05_Loans!B51="","",Agent05_Loans!L51)</f>
        <v/>
      </c>
      <c r="M841" s="37" t="str">
        <f>IFERROR(IF(Agent05_Loans!B51="","",YEAR(Agent05_Loans!D51)),"")</f>
        <v/>
      </c>
    </row>
    <row r="842" spans="1:13" ht="18" customHeight="1" x14ac:dyDescent="0.25">
      <c r="A842" s="37" t="str">
        <f>IF(Agent05_Loans!B52="","",Agent05_Loans!A52)</f>
        <v/>
      </c>
      <c r="B842" s="37" t="str">
        <f>IF(Agent05_Loans!B52="","",Agent05_Loans!B52)</f>
        <v/>
      </c>
      <c r="C842" s="37" t="str">
        <f>IF(Agent05_Loans!B52="","",Agent05_Loans!C52)</f>
        <v/>
      </c>
      <c r="D842" s="38" t="str">
        <f>IF(Agent05_Loans!B52="","",Agent05_Loans!D52)</f>
        <v/>
      </c>
      <c r="E842" s="40" t="str">
        <f>IF(Agent05_Loans!B52="","",Agent05_Loans!E52)</f>
        <v/>
      </c>
      <c r="F842" s="37" t="str">
        <f>IF(Agent05_Loans!B52="","",Agent05_Loans!F52)</f>
        <v/>
      </c>
      <c r="G842" s="37" t="str">
        <f>IF(Agent05_Loans!B52="","",Agent05_Loans!G52)</f>
        <v/>
      </c>
      <c r="H842" s="37" t="str">
        <f>IF(Agent05_Loans!B52="","",Agent05_Loans!H52)</f>
        <v/>
      </c>
      <c r="I842" s="40" t="str">
        <f>IF(Agent05_Loans!B52="","",Agent05_Loans!I52)</f>
        <v/>
      </c>
      <c r="J842" s="40" t="str">
        <f>IF(Agent05_Loans!B52="","",Agent05_Loans!J52)</f>
        <v/>
      </c>
      <c r="K842" s="37" t="str">
        <f>IF(Agent05_Loans!B52="","",Agent05_Loans!K52)</f>
        <v/>
      </c>
      <c r="L842" s="37" t="str">
        <f>IF(Agent05_Loans!B52="","",Agent05_Loans!L52)</f>
        <v/>
      </c>
      <c r="M842" s="37" t="str">
        <f>IFERROR(IF(Agent05_Loans!B52="","",YEAR(Agent05_Loans!D52)),"")</f>
        <v/>
      </c>
    </row>
    <row r="843" spans="1:13" ht="18" customHeight="1" x14ac:dyDescent="0.25">
      <c r="A843" s="37" t="str">
        <f>IF(Agent05_Loans!B53="","",Agent05_Loans!A53)</f>
        <v/>
      </c>
      <c r="B843" s="37" t="str">
        <f>IF(Agent05_Loans!B53="","",Agent05_Loans!B53)</f>
        <v/>
      </c>
      <c r="C843" s="37" t="str">
        <f>IF(Agent05_Loans!B53="","",Agent05_Loans!C53)</f>
        <v/>
      </c>
      <c r="D843" s="38" t="str">
        <f>IF(Agent05_Loans!B53="","",Agent05_Loans!D53)</f>
        <v/>
      </c>
      <c r="E843" s="40" t="str">
        <f>IF(Agent05_Loans!B53="","",Agent05_Loans!E53)</f>
        <v/>
      </c>
      <c r="F843" s="37" t="str">
        <f>IF(Agent05_Loans!B53="","",Agent05_Loans!F53)</f>
        <v/>
      </c>
      <c r="G843" s="37" t="str">
        <f>IF(Agent05_Loans!B53="","",Agent05_Loans!G53)</f>
        <v/>
      </c>
      <c r="H843" s="37" t="str">
        <f>IF(Agent05_Loans!B53="","",Agent05_Loans!H53)</f>
        <v/>
      </c>
      <c r="I843" s="40" t="str">
        <f>IF(Agent05_Loans!B53="","",Agent05_Loans!I53)</f>
        <v/>
      </c>
      <c r="J843" s="40" t="str">
        <f>IF(Agent05_Loans!B53="","",Agent05_Loans!J53)</f>
        <v/>
      </c>
      <c r="K843" s="37" t="str">
        <f>IF(Agent05_Loans!B53="","",Agent05_Loans!K53)</f>
        <v/>
      </c>
      <c r="L843" s="37" t="str">
        <f>IF(Agent05_Loans!B53="","",Agent05_Loans!L53)</f>
        <v/>
      </c>
      <c r="M843" s="37" t="str">
        <f>IFERROR(IF(Agent05_Loans!B53="","",YEAR(Agent05_Loans!D53)),"")</f>
        <v/>
      </c>
    </row>
    <row r="844" spans="1:13" ht="18" customHeight="1" x14ac:dyDescent="0.25">
      <c r="A844" s="37" t="str">
        <f>IF(Agent05_Loans!B54="","",Agent05_Loans!A54)</f>
        <v/>
      </c>
      <c r="B844" s="37" t="str">
        <f>IF(Agent05_Loans!B54="","",Agent05_Loans!B54)</f>
        <v/>
      </c>
      <c r="C844" s="37" t="str">
        <f>IF(Agent05_Loans!B54="","",Agent05_Loans!C54)</f>
        <v/>
      </c>
      <c r="D844" s="38" t="str">
        <f>IF(Agent05_Loans!B54="","",Agent05_Loans!D54)</f>
        <v/>
      </c>
      <c r="E844" s="40" t="str">
        <f>IF(Agent05_Loans!B54="","",Agent05_Loans!E54)</f>
        <v/>
      </c>
      <c r="F844" s="37" t="str">
        <f>IF(Agent05_Loans!B54="","",Agent05_Loans!F54)</f>
        <v/>
      </c>
      <c r="G844" s="37" t="str">
        <f>IF(Agent05_Loans!B54="","",Agent05_Loans!G54)</f>
        <v/>
      </c>
      <c r="H844" s="37" t="str">
        <f>IF(Agent05_Loans!B54="","",Agent05_Loans!H54)</f>
        <v/>
      </c>
      <c r="I844" s="40" t="str">
        <f>IF(Agent05_Loans!B54="","",Agent05_Loans!I54)</f>
        <v/>
      </c>
      <c r="J844" s="40" t="str">
        <f>IF(Agent05_Loans!B54="","",Agent05_Loans!J54)</f>
        <v/>
      </c>
      <c r="K844" s="37" t="str">
        <f>IF(Agent05_Loans!B54="","",Agent05_Loans!K54)</f>
        <v/>
      </c>
      <c r="L844" s="37" t="str">
        <f>IF(Agent05_Loans!B54="","",Agent05_Loans!L54)</f>
        <v/>
      </c>
      <c r="M844" s="37" t="str">
        <f>IFERROR(IF(Agent05_Loans!B54="","",YEAR(Agent05_Loans!D54)),"")</f>
        <v/>
      </c>
    </row>
    <row r="845" spans="1:13" ht="18" customHeight="1" x14ac:dyDescent="0.25">
      <c r="A845" s="37" t="str">
        <f>IF(Agent05_Loans!B55="","",Agent05_Loans!A55)</f>
        <v/>
      </c>
      <c r="B845" s="37" t="str">
        <f>IF(Agent05_Loans!B55="","",Agent05_Loans!B55)</f>
        <v/>
      </c>
      <c r="C845" s="37" t="str">
        <f>IF(Agent05_Loans!B55="","",Agent05_Loans!C55)</f>
        <v/>
      </c>
      <c r="D845" s="38" t="str">
        <f>IF(Agent05_Loans!B55="","",Agent05_Loans!D55)</f>
        <v/>
      </c>
      <c r="E845" s="40" t="str">
        <f>IF(Agent05_Loans!B55="","",Agent05_Loans!E55)</f>
        <v/>
      </c>
      <c r="F845" s="37" t="str">
        <f>IF(Agent05_Loans!B55="","",Agent05_Loans!F55)</f>
        <v/>
      </c>
      <c r="G845" s="37" t="str">
        <f>IF(Agent05_Loans!B55="","",Agent05_Loans!G55)</f>
        <v/>
      </c>
      <c r="H845" s="37" t="str">
        <f>IF(Agent05_Loans!B55="","",Agent05_Loans!H55)</f>
        <v/>
      </c>
      <c r="I845" s="40" t="str">
        <f>IF(Agent05_Loans!B55="","",Agent05_Loans!I55)</f>
        <v/>
      </c>
      <c r="J845" s="40" t="str">
        <f>IF(Agent05_Loans!B55="","",Agent05_Loans!J55)</f>
        <v/>
      </c>
      <c r="K845" s="37" t="str">
        <f>IF(Agent05_Loans!B55="","",Agent05_Loans!K55)</f>
        <v/>
      </c>
      <c r="L845" s="37" t="str">
        <f>IF(Agent05_Loans!B55="","",Agent05_Loans!L55)</f>
        <v/>
      </c>
      <c r="M845" s="37" t="str">
        <f>IFERROR(IF(Agent05_Loans!B55="","",YEAR(Agent05_Loans!D55)),"")</f>
        <v/>
      </c>
    </row>
    <row r="846" spans="1:13" ht="18" customHeight="1" x14ac:dyDescent="0.25">
      <c r="A846" s="37" t="str">
        <f>IF(Agent05_Loans!B56="","",Agent05_Loans!A56)</f>
        <v/>
      </c>
      <c r="B846" s="37" t="str">
        <f>IF(Agent05_Loans!B56="","",Agent05_Loans!B56)</f>
        <v/>
      </c>
      <c r="C846" s="37" t="str">
        <f>IF(Agent05_Loans!B56="","",Agent05_Loans!C56)</f>
        <v/>
      </c>
      <c r="D846" s="38" t="str">
        <f>IF(Agent05_Loans!B56="","",Agent05_Loans!D56)</f>
        <v/>
      </c>
      <c r="E846" s="40" t="str">
        <f>IF(Agent05_Loans!B56="","",Agent05_Loans!E56)</f>
        <v/>
      </c>
      <c r="F846" s="37" t="str">
        <f>IF(Agent05_Loans!B56="","",Agent05_Loans!F56)</f>
        <v/>
      </c>
      <c r="G846" s="37" t="str">
        <f>IF(Agent05_Loans!B56="","",Agent05_Loans!G56)</f>
        <v/>
      </c>
      <c r="H846" s="37" t="str">
        <f>IF(Agent05_Loans!B56="","",Agent05_Loans!H56)</f>
        <v/>
      </c>
      <c r="I846" s="40" t="str">
        <f>IF(Agent05_Loans!B56="","",Agent05_Loans!I56)</f>
        <v/>
      </c>
      <c r="J846" s="40" t="str">
        <f>IF(Agent05_Loans!B56="","",Agent05_Loans!J56)</f>
        <v/>
      </c>
      <c r="K846" s="37" t="str">
        <f>IF(Agent05_Loans!B56="","",Agent05_Loans!K56)</f>
        <v/>
      </c>
      <c r="L846" s="37" t="str">
        <f>IF(Agent05_Loans!B56="","",Agent05_Loans!L56)</f>
        <v/>
      </c>
      <c r="M846" s="37" t="str">
        <f>IFERROR(IF(Agent05_Loans!B56="","",YEAR(Agent05_Loans!D56)),"")</f>
        <v/>
      </c>
    </row>
    <row r="847" spans="1:13" ht="18" customHeight="1" x14ac:dyDescent="0.25">
      <c r="A847" s="37" t="str">
        <f>IF(Agent05_Loans!B57="","",Agent05_Loans!A57)</f>
        <v/>
      </c>
      <c r="B847" s="37" t="str">
        <f>IF(Agent05_Loans!B57="","",Agent05_Loans!B57)</f>
        <v/>
      </c>
      <c r="C847" s="37" t="str">
        <f>IF(Agent05_Loans!B57="","",Agent05_Loans!C57)</f>
        <v/>
      </c>
      <c r="D847" s="38" t="str">
        <f>IF(Agent05_Loans!B57="","",Agent05_Loans!D57)</f>
        <v/>
      </c>
      <c r="E847" s="40" t="str">
        <f>IF(Agent05_Loans!B57="","",Agent05_Loans!E57)</f>
        <v/>
      </c>
      <c r="F847" s="37" t="str">
        <f>IF(Agent05_Loans!B57="","",Agent05_Loans!F57)</f>
        <v/>
      </c>
      <c r="G847" s="37" t="str">
        <f>IF(Agent05_Loans!B57="","",Agent05_Loans!G57)</f>
        <v/>
      </c>
      <c r="H847" s="37" t="str">
        <f>IF(Agent05_Loans!B57="","",Agent05_Loans!H57)</f>
        <v/>
      </c>
      <c r="I847" s="40" t="str">
        <f>IF(Agent05_Loans!B57="","",Agent05_Loans!I57)</f>
        <v/>
      </c>
      <c r="J847" s="40" t="str">
        <f>IF(Agent05_Loans!B57="","",Agent05_Loans!J57)</f>
        <v/>
      </c>
      <c r="K847" s="37" t="str">
        <f>IF(Agent05_Loans!B57="","",Agent05_Loans!K57)</f>
        <v/>
      </c>
      <c r="L847" s="37" t="str">
        <f>IF(Agent05_Loans!B57="","",Agent05_Loans!L57)</f>
        <v/>
      </c>
      <c r="M847" s="37" t="str">
        <f>IFERROR(IF(Agent05_Loans!B57="","",YEAR(Agent05_Loans!D57)),"")</f>
        <v/>
      </c>
    </row>
    <row r="848" spans="1:13" ht="18" customHeight="1" x14ac:dyDescent="0.25">
      <c r="A848" s="37" t="str">
        <f>IF(Agent05_Loans!B58="","",Agent05_Loans!A58)</f>
        <v/>
      </c>
      <c r="B848" s="37" t="str">
        <f>IF(Agent05_Loans!B58="","",Agent05_Loans!B58)</f>
        <v/>
      </c>
      <c r="C848" s="37" t="str">
        <f>IF(Agent05_Loans!B58="","",Agent05_Loans!C58)</f>
        <v/>
      </c>
      <c r="D848" s="38" t="str">
        <f>IF(Agent05_Loans!B58="","",Agent05_Loans!D58)</f>
        <v/>
      </c>
      <c r="E848" s="40" t="str">
        <f>IF(Agent05_Loans!B58="","",Agent05_Loans!E58)</f>
        <v/>
      </c>
      <c r="F848" s="37" t="str">
        <f>IF(Agent05_Loans!B58="","",Agent05_Loans!F58)</f>
        <v/>
      </c>
      <c r="G848" s="37" t="str">
        <f>IF(Agent05_Loans!B58="","",Agent05_Loans!G58)</f>
        <v/>
      </c>
      <c r="H848" s="37" t="str">
        <f>IF(Agent05_Loans!B58="","",Agent05_Loans!H58)</f>
        <v/>
      </c>
      <c r="I848" s="40" t="str">
        <f>IF(Agent05_Loans!B58="","",Agent05_Loans!I58)</f>
        <v/>
      </c>
      <c r="J848" s="40" t="str">
        <f>IF(Agent05_Loans!B58="","",Agent05_Loans!J58)</f>
        <v/>
      </c>
      <c r="K848" s="37" t="str">
        <f>IF(Agent05_Loans!B58="","",Agent05_Loans!K58)</f>
        <v/>
      </c>
      <c r="L848" s="37" t="str">
        <f>IF(Agent05_Loans!B58="","",Agent05_Loans!L58)</f>
        <v/>
      </c>
      <c r="M848" s="37" t="str">
        <f>IFERROR(IF(Agent05_Loans!B58="","",YEAR(Agent05_Loans!D58)),"")</f>
        <v/>
      </c>
    </row>
    <row r="849" spans="1:13" ht="18" customHeight="1" x14ac:dyDescent="0.25">
      <c r="A849" s="37" t="str">
        <f>IF(Agent05_Loans!B59="","",Agent05_Loans!A59)</f>
        <v/>
      </c>
      <c r="B849" s="37" t="str">
        <f>IF(Agent05_Loans!B59="","",Agent05_Loans!B59)</f>
        <v/>
      </c>
      <c r="C849" s="37" t="str">
        <f>IF(Agent05_Loans!B59="","",Agent05_Loans!C59)</f>
        <v/>
      </c>
      <c r="D849" s="38" t="str">
        <f>IF(Agent05_Loans!B59="","",Agent05_Loans!D59)</f>
        <v/>
      </c>
      <c r="E849" s="40" t="str">
        <f>IF(Agent05_Loans!B59="","",Agent05_Loans!E59)</f>
        <v/>
      </c>
      <c r="F849" s="37" t="str">
        <f>IF(Agent05_Loans!B59="","",Agent05_Loans!F59)</f>
        <v/>
      </c>
      <c r="G849" s="37" t="str">
        <f>IF(Agent05_Loans!B59="","",Agent05_Loans!G59)</f>
        <v/>
      </c>
      <c r="H849" s="37" t="str">
        <f>IF(Agent05_Loans!B59="","",Agent05_Loans!H59)</f>
        <v/>
      </c>
      <c r="I849" s="40" t="str">
        <f>IF(Agent05_Loans!B59="","",Agent05_Loans!I59)</f>
        <v/>
      </c>
      <c r="J849" s="40" t="str">
        <f>IF(Agent05_Loans!B59="","",Agent05_Loans!J59)</f>
        <v/>
      </c>
      <c r="K849" s="37" t="str">
        <f>IF(Agent05_Loans!B59="","",Agent05_Loans!K59)</f>
        <v/>
      </c>
      <c r="L849" s="37" t="str">
        <f>IF(Agent05_Loans!B59="","",Agent05_Loans!L59)</f>
        <v/>
      </c>
      <c r="M849" s="37" t="str">
        <f>IFERROR(IF(Agent05_Loans!B59="","",YEAR(Agent05_Loans!D59)),"")</f>
        <v/>
      </c>
    </row>
    <row r="850" spans="1:13" ht="18" customHeight="1" x14ac:dyDescent="0.25">
      <c r="A850" s="37" t="str">
        <f>IF(Agent05_Loans!B60="","",Agent05_Loans!A60)</f>
        <v/>
      </c>
      <c r="B850" s="37" t="str">
        <f>IF(Agent05_Loans!B60="","",Agent05_Loans!B60)</f>
        <v/>
      </c>
      <c r="C850" s="37" t="str">
        <f>IF(Agent05_Loans!B60="","",Agent05_Loans!C60)</f>
        <v/>
      </c>
      <c r="D850" s="38" t="str">
        <f>IF(Agent05_Loans!B60="","",Agent05_Loans!D60)</f>
        <v/>
      </c>
      <c r="E850" s="40" t="str">
        <f>IF(Agent05_Loans!B60="","",Agent05_Loans!E60)</f>
        <v/>
      </c>
      <c r="F850" s="37" t="str">
        <f>IF(Agent05_Loans!B60="","",Agent05_Loans!F60)</f>
        <v/>
      </c>
      <c r="G850" s="37" t="str">
        <f>IF(Agent05_Loans!B60="","",Agent05_Loans!G60)</f>
        <v/>
      </c>
      <c r="H850" s="37" t="str">
        <f>IF(Agent05_Loans!B60="","",Agent05_Loans!H60)</f>
        <v/>
      </c>
      <c r="I850" s="40" t="str">
        <f>IF(Agent05_Loans!B60="","",Agent05_Loans!I60)</f>
        <v/>
      </c>
      <c r="J850" s="40" t="str">
        <f>IF(Agent05_Loans!B60="","",Agent05_Loans!J60)</f>
        <v/>
      </c>
      <c r="K850" s="37" t="str">
        <f>IF(Agent05_Loans!B60="","",Agent05_Loans!K60)</f>
        <v/>
      </c>
      <c r="L850" s="37" t="str">
        <f>IF(Agent05_Loans!B60="","",Agent05_Loans!L60)</f>
        <v/>
      </c>
      <c r="M850" s="37" t="str">
        <f>IFERROR(IF(Agent05_Loans!B60="","",YEAR(Agent05_Loans!D60)),"")</f>
        <v/>
      </c>
    </row>
    <row r="851" spans="1:13" ht="18" customHeight="1" x14ac:dyDescent="0.25">
      <c r="A851" s="37" t="str">
        <f>IF(Agent05_Loans!B61="","",Agent05_Loans!A61)</f>
        <v/>
      </c>
      <c r="B851" s="37" t="str">
        <f>IF(Agent05_Loans!B61="","",Agent05_Loans!B61)</f>
        <v/>
      </c>
      <c r="C851" s="37" t="str">
        <f>IF(Agent05_Loans!B61="","",Agent05_Loans!C61)</f>
        <v/>
      </c>
      <c r="D851" s="38" t="str">
        <f>IF(Agent05_Loans!B61="","",Agent05_Loans!D61)</f>
        <v/>
      </c>
      <c r="E851" s="40" t="str">
        <f>IF(Agent05_Loans!B61="","",Agent05_Loans!E61)</f>
        <v/>
      </c>
      <c r="F851" s="37" t="str">
        <f>IF(Agent05_Loans!B61="","",Agent05_Loans!F61)</f>
        <v/>
      </c>
      <c r="G851" s="37" t="str">
        <f>IF(Agent05_Loans!B61="","",Agent05_Loans!G61)</f>
        <v/>
      </c>
      <c r="H851" s="37" t="str">
        <f>IF(Agent05_Loans!B61="","",Agent05_Loans!H61)</f>
        <v/>
      </c>
      <c r="I851" s="40" t="str">
        <f>IF(Agent05_Loans!B61="","",Agent05_Loans!I61)</f>
        <v/>
      </c>
      <c r="J851" s="40" t="str">
        <f>IF(Agent05_Loans!B61="","",Agent05_Loans!J61)</f>
        <v/>
      </c>
      <c r="K851" s="37" t="str">
        <f>IF(Agent05_Loans!B61="","",Agent05_Loans!K61)</f>
        <v/>
      </c>
      <c r="L851" s="37" t="str">
        <f>IF(Agent05_Loans!B61="","",Agent05_Loans!L61)</f>
        <v/>
      </c>
      <c r="M851" s="37" t="str">
        <f>IFERROR(IF(Agent05_Loans!B61="","",YEAR(Agent05_Loans!D61)),"")</f>
        <v/>
      </c>
    </row>
    <row r="852" spans="1:13" ht="18" customHeight="1" x14ac:dyDescent="0.25">
      <c r="A852" s="37" t="str">
        <f>IF(Agent05_Loans!B62="","",Agent05_Loans!A62)</f>
        <v/>
      </c>
      <c r="B852" s="37" t="str">
        <f>IF(Agent05_Loans!B62="","",Agent05_Loans!B62)</f>
        <v/>
      </c>
      <c r="C852" s="37" t="str">
        <f>IF(Agent05_Loans!B62="","",Agent05_Loans!C62)</f>
        <v/>
      </c>
      <c r="D852" s="38" t="str">
        <f>IF(Agent05_Loans!B62="","",Agent05_Loans!D62)</f>
        <v/>
      </c>
      <c r="E852" s="40" t="str">
        <f>IF(Agent05_Loans!B62="","",Agent05_Loans!E62)</f>
        <v/>
      </c>
      <c r="F852" s="37" t="str">
        <f>IF(Agent05_Loans!B62="","",Agent05_Loans!F62)</f>
        <v/>
      </c>
      <c r="G852" s="37" t="str">
        <f>IF(Agent05_Loans!B62="","",Agent05_Loans!G62)</f>
        <v/>
      </c>
      <c r="H852" s="37" t="str">
        <f>IF(Agent05_Loans!B62="","",Agent05_Loans!H62)</f>
        <v/>
      </c>
      <c r="I852" s="40" t="str">
        <f>IF(Agent05_Loans!B62="","",Agent05_Loans!I62)</f>
        <v/>
      </c>
      <c r="J852" s="40" t="str">
        <f>IF(Agent05_Loans!B62="","",Agent05_Loans!J62)</f>
        <v/>
      </c>
      <c r="K852" s="37" t="str">
        <f>IF(Agent05_Loans!B62="","",Agent05_Loans!K62)</f>
        <v/>
      </c>
      <c r="L852" s="37" t="str">
        <f>IF(Agent05_Loans!B62="","",Agent05_Loans!L62)</f>
        <v/>
      </c>
      <c r="M852" s="37" t="str">
        <f>IFERROR(IF(Agent05_Loans!B62="","",YEAR(Agent05_Loans!D62)),"")</f>
        <v/>
      </c>
    </row>
    <row r="853" spans="1:13" ht="18" customHeight="1" x14ac:dyDescent="0.25">
      <c r="A853" s="37" t="str">
        <f>IF(Agent05_Loans!B63="","",Agent05_Loans!A63)</f>
        <v/>
      </c>
      <c r="B853" s="37" t="str">
        <f>IF(Agent05_Loans!B63="","",Agent05_Loans!B63)</f>
        <v/>
      </c>
      <c r="C853" s="37" t="str">
        <f>IF(Agent05_Loans!B63="","",Agent05_Loans!C63)</f>
        <v/>
      </c>
      <c r="D853" s="38" t="str">
        <f>IF(Agent05_Loans!B63="","",Agent05_Loans!D63)</f>
        <v/>
      </c>
      <c r="E853" s="40" t="str">
        <f>IF(Agent05_Loans!B63="","",Agent05_Loans!E63)</f>
        <v/>
      </c>
      <c r="F853" s="37" t="str">
        <f>IF(Agent05_Loans!B63="","",Agent05_Loans!F63)</f>
        <v/>
      </c>
      <c r="G853" s="37" t="str">
        <f>IF(Agent05_Loans!B63="","",Agent05_Loans!G63)</f>
        <v/>
      </c>
      <c r="H853" s="37" t="str">
        <f>IF(Agent05_Loans!B63="","",Agent05_Loans!H63)</f>
        <v/>
      </c>
      <c r="I853" s="40" t="str">
        <f>IF(Agent05_Loans!B63="","",Agent05_Loans!I63)</f>
        <v/>
      </c>
      <c r="J853" s="40" t="str">
        <f>IF(Agent05_Loans!B63="","",Agent05_Loans!J63)</f>
        <v/>
      </c>
      <c r="K853" s="37" t="str">
        <f>IF(Agent05_Loans!B63="","",Agent05_Loans!K63)</f>
        <v/>
      </c>
      <c r="L853" s="37" t="str">
        <f>IF(Agent05_Loans!B63="","",Agent05_Loans!L63)</f>
        <v/>
      </c>
      <c r="M853" s="37" t="str">
        <f>IFERROR(IF(Agent05_Loans!B63="","",YEAR(Agent05_Loans!D63)),"")</f>
        <v/>
      </c>
    </row>
    <row r="854" spans="1:13" ht="18" customHeight="1" x14ac:dyDescent="0.25">
      <c r="A854" s="37" t="str">
        <f>IF(Agent05_Loans!B64="","",Agent05_Loans!A64)</f>
        <v/>
      </c>
      <c r="B854" s="37" t="str">
        <f>IF(Agent05_Loans!B64="","",Agent05_Loans!B64)</f>
        <v/>
      </c>
      <c r="C854" s="37" t="str">
        <f>IF(Agent05_Loans!B64="","",Agent05_Loans!C64)</f>
        <v/>
      </c>
      <c r="D854" s="38" t="str">
        <f>IF(Agent05_Loans!B64="","",Agent05_Loans!D64)</f>
        <v/>
      </c>
      <c r="E854" s="40" t="str">
        <f>IF(Agent05_Loans!B64="","",Agent05_Loans!E64)</f>
        <v/>
      </c>
      <c r="F854" s="37" t="str">
        <f>IF(Agent05_Loans!B64="","",Agent05_Loans!F64)</f>
        <v/>
      </c>
      <c r="G854" s="37" t="str">
        <f>IF(Agent05_Loans!B64="","",Agent05_Loans!G64)</f>
        <v/>
      </c>
      <c r="H854" s="37" t="str">
        <f>IF(Agent05_Loans!B64="","",Agent05_Loans!H64)</f>
        <v/>
      </c>
      <c r="I854" s="40" t="str">
        <f>IF(Agent05_Loans!B64="","",Agent05_Loans!I64)</f>
        <v/>
      </c>
      <c r="J854" s="40" t="str">
        <f>IF(Agent05_Loans!B64="","",Agent05_Loans!J64)</f>
        <v/>
      </c>
      <c r="K854" s="37" t="str">
        <f>IF(Agent05_Loans!B64="","",Agent05_Loans!K64)</f>
        <v/>
      </c>
      <c r="L854" s="37" t="str">
        <f>IF(Agent05_Loans!B64="","",Agent05_Loans!L64)</f>
        <v/>
      </c>
      <c r="M854" s="37" t="str">
        <f>IFERROR(IF(Agent05_Loans!B64="","",YEAR(Agent05_Loans!D64)),"")</f>
        <v/>
      </c>
    </row>
    <row r="855" spans="1:13" ht="18" customHeight="1" x14ac:dyDescent="0.25">
      <c r="A855" s="37" t="str">
        <f>IF(Agent05_Loans!B65="","",Agent05_Loans!A65)</f>
        <v/>
      </c>
      <c r="B855" s="37" t="str">
        <f>IF(Agent05_Loans!B65="","",Agent05_Loans!B65)</f>
        <v/>
      </c>
      <c r="C855" s="37" t="str">
        <f>IF(Agent05_Loans!B65="","",Agent05_Loans!C65)</f>
        <v/>
      </c>
      <c r="D855" s="38" t="str">
        <f>IF(Agent05_Loans!B65="","",Agent05_Loans!D65)</f>
        <v/>
      </c>
      <c r="E855" s="40" t="str">
        <f>IF(Agent05_Loans!B65="","",Agent05_Loans!E65)</f>
        <v/>
      </c>
      <c r="F855" s="37" t="str">
        <f>IF(Agent05_Loans!B65="","",Agent05_Loans!F65)</f>
        <v/>
      </c>
      <c r="G855" s="37" t="str">
        <f>IF(Agent05_Loans!B65="","",Agent05_Loans!G65)</f>
        <v/>
      </c>
      <c r="H855" s="37" t="str">
        <f>IF(Agent05_Loans!B65="","",Agent05_Loans!H65)</f>
        <v/>
      </c>
      <c r="I855" s="40" t="str">
        <f>IF(Agent05_Loans!B65="","",Agent05_Loans!I65)</f>
        <v/>
      </c>
      <c r="J855" s="40" t="str">
        <f>IF(Agent05_Loans!B65="","",Agent05_Loans!J65)</f>
        <v/>
      </c>
      <c r="K855" s="37" t="str">
        <f>IF(Agent05_Loans!B65="","",Agent05_Loans!K65)</f>
        <v/>
      </c>
      <c r="L855" s="37" t="str">
        <f>IF(Agent05_Loans!B65="","",Agent05_Loans!L65)</f>
        <v/>
      </c>
      <c r="M855" s="37" t="str">
        <f>IFERROR(IF(Agent05_Loans!B65="","",YEAR(Agent05_Loans!D65)),"")</f>
        <v/>
      </c>
    </row>
    <row r="856" spans="1:13" ht="18" customHeight="1" x14ac:dyDescent="0.25">
      <c r="A856" s="37" t="str">
        <f>IF(Agent05_Loans!B66="","",Agent05_Loans!A66)</f>
        <v/>
      </c>
      <c r="B856" s="37" t="str">
        <f>IF(Agent05_Loans!B66="","",Agent05_Loans!B66)</f>
        <v/>
      </c>
      <c r="C856" s="37" t="str">
        <f>IF(Agent05_Loans!B66="","",Agent05_Loans!C66)</f>
        <v/>
      </c>
      <c r="D856" s="38" t="str">
        <f>IF(Agent05_Loans!B66="","",Agent05_Loans!D66)</f>
        <v/>
      </c>
      <c r="E856" s="40" t="str">
        <f>IF(Agent05_Loans!B66="","",Agent05_Loans!E66)</f>
        <v/>
      </c>
      <c r="F856" s="37" t="str">
        <f>IF(Agent05_Loans!B66="","",Agent05_Loans!F66)</f>
        <v/>
      </c>
      <c r="G856" s="37" t="str">
        <f>IF(Agent05_Loans!B66="","",Agent05_Loans!G66)</f>
        <v/>
      </c>
      <c r="H856" s="37" t="str">
        <f>IF(Agent05_Loans!B66="","",Agent05_Loans!H66)</f>
        <v/>
      </c>
      <c r="I856" s="40" t="str">
        <f>IF(Agent05_Loans!B66="","",Agent05_Loans!I66)</f>
        <v/>
      </c>
      <c r="J856" s="40" t="str">
        <f>IF(Agent05_Loans!B66="","",Agent05_Loans!J66)</f>
        <v/>
      </c>
      <c r="K856" s="37" t="str">
        <f>IF(Agent05_Loans!B66="","",Agent05_Loans!K66)</f>
        <v/>
      </c>
      <c r="L856" s="37" t="str">
        <f>IF(Agent05_Loans!B66="","",Agent05_Loans!L66)</f>
        <v/>
      </c>
      <c r="M856" s="37" t="str">
        <f>IFERROR(IF(Agent05_Loans!B66="","",YEAR(Agent05_Loans!D66)),"")</f>
        <v/>
      </c>
    </row>
    <row r="857" spans="1:13" ht="18" customHeight="1" x14ac:dyDescent="0.25">
      <c r="A857" s="37" t="str">
        <f>IF(Agent05_Loans!B67="","",Agent05_Loans!A67)</f>
        <v/>
      </c>
      <c r="B857" s="37" t="str">
        <f>IF(Agent05_Loans!B67="","",Agent05_Loans!B67)</f>
        <v/>
      </c>
      <c r="C857" s="37" t="str">
        <f>IF(Agent05_Loans!B67="","",Agent05_Loans!C67)</f>
        <v/>
      </c>
      <c r="D857" s="38" t="str">
        <f>IF(Agent05_Loans!B67="","",Agent05_Loans!D67)</f>
        <v/>
      </c>
      <c r="E857" s="40" t="str">
        <f>IF(Agent05_Loans!B67="","",Agent05_Loans!E67)</f>
        <v/>
      </c>
      <c r="F857" s="37" t="str">
        <f>IF(Agent05_Loans!B67="","",Agent05_Loans!F67)</f>
        <v/>
      </c>
      <c r="G857" s="37" t="str">
        <f>IF(Agent05_Loans!B67="","",Agent05_Loans!G67)</f>
        <v/>
      </c>
      <c r="H857" s="37" t="str">
        <f>IF(Agent05_Loans!B67="","",Agent05_Loans!H67)</f>
        <v/>
      </c>
      <c r="I857" s="40" t="str">
        <f>IF(Agent05_Loans!B67="","",Agent05_Loans!I67)</f>
        <v/>
      </c>
      <c r="J857" s="40" t="str">
        <f>IF(Agent05_Loans!B67="","",Agent05_Loans!J67)</f>
        <v/>
      </c>
      <c r="K857" s="37" t="str">
        <f>IF(Agent05_Loans!B67="","",Agent05_Loans!K67)</f>
        <v/>
      </c>
      <c r="L857" s="37" t="str">
        <f>IF(Agent05_Loans!B67="","",Agent05_Loans!L67)</f>
        <v/>
      </c>
      <c r="M857" s="37" t="str">
        <f>IFERROR(IF(Agent05_Loans!B67="","",YEAR(Agent05_Loans!D67)),"")</f>
        <v/>
      </c>
    </row>
    <row r="858" spans="1:13" ht="18" customHeight="1" x14ac:dyDescent="0.25">
      <c r="A858" s="37" t="str">
        <f>IF(Agent05_Loans!B68="","",Agent05_Loans!A68)</f>
        <v/>
      </c>
      <c r="B858" s="37" t="str">
        <f>IF(Agent05_Loans!B68="","",Agent05_Loans!B68)</f>
        <v/>
      </c>
      <c r="C858" s="37" t="str">
        <f>IF(Agent05_Loans!B68="","",Agent05_Loans!C68)</f>
        <v/>
      </c>
      <c r="D858" s="38" t="str">
        <f>IF(Agent05_Loans!B68="","",Agent05_Loans!D68)</f>
        <v/>
      </c>
      <c r="E858" s="40" t="str">
        <f>IF(Agent05_Loans!B68="","",Agent05_Loans!E68)</f>
        <v/>
      </c>
      <c r="F858" s="37" t="str">
        <f>IF(Agent05_Loans!B68="","",Agent05_Loans!F68)</f>
        <v/>
      </c>
      <c r="G858" s="37" t="str">
        <f>IF(Agent05_Loans!B68="","",Agent05_Loans!G68)</f>
        <v/>
      </c>
      <c r="H858" s="37" t="str">
        <f>IF(Agent05_Loans!B68="","",Agent05_Loans!H68)</f>
        <v/>
      </c>
      <c r="I858" s="40" t="str">
        <f>IF(Agent05_Loans!B68="","",Agent05_Loans!I68)</f>
        <v/>
      </c>
      <c r="J858" s="40" t="str">
        <f>IF(Agent05_Loans!B68="","",Agent05_Loans!J68)</f>
        <v/>
      </c>
      <c r="K858" s="37" t="str">
        <f>IF(Agent05_Loans!B68="","",Agent05_Loans!K68)</f>
        <v/>
      </c>
      <c r="L858" s="37" t="str">
        <f>IF(Agent05_Loans!B68="","",Agent05_Loans!L68)</f>
        <v/>
      </c>
      <c r="M858" s="37" t="str">
        <f>IFERROR(IF(Agent05_Loans!B68="","",YEAR(Agent05_Loans!D68)),"")</f>
        <v/>
      </c>
    </row>
    <row r="859" spans="1:13" ht="18" customHeight="1" x14ac:dyDescent="0.25">
      <c r="A859" s="37" t="str">
        <f>IF(Agent05_Loans!B69="","",Agent05_Loans!A69)</f>
        <v/>
      </c>
      <c r="B859" s="37" t="str">
        <f>IF(Agent05_Loans!B69="","",Agent05_Loans!B69)</f>
        <v/>
      </c>
      <c r="C859" s="37" t="str">
        <f>IF(Agent05_Loans!B69="","",Agent05_Loans!C69)</f>
        <v/>
      </c>
      <c r="D859" s="38" t="str">
        <f>IF(Agent05_Loans!B69="","",Agent05_Loans!D69)</f>
        <v/>
      </c>
      <c r="E859" s="40" t="str">
        <f>IF(Agent05_Loans!B69="","",Agent05_Loans!E69)</f>
        <v/>
      </c>
      <c r="F859" s="37" t="str">
        <f>IF(Agent05_Loans!B69="","",Agent05_Loans!F69)</f>
        <v/>
      </c>
      <c r="G859" s="37" t="str">
        <f>IF(Agent05_Loans!B69="","",Agent05_Loans!G69)</f>
        <v/>
      </c>
      <c r="H859" s="37" t="str">
        <f>IF(Agent05_Loans!B69="","",Agent05_Loans!H69)</f>
        <v/>
      </c>
      <c r="I859" s="40" t="str">
        <f>IF(Agent05_Loans!B69="","",Agent05_Loans!I69)</f>
        <v/>
      </c>
      <c r="J859" s="40" t="str">
        <f>IF(Agent05_Loans!B69="","",Agent05_Loans!J69)</f>
        <v/>
      </c>
      <c r="K859" s="37" t="str">
        <f>IF(Agent05_Loans!B69="","",Agent05_Loans!K69)</f>
        <v/>
      </c>
      <c r="L859" s="37" t="str">
        <f>IF(Agent05_Loans!B69="","",Agent05_Loans!L69)</f>
        <v/>
      </c>
      <c r="M859" s="37" t="str">
        <f>IFERROR(IF(Agent05_Loans!B69="","",YEAR(Agent05_Loans!D69)),"")</f>
        <v/>
      </c>
    </row>
    <row r="860" spans="1:13" ht="18" customHeight="1" x14ac:dyDescent="0.25">
      <c r="A860" s="37" t="str">
        <f>IF(Agent05_Loans!B70="","",Agent05_Loans!A70)</f>
        <v/>
      </c>
      <c r="B860" s="37" t="str">
        <f>IF(Agent05_Loans!B70="","",Agent05_Loans!B70)</f>
        <v/>
      </c>
      <c r="C860" s="37" t="str">
        <f>IF(Agent05_Loans!B70="","",Agent05_Loans!C70)</f>
        <v/>
      </c>
      <c r="D860" s="38" t="str">
        <f>IF(Agent05_Loans!B70="","",Agent05_Loans!D70)</f>
        <v/>
      </c>
      <c r="E860" s="40" t="str">
        <f>IF(Agent05_Loans!B70="","",Agent05_Loans!E70)</f>
        <v/>
      </c>
      <c r="F860" s="37" t="str">
        <f>IF(Agent05_Loans!B70="","",Agent05_Loans!F70)</f>
        <v/>
      </c>
      <c r="G860" s="37" t="str">
        <f>IF(Agent05_Loans!B70="","",Agent05_Loans!G70)</f>
        <v/>
      </c>
      <c r="H860" s="37" t="str">
        <f>IF(Agent05_Loans!B70="","",Agent05_Loans!H70)</f>
        <v/>
      </c>
      <c r="I860" s="40" t="str">
        <f>IF(Agent05_Loans!B70="","",Agent05_Loans!I70)</f>
        <v/>
      </c>
      <c r="J860" s="40" t="str">
        <f>IF(Agent05_Loans!B70="","",Agent05_Loans!J70)</f>
        <v/>
      </c>
      <c r="K860" s="37" t="str">
        <f>IF(Agent05_Loans!B70="","",Agent05_Loans!K70)</f>
        <v/>
      </c>
      <c r="L860" s="37" t="str">
        <f>IF(Agent05_Loans!B70="","",Agent05_Loans!L70)</f>
        <v/>
      </c>
      <c r="M860" s="37" t="str">
        <f>IFERROR(IF(Agent05_Loans!B70="","",YEAR(Agent05_Loans!D70)),"")</f>
        <v/>
      </c>
    </row>
    <row r="861" spans="1:13" ht="18" customHeight="1" x14ac:dyDescent="0.25">
      <c r="A861" s="37" t="str">
        <f>IF(Agent05_Loans!B71="","",Agent05_Loans!A71)</f>
        <v/>
      </c>
      <c r="B861" s="37" t="str">
        <f>IF(Agent05_Loans!B71="","",Agent05_Loans!B71)</f>
        <v/>
      </c>
      <c r="C861" s="37" t="str">
        <f>IF(Agent05_Loans!B71="","",Agent05_Loans!C71)</f>
        <v/>
      </c>
      <c r="D861" s="38" t="str">
        <f>IF(Agent05_Loans!B71="","",Agent05_Loans!D71)</f>
        <v/>
      </c>
      <c r="E861" s="40" t="str">
        <f>IF(Agent05_Loans!B71="","",Agent05_Loans!E71)</f>
        <v/>
      </c>
      <c r="F861" s="37" t="str">
        <f>IF(Agent05_Loans!B71="","",Agent05_Loans!F71)</f>
        <v/>
      </c>
      <c r="G861" s="37" t="str">
        <f>IF(Agent05_Loans!B71="","",Agent05_Loans!G71)</f>
        <v/>
      </c>
      <c r="H861" s="37" t="str">
        <f>IF(Agent05_Loans!B71="","",Agent05_Loans!H71)</f>
        <v/>
      </c>
      <c r="I861" s="40" t="str">
        <f>IF(Agent05_Loans!B71="","",Agent05_Loans!I71)</f>
        <v/>
      </c>
      <c r="J861" s="40" t="str">
        <f>IF(Agent05_Loans!B71="","",Agent05_Loans!J71)</f>
        <v/>
      </c>
      <c r="K861" s="37" t="str">
        <f>IF(Agent05_Loans!B71="","",Agent05_Loans!K71)</f>
        <v/>
      </c>
      <c r="L861" s="37" t="str">
        <f>IF(Agent05_Loans!B71="","",Agent05_Loans!L71)</f>
        <v/>
      </c>
      <c r="M861" s="37" t="str">
        <f>IFERROR(IF(Agent05_Loans!B71="","",YEAR(Agent05_Loans!D71)),"")</f>
        <v/>
      </c>
    </row>
    <row r="862" spans="1:13" ht="18" customHeight="1" x14ac:dyDescent="0.25">
      <c r="A862" s="37" t="str">
        <f>IF(Agent05_Loans!B72="","",Agent05_Loans!A72)</f>
        <v/>
      </c>
      <c r="B862" s="37" t="str">
        <f>IF(Agent05_Loans!B72="","",Agent05_Loans!B72)</f>
        <v/>
      </c>
      <c r="C862" s="37" t="str">
        <f>IF(Agent05_Loans!B72="","",Agent05_Loans!C72)</f>
        <v/>
      </c>
      <c r="D862" s="38" t="str">
        <f>IF(Agent05_Loans!B72="","",Agent05_Loans!D72)</f>
        <v/>
      </c>
      <c r="E862" s="40" t="str">
        <f>IF(Agent05_Loans!B72="","",Agent05_Loans!E72)</f>
        <v/>
      </c>
      <c r="F862" s="37" t="str">
        <f>IF(Agent05_Loans!B72="","",Agent05_Loans!F72)</f>
        <v/>
      </c>
      <c r="G862" s="37" t="str">
        <f>IF(Agent05_Loans!B72="","",Agent05_Loans!G72)</f>
        <v/>
      </c>
      <c r="H862" s="37" t="str">
        <f>IF(Agent05_Loans!B72="","",Agent05_Loans!H72)</f>
        <v/>
      </c>
      <c r="I862" s="40" t="str">
        <f>IF(Agent05_Loans!B72="","",Agent05_Loans!I72)</f>
        <v/>
      </c>
      <c r="J862" s="40" t="str">
        <f>IF(Agent05_Loans!B72="","",Agent05_Loans!J72)</f>
        <v/>
      </c>
      <c r="K862" s="37" t="str">
        <f>IF(Agent05_Loans!B72="","",Agent05_Loans!K72)</f>
        <v/>
      </c>
      <c r="L862" s="37" t="str">
        <f>IF(Agent05_Loans!B72="","",Agent05_Loans!L72)</f>
        <v/>
      </c>
      <c r="M862" s="37" t="str">
        <f>IFERROR(IF(Agent05_Loans!B72="","",YEAR(Agent05_Loans!D72)),"")</f>
        <v/>
      </c>
    </row>
    <row r="863" spans="1:13" ht="18" customHeight="1" x14ac:dyDescent="0.25">
      <c r="A863" s="37" t="str">
        <f>IF(Agent05_Loans!B73="","",Agent05_Loans!A73)</f>
        <v/>
      </c>
      <c r="B863" s="37" t="str">
        <f>IF(Agent05_Loans!B73="","",Agent05_Loans!B73)</f>
        <v/>
      </c>
      <c r="C863" s="37" t="str">
        <f>IF(Agent05_Loans!B73="","",Agent05_Loans!C73)</f>
        <v/>
      </c>
      <c r="D863" s="38" t="str">
        <f>IF(Agent05_Loans!B73="","",Agent05_Loans!D73)</f>
        <v/>
      </c>
      <c r="E863" s="40" t="str">
        <f>IF(Agent05_Loans!B73="","",Agent05_Loans!E73)</f>
        <v/>
      </c>
      <c r="F863" s="37" t="str">
        <f>IF(Agent05_Loans!B73="","",Agent05_Loans!F73)</f>
        <v/>
      </c>
      <c r="G863" s="37" t="str">
        <f>IF(Agent05_Loans!B73="","",Agent05_Loans!G73)</f>
        <v/>
      </c>
      <c r="H863" s="37" t="str">
        <f>IF(Agent05_Loans!B73="","",Agent05_Loans!H73)</f>
        <v/>
      </c>
      <c r="I863" s="40" t="str">
        <f>IF(Agent05_Loans!B73="","",Agent05_Loans!I73)</f>
        <v/>
      </c>
      <c r="J863" s="40" t="str">
        <f>IF(Agent05_Loans!B73="","",Agent05_Loans!J73)</f>
        <v/>
      </c>
      <c r="K863" s="37" t="str">
        <f>IF(Agent05_Loans!B73="","",Agent05_Loans!K73)</f>
        <v/>
      </c>
      <c r="L863" s="37" t="str">
        <f>IF(Agent05_Loans!B73="","",Agent05_Loans!L73)</f>
        <v/>
      </c>
      <c r="M863" s="37" t="str">
        <f>IFERROR(IF(Agent05_Loans!B73="","",YEAR(Agent05_Loans!D73)),"")</f>
        <v/>
      </c>
    </row>
    <row r="864" spans="1:13" ht="18" customHeight="1" x14ac:dyDescent="0.25">
      <c r="A864" s="37" t="str">
        <f>IF(Agent05_Loans!B74="","",Agent05_Loans!A74)</f>
        <v/>
      </c>
      <c r="B864" s="37" t="str">
        <f>IF(Agent05_Loans!B74="","",Agent05_Loans!B74)</f>
        <v/>
      </c>
      <c r="C864" s="37" t="str">
        <f>IF(Agent05_Loans!B74="","",Agent05_Loans!C74)</f>
        <v/>
      </c>
      <c r="D864" s="38" t="str">
        <f>IF(Agent05_Loans!B74="","",Agent05_Loans!D74)</f>
        <v/>
      </c>
      <c r="E864" s="40" t="str">
        <f>IF(Agent05_Loans!B74="","",Agent05_Loans!E74)</f>
        <v/>
      </c>
      <c r="F864" s="37" t="str">
        <f>IF(Agent05_Loans!B74="","",Agent05_Loans!F74)</f>
        <v/>
      </c>
      <c r="G864" s="37" t="str">
        <f>IF(Agent05_Loans!B74="","",Agent05_Loans!G74)</f>
        <v/>
      </c>
      <c r="H864" s="37" t="str">
        <f>IF(Agent05_Loans!B74="","",Agent05_Loans!H74)</f>
        <v/>
      </c>
      <c r="I864" s="40" t="str">
        <f>IF(Agent05_Loans!B74="","",Agent05_Loans!I74)</f>
        <v/>
      </c>
      <c r="J864" s="40" t="str">
        <f>IF(Agent05_Loans!B74="","",Agent05_Loans!J74)</f>
        <v/>
      </c>
      <c r="K864" s="37" t="str">
        <f>IF(Agent05_Loans!B74="","",Agent05_Loans!K74)</f>
        <v/>
      </c>
      <c r="L864" s="37" t="str">
        <f>IF(Agent05_Loans!B74="","",Agent05_Loans!L74)</f>
        <v/>
      </c>
      <c r="M864" s="37" t="str">
        <f>IFERROR(IF(Agent05_Loans!B74="","",YEAR(Agent05_Loans!D74)),"")</f>
        <v/>
      </c>
    </row>
    <row r="865" spans="1:13" ht="18" customHeight="1" x14ac:dyDescent="0.25">
      <c r="A865" s="37" t="str">
        <f>IF(Agent05_Loans!B75="","",Agent05_Loans!A75)</f>
        <v/>
      </c>
      <c r="B865" s="37" t="str">
        <f>IF(Agent05_Loans!B75="","",Agent05_Loans!B75)</f>
        <v/>
      </c>
      <c r="C865" s="37" t="str">
        <f>IF(Agent05_Loans!B75="","",Agent05_Loans!C75)</f>
        <v/>
      </c>
      <c r="D865" s="38" t="str">
        <f>IF(Agent05_Loans!B75="","",Agent05_Loans!D75)</f>
        <v/>
      </c>
      <c r="E865" s="40" t="str">
        <f>IF(Agent05_Loans!B75="","",Agent05_Loans!E75)</f>
        <v/>
      </c>
      <c r="F865" s="37" t="str">
        <f>IF(Agent05_Loans!B75="","",Agent05_Loans!F75)</f>
        <v/>
      </c>
      <c r="G865" s="37" t="str">
        <f>IF(Agent05_Loans!B75="","",Agent05_Loans!G75)</f>
        <v/>
      </c>
      <c r="H865" s="37" t="str">
        <f>IF(Agent05_Loans!B75="","",Agent05_Loans!H75)</f>
        <v/>
      </c>
      <c r="I865" s="40" t="str">
        <f>IF(Agent05_Loans!B75="","",Agent05_Loans!I75)</f>
        <v/>
      </c>
      <c r="J865" s="40" t="str">
        <f>IF(Agent05_Loans!B75="","",Agent05_Loans!J75)</f>
        <v/>
      </c>
      <c r="K865" s="37" t="str">
        <f>IF(Agent05_Loans!B75="","",Agent05_Loans!K75)</f>
        <v/>
      </c>
      <c r="L865" s="37" t="str">
        <f>IF(Agent05_Loans!B75="","",Agent05_Loans!L75)</f>
        <v/>
      </c>
      <c r="M865" s="37" t="str">
        <f>IFERROR(IF(Agent05_Loans!B75="","",YEAR(Agent05_Loans!D75)),"")</f>
        <v/>
      </c>
    </row>
    <row r="866" spans="1:13" ht="18" customHeight="1" x14ac:dyDescent="0.25">
      <c r="A866" s="37" t="str">
        <f>IF(Agent05_Loans!B76="","",Agent05_Loans!A76)</f>
        <v/>
      </c>
      <c r="B866" s="37" t="str">
        <f>IF(Agent05_Loans!B76="","",Agent05_Loans!B76)</f>
        <v/>
      </c>
      <c r="C866" s="37" t="str">
        <f>IF(Agent05_Loans!B76="","",Agent05_Loans!C76)</f>
        <v/>
      </c>
      <c r="D866" s="38" t="str">
        <f>IF(Agent05_Loans!B76="","",Agent05_Loans!D76)</f>
        <v/>
      </c>
      <c r="E866" s="40" t="str">
        <f>IF(Agent05_Loans!B76="","",Agent05_Loans!E76)</f>
        <v/>
      </c>
      <c r="F866" s="37" t="str">
        <f>IF(Agent05_Loans!B76="","",Agent05_Loans!F76)</f>
        <v/>
      </c>
      <c r="G866" s="37" t="str">
        <f>IF(Agent05_Loans!B76="","",Agent05_Loans!G76)</f>
        <v/>
      </c>
      <c r="H866" s="37" t="str">
        <f>IF(Agent05_Loans!B76="","",Agent05_Loans!H76)</f>
        <v/>
      </c>
      <c r="I866" s="40" t="str">
        <f>IF(Agent05_Loans!B76="","",Agent05_Loans!I76)</f>
        <v/>
      </c>
      <c r="J866" s="40" t="str">
        <f>IF(Agent05_Loans!B76="","",Agent05_Loans!J76)</f>
        <v/>
      </c>
      <c r="K866" s="37" t="str">
        <f>IF(Agent05_Loans!B76="","",Agent05_Loans!K76)</f>
        <v/>
      </c>
      <c r="L866" s="37" t="str">
        <f>IF(Agent05_Loans!B76="","",Agent05_Loans!L76)</f>
        <v/>
      </c>
      <c r="M866" s="37" t="str">
        <f>IFERROR(IF(Agent05_Loans!B76="","",YEAR(Agent05_Loans!D76)),"")</f>
        <v/>
      </c>
    </row>
    <row r="867" spans="1:13" ht="18" customHeight="1" x14ac:dyDescent="0.25">
      <c r="A867" s="37" t="str">
        <f>IF(Agent05_Loans!B77="","",Agent05_Loans!A77)</f>
        <v/>
      </c>
      <c r="B867" s="37" t="str">
        <f>IF(Agent05_Loans!B77="","",Agent05_Loans!B77)</f>
        <v/>
      </c>
      <c r="C867" s="37" t="str">
        <f>IF(Agent05_Loans!B77="","",Agent05_Loans!C77)</f>
        <v/>
      </c>
      <c r="D867" s="38" t="str">
        <f>IF(Agent05_Loans!B77="","",Agent05_Loans!D77)</f>
        <v/>
      </c>
      <c r="E867" s="40" t="str">
        <f>IF(Agent05_Loans!B77="","",Agent05_Loans!E77)</f>
        <v/>
      </c>
      <c r="F867" s="37" t="str">
        <f>IF(Agent05_Loans!B77="","",Agent05_Loans!F77)</f>
        <v/>
      </c>
      <c r="G867" s="37" t="str">
        <f>IF(Agent05_Loans!B77="","",Agent05_Loans!G77)</f>
        <v/>
      </c>
      <c r="H867" s="37" t="str">
        <f>IF(Agent05_Loans!B77="","",Agent05_Loans!H77)</f>
        <v/>
      </c>
      <c r="I867" s="40" t="str">
        <f>IF(Agent05_Loans!B77="","",Agent05_Loans!I77)</f>
        <v/>
      </c>
      <c r="J867" s="40" t="str">
        <f>IF(Agent05_Loans!B77="","",Agent05_Loans!J77)</f>
        <v/>
      </c>
      <c r="K867" s="37" t="str">
        <f>IF(Agent05_Loans!B77="","",Agent05_Loans!K77)</f>
        <v/>
      </c>
      <c r="L867" s="37" t="str">
        <f>IF(Agent05_Loans!B77="","",Agent05_Loans!L77)</f>
        <v/>
      </c>
      <c r="M867" s="37" t="str">
        <f>IFERROR(IF(Agent05_Loans!B77="","",YEAR(Agent05_Loans!D77)),"")</f>
        <v/>
      </c>
    </row>
    <row r="868" spans="1:13" ht="18" customHeight="1" x14ac:dyDescent="0.25">
      <c r="A868" s="37" t="str">
        <f>IF(Agent05_Loans!B78="","",Agent05_Loans!A78)</f>
        <v/>
      </c>
      <c r="B868" s="37" t="str">
        <f>IF(Agent05_Loans!B78="","",Agent05_Loans!B78)</f>
        <v/>
      </c>
      <c r="C868" s="37" t="str">
        <f>IF(Agent05_Loans!B78="","",Agent05_Loans!C78)</f>
        <v/>
      </c>
      <c r="D868" s="38" t="str">
        <f>IF(Agent05_Loans!B78="","",Agent05_Loans!D78)</f>
        <v/>
      </c>
      <c r="E868" s="40" t="str">
        <f>IF(Agent05_Loans!B78="","",Agent05_Loans!E78)</f>
        <v/>
      </c>
      <c r="F868" s="37" t="str">
        <f>IF(Agent05_Loans!B78="","",Agent05_Loans!F78)</f>
        <v/>
      </c>
      <c r="G868" s="37" t="str">
        <f>IF(Agent05_Loans!B78="","",Agent05_Loans!G78)</f>
        <v/>
      </c>
      <c r="H868" s="37" t="str">
        <f>IF(Agent05_Loans!B78="","",Agent05_Loans!H78)</f>
        <v/>
      </c>
      <c r="I868" s="40" t="str">
        <f>IF(Agent05_Loans!B78="","",Agent05_Loans!I78)</f>
        <v/>
      </c>
      <c r="J868" s="40" t="str">
        <f>IF(Agent05_Loans!B78="","",Agent05_Loans!J78)</f>
        <v/>
      </c>
      <c r="K868" s="37" t="str">
        <f>IF(Agent05_Loans!B78="","",Agent05_Loans!K78)</f>
        <v/>
      </c>
      <c r="L868" s="37" t="str">
        <f>IF(Agent05_Loans!B78="","",Agent05_Loans!L78)</f>
        <v/>
      </c>
      <c r="M868" s="37" t="str">
        <f>IFERROR(IF(Agent05_Loans!B78="","",YEAR(Agent05_Loans!D78)),"")</f>
        <v/>
      </c>
    </row>
    <row r="869" spans="1:13" ht="18" customHeight="1" x14ac:dyDescent="0.25">
      <c r="A869" s="37" t="str">
        <f>IF(Agent05_Loans!B79="","",Agent05_Loans!A79)</f>
        <v/>
      </c>
      <c r="B869" s="37" t="str">
        <f>IF(Agent05_Loans!B79="","",Agent05_Loans!B79)</f>
        <v/>
      </c>
      <c r="C869" s="37" t="str">
        <f>IF(Agent05_Loans!B79="","",Agent05_Loans!C79)</f>
        <v/>
      </c>
      <c r="D869" s="38" t="str">
        <f>IF(Agent05_Loans!B79="","",Agent05_Loans!D79)</f>
        <v/>
      </c>
      <c r="E869" s="40" t="str">
        <f>IF(Agent05_Loans!B79="","",Agent05_Loans!E79)</f>
        <v/>
      </c>
      <c r="F869" s="37" t="str">
        <f>IF(Agent05_Loans!B79="","",Agent05_Loans!F79)</f>
        <v/>
      </c>
      <c r="G869" s="37" t="str">
        <f>IF(Agent05_Loans!B79="","",Agent05_Loans!G79)</f>
        <v/>
      </c>
      <c r="H869" s="37" t="str">
        <f>IF(Agent05_Loans!B79="","",Agent05_Loans!H79)</f>
        <v/>
      </c>
      <c r="I869" s="40" t="str">
        <f>IF(Agent05_Loans!B79="","",Agent05_Loans!I79)</f>
        <v/>
      </c>
      <c r="J869" s="40" t="str">
        <f>IF(Agent05_Loans!B79="","",Agent05_Loans!J79)</f>
        <v/>
      </c>
      <c r="K869" s="37" t="str">
        <f>IF(Agent05_Loans!B79="","",Agent05_Loans!K79)</f>
        <v/>
      </c>
      <c r="L869" s="37" t="str">
        <f>IF(Agent05_Loans!B79="","",Agent05_Loans!L79)</f>
        <v/>
      </c>
      <c r="M869" s="37" t="str">
        <f>IFERROR(IF(Agent05_Loans!B79="","",YEAR(Agent05_Loans!D79)),"")</f>
        <v/>
      </c>
    </row>
    <row r="870" spans="1:13" ht="18" customHeight="1" x14ac:dyDescent="0.25">
      <c r="A870" s="37" t="str">
        <f>IF(Agent05_Loans!B80="","",Agent05_Loans!A80)</f>
        <v/>
      </c>
      <c r="B870" s="37" t="str">
        <f>IF(Agent05_Loans!B80="","",Agent05_Loans!B80)</f>
        <v/>
      </c>
      <c r="C870" s="37" t="str">
        <f>IF(Agent05_Loans!B80="","",Agent05_Loans!C80)</f>
        <v/>
      </c>
      <c r="D870" s="38" t="str">
        <f>IF(Agent05_Loans!B80="","",Agent05_Loans!D80)</f>
        <v/>
      </c>
      <c r="E870" s="40" t="str">
        <f>IF(Agent05_Loans!B80="","",Agent05_Loans!E80)</f>
        <v/>
      </c>
      <c r="F870" s="37" t="str">
        <f>IF(Agent05_Loans!B80="","",Agent05_Loans!F80)</f>
        <v/>
      </c>
      <c r="G870" s="37" t="str">
        <f>IF(Agent05_Loans!B80="","",Agent05_Loans!G80)</f>
        <v/>
      </c>
      <c r="H870" s="37" t="str">
        <f>IF(Agent05_Loans!B80="","",Agent05_Loans!H80)</f>
        <v/>
      </c>
      <c r="I870" s="40" t="str">
        <f>IF(Agent05_Loans!B80="","",Agent05_Loans!I80)</f>
        <v/>
      </c>
      <c r="J870" s="40" t="str">
        <f>IF(Agent05_Loans!B80="","",Agent05_Loans!J80)</f>
        <v/>
      </c>
      <c r="K870" s="37" t="str">
        <f>IF(Agent05_Loans!B80="","",Agent05_Loans!K80)</f>
        <v/>
      </c>
      <c r="L870" s="37" t="str">
        <f>IF(Agent05_Loans!B80="","",Agent05_Loans!L80)</f>
        <v/>
      </c>
      <c r="M870" s="37" t="str">
        <f>IFERROR(IF(Agent05_Loans!B80="","",YEAR(Agent05_Loans!D80)),"")</f>
        <v/>
      </c>
    </row>
    <row r="871" spans="1:13" ht="18" customHeight="1" x14ac:dyDescent="0.25">
      <c r="A871" s="37" t="str">
        <f>IF(Agent05_Loans!B81="","",Agent05_Loans!A81)</f>
        <v/>
      </c>
      <c r="B871" s="37" t="str">
        <f>IF(Agent05_Loans!B81="","",Agent05_Loans!B81)</f>
        <v/>
      </c>
      <c r="C871" s="37" t="str">
        <f>IF(Agent05_Loans!B81="","",Agent05_Loans!C81)</f>
        <v/>
      </c>
      <c r="D871" s="38" t="str">
        <f>IF(Agent05_Loans!B81="","",Agent05_Loans!D81)</f>
        <v/>
      </c>
      <c r="E871" s="40" t="str">
        <f>IF(Agent05_Loans!B81="","",Agent05_Loans!E81)</f>
        <v/>
      </c>
      <c r="F871" s="37" t="str">
        <f>IF(Agent05_Loans!B81="","",Agent05_Loans!F81)</f>
        <v/>
      </c>
      <c r="G871" s="37" t="str">
        <f>IF(Agent05_Loans!B81="","",Agent05_Loans!G81)</f>
        <v/>
      </c>
      <c r="H871" s="37" t="str">
        <f>IF(Agent05_Loans!B81="","",Agent05_Loans!H81)</f>
        <v/>
      </c>
      <c r="I871" s="40" t="str">
        <f>IF(Agent05_Loans!B81="","",Agent05_Loans!I81)</f>
        <v/>
      </c>
      <c r="J871" s="40" t="str">
        <f>IF(Agent05_Loans!B81="","",Agent05_Loans!J81)</f>
        <v/>
      </c>
      <c r="K871" s="37" t="str">
        <f>IF(Agent05_Loans!B81="","",Agent05_Loans!K81)</f>
        <v/>
      </c>
      <c r="L871" s="37" t="str">
        <f>IF(Agent05_Loans!B81="","",Agent05_Loans!L81)</f>
        <v/>
      </c>
      <c r="M871" s="37" t="str">
        <f>IFERROR(IF(Agent05_Loans!B81="","",YEAR(Agent05_Loans!D81)),"")</f>
        <v/>
      </c>
    </row>
    <row r="872" spans="1:13" ht="18" customHeight="1" x14ac:dyDescent="0.25">
      <c r="A872" s="37" t="str">
        <f>IF(Agent05_Loans!B82="","",Agent05_Loans!A82)</f>
        <v/>
      </c>
      <c r="B872" s="37" t="str">
        <f>IF(Agent05_Loans!B82="","",Agent05_Loans!B82)</f>
        <v/>
      </c>
      <c r="C872" s="37" t="str">
        <f>IF(Agent05_Loans!B82="","",Agent05_Loans!C82)</f>
        <v/>
      </c>
      <c r="D872" s="38" t="str">
        <f>IF(Agent05_Loans!B82="","",Agent05_Loans!D82)</f>
        <v/>
      </c>
      <c r="E872" s="40" t="str">
        <f>IF(Agent05_Loans!B82="","",Agent05_Loans!E82)</f>
        <v/>
      </c>
      <c r="F872" s="37" t="str">
        <f>IF(Agent05_Loans!B82="","",Agent05_Loans!F82)</f>
        <v/>
      </c>
      <c r="G872" s="37" t="str">
        <f>IF(Agent05_Loans!B82="","",Agent05_Loans!G82)</f>
        <v/>
      </c>
      <c r="H872" s="37" t="str">
        <f>IF(Agent05_Loans!B82="","",Agent05_Loans!H82)</f>
        <v/>
      </c>
      <c r="I872" s="40" t="str">
        <f>IF(Agent05_Loans!B82="","",Agent05_Loans!I82)</f>
        <v/>
      </c>
      <c r="J872" s="40" t="str">
        <f>IF(Agent05_Loans!B82="","",Agent05_Loans!J82)</f>
        <v/>
      </c>
      <c r="K872" s="37" t="str">
        <f>IF(Agent05_Loans!B82="","",Agent05_Loans!K82)</f>
        <v/>
      </c>
      <c r="L872" s="37" t="str">
        <f>IF(Agent05_Loans!B82="","",Agent05_Loans!L82)</f>
        <v/>
      </c>
      <c r="M872" s="37" t="str">
        <f>IFERROR(IF(Agent05_Loans!B82="","",YEAR(Agent05_Loans!D82)),"")</f>
        <v/>
      </c>
    </row>
    <row r="873" spans="1:13" ht="18" customHeight="1" x14ac:dyDescent="0.25">
      <c r="A873" s="37" t="str">
        <f>IF(Agent05_Loans!B83="","",Agent05_Loans!A83)</f>
        <v/>
      </c>
      <c r="B873" s="37" t="str">
        <f>IF(Agent05_Loans!B83="","",Agent05_Loans!B83)</f>
        <v/>
      </c>
      <c r="C873" s="37" t="str">
        <f>IF(Agent05_Loans!B83="","",Agent05_Loans!C83)</f>
        <v/>
      </c>
      <c r="D873" s="38" t="str">
        <f>IF(Agent05_Loans!B83="","",Agent05_Loans!D83)</f>
        <v/>
      </c>
      <c r="E873" s="40" t="str">
        <f>IF(Agent05_Loans!B83="","",Agent05_Loans!E83)</f>
        <v/>
      </c>
      <c r="F873" s="37" t="str">
        <f>IF(Agent05_Loans!B83="","",Agent05_Loans!F83)</f>
        <v/>
      </c>
      <c r="G873" s="37" t="str">
        <f>IF(Agent05_Loans!B83="","",Agent05_Loans!G83)</f>
        <v/>
      </c>
      <c r="H873" s="37" t="str">
        <f>IF(Agent05_Loans!B83="","",Agent05_Loans!H83)</f>
        <v/>
      </c>
      <c r="I873" s="40" t="str">
        <f>IF(Agent05_Loans!B83="","",Agent05_Loans!I83)</f>
        <v/>
      </c>
      <c r="J873" s="40" t="str">
        <f>IF(Agent05_Loans!B83="","",Agent05_Loans!J83)</f>
        <v/>
      </c>
      <c r="K873" s="37" t="str">
        <f>IF(Agent05_Loans!B83="","",Agent05_Loans!K83)</f>
        <v/>
      </c>
      <c r="L873" s="37" t="str">
        <f>IF(Agent05_Loans!B83="","",Agent05_Loans!L83)</f>
        <v/>
      </c>
      <c r="M873" s="37" t="str">
        <f>IFERROR(IF(Agent05_Loans!B83="","",YEAR(Agent05_Loans!D83)),"")</f>
        <v/>
      </c>
    </row>
    <row r="874" spans="1:13" ht="18" customHeight="1" x14ac:dyDescent="0.25">
      <c r="A874" s="37" t="str">
        <f>IF(Agent05_Loans!B84="","",Agent05_Loans!A84)</f>
        <v/>
      </c>
      <c r="B874" s="37" t="str">
        <f>IF(Agent05_Loans!B84="","",Agent05_Loans!B84)</f>
        <v/>
      </c>
      <c r="C874" s="37" t="str">
        <f>IF(Agent05_Loans!B84="","",Agent05_Loans!C84)</f>
        <v/>
      </c>
      <c r="D874" s="38" t="str">
        <f>IF(Agent05_Loans!B84="","",Agent05_Loans!D84)</f>
        <v/>
      </c>
      <c r="E874" s="40" t="str">
        <f>IF(Agent05_Loans!B84="","",Agent05_Loans!E84)</f>
        <v/>
      </c>
      <c r="F874" s="37" t="str">
        <f>IF(Agent05_Loans!B84="","",Agent05_Loans!F84)</f>
        <v/>
      </c>
      <c r="G874" s="37" t="str">
        <f>IF(Agent05_Loans!B84="","",Agent05_Loans!G84)</f>
        <v/>
      </c>
      <c r="H874" s="37" t="str">
        <f>IF(Agent05_Loans!B84="","",Agent05_Loans!H84)</f>
        <v/>
      </c>
      <c r="I874" s="40" t="str">
        <f>IF(Agent05_Loans!B84="","",Agent05_Loans!I84)</f>
        <v/>
      </c>
      <c r="J874" s="40" t="str">
        <f>IF(Agent05_Loans!B84="","",Agent05_Loans!J84)</f>
        <v/>
      </c>
      <c r="K874" s="37" t="str">
        <f>IF(Agent05_Loans!B84="","",Agent05_Loans!K84)</f>
        <v/>
      </c>
      <c r="L874" s="37" t="str">
        <f>IF(Agent05_Loans!B84="","",Agent05_Loans!L84)</f>
        <v/>
      </c>
      <c r="M874" s="37" t="str">
        <f>IFERROR(IF(Agent05_Loans!B84="","",YEAR(Agent05_Loans!D84)),"")</f>
        <v/>
      </c>
    </row>
    <row r="875" spans="1:13" ht="18" customHeight="1" x14ac:dyDescent="0.25">
      <c r="A875" s="37" t="str">
        <f>IF(Agent05_Loans!B85="","",Agent05_Loans!A85)</f>
        <v/>
      </c>
      <c r="B875" s="37" t="str">
        <f>IF(Agent05_Loans!B85="","",Agent05_Loans!B85)</f>
        <v/>
      </c>
      <c r="C875" s="37" t="str">
        <f>IF(Agent05_Loans!B85="","",Agent05_Loans!C85)</f>
        <v/>
      </c>
      <c r="D875" s="38" t="str">
        <f>IF(Agent05_Loans!B85="","",Agent05_Loans!D85)</f>
        <v/>
      </c>
      <c r="E875" s="40" t="str">
        <f>IF(Agent05_Loans!B85="","",Agent05_Loans!E85)</f>
        <v/>
      </c>
      <c r="F875" s="37" t="str">
        <f>IF(Agent05_Loans!B85="","",Agent05_Loans!F85)</f>
        <v/>
      </c>
      <c r="G875" s="37" t="str">
        <f>IF(Agent05_Loans!B85="","",Agent05_Loans!G85)</f>
        <v/>
      </c>
      <c r="H875" s="37" t="str">
        <f>IF(Agent05_Loans!B85="","",Agent05_Loans!H85)</f>
        <v/>
      </c>
      <c r="I875" s="40" t="str">
        <f>IF(Agent05_Loans!B85="","",Agent05_Loans!I85)</f>
        <v/>
      </c>
      <c r="J875" s="40" t="str">
        <f>IF(Agent05_Loans!B85="","",Agent05_Loans!J85)</f>
        <v/>
      </c>
      <c r="K875" s="37" t="str">
        <f>IF(Agent05_Loans!B85="","",Agent05_Loans!K85)</f>
        <v/>
      </c>
      <c r="L875" s="37" t="str">
        <f>IF(Agent05_Loans!B85="","",Agent05_Loans!L85)</f>
        <v/>
      </c>
      <c r="M875" s="37" t="str">
        <f>IFERROR(IF(Agent05_Loans!B85="","",YEAR(Agent05_Loans!D85)),"")</f>
        <v/>
      </c>
    </row>
    <row r="876" spans="1:13" ht="18" customHeight="1" x14ac:dyDescent="0.25">
      <c r="A876" s="37" t="str">
        <f>IF(Agent05_Loans!B86="","",Agent05_Loans!A86)</f>
        <v/>
      </c>
      <c r="B876" s="37" t="str">
        <f>IF(Agent05_Loans!B86="","",Agent05_Loans!B86)</f>
        <v/>
      </c>
      <c r="C876" s="37" t="str">
        <f>IF(Agent05_Loans!B86="","",Agent05_Loans!C86)</f>
        <v/>
      </c>
      <c r="D876" s="38" t="str">
        <f>IF(Agent05_Loans!B86="","",Agent05_Loans!D86)</f>
        <v/>
      </c>
      <c r="E876" s="40" t="str">
        <f>IF(Agent05_Loans!B86="","",Agent05_Loans!E86)</f>
        <v/>
      </c>
      <c r="F876" s="37" t="str">
        <f>IF(Agent05_Loans!B86="","",Agent05_Loans!F86)</f>
        <v/>
      </c>
      <c r="G876" s="37" t="str">
        <f>IF(Agent05_Loans!B86="","",Agent05_Loans!G86)</f>
        <v/>
      </c>
      <c r="H876" s="37" t="str">
        <f>IF(Agent05_Loans!B86="","",Agent05_Loans!H86)</f>
        <v/>
      </c>
      <c r="I876" s="40" t="str">
        <f>IF(Agent05_Loans!B86="","",Agent05_Loans!I86)</f>
        <v/>
      </c>
      <c r="J876" s="40" t="str">
        <f>IF(Agent05_Loans!B86="","",Agent05_Loans!J86)</f>
        <v/>
      </c>
      <c r="K876" s="37" t="str">
        <f>IF(Agent05_Loans!B86="","",Agent05_Loans!K86)</f>
        <v/>
      </c>
      <c r="L876" s="37" t="str">
        <f>IF(Agent05_Loans!B86="","",Agent05_Loans!L86)</f>
        <v/>
      </c>
      <c r="M876" s="37" t="str">
        <f>IFERROR(IF(Agent05_Loans!B86="","",YEAR(Agent05_Loans!D86)),"")</f>
        <v/>
      </c>
    </row>
    <row r="877" spans="1:13" ht="18" customHeight="1" x14ac:dyDescent="0.25">
      <c r="A877" s="37" t="str">
        <f>IF(Agent05_Loans!B87="","",Agent05_Loans!A87)</f>
        <v/>
      </c>
      <c r="B877" s="37" t="str">
        <f>IF(Agent05_Loans!B87="","",Agent05_Loans!B87)</f>
        <v/>
      </c>
      <c r="C877" s="37" t="str">
        <f>IF(Agent05_Loans!B87="","",Agent05_Loans!C87)</f>
        <v/>
      </c>
      <c r="D877" s="38" t="str">
        <f>IF(Agent05_Loans!B87="","",Agent05_Loans!D87)</f>
        <v/>
      </c>
      <c r="E877" s="40" t="str">
        <f>IF(Agent05_Loans!B87="","",Agent05_Loans!E87)</f>
        <v/>
      </c>
      <c r="F877" s="37" t="str">
        <f>IF(Agent05_Loans!B87="","",Agent05_Loans!F87)</f>
        <v/>
      </c>
      <c r="G877" s="37" t="str">
        <f>IF(Agent05_Loans!B87="","",Agent05_Loans!G87)</f>
        <v/>
      </c>
      <c r="H877" s="37" t="str">
        <f>IF(Agent05_Loans!B87="","",Agent05_Loans!H87)</f>
        <v/>
      </c>
      <c r="I877" s="40" t="str">
        <f>IF(Agent05_Loans!B87="","",Agent05_Loans!I87)</f>
        <v/>
      </c>
      <c r="J877" s="40" t="str">
        <f>IF(Agent05_Loans!B87="","",Agent05_Loans!J87)</f>
        <v/>
      </c>
      <c r="K877" s="37" t="str">
        <f>IF(Agent05_Loans!B87="","",Agent05_Loans!K87)</f>
        <v/>
      </c>
      <c r="L877" s="37" t="str">
        <f>IF(Agent05_Loans!B87="","",Agent05_Loans!L87)</f>
        <v/>
      </c>
      <c r="M877" s="37" t="str">
        <f>IFERROR(IF(Agent05_Loans!B87="","",YEAR(Agent05_Loans!D87)),"")</f>
        <v/>
      </c>
    </row>
    <row r="878" spans="1:13" ht="18" customHeight="1" x14ac:dyDescent="0.25">
      <c r="A878" s="37" t="str">
        <f>IF(Agent05_Loans!B88="","",Agent05_Loans!A88)</f>
        <v/>
      </c>
      <c r="B878" s="37" t="str">
        <f>IF(Agent05_Loans!B88="","",Agent05_Loans!B88)</f>
        <v/>
      </c>
      <c r="C878" s="37" t="str">
        <f>IF(Agent05_Loans!B88="","",Agent05_Loans!C88)</f>
        <v/>
      </c>
      <c r="D878" s="38" t="str">
        <f>IF(Agent05_Loans!B88="","",Agent05_Loans!D88)</f>
        <v/>
      </c>
      <c r="E878" s="40" t="str">
        <f>IF(Agent05_Loans!B88="","",Agent05_Loans!E88)</f>
        <v/>
      </c>
      <c r="F878" s="37" t="str">
        <f>IF(Agent05_Loans!B88="","",Agent05_Loans!F88)</f>
        <v/>
      </c>
      <c r="G878" s="37" t="str">
        <f>IF(Agent05_Loans!B88="","",Agent05_Loans!G88)</f>
        <v/>
      </c>
      <c r="H878" s="37" t="str">
        <f>IF(Agent05_Loans!B88="","",Agent05_Loans!H88)</f>
        <v/>
      </c>
      <c r="I878" s="40" t="str">
        <f>IF(Agent05_Loans!B88="","",Agent05_Loans!I88)</f>
        <v/>
      </c>
      <c r="J878" s="40" t="str">
        <f>IF(Agent05_Loans!B88="","",Agent05_Loans!J88)</f>
        <v/>
      </c>
      <c r="K878" s="37" t="str">
        <f>IF(Agent05_Loans!B88="","",Agent05_Loans!K88)</f>
        <v/>
      </c>
      <c r="L878" s="37" t="str">
        <f>IF(Agent05_Loans!B88="","",Agent05_Loans!L88)</f>
        <v/>
      </c>
      <c r="M878" s="37" t="str">
        <f>IFERROR(IF(Agent05_Loans!B88="","",YEAR(Agent05_Loans!D88)),"")</f>
        <v/>
      </c>
    </row>
    <row r="879" spans="1:13" ht="18" customHeight="1" x14ac:dyDescent="0.25">
      <c r="A879" s="37" t="str">
        <f>IF(Agent05_Loans!B89="","",Agent05_Loans!A89)</f>
        <v/>
      </c>
      <c r="B879" s="37" t="str">
        <f>IF(Agent05_Loans!B89="","",Agent05_Loans!B89)</f>
        <v/>
      </c>
      <c r="C879" s="37" t="str">
        <f>IF(Agent05_Loans!B89="","",Agent05_Loans!C89)</f>
        <v/>
      </c>
      <c r="D879" s="38" t="str">
        <f>IF(Agent05_Loans!B89="","",Agent05_Loans!D89)</f>
        <v/>
      </c>
      <c r="E879" s="40" t="str">
        <f>IF(Agent05_Loans!B89="","",Agent05_Loans!E89)</f>
        <v/>
      </c>
      <c r="F879" s="37" t="str">
        <f>IF(Agent05_Loans!B89="","",Agent05_Loans!F89)</f>
        <v/>
      </c>
      <c r="G879" s="37" t="str">
        <f>IF(Agent05_Loans!B89="","",Agent05_Loans!G89)</f>
        <v/>
      </c>
      <c r="H879" s="37" t="str">
        <f>IF(Agent05_Loans!B89="","",Agent05_Loans!H89)</f>
        <v/>
      </c>
      <c r="I879" s="40" t="str">
        <f>IF(Agent05_Loans!B89="","",Agent05_Loans!I89)</f>
        <v/>
      </c>
      <c r="J879" s="40" t="str">
        <f>IF(Agent05_Loans!B89="","",Agent05_Loans!J89)</f>
        <v/>
      </c>
      <c r="K879" s="37" t="str">
        <f>IF(Agent05_Loans!B89="","",Agent05_Loans!K89)</f>
        <v/>
      </c>
      <c r="L879" s="37" t="str">
        <f>IF(Agent05_Loans!B89="","",Agent05_Loans!L89)</f>
        <v/>
      </c>
      <c r="M879" s="37" t="str">
        <f>IFERROR(IF(Agent05_Loans!B89="","",YEAR(Agent05_Loans!D89)),"")</f>
        <v/>
      </c>
    </row>
    <row r="880" spans="1:13" ht="18" customHeight="1" x14ac:dyDescent="0.25">
      <c r="A880" s="37" t="str">
        <f>IF(Agent05_Loans!B90="","",Agent05_Loans!A90)</f>
        <v/>
      </c>
      <c r="B880" s="37" t="str">
        <f>IF(Agent05_Loans!B90="","",Agent05_Loans!B90)</f>
        <v/>
      </c>
      <c r="C880" s="37" t="str">
        <f>IF(Agent05_Loans!B90="","",Agent05_Loans!C90)</f>
        <v/>
      </c>
      <c r="D880" s="38" t="str">
        <f>IF(Agent05_Loans!B90="","",Agent05_Loans!D90)</f>
        <v/>
      </c>
      <c r="E880" s="40" t="str">
        <f>IF(Agent05_Loans!B90="","",Agent05_Loans!E90)</f>
        <v/>
      </c>
      <c r="F880" s="37" t="str">
        <f>IF(Agent05_Loans!B90="","",Agent05_Loans!F90)</f>
        <v/>
      </c>
      <c r="G880" s="37" t="str">
        <f>IF(Agent05_Loans!B90="","",Agent05_Loans!G90)</f>
        <v/>
      </c>
      <c r="H880" s="37" t="str">
        <f>IF(Agent05_Loans!B90="","",Agent05_Loans!H90)</f>
        <v/>
      </c>
      <c r="I880" s="40" t="str">
        <f>IF(Agent05_Loans!B90="","",Agent05_Loans!I90)</f>
        <v/>
      </c>
      <c r="J880" s="40" t="str">
        <f>IF(Agent05_Loans!B90="","",Agent05_Loans!J90)</f>
        <v/>
      </c>
      <c r="K880" s="37" t="str">
        <f>IF(Agent05_Loans!B90="","",Agent05_Loans!K90)</f>
        <v/>
      </c>
      <c r="L880" s="37" t="str">
        <f>IF(Agent05_Loans!B90="","",Agent05_Loans!L90)</f>
        <v/>
      </c>
      <c r="M880" s="37" t="str">
        <f>IFERROR(IF(Agent05_Loans!B90="","",YEAR(Agent05_Loans!D90)),"")</f>
        <v/>
      </c>
    </row>
    <row r="881" spans="1:13" ht="18" customHeight="1" x14ac:dyDescent="0.25">
      <c r="A881" s="37" t="str">
        <f>IF(Agent05_Loans!B91="","",Agent05_Loans!A91)</f>
        <v/>
      </c>
      <c r="B881" s="37" t="str">
        <f>IF(Agent05_Loans!B91="","",Agent05_Loans!B91)</f>
        <v/>
      </c>
      <c r="C881" s="37" t="str">
        <f>IF(Agent05_Loans!B91="","",Agent05_Loans!C91)</f>
        <v/>
      </c>
      <c r="D881" s="38" t="str">
        <f>IF(Agent05_Loans!B91="","",Agent05_Loans!D91)</f>
        <v/>
      </c>
      <c r="E881" s="40" t="str">
        <f>IF(Agent05_Loans!B91="","",Agent05_Loans!E91)</f>
        <v/>
      </c>
      <c r="F881" s="37" t="str">
        <f>IF(Agent05_Loans!B91="","",Agent05_Loans!F91)</f>
        <v/>
      </c>
      <c r="G881" s="37" t="str">
        <f>IF(Agent05_Loans!B91="","",Agent05_Loans!G91)</f>
        <v/>
      </c>
      <c r="H881" s="37" t="str">
        <f>IF(Agent05_Loans!B91="","",Agent05_Loans!H91)</f>
        <v/>
      </c>
      <c r="I881" s="40" t="str">
        <f>IF(Agent05_Loans!B91="","",Agent05_Loans!I91)</f>
        <v/>
      </c>
      <c r="J881" s="40" t="str">
        <f>IF(Agent05_Loans!B91="","",Agent05_Loans!J91)</f>
        <v/>
      </c>
      <c r="K881" s="37" t="str">
        <f>IF(Agent05_Loans!B91="","",Agent05_Loans!K91)</f>
        <v/>
      </c>
      <c r="L881" s="37" t="str">
        <f>IF(Agent05_Loans!B91="","",Agent05_Loans!L91)</f>
        <v/>
      </c>
      <c r="M881" s="37" t="str">
        <f>IFERROR(IF(Agent05_Loans!B91="","",YEAR(Agent05_Loans!D91)),"")</f>
        <v/>
      </c>
    </row>
    <row r="882" spans="1:13" ht="18" customHeight="1" x14ac:dyDescent="0.25">
      <c r="A882" s="37" t="str">
        <f>IF(Agent05_Loans!B92="","",Agent05_Loans!A92)</f>
        <v/>
      </c>
      <c r="B882" s="37" t="str">
        <f>IF(Agent05_Loans!B92="","",Agent05_Loans!B92)</f>
        <v/>
      </c>
      <c r="C882" s="37" t="str">
        <f>IF(Agent05_Loans!B92="","",Agent05_Loans!C92)</f>
        <v/>
      </c>
      <c r="D882" s="38" t="str">
        <f>IF(Agent05_Loans!B92="","",Agent05_Loans!D92)</f>
        <v/>
      </c>
      <c r="E882" s="40" t="str">
        <f>IF(Agent05_Loans!B92="","",Agent05_Loans!E92)</f>
        <v/>
      </c>
      <c r="F882" s="37" t="str">
        <f>IF(Agent05_Loans!B92="","",Agent05_Loans!F92)</f>
        <v/>
      </c>
      <c r="G882" s="37" t="str">
        <f>IF(Agent05_Loans!B92="","",Agent05_Loans!G92)</f>
        <v/>
      </c>
      <c r="H882" s="37" t="str">
        <f>IF(Agent05_Loans!B92="","",Agent05_Loans!H92)</f>
        <v/>
      </c>
      <c r="I882" s="40" t="str">
        <f>IF(Agent05_Loans!B92="","",Agent05_Loans!I92)</f>
        <v/>
      </c>
      <c r="J882" s="40" t="str">
        <f>IF(Agent05_Loans!B92="","",Agent05_Loans!J92)</f>
        <v/>
      </c>
      <c r="K882" s="37" t="str">
        <f>IF(Agent05_Loans!B92="","",Agent05_Loans!K92)</f>
        <v/>
      </c>
      <c r="L882" s="37" t="str">
        <f>IF(Agent05_Loans!B92="","",Agent05_Loans!L92)</f>
        <v/>
      </c>
      <c r="M882" s="37" t="str">
        <f>IFERROR(IF(Agent05_Loans!B92="","",YEAR(Agent05_Loans!D92)),"")</f>
        <v/>
      </c>
    </row>
    <row r="883" spans="1:13" ht="18" customHeight="1" x14ac:dyDescent="0.25">
      <c r="A883" s="37" t="str">
        <f>IF(Agent05_Loans!B93="","",Agent05_Loans!A93)</f>
        <v/>
      </c>
      <c r="B883" s="37" t="str">
        <f>IF(Agent05_Loans!B93="","",Agent05_Loans!B93)</f>
        <v/>
      </c>
      <c r="C883" s="37" t="str">
        <f>IF(Agent05_Loans!B93="","",Agent05_Loans!C93)</f>
        <v/>
      </c>
      <c r="D883" s="38" t="str">
        <f>IF(Agent05_Loans!B93="","",Agent05_Loans!D93)</f>
        <v/>
      </c>
      <c r="E883" s="40" t="str">
        <f>IF(Agent05_Loans!B93="","",Agent05_Loans!E93)</f>
        <v/>
      </c>
      <c r="F883" s="37" t="str">
        <f>IF(Agent05_Loans!B93="","",Agent05_Loans!F93)</f>
        <v/>
      </c>
      <c r="G883" s="37" t="str">
        <f>IF(Agent05_Loans!B93="","",Agent05_Loans!G93)</f>
        <v/>
      </c>
      <c r="H883" s="37" t="str">
        <f>IF(Agent05_Loans!B93="","",Agent05_Loans!H93)</f>
        <v/>
      </c>
      <c r="I883" s="40" t="str">
        <f>IF(Agent05_Loans!B93="","",Agent05_Loans!I93)</f>
        <v/>
      </c>
      <c r="J883" s="40" t="str">
        <f>IF(Agent05_Loans!B93="","",Agent05_Loans!J93)</f>
        <v/>
      </c>
      <c r="K883" s="37" t="str">
        <f>IF(Agent05_Loans!B93="","",Agent05_Loans!K93)</f>
        <v/>
      </c>
      <c r="L883" s="37" t="str">
        <f>IF(Agent05_Loans!B93="","",Agent05_Loans!L93)</f>
        <v/>
      </c>
      <c r="M883" s="37" t="str">
        <f>IFERROR(IF(Agent05_Loans!B93="","",YEAR(Agent05_Loans!D93)),"")</f>
        <v/>
      </c>
    </row>
    <row r="884" spans="1:13" ht="18" customHeight="1" x14ac:dyDescent="0.25">
      <c r="A884" s="37" t="str">
        <f>IF(Agent05_Loans!B94="","",Agent05_Loans!A94)</f>
        <v/>
      </c>
      <c r="B884" s="37" t="str">
        <f>IF(Agent05_Loans!B94="","",Agent05_Loans!B94)</f>
        <v/>
      </c>
      <c r="C884" s="37" t="str">
        <f>IF(Agent05_Loans!B94="","",Agent05_Loans!C94)</f>
        <v/>
      </c>
      <c r="D884" s="38" t="str">
        <f>IF(Agent05_Loans!B94="","",Agent05_Loans!D94)</f>
        <v/>
      </c>
      <c r="E884" s="40" t="str">
        <f>IF(Agent05_Loans!B94="","",Agent05_Loans!E94)</f>
        <v/>
      </c>
      <c r="F884" s="37" t="str">
        <f>IF(Agent05_Loans!B94="","",Agent05_Loans!F94)</f>
        <v/>
      </c>
      <c r="G884" s="37" t="str">
        <f>IF(Agent05_Loans!B94="","",Agent05_Loans!G94)</f>
        <v/>
      </c>
      <c r="H884" s="37" t="str">
        <f>IF(Agent05_Loans!B94="","",Agent05_Loans!H94)</f>
        <v/>
      </c>
      <c r="I884" s="40" t="str">
        <f>IF(Agent05_Loans!B94="","",Agent05_Loans!I94)</f>
        <v/>
      </c>
      <c r="J884" s="40" t="str">
        <f>IF(Agent05_Loans!B94="","",Agent05_Loans!J94)</f>
        <v/>
      </c>
      <c r="K884" s="37" t="str">
        <f>IF(Agent05_Loans!B94="","",Agent05_Loans!K94)</f>
        <v/>
      </c>
      <c r="L884" s="37" t="str">
        <f>IF(Agent05_Loans!B94="","",Agent05_Loans!L94)</f>
        <v/>
      </c>
      <c r="M884" s="37" t="str">
        <f>IFERROR(IF(Agent05_Loans!B94="","",YEAR(Agent05_Loans!D94)),"")</f>
        <v/>
      </c>
    </row>
    <row r="885" spans="1:13" ht="18" customHeight="1" x14ac:dyDescent="0.25">
      <c r="A885" s="37" t="str">
        <f>IF(Agent05_Loans!B95="","",Agent05_Loans!A95)</f>
        <v/>
      </c>
      <c r="B885" s="37" t="str">
        <f>IF(Agent05_Loans!B95="","",Agent05_Loans!B95)</f>
        <v/>
      </c>
      <c r="C885" s="37" t="str">
        <f>IF(Agent05_Loans!B95="","",Agent05_Loans!C95)</f>
        <v/>
      </c>
      <c r="D885" s="38" t="str">
        <f>IF(Agent05_Loans!B95="","",Agent05_Loans!D95)</f>
        <v/>
      </c>
      <c r="E885" s="40" t="str">
        <f>IF(Agent05_Loans!B95="","",Agent05_Loans!E95)</f>
        <v/>
      </c>
      <c r="F885" s="37" t="str">
        <f>IF(Agent05_Loans!B95="","",Agent05_Loans!F95)</f>
        <v/>
      </c>
      <c r="G885" s="37" t="str">
        <f>IF(Agent05_Loans!B95="","",Agent05_Loans!G95)</f>
        <v/>
      </c>
      <c r="H885" s="37" t="str">
        <f>IF(Agent05_Loans!B95="","",Agent05_Loans!H95)</f>
        <v/>
      </c>
      <c r="I885" s="40" t="str">
        <f>IF(Agent05_Loans!B95="","",Agent05_Loans!I95)</f>
        <v/>
      </c>
      <c r="J885" s="40" t="str">
        <f>IF(Agent05_Loans!B95="","",Agent05_Loans!J95)</f>
        <v/>
      </c>
      <c r="K885" s="37" t="str">
        <f>IF(Agent05_Loans!B95="","",Agent05_Loans!K95)</f>
        <v/>
      </c>
      <c r="L885" s="37" t="str">
        <f>IF(Agent05_Loans!B95="","",Agent05_Loans!L95)</f>
        <v/>
      </c>
      <c r="M885" s="37" t="str">
        <f>IFERROR(IF(Agent05_Loans!B95="","",YEAR(Agent05_Loans!D95)),"")</f>
        <v/>
      </c>
    </row>
    <row r="886" spans="1:13" ht="18" customHeight="1" x14ac:dyDescent="0.25">
      <c r="A886" s="37" t="str">
        <f>IF(Agent05_Loans!B96="","",Agent05_Loans!A96)</f>
        <v/>
      </c>
      <c r="B886" s="37" t="str">
        <f>IF(Agent05_Loans!B96="","",Agent05_Loans!B96)</f>
        <v/>
      </c>
      <c r="C886" s="37" t="str">
        <f>IF(Agent05_Loans!B96="","",Agent05_Loans!C96)</f>
        <v/>
      </c>
      <c r="D886" s="38" t="str">
        <f>IF(Agent05_Loans!B96="","",Agent05_Loans!D96)</f>
        <v/>
      </c>
      <c r="E886" s="40" t="str">
        <f>IF(Agent05_Loans!B96="","",Agent05_Loans!E96)</f>
        <v/>
      </c>
      <c r="F886" s="37" t="str">
        <f>IF(Agent05_Loans!B96="","",Agent05_Loans!F96)</f>
        <v/>
      </c>
      <c r="G886" s="37" t="str">
        <f>IF(Agent05_Loans!B96="","",Agent05_Loans!G96)</f>
        <v/>
      </c>
      <c r="H886" s="37" t="str">
        <f>IF(Agent05_Loans!B96="","",Agent05_Loans!H96)</f>
        <v/>
      </c>
      <c r="I886" s="40" t="str">
        <f>IF(Agent05_Loans!B96="","",Agent05_Loans!I96)</f>
        <v/>
      </c>
      <c r="J886" s="40" t="str">
        <f>IF(Agent05_Loans!B96="","",Agent05_Loans!J96)</f>
        <v/>
      </c>
      <c r="K886" s="37" t="str">
        <f>IF(Agent05_Loans!B96="","",Agent05_Loans!K96)</f>
        <v/>
      </c>
      <c r="L886" s="37" t="str">
        <f>IF(Agent05_Loans!B96="","",Agent05_Loans!L96)</f>
        <v/>
      </c>
      <c r="M886" s="37" t="str">
        <f>IFERROR(IF(Agent05_Loans!B96="","",YEAR(Agent05_Loans!D96)),"")</f>
        <v/>
      </c>
    </row>
    <row r="887" spans="1:13" ht="18" customHeight="1" x14ac:dyDescent="0.25">
      <c r="A887" s="37" t="str">
        <f>IF(Agent05_Loans!B97="","",Agent05_Loans!A97)</f>
        <v/>
      </c>
      <c r="B887" s="37" t="str">
        <f>IF(Agent05_Loans!B97="","",Agent05_Loans!B97)</f>
        <v/>
      </c>
      <c r="C887" s="37" t="str">
        <f>IF(Agent05_Loans!B97="","",Agent05_Loans!C97)</f>
        <v/>
      </c>
      <c r="D887" s="38" t="str">
        <f>IF(Agent05_Loans!B97="","",Agent05_Loans!D97)</f>
        <v/>
      </c>
      <c r="E887" s="40" t="str">
        <f>IF(Agent05_Loans!B97="","",Agent05_Loans!E97)</f>
        <v/>
      </c>
      <c r="F887" s="37" t="str">
        <f>IF(Agent05_Loans!B97="","",Agent05_Loans!F97)</f>
        <v/>
      </c>
      <c r="G887" s="37" t="str">
        <f>IF(Agent05_Loans!B97="","",Agent05_Loans!G97)</f>
        <v/>
      </c>
      <c r="H887" s="37" t="str">
        <f>IF(Agent05_Loans!B97="","",Agent05_Loans!H97)</f>
        <v/>
      </c>
      <c r="I887" s="40" t="str">
        <f>IF(Agent05_Loans!B97="","",Agent05_Loans!I97)</f>
        <v/>
      </c>
      <c r="J887" s="40" t="str">
        <f>IF(Agent05_Loans!B97="","",Agent05_Loans!J97)</f>
        <v/>
      </c>
      <c r="K887" s="37" t="str">
        <f>IF(Agent05_Loans!B97="","",Agent05_Loans!K97)</f>
        <v/>
      </c>
      <c r="L887" s="37" t="str">
        <f>IF(Agent05_Loans!B97="","",Agent05_Loans!L97)</f>
        <v/>
      </c>
      <c r="M887" s="37" t="str">
        <f>IFERROR(IF(Agent05_Loans!B97="","",YEAR(Agent05_Loans!D97)),"")</f>
        <v/>
      </c>
    </row>
    <row r="888" spans="1:13" ht="18" customHeight="1" x14ac:dyDescent="0.25">
      <c r="A888" s="37" t="str">
        <f>IF(Agent05_Loans!B98="","",Agent05_Loans!A98)</f>
        <v/>
      </c>
      <c r="B888" s="37" t="str">
        <f>IF(Agent05_Loans!B98="","",Agent05_Loans!B98)</f>
        <v/>
      </c>
      <c r="C888" s="37" t="str">
        <f>IF(Agent05_Loans!B98="","",Agent05_Loans!C98)</f>
        <v/>
      </c>
      <c r="D888" s="38" t="str">
        <f>IF(Agent05_Loans!B98="","",Agent05_Loans!D98)</f>
        <v/>
      </c>
      <c r="E888" s="40" t="str">
        <f>IF(Agent05_Loans!B98="","",Agent05_Loans!E98)</f>
        <v/>
      </c>
      <c r="F888" s="37" t="str">
        <f>IF(Agent05_Loans!B98="","",Agent05_Loans!F98)</f>
        <v/>
      </c>
      <c r="G888" s="37" t="str">
        <f>IF(Agent05_Loans!B98="","",Agent05_Loans!G98)</f>
        <v/>
      </c>
      <c r="H888" s="37" t="str">
        <f>IF(Agent05_Loans!B98="","",Agent05_Loans!H98)</f>
        <v/>
      </c>
      <c r="I888" s="40" t="str">
        <f>IF(Agent05_Loans!B98="","",Agent05_Loans!I98)</f>
        <v/>
      </c>
      <c r="J888" s="40" t="str">
        <f>IF(Agent05_Loans!B98="","",Agent05_Loans!J98)</f>
        <v/>
      </c>
      <c r="K888" s="37" t="str">
        <f>IF(Agent05_Loans!B98="","",Agent05_Loans!K98)</f>
        <v/>
      </c>
      <c r="L888" s="37" t="str">
        <f>IF(Agent05_Loans!B98="","",Agent05_Loans!L98)</f>
        <v/>
      </c>
      <c r="M888" s="37" t="str">
        <f>IFERROR(IF(Agent05_Loans!B98="","",YEAR(Agent05_Loans!D98)),"")</f>
        <v/>
      </c>
    </row>
    <row r="889" spans="1:13" ht="18" customHeight="1" x14ac:dyDescent="0.25">
      <c r="A889" s="37" t="str">
        <f>IF(Agent05_Loans!B99="","",Agent05_Loans!A99)</f>
        <v/>
      </c>
      <c r="B889" s="37" t="str">
        <f>IF(Agent05_Loans!B99="","",Agent05_Loans!B99)</f>
        <v/>
      </c>
      <c r="C889" s="37" t="str">
        <f>IF(Agent05_Loans!B99="","",Agent05_Loans!C99)</f>
        <v/>
      </c>
      <c r="D889" s="38" t="str">
        <f>IF(Agent05_Loans!B99="","",Agent05_Loans!D99)</f>
        <v/>
      </c>
      <c r="E889" s="40" t="str">
        <f>IF(Agent05_Loans!B99="","",Agent05_Loans!E99)</f>
        <v/>
      </c>
      <c r="F889" s="37" t="str">
        <f>IF(Agent05_Loans!B99="","",Agent05_Loans!F99)</f>
        <v/>
      </c>
      <c r="G889" s="37" t="str">
        <f>IF(Agent05_Loans!B99="","",Agent05_Loans!G99)</f>
        <v/>
      </c>
      <c r="H889" s="37" t="str">
        <f>IF(Agent05_Loans!B99="","",Agent05_Loans!H99)</f>
        <v/>
      </c>
      <c r="I889" s="40" t="str">
        <f>IF(Agent05_Loans!B99="","",Agent05_Loans!I99)</f>
        <v/>
      </c>
      <c r="J889" s="40" t="str">
        <f>IF(Agent05_Loans!B99="","",Agent05_Loans!J99)</f>
        <v/>
      </c>
      <c r="K889" s="37" t="str">
        <f>IF(Agent05_Loans!B99="","",Agent05_Loans!K99)</f>
        <v/>
      </c>
      <c r="L889" s="37" t="str">
        <f>IF(Agent05_Loans!B99="","",Agent05_Loans!L99)</f>
        <v/>
      </c>
      <c r="M889" s="37" t="str">
        <f>IFERROR(IF(Agent05_Loans!B99="","",YEAR(Agent05_Loans!D99)),"")</f>
        <v/>
      </c>
    </row>
    <row r="890" spans="1:13" ht="18" customHeight="1" x14ac:dyDescent="0.25">
      <c r="A890" s="37" t="str">
        <f>IF(Agent05_Loans!B100="","",Agent05_Loans!A100)</f>
        <v/>
      </c>
      <c r="B890" s="37" t="str">
        <f>IF(Agent05_Loans!B100="","",Agent05_Loans!B100)</f>
        <v/>
      </c>
      <c r="C890" s="37" t="str">
        <f>IF(Agent05_Loans!B100="","",Agent05_Loans!C100)</f>
        <v/>
      </c>
      <c r="D890" s="38" t="str">
        <f>IF(Agent05_Loans!B100="","",Agent05_Loans!D100)</f>
        <v/>
      </c>
      <c r="E890" s="40" t="str">
        <f>IF(Agent05_Loans!B100="","",Agent05_Loans!E100)</f>
        <v/>
      </c>
      <c r="F890" s="37" t="str">
        <f>IF(Agent05_Loans!B100="","",Agent05_Loans!F100)</f>
        <v/>
      </c>
      <c r="G890" s="37" t="str">
        <f>IF(Agent05_Loans!B100="","",Agent05_Loans!G100)</f>
        <v/>
      </c>
      <c r="H890" s="37" t="str">
        <f>IF(Agent05_Loans!B100="","",Agent05_Loans!H100)</f>
        <v/>
      </c>
      <c r="I890" s="40" t="str">
        <f>IF(Agent05_Loans!B100="","",Agent05_Loans!I100)</f>
        <v/>
      </c>
      <c r="J890" s="40" t="str">
        <f>IF(Agent05_Loans!B100="","",Agent05_Loans!J100)</f>
        <v/>
      </c>
      <c r="K890" s="37" t="str">
        <f>IF(Agent05_Loans!B100="","",Agent05_Loans!K100)</f>
        <v/>
      </c>
      <c r="L890" s="37" t="str">
        <f>IF(Agent05_Loans!B100="","",Agent05_Loans!L100)</f>
        <v/>
      </c>
      <c r="M890" s="37" t="str">
        <f>IFERROR(IF(Agent05_Loans!B100="","",YEAR(Agent05_Loans!D100)),"")</f>
        <v/>
      </c>
    </row>
    <row r="891" spans="1:13" ht="18" customHeight="1" x14ac:dyDescent="0.25">
      <c r="A891" s="37" t="str">
        <f>IF(Agent05_Loans!B101="","",Agent05_Loans!A101)</f>
        <v/>
      </c>
      <c r="B891" s="37" t="str">
        <f>IF(Agent05_Loans!B101="","",Agent05_Loans!B101)</f>
        <v/>
      </c>
      <c r="C891" s="37" t="str">
        <f>IF(Agent05_Loans!B101="","",Agent05_Loans!C101)</f>
        <v/>
      </c>
      <c r="D891" s="38" t="str">
        <f>IF(Agent05_Loans!B101="","",Agent05_Loans!D101)</f>
        <v/>
      </c>
      <c r="E891" s="40" t="str">
        <f>IF(Agent05_Loans!B101="","",Agent05_Loans!E101)</f>
        <v/>
      </c>
      <c r="F891" s="37" t="str">
        <f>IF(Agent05_Loans!B101="","",Agent05_Loans!F101)</f>
        <v/>
      </c>
      <c r="G891" s="37" t="str">
        <f>IF(Agent05_Loans!B101="","",Agent05_Loans!G101)</f>
        <v/>
      </c>
      <c r="H891" s="37" t="str">
        <f>IF(Agent05_Loans!B101="","",Agent05_Loans!H101)</f>
        <v/>
      </c>
      <c r="I891" s="40" t="str">
        <f>IF(Agent05_Loans!B101="","",Agent05_Loans!I101)</f>
        <v/>
      </c>
      <c r="J891" s="40" t="str">
        <f>IF(Agent05_Loans!B101="","",Agent05_Loans!J101)</f>
        <v/>
      </c>
      <c r="K891" s="37" t="str">
        <f>IF(Agent05_Loans!B101="","",Agent05_Loans!K101)</f>
        <v/>
      </c>
      <c r="L891" s="37" t="str">
        <f>IF(Agent05_Loans!B101="","",Agent05_Loans!L101)</f>
        <v/>
      </c>
      <c r="M891" s="37" t="str">
        <f>IFERROR(IF(Agent05_Loans!B101="","",YEAR(Agent05_Loans!D101)),"")</f>
        <v/>
      </c>
    </row>
    <row r="892" spans="1:13" ht="18" customHeight="1" x14ac:dyDescent="0.25">
      <c r="A892" s="37" t="str">
        <f>IF(Agent05_Loans!B102="","",Agent05_Loans!A102)</f>
        <v/>
      </c>
      <c r="B892" s="37" t="str">
        <f>IF(Agent05_Loans!B102="","",Agent05_Loans!B102)</f>
        <v/>
      </c>
      <c r="C892" s="37" t="str">
        <f>IF(Agent05_Loans!B102="","",Agent05_Loans!C102)</f>
        <v/>
      </c>
      <c r="D892" s="38" t="str">
        <f>IF(Agent05_Loans!B102="","",Agent05_Loans!D102)</f>
        <v/>
      </c>
      <c r="E892" s="40" t="str">
        <f>IF(Agent05_Loans!B102="","",Agent05_Loans!E102)</f>
        <v/>
      </c>
      <c r="F892" s="37" t="str">
        <f>IF(Agent05_Loans!B102="","",Agent05_Loans!F102)</f>
        <v/>
      </c>
      <c r="G892" s="37" t="str">
        <f>IF(Agent05_Loans!B102="","",Agent05_Loans!G102)</f>
        <v/>
      </c>
      <c r="H892" s="37" t="str">
        <f>IF(Agent05_Loans!B102="","",Agent05_Loans!H102)</f>
        <v/>
      </c>
      <c r="I892" s="40" t="str">
        <f>IF(Agent05_Loans!B102="","",Agent05_Loans!I102)</f>
        <v/>
      </c>
      <c r="J892" s="40" t="str">
        <f>IF(Agent05_Loans!B102="","",Agent05_Loans!J102)</f>
        <v/>
      </c>
      <c r="K892" s="37" t="str">
        <f>IF(Agent05_Loans!B102="","",Agent05_Loans!K102)</f>
        <v/>
      </c>
      <c r="L892" s="37" t="str">
        <f>IF(Agent05_Loans!B102="","",Agent05_Loans!L102)</f>
        <v/>
      </c>
      <c r="M892" s="37" t="str">
        <f>IFERROR(IF(Agent05_Loans!B102="","",YEAR(Agent05_Loans!D102)),"")</f>
        <v/>
      </c>
    </row>
    <row r="893" spans="1:13" ht="18" customHeight="1" x14ac:dyDescent="0.25">
      <c r="A893" s="37" t="str">
        <f>IF(Agent05_Loans!B103="","",Agent05_Loans!A103)</f>
        <v/>
      </c>
      <c r="B893" s="37" t="str">
        <f>IF(Agent05_Loans!B103="","",Agent05_Loans!B103)</f>
        <v/>
      </c>
      <c r="C893" s="37" t="str">
        <f>IF(Agent05_Loans!B103="","",Agent05_Loans!C103)</f>
        <v/>
      </c>
      <c r="D893" s="38" t="str">
        <f>IF(Agent05_Loans!B103="","",Agent05_Loans!D103)</f>
        <v/>
      </c>
      <c r="E893" s="40" t="str">
        <f>IF(Agent05_Loans!B103="","",Agent05_Loans!E103)</f>
        <v/>
      </c>
      <c r="F893" s="37" t="str">
        <f>IF(Agent05_Loans!B103="","",Agent05_Loans!F103)</f>
        <v/>
      </c>
      <c r="G893" s="37" t="str">
        <f>IF(Agent05_Loans!B103="","",Agent05_Loans!G103)</f>
        <v/>
      </c>
      <c r="H893" s="37" t="str">
        <f>IF(Agent05_Loans!B103="","",Agent05_Loans!H103)</f>
        <v/>
      </c>
      <c r="I893" s="40" t="str">
        <f>IF(Agent05_Loans!B103="","",Agent05_Loans!I103)</f>
        <v/>
      </c>
      <c r="J893" s="40" t="str">
        <f>IF(Agent05_Loans!B103="","",Agent05_Loans!J103)</f>
        <v/>
      </c>
      <c r="K893" s="37" t="str">
        <f>IF(Agent05_Loans!B103="","",Agent05_Loans!K103)</f>
        <v/>
      </c>
      <c r="L893" s="37" t="str">
        <f>IF(Agent05_Loans!B103="","",Agent05_Loans!L103)</f>
        <v/>
      </c>
      <c r="M893" s="37" t="str">
        <f>IFERROR(IF(Agent05_Loans!B103="","",YEAR(Agent05_Loans!D103)),"")</f>
        <v/>
      </c>
    </row>
    <row r="894" spans="1:13" ht="18" customHeight="1" x14ac:dyDescent="0.25">
      <c r="A894" s="37" t="str">
        <f>IF(Agent05_Loans!B104="","",Agent05_Loans!A104)</f>
        <v/>
      </c>
      <c r="B894" s="37" t="str">
        <f>IF(Agent05_Loans!B104="","",Agent05_Loans!B104)</f>
        <v/>
      </c>
      <c r="C894" s="37" t="str">
        <f>IF(Agent05_Loans!B104="","",Agent05_Loans!C104)</f>
        <v/>
      </c>
      <c r="D894" s="38" t="str">
        <f>IF(Agent05_Loans!B104="","",Agent05_Loans!D104)</f>
        <v/>
      </c>
      <c r="E894" s="40" t="str">
        <f>IF(Agent05_Loans!B104="","",Agent05_Loans!E104)</f>
        <v/>
      </c>
      <c r="F894" s="37" t="str">
        <f>IF(Agent05_Loans!B104="","",Agent05_Loans!F104)</f>
        <v/>
      </c>
      <c r="G894" s="37" t="str">
        <f>IF(Agent05_Loans!B104="","",Agent05_Loans!G104)</f>
        <v/>
      </c>
      <c r="H894" s="37" t="str">
        <f>IF(Agent05_Loans!B104="","",Agent05_Loans!H104)</f>
        <v/>
      </c>
      <c r="I894" s="40" t="str">
        <f>IF(Agent05_Loans!B104="","",Agent05_Loans!I104)</f>
        <v/>
      </c>
      <c r="J894" s="40" t="str">
        <f>IF(Agent05_Loans!B104="","",Agent05_Loans!J104)</f>
        <v/>
      </c>
      <c r="K894" s="37" t="str">
        <f>IF(Agent05_Loans!B104="","",Agent05_Loans!K104)</f>
        <v/>
      </c>
      <c r="L894" s="37" t="str">
        <f>IF(Agent05_Loans!B104="","",Agent05_Loans!L104)</f>
        <v/>
      </c>
      <c r="M894" s="37" t="str">
        <f>IFERROR(IF(Agent05_Loans!B104="","",YEAR(Agent05_Loans!D104)),"")</f>
        <v/>
      </c>
    </row>
    <row r="895" spans="1:13" ht="18" customHeight="1" x14ac:dyDescent="0.25">
      <c r="A895" s="37" t="str">
        <f>IF(Agent05_Loans!B105="","",Agent05_Loans!A105)</f>
        <v/>
      </c>
      <c r="B895" s="37" t="str">
        <f>IF(Agent05_Loans!B105="","",Agent05_Loans!B105)</f>
        <v/>
      </c>
      <c r="C895" s="37" t="str">
        <f>IF(Agent05_Loans!B105="","",Agent05_Loans!C105)</f>
        <v/>
      </c>
      <c r="D895" s="38" t="str">
        <f>IF(Agent05_Loans!B105="","",Agent05_Loans!D105)</f>
        <v/>
      </c>
      <c r="E895" s="40" t="str">
        <f>IF(Agent05_Loans!B105="","",Agent05_Loans!E105)</f>
        <v/>
      </c>
      <c r="F895" s="37" t="str">
        <f>IF(Agent05_Loans!B105="","",Agent05_Loans!F105)</f>
        <v/>
      </c>
      <c r="G895" s="37" t="str">
        <f>IF(Agent05_Loans!B105="","",Agent05_Loans!G105)</f>
        <v/>
      </c>
      <c r="H895" s="37" t="str">
        <f>IF(Agent05_Loans!B105="","",Agent05_Loans!H105)</f>
        <v/>
      </c>
      <c r="I895" s="40" t="str">
        <f>IF(Agent05_Loans!B105="","",Agent05_Loans!I105)</f>
        <v/>
      </c>
      <c r="J895" s="40" t="str">
        <f>IF(Agent05_Loans!B105="","",Agent05_Loans!J105)</f>
        <v/>
      </c>
      <c r="K895" s="37" t="str">
        <f>IF(Agent05_Loans!B105="","",Agent05_Loans!K105)</f>
        <v/>
      </c>
      <c r="L895" s="37" t="str">
        <f>IF(Agent05_Loans!B105="","",Agent05_Loans!L105)</f>
        <v/>
      </c>
      <c r="M895" s="37" t="str">
        <f>IFERROR(IF(Agent05_Loans!B105="","",YEAR(Agent05_Loans!D105)),"")</f>
        <v/>
      </c>
    </row>
    <row r="896" spans="1:13" ht="18" customHeight="1" x14ac:dyDescent="0.25">
      <c r="A896" s="37" t="str">
        <f>IF(Agent05_Loans!B106="","",Agent05_Loans!A106)</f>
        <v/>
      </c>
      <c r="B896" s="37" t="str">
        <f>IF(Agent05_Loans!B106="","",Agent05_Loans!B106)</f>
        <v/>
      </c>
      <c r="C896" s="37" t="str">
        <f>IF(Agent05_Loans!B106="","",Agent05_Loans!C106)</f>
        <v/>
      </c>
      <c r="D896" s="38" t="str">
        <f>IF(Agent05_Loans!B106="","",Agent05_Loans!D106)</f>
        <v/>
      </c>
      <c r="E896" s="40" t="str">
        <f>IF(Agent05_Loans!B106="","",Agent05_Loans!E106)</f>
        <v/>
      </c>
      <c r="F896" s="37" t="str">
        <f>IF(Agent05_Loans!B106="","",Agent05_Loans!F106)</f>
        <v/>
      </c>
      <c r="G896" s="37" t="str">
        <f>IF(Agent05_Loans!B106="","",Agent05_Loans!G106)</f>
        <v/>
      </c>
      <c r="H896" s="37" t="str">
        <f>IF(Agent05_Loans!B106="","",Agent05_Loans!H106)</f>
        <v/>
      </c>
      <c r="I896" s="40" t="str">
        <f>IF(Agent05_Loans!B106="","",Agent05_Loans!I106)</f>
        <v/>
      </c>
      <c r="J896" s="40" t="str">
        <f>IF(Agent05_Loans!B106="","",Agent05_Loans!J106)</f>
        <v/>
      </c>
      <c r="K896" s="37" t="str">
        <f>IF(Agent05_Loans!B106="","",Agent05_Loans!K106)</f>
        <v/>
      </c>
      <c r="L896" s="37" t="str">
        <f>IF(Agent05_Loans!B106="","",Agent05_Loans!L106)</f>
        <v/>
      </c>
      <c r="M896" s="37" t="str">
        <f>IFERROR(IF(Agent05_Loans!B106="","",YEAR(Agent05_Loans!D106)),"")</f>
        <v/>
      </c>
    </row>
    <row r="897" spans="1:13" ht="18" customHeight="1" x14ac:dyDescent="0.25">
      <c r="A897" s="37" t="str">
        <f>IF(Agent05_Loans!B107="","",Agent05_Loans!A107)</f>
        <v/>
      </c>
      <c r="B897" s="37" t="str">
        <f>IF(Agent05_Loans!B107="","",Agent05_Loans!B107)</f>
        <v/>
      </c>
      <c r="C897" s="37" t="str">
        <f>IF(Agent05_Loans!B107="","",Agent05_Loans!C107)</f>
        <v/>
      </c>
      <c r="D897" s="38" t="str">
        <f>IF(Agent05_Loans!B107="","",Agent05_Loans!D107)</f>
        <v/>
      </c>
      <c r="E897" s="40" t="str">
        <f>IF(Agent05_Loans!B107="","",Agent05_Loans!E107)</f>
        <v/>
      </c>
      <c r="F897" s="37" t="str">
        <f>IF(Agent05_Loans!B107="","",Agent05_Loans!F107)</f>
        <v/>
      </c>
      <c r="G897" s="37" t="str">
        <f>IF(Agent05_Loans!B107="","",Agent05_Loans!G107)</f>
        <v/>
      </c>
      <c r="H897" s="37" t="str">
        <f>IF(Agent05_Loans!B107="","",Agent05_Loans!H107)</f>
        <v/>
      </c>
      <c r="I897" s="40" t="str">
        <f>IF(Agent05_Loans!B107="","",Agent05_Loans!I107)</f>
        <v/>
      </c>
      <c r="J897" s="40" t="str">
        <f>IF(Agent05_Loans!B107="","",Agent05_Loans!J107)</f>
        <v/>
      </c>
      <c r="K897" s="37" t="str">
        <f>IF(Agent05_Loans!B107="","",Agent05_Loans!K107)</f>
        <v/>
      </c>
      <c r="L897" s="37" t="str">
        <f>IF(Agent05_Loans!B107="","",Agent05_Loans!L107)</f>
        <v/>
      </c>
      <c r="M897" s="37" t="str">
        <f>IFERROR(IF(Agent05_Loans!B107="","",YEAR(Agent05_Loans!D107)),"")</f>
        <v/>
      </c>
    </row>
    <row r="898" spans="1:13" ht="18" customHeight="1" x14ac:dyDescent="0.25">
      <c r="A898" s="37" t="str">
        <f>IF(Agent05_Loans!B108="","",Agent05_Loans!A108)</f>
        <v/>
      </c>
      <c r="B898" s="37" t="str">
        <f>IF(Agent05_Loans!B108="","",Agent05_Loans!B108)</f>
        <v/>
      </c>
      <c r="C898" s="37" t="str">
        <f>IF(Agent05_Loans!B108="","",Agent05_Loans!C108)</f>
        <v/>
      </c>
      <c r="D898" s="38" t="str">
        <f>IF(Agent05_Loans!B108="","",Agent05_Loans!D108)</f>
        <v/>
      </c>
      <c r="E898" s="40" t="str">
        <f>IF(Agent05_Loans!B108="","",Agent05_Loans!E108)</f>
        <v/>
      </c>
      <c r="F898" s="37" t="str">
        <f>IF(Agent05_Loans!B108="","",Agent05_Loans!F108)</f>
        <v/>
      </c>
      <c r="G898" s="37" t="str">
        <f>IF(Agent05_Loans!B108="","",Agent05_Loans!G108)</f>
        <v/>
      </c>
      <c r="H898" s="37" t="str">
        <f>IF(Agent05_Loans!B108="","",Agent05_Loans!H108)</f>
        <v/>
      </c>
      <c r="I898" s="40" t="str">
        <f>IF(Agent05_Loans!B108="","",Agent05_Loans!I108)</f>
        <v/>
      </c>
      <c r="J898" s="40" t="str">
        <f>IF(Agent05_Loans!B108="","",Agent05_Loans!J108)</f>
        <v/>
      </c>
      <c r="K898" s="37" t="str">
        <f>IF(Agent05_Loans!B108="","",Agent05_Loans!K108)</f>
        <v/>
      </c>
      <c r="L898" s="37" t="str">
        <f>IF(Agent05_Loans!B108="","",Agent05_Loans!L108)</f>
        <v/>
      </c>
      <c r="M898" s="37" t="str">
        <f>IFERROR(IF(Agent05_Loans!B108="","",YEAR(Agent05_Loans!D108)),"")</f>
        <v/>
      </c>
    </row>
    <row r="899" spans="1:13" ht="18" customHeight="1" x14ac:dyDescent="0.25">
      <c r="A899" s="37" t="str">
        <f>IF(Agent05_Loans!B109="","",Agent05_Loans!A109)</f>
        <v/>
      </c>
      <c r="B899" s="37" t="str">
        <f>IF(Agent05_Loans!B109="","",Agent05_Loans!B109)</f>
        <v/>
      </c>
      <c r="C899" s="37" t="str">
        <f>IF(Agent05_Loans!B109="","",Agent05_Loans!C109)</f>
        <v/>
      </c>
      <c r="D899" s="38" t="str">
        <f>IF(Agent05_Loans!B109="","",Agent05_Loans!D109)</f>
        <v/>
      </c>
      <c r="E899" s="40" t="str">
        <f>IF(Agent05_Loans!B109="","",Agent05_Loans!E109)</f>
        <v/>
      </c>
      <c r="F899" s="37" t="str">
        <f>IF(Agent05_Loans!B109="","",Agent05_Loans!F109)</f>
        <v/>
      </c>
      <c r="G899" s="37" t="str">
        <f>IF(Agent05_Loans!B109="","",Agent05_Loans!G109)</f>
        <v/>
      </c>
      <c r="H899" s="37" t="str">
        <f>IF(Agent05_Loans!B109="","",Agent05_Loans!H109)</f>
        <v/>
      </c>
      <c r="I899" s="40" t="str">
        <f>IF(Agent05_Loans!B109="","",Agent05_Loans!I109)</f>
        <v/>
      </c>
      <c r="J899" s="40" t="str">
        <f>IF(Agent05_Loans!B109="","",Agent05_Loans!J109)</f>
        <v/>
      </c>
      <c r="K899" s="37" t="str">
        <f>IF(Agent05_Loans!B109="","",Agent05_Loans!K109)</f>
        <v/>
      </c>
      <c r="L899" s="37" t="str">
        <f>IF(Agent05_Loans!B109="","",Agent05_Loans!L109)</f>
        <v/>
      </c>
      <c r="M899" s="37" t="str">
        <f>IFERROR(IF(Agent05_Loans!B109="","",YEAR(Agent05_Loans!D109)),"")</f>
        <v/>
      </c>
    </row>
    <row r="900" spans="1:13" ht="18" customHeight="1" x14ac:dyDescent="0.25">
      <c r="A900" s="37" t="str">
        <f>IF(Agent05_Loans!B110="","",Agent05_Loans!A110)</f>
        <v/>
      </c>
      <c r="B900" s="37" t="str">
        <f>IF(Agent05_Loans!B110="","",Agent05_Loans!B110)</f>
        <v/>
      </c>
      <c r="C900" s="37" t="str">
        <f>IF(Agent05_Loans!B110="","",Agent05_Loans!C110)</f>
        <v/>
      </c>
      <c r="D900" s="38" t="str">
        <f>IF(Agent05_Loans!B110="","",Agent05_Loans!D110)</f>
        <v/>
      </c>
      <c r="E900" s="40" t="str">
        <f>IF(Agent05_Loans!B110="","",Agent05_Loans!E110)</f>
        <v/>
      </c>
      <c r="F900" s="37" t="str">
        <f>IF(Agent05_Loans!B110="","",Agent05_Loans!F110)</f>
        <v/>
      </c>
      <c r="G900" s="37" t="str">
        <f>IF(Agent05_Loans!B110="","",Agent05_Loans!G110)</f>
        <v/>
      </c>
      <c r="H900" s="37" t="str">
        <f>IF(Agent05_Loans!B110="","",Agent05_Loans!H110)</f>
        <v/>
      </c>
      <c r="I900" s="40" t="str">
        <f>IF(Agent05_Loans!B110="","",Agent05_Loans!I110)</f>
        <v/>
      </c>
      <c r="J900" s="40" t="str">
        <f>IF(Agent05_Loans!B110="","",Agent05_Loans!J110)</f>
        <v/>
      </c>
      <c r="K900" s="37" t="str">
        <f>IF(Agent05_Loans!B110="","",Agent05_Loans!K110)</f>
        <v/>
      </c>
      <c r="L900" s="37" t="str">
        <f>IF(Agent05_Loans!B110="","",Agent05_Loans!L110)</f>
        <v/>
      </c>
      <c r="M900" s="37" t="str">
        <f>IFERROR(IF(Agent05_Loans!B110="","",YEAR(Agent05_Loans!D110)),"")</f>
        <v/>
      </c>
    </row>
    <row r="901" spans="1:13" ht="18" customHeight="1" x14ac:dyDescent="0.25">
      <c r="A901" s="37" t="str">
        <f>IF(Agent05_Loans!B111="","",Agent05_Loans!A111)</f>
        <v/>
      </c>
      <c r="B901" s="37" t="str">
        <f>IF(Agent05_Loans!B111="","",Agent05_Loans!B111)</f>
        <v/>
      </c>
      <c r="C901" s="37" t="str">
        <f>IF(Agent05_Loans!B111="","",Agent05_Loans!C111)</f>
        <v/>
      </c>
      <c r="D901" s="38" t="str">
        <f>IF(Agent05_Loans!B111="","",Agent05_Loans!D111)</f>
        <v/>
      </c>
      <c r="E901" s="40" t="str">
        <f>IF(Agent05_Loans!B111="","",Agent05_Loans!E111)</f>
        <v/>
      </c>
      <c r="F901" s="37" t="str">
        <f>IF(Agent05_Loans!B111="","",Agent05_Loans!F111)</f>
        <v/>
      </c>
      <c r="G901" s="37" t="str">
        <f>IF(Agent05_Loans!B111="","",Agent05_Loans!G111)</f>
        <v/>
      </c>
      <c r="H901" s="37" t="str">
        <f>IF(Agent05_Loans!B111="","",Agent05_Loans!H111)</f>
        <v/>
      </c>
      <c r="I901" s="40" t="str">
        <f>IF(Agent05_Loans!B111="","",Agent05_Loans!I111)</f>
        <v/>
      </c>
      <c r="J901" s="40" t="str">
        <f>IF(Agent05_Loans!B111="","",Agent05_Loans!J111)</f>
        <v/>
      </c>
      <c r="K901" s="37" t="str">
        <f>IF(Agent05_Loans!B111="","",Agent05_Loans!K111)</f>
        <v/>
      </c>
      <c r="L901" s="37" t="str">
        <f>IF(Agent05_Loans!B111="","",Agent05_Loans!L111)</f>
        <v/>
      </c>
      <c r="M901" s="37" t="str">
        <f>IFERROR(IF(Agent05_Loans!B111="","",YEAR(Agent05_Loans!D111)),"")</f>
        <v/>
      </c>
    </row>
    <row r="902" spans="1:13" ht="18" customHeight="1" x14ac:dyDescent="0.25">
      <c r="A902" s="37" t="str">
        <f>IF(Agent05_Loans!B112="","",Agent05_Loans!A112)</f>
        <v/>
      </c>
      <c r="B902" s="37" t="str">
        <f>IF(Agent05_Loans!B112="","",Agent05_Loans!B112)</f>
        <v/>
      </c>
      <c r="C902" s="37" t="str">
        <f>IF(Agent05_Loans!B112="","",Agent05_Loans!C112)</f>
        <v/>
      </c>
      <c r="D902" s="38" t="str">
        <f>IF(Agent05_Loans!B112="","",Agent05_Loans!D112)</f>
        <v/>
      </c>
      <c r="E902" s="40" t="str">
        <f>IF(Agent05_Loans!B112="","",Agent05_Loans!E112)</f>
        <v/>
      </c>
      <c r="F902" s="37" t="str">
        <f>IF(Agent05_Loans!B112="","",Agent05_Loans!F112)</f>
        <v/>
      </c>
      <c r="G902" s="37" t="str">
        <f>IF(Agent05_Loans!B112="","",Agent05_Loans!G112)</f>
        <v/>
      </c>
      <c r="H902" s="37" t="str">
        <f>IF(Agent05_Loans!B112="","",Agent05_Loans!H112)</f>
        <v/>
      </c>
      <c r="I902" s="40" t="str">
        <f>IF(Agent05_Loans!B112="","",Agent05_Loans!I112)</f>
        <v/>
      </c>
      <c r="J902" s="40" t="str">
        <f>IF(Agent05_Loans!B112="","",Agent05_Loans!J112)</f>
        <v/>
      </c>
      <c r="K902" s="37" t="str">
        <f>IF(Agent05_Loans!B112="","",Agent05_Loans!K112)</f>
        <v/>
      </c>
      <c r="L902" s="37" t="str">
        <f>IF(Agent05_Loans!B112="","",Agent05_Loans!L112)</f>
        <v/>
      </c>
      <c r="M902" s="37" t="str">
        <f>IFERROR(IF(Agent05_Loans!B112="","",YEAR(Agent05_Loans!D112)),"")</f>
        <v/>
      </c>
    </row>
    <row r="903" spans="1:13" ht="18" customHeight="1" x14ac:dyDescent="0.25">
      <c r="A903" s="37" t="str">
        <f>IF(Agent05_Loans!B113="","",Agent05_Loans!A113)</f>
        <v/>
      </c>
      <c r="B903" s="37" t="str">
        <f>IF(Agent05_Loans!B113="","",Agent05_Loans!B113)</f>
        <v/>
      </c>
      <c r="C903" s="37" t="str">
        <f>IF(Agent05_Loans!B113="","",Agent05_Loans!C113)</f>
        <v/>
      </c>
      <c r="D903" s="38" t="str">
        <f>IF(Agent05_Loans!B113="","",Agent05_Loans!D113)</f>
        <v/>
      </c>
      <c r="E903" s="40" t="str">
        <f>IF(Agent05_Loans!B113="","",Agent05_Loans!E113)</f>
        <v/>
      </c>
      <c r="F903" s="37" t="str">
        <f>IF(Agent05_Loans!B113="","",Agent05_Loans!F113)</f>
        <v/>
      </c>
      <c r="G903" s="37" t="str">
        <f>IF(Agent05_Loans!B113="","",Agent05_Loans!G113)</f>
        <v/>
      </c>
      <c r="H903" s="37" t="str">
        <f>IF(Agent05_Loans!B113="","",Agent05_Loans!H113)</f>
        <v/>
      </c>
      <c r="I903" s="40" t="str">
        <f>IF(Agent05_Loans!B113="","",Agent05_Loans!I113)</f>
        <v/>
      </c>
      <c r="J903" s="40" t="str">
        <f>IF(Agent05_Loans!B113="","",Agent05_Loans!J113)</f>
        <v/>
      </c>
      <c r="K903" s="37" t="str">
        <f>IF(Agent05_Loans!B113="","",Agent05_Loans!K113)</f>
        <v/>
      </c>
      <c r="L903" s="37" t="str">
        <f>IF(Agent05_Loans!B113="","",Agent05_Loans!L113)</f>
        <v/>
      </c>
      <c r="M903" s="37" t="str">
        <f>IFERROR(IF(Agent05_Loans!B113="","",YEAR(Agent05_Loans!D113)),"")</f>
        <v/>
      </c>
    </row>
    <row r="904" spans="1:13" ht="18" customHeight="1" x14ac:dyDescent="0.25">
      <c r="A904" s="37" t="str">
        <f>IF(Agent05_Loans!B114="","",Agent05_Loans!A114)</f>
        <v/>
      </c>
      <c r="B904" s="37" t="str">
        <f>IF(Agent05_Loans!B114="","",Agent05_Loans!B114)</f>
        <v/>
      </c>
      <c r="C904" s="37" t="str">
        <f>IF(Agent05_Loans!B114="","",Agent05_Loans!C114)</f>
        <v/>
      </c>
      <c r="D904" s="38" t="str">
        <f>IF(Agent05_Loans!B114="","",Agent05_Loans!D114)</f>
        <v/>
      </c>
      <c r="E904" s="40" t="str">
        <f>IF(Agent05_Loans!B114="","",Agent05_Loans!E114)</f>
        <v/>
      </c>
      <c r="F904" s="37" t="str">
        <f>IF(Agent05_Loans!B114="","",Agent05_Loans!F114)</f>
        <v/>
      </c>
      <c r="G904" s="37" t="str">
        <f>IF(Agent05_Loans!B114="","",Agent05_Loans!G114)</f>
        <v/>
      </c>
      <c r="H904" s="37" t="str">
        <f>IF(Agent05_Loans!B114="","",Agent05_Loans!H114)</f>
        <v/>
      </c>
      <c r="I904" s="40" t="str">
        <f>IF(Agent05_Loans!B114="","",Agent05_Loans!I114)</f>
        <v/>
      </c>
      <c r="J904" s="40" t="str">
        <f>IF(Agent05_Loans!B114="","",Agent05_Loans!J114)</f>
        <v/>
      </c>
      <c r="K904" s="37" t="str">
        <f>IF(Agent05_Loans!B114="","",Agent05_Loans!K114)</f>
        <v/>
      </c>
      <c r="L904" s="37" t="str">
        <f>IF(Agent05_Loans!B114="","",Agent05_Loans!L114)</f>
        <v/>
      </c>
      <c r="M904" s="37" t="str">
        <f>IFERROR(IF(Agent05_Loans!B114="","",YEAR(Agent05_Loans!D114)),"")</f>
        <v/>
      </c>
    </row>
    <row r="905" spans="1:13" ht="18" customHeight="1" x14ac:dyDescent="0.25">
      <c r="A905" s="37" t="str">
        <f>IF(Agent05_Loans!B115="","",Agent05_Loans!A115)</f>
        <v/>
      </c>
      <c r="B905" s="37" t="str">
        <f>IF(Agent05_Loans!B115="","",Agent05_Loans!B115)</f>
        <v/>
      </c>
      <c r="C905" s="37" t="str">
        <f>IF(Agent05_Loans!B115="","",Agent05_Loans!C115)</f>
        <v/>
      </c>
      <c r="D905" s="38" t="str">
        <f>IF(Agent05_Loans!B115="","",Agent05_Loans!D115)</f>
        <v/>
      </c>
      <c r="E905" s="40" t="str">
        <f>IF(Agent05_Loans!B115="","",Agent05_Loans!E115)</f>
        <v/>
      </c>
      <c r="F905" s="37" t="str">
        <f>IF(Agent05_Loans!B115="","",Agent05_Loans!F115)</f>
        <v/>
      </c>
      <c r="G905" s="37" t="str">
        <f>IF(Agent05_Loans!B115="","",Agent05_Loans!G115)</f>
        <v/>
      </c>
      <c r="H905" s="37" t="str">
        <f>IF(Agent05_Loans!B115="","",Agent05_Loans!H115)</f>
        <v/>
      </c>
      <c r="I905" s="40" t="str">
        <f>IF(Agent05_Loans!B115="","",Agent05_Loans!I115)</f>
        <v/>
      </c>
      <c r="J905" s="40" t="str">
        <f>IF(Agent05_Loans!B115="","",Agent05_Loans!J115)</f>
        <v/>
      </c>
      <c r="K905" s="37" t="str">
        <f>IF(Agent05_Loans!B115="","",Agent05_Loans!K115)</f>
        <v/>
      </c>
      <c r="L905" s="37" t="str">
        <f>IF(Agent05_Loans!B115="","",Agent05_Loans!L115)</f>
        <v/>
      </c>
      <c r="M905" s="37" t="str">
        <f>IFERROR(IF(Agent05_Loans!B115="","",YEAR(Agent05_Loans!D115)),"")</f>
        <v/>
      </c>
    </row>
    <row r="906" spans="1:13" ht="18" customHeight="1" x14ac:dyDescent="0.25">
      <c r="A906" s="37" t="str">
        <f>IF(Agent05_Loans!B116="","",Agent05_Loans!A116)</f>
        <v/>
      </c>
      <c r="B906" s="37" t="str">
        <f>IF(Agent05_Loans!B116="","",Agent05_Loans!B116)</f>
        <v/>
      </c>
      <c r="C906" s="37" t="str">
        <f>IF(Agent05_Loans!B116="","",Agent05_Loans!C116)</f>
        <v/>
      </c>
      <c r="D906" s="38" t="str">
        <f>IF(Agent05_Loans!B116="","",Agent05_Loans!D116)</f>
        <v/>
      </c>
      <c r="E906" s="40" t="str">
        <f>IF(Agent05_Loans!B116="","",Agent05_Loans!E116)</f>
        <v/>
      </c>
      <c r="F906" s="37" t="str">
        <f>IF(Agent05_Loans!B116="","",Agent05_Loans!F116)</f>
        <v/>
      </c>
      <c r="G906" s="37" t="str">
        <f>IF(Agent05_Loans!B116="","",Agent05_Loans!G116)</f>
        <v/>
      </c>
      <c r="H906" s="37" t="str">
        <f>IF(Agent05_Loans!B116="","",Agent05_Loans!H116)</f>
        <v/>
      </c>
      <c r="I906" s="40" t="str">
        <f>IF(Agent05_Loans!B116="","",Agent05_Loans!I116)</f>
        <v/>
      </c>
      <c r="J906" s="40" t="str">
        <f>IF(Agent05_Loans!B116="","",Agent05_Loans!J116)</f>
        <v/>
      </c>
      <c r="K906" s="37" t="str">
        <f>IF(Agent05_Loans!B116="","",Agent05_Loans!K116)</f>
        <v/>
      </c>
      <c r="L906" s="37" t="str">
        <f>IF(Agent05_Loans!B116="","",Agent05_Loans!L116)</f>
        <v/>
      </c>
      <c r="M906" s="37" t="str">
        <f>IFERROR(IF(Agent05_Loans!B116="","",YEAR(Agent05_Loans!D116)),"")</f>
        <v/>
      </c>
    </row>
    <row r="907" spans="1:13" ht="18" customHeight="1" x14ac:dyDescent="0.25">
      <c r="A907" s="37" t="str">
        <f>IF(Agent05_Loans!B117="","",Agent05_Loans!A117)</f>
        <v/>
      </c>
      <c r="B907" s="37" t="str">
        <f>IF(Agent05_Loans!B117="","",Agent05_Loans!B117)</f>
        <v/>
      </c>
      <c r="C907" s="37" t="str">
        <f>IF(Agent05_Loans!B117="","",Agent05_Loans!C117)</f>
        <v/>
      </c>
      <c r="D907" s="38" t="str">
        <f>IF(Agent05_Loans!B117="","",Agent05_Loans!D117)</f>
        <v/>
      </c>
      <c r="E907" s="40" t="str">
        <f>IF(Agent05_Loans!B117="","",Agent05_Loans!E117)</f>
        <v/>
      </c>
      <c r="F907" s="37" t="str">
        <f>IF(Agent05_Loans!B117="","",Agent05_Loans!F117)</f>
        <v/>
      </c>
      <c r="G907" s="37" t="str">
        <f>IF(Agent05_Loans!B117="","",Agent05_Loans!G117)</f>
        <v/>
      </c>
      <c r="H907" s="37" t="str">
        <f>IF(Agent05_Loans!B117="","",Agent05_Loans!H117)</f>
        <v/>
      </c>
      <c r="I907" s="40" t="str">
        <f>IF(Agent05_Loans!B117="","",Agent05_Loans!I117)</f>
        <v/>
      </c>
      <c r="J907" s="40" t="str">
        <f>IF(Agent05_Loans!B117="","",Agent05_Loans!J117)</f>
        <v/>
      </c>
      <c r="K907" s="37" t="str">
        <f>IF(Agent05_Loans!B117="","",Agent05_Loans!K117)</f>
        <v/>
      </c>
      <c r="L907" s="37" t="str">
        <f>IF(Agent05_Loans!B117="","",Agent05_Loans!L117)</f>
        <v/>
      </c>
      <c r="M907" s="37" t="str">
        <f>IFERROR(IF(Agent05_Loans!B117="","",YEAR(Agent05_Loans!D117)),"")</f>
        <v/>
      </c>
    </row>
    <row r="908" spans="1:13" ht="18" customHeight="1" x14ac:dyDescent="0.25">
      <c r="A908" s="37" t="str">
        <f>IF(Agent05_Loans!B118="","",Agent05_Loans!A118)</f>
        <v/>
      </c>
      <c r="B908" s="37" t="str">
        <f>IF(Agent05_Loans!B118="","",Agent05_Loans!B118)</f>
        <v/>
      </c>
      <c r="C908" s="37" t="str">
        <f>IF(Agent05_Loans!B118="","",Agent05_Loans!C118)</f>
        <v/>
      </c>
      <c r="D908" s="38" t="str">
        <f>IF(Agent05_Loans!B118="","",Agent05_Loans!D118)</f>
        <v/>
      </c>
      <c r="E908" s="40" t="str">
        <f>IF(Agent05_Loans!B118="","",Agent05_Loans!E118)</f>
        <v/>
      </c>
      <c r="F908" s="37" t="str">
        <f>IF(Agent05_Loans!B118="","",Agent05_Loans!F118)</f>
        <v/>
      </c>
      <c r="G908" s="37" t="str">
        <f>IF(Agent05_Loans!B118="","",Agent05_Loans!G118)</f>
        <v/>
      </c>
      <c r="H908" s="37" t="str">
        <f>IF(Agent05_Loans!B118="","",Agent05_Loans!H118)</f>
        <v/>
      </c>
      <c r="I908" s="40" t="str">
        <f>IF(Agent05_Loans!B118="","",Agent05_Loans!I118)</f>
        <v/>
      </c>
      <c r="J908" s="40" t="str">
        <f>IF(Agent05_Loans!B118="","",Agent05_Loans!J118)</f>
        <v/>
      </c>
      <c r="K908" s="37" t="str">
        <f>IF(Agent05_Loans!B118="","",Agent05_Loans!K118)</f>
        <v/>
      </c>
      <c r="L908" s="37" t="str">
        <f>IF(Agent05_Loans!B118="","",Agent05_Loans!L118)</f>
        <v/>
      </c>
      <c r="M908" s="37" t="str">
        <f>IFERROR(IF(Agent05_Loans!B118="","",YEAR(Agent05_Loans!D118)),"")</f>
        <v/>
      </c>
    </row>
    <row r="909" spans="1:13" ht="18" customHeight="1" x14ac:dyDescent="0.25">
      <c r="A909" s="37" t="str">
        <f>IF(Agent05_Loans!B119="","",Agent05_Loans!A119)</f>
        <v/>
      </c>
      <c r="B909" s="37" t="str">
        <f>IF(Agent05_Loans!B119="","",Agent05_Loans!B119)</f>
        <v/>
      </c>
      <c r="C909" s="37" t="str">
        <f>IF(Agent05_Loans!B119="","",Agent05_Loans!C119)</f>
        <v/>
      </c>
      <c r="D909" s="38" t="str">
        <f>IF(Agent05_Loans!B119="","",Agent05_Loans!D119)</f>
        <v/>
      </c>
      <c r="E909" s="40" t="str">
        <f>IF(Agent05_Loans!B119="","",Agent05_Loans!E119)</f>
        <v/>
      </c>
      <c r="F909" s="37" t="str">
        <f>IF(Agent05_Loans!B119="","",Agent05_Loans!F119)</f>
        <v/>
      </c>
      <c r="G909" s="37" t="str">
        <f>IF(Agent05_Loans!B119="","",Agent05_Loans!G119)</f>
        <v/>
      </c>
      <c r="H909" s="37" t="str">
        <f>IF(Agent05_Loans!B119="","",Agent05_Loans!H119)</f>
        <v/>
      </c>
      <c r="I909" s="40" t="str">
        <f>IF(Agent05_Loans!B119="","",Agent05_Loans!I119)</f>
        <v/>
      </c>
      <c r="J909" s="40" t="str">
        <f>IF(Agent05_Loans!B119="","",Agent05_Loans!J119)</f>
        <v/>
      </c>
      <c r="K909" s="37" t="str">
        <f>IF(Agent05_Loans!B119="","",Agent05_Loans!K119)</f>
        <v/>
      </c>
      <c r="L909" s="37" t="str">
        <f>IF(Agent05_Loans!B119="","",Agent05_Loans!L119)</f>
        <v/>
      </c>
      <c r="M909" s="37" t="str">
        <f>IFERROR(IF(Agent05_Loans!B119="","",YEAR(Agent05_Loans!D119)),"")</f>
        <v/>
      </c>
    </row>
    <row r="910" spans="1:13" ht="18" customHeight="1" x14ac:dyDescent="0.25">
      <c r="A910" s="37" t="str">
        <f>IF(Agent05_Loans!B120="","",Agent05_Loans!A120)</f>
        <v/>
      </c>
      <c r="B910" s="37" t="str">
        <f>IF(Agent05_Loans!B120="","",Agent05_Loans!B120)</f>
        <v/>
      </c>
      <c r="C910" s="37" t="str">
        <f>IF(Agent05_Loans!B120="","",Agent05_Loans!C120)</f>
        <v/>
      </c>
      <c r="D910" s="38" t="str">
        <f>IF(Agent05_Loans!B120="","",Agent05_Loans!D120)</f>
        <v/>
      </c>
      <c r="E910" s="40" t="str">
        <f>IF(Agent05_Loans!B120="","",Agent05_Loans!E120)</f>
        <v/>
      </c>
      <c r="F910" s="37" t="str">
        <f>IF(Agent05_Loans!B120="","",Agent05_Loans!F120)</f>
        <v/>
      </c>
      <c r="G910" s="37" t="str">
        <f>IF(Agent05_Loans!B120="","",Agent05_Loans!G120)</f>
        <v/>
      </c>
      <c r="H910" s="37" t="str">
        <f>IF(Agent05_Loans!B120="","",Agent05_Loans!H120)</f>
        <v/>
      </c>
      <c r="I910" s="40" t="str">
        <f>IF(Agent05_Loans!B120="","",Agent05_Loans!I120)</f>
        <v/>
      </c>
      <c r="J910" s="40" t="str">
        <f>IF(Agent05_Loans!B120="","",Agent05_Loans!J120)</f>
        <v/>
      </c>
      <c r="K910" s="37" t="str">
        <f>IF(Agent05_Loans!B120="","",Agent05_Loans!K120)</f>
        <v/>
      </c>
      <c r="L910" s="37" t="str">
        <f>IF(Agent05_Loans!B120="","",Agent05_Loans!L120)</f>
        <v/>
      </c>
      <c r="M910" s="37" t="str">
        <f>IFERROR(IF(Agent05_Loans!B120="","",YEAR(Agent05_Loans!D120)),"")</f>
        <v/>
      </c>
    </row>
    <row r="911" spans="1:13" ht="18" customHeight="1" x14ac:dyDescent="0.25">
      <c r="A911" s="37" t="str">
        <f>IF(Agent05_Loans!B121="","",Agent05_Loans!A121)</f>
        <v/>
      </c>
      <c r="B911" s="37" t="str">
        <f>IF(Agent05_Loans!B121="","",Agent05_Loans!B121)</f>
        <v/>
      </c>
      <c r="C911" s="37" t="str">
        <f>IF(Agent05_Loans!B121="","",Agent05_Loans!C121)</f>
        <v/>
      </c>
      <c r="D911" s="38" t="str">
        <f>IF(Agent05_Loans!B121="","",Agent05_Loans!D121)</f>
        <v/>
      </c>
      <c r="E911" s="40" t="str">
        <f>IF(Agent05_Loans!B121="","",Agent05_Loans!E121)</f>
        <v/>
      </c>
      <c r="F911" s="37" t="str">
        <f>IF(Agent05_Loans!B121="","",Agent05_Loans!F121)</f>
        <v/>
      </c>
      <c r="G911" s="37" t="str">
        <f>IF(Agent05_Loans!B121="","",Agent05_Loans!G121)</f>
        <v/>
      </c>
      <c r="H911" s="37" t="str">
        <f>IF(Agent05_Loans!B121="","",Agent05_Loans!H121)</f>
        <v/>
      </c>
      <c r="I911" s="40" t="str">
        <f>IF(Agent05_Loans!B121="","",Agent05_Loans!I121)</f>
        <v/>
      </c>
      <c r="J911" s="40" t="str">
        <f>IF(Agent05_Loans!B121="","",Agent05_Loans!J121)</f>
        <v/>
      </c>
      <c r="K911" s="37" t="str">
        <f>IF(Agent05_Loans!B121="","",Agent05_Loans!K121)</f>
        <v/>
      </c>
      <c r="L911" s="37" t="str">
        <f>IF(Agent05_Loans!B121="","",Agent05_Loans!L121)</f>
        <v/>
      </c>
      <c r="M911" s="37" t="str">
        <f>IFERROR(IF(Agent05_Loans!B121="","",YEAR(Agent05_Loans!D121)),"")</f>
        <v/>
      </c>
    </row>
    <row r="912" spans="1:13" ht="18" customHeight="1" x14ac:dyDescent="0.25">
      <c r="A912" s="37" t="str">
        <f>IF(Agent05_Loans!B122="","",Agent05_Loans!A122)</f>
        <v/>
      </c>
      <c r="B912" s="37" t="str">
        <f>IF(Agent05_Loans!B122="","",Agent05_Loans!B122)</f>
        <v/>
      </c>
      <c r="C912" s="37" t="str">
        <f>IF(Agent05_Loans!B122="","",Agent05_Loans!C122)</f>
        <v/>
      </c>
      <c r="D912" s="38" t="str">
        <f>IF(Agent05_Loans!B122="","",Agent05_Loans!D122)</f>
        <v/>
      </c>
      <c r="E912" s="40" t="str">
        <f>IF(Agent05_Loans!B122="","",Agent05_Loans!E122)</f>
        <v/>
      </c>
      <c r="F912" s="37" t="str">
        <f>IF(Agent05_Loans!B122="","",Agent05_Loans!F122)</f>
        <v/>
      </c>
      <c r="G912" s="37" t="str">
        <f>IF(Agent05_Loans!B122="","",Agent05_Loans!G122)</f>
        <v/>
      </c>
      <c r="H912" s="37" t="str">
        <f>IF(Agent05_Loans!B122="","",Agent05_Loans!H122)</f>
        <v/>
      </c>
      <c r="I912" s="40" t="str">
        <f>IF(Agent05_Loans!B122="","",Agent05_Loans!I122)</f>
        <v/>
      </c>
      <c r="J912" s="40" t="str">
        <f>IF(Agent05_Loans!B122="","",Agent05_Loans!J122)</f>
        <v/>
      </c>
      <c r="K912" s="37" t="str">
        <f>IF(Agent05_Loans!B122="","",Agent05_Loans!K122)</f>
        <v/>
      </c>
      <c r="L912" s="37" t="str">
        <f>IF(Agent05_Loans!B122="","",Agent05_Loans!L122)</f>
        <v/>
      </c>
      <c r="M912" s="37" t="str">
        <f>IFERROR(IF(Agent05_Loans!B122="","",YEAR(Agent05_Loans!D122)),"")</f>
        <v/>
      </c>
    </row>
    <row r="913" spans="1:13" ht="18" customHeight="1" x14ac:dyDescent="0.25">
      <c r="A913" s="37" t="str">
        <f>IF(Agent05_Loans!B123="","",Agent05_Loans!A123)</f>
        <v/>
      </c>
      <c r="B913" s="37" t="str">
        <f>IF(Agent05_Loans!B123="","",Agent05_Loans!B123)</f>
        <v/>
      </c>
      <c r="C913" s="37" t="str">
        <f>IF(Agent05_Loans!B123="","",Agent05_Loans!C123)</f>
        <v/>
      </c>
      <c r="D913" s="38" t="str">
        <f>IF(Agent05_Loans!B123="","",Agent05_Loans!D123)</f>
        <v/>
      </c>
      <c r="E913" s="40" t="str">
        <f>IF(Agent05_Loans!B123="","",Agent05_Loans!E123)</f>
        <v/>
      </c>
      <c r="F913" s="37" t="str">
        <f>IF(Agent05_Loans!B123="","",Agent05_Loans!F123)</f>
        <v/>
      </c>
      <c r="G913" s="37" t="str">
        <f>IF(Agent05_Loans!B123="","",Agent05_Loans!G123)</f>
        <v/>
      </c>
      <c r="H913" s="37" t="str">
        <f>IF(Agent05_Loans!B123="","",Agent05_Loans!H123)</f>
        <v/>
      </c>
      <c r="I913" s="40" t="str">
        <f>IF(Agent05_Loans!B123="","",Agent05_Loans!I123)</f>
        <v/>
      </c>
      <c r="J913" s="40" t="str">
        <f>IF(Agent05_Loans!B123="","",Agent05_Loans!J123)</f>
        <v/>
      </c>
      <c r="K913" s="37" t="str">
        <f>IF(Agent05_Loans!B123="","",Agent05_Loans!K123)</f>
        <v/>
      </c>
      <c r="L913" s="37" t="str">
        <f>IF(Agent05_Loans!B123="","",Agent05_Loans!L123)</f>
        <v/>
      </c>
      <c r="M913" s="37" t="str">
        <f>IFERROR(IF(Agent05_Loans!B123="","",YEAR(Agent05_Loans!D123)),"")</f>
        <v/>
      </c>
    </row>
    <row r="914" spans="1:13" ht="18" customHeight="1" x14ac:dyDescent="0.25">
      <c r="A914" s="37" t="str">
        <f>IF(Agent05_Loans!B124="","",Agent05_Loans!A124)</f>
        <v/>
      </c>
      <c r="B914" s="37" t="str">
        <f>IF(Agent05_Loans!B124="","",Agent05_Loans!B124)</f>
        <v/>
      </c>
      <c r="C914" s="37" t="str">
        <f>IF(Agent05_Loans!B124="","",Agent05_Loans!C124)</f>
        <v/>
      </c>
      <c r="D914" s="38" t="str">
        <f>IF(Agent05_Loans!B124="","",Agent05_Loans!D124)</f>
        <v/>
      </c>
      <c r="E914" s="40" t="str">
        <f>IF(Agent05_Loans!B124="","",Agent05_Loans!E124)</f>
        <v/>
      </c>
      <c r="F914" s="37" t="str">
        <f>IF(Agent05_Loans!B124="","",Agent05_Loans!F124)</f>
        <v/>
      </c>
      <c r="G914" s="37" t="str">
        <f>IF(Agent05_Loans!B124="","",Agent05_Loans!G124)</f>
        <v/>
      </c>
      <c r="H914" s="37" t="str">
        <f>IF(Agent05_Loans!B124="","",Agent05_Loans!H124)</f>
        <v/>
      </c>
      <c r="I914" s="40" t="str">
        <f>IF(Agent05_Loans!B124="","",Agent05_Loans!I124)</f>
        <v/>
      </c>
      <c r="J914" s="40" t="str">
        <f>IF(Agent05_Loans!B124="","",Agent05_Loans!J124)</f>
        <v/>
      </c>
      <c r="K914" s="37" t="str">
        <f>IF(Agent05_Loans!B124="","",Agent05_Loans!K124)</f>
        <v/>
      </c>
      <c r="L914" s="37" t="str">
        <f>IF(Agent05_Loans!B124="","",Agent05_Loans!L124)</f>
        <v/>
      </c>
      <c r="M914" s="37" t="str">
        <f>IFERROR(IF(Agent05_Loans!B124="","",YEAR(Agent05_Loans!D124)),"")</f>
        <v/>
      </c>
    </row>
    <row r="915" spans="1:13" ht="18" customHeight="1" x14ac:dyDescent="0.25">
      <c r="A915" s="37" t="str">
        <f>IF(Agent05_Loans!B125="","",Agent05_Loans!A125)</f>
        <v/>
      </c>
      <c r="B915" s="37" t="str">
        <f>IF(Agent05_Loans!B125="","",Agent05_Loans!B125)</f>
        <v/>
      </c>
      <c r="C915" s="37" t="str">
        <f>IF(Agent05_Loans!B125="","",Agent05_Loans!C125)</f>
        <v/>
      </c>
      <c r="D915" s="38" t="str">
        <f>IF(Agent05_Loans!B125="","",Agent05_Loans!D125)</f>
        <v/>
      </c>
      <c r="E915" s="40" t="str">
        <f>IF(Agent05_Loans!B125="","",Agent05_Loans!E125)</f>
        <v/>
      </c>
      <c r="F915" s="37" t="str">
        <f>IF(Agent05_Loans!B125="","",Agent05_Loans!F125)</f>
        <v/>
      </c>
      <c r="G915" s="37" t="str">
        <f>IF(Agent05_Loans!B125="","",Agent05_Loans!G125)</f>
        <v/>
      </c>
      <c r="H915" s="37" t="str">
        <f>IF(Agent05_Loans!B125="","",Agent05_Loans!H125)</f>
        <v/>
      </c>
      <c r="I915" s="40" t="str">
        <f>IF(Agent05_Loans!B125="","",Agent05_Loans!I125)</f>
        <v/>
      </c>
      <c r="J915" s="40" t="str">
        <f>IF(Agent05_Loans!B125="","",Agent05_Loans!J125)</f>
        <v/>
      </c>
      <c r="K915" s="37" t="str">
        <f>IF(Agent05_Loans!B125="","",Agent05_Loans!K125)</f>
        <v/>
      </c>
      <c r="L915" s="37" t="str">
        <f>IF(Agent05_Loans!B125="","",Agent05_Loans!L125)</f>
        <v/>
      </c>
      <c r="M915" s="37" t="str">
        <f>IFERROR(IF(Agent05_Loans!B125="","",YEAR(Agent05_Loans!D125)),"")</f>
        <v/>
      </c>
    </row>
    <row r="916" spans="1:13" ht="18" customHeight="1" x14ac:dyDescent="0.25">
      <c r="A916" s="37" t="str">
        <f>IF(Agent05_Loans!B126="","",Agent05_Loans!A126)</f>
        <v/>
      </c>
      <c r="B916" s="37" t="str">
        <f>IF(Agent05_Loans!B126="","",Agent05_Loans!B126)</f>
        <v/>
      </c>
      <c r="C916" s="37" t="str">
        <f>IF(Agent05_Loans!B126="","",Agent05_Loans!C126)</f>
        <v/>
      </c>
      <c r="D916" s="38" t="str">
        <f>IF(Agent05_Loans!B126="","",Agent05_Loans!D126)</f>
        <v/>
      </c>
      <c r="E916" s="40" t="str">
        <f>IF(Agent05_Loans!B126="","",Agent05_Loans!E126)</f>
        <v/>
      </c>
      <c r="F916" s="37" t="str">
        <f>IF(Agent05_Loans!B126="","",Agent05_Loans!F126)</f>
        <v/>
      </c>
      <c r="G916" s="37" t="str">
        <f>IF(Agent05_Loans!B126="","",Agent05_Loans!G126)</f>
        <v/>
      </c>
      <c r="H916" s="37" t="str">
        <f>IF(Agent05_Loans!B126="","",Agent05_Loans!H126)</f>
        <v/>
      </c>
      <c r="I916" s="40" t="str">
        <f>IF(Agent05_Loans!B126="","",Agent05_Loans!I126)</f>
        <v/>
      </c>
      <c r="J916" s="40" t="str">
        <f>IF(Agent05_Loans!B126="","",Agent05_Loans!J126)</f>
        <v/>
      </c>
      <c r="K916" s="37" t="str">
        <f>IF(Agent05_Loans!B126="","",Agent05_Loans!K126)</f>
        <v/>
      </c>
      <c r="L916" s="37" t="str">
        <f>IF(Agent05_Loans!B126="","",Agent05_Loans!L126)</f>
        <v/>
      </c>
      <c r="M916" s="37" t="str">
        <f>IFERROR(IF(Agent05_Loans!B126="","",YEAR(Agent05_Loans!D126)),"")</f>
        <v/>
      </c>
    </row>
    <row r="917" spans="1:13" ht="18" customHeight="1" x14ac:dyDescent="0.25">
      <c r="A917" s="37" t="str">
        <f>IF(Agent05_Loans!B127="","",Agent05_Loans!A127)</f>
        <v/>
      </c>
      <c r="B917" s="37" t="str">
        <f>IF(Agent05_Loans!B127="","",Agent05_Loans!B127)</f>
        <v/>
      </c>
      <c r="C917" s="37" t="str">
        <f>IF(Agent05_Loans!B127="","",Agent05_Loans!C127)</f>
        <v/>
      </c>
      <c r="D917" s="38" t="str">
        <f>IF(Agent05_Loans!B127="","",Agent05_Loans!D127)</f>
        <v/>
      </c>
      <c r="E917" s="40" t="str">
        <f>IF(Agent05_Loans!B127="","",Agent05_Loans!E127)</f>
        <v/>
      </c>
      <c r="F917" s="37" t="str">
        <f>IF(Agent05_Loans!B127="","",Agent05_Loans!F127)</f>
        <v/>
      </c>
      <c r="G917" s="37" t="str">
        <f>IF(Agent05_Loans!B127="","",Agent05_Loans!G127)</f>
        <v/>
      </c>
      <c r="H917" s="37" t="str">
        <f>IF(Agent05_Loans!B127="","",Agent05_Loans!H127)</f>
        <v/>
      </c>
      <c r="I917" s="40" t="str">
        <f>IF(Agent05_Loans!B127="","",Agent05_Loans!I127)</f>
        <v/>
      </c>
      <c r="J917" s="40" t="str">
        <f>IF(Agent05_Loans!B127="","",Agent05_Loans!J127)</f>
        <v/>
      </c>
      <c r="K917" s="37" t="str">
        <f>IF(Agent05_Loans!B127="","",Agent05_Loans!K127)</f>
        <v/>
      </c>
      <c r="L917" s="37" t="str">
        <f>IF(Agent05_Loans!B127="","",Agent05_Loans!L127)</f>
        <v/>
      </c>
      <c r="M917" s="37" t="str">
        <f>IFERROR(IF(Agent05_Loans!B127="","",YEAR(Agent05_Loans!D127)),"")</f>
        <v/>
      </c>
    </row>
    <row r="918" spans="1:13" ht="18" customHeight="1" x14ac:dyDescent="0.25">
      <c r="A918" s="37" t="str">
        <f>IF(Agent05_Loans!B128="","",Agent05_Loans!A128)</f>
        <v/>
      </c>
      <c r="B918" s="37" t="str">
        <f>IF(Agent05_Loans!B128="","",Agent05_Loans!B128)</f>
        <v/>
      </c>
      <c r="C918" s="37" t="str">
        <f>IF(Agent05_Loans!B128="","",Agent05_Loans!C128)</f>
        <v/>
      </c>
      <c r="D918" s="38" t="str">
        <f>IF(Agent05_Loans!B128="","",Agent05_Loans!D128)</f>
        <v/>
      </c>
      <c r="E918" s="40" t="str">
        <f>IF(Agent05_Loans!B128="","",Agent05_Loans!E128)</f>
        <v/>
      </c>
      <c r="F918" s="37" t="str">
        <f>IF(Agent05_Loans!B128="","",Agent05_Loans!F128)</f>
        <v/>
      </c>
      <c r="G918" s="37" t="str">
        <f>IF(Agent05_Loans!B128="","",Agent05_Loans!G128)</f>
        <v/>
      </c>
      <c r="H918" s="37" t="str">
        <f>IF(Agent05_Loans!B128="","",Agent05_Loans!H128)</f>
        <v/>
      </c>
      <c r="I918" s="40" t="str">
        <f>IF(Agent05_Loans!B128="","",Agent05_Loans!I128)</f>
        <v/>
      </c>
      <c r="J918" s="40" t="str">
        <f>IF(Agent05_Loans!B128="","",Agent05_Loans!J128)</f>
        <v/>
      </c>
      <c r="K918" s="37" t="str">
        <f>IF(Agent05_Loans!B128="","",Agent05_Loans!K128)</f>
        <v/>
      </c>
      <c r="L918" s="37" t="str">
        <f>IF(Agent05_Loans!B128="","",Agent05_Loans!L128)</f>
        <v/>
      </c>
      <c r="M918" s="37" t="str">
        <f>IFERROR(IF(Agent05_Loans!B128="","",YEAR(Agent05_Loans!D128)),"")</f>
        <v/>
      </c>
    </row>
    <row r="919" spans="1:13" ht="18" customHeight="1" x14ac:dyDescent="0.25">
      <c r="A919" s="37" t="str">
        <f>IF(Agent05_Loans!B129="","",Agent05_Loans!A129)</f>
        <v/>
      </c>
      <c r="B919" s="37" t="str">
        <f>IF(Agent05_Loans!B129="","",Agent05_Loans!B129)</f>
        <v/>
      </c>
      <c r="C919" s="37" t="str">
        <f>IF(Agent05_Loans!B129="","",Agent05_Loans!C129)</f>
        <v/>
      </c>
      <c r="D919" s="38" t="str">
        <f>IF(Agent05_Loans!B129="","",Agent05_Loans!D129)</f>
        <v/>
      </c>
      <c r="E919" s="40" t="str">
        <f>IF(Agent05_Loans!B129="","",Agent05_Loans!E129)</f>
        <v/>
      </c>
      <c r="F919" s="37" t="str">
        <f>IF(Agent05_Loans!B129="","",Agent05_Loans!F129)</f>
        <v/>
      </c>
      <c r="G919" s="37" t="str">
        <f>IF(Agent05_Loans!B129="","",Agent05_Loans!G129)</f>
        <v/>
      </c>
      <c r="H919" s="37" t="str">
        <f>IF(Agent05_Loans!B129="","",Agent05_Loans!H129)</f>
        <v/>
      </c>
      <c r="I919" s="40" t="str">
        <f>IF(Agent05_Loans!B129="","",Agent05_Loans!I129)</f>
        <v/>
      </c>
      <c r="J919" s="40" t="str">
        <f>IF(Agent05_Loans!B129="","",Agent05_Loans!J129)</f>
        <v/>
      </c>
      <c r="K919" s="37" t="str">
        <f>IF(Agent05_Loans!B129="","",Agent05_Loans!K129)</f>
        <v/>
      </c>
      <c r="L919" s="37" t="str">
        <f>IF(Agent05_Loans!B129="","",Agent05_Loans!L129)</f>
        <v/>
      </c>
      <c r="M919" s="37" t="str">
        <f>IFERROR(IF(Agent05_Loans!B129="","",YEAR(Agent05_Loans!D129)),"")</f>
        <v/>
      </c>
    </row>
    <row r="920" spans="1:13" ht="18" customHeight="1" x14ac:dyDescent="0.25">
      <c r="A920" s="37" t="str">
        <f>IF(Agent05_Loans!B130="","",Agent05_Loans!A130)</f>
        <v/>
      </c>
      <c r="B920" s="37" t="str">
        <f>IF(Agent05_Loans!B130="","",Agent05_Loans!B130)</f>
        <v/>
      </c>
      <c r="C920" s="37" t="str">
        <f>IF(Agent05_Loans!B130="","",Agent05_Loans!C130)</f>
        <v/>
      </c>
      <c r="D920" s="38" t="str">
        <f>IF(Agent05_Loans!B130="","",Agent05_Loans!D130)</f>
        <v/>
      </c>
      <c r="E920" s="40" t="str">
        <f>IF(Agent05_Loans!B130="","",Agent05_Loans!E130)</f>
        <v/>
      </c>
      <c r="F920" s="37" t="str">
        <f>IF(Agent05_Loans!B130="","",Agent05_Loans!F130)</f>
        <v/>
      </c>
      <c r="G920" s="37" t="str">
        <f>IF(Agent05_Loans!B130="","",Agent05_Loans!G130)</f>
        <v/>
      </c>
      <c r="H920" s="37" t="str">
        <f>IF(Agent05_Loans!B130="","",Agent05_Loans!H130)</f>
        <v/>
      </c>
      <c r="I920" s="40" t="str">
        <f>IF(Agent05_Loans!B130="","",Agent05_Loans!I130)</f>
        <v/>
      </c>
      <c r="J920" s="40" t="str">
        <f>IF(Agent05_Loans!B130="","",Agent05_Loans!J130)</f>
        <v/>
      </c>
      <c r="K920" s="37" t="str">
        <f>IF(Agent05_Loans!B130="","",Agent05_Loans!K130)</f>
        <v/>
      </c>
      <c r="L920" s="37" t="str">
        <f>IF(Agent05_Loans!B130="","",Agent05_Loans!L130)</f>
        <v/>
      </c>
      <c r="M920" s="37" t="str">
        <f>IFERROR(IF(Agent05_Loans!B130="","",YEAR(Agent05_Loans!D130)),"")</f>
        <v/>
      </c>
    </row>
    <row r="921" spans="1:13" ht="18" customHeight="1" x14ac:dyDescent="0.25">
      <c r="A921" s="37" t="str">
        <f>IF(Agent05_Loans!B131="","",Agent05_Loans!A131)</f>
        <v/>
      </c>
      <c r="B921" s="37" t="str">
        <f>IF(Agent05_Loans!B131="","",Agent05_Loans!B131)</f>
        <v/>
      </c>
      <c r="C921" s="37" t="str">
        <f>IF(Agent05_Loans!B131="","",Agent05_Loans!C131)</f>
        <v/>
      </c>
      <c r="D921" s="38" t="str">
        <f>IF(Agent05_Loans!B131="","",Agent05_Loans!D131)</f>
        <v/>
      </c>
      <c r="E921" s="40" t="str">
        <f>IF(Agent05_Loans!B131="","",Agent05_Loans!E131)</f>
        <v/>
      </c>
      <c r="F921" s="37" t="str">
        <f>IF(Agent05_Loans!B131="","",Agent05_Loans!F131)</f>
        <v/>
      </c>
      <c r="G921" s="37" t="str">
        <f>IF(Agent05_Loans!B131="","",Agent05_Loans!G131)</f>
        <v/>
      </c>
      <c r="H921" s="37" t="str">
        <f>IF(Agent05_Loans!B131="","",Agent05_Loans!H131)</f>
        <v/>
      </c>
      <c r="I921" s="40" t="str">
        <f>IF(Agent05_Loans!B131="","",Agent05_Loans!I131)</f>
        <v/>
      </c>
      <c r="J921" s="40" t="str">
        <f>IF(Agent05_Loans!B131="","",Agent05_Loans!J131)</f>
        <v/>
      </c>
      <c r="K921" s="37" t="str">
        <f>IF(Agent05_Loans!B131="","",Agent05_Loans!K131)</f>
        <v/>
      </c>
      <c r="L921" s="37" t="str">
        <f>IF(Agent05_Loans!B131="","",Agent05_Loans!L131)</f>
        <v/>
      </c>
      <c r="M921" s="37" t="str">
        <f>IFERROR(IF(Agent05_Loans!B131="","",YEAR(Agent05_Loans!D131)),"")</f>
        <v/>
      </c>
    </row>
    <row r="922" spans="1:13" ht="18" customHeight="1" x14ac:dyDescent="0.25">
      <c r="A922" s="37" t="str">
        <f>IF(Agent05_Loans!B132="","",Agent05_Loans!A132)</f>
        <v/>
      </c>
      <c r="B922" s="37" t="str">
        <f>IF(Agent05_Loans!B132="","",Agent05_Loans!B132)</f>
        <v/>
      </c>
      <c r="C922" s="37" t="str">
        <f>IF(Agent05_Loans!B132="","",Agent05_Loans!C132)</f>
        <v/>
      </c>
      <c r="D922" s="38" t="str">
        <f>IF(Agent05_Loans!B132="","",Agent05_Loans!D132)</f>
        <v/>
      </c>
      <c r="E922" s="40" t="str">
        <f>IF(Agent05_Loans!B132="","",Agent05_Loans!E132)</f>
        <v/>
      </c>
      <c r="F922" s="37" t="str">
        <f>IF(Agent05_Loans!B132="","",Agent05_Loans!F132)</f>
        <v/>
      </c>
      <c r="G922" s="37" t="str">
        <f>IF(Agent05_Loans!B132="","",Agent05_Loans!G132)</f>
        <v/>
      </c>
      <c r="H922" s="37" t="str">
        <f>IF(Agent05_Loans!B132="","",Agent05_Loans!H132)</f>
        <v/>
      </c>
      <c r="I922" s="40" t="str">
        <f>IF(Agent05_Loans!B132="","",Agent05_Loans!I132)</f>
        <v/>
      </c>
      <c r="J922" s="40" t="str">
        <f>IF(Agent05_Loans!B132="","",Agent05_Loans!J132)</f>
        <v/>
      </c>
      <c r="K922" s="37" t="str">
        <f>IF(Agent05_Loans!B132="","",Agent05_Loans!K132)</f>
        <v/>
      </c>
      <c r="L922" s="37" t="str">
        <f>IF(Agent05_Loans!B132="","",Agent05_Loans!L132)</f>
        <v/>
      </c>
      <c r="M922" s="37" t="str">
        <f>IFERROR(IF(Agent05_Loans!B132="","",YEAR(Agent05_Loans!D132)),"")</f>
        <v/>
      </c>
    </row>
    <row r="923" spans="1:13" ht="18" customHeight="1" x14ac:dyDescent="0.25">
      <c r="A923" s="37" t="str">
        <f>IF(Agent05_Loans!B133="","",Agent05_Loans!A133)</f>
        <v/>
      </c>
      <c r="B923" s="37" t="str">
        <f>IF(Agent05_Loans!B133="","",Agent05_Loans!B133)</f>
        <v/>
      </c>
      <c r="C923" s="37" t="str">
        <f>IF(Agent05_Loans!B133="","",Agent05_Loans!C133)</f>
        <v/>
      </c>
      <c r="D923" s="38" t="str">
        <f>IF(Agent05_Loans!B133="","",Agent05_Loans!D133)</f>
        <v/>
      </c>
      <c r="E923" s="40" t="str">
        <f>IF(Agent05_Loans!B133="","",Agent05_Loans!E133)</f>
        <v/>
      </c>
      <c r="F923" s="37" t="str">
        <f>IF(Agent05_Loans!B133="","",Agent05_Loans!F133)</f>
        <v/>
      </c>
      <c r="G923" s="37" t="str">
        <f>IF(Agent05_Loans!B133="","",Agent05_Loans!G133)</f>
        <v/>
      </c>
      <c r="H923" s="37" t="str">
        <f>IF(Agent05_Loans!B133="","",Agent05_Loans!H133)</f>
        <v/>
      </c>
      <c r="I923" s="40" t="str">
        <f>IF(Agent05_Loans!B133="","",Agent05_Loans!I133)</f>
        <v/>
      </c>
      <c r="J923" s="40" t="str">
        <f>IF(Agent05_Loans!B133="","",Agent05_Loans!J133)</f>
        <v/>
      </c>
      <c r="K923" s="37" t="str">
        <f>IF(Agent05_Loans!B133="","",Agent05_Loans!K133)</f>
        <v/>
      </c>
      <c r="L923" s="37" t="str">
        <f>IF(Agent05_Loans!B133="","",Agent05_Loans!L133)</f>
        <v/>
      </c>
      <c r="M923" s="37" t="str">
        <f>IFERROR(IF(Agent05_Loans!B133="","",YEAR(Agent05_Loans!D133)),"")</f>
        <v/>
      </c>
    </row>
    <row r="924" spans="1:13" ht="18" customHeight="1" x14ac:dyDescent="0.25">
      <c r="A924" s="37" t="str">
        <f>IF(Agent05_Loans!B134="","",Agent05_Loans!A134)</f>
        <v/>
      </c>
      <c r="B924" s="37" t="str">
        <f>IF(Agent05_Loans!B134="","",Agent05_Loans!B134)</f>
        <v/>
      </c>
      <c r="C924" s="37" t="str">
        <f>IF(Agent05_Loans!B134="","",Agent05_Loans!C134)</f>
        <v/>
      </c>
      <c r="D924" s="38" t="str">
        <f>IF(Agent05_Loans!B134="","",Agent05_Loans!D134)</f>
        <v/>
      </c>
      <c r="E924" s="40" t="str">
        <f>IF(Agent05_Loans!B134="","",Agent05_Loans!E134)</f>
        <v/>
      </c>
      <c r="F924" s="37" t="str">
        <f>IF(Agent05_Loans!B134="","",Agent05_Loans!F134)</f>
        <v/>
      </c>
      <c r="G924" s="37" t="str">
        <f>IF(Agent05_Loans!B134="","",Agent05_Loans!G134)</f>
        <v/>
      </c>
      <c r="H924" s="37" t="str">
        <f>IF(Agent05_Loans!B134="","",Agent05_Loans!H134)</f>
        <v/>
      </c>
      <c r="I924" s="40" t="str">
        <f>IF(Agent05_Loans!B134="","",Agent05_Loans!I134)</f>
        <v/>
      </c>
      <c r="J924" s="40" t="str">
        <f>IF(Agent05_Loans!B134="","",Agent05_Loans!J134)</f>
        <v/>
      </c>
      <c r="K924" s="37" t="str">
        <f>IF(Agent05_Loans!B134="","",Agent05_Loans!K134)</f>
        <v/>
      </c>
      <c r="L924" s="37" t="str">
        <f>IF(Agent05_Loans!B134="","",Agent05_Loans!L134)</f>
        <v/>
      </c>
      <c r="M924" s="37" t="str">
        <f>IFERROR(IF(Agent05_Loans!B134="","",YEAR(Agent05_Loans!D134)),"")</f>
        <v/>
      </c>
    </row>
    <row r="925" spans="1:13" ht="18" customHeight="1" x14ac:dyDescent="0.25">
      <c r="A925" s="37" t="str">
        <f>IF(Agent05_Loans!B135="","",Agent05_Loans!A135)</f>
        <v/>
      </c>
      <c r="B925" s="37" t="str">
        <f>IF(Agent05_Loans!B135="","",Agent05_Loans!B135)</f>
        <v/>
      </c>
      <c r="C925" s="37" t="str">
        <f>IF(Agent05_Loans!B135="","",Agent05_Loans!C135)</f>
        <v/>
      </c>
      <c r="D925" s="38" t="str">
        <f>IF(Agent05_Loans!B135="","",Agent05_Loans!D135)</f>
        <v/>
      </c>
      <c r="E925" s="40" t="str">
        <f>IF(Agent05_Loans!B135="","",Agent05_Loans!E135)</f>
        <v/>
      </c>
      <c r="F925" s="37" t="str">
        <f>IF(Agent05_Loans!B135="","",Agent05_Loans!F135)</f>
        <v/>
      </c>
      <c r="G925" s="37" t="str">
        <f>IF(Agent05_Loans!B135="","",Agent05_Loans!G135)</f>
        <v/>
      </c>
      <c r="H925" s="37" t="str">
        <f>IF(Agent05_Loans!B135="","",Agent05_Loans!H135)</f>
        <v/>
      </c>
      <c r="I925" s="40" t="str">
        <f>IF(Agent05_Loans!B135="","",Agent05_Loans!I135)</f>
        <v/>
      </c>
      <c r="J925" s="40" t="str">
        <f>IF(Agent05_Loans!B135="","",Agent05_Loans!J135)</f>
        <v/>
      </c>
      <c r="K925" s="37" t="str">
        <f>IF(Agent05_Loans!B135="","",Agent05_Loans!K135)</f>
        <v/>
      </c>
      <c r="L925" s="37" t="str">
        <f>IF(Agent05_Loans!B135="","",Agent05_Loans!L135)</f>
        <v/>
      </c>
      <c r="M925" s="37" t="str">
        <f>IFERROR(IF(Agent05_Loans!B135="","",YEAR(Agent05_Loans!D135)),"")</f>
        <v/>
      </c>
    </row>
    <row r="926" spans="1:13" ht="18" customHeight="1" x14ac:dyDescent="0.25">
      <c r="A926" s="37" t="str">
        <f>IF(Agent05_Loans!B136="","",Agent05_Loans!A136)</f>
        <v/>
      </c>
      <c r="B926" s="37" t="str">
        <f>IF(Agent05_Loans!B136="","",Agent05_Loans!B136)</f>
        <v/>
      </c>
      <c r="C926" s="37" t="str">
        <f>IF(Agent05_Loans!B136="","",Agent05_Loans!C136)</f>
        <v/>
      </c>
      <c r="D926" s="38" t="str">
        <f>IF(Agent05_Loans!B136="","",Agent05_Loans!D136)</f>
        <v/>
      </c>
      <c r="E926" s="40" t="str">
        <f>IF(Agent05_Loans!B136="","",Agent05_Loans!E136)</f>
        <v/>
      </c>
      <c r="F926" s="37" t="str">
        <f>IF(Agent05_Loans!B136="","",Agent05_Loans!F136)</f>
        <v/>
      </c>
      <c r="G926" s="37" t="str">
        <f>IF(Agent05_Loans!B136="","",Agent05_Loans!G136)</f>
        <v/>
      </c>
      <c r="H926" s="37" t="str">
        <f>IF(Agent05_Loans!B136="","",Agent05_Loans!H136)</f>
        <v/>
      </c>
      <c r="I926" s="40" t="str">
        <f>IF(Agent05_Loans!B136="","",Agent05_Loans!I136)</f>
        <v/>
      </c>
      <c r="J926" s="40" t="str">
        <f>IF(Agent05_Loans!B136="","",Agent05_Loans!J136)</f>
        <v/>
      </c>
      <c r="K926" s="37" t="str">
        <f>IF(Agent05_Loans!B136="","",Agent05_Loans!K136)</f>
        <v/>
      </c>
      <c r="L926" s="37" t="str">
        <f>IF(Agent05_Loans!B136="","",Agent05_Loans!L136)</f>
        <v/>
      </c>
      <c r="M926" s="37" t="str">
        <f>IFERROR(IF(Agent05_Loans!B136="","",YEAR(Agent05_Loans!D136)),"")</f>
        <v/>
      </c>
    </row>
    <row r="927" spans="1:13" ht="18" customHeight="1" x14ac:dyDescent="0.25">
      <c r="A927" s="37" t="str">
        <f>IF(Agent05_Loans!B137="","",Agent05_Loans!A137)</f>
        <v/>
      </c>
      <c r="B927" s="37" t="str">
        <f>IF(Agent05_Loans!B137="","",Agent05_Loans!B137)</f>
        <v/>
      </c>
      <c r="C927" s="37" t="str">
        <f>IF(Agent05_Loans!B137="","",Agent05_Loans!C137)</f>
        <v/>
      </c>
      <c r="D927" s="38" t="str">
        <f>IF(Agent05_Loans!B137="","",Agent05_Loans!D137)</f>
        <v/>
      </c>
      <c r="E927" s="40" t="str">
        <f>IF(Agent05_Loans!B137="","",Agent05_Loans!E137)</f>
        <v/>
      </c>
      <c r="F927" s="37" t="str">
        <f>IF(Agent05_Loans!B137="","",Agent05_Loans!F137)</f>
        <v/>
      </c>
      <c r="G927" s="37" t="str">
        <f>IF(Agent05_Loans!B137="","",Agent05_Loans!G137)</f>
        <v/>
      </c>
      <c r="H927" s="37" t="str">
        <f>IF(Agent05_Loans!B137="","",Agent05_Loans!H137)</f>
        <v/>
      </c>
      <c r="I927" s="40" t="str">
        <f>IF(Agent05_Loans!B137="","",Agent05_Loans!I137)</f>
        <v/>
      </c>
      <c r="J927" s="40" t="str">
        <f>IF(Agent05_Loans!B137="","",Agent05_Loans!J137)</f>
        <v/>
      </c>
      <c r="K927" s="37" t="str">
        <f>IF(Agent05_Loans!B137="","",Agent05_Loans!K137)</f>
        <v/>
      </c>
      <c r="L927" s="37" t="str">
        <f>IF(Agent05_Loans!B137="","",Agent05_Loans!L137)</f>
        <v/>
      </c>
      <c r="M927" s="37" t="str">
        <f>IFERROR(IF(Agent05_Loans!B137="","",YEAR(Agent05_Loans!D137)),"")</f>
        <v/>
      </c>
    </row>
    <row r="928" spans="1:13" ht="18" customHeight="1" x14ac:dyDescent="0.25">
      <c r="A928" s="37" t="str">
        <f>IF(Agent05_Loans!B138="","",Agent05_Loans!A138)</f>
        <v/>
      </c>
      <c r="B928" s="37" t="str">
        <f>IF(Agent05_Loans!B138="","",Agent05_Loans!B138)</f>
        <v/>
      </c>
      <c r="C928" s="37" t="str">
        <f>IF(Agent05_Loans!B138="","",Agent05_Loans!C138)</f>
        <v/>
      </c>
      <c r="D928" s="38" t="str">
        <f>IF(Agent05_Loans!B138="","",Agent05_Loans!D138)</f>
        <v/>
      </c>
      <c r="E928" s="40" t="str">
        <f>IF(Agent05_Loans!B138="","",Agent05_Loans!E138)</f>
        <v/>
      </c>
      <c r="F928" s="37" t="str">
        <f>IF(Agent05_Loans!B138="","",Agent05_Loans!F138)</f>
        <v/>
      </c>
      <c r="G928" s="37" t="str">
        <f>IF(Agent05_Loans!B138="","",Agent05_Loans!G138)</f>
        <v/>
      </c>
      <c r="H928" s="37" t="str">
        <f>IF(Agent05_Loans!B138="","",Agent05_Loans!H138)</f>
        <v/>
      </c>
      <c r="I928" s="40" t="str">
        <f>IF(Agent05_Loans!B138="","",Agent05_Loans!I138)</f>
        <v/>
      </c>
      <c r="J928" s="40" t="str">
        <f>IF(Agent05_Loans!B138="","",Agent05_Loans!J138)</f>
        <v/>
      </c>
      <c r="K928" s="37" t="str">
        <f>IF(Agent05_Loans!B138="","",Agent05_Loans!K138)</f>
        <v/>
      </c>
      <c r="L928" s="37" t="str">
        <f>IF(Agent05_Loans!B138="","",Agent05_Loans!L138)</f>
        <v/>
      </c>
      <c r="M928" s="37" t="str">
        <f>IFERROR(IF(Agent05_Loans!B138="","",YEAR(Agent05_Loans!D138)),"")</f>
        <v/>
      </c>
    </row>
    <row r="929" spans="1:13" ht="18" customHeight="1" x14ac:dyDescent="0.25">
      <c r="A929" s="37" t="str">
        <f>IF(Agent05_Loans!B139="","",Agent05_Loans!A139)</f>
        <v/>
      </c>
      <c r="B929" s="37" t="str">
        <f>IF(Agent05_Loans!B139="","",Agent05_Loans!B139)</f>
        <v/>
      </c>
      <c r="C929" s="37" t="str">
        <f>IF(Agent05_Loans!B139="","",Agent05_Loans!C139)</f>
        <v/>
      </c>
      <c r="D929" s="38" t="str">
        <f>IF(Agent05_Loans!B139="","",Agent05_Loans!D139)</f>
        <v/>
      </c>
      <c r="E929" s="40" t="str">
        <f>IF(Agent05_Loans!B139="","",Agent05_Loans!E139)</f>
        <v/>
      </c>
      <c r="F929" s="37" t="str">
        <f>IF(Agent05_Loans!B139="","",Agent05_Loans!F139)</f>
        <v/>
      </c>
      <c r="G929" s="37" t="str">
        <f>IF(Agent05_Loans!B139="","",Agent05_Loans!G139)</f>
        <v/>
      </c>
      <c r="H929" s="37" t="str">
        <f>IF(Agent05_Loans!B139="","",Agent05_Loans!H139)</f>
        <v/>
      </c>
      <c r="I929" s="40" t="str">
        <f>IF(Agent05_Loans!B139="","",Agent05_Loans!I139)</f>
        <v/>
      </c>
      <c r="J929" s="40" t="str">
        <f>IF(Agent05_Loans!B139="","",Agent05_Loans!J139)</f>
        <v/>
      </c>
      <c r="K929" s="37" t="str">
        <f>IF(Agent05_Loans!B139="","",Agent05_Loans!K139)</f>
        <v/>
      </c>
      <c r="L929" s="37" t="str">
        <f>IF(Agent05_Loans!B139="","",Agent05_Loans!L139)</f>
        <v/>
      </c>
      <c r="M929" s="37" t="str">
        <f>IFERROR(IF(Agent05_Loans!B139="","",YEAR(Agent05_Loans!D139)),"")</f>
        <v/>
      </c>
    </row>
    <row r="930" spans="1:13" ht="18" customHeight="1" x14ac:dyDescent="0.25">
      <c r="A930" s="37" t="str">
        <f>IF(Agent05_Loans!B140="","",Agent05_Loans!A140)</f>
        <v/>
      </c>
      <c r="B930" s="37" t="str">
        <f>IF(Agent05_Loans!B140="","",Agent05_Loans!B140)</f>
        <v/>
      </c>
      <c r="C930" s="37" t="str">
        <f>IF(Agent05_Loans!B140="","",Agent05_Loans!C140)</f>
        <v/>
      </c>
      <c r="D930" s="38" t="str">
        <f>IF(Agent05_Loans!B140="","",Agent05_Loans!D140)</f>
        <v/>
      </c>
      <c r="E930" s="40" t="str">
        <f>IF(Agent05_Loans!B140="","",Agent05_Loans!E140)</f>
        <v/>
      </c>
      <c r="F930" s="37" t="str">
        <f>IF(Agent05_Loans!B140="","",Agent05_Loans!F140)</f>
        <v/>
      </c>
      <c r="G930" s="37" t="str">
        <f>IF(Agent05_Loans!B140="","",Agent05_Loans!G140)</f>
        <v/>
      </c>
      <c r="H930" s="37" t="str">
        <f>IF(Agent05_Loans!B140="","",Agent05_Loans!H140)</f>
        <v/>
      </c>
      <c r="I930" s="40" t="str">
        <f>IF(Agent05_Loans!B140="","",Agent05_Loans!I140)</f>
        <v/>
      </c>
      <c r="J930" s="40" t="str">
        <f>IF(Agent05_Loans!B140="","",Agent05_Loans!J140)</f>
        <v/>
      </c>
      <c r="K930" s="37" t="str">
        <f>IF(Agent05_Loans!B140="","",Agent05_Loans!K140)</f>
        <v/>
      </c>
      <c r="L930" s="37" t="str">
        <f>IF(Agent05_Loans!B140="","",Agent05_Loans!L140)</f>
        <v/>
      </c>
      <c r="M930" s="37" t="str">
        <f>IFERROR(IF(Agent05_Loans!B140="","",YEAR(Agent05_Loans!D140)),"")</f>
        <v/>
      </c>
    </row>
    <row r="931" spans="1:13" ht="18" customHeight="1" x14ac:dyDescent="0.25">
      <c r="A931" s="37" t="str">
        <f>IF(Agent05_Loans!B141="","",Agent05_Loans!A141)</f>
        <v/>
      </c>
      <c r="B931" s="37" t="str">
        <f>IF(Agent05_Loans!B141="","",Agent05_Loans!B141)</f>
        <v/>
      </c>
      <c r="C931" s="37" t="str">
        <f>IF(Agent05_Loans!B141="","",Agent05_Loans!C141)</f>
        <v/>
      </c>
      <c r="D931" s="38" t="str">
        <f>IF(Agent05_Loans!B141="","",Agent05_Loans!D141)</f>
        <v/>
      </c>
      <c r="E931" s="40" t="str">
        <f>IF(Agent05_Loans!B141="","",Agent05_Loans!E141)</f>
        <v/>
      </c>
      <c r="F931" s="37" t="str">
        <f>IF(Agent05_Loans!B141="","",Agent05_Loans!F141)</f>
        <v/>
      </c>
      <c r="G931" s="37" t="str">
        <f>IF(Agent05_Loans!B141="","",Agent05_Loans!G141)</f>
        <v/>
      </c>
      <c r="H931" s="37" t="str">
        <f>IF(Agent05_Loans!B141="","",Agent05_Loans!H141)</f>
        <v/>
      </c>
      <c r="I931" s="40" t="str">
        <f>IF(Agent05_Loans!B141="","",Agent05_Loans!I141)</f>
        <v/>
      </c>
      <c r="J931" s="40" t="str">
        <f>IF(Agent05_Loans!B141="","",Agent05_Loans!J141)</f>
        <v/>
      </c>
      <c r="K931" s="37" t="str">
        <f>IF(Agent05_Loans!B141="","",Agent05_Loans!K141)</f>
        <v/>
      </c>
      <c r="L931" s="37" t="str">
        <f>IF(Agent05_Loans!B141="","",Agent05_Loans!L141)</f>
        <v/>
      </c>
      <c r="M931" s="37" t="str">
        <f>IFERROR(IF(Agent05_Loans!B141="","",YEAR(Agent05_Loans!D141)),"")</f>
        <v/>
      </c>
    </row>
    <row r="932" spans="1:13" ht="18" customHeight="1" x14ac:dyDescent="0.25">
      <c r="A932" s="37" t="str">
        <f>IF(Agent05_Loans!B142="","",Agent05_Loans!A142)</f>
        <v/>
      </c>
      <c r="B932" s="37" t="str">
        <f>IF(Agent05_Loans!B142="","",Agent05_Loans!B142)</f>
        <v/>
      </c>
      <c r="C932" s="37" t="str">
        <f>IF(Agent05_Loans!B142="","",Agent05_Loans!C142)</f>
        <v/>
      </c>
      <c r="D932" s="38" t="str">
        <f>IF(Agent05_Loans!B142="","",Agent05_Loans!D142)</f>
        <v/>
      </c>
      <c r="E932" s="40" t="str">
        <f>IF(Agent05_Loans!B142="","",Agent05_Loans!E142)</f>
        <v/>
      </c>
      <c r="F932" s="37" t="str">
        <f>IF(Agent05_Loans!B142="","",Agent05_Loans!F142)</f>
        <v/>
      </c>
      <c r="G932" s="37" t="str">
        <f>IF(Agent05_Loans!B142="","",Agent05_Loans!G142)</f>
        <v/>
      </c>
      <c r="H932" s="37" t="str">
        <f>IF(Agent05_Loans!B142="","",Agent05_Loans!H142)</f>
        <v/>
      </c>
      <c r="I932" s="40" t="str">
        <f>IF(Agent05_Loans!B142="","",Agent05_Loans!I142)</f>
        <v/>
      </c>
      <c r="J932" s="40" t="str">
        <f>IF(Agent05_Loans!B142="","",Agent05_Loans!J142)</f>
        <v/>
      </c>
      <c r="K932" s="37" t="str">
        <f>IF(Agent05_Loans!B142="","",Agent05_Loans!K142)</f>
        <v/>
      </c>
      <c r="L932" s="37" t="str">
        <f>IF(Agent05_Loans!B142="","",Agent05_Loans!L142)</f>
        <v/>
      </c>
      <c r="M932" s="37" t="str">
        <f>IFERROR(IF(Agent05_Loans!B142="","",YEAR(Agent05_Loans!D142)),"")</f>
        <v/>
      </c>
    </row>
    <row r="933" spans="1:13" ht="18" customHeight="1" x14ac:dyDescent="0.25">
      <c r="A933" s="37" t="str">
        <f>IF(Agent05_Loans!B143="","",Agent05_Loans!A143)</f>
        <v/>
      </c>
      <c r="B933" s="37" t="str">
        <f>IF(Agent05_Loans!B143="","",Agent05_Loans!B143)</f>
        <v/>
      </c>
      <c r="C933" s="37" t="str">
        <f>IF(Agent05_Loans!B143="","",Agent05_Loans!C143)</f>
        <v/>
      </c>
      <c r="D933" s="38" t="str">
        <f>IF(Agent05_Loans!B143="","",Agent05_Loans!D143)</f>
        <v/>
      </c>
      <c r="E933" s="40" t="str">
        <f>IF(Agent05_Loans!B143="","",Agent05_Loans!E143)</f>
        <v/>
      </c>
      <c r="F933" s="37" t="str">
        <f>IF(Agent05_Loans!B143="","",Agent05_Loans!F143)</f>
        <v/>
      </c>
      <c r="G933" s="37" t="str">
        <f>IF(Agent05_Loans!B143="","",Agent05_Loans!G143)</f>
        <v/>
      </c>
      <c r="H933" s="37" t="str">
        <f>IF(Agent05_Loans!B143="","",Agent05_Loans!H143)</f>
        <v/>
      </c>
      <c r="I933" s="40" t="str">
        <f>IF(Agent05_Loans!B143="","",Agent05_Loans!I143)</f>
        <v/>
      </c>
      <c r="J933" s="40" t="str">
        <f>IF(Agent05_Loans!B143="","",Agent05_Loans!J143)</f>
        <v/>
      </c>
      <c r="K933" s="37" t="str">
        <f>IF(Agent05_Loans!B143="","",Agent05_Loans!K143)</f>
        <v/>
      </c>
      <c r="L933" s="37" t="str">
        <f>IF(Agent05_Loans!B143="","",Agent05_Loans!L143)</f>
        <v/>
      </c>
      <c r="M933" s="37" t="str">
        <f>IFERROR(IF(Agent05_Loans!B143="","",YEAR(Agent05_Loans!D143)),"")</f>
        <v/>
      </c>
    </row>
    <row r="934" spans="1:13" ht="18" customHeight="1" x14ac:dyDescent="0.25">
      <c r="A934" s="37" t="str">
        <f>IF(Agent05_Loans!B144="","",Agent05_Loans!A144)</f>
        <v/>
      </c>
      <c r="B934" s="37" t="str">
        <f>IF(Agent05_Loans!B144="","",Agent05_Loans!B144)</f>
        <v/>
      </c>
      <c r="C934" s="37" t="str">
        <f>IF(Agent05_Loans!B144="","",Agent05_Loans!C144)</f>
        <v/>
      </c>
      <c r="D934" s="38" t="str">
        <f>IF(Agent05_Loans!B144="","",Agent05_Loans!D144)</f>
        <v/>
      </c>
      <c r="E934" s="40" t="str">
        <f>IF(Agent05_Loans!B144="","",Agent05_Loans!E144)</f>
        <v/>
      </c>
      <c r="F934" s="37" t="str">
        <f>IF(Agent05_Loans!B144="","",Agent05_Loans!F144)</f>
        <v/>
      </c>
      <c r="G934" s="37" t="str">
        <f>IF(Agent05_Loans!B144="","",Agent05_Loans!G144)</f>
        <v/>
      </c>
      <c r="H934" s="37" t="str">
        <f>IF(Agent05_Loans!B144="","",Agent05_Loans!H144)</f>
        <v/>
      </c>
      <c r="I934" s="40" t="str">
        <f>IF(Agent05_Loans!B144="","",Agent05_Loans!I144)</f>
        <v/>
      </c>
      <c r="J934" s="40" t="str">
        <f>IF(Agent05_Loans!B144="","",Agent05_Loans!J144)</f>
        <v/>
      </c>
      <c r="K934" s="37" t="str">
        <f>IF(Agent05_Loans!B144="","",Agent05_Loans!K144)</f>
        <v/>
      </c>
      <c r="L934" s="37" t="str">
        <f>IF(Agent05_Loans!B144="","",Agent05_Loans!L144)</f>
        <v/>
      </c>
      <c r="M934" s="37" t="str">
        <f>IFERROR(IF(Agent05_Loans!B144="","",YEAR(Agent05_Loans!D144)),"")</f>
        <v/>
      </c>
    </row>
    <row r="935" spans="1:13" ht="18" customHeight="1" x14ac:dyDescent="0.25">
      <c r="A935" s="37" t="str">
        <f>IF(Agent05_Loans!B145="","",Agent05_Loans!A145)</f>
        <v/>
      </c>
      <c r="B935" s="37" t="str">
        <f>IF(Agent05_Loans!B145="","",Agent05_Loans!B145)</f>
        <v/>
      </c>
      <c r="C935" s="37" t="str">
        <f>IF(Agent05_Loans!B145="","",Agent05_Loans!C145)</f>
        <v/>
      </c>
      <c r="D935" s="38" t="str">
        <f>IF(Agent05_Loans!B145="","",Agent05_Loans!D145)</f>
        <v/>
      </c>
      <c r="E935" s="40" t="str">
        <f>IF(Agent05_Loans!B145="","",Agent05_Loans!E145)</f>
        <v/>
      </c>
      <c r="F935" s="37" t="str">
        <f>IF(Agent05_Loans!B145="","",Agent05_Loans!F145)</f>
        <v/>
      </c>
      <c r="G935" s="37" t="str">
        <f>IF(Agent05_Loans!B145="","",Agent05_Loans!G145)</f>
        <v/>
      </c>
      <c r="H935" s="37" t="str">
        <f>IF(Agent05_Loans!B145="","",Agent05_Loans!H145)</f>
        <v/>
      </c>
      <c r="I935" s="40" t="str">
        <f>IF(Agent05_Loans!B145="","",Agent05_Loans!I145)</f>
        <v/>
      </c>
      <c r="J935" s="40" t="str">
        <f>IF(Agent05_Loans!B145="","",Agent05_Loans!J145)</f>
        <v/>
      </c>
      <c r="K935" s="37" t="str">
        <f>IF(Agent05_Loans!B145="","",Agent05_Loans!K145)</f>
        <v/>
      </c>
      <c r="L935" s="37" t="str">
        <f>IF(Agent05_Loans!B145="","",Agent05_Loans!L145)</f>
        <v/>
      </c>
      <c r="M935" s="37" t="str">
        <f>IFERROR(IF(Agent05_Loans!B145="","",YEAR(Agent05_Loans!D145)),"")</f>
        <v/>
      </c>
    </row>
    <row r="936" spans="1:13" ht="18" customHeight="1" x14ac:dyDescent="0.25">
      <c r="A936" s="37" t="str">
        <f>IF(Agent05_Loans!B146="","",Agent05_Loans!A146)</f>
        <v/>
      </c>
      <c r="B936" s="37" t="str">
        <f>IF(Agent05_Loans!B146="","",Agent05_Loans!B146)</f>
        <v/>
      </c>
      <c r="C936" s="37" t="str">
        <f>IF(Agent05_Loans!B146="","",Agent05_Loans!C146)</f>
        <v/>
      </c>
      <c r="D936" s="38" t="str">
        <f>IF(Agent05_Loans!B146="","",Agent05_Loans!D146)</f>
        <v/>
      </c>
      <c r="E936" s="40" t="str">
        <f>IF(Agent05_Loans!B146="","",Agent05_Loans!E146)</f>
        <v/>
      </c>
      <c r="F936" s="37" t="str">
        <f>IF(Agent05_Loans!B146="","",Agent05_Loans!F146)</f>
        <v/>
      </c>
      <c r="G936" s="37" t="str">
        <f>IF(Agent05_Loans!B146="","",Agent05_Loans!G146)</f>
        <v/>
      </c>
      <c r="H936" s="37" t="str">
        <f>IF(Agent05_Loans!B146="","",Agent05_Loans!H146)</f>
        <v/>
      </c>
      <c r="I936" s="40" t="str">
        <f>IF(Agent05_Loans!B146="","",Agent05_Loans!I146)</f>
        <v/>
      </c>
      <c r="J936" s="40" t="str">
        <f>IF(Agent05_Loans!B146="","",Agent05_Loans!J146)</f>
        <v/>
      </c>
      <c r="K936" s="37" t="str">
        <f>IF(Agent05_Loans!B146="","",Agent05_Loans!K146)</f>
        <v/>
      </c>
      <c r="L936" s="37" t="str">
        <f>IF(Agent05_Loans!B146="","",Agent05_Loans!L146)</f>
        <v/>
      </c>
      <c r="M936" s="37" t="str">
        <f>IFERROR(IF(Agent05_Loans!B146="","",YEAR(Agent05_Loans!D146)),"")</f>
        <v/>
      </c>
    </row>
    <row r="937" spans="1:13" ht="18" customHeight="1" x14ac:dyDescent="0.25">
      <c r="A937" s="37" t="str">
        <f>IF(Agent05_Loans!B147="","",Agent05_Loans!A147)</f>
        <v/>
      </c>
      <c r="B937" s="37" t="str">
        <f>IF(Agent05_Loans!B147="","",Agent05_Loans!B147)</f>
        <v/>
      </c>
      <c r="C937" s="37" t="str">
        <f>IF(Agent05_Loans!B147="","",Agent05_Loans!C147)</f>
        <v/>
      </c>
      <c r="D937" s="38" t="str">
        <f>IF(Agent05_Loans!B147="","",Agent05_Loans!D147)</f>
        <v/>
      </c>
      <c r="E937" s="40" t="str">
        <f>IF(Agent05_Loans!B147="","",Agent05_Loans!E147)</f>
        <v/>
      </c>
      <c r="F937" s="37" t="str">
        <f>IF(Agent05_Loans!B147="","",Agent05_Loans!F147)</f>
        <v/>
      </c>
      <c r="G937" s="37" t="str">
        <f>IF(Agent05_Loans!B147="","",Agent05_Loans!G147)</f>
        <v/>
      </c>
      <c r="H937" s="37" t="str">
        <f>IF(Agent05_Loans!B147="","",Agent05_Loans!H147)</f>
        <v/>
      </c>
      <c r="I937" s="40" t="str">
        <f>IF(Agent05_Loans!B147="","",Agent05_Loans!I147)</f>
        <v/>
      </c>
      <c r="J937" s="40" t="str">
        <f>IF(Agent05_Loans!B147="","",Agent05_Loans!J147)</f>
        <v/>
      </c>
      <c r="K937" s="37" t="str">
        <f>IF(Agent05_Loans!B147="","",Agent05_Loans!K147)</f>
        <v/>
      </c>
      <c r="L937" s="37" t="str">
        <f>IF(Agent05_Loans!B147="","",Agent05_Loans!L147)</f>
        <v/>
      </c>
      <c r="M937" s="37" t="str">
        <f>IFERROR(IF(Agent05_Loans!B147="","",YEAR(Agent05_Loans!D147)),"")</f>
        <v/>
      </c>
    </row>
    <row r="938" spans="1:13" ht="18" customHeight="1" x14ac:dyDescent="0.25">
      <c r="A938" s="37" t="str">
        <f>IF(Agent05_Loans!B148="","",Agent05_Loans!A148)</f>
        <v/>
      </c>
      <c r="B938" s="37" t="str">
        <f>IF(Agent05_Loans!B148="","",Agent05_Loans!B148)</f>
        <v/>
      </c>
      <c r="C938" s="37" t="str">
        <f>IF(Agent05_Loans!B148="","",Agent05_Loans!C148)</f>
        <v/>
      </c>
      <c r="D938" s="38" t="str">
        <f>IF(Agent05_Loans!B148="","",Agent05_Loans!D148)</f>
        <v/>
      </c>
      <c r="E938" s="40" t="str">
        <f>IF(Agent05_Loans!B148="","",Agent05_Loans!E148)</f>
        <v/>
      </c>
      <c r="F938" s="37" t="str">
        <f>IF(Agent05_Loans!B148="","",Agent05_Loans!F148)</f>
        <v/>
      </c>
      <c r="G938" s="37" t="str">
        <f>IF(Agent05_Loans!B148="","",Agent05_Loans!G148)</f>
        <v/>
      </c>
      <c r="H938" s="37" t="str">
        <f>IF(Agent05_Loans!B148="","",Agent05_Loans!H148)</f>
        <v/>
      </c>
      <c r="I938" s="40" t="str">
        <f>IF(Agent05_Loans!B148="","",Agent05_Loans!I148)</f>
        <v/>
      </c>
      <c r="J938" s="40" t="str">
        <f>IF(Agent05_Loans!B148="","",Agent05_Loans!J148)</f>
        <v/>
      </c>
      <c r="K938" s="37" t="str">
        <f>IF(Agent05_Loans!B148="","",Agent05_Loans!K148)</f>
        <v/>
      </c>
      <c r="L938" s="37" t="str">
        <f>IF(Agent05_Loans!B148="","",Agent05_Loans!L148)</f>
        <v/>
      </c>
      <c r="M938" s="37" t="str">
        <f>IFERROR(IF(Agent05_Loans!B148="","",YEAR(Agent05_Loans!D148)),"")</f>
        <v/>
      </c>
    </row>
    <row r="939" spans="1:13" ht="18" customHeight="1" x14ac:dyDescent="0.25">
      <c r="A939" s="37" t="str">
        <f>IF(Agent05_Loans!B149="","",Agent05_Loans!A149)</f>
        <v/>
      </c>
      <c r="B939" s="37" t="str">
        <f>IF(Agent05_Loans!B149="","",Agent05_Loans!B149)</f>
        <v/>
      </c>
      <c r="C939" s="37" t="str">
        <f>IF(Agent05_Loans!B149="","",Agent05_Loans!C149)</f>
        <v/>
      </c>
      <c r="D939" s="38" t="str">
        <f>IF(Agent05_Loans!B149="","",Agent05_Loans!D149)</f>
        <v/>
      </c>
      <c r="E939" s="40" t="str">
        <f>IF(Agent05_Loans!B149="","",Agent05_Loans!E149)</f>
        <v/>
      </c>
      <c r="F939" s="37" t="str">
        <f>IF(Agent05_Loans!B149="","",Agent05_Loans!F149)</f>
        <v/>
      </c>
      <c r="G939" s="37" t="str">
        <f>IF(Agent05_Loans!B149="","",Agent05_Loans!G149)</f>
        <v/>
      </c>
      <c r="H939" s="37" t="str">
        <f>IF(Agent05_Loans!B149="","",Agent05_Loans!H149)</f>
        <v/>
      </c>
      <c r="I939" s="40" t="str">
        <f>IF(Agent05_Loans!B149="","",Agent05_Loans!I149)</f>
        <v/>
      </c>
      <c r="J939" s="40" t="str">
        <f>IF(Agent05_Loans!B149="","",Agent05_Loans!J149)</f>
        <v/>
      </c>
      <c r="K939" s="37" t="str">
        <f>IF(Agent05_Loans!B149="","",Agent05_Loans!K149)</f>
        <v/>
      </c>
      <c r="L939" s="37" t="str">
        <f>IF(Agent05_Loans!B149="","",Agent05_Loans!L149)</f>
        <v/>
      </c>
      <c r="M939" s="37" t="str">
        <f>IFERROR(IF(Agent05_Loans!B149="","",YEAR(Agent05_Loans!D149)),"")</f>
        <v/>
      </c>
    </row>
    <row r="940" spans="1:13" ht="18" customHeight="1" x14ac:dyDescent="0.25">
      <c r="A940" s="37" t="str">
        <f>IF(Agent05_Loans!B150="","",Agent05_Loans!A150)</f>
        <v/>
      </c>
      <c r="B940" s="37" t="str">
        <f>IF(Agent05_Loans!B150="","",Agent05_Loans!B150)</f>
        <v/>
      </c>
      <c r="C940" s="37" t="str">
        <f>IF(Agent05_Loans!B150="","",Agent05_Loans!C150)</f>
        <v/>
      </c>
      <c r="D940" s="38" t="str">
        <f>IF(Agent05_Loans!B150="","",Agent05_Loans!D150)</f>
        <v/>
      </c>
      <c r="E940" s="40" t="str">
        <f>IF(Agent05_Loans!B150="","",Agent05_Loans!E150)</f>
        <v/>
      </c>
      <c r="F940" s="37" t="str">
        <f>IF(Agent05_Loans!B150="","",Agent05_Loans!F150)</f>
        <v/>
      </c>
      <c r="G940" s="37" t="str">
        <f>IF(Agent05_Loans!B150="","",Agent05_Loans!G150)</f>
        <v/>
      </c>
      <c r="H940" s="37" t="str">
        <f>IF(Agent05_Loans!B150="","",Agent05_Loans!H150)</f>
        <v/>
      </c>
      <c r="I940" s="40" t="str">
        <f>IF(Agent05_Loans!B150="","",Agent05_Loans!I150)</f>
        <v/>
      </c>
      <c r="J940" s="40" t="str">
        <f>IF(Agent05_Loans!B150="","",Agent05_Loans!J150)</f>
        <v/>
      </c>
      <c r="K940" s="37" t="str">
        <f>IF(Agent05_Loans!B150="","",Agent05_Loans!K150)</f>
        <v/>
      </c>
      <c r="L940" s="37" t="str">
        <f>IF(Agent05_Loans!B150="","",Agent05_Loans!L150)</f>
        <v/>
      </c>
      <c r="M940" s="37" t="str">
        <f>IFERROR(IF(Agent05_Loans!B150="","",YEAR(Agent05_Loans!D150)),"")</f>
        <v/>
      </c>
    </row>
    <row r="941" spans="1:13" ht="18" customHeight="1" x14ac:dyDescent="0.25">
      <c r="A941" s="37" t="str">
        <f>IF(Agent05_Loans!B151="","",Agent05_Loans!A151)</f>
        <v/>
      </c>
      <c r="B941" s="37" t="str">
        <f>IF(Agent05_Loans!B151="","",Agent05_Loans!B151)</f>
        <v/>
      </c>
      <c r="C941" s="37" t="str">
        <f>IF(Agent05_Loans!B151="","",Agent05_Loans!C151)</f>
        <v/>
      </c>
      <c r="D941" s="38" t="str">
        <f>IF(Agent05_Loans!B151="","",Agent05_Loans!D151)</f>
        <v/>
      </c>
      <c r="E941" s="40" t="str">
        <f>IF(Agent05_Loans!B151="","",Agent05_Loans!E151)</f>
        <v/>
      </c>
      <c r="F941" s="37" t="str">
        <f>IF(Agent05_Loans!B151="","",Agent05_Loans!F151)</f>
        <v/>
      </c>
      <c r="G941" s="37" t="str">
        <f>IF(Agent05_Loans!B151="","",Agent05_Loans!G151)</f>
        <v/>
      </c>
      <c r="H941" s="37" t="str">
        <f>IF(Agent05_Loans!B151="","",Agent05_Loans!H151)</f>
        <v/>
      </c>
      <c r="I941" s="40" t="str">
        <f>IF(Agent05_Loans!B151="","",Agent05_Loans!I151)</f>
        <v/>
      </c>
      <c r="J941" s="40" t="str">
        <f>IF(Agent05_Loans!B151="","",Agent05_Loans!J151)</f>
        <v/>
      </c>
      <c r="K941" s="37" t="str">
        <f>IF(Agent05_Loans!B151="","",Agent05_Loans!K151)</f>
        <v/>
      </c>
      <c r="L941" s="37" t="str">
        <f>IF(Agent05_Loans!B151="","",Agent05_Loans!L151)</f>
        <v/>
      </c>
      <c r="M941" s="37" t="str">
        <f>IFERROR(IF(Agent05_Loans!B151="","",YEAR(Agent05_Loans!D151)),"")</f>
        <v/>
      </c>
    </row>
    <row r="942" spans="1:13" ht="18" customHeight="1" x14ac:dyDescent="0.25">
      <c r="A942" s="37" t="str">
        <f>IF(Agent05_Loans!B152="","",Agent05_Loans!A152)</f>
        <v/>
      </c>
      <c r="B942" s="37" t="str">
        <f>IF(Agent05_Loans!B152="","",Agent05_Loans!B152)</f>
        <v/>
      </c>
      <c r="C942" s="37" t="str">
        <f>IF(Agent05_Loans!B152="","",Agent05_Loans!C152)</f>
        <v/>
      </c>
      <c r="D942" s="38" t="str">
        <f>IF(Agent05_Loans!B152="","",Agent05_Loans!D152)</f>
        <v/>
      </c>
      <c r="E942" s="40" t="str">
        <f>IF(Agent05_Loans!B152="","",Agent05_Loans!E152)</f>
        <v/>
      </c>
      <c r="F942" s="37" t="str">
        <f>IF(Agent05_Loans!B152="","",Agent05_Loans!F152)</f>
        <v/>
      </c>
      <c r="G942" s="37" t="str">
        <f>IF(Agent05_Loans!B152="","",Agent05_Loans!G152)</f>
        <v/>
      </c>
      <c r="H942" s="37" t="str">
        <f>IF(Agent05_Loans!B152="","",Agent05_Loans!H152)</f>
        <v/>
      </c>
      <c r="I942" s="40" t="str">
        <f>IF(Agent05_Loans!B152="","",Agent05_Loans!I152)</f>
        <v/>
      </c>
      <c r="J942" s="40" t="str">
        <f>IF(Agent05_Loans!B152="","",Agent05_Loans!J152)</f>
        <v/>
      </c>
      <c r="K942" s="37" t="str">
        <f>IF(Agent05_Loans!B152="","",Agent05_Loans!K152)</f>
        <v/>
      </c>
      <c r="L942" s="37" t="str">
        <f>IF(Agent05_Loans!B152="","",Agent05_Loans!L152)</f>
        <v/>
      </c>
      <c r="M942" s="37" t="str">
        <f>IFERROR(IF(Agent05_Loans!B152="","",YEAR(Agent05_Loans!D152)),"")</f>
        <v/>
      </c>
    </row>
    <row r="943" spans="1:13" ht="18" customHeight="1" x14ac:dyDescent="0.25">
      <c r="A943" s="37" t="str">
        <f>IF(Agent05_Loans!B153="","",Agent05_Loans!A153)</f>
        <v/>
      </c>
      <c r="B943" s="37" t="str">
        <f>IF(Agent05_Loans!B153="","",Agent05_Loans!B153)</f>
        <v/>
      </c>
      <c r="C943" s="37" t="str">
        <f>IF(Agent05_Loans!B153="","",Agent05_Loans!C153)</f>
        <v/>
      </c>
      <c r="D943" s="38" t="str">
        <f>IF(Agent05_Loans!B153="","",Agent05_Loans!D153)</f>
        <v/>
      </c>
      <c r="E943" s="40" t="str">
        <f>IF(Agent05_Loans!B153="","",Agent05_Loans!E153)</f>
        <v/>
      </c>
      <c r="F943" s="37" t="str">
        <f>IF(Agent05_Loans!B153="","",Agent05_Loans!F153)</f>
        <v/>
      </c>
      <c r="G943" s="37" t="str">
        <f>IF(Agent05_Loans!B153="","",Agent05_Loans!G153)</f>
        <v/>
      </c>
      <c r="H943" s="37" t="str">
        <f>IF(Agent05_Loans!B153="","",Agent05_Loans!H153)</f>
        <v/>
      </c>
      <c r="I943" s="40" t="str">
        <f>IF(Agent05_Loans!B153="","",Agent05_Loans!I153)</f>
        <v/>
      </c>
      <c r="J943" s="40" t="str">
        <f>IF(Agent05_Loans!B153="","",Agent05_Loans!J153)</f>
        <v/>
      </c>
      <c r="K943" s="37" t="str">
        <f>IF(Agent05_Loans!B153="","",Agent05_Loans!K153)</f>
        <v/>
      </c>
      <c r="L943" s="37" t="str">
        <f>IF(Agent05_Loans!B153="","",Agent05_Loans!L153)</f>
        <v/>
      </c>
      <c r="M943" s="37" t="str">
        <f>IFERROR(IF(Agent05_Loans!B153="","",YEAR(Agent05_Loans!D153)),"")</f>
        <v/>
      </c>
    </row>
    <row r="944" spans="1:13" ht="18" customHeight="1" x14ac:dyDescent="0.25">
      <c r="A944" s="37" t="str">
        <f>IF(Agent05_Loans!B154="","",Agent05_Loans!A154)</f>
        <v/>
      </c>
      <c r="B944" s="37" t="str">
        <f>IF(Agent05_Loans!B154="","",Agent05_Loans!B154)</f>
        <v/>
      </c>
      <c r="C944" s="37" t="str">
        <f>IF(Agent05_Loans!B154="","",Agent05_Loans!C154)</f>
        <v/>
      </c>
      <c r="D944" s="38" t="str">
        <f>IF(Agent05_Loans!B154="","",Agent05_Loans!D154)</f>
        <v/>
      </c>
      <c r="E944" s="40" t="str">
        <f>IF(Agent05_Loans!B154="","",Agent05_Loans!E154)</f>
        <v/>
      </c>
      <c r="F944" s="37" t="str">
        <f>IF(Agent05_Loans!B154="","",Agent05_Loans!F154)</f>
        <v/>
      </c>
      <c r="G944" s="37" t="str">
        <f>IF(Agent05_Loans!B154="","",Agent05_Loans!G154)</f>
        <v/>
      </c>
      <c r="H944" s="37" t="str">
        <f>IF(Agent05_Loans!B154="","",Agent05_Loans!H154)</f>
        <v/>
      </c>
      <c r="I944" s="40" t="str">
        <f>IF(Agent05_Loans!B154="","",Agent05_Loans!I154)</f>
        <v/>
      </c>
      <c r="J944" s="40" t="str">
        <f>IF(Agent05_Loans!B154="","",Agent05_Loans!J154)</f>
        <v/>
      </c>
      <c r="K944" s="37" t="str">
        <f>IF(Agent05_Loans!B154="","",Agent05_Loans!K154)</f>
        <v/>
      </c>
      <c r="L944" s="37" t="str">
        <f>IF(Agent05_Loans!B154="","",Agent05_Loans!L154)</f>
        <v/>
      </c>
      <c r="M944" s="37" t="str">
        <f>IFERROR(IF(Agent05_Loans!B154="","",YEAR(Agent05_Loans!D154)),"")</f>
        <v/>
      </c>
    </row>
    <row r="945" spans="1:13" ht="18" customHeight="1" x14ac:dyDescent="0.25">
      <c r="A945" s="37" t="str">
        <f>IF(Agent05_Loans!B155="","",Agent05_Loans!A155)</f>
        <v/>
      </c>
      <c r="B945" s="37" t="str">
        <f>IF(Agent05_Loans!B155="","",Agent05_Loans!B155)</f>
        <v/>
      </c>
      <c r="C945" s="37" t="str">
        <f>IF(Agent05_Loans!B155="","",Agent05_Loans!C155)</f>
        <v/>
      </c>
      <c r="D945" s="38" t="str">
        <f>IF(Agent05_Loans!B155="","",Agent05_Loans!D155)</f>
        <v/>
      </c>
      <c r="E945" s="40" t="str">
        <f>IF(Agent05_Loans!B155="","",Agent05_Loans!E155)</f>
        <v/>
      </c>
      <c r="F945" s="37" t="str">
        <f>IF(Agent05_Loans!B155="","",Agent05_Loans!F155)</f>
        <v/>
      </c>
      <c r="G945" s="37" t="str">
        <f>IF(Agent05_Loans!B155="","",Agent05_Loans!G155)</f>
        <v/>
      </c>
      <c r="H945" s="37" t="str">
        <f>IF(Agent05_Loans!B155="","",Agent05_Loans!H155)</f>
        <v/>
      </c>
      <c r="I945" s="40" t="str">
        <f>IF(Agent05_Loans!B155="","",Agent05_Loans!I155)</f>
        <v/>
      </c>
      <c r="J945" s="40" t="str">
        <f>IF(Agent05_Loans!B155="","",Agent05_Loans!J155)</f>
        <v/>
      </c>
      <c r="K945" s="37" t="str">
        <f>IF(Agent05_Loans!B155="","",Agent05_Loans!K155)</f>
        <v/>
      </c>
      <c r="L945" s="37" t="str">
        <f>IF(Agent05_Loans!B155="","",Agent05_Loans!L155)</f>
        <v/>
      </c>
      <c r="M945" s="37" t="str">
        <f>IFERROR(IF(Agent05_Loans!B155="","",YEAR(Agent05_Loans!D155)),"")</f>
        <v/>
      </c>
    </row>
    <row r="946" spans="1:13" ht="18" customHeight="1" x14ac:dyDescent="0.25">
      <c r="A946" s="37" t="str">
        <f>IF(Agent05_Loans!B156="","",Agent05_Loans!A156)</f>
        <v/>
      </c>
      <c r="B946" s="37" t="str">
        <f>IF(Agent05_Loans!B156="","",Agent05_Loans!B156)</f>
        <v/>
      </c>
      <c r="C946" s="37" t="str">
        <f>IF(Agent05_Loans!B156="","",Agent05_Loans!C156)</f>
        <v/>
      </c>
      <c r="D946" s="38" t="str">
        <f>IF(Agent05_Loans!B156="","",Agent05_Loans!D156)</f>
        <v/>
      </c>
      <c r="E946" s="40" t="str">
        <f>IF(Agent05_Loans!B156="","",Agent05_Loans!E156)</f>
        <v/>
      </c>
      <c r="F946" s="37" t="str">
        <f>IF(Agent05_Loans!B156="","",Agent05_Loans!F156)</f>
        <v/>
      </c>
      <c r="G946" s="37" t="str">
        <f>IF(Agent05_Loans!B156="","",Agent05_Loans!G156)</f>
        <v/>
      </c>
      <c r="H946" s="37" t="str">
        <f>IF(Agent05_Loans!B156="","",Agent05_Loans!H156)</f>
        <v/>
      </c>
      <c r="I946" s="40" t="str">
        <f>IF(Agent05_Loans!B156="","",Agent05_Loans!I156)</f>
        <v/>
      </c>
      <c r="J946" s="40" t="str">
        <f>IF(Agent05_Loans!B156="","",Agent05_Loans!J156)</f>
        <v/>
      </c>
      <c r="K946" s="37" t="str">
        <f>IF(Agent05_Loans!B156="","",Agent05_Loans!K156)</f>
        <v/>
      </c>
      <c r="L946" s="37" t="str">
        <f>IF(Agent05_Loans!B156="","",Agent05_Loans!L156)</f>
        <v/>
      </c>
      <c r="M946" s="37" t="str">
        <f>IFERROR(IF(Agent05_Loans!B156="","",YEAR(Agent05_Loans!D156)),"")</f>
        <v/>
      </c>
    </row>
    <row r="947" spans="1:13" ht="18" customHeight="1" x14ac:dyDescent="0.25">
      <c r="A947" s="37" t="str">
        <f>IF(Agent05_Loans!B157="","",Agent05_Loans!A157)</f>
        <v/>
      </c>
      <c r="B947" s="37" t="str">
        <f>IF(Agent05_Loans!B157="","",Agent05_Loans!B157)</f>
        <v/>
      </c>
      <c r="C947" s="37" t="str">
        <f>IF(Agent05_Loans!B157="","",Agent05_Loans!C157)</f>
        <v/>
      </c>
      <c r="D947" s="38" t="str">
        <f>IF(Agent05_Loans!B157="","",Agent05_Loans!D157)</f>
        <v/>
      </c>
      <c r="E947" s="40" t="str">
        <f>IF(Agent05_Loans!B157="","",Agent05_Loans!E157)</f>
        <v/>
      </c>
      <c r="F947" s="37" t="str">
        <f>IF(Agent05_Loans!B157="","",Agent05_Loans!F157)</f>
        <v/>
      </c>
      <c r="G947" s="37" t="str">
        <f>IF(Agent05_Loans!B157="","",Agent05_Loans!G157)</f>
        <v/>
      </c>
      <c r="H947" s="37" t="str">
        <f>IF(Agent05_Loans!B157="","",Agent05_Loans!H157)</f>
        <v/>
      </c>
      <c r="I947" s="40" t="str">
        <f>IF(Agent05_Loans!B157="","",Agent05_Loans!I157)</f>
        <v/>
      </c>
      <c r="J947" s="40" t="str">
        <f>IF(Agent05_Loans!B157="","",Agent05_Loans!J157)</f>
        <v/>
      </c>
      <c r="K947" s="37" t="str">
        <f>IF(Agent05_Loans!B157="","",Agent05_Loans!K157)</f>
        <v/>
      </c>
      <c r="L947" s="37" t="str">
        <f>IF(Agent05_Loans!B157="","",Agent05_Loans!L157)</f>
        <v/>
      </c>
      <c r="M947" s="37" t="str">
        <f>IFERROR(IF(Agent05_Loans!B157="","",YEAR(Agent05_Loans!D157)),"")</f>
        <v/>
      </c>
    </row>
    <row r="948" spans="1:13" ht="18" customHeight="1" x14ac:dyDescent="0.25">
      <c r="A948" s="37" t="str">
        <f>IF(Agent05_Loans!B158="","",Agent05_Loans!A158)</f>
        <v/>
      </c>
      <c r="B948" s="37" t="str">
        <f>IF(Agent05_Loans!B158="","",Agent05_Loans!B158)</f>
        <v/>
      </c>
      <c r="C948" s="37" t="str">
        <f>IF(Agent05_Loans!B158="","",Agent05_Loans!C158)</f>
        <v/>
      </c>
      <c r="D948" s="38" t="str">
        <f>IF(Agent05_Loans!B158="","",Agent05_Loans!D158)</f>
        <v/>
      </c>
      <c r="E948" s="40" t="str">
        <f>IF(Agent05_Loans!B158="","",Agent05_Loans!E158)</f>
        <v/>
      </c>
      <c r="F948" s="37" t="str">
        <f>IF(Agent05_Loans!B158="","",Agent05_Loans!F158)</f>
        <v/>
      </c>
      <c r="G948" s="37" t="str">
        <f>IF(Agent05_Loans!B158="","",Agent05_Loans!G158)</f>
        <v/>
      </c>
      <c r="H948" s="37" t="str">
        <f>IF(Agent05_Loans!B158="","",Agent05_Loans!H158)</f>
        <v/>
      </c>
      <c r="I948" s="40" t="str">
        <f>IF(Agent05_Loans!B158="","",Agent05_Loans!I158)</f>
        <v/>
      </c>
      <c r="J948" s="40" t="str">
        <f>IF(Agent05_Loans!B158="","",Agent05_Loans!J158)</f>
        <v/>
      </c>
      <c r="K948" s="37" t="str">
        <f>IF(Agent05_Loans!B158="","",Agent05_Loans!K158)</f>
        <v/>
      </c>
      <c r="L948" s="37" t="str">
        <f>IF(Agent05_Loans!B158="","",Agent05_Loans!L158)</f>
        <v/>
      </c>
      <c r="M948" s="37" t="str">
        <f>IFERROR(IF(Agent05_Loans!B158="","",YEAR(Agent05_Loans!D158)),"")</f>
        <v/>
      </c>
    </row>
    <row r="949" spans="1:13" ht="18" customHeight="1" x14ac:dyDescent="0.25">
      <c r="A949" s="37" t="str">
        <f>IF(Agent05_Loans!B159="","",Agent05_Loans!A159)</f>
        <v/>
      </c>
      <c r="B949" s="37" t="str">
        <f>IF(Agent05_Loans!B159="","",Agent05_Loans!B159)</f>
        <v/>
      </c>
      <c r="C949" s="37" t="str">
        <f>IF(Agent05_Loans!B159="","",Agent05_Loans!C159)</f>
        <v/>
      </c>
      <c r="D949" s="38" t="str">
        <f>IF(Agent05_Loans!B159="","",Agent05_Loans!D159)</f>
        <v/>
      </c>
      <c r="E949" s="40" t="str">
        <f>IF(Agent05_Loans!B159="","",Agent05_Loans!E159)</f>
        <v/>
      </c>
      <c r="F949" s="37" t="str">
        <f>IF(Agent05_Loans!B159="","",Agent05_Loans!F159)</f>
        <v/>
      </c>
      <c r="G949" s="37" t="str">
        <f>IF(Agent05_Loans!B159="","",Agent05_Loans!G159)</f>
        <v/>
      </c>
      <c r="H949" s="37" t="str">
        <f>IF(Agent05_Loans!B159="","",Agent05_Loans!H159)</f>
        <v/>
      </c>
      <c r="I949" s="40" t="str">
        <f>IF(Agent05_Loans!B159="","",Agent05_Loans!I159)</f>
        <v/>
      </c>
      <c r="J949" s="40" t="str">
        <f>IF(Agent05_Loans!B159="","",Agent05_Loans!J159)</f>
        <v/>
      </c>
      <c r="K949" s="37" t="str">
        <f>IF(Agent05_Loans!B159="","",Agent05_Loans!K159)</f>
        <v/>
      </c>
      <c r="L949" s="37" t="str">
        <f>IF(Agent05_Loans!B159="","",Agent05_Loans!L159)</f>
        <v/>
      </c>
      <c r="M949" s="37" t="str">
        <f>IFERROR(IF(Agent05_Loans!B159="","",YEAR(Agent05_Loans!D159)),"")</f>
        <v/>
      </c>
    </row>
    <row r="950" spans="1:13" ht="18" customHeight="1" x14ac:dyDescent="0.25">
      <c r="A950" s="37" t="str">
        <f>IF(Agent05_Loans!B160="","",Agent05_Loans!A160)</f>
        <v/>
      </c>
      <c r="B950" s="37" t="str">
        <f>IF(Agent05_Loans!B160="","",Agent05_Loans!B160)</f>
        <v/>
      </c>
      <c r="C950" s="37" t="str">
        <f>IF(Agent05_Loans!B160="","",Agent05_Loans!C160)</f>
        <v/>
      </c>
      <c r="D950" s="38" t="str">
        <f>IF(Agent05_Loans!B160="","",Agent05_Loans!D160)</f>
        <v/>
      </c>
      <c r="E950" s="40" t="str">
        <f>IF(Agent05_Loans!B160="","",Agent05_Loans!E160)</f>
        <v/>
      </c>
      <c r="F950" s="37" t="str">
        <f>IF(Agent05_Loans!B160="","",Agent05_Loans!F160)</f>
        <v/>
      </c>
      <c r="G950" s="37" t="str">
        <f>IF(Agent05_Loans!B160="","",Agent05_Loans!G160)</f>
        <v/>
      </c>
      <c r="H950" s="37" t="str">
        <f>IF(Agent05_Loans!B160="","",Agent05_Loans!H160)</f>
        <v/>
      </c>
      <c r="I950" s="40" t="str">
        <f>IF(Agent05_Loans!B160="","",Agent05_Loans!I160)</f>
        <v/>
      </c>
      <c r="J950" s="40" t="str">
        <f>IF(Agent05_Loans!B160="","",Agent05_Loans!J160)</f>
        <v/>
      </c>
      <c r="K950" s="37" t="str">
        <f>IF(Agent05_Loans!B160="","",Agent05_Loans!K160)</f>
        <v/>
      </c>
      <c r="L950" s="37" t="str">
        <f>IF(Agent05_Loans!B160="","",Agent05_Loans!L160)</f>
        <v/>
      </c>
      <c r="M950" s="37" t="str">
        <f>IFERROR(IF(Agent05_Loans!B160="","",YEAR(Agent05_Loans!D160)),"")</f>
        <v/>
      </c>
    </row>
    <row r="951" spans="1:13" ht="18" customHeight="1" x14ac:dyDescent="0.25">
      <c r="A951" s="37" t="str">
        <f>IF(Agent05_Loans!B161="","",Agent05_Loans!A161)</f>
        <v/>
      </c>
      <c r="B951" s="37" t="str">
        <f>IF(Agent05_Loans!B161="","",Agent05_Loans!B161)</f>
        <v/>
      </c>
      <c r="C951" s="37" t="str">
        <f>IF(Agent05_Loans!B161="","",Agent05_Loans!C161)</f>
        <v/>
      </c>
      <c r="D951" s="38" t="str">
        <f>IF(Agent05_Loans!B161="","",Agent05_Loans!D161)</f>
        <v/>
      </c>
      <c r="E951" s="40" t="str">
        <f>IF(Agent05_Loans!B161="","",Agent05_Loans!E161)</f>
        <v/>
      </c>
      <c r="F951" s="37" t="str">
        <f>IF(Agent05_Loans!B161="","",Agent05_Loans!F161)</f>
        <v/>
      </c>
      <c r="G951" s="37" t="str">
        <f>IF(Agent05_Loans!B161="","",Agent05_Loans!G161)</f>
        <v/>
      </c>
      <c r="H951" s="37" t="str">
        <f>IF(Agent05_Loans!B161="","",Agent05_Loans!H161)</f>
        <v/>
      </c>
      <c r="I951" s="40" t="str">
        <f>IF(Agent05_Loans!B161="","",Agent05_Loans!I161)</f>
        <v/>
      </c>
      <c r="J951" s="40" t="str">
        <f>IF(Agent05_Loans!B161="","",Agent05_Loans!J161)</f>
        <v/>
      </c>
      <c r="K951" s="37" t="str">
        <f>IF(Agent05_Loans!B161="","",Agent05_Loans!K161)</f>
        <v/>
      </c>
      <c r="L951" s="37" t="str">
        <f>IF(Agent05_Loans!B161="","",Agent05_Loans!L161)</f>
        <v/>
      </c>
      <c r="M951" s="37" t="str">
        <f>IFERROR(IF(Agent05_Loans!B161="","",YEAR(Agent05_Loans!D161)),"")</f>
        <v/>
      </c>
    </row>
    <row r="952" spans="1:13" ht="18" customHeight="1" x14ac:dyDescent="0.25">
      <c r="A952" s="37" t="str">
        <f>IF(Agent05_Loans!B162="","",Agent05_Loans!A162)</f>
        <v/>
      </c>
      <c r="B952" s="37" t="str">
        <f>IF(Agent05_Loans!B162="","",Agent05_Loans!B162)</f>
        <v/>
      </c>
      <c r="C952" s="37" t="str">
        <f>IF(Agent05_Loans!B162="","",Agent05_Loans!C162)</f>
        <v/>
      </c>
      <c r="D952" s="38" t="str">
        <f>IF(Agent05_Loans!B162="","",Agent05_Loans!D162)</f>
        <v/>
      </c>
      <c r="E952" s="40" t="str">
        <f>IF(Agent05_Loans!B162="","",Agent05_Loans!E162)</f>
        <v/>
      </c>
      <c r="F952" s="37" t="str">
        <f>IF(Agent05_Loans!B162="","",Agent05_Loans!F162)</f>
        <v/>
      </c>
      <c r="G952" s="37" t="str">
        <f>IF(Agent05_Loans!B162="","",Agent05_Loans!G162)</f>
        <v/>
      </c>
      <c r="H952" s="37" t="str">
        <f>IF(Agent05_Loans!B162="","",Agent05_Loans!H162)</f>
        <v/>
      </c>
      <c r="I952" s="40" t="str">
        <f>IF(Agent05_Loans!B162="","",Agent05_Loans!I162)</f>
        <v/>
      </c>
      <c r="J952" s="40" t="str">
        <f>IF(Agent05_Loans!B162="","",Agent05_Loans!J162)</f>
        <v/>
      </c>
      <c r="K952" s="37" t="str">
        <f>IF(Agent05_Loans!B162="","",Agent05_Loans!K162)</f>
        <v/>
      </c>
      <c r="L952" s="37" t="str">
        <f>IF(Agent05_Loans!B162="","",Agent05_Loans!L162)</f>
        <v/>
      </c>
      <c r="M952" s="37" t="str">
        <f>IFERROR(IF(Agent05_Loans!B162="","",YEAR(Agent05_Loans!D162)),"")</f>
        <v/>
      </c>
    </row>
    <row r="953" spans="1:13" ht="18" customHeight="1" x14ac:dyDescent="0.25">
      <c r="A953" s="37" t="str">
        <f>IF(Agent05_Loans!B163="","",Agent05_Loans!A163)</f>
        <v/>
      </c>
      <c r="B953" s="37" t="str">
        <f>IF(Agent05_Loans!B163="","",Agent05_Loans!B163)</f>
        <v/>
      </c>
      <c r="C953" s="37" t="str">
        <f>IF(Agent05_Loans!B163="","",Agent05_Loans!C163)</f>
        <v/>
      </c>
      <c r="D953" s="38" t="str">
        <f>IF(Agent05_Loans!B163="","",Agent05_Loans!D163)</f>
        <v/>
      </c>
      <c r="E953" s="40" t="str">
        <f>IF(Agent05_Loans!B163="","",Agent05_Loans!E163)</f>
        <v/>
      </c>
      <c r="F953" s="37" t="str">
        <f>IF(Agent05_Loans!B163="","",Agent05_Loans!F163)</f>
        <v/>
      </c>
      <c r="G953" s="37" t="str">
        <f>IF(Agent05_Loans!B163="","",Agent05_Loans!G163)</f>
        <v/>
      </c>
      <c r="H953" s="37" t="str">
        <f>IF(Agent05_Loans!B163="","",Agent05_Loans!H163)</f>
        <v/>
      </c>
      <c r="I953" s="40" t="str">
        <f>IF(Agent05_Loans!B163="","",Agent05_Loans!I163)</f>
        <v/>
      </c>
      <c r="J953" s="40" t="str">
        <f>IF(Agent05_Loans!B163="","",Agent05_Loans!J163)</f>
        <v/>
      </c>
      <c r="K953" s="37" t="str">
        <f>IF(Agent05_Loans!B163="","",Agent05_Loans!K163)</f>
        <v/>
      </c>
      <c r="L953" s="37" t="str">
        <f>IF(Agent05_Loans!B163="","",Agent05_Loans!L163)</f>
        <v/>
      </c>
      <c r="M953" s="37" t="str">
        <f>IFERROR(IF(Agent05_Loans!B163="","",YEAR(Agent05_Loans!D163)),"")</f>
        <v/>
      </c>
    </row>
    <row r="954" spans="1:13" ht="18" customHeight="1" x14ac:dyDescent="0.25">
      <c r="A954" s="37" t="str">
        <f>IF(Agent05_Loans!B164="","",Agent05_Loans!A164)</f>
        <v/>
      </c>
      <c r="B954" s="37" t="str">
        <f>IF(Agent05_Loans!B164="","",Agent05_Loans!B164)</f>
        <v/>
      </c>
      <c r="C954" s="37" t="str">
        <f>IF(Agent05_Loans!B164="","",Agent05_Loans!C164)</f>
        <v/>
      </c>
      <c r="D954" s="38" t="str">
        <f>IF(Agent05_Loans!B164="","",Agent05_Loans!D164)</f>
        <v/>
      </c>
      <c r="E954" s="40" t="str">
        <f>IF(Agent05_Loans!B164="","",Agent05_Loans!E164)</f>
        <v/>
      </c>
      <c r="F954" s="37" t="str">
        <f>IF(Agent05_Loans!B164="","",Agent05_Loans!F164)</f>
        <v/>
      </c>
      <c r="G954" s="37" t="str">
        <f>IF(Agent05_Loans!B164="","",Agent05_Loans!G164)</f>
        <v/>
      </c>
      <c r="H954" s="37" t="str">
        <f>IF(Agent05_Loans!B164="","",Agent05_Loans!H164)</f>
        <v/>
      </c>
      <c r="I954" s="40" t="str">
        <f>IF(Agent05_Loans!B164="","",Agent05_Loans!I164)</f>
        <v/>
      </c>
      <c r="J954" s="40" t="str">
        <f>IF(Agent05_Loans!B164="","",Agent05_Loans!J164)</f>
        <v/>
      </c>
      <c r="K954" s="37" t="str">
        <f>IF(Agent05_Loans!B164="","",Agent05_Loans!K164)</f>
        <v/>
      </c>
      <c r="L954" s="37" t="str">
        <f>IF(Agent05_Loans!B164="","",Agent05_Loans!L164)</f>
        <v/>
      </c>
      <c r="M954" s="37" t="str">
        <f>IFERROR(IF(Agent05_Loans!B164="","",YEAR(Agent05_Loans!D164)),"")</f>
        <v/>
      </c>
    </row>
    <row r="955" spans="1:13" ht="18" customHeight="1" x14ac:dyDescent="0.25">
      <c r="A955" s="37" t="str">
        <f>IF(Agent05_Loans!B165="","",Agent05_Loans!A165)</f>
        <v/>
      </c>
      <c r="B955" s="37" t="str">
        <f>IF(Agent05_Loans!B165="","",Agent05_Loans!B165)</f>
        <v/>
      </c>
      <c r="C955" s="37" t="str">
        <f>IF(Agent05_Loans!B165="","",Agent05_Loans!C165)</f>
        <v/>
      </c>
      <c r="D955" s="38" t="str">
        <f>IF(Agent05_Loans!B165="","",Agent05_Loans!D165)</f>
        <v/>
      </c>
      <c r="E955" s="40" t="str">
        <f>IF(Agent05_Loans!B165="","",Agent05_Loans!E165)</f>
        <v/>
      </c>
      <c r="F955" s="37" t="str">
        <f>IF(Agent05_Loans!B165="","",Agent05_Loans!F165)</f>
        <v/>
      </c>
      <c r="G955" s="37" t="str">
        <f>IF(Agent05_Loans!B165="","",Agent05_Loans!G165)</f>
        <v/>
      </c>
      <c r="H955" s="37" t="str">
        <f>IF(Agent05_Loans!B165="","",Agent05_Loans!H165)</f>
        <v/>
      </c>
      <c r="I955" s="40" t="str">
        <f>IF(Agent05_Loans!B165="","",Agent05_Loans!I165)</f>
        <v/>
      </c>
      <c r="J955" s="40" t="str">
        <f>IF(Agent05_Loans!B165="","",Agent05_Loans!J165)</f>
        <v/>
      </c>
      <c r="K955" s="37" t="str">
        <f>IF(Agent05_Loans!B165="","",Agent05_Loans!K165)</f>
        <v/>
      </c>
      <c r="L955" s="37" t="str">
        <f>IF(Agent05_Loans!B165="","",Agent05_Loans!L165)</f>
        <v/>
      </c>
      <c r="M955" s="37" t="str">
        <f>IFERROR(IF(Agent05_Loans!B165="","",YEAR(Agent05_Loans!D165)),"")</f>
        <v/>
      </c>
    </row>
    <row r="956" spans="1:13" ht="18" customHeight="1" x14ac:dyDescent="0.25">
      <c r="A956" s="37" t="str">
        <f>IF(Agent05_Loans!B166="","",Agent05_Loans!A166)</f>
        <v/>
      </c>
      <c r="B956" s="37" t="str">
        <f>IF(Agent05_Loans!B166="","",Agent05_Loans!B166)</f>
        <v/>
      </c>
      <c r="C956" s="37" t="str">
        <f>IF(Agent05_Loans!B166="","",Agent05_Loans!C166)</f>
        <v/>
      </c>
      <c r="D956" s="38" t="str">
        <f>IF(Agent05_Loans!B166="","",Agent05_Loans!D166)</f>
        <v/>
      </c>
      <c r="E956" s="40" t="str">
        <f>IF(Agent05_Loans!B166="","",Agent05_Loans!E166)</f>
        <v/>
      </c>
      <c r="F956" s="37" t="str">
        <f>IF(Agent05_Loans!B166="","",Agent05_Loans!F166)</f>
        <v/>
      </c>
      <c r="G956" s="37" t="str">
        <f>IF(Agent05_Loans!B166="","",Agent05_Loans!G166)</f>
        <v/>
      </c>
      <c r="H956" s="37" t="str">
        <f>IF(Agent05_Loans!B166="","",Agent05_Loans!H166)</f>
        <v/>
      </c>
      <c r="I956" s="40" t="str">
        <f>IF(Agent05_Loans!B166="","",Agent05_Loans!I166)</f>
        <v/>
      </c>
      <c r="J956" s="40" t="str">
        <f>IF(Agent05_Loans!B166="","",Agent05_Loans!J166)</f>
        <v/>
      </c>
      <c r="K956" s="37" t="str">
        <f>IF(Agent05_Loans!B166="","",Agent05_Loans!K166)</f>
        <v/>
      </c>
      <c r="L956" s="37" t="str">
        <f>IF(Agent05_Loans!B166="","",Agent05_Loans!L166)</f>
        <v/>
      </c>
      <c r="M956" s="37" t="str">
        <f>IFERROR(IF(Agent05_Loans!B166="","",YEAR(Agent05_Loans!D166)),"")</f>
        <v/>
      </c>
    </row>
    <row r="957" spans="1:13" ht="18" customHeight="1" x14ac:dyDescent="0.25">
      <c r="A957" s="37" t="str">
        <f>IF(Agent05_Loans!B167="","",Agent05_Loans!A167)</f>
        <v/>
      </c>
      <c r="B957" s="37" t="str">
        <f>IF(Agent05_Loans!B167="","",Agent05_Loans!B167)</f>
        <v/>
      </c>
      <c r="C957" s="37" t="str">
        <f>IF(Agent05_Loans!B167="","",Agent05_Loans!C167)</f>
        <v/>
      </c>
      <c r="D957" s="38" t="str">
        <f>IF(Agent05_Loans!B167="","",Agent05_Loans!D167)</f>
        <v/>
      </c>
      <c r="E957" s="40" t="str">
        <f>IF(Agent05_Loans!B167="","",Agent05_Loans!E167)</f>
        <v/>
      </c>
      <c r="F957" s="37" t="str">
        <f>IF(Agent05_Loans!B167="","",Agent05_Loans!F167)</f>
        <v/>
      </c>
      <c r="G957" s="37" t="str">
        <f>IF(Agent05_Loans!B167="","",Agent05_Loans!G167)</f>
        <v/>
      </c>
      <c r="H957" s="37" t="str">
        <f>IF(Agent05_Loans!B167="","",Agent05_Loans!H167)</f>
        <v/>
      </c>
      <c r="I957" s="40" t="str">
        <f>IF(Agent05_Loans!B167="","",Agent05_Loans!I167)</f>
        <v/>
      </c>
      <c r="J957" s="40" t="str">
        <f>IF(Agent05_Loans!B167="","",Agent05_Loans!J167)</f>
        <v/>
      </c>
      <c r="K957" s="37" t="str">
        <f>IF(Agent05_Loans!B167="","",Agent05_Loans!K167)</f>
        <v/>
      </c>
      <c r="L957" s="37" t="str">
        <f>IF(Agent05_Loans!B167="","",Agent05_Loans!L167)</f>
        <v/>
      </c>
      <c r="M957" s="37" t="str">
        <f>IFERROR(IF(Agent05_Loans!B167="","",YEAR(Agent05_Loans!D167)),"")</f>
        <v/>
      </c>
    </row>
    <row r="958" spans="1:13" ht="18" customHeight="1" x14ac:dyDescent="0.25">
      <c r="A958" s="37" t="str">
        <f>IF(Agent05_Loans!B168="","",Agent05_Loans!A168)</f>
        <v/>
      </c>
      <c r="B958" s="37" t="str">
        <f>IF(Agent05_Loans!B168="","",Agent05_Loans!B168)</f>
        <v/>
      </c>
      <c r="C958" s="37" t="str">
        <f>IF(Agent05_Loans!B168="","",Agent05_Loans!C168)</f>
        <v/>
      </c>
      <c r="D958" s="38" t="str">
        <f>IF(Agent05_Loans!B168="","",Agent05_Loans!D168)</f>
        <v/>
      </c>
      <c r="E958" s="40" t="str">
        <f>IF(Agent05_Loans!B168="","",Agent05_Loans!E168)</f>
        <v/>
      </c>
      <c r="F958" s="37" t="str">
        <f>IF(Agent05_Loans!B168="","",Agent05_Loans!F168)</f>
        <v/>
      </c>
      <c r="G958" s="37" t="str">
        <f>IF(Agent05_Loans!B168="","",Agent05_Loans!G168)</f>
        <v/>
      </c>
      <c r="H958" s="37" t="str">
        <f>IF(Agent05_Loans!B168="","",Agent05_Loans!H168)</f>
        <v/>
      </c>
      <c r="I958" s="40" t="str">
        <f>IF(Agent05_Loans!B168="","",Agent05_Loans!I168)</f>
        <v/>
      </c>
      <c r="J958" s="40" t="str">
        <f>IF(Agent05_Loans!B168="","",Agent05_Loans!J168)</f>
        <v/>
      </c>
      <c r="K958" s="37" t="str">
        <f>IF(Agent05_Loans!B168="","",Agent05_Loans!K168)</f>
        <v/>
      </c>
      <c r="L958" s="37" t="str">
        <f>IF(Agent05_Loans!B168="","",Agent05_Loans!L168)</f>
        <v/>
      </c>
      <c r="M958" s="37" t="str">
        <f>IFERROR(IF(Agent05_Loans!B168="","",YEAR(Agent05_Loans!D168)),"")</f>
        <v/>
      </c>
    </row>
    <row r="959" spans="1:13" ht="18" customHeight="1" x14ac:dyDescent="0.25">
      <c r="A959" s="37" t="str">
        <f>IF(Agent05_Loans!B169="","",Agent05_Loans!A169)</f>
        <v/>
      </c>
      <c r="B959" s="37" t="str">
        <f>IF(Agent05_Loans!B169="","",Agent05_Loans!B169)</f>
        <v/>
      </c>
      <c r="C959" s="37" t="str">
        <f>IF(Agent05_Loans!B169="","",Agent05_Loans!C169)</f>
        <v/>
      </c>
      <c r="D959" s="38" t="str">
        <f>IF(Agent05_Loans!B169="","",Agent05_Loans!D169)</f>
        <v/>
      </c>
      <c r="E959" s="40" t="str">
        <f>IF(Agent05_Loans!B169="","",Agent05_Loans!E169)</f>
        <v/>
      </c>
      <c r="F959" s="37" t="str">
        <f>IF(Agent05_Loans!B169="","",Agent05_Loans!F169)</f>
        <v/>
      </c>
      <c r="G959" s="37" t="str">
        <f>IF(Agent05_Loans!B169="","",Agent05_Loans!G169)</f>
        <v/>
      </c>
      <c r="H959" s="37" t="str">
        <f>IF(Agent05_Loans!B169="","",Agent05_Loans!H169)</f>
        <v/>
      </c>
      <c r="I959" s="40" t="str">
        <f>IF(Agent05_Loans!B169="","",Agent05_Loans!I169)</f>
        <v/>
      </c>
      <c r="J959" s="40" t="str">
        <f>IF(Agent05_Loans!B169="","",Agent05_Loans!J169)</f>
        <v/>
      </c>
      <c r="K959" s="37" t="str">
        <f>IF(Agent05_Loans!B169="","",Agent05_Loans!K169)</f>
        <v/>
      </c>
      <c r="L959" s="37" t="str">
        <f>IF(Agent05_Loans!B169="","",Agent05_Loans!L169)</f>
        <v/>
      </c>
      <c r="M959" s="37" t="str">
        <f>IFERROR(IF(Agent05_Loans!B169="","",YEAR(Agent05_Loans!D169)),"")</f>
        <v/>
      </c>
    </row>
    <row r="960" spans="1:13" ht="18" customHeight="1" x14ac:dyDescent="0.25">
      <c r="A960" s="37" t="str">
        <f>IF(Agent05_Loans!B170="","",Agent05_Loans!A170)</f>
        <v/>
      </c>
      <c r="B960" s="37" t="str">
        <f>IF(Agent05_Loans!B170="","",Agent05_Loans!B170)</f>
        <v/>
      </c>
      <c r="C960" s="37" t="str">
        <f>IF(Agent05_Loans!B170="","",Agent05_Loans!C170)</f>
        <v/>
      </c>
      <c r="D960" s="38" t="str">
        <f>IF(Agent05_Loans!B170="","",Agent05_Loans!D170)</f>
        <v/>
      </c>
      <c r="E960" s="40" t="str">
        <f>IF(Agent05_Loans!B170="","",Agent05_Loans!E170)</f>
        <v/>
      </c>
      <c r="F960" s="37" t="str">
        <f>IF(Agent05_Loans!B170="","",Agent05_Loans!F170)</f>
        <v/>
      </c>
      <c r="G960" s="37" t="str">
        <f>IF(Agent05_Loans!B170="","",Agent05_Loans!G170)</f>
        <v/>
      </c>
      <c r="H960" s="37" t="str">
        <f>IF(Agent05_Loans!B170="","",Agent05_Loans!H170)</f>
        <v/>
      </c>
      <c r="I960" s="40" t="str">
        <f>IF(Agent05_Loans!B170="","",Agent05_Loans!I170)</f>
        <v/>
      </c>
      <c r="J960" s="40" t="str">
        <f>IF(Agent05_Loans!B170="","",Agent05_Loans!J170)</f>
        <v/>
      </c>
      <c r="K960" s="37" t="str">
        <f>IF(Agent05_Loans!B170="","",Agent05_Loans!K170)</f>
        <v/>
      </c>
      <c r="L960" s="37" t="str">
        <f>IF(Agent05_Loans!B170="","",Agent05_Loans!L170)</f>
        <v/>
      </c>
      <c r="M960" s="37" t="str">
        <f>IFERROR(IF(Agent05_Loans!B170="","",YEAR(Agent05_Loans!D170)),"")</f>
        <v/>
      </c>
    </row>
    <row r="961" spans="1:13" ht="18" customHeight="1" x14ac:dyDescent="0.25">
      <c r="A961" s="37" t="str">
        <f>IF(Agent05_Loans!B171="","",Agent05_Loans!A171)</f>
        <v/>
      </c>
      <c r="B961" s="37" t="str">
        <f>IF(Agent05_Loans!B171="","",Agent05_Loans!B171)</f>
        <v/>
      </c>
      <c r="C961" s="37" t="str">
        <f>IF(Agent05_Loans!B171="","",Agent05_Loans!C171)</f>
        <v/>
      </c>
      <c r="D961" s="38" t="str">
        <f>IF(Agent05_Loans!B171="","",Agent05_Loans!D171)</f>
        <v/>
      </c>
      <c r="E961" s="40" t="str">
        <f>IF(Agent05_Loans!B171="","",Agent05_Loans!E171)</f>
        <v/>
      </c>
      <c r="F961" s="37" t="str">
        <f>IF(Agent05_Loans!B171="","",Agent05_Loans!F171)</f>
        <v/>
      </c>
      <c r="G961" s="37" t="str">
        <f>IF(Agent05_Loans!B171="","",Agent05_Loans!G171)</f>
        <v/>
      </c>
      <c r="H961" s="37" t="str">
        <f>IF(Agent05_Loans!B171="","",Agent05_Loans!H171)</f>
        <v/>
      </c>
      <c r="I961" s="40" t="str">
        <f>IF(Agent05_Loans!B171="","",Agent05_Loans!I171)</f>
        <v/>
      </c>
      <c r="J961" s="40" t="str">
        <f>IF(Agent05_Loans!B171="","",Agent05_Loans!J171)</f>
        <v/>
      </c>
      <c r="K961" s="37" t="str">
        <f>IF(Agent05_Loans!B171="","",Agent05_Loans!K171)</f>
        <v/>
      </c>
      <c r="L961" s="37" t="str">
        <f>IF(Agent05_Loans!B171="","",Agent05_Loans!L171)</f>
        <v/>
      </c>
      <c r="M961" s="37" t="str">
        <f>IFERROR(IF(Agent05_Loans!B171="","",YEAR(Agent05_Loans!D171)),"")</f>
        <v/>
      </c>
    </row>
    <row r="962" spans="1:13" ht="18" customHeight="1" x14ac:dyDescent="0.25">
      <c r="A962" s="37" t="str">
        <f>IF(Agent05_Loans!B172="","",Agent05_Loans!A172)</f>
        <v/>
      </c>
      <c r="B962" s="37" t="str">
        <f>IF(Agent05_Loans!B172="","",Agent05_Loans!B172)</f>
        <v/>
      </c>
      <c r="C962" s="37" t="str">
        <f>IF(Agent05_Loans!B172="","",Agent05_Loans!C172)</f>
        <v/>
      </c>
      <c r="D962" s="38" t="str">
        <f>IF(Agent05_Loans!B172="","",Agent05_Loans!D172)</f>
        <v/>
      </c>
      <c r="E962" s="40" t="str">
        <f>IF(Agent05_Loans!B172="","",Agent05_Loans!E172)</f>
        <v/>
      </c>
      <c r="F962" s="37" t="str">
        <f>IF(Agent05_Loans!B172="","",Agent05_Loans!F172)</f>
        <v/>
      </c>
      <c r="G962" s="37" t="str">
        <f>IF(Agent05_Loans!B172="","",Agent05_Loans!G172)</f>
        <v/>
      </c>
      <c r="H962" s="37" t="str">
        <f>IF(Agent05_Loans!B172="","",Agent05_Loans!H172)</f>
        <v/>
      </c>
      <c r="I962" s="40" t="str">
        <f>IF(Agent05_Loans!B172="","",Agent05_Loans!I172)</f>
        <v/>
      </c>
      <c r="J962" s="40" t="str">
        <f>IF(Agent05_Loans!B172="","",Agent05_Loans!J172)</f>
        <v/>
      </c>
      <c r="K962" s="37" t="str">
        <f>IF(Agent05_Loans!B172="","",Agent05_Loans!K172)</f>
        <v/>
      </c>
      <c r="L962" s="37" t="str">
        <f>IF(Agent05_Loans!B172="","",Agent05_Loans!L172)</f>
        <v/>
      </c>
      <c r="M962" s="37" t="str">
        <f>IFERROR(IF(Agent05_Loans!B172="","",YEAR(Agent05_Loans!D172)),"")</f>
        <v/>
      </c>
    </row>
    <row r="963" spans="1:13" ht="18" customHeight="1" x14ac:dyDescent="0.25">
      <c r="A963" s="37" t="str">
        <f>IF(Agent05_Loans!B173="","",Agent05_Loans!A173)</f>
        <v/>
      </c>
      <c r="B963" s="37" t="str">
        <f>IF(Agent05_Loans!B173="","",Agent05_Loans!B173)</f>
        <v/>
      </c>
      <c r="C963" s="37" t="str">
        <f>IF(Agent05_Loans!B173="","",Agent05_Loans!C173)</f>
        <v/>
      </c>
      <c r="D963" s="38" t="str">
        <f>IF(Agent05_Loans!B173="","",Agent05_Loans!D173)</f>
        <v/>
      </c>
      <c r="E963" s="40" t="str">
        <f>IF(Agent05_Loans!B173="","",Agent05_Loans!E173)</f>
        <v/>
      </c>
      <c r="F963" s="37" t="str">
        <f>IF(Agent05_Loans!B173="","",Agent05_Loans!F173)</f>
        <v/>
      </c>
      <c r="G963" s="37" t="str">
        <f>IF(Agent05_Loans!B173="","",Agent05_Loans!G173)</f>
        <v/>
      </c>
      <c r="H963" s="37" t="str">
        <f>IF(Agent05_Loans!B173="","",Agent05_Loans!H173)</f>
        <v/>
      </c>
      <c r="I963" s="40" t="str">
        <f>IF(Agent05_Loans!B173="","",Agent05_Loans!I173)</f>
        <v/>
      </c>
      <c r="J963" s="40" t="str">
        <f>IF(Agent05_Loans!B173="","",Agent05_Loans!J173)</f>
        <v/>
      </c>
      <c r="K963" s="37" t="str">
        <f>IF(Agent05_Loans!B173="","",Agent05_Loans!K173)</f>
        <v/>
      </c>
      <c r="L963" s="37" t="str">
        <f>IF(Agent05_Loans!B173="","",Agent05_Loans!L173)</f>
        <v/>
      </c>
      <c r="M963" s="37" t="str">
        <f>IFERROR(IF(Agent05_Loans!B173="","",YEAR(Agent05_Loans!D173)),"")</f>
        <v/>
      </c>
    </row>
    <row r="964" spans="1:13" ht="18" customHeight="1" x14ac:dyDescent="0.25">
      <c r="A964" s="37" t="str">
        <f>IF(Agent05_Loans!B174="","",Agent05_Loans!A174)</f>
        <v/>
      </c>
      <c r="B964" s="37" t="str">
        <f>IF(Agent05_Loans!B174="","",Agent05_Loans!B174)</f>
        <v/>
      </c>
      <c r="C964" s="37" t="str">
        <f>IF(Agent05_Loans!B174="","",Agent05_Loans!C174)</f>
        <v/>
      </c>
      <c r="D964" s="38" t="str">
        <f>IF(Agent05_Loans!B174="","",Agent05_Loans!D174)</f>
        <v/>
      </c>
      <c r="E964" s="40" t="str">
        <f>IF(Agent05_Loans!B174="","",Agent05_Loans!E174)</f>
        <v/>
      </c>
      <c r="F964" s="37" t="str">
        <f>IF(Agent05_Loans!B174="","",Agent05_Loans!F174)</f>
        <v/>
      </c>
      <c r="G964" s="37" t="str">
        <f>IF(Agent05_Loans!B174="","",Agent05_Loans!G174)</f>
        <v/>
      </c>
      <c r="H964" s="37" t="str">
        <f>IF(Agent05_Loans!B174="","",Agent05_Loans!H174)</f>
        <v/>
      </c>
      <c r="I964" s="40" t="str">
        <f>IF(Agent05_Loans!B174="","",Agent05_Loans!I174)</f>
        <v/>
      </c>
      <c r="J964" s="40" t="str">
        <f>IF(Agent05_Loans!B174="","",Agent05_Loans!J174)</f>
        <v/>
      </c>
      <c r="K964" s="37" t="str">
        <f>IF(Agent05_Loans!B174="","",Agent05_Loans!K174)</f>
        <v/>
      </c>
      <c r="L964" s="37" t="str">
        <f>IF(Agent05_Loans!B174="","",Agent05_Loans!L174)</f>
        <v/>
      </c>
      <c r="M964" s="37" t="str">
        <f>IFERROR(IF(Agent05_Loans!B174="","",YEAR(Agent05_Loans!D174)),"")</f>
        <v/>
      </c>
    </row>
    <row r="965" spans="1:13" ht="18" customHeight="1" x14ac:dyDescent="0.25">
      <c r="A965" s="37" t="str">
        <f>IF(Agent05_Loans!B175="","",Agent05_Loans!A175)</f>
        <v/>
      </c>
      <c r="B965" s="37" t="str">
        <f>IF(Agent05_Loans!B175="","",Agent05_Loans!B175)</f>
        <v/>
      </c>
      <c r="C965" s="37" t="str">
        <f>IF(Agent05_Loans!B175="","",Agent05_Loans!C175)</f>
        <v/>
      </c>
      <c r="D965" s="38" t="str">
        <f>IF(Agent05_Loans!B175="","",Agent05_Loans!D175)</f>
        <v/>
      </c>
      <c r="E965" s="40" t="str">
        <f>IF(Agent05_Loans!B175="","",Agent05_Loans!E175)</f>
        <v/>
      </c>
      <c r="F965" s="37" t="str">
        <f>IF(Agent05_Loans!B175="","",Agent05_Loans!F175)</f>
        <v/>
      </c>
      <c r="G965" s="37" t="str">
        <f>IF(Agent05_Loans!B175="","",Agent05_Loans!G175)</f>
        <v/>
      </c>
      <c r="H965" s="37" t="str">
        <f>IF(Agent05_Loans!B175="","",Agent05_Loans!H175)</f>
        <v/>
      </c>
      <c r="I965" s="40" t="str">
        <f>IF(Agent05_Loans!B175="","",Agent05_Loans!I175)</f>
        <v/>
      </c>
      <c r="J965" s="40" t="str">
        <f>IF(Agent05_Loans!B175="","",Agent05_Loans!J175)</f>
        <v/>
      </c>
      <c r="K965" s="37" t="str">
        <f>IF(Agent05_Loans!B175="","",Agent05_Loans!K175)</f>
        <v/>
      </c>
      <c r="L965" s="37" t="str">
        <f>IF(Agent05_Loans!B175="","",Agent05_Loans!L175)</f>
        <v/>
      </c>
      <c r="M965" s="37" t="str">
        <f>IFERROR(IF(Agent05_Loans!B175="","",YEAR(Agent05_Loans!D175)),"")</f>
        <v/>
      </c>
    </row>
    <row r="966" spans="1:13" ht="18" customHeight="1" x14ac:dyDescent="0.25">
      <c r="A966" s="37" t="str">
        <f>IF(Agent05_Loans!B176="","",Agent05_Loans!A176)</f>
        <v/>
      </c>
      <c r="B966" s="37" t="str">
        <f>IF(Agent05_Loans!B176="","",Agent05_Loans!B176)</f>
        <v/>
      </c>
      <c r="C966" s="37" t="str">
        <f>IF(Agent05_Loans!B176="","",Agent05_Loans!C176)</f>
        <v/>
      </c>
      <c r="D966" s="38" t="str">
        <f>IF(Agent05_Loans!B176="","",Agent05_Loans!D176)</f>
        <v/>
      </c>
      <c r="E966" s="40" t="str">
        <f>IF(Agent05_Loans!B176="","",Agent05_Loans!E176)</f>
        <v/>
      </c>
      <c r="F966" s="37" t="str">
        <f>IF(Agent05_Loans!B176="","",Agent05_Loans!F176)</f>
        <v/>
      </c>
      <c r="G966" s="37" t="str">
        <f>IF(Agent05_Loans!B176="","",Agent05_Loans!G176)</f>
        <v/>
      </c>
      <c r="H966" s="37" t="str">
        <f>IF(Agent05_Loans!B176="","",Agent05_Loans!H176)</f>
        <v/>
      </c>
      <c r="I966" s="40" t="str">
        <f>IF(Agent05_Loans!B176="","",Agent05_Loans!I176)</f>
        <v/>
      </c>
      <c r="J966" s="40" t="str">
        <f>IF(Agent05_Loans!B176="","",Agent05_Loans!J176)</f>
        <v/>
      </c>
      <c r="K966" s="37" t="str">
        <f>IF(Agent05_Loans!B176="","",Agent05_Loans!K176)</f>
        <v/>
      </c>
      <c r="L966" s="37" t="str">
        <f>IF(Agent05_Loans!B176="","",Agent05_Loans!L176)</f>
        <v/>
      </c>
      <c r="M966" s="37" t="str">
        <f>IFERROR(IF(Agent05_Loans!B176="","",YEAR(Agent05_Loans!D176)),"")</f>
        <v/>
      </c>
    </row>
    <row r="967" spans="1:13" ht="18" customHeight="1" x14ac:dyDescent="0.25">
      <c r="A967" s="37" t="str">
        <f>IF(Agent05_Loans!B177="","",Agent05_Loans!A177)</f>
        <v/>
      </c>
      <c r="B967" s="37" t="str">
        <f>IF(Agent05_Loans!B177="","",Agent05_Loans!B177)</f>
        <v/>
      </c>
      <c r="C967" s="37" t="str">
        <f>IF(Agent05_Loans!B177="","",Agent05_Loans!C177)</f>
        <v/>
      </c>
      <c r="D967" s="38" t="str">
        <f>IF(Agent05_Loans!B177="","",Agent05_Loans!D177)</f>
        <v/>
      </c>
      <c r="E967" s="40" t="str">
        <f>IF(Agent05_Loans!B177="","",Agent05_Loans!E177)</f>
        <v/>
      </c>
      <c r="F967" s="37" t="str">
        <f>IF(Agent05_Loans!B177="","",Agent05_Loans!F177)</f>
        <v/>
      </c>
      <c r="G967" s="37" t="str">
        <f>IF(Agent05_Loans!B177="","",Agent05_Loans!G177)</f>
        <v/>
      </c>
      <c r="H967" s="37" t="str">
        <f>IF(Agent05_Loans!B177="","",Agent05_Loans!H177)</f>
        <v/>
      </c>
      <c r="I967" s="40" t="str">
        <f>IF(Agent05_Loans!B177="","",Agent05_Loans!I177)</f>
        <v/>
      </c>
      <c r="J967" s="40" t="str">
        <f>IF(Agent05_Loans!B177="","",Agent05_Loans!J177)</f>
        <v/>
      </c>
      <c r="K967" s="37" t="str">
        <f>IF(Agent05_Loans!B177="","",Agent05_Loans!K177)</f>
        <v/>
      </c>
      <c r="L967" s="37" t="str">
        <f>IF(Agent05_Loans!B177="","",Agent05_Loans!L177)</f>
        <v/>
      </c>
      <c r="M967" s="37" t="str">
        <f>IFERROR(IF(Agent05_Loans!B177="","",YEAR(Agent05_Loans!D177)),"")</f>
        <v/>
      </c>
    </row>
    <row r="968" spans="1:13" ht="18" customHeight="1" x14ac:dyDescent="0.25">
      <c r="A968" s="37" t="str">
        <f>IF(Agent05_Loans!B178="","",Agent05_Loans!A178)</f>
        <v/>
      </c>
      <c r="B968" s="37" t="str">
        <f>IF(Agent05_Loans!B178="","",Agent05_Loans!B178)</f>
        <v/>
      </c>
      <c r="C968" s="37" t="str">
        <f>IF(Agent05_Loans!B178="","",Agent05_Loans!C178)</f>
        <v/>
      </c>
      <c r="D968" s="38" t="str">
        <f>IF(Agent05_Loans!B178="","",Agent05_Loans!D178)</f>
        <v/>
      </c>
      <c r="E968" s="40" t="str">
        <f>IF(Agent05_Loans!B178="","",Agent05_Loans!E178)</f>
        <v/>
      </c>
      <c r="F968" s="37" t="str">
        <f>IF(Agent05_Loans!B178="","",Agent05_Loans!F178)</f>
        <v/>
      </c>
      <c r="G968" s="37" t="str">
        <f>IF(Agent05_Loans!B178="","",Agent05_Loans!G178)</f>
        <v/>
      </c>
      <c r="H968" s="37" t="str">
        <f>IF(Agent05_Loans!B178="","",Agent05_Loans!H178)</f>
        <v/>
      </c>
      <c r="I968" s="40" t="str">
        <f>IF(Agent05_Loans!B178="","",Agent05_Loans!I178)</f>
        <v/>
      </c>
      <c r="J968" s="40" t="str">
        <f>IF(Agent05_Loans!B178="","",Agent05_Loans!J178)</f>
        <v/>
      </c>
      <c r="K968" s="37" t="str">
        <f>IF(Agent05_Loans!B178="","",Agent05_Loans!K178)</f>
        <v/>
      </c>
      <c r="L968" s="37" t="str">
        <f>IF(Agent05_Loans!B178="","",Agent05_Loans!L178)</f>
        <v/>
      </c>
      <c r="M968" s="37" t="str">
        <f>IFERROR(IF(Agent05_Loans!B178="","",YEAR(Agent05_Loans!D178)),"")</f>
        <v/>
      </c>
    </row>
    <row r="969" spans="1:13" ht="18" customHeight="1" x14ac:dyDescent="0.25">
      <c r="A969" s="37" t="str">
        <f>IF(Agent05_Loans!B179="","",Agent05_Loans!A179)</f>
        <v/>
      </c>
      <c r="B969" s="37" t="str">
        <f>IF(Agent05_Loans!B179="","",Agent05_Loans!B179)</f>
        <v/>
      </c>
      <c r="C969" s="37" t="str">
        <f>IF(Agent05_Loans!B179="","",Agent05_Loans!C179)</f>
        <v/>
      </c>
      <c r="D969" s="38" t="str">
        <f>IF(Agent05_Loans!B179="","",Agent05_Loans!D179)</f>
        <v/>
      </c>
      <c r="E969" s="40" t="str">
        <f>IF(Agent05_Loans!B179="","",Agent05_Loans!E179)</f>
        <v/>
      </c>
      <c r="F969" s="37" t="str">
        <f>IF(Agent05_Loans!B179="","",Agent05_Loans!F179)</f>
        <v/>
      </c>
      <c r="G969" s="37" t="str">
        <f>IF(Agent05_Loans!B179="","",Agent05_Loans!G179)</f>
        <v/>
      </c>
      <c r="H969" s="37" t="str">
        <f>IF(Agent05_Loans!B179="","",Agent05_Loans!H179)</f>
        <v/>
      </c>
      <c r="I969" s="40" t="str">
        <f>IF(Agent05_Loans!B179="","",Agent05_Loans!I179)</f>
        <v/>
      </c>
      <c r="J969" s="40" t="str">
        <f>IF(Agent05_Loans!B179="","",Agent05_Loans!J179)</f>
        <v/>
      </c>
      <c r="K969" s="37" t="str">
        <f>IF(Agent05_Loans!B179="","",Agent05_Loans!K179)</f>
        <v/>
      </c>
      <c r="L969" s="37" t="str">
        <f>IF(Agent05_Loans!B179="","",Agent05_Loans!L179)</f>
        <v/>
      </c>
      <c r="M969" s="37" t="str">
        <f>IFERROR(IF(Agent05_Loans!B179="","",YEAR(Agent05_Loans!D179)),"")</f>
        <v/>
      </c>
    </row>
    <row r="970" spans="1:13" ht="18" customHeight="1" x14ac:dyDescent="0.25">
      <c r="A970" s="37" t="str">
        <f>IF(Agent05_Loans!B180="","",Agent05_Loans!A180)</f>
        <v/>
      </c>
      <c r="B970" s="37" t="str">
        <f>IF(Agent05_Loans!B180="","",Agent05_Loans!B180)</f>
        <v/>
      </c>
      <c r="C970" s="37" t="str">
        <f>IF(Agent05_Loans!B180="","",Agent05_Loans!C180)</f>
        <v/>
      </c>
      <c r="D970" s="38" t="str">
        <f>IF(Agent05_Loans!B180="","",Agent05_Loans!D180)</f>
        <v/>
      </c>
      <c r="E970" s="40" t="str">
        <f>IF(Agent05_Loans!B180="","",Agent05_Loans!E180)</f>
        <v/>
      </c>
      <c r="F970" s="37" t="str">
        <f>IF(Agent05_Loans!B180="","",Agent05_Loans!F180)</f>
        <v/>
      </c>
      <c r="G970" s="37" t="str">
        <f>IF(Agent05_Loans!B180="","",Agent05_Loans!G180)</f>
        <v/>
      </c>
      <c r="H970" s="37" t="str">
        <f>IF(Agent05_Loans!B180="","",Agent05_Loans!H180)</f>
        <v/>
      </c>
      <c r="I970" s="40" t="str">
        <f>IF(Agent05_Loans!B180="","",Agent05_Loans!I180)</f>
        <v/>
      </c>
      <c r="J970" s="40" t="str">
        <f>IF(Agent05_Loans!B180="","",Agent05_Loans!J180)</f>
        <v/>
      </c>
      <c r="K970" s="37" t="str">
        <f>IF(Agent05_Loans!B180="","",Agent05_Loans!K180)</f>
        <v/>
      </c>
      <c r="L970" s="37" t="str">
        <f>IF(Agent05_Loans!B180="","",Agent05_Loans!L180)</f>
        <v/>
      </c>
      <c r="M970" s="37" t="str">
        <f>IFERROR(IF(Agent05_Loans!B180="","",YEAR(Agent05_Loans!D180)),"")</f>
        <v/>
      </c>
    </row>
    <row r="971" spans="1:13" ht="18" customHeight="1" x14ac:dyDescent="0.25">
      <c r="A971" s="37" t="str">
        <f>IF(Agent05_Loans!B181="","",Agent05_Loans!A181)</f>
        <v/>
      </c>
      <c r="B971" s="37" t="str">
        <f>IF(Agent05_Loans!B181="","",Agent05_Loans!B181)</f>
        <v/>
      </c>
      <c r="C971" s="37" t="str">
        <f>IF(Agent05_Loans!B181="","",Agent05_Loans!C181)</f>
        <v/>
      </c>
      <c r="D971" s="38" t="str">
        <f>IF(Agent05_Loans!B181="","",Agent05_Loans!D181)</f>
        <v/>
      </c>
      <c r="E971" s="40" t="str">
        <f>IF(Agent05_Loans!B181="","",Agent05_Loans!E181)</f>
        <v/>
      </c>
      <c r="F971" s="37" t="str">
        <f>IF(Agent05_Loans!B181="","",Agent05_Loans!F181)</f>
        <v/>
      </c>
      <c r="G971" s="37" t="str">
        <f>IF(Agent05_Loans!B181="","",Agent05_Loans!G181)</f>
        <v/>
      </c>
      <c r="H971" s="37" t="str">
        <f>IF(Agent05_Loans!B181="","",Agent05_Loans!H181)</f>
        <v/>
      </c>
      <c r="I971" s="40" t="str">
        <f>IF(Agent05_Loans!B181="","",Agent05_Loans!I181)</f>
        <v/>
      </c>
      <c r="J971" s="40" t="str">
        <f>IF(Agent05_Loans!B181="","",Agent05_Loans!J181)</f>
        <v/>
      </c>
      <c r="K971" s="37" t="str">
        <f>IF(Agent05_Loans!B181="","",Agent05_Loans!K181)</f>
        <v/>
      </c>
      <c r="L971" s="37" t="str">
        <f>IF(Agent05_Loans!B181="","",Agent05_Loans!L181)</f>
        <v/>
      </c>
      <c r="M971" s="37" t="str">
        <f>IFERROR(IF(Agent05_Loans!B181="","",YEAR(Agent05_Loans!D181)),"")</f>
        <v/>
      </c>
    </row>
    <row r="972" spans="1:13" ht="18" customHeight="1" x14ac:dyDescent="0.25">
      <c r="A972" s="37" t="str">
        <f>IF(Agent05_Loans!B182="","",Agent05_Loans!A182)</f>
        <v/>
      </c>
      <c r="B972" s="37" t="str">
        <f>IF(Agent05_Loans!B182="","",Agent05_Loans!B182)</f>
        <v/>
      </c>
      <c r="C972" s="37" t="str">
        <f>IF(Agent05_Loans!B182="","",Agent05_Loans!C182)</f>
        <v/>
      </c>
      <c r="D972" s="38" t="str">
        <f>IF(Agent05_Loans!B182="","",Agent05_Loans!D182)</f>
        <v/>
      </c>
      <c r="E972" s="40" t="str">
        <f>IF(Agent05_Loans!B182="","",Agent05_Loans!E182)</f>
        <v/>
      </c>
      <c r="F972" s="37" t="str">
        <f>IF(Agent05_Loans!B182="","",Agent05_Loans!F182)</f>
        <v/>
      </c>
      <c r="G972" s="37" t="str">
        <f>IF(Agent05_Loans!B182="","",Agent05_Loans!G182)</f>
        <v/>
      </c>
      <c r="H972" s="37" t="str">
        <f>IF(Agent05_Loans!B182="","",Agent05_Loans!H182)</f>
        <v/>
      </c>
      <c r="I972" s="40" t="str">
        <f>IF(Agent05_Loans!B182="","",Agent05_Loans!I182)</f>
        <v/>
      </c>
      <c r="J972" s="40" t="str">
        <f>IF(Agent05_Loans!B182="","",Agent05_Loans!J182)</f>
        <v/>
      </c>
      <c r="K972" s="37" t="str">
        <f>IF(Agent05_Loans!B182="","",Agent05_Loans!K182)</f>
        <v/>
      </c>
      <c r="L972" s="37" t="str">
        <f>IF(Agent05_Loans!B182="","",Agent05_Loans!L182)</f>
        <v/>
      </c>
      <c r="M972" s="37" t="str">
        <f>IFERROR(IF(Agent05_Loans!B182="","",YEAR(Agent05_Loans!D182)),"")</f>
        <v/>
      </c>
    </row>
    <row r="973" spans="1:13" ht="18" customHeight="1" x14ac:dyDescent="0.25">
      <c r="A973" s="37" t="str">
        <f>IF(Agent05_Loans!B183="","",Agent05_Loans!A183)</f>
        <v/>
      </c>
      <c r="B973" s="37" t="str">
        <f>IF(Agent05_Loans!B183="","",Agent05_Loans!B183)</f>
        <v/>
      </c>
      <c r="C973" s="37" t="str">
        <f>IF(Agent05_Loans!B183="","",Agent05_Loans!C183)</f>
        <v/>
      </c>
      <c r="D973" s="38" t="str">
        <f>IF(Agent05_Loans!B183="","",Agent05_Loans!D183)</f>
        <v/>
      </c>
      <c r="E973" s="40" t="str">
        <f>IF(Agent05_Loans!B183="","",Agent05_Loans!E183)</f>
        <v/>
      </c>
      <c r="F973" s="37" t="str">
        <f>IF(Agent05_Loans!B183="","",Agent05_Loans!F183)</f>
        <v/>
      </c>
      <c r="G973" s="37" t="str">
        <f>IF(Agent05_Loans!B183="","",Agent05_Loans!G183)</f>
        <v/>
      </c>
      <c r="H973" s="37" t="str">
        <f>IF(Agent05_Loans!B183="","",Agent05_Loans!H183)</f>
        <v/>
      </c>
      <c r="I973" s="40" t="str">
        <f>IF(Agent05_Loans!B183="","",Agent05_Loans!I183)</f>
        <v/>
      </c>
      <c r="J973" s="40" t="str">
        <f>IF(Agent05_Loans!B183="","",Agent05_Loans!J183)</f>
        <v/>
      </c>
      <c r="K973" s="37" t="str">
        <f>IF(Agent05_Loans!B183="","",Agent05_Loans!K183)</f>
        <v/>
      </c>
      <c r="L973" s="37" t="str">
        <f>IF(Agent05_Loans!B183="","",Agent05_Loans!L183)</f>
        <v/>
      </c>
      <c r="M973" s="37" t="str">
        <f>IFERROR(IF(Agent05_Loans!B183="","",YEAR(Agent05_Loans!D183)),"")</f>
        <v/>
      </c>
    </row>
    <row r="974" spans="1:13" ht="18" customHeight="1" x14ac:dyDescent="0.25">
      <c r="A974" s="37" t="str">
        <f>IF(Agent05_Loans!B184="","",Agent05_Loans!A184)</f>
        <v/>
      </c>
      <c r="B974" s="37" t="str">
        <f>IF(Agent05_Loans!B184="","",Agent05_Loans!B184)</f>
        <v/>
      </c>
      <c r="C974" s="37" t="str">
        <f>IF(Agent05_Loans!B184="","",Agent05_Loans!C184)</f>
        <v/>
      </c>
      <c r="D974" s="38" t="str">
        <f>IF(Agent05_Loans!B184="","",Agent05_Loans!D184)</f>
        <v/>
      </c>
      <c r="E974" s="40" t="str">
        <f>IF(Agent05_Loans!B184="","",Agent05_Loans!E184)</f>
        <v/>
      </c>
      <c r="F974" s="37" t="str">
        <f>IF(Agent05_Loans!B184="","",Agent05_Loans!F184)</f>
        <v/>
      </c>
      <c r="G974" s="37" t="str">
        <f>IF(Agent05_Loans!B184="","",Agent05_Loans!G184)</f>
        <v/>
      </c>
      <c r="H974" s="37" t="str">
        <f>IF(Agent05_Loans!B184="","",Agent05_Loans!H184)</f>
        <v/>
      </c>
      <c r="I974" s="40" t="str">
        <f>IF(Agent05_Loans!B184="","",Agent05_Loans!I184)</f>
        <v/>
      </c>
      <c r="J974" s="40" t="str">
        <f>IF(Agent05_Loans!B184="","",Agent05_Loans!J184)</f>
        <v/>
      </c>
      <c r="K974" s="37" t="str">
        <f>IF(Agent05_Loans!B184="","",Agent05_Loans!K184)</f>
        <v/>
      </c>
      <c r="L974" s="37" t="str">
        <f>IF(Agent05_Loans!B184="","",Agent05_Loans!L184)</f>
        <v/>
      </c>
      <c r="M974" s="37" t="str">
        <f>IFERROR(IF(Agent05_Loans!B184="","",YEAR(Agent05_Loans!D184)),"")</f>
        <v/>
      </c>
    </row>
    <row r="975" spans="1:13" ht="18" customHeight="1" x14ac:dyDescent="0.25">
      <c r="A975" s="37" t="str">
        <f>IF(Agent05_Loans!B185="","",Agent05_Loans!A185)</f>
        <v/>
      </c>
      <c r="B975" s="37" t="str">
        <f>IF(Agent05_Loans!B185="","",Agent05_Loans!B185)</f>
        <v/>
      </c>
      <c r="C975" s="37" t="str">
        <f>IF(Agent05_Loans!B185="","",Agent05_Loans!C185)</f>
        <v/>
      </c>
      <c r="D975" s="38" t="str">
        <f>IF(Agent05_Loans!B185="","",Agent05_Loans!D185)</f>
        <v/>
      </c>
      <c r="E975" s="40" t="str">
        <f>IF(Agent05_Loans!B185="","",Agent05_Loans!E185)</f>
        <v/>
      </c>
      <c r="F975" s="37" t="str">
        <f>IF(Agent05_Loans!B185="","",Agent05_Loans!F185)</f>
        <v/>
      </c>
      <c r="G975" s="37" t="str">
        <f>IF(Agent05_Loans!B185="","",Agent05_Loans!G185)</f>
        <v/>
      </c>
      <c r="H975" s="37" t="str">
        <f>IF(Agent05_Loans!B185="","",Agent05_Loans!H185)</f>
        <v/>
      </c>
      <c r="I975" s="40" t="str">
        <f>IF(Agent05_Loans!B185="","",Agent05_Loans!I185)</f>
        <v/>
      </c>
      <c r="J975" s="40" t="str">
        <f>IF(Agent05_Loans!B185="","",Agent05_Loans!J185)</f>
        <v/>
      </c>
      <c r="K975" s="37" t="str">
        <f>IF(Agent05_Loans!B185="","",Agent05_Loans!K185)</f>
        <v/>
      </c>
      <c r="L975" s="37" t="str">
        <f>IF(Agent05_Loans!B185="","",Agent05_Loans!L185)</f>
        <v/>
      </c>
      <c r="M975" s="37" t="str">
        <f>IFERROR(IF(Agent05_Loans!B185="","",YEAR(Agent05_Loans!D185)),"")</f>
        <v/>
      </c>
    </row>
    <row r="976" spans="1:13" ht="18" customHeight="1" x14ac:dyDescent="0.25">
      <c r="A976" s="37" t="str">
        <f>IF(Agent05_Loans!B186="","",Agent05_Loans!A186)</f>
        <v/>
      </c>
      <c r="B976" s="37" t="str">
        <f>IF(Agent05_Loans!B186="","",Agent05_Loans!B186)</f>
        <v/>
      </c>
      <c r="C976" s="37" t="str">
        <f>IF(Agent05_Loans!B186="","",Agent05_Loans!C186)</f>
        <v/>
      </c>
      <c r="D976" s="38" t="str">
        <f>IF(Agent05_Loans!B186="","",Agent05_Loans!D186)</f>
        <v/>
      </c>
      <c r="E976" s="40" t="str">
        <f>IF(Agent05_Loans!B186="","",Agent05_Loans!E186)</f>
        <v/>
      </c>
      <c r="F976" s="37" t="str">
        <f>IF(Agent05_Loans!B186="","",Agent05_Loans!F186)</f>
        <v/>
      </c>
      <c r="G976" s="37" t="str">
        <f>IF(Agent05_Loans!B186="","",Agent05_Loans!G186)</f>
        <v/>
      </c>
      <c r="H976" s="37" t="str">
        <f>IF(Agent05_Loans!B186="","",Agent05_Loans!H186)</f>
        <v/>
      </c>
      <c r="I976" s="40" t="str">
        <f>IF(Agent05_Loans!B186="","",Agent05_Loans!I186)</f>
        <v/>
      </c>
      <c r="J976" s="40" t="str">
        <f>IF(Agent05_Loans!B186="","",Agent05_Loans!J186)</f>
        <v/>
      </c>
      <c r="K976" s="37" t="str">
        <f>IF(Agent05_Loans!B186="","",Agent05_Loans!K186)</f>
        <v/>
      </c>
      <c r="L976" s="37" t="str">
        <f>IF(Agent05_Loans!B186="","",Agent05_Loans!L186)</f>
        <v/>
      </c>
      <c r="M976" s="37" t="str">
        <f>IFERROR(IF(Agent05_Loans!B186="","",YEAR(Agent05_Loans!D186)),"")</f>
        <v/>
      </c>
    </row>
    <row r="977" spans="1:13" ht="18" customHeight="1" x14ac:dyDescent="0.25">
      <c r="A977" s="37" t="str">
        <f>IF(Agent05_Loans!B187="","",Agent05_Loans!A187)</f>
        <v/>
      </c>
      <c r="B977" s="37" t="str">
        <f>IF(Agent05_Loans!B187="","",Agent05_Loans!B187)</f>
        <v/>
      </c>
      <c r="C977" s="37" t="str">
        <f>IF(Agent05_Loans!B187="","",Agent05_Loans!C187)</f>
        <v/>
      </c>
      <c r="D977" s="38" t="str">
        <f>IF(Agent05_Loans!B187="","",Agent05_Loans!D187)</f>
        <v/>
      </c>
      <c r="E977" s="40" t="str">
        <f>IF(Agent05_Loans!B187="","",Agent05_Loans!E187)</f>
        <v/>
      </c>
      <c r="F977" s="37" t="str">
        <f>IF(Agent05_Loans!B187="","",Agent05_Loans!F187)</f>
        <v/>
      </c>
      <c r="G977" s="37" t="str">
        <f>IF(Agent05_Loans!B187="","",Agent05_Loans!G187)</f>
        <v/>
      </c>
      <c r="H977" s="37" t="str">
        <f>IF(Agent05_Loans!B187="","",Agent05_Loans!H187)</f>
        <v/>
      </c>
      <c r="I977" s="40" t="str">
        <f>IF(Agent05_Loans!B187="","",Agent05_Loans!I187)</f>
        <v/>
      </c>
      <c r="J977" s="40" t="str">
        <f>IF(Agent05_Loans!B187="","",Agent05_Loans!J187)</f>
        <v/>
      </c>
      <c r="K977" s="37" t="str">
        <f>IF(Agent05_Loans!B187="","",Agent05_Loans!K187)</f>
        <v/>
      </c>
      <c r="L977" s="37" t="str">
        <f>IF(Agent05_Loans!B187="","",Agent05_Loans!L187)</f>
        <v/>
      </c>
      <c r="M977" s="37" t="str">
        <f>IFERROR(IF(Agent05_Loans!B187="","",YEAR(Agent05_Loans!D187)),"")</f>
        <v/>
      </c>
    </row>
    <row r="978" spans="1:13" ht="18" customHeight="1" x14ac:dyDescent="0.25">
      <c r="A978" s="37" t="str">
        <f>IF(Agent05_Loans!B188="","",Agent05_Loans!A188)</f>
        <v/>
      </c>
      <c r="B978" s="37" t="str">
        <f>IF(Agent05_Loans!B188="","",Agent05_Loans!B188)</f>
        <v/>
      </c>
      <c r="C978" s="37" t="str">
        <f>IF(Agent05_Loans!B188="","",Agent05_Loans!C188)</f>
        <v/>
      </c>
      <c r="D978" s="38" t="str">
        <f>IF(Agent05_Loans!B188="","",Agent05_Loans!D188)</f>
        <v/>
      </c>
      <c r="E978" s="40" t="str">
        <f>IF(Agent05_Loans!B188="","",Agent05_Loans!E188)</f>
        <v/>
      </c>
      <c r="F978" s="37" t="str">
        <f>IF(Agent05_Loans!B188="","",Agent05_Loans!F188)</f>
        <v/>
      </c>
      <c r="G978" s="37" t="str">
        <f>IF(Agent05_Loans!B188="","",Agent05_Loans!G188)</f>
        <v/>
      </c>
      <c r="H978" s="37" t="str">
        <f>IF(Agent05_Loans!B188="","",Agent05_Loans!H188)</f>
        <v/>
      </c>
      <c r="I978" s="40" t="str">
        <f>IF(Agent05_Loans!B188="","",Agent05_Loans!I188)</f>
        <v/>
      </c>
      <c r="J978" s="40" t="str">
        <f>IF(Agent05_Loans!B188="","",Agent05_Loans!J188)</f>
        <v/>
      </c>
      <c r="K978" s="37" t="str">
        <f>IF(Agent05_Loans!B188="","",Agent05_Loans!K188)</f>
        <v/>
      </c>
      <c r="L978" s="37" t="str">
        <f>IF(Agent05_Loans!B188="","",Agent05_Loans!L188)</f>
        <v/>
      </c>
      <c r="M978" s="37" t="str">
        <f>IFERROR(IF(Agent05_Loans!B188="","",YEAR(Agent05_Loans!D188)),"")</f>
        <v/>
      </c>
    </row>
    <row r="979" spans="1:13" ht="18" customHeight="1" x14ac:dyDescent="0.25">
      <c r="A979" s="37" t="str">
        <f>IF(Agent05_Loans!B189="","",Agent05_Loans!A189)</f>
        <v/>
      </c>
      <c r="B979" s="37" t="str">
        <f>IF(Agent05_Loans!B189="","",Agent05_Loans!B189)</f>
        <v/>
      </c>
      <c r="C979" s="37" t="str">
        <f>IF(Agent05_Loans!B189="","",Agent05_Loans!C189)</f>
        <v/>
      </c>
      <c r="D979" s="38" t="str">
        <f>IF(Agent05_Loans!B189="","",Agent05_Loans!D189)</f>
        <v/>
      </c>
      <c r="E979" s="40" t="str">
        <f>IF(Agent05_Loans!B189="","",Agent05_Loans!E189)</f>
        <v/>
      </c>
      <c r="F979" s="37" t="str">
        <f>IF(Agent05_Loans!B189="","",Agent05_Loans!F189)</f>
        <v/>
      </c>
      <c r="G979" s="37" t="str">
        <f>IF(Agent05_Loans!B189="","",Agent05_Loans!G189)</f>
        <v/>
      </c>
      <c r="H979" s="37" t="str">
        <f>IF(Agent05_Loans!B189="","",Agent05_Loans!H189)</f>
        <v/>
      </c>
      <c r="I979" s="40" t="str">
        <f>IF(Agent05_Loans!B189="","",Agent05_Loans!I189)</f>
        <v/>
      </c>
      <c r="J979" s="40" t="str">
        <f>IF(Agent05_Loans!B189="","",Agent05_Loans!J189)</f>
        <v/>
      </c>
      <c r="K979" s="37" t="str">
        <f>IF(Agent05_Loans!B189="","",Agent05_Loans!K189)</f>
        <v/>
      </c>
      <c r="L979" s="37" t="str">
        <f>IF(Agent05_Loans!B189="","",Agent05_Loans!L189)</f>
        <v/>
      </c>
      <c r="M979" s="37" t="str">
        <f>IFERROR(IF(Agent05_Loans!B189="","",YEAR(Agent05_Loans!D189)),"")</f>
        <v/>
      </c>
    </row>
    <row r="980" spans="1:13" ht="18" customHeight="1" x14ac:dyDescent="0.25">
      <c r="A980" s="37" t="str">
        <f>IF(Agent05_Loans!B190="","",Agent05_Loans!A190)</f>
        <v/>
      </c>
      <c r="B980" s="37" t="str">
        <f>IF(Agent05_Loans!B190="","",Agent05_Loans!B190)</f>
        <v/>
      </c>
      <c r="C980" s="37" t="str">
        <f>IF(Agent05_Loans!B190="","",Agent05_Loans!C190)</f>
        <v/>
      </c>
      <c r="D980" s="38" t="str">
        <f>IF(Agent05_Loans!B190="","",Agent05_Loans!D190)</f>
        <v/>
      </c>
      <c r="E980" s="40" t="str">
        <f>IF(Agent05_Loans!B190="","",Agent05_Loans!E190)</f>
        <v/>
      </c>
      <c r="F980" s="37" t="str">
        <f>IF(Agent05_Loans!B190="","",Agent05_Loans!F190)</f>
        <v/>
      </c>
      <c r="G980" s="37" t="str">
        <f>IF(Agent05_Loans!B190="","",Agent05_Loans!G190)</f>
        <v/>
      </c>
      <c r="H980" s="37" t="str">
        <f>IF(Agent05_Loans!B190="","",Agent05_Loans!H190)</f>
        <v/>
      </c>
      <c r="I980" s="40" t="str">
        <f>IF(Agent05_Loans!B190="","",Agent05_Loans!I190)</f>
        <v/>
      </c>
      <c r="J980" s="40" t="str">
        <f>IF(Agent05_Loans!B190="","",Agent05_Loans!J190)</f>
        <v/>
      </c>
      <c r="K980" s="37" t="str">
        <f>IF(Agent05_Loans!B190="","",Agent05_Loans!K190)</f>
        <v/>
      </c>
      <c r="L980" s="37" t="str">
        <f>IF(Agent05_Loans!B190="","",Agent05_Loans!L190)</f>
        <v/>
      </c>
      <c r="M980" s="37" t="str">
        <f>IFERROR(IF(Agent05_Loans!B190="","",YEAR(Agent05_Loans!D190)),"")</f>
        <v/>
      </c>
    </row>
    <row r="981" spans="1:13" ht="18" customHeight="1" x14ac:dyDescent="0.25">
      <c r="A981" s="37" t="str">
        <f>IF(Agent05_Loans!B191="","",Agent05_Loans!A191)</f>
        <v/>
      </c>
      <c r="B981" s="37" t="str">
        <f>IF(Agent05_Loans!B191="","",Agent05_Loans!B191)</f>
        <v/>
      </c>
      <c r="C981" s="37" t="str">
        <f>IF(Agent05_Loans!B191="","",Agent05_Loans!C191)</f>
        <v/>
      </c>
      <c r="D981" s="38" t="str">
        <f>IF(Agent05_Loans!B191="","",Agent05_Loans!D191)</f>
        <v/>
      </c>
      <c r="E981" s="40" t="str">
        <f>IF(Agent05_Loans!B191="","",Agent05_Loans!E191)</f>
        <v/>
      </c>
      <c r="F981" s="37" t="str">
        <f>IF(Agent05_Loans!B191="","",Agent05_Loans!F191)</f>
        <v/>
      </c>
      <c r="G981" s="37" t="str">
        <f>IF(Agent05_Loans!B191="","",Agent05_Loans!G191)</f>
        <v/>
      </c>
      <c r="H981" s="37" t="str">
        <f>IF(Agent05_Loans!B191="","",Agent05_Loans!H191)</f>
        <v/>
      </c>
      <c r="I981" s="40" t="str">
        <f>IF(Agent05_Loans!B191="","",Agent05_Loans!I191)</f>
        <v/>
      </c>
      <c r="J981" s="40" t="str">
        <f>IF(Agent05_Loans!B191="","",Agent05_Loans!J191)</f>
        <v/>
      </c>
      <c r="K981" s="37" t="str">
        <f>IF(Agent05_Loans!B191="","",Agent05_Loans!K191)</f>
        <v/>
      </c>
      <c r="L981" s="37" t="str">
        <f>IF(Agent05_Loans!B191="","",Agent05_Loans!L191)</f>
        <v/>
      </c>
      <c r="M981" s="37" t="str">
        <f>IFERROR(IF(Agent05_Loans!B191="","",YEAR(Agent05_Loans!D191)),"")</f>
        <v/>
      </c>
    </row>
    <row r="982" spans="1:13" ht="18" customHeight="1" x14ac:dyDescent="0.25">
      <c r="A982" s="37" t="str">
        <f>IF(Agent05_Loans!B192="","",Agent05_Loans!A192)</f>
        <v/>
      </c>
      <c r="B982" s="37" t="str">
        <f>IF(Agent05_Loans!B192="","",Agent05_Loans!B192)</f>
        <v/>
      </c>
      <c r="C982" s="37" t="str">
        <f>IF(Agent05_Loans!B192="","",Agent05_Loans!C192)</f>
        <v/>
      </c>
      <c r="D982" s="38" t="str">
        <f>IF(Agent05_Loans!B192="","",Agent05_Loans!D192)</f>
        <v/>
      </c>
      <c r="E982" s="40" t="str">
        <f>IF(Agent05_Loans!B192="","",Agent05_Loans!E192)</f>
        <v/>
      </c>
      <c r="F982" s="37" t="str">
        <f>IF(Agent05_Loans!B192="","",Agent05_Loans!F192)</f>
        <v/>
      </c>
      <c r="G982" s="37" t="str">
        <f>IF(Agent05_Loans!B192="","",Agent05_Loans!G192)</f>
        <v/>
      </c>
      <c r="H982" s="37" t="str">
        <f>IF(Agent05_Loans!B192="","",Agent05_Loans!H192)</f>
        <v/>
      </c>
      <c r="I982" s="40" t="str">
        <f>IF(Agent05_Loans!B192="","",Agent05_Loans!I192)</f>
        <v/>
      </c>
      <c r="J982" s="40" t="str">
        <f>IF(Agent05_Loans!B192="","",Agent05_Loans!J192)</f>
        <v/>
      </c>
      <c r="K982" s="37" t="str">
        <f>IF(Agent05_Loans!B192="","",Agent05_Loans!K192)</f>
        <v/>
      </c>
      <c r="L982" s="37" t="str">
        <f>IF(Agent05_Loans!B192="","",Agent05_Loans!L192)</f>
        <v/>
      </c>
      <c r="M982" s="37" t="str">
        <f>IFERROR(IF(Agent05_Loans!B192="","",YEAR(Agent05_Loans!D192)),"")</f>
        <v/>
      </c>
    </row>
    <row r="983" spans="1:13" ht="18" customHeight="1" x14ac:dyDescent="0.25">
      <c r="A983" s="37" t="str">
        <f>IF(Agent05_Loans!B193="","",Agent05_Loans!A193)</f>
        <v/>
      </c>
      <c r="B983" s="37" t="str">
        <f>IF(Agent05_Loans!B193="","",Agent05_Loans!B193)</f>
        <v/>
      </c>
      <c r="C983" s="37" t="str">
        <f>IF(Agent05_Loans!B193="","",Agent05_Loans!C193)</f>
        <v/>
      </c>
      <c r="D983" s="38" t="str">
        <f>IF(Agent05_Loans!B193="","",Agent05_Loans!D193)</f>
        <v/>
      </c>
      <c r="E983" s="40" t="str">
        <f>IF(Agent05_Loans!B193="","",Agent05_Loans!E193)</f>
        <v/>
      </c>
      <c r="F983" s="37" t="str">
        <f>IF(Agent05_Loans!B193="","",Agent05_Loans!F193)</f>
        <v/>
      </c>
      <c r="G983" s="37" t="str">
        <f>IF(Agent05_Loans!B193="","",Agent05_Loans!G193)</f>
        <v/>
      </c>
      <c r="H983" s="37" t="str">
        <f>IF(Agent05_Loans!B193="","",Agent05_Loans!H193)</f>
        <v/>
      </c>
      <c r="I983" s="40" t="str">
        <f>IF(Agent05_Loans!B193="","",Agent05_Loans!I193)</f>
        <v/>
      </c>
      <c r="J983" s="40" t="str">
        <f>IF(Agent05_Loans!B193="","",Agent05_Loans!J193)</f>
        <v/>
      </c>
      <c r="K983" s="37" t="str">
        <f>IF(Agent05_Loans!B193="","",Agent05_Loans!K193)</f>
        <v/>
      </c>
      <c r="L983" s="37" t="str">
        <f>IF(Agent05_Loans!B193="","",Agent05_Loans!L193)</f>
        <v/>
      </c>
      <c r="M983" s="37" t="str">
        <f>IFERROR(IF(Agent05_Loans!B193="","",YEAR(Agent05_Loans!D193)),"")</f>
        <v/>
      </c>
    </row>
    <row r="984" spans="1:13" ht="18" customHeight="1" x14ac:dyDescent="0.25">
      <c r="A984" s="37" t="str">
        <f>IF(Agent05_Loans!B194="","",Agent05_Loans!A194)</f>
        <v/>
      </c>
      <c r="B984" s="37" t="str">
        <f>IF(Agent05_Loans!B194="","",Agent05_Loans!B194)</f>
        <v/>
      </c>
      <c r="C984" s="37" t="str">
        <f>IF(Agent05_Loans!B194="","",Agent05_Loans!C194)</f>
        <v/>
      </c>
      <c r="D984" s="38" t="str">
        <f>IF(Agent05_Loans!B194="","",Agent05_Loans!D194)</f>
        <v/>
      </c>
      <c r="E984" s="40" t="str">
        <f>IF(Agent05_Loans!B194="","",Agent05_Loans!E194)</f>
        <v/>
      </c>
      <c r="F984" s="37" t="str">
        <f>IF(Agent05_Loans!B194="","",Agent05_Loans!F194)</f>
        <v/>
      </c>
      <c r="G984" s="37" t="str">
        <f>IF(Agent05_Loans!B194="","",Agent05_Loans!G194)</f>
        <v/>
      </c>
      <c r="H984" s="37" t="str">
        <f>IF(Agent05_Loans!B194="","",Agent05_Loans!H194)</f>
        <v/>
      </c>
      <c r="I984" s="40" t="str">
        <f>IF(Agent05_Loans!B194="","",Agent05_Loans!I194)</f>
        <v/>
      </c>
      <c r="J984" s="40" t="str">
        <f>IF(Agent05_Loans!B194="","",Agent05_Loans!J194)</f>
        <v/>
      </c>
      <c r="K984" s="37" t="str">
        <f>IF(Agent05_Loans!B194="","",Agent05_Loans!K194)</f>
        <v/>
      </c>
      <c r="L984" s="37" t="str">
        <f>IF(Agent05_Loans!B194="","",Agent05_Loans!L194)</f>
        <v/>
      </c>
      <c r="M984" s="37" t="str">
        <f>IFERROR(IF(Agent05_Loans!B194="","",YEAR(Agent05_Loans!D194)),"")</f>
        <v/>
      </c>
    </row>
    <row r="985" spans="1:13" ht="18" customHeight="1" x14ac:dyDescent="0.25">
      <c r="A985" s="37" t="str">
        <f>IF(Agent05_Loans!B195="","",Agent05_Loans!A195)</f>
        <v/>
      </c>
      <c r="B985" s="37" t="str">
        <f>IF(Agent05_Loans!B195="","",Agent05_Loans!B195)</f>
        <v/>
      </c>
      <c r="C985" s="37" t="str">
        <f>IF(Agent05_Loans!B195="","",Agent05_Loans!C195)</f>
        <v/>
      </c>
      <c r="D985" s="38" t="str">
        <f>IF(Agent05_Loans!B195="","",Agent05_Loans!D195)</f>
        <v/>
      </c>
      <c r="E985" s="40" t="str">
        <f>IF(Agent05_Loans!B195="","",Agent05_Loans!E195)</f>
        <v/>
      </c>
      <c r="F985" s="37" t="str">
        <f>IF(Agent05_Loans!B195="","",Agent05_Loans!F195)</f>
        <v/>
      </c>
      <c r="G985" s="37" t="str">
        <f>IF(Agent05_Loans!B195="","",Agent05_Loans!G195)</f>
        <v/>
      </c>
      <c r="H985" s="37" t="str">
        <f>IF(Agent05_Loans!B195="","",Agent05_Loans!H195)</f>
        <v/>
      </c>
      <c r="I985" s="40" t="str">
        <f>IF(Agent05_Loans!B195="","",Agent05_Loans!I195)</f>
        <v/>
      </c>
      <c r="J985" s="40" t="str">
        <f>IF(Agent05_Loans!B195="","",Agent05_Loans!J195)</f>
        <v/>
      </c>
      <c r="K985" s="37" t="str">
        <f>IF(Agent05_Loans!B195="","",Agent05_Loans!K195)</f>
        <v/>
      </c>
      <c r="L985" s="37" t="str">
        <f>IF(Agent05_Loans!B195="","",Agent05_Loans!L195)</f>
        <v/>
      </c>
      <c r="M985" s="37" t="str">
        <f>IFERROR(IF(Agent05_Loans!B195="","",YEAR(Agent05_Loans!D195)),"")</f>
        <v/>
      </c>
    </row>
    <row r="986" spans="1:13" ht="18" customHeight="1" x14ac:dyDescent="0.25">
      <c r="A986" s="37" t="str">
        <f>IF(Agent05_Loans!B196="","",Agent05_Loans!A196)</f>
        <v/>
      </c>
      <c r="B986" s="37" t="str">
        <f>IF(Agent05_Loans!B196="","",Agent05_Loans!B196)</f>
        <v/>
      </c>
      <c r="C986" s="37" t="str">
        <f>IF(Agent05_Loans!B196="","",Agent05_Loans!C196)</f>
        <v/>
      </c>
      <c r="D986" s="38" t="str">
        <f>IF(Agent05_Loans!B196="","",Agent05_Loans!D196)</f>
        <v/>
      </c>
      <c r="E986" s="40" t="str">
        <f>IF(Agent05_Loans!B196="","",Agent05_Loans!E196)</f>
        <v/>
      </c>
      <c r="F986" s="37" t="str">
        <f>IF(Agent05_Loans!B196="","",Agent05_Loans!F196)</f>
        <v/>
      </c>
      <c r="G986" s="37" t="str">
        <f>IF(Agent05_Loans!B196="","",Agent05_Loans!G196)</f>
        <v/>
      </c>
      <c r="H986" s="37" t="str">
        <f>IF(Agent05_Loans!B196="","",Agent05_Loans!H196)</f>
        <v/>
      </c>
      <c r="I986" s="40" t="str">
        <f>IF(Agent05_Loans!B196="","",Agent05_Loans!I196)</f>
        <v/>
      </c>
      <c r="J986" s="40" t="str">
        <f>IF(Agent05_Loans!B196="","",Agent05_Loans!J196)</f>
        <v/>
      </c>
      <c r="K986" s="37" t="str">
        <f>IF(Agent05_Loans!B196="","",Agent05_Loans!K196)</f>
        <v/>
      </c>
      <c r="L986" s="37" t="str">
        <f>IF(Agent05_Loans!B196="","",Agent05_Loans!L196)</f>
        <v/>
      </c>
      <c r="M986" s="37" t="str">
        <f>IFERROR(IF(Agent05_Loans!B196="","",YEAR(Agent05_Loans!D196)),"")</f>
        <v/>
      </c>
    </row>
    <row r="987" spans="1:13" ht="18" customHeight="1" x14ac:dyDescent="0.25">
      <c r="A987" s="37" t="str">
        <f>IF(Agent05_Loans!B197="","",Agent05_Loans!A197)</f>
        <v/>
      </c>
      <c r="B987" s="37" t="str">
        <f>IF(Agent05_Loans!B197="","",Agent05_Loans!B197)</f>
        <v/>
      </c>
      <c r="C987" s="37" t="str">
        <f>IF(Agent05_Loans!B197="","",Agent05_Loans!C197)</f>
        <v/>
      </c>
      <c r="D987" s="38" t="str">
        <f>IF(Agent05_Loans!B197="","",Agent05_Loans!D197)</f>
        <v/>
      </c>
      <c r="E987" s="40" t="str">
        <f>IF(Agent05_Loans!B197="","",Agent05_Loans!E197)</f>
        <v/>
      </c>
      <c r="F987" s="37" t="str">
        <f>IF(Agent05_Loans!B197="","",Agent05_Loans!F197)</f>
        <v/>
      </c>
      <c r="G987" s="37" t="str">
        <f>IF(Agent05_Loans!B197="","",Agent05_Loans!G197)</f>
        <v/>
      </c>
      <c r="H987" s="37" t="str">
        <f>IF(Agent05_Loans!B197="","",Agent05_Loans!H197)</f>
        <v/>
      </c>
      <c r="I987" s="40" t="str">
        <f>IF(Agent05_Loans!B197="","",Agent05_Loans!I197)</f>
        <v/>
      </c>
      <c r="J987" s="40" t="str">
        <f>IF(Agent05_Loans!B197="","",Agent05_Loans!J197)</f>
        <v/>
      </c>
      <c r="K987" s="37" t="str">
        <f>IF(Agent05_Loans!B197="","",Agent05_Loans!K197)</f>
        <v/>
      </c>
      <c r="L987" s="37" t="str">
        <f>IF(Agent05_Loans!B197="","",Agent05_Loans!L197)</f>
        <v/>
      </c>
      <c r="M987" s="37" t="str">
        <f>IFERROR(IF(Agent05_Loans!B197="","",YEAR(Agent05_Loans!D197)),"")</f>
        <v/>
      </c>
    </row>
    <row r="988" spans="1:13" ht="18" customHeight="1" x14ac:dyDescent="0.25">
      <c r="A988" s="37" t="str">
        <f>IF(Agent05_Loans!B198="","",Agent05_Loans!A198)</f>
        <v/>
      </c>
      <c r="B988" s="37" t="str">
        <f>IF(Agent05_Loans!B198="","",Agent05_Loans!B198)</f>
        <v/>
      </c>
      <c r="C988" s="37" t="str">
        <f>IF(Agent05_Loans!B198="","",Agent05_Loans!C198)</f>
        <v/>
      </c>
      <c r="D988" s="38" t="str">
        <f>IF(Agent05_Loans!B198="","",Agent05_Loans!D198)</f>
        <v/>
      </c>
      <c r="E988" s="40" t="str">
        <f>IF(Agent05_Loans!B198="","",Agent05_Loans!E198)</f>
        <v/>
      </c>
      <c r="F988" s="37" t="str">
        <f>IF(Agent05_Loans!B198="","",Agent05_Loans!F198)</f>
        <v/>
      </c>
      <c r="G988" s="37" t="str">
        <f>IF(Agent05_Loans!B198="","",Agent05_Loans!G198)</f>
        <v/>
      </c>
      <c r="H988" s="37" t="str">
        <f>IF(Agent05_Loans!B198="","",Agent05_Loans!H198)</f>
        <v/>
      </c>
      <c r="I988" s="40" t="str">
        <f>IF(Agent05_Loans!B198="","",Agent05_Loans!I198)</f>
        <v/>
      </c>
      <c r="J988" s="40" t="str">
        <f>IF(Agent05_Loans!B198="","",Agent05_Loans!J198)</f>
        <v/>
      </c>
      <c r="K988" s="37" t="str">
        <f>IF(Agent05_Loans!B198="","",Agent05_Loans!K198)</f>
        <v/>
      </c>
      <c r="L988" s="37" t="str">
        <f>IF(Agent05_Loans!B198="","",Agent05_Loans!L198)</f>
        <v/>
      </c>
      <c r="M988" s="37" t="str">
        <f>IFERROR(IF(Agent05_Loans!B198="","",YEAR(Agent05_Loans!D198)),"")</f>
        <v/>
      </c>
    </row>
    <row r="989" spans="1:13" ht="18" customHeight="1" x14ac:dyDescent="0.25">
      <c r="A989" s="37" t="str">
        <f>IF(Agent05_Loans!B199="","",Agent05_Loans!A199)</f>
        <v/>
      </c>
      <c r="B989" s="37" t="str">
        <f>IF(Agent05_Loans!B199="","",Agent05_Loans!B199)</f>
        <v/>
      </c>
      <c r="C989" s="37" t="str">
        <f>IF(Agent05_Loans!B199="","",Agent05_Loans!C199)</f>
        <v/>
      </c>
      <c r="D989" s="38" t="str">
        <f>IF(Agent05_Loans!B199="","",Agent05_Loans!D199)</f>
        <v/>
      </c>
      <c r="E989" s="40" t="str">
        <f>IF(Agent05_Loans!B199="","",Agent05_Loans!E199)</f>
        <v/>
      </c>
      <c r="F989" s="37" t="str">
        <f>IF(Agent05_Loans!B199="","",Agent05_Loans!F199)</f>
        <v/>
      </c>
      <c r="G989" s="37" t="str">
        <f>IF(Agent05_Loans!B199="","",Agent05_Loans!G199)</f>
        <v/>
      </c>
      <c r="H989" s="37" t="str">
        <f>IF(Agent05_Loans!B199="","",Agent05_Loans!H199)</f>
        <v/>
      </c>
      <c r="I989" s="40" t="str">
        <f>IF(Agent05_Loans!B199="","",Agent05_Loans!I199)</f>
        <v/>
      </c>
      <c r="J989" s="40" t="str">
        <f>IF(Agent05_Loans!B199="","",Agent05_Loans!J199)</f>
        <v/>
      </c>
      <c r="K989" s="37" t="str">
        <f>IF(Agent05_Loans!B199="","",Agent05_Loans!K199)</f>
        <v/>
      </c>
      <c r="L989" s="37" t="str">
        <f>IF(Agent05_Loans!B199="","",Agent05_Loans!L199)</f>
        <v/>
      </c>
      <c r="M989" s="37" t="str">
        <f>IFERROR(IF(Agent05_Loans!B199="","",YEAR(Agent05_Loans!D199)),"")</f>
        <v/>
      </c>
    </row>
    <row r="990" spans="1:13" ht="18" customHeight="1" x14ac:dyDescent="0.25">
      <c r="A990" s="37" t="str">
        <f>IF(Agent05_Loans!B200="","",Agent05_Loans!A200)</f>
        <v/>
      </c>
      <c r="B990" s="37" t="str">
        <f>IF(Agent05_Loans!B200="","",Agent05_Loans!B200)</f>
        <v/>
      </c>
      <c r="C990" s="37" t="str">
        <f>IF(Agent05_Loans!B200="","",Agent05_Loans!C200)</f>
        <v/>
      </c>
      <c r="D990" s="38" t="str">
        <f>IF(Agent05_Loans!B200="","",Agent05_Loans!D200)</f>
        <v/>
      </c>
      <c r="E990" s="40" t="str">
        <f>IF(Agent05_Loans!B200="","",Agent05_Loans!E200)</f>
        <v/>
      </c>
      <c r="F990" s="37" t="str">
        <f>IF(Agent05_Loans!B200="","",Agent05_Loans!F200)</f>
        <v/>
      </c>
      <c r="G990" s="37" t="str">
        <f>IF(Agent05_Loans!B200="","",Agent05_Loans!G200)</f>
        <v/>
      </c>
      <c r="H990" s="37" t="str">
        <f>IF(Agent05_Loans!B200="","",Agent05_Loans!H200)</f>
        <v/>
      </c>
      <c r="I990" s="40" t="str">
        <f>IF(Agent05_Loans!B200="","",Agent05_Loans!I200)</f>
        <v/>
      </c>
      <c r="J990" s="40" t="str">
        <f>IF(Agent05_Loans!B200="","",Agent05_Loans!J200)</f>
        <v/>
      </c>
      <c r="K990" s="37" t="str">
        <f>IF(Agent05_Loans!B200="","",Agent05_Loans!K200)</f>
        <v/>
      </c>
      <c r="L990" s="37" t="str">
        <f>IF(Agent05_Loans!B200="","",Agent05_Loans!L200)</f>
        <v/>
      </c>
      <c r="M990" s="37" t="str">
        <f>IFERROR(IF(Agent05_Loans!B200="","",YEAR(Agent05_Loans!D200)),"")</f>
        <v/>
      </c>
    </row>
    <row r="991" spans="1:13" ht="18" customHeight="1" x14ac:dyDescent="0.25">
      <c r="A991" s="37" t="str">
        <f>IF(Agent05_Loans!B201="","",Agent05_Loans!A201)</f>
        <v/>
      </c>
      <c r="B991" s="37" t="str">
        <f>IF(Agent05_Loans!B201="","",Agent05_Loans!B201)</f>
        <v/>
      </c>
      <c r="C991" s="37" t="str">
        <f>IF(Agent05_Loans!B201="","",Agent05_Loans!C201)</f>
        <v/>
      </c>
      <c r="D991" s="38" t="str">
        <f>IF(Agent05_Loans!B201="","",Agent05_Loans!D201)</f>
        <v/>
      </c>
      <c r="E991" s="40" t="str">
        <f>IF(Agent05_Loans!B201="","",Agent05_Loans!E201)</f>
        <v/>
      </c>
      <c r="F991" s="37" t="str">
        <f>IF(Agent05_Loans!B201="","",Agent05_Loans!F201)</f>
        <v/>
      </c>
      <c r="G991" s="37" t="str">
        <f>IF(Agent05_Loans!B201="","",Agent05_Loans!G201)</f>
        <v/>
      </c>
      <c r="H991" s="37" t="str">
        <f>IF(Agent05_Loans!B201="","",Agent05_Loans!H201)</f>
        <v/>
      </c>
      <c r="I991" s="40" t="str">
        <f>IF(Agent05_Loans!B201="","",Agent05_Loans!I201)</f>
        <v/>
      </c>
      <c r="J991" s="40" t="str">
        <f>IF(Agent05_Loans!B201="","",Agent05_Loans!J201)</f>
        <v/>
      </c>
      <c r="K991" s="37" t="str">
        <f>IF(Agent05_Loans!B201="","",Agent05_Loans!K201)</f>
        <v/>
      </c>
      <c r="L991" s="37" t="str">
        <f>IF(Agent05_Loans!B201="","",Agent05_Loans!L201)</f>
        <v/>
      </c>
      <c r="M991" s="37" t="str">
        <f>IFERROR(IF(Agent05_Loans!B201="","",YEAR(Agent05_Loans!D201)),"")</f>
        <v/>
      </c>
    </row>
    <row r="992" spans="1:13" ht="18" customHeight="1" x14ac:dyDescent="0.25">
      <c r="A992" s="37" t="str">
        <f>IF(Agent05_Loans!B202="","",Agent05_Loans!A202)</f>
        <v/>
      </c>
      <c r="B992" s="37" t="str">
        <f>IF(Agent05_Loans!B202="","",Agent05_Loans!B202)</f>
        <v/>
      </c>
      <c r="C992" s="37" t="str">
        <f>IF(Agent05_Loans!B202="","",Agent05_Loans!C202)</f>
        <v/>
      </c>
      <c r="D992" s="38" t="str">
        <f>IF(Agent05_Loans!B202="","",Agent05_Loans!D202)</f>
        <v/>
      </c>
      <c r="E992" s="40" t="str">
        <f>IF(Agent05_Loans!B202="","",Agent05_Loans!E202)</f>
        <v/>
      </c>
      <c r="F992" s="37" t="str">
        <f>IF(Agent05_Loans!B202="","",Agent05_Loans!F202)</f>
        <v/>
      </c>
      <c r="G992" s="37" t="str">
        <f>IF(Agent05_Loans!B202="","",Agent05_Loans!G202)</f>
        <v/>
      </c>
      <c r="H992" s="37" t="str">
        <f>IF(Agent05_Loans!B202="","",Agent05_Loans!H202)</f>
        <v/>
      </c>
      <c r="I992" s="40" t="str">
        <f>IF(Agent05_Loans!B202="","",Agent05_Loans!I202)</f>
        <v/>
      </c>
      <c r="J992" s="40" t="str">
        <f>IF(Agent05_Loans!B202="","",Agent05_Loans!J202)</f>
        <v/>
      </c>
      <c r="K992" s="37" t="str">
        <f>IF(Agent05_Loans!B202="","",Agent05_Loans!K202)</f>
        <v/>
      </c>
      <c r="L992" s="37" t="str">
        <f>IF(Agent05_Loans!B202="","",Agent05_Loans!L202)</f>
        <v/>
      </c>
      <c r="M992" s="37" t="str">
        <f>IFERROR(IF(Agent05_Loans!B202="","",YEAR(Agent05_Loans!D202)),"")</f>
        <v/>
      </c>
    </row>
    <row r="993" spans="1:13" ht="18" customHeight="1" x14ac:dyDescent="0.25">
      <c r="A993" s="37" t="str">
        <f>IF(Agent05_Loans!B203="","",Agent05_Loans!A203)</f>
        <v/>
      </c>
      <c r="B993" s="37" t="str">
        <f>IF(Agent05_Loans!B203="","",Agent05_Loans!B203)</f>
        <v/>
      </c>
      <c r="C993" s="37" t="str">
        <f>IF(Agent05_Loans!B203="","",Agent05_Loans!C203)</f>
        <v/>
      </c>
      <c r="D993" s="38" t="str">
        <f>IF(Agent05_Loans!B203="","",Agent05_Loans!D203)</f>
        <v/>
      </c>
      <c r="E993" s="40" t="str">
        <f>IF(Agent05_Loans!B203="","",Agent05_Loans!E203)</f>
        <v/>
      </c>
      <c r="F993" s="37" t="str">
        <f>IF(Agent05_Loans!B203="","",Agent05_Loans!F203)</f>
        <v/>
      </c>
      <c r="G993" s="37" t="str">
        <f>IF(Agent05_Loans!B203="","",Agent05_Loans!G203)</f>
        <v/>
      </c>
      <c r="H993" s="37" t="str">
        <f>IF(Agent05_Loans!B203="","",Agent05_Loans!H203)</f>
        <v/>
      </c>
      <c r="I993" s="40" t="str">
        <f>IF(Agent05_Loans!B203="","",Agent05_Loans!I203)</f>
        <v/>
      </c>
      <c r="J993" s="40" t="str">
        <f>IF(Agent05_Loans!B203="","",Agent05_Loans!J203)</f>
        <v/>
      </c>
      <c r="K993" s="37" t="str">
        <f>IF(Agent05_Loans!B203="","",Agent05_Loans!K203)</f>
        <v/>
      </c>
      <c r="L993" s="37" t="str">
        <f>IF(Agent05_Loans!B203="","",Agent05_Loans!L203)</f>
        <v/>
      </c>
      <c r="M993" s="37" t="str">
        <f>IFERROR(IF(Agent05_Loans!B203="","",YEAR(Agent05_Loans!D203)),"")</f>
        <v/>
      </c>
    </row>
    <row r="994" spans="1:13" ht="18" customHeight="1" x14ac:dyDescent="0.25">
      <c r="A994" s="37" t="str">
        <f>IF(Agent05_Loans!B204="","",Agent05_Loans!A204)</f>
        <v/>
      </c>
      <c r="B994" s="37" t="str">
        <f>IF(Agent05_Loans!B204="","",Agent05_Loans!B204)</f>
        <v/>
      </c>
      <c r="C994" s="37" t="str">
        <f>IF(Agent05_Loans!B204="","",Agent05_Loans!C204)</f>
        <v/>
      </c>
      <c r="D994" s="38" t="str">
        <f>IF(Agent05_Loans!B204="","",Agent05_Loans!D204)</f>
        <v/>
      </c>
      <c r="E994" s="40" t="str">
        <f>IF(Agent05_Loans!B204="","",Agent05_Loans!E204)</f>
        <v/>
      </c>
      <c r="F994" s="37" t="str">
        <f>IF(Agent05_Loans!B204="","",Agent05_Loans!F204)</f>
        <v/>
      </c>
      <c r="G994" s="37" t="str">
        <f>IF(Agent05_Loans!B204="","",Agent05_Loans!G204)</f>
        <v/>
      </c>
      <c r="H994" s="37" t="str">
        <f>IF(Agent05_Loans!B204="","",Agent05_Loans!H204)</f>
        <v/>
      </c>
      <c r="I994" s="40" t="str">
        <f>IF(Agent05_Loans!B204="","",Agent05_Loans!I204)</f>
        <v/>
      </c>
      <c r="J994" s="40" t="str">
        <f>IF(Agent05_Loans!B204="","",Agent05_Loans!J204)</f>
        <v/>
      </c>
      <c r="K994" s="37" t="str">
        <f>IF(Agent05_Loans!B204="","",Agent05_Loans!K204)</f>
        <v/>
      </c>
      <c r="L994" s="37" t="str">
        <f>IF(Agent05_Loans!B204="","",Agent05_Loans!L204)</f>
        <v/>
      </c>
      <c r="M994" s="37" t="str">
        <f>IFERROR(IF(Agent05_Loans!B204="","",YEAR(Agent05_Loans!D204)),"")</f>
        <v/>
      </c>
    </row>
    <row r="995" spans="1:13" ht="18" customHeight="1" x14ac:dyDescent="0.25">
      <c r="A995" s="37" t="str">
        <f>IF(Agent05_Loans!B205="","",Agent05_Loans!A205)</f>
        <v/>
      </c>
      <c r="B995" s="37" t="str">
        <f>IF(Agent05_Loans!B205="","",Agent05_Loans!B205)</f>
        <v/>
      </c>
      <c r="C995" s="37" t="str">
        <f>IF(Agent05_Loans!B205="","",Agent05_Loans!C205)</f>
        <v/>
      </c>
      <c r="D995" s="38" t="str">
        <f>IF(Agent05_Loans!B205="","",Agent05_Loans!D205)</f>
        <v/>
      </c>
      <c r="E995" s="40" t="str">
        <f>IF(Agent05_Loans!B205="","",Agent05_Loans!E205)</f>
        <v/>
      </c>
      <c r="F995" s="37" t="str">
        <f>IF(Agent05_Loans!B205="","",Agent05_Loans!F205)</f>
        <v/>
      </c>
      <c r="G995" s="37" t="str">
        <f>IF(Agent05_Loans!B205="","",Agent05_Loans!G205)</f>
        <v/>
      </c>
      <c r="H995" s="37" t="str">
        <f>IF(Agent05_Loans!B205="","",Agent05_Loans!H205)</f>
        <v/>
      </c>
      <c r="I995" s="40" t="str">
        <f>IF(Agent05_Loans!B205="","",Agent05_Loans!I205)</f>
        <v/>
      </c>
      <c r="J995" s="40" t="str">
        <f>IF(Agent05_Loans!B205="","",Agent05_Loans!J205)</f>
        <v/>
      </c>
      <c r="K995" s="37" t="str">
        <f>IF(Agent05_Loans!B205="","",Agent05_Loans!K205)</f>
        <v/>
      </c>
      <c r="L995" s="37" t="str">
        <f>IF(Agent05_Loans!B205="","",Agent05_Loans!L205)</f>
        <v/>
      </c>
      <c r="M995" s="37" t="str">
        <f>IFERROR(IF(Agent05_Loans!B205="","",YEAR(Agent05_Loans!D205)),"")</f>
        <v/>
      </c>
    </row>
    <row r="996" spans="1:13" ht="18" customHeight="1" x14ac:dyDescent="0.25">
      <c r="A996" s="37" t="str">
        <f>IF(Agent05_Loans!B206="","",Agent05_Loans!A206)</f>
        <v/>
      </c>
      <c r="B996" s="37" t="str">
        <f>IF(Agent05_Loans!B206="","",Agent05_Loans!B206)</f>
        <v/>
      </c>
      <c r="C996" s="37" t="str">
        <f>IF(Agent05_Loans!B206="","",Agent05_Loans!C206)</f>
        <v/>
      </c>
      <c r="D996" s="38" t="str">
        <f>IF(Agent05_Loans!B206="","",Agent05_Loans!D206)</f>
        <v/>
      </c>
      <c r="E996" s="40" t="str">
        <f>IF(Agent05_Loans!B206="","",Agent05_Loans!E206)</f>
        <v/>
      </c>
      <c r="F996" s="37" t="str">
        <f>IF(Agent05_Loans!B206="","",Agent05_Loans!F206)</f>
        <v/>
      </c>
      <c r="G996" s="37" t="str">
        <f>IF(Agent05_Loans!B206="","",Agent05_Loans!G206)</f>
        <v/>
      </c>
      <c r="H996" s="37" t="str">
        <f>IF(Agent05_Loans!B206="","",Agent05_Loans!H206)</f>
        <v/>
      </c>
      <c r="I996" s="40" t="str">
        <f>IF(Agent05_Loans!B206="","",Agent05_Loans!I206)</f>
        <v/>
      </c>
      <c r="J996" s="40" t="str">
        <f>IF(Agent05_Loans!B206="","",Agent05_Loans!J206)</f>
        <v/>
      </c>
      <c r="K996" s="37" t="str">
        <f>IF(Agent05_Loans!B206="","",Agent05_Loans!K206)</f>
        <v/>
      </c>
      <c r="L996" s="37" t="str">
        <f>IF(Agent05_Loans!B206="","",Agent05_Loans!L206)</f>
        <v/>
      </c>
      <c r="M996" s="37" t="str">
        <f>IFERROR(IF(Agent05_Loans!B206="","",YEAR(Agent05_Loans!D206)),"")</f>
        <v/>
      </c>
    </row>
    <row r="997" spans="1:13" ht="18" customHeight="1" x14ac:dyDescent="0.25">
      <c r="A997" s="37" t="str">
        <f>IF(Agent05_Loans!B207="","",Agent05_Loans!A207)</f>
        <v/>
      </c>
      <c r="B997" s="37" t="str">
        <f>IF(Agent05_Loans!B207="","",Agent05_Loans!B207)</f>
        <v/>
      </c>
      <c r="C997" s="37" t="str">
        <f>IF(Agent05_Loans!B207="","",Agent05_Loans!C207)</f>
        <v/>
      </c>
      <c r="D997" s="38" t="str">
        <f>IF(Agent05_Loans!B207="","",Agent05_Loans!D207)</f>
        <v/>
      </c>
      <c r="E997" s="40" t="str">
        <f>IF(Agent05_Loans!B207="","",Agent05_Loans!E207)</f>
        <v/>
      </c>
      <c r="F997" s="37" t="str">
        <f>IF(Agent05_Loans!B207="","",Agent05_Loans!F207)</f>
        <v/>
      </c>
      <c r="G997" s="37" t="str">
        <f>IF(Agent05_Loans!B207="","",Agent05_Loans!G207)</f>
        <v/>
      </c>
      <c r="H997" s="37" t="str">
        <f>IF(Agent05_Loans!B207="","",Agent05_Loans!H207)</f>
        <v/>
      </c>
      <c r="I997" s="40" t="str">
        <f>IF(Agent05_Loans!B207="","",Agent05_Loans!I207)</f>
        <v/>
      </c>
      <c r="J997" s="40" t="str">
        <f>IF(Agent05_Loans!B207="","",Agent05_Loans!J207)</f>
        <v/>
      </c>
      <c r="K997" s="37" t="str">
        <f>IF(Agent05_Loans!B207="","",Agent05_Loans!K207)</f>
        <v/>
      </c>
      <c r="L997" s="37" t="str">
        <f>IF(Agent05_Loans!B207="","",Agent05_Loans!L207)</f>
        <v/>
      </c>
      <c r="M997" s="37" t="str">
        <f>IFERROR(IF(Agent05_Loans!B207="","",YEAR(Agent05_Loans!D207)),"")</f>
        <v/>
      </c>
    </row>
    <row r="998" spans="1:13" ht="18" customHeight="1" x14ac:dyDescent="0.25">
      <c r="A998" s="37" t="str">
        <f>IF(Agent05_Loans!B208="","",Agent05_Loans!A208)</f>
        <v/>
      </c>
      <c r="B998" s="37" t="str">
        <f>IF(Agent05_Loans!B208="","",Agent05_Loans!B208)</f>
        <v/>
      </c>
      <c r="C998" s="37" t="str">
        <f>IF(Agent05_Loans!B208="","",Agent05_Loans!C208)</f>
        <v/>
      </c>
      <c r="D998" s="38" t="str">
        <f>IF(Agent05_Loans!B208="","",Agent05_Loans!D208)</f>
        <v/>
      </c>
      <c r="E998" s="40" t="str">
        <f>IF(Agent05_Loans!B208="","",Agent05_Loans!E208)</f>
        <v/>
      </c>
      <c r="F998" s="37" t="str">
        <f>IF(Agent05_Loans!B208="","",Agent05_Loans!F208)</f>
        <v/>
      </c>
      <c r="G998" s="37" t="str">
        <f>IF(Agent05_Loans!B208="","",Agent05_Loans!G208)</f>
        <v/>
      </c>
      <c r="H998" s="37" t="str">
        <f>IF(Agent05_Loans!B208="","",Agent05_Loans!H208)</f>
        <v/>
      </c>
      <c r="I998" s="40" t="str">
        <f>IF(Agent05_Loans!B208="","",Agent05_Loans!I208)</f>
        <v/>
      </c>
      <c r="J998" s="40" t="str">
        <f>IF(Agent05_Loans!B208="","",Agent05_Loans!J208)</f>
        <v/>
      </c>
      <c r="K998" s="37" t="str">
        <f>IF(Agent05_Loans!B208="","",Agent05_Loans!K208)</f>
        <v/>
      </c>
      <c r="L998" s="37" t="str">
        <f>IF(Agent05_Loans!B208="","",Agent05_Loans!L208)</f>
        <v/>
      </c>
      <c r="M998" s="37" t="str">
        <f>IFERROR(IF(Agent05_Loans!B208="","",YEAR(Agent05_Loans!D208)),"")</f>
        <v/>
      </c>
    </row>
    <row r="999" spans="1:13" ht="18" customHeight="1" x14ac:dyDescent="0.25">
      <c r="A999" s="37" t="str">
        <f>IF(Agent05_Loans!B209="","",Agent05_Loans!A209)</f>
        <v/>
      </c>
      <c r="B999" s="37" t="str">
        <f>IF(Agent05_Loans!B209="","",Agent05_Loans!B209)</f>
        <v/>
      </c>
      <c r="C999" s="37" t="str">
        <f>IF(Agent05_Loans!B209="","",Agent05_Loans!C209)</f>
        <v/>
      </c>
      <c r="D999" s="38" t="str">
        <f>IF(Agent05_Loans!B209="","",Agent05_Loans!D209)</f>
        <v/>
      </c>
      <c r="E999" s="40" t="str">
        <f>IF(Agent05_Loans!B209="","",Agent05_Loans!E209)</f>
        <v/>
      </c>
      <c r="F999" s="37" t="str">
        <f>IF(Agent05_Loans!B209="","",Agent05_Loans!F209)</f>
        <v/>
      </c>
      <c r="G999" s="37" t="str">
        <f>IF(Agent05_Loans!B209="","",Agent05_Loans!G209)</f>
        <v/>
      </c>
      <c r="H999" s="37" t="str">
        <f>IF(Agent05_Loans!B209="","",Agent05_Loans!H209)</f>
        <v/>
      </c>
      <c r="I999" s="40" t="str">
        <f>IF(Agent05_Loans!B209="","",Agent05_Loans!I209)</f>
        <v/>
      </c>
      <c r="J999" s="40" t="str">
        <f>IF(Agent05_Loans!B209="","",Agent05_Loans!J209)</f>
        <v/>
      </c>
      <c r="K999" s="37" t="str">
        <f>IF(Agent05_Loans!B209="","",Agent05_Loans!K209)</f>
        <v/>
      </c>
      <c r="L999" s="37" t="str">
        <f>IF(Agent05_Loans!B209="","",Agent05_Loans!L209)</f>
        <v/>
      </c>
      <c r="M999" s="37" t="str">
        <f>IFERROR(IF(Agent05_Loans!B209="","",YEAR(Agent05_Loans!D209)),"")</f>
        <v/>
      </c>
    </row>
    <row r="1000" spans="1:13" ht="18" customHeight="1" x14ac:dyDescent="0.25">
      <c r="A1000" s="37" t="str">
        <f>IF(Agent05_Loans!B210="","",Agent05_Loans!A210)</f>
        <v/>
      </c>
      <c r="B1000" s="37" t="str">
        <f>IF(Agent05_Loans!B210="","",Agent05_Loans!B210)</f>
        <v/>
      </c>
      <c r="C1000" s="37" t="str">
        <f>IF(Agent05_Loans!B210="","",Agent05_Loans!C210)</f>
        <v/>
      </c>
      <c r="D1000" s="38" t="str">
        <f>IF(Agent05_Loans!B210="","",Agent05_Loans!D210)</f>
        <v/>
      </c>
      <c r="E1000" s="40" t="str">
        <f>IF(Agent05_Loans!B210="","",Agent05_Loans!E210)</f>
        <v/>
      </c>
      <c r="F1000" s="37" t="str">
        <f>IF(Agent05_Loans!B210="","",Agent05_Loans!F210)</f>
        <v/>
      </c>
      <c r="G1000" s="37" t="str">
        <f>IF(Agent05_Loans!B210="","",Agent05_Loans!G210)</f>
        <v/>
      </c>
      <c r="H1000" s="37" t="str">
        <f>IF(Agent05_Loans!B210="","",Agent05_Loans!H210)</f>
        <v/>
      </c>
      <c r="I1000" s="40" t="str">
        <f>IF(Agent05_Loans!B210="","",Agent05_Loans!I210)</f>
        <v/>
      </c>
      <c r="J1000" s="40" t="str">
        <f>IF(Agent05_Loans!B210="","",Agent05_Loans!J210)</f>
        <v/>
      </c>
      <c r="K1000" s="37" t="str">
        <f>IF(Agent05_Loans!B210="","",Agent05_Loans!K210)</f>
        <v/>
      </c>
      <c r="L1000" s="37" t="str">
        <f>IF(Agent05_Loans!B210="","",Agent05_Loans!L210)</f>
        <v/>
      </c>
      <c r="M1000" s="37" t="str">
        <f>IFERROR(IF(Agent05_Loans!B210="","",YEAR(Agent05_Loans!D210)),"")</f>
        <v/>
      </c>
    </row>
    <row r="1001" spans="1:13" ht="18" customHeight="1" x14ac:dyDescent="0.25">
      <c r="A1001" s="37" t="str">
        <f>IF(Agent05_Loans!B211="","",Agent05_Loans!A211)</f>
        <v/>
      </c>
      <c r="B1001" s="37" t="str">
        <f>IF(Agent05_Loans!B211="","",Agent05_Loans!B211)</f>
        <v/>
      </c>
      <c r="C1001" s="37" t="str">
        <f>IF(Agent05_Loans!B211="","",Agent05_Loans!C211)</f>
        <v/>
      </c>
      <c r="D1001" s="38" t="str">
        <f>IF(Agent05_Loans!B211="","",Agent05_Loans!D211)</f>
        <v/>
      </c>
      <c r="E1001" s="40" t="str">
        <f>IF(Agent05_Loans!B211="","",Agent05_Loans!E211)</f>
        <v/>
      </c>
      <c r="F1001" s="37" t="str">
        <f>IF(Agent05_Loans!B211="","",Agent05_Loans!F211)</f>
        <v/>
      </c>
      <c r="G1001" s="37" t="str">
        <f>IF(Agent05_Loans!B211="","",Agent05_Loans!G211)</f>
        <v/>
      </c>
      <c r="H1001" s="37" t="str">
        <f>IF(Agent05_Loans!B211="","",Agent05_Loans!H211)</f>
        <v/>
      </c>
      <c r="I1001" s="40" t="str">
        <f>IF(Agent05_Loans!B211="","",Agent05_Loans!I211)</f>
        <v/>
      </c>
      <c r="J1001" s="40" t="str">
        <f>IF(Agent05_Loans!B211="","",Agent05_Loans!J211)</f>
        <v/>
      </c>
      <c r="K1001" s="37" t="str">
        <f>IF(Agent05_Loans!B211="","",Agent05_Loans!K211)</f>
        <v/>
      </c>
      <c r="L1001" s="37" t="str">
        <f>IF(Agent05_Loans!B211="","",Agent05_Loans!L211)</f>
        <v/>
      </c>
      <c r="M1001" s="37" t="str">
        <f>IFERROR(IF(Agent05_Loans!B211="","",YEAR(Agent05_Loans!D211)),"")</f>
        <v/>
      </c>
    </row>
    <row r="1002" spans="1:13" ht="18" customHeight="1" x14ac:dyDescent="0.25">
      <c r="A1002" s="37" t="str">
        <f>IF(Agent05_Loans!B212="","",Agent05_Loans!A212)</f>
        <v/>
      </c>
      <c r="B1002" s="37" t="str">
        <f>IF(Agent05_Loans!B212="","",Agent05_Loans!B212)</f>
        <v/>
      </c>
      <c r="C1002" s="37" t="str">
        <f>IF(Agent05_Loans!B212="","",Agent05_Loans!C212)</f>
        <v/>
      </c>
      <c r="D1002" s="38" t="str">
        <f>IF(Agent05_Loans!B212="","",Agent05_Loans!D212)</f>
        <v/>
      </c>
      <c r="E1002" s="40" t="str">
        <f>IF(Agent05_Loans!B212="","",Agent05_Loans!E212)</f>
        <v/>
      </c>
      <c r="F1002" s="37" t="str">
        <f>IF(Agent05_Loans!B212="","",Agent05_Loans!F212)</f>
        <v/>
      </c>
      <c r="G1002" s="37" t="str">
        <f>IF(Agent05_Loans!B212="","",Agent05_Loans!G212)</f>
        <v/>
      </c>
      <c r="H1002" s="37" t="str">
        <f>IF(Agent05_Loans!B212="","",Agent05_Loans!H212)</f>
        <v/>
      </c>
      <c r="I1002" s="40" t="str">
        <f>IF(Agent05_Loans!B212="","",Agent05_Loans!I212)</f>
        <v/>
      </c>
      <c r="J1002" s="40" t="str">
        <f>IF(Agent05_Loans!B212="","",Agent05_Loans!J212)</f>
        <v/>
      </c>
      <c r="K1002" s="37" t="str">
        <f>IF(Agent05_Loans!B212="","",Agent05_Loans!K212)</f>
        <v/>
      </c>
      <c r="L1002" s="37" t="str">
        <f>IF(Agent05_Loans!B212="","",Agent05_Loans!L212)</f>
        <v/>
      </c>
      <c r="M1002" s="37" t="str">
        <f>IFERROR(IF(Agent05_Loans!B212="","",YEAR(Agent05_Loans!D212)),"")</f>
        <v/>
      </c>
    </row>
    <row r="1003" spans="1:13" ht="18" customHeight="1" x14ac:dyDescent="0.25">
      <c r="A1003" s="37" t="str">
        <f>IF(Agent05_Loans!B213="","",Agent05_Loans!A213)</f>
        <v/>
      </c>
      <c r="B1003" s="37" t="str">
        <f>IF(Agent05_Loans!B213="","",Agent05_Loans!B213)</f>
        <v/>
      </c>
      <c r="C1003" s="37" t="str">
        <f>IF(Agent05_Loans!B213="","",Agent05_Loans!C213)</f>
        <v/>
      </c>
      <c r="D1003" s="38" t="str">
        <f>IF(Agent05_Loans!B213="","",Agent05_Loans!D213)</f>
        <v/>
      </c>
      <c r="E1003" s="40" t="str">
        <f>IF(Agent05_Loans!B213="","",Agent05_Loans!E213)</f>
        <v/>
      </c>
      <c r="F1003" s="37" t="str">
        <f>IF(Agent05_Loans!B213="","",Agent05_Loans!F213)</f>
        <v/>
      </c>
      <c r="G1003" s="37" t="str">
        <f>IF(Agent05_Loans!B213="","",Agent05_Loans!G213)</f>
        <v/>
      </c>
      <c r="H1003" s="37" t="str">
        <f>IF(Agent05_Loans!B213="","",Agent05_Loans!H213)</f>
        <v/>
      </c>
      <c r="I1003" s="40" t="str">
        <f>IF(Agent05_Loans!B213="","",Agent05_Loans!I213)</f>
        <v/>
      </c>
      <c r="J1003" s="40" t="str">
        <f>IF(Agent05_Loans!B213="","",Agent05_Loans!J213)</f>
        <v/>
      </c>
      <c r="K1003" s="37" t="str">
        <f>IF(Agent05_Loans!B213="","",Agent05_Loans!K213)</f>
        <v/>
      </c>
      <c r="L1003" s="37" t="str">
        <f>IF(Agent05_Loans!B213="","",Agent05_Loans!L213)</f>
        <v/>
      </c>
      <c r="M1003" s="37" t="str">
        <f>IFERROR(IF(Agent05_Loans!B213="","",YEAR(Agent05_Loans!D213)),"")</f>
        <v/>
      </c>
    </row>
    <row r="1004" spans="1:13" ht="18" customHeight="1" x14ac:dyDescent="0.25">
      <c r="A1004" s="37" t="str">
        <f>IF(Agent06_Loans!B14="","",Agent06_Loans!A14)</f>
        <v/>
      </c>
      <c r="B1004" s="37" t="str">
        <f>IF(Agent06_Loans!B14="","",Agent06_Loans!B14)</f>
        <v/>
      </c>
      <c r="C1004" s="37" t="str">
        <f>IF(Agent06_Loans!B14="","",Agent06_Loans!C14)</f>
        <v/>
      </c>
      <c r="D1004" s="38" t="str">
        <f>IF(Agent06_Loans!B14="","",Agent06_Loans!D14)</f>
        <v/>
      </c>
      <c r="E1004" s="40" t="str">
        <f>IF(Agent06_Loans!B14="","",Agent06_Loans!E14)</f>
        <v/>
      </c>
      <c r="F1004" s="37" t="str">
        <f>IF(Agent06_Loans!B14="","",Agent06_Loans!F14)</f>
        <v/>
      </c>
      <c r="G1004" s="37" t="str">
        <f>IF(Agent06_Loans!B14="","",Agent06_Loans!G14)</f>
        <v/>
      </c>
      <c r="H1004" s="37" t="str">
        <f>IF(Agent06_Loans!B14="","",Agent06_Loans!H14)</f>
        <v/>
      </c>
      <c r="I1004" s="40" t="str">
        <f>IF(Agent06_Loans!B14="","",Agent06_Loans!I14)</f>
        <v/>
      </c>
      <c r="J1004" s="40" t="str">
        <f>IF(Agent06_Loans!B14="","",Agent06_Loans!J14)</f>
        <v/>
      </c>
      <c r="K1004" s="37" t="str">
        <f>IF(Agent06_Loans!B14="","",Agent06_Loans!K14)</f>
        <v/>
      </c>
      <c r="L1004" s="37" t="str">
        <f>IF(Agent06_Loans!B14="","",Agent06_Loans!L14)</f>
        <v/>
      </c>
      <c r="M1004" s="37" t="str">
        <f>IFERROR(IF(Agent06_Loans!B14="","",YEAR(Agent06_Loans!D14)),"")</f>
        <v/>
      </c>
    </row>
    <row r="1005" spans="1:13" ht="18" customHeight="1" x14ac:dyDescent="0.25">
      <c r="A1005" s="37" t="str">
        <f>IF(Agent06_Loans!B15="","",Agent06_Loans!A15)</f>
        <v/>
      </c>
      <c r="B1005" s="37" t="str">
        <f>IF(Agent06_Loans!B15="","",Agent06_Loans!B15)</f>
        <v/>
      </c>
      <c r="C1005" s="37" t="str">
        <f>IF(Agent06_Loans!B15="","",Agent06_Loans!C15)</f>
        <v/>
      </c>
      <c r="D1005" s="38" t="str">
        <f>IF(Agent06_Loans!B15="","",Agent06_Loans!D15)</f>
        <v/>
      </c>
      <c r="E1005" s="40" t="str">
        <f>IF(Agent06_Loans!B15="","",Agent06_Loans!E15)</f>
        <v/>
      </c>
      <c r="F1005" s="37" t="str">
        <f>IF(Agent06_Loans!B15="","",Agent06_Loans!F15)</f>
        <v/>
      </c>
      <c r="G1005" s="37" t="str">
        <f>IF(Agent06_Loans!B15="","",Agent06_Loans!G15)</f>
        <v/>
      </c>
      <c r="H1005" s="37" t="str">
        <f>IF(Agent06_Loans!B15="","",Agent06_Loans!H15)</f>
        <v/>
      </c>
      <c r="I1005" s="40" t="str">
        <f>IF(Agent06_Loans!B15="","",Agent06_Loans!I15)</f>
        <v/>
      </c>
      <c r="J1005" s="40" t="str">
        <f>IF(Agent06_Loans!B15="","",Agent06_Loans!J15)</f>
        <v/>
      </c>
      <c r="K1005" s="37" t="str">
        <f>IF(Agent06_Loans!B15="","",Agent06_Loans!K15)</f>
        <v/>
      </c>
      <c r="L1005" s="37" t="str">
        <f>IF(Agent06_Loans!B15="","",Agent06_Loans!L15)</f>
        <v/>
      </c>
      <c r="M1005" s="37" t="str">
        <f>IFERROR(IF(Agent06_Loans!B15="","",YEAR(Agent06_Loans!D15)),"")</f>
        <v/>
      </c>
    </row>
    <row r="1006" spans="1:13" ht="18" customHeight="1" x14ac:dyDescent="0.25">
      <c r="A1006" s="37" t="str">
        <f>IF(Agent06_Loans!B16="","",Agent06_Loans!A16)</f>
        <v/>
      </c>
      <c r="B1006" s="37" t="str">
        <f>IF(Agent06_Loans!B16="","",Agent06_Loans!B16)</f>
        <v/>
      </c>
      <c r="C1006" s="37" t="str">
        <f>IF(Agent06_Loans!B16="","",Agent06_Loans!C16)</f>
        <v/>
      </c>
      <c r="D1006" s="38" t="str">
        <f>IF(Agent06_Loans!B16="","",Agent06_Loans!D16)</f>
        <v/>
      </c>
      <c r="E1006" s="40" t="str">
        <f>IF(Agent06_Loans!B16="","",Agent06_Loans!E16)</f>
        <v/>
      </c>
      <c r="F1006" s="37" t="str">
        <f>IF(Agent06_Loans!B16="","",Agent06_Loans!F16)</f>
        <v/>
      </c>
      <c r="G1006" s="37" t="str">
        <f>IF(Agent06_Loans!B16="","",Agent06_Loans!G16)</f>
        <v/>
      </c>
      <c r="H1006" s="37" t="str">
        <f>IF(Agent06_Loans!B16="","",Agent06_Loans!H16)</f>
        <v/>
      </c>
      <c r="I1006" s="40" t="str">
        <f>IF(Agent06_Loans!B16="","",Agent06_Loans!I16)</f>
        <v/>
      </c>
      <c r="J1006" s="40" t="str">
        <f>IF(Agent06_Loans!B16="","",Agent06_Loans!J16)</f>
        <v/>
      </c>
      <c r="K1006" s="37" t="str">
        <f>IF(Agent06_Loans!B16="","",Agent06_Loans!K16)</f>
        <v/>
      </c>
      <c r="L1006" s="37" t="str">
        <f>IF(Agent06_Loans!B16="","",Agent06_Loans!L16)</f>
        <v/>
      </c>
      <c r="M1006" s="37" t="str">
        <f>IFERROR(IF(Agent06_Loans!B16="","",YEAR(Agent06_Loans!D16)),"")</f>
        <v/>
      </c>
    </row>
    <row r="1007" spans="1:13" ht="18" customHeight="1" x14ac:dyDescent="0.25">
      <c r="A1007" s="37" t="str">
        <f>IF(Agent06_Loans!B17="","",Agent06_Loans!A17)</f>
        <v/>
      </c>
      <c r="B1007" s="37" t="str">
        <f>IF(Agent06_Loans!B17="","",Agent06_Loans!B17)</f>
        <v/>
      </c>
      <c r="C1007" s="37" t="str">
        <f>IF(Agent06_Loans!B17="","",Agent06_Loans!C17)</f>
        <v/>
      </c>
      <c r="D1007" s="38" t="str">
        <f>IF(Agent06_Loans!B17="","",Agent06_Loans!D17)</f>
        <v/>
      </c>
      <c r="E1007" s="40" t="str">
        <f>IF(Agent06_Loans!B17="","",Agent06_Loans!E17)</f>
        <v/>
      </c>
      <c r="F1007" s="37" t="str">
        <f>IF(Agent06_Loans!B17="","",Agent06_Loans!F17)</f>
        <v/>
      </c>
      <c r="G1007" s="37" t="str">
        <f>IF(Agent06_Loans!B17="","",Agent06_Loans!G17)</f>
        <v/>
      </c>
      <c r="H1007" s="37" t="str">
        <f>IF(Agent06_Loans!B17="","",Agent06_Loans!H17)</f>
        <v/>
      </c>
      <c r="I1007" s="40" t="str">
        <f>IF(Agent06_Loans!B17="","",Agent06_Loans!I17)</f>
        <v/>
      </c>
      <c r="J1007" s="40" t="str">
        <f>IF(Agent06_Loans!B17="","",Agent06_Loans!J17)</f>
        <v/>
      </c>
      <c r="K1007" s="37" t="str">
        <f>IF(Agent06_Loans!B17="","",Agent06_Loans!K17)</f>
        <v/>
      </c>
      <c r="L1007" s="37" t="str">
        <f>IF(Agent06_Loans!B17="","",Agent06_Loans!L17)</f>
        <v/>
      </c>
      <c r="M1007" s="37" t="str">
        <f>IFERROR(IF(Agent06_Loans!B17="","",YEAR(Agent06_Loans!D17)),"")</f>
        <v/>
      </c>
    </row>
    <row r="1008" spans="1:13" ht="18" customHeight="1" x14ac:dyDescent="0.25">
      <c r="A1008" s="37" t="str">
        <f>IF(Agent06_Loans!B18="","",Agent06_Loans!A18)</f>
        <v/>
      </c>
      <c r="B1008" s="37" t="str">
        <f>IF(Agent06_Loans!B18="","",Agent06_Loans!B18)</f>
        <v/>
      </c>
      <c r="C1008" s="37" t="str">
        <f>IF(Agent06_Loans!B18="","",Agent06_Loans!C18)</f>
        <v/>
      </c>
      <c r="D1008" s="38" t="str">
        <f>IF(Agent06_Loans!B18="","",Agent06_Loans!D18)</f>
        <v/>
      </c>
      <c r="E1008" s="40" t="str">
        <f>IF(Agent06_Loans!B18="","",Agent06_Loans!E18)</f>
        <v/>
      </c>
      <c r="F1008" s="37" t="str">
        <f>IF(Agent06_Loans!B18="","",Agent06_Loans!F18)</f>
        <v/>
      </c>
      <c r="G1008" s="37" t="str">
        <f>IF(Agent06_Loans!B18="","",Agent06_Loans!G18)</f>
        <v/>
      </c>
      <c r="H1008" s="37" t="str">
        <f>IF(Agent06_Loans!B18="","",Agent06_Loans!H18)</f>
        <v/>
      </c>
      <c r="I1008" s="40" t="str">
        <f>IF(Agent06_Loans!B18="","",Agent06_Loans!I18)</f>
        <v/>
      </c>
      <c r="J1008" s="40" t="str">
        <f>IF(Agent06_Loans!B18="","",Agent06_Loans!J18)</f>
        <v/>
      </c>
      <c r="K1008" s="37" t="str">
        <f>IF(Agent06_Loans!B18="","",Agent06_Loans!K18)</f>
        <v/>
      </c>
      <c r="L1008" s="37" t="str">
        <f>IF(Agent06_Loans!B18="","",Agent06_Loans!L18)</f>
        <v/>
      </c>
      <c r="M1008" s="37" t="str">
        <f>IFERROR(IF(Agent06_Loans!B18="","",YEAR(Agent06_Loans!D18)),"")</f>
        <v/>
      </c>
    </row>
    <row r="1009" spans="1:13" ht="18" customHeight="1" x14ac:dyDescent="0.25">
      <c r="A1009" s="37" t="str">
        <f>IF(Agent06_Loans!B19="","",Agent06_Loans!A19)</f>
        <v/>
      </c>
      <c r="B1009" s="37" t="str">
        <f>IF(Agent06_Loans!B19="","",Agent06_Loans!B19)</f>
        <v/>
      </c>
      <c r="C1009" s="37" t="str">
        <f>IF(Agent06_Loans!B19="","",Agent06_Loans!C19)</f>
        <v/>
      </c>
      <c r="D1009" s="38" t="str">
        <f>IF(Agent06_Loans!B19="","",Agent06_Loans!D19)</f>
        <v/>
      </c>
      <c r="E1009" s="40" t="str">
        <f>IF(Agent06_Loans!B19="","",Agent06_Loans!E19)</f>
        <v/>
      </c>
      <c r="F1009" s="37" t="str">
        <f>IF(Agent06_Loans!B19="","",Agent06_Loans!F19)</f>
        <v/>
      </c>
      <c r="G1009" s="37" t="str">
        <f>IF(Agent06_Loans!B19="","",Agent06_Loans!G19)</f>
        <v/>
      </c>
      <c r="H1009" s="37" t="str">
        <f>IF(Agent06_Loans!B19="","",Agent06_Loans!H19)</f>
        <v/>
      </c>
      <c r="I1009" s="40" t="str">
        <f>IF(Agent06_Loans!B19="","",Agent06_Loans!I19)</f>
        <v/>
      </c>
      <c r="J1009" s="40" t="str">
        <f>IF(Agent06_Loans!B19="","",Agent06_Loans!J19)</f>
        <v/>
      </c>
      <c r="K1009" s="37" t="str">
        <f>IF(Agent06_Loans!B19="","",Agent06_Loans!K19)</f>
        <v/>
      </c>
      <c r="L1009" s="37" t="str">
        <f>IF(Agent06_Loans!B19="","",Agent06_Loans!L19)</f>
        <v/>
      </c>
      <c r="M1009" s="37" t="str">
        <f>IFERROR(IF(Agent06_Loans!B19="","",YEAR(Agent06_Loans!D19)),"")</f>
        <v/>
      </c>
    </row>
    <row r="1010" spans="1:13" ht="18" customHeight="1" x14ac:dyDescent="0.25">
      <c r="A1010" s="37" t="str">
        <f>IF(Agent06_Loans!B20="","",Agent06_Loans!A20)</f>
        <v/>
      </c>
      <c r="B1010" s="37" t="str">
        <f>IF(Agent06_Loans!B20="","",Agent06_Loans!B20)</f>
        <v/>
      </c>
      <c r="C1010" s="37" t="str">
        <f>IF(Agent06_Loans!B20="","",Agent06_Loans!C20)</f>
        <v/>
      </c>
      <c r="D1010" s="38" t="str">
        <f>IF(Agent06_Loans!B20="","",Agent06_Loans!D20)</f>
        <v/>
      </c>
      <c r="E1010" s="40" t="str">
        <f>IF(Agent06_Loans!B20="","",Agent06_Loans!E20)</f>
        <v/>
      </c>
      <c r="F1010" s="37" t="str">
        <f>IF(Agent06_Loans!B20="","",Agent06_Loans!F20)</f>
        <v/>
      </c>
      <c r="G1010" s="37" t="str">
        <f>IF(Agent06_Loans!B20="","",Agent06_Loans!G20)</f>
        <v/>
      </c>
      <c r="H1010" s="37" t="str">
        <f>IF(Agent06_Loans!B20="","",Agent06_Loans!H20)</f>
        <v/>
      </c>
      <c r="I1010" s="40" t="str">
        <f>IF(Agent06_Loans!B20="","",Agent06_Loans!I20)</f>
        <v/>
      </c>
      <c r="J1010" s="40" t="str">
        <f>IF(Agent06_Loans!B20="","",Agent06_Loans!J20)</f>
        <v/>
      </c>
      <c r="K1010" s="37" t="str">
        <f>IF(Agent06_Loans!B20="","",Agent06_Loans!K20)</f>
        <v/>
      </c>
      <c r="L1010" s="37" t="str">
        <f>IF(Agent06_Loans!B20="","",Agent06_Loans!L20)</f>
        <v/>
      </c>
      <c r="M1010" s="37" t="str">
        <f>IFERROR(IF(Agent06_Loans!B20="","",YEAR(Agent06_Loans!D20)),"")</f>
        <v/>
      </c>
    </row>
    <row r="1011" spans="1:13" ht="18" customHeight="1" x14ac:dyDescent="0.25">
      <c r="A1011" s="37" t="str">
        <f>IF(Agent06_Loans!B21="","",Agent06_Loans!A21)</f>
        <v/>
      </c>
      <c r="B1011" s="37" t="str">
        <f>IF(Agent06_Loans!B21="","",Agent06_Loans!B21)</f>
        <v/>
      </c>
      <c r="C1011" s="37" t="str">
        <f>IF(Agent06_Loans!B21="","",Agent06_Loans!C21)</f>
        <v/>
      </c>
      <c r="D1011" s="38" t="str">
        <f>IF(Agent06_Loans!B21="","",Agent06_Loans!D21)</f>
        <v/>
      </c>
      <c r="E1011" s="40" t="str">
        <f>IF(Agent06_Loans!B21="","",Agent06_Loans!E21)</f>
        <v/>
      </c>
      <c r="F1011" s="37" t="str">
        <f>IF(Agent06_Loans!B21="","",Agent06_Loans!F21)</f>
        <v/>
      </c>
      <c r="G1011" s="37" t="str">
        <f>IF(Agent06_Loans!B21="","",Agent06_Loans!G21)</f>
        <v/>
      </c>
      <c r="H1011" s="37" t="str">
        <f>IF(Agent06_Loans!B21="","",Agent06_Loans!H21)</f>
        <v/>
      </c>
      <c r="I1011" s="40" t="str">
        <f>IF(Agent06_Loans!B21="","",Agent06_Loans!I21)</f>
        <v/>
      </c>
      <c r="J1011" s="40" t="str">
        <f>IF(Agent06_Loans!B21="","",Agent06_Loans!J21)</f>
        <v/>
      </c>
      <c r="K1011" s="37" t="str">
        <f>IF(Agent06_Loans!B21="","",Agent06_Loans!K21)</f>
        <v/>
      </c>
      <c r="L1011" s="37" t="str">
        <f>IF(Agent06_Loans!B21="","",Agent06_Loans!L21)</f>
        <v/>
      </c>
      <c r="M1011" s="37" t="str">
        <f>IFERROR(IF(Agent06_Loans!B21="","",YEAR(Agent06_Loans!D21)),"")</f>
        <v/>
      </c>
    </row>
    <row r="1012" spans="1:13" ht="18" customHeight="1" x14ac:dyDescent="0.25">
      <c r="A1012" s="37" t="str">
        <f>IF(Agent06_Loans!B22="","",Agent06_Loans!A22)</f>
        <v/>
      </c>
      <c r="B1012" s="37" t="str">
        <f>IF(Agent06_Loans!B22="","",Agent06_Loans!B22)</f>
        <v/>
      </c>
      <c r="C1012" s="37" t="str">
        <f>IF(Agent06_Loans!B22="","",Agent06_Loans!C22)</f>
        <v/>
      </c>
      <c r="D1012" s="38" t="str">
        <f>IF(Agent06_Loans!B22="","",Agent06_Loans!D22)</f>
        <v/>
      </c>
      <c r="E1012" s="40" t="str">
        <f>IF(Agent06_Loans!B22="","",Agent06_Loans!E22)</f>
        <v/>
      </c>
      <c r="F1012" s="37" t="str">
        <f>IF(Agent06_Loans!B22="","",Agent06_Loans!F22)</f>
        <v/>
      </c>
      <c r="G1012" s="37" t="str">
        <f>IF(Agent06_Loans!B22="","",Agent06_Loans!G22)</f>
        <v/>
      </c>
      <c r="H1012" s="37" t="str">
        <f>IF(Agent06_Loans!B22="","",Agent06_Loans!H22)</f>
        <v/>
      </c>
      <c r="I1012" s="40" t="str">
        <f>IF(Agent06_Loans!B22="","",Agent06_Loans!I22)</f>
        <v/>
      </c>
      <c r="J1012" s="40" t="str">
        <f>IF(Agent06_Loans!B22="","",Agent06_Loans!J22)</f>
        <v/>
      </c>
      <c r="K1012" s="37" t="str">
        <f>IF(Agent06_Loans!B22="","",Agent06_Loans!K22)</f>
        <v/>
      </c>
      <c r="L1012" s="37" t="str">
        <f>IF(Agent06_Loans!B22="","",Agent06_Loans!L22)</f>
        <v/>
      </c>
      <c r="M1012" s="37" t="str">
        <f>IFERROR(IF(Agent06_Loans!B22="","",YEAR(Agent06_Loans!D22)),"")</f>
        <v/>
      </c>
    </row>
    <row r="1013" spans="1:13" ht="18" customHeight="1" x14ac:dyDescent="0.25">
      <c r="A1013" s="37" t="str">
        <f>IF(Agent06_Loans!B23="","",Agent06_Loans!A23)</f>
        <v/>
      </c>
      <c r="B1013" s="37" t="str">
        <f>IF(Agent06_Loans!B23="","",Agent06_Loans!B23)</f>
        <v/>
      </c>
      <c r="C1013" s="37" t="str">
        <f>IF(Agent06_Loans!B23="","",Agent06_Loans!C23)</f>
        <v/>
      </c>
      <c r="D1013" s="38" t="str">
        <f>IF(Agent06_Loans!B23="","",Agent06_Loans!D23)</f>
        <v/>
      </c>
      <c r="E1013" s="40" t="str">
        <f>IF(Agent06_Loans!B23="","",Agent06_Loans!E23)</f>
        <v/>
      </c>
      <c r="F1013" s="37" t="str">
        <f>IF(Agent06_Loans!B23="","",Agent06_Loans!F23)</f>
        <v/>
      </c>
      <c r="G1013" s="37" t="str">
        <f>IF(Agent06_Loans!B23="","",Agent06_Loans!G23)</f>
        <v/>
      </c>
      <c r="H1013" s="37" t="str">
        <f>IF(Agent06_Loans!B23="","",Agent06_Loans!H23)</f>
        <v/>
      </c>
      <c r="I1013" s="40" t="str">
        <f>IF(Agent06_Loans!B23="","",Agent06_Loans!I23)</f>
        <v/>
      </c>
      <c r="J1013" s="40" t="str">
        <f>IF(Agent06_Loans!B23="","",Agent06_Loans!J23)</f>
        <v/>
      </c>
      <c r="K1013" s="37" t="str">
        <f>IF(Agent06_Loans!B23="","",Agent06_Loans!K23)</f>
        <v/>
      </c>
      <c r="L1013" s="37" t="str">
        <f>IF(Agent06_Loans!B23="","",Agent06_Loans!L23)</f>
        <v/>
      </c>
      <c r="M1013" s="37" t="str">
        <f>IFERROR(IF(Agent06_Loans!B23="","",YEAR(Agent06_Loans!D23)),"")</f>
        <v/>
      </c>
    </row>
    <row r="1014" spans="1:13" ht="18" customHeight="1" x14ac:dyDescent="0.25">
      <c r="A1014" s="37" t="str">
        <f>IF(Agent06_Loans!B24="","",Agent06_Loans!A24)</f>
        <v/>
      </c>
      <c r="B1014" s="37" t="str">
        <f>IF(Agent06_Loans!B24="","",Agent06_Loans!B24)</f>
        <v/>
      </c>
      <c r="C1014" s="37" t="str">
        <f>IF(Agent06_Loans!B24="","",Agent06_Loans!C24)</f>
        <v/>
      </c>
      <c r="D1014" s="38" t="str">
        <f>IF(Agent06_Loans!B24="","",Agent06_Loans!D24)</f>
        <v/>
      </c>
      <c r="E1014" s="40" t="str">
        <f>IF(Agent06_Loans!B24="","",Agent06_Loans!E24)</f>
        <v/>
      </c>
      <c r="F1014" s="37" t="str">
        <f>IF(Agent06_Loans!B24="","",Agent06_Loans!F24)</f>
        <v/>
      </c>
      <c r="G1014" s="37" t="str">
        <f>IF(Agent06_Loans!B24="","",Agent06_Loans!G24)</f>
        <v/>
      </c>
      <c r="H1014" s="37" t="str">
        <f>IF(Agent06_Loans!B24="","",Agent06_Loans!H24)</f>
        <v/>
      </c>
      <c r="I1014" s="40" t="str">
        <f>IF(Agent06_Loans!B24="","",Agent06_Loans!I24)</f>
        <v/>
      </c>
      <c r="J1014" s="40" t="str">
        <f>IF(Agent06_Loans!B24="","",Agent06_Loans!J24)</f>
        <v/>
      </c>
      <c r="K1014" s="37" t="str">
        <f>IF(Agent06_Loans!B24="","",Agent06_Loans!K24)</f>
        <v/>
      </c>
      <c r="L1014" s="37" t="str">
        <f>IF(Agent06_Loans!B24="","",Agent06_Loans!L24)</f>
        <v/>
      </c>
      <c r="M1014" s="37" t="str">
        <f>IFERROR(IF(Agent06_Loans!B24="","",YEAR(Agent06_Loans!D24)),"")</f>
        <v/>
      </c>
    </row>
    <row r="1015" spans="1:13" ht="18" customHeight="1" x14ac:dyDescent="0.25">
      <c r="A1015" s="37" t="str">
        <f>IF(Agent06_Loans!B25="","",Agent06_Loans!A25)</f>
        <v/>
      </c>
      <c r="B1015" s="37" t="str">
        <f>IF(Agent06_Loans!B25="","",Agent06_Loans!B25)</f>
        <v/>
      </c>
      <c r="C1015" s="37" t="str">
        <f>IF(Agent06_Loans!B25="","",Agent06_Loans!C25)</f>
        <v/>
      </c>
      <c r="D1015" s="38" t="str">
        <f>IF(Agent06_Loans!B25="","",Agent06_Loans!D25)</f>
        <v/>
      </c>
      <c r="E1015" s="40" t="str">
        <f>IF(Agent06_Loans!B25="","",Agent06_Loans!E25)</f>
        <v/>
      </c>
      <c r="F1015" s="37" t="str">
        <f>IF(Agent06_Loans!B25="","",Agent06_Loans!F25)</f>
        <v/>
      </c>
      <c r="G1015" s="37" t="str">
        <f>IF(Agent06_Loans!B25="","",Agent06_Loans!G25)</f>
        <v/>
      </c>
      <c r="H1015" s="37" t="str">
        <f>IF(Agent06_Loans!B25="","",Agent06_Loans!H25)</f>
        <v/>
      </c>
      <c r="I1015" s="40" t="str">
        <f>IF(Agent06_Loans!B25="","",Agent06_Loans!I25)</f>
        <v/>
      </c>
      <c r="J1015" s="40" t="str">
        <f>IF(Agent06_Loans!B25="","",Agent06_Loans!J25)</f>
        <v/>
      </c>
      <c r="K1015" s="37" t="str">
        <f>IF(Agent06_Loans!B25="","",Agent06_Loans!K25)</f>
        <v/>
      </c>
      <c r="L1015" s="37" t="str">
        <f>IF(Agent06_Loans!B25="","",Agent06_Loans!L25)</f>
        <v/>
      </c>
      <c r="M1015" s="37" t="str">
        <f>IFERROR(IF(Agent06_Loans!B25="","",YEAR(Agent06_Loans!D25)),"")</f>
        <v/>
      </c>
    </row>
    <row r="1016" spans="1:13" ht="18" customHeight="1" x14ac:dyDescent="0.25">
      <c r="A1016" s="37" t="str">
        <f>IF(Agent06_Loans!B26="","",Agent06_Loans!A26)</f>
        <v/>
      </c>
      <c r="B1016" s="37" t="str">
        <f>IF(Agent06_Loans!B26="","",Agent06_Loans!B26)</f>
        <v/>
      </c>
      <c r="C1016" s="37" t="str">
        <f>IF(Agent06_Loans!B26="","",Agent06_Loans!C26)</f>
        <v/>
      </c>
      <c r="D1016" s="38" t="str">
        <f>IF(Agent06_Loans!B26="","",Agent06_Loans!D26)</f>
        <v/>
      </c>
      <c r="E1016" s="40" t="str">
        <f>IF(Agent06_Loans!B26="","",Agent06_Loans!E26)</f>
        <v/>
      </c>
      <c r="F1016" s="37" t="str">
        <f>IF(Agent06_Loans!B26="","",Agent06_Loans!F26)</f>
        <v/>
      </c>
      <c r="G1016" s="37" t="str">
        <f>IF(Agent06_Loans!B26="","",Agent06_Loans!G26)</f>
        <v/>
      </c>
      <c r="H1016" s="37" t="str">
        <f>IF(Agent06_Loans!B26="","",Agent06_Loans!H26)</f>
        <v/>
      </c>
      <c r="I1016" s="40" t="str">
        <f>IF(Agent06_Loans!B26="","",Agent06_Loans!I26)</f>
        <v/>
      </c>
      <c r="J1016" s="40" t="str">
        <f>IF(Agent06_Loans!B26="","",Agent06_Loans!J26)</f>
        <v/>
      </c>
      <c r="K1016" s="37" t="str">
        <f>IF(Agent06_Loans!B26="","",Agent06_Loans!K26)</f>
        <v/>
      </c>
      <c r="L1016" s="37" t="str">
        <f>IF(Agent06_Loans!B26="","",Agent06_Loans!L26)</f>
        <v/>
      </c>
      <c r="M1016" s="37" t="str">
        <f>IFERROR(IF(Agent06_Loans!B26="","",YEAR(Agent06_Loans!D26)),"")</f>
        <v/>
      </c>
    </row>
    <row r="1017" spans="1:13" ht="18" customHeight="1" x14ac:dyDescent="0.25">
      <c r="A1017" s="37" t="str">
        <f>IF(Agent06_Loans!B27="","",Agent06_Loans!A27)</f>
        <v/>
      </c>
      <c r="B1017" s="37" t="str">
        <f>IF(Agent06_Loans!B27="","",Agent06_Loans!B27)</f>
        <v/>
      </c>
      <c r="C1017" s="37" t="str">
        <f>IF(Agent06_Loans!B27="","",Agent06_Loans!C27)</f>
        <v/>
      </c>
      <c r="D1017" s="38" t="str">
        <f>IF(Agent06_Loans!B27="","",Agent06_Loans!D27)</f>
        <v/>
      </c>
      <c r="E1017" s="40" t="str">
        <f>IF(Agent06_Loans!B27="","",Agent06_Loans!E27)</f>
        <v/>
      </c>
      <c r="F1017" s="37" t="str">
        <f>IF(Agent06_Loans!B27="","",Agent06_Loans!F27)</f>
        <v/>
      </c>
      <c r="G1017" s="37" t="str">
        <f>IF(Agent06_Loans!B27="","",Agent06_Loans!G27)</f>
        <v/>
      </c>
      <c r="H1017" s="37" t="str">
        <f>IF(Agent06_Loans!B27="","",Agent06_Loans!H27)</f>
        <v/>
      </c>
      <c r="I1017" s="40" t="str">
        <f>IF(Agent06_Loans!B27="","",Agent06_Loans!I27)</f>
        <v/>
      </c>
      <c r="J1017" s="40" t="str">
        <f>IF(Agent06_Loans!B27="","",Agent06_Loans!J27)</f>
        <v/>
      </c>
      <c r="K1017" s="37" t="str">
        <f>IF(Agent06_Loans!B27="","",Agent06_Loans!K27)</f>
        <v/>
      </c>
      <c r="L1017" s="37" t="str">
        <f>IF(Agent06_Loans!B27="","",Agent06_Loans!L27)</f>
        <v/>
      </c>
      <c r="M1017" s="37" t="str">
        <f>IFERROR(IF(Agent06_Loans!B27="","",YEAR(Agent06_Loans!D27)),"")</f>
        <v/>
      </c>
    </row>
    <row r="1018" spans="1:13" ht="18" customHeight="1" x14ac:dyDescent="0.25">
      <c r="A1018" s="37" t="str">
        <f>IF(Agent06_Loans!B28="","",Agent06_Loans!A28)</f>
        <v/>
      </c>
      <c r="B1018" s="37" t="str">
        <f>IF(Agent06_Loans!B28="","",Agent06_Loans!B28)</f>
        <v/>
      </c>
      <c r="C1018" s="37" t="str">
        <f>IF(Agent06_Loans!B28="","",Agent06_Loans!C28)</f>
        <v/>
      </c>
      <c r="D1018" s="38" t="str">
        <f>IF(Agent06_Loans!B28="","",Agent06_Loans!D28)</f>
        <v/>
      </c>
      <c r="E1018" s="40" t="str">
        <f>IF(Agent06_Loans!B28="","",Agent06_Loans!E28)</f>
        <v/>
      </c>
      <c r="F1018" s="37" t="str">
        <f>IF(Agent06_Loans!B28="","",Agent06_Loans!F28)</f>
        <v/>
      </c>
      <c r="G1018" s="37" t="str">
        <f>IF(Agent06_Loans!B28="","",Agent06_Loans!G28)</f>
        <v/>
      </c>
      <c r="H1018" s="37" t="str">
        <f>IF(Agent06_Loans!B28="","",Agent06_Loans!H28)</f>
        <v/>
      </c>
      <c r="I1018" s="40" t="str">
        <f>IF(Agent06_Loans!B28="","",Agent06_Loans!I28)</f>
        <v/>
      </c>
      <c r="J1018" s="40" t="str">
        <f>IF(Agent06_Loans!B28="","",Agent06_Loans!J28)</f>
        <v/>
      </c>
      <c r="K1018" s="37" t="str">
        <f>IF(Agent06_Loans!B28="","",Agent06_Loans!K28)</f>
        <v/>
      </c>
      <c r="L1018" s="37" t="str">
        <f>IF(Agent06_Loans!B28="","",Agent06_Loans!L28)</f>
        <v/>
      </c>
      <c r="M1018" s="37" t="str">
        <f>IFERROR(IF(Agent06_Loans!B28="","",YEAR(Agent06_Loans!D28)),"")</f>
        <v/>
      </c>
    </row>
    <row r="1019" spans="1:13" ht="18" customHeight="1" x14ac:dyDescent="0.25">
      <c r="A1019" s="37" t="str">
        <f>IF(Agent06_Loans!B29="","",Agent06_Loans!A29)</f>
        <v/>
      </c>
      <c r="B1019" s="37" t="str">
        <f>IF(Agent06_Loans!B29="","",Agent06_Loans!B29)</f>
        <v/>
      </c>
      <c r="C1019" s="37" t="str">
        <f>IF(Agent06_Loans!B29="","",Agent06_Loans!C29)</f>
        <v/>
      </c>
      <c r="D1019" s="38" t="str">
        <f>IF(Agent06_Loans!B29="","",Agent06_Loans!D29)</f>
        <v/>
      </c>
      <c r="E1019" s="40" t="str">
        <f>IF(Agent06_Loans!B29="","",Agent06_Loans!E29)</f>
        <v/>
      </c>
      <c r="F1019" s="37" t="str">
        <f>IF(Agent06_Loans!B29="","",Agent06_Loans!F29)</f>
        <v/>
      </c>
      <c r="G1019" s="37" t="str">
        <f>IF(Agent06_Loans!B29="","",Agent06_Loans!G29)</f>
        <v/>
      </c>
      <c r="H1019" s="37" t="str">
        <f>IF(Agent06_Loans!B29="","",Agent06_Loans!H29)</f>
        <v/>
      </c>
      <c r="I1019" s="40" t="str">
        <f>IF(Agent06_Loans!B29="","",Agent06_Loans!I29)</f>
        <v/>
      </c>
      <c r="J1019" s="40" t="str">
        <f>IF(Agent06_Loans!B29="","",Agent06_Loans!J29)</f>
        <v/>
      </c>
      <c r="K1019" s="37" t="str">
        <f>IF(Agent06_Loans!B29="","",Agent06_Loans!K29)</f>
        <v/>
      </c>
      <c r="L1019" s="37" t="str">
        <f>IF(Agent06_Loans!B29="","",Agent06_Loans!L29)</f>
        <v/>
      </c>
      <c r="M1019" s="37" t="str">
        <f>IFERROR(IF(Agent06_Loans!B29="","",YEAR(Agent06_Loans!D29)),"")</f>
        <v/>
      </c>
    </row>
    <row r="1020" spans="1:13" ht="18" customHeight="1" x14ac:dyDescent="0.25">
      <c r="A1020" s="37" t="str">
        <f>IF(Agent06_Loans!B30="","",Agent06_Loans!A30)</f>
        <v/>
      </c>
      <c r="B1020" s="37" t="str">
        <f>IF(Agent06_Loans!B30="","",Agent06_Loans!B30)</f>
        <v/>
      </c>
      <c r="C1020" s="37" t="str">
        <f>IF(Agent06_Loans!B30="","",Agent06_Loans!C30)</f>
        <v/>
      </c>
      <c r="D1020" s="38" t="str">
        <f>IF(Agent06_Loans!B30="","",Agent06_Loans!D30)</f>
        <v/>
      </c>
      <c r="E1020" s="40" t="str">
        <f>IF(Agent06_Loans!B30="","",Agent06_Loans!E30)</f>
        <v/>
      </c>
      <c r="F1020" s="37" t="str">
        <f>IF(Agent06_Loans!B30="","",Agent06_Loans!F30)</f>
        <v/>
      </c>
      <c r="G1020" s="37" t="str">
        <f>IF(Agent06_Loans!B30="","",Agent06_Loans!G30)</f>
        <v/>
      </c>
      <c r="H1020" s="37" t="str">
        <f>IF(Agent06_Loans!B30="","",Agent06_Loans!H30)</f>
        <v/>
      </c>
      <c r="I1020" s="40" t="str">
        <f>IF(Agent06_Loans!B30="","",Agent06_Loans!I30)</f>
        <v/>
      </c>
      <c r="J1020" s="40" t="str">
        <f>IF(Agent06_Loans!B30="","",Agent06_Loans!J30)</f>
        <v/>
      </c>
      <c r="K1020" s="37" t="str">
        <f>IF(Agent06_Loans!B30="","",Agent06_Loans!K30)</f>
        <v/>
      </c>
      <c r="L1020" s="37" t="str">
        <f>IF(Agent06_Loans!B30="","",Agent06_Loans!L30)</f>
        <v/>
      </c>
      <c r="M1020" s="37" t="str">
        <f>IFERROR(IF(Agent06_Loans!B30="","",YEAR(Agent06_Loans!D30)),"")</f>
        <v/>
      </c>
    </row>
    <row r="1021" spans="1:13" ht="18" customHeight="1" x14ac:dyDescent="0.25">
      <c r="A1021" s="37" t="str">
        <f>IF(Agent06_Loans!B31="","",Agent06_Loans!A31)</f>
        <v/>
      </c>
      <c r="B1021" s="37" t="str">
        <f>IF(Agent06_Loans!B31="","",Agent06_Loans!B31)</f>
        <v/>
      </c>
      <c r="C1021" s="37" t="str">
        <f>IF(Agent06_Loans!B31="","",Agent06_Loans!C31)</f>
        <v/>
      </c>
      <c r="D1021" s="38" t="str">
        <f>IF(Agent06_Loans!B31="","",Agent06_Loans!D31)</f>
        <v/>
      </c>
      <c r="E1021" s="40" t="str">
        <f>IF(Agent06_Loans!B31="","",Agent06_Loans!E31)</f>
        <v/>
      </c>
      <c r="F1021" s="37" t="str">
        <f>IF(Agent06_Loans!B31="","",Agent06_Loans!F31)</f>
        <v/>
      </c>
      <c r="G1021" s="37" t="str">
        <f>IF(Agent06_Loans!B31="","",Agent06_Loans!G31)</f>
        <v/>
      </c>
      <c r="H1021" s="37" t="str">
        <f>IF(Agent06_Loans!B31="","",Agent06_Loans!H31)</f>
        <v/>
      </c>
      <c r="I1021" s="40" t="str">
        <f>IF(Agent06_Loans!B31="","",Agent06_Loans!I31)</f>
        <v/>
      </c>
      <c r="J1021" s="40" t="str">
        <f>IF(Agent06_Loans!B31="","",Agent06_Loans!J31)</f>
        <v/>
      </c>
      <c r="K1021" s="37" t="str">
        <f>IF(Agent06_Loans!B31="","",Agent06_Loans!K31)</f>
        <v/>
      </c>
      <c r="L1021" s="37" t="str">
        <f>IF(Agent06_Loans!B31="","",Agent06_Loans!L31)</f>
        <v/>
      </c>
      <c r="M1021" s="37" t="str">
        <f>IFERROR(IF(Agent06_Loans!B31="","",YEAR(Agent06_Loans!D31)),"")</f>
        <v/>
      </c>
    </row>
    <row r="1022" spans="1:13" ht="18" customHeight="1" x14ac:dyDescent="0.25">
      <c r="A1022" s="37" t="str">
        <f>IF(Agent06_Loans!B32="","",Agent06_Loans!A32)</f>
        <v/>
      </c>
      <c r="B1022" s="37" t="str">
        <f>IF(Agent06_Loans!B32="","",Agent06_Loans!B32)</f>
        <v/>
      </c>
      <c r="C1022" s="37" t="str">
        <f>IF(Agent06_Loans!B32="","",Agent06_Loans!C32)</f>
        <v/>
      </c>
      <c r="D1022" s="38" t="str">
        <f>IF(Agent06_Loans!B32="","",Agent06_Loans!D32)</f>
        <v/>
      </c>
      <c r="E1022" s="40" t="str">
        <f>IF(Agent06_Loans!B32="","",Agent06_Loans!E32)</f>
        <v/>
      </c>
      <c r="F1022" s="37" t="str">
        <f>IF(Agent06_Loans!B32="","",Agent06_Loans!F32)</f>
        <v/>
      </c>
      <c r="G1022" s="37" t="str">
        <f>IF(Agent06_Loans!B32="","",Agent06_Loans!G32)</f>
        <v/>
      </c>
      <c r="H1022" s="37" t="str">
        <f>IF(Agent06_Loans!B32="","",Agent06_Loans!H32)</f>
        <v/>
      </c>
      <c r="I1022" s="40" t="str">
        <f>IF(Agent06_Loans!B32="","",Agent06_Loans!I32)</f>
        <v/>
      </c>
      <c r="J1022" s="40" t="str">
        <f>IF(Agent06_Loans!B32="","",Agent06_Loans!J32)</f>
        <v/>
      </c>
      <c r="K1022" s="37" t="str">
        <f>IF(Agent06_Loans!B32="","",Agent06_Loans!K32)</f>
        <v/>
      </c>
      <c r="L1022" s="37" t="str">
        <f>IF(Agent06_Loans!B32="","",Agent06_Loans!L32)</f>
        <v/>
      </c>
      <c r="M1022" s="37" t="str">
        <f>IFERROR(IF(Agent06_Loans!B32="","",YEAR(Agent06_Loans!D32)),"")</f>
        <v/>
      </c>
    </row>
    <row r="1023" spans="1:13" ht="18" customHeight="1" x14ac:dyDescent="0.25">
      <c r="A1023" s="37" t="str">
        <f>IF(Agent06_Loans!B33="","",Agent06_Loans!A33)</f>
        <v/>
      </c>
      <c r="B1023" s="37" t="str">
        <f>IF(Agent06_Loans!B33="","",Agent06_Loans!B33)</f>
        <v/>
      </c>
      <c r="C1023" s="37" t="str">
        <f>IF(Agent06_Loans!B33="","",Agent06_Loans!C33)</f>
        <v/>
      </c>
      <c r="D1023" s="38" t="str">
        <f>IF(Agent06_Loans!B33="","",Agent06_Loans!D33)</f>
        <v/>
      </c>
      <c r="E1023" s="40" t="str">
        <f>IF(Agent06_Loans!B33="","",Agent06_Loans!E33)</f>
        <v/>
      </c>
      <c r="F1023" s="37" t="str">
        <f>IF(Agent06_Loans!B33="","",Agent06_Loans!F33)</f>
        <v/>
      </c>
      <c r="G1023" s="37" t="str">
        <f>IF(Agent06_Loans!B33="","",Agent06_Loans!G33)</f>
        <v/>
      </c>
      <c r="H1023" s="37" t="str">
        <f>IF(Agent06_Loans!B33="","",Agent06_Loans!H33)</f>
        <v/>
      </c>
      <c r="I1023" s="40" t="str">
        <f>IF(Agent06_Loans!B33="","",Agent06_Loans!I33)</f>
        <v/>
      </c>
      <c r="J1023" s="40" t="str">
        <f>IF(Agent06_Loans!B33="","",Agent06_Loans!J33)</f>
        <v/>
      </c>
      <c r="K1023" s="37" t="str">
        <f>IF(Agent06_Loans!B33="","",Agent06_Loans!K33)</f>
        <v/>
      </c>
      <c r="L1023" s="37" t="str">
        <f>IF(Agent06_Loans!B33="","",Agent06_Loans!L33)</f>
        <v/>
      </c>
      <c r="M1023" s="37" t="str">
        <f>IFERROR(IF(Agent06_Loans!B33="","",YEAR(Agent06_Loans!D33)),"")</f>
        <v/>
      </c>
    </row>
    <row r="1024" spans="1:13" ht="18" customHeight="1" x14ac:dyDescent="0.25">
      <c r="A1024" s="37" t="str">
        <f>IF(Agent06_Loans!B34="","",Agent06_Loans!A34)</f>
        <v/>
      </c>
      <c r="B1024" s="37" t="str">
        <f>IF(Agent06_Loans!B34="","",Agent06_Loans!B34)</f>
        <v/>
      </c>
      <c r="C1024" s="37" t="str">
        <f>IF(Agent06_Loans!B34="","",Agent06_Loans!C34)</f>
        <v/>
      </c>
      <c r="D1024" s="38" t="str">
        <f>IF(Agent06_Loans!B34="","",Agent06_Loans!D34)</f>
        <v/>
      </c>
      <c r="E1024" s="40" t="str">
        <f>IF(Agent06_Loans!B34="","",Agent06_Loans!E34)</f>
        <v/>
      </c>
      <c r="F1024" s="37" t="str">
        <f>IF(Agent06_Loans!B34="","",Agent06_Loans!F34)</f>
        <v/>
      </c>
      <c r="G1024" s="37" t="str">
        <f>IF(Agent06_Loans!B34="","",Agent06_Loans!G34)</f>
        <v/>
      </c>
      <c r="H1024" s="37" t="str">
        <f>IF(Agent06_Loans!B34="","",Agent06_Loans!H34)</f>
        <v/>
      </c>
      <c r="I1024" s="40" t="str">
        <f>IF(Agent06_Loans!B34="","",Agent06_Loans!I34)</f>
        <v/>
      </c>
      <c r="J1024" s="40" t="str">
        <f>IF(Agent06_Loans!B34="","",Agent06_Loans!J34)</f>
        <v/>
      </c>
      <c r="K1024" s="37" t="str">
        <f>IF(Agent06_Loans!B34="","",Agent06_Loans!K34)</f>
        <v/>
      </c>
      <c r="L1024" s="37" t="str">
        <f>IF(Agent06_Loans!B34="","",Agent06_Loans!L34)</f>
        <v/>
      </c>
      <c r="M1024" s="37" t="str">
        <f>IFERROR(IF(Agent06_Loans!B34="","",YEAR(Agent06_Loans!D34)),"")</f>
        <v/>
      </c>
    </row>
    <row r="1025" spans="1:13" ht="18" customHeight="1" x14ac:dyDescent="0.25">
      <c r="A1025" s="37" t="str">
        <f>IF(Agent06_Loans!B35="","",Agent06_Loans!A35)</f>
        <v/>
      </c>
      <c r="B1025" s="37" t="str">
        <f>IF(Agent06_Loans!B35="","",Agent06_Loans!B35)</f>
        <v/>
      </c>
      <c r="C1025" s="37" t="str">
        <f>IF(Agent06_Loans!B35="","",Agent06_Loans!C35)</f>
        <v/>
      </c>
      <c r="D1025" s="38" t="str">
        <f>IF(Agent06_Loans!B35="","",Agent06_Loans!D35)</f>
        <v/>
      </c>
      <c r="E1025" s="40" t="str">
        <f>IF(Agent06_Loans!B35="","",Agent06_Loans!E35)</f>
        <v/>
      </c>
      <c r="F1025" s="37" t="str">
        <f>IF(Agent06_Loans!B35="","",Agent06_Loans!F35)</f>
        <v/>
      </c>
      <c r="G1025" s="37" t="str">
        <f>IF(Agent06_Loans!B35="","",Agent06_Loans!G35)</f>
        <v/>
      </c>
      <c r="H1025" s="37" t="str">
        <f>IF(Agent06_Loans!B35="","",Agent06_Loans!H35)</f>
        <v/>
      </c>
      <c r="I1025" s="40" t="str">
        <f>IF(Agent06_Loans!B35="","",Agent06_Loans!I35)</f>
        <v/>
      </c>
      <c r="J1025" s="40" t="str">
        <f>IF(Agent06_Loans!B35="","",Agent06_Loans!J35)</f>
        <v/>
      </c>
      <c r="K1025" s="37" t="str">
        <f>IF(Agent06_Loans!B35="","",Agent06_Loans!K35)</f>
        <v/>
      </c>
      <c r="L1025" s="37" t="str">
        <f>IF(Agent06_Loans!B35="","",Agent06_Loans!L35)</f>
        <v/>
      </c>
      <c r="M1025" s="37" t="str">
        <f>IFERROR(IF(Agent06_Loans!B35="","",YEAR(Agent06_Loans!D35)),"")</f>
        <v/>
      </c>
    </row>
    <row r="1026" spans="1:13" ht="18" customHeight="1" x14ac:dyDescent="0.25">
      <c r="A1026" s="37" t="str">
        <f>IF(Agent06_Loans!B36="","",Agent06_Loans!A36)</f>
        <v/>
      </c>
      <c r="B1026" s="37" t="str">
        <f>IF(Agent06_Loans!B36="","",Agent06_Loans!B36)</f>
        <v/>
      </c>
      <c r="C1026" s="37" t="str">
        <f>IF(Agent06_Loans!B36="","",Agent06_Loans!C36)</f>
        <v/>
      </c>
      <c r="D1026" s="38" t="str">
        <f>IF(Agent06_Loans!B36="","",Agent06_Loans!D36)</f>
        <v/>
      </c>
      <c r="E1026" s="40" t="str">
        <f>IF(Agent06_Loans!B36="","",Agent06_Loans!E36)</f>
        <v/>
      </c>
      <c r="F1026" s="37" t="str">
        <f>IF(Agent06_Loans!B36="","",Agent06_Loans!F36)</f>
        <v/>
      </c>
      <c r="G1026" s="37" t="str">
        <f>IF(Agent06_Loans!B36="","",Agent06_Loans!G36)</f>
        <v/>
      </c>
      <c r="H1026" s="37" t="str">
        <f>IF(Agent06_Loans!B36="","",Agent06_Loans!H36)</f>
        <v/>
      </c>
      <c r="I1026" s="40" t="str">
        <f>IF(Agent06_Loans!B36="","",Agent06_Loans!I36)</f>
        <v/>
      </c>
      <c r="J1026" s="40" t="str">
        <f>IF(Agent06_Loans!B36="","",Agent06_Loans!J36)</f>
        <v/>
      </c>
      <c r="K1026" s="37" t="str">
        <f>IF(Agent06_Loans!B36="","",Agent06_Loans!K36)</f>
        <v/>
      </c>
      <c r="L1026" s="37" t="str">
        <f>IF(Agent06_Loans!B36="","",Agent06_Loans!L36)</f>
        <v/>
      </c>
      <c r="M1026" s="37" t="str">
        <f>IFERROR(IF(Agent06_Loans!B36="","",YEAR(Agent06_Loans!D36)),"")</f>
        <v/>
      </c>
    </row>
    <row r="1027" spans="1:13" ht="18" customHeight="1" x14ac:dyDescent="0.25">
      <c r="A1027" s="37" t="str">
        <f>IF(Agent06_Loans!B37="","",Agent06_Loans!A37)</f>
        <v/>
      </c>
      <c r="B1027" s="37" t="str">
        <f>IF(Agent06_Loans!B37="","",Agent06_Loans!B37)</f>
        <v/>
      </c>
      <c r="C1027" s="37" t="str">
        <f>IF(Agent06_Loans!B37="","",Agent06_Loans!C37)</f>
        <v/>
      </c>
      <c r="D1027" s="38" t="str">
        <f>IF(Agent06_Loans!B37="","",Agent06_Loans!D37)</f>
        <v/>
      </c>
      <c r="E1027" s="40" t="str">
        <f>IF(Agent06_Loans!B37="","",Agent06_Loans!E37)</f>
        <v/>
      </c>
      <c r="F1027" s="37" t="str">
        <f>IF(Agent06_Loans!B37="","",Agent06_Loans!F37)</f>
        <v/>
      </c>
      <c r="G1027" s="37" t="str">
        <f>IF(Agent06_Loans!B37="","",Agent06_Loans!G37)</f>
        <v/>
      </c>
      <c r="H1027" s="37" t="str">
        <f>IF(Agent06_Loans!B37="","",Agent06_Loans!H37)</f>
        <v/>
      </c>
      <c r="I1027" s="40" t="str">
        <f>IF(Agent06_Loans!B37="","",Agent06_Loans!I37)</f>
        <v/>
      </c>
      <c r="J1027" s="40" t="str">
        <f>IF(Agent06_Loans!B37="","",Agent06_Loans!J37)</f>
        <v/>
      </c>
      <c r="K1027" s="37" t="str">
        <f>IF(Agent06_Loans!B37="","",Agent06_Loans!K37)</f>
        <v/>
      </c>
      <c r="L1027" s="37" t="str">
        <f>IF(Agent06_Loans!B37="","",Agent06_Loans!L37)</f>
        <v/>
      </c>
      <c r="M1027" s="37" t="str">
        <f>IFERROR(IF(Agent06_Loans!B37="","",YEAR(Agent06_Loans!D37)),"")</f>
        <v/>
      </c>
    </row>
    <row r="1028" spans="1:13" ht="18" customHeight="1" x14ac:dyDescent="0.25">
      <c r="A1028" s="37" t="str">
        <f>IF(Agent06_Loans!B38="","",Agent06_Loans!A38)</f>
        <v/>
      </c>
      <c r="B1028" s="37" t="str">
        <f>IF(Agent06_Loans!B38="","",Agent06_Loans!B38)</f>
        <v/>
      </c>
      <c r="C1028" s="37" t="str">
        <f>IF(Agent06_Loans!B38="","",Agent06_Loans!C38)</f>
        <v/>
      </c>
      <c r="D1028" s="38" t="str">
        <f>IF(Agent06_Loans!B38="","",Agent06_Loans!D38)</f>
        <v/>
      </c>
      <c r="E1028" s="40" t="str">
        <f>IF(Agent06_Loans!B38="","",Agent06_Loans!E38)</f>
        <v/>
      </c>
      <c r="F1028" s="37" t="str">
        <f>IF(Agent06_Loans!B38="","",Agent06_Loans!F38)</f>
        <v/>
      </c>
      <c r="G1028" s="37" t="str">
        <f>IF(Agent06_Loans!B38="","",Agent06_Loans!G38)</f>
        <v/>
      </c>
      <c r="H1028" s="37" t="str">
        <f>IF(Agent06_Loans!B38="","",Agent06_Loans!H38)</f>
        <v/>
      </c>
      <c r="I1028" s="40" t="str">
        <f>IF(Agent06_Loans!B38="","",Agent06_Loans!I38)</f>
        <v/>
      </c>
      <c r="J1028" s="40" t="str">
        <f>IF(Agent06_Loans!B38="","",Agent06_Loans!J38)</f>
        <v/>
      </c>
      <c r="K1028" s="37" t="str">
        <f>IF(Agent06_Loans!B38="","",Agent06_Loans!K38)</f>
        <v/>
      </c>
      <c r="L1028" s="37" t="str">
        <f>IF(Agent06_Loans!B38="","",Agent06_Loans!L38)</f>
        <v/>
      </c>
      <c r="M1028" s="37" t="str">
        <f>IFERROR(IF(Agent06_Loans!B38="","",YEAR(Agent06_Loans!D38)),"")</f>
        <v/>
      </c>
    </row>
    <row r="1029" spans="1:13" ht="18" customHeight="1" x14ac:dyDescent="0.25">
      <c r="A1029" s="37" t="str">
        <f>IF(Agent06_Loans!B39="","",Agent06_Loans!A39)</f>
        <v/>
      </c>
      <c r="B1029" s="37" t="str">
        <f>IF(Agent06_Loans!B39="","",Agent06_Loans!B39)</f>
        <v/>
      </c>
      <c r="C1029" s="37" t="str">
        <f>IF(Agent06_Loans!B39="","",Agent06_Loans!C39)</f>
        <v/>
      </c>
      <c r="D1029" s="38" t="str">
        <f>IF(Agent06_Loans!B39="","",Agent06_Loans!D39)</f>
        <v/>
      </c>
      <c r="E1029" s="40" t="str">
        <f>IF(Agent06_Loans!B39="","",Agent06_Loans!E39)</f>
        <v/>
      </c>
      <c r="F1029" s="37" t="str">
        <f>IF(Agent06_Loans!B39="","",Agent06_Loans!F39)</f>
        <v/>
      </c>
      <c r="G1029" s="37" t="str">
        <f>IF(Agent06_Loans!B39="","",Agent06_Loans!G39)</f>
        <v/>
      </c>
      <c r="H1029" s="37" t="str">
        <f>IF(Agent06_Loans!B39="","",Agent06_Loans!H39)</f>
        <v/>
      </c>
      <c r="I1029" s="40" t="str">
        <f>IF(Agent06_Loans!B39="","",Agent06_Loans!I39)</f>
        <v/>
      </c>
      <c r="J1029" s="40" t="str">
        <f>IF(Agent06_Loans!B39="","",Agent06_Loans!J39)</f>
        <v/>
      </c>
      <c r="K1029" s="37" t="str">
        <f>IF(Agent06_Loans!B39="","",Agent06_Loans!K39)</f>
        <v/>
      </c>
      <c r="L1029" s="37" t="str">
        <f>IF(Agent06_Loans!B39="","",Agent06_Loans!L39)</f>
        <v/>
      </c>
      <c r="M1029" s="37" t="str">
        <f>IFERROR(IF(Agent06_Loans!B39="","",YEAR(Agent06_Loans!D39)),"")</f>
        <v/>
      </c>
    </row>
    <row r="1030" spans="1:13" ht="18" customHeight="1" x14ac:dyDescent="0.25">
      <c r="A1030" s="37" t="str">
        <f>IF(Agent06_Loans!B40="","",Agent06_Loans!A40)</f>
        <v/>
      </c>
      <c r="B1030" s="37" t="str">
        <f>IF(Agent06_Loans!B40="","",Agent06_Loans!B40)</f>
        <v/>
      </c>
      <c r="C1030" s="37" t="str">
        <f>IF(Agent06_Loans!B40="","",Agent06_Loans!C40)</f>
        <v/>
      </c>
      <c r="D1030" s="38" t="str">
        <f>IF(Agent06_Loans!B40="","",Agent06_Loans!D40)</f>
        <v/>
      </c>
      <c r="E1030" s="40" t="str">
        <f>IF(Agent06_Loans!B40="","",Agent06_Loans!E40)</f>
        <v/>
      </c>
      <c r="F1030" s="37" t="str">
        <f>IF(Agent06_Loans!B40="","",Agent06_Loans!F40)</f>
        <v/>
      </c>
      <c r="G1030" s="37" t="str">
        <f>IF(Agent06_Loans!B40="","",Agent06_Loans!G40)</f>
        <v/>
      </c>
      <c r="H1030" s="37" t="str">
        <f>IF(Agent06_Loans!B40="","",Agent06_Loans!H40)</f>
        <v/>
      </c>
      <c r="I1030" s="40" t="str">
        <f>IF(Agent06_Loans!B40="","",Agent06_Loans!I40)</f>
        <v/>
      </c>
      <c r="J1030" s="40" t="str">
        <f>IF(Agent06_Loans!B40="","",Agent06_Loans!J40)</f>
        <v/>
      </c>
      <c r="K1030" s="37" t="str">
        <f>IF(Agent06_Loans!B40="","",Agent06_Loans!K40)</f>
        <v/>
      </c>
      <c r="L1030" s="37" t="str">
        <f>IF(Agent06_Loans!B40="","",Agent06_Loans!L40)</f>
        <v/>
      </c>
      <c r="M1030" s="37" t="str">
        <f>IFERROR(IF(Agent06_Loans!B40="","",YEAR(Agent06_Loans!D40)),"")</f>
        <v/>
      </c>
    </row>
    <row r="1031" spans="1:13" ht="18" customHeight="1" x14ac:dyDescent="0.25">
      <c r="A1031" s="37" t="str">
        <f>IF(Agent06_Loans!B41="","",Agent06_Loans!A41)</f>
        <v/>
      </c>
      <c r="B1031" s="37" t="str">
        <f>IF(Agent06_Loans!B41="","",Agent06_Loans!B41)</f>
        <v/>
      </c>
      <c r="C1031" s="37" t="str">
        <f>IF(Agent06_Loans!B41="","",Agent06_Loans!C41)</f>
        <v/>
      </c>
      <c r="D1031" s="38" t="str">
        <f>IF(Agent06_Loans!B41="","",Agent06_Loans!D41)</f>
        <v/>
      </c>
      <c r="E1031" s="40" t="str">
        <f>IF(Agent06_Loans!B41="","",Agent06_Loans!E41)</f>
        <v/>
      </c>
      <c r="F1031" s="37" t="str">
        <f>IF(Agent06_Loans!B41="","",Agent06_Loans!F41)</f>
        <v/>
      </c>
      <c r="G1031" s="37" t="str">
        <f>IF(Agent06_Loans!B41="","",Agent06_Loans!G41)</f>
        <v/>
      </c>
      <c r="H1031" s="37" t="str">
        <f>IF(Agent06_Loans!B41="","",Agent06_Loans!H41)</f>
        <v/>
      </c>
      <c r="I1031" s="40" t="str">
        <f>IF(Agent06_Loans!B41="","",Agent06_Loans!I41)</f>
        <v/>
      </c>
      <c r="J1031" s="40" t="str">
        <f>IF(Agent06_Loans!B41="","",Agent06_Loans!J41)</f>
        <v/>
      </c>
      <c r="K1031" s="37" t="str">
        <f>IF(Agent06_Loans!B41="","",Agent06_Loans!K41)</f>
        <v/>
      </c>
      <c r="L1031" s="37" t="str">
        <f>IF(Agent06_Loans!B41="","",Agent06_Loans!L41)</f>
        <v/>
      </c>
      <c r="M1031" s="37" t="str">
        <f>IFERROR(IF(Agent06_Loans!B41="","",YEAR(Agent06_Loans!D41)),"")</f>
        <v/>
      </c>
    </row>
    <row r="1032" spans="1:13" ht="18" customHeight="1" x14ac:dyDescent="0.25">
      <c r="A1032" s="37" t="str">
        <f>IF(Agent06_Loans!B42="","",Agent06_Loans!A42)</f>
        <v/>
      </c>
      <c r="B1032" s="37" t="str">
        <f>IF(Agent06_Loans!B42="","",Agent06_Loans!B42)</f>
        <v/>
      </c>
      <c r="C1032" s="37" t="str">
        <f>IF(Agent06_Loans!B42="","",Agent06_Loans!C42)</f>
        <v/>
      </c>
      <c r="D1032" s="38" t="str">
        <f>IF(Agent06_Loans!B42="","",Agent06_Loans!D42)</f>
        <v/>
      </c>
      <c r="E1032" s="40" t="str">
        <f>IF(Agent06_Loans!B42="","",Agent06_Loans!E42)</f>
        <v/>
      </c>
      <c r="F1032" s="37" t="str">
        <f>IF(Agent06_Loans!B42="","",Agent06_Loans!F42)</f>
        <v/>
      </c>
      <c r="G1032" s="37" t="str">
        <f>IF(Agent06_Loans!B42="","",Agent06_Loans!G42)</f>
        <v/>
      </c>
      <c r="H1032" s="37" t="str">
        <f>IF(Agent06_Loans!B42="","",Agent06_Loans!H42)</f>
        <v/>
      </c>
      <c r="I1032" s="40" t="str">
        <f>IF(Agent06_Loans!B42="","",Agent06_Loans!I42)</f>
        <v/>
      </c>
      <c r="J1032" s="40" t="str">
        <f>IF(Agent06_Loans!B42="","",Agent06_Loans!J42)</f>
        <v/>
      </c>
      <c r="K1032" s="37" t="str">
        <f>IF(Agent06_Loans!B42="","",Agent06_Loans!K42)</f>
        <v/>
      </c>
      <c r="L1032" s="37" t="str">
        <f>IF(Agent06_Loans!B42="","",Agent06_Loans!L42)</f>
        <v/>
      </c>
      <c r="M1032" s="37" t="str">
        <f>IFERROR(IF(Agent06_Loans!B42="","",YEAR(Agent06_Loans!D42)),"")</f>
        <v/>
      </c>
    </row>
    <row r="1033" spans="1:13" ht="18" customHeight="1" x14ac:dyDescent="0.25">
      <c r="A1033" s="37" t="str">
        <f>IF(Agent06_Loans!B43="","",Agent06_Loans!A43)</f>
        <v/>
      </c>
      <c r="B1033" s="37" t="str">
        <f>IF(Agent06_Loans!B43="","",Agent06_Loans!B43)</f>
        <v/>
      </c>
      <c r="C1033" s="37" t="str">
        <f>IF(Agent06_Loans!B43="","",Agent06_Loans!C43)</f>
        <v/>
      </c>
      <c r="D1033" s="38" t="str">
        <f>IF(Agent06_Loans!B43="","",Agent06_Loans!D43)</f>
        <v/>
      </c>
      <c r="E1033" s="40" t="str">
        <f>IF(Agent06_Loans!B43="","",Agent06_Loans!E43)</f>
        <v/>
      </c>
      <c r="F1033" s="37" t="str">
        <f>IF(Agent06_Loans!B43="","",Agent06_Loans!F43)</f>
        <v/>
      </c>
      <c r="G1033" s="37" t="str">
        <f>IF(Agent06_Loans!B43="","",Agent06_Loans!G43)</f>
        <v/>
      </c>
      <c r="H1033" s="37" t="str">
        <f>IF(Agent06_Loans!B43="","",Agent06_Loans!H43)</f>
        <v/>
      </c>
      <c r="I1033" s="40" t="str">
        <f>IF(Agent06_Loans!B43="","",Agent06_Loans!I43)</f>
        <v/>
      </c>
      <c r="J1033" s="40" t="str">
        <f>IF(Agent06_Loans!B43="","",Agent06_Loans!J43)</f>
        <v/>
      </c>
      <c r="K1033" s="37" t="str">
        <f>IF(Agent06_Loans!B43="","",Agent06_Loans!K43)</f>
        <v/>
      </c>
      <c r="L1033" s="37" t="str">
        <f>IF(Agent06_Loans!B43="","",Agent06_Loans!L43)</f>
        <v/>
      </c>
      <c r="M1033" s="37" t="str">
        <f>IFERROR(IF(Agent06_Loans!B43="","",YEAR(Agent06_Loans!D43)),"")</f>
        <v/>
      </c>
    </row>
    <row r="1034" spans="1:13" ht="18" customHeight="1" x14ac:dyDescent="0.25">
      <c r="A1034" s="37" t="str">
        <f>IF(Agent06_Loans!B44="","",Agent06_Loans!A44)</f>
        <v/>
      </c>
      <c r="B1034" s="37" t="str">
        <f>IF(Agent06_Loans!B44="","",Agent06_Loans!B44)</f>
        <v/>
      </c>
      <c r="C1034" s="37" t="str">
        <f>IF(Agent06_Loans!B44="","",Agent06_Loans!C44)</f>
        <v/>
      </c>
      <c r="D1034" s="38" t="str">
        <f>IF(Agent06_Loans!B44="","",Agent06_Loans!D44)</f>
        <v/>
      </c>
      <c r="E1034" s="40" t="str">
        <f>IF(Agent06_Loans!B44="","",Agent06_Loans!E44)</f>
        <v/>
      </c>
      <c r="F1034" s="37" t="str">
        <f>IF(Agent06_Loans!B44="","",Agent06_Loans!F44)</f>
        <v/>
      </c>
      <c r="G1034" s="37" t="str">
        <f>IF(Agent06_Loans!B44="","",Agent06_Loans!G44)</f>
        <v/>
      </c>
      <c r="H1034" s="37" t="str">
        <f>IF(Agent06_Loans!B44="","",Agent06_Loans!H44)</f>
        <v/>
      </c>
      <c r="I1034" s="40" t="str">
        <f>IF(Agent06_Loans!B44="","",Agent06_Loans!I44)</f>
        <v/>
      </c>
      <c r="J1034" s="40" t="str">
        <f>IF(Agent06_Loans!B44="","",Agent06_Loans!J44)</f>
        <v/>
      </c>
      <c r="K1034" s="37" t="str">
        <f>IF(Agent06_Loans!B44="","",Agent06_Loans!K44)</f>
        <v/>
      </c>
      <c r="L1034" s="37" t="str">
        <f>IF(Agent06_Loans!B44="","",Agent06_Loans!L44)</f>
        <v/>
      </c>
      <c r="M1034" s="37" t="str">
        <f>IFERROR(IF(Agent06_Loans!B44="","",YEAR(Agent06_Loans!D44)),"")</f>
        <v/>
      </c>
    </row>
    <row r="1035" spans="1:13" ht="18" customHeight="1" x14ac:dyDescent="0.25">
      <c r="A1035" s="37" t="str">
        <f>IF(Agent06_Loans!B45="","",Agent06_Loans!A45)</f>
        <v/>
      </c>
      <c r="B1035" s="37" t="str">
        <f>IF(Agent06_Loans!B45="","",Agent06_Loans!B45)</f>
        <v/>
      </c>
      <c r="C1035" s="37" t="str">
        <f>IF(Agent06_Loans!B45="","",Agent06_Loans!C45)</f>
        <v/>
      </c>
      <c r="D1035" s="38" t="str">
        <f>IF(Agent06_Loans!B45="","",Agent06_Loans!D45)</f>
        <v/>
      </c>
      <c r="E1035" s="40" t="str">
        <f>IF(Agent06_Loans!B45="","",Agent06_Loans!E45)</f>
        <v/>
      </c>
      <c r="F1035" s="37" t="str">
        <f>IF(Agent06_Loans!B45="","",Agent06_Loans!F45)</f>
        <v/>
      </c>
      <c r="G1035" s="37" t="str">
        <f>IF(Agent06_Loans!B45="","",Agent06_Loans!G45)</f>
        <v/>
      </c>
      <c r="H1035" s="37" t="str">
        <f>IF(Agent06_Loans!B45="","",Agent06_Loans!H45)</f>
        <v/>
      </c>
      <c r="I1035" s="40" t="str">
        <f>IF(Agent06_Loans!B45="","",Agent06_Loans!I45)</f>
        <v/>
      </c>
      <c r="J1035" s="40" t="str">
        <f>IF(Agent06_Loans!B45="","",Agent06_Loans!J45)</f>
        <v/>
      </c>
      <c r="K1035" s="37" t="str">
        <f>IF(Agent06_Loans!B45="","",Agent06_Loans!K45)</f>
        <v/>
      </c>
      <c r="L1035" s="37" t="str">
        <f>IF(Agent06_Loans!B45="","",Agent06_Loans!L45)</f>
        <v/>
      </c>
      <c r="M1035" s="37" t="str">
        <f>IFERROR(IF(Agent06_Loans!B45="","",YEAR(Agent06_Loans!D45)),"")</f>
        <v/>
      </c>
    </row>
    <row r="1036" spans="1:13" ht="18" customHeight="1" x14ac:dyDescent="0.25">
      <c r="A1036" s="37" t="str">
        <f>IF(Agent06_Loans!B46="","",Agent06_Loans!A46)</f>
        <v/>
      </c>
      <c r="B1036" s="37" t="str">
        <f>IF(Agent06_Loans!B46="","",Agent06_Loans!B46)</f>
        <v/>
      </c>
      <c r="C1036" s="37" t="str">
        <f>IF(Agent06_Loans!B46="","",Agent06_Loans!C46)</f>
        <v/>
      </c>
      <c r="D1036" s="38" t="str">
        <f>IF(Agent06_Loans!B46="","",Agent06_Loans!D46)</f>
        <v/>
      </c>
      <c r="E1036" s="40" t="str">
        <f>IF(Agent06_Loans!B46="","",Agent06_Loans!E46)</f>
        <v/>
      </c>
      <c r="F1036" s="37" t="str">
        <f>IF(Agent06_Loans!B46="","",Agent06_Loans!F46)</f>
        <v/>
      </c>
      <c r="G1036" s="37" t="str">
        <f>IF(Agent06_Loans!B46="","",Agent06_Loans!G46)</f>
        <v/>
      </c>
      <c r="H1036" s="37" t="str">
        <f>IF(Agent06_Loans!B46="","",Agent06_Loans!H46)</f>
        <v/>
      </c>
      <c r="I1036" s="40" t="str">
        <f>IF(Agent06_Loans!B46="","",Agent06_Loans!I46)</f>
        <v/>
      </c>
      <c r="J1036" s="40" t="str">
        <f>IF(Agent06_Loans!B46="","",Agent06_Loans!J46)</f>
        <v/>
      </c>
      <c r="K1036" s="37" t="str">
        <f>IF(Agent06_Loans!B46="","",Agent06_Loans!K46)</f>
        <v/>
      </c>
      <c r="L1036" s="37" t="str">
        <f>IF(Agent06_Loans!B46="","",Agent06_Loans!L46)</f>
        <v/>
      </c>
      <c r="M1036" s="37" t="str">
        <f>IFERROR(IF(Agent06_Loans!B46="","",YEAR(Agent06_Loans!D46)),"")</f>
        <v/>
      </c>
    </row>
    <row r="1037" spans="1:13" ht="18" customHeight="1" x14ac:dyDescent="0.25">
      <c r="A1037" s="37" t="str">
        <f>IF(Agent06_Loans!B47="","",Agent06_Loans!A47)</f>
        <v/>
      </c>
      <c r="B1037" s="37" t="str">
        <f>IF(Agent06_Loans!B47="","",Agent06_Loans!B47)</f>
        <v/>
      </c>
      <c r="C1037" s="37" t="str">
        <f>IF(Agent06_Loans!B47="","",Agent06_Loans!C47)</f>
        <v/>
      </c>
      <c r="D1037" s="38" t="str">
        <f>IF(Agent06_Loans!B47="","",Agent06_Loans!D47)</f>
        <v/>
      </c>
      <c r="E1037" s="40" t="str">
        <f>IF(Agent06_Loans!B47="","",Agent06_Loans!E47)</f>
        <v/>
      </c>
      <c r="F1037" s="37" t="str">
        <f>IF(Agent06_Loans!B47="","",Agent06_Loans!F47)</f>
        <v/>
      </c>
      <c r="G1037" s="37" t="str">
        <f>IF(Agent06_Loans!B47="","",Agent06_Loans!G47)</f>
        <v/>
      </c>
      <c r="H1037" s="37" t="str">
        <f>IF(Agent06_Loans!B47="","",Agent06_Loans!H47)</f>
        <v/>
      </c>
      <c r="I1037" s="40" t="str">
        <f>IF(Agent06_Loans!B47="","",Agent06_Loans!I47)</f>
        <v/>
      </c>
      <c r="J1037" s="40" t="str">
        <f>IF(Agent06_Loans!B47="","",Agent06_Loans!J47)</f>
        <v/>
      </c>
      <c r="K1037" s="37" t="str">
        <f>IF(Agent06_Loans!B47="","",Agent06_Loans!K47)</f>
        <v/>
      </c>
      <c r="L1037" s="37" t="str">
        <f>IF(Agent06_Loans!B47="","",Agent06_Loans!L47)</f>
        <v/>
      </c>
      <c r="M1037" s="37" t="str">
        <f>IFERROR(IF(Agent06_Loans!B47="","",YEAR(Agent06_Loans!D47)),"")</f>
        <v/>
      </c>
    </row>
    <row r="1038" spans="1:13" ht="18" customHeight="1" x14ac:dyDescent="0.25">
      <c r="A1038" s="37" t="str">
        <f>IF(Agent06_Loans!B48="","",Agent06_Loans!A48)</f>
        <v/>
      </c>
      <c r="B1038" s="37" t="str">
        <f>IF(Agent06_Loans!B48="","",Agent06_Loans!B48)</f>
        <v/>
      </c>
      <c r="C1038" s="37" t="str">
        <f>IF(Agent06_Loans!B48="","",Agent06_Loans!C48)</f>
        <v/>
      </c>
      <c r="D1038" s="38" t="str">
        <f>IF(Agent06_Loans!B48="","",Agent06_Loans!D48)</f>
        <v/>
      </c>
      <c r="E1038" s="40" t="str">
        <f>IF(Agent06_Loans!B48="","",Agent06_Loans!E48)</f>
        <v/>
      </c>
      <c r="F1038" s="37" t="str">
        <f>IF(Agent06_Loans!B48="","",Agent06_Loans!F48)</f>
        <v/>
      </c>
      <c r="G1038" s="37" t="str">
        <f>IF(Agent06_Loans!B48="","",Agent06_Loans!G48)</f>
        <v/>
      </c>
      <c r="H1038" s="37" t="str">
        <f>IF(Agent06_Loans!B48="","",Agent06_Loans!H48)</f>
        <v/>
      </c>
      <c r="I1038" s="40" t="str">
        <f>IF(Agent06_Loans!B48="","",Agent06_Loans!I48)</f>
        <v/>
      </c>
      <c r="J1038" s="40" t="str">
        <f>IF(Agent06_Loans!B48="","",Agent06_Loans!J48)</f>
        <v/>
      </c>
      <c r="K1038" s="37" t="str">
        <f>IF(Agent06_Loans!B48="","",Agent06_Loans!K48)</f>
        <v/>
      </c>
      <c r="L1038" s="37" t="str">
        <f>IF(Agent06_Loans!B48="","",Agent06_Loans!L48)</f>
        <v/>
      </c>
      <c r="M1038" s="37" t="str">
        <f>IFERROR(IF(Agent06_Loans!B48="","",YEAR(Agent06_Loans!D48)),"")</f>
        <v/>
      </c>
    </row>
    <row r="1039" spans="1:13" ht="18" customHeight="1" x14ac:dyDescent="0.25">
      <c r="A1039" s="37" t="str">
        <f>IF(Agent06_Loans!B49="","",Agent06_Loans!A49)</f>
        <v/>
      </c>
      <c r="B1039" s="37" t="str">
        <f>IF(Agent06_Loans!B49="","",Agent06_Loans!B49)</f>
        <v/>
      </c>
      <c r="C1039" s="37" t="str">
        <f>IF(Agent06_Loans!B49="","",Agent06_Loans!C49)</f>
        <v/>
      </c>
      <c r="D1039" s="38" t="str">
        <f>IF(Agent06_Loans!B49="","",Agent06_Loans!D49)</f>
        <v/>
      </c>
      <c r="E1039" s="40" t="str">
        <f>IF(Agent06_Loans!B49="","",Agent06_Loans!E49)</f>
        <v/>
      </c>
      <c r="F1039" s="37" t="str">
        <f>IF(Agent06_Loans!B49="","",Agent06_Loans!F49)</f>
        <v/>
      </c>
      <c r="G1039" s="37" t="str">
        <f>IF(Agent06_Loans!B49="","",Agent06_Loans!G49)</f>
        <v/>
      </c>
      <c r="H1039" s="37" t="str">
        <f>IF(Agent06_Loans!B49="","",Agent06_Loans!H49)</f>
        <v/>
      </c>
      <c r="I1039" s="40" t="str">
        <f>IF(Agent06_Loans!B49="","",Agent06_Loans!I49)</f>
        <v/>
      </c>
      <c r="J1039" s="40" t="str">
        <f>IF(Agent06_Loans!B49="","",Agent06_Loans!J49)</f>
        <v/>
      </c>
      <c r="K1039" s="37" t="str">
        <f>IF(Agent06_Loans!B49="","",Agent06_Loans!K49)</f>
        <v/>
      </c>
      <c r="L1039" s="37" t="str">
        <f>IF(Agent06_Loans!B49="","",Agent06_Loans!L49)</f>
        <v/>
      </c>
      <c r="M1039" s="37" t="str">
        <f>IFERROR(IF(Agent06_Loans!B49="","",YEAR(Agent06_Loans!D49)),"")</f>
        <v/>
      </c>
    </row>
    <row r="1040" spans="1:13" ht="18" customHeight="1" x14ac:dyDescent="0.25">
      <c r="A1040" s="37" t="str">
        <f>IF(Agent06_Loans!B50="","",Agent06_Loans!A50)</f>
        <v/>
      </c>
      <c r="B1040" s="37" t="str">
        <f>IF(Agent06_Loans!B50="","",Agent06_Loans!B50)</f>
        <v/>
      </c>
      <c r="C1040" s="37" t="str">
        <f>IF(Agent06_Loans!B50="","",Agent06_Loans!C50)</f>
        <v/>
      </c>
      <c r="D1040" s="38" t="str">
        <f>IF(Agent06_Loans!B50="","",Agent06_Loans!D50)</f>
        <v/>
      </c>
      <c r="E1040" s="40" t="str">
        <f>IF(Agent06_Loans!B50="","",Agent06_Loans!E50)</f>
        <v/>
      </c>
      <c r="F1040" s="37" t="str">
        <f>IF(Agent06_Loans!B50="","",Agent06_Loans!F50)</f>
        <v/>
      </c>
      <c r="G1040" s="37" t="str">
        <f>IF(Agent06_Loans!B50="","",Agent06_Loans!G50)</f>
        <v/>
      </c>
      <c r="H1040" s="37" t="str">
        <f>IF(Agent06_Loans!B50="","",Agent06_Loans!H50)</f>
        <v/>
      </c>
      <c r="I1040" s="40" t="str">
        <f>IF(Agent06_Loans!B50="","",Agent06_Loans!I50)</f>
        <v/>
      </c>
      <c r="J1040" s="40" t="str">
        <f>IF(Agent06_Loans!B50="","",Agent06_Loans!J50)</f>
        <v/>
      </c>
      <c r="K1040" s="37" t="str">
        <f>IF(Agent06_Loans!B50="","",Agent06_Loans!K50)</f>
        <v/>
      </c>
      <c r="L1040" s="37" t="str">
        <f>IF(Agent06_Loans!B50="","",Agent06_Loans!L50)</f>
        <v/>
      </c>
      <c r="M1040" s="37" t="str">
        <f>IFERROR(IF(Agent06_Loans!B50="","",YEAR(Agent06_Loans!D50)),"")</f>
        <v/>
      </c>
    </row>
    <row r="1041" spans="1:13" ht="18" customHeight="1" x14ac:dyDescent="0.25">
      <c r="A1041" s="37" t="str">
        <f>IF(Agent06_Loans!B51="","",Agent06_Loans!A51)</f>
        <v/>
      </c>
      <c r="B1041" s="37" t="str">
        <f>IF(Agent06_Loans!B51="","",Agent06_Loans!B51)</f>
        <v/>
      </c>
      <c r="C1041" s="37" t="str">
        <f>IF(Agent06_Loans!B51="","",Agent06_Loans!C51)</f>
        <v/>
      </c>
      <c r="D1041" s="38" t="str">
        <f>IF(Agent06_Loans!B51="","",Agent06_Loans!D51)</f>
        <v/>
      </c>
      <c r="E1041" s="40" t="str">
        <f>IF(Agent06_Loans!B51="","",Agent06_Loans!E51)</f>
        <v/>
      </c>
      <c r="F1041" s="37" t="str">
        <f>IF(Agent06_Loans!B51="","",Agent06_Loans!F51)</f>
        <v/>
      </c>
      <c r="G1041" s="37" t="str">
        <f>IF(Agent06_Loans!B51="","",Agent06_Loans!G51)</f>
        <v/>
      </c>
      <c r="H1041" s="37" t="str">
        <f>IF(Agent06_Loans!B51="","",Agent06_Loans!H51)</f>
        <v/>
      </c>
      <c r="I1041" s="40" t="str">
        <f>IF(Agent06_Loans!B51="","",Agent06_Loans!I51)</f>
        <v/>
      </c>
      <c r="J1041" s="40" t="str">
        <f>IF(Agent06_Loans!B51="","",Agent06_Loans!J51)</f>
        <v/>
      </c>
      <c r="K1041" s="37" t="str">
        <f>IF(Agent06_Loans!B51="","",Agent06_Loans!K51)</f>
        <v/>
      </c>
      <c r="L1041" s="37" t="str">
        <f>IF(Agent06_Loans!B51="","",Agent06_Loans!L51)</f>
        <v/>
      </c>
      <c r="M1041" s="37" t="str">
        <f>IFERROR(IF(Agent06_Loans!B51="","",YEAR(Agent06_Loans!D51)),"")</f>
        <v/>
      </c>
    </row>
    <row r="1042" spans="1:13" ht="18" customHeight="1" x14ac:dyDescent="0.25">
      <c r="A1042" s="37" t="str">
        <f>IF(Agent06_Loans!B52="","",Agent06_Loans!A52)</f>
        <v/>
      </c>
      <c r="B1042" s="37" t="str">
        <f>IF(Agent06_Loans!B52="","",Agent06_Loans!B52)</f>
        <v/>
      </c>
      <c r="C1042" s="37" t="str">
        <f>IF(Agent06_Loans!B52="","",Agent06_Loans!C52)</f>
        <v/>
      </c>
      <c r="D1042" s="38" t="str">
        <f>IF(Agent06_Loans!B52="","",Agent06_Loans!D52)</f>
        <v/>
      </c>
      <c r="E1042" s="40" t="str">
        <f>IF(Agent06_Loans!B52="","",Agent06_Loans!E52)</f>
        <v/>
      </c>
      <c r="F1042" s="37" t="str">
        <f>IF(Agent06_Loans!B52="","",Agent06_Loans!F52)</f>
        <v/>
      </c>
      <c r="G1042" s="37" t="str">
        <f>IF(Agent06_Loans!B52="","",Agent06_Loans!G52)</f>
        <v/>
      </c>
      <c r="H1042" s="37" t="str">
        <f>IF(Agent06_Loans!B52="","",Agent06_Loans!H52)</f>
        <v/>
      </c>
      <c r="I1042" s="40" t="str">
        <f>IF(Agent06_Loans!B52="","",Agent06_Loans!I52)</f>
        <v/>
      </c>
      <c r="J1042" s="40" t="str">
        <f>IF(Agent06_Loans!B52="","",Agent06_Loans!J52)</f>
        <v/>
      </c>
      <c r="K1042" s="37" t="str">
        <f>IF(Agent06_Loans!B52="","",Agent06_Loans!K52)</f>
        <v/>
      </c>
      <c r="L1042" s="37" t="str">
        <f>IF(Agent06_Loans!B52="","",Agent06_Loans!L52)</f>
        <v/>
      </c>
      <c r="M1042" s="37" t="str">
        <f>IFERROR(IF(Agent06_Loans!B52="","",YEAR(Agent06_Loans!D52)),"")</f>
        <v/>
      </c>
    </row>
    <row r="1043" spans="1:13" ht="18" customHeight="1" x14ac:dyDescent="0.25">
      <c r="A1043" s="37" t="str">
        <f>IF(Agent06_Loans!B53="","",Agent06_Loans!A53)</f>
        <v/>
      </c>
      <c r="B1043" s="37" t="str">
        <f>IF(Agent06_Loans!B53="","",Agent06_Loans!B53)</f>
        <v/>
      </c>
      <c r="C1043" s="37" t="str">
        <f>IF(Agent06_Loans!B53="","",Agent06_Loans!C53)</f>
        <v/>
      </c>
      <c r="D1043" s="38" t="str">
        <f>IF(Agent06_Loans!B53="","",Agent06_Loans!D53)</f>
        <v/>
      </c>
      <c r="E1043" s="40" t="str">
        <f>IF(Agent06_Loans!B53="","",Agent06_Loans!E53)</f>
        <v/>
      </c>
      <c r="F1043" s="37" t="str">
        <f>IF(Agent06_Loans!B53="","",Agent06_Loans!F53)</f>
        <v/>
      </c>
      <c r="G1043" s="37" t="str">
        <f>IF(Agent06_Loans!B53="","",Agent06_Loans!G53)</f>
        <v/>
      </c>
      <c r="H1043" s="37" t="str">
        <f>IF(Agent06_Loans!B53="","",Agent06_Loans!H53)</f>
        <v/>
      </c>
      <c r="I1043" s="40" t="str">
        <f>IF(Agent06_Loans!B53="","",Agent06_Loans!I53)</f>
        <v/>
      </c>
      <c r="J1043" s="40" t="str">
        <f>IF(Agent06_Loans!B53="","",Agent06_Loans!J53)</f>
        <v/>
      </c>
      <c r="K1043" s="37" t="str">
        <f>IF(Agent06_Loans!B53="","",Agent06_Loans!K53)</f>
        <v/>
      </c>
      <c r="L1043" s="37" t="str">
        <f>IF(Agent06_Loans!B53="","",Agent06_Loans!L53)</f>
        <v/>
      </c>
      <c r="M1043" s="37" t="str">
        <f>IFERROR(IF(Agent06_Loans!B53="","",YEAR(Agent06_Loans!D53)),"")</f>
        <v/>
      </c>
    </row>
    <row r="1044" spans="1:13" ht="18" customHeight="1" x14ac:dyDescent="0.25">
      <c r="A1044" s="37" t="str">
        <f>IF(Agent06_Loans!B54="","",Agent06_Loans!A54)</f>
        <v/>
      </c>
      <c r="B1044" s="37" t="str">
        <f>IF(Agent06_Loans!B54="","",Agent06_Loans!B54)</f>
        <v/>
      </c>
      <c r="C1044" s="37" t="str">
        <f>IF(Agent06_Loans!B54="","",Agent06_Loans!C54)</f>
        <v/>
      </c>
      <c r="D1044" s="38" t="str">
        <f>IF(Agent06_Loans!B54="","",Agent06_Loans!D54)</f>
        <v/>
      </c>
      <c r="E1044" s="40" t="str">
        <f>IF(Agent06_Loans!B54="","",Agent06_Loans!E54)</f>
        <v/>
      </c>
      <c r="F1044" s="37" t="str">
        <f>IF(Agent06_Loans!B54="","",Agent06_Loans!F54)</f>
        <v/>
      </c>
      <c r="G1044" s="37" t="str">
        <f>IF(Agent06_Loans!B54="","",Agent06_Loans!G54)</f>
        <v/>
      </c>
      <c r="H1044" s="37" t="str">
        <f>IF(Agent06_Loans!B54="","",Agent06_Loans!H54)</f>
        <v/>
      </c>
      <c r="I1044" s="40" t="str">
        <f>IF(Agent06_Loans!B54="","",Agent06_Loans!I54)</f>
        <v/>
      </c>
      <c r="J1044" s="40" t="str">
        <f>IF(Agent06_Loans!B54="","",Agent06_Loans!J54)</f>
        <v/>
      </c>
      <c r="K1044" s="37" t="str">
        <f>IF(Agent06_Loans!B54="","",Agent06_Loans!K54)</f>
        <v/>
      </c>
      <c r="L1044" s="37" t="str">
        <f>IF(Agent06_Loans!B54="","",Agent06_Loans!L54)</f>
        <v/>
      </c>
      <c r="M1044" s="37" t="str">
        <f>IFERROR(IF(Agent06_Loans!B54="","",YEAR(Agent06_Loans!D54)),"")</f>
        <v/>
      </c>
    </row>
    <row r="1045" spans="1:13" ht="18" customHeight="1" x14ac:dyDescent="0.25">
      <c r="A1045" s="37" t="str">
        <f>IF(Agent06_Loans!B55="","",Agent06_Loans!A55)</f>
        <v/>
      </c>
      <c r="B1045" s="37" t="str">
        <f>IF(Agent06_Loans!B55="","",Agent06_Loans!B55)</f>
        <v/>
      </c>
      <c r="C1045" s="37" t="str">
        <f>IF(Agent06_Loans!B55="","",Agent06_Loans!C55)</f>
        <v/>
      </c>
      <c r="D1045" s="38" t="str">
        <f>IF(Agent06_Loans!B55="","",Agent06_Loans!D55)</f>
        <v/>
      </c>
      <c r="E1045" s="40" t="str">
        <f>IF(Agent06_Loans!B55="","",Agent06_Loans!E55)</f>
        <v/>
      </c>
      <c r="F1045" s="37" t="str">
        <f>IF(Agent06_Loans!B55="","",Agent06_Loans!F55)</f>
        <v/>
      </c>
      <c r="G1045" s="37" t="str">
        <f>IF(Agent06_Loans!B55="","",Agent06_Loans!G55)</f>
        <v/>
      </c>
      <c r="H1045" s="37" t="str">
        <f>IF(Agent06_Loans!B55="","",Agent06_Loans!H55)</f>
        <v/>
      </c>
      <c r="I1045" s="40" t="str">
        <f>IF(Agent06_Loans!B55="","",Agent06_Loans!I55)</f>
        <v/>
      </c>
      <c r="J1045" s="40" t="str">
        <f>IF(Agent06_Loans!B55="","",Agent06_Loans!J55)</f>
        <v/>
      </c>
      <c r="K1045" s="37" t="str">
        <f>IF(Agent06_Loans!B55="","",Agent06_Loans!K55)</f>
        <v/>
      </c>
      <c r="L1045" s="37" t="str">
        <f>IF(Agent06_Loans!B55="","",Agent06_Loans!L55)</f>
        <v/>
      </c>
      <c r="M1045" s="37" t="str">
        <f>IFERROR(IF(Agent06_Loans!B55="","",YEAR(Agent06_Loans!D55)),"")</f>
        <v/>
      </c>
    </row>
    <row r="1046" spans="1:13" ht="18" customHeight="1" x14ac:dyDescent="0.25">
      <c r="A1046" s="37" t="str">
        <f>IF(Agent06_Loans!B56="","",Agent06_Loans!A56)</f>
        <v/>
      </c>
      <c r="B1046" s="37" t="str">
        <f>IF(Agent06_Loans!B56="","",Agent06_Loans!B56)</f>
        <v/>
      </c>
      <c r="C1046" s="37" t="str">
        <f>IF(Agent06_Loans!B56="","",Agent06_Loans!C56)</f>
        <v/>
      </c>
      <c r="D1046" s="38" t="str">
        <f>IF(Agent06_Loans!B56="","",Agent06_Loans!D56)</f>
        <v/>
      </c>
      <c r="E1046" s="40" t="str">
        <f>IF(Agent06_Loans!B56="","",Agent06_Loans!E56)</f>
        <v/>
      </c>
      <c r="F1046" s="37" t="str">
        <f>IF(Agent06_Loans!B56="","",Agent06_Loans!F56)</f>
        <v/>
      </c>
      <c r="G1046" s="37" t="str">
        <f>IF(Agent06_Loans!B56="","",Agent06_Loans!G56)</f>
        <v/>
      </c>
      <c r="H1046" s="37" t="str">
        <f>IF(Agent06_Loans!B56="","",Agent06_Loans!H56)</f>
        <v/>
      </c>
      <c r="I1046" s="40" t="str">
        <f>IF(Agent06_Loans!B56="","",Agent06_Loans!I56)</f>
        <v/>
      </c>
      <c r="J1046" s="40" t="str">
        <f>IF(Agent06_Loans!B56="","",Agent06_Loans!J56)</f>
        <v/>
      </c>
      <c r="K1046" s="37" t="str">
        <f>IF(Agent06_Loans!B56="","",Agent06_Loans!K56)</f>
        <v/>
      </c>
      <c r="L1046" s="37" t="str">
        <f>IF(Agent06_Loans!B56="","",Agent06_Loans!L56)</f>
        <v/>
      </c>
      <c r="M1046" s="37" t="str">
        <f>IFERROR(IF(Agent06_Loans!B56="","",YEAR(Agent06_Loans!D56)),"")</f>
        <v/>
      </c>
    </row>
    <row r="1047" spans="1:13" ht="18" customHeight="1" x14ac:dyDescent="0.25">
      <c r="A1047" s="37" t="str">
        <f>IF(Agent06_Loans!B57="","",Agent06_Loans!A57)</f>
        <v/>
      </c>
      <c r="B1047" s="37" t="str">
        <f>IF(Agent06_Loans!B57="","",Agent06_Loans!B57)</f>
        <v/>
      </c>
      <c r="C1047" s="37" t="str">
        <f>IF(Agent06_Loans!B57="","",Agent06_Loans!C57)</f>
        <v/>
      </c>
      <c r="D1047" s="38" t="str">
        <f>IF(Agent06_Loans!B57="","",Agent06_Loans!D57)</f>
        <v/>
      </c>
      <c r="E1047" s="40" t="str">
        <f>IF(Agent06_Loans!B57="","",Agent06_Loans!E57)</f>
        <v/>
      </c>
      <c r="F1047" s="37" t="str">
        <f>IF(Agent06_Loans!B57="","",Agent06_Loans!F57)</f>
        <v/>
      </c>
      <c r="G1047" s="37" t="str">
        <f>IF(Agent06_Loans!B57="","",Agent06_Loans!G57)</f>
        <v/>
      </c>
      <c r="H1047" s="37" t="str">
        <f>IF(Agent06_Loans!B57="","",Agent06_Loans!H57)</f>
        <v/>
      </c>
      <c r="I1047" s="40" t="str">
        <f>IF(Agent06_Loans!B57="","",Agent06_Loans!I57)</f>
        <v/>
      </c>
      <c r="J1047" s="40" t="str">
        <f>IF(Agent06_Loans!B57="","",Agent06_Loans!J57)</f>
        <v/>
      </c>
      <c r="K1047" s="37" t="str">
        <f>IF(Agent06_Loans!B57="","",Agent06_Loans!K57)</f>
        <v/>
      </c>
      <c r="L1047" s="37" t="str">
        <f>IF(Agent06_Loans!B57="","",Agent06_Loans!L57)</f>
        <v/>
      </c>
      <c r="M1047" s="37" t="str">
        <f>IFERROR(IF(Agent06_Loans!B57="","",YEAR(Agent06_Loans!D57)),"")</f>
        <v/>
      </c>
    </row>
    <row r="1048" spans="1:13" ht="18" customHeight="1" x14ac:dyDescent="0.25">
      <c r="A1048" s="37" t="str">
        <f>IF(Agent06_Loans!B58="","",Agent06_Loans!A58)</f>
        <v/>
      </c>
      <c r="B1048" s="37" t="str">
        <f>IF(Agent06_Loans!B58="","",Agent06_Loans!B58)</f>
        <v/>
      </c>
      <c r="C1048" s="37" t="str">
        <f>IF(Agent06_Loans!B58="","",Agent06_Loans!C58)</f>
        <v/>
      </c>
      <c r="D1048" s="38" t="str">
        <f>IF(Agent06_Loans!B58="","",Agent06_Loans!D58)</f>
        <v/>
      </c>
      <c r="E1048" s="40" t="str">
        <f>IF(Agent06_Loans!B58="","",Agent06_Loans!E58)</f>
        <v/>
      </c>
      <c r="F1048" s="37" t="str">
        <f>IF(Agent06_Loans!B58="","",Agent06_Loans!F58)</f>
        <v/>
      </c>
      <c r="G1048" s="37" t="str">
        <f>IF(Agent06_Loans!B58="","",Agent06_Loans!G58)</f>
        <v/>
      </c>
      <c r="H1048" s="37" t="str">
        <f>IF(Agent06_Loans!B58="","",Agent06_Loans!H58)</f>
        <v/>
      </c>
      <c r="I1048" s="40" t="str">
        <f>IF(Agent06_Loans!B58="","",Agent06_Loans!I58)</f>
        <v/>
      </c>
      <c r="J1048" s="40" t="str">
        <f>IF(Agent06_Loans!B58="","",Agent06_Loans!J58)</f>
        <v/>
      </c>
      <c r="K1048" s="37" t="str">
        <f>IF(Agent06_Loans!B58="","",Agent06_Loans!K58)</f>
        <v/>
      </c>
      <c r="L1048" s="37" t="str">
        <f>IF(Agent06_Loans!B58="","",Agent06_Loans!L58)</f>
        <v/>
      </c>
      <c r="M1048" s="37" t="str">
        <f>IFERROR(IF(Agent06_Loans!B58="","",YEAR(Agent06_Loans!D58)),"")</f>
        <v/>
      </c>
    </row>
    <row r="1049" spans="1:13" ht="18" customHeight="1" x14ac:dyDescent="0.25">
      <c r="A1049" s="37" t="str">
        <f>IF(Agent06_Loans!B59="","",Agent06_Loans!A59)</f>
        <v/>
      </c>
      <c r="B1049" s="37" t="str">
        <f>IF(Agent06_Loans!B59="","",Agent06_Loans!B59)</f>
        <v/>
      </c>
      <c r="C1049" s="37" t="str">
        <f>IF(Agent06_Loans!B59="","",Agent06_Loans!C59)</f>
        <v/>
      </c>
      <c r="D1049" s="38" t="str">
        <f>IF(Agent06_Loans!B59="","",Agent06_Loans!D59)</f>
        <v/>
      </c>
      <c r="E1049" s="40" t="str">
        <f>IF(Agent06_Loans!B59="","",Agent06_Loans!E59)</f>
        <v/>
      </c>
      <c r="F1049" s="37" t="str">
        <f>IF(Agent06_Loans!B59="","",Agent06_Loans!F59)</f>
        <v/>
      </c>
      <c r="G1049" s="37" t="str">
        <f>IF(Agent06_Loans!B59="","",Agent06_Loans!G59)</f>
        <v/>
      </c>
      <c r="H1049" s="37" t="str">
        <f>IF(Agent06_Loans!B59="","",Agent06_Loans!H59)</f>
        <v/>
      </c>
      <c r="I1049" s="40" t="str">
        <f>IF(Agent06_Loans!B59="","",Agent06_Loans!I59)</f>
        <v/>
      </c>
      <c r="J1049" s="40" t="str">
        <f>IF(Agent06_Loans!B59="","",Agent06_Loans!J59)</f>
        <v/>
      </c>
      <c r="K1049" s="37" t="str">
        <f>IF(Agent06_Loans!B59="","",Agent06_Loans!K59)</f>
        <v/>
      </c>
      <c r="L1049" s="37" t="str">
        <f>IF(Agent06_Loans!B59="","",Agent06_Loans!L59)</f>
        <v/>
      </c>
      <c r="M1049" s="37" t="str">
        <f>IFERROR(IF(Agent06_Loans!B59="","",YEAR(Agent06_Loans!D59)),"")</f>
        <v/>
      </c>
    </row>
    <row r="1050" spans="1:13" ht="18" customHeight="1" x14ac:dyDescent="0.25">
      <c r="A1050" s="37" t="str">
        <f>IF(Agent06_Loans!B60="","",Agent06_Loans!A60)</f>
        <v/>
      </c>
      <c r="B1050" s="37" t="str">
        <f>IF(Agent06_Loans!B60="","",Agent06_Loans!B60)</f>
        <v/>
      </c>
      <c r="C1050" s="37" t="str">
        <f>IF(Agent06_Loans!B60="","",Agent06_Loans!C60)</f>
        <v/>
      </c>
      <c r="D1050" s="38" t="str">
        <f>IF(Agent06_Loans!B60="","",Agent06_Loans!D60)</f>
        <v/>
      </c>
      <c r="E1050" s="40" t="str">
        <f>IF(Agent06_Loans!B60="","",Agent06_Loans!E60)</f>
        <v/>
      </c>
      <c r="F1050" s="37" t="str">
        <f>IF(Agent06_Loans!B60="","",Agent06_Loans!F60)</f>
        <v/>
      </c>
      <c r="G1050" s="37" t="str">
        <f>IF(Agent06_Loans!B60="","",Agent06_Loans!G60)</f>
        <v/>
      </c>
      <c r="H1050" s="37" t="str">
        <f>IF(Agent06_Loans!B60="","",Agent06_Loans!H60)</f>
        <v/>
      </c>
      <c r="I1050" s="40" t="str">
        <f>IF(Agent06_Loans!B60="","",Agent06_Loans!I60)</f>
        <v/>
      </c>
      <c r="J1050" s="40" t="str">
        <f>IF(Agent06_Loans!B60="","",Agent06_Loans!J60)</f>
        <v/>
      </c>
      <c r="K1050" s="37" t="str">
        <f>IF(Agent06_Loans!B60="","",Agent06_Loans!K60)</f>
        <v/>
      </c>
      <c r="L1050" s="37" t="str">
        <f>IF(Agent06_Loans!B60="","",Agent06_Loans!L60)</f>
        <v/>
      </c>
      <c r="M1050" s="37" t="str">
        <f>IFERROR(IF(Agent06_Loans!B60="","",YEAR(Agent06_Loans!D60)),"")</f>
        <v/>
      </c>
    </row>
    <row r="1051" spans="1:13" ht="18" customHeight="1" x14ac:dyDescent="0.25">
      <c r="A1051" s="37" t="str">
        <f>IF(Agent06_Loans!B61="","",Agent06_Loans!A61)</f>
        <v/>
      </c>
      <c r="B1051" s="37" t="str">
        <f>IF(Agent06_Loans!B61="","",Agent06_Loans!B61)</f>
        <v/>
      </c>
      <c r="C1051" s="37" t="str">
        <f>IF(Agent06_Loans!B61="","",Agent06_Loans!C61)</f>
        <v/>
      </c>
      <c r="D1051" s="38" t="str">
        <f>IF(Agent06_Loans!B61="","",Agent06_Loans!D61)</f>
        <v/>
      </c>
      <c r="E1051" s="40" t="str">
        <f>IF(Agent06_Loans!B61="","",Agent06_Loans!E61)</f>
        <v/>
      </c>
      <c r="F1051" s="37" t="str">
        <f>IF(Agent06_Loans!B61="","",Agent06_Loans!F61)</f>
        <v/>
      </c>
      <c r="G1051" s="37" t="str">
        <f>IF(Agent06_Loans!B61="","",Agent06_Loans!G61)</f>
        <v/>
      </c>
      <c r="H1051" s="37" t="str">
        <f>IF(Agent06_Loans!B61="","",Agent06_Loans!H61)</f>
        <v/>
      </c>
      <c r="I1051" s="40" t="str">
        <f>IF(Agent06_Loans!B61="","",Agent06_Loans!I61)</f>
        <v/>
      </c>
      <c r="J1051" s="40" t="str">
        <f>IF(Agent06_Loans!B61="","",Agent06_Loans!J61)</f>
        <v/>
      </c>
      <c r="K1051" s="37" t="str">
        <f>IF(Agent06_Loans!B61="","",Agent06_Loans!K61)</f>
        <v/>
      </c>
      <c r="L1051" s="37" t="str">
        <f>IF(Agent06_Loans!B61="","",Agent06_Loans!L61)</f>
        <v/>
      </c>
      <c r="M1051" s="37" t="str">
        <f>IFERROR(IF(Agent06_Loans!B61="","",YEAR(Agent06_Loans!D61)),"")</f>
        <v/>
      </c>
    </row>
    <row r="1052" spans="1:13" ht="18" customHeight="1" x14ac:dyDescent="0.25">
      <c r="A1052" s="37" t="str">
        <f>IF(Agent06_Loans!B62="","",Agent06_Loans!A62)</f>
        <v/>
      </c>
      <c r="B1052" s="37" t="str">
        <f>IF(Agent06_Loans!B62="","",Agent06_Loans!B62)</f>
        <v/>
      </c>
      <c r="C1052" s="37" t="str">
        <f>IF(Agent06_Loans!B62="","",Agent06_Loans!C62)</f>
        <v/>
      </c>
      <c r="D1052" s="38" t="str">
        <f>IF(Agent06_Loans!B62="","",Agent06_Loans!D62)</f>
        <v/>
      </c>
      <c r="E1052" s="40" t="str">
        <f>IF(Agent06_Loans!B62="","",Agent06_Loans!E62)</f>
        <v/>
      </c>
      <c r="F1052" s="37" t="str">
        <f>IF(Agent06_Loans!B62="","",Agent06_Loans!F62)</f>
        <v/>
      </c>
      <c r="G1052" s="37" t="str">
        <f>IF(Agent06_Loans!B62="","",Agent06_Loans!G62)</f>
        <v/>
      </c>
      <c r="H1052" s="37" t="str">
        <f>IF(Agent06_Loans!B62="","",Agent06_Loans!H62)</f>
        <v/>
      </c>
      <c r="I1052" s="40" t="str">
        <f>IF(Agent06_Loans!B62="","",Agent06_Loans!I62)</f>
        <v/>
      </c>
      <c r="J1052" s="40" t="str">
        <f>IF(Agent06_Loans!B62="","",Agent06_Loans!J62)</f>
        <v/>
      </c>
      <c r="K1052" s="37" t="str">
        <f>IF(Agent06_Loans!B62="","",Agent06_Loans!K62)</f>
        <v/>
      </c>
      <c r="L1052" s="37" t="str">
        <f>IF(Agent06_Loans!B62="","",Agent06_Loans!L62)</f>
        <v/>
      </c>
      <c r="M1052" s="37" t="str">
        <f>IFERROR(IF(Agent06_Loans!B62="","",YEAR(Agent06_Loans!D62)),"")</f>
        <v/>
      </c>
    </row>
    <row r="1053" spans="1:13" ht="18" customHeight="1" x14ac:dyDescent="0.25">
      <c r="A1053" s="37" t="str">
        <f>IF(Agent06_Loans!B63="","",Agent06_Loans!A63)</f>
        <v/>
      </c>
      <c r="B1053" s="37" t="str">
        <f>IF(Agent06_Loans!B63="","",Agent06_Loans!B63)</f>
        <v/>
      </c>
      <c r="C1053" s="37" t="str">
        <f>IF(Agent06_Loans!B63="","",Agent06_Loans!C63)</f>
        <v/>
      </c>
      <c r="D1053" s="38" t="str">
        <f>IF(Agent06_Loans!B63="","",Agent06_Loans!D63)</f>
        <v/>
      </c>
      <c r="E1053" s="40" t="str">
        <f>IF(Agent06_Loans!B63="","",Agent06_Loans!E63)</f>
        <v/>
      </c>
      <c r="F1053" s="37" t="str">
        <f>IF(Agent06_Loans!B63="","",Agent06_Loans!F63)</f>
        <v/>
      </c>
      <c r="G1053" s="37" t="str">
        <f>IF(Agent06_Loans!B63="","",Agent06_Loans!G63)</f>
        <v/>
      </c>
      <c r="H1053" s="37" t="str">
        <f>IF(Agent06_Loans!B63="","",Agent06_Loans!H63)</f>
        <v/>
      </c>
      <c r="I1053" s="40" t="str">
        <f>IF(Agent06_Loans!B63="","",Agent06_Loans!I63)</f>
        <v/>
      </c>
      <c r="J1053" s="40" t="str">
        <f>IF(Agent06_Loans!B63="","",Agent06_Loans!J63)</f>
        <v/>
      </c>
      <c r="K1053" s="37" t="str">
        <f>IF(Agent06_Loans!B63="","",Agent06_Loans!K63)</f>
        <v/>
      </c>
      <c r="L1053" s="37" t="str">
        <f>IF(Agent06_Loans!B63="","",Agent06_Loans!L63)</f>
        <v/>
      </c>
      <c r="M1053" s="37" t="str">
        <f>IFERROR(IF(Agent06_Loans!B63="","",YEAR(Agent06_Loans!D63)),"")</f>
        <v/>
      </c>
    </row>
    <row r="1054" spans="1:13" ht="18" customHeight="1" x14ac:dyDescent="0.25">
      <c r="A1054" s="37" t="str">
        <f>IF(Agent06_Loans!B64="","",Agent06_Loans!A64)</f>
        <v/>
      </c>
      <c r="B1054" s="37" t="str">
        <f>IF(Agent06_Loans!B64="","",Agent06_Loans!B64)</f>
        <v/>
      </c>
      <c r="C1054" s="37" t="str">
        <f>IF(Agent06_Loans!B64="","",Agent06_Loans!C64)</f>
        <v/>
      </c>
      <c r="D1054" s="38" t="str">
        <f>IF(Agent06_Loans!B64="","",Agent06_Loans!D64)</f>
        <v/>
      </c>
      <c r="E1054" s="40" t="str">
        <f>IF(Agent06_Loans!B64="","",Agent06_Loans!E64)</f>
        <v/>
      </c>
      <c r="F1054" s="37" t="str">
        <f>IF(Agent06_Loans!B64="","",Agent06_Loans!F64)</f>
        <v/>
      </c>
      <c r="G1054" s="37" t="str">
        <f>IF(Agent06_Loans!B64="","",Agent06_Loans!G64)</f>
        <v/>
      </c>
      <c r="H1054" s="37" t="str">
        <f>IF(Agent06_Loans!B64="","",Agent06_Loans!H64)</f>
        <v/>
      </c>
      <c r="I1054" s="40" t="str">
        <f>IF(Agent06_Loans!B64="","",Agent06_Loans!I64)</f>
        <v/>
      </c>
      <c r="J1054" s="40" t="str">
        <f>IF(Agent06_Loans!B64="","",Agent06_Loans!J64)</f>
        <v/>
      </c>
      <c r="K1054" s="37" t="str">
        <f>IF(Agent06_Loans!B64="","",Agent06_Loans!K64)</f>
        <v/>
      </c>
      <c r="L1054" s="37" t="str">
        <f>IF(Agent06_Loans!B64="","",Agent06_Loans!L64)</f>
        <v/>
      </c>
      <c r="M1054" s="37" t="str">
        <f>IFERROR(IF(Agent06_Loans!B64="","",YEAR(Agent06_Loans!D64)),"")</f>
        <v/>
      </c>
    </row>
    <row r="1055" spans="1:13" ht="18" customHeight="1" x14ac:dyDescent="0.25">
      <c r="A1055" s="37" t="str">
        <f>IF(Agent06_Loans!B65="","",Agent06_Loans!A65)</f>
        <v/>
      </c>
      <c r="B1055" s="37" t="str">
        <f>IF(Agent06_Loans!B65="","",Agent06_Loans!B65)</f>
        <v/>
      </c>
      <c r="C1055" s="37" t="str">
        <f>IF(Agent06_Loans!B65="","",Agent06_Loans!C65)</f>
        <v/>
      </c>
      <c r="D1055" s="38" t="str">
        <f>IF(Agent06_Loans!B65="","",Agent06_Loans!D65)</f>
        <v/>
      </c>
      <c r="E1055" s="40" t="str">
        <f>IF(Agent06_Loans!B65="","",Agent06_Loans!E65)</f>
        <v/>
      </c>
      <c r="F1055" s="37" t="str">
        <f>IF(Agent06_Loans!B65="","",Agent06_Loans!F65)</f>
        <v/>
      </c>
      <c r="G1055" s="37" t="str">
        <f>IF(Agent06_Loans!B65="","",Agent06_Loans!G65)</f>
        <v/>
      </c>
      <c r="H1055" s="37" t="str">
        <f>IF(Agent06_Loans!B65="","",Agent06_Loans!H65)</f>
        <v/>
      </c>
      <c r="I1055" s="40" t="str">
        <f>IF(Agent06_Loans!B65="","",Agent06_Loans!I65)</f>
        <v/>
      </c>
      <c r="J1055" s="40" t="str">
        <f>IF(Agent06_Loans!B65="","",Agent06_Loans!J65)</f>
        <v/>
      </c>
      <c r="K1055" s="37" t="str">
        <f>IF(Agent06_Loans!B65="","",Agent06_Loans!K65)</f>
        <v/>
      </c>
      <c r="L1055" s="37" t="str">
        <f>IF(Agent06_Loans!B65="","",Agent06_Loans!L65)</f>
        <v/>
      </c>
      <c r="M1055" s="37" t="str">
        <f>IFERROR(IF(Agent06_Loans!B65="","",YEAR(Agent06_Loans!D65)),"")</f>
        <v/>
      </c>
    </row>
    <row r="1056" spans="1:13" ht="18" customHeight="1" x14ac:dyDescent="0.25">
      <c r="A1056" s="37" t="str">
        <f>IF(Agent06_Loans!B66="","",Agent06_Loans!A66)</f>
        <v/>
      </c>
      <c r="B1056" s="37" t="str">
        <f>IF(Agent06_Loans!B66="","",Agent06_Loans!B66)</f>
        <v/>
      </c>
      <c r="C1056" s="37" t="str">
        <f>IF(Agent06_Loans!B66="","",Agent06_Loans!C66)</f>
        <v/>
      </c>
      <c r="D1056" s="38" t="str">
        <f>IF(Agent06_Loans!B66="","",Agent06_Loans!D66)</f>
        <v/>
      </c>
      <c r="E1056" s="40" t="str">
        <f>IF(Agent06_Loans!B66="","",Agent06_Loans!E66)</f>
        <v/>
      </c>
      <c r="F1056" s="37" t="str">
        <f>IF(Agent06_Loans!B66="","",Agent06_Loans!F66)</f>
        <v/>
      </c>
      <c r="G1056" s="37" t="str">
        <f>IF(Agent06_Loans!B66="","",Agent06_Loans!G66)</f>
        <v/>
      </c>
      <c r="H1056" s="37" t="str">
        <f>IF(Agent06_Loans!B66="","",Agent06_Loans!H66)</f>
        <v/>
      </c>
      <c r="I1056" s="40" t="str">
        <f>IF(Agent06_Loans!B66="","",Agent06_Loans!I66)</f>
        <v/>
      </c>
      <c r="J1056" s="40" t="str">
        <f>IF(Agent06_Loans!B66="","",Agent06_Loans!J66)</f>
        <v/>
      </c>
      <c r="K1056" s="37" t="str">
        <f>IF(Agent06_Loans!B66="","",Agent06_Loans!K66)</f>
        <v/>
      </c>
      <c r="L1056" s="37" t="str">
        <f>IF(Agent06_Loans!B66="","",Agent06_Loans!L66)</f>
        <v/>
      </c>
      <c r="M1056" s="37" t="str">
        <f>IFERROR(IF(Agent06_Loans!B66="","",YEAR(Agent06_Loans!D66)),"")</f>
        <v/>
      </c>
    </row>
    <row r="1057" spans="1:13" ht="18" customHeight="1" x14ac:dyDescent="0.25">
      <c r="A1057" s="37" t="str">
        <f>IF(Agent06_Loans!B67="","",Agent06_Loans!A67)</f>
        <v/>
      </c>
      <c r="B1057" s="37" t="str">
        <f>IF(Agent06_Loans!B67="","",Agent06_Loans!B67)</f>
        <v/>
      </c>
      <c r="C1057" s="37" t="str">
        <f>IF(Agent06_Loans!B67="","",Agent06_Loans!C67)</f>
        <v/>
      </c>
      <c r="D1057" s="38" t="str">
        <f>IF(Agent06_Loans!B67="","",Agent06_Loans!D67)</f>
        <v/>
      </c>
      <c r="E1057" s="40" t="str">
        <f>IF(Agent06_Loans!B67="","",Agent06_Loans!E67)</f>
        <v/>
      </c>
      <c r="F1057" s="37" t="str">
        <f>IF(Agent06_Loans!B67="","",Agent06_Loans!F67)</f>
        <v/>
      </c>
      <c r="G1057" s="37" t="str">
        <f>IF(Agent06_Loans!B67="","",Agent06_Loans!G67)</f>
        <v/>
      </c>
      <c r="H1057" s="37" t="str">
        <f>IF(Agent06_Loans!B67="","",Agent06_Loans!H67)</f>
        <v/>
      </c>
      <c r="I1057" s="40" t="str">
        <f>IF(Agent06_Loans!B67="","",Agent06_Loans!I67)</f>
        <v/>
      </c>
      <c r="J1057" s="40" t="str">
        <f>IF(Agent06_Loans!B67="","",Agent06_Loans!J67)</f>
        <v/>
      </c>
      <c r="K1057" s="37" t="str">
        <f>IF(Agent06_Loans!B67="","",Agent06_Loans!K67)</f>
        <v/>
      </c>
      <c r="L1057" s="37" t="str">
        <f>IF(Agent06_Loans!B67="","",Agent06_Loans!L67)</f>
        <v/>
      </c>
      <c r="M1057" s="37" t="str">
        <f>IFERROR(IF(Agent06_Loans!B67="","",YEAR(Agent06_Loans!D67)),"")</f>
        <v/>
      </c>
    </row>
    <row r="1058" spans="1:13" ht="18" customHeight="1" x14ac:dyDescent="0.25">
      <c r="A1058" s="37" t="str">
        <f>IF(Agent06_Loans!B68="","",Agent06_Loans!A68)</f>
        <v/>
      </c>
      <c r="B1058" s="37" t="str">
        <f>IF(Agent06_Loans!B68="","",Agent06_Loans!B68)</f>
        <v/>
      </c>
      <c r="C1058" s="37" t="str">
        <f>IF(Agent06_Loans!B68="","",Agent06_Loans!C68)</f>
        <v/>
      </c>
      <c r="D1058" s="38" t="str">
        <f>IF(Agent06_Loans!B68="","",Agent06_Loans!D68)</f>
        <v/>
      </c>
      <c r="E1058" s="40" t="str">
        <f>IF(Agent06_Loans!B68="","",Agent06_Loans!E68)</f>
        <v/>
      </c>
      <c r="F1058" s="37" t="str">
        <f>IF(Agent06_Loans!B68="","",Agent06_Loans!F68)</f>
        <v/>
      </c>
      <c r="G1058" s="37" t="str">
        <f>IF(Agent06_Loans!B68="","",Agent06_Loans!G68)</f>
        <v/>
      </c>
      <c r="H1058" s="37" t="str">
        <f>IF(Agent06_Loans!B68="","",Agent06_Loans!H68)</f>
        <v/>
      </c>
      <c r="I1058" s="40" t="str">
        <f>IF(Agent06_Loans!B68="","",Agent06_Loans!I68)</f>
        <v/>
      </c>
      <c r="J1058" s="40" t="str">
        <f>IF(Agent06_Loans!B68="","",Agent06_Loans!J68)</f>
        <v/>
      </c>
      <c r="K1058" s="37" t="str">
        <f>IF(Agent06_Loans!B68="","",Agent06_Loans!K68)</f>
        <v/>
      </c>
      <c r="L1058" s="37" t="str">
        <f>IF(Agent06_Loans!B68="","",Agent06_Loans!L68)</f>
        <v/>
      </c>
      <c r="M1058" s="37" t="str">
        <f>IFERROR(IF(Agent06_Loans!B68="","",YEAR(Agent06_Loans!D68)),"")</f>
        <v/>
      </c>
    </row>
    <row r="1059" spans="1:13" ht="18" customHeight="1" x14ac:dyDescent="0.25">
      <c r="A1059" s="37" t="str">
        <f>IF(Agent06_Loans!B69="","",Agent06_Loans!A69)</f>
        <v/>
      </c>
      <c r="B1059" s="37" t="str">
        <f>IF(Agent06_Loans!B69="","",Agent06_Loans!B69)</f>
        <v/>
      </c>
      <c r="C1059" s="37" t="str">
        <f>IF(Agent06_Loans!B69="","",Agent06_Loans!C69)</f>
        <v/>
      </c>
      <c r="D1059" s="38" t="str">
        <f>IF(Agent06_Loans!B69="","",Agent06_Loans!D69)</f>
        <v/>
      </c>
      <c r="E1059" s="40" t="str">
        <f>IF(Agent06_Loans!B69="","",Agent06_Loans!E69)</f>
        <v/>
      </c>
      <c r="F1059" s="37" t="str">
        <f>IF(Agent06_Loans!B69="","",Agent06_Loans!F69)</f>
        <v/>
      </c>
      <c r="G1059" s="37" t="str">
        <f>IF(Agent06_Loans!B69="","",Agent06_Loans!G69)</f>
        <v/>
      </c>
      <c r="H1059" s="37" t="str">
        <f>IF(Agent06_Loans!B69="","",Agent06_Loans!H69)</f>
        <v/>
      </c>
      <c r="I1059" s="40" t="str">
        <f>IF(Agent06_Loans!B69="","",Agent06_Loans!I69)</f>
        <v/>
      </c>
      <c r="J1059" s="40" t="str">
        <f>IF(Agent06_Loans!B69="","",Agent06_Loans!J69)</f>
        <v/>
      </c>
      <c r="K1059" s="37" t="str">
        <f>IF(Agent06_Loans!B69="","",Agent06_Loans!K69)</f>
        <v/>
      </c>
      <c r="L1059" s="37" t="str">
        <f>IF(Agent06_Loans!B69="","",Agent06_Loans!L69)</f>
        <v/>
      </c>
      <c r="M1059" s="37" t="str">
        <f>IFERROR(IF(Agent06_Loans!B69="","",YEAR(Agent06_Loans!D69)),"")</f>
        <v/>
      </c>
    </row>
    <row r="1060" spans="1:13" ht="18" customHeight="1" x14ac:dyDescent="0.25">
      <c r="A1060" s="37" t="str">
        <f>IF(Agent06_Loans!B70="","",Agent06_Loans!A70)</f>
        <v/>
      </c>
      <c r="B1060" s="37" t="str">
        <f>IF(Agent06_Loans!B70="","",Agent06_Loans!B70)</f>
        <v/>
      </c>
      <c r="C1060" s="37" t="str">
        <f>IF(Agent06_Loans!B70="","",Agent06_Loans!C70)</f>
        <v/>
      </c>
      <c r="D1060" s="38" t="str">
        <f>IF(Agent06_Loans!B70="","",Agent06_Loans!D70)</f>
        <v/>
      </c>
      <c r="E1060" s="40" t="str">
        <f>IF(Agent06_Loans!B70="","",Agent06_Loans!E70)</f>
        <v/>
      </c>
      <c r="F1060" s="37" t="str">
        <f>IF(Agent06_Loans!B70="","",Agent06_Loans!F70)</f>
        <v/>
      </c>
      <c r="G1060" s="37" t="str">
        <f>IF(Agent06_Loans!B70="","",Agent06_Loans!G70)</f>
        <v/>
      </c>
      <c r="H1060" s="37" t="str">
        <f>IF(Agent06_Loans!B70="","",Agent06_Loans!H70)</f>
        <v/>
      </c>
      <c r="I1060" s="40" t="str">
        <f>IF(Agent06_Loans!B70="","",Agent06_Loans!I70)</f>
        <v/>
      </c>
      <c r="J1060" s="40" t="str">
        <f>IF(Agent06_Loans!B70="","",Agent06_Loans!J70)</f>
        <v/>
      </c>
      <c r="K1060" s="37" t="str">
        <f>IF(Agent06_Loans!B70="","",Agent06_Loans!K70)</f>
        <v/>
      </c>
      <c r="L1060" s="37" t="str">
        <f>IF(Agent06_Loans!B70="","",Agent06_Loans!L70)</f>
        <v/>
      </c>
      <c r="M1060" s="37" t="str">
        <f>IFERROR(IF(Agent06_Loans!B70="","",YEAR(Agent06_Loans!D70)),"")</f>
        <v/>
      </c>
    </row>
    <row r="1061" spans="1:13" ht="18" customHeight="1" x14ac:dyDescent="0.25">
      <c r="A1061" s="37" t="str">
        <f>IF(Agent06_Loans!B71="","",Agent06_Loans!A71)</f>
        <v/>
      </c>
      <c r="B1061" s="37" t="str">
        <f>IF(Agent06_Loans!B71="","",Agent06_Loans!B71)</f>
        <v/>
      </c>
      <c r="C1061" s="37" t="str">
        <f>IF(Agent06_Loans!B71="","",Agent06_Loans!C71)</f>
        <v/>
      </c>
      <c r="D1061" s="38" t="str">
        <f>IF(Agent06_Loans!B71="","",Agent06_Loans!D71)</f>
        <v/>
      </c>
      <c r="E1061" s="40" t="str">
        <f>IF(Agent06_Loans!B71="","",Agent06_Loans!E71)</f>
        <v/>
      </c>
      <c r="F1061" s="37" t="str">
        <f>IF(Agent06_Loans!B71="","",Agent06_Loans!F71)</f>
        <v/>
      </c>
      <c r="G1061" s="37" t="str">
        <f>IF(Agent06_Loans!B71="","",Agent06_Loans!G71)</f>
        <v/>
      </c>
      <c r="H1061" s="37" t="str">
        <f>IF(Agent06_Loans!B71="","",Agent06_Loans!H71)</f>
        <v/>
      </c>
      <c r="I1061" s="40" t="str">
        <f>IF(Agent06_Loans!B71="","",Agent06_Loans!I71)</f>
        <v/>
      </c>
      <c r="J1061" s="40" t="str">
        <f>IF(Agent06_Loans!B71="","",Agent06_Loans!J71)</f>
        <v/>
      </c>
      <c r="K1061" s="37" t="str">
        <f>IF(Agent06_Loans!B71="","",Agent06_Loans!K71)</f>
        <v/>
      </c>
      <c r="L1061" s="37" t="str">
        <f>IF(Agent06_Loans!B71="","",Agent06_Loans!L71)</f>
        <v/>
      </c>
      <c r="M1061" s="37" t="str">
        <f>IFERROR(IF(Agent06_Loans!B71="","",YEAR(Agent06_Loans!D71)),"")</f>
        <v/>
      </c>
    </row>
    <row r="1062" spans="1:13" ht="18" customHeight="1" x14ac:dyDescent="0.25">
      <c r="A1062" s="37" t="str">
        <f>IF(Agent06_Loans!B72="","",Agent06_Loans!A72)</f>
        <v/>
      </c>
      <c r="B1062" s="37" t="str">
        <f>IF(Agent06_Loans!B72="","",Agent06_Loans!B72)</f>
        <v/>
      </c>
      <c r="C1062" s="37" t="str">
        <f>IF(Agent06_Loans!B72="","",Agent06_Loans!C72)</f>
        <v/>
      </c>
      <c r="D1062" s="38" t="str">
        <f>IF(Agent06_Loans!B72="","",Agent06_Loans!D72)</f>
        <v/>
      </c>
      <c r="E1062" s="40" t="str">
        <f>IF(Agent06_Loans!B72="","",Agent06_Loans!E72)</f>
        <v/>
      </c>
      <c r="F1062" s="37" t="str">
        <f>IF(Agent06_Loans!B72="","",Agent06_Loans!F72)</f>
        <v/>
      </c>
      <c r="G1062" s="37" t="str">
        <f>IF(Agent06_Loans!B72="","",Agent06_Loans!G72)</f>
        <v/>
      </c>
      <c r="H1062" s="37" t="str">
        <f>IF(Agent06_Loans!B72="","",Agent06_Loans!H72)</f>
        <v/>
      </c>
      <c r="I1062" s="40" t="str">
        <f>IF(Agent06_Loans!B72="","",Agent06_Loans!I72)</f>
        <v/>
      </c>
      <c r="J1062" s="40" t="str">
        <f>IF(Agent06_Loans!B72="","",Agent06_Loans!J72)</f>
        <v/>
      </c>
      <c r="K1062" s="37" t="str">
        <f>IF(Agent06_Loans!B72="","",Agent06_Loans!K72)</f>
        <v/>
      </c>
      <c r="L1062" s="37" t="str">
        <f>IF(Agent06_Loans!B72="","",Agent06_Loans!L72)</f>
        <v/>
      </c>
      <c r="M1062" s="37" t="str">
        <f>IFERROR(IF(Agent06_Loans!B72="","",YEAR(Agent06_Loans!D72)),"")</f>
        <v/>
      </c>
    </row>
    <row r="1063" spans="1:13" ht="18" customHeight="1" x14ac:dyDescent="0.25">
      <c r="A1063" s="37" t="str">
        <f>IF(Agent06_Loans!B73="","",Agent06_Loans!A73)</f>
        <v/>
      </c>
      <c r="B1063" s="37" t="str">
        <f>IF(Agent06_Loans!B73="","",Agent06_Loans!B73)</f>
        <v/>
      </c>
      <c r="C1063" s="37" t="str">
        <f>IF(Agent06_Loans!B73="","",Agent06_Loans!C73)</f>
        <v/>
      </c>
      <c r="D1063" s="38" t="str">
        <f>IF(Agent06_Loans!B73="","",Agent06_Loans!D73)</f>
        <v/>
      </c>
      <c r="E1063" s="40" t="str">
        <f>IF(Agent06_Loans!B73="","",Agent06_Loans!E73)</f>
        <v/>
      </c>
      <c r="F1063" s="37" t="str">
        <f>IF(Agent06_Loans!B73="","",Agent06_Loans!F73)</f>
        <v/>
      </c>
      <c r="G1063" s="37" t="str">
        <f>IF(Agent06_Loans!B73="","",Agent06_Loans!G73)</f>
        <v/>
      </c>
      <c r="H1063" s="37" t="str">
        <f>IF(Agent06_Loans!B73="","",Agent06_Loans!H73)</f>
        <v/>
      </c>
      <c r="I1063" s="40" t="str">
        <f>IF(Agent06_Loans!B73="","",Agent06_Loans!I73)</f>
        <v/>
      </c>
      <c r="J1063" s="40" t="str">
        <f>IF(Agent06_Loans!B73="","",Agent06_Loans!J73)</f>
        <v/>
      </c>
      <c r="K1063" s="37" t="str">
        <f>IF(Agent06_Loans!B73="","",Agent06_Loans!K73)</f>
        <v/>
      </c>
      <c r="L1063" s="37" t="str">
        <f>IF(Agent06_Loans!B73="","",Agent06_Loans!L73)</f>
        <v/>
      </c>
      <c r="M1063" s="37" t="str">
        <f>IFERROR(IF(Agent06_Loans!B73="","",YEAR(Agent06_Loans!D73)),"")</f>
        <v/>
      </c>
    </row>
    <row r="1064" spans="1:13" ht="18" customHeight="1" x14ac:dyDescent="0.25">
      <c r="A1064" s="37" t="str">
        <f>IF(Agent06_Loans!B74="","",Agent06_Loans!A74)</f>
        <v/>
      </c>
      <c r="B1064" s="37" t="str">
        <f>IF(Agent06_Loans!B74="","",Agent06_Loans!B74)</f>
        <v/>
      </c>
      <c r="C1064" s="37" t="str">
        <f>IF(Agent06_Loans!B74="","",Agent06_Loans!C74)</f>
        <v/>
      </c>
      <c r="D1064" s="38" t="str">
        <f>IF(Agent06_Loans!B74="","",Agent06_Loans!D74)</f>
        <v/>
      </c>
      <c r="E1064" s="40" t="str">
        <f>IF(Agent06_Loans!B74="","",Agent06_Loans!E74)</f>
        <v/>
      </c>
      <c r="F1064" s="37" t="str">
        <f>IF(Agent06_Loans!B74="","",Agent06_Loans!F74)</f>
        <v/>
      </c>
      <c r="G1064" s="37" t="str">
        <f>IF(Agent06_Loans!B74="","",Agent06_Loans!G74)</f>
        <v/>
      </c>
      <c r="H1064" s="37" t="str">
        <f>IF(Agent06_Loans!B74="","",Agent06_Loans!H74)</f>
        <v/>
      </c>
      <c r="I1064" s="40" t="str">
        <f>IF(Agent06_Loans!B74="","",Agent06_Loans!I74)</f>
        <v/>
      </c>
      <c r="J1064" s="40" t="str">
        <f>IF(Agent06_Loans!B74="","",Agent06_Loans!J74)</f>
        <v/>
      </c>
      <c r="K1064" s="37" t="str">
        <f>IF(Agent06_Loans!B74="","",Agent06_Loans!K74)</f>
        <v/>
      </c>
      <c r="L1064" s="37" t="str">
        <f>IF(Agent06_Loans!B74="","",Agent06_Loans!L74)</f>
        <v/>
      </c>
      <c r="M1064" s="37" t="str">
        <f>IFERROR(IF(Agent06_Loans!B74="","",YEAR(Agent06_Loans!D74)),"")</f>
        <v/>
      </c>
    </row>
    <row r="1065" spans="1:13" ht="18" customHeight="1" x14ac:dyDescent="0.25">
      <c r="A1065" s="37" t="str">
        <f>IF(Agent06_Loans!B75="","",Agent06_Loans!A75)</f>
        <v/>
      </c>
      <c r="B1065" s="37" t="str">
        <f>IF(Agent06_Loans!B75="","",Agent06_Loans!B75)</f>
        <v/>
      </c>
      <c r="C1065" s="37" t="str">
        <f>IF(Agent06_Loans!B75="","",Agent06_Loans!C75)</f>
        <v/>
      </c>
      <c r="D1065" s="38" t="str">
        <f>IF(Agent06_Loans!B75="","",Agent06_Loans!D75)</f>
        <v/>
      </c>
      <c r="E1065" s="40" t="str">
        <f>IF(Agent06_Loans!B75="","",Agent06_Loans!E75)</f>
        <v/>
      </c>
      <c r="F1065" s="37" t="str">
        <f>IF(Agent06_Loans!B75="","",Agent06_Loans!F75)</f>
        <v/>
      </c>
      <c r="G1065" s="37" t="str">
        <f>IF(Agent06_Loans!B75="","",Agent06_Loans!G75)</f>
        <v/>
      </c>
      <c r="H1065" s="37" t="str">
        <f>IF(Agent06_Loans!B75="","",Agent06_Loans!H75)</f>
        <v/>
      </c>
      <c r="I1065" s="40" t="str">
        <f>IF(Agent06_Loans!B75="","",Agent06_Loans!I75)</f>
        <v/>
      </c>
      <c r="J1065" s="40" t="str">
        <f>IF(Agent06_Loans!B75="","",Agent06_Loans!J75)</f>
        <v/>
      </c>
      <c r="K1065" s="37" t="str">
        <f>IF(Agent06_Loans!B75="","",Agent06_Loans!K75)</f>
        <v/>
      </c>
      <c r="L1065" s="37" t="str">
        <f>IF(Agent06_Loans!B75="","",Agent06_Loans!L75)</f>
        <v/>
      </c>
      <c r="M1065" s="37" t="str">
        <f>IFERROR(IF(Agent06_Loans!B75="","",YEAR(Agent06_Loans!D75)),"")</f>
        <v/>
      </c>
    </row>
    <row r="1066" spans="1:13" ht="18" customHeight="1" x14ac:dyDescent="0.25">
      <c r="A1066" s="37" t="str">
        <f>IF(Agent06_Loans!B76="","",Agent06_Loans!A76)</f>
        <v/>
      </c>
      <c r="B1066" s="37" t="str">
        <f>IF(Agent06_Loans!B76="","",Agent06_Loans!B76)</f>
        <v/>
      </c>
      <c r="C1066" s="37" t="str">
        <f>IF(Agent06_Loans!B76="","",Agent06_Loans!C76)</f>
        <v/>
      </c>
      <c r="D1066" s="38" t="str">
        <f>IF(Agent06_Loans!B76="","",Agent06_Loans!D76)</f>
        <v/>
      </c>
      <c r="E1066" s="40" t="str">
        <f>IF(Agent06_Loans!B76="","",Agent06_Loans!E76)</f>
        <v/>
      </c>
      <c r="F1066" s="37" t="str">
        <f>IF(Agent06_Loans!B76="","",Agent06_Loans!F76)</f>
        <v/>
      </c>
      <c r="G1066" s="37" t="str">
        <f>IF(Agent06_Loans!B76="","",Agent06_Loans!G76)</f>
        <v/>
      </c>
      <c r="H1066" s="37" t="str">
        <f>IF(Agent06_Loans!B76="","",Agent06_Loans!H76)</f>
        <v/>
      </c>
      <c r="I1066" s="40" t="str">
        <f>IF(Agent06_Loans!B76="","",Agent06_Loans!I76)</f>
        <v/>
      </c>
      <c r="J1066" s="40" t="str">
        <f>IF(Agent06_Loans!B76="","",Agent06_Loans!J76)</f>
        <v/>
      </c>
      <c r="K1066" s="37" t="str">
        <f>IF(Agent06_Loans!B76="","",Agent06_Loans!K76)</f>
        <v/>
      </c>
      <c r="L1066" s="37" t="str">
        <f>IF(Agent06_Loans!B76="","",Agent06_Loans!L76)</f>
        <v/>
      </c>
      <c r="M1066" s="37" t="str">
        <f>IFERROR(IF(Agent06_Loans!B76="","",YEAR(Agent06_Loans!D76)),"")</f>
        <v/>
      </c>
    </row>
    <row r="1067" spans="1:13" ht="18" customHeight="1" x14ac:dyDescent="0.25">
      <c r="A1067" s="37" t="str">
        <f>IF(Agent06_Loans!B77="","",Agent06_Loans!A77)</f>
        <v/>
      </c>
      <c r="B1067" s="37" t="str">
        <f>IF(Agent06_Loans!B77="","",Agent06_Loans!B77)</f>
        <v/>
      </c>
      <c r="C1067" s="37" t="str">
        <f>IF(Agent06_Loans!B77="","",Agent06_Loans!C77)</f>
        <v/>
      </c>
      <c r="D1067" s="38" t="str">
        <f>IF(Agent06_Loans!B77="","",Agent06_Loans!D77)</f>
        <v/>
      </c>
      <c r="E1067" s="40" t="str">
        <f>IF(Agent06_Loans!B77="","",Agent06_Loans!E77)</f>
        <v/>
      </c>
      <c r="F1067" s="37" t="str">
        <f>IF(Agent06_Loans!B77="","",Agent06_Loans!F77)</f>
        <v/>
      </c>
      <c r="G1067" s="37" t="str">
        <f>IF(Agent06_Loans!B77="","",Agent06_Loans!G77)</f>
        <v/>
      </c>
      <c r="H1067" s="37" t="str">
        <f>IF(Agent06_Loans!B77="","",Agent06_Loans!H77)</f>
        <v/>
      </c>
      <c r="I1067" s="40" t="str">
        <f>IF(Agent06_Loans!B77="","",Agent06_Loans!I77)</f>
        <v/>
      </c>
      <c r="J1067" s="40" t="str">
        <f>IF(Agent06_Loans!B77="","",Agent06_Loans!J77)</f>
        <v/>
      </c>
      <c r="K1067" s="37" t="str">
        <f>IF(Agent06_Loans!B77="","",Agent06_Loans!K77)</f>
        <v/>
      </c>
      <c r="L1067" s="37" t="str">
        <f>IF(Agent06_Loans!B77="","",Agent06_Loans!L77)</f>
        <v/>
      </c>
      <c r="M1067" s="37" t="str">
        <f>IFERROR(IF(Agent06_Loans!B77="","",YEAR(Agent06_Loans!D77)),"")</f>
        <v/>
      </c>
    </row>
    <row r="1068" spans="1:13" ht="18" customHeight="1" x14ac:dyDescent="0.25">
      <c r="A1068" s="37" t="str">
        <f>IF(Agent06_Loans!B78="","",Agent06_Loans!A78)</f>
        <v/>
      </c>
      <c r="B1068" s="37" t="str">
        <f>IF(Agent06_Loans!B78="","",Agent06_Loans!B78)</f>
        <v/>
      </c>
      <c r="C1068" s="37" t="str">
        <f>IF(Agent06_Loans!B78="","",Agent06_Loans!C78)</f>
        <v/>
      </c>
      <c r="D1068" s="38" t="str">
        <f>IF(Agent06_Loans!B78="","",Agent06_Loans!D78)</f>
        <v/>
      </c>
      <c r="E1068" s="40" t="str">
        <f>IF(Agent06_Loans!B78="","",Agent06_Loans!E78)</f>
        <v/>
      </c>
      <c r="F1068" s="37" t="str">
        <f>IF(Agent06_Loans!B78="","",Agent06_Loans!F78)</f>
        <v/>
      </c>
      <c r="G1068" s="37" t="str">
        <f>IF(Agent06_Loans!B78="","",Agent06_Loans!G78)</f>
        <v/>
      </c>
      <c r="H1068" s="37" t="str">
        <f>IF(Agent06_Loans!B78="","",Agent06_Loans!H78)</f>
        <v/>
      </c>
      <c r="I1068" s="40" t="str">
        <f>IF(Agent06_Loans!B78="","",Agent06_Loans!I78)</f>
        <v/>
      </c>
      <c r="J1068" s="40" t="str">
        <f>IF(Agent06_Loans!B78="","",Agent06_Loans!J78)</f>
        <v/>
      </c>
      <c r="K1068" s="37" t="str">
        <f>IF(Agent06_Loans!B78="","",Agent06_Loans!K78)</f>
        <v/>
      </c>
      <c r="L1068" s="37" t="str">
        <f>IF(Agent06_Loans!B78="","",Agent06_Loans!L78)</f>
        <v/>
      </c>
      <c r="M1068" s="37" t="str">
        <f>IFERROR(IF(Agent06_Loans!B78="","",YEAR(Agent06_Loans!D78)),"")</f>
        <v/>
      </c>
    </row>
    <row r="1069" spans="1:13" ht="18" customHeight="1" x14ac:dyDescent="0.25">
      <c r="A1069" s="37" t="str">
        <f>IF(Agent06_Loans!B79="","",Agent06_Loans!A79)</f>
        <v/>
      </c>
      <c r="B1069" s="37" t="str">
        <f>IF(Agent06_Loans!B79="","",Agent06_Loans!B79)</f>
        <v/>
      </c>
      <c r="C1069" s="37" t="str">
        <f>IF(Agent06_Loans!B79="","",Agent06_Loans!C79)</f>
        <v/>
      </c>
      <c r="D1069" s="38" t="str">
        <f>IF(Agent06_Loans!B79="","",Agent06_Loans!D79)</f>
        <v/>
      </c>
      <c r="E1069" s="40" t="str">
        <f>IF(Agent06_Loans!B79="","",Agent06_Loans!E79)</f>
        <v/>
      </c>
      <c r="F1069" s="37" t="str">
        <f>IF(Agent06_Loans!B79="","",Agent06_Loans!F79)</f>
        <v/>
      </c>
      <c r="G1069" s="37" t="str">
        <f>IF(Agent06_Loans!B79="","",Agent06_Loans!G79)</f>
        <v/>
      </c>
      <c r="H1069" s="37" t="str">
        <f>IF(Agent06_Loans!B79="","",Agent06_Loans!H79)</f>
        <v/>
      </c>
      <c r="I1069" s="40" t="str">
        <f>IF(Agent06_Loans!B79="","",Agent06_Loans!I79)</f>
        <v/>
      </c>
      <c r="J1069" s="40" t="str">
        <f>IF(Agent06_Loans!B79="","",Agent06_Loans!J79)</f>
        <v/>
      </c>
      <c r="K1069" s="37" t="str">
        <f>IF(Agent06_Loans!B79="","",Agent06_Loans!K79)</f>
        <v/>
      </c>
      <c r="L1069" s="37" t="str">
        <f>IF(Agent06_Loans!B79="","",Agent06_Loans!L79)</f>
        <v/>
      </c>
      <c r="M1069" s="37" t="str">
        <f>IFERROR(IF(Agent06_Loans!B79="","",YEAR(Agent06_Loans!D79)),"")</f>
        <v/>
      </c>
    </row>
    <row r="1070" spans="1:13" ht="18" customHeight="1" x14ac:dyDescent="0.25">
      <c r="A1070" s="37" t="str">
        <f>IF(Agent06_Loans!B80="","",Agent06_Loans!A80)</f>
        <v/>
      </c>
      <c r="B1070" s="37" t="str">
        <f>IF(Agent06_Loans!B80="","",Agent06_Loans!B80)</f>
        <v/>
      </c>
      <c r="C1070" s="37" t="str">
        <f>IF(Agent06_Loans!B80="","",Agent06_Loans!C80)</f>
        <v/>
      </c>
      <c r="D1070" s="38" t="str">
        <f>IF(Agent06_Loans!B80="","",Agent06_Loans!D80)</f>
        <v/>
      </c>
      <c r="E1070" s="40" t="str">
        <f>IF(Agent06_Loans!B80="","",Agent06_Loans!E80)</f>
        <v/>
      </c>
      <c r="F1070" s="37" t="str">
        <f>IF(Agent06_Loans!B80="","",Agent06_Loans!F80)</f>
        <v/>
      </c>
      <c r="G1070" s="37" t="str">
        <f>IF(Agent06_Loans!B80="","",Agent06_Loans!G80)</f>
        <v/>
      </c>
      <c r="H1070" s="37" t="str">
        <f>IF(Agent06_Loans!B80="","",Agent06_Loans!H80)</f>
        <v/>
      </c>
      <c r="I1070" s="40" t="str">
        <f>IF(Agent06_Loans!B80="","",Agent06_Loans!I80)</f>
        <v/>
      </c>
      <c r="J1070" s="40" t="str">
        <f>IF(Agent06_Loans!B80="","",Agent06_Loans!J80)</f>
        <v/>
      </c>
      <c r="K1070" s="37" t="str">
        <f>IF(Agent06_Loans!B80="","",Agent06_Loans!K80)</f>
        <v/>
      </c>
      <c r="L1070" s="37" t="str">
        <f>IF(Agent06_Loans!B80="","",Agent06_Loans!L80)</f>
        <v/>
      </c>
      <c r="M1070" s="37" t="str">
        <f>IFERROR(IF(Agent06_Loans!B80="","",YEAR(Agent06_Loans!D80)),"")</f>
        <v/>
      </c>
    </row>
    <row r="1071" spans="1:13" ht="18" customHeight="1" x14ac:dyDescent="0.25">
      <c r="A1071" s="37" t="str">
        <f>IF(Agent06_Loans!B81="","",Agent06_Loans!A81)</f>
        <v/>
      </c>
      <c r="B1071" s="37" t="str">
        <f>IF(Agent06_Loans!B81="","",Agent06_Loans!B81)</f>
        <v/>
      </c>
      <c r="C1071" s="37" t="str">
        <f>IF(Agent06_Loans!B81="","",Agent06_Loans!C81)</f>
        <v/>
      </c>
      <c r="D1071" s="38" t="str">
        <f>IF(Agent06_Loans!B81="","",Agent06_Loans!D81)</f>
        <v/>
      </c>
      <c r="E1071" s="40" t="str">
        <f>IF(Agent06_Loans!B81="","",Agent06_Loans!E81)</f>
        <v/>
      </c>
      <c r="F1071" s="37" t="str">
        <f>IF(Agent06_Loans!B81="","",Agent06_Loans!F81)</f>
        <v/>
      </c>
      <c r="G1071" s="37" t="str">
        <f>IF(Agent06_Loans!B81="","",Agent06_Loans!G81)</f>
        <v/>
      </c>
      <c r="H1071" s="37" t="str">
        <f>IF(Agent06_Loans!B81="","",Agent06_Loans!H81)</f>
        <v/>
      </c>
      <c r="I1071" s="40" t="str">
        <f>IF(Agent06_Loans!B81="","",Agent06_Loans!I81)</f>
        <v/>
      </c>
      <c r="J1071" s="40" t="str">
        <f>IF(Agent06_Loans!B81="","",Agent06_Loans!J81)</f>
        <v/>
      </c>
      <c r="K1071" s="37" t="str">
        <f>IF(Agent06_Loans!B81="","",Agent06_Loans!K81)</f>
        <v/>
      </c>
      <c r="L1071" s="37" t="str">
        <f>IF(Agent06_Loans!B81="","",Agent06_Loans!L81)</f>
        <v/>
      </c>
      <c r="M1071" s="37" t="str">
        <f>IFERROR(IF(Agent06_Loans!B81="","",YEAR(Agent06_Loans!D81)),"")</f>
        <v/>
      </c>
    </row>
    <row r="1072" spans="1:13" ht="18" customHeight="1" x14ac:dyDescent="0.25">
      <c r="A1072" s="37" t="str">
        <f>IF(Agent06_Loans!B82="","",Agent06_Loans!A82)</f>
        <v/>
      </c>
      <c r="B1072" s="37" t="str">
        <f>IF(Agent06_Loans!B82="","",Agent06_Loans!B82)</f>
        <v/>
      </c>
      <c r="C1072" s="37" t="str">
        <f>IF(Agent06_Loans!B82="","",Agent06_Loans!C82)</f>
        <v/>
      </c>
      <c r="D1072" s="38" t="str">
        <f>IF(Agent06_Loans!B82="","",Agent06_Loans!D82)</f>
        <v/>
      </c>
      <c r="E1072" s="40" t="str">
        <f>IF(Agent06_Loans!B82="","",Agent06_Loans!E82)</f>
        <v/>
      </c>
      <c r="F1072" s="37" t="str">
        <f>IF(Agent06_Loans!B82="","",Agent06_Loans!F82)</f>
        <v/>
      </c>
      <c r="G1072" s="37" t="str">
        <f>IF(Agent06_Loans!B82="","",Agent06_Loans!G82)</f>
        <v/>
      </c>
      <c r="H1072" s="37" t="str">
        <f>IF(Agent06_Loans!B82="","",Agent06_Loans!H82)</f>
        <v/>
      </c>
      <c r="I1072" s="40" t="str">
        <f>IF(Agent06_Loans!B82="","",Agent06_Loans!I82)</f>
        <v/>
      </c>
      <c r="J1072" s="40" t="str">
        <f>IF(Agent06_Loans!B82="","",Agent06_Loans!J82)</f>
        <v/>
      </c>
      <c r="K1072" s="37" t="str">
        <f>IF(Agent06_Loans!B82="","",Agent06_Loans!K82)</f>
        <v/>
      </c>
      <c r="L1072" s="37" t="str">
        <f>IF(Agent06_Loans!B82="","",Agent06_Loans!L82)</f>
        <v/>
      </c>
      <c r="M1072" s="37" t="str">
        <f>IFERROR(IF(Agent06_Loans!B82="","",YEAR(Agent06_Loans!D82)),"")</f>
        <v/>
      </c>
    </row>
    <row r="1073" spans="1:13" ht="18" customHeight="1" x14ac:dyDescent="0.25">
      <c r="A1073" s="37" t="str">
        <f>IF(Agent06_Loans!B83="","",Agent06_Loans!A83)</f>
        <v/>
      </c>
      <c r="B1073" s="37" t="str">
        <f>IF(Agent06_Loans!B83="","",Agent06_Loans!B83)</f>
        <v/>
      </c>
      <c r="C1073" s="37" t="str">
        <f>IF(Agent06_Loans!B83="","",Agent06_Loans!C83)</f>
        <v/>
      </c>
      <c r="D1073" s="38" t="str">
        <f>IF(Agent06_Loans!B83="","",Agent06_Loans!D83)</f>
        <v/>
      </c>
      <c r="E1073" s="40" t="str">
        <f>IF(Agent06_Loans!B83="","",Agent06_Loans!E83)</f>
        <v/>
      </c>
      <c r="F1073" s="37" t="str">
        <f>IF(Agent06_Loans!B83="","",Agent06_Loans!F83)</f>
        <v/>
      </c>
      <c r="G1073" s="37" t="str">
        <f>IF(Agent06_Loans!B83="","",Agent06_Loans!G83)</f>
        <v/>
      </c>
      <c r="H1073" s="37" t="str">
        <f>IF(Agent06_Loans!B83="","",Agent06_Loans!H83)</f>
        <v/>
      </c>
      <c r="I1073" s="40" t="str">
        <f>IF(Agent06_Loans!B83="","",Agent06_Loans!I83)</f>
        <v/>
      </c>
      <c r="J1073" s="40" t="str">
        <f>IF(Agent06_Loans!B83="","",Agent06_Loans!J83)</f>
        <v/>
      </c>
      <c r="K1073" s="37" t="str">
        <f>IF(Agent06_Loans!B83="","",Agent06_Loans!K83)</f>
        <v/>
      </c>
      <c r="L1073" s="37" t="str">
        <f>IF(Agent06_Loans!B83="","",Agent06_Loans!L83)</f>
        <v/>
      </c>
      <c r="M1073" s="37" t="str">
        <f>IFERROR(IF(Agent06_Loans!B83="","",YEAR(Agent06_Loans!D83)),"")</f>
        <v/>
      </c>
    </row>
    <row r="1074" spans="1:13" ht="18" customHeight="1" x14ac:dyDescent="0.25">
      <c r="A1074" s="37" t="str">
        <f>IF(Agent06_Loans!B84="","",Agent06_Loans!A84)</f>
        <v/>
      </c>
      <c r="B1074" s="37" t="str">
        <f>IF(Agent06_Loans!B84="","",Agent06_Loans!B84)</f>
        <v/>
      </c>
      <c r="C1074" s="37" t="str">
        <f>IF(Agent06_Loans!B84="","",Agent06_Loans!C84)</f>
        <v/>
      </c>
      <c r="D1074" s="38" t="str">
        <f>IF(Agent06_Loans!B84="","",Agent06_Loans!D84)</f>
        <v/>
      </c>
      <c r="E1074" s="40" t="str">
        <f>IF(Agent06_Loans!B84="","",Agent06_Loans!E84)</f>
        <v/>
      </c>
      <c r="F1074" s="37" t="str">
        <f>IF(Agent06_Loans!B84="","",Agent06_Loans!F84)</f>
        <v/>
      </c>
      <c r="G1074" s="37" t="str">
        <f>IF(Agent06_Loans!B84="","",Agent06_Loans!G84)</f>
        <v/>
      </c>
      <c r="H1074" s="37" t="str">
        <f>IF(Agent06_Loans!B84="","",Agent06_Loans!H84)</f>
        <v/>
      </c>
      <c r="I1074" s="40" t="str">
        <f>IF(Agent06_Loans!B84="","",Agent06_Loans!I84)</f>
        <v/>
      </c>
      <c r="J1074" s="40" t="str">
        <f>IF(Agent06_Loans!B84="","",Agent06_Loans!J84)</f>
        <v/>
      </c>
      <c r="K1074" s="37" t="str">
        <f>IF(Agent06_Loans!B84="","",Agent06_Loans!K84)</f>
        <v/>
      </c>
      <c r="L1074" s="37" t="str">
        <f>IF(Agent06_Loans!B84="","",Agent06_Loans!L84)</f>
        <v/>
      </c>
      <c r="M1074" s="37" t="str">
        <f>IFERROR(IF(Agent06_Loans!B84="","",YEAR(Agent06_Loans!D84)),"")</f>
        <v/>
      </c>
    </row>
    <row r="1075" spans="1:13" ht="18" customHeight="1" x14ac:dyDescent="0.25">
      <c r="A1075" s="37" t="str">
        <f>IF(Agent06_Loans!B85="","",Agent06_Loans!A85)</f>
        <v/>
      </c>
      <c r="B1075" s="37" t="str">
        <f>IF(Agent06_Loans!B85="","",Agent06_Loans!B85)</f>
        <v/>
      </c>
      <c r="C1075" s="37" t="str">
        <f>IF(Agent06_Loans!B85="","",Agent06_Loans!C85)</f>
        <v/>
      </c>
      <c r="D1075" s="38" t="str">
        <f>IF(Agent06_Loans!B85="","",Agent06_Loans!D85)</f>
        <v/>
      </c>
      <c r="E1075" s="40" t="str">
        <f>IF(Agent06_Loans!B85="","",Agent06_Loans!E85)</f>
        <v/>
      </c>
      <c r="F1075" s="37" t="str">
        <f>IF(Agent06_Loans!B85="","",Agent06_Loans!F85)</f>
        <v/>
      </c>
      <c r="G1075" s="37" t="str">
        <f>IF(Agent06_Loans!B85="","",Agent06_Loans!G85)</f>
        <v/>
      </c>
      <c r="H1075" s="37" t="str">
        <f>IF(Agent06_Loans!B85="","",Agent06_Loans!H85)</f>
        <v/>
      </c>
      <c r="I1075" s="40" t="str">
        <f>IF(Agent06_Loans!B85="","",Agent06_Loans!I85)</f>
        <v/>
      </c>
      <c r="J1075" s="40" t="str">
        <f>IF(Agent06_Loans!B85="","",Agent06_Loans!J85)</f>
        <v/>
      </c>
      <c r="K1075" s="37" t="str">
        <f>IF(Agent06_Loans!B85="","",Agent06_Loans!K85)</f>
        <v/>
      </c>
      <c r="L1075" s="37" t="str">
        <f>IF(Agent06_Loans!B85="","",Agent06_Loans!L85)</f>
        <v/>
      </c>
      <c r="M1075" s="37" t="str">
        <f>IFERROR(IF(Agent06_Loans!B85="","",YEAR(Agent06_Loans!D85)),"")</f>
        <v/>
      </c>
    </row>
    <row r="1076" spans="1:13" ht="18" customHeight="1" x14ac:dyDescent="0.25">
      <c r="A1076" s="37" t="str">
        <f>IF(Agent06_Loans!B86="","",Agent06_Loans!A86)</f>
        <v/>
      </c>
      <c r="B1076" s="37" t="str">
        <f>IF(Agent06_Loans!B86="","",Agent06_Loans!B86)</f>
        <v/>
      </c>
      <c r="C1076" s="37" t="str">
        <f>IF(Agent06_Loans!B86="","",Agent06_Loans!C86)</f>
        <v/>
      </c>
      <c r="D1076" s="38" t="str">
        <f>IF(Agent06_Loans!B86="","",Agent06_Loans!D86)</f>
        <v/>
      </c>
      <c r="E1076" s="40" t="str">
        <f>IF(Agent06_Loans!B86="","",Agent06_Loans!E86)</f>
        <v/>
      </c>
      <c r="F1076" s="37" t="str">
        <f>IF(Agent06_Loans!B86="","",Agent06_Loans!F86)</f>
        <v/>
      </c>
      <c r="G1076" s="37" t="str">
        <f>IF(Agent06_Loans!B86="","",Agent06_Loans!G86)</f>
        <v/>
      </c>
      <c r="H1076" s="37" t="str">
        <f>IF(Agent06_Loans!B86="","",Agent06_Loans!H86)</f>
        <v/>
      </c>
      <c r="I1076" s="40" t="str">
        <f>IF(Agent06_Loans!B86="","",Agent06_Loans!I86)</f>
        <v/>
      </c>
      <c r="J1076" s="40" t="str">
        <f>IF(Agent06_Loans!B86="","",Agent06_Loans!J86)</f>
        <v/>
      </c>
      <c r="K1076" s="37" t="str">
        <f>IF(Agent06_Loans!B86="","",Agent06_Loans!K86)</f>
        <v/>
      </c>
      <c r="L1076" s="37" t="str">
        <f>IF(Agent06_Loans!B86="","",Agent06_Loans!L86)</f>
        <v/>
      </c>
      <c r="M1076" s="37" t="str">
        <f>IFERROR(IF(Agent06_Loans!B86="","",YEAR(Agent06_Loans!D86)),"")</f>
        <v/>
      </c>
    </row>
    <row r="1077" spans="1:13" ht="18" customHeight="1" x14ac:dyDescent="0.25">
      <c r="A1077" s="37" t="str">
        <f>IF(Agent06_Loans!B87="","",Agent06_Loans!A87)</f>
        <v/>
      </c>
      <c r="B1077" s="37" t="str">
        <f>IF(Agent06_Loans!B87="","",Agent06_Loans!B87)</f>
        <v/>
      </c>
      <c r="C1077" s="37" t="str">
        <f>IF(Agent06_Loans!B87="","",Agent06_Loans!C87)</f>
        <v/>
      </c>
      <c r="D1077" s="38" t="str">
        <f>IF(Agent06_Loans!B87="","",Agent06_Loans!D87)</f>
        <v/>
      </c>
      <c r="E1077" s="40" t="str">
        <f>IF(Agent06_Loans!B87="","",Agent06_Loans!E87)</f>
        <v/>
      </c>
      <c r="F1077" s="37" t="str">
        <f>IF(Agent06_Loans!B87="","",Agent06_Loans!F87)</f>
        <v/>
      </c>
      <c r="G1077" s="37" t="str">
        <f>IF(Agent06_Loans!B87="","",Agent06_Loans!G87)</f>
        <v/>
      </c>
      <c r="H1077" s="37" t="str">
        <f>IF(Agent06_Loans!B87="","",Agent06_Loans!H87)</f>
        <v/>
      </c>
      <c r="I1077" s="40" t="str">
        <f>IF(Agent06_Loans!B87="","",Agent06_Loans!I87)</f>
        <v/>
      </c>
      <c r="J1077" s="40" t="str">
        <f>IF(Agent06_Loans!B87="","",Agent06_Loans!J87)</f>
        <v/>
      </c>
      <c r="K1077" s="37" t="str">
        <f>IF(Agent06_Loans!B87="","",Agent06_Loans!K87)</f>
        <v/>
      </c>
      <c r="L1077" s="37" t="str">
        <f>IF(Agent06_Loans!B87="","",Agent06_Loans!L87)</f>
        <v/>
      </c>
      <c r="M1077" s="37" t="str">
        <f>IFERROR(IF(Agent06_Loans!B87="","",YEAR(Agent06_Loans!D87)),"")</f>
        <v/>
      </c>
    </row>
    <row r="1078" spans="1:13" ht="18" customHeight="1" x14ac:dyDescent="0.25">
      <c r="A1078" s="37" t="str">
        <f>IF(Agent06_Loans!B88="","",Agent06_Loans!A88)</f>
        <v/>
      </c>
      <c r="B1078" s="37" t="str">
        <f>IF(Agent06_Loans!B88="","",Agent06_Loans!B88)</f>
        <v/>
      </c>
      <c r="C1078" s="37" t="str">
        <f>IF(Agent06_Loans!B88="","",Agent06_Loans!C88)</f>
        <v/>
      </c>
      <c r="D1078" s="38" t="str">
        <f>IF(Agent06_Loans!B88="","",Agent06_Loans!D88)</f>
        <v/>
      </c>
      <c r="E1078" s="40" t="str">
        <f>IF(Agent06_Loans!B88="","",Agent06_Loans!E88)</f>
        <v/>
      </c>
      <c r="F1078" s="37" t="str">
        <f>IF(Agent06_Loans!B88="","",Agent06_Loans!F88)</f>
        <v/>
      </c>
      <c r="G1078" s="37" t="str">
        <f>IF(Agent06_Loans!B88="","",Agent06_Loans!G88)</f>
        <v/>
      </c>
      <c r="H1078" s="37" t="str">
        <f>IF(Agent06_Loans!B88="","",Agent06_Loans!H88)</f>
        <v/>
      </c>
      <c r="I1078" s="40" t="str">
        <f>IF(Agent06_Loans!B88="","",Agent06_Loans!I88)</f>
        <v/>
      </c>
      <c r="J1078" s="40" t="str">
        <f>IF(Agent06_Loans!B88="","",Agent06_Loans!J88)</f>
        <v/>
      </c>
      <c r="K1078" s="37" t="str">
        <f>IF(Agent06_Loans!B88="","",Agent06_Loans!K88)</f>
        <v/>
      </c>
      <c r="L1078" s="37" t="str">
        <f>IF(Agent06_Loans!B88="","",Agent06_Loans!L88)</f>
        <v/>
      </c>
      <c r="M1078" s="37" t="str">
        <f>IFERROR(IF(Agent06_Loans!B88="","",YEAR(Agent06_Loans!D88)),"")</f>
        <v/>
      </c>
    </row>
    <row r="1079" spans="1:13" ht="18" customHeight="1" x14ac:dyDescent="0.25">
      <c r="A1079" s="37" t="str">
        <f>IF(Agent06_Loans!B89="","",Agent06_Loans!A89)</f>
        <v/>
      </c>
      <c r="B1079" s="37" t="str">
        <f>IF(Agent06_Loans!B89="","",Agent06_Loans!B89)</f>
        <v/>
      </c>
      <c r="C1079" s="37" t="str">
        <f>IF(Agent06_Loans!B89="","",Agent06_Loans!C89)</f>
        <v/>
      </c>
      <c r="D1079" s="38" t="str">
        <f>IF(Agent06_Loans!B89="","",Agent06_Loans!D89)</f>
        <v/>
      </c>
      <c r="E1079" s="40" t="str">
        <f>IF(Agent06_Loans!B89="","",Agent06_Loans!E89)</f>
        <v/>
      </c>
      <c r="F1079" s="37" t="str">
        <f>IF(Agent06_Loans!B89="","",Agent06_Loans!F89)</f>
        <v/>
      </c>
      <c r="G1079" s="37" t="str">
        <f>IF(Agent06_Loans!B89="","",Agent06_Loans!G89)</f>
        <v/>
      </c>
      <c r="H1079" s="37" t="str">
        <f>IF(Agent06_Loans!B89="","",Agent06_Loans!H89)</f>
        <v/>
      </c>
      <c r="I1079" s="40" t="str">
        <f>IF(Agent06_Loans!B89="","",Agent06_Loans!I89)</f>
        <v/>
      </c>
      <c r="J1079" s="40" t="str">
        <f>IF(Agent06_Loans!B89="","",Agent06_Loans!J89)</f>
        <v/>
      </c>
      <c r="K1079" s="37" t="str">
        <f>IF(Agent06_Loans!B89="","",Agent06_Loans!K89)</f>
        <v/>
      </c>
      <c r="L1079" s="37" t="str">
        <f>IF(Agent06_Loans!B89="","",Agent06_Loans!L89)</f>
        <v/>
      </c>
      <c r="M1079" s="37" t="str">
        <f>IFERROR(IF(Agent06_Loans!B89="","",YEAR(Agent06_Loans!D89)),"")</f>
        <v/>
      </c>
    </row>
    <row r="1080" spans="1:13" ht="18" customHeight="1" x14ac:dyDescent="0.25">
      <c r="A1080" s="37" t="str">
        <f>IF(Agent06_Loans!B90="","",Agent06_Loans!A90)</f>
        <v/>
      </c>
      <c r="B1080" s="37" t="str">
        <f>IF(Agent06_Loans!B90="","",Agent06_Loans!B90)</f>
        <v/>
      </c>
      <c r="C1080" s="37" t="str">
        <f>IF(Agent06_Loans!B90="","",Agent06_Loans!C90)</f>
        <v/>
      </c>
      <c r="D1080" s="38" t="str">
        <f>IF(Agent06_Loans!B90="","",Agent06_Loans!D90)</f>
        <v/>
      </c>
      <c r="E1080" s="40" t="str">
        <f>IF(Agent06_Loans!B90="","",Agent06_Loans!E90)</f>
        <v/>
      </c>
      <c r="F1080" s="37" t="str">
        <f>IF(Agent06_Loans!B90="","",Agent06_Loans!F90)</f>
        <v/>
      </c>
      <c r="G1080" s="37" t="str">
        <f>IF(Agent06_Loans!B90="","",Agent06_Loans!G90)</f>
        <v/>
      </c>
      <c r="H1080" s="37" t="str">
        <f>IF(Agent06_Loans!B90="","",Agent06_Loans!H90)</f>
        <v/>
      </c>
      <c r="I1080" s="40" t="str">
        <f>IF(Agent06_Loans!B90="","",Agent06_Loans!I90)</f>
        <v/>
      </c>
      <c r="J1080" s="40" t="str">
        <f>IF(Agent06_Loans!B90="","",Agent06_Loans!J90)</f>
        <v/>
      </c>
      <c r="K1080" s="37" t="str">
        <f>IF(Agent06_Loans!B90="","",Agent06_Loans!K90)</f>
        <v/>
      </c>
      <c r="L1080" s="37" t="str">
        <f>IF(Agent06_Loans!B90="","",Agent06_Loans!L90)</f>
        <v/>
      </c>
      <c r="M1080" s="37" t="str">
        <f>IFERROR(IF(Agent06_Loans!B90="","",YEAR(Agent06_Loans!D90)),"")</f>
        <v/>
      </c>
    </row>
    <row r="1081" spans="1:13" ht="18" customHeight="1" x14ac:dyDescent="0.25">
      <c r="A1081" s="37" t="str">
        <f>IF(Agent06_Loans!B91="","",Agent06_Loans!A91)</f>
        <v/>
      </c>
      <c r="B1081" s="37" t="str">
        <f>IF(Agent06_Loans!B91="","",Agent06_Loans!B91)</f>
        <v/>
      </c>
      <c r="C1081" s="37" t="str">
        <f>IF(Agent06_Loans!B91="","",Agent06_Loans!C91)</f>
        <v/>
      </c>
      <c r="D1081" s="38" t="str">
        <f>IF(Agent06_Loans!B91="","",Agent06_Loans!D91)</f>
        <v/>
      </c>
      <c r="E1081" s="40" t="str">
        <f>IF(Agent06_Loans!B91="","",Agent06_Loans!E91)</f>
        <v/>
      </c>
      <c r="F1081" s="37" t="str">
        <f>IF(Agent06_Loans!B91="","",Agent06_Loans!F91)</f>
        <v/>
      </c>
      <c r="G1081" s="37" t="str">
        <f>IF(Agent06_Loans!B91="","",Agent06_Loans!G91)</f>
        <v/>
      </c>
      <c r="H1081" s="37" t="str">
        <f>IF(Agent06_Loans!B91="","",Agent06_Loans!H91)</f>
        <v/>
      </c>
      <c r="I1081" s="40" t="str">
        <f>IF(Agent06_Loans!B91="","",Agent06_Loans!I91)</f>
        <v/>
      </c>
      <c r="J1081" s="40" t="str">
        <f>IF(Agent06_Loans!B91="","",Agent06_Loans!J91)</f>
        <v/>
      </c>
      <c r="K1081" s="37" t="str">
        <f>IF(Agent06_Loans!B91="","",Agent06_Loans!K91)</f>
        <v/>
      </c>
      <c r="L1081" s="37" t="str">
        <f>IF(Agent06_Loans!B91="","",Agent06_Loans!L91)</f>
        <v/>
      </c>
      <c r="M1081" s="37" t="str">
        <f>IFERROR(IF(Agent06_Loans!B91="","",YEAR(Agent06_Loans!D91)),"")</f>
        <v/>
      </c>
    </row>
    <row r="1082" spans="1:13" ht="18" customHeight="1" x14ac:dyDescent="0.25">
      <c r="A1082" s="37" t="str">
        <f>IF(Agent06_Loans!B92="","",Agent06_Loans!A92)</f>
        <v/>
      </c>
      <c r="B1082" s="37" t="str">
        <f>IF(Agent06_Loans!B92="","",Agent06_Loans!B92)</f>
        <v/>
      </c>
      <c r="C1082" s="37" t="str">
        <f>IF(Agent06_Loans!B92="","",Agent06_Loans!C92)</f>
        <v/>
      </c>
      <c r="D1082" s="38" t="str">
        <f>IF(Agent06_Loans!B92="","",Agent06_Loans!D92)</f>
        <v/>
      </c>
      <c r="E1082" s="40" t="str">
        <f>IF(Agent06_Loans!B92="","",Agent06_Loans!E92)</f>
        <v/>
      </c>
      <c r="F1082" s="37" t="str">
        <f>IF(Agent06_Loans!B92="","",Agent06_Loans!F92)</f>
        <v/>
      </c>
      <c r="G1082" s="37" t="str">
        <f>IF(Agent06_Loans!B92="","",Agent06_Loans!G92)</f>
        <v/>
      </c>
      <c r="H1082" s="37" t="str">
        <f>IF(Agent06_Loans!B92="","",Agent06_Loans!H92)</f>
        <v/>
      </c>
      <c r="I1082" s="40" t="str">
        <f>IF(Agent06_Loans!B92="","",Agent06_Loans!I92)</f>
        <v/>
      </c>
      <c r="J1082" s="40" t="str">
        <f>IF(Agent06_Loans!B92="","",Agent06_Loans!J92)</f>
        <v/>
      </c>
      <c r="K1082" s="37" t="str">
        <f>IF(Agent06_Loans!B92="","",Agent06_Loans!K92)</f>
        <v/>
      </c>
      <c r="L1082" s="37" t="str">
        <f>IF(Agent06_Loans!B92="","",Agent06_Loans!L92)</f>
        <v/>
      </c>
      <c r="M1082" s="37" t="str">
        <f>IFERROR(IF(Agent06_Loans!B92="","",YEAR(Agent06_Loans!D92)),"")</f>
        <v/>
      </c>
    </row>
    <row r="1083" spans="1:13" ht="18" customHeight="1" x14ac:dyDescent="0.25">
      <c r="A1083" s="37" t="str">
        <f>IF(Agent06_Loans!B93="","",Agent06_Loans!A93)</f>
        <v/>
      </c>
      <c r="B1083" s="37" t="str">
        <f>IF(Agent06_Loans!B93="","",Agent06_Loans!B93)</f>
        <v/>
      </c>
      <c r="C1083" s="37" t="str">
        <f>IF(Agent06_Loans!B93="","",Agent06_Loans!C93)</f>
        <v/>
      </c>
      <c r="D1083" s="38" t="str">
        <f>IF(Agent06_Loans!B93="","",Agent06_Loans!D93)</f>
        <v/>
      </c>
      <c r="E1083" s="40" t="str">
        <f>IF(Agent06_Loans!B93="","",Agent06_Loans!E93)</f>
        <v/>
      </c>
      <c r="F1083" s="37" t="str">
        <f>IF(Agent06_Loans!B93="","",Agent06_Loans!F93)</f>
        <v/>
      </c>
      <c r="G1083" s="37" t="str">
        <f>IF(Agent06_Loans!B93="","",Agent06_Loans!G93)</f>
        <v/>
      </c>
      <c r="H1083" s="37" t="str">
        <f>IF(Agent06_Loans!B93="","",Agent06_Loans!H93)</f>
        <v/>
      </c>
      <c r="I1083" s="40" t="str">
        <f>IF(Agent06_Loans!B93="","",Agent06_Loans!I93)</f>
        <v/>
      </c>
      <c r="J1083" s="40" t="str">
        <f>IF(Agent06_Loans!B93="","",Agent06_Loans!J93)</f>
        <v/>
      </c>
      <c r="K1083" s="37" t="str">
        <f>IF(Agent06_Loans!B93="","",Agent06_Loans!K93)</f>
        <v/>
      </c>
      <c r="L1083" s="37" t="str">
        <f>IF(Agent06_Loans!B93="","",Agent06_Loans!L93)</f>
        <v/>
      </c>
      <c r="M1083" s="37" t="str">
        <f>IFERROR(IF(Agent06_Loans!B93="","",YEAR(Agent06_Loans!D93)),"")</f>
        <v/>
      </c>
    </row>
    <row r="1084" spans="1:13" ht="18" customHeight="1" x14ac:dyDescent="0.25">
      <c r="A1084" s="37" t="str">
        <f>IF(Agent06_Loans!B94="","",Agent06_Loans!A94)</f>
        <v/>
      </c>
      <c r="B1084" s="37" t="str">
        <f>IF(Agent06_Loans!B94="","",Agent06_Loans!B94)</f>
        <v/>
      </c>
      <c r="C1084" s="37" t="str">
        <f>IF(Agent06_Loans!B94="","",Agent06_Loans!C94)</f>
        <v/>
      </c>
      <c r="D1084" s="38" t="str">
        <f>IF(Agent06_Loans!B94="","",Agent06_Loans!D94)</f>
        <v/>
      </c>
      <c r="E1084" s="40" t="str">
        <f>IF(Agent06_Loans!B94="","",Agent06_Loans!E94)</f>
        <v/>
      </c>
      <c r="F1084" s="37" t="str">
        <f>IF(Agent06_Loans!B94="","",Agent06_Loans!F94)</f>
        <v/>
      </c>
      <c r="G1084" s="37" t="str">
        <f>IF(Agent06_Loans!B94="","",Agent06_Loans!G94)</f>
        <v/>
      </c>
      <c r="H1084" s="37" t="str">
        <f>IF(Agent06_Loans!B94="","",Agent06_Loans!H94)</f>
        <v/>
      </c>
      <c r="I1084" s="40" t="str">
        <f>IF(Agent06_Loans!B94="","",Agent06_Loans!I94)</f>
        <v/>
      </c>
      <c r="J1084" s="40" t="str">
        <f>IF(Agent06_Loans!B94="","",Agent06_Loans!J94)</f>
        <v/>
      </c>
      <c r="K1084" s="37" t="str">
        <f>IF(Agent06_Loans!B94="","",Agent06_Loans!K94)</f>
        <v/>
      </c>
      <c r="L1084" s="37" t="str">
        <f>IF(Agent06_Loans!B94="","",Agent06_Loans!L94)</f>
        <v/>
      </c>
      <c r="M1084" s="37" t="str">
        <f>IFERROR(IF(Agent06_Loans!B94="","",YEAR(Agent06_Loans!D94)),"")</f>
        <v/>
      </c>
    </row>
    <row r="1085" spans="1:13" ht="18" customHeight="1" x14ac:dyDescent="0.25">
      <c r="A1085" s="37" t="str">
        <f>IF(Agent06_Loans!B95="","",Agent06_Loans!A95)</f>
        <v/>
      </c>
      <c r="B1085" s="37" t="str">
        <f>IF(Agent06_Loans!B95="","",Agent06_Loans!B95)</f>
        <v/>
      </c>
      <c r="C1085" s="37" t="str">
        <f>IF(Agent06_Loans!B95="","",Agent06_Loans!C95)</f>
        <v/>
      </c>
      <c r="D1085" s="38" t="str">
        <f>IF(Agent06_Loans!B95="","",Agent06_Loans!D95)</f>
        <v/>
      </c>
      <c r="E1085" s="40" t="str">
        <f>IF(Agent06_Loans!B95="","",Agent06_Loans!E95)</f>
        <v/>
      </c>
      <c r="F1085" s="37" t="str">
        <f>IF(Agent06_Loans!B95="","",Agent06_Loans!F95)</f>
        <v/>
      </c>
      <c r="G1085" s="37" t="str">
        <f>IF(Agent06_Loans!B95="","",Agent06_Loans!G95)</f>
        <v/>
      </c>
      <c r="H1085" s="37" t="str">
        <f>IF(Agent06_Loans!B95="","",Agent06_Loans!H95)</f>
        <v/>
      </c>
      <c r="I1085" s="40" t="str">
        <f>IF(Agent06_Loans!B95="","",Agent06_Loans!I95)</f>
        <v/>
      </c>
      <c r="J1085" s="40" t="str">
        <f>IF(Agent06_Loans!B95="","",Agent06_Loans!J95)</f>
        <v/>
      </c>
      <c r="K1085" s="37" t="str">
        <f>IF(Agent06_Loans!B95="","",Agent06_Loans!K95)</f>
        <v/>
      </c>
      <c r="L1085" s="37" t="str">
        <f>IF(Agent06_Loans!B95="","",Agent06_Loans!L95)</f>
        <v/>
      </c>
      <c r="M1085" s="37" t="str">
        <f>IFERROR(IF(Agent06_Loans!B95="","",YEAR(Agent06_Loans!D95)),"")</f>
        <v/>
      </c>
    </row>
    <row r="1086" spans="1:13" ht="18" customHeight="1" x14ac:dyDescent="0.25">
      <c r="A1086" s="37" t="str">
        <f>IF(Agent06_Loans!B96="","",Agent06_Loans!A96)</f>
        <v/>
      </c>
      <c r="B1086" s="37" t="str">
        <f>IF(Agent06_Loans!B96="","",Agent06_Loans!B96)</f>
        <v/>
      </c>
      <c r="C1086" s="37" t="str">
        <f>IF(Agent06_Loans!B96="","",Agent06_Loans!C96)</f>
        <v/>
      </c>
      <c r="D1086" s="38" t="str">
        <f>IF(Agent06_Loans!B96="","",Agent06_Loans!D96)</f>
        <v/>
      </c>
      <c r="E1086" s="40" t="str">
        <f>IF(Agent06_Loans!B96="","",Agent06_Loans!E96)</f>
        <v/>
      </c>
      <c r="F1086" s="37" t="str">
        <f>IF(Agent06_Loans!B96="","",Agent06_Loans!F96)</f>
        <v/>
      </c>
      <c r="G1086" s="37" t="str">
        <f>IF(Agent06_Loans!B96="","",Agent06_Loans!G96)</f>
        <v/>
      </c>
      <c r="H1086" s="37" t="str">
        <f>IF(Agent06_Loans!B96="","",Agent06_Loans!H96)</f>
        <v/>
      </c>
      <c r="I1086" s="40" t="str">
        <f>IF(Agent06_Loans!B96="","",Agent06_Loans!I96)</f>
        <v/>
      </c>
      <c r="J1086" s="40" t="str">
        <f>IF(Agent06_Loans!B96="","",Agent06_Loans!J96)</f>
        <v/>
      </c>
      <c r="K1086" s="37" t="str">
        <f>IF(Agent06_Loans!B96="","",Agent06_Loans!K96)</f>
        <v/>
      </c>
      <c r="L1086" s="37" t="str">
        <f>IF(Agent06_Loans!B96="","",Agent06_Loans!L96)</f>
        <v/>
      </c>
      <c r="M1086" s="37" t="str">
        <f>IFERROR(IF(Agent06_Loans!B96="","",YEAR(Agent06_Loans!D96)),"")</f>
        <v/>
      </c>
    </row>
    <row r="1087" spans="1:13" ht="18" customHeight="1" x14ac:dyDescent="0.25">
      <c r="A1087" s="37" t="str">
        <f>IF(Agent06_Loans!B97="","",Agent06_Loans!A97)</f>
        <v/>
      </c>
      <c r="B1087" s="37" t="str">
        <f>IF(Agent06_Loans!B97="","",Agent06_Loans!B97)</f>
        <v/>
      </c>
      <c r="C1087" s="37" t="str">
        <f>IF(Agent06_Loans!B97="","",Agent06_Loans!C97)</f>
        <v/>
      </c>
      <c r="D1087" s="38" t="str">
        <f>IF(Agent06_Loans!B97="","",Agent06_Loans!D97)</f>
        <v/>
      </c>
      <c r="E1087" s="40" t="str">
        <f>IF(Agent06_Loans!B97="","",Agent06_Loans!E97)</f>
        <v/>
      </c>
      <c r="F1087" s="37" t="str">
        <f>IF(Agent06_Loans!B97="","",Agent06_Loans!F97)</f>
        <v/>
      </c>
      <c r="G1087" s="37" t="str">
        <f>IF(Agent06_Loans!B97="","",Agent06_Loans!G97)</f>
        <v/>
      </c>
      <c r="H1087" s="37" t="str">
        <f>IF(Agent06_Loans!B97="","",Agent06_Loans!H97)</f>
        <v/>
      </c>
      <c r="I1087" s="40" t="str">
        <f>IF(Agent06_Loans!B97="","",Agent06_Loans!I97)</f>
        <v/>
      </c>
      <c r="J1087" s="40" t="str">
        <f>IF(Agent06_Loans!B97="","",Agent06_Loans!J97)</f>
        <v/>
      </c>
      <c r="K1087" s="37" t="str">
        <f>IF(Agent06_Loans!B97="","",Agent06_Loans!K97)</f>
        <v/>
      </c>
      <c r="L1087" s="37" t="str">
        <f>IF(Agent06_Loans!B97="","",Agent06_Loans!L97)</f>
        <v/>
      </c>
      <c r="M1087" s="37" t="str">
        <f>IFERROR(IF(Agent06_Loans!B97="","",YEAR(Agent06_Loans!D97)),"")</f>
        <v/>
      </c>
    </row>
    <row r="1088" spans="1:13" ht="18" customHeight="1" x14ac:dyDescent="0.25">
      <c r="A1088" s="37" t="str">
        <f>IF(Agent06_Loans!B98="","",Agent06_Loans!A98)</f>
        <v/>
      </c>
      <c r="B1088" s="37" t="str">
        <f>IF(Agent06_Loans!B98="","",Agent06_Loans!B98)</f>
        <v/>
      </c>
      <c r="C1088" s="37" t="str">
        <f>IF(Agent06_Loans!B98="","",Agent06_Loans!C98)</f>
        <v/>
      </c>
      <c r="D1088" s="38" t="str">
        <f>IF(Agent06_Loans!B98="","",Agent06_Loans!D98)</f>
        <v/>
      </c>
      <c r="E1088" s="40" t="str">
        <f>IF(Agent06_Loans!B98="","",Agent06_Loans!E98)</f>
        <v/>
      </c>
      <c r="F1088" s="37" t="str">
        <f>IF(Agent06_Loans!B98="","",Agent06_Loans!F98)</f>
        <v/>
      </c>
      <c r="G1088" s="37" t="str">
        <f>IF(Agent06_Loans!B98="","",Agent06_Loans!G98)</f>
        <v/>
      </c>
      <c r="H1088" s="37" t="str">
        <f>IF(Agent06_Loans!B98="","",Agent06_Loans!H98)</f>
        <v/>
      </c>
      <c r="I1088" s="40" t="str">
        <f>IF(Agent06_Loans!B98="","",Agent06_Loans!I98)</f>
        <v/>
      </c>
      <c r="J1088" s="40" t="str">
        <f>IF(Agent06_Loans!B98="","",Agent06_Loans!J98)</f>
        <v/>
      </c>
      <c r="K1088" s="37" t="str">
        <f>IF(Agent06_Loans!B98="","",Agent06_Loans!K98)</f>
        <v/>
      </c>
      <c r="L1088" s="37" t="str">
        <f>IF(Agent06_Loans!B98="","",Agent06_Loans!L98)</f>
        <v/>
      </c>
      <c r="M1088" s="37" t="str">
        <f>IFERROR(IF(Agent06_Loans!B98="","",YEAR(Agent06_Loans!D98)),"")</f>
        <v/>
      </c>
    </row>
    <row r="1089" spans="1:13" ht="18" customHeight="1" x14ac:dyDescent="0.25">
      <c r="A1089" s="37" t="str">
        <f>IF(Agent06_Loans!B99="","",Agent06_Loans!A99)</f>
        <v/>
      </c>
      <c r="B1089" s="37" t="str">
        <f>IF(Agent06_Loans!B99="","",Agent06_Loans!B99)</f>
        <v/>
      </c>
      <c r="C1089" s="37" t="str">
        <f>IF(Agent06_Loans!B99="","",Agent06_Loans!C99)</f>
        <v/>
      </c>
      <c r="D1089" s="38" t="str">
        <f>IF(Agent06_Loans!B99="","",Agent06_Loans!D99)</f>
        <v/>
      </c>
      <c r="E1089" s="40" t="str">
        <f>IF(Agent06_Loans!B99="","",Agent06_Loans!E99)</f>
        <v/>
      </c>
      <c r="F1089" s="37" t="str">
        <f>IF(Agent06_Loans!B99="","",Agent06_Loans!F99)</f>
        <v/>
      </c>
      <c r="G1089" s="37" t="str">
        <f>IF(Agent06_Loans!B99="","",Agent06_Loans!G99)</f>
        <v/>
      </c>
      <c r="H1089" s="37" t="str">
        <f>IF(Agent06_Loans!B99="","",Agent06_Loans!H99)</f>
        <v/>
      </c>
      <c r="I1089" s="40" t="str">
        <f>IF(Agent06_Loans!B99="","",Agent06_Loans!I99)</f>
        <v/>
      </c>
      <c r="J1089" s="40" t="str">
        <f>IF(Agent06_Loans!B99="","",Agent06_Loans!J99)</f>
        <v/>
      </c>
      <c r="K1089" s="37" t="str">
        <f>IF(Agent06_Loans!B99="","",Agent06_Loans!K99)</f>
        <v/>
      </c>
      <c r="L1089" s="37" t="str">
        <f>IF(Agent06_Loans!B99="","",Agent06_Loans!L99)</f>
        <v/>
      </c>
      <c r="M1089" s="37" t="str">
        <f>IFERROR(IF(Agent06_Loans!B99="","",YEAR(Agent06_Loans!D99)),"")</f>
        <v/>
      </c>
    </row>
    <row r="1090" spans="1:13" ht="18" customHeight="1" x14ac:dyDescent="0.25">
      <c r="A1090" s="37" t="str">
        <f>IF(Agent06_Loans!B100="","",Agent06_Loans!A100)</f>
        <v/>
      </c>
      <c r="B1090" s="37" t="str">
        <f>IF(Agent06_Loans!B100="","",Agent06_Loans!B100)</f>
        <v/>
      </c>
      <c r="C1090" s="37" t="str">
        <f>IF(Agent06_Loans!B100="","",Agent06_Loans!C100)</f>
        <v/>
      </c>
      <c r="D1090" s="38" t="str">
        <f>IF(Agent06_Loans!B100="","",Agent06_Loans!D100)</f>
        <v/>
      </c>
      <c r="E1090" s="40" t="str">
        <f>IF(Agent06_Loans!B100="","",Agent06_Loans!E100)</f>
        <v/>
      </c>
      <c r="F1090" s="37" t="str">
        <f>IF(Agent06_Loans!B100="","",Agent06_Loans!F100)</f>
        <v/>
      </c>
      <c r="G1090" s="37" t="str">
        <f>IF(Agent06_Loans!B100="","",Agent06_Loans!G100)</f>
        <v/>
      </c>
      <c r="H1090" s="37" t="str">
        <f>IF(Agent06_Loans!B100="","",Agent06_Loans!H100)</f>
        <v/>
      </c>
      <c r="I1090" s="40" t="str">
        <f>IF(Agent06_Loans!B100="","",Agent06_Loans!I100)</f>
        <v/>
      </c>
      <c r="J1090" s="40" t="str">
        <f>IF(Agent06_Loans!B100="","",Agent06_Loans!J100)</f>
        <v/>
      </c>
      <c r="K1090" s="37" t="str">
        <f>IF(Agent06_Loans!B100="","",Agent06_Loans!K100)</f>
        <v/>
      </c>
      <c r="L1090" s="37" t="str">
        <f>IF(Agent06_Loans!B100="","",Agent06_Loans!L100)</f>
        <v/>
      </c>
      <c r="M1090" s="37" t="str">
        <f>IFERROR(IF(Agent06_Loans!B100="","",YEAR(Agent06_Loans!D100)),"")</f>
        <v/>
      </c>
    </row>
    <row r="1091" spans="1:13" ht="18" customHeight="1" x14ac:dyDescent="0.25">
      <c r="A1091" s="37" t="str">
        <f>IF(Agent06_Loans!B101="","",Agent06_Loans!A101)</f>
        <v/>
      </c>
      <c r="B1091" s="37" t="str">
        <f>IF(Agent06_Loans!B101="","",Agent06_Loans!B101)</f>
        <v/>
      </c>
      <c r="C1091" s="37" t="str">
        <f>IF(Agent06_Loans!B101="","",Agent06_Loans!C101)</f>
        <v/>
      </c>
      <c r="D1091" s="38" t="str">
        <f>IF(Agent06_Loans!B101="","",Agent06_Loans!D101)</f>
        <v/>
      </c>
      <c r="E1091" s="40" t="str">
        <f>IF(Agent06_Loans!B101="","",Agent06_Loans!E101)</f>
        <v/>
      </c>
      <c r="F1091" s="37" t="str">
        <f>IF(Agent06_Loans!B101="","",Agent06_Loans!F101)</f>
        <v/>
      </c>
      <c r="G1091" s="37" t="str">
        <f>IF(Agent06_Loans!B101="","",Agent06_Loans!G101)</f>
        <v/>
      </c>
      <c r="H1091" s="37" t="str">
        <f>IF(Agent06_Loans!B101="","",Agent06_Loans!H101)</f>
        <v/>
      </c>
      <c r="I1091" s="40" t="str">
        <f>IF(Agent06_Loans!B101="","",Agent06_Loans!I101)</f>
        <v/>
      </c>
      <c r="J1091" s="40" t="str">
        <f>IF(Agent06_Loans!B101="","",Agent06_Loans!J101)</f>
        <v/>
      </c>
      <c r="K1091" s="37" t="str">
        <f>IF(Agent06_Loans!B101="","",Agent06_Loans!K101)</f>
        <v/>
      </c>
      <c r="L1091" s="37" t="str">
        <f>IF(Agent06_Loans!B101="","",Agent06_Loans!L101)</f>
        <v/>
      </c>
      <c r="M1091" s="37" t="str">
        <f>IFERROR(IF(Agent06_Loans!B101="","",YEAR(Agent06_Loans!D101)),"")</f>
        <v/>
      </c>
    </row>
    <row r="1092" spans="1:13" ht="18" customHeight="1" x14ac:dyDescent="0.25">
      <c r="A1092" s="37" t="str">
        <f>IF(Agent06_Loans!B102="","",Agent06_Loans!A102)</f>
        <v/>
      </c>
      <c r="B1092" s="37" t="str">
        <f>IF(Agent06_Loans!B102="","",Agent06_Loans!B102)</f>
        <v/>
      </c>
      <c r="C1092" s="37" t="str">
        <f>IF(Agent06_Loans!B102="","",Agent06_Loans!C102)</f>
        <v/>
      </c>
      <c r="D1092" s="38" t="str">
        <f>IF(Agent06_Loans!B102="","",Agent06_Loans!D102)</f>
        <v/>
      </c>
      <c r="E1092" s="40" t="str">
        <f>IF(Agent06_Loans!B102="","",Agent06_Loans!E102)</f>
        <v/>
      </c>
      <c r="F1092" s="37" t="str">
        <f>IF(Agent06_Loans!B102="","",Agent06_Loans!F102)</f>
        <v/>
      </c>
      <c r="G1092" s="37" t="str">
        <f>IF(Agent06_Loans!B102="","",Agent06_Loans!G102)</f>
        <v/>
      </c>
      <c r="H1092" s="37" t="str">
        <f>IF(Agent06_Loans!B102="","",Agent06_Loans!H102)</f>
        <v/>
      </c>
      <c r="I1092" s="40" t="str">
        <f>IF(Agent06_Loans!B102="","",Agent06_Loans!I102)</f>
        <v/>
      </c>
      <c r="J1092" s="40" t="str">
        <f>IF(Agent06_Loans!B102="","",Agent06_Loans!J102)</f>
        <v/>
      </c>
      <c r="K1092" s="37" t="str">
        <f>IF(Agent06_Loans!B102="","",Agent06_Loans!K102)</f>
        <v/>
      </c>
      <c r="L1092" s="37" t="str">
        <f>IF(Agent06_Loans!B102="","",Agent06_Loans!L102)</f>
        <v/>
      </c>
      <c r="M1092" s="37" t="str">
        <f>IFERROR(IF(Agent06_Loans!B102="","",YEAR(Agent06_Loans!D102)),"")</f>
        <v/>
      </c>
    </row>
    <row r="1093" spans="1:13" ht="18" customHeight="1" x14ac:dyDescent="0.25">
      <c r="A1093" s="37" t="str">
        <f>IF(Agent06_Loans!B103="","",Agent06_Loans!A103)</f>
        <v/>
      </c>
      <c r="B1093" s="37" t="str">
        <f>IF(Agent06_Loans!B103="","",Agent06_Loans!B103)</f>
        <v/>
      </c>
      <c r="C1093" s="37" t="str">
        <f>IF(Agent06_Loans!B103="","",Agent06_Loans!C103)</f>
        <v/>
      </c>
      <c r="D1093" s="38" t="str">
        <f>IF(Agent06_Loans!B103="","",Agent06_Loans!D103)</f>
        <v/>
      </c>
      <c r="E1093" s="40" t="str">
        <f>IF(Agent06_Loans!B103="","",Agent06_Loans!E103)</f>
        <v/>
      </c>
      <c r="F1093" s="37" t="str">
        <f>IF(Agent06_Loans!B103="","",Agent06_Loans!F103)</f>
        <v/>
      </c>
      <c r="G1093" s="37" t="str">
        <f>IF(Agent06_Loans!B103="","",Agent06_Loans!G103)</f>
        <v/>
      </c>
      <c r="H1093" s="37" t="str">
        <f>IF(Agent06_Loans!B103="","",Agent06_Loans!H103)</f>
        <v/>
      </c>
      <c r="I1093" s="40" t="str">
        <f>IF(Agent06_Loans!B103="","",Agent06_Loans!I103)</f>
        <v/>
      </c>
      <c r="J1093" s="40" t="str">
        <f>IF(Agent06_Loans!B103="","",Agent06_Loans!J103)</f>
        <v/>
      </c>
      <c r="K1093" s="37" t="str">
        <f>IF(Agent06_Loans!B103="","",Agent06_Loans!K103)</f>
        <v/>
      </c>
      <c r="L1093" s="37" t="str">
        <f>IF(Agent06_Loans!B103="","",Agent06_Loans!L103)</f>
        <v/>
      </c>
      <c r="M1093" s="37" t="str">
        <f>IFERROR(IF(Agent06_Loans!B103="","",YEAR(Agent06_Loans!D103)),"")</f>
        <v/>
      </c>
    </row>
    <row r="1094" spans="1:13" ht="18" customHeight="1" x14ac:dyDescent="0.25">
      <c r="A1094" s="37" t="str">
        <f>IF(Agent06_Loans!B104="","",Agent06_Loans!A104)</f>
        <v/>
      </c>
      <c r="B1094" s="37" t="str">
        <f>IF(Agent06_Loans!B104="","",Agent06_Loans!B104)</f>
        <v/>
      </c>
      <c r="C1094" s="37" t="str">
        <f>IF(Agent06_Loans!B104="","",Agent06_Loans!C104)</f>
        <v/>
      </c>
      <c r="D1094" s="38" t="str">
        <f>IF(Agent06_Loans!B104="","",Agent06_Loans!D104)</f>
        <v/>
      </c>
      <c r="E1094" s="40" t="str">
        <f>IF(Agent06_Loans!B104="","",Agent06_Loans!E104)</f>
        <v/>
      </c>
      <c r="F1094" s="37" t="str">
        <f>IF(Agent06_Loans!B104="","",Agent06_Loans!F104)</f>
        <v/>
      </c>
      <c r="G1094" s="37" t="str">
        <f>IF(Agent06_Loans!B104="","",Agent06_Loans!G104)</f>
        <v/>
      </c>
      <c r="H1094" s="37" t="str">
        <f>IF(Agent06_Loans!B104="","",Agent06_Loans!H104)</f>
        <v/>
      </c>
      <c r="I1094" s="40" t="str">
        <f>IF(Agent06_Loans!B104="","",Agent06_Loans!I104)</f>
        <v/>
      </c>
      <c r="J1094" s="40" t="str">
        <f>IF(Agent06_Loans!B104="","",Agent06_Loans!J104)</f>
        <v/>
      </c>
      <c r="K1094" s="37" t="str">
        <f>IF(Agent06_Loans!B104="","",Agent06_Loans!K104)</f>
        <v/>
      </c>
      <c r="L1094" s="37" t="str">
        <f>IF(Agent06_Loans!B104="","",Agent06_Loans!L104)</f>
        <v/>
      </c>
      <c r="M1094" s="37" t="str">
        <f>IFERROR(IF(Agent06_Loans!B104="","",YEAR(Agent06_Loans!D104)),"")</f>
        <v/>
      </c>
    </row>
    <row r="1095" spans="1:13" ht="18" customHeight="1" x14ac:dyDescent="0.25">
      <c r="A1095" s="37" t="str">
        <f>IF(Agent06_Loans!B105="","",Agent06_Loans!A105)</f>
        <v/>
      </c>
      <c r="B1095" s="37" t="str">
        <f>IF(Agent06_Loans!B105="","",Agent06_Loans!B105)</f>
        <v/>
      </c>
      <c r="C1095" s="37" t="str">
        <f>IF(Agent06_Loans!B105="","",Agent06_Loans!C105)</f>
        <v/>
      </c>
      <c r="D1095" s="38" t="str">
        <f>IF(Agent06_Loans!B105="","",Agent06_Loans!D105)</f>
        <v/>
      </c>
      <c r="E1095" s="40" t="str">
        <f>IF(Agent06_Loans!B105="","",Agent06_Loans!E105)</f>
        <v/>
      </c>
      <c r="F1095" s="37" t="str">
        <f>IF(Agent06_Loans!B105="","",Agent06_Loans!F105)</f>
        <v/>
      </c>
      <c r="G1095" s="37" t="str">
        <f>IF(Agent06_Loans!B105="","",Agent06_Loans!G105)</f>
        <v/>
      </c>
      <c r="H1095" s="37" t="str">
        <f>IF(Agent06_Loans!B105="","",Agent06_Loans!H105)</f>
        <v/>
      </c>
      <c r="I1095" s="40" t="str">
        <f>IF(Agent06_Loans!B105="","",Agent06_Loans!I105)</f>
        <v/>
      </c>
      <c r="J1095" s="40" t="str">
        <f>IF(Agent06_Loans!B105="","",Agent06_Loans!J105)</f>
        <v/>
      </c>
      <c r="K1095" s="37" t="str">
        <f>IF(Agent06_Loans!B105="","",Agent06_Loans!K105)</f>
        <v/>
      </c>
      <c r="L1095" s="37" t="str">
        <f>IF(Agent06_Loans!B105="","",Agent06_Loans!L105)</f>
        <v/>
      </c>
      <c r="M1095" s="37" t="str">
        <f>IFERROR(IF(Agent06_Loans!B105="","",YEAR(Agent06_Loans!D105)),"")</f>
        <v/>
      </c>
    </row>
    <row r="1096" spans="1:13" ht="18" customHeight="1" x14ac:dyDescent="0.25">
      <c r="A1096" s="37" t="str">
        <f>IF(Agent06_Loans!B106="","",Agent06_Loans!A106)</f>
        <v/>
      </c>
      <c r="B1096" s="37" t="str">
        <f>IF(Agent06_Loans!B106="","",Agent06_Loans!B106)</f>
        <v/>
      </c>
      <c r="C1096" s="37" t="str">
        <f>IF(Agent06_Loans!B106="","",Agent06_Loans!C106)</f>
        <v/>
      </c>
      <c r="D1096" s="38" t="str">
        <f>IF(Agent06_Loans!B106="","",Agent06_Loans!D106)</f>
        <v/>
      </c>
      <c r="E1096" s="40" t="str">
        <f>IF(Agent06_Loans!B106="","",Agent06_Loans!E106)</f>
        <v/>
      </c>
      <c r="F1096" s="37" t="str">
        <f>IF(Agent06_Loans!B106="","",Agent06_Loans!F106)</f>
        <v/>
      </c>
      <c r="G1096" s="37" t="str">
        <f>IF(Agent06_Loans!B106="","",Agent06_Loans!G106)</f>
        <v/>
      </c>
      <c r="H1096" s="37" t="str">
        <f>IF(Agent06_Loans!B106="","",Agent06_Loans!H106)</f>
        <v/>
      </c>
      <c r="I1096" s="40" t="str">
        <f>IF(Agent06_Loans!B106="","",Agent06_Loans!I106)</f>
        <v/>
      </c>
      <c r="J1096" s="40" t="str">
        <f>IF(Agent06_Loans!B106="","",Agent06_Loans!J106)</f>
        <v/>
      </c>
      <c r="K1096" s="37" t="str">
        <f>IF(Agent06_Loans!B106="","",Agent06_Loans!K106)</f>
        <v/>
      </c>
      <c r="L1096" s="37" t="str">
        <f>IF(Agent06_Loans!B106="","",Agent06_Loans!L106)</f>
        <v/>
      </c>
      <c r="M1096" s="37" t="str">
        <f>IFERROR(IF(Agent06_Loans!B106="","",YEAR(Agent06_Loans!D106)),"")</f>
        <v/>
      </c>
    </row>
    <row r="1097" spans="1:13" ht="18" customHeight="1" x14ac:dyDescent="0.25">
      <c r="A1097" s="37" t="str">
        <f>IF(Agent06_Loans!B107="","",Agent06_Loans!A107)</f>
        <v/>
      </c>
      <c r="B1097" s="37" t="str">
        <f>IF(Agent06_Loans!B107="","",Agent06_Loans!B107)</f>
        <v/>
      </c>
      <c r="C1097" s="37" t="str">
        <f>IF(Agent06_Loans!B107="","",Agent06_Loans!C107)</f>
        <v/>
      </c>
      <c r="D1097" s="38" t="str">
        <f>IF(Agent06_Loans!B107="","",Agent06_Loans!D107)</f>
        <v/>
      </c>
      <c r="E1097" s="40" t="str">
        <f>IF(Agent06_Loans!B107="","",Agent06_Loans!E107)</f>
        <v/>
      </c>
      <c r="F1097" s="37" t="str">
        <f>IF(Agent06_Loans!B107="","",Agent06_Loans!F107)</f>
        <v/>
      </c>
      <c r="G1097" s="37" t="str">
        <f>IF(Agent06_Loans!B107="","",Agent06_Loans!G107)</f>
        <v/>
      </c>
      <c r="H1097" s="37" t="str">
        <f>IF(Agent06_Loans!B107="","",Agent06_Loans!H107)</f>
        <v/>
      </c>
      <c r="I1097" s="40" t="str">
        <f>IF(Agent06_Loans!B107="","",Agent06_Loans!I107)</f>
        <v/>
      </c>
      <c r="J1097" s="40" t="str">
        <f>IF(Agent06_Loans!B107="","",Agent06_Loans!J107)</f>
        <v/>
      </c>
      <c r="K1097" s="37" t="str">
        <f>IF(Agent06_Loans!B107="","",Agent06_Loans!K107)</f>
        <v/>
      </c>
      <c r="L1097" s="37" t="str">
        <f>IF(Agent06_Loans!B107="","",Agent06_Loans!L107)</f>
        <v/>
      </c>
      <c r="M1097" s="37" t="str">
        <f>IFERROR(IF(Agent06_Loans!B107="","",YEAR(Agent06_Loans!D107)),"")</f>
        <v/>
      </c>
    </row>
    <row r="1098" spans="1:13" ht="18" customHeight="1" x14ac:dyDescent="0.25">
      <c r="A1098" s="37" t="str">
        <f>IF(Agent06_Loans!B108="","",Agent06_Loans!A108)</f>
        <v/>
      </c>
      <c r="B1098" s="37" t="str">
        <f>IF(Agent06_Loans!B108="","",Agent06_Loans!B108)</f>
        <v/>
      </c>
      <c r="C1098" s="37" t="str">
        <f>IF(Agent06_Loans!B108="","",Agent06_Loans!C108)</f>
        <v/>
      </c>
      <c r="D1098" s="38" t="str">
        <f>IF(Agent06_Loans!B108="","",Agent06_Loans!D108)</f>
        <v/>
      </c>
      <c r="E1098" s="40" t="str">
        <f>IF(Agent06_Loans!B108="","",Agent06_Loans!E108)</f>
        <v/>
      </c>
      <c r="F1098" s="37" t="str">
        <f>IF(Agent06_Loans!B108="","",Agent06_Loans!F108)</f>
        <v/>
      </c>
      <c r="G1098" s="37" t="str">
        <f>IF(Agent06_Loans!B108="","",Agent06_Loans!G108)</f>
        <v/>
      </c>
      <c r="H1098" s="37" t="str">
        <f>IF(Agent06_Loans!B108="","",Agent06_Loans!H108)</f>
        <v/>
      </c>
      <c r="I1098" s="40" t="str">
        <f>IF(Agent06_Loans!B108="","",Agent06_Loans!I108)</f>
        <v/>
      </c>
      <c r="J1098" s="40" t="str">
        <f>IF(Agent06_Loans!B108="","",Agent06_Loans!J108)</f>
        <v/>
      </c>
      <c r="K1098" s="37" t="str">
        <f>IF(Agent06_Loans!B108="","",Agent06_Loans!K108)</f>
        <v/>
      </c>
      <c r="L1098" s="37" t="str">
        <f>IF(Agent06_Loans!B108="","",Agent06_Loans!L108)</f>
        <v/>
      </c>
      <c r="M1098" s="37" t="str">
        <f>IFERROR(IF(Agent06_Loans!B108="","",YEAR(Agent06_Loans!D108)),"")</f>
        <v/>
      </c>
    </row>
    <row r="1099" spans="1:13" ht="18" customHeight="1" x14ac:dyDescent="0.25">
      <c r="A1099" s="37" t="str">
        <f>IF(Agent06_Loans!B109="","",Agent06_Loans!A109)</f>
        <v/>
      </c>
      <c r="B1099" s="37" t="str">
        <f>IF(Agent06_Loans!B109="","",Agent06_Loans!B109)</f>
        <v/>
      </c>
      <c r="C1099" s="37" t="str">
        <f>IF(Agent06_Loans!B109="","",Agent06_Loans!C109)</f>
        <v/>
      </c>
      <c r="D1099" s="38" t="str">
        <f>IF(Agent06_Loans!B109="","",Agent06_Loans!D109)</f>
        <v/>
      </c>
      <c r="E1099" s="40" t="str">
        <f>IF(Agent06_Loans!B109="","",Agent06_Loans!E109)</f>
        <v/>
      </c>
      <c r="F1099" s="37" t="str">
        <f>IF(Agent06_Loans!B109="","",Agent06_Loans!F109)</f>
        <v/>
      </c>
      <c r="G1099" s="37" t="str">
        <f>IF(Agent06_Loans!B109="","",Agent06_Loans!G109)</f>
        <v/>
      </c>
      <c r="H1099" s="37" t="str">
        <f>IF(Agent06_Loans!B109="","",Agent06_Loans!H109)</f>
        <v/>
      </c>
      <c r="I1099" s="40" t="str">
        <f>IF(Agent06_Loans!B109="","",Agent06_Loans!I109)</f>
        <v/>
      </c>
      <c r="J1099" s="40" t="str">
        <f>IF(Agent06_Loans!B109="","",Agent06_Loans!J109)</f>
        <v/>
      </c>
      <c r="K1099" s="37" t="str">
        <f>IF(Agent06_Loans!B109="","",Agent06_Loans!K109)</f>
        <v/>
      </c>
      <c r="L1099" s="37" t="str">
        <f>IF(Agent06_Loans!B109="","",Agent06_Loans!L109)</f>
        <v/>
      </c>
      <c r="M1099" s="37" t="str">
        <f>IFERROR(IF(Agent06_Loans!B109="","",YEAR(Agent06_Loans!D109)),"")</f>
        <v/>
      </c>
    </row>
    <row r="1100" spans="1:13" ht="18" customHeight="1" x14ac:dyDescent="0.25">
      <c r="A1100" s="37" t="str">
        <f>IF(Agent06_Loans!B110="","",Agent06_Loans!A110)</f>
        <v/>
      </c>
      <c r="B1100" s="37" t="str">
        <f>IF(Agent06_Loans!B110="","",Agent06_Loans!B110)</f>
        <v/>
      </c>
      <c r="C1100" s="37" t="str">
        <f>IF(Agent06_Loans!B110="","",Agent06_Loans!C110)</f>
        <v/>
      </c>
      <c r="D1100" s="38" t="str">
        <f>IF(Agent06_Loans!B110="","",Agent06_Loans!D110)</f>
        <v/>
      </c>
      <c r="E1100" s="40" t="str">
        <f>IF(Agent06_Loans!B110="","",Agent06_Loans!E110)</f>
        <v/>
      </c>
      <c r="F1100" s="37" t="str">
        <f>IF(Agent06_Loans!B110="","",Agent06_Loans!F110)</f>
        <v/>
      </c>
      <c r="G1100" s="37" t="str">
        <f>IF(Agent06_Loans!B110="","",Agent06_Loans!G110)</f>
        <v/>
      </c>
      <c r="H1100" s="37" t="str">
        <f>IF(Agent06_Loans!B110="","",Agent06_Loans!H110)</f>
        <v/>
      </c>
      <c r="I1100" s="40" t="str">
        <f>IF(Agent06_Loans!B110="","",Agent06_Loans!I110)</f>
        <v/>
      </c>
      <c r="J1100" s="40" t="str">
        <f>IF(Agent06_Loans!B110="","",Agent06_Loans!J110)</f>
        <v/>
      </c>
      <c r="K1100" s="37" t="str">
        <f>IF(Agent06_Loans!B110="","",Agent06_Loans!K110)</f>
        <v/>
      </c>
      <c r="L1100" s="37" t="str">
        <f>IF(Agent06_Loans!B110="","",Agent06_Loans!L110)</f>
        <v/>
      </c>
      <c r="M1100" s="37" t="str">
        <f>IFERROR(IF(Agent06_Loans!B110="","",YEAR(Agent06_Loans!D110)),"")</f>
        <v/>
      </c>
    </row>
    <row r="1101" spans="1:13" ht="18" customHeight="1" x14ac:dyDescent="0.25">
      <c r="A1101" s="37" t="str">
        <f>IF(Agent06_Loans!B111="","",Agent06_Loans!A111)</f>
        <v/>
      </c>
      <c r="B1101" s="37" t="str">
        <f>IF(Agent06_Loans!B111="","",Agent06_Loans!B111)</f>
        <v/>
      </c>
      <c r="C1101" s="37" t="str">
        <f>IF(Agent06_Loans!B111="","",Agent06_Loans!C111)</f>
        <v/>
      </c>
      <c r="D1101" s="38" t="str">
        <f>IF(Agent06_Loans!B111="","",Agent06_Loans!D111)</f>
        <v/>
      </c>
      <c r="E1101" s="40" t="str">
        <f>IF(Agent06_Loans!B111="","",Agent06_Loans!E111)</f>
        <v/>
      </c>
      <c r="F1101" s="37" t="str">
        <f>IF(Agent06_Loans!B111="","",Agent06_Loans!F111)</f>
        <v/>
      </c>
      <c r="G1101" s="37" t="str">
        <f>IF(Agent06_Loans!B111="","",Agent06_Loans!G111)</f>
        <v/>
      </c>
      <c r="H1101" s="37" t="str">
        <f>IF(Agent06_Loans!B111="","",Agent06_Loans!H111)</f>
        <v/>
      </c>
      <c r="I1101" s="40" t="str">
        <f>IF(Agent06_Loans!B111="","",Agent06_Loans!I111)</f>
        <v/>
      </c>
      <c r="J1101" s="40" t="str">
        <f>IF(Agent06_Loans!B111="","",Agent06_Loans!J111)</f>
        <v/>
      </c>
      <c r="K1101" s="37" t="str">
        <f>IF(Agent06_Loans!B111="","",Agent06_Loans!K111)</f>
        <v/>
      </c>
      <c r="L1101" s="37" t="str">
        <f>IF(Agent06_Loans!B111="","",Agent06_Loans!L111)</f>
        <v/>
      </c>
      <c r="M1101" s="37" t="str">
        <f>IFERROR(IF(Agent06_Loans!B111="","",YEAR(Agent06_Loans!D111)),"")</f>
        <v/>
      </c>
    </row>
    <row r="1102" spans="1:13" ht="18" customHeight="1" x14ac:dyDescent="0.25">
      <c r="A1102" s="37" t="str">
        <f>IF(Agent06_Loans!B112="","",Agent06_Loans!A112)</f>
        <v/>
      </c>
      <c r="B1102" s="37" t="str">
        <f>IF(Agent06_Loans!B112="","",Agent06_Loans!B112)</f>
        <v/>
      </c>
      <c r="C1102" s="37" t="str">
        <f>IF(Agent06_Loans!B112="","",Agent06_Loans!C112)</f>
        <v/>
      </c>
      <c r="D1102" s="38" t="str">
        <f>IF(Agent06_Loans!B112="","",Agent06_Loans!D112)</f>
        <v/>
      </c>
      <c r="E1102" s="40" t="str">
        <f>IF(Agent06_Loans!B112="","",Agent06_Loans!E112)</f>
        <v/>
      </c>
      <c r="F1102" s="37" t="str">
        <f>IF(Agent06_Loans!B112="","",Agent06_Loans!F112)</f>
        <v/>
      </c>
      <c r="G1102" s="37" t="str">
        <f>IF(Agent06_Loans!B112="","",Agent06_Loans!G112)</f>
        <v/>
      </c>
      <c r="H1102" s="37" t="str">
        <f>IF(Agent06_Loans!B112="","",Agent06_Loans!H112)</f>
        <v/>
      </c>
      <c r="I1102" s="40" t="str">
        <f>IF(Agent06_Loans!B112="","",Agent06_Loans!I112)</f>
        <v/>
      </c>
      <c r="J1102" s="40" t="str">
        <f>IF(Agent06_Loans!B112="","",Agent06_Loans!J112)</f>
        <v/>
      </c>
      <c r="K1102" s="37" t="str">
        <f>IF(Agent06_Loans!B112="","",Agent06_Loans!K112)</f>
        <v/>
      </c>
      <c r="L1102" s="37" t="str">
        <f>IF(Agent06_Loans!B112="","",Agent06_Loans!L112)</f>
        <v/>
      </c>
      <c r="M1102" s="37" t="str">
        <f>IFERROR(IF(Agent06_Loans!B112="","",YEAR(Agent06_Loans!D112)),"")</f>
        <v/>
      </c>
    </row>
    <row r="1103" spans="1:13" ht="18" customHeight="1" x14ac:dyDescent="0.25">
      <c r="A1103" s="37" t="str">
        <f>IF(Agent06_Loans!B113="","",Agent06_Loans!A113)</f>
        <v/>
      </c>
      <c r="B1103" s="37" t="str">
        <f>IF(Agent06_Loans!B113="","",Agent06_Loans!B113)</f>
        <v/>
      </c>
      <c r="C1103" s="37" t="str">
        <f>IF(Agent06_Loans!B113="","",Agent06_Loans!C113)</f>
        <v/>
      </c>
      <c r="D1103" s="38" t="str">
        <f>IF(Agent06_Loans!B113="","",Agent06_Loans!D113)</f>
        <v/>
      </c>
      <c r="E1103" s="40" t="str">
        <f>IF(Agent06_Loans!B113="","",Agent06_Loans!E113)</f>
        <v/>
      </c>
      <c r="F1103" s="37" t="str">
        <f>IF(Agent06_Loans!B113="","",Agent06_Loans!F113)</f>
        <v/>
      </c>
      <c r="G1103" s="37" t="str">
        <f>IF(Agent06_Loans!B113="","",Agent06_Loans!G113)</f>
        <v/>
      </c>
      <c r="H1103" s="37" t="str">
        <f>IF(Agent06_Loans!B113="","",Agent06_Loans!H113)</f>
        <v/>
      </c>
      <c r="I1103" s="40" t="str">
        <f>IF(Agent06_Loans!B113="","",Agent06_Loans!I113)</f>
        <v/>
      </c>
      <c r="J1103" s="40" t="str">
        <f>IF(Agent06_Loans!B113="","",Agent06_Loans!J113)</f>
        <v/>
      </c>
      <c r="K1103" s="37" t="str">
        <f>IF(Agent06_Loans!B113="","",Agent06_Loans!K113)</f>
        <v/>
      </c>
      <c r="L1103" s="37" t="str">
        <f>IF(Agent06_Loans!B113="","",Agent06_Loans!L113)</f>
        <v/>
      </c>
      <c r="M1103" s="37" t="str">
        <f>IFERROR(IF(Agent06_Loans!B113="","",YEAR(Agent06_Loans!D113)),"")</f>
        <v/>
      </c>
    </row>
    <row r="1104" spans="1:13" ht="18" customHeight="1" x14ac:dyDescent="0.25">
      <c r="A1104" s="37" t="str">
        <f>IF(Agent06_Loans!B114="","",Agent06_Loans!A114)</f>
        <v/>
      </c>
      <c r="B1104" s="37" t="str">
        <f>IF(Agent06_Loans!B114="","",Agent06_Loans!B114)</f>
        <v/>
      </c>
      <c r="C1104" s="37" t="str">
        <f>IF(Agent06_Loans!B114="","",Agent06_Loans!C114)</f>
        <v/>
      </c>
      <c r="D1104" s="38" t="str">
        <f>IF(Agent06_Loans!B114="","",Agent06_Loans!D114)</f>
        <v/>
      </c>
      <c r="E1104" s="40" t="str">
        <f>IF(Agent06_Loans!B114="","",Agent06_Loans!E114)</f>
        <v/>
      </c>
      <c r="F1104" s="37" t="str">
        <f>IF(Agent06_Loans!B114="","",Agent06_Loans!F114)</f>
        <v/>
      </c>
      <c r="G1104" s="37" t="str">
        <f>IF(Agent06_Loans!B114="","",Agent06_Loans!G114)</f>
        <v/>
      </c>
      <c r="H1104" s="37" t="str">
        <f>IF(Agent06_Loans!B114="","",Agent06_Loans!H114)</f>
        <v/>
      </c>
      <c r="I1104" s="40" t="str">
        <f>IF(Agent06_Loans!B114="","",Agent06_Loans!I114)</f>
        <v/>
      </c>
      <c r="J1104" s="40" t="str">
        <f>IF(Agent06_Loans!B114="","",Agent06_Loans!J114)</f>
        <v/>
      </c>
      <c r="K1104" s="37" t="str">
        <f>IF(Agent06_Loans!B114="","",Agent06_Loans!K114)</f>
        <v/>
      </c>
      <c r="L1104" s="37" t="str">
        <f>IF(Agent06_Loans!B114="","",Agent06_Loans!L114)</f>
        <v/>
      </c>
      <c r="M1104" s="37" t="str">
        <f>IFERROR(IF(Agent06_Loans!B114="","",YEAR(Agent06_Loans!D114)),"")</f>
        <v/>
      </c>
    </row>
    <row r="1105" spans="1:13" ht="18" customHeight="1" x14ac:dyDescent="0.25">
      <c r="A1105" s="37" t="str">
        <f>IF(Agent06_Loans!B115="","",Agent06_Loans!A115)</f>
        <v/>
      </c>
      <c r="B1105" s="37" t="str">
        <f>IF(Agent06_Loans!B115="","",Agent06_Loans!B115)</f>
        <v/>
      </c>
      <c r="C1105" s="37" t="str">
        <f>IF(Agent06_Loans!B115="","",Agent06_Loans!C115)</f>
        <v/>
      </c>
      <c r="D1105" s="38" t="str">
        <f>IF(Agent06_Loans!B115="","",Agent06_Loans!D115)</f>
        <v/>
      </c>
      <c r="E1105" s="40" t="str">
        <f>IF(Agent06_Loans!B115="","",Agent06_Loans!E115)</f>
        <v/>
      </c>
      <c r="F1105" s="37" t="str">
        <f>IF(Agent06_Loans!B115="","",Agent06_Loans!F115)</f>
        <v/>
      </c>
      <c r="G1105" s="37" t="str">
        <f>IF(Agent06_Loans!B115="","",Agent06_Loans!G115)</f>
        <v/>
      </c>
      <c r="H1105" s="37" t="str">
        <f>IF(Agent06_Loans!B115="","",Agent06_Loans!H115)</f>
        <v/>
      </c>
      <c r="I1105" s="40" t="str">
        <f>IF(Agent06_Loans!B115="","",Agent06_Loans!I115)</f>
        <v/>
      </c>
      <c r="J1105" s="40" t="str">
        <f>IF(Agent06_Loans!B115="","",Agent06_Loans!J115)</f>
        <v/>
      </c>
      <c r="K1105" s="37" t="str">
        <f>IF(Agent06_Loans!B115="","",Agent06_Loans!K115)</f>
        <v/>
      </c>
      <c r="L1105" s="37" t="str">
        <f>IF(Agent06_Loans!B115="","",Agent06_Loans!L115)</f>
        <v/>
      </c>
      <c r="M1105" s="37" t="str">
        <f>IFERROR(IF(Agent06_Loans!B115="","",YEAR(Agent06_Loans!D115)),"")</f>
        <v/>
      </c>
    </row>
    <row r="1106" spans="1:13" ht="18" customHeight="1" x14ac:dyDescent="0.25">
      <c r="A1106" s="37" t="str">
        <f>IF(Agent06_Loans!B116="","",Agent06_Loans!A116)</f>
        <v/>
      </c>
      <c r="B1106" s="37" t="str">
        <f>IF(Agent06_Loans!B116="","",Agent06_Loans!B116)</f>
        <v/>
      </c>
      <c r="C1106" s="37" t="str">
        <f>IF(Agent06_Loans!B116="","",Agent06_Loans!C116)</f>
        <v/>
      </c>
      <c r="D1106" s="38" t="str">
        <f>IF(Agent06_Loans!B116="","",Agent06_Loans!D116)</f>
        <v/>
      </c>
      <c r="E1106" s="40" t="str">
        <f>IF(Agent06_Loans!B116="","",Agent06_Loans!E116)</f>
        <v/>
      </c>
      <c r="F1106" s="37" t="str">
        <f>IF(Agent06_Loans!B116="","",Agent06_Loans!F116)</f>
        <v/>
      </c>
      <c r="G1106" s="37" t="str">
        <f>IF(Agent06_Loans!B116="","",Agent06_Loans!G116)</f>
        <v/>
      </c>
      <c r="H1106" s="37" t="str">
        <f>IF(Agent06_Loans!B116="","",Agent06_Loans!H116)</f>
        <v/>
      </c>
      <c r="I1106" s="40" t="str">
        <f>IF(Agent06_Loans!B116="","",Agent06_Loans!I116)</f>
        <v/>
      </c>
      <c r="J1106" s="40" t="str">
        <f>IF(Agent06_Loans!B116="","",Agent06_Loans!J116)</f>
        <v/>
      </c>
      <c r="K1106" s="37" t="str">
        <f>IF(Agent06_Loans!B116="","",Agent06_Loans!K116)</f>
        <v/>
      </c>
      <c r="L1106" s="37" t="str">
        <f>IF(Agent06_Loans!B116="","",Agent06_Loans!L116)</f>
        <v/>
      </c>
      <c r="M1106" s="37" t="str">
        <f>IFERROR(IF(Agent06_Loans!B116="","",YEAR(Agent06_Loans!D116)),"")</f>
        <v/>
      </c>
    </row>
    <row r="1107" spans="1:13" ht="18" customHeight="1" x14ac:dyDescent="0.25">
      <c r="A1107" s="37" t="str">
        <f>IF(Agent06_Loans!B117="","",Agent06_Loans!A117)</f>
        <v/>
      </c>
      <c r="B1107" s="37" t="str">
        <f>IF(Agent06_Loans!B117="","",Agent06_Loans!B117)</f>
        <v/>
      </c>
      <c r="C1107" s="37" t="str">
        <f>IF(Agent06_Loans!B117="","",Agent06_Loans!C117)</f>
        <v/>
      </c>
      <c r="D1107" s="38" t="str">
        <f>IF(Agent06_Loans!B117="","",Agent06_Loans!D117)</f>
        <v/>
      </c>
      <c r="E1107" s="40" t="str">
        <f>IF(Agent06_Loans!B117="","",Agent06_Loans!E117)</f>
        <v/>
      </c>
      <c r="F1107" s="37" t="str">
        <f>IF(Agent06_Loans!B117="","",Agent06_Loans!F117)</f>
        <v/>
      </c>
      <c r="G1107" s="37" t="str">
        <f>IF(Agent06_Loans!B117="","",Agent06_Loans!G117)</f>
        <v/>
      </c>
      <c r="H1107" s="37" t="str">
        <f>IF(Agent06_Loans!B117="","",Agent06_Loans!H117)</f>
        <v/>
      </c>
      <c r="I1107" s="40" t="str">
        <f>IF(Agent06_Loans!B117="","",Agent06_Loans!I117)</f>
        <v/>
      </c>
      <c r="J1107" s="40" t="str">
        <f>IF(Agent06_Loans!B117="","",Agent06_Loans!J117)</f>
        <v/>
      </c>
      <c r="K1107" s="37" t="str">
        <f>IF(Agent06_Loans!B117="","",Agent06_Loans!K117)</f>
        <v/>
      </c>
      <c r="L1107" s="37" t="str">
        <f>IF(Agent06_Loans!B117="","",Agent06_Loans!L117)</f>
        <v/>
      </c>
      <c r="M1107" s="37" t="str">
        <f>IFERROR(IF(Agent06_Loans!B117="","",YEAR(Agent06_Loans!D117)),"")</f>
        <v/>
      </c>
    </row>
    <row r="1108" spans="1:13" ht="18" customHeight="1" x14ac:dyDescent="0.25">
      <c r="A1108" s="37" t="str">
        <f>IF(Agent06_Loans!B118="","",Agent06_Loans!A118)</f>
        <v/>
      </c>
      <c r="B1108" s="37" t="str">
        <f>IF(Agent06_Loans!B118="","",Agent06_Loans!B118)</f>
        <v/>
      </c>
      <c r="C1108" s="37" t="str">
        <f>IF(Agent06_Loans!B118="","",Agent06_Loans!C118)</f>
        <v/>
      </c>
      <c r="D1108" s="38" t="str">
        <f>IF(Agent06_Loans!B118="","",Agent06_Loans!D118)</f>
        <v/>
      </c>
      <c r="E1108" s="40" t="str">
        <f>IF(Agent06_Loans!B118="","",Agent06_Loans!E118)</f>
        <v/>
      </c>
      <c r="F1108" s="37" t="str">
        <f>IF(Agent06_Loans!B118="","",Agent06_Loans!F118)</f>
        <v/>
      </c>
      <c r="G1108" s="37" t="str">
        <f>IF(Agent06_Loans!B118="","",Agent06_Loans!G118)</f>
        <v/>
      </c>
      <c r="H1108" s="37" t="str">
        <f>IF(Agent06_Loans!B118="","",Agent06_Loans!H118)</f>
        <v/>
      </c>
      <c r="I1108" s="40" t="str">
        <f>IF(Agent06_Loans!B118="","",Agent06_Loans!I118)</f>
        <v/>
      </c>
      <c r="J1108" s="40" t="str">
        <f>IF(Agent06_Loans!B118="","",Agent06_Loans!J118)</f>
        <v/>
      </c>
      <c r="K1108" s="37" t="str">
        <f>IF(Agent06_Loans!B118="","",Agent06_Loans!K118)</f>
        <v/>
      </c>
      <c r="L1108" s="37" t="str">
        <f>IF(Agent06_Loans!B118="","",Agent06_Loans!L118)</f>
        <v/>
      </c>
      <c r="M1108" s="37" t="str">
        <f>IFERROR(IF(Agent06_Loans!B118="","",YEAR(Agent06_Loans!D118)),"")</f>
        <v/>
      </c>
    </row>
    <row r="1109" spans="1:13" ht="18" customHeight="1" x14ac:dyDescent="0.25">
      <c r="A1109" s="37" t="str">
        <f>IF(Agent06_Loans!B119="","",Agent06_Loans!A119)</f>
        <v/>
      </c>
      <c r="B1109" s="37" t="str">
        <f>IF(Agent06_Loans!B119="","",Agent06_Loans!B119)</f>
        <v/>
      </c>
      <c r="C1109" s="37" t="str">
        <f>IF(Agent06_Loans!B119="","",Agent06_Loans!C119)</f>
        <v/>
      </c>
      <c r="D1109" s="38" t="str">
        <f>IF(Agent06_Loans!B119="","",Agent06_Loans!D119)</f>
        <v/>
      </c>
      <c r="E1109" s="40" t="str">
        <f>IF(Agent06_Loans!B119="","",Agent06_Loans!E119)</f>
        <v/>
      </c>
      <c r="F1109" s="37" t="str">
        <f>IF(Agent06_Loans!B119="","",Agent06_Loans!F119)</f>
        <v/>
      </c>
      <c r="G1109" s="37" t="str">
        <f>IF(Agent06_Loans!B119="","",Agent06_Loans!G119)</f>
        <v/>
      </c>
      <c r="H1109" s="37" t="str">
        <f>IF(Agent06_Loans!B119="","",Agent06_Loans!H119)</f>
        <v/>
      </c>
      <c r="I1109" s="40" t="str">
        <f>IF(Agent06_Loans!B119="","",Agent06_Loans!I119)</f>
        <v/>
      </c>
      <c r="J1109" s="40" t="str">
        <f>IF(Agent06_Loans!B119="","",Agent06_Loans!J119)</f>
        <v/>
      </c>
      <c r="K1109" s="37" t="str">
        <f>IF(Agent06_Loans!B119="","",Agent06_Loans!K119)</f>
        <v/>
      </c>
      <c r="L1109" s="37" t="str">
        <f>IF(Agent06_Loans!B119="","",Agent06_Loans!L119)</f>
        <v/>
      </c>
      <c r="M1109" s="37" t="str">
        <f>IFERROR(IF(Agent06_Loans!B119="","",YEAR(Agent06_Loans!D119)),"")</f>
        <v/>
      </c>
    </row>
    <row r="1110" spans="1:13" ht="18" customHeight="1" x14ac:dyDescent="0.25">
      <c r="A1110" s="37" t="str">
        <f>IF(Agent06_Loans!B120="","",Agent06_Loans!A120)</f>
        <v/>
      </c>
      <c r="B1110" s="37" t="str">
        <f>IF(Agent06_Loans!B120="","",Agent06_Loans!B120)</f>
        <v/>
      </c>
      <c r="C1110" s="37" t="str">
        <f>IF(Agent06_Loans!B120="","",Agent06_Loans!C120)</f>
        <v/>
      </c>
      <c r="D1110" s="38" t="str">
        <f>IF(Agent06_Loans!B120="","",Agent06_Loans!D120)</f>
        <v/>
      </c>
      <c r="E1110" s="40" t="str">
        <f>IF(Agent06_Loans!B120="","",Agent06_Loans!E120)</f>
        <v/>
      </c>
      <c r="F1110" s="37" t="str">
        <f>IF(Agent06_Loans!B120="","",Agent06_Loans!F120)</f>
        <v/>
      </c>
      <c r="G1110" s="37" t="str">
        <f>IF(Agent06_Loans!B120="","",Agent06_Loans!G120)</f>
        <v/>
      </c>
      <c r="H1110" s="37" t="str">
        <f>IF(Agent06_Loans!B120="","",Agent06_Loans!H120)</f>
        <v/>
      </c>
      <c r="I1110" s="40" t="str">
        <f>IF(Agent06_Loans!B120="","",Agent06_Loans!I120)</f>
        <v/>
      </c>
      <c r="J1110" s="40" t="str">
        <f>IF(Agent06_Loans!B120="","",Agent06_Loans!J120)</f>
        <v/>
      </c>
      <c r="K1110" s="37" t="str">
        <f>IF(Agent06_Loans!B120="","",Agent06_Loans!K120)</f>
        <v/>
      </c>
      <c r="L1110" s="37" t="str">
        <f>IF(Agent06_Loans!B120="","",Agent06_Loans!L120)</f>
        <v/>
      </c>
      <c r="M1110" s="37" t="str">
        <f>IFERROR(IF(Agent06_Loans!B120="","",YEAR(Agent06_Loans!D120)),"")</f>
        <v/>
      </c>
    </row>
    <row r="1111" spans="1:13" ht="18" customHeight="1" x14ac:dyDescent="0.25">
      <c r="A1111" s="37" t="str">
        <f>IF(Agent06_Loans!B121="","",Agent06_Loans!A121)</f>
        <v/>
      </c>
      <c r="B1111" s="37" t="str">
        <f>IF(Agent06_Loans!B121="","",Agent06_Loans!B121)</f>
        <v/>
      </c>
      <c r="C1111" s="37" t="str">
        <f>IF(Agent06_Loans!B121="","",Agent06_Loans!C121)</f>
        <v/>
      </c>
      <c r="D1111" s="38" t="str">
        <f>IF(Agent06_Loans!B121="","",Agent06_Loans!D121)</f>
        <v/>
      </c>
      <c r="E1111" s="40" t="str">
        <f>IF(Agent06_Loans!B121="","",Agent06_Loans!E121)</f>
        <v/>
      </c>
      <c r="F1111" s="37" t="str">
        <f>IF(Agent06_Loans!B121="","",Agent06_Loans!F121)</f>
        <v/>
      </c>
      <c r="G1111" s="37" t="str">
        <f>IF(Agent06_Loans!B121="","",Agent06_Loans!G121)</f>
        <v/>
      </c>
      <c r="H1111" s="37" t="str">
        <f>IF(Agent06_Loans!B121="","",Agent06_Loans!H121)</f>
        <v/>
      </c>
      <c r="I1111" s="40" t="str">
        <f>IF(Agent06_Loans!B121="","",Agent06_Loans!I121)</f>
        <v/>
      </c>
      <c r="J1111" s="40" t="str">
        <f>IF(Agent06_Loans!B121="","",Agent06_Loans!J121)</f>
        <v/>
      </c>
      <c r="K1111" s="37" t="str">
        <f>IF(Agent06_Loans!B121="","",Agent06_Loans!K121)</f>
        <v/>
      </c>
      <c r="L1111" s="37" t="str">
        <f>IF(Agent06_Loans!B121="","",Agent06_Loans!L121)</f>
        <v/>
      </c>
      <c r="M1111" s="37" t="str">
        <f>IFERROR(IF(Agent06_Loans!B121="","",YEAR(Agent06_Loans!D121)),"")</f>
        <v/>
      </c>
    </row>
    <row r="1112" spans="1:13" ht="18" customHeight="1" x14ac:dyDescent="0.25">
      <c r="A1112" s="37" t="str">
        <f>IF(Agent06_Loans!B122="","",Agent06_Loans!A122)</f>
        <v/>
      </c>
      <c r="B1112" s="37" t="str">
        <f>IF(Agent06_Loans!B122="","",Agent06_Loans!B122)</f>
        <v/>
      </c>
      <c r="C1112" s="37" t="str">
        <f>IF(Agent06_Loans!B122="","",Agent06_Loans!C122)</f>
        <v/>
      </c>
      <c r="D1112" s="38" t="str">
        <f>IF(Agent06_Loans!B122="","",Agent06_Loans!D122)</f>
        <v/>
      </c>
      <c r="E1112" s="40" t="str">
        <f>IF(Agent06_Loans!B122="","",Agent06_Loans!E122)</f>
        <v/>
      </c>
      <c r="F1112" s="37" t="str">
        <f>IF(Agent06_Loans!B122="","",Agent06_Loans!F122)</f>
        <v/>
      </c>
      <c r="G1112" s="37" t="str">
        <f>IF(Agent06_Loans!B122="","",Agent06_Loans!G122)</f>
        <v/>
      </c>
      <c r="H1112" s="37" t="str">
        <f>IF(Agent06_Loans!B122="","",Agent06_Loans!H122)</f>
        <v/>
      </c>
      <c r="I1112" s="40" t="str">
        <f>IF(Agent06_Loans!B122="","",Agent06_Loans!I122)</f>
        <v/>
      </c>
      <c r="J1112" s="40" t="str">
        <f>IF(Agent06_Loans!B122="","",Agent06_Loans!J122)</f>
        <v/>
      </c>
      <c r="K1112" s="37" t="str">
        <f>IF(Agent06_Loans!B122="","",Agent06_Loans!K122)</f>
        <v/>
      </c>
      <c r="L1112" s="37" t="str">
        <f>IF(Agent06_Loans!B122="","",Agent06_Loans!L122)</f>
        <v/>
      </c>
      <c r="M1112" s="37" t="str">
        <f>IFERROR(IF(Agent06_Loans!B122="","",YEAR(Agent06_Loans!D122)),"")</f>
        <v/>
      </c>
    </row>
    <row r="1113" spans="1:13" ht="18" customHeight="1" x14ac:dyDescent="0.25">
      <c r="A1113" s="37" t="str">
        <f>IF(Agent06_Loans!B123="","",Agent06_Loans!A123)</f>
        <v/>
      </c>
      <c r="B1113" s="37" t="str">
        <f>IF(Agent06_Loans!B123="","",Agent06_Loans!B123)</f>
        <v/>
      </c>
      <c r="C1113" s="37" t="str">
        <f>IF(Agent06_Loans!B123="","",Agent06_Loans!C123)</f>
        <v/>
      </c>
      <c r="D1113" s="38" t="str">
        <f>IF(Agent06_Loans!B123="","",Agent06_Loans!D123)</f>
        <v/>
      </c>
      <c r="E1113" s="40" t="str">
        <f>IF(Agent06_Loans!B123="","",Agent06_Loans!E123)</f>
        <v/>
      </c>
      <c r="F1113" s="37" t="str">
        <f>IF(Agent06_Loans!B123="","",Agent06_Loans!F123)</f>
        <v/>
      </c>
      <c r="G1113" s="37" t="str">
        <f>IF(Agent06_Loans!B123="","",Agent06_Loans!G123)</f>
        <v/>
      </c>
      <c r="H1113" s="37" t="str">
        <f>IF(Agent06_Loans!B123="","",Agent06_Loans!H123)</f>
        <v/>
      </c>
      <c r="I1113" s="40" t="str">
        <f>IF(Agent06_Loans!B123="","",Agent06_Loans!I123)</f>
        <v/>
      </c>
      <c r="J1113" s="40" t="str">
        <f>IF(Agent06_Loans!B123="","",Agent06_Loans!J123)</f>
        <v/>
      </c>
      <c r="K1113" s="37" t="str">
        <f>IF(Agent06_Loans!B123="","",Agent06_Loans!K123)</f>
        <v/>
      </c>
      <c r="L1113" s="37" t="str">
        <f>IF(Agent06_Loans!B123="","",Agent06_Loans!L123)</f>
        <v/>
      </c>
      <c r="M1113" s="37" t="str">
        <f>IFERROR(IF(Agent06_Loans!B123="","",YEAR(Agent06_Loans!D123)),"")</f>
        <v/>
      </c>
    </row>
    <row r="1114" spans="1:13" ht="18" customHeight="1" x14ac:dyDescent="0.25">
      <c r="A1114" s="37" t="str">
        <f>IF(Agent06_Loans!B124="","",Agent06_Loans!A124)</f>
        <v/>
      </c>
      <c r="B1114" s="37" t="str">
        <f>IF(Agent06_Loans!B124="","",Agent06_Loans!B124)</f>
        <v/>
      </c>
      <c r="C1114" s="37" t="str">
        <f>IF(Agent06_Loans!B124="","",Agent06_Loans!C124)</f>
        <v/>
      </c>
      <c r="D1114" s="38" t="str">
        <f>IF(Agent06_Loans!B124="","",Agent06_Loans!D124)</f>
        <v/>
      </c>
      <c r="E1114" s="40" t="str">
        <f>IF(Agent06_Loans!B124="","",Agent06_Loans!E124)</f>
        <v/>
      </c>
      <c r="F1114" s="37" t="str">
        <f>IF(Agent06_Loans!B124="","",Agent06_Loans!F124)</f>
        <v/>
      </c>
      <c r="G1114" s="37" t="str">
        <f>IF(Agent06_Loans!B124="","",Agent06_Loans!G124)</f>
        <v/>
      </c>
      <c r="H1114" s="37" t="str">
        <f>IF(Agent06_Loans!B124="","",Agent06_Loans!H124)</f>
        <v/>
      </c>
      <c r="I1114" s="40" t="str">
        <f>IF(Agent06_Loans!B124="","",Agent06_Loans!I124)</f>
        <v/>
      </c>
      <c r="J1114" s="40" t="str">
        <f>IF(Agent06_Loans!B124="","",Agent06_Loans!J124)</f>
        <v/>
      </c>
      <c r="K1114" s="37" t="str">
        <f>IF(Agent06_Loans!B124="","",Agent06_Loans!K124)</f>
        <v/>
      </c>
      <c r="L1114" s="37" t="str">
        <f>IF(Agent06_Loans!B124="","",Agent06_Loans!L124)</f>
        <v/>
      </c>
      <c r="M1114" s="37" t="str">
        <f>IFERROR(IF(Agent06_Loans!B124="","",YEAR(Agent06_Loans!D124)),"")</f>
        <v/>
      </c>
    </row>
    <row r="1115" spans="1:13" ht="18" customHeight="1" x14ac:dyDescent="0.25">
      <c r="A1115" s="37" t="str">
        <f>IF(Agent06_Loans!B125="","",Agent06_Loans!A125)</f>
        <v/>
      </c>
      <c r="B1115" s="37" t="str">
        <f>IF(Agent06_Loans!B125="","",Agent06_Loans!B125)</f>
        <v/>
      </c>
      <c r="C1115" s="37" t="str">
        <f>IF(Agent06_Loans!B125="","",Agent06_Loans!C125)</f>
        <v/>
      </c>
      <c r="D1115" s="38" t="str">
        <f>IF(Agent06_Loans!B125="","",Agent06_Loans!D125)</f>
        <v/>
      </c>
      <c r="E1115" s="40" t="str">
        <f>IF(Agent06_Loans!B125="","",Agent06_Loans!E125)</f>
        <v/>
      </c>
      <c r="F1115" s="37" t="str">
        <f>IF(Agent06_Loans!B125="","",Agent06_Loans!F125)</f>
        <v/>
      </c>
      <c r="G1115" s="37" t="str">
        <f>IF(Agent06_Loans!B125="","",Agent06_Loans!G125)</f>
        <v/>
      </c>
      <c r="H1115" s="37" t="str">
        <f>IF(Agent06_Loans!B125="","",Agent06_Loans!H125)</f>
        <v/>
      </c>
      <c r="I1115" s="40" t="str">
        <f>IF(Agent06_Loans!B125="","",Agent06_Loans!I125)</f>
        <v/>
      </c>
      <c r="J1115" s="40" t="str">
        <f>IF(Agent06_Loans!B125="","",Agent06_Loans!J125)</f>
        <v/>
      </c>
      <c r="K1115" s="37" t="str">
        <f>IF(Agent06_Loans!B125="","",Agent06_Loans!K125)</f>
        <v/>
      </c>
      <c r="L1115" s="37" t="str">
        <f>IF(Agent06_Loans!B125="","",Agent06_Loans!L125)</f>
        <v/>
      </c>
      <c r="M1115" s="37" t="str">
        <f>IFERROR(IF(Agent06_Loans!B125="","",YEAR(Agent06_Loans!D125)),"")</f>
        <v/>
      </c>
    </row>
    <row r="1116" spans="1:13" ht="18" customHeight="1" x14ac:dyDescent="0.25">
      <c r="A1116" s="37" t="str">
        <f>IF(Agent06_Loans!B126="","",Agent06_Loans!A126)</f>
        <v/>
      </c>
      <c r="B1116" s="37" t="str">
        <f>IF(Agent06_Loans!B126="","",Agent06_Loans!B126)</f>
        <v/>
      </c>
      <c r="C1116" s="37" t="str">
        <f>IF(Agent06_Loans!B126="","",Agent06_Loans!C126)</f>
        <v/>
      </c>
      <c r="D1116" s="38" t="str">
        <f>IF(Agent06_Loans!B126="","",Agent06_Loans!D126)</f>
        <v/>
      </c>
      <c r="E1116" s="40" t="str">
        <f>IF(Agent06_Loans!B126="","",Agent06_Loans!E126)</f>
        <v/>
      </c>
      <c r="F1116" s="37" t="str">
        <f>IF(Agent06_Loans!B126="","",Agent06_Loans!F126)</f>
        <v/>
      </c>
      <c r="G1116" s="37" t="str">
        <f>IF(Agent06_Loans!B126="","",Agent06_Loans!G126)</f>
        <v/>
      </c>
      <c r="H1116" s="37" t="str">
        <f>IF(Agent06_Loans!B126="","",Agent06_Loans!H126)</f>
        <v/>
      </c>
      <c r="I1116" s="40" t="str">
        <f>IF(Agent06_Loans!B126="","",Agent06_Loans!I126)</f>
        <v/>
      </c>
      <c r="J1116" s="40" t="str">
        <f>IF(Agent06_Loans!B126="","",Agent06_Loans!J126)</f>
        <v/>
      </c>
      <c r="K1116" s="37" t="str">
        <f>IF(Agent06_Loans!B126="","",Agent06_Loans!K126)</f>
        <v/>
      </c>
      <c r="L1116" s="37" t="str">
        <f>IF(Agent06_Loans!B126="","",Agent06_Loans!L126)</f>
        <v/>
      </c>
      <c r="M1116" s="37" t="str">
        <f>IFERROR(IF(Agent06_Loans!B126="","",YEAR(Agent06_Loans!D126)),"")</f>
        <v/>
      </c>
    </row>
    <row r="1117" spans="1:13" ht="18" customHeight="1" x14ac:dyDescent="0.25">
      <c r="A1117" s="37" t="str">
        <f>IF(Agent06_Loans!B127="","",Agent06_Loans!A127)</f>
        <v/>
      </c>
      <c r="B1117" s="37" t="str">
        <f>IF(Agent06_Loans!B127="","",Agent06_Loans!B127)</f>
        <v/>
      </c>
      <c r="C1117" s="37" t="str">
        <f>IF(Agent06_Loans!B127="","",Agent06_Loans!C127)</f>
        <v/>
      </c>
      <c r="D1117" s="38" t="str">
        <f>IF(Agent06_Loans!B127="","",Agent06_Loans!D127)</f>
        <v/>
      </c>
      <c r="E1117" s="40" t="str">
        <f>IF(Agent06_Loans!B127="","",Agent06_Loans!E127)</f>
        <v/>
      </c>
      <c r="F1117" s="37" t="str">
        <f>IF(Agent06_Loans!B127="","",Agent06_Loans!F127)</f>
        <v/>
      </c>
      <c r="G1117" s="37" t="str">
        <f>IF(Agent06_Loans!B127="","",Agent06_Loans!G127)</f>
        <v/>
      </c>
      <c r="H1117" s="37" t="str">
        <f>IF(Agent06_Loans!B127="","",Agent06_Loans!H127)</f>
        <v/>
      </c>
      <c r="I1117" s="40" t="str">
        <f>IF(Agent06_Loans!B127="","",Agent06_Loans!I127)</f>
        <v/>
      </c>
      <c r="J1117" s="40" t="str">
        <f>IF(Agent06_Loans!B127="","",Agent06_Loans!J127)</f>
        <v/>
      </c>
      <c r="K1117" s="37" t="str">
        <f>IF(Agent06_Loans!B127="","",Agent06_Loans!K127)</f>
        <v/>
      </c>
      <c r="L1117" s="37" t="str">
        <f>IF(Agent06_Loans!B127="","",Agent06_Loans!L127)</f>
        <v/>
      </c>
      <c r="M1117" s="37" t="str">
        <f>IFERROR(IF(Agent06_Loans!B127="","",YEAR(Agent06_Loans!D127)),"")</f>
        <v/>
      </c>
    </row>
    <row r="1118" spans="1:13" ht="18" customHeight="1" x14ac:dyDescent="0.25">
      <c r="A1118" s="37" t="str">
        <f>IF(Agent06_Loans!B128="","",Agent06_Loans!A128)</f>
        <v/>
      </c>
      <c r="B1118" s="37" t="str">
        <f>IF(Agent06_Loans!B128="","",Agent06_Loans!B128)</f>
        <v/>
      </c>
      <c r="C1118" s="37" t="str">
        <f>IF(Agent06_Loans!B128="","",Agent06_Loans!C128)</f>
        <v/>
      </c>
      <c r="D1118" s="38" t="str">
        <f>IF(Agent06_Loans!B128="","",Agent06_Loans!D128)</f>
        <v/>
      </c>
      <c r="E1118" s="40" t="str">
        <f>IF(Agent06_Loans!B128="","",Agent06_Loans!E128)</f>
        <v/>
      </c>
      <c r="F1118" s="37" t="str">
        <f>IF(Agent06_Loans!B128="","",Agent06_Loans!F128)</f>
        <v/>
      </c>
      <c r="G1118" s="37" t="str">
        <f>IF(Agent06_Loans!B128="","",Agent06_Loans!G128)</f>
        <v/>
      </c>
      <c r="H1118" s="37" t="str">
        <f>IF(Agent06_Loans!B128="","",Agent06_Loans!H128)</f>
        <v/>
      </c>
      <c r="I1118" s="40" t="str">
        <f>IF(Agent06_Loans!B128="","",Agent06_Loans!I128)</f>
        <v/>
      </c>
      <c r="J1118" s="40" t="str">
        <f>IF(Agent06_Loans!B128="","",Agent06_Loans!J128)</f>
        <v/>
      </c>
      <c r="K1118" s="37" t="str">
        <f>IF(Agent06_Loans!B128="","",Agent06_Loans!K128)</f>
        <v/>
      </c>
      <c r="L1118" s="37" t="str">
        <f>IF(Agent06_Loans!B128="","",Agent06_Loans!L128)</f>
        <v/>
      </c>
      <c r="M1118" s="37" t="str">
        <f>IFERROR(IF(Agent06_Loans!B128="","",YEAR(Agent06_Loans!D128)),"")</f>
        <v/>
      </c>
    </row>
    <row r="1119" spans="1:13" ht="18" customHeight="1" x14ac:dyDescent="0.25">
      <c r="A1119" s="37" t="str">
        <f>IF(Agent06_Loans!B129="","",Agent06_Loans!A129)</f>
        <v/>
      </c>
      <c r="B1119" s="37" t="str">
        <f>IF(Agent06_Loans!B129="","",Agent06_Loans!B129)</f>
        <v/>
      </c>
      <c r="C1119" s="37" t="str">
        <f>IF(Agent06_Loans!B129="","",Agent06_Loans!C129)</f>
        <v/>
      </c>
      <c r="D1119" s="38" t="str">
        <f>IF(Agent06_Loans!B129="","",Agent06_Loans!D129)</f>
        <v/>
      </c>
      <c r="E1119" s="40" t="str">
        <f>IF(Agent06_Loans!B129="","",Agent06_Loans!E129)</f>
        <v/>
      </c>
      <c r="F1119" s="37" t="str">
        <f>IF(Agent06_Loans!B129="","",Agent06_Loans!F129)</f>
        <v/>
      </c>
      <c r="G1119" s="37" t="str">
        <f>IF(Agent06_Loans!B129="","",Agent06_Loans!G129)</f>
        <v/>
      </c>
      <c r="H1119" s="37" t="str">
        <f>IF(Agent06_Loans!B129="","",Agent06_Loans!H129)</f>
        <v/>
      </c>
      <c r="I1119" s="40" t="str">
        <f>IF(Agent06_Loans!B129="","",Agent06_Loans!I129)</f>
        <v/>
      </c>
      <c r="J1119" s="40" t="str">
        <f>IF(Agent06_Loans!B129="","",Agent06_Loans!J129)</f>
        <v/>
      </c>
      <c r="K1119" s="37" t="str">
        <f>IF(Agent06_Loans!B129="","",Agent06_Loans!K129)</f>
        <v/>
      </c>
      <c r="L1119" s="37" t="str">
        <f>IF(Agent06_Loans!B129="","",Agent06_Loans!L129)</f>
        <v/>
      </c>
      <c r="M1119" s="37" t="str">
        <f>IFERROR(IF(Agent06_Loans!B129="","",YEAR(Agent06_Loans!D129)),"")</f>
        <v/>
      </c>
    </row>
    <row r="1120" spans="1:13" ht="18" customHeight="1" x14ac:dyDescent="0.25">
      <c r="A1120" s="37" t="str">
        <f>IF(Agent06_Loans!B130="","",Agent06_Loans!A130)</f>
        <v/>
      </c>
      <c r="B1120" s="37" t="str">
        <f>IF(Agent06_Loans!B130="","",Agent06_Loans!B130)</f>
        <v/>
      </c>
      <c r="C1120" s="37" t="str">
        <f>IF(Agent06_Loans!B130="","",Agent06_Loans!C130)</f>
        <v/>
      </c>
      <c r="D1120" s="38" t="str">
        <f>IF(Agent06_Loans!B130="","",Agent06_Loans!D130)</f>
        <v/>
      </c>
      <c r="E1120" s="40" t="str">
        <f>IF(Agent06_Loans!B130="","",Agent06_Loans!E130)</f>
        <v/>
      </c>
      <c r="F1120" s="37" t="str">
        <f>IF(Agent06_Loans!B130="","",Agent06_Loans!F130)</f>
        <v/>
      </c>
      <c r="G1120" s="37" t="str">
        <f>IF(Agent06_Loans!B130="","",Agent06_Loans!G130)</f>
        <v/>
      </c>
      <c r="H1120" s="37" t="str">
        <f>IF(Agent06_Loans!B130="","",Agent06_Loans!H130)</f>
        <v/>
      </c>
      <c r="I1120" s="40" t="str">
        <f>IF(Agent06_Loans!B130="","",Agent06_Loans!I130)</f>
        <v/>
      </c>
      <c r="J1120" s="40" t="str">
        <f>IF(Agent06_Loans!B130="","",Agent06_Loans!J130)</f>
        <v/>
      </c>
      <c r="K1120" s="37" t="str">
        <f>IF(Agent06_Loans!B130="","",Agent06_Loans!K130)</f>
        <v/>
      </c>
      <c r="L1120" s="37" t="str">
        <f>IF(Agent06_Loans!B130="","",Agent06_Loans!L130)</f>
        <v/>
      </c>
      <c r="M1120" s="37" t="str">
        <f>IFERROR(IF(Agent06_Loans!B130="","",YEAR(Agent06_Loans!D130)),"")</f>
        <v/>
      </c>
    </row>
    <row r="1121" spans="1:13" ht="18" customHeight="1" x14ac:dyDescent="0.25">
      <c r="A1121" s="37" t="str">
        <f>IF(Agent06_Loans!B131="","",Agent06_Loans!A131)</f>
        <v/>
      </c>
      <c r="B1121" s="37" t="str">
        <f>IF(Agent06_Loans!B131="","",Agent06_Loans!B131)</f>
        <v/>
      </c>
      <c r="C1121" s="37" t="str">
        <f>IF(Agent06_Loans!B131="","",Agent06_Loans!C131)</f>
        <v/>
      </c>
      <c r="D1121" s="38" t="str">
        <f>IF(Agent06_Loans!B131="","",Agent06_Loans!D131)</f>
        <v/>
      </c>
      <c r="E1121" s="40" t="str">
        <f>IF(Agent06_Loans!B131="","",Agent06_Loans!E131)</f>
        <v/>
      </c>
      <c r="F1121" s="37" t="str">
        <f>IF(Agent06_Loans!B131="","",Agent06_Loans!F131)</f>
        <v/>
      </c>
      <c r="G1121" s="37" t="str">
        <f>IF(Agent06_Loans!B131="","",Agent06_Loans!G131)</f>
        <v/>
      </c>
      <c r="H1121" s="37" t="str">
        <f>IF(Agent06_Loans!B131="","",Agent06_Loans!H131)</f>
        <v/>
      </c>
      <c r="I1121" s="40" t="str">
        <f>IF(Agent06_Loans!B131="","",Agent06_Loans!I131)</f>
        <v/>
      </c>
      <c r="J1121" s="40" t="str">
        <f>IF(Agent06_Loans!B131="","",Agent06_Loans!J131)</f>
        <v/>
      </c>
      <c r="K1121" s="37" t="str">
        <f>IF(Agent06_Loans!B131="","",Agent06_Loans!K131)</f>
        <v/>
      </c>
      <c r="L1121" s="37" t="str">
        <f>IF(Agent06_Loans!B131="","",Agent06_Loans!L131)</f>
        <v/>
      </c>
      <c r="M1121" s="37" t="str">
        <f>IFERROR(IF(Agent06_Loans!B131="","",YEAR(Agent06_Loans!D131)),"")</f>
        <v/>
      </c>
    </row>
    <row r="1122" spans="1:13" ht="18" customHeight="1" x14ac:dyDescent="0.25">
      <c r="A1122" s="37" t="str">
        <f>IF(Agent06_Loans!B132="","",Agent06_Loans!A132)</f>
        <v/>
      </c>
      <c r="B1122" s="37" t="str">
        <f>IF(Agent06_Loans!B132="","",Agent06_Loans!B132)</f>
        <v/>
      </c>
      <c r="C1122" s="37" t="str">
        <f>IF(Agent06_Loans!B132="","",Agent06_Loans!C132)</f>
        <v/>
      </c>
      <c r="D1122" s="38" t="str">
        <f>IF(Agent06_Loans!B132="","",Agent06_Loans!D132)</f>
        <v/>
      </c>
      <c r="E1122" s="40" t="str">
        <f>IF(Agent06_Loans!B132="","",Agent06_Loans!E132)</f>
        <v/>
      </c>
      <c r="F1122" s="37" t="str">
        <f>IF(Agent06_Loans!B132="","",Agent06_Loans!F132)</f>
        <v/>
      </c>
      <c r="G1122" s="37" t="str">
        <f>IF(Agent06_Loans!B132="","",Agent06_Loans!G132)</f>
        <v/>
      </c>
      <c r="H1122" s="37" t="str">
        <f>IF(Agent06_Loans!B132="","",Agent06_Loans!H132)</f>
        <v/>
      </c>
      <c r="I1122" s="40" t="str">
        <f>IF(Agent06_Loans!B132="","",Agent06_Loans!I132)</f>
        <v/>
      </c>
      <c r="J1122" s="40" t="str">
        <f>IF(Agent06_Loans!B132="","",Agent06_Loans!J132)</f>
        <v/>
      </c>
      <c r="K1122" s="37" t="str">
        <f>IF(Agent06_Loans!B132="","",Agent06_Loans!K132)</f>
        <v/>
      </c>
      <c r="L1122" s="37" t="str">
        <f>IF(Agent06_Loans!B132="","",Agent06_Loans!L132)</f>
        <v/>
      </c>
      <c r="M1122" s="37" t="str">
        <f>IFERROR(IF(Agent06_Loans!B132="","",YEAR(Agent06_Loans!D132)),"")</f>
        <v/>
      </c>
    </row>
    <row r="1123" spans="1:13" ht="18" customHeight="1" x14ac:dyDescent="0.25">
      <c r="A1123" s="37" t="str">
        <f>IF(Agent06_Loans!B133="","",Agent06_Loans!A133)</f>
        <v/>
      </c>
      <c r="B1123" s="37" t="str">
        <f>IF(Agent06_Loans!B133="","",Agent06_Loans!B133)</f>
        <v/>
      </c>
      <c r="C1123" s="37" t="str">
        <f>IF(Agent06_Loans!B133="","",Agent06_Loans!C133)</f>
        <v/>
      </c>
      <c r="D1123" s="38" t="str">
        <f>IF(Agent06_Loans!B133="","",Agent06_Loans!D133)</f>
        <v/>
      </c>
      <c r="E1123" s="40" t="str">
        <f>IF(Agent06_Loans!B133="","",Agent06_Loans!E133)</f>
        <v/>
      </c>
      <c r="F1123" s="37" t="str">
        <f>IF(Agent06_Loans!B133="","",Agent06_Loans!F133)</f>
        <v/>
      </c>
      <c r="G1123" s="37" t="str">
        <f>IF(Agent06_Loans!B133="","",Agent06_Loans!G133)</f>
        <v/>
      </c>
      <c r="H1123" s="37" t="str">
        <f>IF(Agent06_Loans!B133="","",Agent06_Loans!H133)</f>
        <v/>
      </c>
      <c r="I1123" s="40" t="str">
        <f>IF(Agent06_Loans!B133="","",Agent06_Loans!I133)</f>
        <v/>
      </c>
      <c r="J1123" s="40" t="str">
        <f>IF(Agent06_Loans!B133="","",Agent06_Loans!J133)</f>
        <v/>
      </c>
      <c r="K1123" s="37" t="str">
        <f>IF(Agent06_Loans!B133="","",Agent06_Loans!K133)</f>
        <v/>
      </c>
      <c r="L1123" s="37" t="str">
        <f>IF(Agent06_Loans!B133="","",Agent06_Loans!L133)</f>
        <v/>
      </c>
      <c r="M1123" s="37" t="str">
        <f>IFERROR(IF(Agent06_Loans!B133="","",YEAR(Agent06_Loans!D133)),"")</f>
        <v/>
      </c>
    </row>
    <row r="1124" spans="1:13" ht="18" customHeight="1" x14ac:dyDescent="0.25">
      <c r="A1124" s="37" t="str">
        <f>IF(Agent06_Loans!B134="","",Agent06_Loans!A134)</f>
        <v/>
      </c>
      <c r="B1124" s="37" t="str">
        <f>IF(Agent06_Loans!B134="","",Agent06_Loans!B134)</f>
        <v/>
      </c>
      <c r="C1124" s="37" t="str">
        <f>IF(Agent06_Loans!B134="","",Agent06_Loans!C134)</f>
        <v/>
      </c>
      <c r="D1124" s="38" t="str">
        <f>IF(Agent06_Loans!B134="","",Agent06_Loans!D134)</f>
        <v/>
      </c>
      <c r="E1124" s="40" t="str">
        <f>IF(Agent06_Loans!B134="","",Agent06_Loans!E134)</f>
        <v/>
      </c>
      <c r="F1124" s="37" t="str">
        <f>IF(Agent06_Loans!B134="","",Agent06_Loans!F134)</f>
        <v/>
      </c>
      <c r="G1124" s="37" t="str">
        <f>IF(Agent06_Loans!B134="","",Agent06_Loans!G134)</f>
        <v/>
      </c>
      <c r="H1124" s="37" t="str">
        <f>IF(Agent06_Loans!B134="","",Agent06_Loans!H134)</f>
        <v/>
      </c>
      <c r="I1124" s="40" t="str">
        <f>IF(Agent06_Loans!B134="","",Agent06_Loans!I134)</f>
        <v/>
      </c>
      <c r="J1124" s="40" t="str">
        <f>IF(Agent06_Loans!B134="","",Agent06_Loans!J134)</f>
        <v/>
      </c>
      <c r="K1124" s="37" t="str">
        <f>IF(Agent06_Loans!B134="","",Agent06_Loans!K134)</f>
        <v/>
      </c>
      <c r="L1124" s="37" t="str">
        <f>IF(Agent06_Loans!B134="","",Agent06_Loans!L134)</f>
        <v/>
      </c>
      <c r="M1124" s="37" t="str">
        <f>IFERROR(IF(Agent06_Loans!B134="","",YEAR(Agent06_Loans!D134)),"")</f>
        <v/>
      </c>
    </row>
    <row r="1125" spans="1:13" ht="18" customHeight="1" x14ac:dyDescent="0.25">
      <c r="A1125" s="37" t="str">
        <f>IF(Agent06_Loans!B135="","",Agent06_Loans!A135)</f>
        <v/>
      </c>
      <c r="B1125" s="37" t="str">
        <f>IF(Agent06_Loans!B135="","",Agent06_Loans!B135)</f>
        <v/>
      </c>
      <c r="C1125" s="37" t="str">
        <f>IF(Agent06_Loans!B135="","",Agent06_Loans!C135)</f>
        <v/>
      </c>
      <c r="D1125" s="38" t="str">
        <f>IF(Agent06_Loans!B135="","",Agent06_Loans!D135)</f>
        <v/>
      </c>
      <c r="E1125" s="40" t="str">
        <f>IF(Agent06_Loans!B135="","",Agent06_Loans!E135)</f>
        <v/>
      </c>
      <c r="F1125" s="37" t="str">
        <f>IF(Agent06_Loans!B135="","",Agent06_Loans!F135)</f>
        <v/>
      </c>
      <c r="G1125" s="37" t="str">
        <f>IF(Agent06_Loans!B135="","",Agent06_Loans!G135)</f>
        <v/>
      </c>
      <c r="H1125" s="37" t="str">
        <f>IF(Agent06_Loans!B135="","",Agent06_Loans!H135)</f>
        <v/>
      </c>
      <c r="I1125" s="40" t="str">
        <f>IF(Agent06_Loans!B135="","",Agent06_Loans!I135)</f>
        <v/>
      </c>
      <c r="J1125" s="40" t="str">
        <f>IF(Agent06_Loans!B135="","",Agent06_Loans!J135)</f>
        <v/>
      </c>
      <c r="K1125" s="37" t="str">
        <f>IF(Agent06_Loans!B135="","",Agent06_Loans!K135)</f>
        <v/>
      </c>
      <c r="L1125" s="37" t="str">
        <f>IF(Agent06_Loans!B135="","",Agent06_Loans!L135)</f>
        <v/>
      </c>
      <c r="M1125" s="37" t="str">
        <f>IFERROR(IF(Agent06_Loans!B135="","",YEAR(Agent06_Loans!D135)),"")</f>
        <v/>
      </c>
    </row>
    <row r="1126" spans="1:13" ht="18" customHeight="1" x14ac:dyDescent="0.25">
      <c r="A1126" s="37" t="str">
        <f>IF(Agent06_Loans!B136="","",Agent06_Loans!A136)</f>
        <v/>
      </c>
      <c r="B1126" s="37" t="str">
        <f>IF(Agent06_Loans!B136="","",Agent06_Loans!B136)</f>
        <v/>
      </c>
      <c r="C1126" s="37" t="str">
        <f>IF(Agent06_Loans!B136="","",Agent06_Loans!C136)</f>
        <v/>
      </c>
      <c r="D1126" s="38" t="str">
        <f>IF(Agent06_Loans!B136="","",Agent06_Loans!D136)</f>
        <v/>
      </c>
      <c r="E1126" s="40" t="str">
        <f>IF(Agent06_Loans!B136="","",Agent06_Loans!E136)</f>
        <v/>
      </c>
      <c r="F1126" s="37" t="str">
        <f>IF(Agent06_Loans!B136="","",Agent06_Loans!F136)</f>
        <v/>
      </c>
      <c r="G1126" s="37" t="str">
        <f>IF(Agent06_Loans!B136="","",Agent06_Loans!G136)</f>
        <v/>
      </c>
      <c r="H1126" s="37" t="str">
        <f>IF(Agent06_Loans!B136="","",Agent06_Loans!H136)</f>
        <v/>
      </c>
      <c r="I1126" s="40" t="str">
        <f>IF(Agent06_Loans!B136="","",Agent06_Loans!I136)</f>
        <v/>
      </c>
      <c r="J1126" s="40" t="str">
        <f>IF(Agent06_Loans!B136="","",Agent06_Loans!J136)</f>
        <v/>
      </c>
      <c r="K1126" s="37" t="str">
        <f>IF(Agent06_Loans!B136="","",Agent06_Loans!K136)</f>
        <v/>
      </c>
      <c r="L1126" s="37" t="str">
        <f>IF(Agent06_Loans!B136="","",Agent06_Loans!L136)</f>
        <v/>
      </c>
      <c r="M1126" s="37" t="str">
        <f>IFERROR(IF(Agent06_Loans!B136="","",YEAR(Agent06_Loans!D136)),"")</f>
        <v/>
      </c>
    </row>
    <row r="1127" spans="1:13" ht="18" customHeight="1" x14ac:dyDescent="0.25">
      <c r="A1127" s="37" t="str">
        <f>IF(Agent06_Loans!B137="","",Agent06_Loans!A137)</f>
        <v/>
      </c>
      <c r="B1127" s="37" t="str">
        <f>IF(Agent06_Loans!B137="","",Agent06_Loans!B137)</f>
        <v/>
      </c>
      <c r="C1127" s="37" t="str">
        <f>IF(Agent06_Loans!B137="","",Agent06_Loans!C137)</f>
        <v/>
      </c>
      <c r="D1127" s="38" t="str">
        <f>IF(Agent06_Loans!B137="","",Agent06_Loans!D137)</f>
        <v/>
      </c>
      <c r="E1127" s="40" t="str">
        <f>IF(Agent06_Loans!B137="","",Agent06_Loans!E137)</f>
        <v/>
      </c>
      <c r="F1127" s="37" t="str">
        <f>IF(Agent06_Loans!B137="","",Agent06_Loans!F137)</f>
        <v/>
      </c>
      <c r="G1127" s="37" t="str">
        <f>IF(Agent06_Loans!B137="","",Agent06_Loans!G137)</f>
        <v/>
      </c>
      <c r="H1127" s="37" t="str">
        <f>IF(Agent06_Loans!B137="","",Agent06_Loans!H137)</f>
        <v/>
      </c>
      <c r="I1127" s="40" t="str">
        <f>IF(Agent06_Loans!B137="","",Agent06_Loans!I137)</f>
        <v/>
      </c>
      <c r="J1127" s="40" t="str">
        <f>IF(Agent06_Loans!B137="","",Agent06_Loans!J137)</f>
        <v/>
      </c>
      <c r="K1127" s="37" t="str">
        <f>IF(Agent06_Loans!B137="","",Agent06_Loans!K137)</f>
        <v/>
      </c>
      <c r="L1127" s="37" t="str">
        <f>IF(Agent06_Loans!B137="","",Agent06_Loans!L137)</f>
        <v/>
      </c>
      <c r="M1127" s="37" t="str">
        <f>IFERROR(IF(Agent06_Loans!B137="","",YEAR(Agent06_Loans!D137)),"")</f>
        <v/>
      </c>
    </row>
    <row r="1128" spans="1:13" ht="18" customHeight="1" x14ac:dyDescent="0.25">
      <c r="A1128" s="37" t="str">
        <f>IF(Agent06_Loans!B138="","",Agent06_Loans!A138)</f>
        <v/>
      </c>
      <c r="B1128" s="37" t="str">
        <f>IF(Agent06_Loans!B138="","",Agent06_Loans!B138)</f>
        <v/>
      </c>
      <c r="C1128" s="37" t="str">
        <f>IF(Agent06_Loans!B138="","",Agent06_Loans!C138)</f>
        <v/>
      </c>
      <c r="D1128" s="38" t="str">
        <f>IF(Agent06_Loans!B138="","",Agent06_Loans!D138)</f>
        <v/>
      </c>
      <c r="E1128" s="40" t="str">
        <f>IF(Agent06_Loans!B138="","",Agent06_Loans!E138)</f>
        <v/>
      </c>
      <c r="F1128" s="37" t="str">
        <f>IF(Agent06_Loans!B138="","",Agent06_Loans!F138)</f>
        <v/>
      </c>
      <c r="G1128" s="37" t="str">
        <f>IF(Agent06_Loans!B138="","",Agent06_Loans!G138)</f>
        <v/>
      </c>
      <c r="H1128" s="37" t="str">
        <f>IF(Agent06_Loans!B138="","",Agent06_Loans!H138)</f>
        <v/>
      </c>
      <c r="I1128" s="40" t="str">
        <f>IF(Agent06_Loans!B138="","",Agent06_Loans!I138)</f>
        <v/>
      </c>
      <c r="J1128" s="40" t="str">
        <f>IF(Agent06_Loans!B138="","",Agent06_Loans!J138)</f>
        <v/>
      </c>
      <c r="K1128" s="37" t="str">
        <f>IF(Agent06_Loans!B138="","",Agent06_Loans!K138)</f>
        <v/>
      </c>
      <c r="L1128" s="37" t="str">
        <f>IF(Agent06_Loans!B138="","",Agent06_Loans!L138)</f>
        <v/>
      </c>
      <c r="M1128" s="37" t="str">
        <f>IFERROR(IF(Agent06_Loans!B138="","",YEAR(Agent06_Loans!D138)),"")</f>
        <v/>
      </c>
    </row>
    <row r="1129" spans="1:13" ht="18" customHeight="1" x14ac:dyDescent="0.25">
      <c r="A1129" s="37" t="str">
        <f>IF(Agent06_Loans!B139="","",Agent06_Loans!A139)</f>
        <v/>
      </c>
      <c r="B1129" s="37" t="str">
        <f>IF(Agent06_Loans!B139="","",Agent06_Loans!B139)</f>
        <v/>
      </c>
      <c r="C1129" s="37" t="str">
        <f>IF(Agent06_Loans!B139="","",Agent06_Loans!C139)</f>
        <v/>
      </c>
      <c r="D1129" s="38" t="str">
        <f>IF(Agent06_Loans!B139="","",Agent06_Loans!D139)</f>
        <v/>
      </c>
      <c r="E1129" s="40" t="str">
        <f>IF(Agent06_Loans!B139="","",Agent06_Loans!E139)</f>
        <v/>
      </c>
      <c r="F1129" s="37" t="str">
        <f>IF(Agent06_Loans!B139="","",Agent06_Loans!F139)</f>
        <v/>
      </c>
      <c r="G1129" s="37" t="str">
        <f>IF(Agent06_Loans!B139="","",Agent06_Loans!G139)</f>
        <v/>
      </c>
      <c r="H1129" s="37" t="str">
        <f>IF(Agent06_Loans!B139="","",Agent06_Loans!H139)</f>
        <v/>
      </c>
      <c r="I1129" s="40" t="str">
        <f>IF(Agent06_Loans!B139="","",Agent06_Loans!I139)</f>
        <v/>
      </c>
      <c r="J1129" s="40" t="str">
        <f>IF(Agent06_Loans!B139="","",Agent06_Loans!J139)</f>
        <v/>
      </c>
      <c r="K1129" s="37" t="str">
        <f>IF(Agent06_Loans!B139="","",Agent06_Loans!K139)</f>
        <v/>
      </c>
      <c r="L1129" s="37" t="str">
        <f>IF(Agent06_Loans!B139="","",Agent06_Loans!L139)</f>
        <v/>
      </c>
      <c r="M1129" s="37" t="str">
        <f>IFERROR(IF(Agent06_Loans!B139="","",YEAR(Agent06_Loans!D139)),"")</f>
        <v/>
      </c>
    </row>
    <row r="1130" spans="1:13" ht="18" customHeight="1" x14ac:dyDescent="0.25">
      <c r="A1130" s="37" t="str">
        <f>IF(Agent06_Loans!B140="","",Agent06_Loans!A140)</f>
        <v/>
      </c>
      <c r="B1130" s="37" t="str">
        <f>IF(Agent06_Loans!B140="","",Agent06_Loans!B140)</f>
        <v/>
      </c>
      <c r="C1130" s="37" t="str">
        <f>IF(Agent06_Loans!B140="","",Agent06_Loans!C140)</f>
        <v/>
      </c>
      <c r="D1130" s="38" t="str">
        <f>IF(Agent06_Loans!B140="","",Agent06_Loans!D140)</f>
        <v/>
      </c>
      <c r="E1130" s="40" t="str">
        <f>IF(Agent06_Loans!B140="","",Agent06_Loans!E140)</f>
        <v/>
      </c>
      <c r="F1130" s="37" t="str">
        <f>IF(Agent06_Loans!B140="","",Agent06_Loans!F140)</f>
        <v/>
      </c>
      <c r="G1130" s="37" t="str">
        <f>IF(Agent06_Loans!B140="","",Agent06_Loans!G140)</f>
        <v/>
      </c>
      <c r="H1130" s="37" t="str">
        <f>IF(Agent06_Loans!B140="","",Agent06_Loans!H140)</f>
        <v/>
      </c>
      <c r="I1130" s="40" t="str">
        <f>IF(Agent06_Loans!B140="","",Agent06_Loans!I140)</f>
        <v/>
      </c>
      <c r="J1130" s="40" t="str">
        <f>IF(Agent06_Loans!B140="","",Agent06_Loans!J140)</f>
        <v/>
      </c>
      <c r="K1130" s="37" t="str">
        <f>IF(Agent06_Loans!B140="","",Agent06_Loans!K140)</f>
        <v/>
      </c>
      <c r="L1130" s="37" t="str">
        <f>IF(Agent06_Loans!B140="","",Agent06_Loans!L140)</f>
        <v/>
      </c>
      <c r="M1130" s="37" t="str">
        <f>IFERROR(IF(Agent06_Loans!B140="","",YEAR(Agent06_Loans!D140)),"")</f>
        <v/>
      </c>
    </row>
    <row r="1131" spans="1:13" ht="18" customHeight="1" x14ac:dyDescent="0.25">
      <c r="A1131" s="37" t="str">
        <f>IF(Agent06_Loans!B141="","",Agent06_Loans!A141)</f>
        <v/>
      </c>
      <c r="B1131" s="37" t="str">
        <f>IF(Agent06_Loans!B141="","",Agent06_Loans!B141)</f>
        <v/>
      </c>
      <c r="C1131" s="37" t="str">
        <f>IF(Agent06_Loans!B141="","",Agent06_Loans!C141)</f>
        <v/>
      </c>
      <c r="D1131" s="38" t="str">
        <f>IF(Agent06_Loans!B141="","",Agent06_Loans!D141)</f>
        <v/>
      </c>
      <c r="E1131" s="40" t="str">
        <f>IF(Agent06_Loans!B141="","",Agent06_Loans!E141)</f>
        <v/>
      </c>
      <c r="F1131" s="37" t="str">
        <f>IF(Agent06_Loans!B141="","",Agent06_Loans!F141)</f>
        <v/>
      </c>
      <c r="G1131" s="37" t="str">
        <f>IF(Agent06_Loans!B141="","",Agent06_Loans!G141)</f>
        <v/>
      </c>
      <c r="H1131" s="37" t="str">
        <f>IF(Agent06_Loans!B141="","",Agent06_Loans!H141)</f>
        <v/>
      </c>
      <c r="I1131" s="40" t="str">
        <f>IF(Agent06_Loans!B141="","",Agent06_Loans!I141)</f>
        <v/>
      </c>
      <c r="J1131" s="40" t="str">
        <f>IF(Agent06_Loans!B141="","",Agent06_Loans!J141)</f>
        <v/>
      </c>
      <c r="K1131" s="37" t="str">
        <f>IF(Agent06_Loans!B141="","",Agent06_Loans!K141)</f>
        <v/>
      </c>
      <c r="L1131" s="37" t="str">
        <f>IF(Agent06_Loans!B141="","",Agent06_Loans!L141)</f>
        <v/>
      </c>
      <c r="M1131" s="37" t="str">
        <f>IFERROR(IF(Agent06_Loans!B141="","",YEAR(Agent06_Loans!D141)),"")</f>
        <v/>
      </c>
    </row>
    <row r="1132" spans="1:13" ht="18" customHeight="1" x14ac:dyDescent="0.25">
      <c r="A1132" s="37" t="str">
        <f>IF(Agent06_Loans!B142="","",Agent06_Loans!A142)</f>
        <v/>
      </c>
      <c r="B1132" s="37" t="str">
        <f>IF(Agent06_Loans!B142="","",Agent06_Loans!B142)</f>
        <v/>
      </c>
      <c r="C1132" s="37" t="str">
        <f>IF(Agent06_Loans!B142="","",Agent06_Loans!C142)</f>
        <v/>
      </c>
      <c r="D1132" s="38" t="str">
        <f>IF(Agent06_Loans!B142="","",Agent06_Loans!D142)</f>
        <v/>
      </c>
      <c r="E1132" s="40" t="str">
        <f>IF(Agent06_Loans!B142="","",Agent06_Loans!E142)</f>
        <v/>
      </c>
      <c r="F1132" s="37" t="str">
        <f>IF(Agent06_Loans!B142="","",Agent06_Loans!F142)</f>
        <v/>
      </c>
      <c r="G1132" s="37" t="str">
        <f>IF(Agent06_Loans!B142="","",Agent06_Loans!G142)</f>
        <v/>
      </c>
      <c r="H1132" s="37" t="str">
        <f>IF(Agent06_Loans!B142="","",Agent06_Loans!H142)</f>
        <v/>
      </c>
      <c r="I1132" s="40" t="str">
        <f>IF(Agent06_Loans!B142="","",Agent06_Loans!I142)</f>
        <v/>
      </c>
      <c r="J1132" s="40" t="str">
        <f>IF(Agent06_Loans!B142="","",Agent06_Loans!J142)</f>
        <v/>
      </c>
      <c r="K1132" s="37" t="str">
        <f>IF(Agent06_Loans!B142="","",Agent06_Loans!K142)</f>
        <v/>
      </c>
      <c r="L1132" s="37" t="str">
        <f>IF(Agent06_Loans!B142="","",Agent06_Loans!L142)</f>
        <v/>
      </c>
      <c r="M1132" s="37" t="str">
        <f>IFERROR(IF(Agent06_Loans!B142="","",YEAR(Agent06_Loans!D142)),"")</f>
        <v/>
      </c>
    </row>
    <row r="1133" spans="1:13" ht="18" customHeight="1" x14ac:dyDescent="0.25">
      <c r="A1133" s="37" t="str">
        <f>IF(Agent06_Loans!B143="","",Agent06_Loans!A143)</f>
        <v/>
      </c>
      <c r="B1133" s="37" t="str">
        <f>IF(Agent06_Loans!B143="","",Agent06_Loans!B143)</f>
        <v/>
      </c>
      <c r="C1133" s="37" t="str">
        <f>IF(Agent06_Loans!B143="","",Agent06_Loans!C143)</f>
        <v/>
      </c>
      <c r="D1133" s="38" t="str">
        <f>IF(Agent06_Loans!B143="","",Agent06_Loans!D143)</f>
        <v/>
      </c>
      <c r="E1133" s="40" t="str">
        <f>IF(Agent06_Loans!B143="","",Agent06_Loans!E143)</f>
        <v/>
      </c>
      <c r="F1133" s="37" t="str">
        <f>IF(Agent06_Loans!B143="","",Agent06_Loans!F143)</f>
        <v/>
      </c>
      <c r="G1133" s="37" t="str">
        <f>IF(Agent06_Loans!B143="","",Agent06_Loans!G143)</f>
        <v/>
      </c>
      <c r="H1133" s="37" t="str">
        <f>IF(Agent06_Loans!B143="","",Agent06_Loans!H143)</f>
        <v/>
      </c>
      <c r="I1133" s="40" t="str">
        <f>IF(Agent06_Loans!B143="","",Agent06_Loans!I143)</f>
        <v/>
      </c>
      <c r="J1133" s="40" t="str">
        <f>IF(Agent06_Loans!B143="","",Agent06_Loans!J143)</f>
        <v/>
      </c>
      <c r="K1133" s="37" t="str">
        <f>IF(Agent06_Loans!B143="","",Agent06_Loans!K143)</f>
        <v/>
      </c>
      <c r="L1133" s="37" t="str">
        <f>IF(Agent06_Loans!B143="","",Agent06_Loans!L143)</f>
        <v/>
      </c>
      <c r="M1133" s="37" t="str">
        <f>IFERROR(IF(Agent06_Loans!B143="","",YEAR(Agent06_Loans!D143)),"")</f>
        <v/>
      </c>
    </row>
    <row r="1134" spans="1:13" ht="18" customHeight="1" x14ac:dyDescent="0.25">
      <c r="A1134" s="37" t="str">
        <f>IF(Agent06_Loans!B144="","",Agent06_Loans!A144)</f>
        <v/>
      </c>
      <c r="B1134" s="37" t="str">
        <f>IF(Agent06_Loans!B144="","",Agent06_Loans!B144)</f>
        <v/>
      </c>
      <c r="C1134" s="37" t="str">
        <f>IF(Agent06_Loans!B144="","",Agent06_Loans!C144)</f>
        <v/>
      </c>
      <c r="D1134" s="38" t="str">
        <f>IF(Agent06_Loans!B144="","",Agent06_Loans!D144)</f>
        <v/>
      </c>
      <c r="E1134" s="40" t="str">
        <f>IF(Agent06_Loans!B144="","",Agent06_Loans!E144)</f>
        <v/>
      </c>
      <c r="F1134" s="37" t="str">
        <f>IF(Agent06_Loans!B144="","",Agent06_Loans!F144)</f>
        <v/>
      </c>
      <c r="G1134" s="37" t="str">
        <f>IF(Agent06_Loans!B144="","",Agent06_Loans!G144)</f>
        <v/>
      </c>
      <c r="H1134" s="37" t="str">
        <f>IF(Agent06_Loans!B144="","",Agent06_Loans!H144)</f>
        <v/>
      </c>
      <c r="I1134" s="40" t="str">
        <f>IF(Agent06_Loans!B144="","",Agent06_Loans!I144)</f>
        <v/>
      </c>
      <c r="J1134" s="40" t="str">
        <f>IF(Agent06_Loans!B144="","",Agent06_Loans!J144)</f>
        <v/>
      </c>
      <c r="K1134" s="37" t="str">
        <f>IF(Agent06_Loans!B144="","",Agent06_Loans!K144)</f>
        <v/>
      </c>
      <c r="L1134" s="37" t="str">
        <f>IF(Agent06_Loans!B144="","",Agent06_Loans!L144)</f>
        <v/>
      </c>
      <c r="M1134" s="37" t="str">
        <f>IFERROR(IF(Agent06_Loans!B144="","",YEAR(Agent06_Loans!D144)),"")</f>
        <v/>
      </c>
    </row>
    <row r="1135" spans="1:13" ht="18" customHeight="1" x14ac:dyDescent="0.25">
      <c r="A1135" s="37" t="str">
        <f>IF(Agent06_Loans!B145="","",Agent06_Loans!A145)</f>
        <v/>
      </c>
      <c r="B1135" s="37" t="str">
        <f>IF(Agent06_Loans!B145="","",Agent06_Loans!B145)</f>
        <v/>
      </c>
      <c r="C1135" s="37" t="str">
        <f>IF(Agent06_Loans!B145="","",Agent06_Loans!C145)</f>
        <v/>
      </c>
      <c r="D1135" s="38" t="str">
        <f>IF(Agent06_Loans!B145="","",Agent06_Loans!D145)</f>
        <v/>
      </c>
      <c r="E1135" s="40" t="str">
        <f>IF(Agent06_Loans!B145="","",Agent06_Loans!E145)</f>
        <v/>
      </c>
      <c r="F1135" s="37" t="str">
        <f>IF(Agent06_Loans!B145="","",Agent06_Loans!F145)</f>
        <v/>
      </c>
      <c r="G1135" s="37" t="str">
        <f>IF(Agent06_Loans!B145="","",Agent06_Loans!G145)</f>
        <v/>
      </c>
      <c r="H1135" s="37" t="str">
        <f>IF(Agent06_Loans!B145="","",Agent06_Loans!H145)</f>
        <v/>
      </c>
      <c r="I1135" s="40" t="str">
        <f>IF(Agent06_Loans!B145="","",Agent06_Loans!I145)</f>
        <v/>
      </c>
      <c r="J1135" s="40" t="str">
        <f>IF(Agent06_Loans!B145="","",Agent06_Loans!J145)</f>
        <v/>
      </c>
      <c r="K1135" s="37" t="str">
        <f>IF(Agent06_Loans!B145="","",Agent06_Loans!K145)</f>
        <v/>
      </c>
      <c r="L1135" s="37" t="str">
        <f>IF(Agent06_Loans!B145="","",Agent06_Loans!L145)</f>
        <v/>
      </c>
      <c r="M1135" s="37" t="str">
        <f>IFERROR(IF(Agent06_Loans!B145="","",YEAR(Agent06_Loans!D145)),"")</f>
        <v/>
      </c>
    </row>
    <row r="1136" spans="1:13" ht="18" customHeight="1" x14ac:dyDescent="0.25">
      <c r="A1136" s="37" t="str">
        <f>IF(Agent06_Loans!B146="","",Agent06_Loans!A146)</f>
        <v/>
      </c>
      <c r="B1136" s="37" t="str">
        <f>IF(Agent06_Loans!B146="","",Agent06_Loans!B146)</f>
        <v/>
      </c>
      <c r="C1136" s="37" t="str">
        <f>IF(Agent06_Loans!B146="","",Agent06_Loans!C146)</f>
        <v/>
      </c>
      <c r="D1136" s="38" t="str">
        <f>IF(Agent06_Loans!B146="","",Agent06_Loans!D146)</f>
        <v/>
      </c>
      <c r="E1136" s="40" t="str">
        <f>IF(Agent06_Loans!B146="","",Agent06_Loans!E146)</f>
        <v/>
      </c>
      <c r="F1136" s="37" t="str">
        <f>IF(Agent06_Loans!B146="","",Agent06_Loans!F146)</f>
        <v/>
      </c>
      <c r="G1136" s="37" t="str">
        <f>IF(Agent06_Loans!B146="","",Agent06_Loans!G146)</f>
        <v/>
      </c>
      <c r="H1136" s="37" t="str">
        <f>IF(Agent06_Loans!B146="","",Agent06_Loans!H146)</f>
        <v/>
      </c>
      <c r="I1136" s="40" t="str">
        <f>IF(Agent06_Loans!B146="","",Agent06_Loans!I146)</f>
        <v/>
      </c>
      <c r="J1136" s="40" t="str">
        <f>IF(Agent06_Loans!B146="","",Agent06_Loans!J146)</f>
        <v/>
      </c>
      <c r="K1136" s="37" t="str">
        <f>IF(Agent06_Loans!B146="","",Agent06_Loans!K146)</f>
        <v/>
      </c>
      <c r="L1136" s="37" t="str">
        <f>IF(Agent06_Loans!B146="","",Agent06_Loans!L146)</f>
        <v/>
      </c>
      <c r="M1136" s="37" t="str">
        <f>IFERROR(IF(Agent06_Loans!B146="","",YEAR(Agent06_Loans!D146)),"")</f>
        <v/>
      </c>
    </row>
    <row r="1137" spans="1:13" ht="18" customHeight="1" x14ac:dyDescent="0.25">
      <c r="A1137" s="37" t="str">
        <f>IF(Agent06_Loans!B147="","",Agent06_Loans!A147)</f>
        <v/>
      </c>
      <c r="B1137" s="37" t="str">
        <f>IF(Agent06_Loans!B147="","",Agent06_Loans!B147)</f>
        <v/>
      </c>
      <c r="C1137" s="37" t="str">
        <f>IF(Agent06_Loans!B147="","",Agent06_Loans!C147)</f>
        <v/>
      </c>
      <c r="D1137" s="38" t="str">
        <f>IF(Agent06_Loans!B147="","",Agent06_Loans!D147)</f>
        <v/>
      </c>
      <c r="E1137" s="40" t="str">
        <f>IF(Agent06_Loans!B147="","",Agent06_Loans!E147)</f>
        <v/>
      </c>
      <c r="F1137" s="37" t="str">
        <f>IF(Agent06_Loans!B147="","",Agent06_Loans!F147)</f>
        <v/>
      </c>
      <c r="G1137" s="37" t="str">
        <f>IF(Agent06_Loans!B147="","",Agent06_Loans!G147)</f>
        <v/>
      </c>
      <c r="H1137" s="37" t="str">
        <f>IF(Agent06_Loans!B147="","",Agent06_Loans!H147)</f>
        <v/>
      </c>
      <c r="I1137" s="40" t="str">
        <f>IF(Agent06_Loans!B147="","",Agent06_Loans!I147)</f>
        <v/>
      </c>
      <c r="J1137" s="40" t="str">
        <f>IF(Agent06_Loans!B147="","",Agent06_Loans!J147)</f>
        <v/>
      </c>
      <c r="K1137" s="37" t="str">
        <f>IF(Agent06_Loans!B147="","",Agent06_Loans!K147)</f>
        <v/>
      </c>
      <c r="L1137" s="37" t="str">
        <f>IF(Agent06_Loans!B147="","",Agent06_Loans!L147)</f>
        <v/>
      </c>
      <c r="M1137" s="37" t="str">
        <f>IFERROR(IF(Agent06_Loans!B147="","",YEAR(Agent06_Loans!D147)),"")</f>
        <v/>
      </c>
    </row>
    <row r="1138" spans="1:13" ht="18" customHeight="1" x14ac:dyDescent="0.25">
      <c r="A1138" s="37" t="str">
        <f>IF(Agent06_Loans!B148="","",Agent06_Loans!A148)</f>
        <v/>
      </c>
      <c r="B1138" s="37" t="str">
        <f>IF(Agent06_Loans!B148="","",Agent06_Loans!B148)</f>
        <v/>
      </c>
      <c r="C1138" s="37" t="str">
        <f>IF(Agent06_Loans!B148="","",Agent06_Loans!C148)</f>
        <v/>
      </c>
      <c r="D1138" s="38" t="str">
        <f>IF(Agent06_Loans!B148="","",Agent06_Loans!D148)</f>
        <v/>
      </c>
      <c r="E1138" s="40" t="str">
        <f>IF(Agent06_Loans!B148="","",Agent06_Loans!E148)</f>
        <v/>
      </c>
      <c r="F1138" s="37" t="str">
        <f>IF(Agent06_Loans!B148="","",Agent06_Loans!F148)</f>
        <v/>
      </c>
      <c r="G1138" s="37" t="str">
        <f>IF(Agent06_Loans!B148="","",Agent06_Loans!G148)</f>
        <v/>
      </c>
      <c r="H1138" s="37" t="str">
        <f>IF(Agent06_Loans!B148="","",Agent06_Loans!H148)</f>
        <v/>
      </c>
      <c r="I1138" s="40" t="str">
        <f>IF(Agent06_Loans!B148="","",Agent06_Loans!I148)</f>
        <v/>
      </c>
      <c r="J1138" s="40" t="str">
        <f>IF(Agent06_Loans!B148="","",Agent06_Loans!J148)</f>
        <v/>
      </c>
      <c r="K1138" s="37" t="str">
        <f>IF(Agent06_Loans!B148="","",Agent06_Loans!K148)</f>
        <v/>
      </c>
      <c r="L1138" s="37" t="str">
        <f>IF(Agent06_Loans!B148="","",Agent06_Loans!L148)</f>
        <v/>
      </c>
      <c r="M1138" s="37" t="str">
        <f>IFERROR(IF(Agent06_Loans!B148="","",YEAR(Agent06_Loans!D148)),"")</f>
        <v/>
      </c>
    </row>
    <row r="1139" spans="1:13" ht="18" customHeight="1" x14ac:dyDescent="0.25">
      <c r="A1139" s="37" t="str">
        <f>IF(Agent06_Loans!B149="","",Agent06_Loans!A149)</f>
        <v/>
      </c>
      <c r="B1139" s="37" t="str">
        <f>IF(Agent06_Loans!B149="","",Agent06_Loans!B149)</f>
        <v/>
      </c>
      <c r="C1139" s="37" t="str">
        <f>IF(Agent06_Loans!B149="","",Agent06_Loans!C149)</f>
        <v/>
      </c>
      <c r="D1139" s="38" t="str">
        <f>IF(Agent06_Loans!B149="","",Agent06_Loans!D149)</f>
        <v/>
      </c>
      <c r="E1139" s="40" t="str">
        <f>IF(Agent06_Loans!B149="","",Agent06_Loans!E149)</f>
        <v/>
      </c>
      <c r="F1139" s="37" t="str">
        <f>IF(Agent06_Loans!B149="","",Agent06_Loans!F149)</f>
        <v/>
      </c>
      <c r="G1139" s="37" t="str">
        <f>IF(Agent06_Loans!B149="","",Agent06_Loans!G149)</f>
        <v/>
      </c>
      <c r="H1139" s="37" t="str">
        <f>IF(Agent06_Loans!B149="","",Agent06_Loans!H149)</f>
        <v/>
      </c>
      <c r="I1139" s="40" t="str">
        <f>IF(Agent06_Loans!B149="","",Agent06_Loans!I149)</f>
        <v/>
      </c>
      <c r="J1139" s="40" t="str">
        <f>IF(Agent06_Loans!B149="","",Agent06_Loans!J149)</f>
        <v/>
      </c>
      <c r="K1139" s="37" t="str">
        <f>IF(Agent06_Loans!B149="","",Agent06_Loans!K149)</f>
        <v/>
      </c>
      <c r="L1139" s="37" t="str">
        <f>IF(Agent06_Loans!B149="","",Agent06_Loans!L149)</f>
        <v/>
      </c>
      <c r="M1139" s="37" t="str">
        <f>IFERROR(IF(Agent06_Loans!B149="","",YEAR(Agent06_Loans!D149)),"")</f>
        <v/>
      </c>
    </row>
    <row r="1140" spans="1:13" ht="18" customHeight="1" x14ac:dyDescent="0.25">
      <c r="A1140" s="37" t="str">
        <f>IF(Agent06_Loans!B150="","",Agent06_Loans!A150)</f>
        <v/>
      </c>
      <c r="B1140" s="37" t="str">
        <f>IF(Agent06_Loans!B150="","",Agent06_Loans!B150)</f>
        <v/>
      </c>
      <c r="C1140" s="37" t="str">
        <f>IF(Agent06_Loans!B150="","",Agent06_Loans!C150)</f>
        <v/>
      </c>
      <c r="D1140" s="38" t="str">
        <f>IF(Agent06_Loans!B150="","",Agent06_Loans!D150)</f>
        <v/>
      </c>
      <c r="E1140" s="40" t="str">
        <f>IF(Agent06_Loans!B150="","",Agent06_Loans!E150)</f>
        <v/>
      </c>
      <c r="F1140" s="37" t="str">
        <f>IF(Agent06_Loans!B150="","",Agent06_Loans!F150)</f>
        <v/>
      </c>
      <c r="G1140" s="37" t="str">
        <f>IF(Agent06_Loans!B150="","",Agent06_Loans!G150)</f>
        <v/>
      </c>
      <c r="H1140" s="37" t="str">
        <f>IF(Agent06_Loans!B150="","",Agent06_Loans!H150)</f>
        <v/>
      </c>
      <c r="I1140" s="40" t="str">
        <f>IF(Agent06_Loans!B150="","",Agent06_Loans!I150)</f>
        <v/>
      </c>
      <c r="J1140" s="40" t="str">
        <f>IF(Agent06_Loans!B150="","",Agent06_Loans!J150)</f>
        <v/>
      </c>
      <c r="K1140" s="37" t="str">
        <f>IF(Agent06_Loans!B150="","",Agent06_Loans!K150)</f>
        <v/>
      </c>
      <c r="L1140" s="37" t="str">
        <f>IF(Agent06_Loans!B150="","",Agent06_Loans!L150)</f>
        <v/>
      </c>
      <c r="M1140" s="37" t="str">
        <f>IFERROR(IF(Agent06_Loans!B150="","",YEAR(Agent06_Loans!D150)),"")</f>
        <v/>
      </c>
    </row>
    <row r="1141" spans="1:13" ht="18" customHeight="1" x14ac:dyDescent="0.25">
      <c r="A1141" s="37" t="str">
        <f>IF(Agent06_Loans!B151="","",Agent06_Loans!A151)</f>
        <v/>
      </c>
      <c r="B1141" s="37" t="str">
        <f>IF(Agent06_Loans!B151="","",Agent06_Loans!B151)</f>
        <v/>
      </c>
      <c r="C1141" s="37" t="str">
        <f>IF(Agent06_Loans!B151="","",Agent06_Loans!C151)</f>
        <v/>
      </c>
      <c r="D1141" s="38" t="str">
        <f>IF(Agent06_Loans!B151="","",Agent06_Loans!D151)</f>
        <v/>
      </c>
      <c r="E1141" s="40" t="str">
        <f>IF(Agent06_Loans!B151="","",Agent06_Loans!E151)</f>
        <v/>
      </c>
      <c r="F1141" s="37" t="str">
        <f>IF(Agent06_Loans!B151="","",Agent06_Loans!F151)</f>
        <v/>
      </c>
      <c r="G1141" s="37" t="str">
        <f>IF(Agent06_Loans!B151="","",Agent06_Loans!G151)</f>
        <v/>
      </c>
      <c r="H1141" s="37" t="str">
        <f>IF(Agent06_Loans!B151="","",Agent06_Loans!H151)</f>
        <v/>
      </c>
      <c r="I1141" s="40" t="str">
        <f>IF(Agent06_Loans!B151="","",Agent06_Loans!I151)</f>
        <v/>
      </c>
      <c r="J1141" s="40" t="str">
        <f>IF(Agent06_Loans!B151="","",Agent06_Loans!J151)</f>
        <v/>
      </c>
      <c r="K1141" s="37" t="str">
        <f>IF(Agent06_Loans!B151="","",Agent06_Loans!K151)</f>
        <v/>
      </c>
      <c r="L1141" s="37" t="str">
        <f>IF(Agent06_Loans!B151="","",Agent06_Loans!L151)</f>
        <v/>
      </c>
      <c r="M1141" s="37" t="str">
        <f>IFERROR(IF(Agent06_Loans!B151="","",YEAR(Agent06_Loans!D151)),"")</f>
        <v/>
      </c>
    </row>
    <row r="1142" spans="1:13" ht="18" customHeight="1" x14ac:dyDescent="0.25">
      <c r="A1142" s="37" t="str">
        <f>IF(Agent06_Loans!B152="","",Agent06_Loans!A152)</f>
        <v/>
      </c>
      <c r="B1142" s="37" t="str">
        <f>IF(Agent06_Loans!B152="","",Agent06_Loans!B152)</f>
        <v/>
      </c>
      <c r="C1142" s="37" t="str">
        <f>IF(Agent06_Loans!B152="","",Agent06_Loans!C152)</f>
        <v/>
      </c>
      <c r="D1142" s="38" t="str">
        <f>IF(Agent06_Loans!B152="","",Agent06_Loans!D152)</f>
        <v/>
      </c>
      <c r="E1142" s="40" t="str">
        <f>IF(Agent06_Loans!B152="","",Agent06_Loans!E152)</f>
        <v/>
      </c>
      <c r="F1142" s="37" t="str">
        <f>IF(Agent06_Loans!B152="","",Agent06_Loans!F152)</f>
        <v/>
      </c>
      <c r="G1142" s="37" t="str">
        <f>IF(Agent06_Loans!B152="","",Agent06_Loans!G152)</f>
        <v/>
      </c>
      <c r="H1142" s="37" t="str">
        <f>IF(Agent06_Loans!B152="","",Agent06_Loans!H152)</f>
        <v/>
      </c>
      <c r="I1142" s="40" t="str">
        <f>IF(Agent06_Loans!B152="","",Agent06_Loans!I152)</f>
        <v/>
      </c>
      <c r="J1142" s="40" t="str">
        <f>IF(Agent06_Loans!B152="","",Agent06_Loans!J152)</f>
        <v/>
      </c>
      <c r="K1142" s="37" t="str">
        <f>IF(Agent06_Loans!B152="","",Agent06_Loans!K152)</f>
        <v/>
      </c>
      <c r="L1142" s="37" t="str">
        <f>IF(Agent06_Loans!B152="","",Agent06_Loans!L152)</f>
        <v/>
      </c>
      <c r="M1142" s="37" t="str">
        <f>IFERROR(IF(Agent06_Loans!B152="","",YEAR(Agent06_Loans!D152)),"")</f>
        <v/>
      </c>
    </row>
    <row r="1143" spans="1:13" ht="18" customHeight="1" x14ac:dyDescent="0.25">
      <c r="A1143" s="37" t="str">
        <f>IF(Agent06_Loans!B153="","",Agent06_Loans!A153)</f>
        <v/>
      </c>
      <c r="B1143" s="37" t="str">
        <f>IF(Agent06_Loans!B153="","",Agent06_Loans!B153)</f>
        <v/>
      </c>
      <c r="C1143" s="37" t="str">
        <f>IF(Agent06_Loans!B153="","",Agent06_Loans!C153)</f>
        <v/>
      </c>
      <c r="D1143" s="38" t="str">
        <f>IF(Agent06_Loans!B153="","",Agent06_Loans!D153)</f>
        <v/>
      </c>
      <c r="E1143" s="40" t="str">
        <f>IF(Agent06_Loans!B153="","",Agent06_Loans!E153)</f>
        <v/>
      </c>
      <c r="F1143" s="37" t="str">
        <f>IF(Agent06_Loans!B153="","",Agent06_Loans!F153)</f>
        <v/>
      </c>
      <c r="G1143" s="37" t="str">
        <f>IF(Agent06_Loans!B153="","",Agent06_Loans!G153)</f>
        <v/>
      </c>
      <c r="H1143" s="37" t="str">
        <f>IF(Agent06_Loans!B153="","",Agent06_Loans!H153)</f>
        <v/>
      </c>
      <c r="I1143" s="40" t="str">
        <f>IF(Agent06_Loans!B153="","",Agent06_Loans!I153)</f>
        <v/>
      </c>
      <c r="J1143" s="40" t="str">
        <f>IF(Agent06_Loans!B153="","",Agent06_Loans!J153)</f>
        <v/>
      </c>
      <c r="K1143" s="37" t="str">
        <f>IF(Agent06_Loans!B153="","",Agent06_Loans!K153)</f>
        <v/>
      </c>
      <c r="L1143" s="37" t="str">
        <f>IF(Agent06_Loans!B153="","",Agent06_Loans!L153)</f>
        <v/>
      </c>
      <c r="M1143" s="37" t="str">
        <f>IFERROR(IF(Agent06_Loans!B153="","",YEAR(Agent06_Loans!D153)),"")</f>
        <v/>
      </c>
    </row>
    <row r="1144" spans="1:13" ht="18" customHeight="1" x14ac:dyDescent="0.25">
      <c r="A1144" s="37" t="str">
        <f>IF(Agent06_Loans!B154="","",Agent06_Loans!A154)</f>
        <v/>
      </c>
      <c r="B1144" s="37" t="str">
        <f>IF(Agent06_Loans!B154="","",Agent06_Loans!B154)</f>
        <v/>
      </c>
      <c r="C1144" s="37" t="str">
        <f>IF(Agent06_Loans!B154="","",Agent06_Loans!C154)</f>
        <v/>
      </c>
      <c r="D1144" s="38" t="str">
        <f>IF(Agent06_Loans!B154="","",Agent06_Loans!D154)</f>
        <v/>
      </c>
      <c r="E1144" s="40" t="str">
        <f>IF(Agent06_Loans!B154="","",Agent06_Loans!E154)</f>
        <v/>
      </c>
      <c r="F1144" s="37" t="str">
        <f>IF(Agent06_Loans!B154="","",Agent06_Loans!F154)</f>
        <v/>
      </c>
      <c r="G1144" s="37" t="str">
        <f>IF(Agent06_Loans!B154="","",Agent06_Loans!G154)</f>
        <v/>
      </c>
      <c r="H1144" s="37" t="str">
        <f>IF(Agent06_Loans!B154="","",Agent06_Loans!H154)</f>
        <v/>
      </c>
      <c r="I1144" s="40" t="str">
        <f>IF(Agent06_Loans!B154="","",Agent06_Loans!I154)</f>
        <v/>
      </c>
      <c r="J1144" s="40" t="str">
        <f>IF(Agent06_Loans!B154="","",Agent06_Loans!J154)</f>
        <v/>
      </c>
      <c r="K1144" s="37" t="str">
        <f>IF(Agent06_Loans!B154="","",Agent06_Loans!K154)</f>
        <v/>
      </c>
      <c r="L1144" s="37" t="str">
        <f>IF(Agent06_Loans!B154="","",Agent06_Loans!L154)</f>
        <v/>
      </c>
      <c r="M1144" s="37" t="str">
        <f>IFERROR(IF(Agent06_Loans!B154="","",YEAR(Agent06_Loans!D154)),"")</f>
        <v/>
      </c>
    </row>
    <row r="1145" spans="1:13" ht="18" customHeight="1" x14ac:dyDescent="0.25">
      <c r="A1145" s="37" t="str">
        <f>IF(Agent06_Loans!B155="","",Agent06_Loans!A155)</f>
        <v/>
      </c>
      <c r="B1145" s="37" t="str">
        <f>IF(Agent06_Loans!B155="","",Agent06_Loans!B155)</f>
        <v/>
      </c>
      <c r="C1145" s="37" t="str">
        <f>IF(Agent06_Loans!B155="","",Agent06_Loans!C155)</f>
        <v/>
      </c>
      <c r="D1145" s="38" t="str">
        <f>IF(Agent06_Loans!B155="","",Agent06_Loans!D155)</f>
        <v/>
      </c>
      <c r="E1145" s="40" t="str">
        <f>IF(Agent06_Loans!B155="","",Agent06_Loans!E155)</f>
        <v/>
      </c>
      <c r="F1145" s="37" t="str">
        <f>IF(Agent06_Loans!B155="","",Agent06_Loans!F155)</f>
        <v/>
      </c>
      <c r="G1145" s="37" t="str">
        <f>IF(Agent06_Loans!B155="","",Agent06_Loans!G155)</f>
        <v/>
      </c>
      <c r="H1145" s="37" t="str">
        <f>IF(Agent06_Loans!B155="","",Agent06_Loans!H155)</f>
        <v/>
      </c>
      <c r="I1145" s="40" t="str">
        <f>IF(Agent06_Loans!B155="","",Agent06_Loans!I155)</f>
        <v/>
      </c>
      <c r="J1145" s="40" t="str">
        <f>IF(Agent06_Loans!B155="","",Agent06_Loans!J155)</f>
        <v/>
      </c>
      <c r="K1145" s="37" t="str">
        <f>IF(Agent06_Loans!B155="","",Agent06_Loans!K155)</f>
        <v/>
      </c>
      <c r="L1145" s="37" t="str">
        <f>IF(Agent06_Loans!B155="","",Agent06_Loans!L155)</f>
        <v/>
      </c>
      <c r="M1145" s="37" t="str">
        <f>IFERROR(IF(Agent06_Loans!B155="","",YEAR(Agent06_Loans!D155)),"")</f>
        <v/>
      </c>
    </row>
    <row r="1146" spans="1:13" ht="18" customHeight="1" x14ac:dyDescent="0.25">
      <c r="A1146" s="37" t="str">
        <f>IF(Agent06_Loans!B156="","",Agent06_Loans!A156)</f>
        <v/>
      </c>
      <c r="B1146" s="37" t="str">
        <f>IF(Agent06_Loans!B156="","",Agent06_Loans!B156)</f>
        <v/>
      </c>
      <c r="C1146" s="37" t="str">
        <f>IF(Agent06_Loans!B156="","",Agent06_Loans!C156)</f>
        <v/>
      </c>
      <c r="D1146" s="38" t="str">
        <f>IF(Agent06_Loans!B156="","",Agent06_Loans!D156)</f>
        <v/>
      </c>
      <c r="E1146" s="40" t="str">
        <f>IF(Agent06_Loans!B156="","",Agent06_Loans!E156)</f>
        <v/>
      </c>
      <c r="F1146" s="37" t="str">
        <f>IF(Agent06_Loans!B156="","",Agent06_Loans!F156)</f>
        <v/>
      </c>
      <c r="G1146" s="37" t="str">
        <f>IF(Agent06_Loans!B156="","",Agent06_Loans!G156)</f>
        <v/>
      </c>
      <c r="H1146" s="37" t="str">
        <f>IF(Agent06_Loans!B156="","",Agent06_Loans!H156)</f>
        <v/>
      </c>
      <c r="I1146" s="40" t="str">
        <f>IF(Agent06_Loans!B156="","",Agent06_Loans!I156)</f>
        <v/>
      </c>
      <c r="J1146" s="40" t="str">
        <f>IF(Agent06_Loans!B156="","",Agent06_Loans!J156)</f>
        <v/>
      </c>
      <c r="K1146" s="37" t="str">
        <f>IF(Agent06_Loans!B156="","",Agent06_Loans!K156)</f>
        <v/>
      </c>
      <c r="L1146" s="37" t="str">
        <f>IF(Agent06_Loans!B156="","",Agent06_Loans!L156)</f>
        <v/>
      </c>
      <c r="M1146" s="37" t="str">
        <f>IFERROR(IF(Agent06_Loans!B156="","",YEAR(Agent06_Loans!D156)),"")</f>
        <v/>
      </c>
    </row>
    <row r="1147" spans="1:13" ht="18" customHeight="1" x14ac:dyDescent="0.25">
      <c r="A1147" s="37" t="str">
        <f>IF(Agent06_Loans!B157="","",Agent06_Loans!A157)</f>
        <v/>
      </c>
      <c r="B1147" s="37" t="str">
        <f>IF(Agent06_Loans!B157="","",Agent06_Loans!B157)</f>
        <v/>
      </c>
      <c r="C1147" s="37" t="str">
        <f>IF(Agent06_Loans!B157="","",Agent06_Loans!C157)</f>
        <v/>
      </c>
      <c r="D1147" s="38" t="str">
        <f>IF(Agent06_Loans!B157="","",Agent06_Loans!D157)</f>
        <v/>
      </c>
      <c r="E1147" s="40" t="str">
        <f>IF(Agent06_Loans!B157="","",Agent06_Loans!E157)</f>
        <v/>
      </c>
      <c r="F1147" s="37" t="str">
        <f>IF(Agent06_Loans!B157="","",Agent06_Loans!F157)</f>
        <v/>
      </c>
      <c r="G1147" s="37" t="str">
        <f>IF(Agent06_Loans!B157="","",Agent06_Loans!G157)</f>
        <v/>
      </c>
      <c r="H1147" s="37" t="str">
        <f>IF(Agent06_Loans!B157="","",Agent06_Loans!H157)</f>
        <v/>
      </c>
      <c r="I1147" s="40" t="str">
        <f>IF(Agent06_Loans!B157="","",Agent06_Loans!I157)</f>
        <v/>
      </c>
      <c r="J1147" s="40" t="str">
        <f>IF(Agent06_Loans!B157="","",Agent06_Loans!J157)</f>
        <v/>
      </c>
      <c r="K1147" s="37" t="str">
        <f>IF(Agent06_Loans!B157="","",Agent06_Loans!K157)</f>
        <v/>
      </c>
      <c r="L1147" s="37" t="str">
        <f>IF(Agent06_Loans!B157="","",Agent06_Loans!L157)</f>
        <v/>
      </c>
      <c r="M1147" s="37" t="str">
        <f>IFERROR(IF(Agent06_Loans!B157="","",YEAR(Agent06_Loans!D157)),"")</f>
        <v/>
      </c>
    </row>
    <row r="1148" spans="1:13" ht="18" customHeight="1" x14ac:dyDescent="0.25">
      <c r="A1148" s="37" t="str">
        <f>IF(Agent06_Loans!B158="","",Agent06_Loans!A158)</f>
        <v/>
      </c>
      <c r="B1148" s="37" t="str">
        <f>IF(Agent06_Loans!B158="","",Agent06_Loans!B158)</f>
        <v/>
      </c>
      <c r="C1148" s="37" t="str">
        <f>IF(Agent06_Loans!B158="","",Agent06_Loans!C158)</f>
        <v/>
      </c>
      <c r="D1148" s="38" t="str">
        <f>IF(Agent06_Loans!B158="","",Agent06_Loans!D158)</f>
        <v/>
      </c>
      <c r="E1148" s="40" t="str">
        <f>IF(Agent06_Loans!B158="","",Agent06_Loans!E158)</f>
        <v/>
      </c>
      <c r="F1148" s="37" t="str">
        <f>IF(Agent06_Loans!B158="","",Agent06_Loans!F158)</f>
        <v/>
      </c>
      <c r="G1148" s="37" t="str">
        <f>IF(Agent06_Loans!B158="","",Agent06_Loans!G158)</f>
        <v/>
      </c>
      <c r="H1148" s="37" t="str">
        <f>IF(Agent06_Loans!B158="","",Agent06_Loans!H158)</f>
        <v/>
      </c>
      <c r="I1148" s="40" t="str">
        <f>IF(Agent06_Loans!B158="","",Agent06_Loans!I158)</f>
        <v/>
      </c>
      <c r="J1148" s="40" t="str">
        <f>IF(Agent06_Loans!B158="","",Agent06_Loans!J158)</f>
        <v/>
      </c>
      <c r="K1148" s="37" t="str">
        <f>IF(Agent06_Loans!B158="","",Agent06_Loans!K158)</f>
        <v/>
      </c>
      <c r="L1148" s="37" t="str">
        <f>IF(Agent06_Loans!B158="","",Agent06_Loans!L158)</f>
        <v/>
      </c>
      <c r="M1148" s="37" t="str">
        <f>IFERROR(IF(Agent06_Loans!B158="","",YEAR(Agent06_Loans!D158)),"")</f>
        <v/>
      </c>
    </row>
    <row r="1149" spans="1:13" ht="18" customHeight="1" x14ac:dyDescent="0.25">
      <c r="A1149" s="37" t="str">
        <f>IF(Agent06_Loans!B159="","",Agent06_Loans!A159)</f>
        <v/>
      </c>
      <c r="B1149" s="37" t="str">
        <f>IF(Agent06_Loans!B159="","",Agent06_Loans!B159)</f>
        <v/>
      </c>
      <c r="C1149" s="37" t="str">
        <f>IF(Agent06_Loans!B159="","",Agent06_Loans!C159)</f>
        <v/>
      </c>
      <c r="D1149" s="38" t="str">
        <f>IF(Agent06_Loans!B159="","",Agent06_Loans!D159)</f>
        <v/>
      </c>
      <c r="E1149" s="40" t="str">
        <f>IF(Agent06_Loans!B159="","",Agent06_Loans!E159)</f>
        <v/>
      </c>
      <c r="F1149" s="37" t="str">
        <f>IF(Agent06_Loans!B159="","",Agent06_Loans!F159)</f>
        <v/>
      </c>
      <c r="G1149" s="37" t="str">
        <f>IF(Agent06_Loans!B159="","",Agent06_Loans!G159)</f>
        <v/>
      </c>
      <c r="H1149" s="37" t="str">
        <f>IF(Agent06_Loans!B159="","",Agent06_Loans!H159)</f>
        <v/>
      </c>
      <c r="I1149" s="40" t="str">
        <f>IF(Agent06_Loans!B159="","",Agent06_Loans!I159)</f>
        <v/>
      </c>
      <c r="J1149" s="40" t="str">
        <f>IF(Agent06_Loans!B159="","",Agent06_Loans!J159)</f>
        <v/>
      </c>
      <c r="K1149" s="37" t="str">
        <f>IF(Agent06_Loans!B159="","",Agent06_Loans!K159)</f>
        <v/>
      </c>
      <c r="L1149" s="37" t="str">
        <f>IF(Agent06_Loans!B159="","",Agent06_Loans!L159)</f>
        <v/>
      </c>
      <c r="M1149" s="37" t="str">
        <f>IFERROR(IF(Agent06_Loans!B159="","",YEAR(Agent06_Loans!D159)),"")</f>
        <v/>
      </c>
    </row>
    <row r="1150" spans="1:13" ht="18" customHeight="1" x14ac:dyDescent="0.25">
      <c r="A1150" s="37" t="str">
        <f>IF(Agent06_Loans!B160="","",Agent06_Loans!A160)</f>
        <v/>
      </c>
      <c r="B1150" s="37" t="str">
        <f>IF(Agent06_Loans!B160="","",Agent06_Loans!B160)</f>
        <v/>
      </c>
      <c r="C1150" s="37" t="str">
        <f>IF(Agent06_Loans!B160="","",Agent06_Loans!C160)</f>
        <v/>
      </c>
      <c r="D1150" s="38" t="str">
        <f>IF(Agent06_Loans!B160="","",Agent06_Loans!D160)</f>
        <v/>
      </c>
      <c r="E1150" s="40" t="str">
        <f>IF(Agent06_Loans!B160="","",Agent06_Loans!E160)</f>
        <v/>
      </c>
      <c r="F1150" s="37" t="str">
        <f>IF(Agent06_Loans!B160="","",Agent06_Loans!F160)</f>
        <v/>
      </c>
      <c r="G1150" s="37" t="str">
        <f>IF(Agent06_Loans!B160="","",Agent06_Loans!G160)</f>
        <v/>
      </c>
      <c r="H1150" s="37" t="str">
        <f>IF(Agent06_Loans!B160="","",Agent06_Loans!H160)</f>
        <v/>
      </c>
      <c r="I1150" s="40" t="str">
        <f>IF(Agent06_Loans!B160="","",Agent06_Loans!I160)</f>
        <v/>
      </c>
      <c r="J1150" s="40" t="str">
        <f>IF(Agent06_Loans!B160="","",Agent06_Loans!J160)</f>
        <v/>
      </c>
      <c r="K1150" s="37" t="str">
        <f>IF(Agent06_Loans!B160="","",Agent06_Loans!K160)</f>
        <v/>
      </c>
      <c r="L1150" s="37" t="str">
        <f>IF(Agent06_Loans!B160="","",Agent06_Loans!L160)</f>
        <v/>
      </c>
      <c r="M1150" s="37" t="str">
        <f>IFERROR(IF(Agent06_Loans!B160="","",YEAR(Agent06_Loans!D160)),"")</f>
        <v/>
      </c>
    </row>
    <row r="1151" spans="1:13" ht="18" customHeight="1" x14ac:dyDescent="0.25">
      <c r="A1151" s="37" t="str">
        <f>IF(Agent06_Loans!B161="","",Agent06_Loans!A161)</f>
        <v/>
      </c>
      <c r="B1151" s="37" t="str">
        <f>IF(Agent06_Loans!B161="","",Agent06_Loans!B161)</f>
        <v/>
      </c>
      <c r="C1151" s="37" t="str">
        <f>IF(Agent06_Loans!B161="","",Agent06_Loans!C161)</f>
        <v/>
      </c>
      <c r="D1151" s="38" t="str">
        <f>IF(Agent06_Loans!B161="","",Agent06_Loans!D161)</f>
        <v/>
      </c>
      <c r="E1151" s="40" t="str">
        <f>IF(Agent06_Loans!B161="","",Agent06_Loans!E161)</f>
        <v/>
      </c>
      <c r="F1151" s="37" t="str">
        <f>IF(Agent06_Loans!B161="","",Agent06_Loans!F161)</f>
        <v/>
      </c>
      <c r="G1151" s="37" t="str">
        <f>IF(Agent06_Loans!B161="","",Agent06_Loans!G161)</f>
        <v/>
      </c>
      <c r="H1151" s="37" t="str">
        <f>IF(Agent06_Loans!B161="","",Agent06_Loans!H161)</f>
        <v/>
      </c>
      <c r="I1151" s="40" t="str">
        <f>IF(Agent06_Loans!B161="","",Agent06_Loans!I161)</f>
        <v/>
      </c>
      <c r="J1151" s="40" t="str">
        <f>IF(Agent06_Loans!B161="","",Agent06_Loans!J161)</f>
        <v/>
      </c>
      <c r="K1151" s="37" t="str">
        <f>IF(Agent06_Loans!B161="","",Agent06_Loans!K161)</f>
        <v/>
      </c>
      <c r="L1151" s="37" t="str">
        <f>IF(Agent06_Loans!B161="","",Agent06_Loans!L161)</f>
        <v/>
      </c>
      <c r="M1151" s="37" t="str">
        <f>IFERROR(IF(Agent06_Loans!B161="","",YEAR(Agent06_Loans!D161)),"")</f>
        <v/>
      </c>
    </row>
    <row r="1152" spans="1:13" ht="18" customHeight="1" x14ac:dyDescent="0.25">
      <c r="A1152" s="37" t="str">
        <f>IF(Agent06_Loans!B162="","",Agent06_Loans!A162)</f>
        <v/>
      </c>
      <c r="B1152" s="37" t="str">
        <f>IF(Agent06_Loans!B162="","",Agent06_Loans!B162)</f>
        <v/>
      </c>
      <c r="C1152" s="37" t="str">
        <f>IF(Agent06_Loans!B162="","",Agent06_Loans!C162)</f>
        <v/>
      </c>
      <c r="D1152" s="38" t="str">
        <f>IF(Agent06_Loans!B162="","",Agent06_Loans!D162)</f>
        <v/>
      </c>
      <c r="E1152" s="40" t="str">
        <f>IF(Agent06_Loans!B162="","",Agent06_Loans!E162)</f>
        <v/>
      </c>
      <c r="F1152" s="37" t="str">
        <f>IF(Agent06_Loans!B162="","",Agent06_Loans!F162)</f>
        <v/>
      </c>
      <c r="G1152" s="37" t="str">
        <f>IF(Agent06_Loans!B162="","",Agent06_Loans!G162)</f>
        <v/>
      </c>
      <c r="H1152" s="37" t="str">
        <f>IF(Agent06_Loans!B162="","",Agent06_Loans!H162)</f>
        <v/>
      </c>
      <c r="I1152" s="40" t="str">
        <f>IF(Agent06_Loans!B162="","",Agent06_Loans!I162)</f>
        <v/>
      </c>
      <c r="J1152" s="40" t="str">
        <f>IF(Agent06_Loans!B162="","",Agent06_Loans!J162)</f>
        <v/>
      </c>
      <c r="K1152" s="37" t="str">
        <f>IF(Agent06_Loans!B162="","",Agent06_Loans!K162)</f>
        <v/>
      </c>
      <c r="L1152" s="37" t="str">
        <f>IF(Agent06_Loans!B162="","",Agent06_Loans!L162)</f>
        <v/>
      </c>
      <c r="M1152" s="37" t="str">
        <f>IFERROR(IF(Agent06_Loans!B162="","",YEAR(Agent06_Loans!D162)),"")</f>
        <v/>
      </c>
    </row>
    <row r="1153" spans="1:13" ht="18" customHeight="1" x14ac:dyDescent="0.25">
      <c r="A1153" s="37" t="str">
        <f>IF(Agent06_Loans!B163="","",Agent06_Loans!A163)</f>
        <v/>
      </c>
      <c r="B1153" s="37" t="str">
        <f>IF(Agent06_Loans!B163="","",Agent06_Loans!B163)</f>
        <v/>
      </c>
      <c r="C1153" s="37" t="str">
        <f>IF(Agent06_Loans!B163="","",Agent06_Loans!C163)</f>
        <v/>
      </c>
      <c r="D1153" s="38" t="str">
        <f>IF(Agent06_Loans!B163="","",Agent06_Loans!D163)</f>
        <v/>
      </c>
      <c r="E1153" s="40" t="str">
        <f>IF(Agent06_Loans!B163="","",Agent06_Loans!E163)</f>
        <v/>
      </c>
      <c r="F1153" s="37" t="str">
        <f>IF(Agent06_Loans!B163="","",Agent06_Loans!F163)</f>
        <v/>
      </c>
      <c r="G1153" s="37" t="str">
        <f>IF(Agent06_Loans!B163="","",Agent06_Loans!G163)</f>
        <v/>
      </c>
      <c r="H1153" s="37" t="str">
        <f>IF(Agent06_Loans!B163="","",Agent06_Loans!H163)</f>
        <v/>
      </c>
      <c r="I1153" s="40" t="str">
        <f>IF(Agent06_Loans!B163="","",Agent06_Loans!I163)</f>
        <v/>
      </c>
      <c r="J1153" s="40" t="str">
        <f>IF(Agent06_Loans!B163="","",Agent06_Loans!J163)</f>
        <v/>
      </c>
      <c r="K1153" s="37" t="str">
        <f>IF(Agent06_Loans!B163="","",Agent06_Loans!K163)</f>
        <v/>
      </c>
      <c r="L1153" s="37" t="str">
        <f>IF(Agent06_Loans!B163="","",Agent06_Loans!L163)</f>
        <v/>
      </c>
      <c r="M1153" s="37" t="str">
        <f>IFERROR(IF(Agent06_Loans!B163="","",YEAR(Agent06_Loans!D163)),"")</f>
        <v/>
      </c>
    </row>
    <row r="1154" spans="1:13" ht="18" customHeight="1" x14ac:dyDescent="0.25">
      <c r="A1154" s="37" t="str">
        <f>IF(Agent06_Loans!B164="","",Agent06_Loans!A164)</f>
        <v/>
      </c>
      <c r="B1154" s="37" t="str">
        <f>IF(Agent06_Loans!B164="","",Agent06_Loans!B164)</f>
        <v/>
      </c>
      <c r="C1154" s="37" t="str">
        <f>IF(Agent06_Loans!B164="","",Agent06_Loans!C164)</f>
        <v/>
      </c>
      <c r="D1154" s="38" t="str">
        <f>IF(Agent06_Loans!B164="","",Agent06_Loans!D164)</f>
        <v/>
      </c>
      <c r="E1154" s="40" t="str">
        <f>IF(Agent06_Loans!B164="","",Agent06_Loans!E164)</f>
        <v/>
      </c>
      <c r="F1154" s="37" t="str">
        <f>IF(Agent06_Loans!B164="","",Agent06_Loans!F164)</f>
        <v/>
      </c>
      <c r="G1154" s="37" t="str">
        <f>IF(Agent06_Loans!B164="","",Agent06_Loans!G164)</f>
        <v/>
      </c>
      <c r="H1154" s="37" t="str">
        <f>IF(Agent06_Loans!B164="","",Agent06_Loans!H164)</f>
        <v/>
      </c>
      <c r="I1154" s="40" t="str">
        <f>IF(Agent06_Loans!B164="","",Agent06_Loans!I164)</f>
        <v/>
      </c>
      <c r="J1154" s="40" t="str">
        <f>IF(Agent06_Loans!B164="","",Agent06_Loans!J164)</f>
        <v/>
      </c>
      <c r="K1154" s="37" t="str">
        <f>IF(Agent06_Loans!B164="","",Agent06_Loans!K164)</f>
        <v/>
      </c>
      <c r="L1154" s="37" t="str">
        <f>IF(Agent06_Loans!B164="","",Agent06_Loans!L164)</f>
        <v/>
      </c>
      <c r="M1154" s="37" t="str">
        <f>IFERROR(IF(Agent06_Loans!B164="","",YEAR(Agent06_Loans!D164)),"")</f>
        <v/>
      </c>
    </row>
    <row r="1155" spans="1:13" ht="18" customHeight="1" x14ac:dyDescent="0.25">
      <c r="A1155" s="37" t="str">
        <f>IF(Agent06_Loans!B165="","",Agent06_Loans!A165)</f>
        <v/>
      </c>
      <c r="B1155" s="37" t="str">
        <f>IF(Agent06_Loans!B165="","",Agent06_Loans!B165)</f>
        <v/>
      </c>
      <c r="C1155" s="37" t="str">
        <f>IF(Agent06_Loans!B165="","",Agent06_Loans!C165)</f>
        <v/>
      </c>
      <c r="D1155" s="38" t="str">
        <f>IF(Agent06_Loans!B165="","",Agent06_Loans!D165)</f>
        <v/>
      </c>
      <c r="E1155" s="40" t="str">
        <f>IF(Agent06_Loans!B165="","",Agent06_Loans!E165)</f>
        <v/>
      </c>
      <c r="F1155" s="37" t="str">
        <f>IF(Agent06_Loans!B165="","",Agent06_Loans!F165)</f>
        <v/>
      </c>
      <c r="G1155" s="37" t="str">
        <f>IF(Agent06_Loans!B165="","",Agent06_Loans!G165)</f>
        <v/>
      </c>
      <c r="H1155" s="37" t="str">
        <f>IF(Agent06_Loans!B165="","",Agent06_Loans!H165)</f>
        <v/>
      </c>
      <c r="I1155" s="40" t="str">
        <f>IF(Agent06_Loans!B165="","",Agent06_Loans!I165)</f>
        <v/>
      </c>
      <c r="J1155" s="40" t="str">
        <f>IF(Agent06_Loans!B165="","",Agent06_Loans!J165)</f>
        <v/>
      </c>
      <c r="K1155" s="37" t="str">
        <f>IF(Agent06_Loans!B165="","",Agent06_Loans!K165)</f>
        <v/>
      </c>
      <c r="L1155" s="37" t="str">
        <f>IF(Agent06_Loans!B165="","",Agent06_Loans!L165)</f>
        <v/>
      </c>
      <c r="M1155" s="37" t="str">
        <f>IFERROR(IF(Agent06_Loans!B165="","",YEAR(Agent06_Loans!D165)),"")</f>
        <v/>
      </c>
    </row>
    <row r="1156" spans="1:13" ht="18" customHeight="1" x14ac:dyDescent="0.25">
      <c r="A1156" s="37" t="str">
        <f>IF(Agent06_Loans!B166="","",Agent06_Loans!A166)</f>
        <v/>
      </c>
      <c r="B1156" s="37" t="str">
        <f>IF(Agent06_Loans!B166="","",Agent06_Loans!B166)</f>
        <v/>
      </c>
      <c r="C1156" s="37" t="str">
        <f>IF(Agent06_Loans!B166="","",Agent06_Loans!C166)</f>
        <v/>
      </c>
      <c r="D1156" s="38" t="str">
        <f>IF(Agent06_Loans!B166="","",Agent06_Loans!D166)</f>
        <v/>
      </c>
      <c r="E1156" s="40" t="str">
        <f>IF(Agent06_Loans!B166="","",Agent06_Loans!E166)</f>
        <v/>
      </c>
      <c r="F1156" s="37" t="str">
        <f>IF(Agent06_Loans!B166="","",Agent06_Loans!F166)</f>
        <v/>
      </c>
      <c r="G1156" s="37" t="str">
        <f>IF(Agent06_Loans!B166="","",Agent06_Loans!G166)</f>
        <v/>
      </c>
      <c r="H1156" s="37" t="str">
        <f>IF(Agent06_Loans!B166="","",Agent06_Loans!H166)</f>
        <v/>
      </c>
      <c r="I1156" s="40" t="str">
        <f>IF(Agent06_Loans!B166="","",Agent06_Loans!I166)</f>
        <v/>
      </c>
      <c r="J1156" s="40" t="str">
        <f>IF(Agent06_Loans!B166="","",Agent06_Loans!J166)</f>
        <v/>
      </c>
      <c r="K1156" s="37" t="str">
        <f>IF(Agent06_Loans!B166="","",Agent06_Loans!K166)</f>
        <v/>
      </c>
      <c r="L1156" s="37" t="str">
        <f>IF(Agent06_Loans!B166="","",Agent06_Loans!L166)</f>
        <v/>
      </c>
      <c r="M1156" s="37" t="str">
        <f>IFERROR(IF(Agent06_Loans!B166="","",YEAR(Agent06_Loans!D166)),"")</f>
        <v/>
      </c>
    </row>
    <row r="1157" spans="1:13" ht="18" customHeight="1" x14ac:dyDescent="0.25">
      <c r="A1157" s="37" t="str">
        <f>IF(Agent06_Loans!B167="","",Agent06_Loans!A167)</f>
        <v/>
      </c>
      <c r="B1157" s="37" t="str">
        <f>IF(Agent06_Loans!B167="","",Agent06_Loans!B167)</f>
        <v/>
      </c>
      <c r="C1157" s="37" t="str">
        <f>IF(Agent06_Loans!B167="","",Agent06_Loans!C167)</f>
        <v/>
      </c>
      <c r="D1157" s="38" t="str">
        <f>IF(Agent06_Loans!B167="","",Agent06_Loans!D167)</f>
        <v/>
      </c>
      <c r="E1157" s="40" t="str">
        <f>IF(Agent06_Loans!B167="","",Agent06_Loans!E167)</f>
        <v/>
      </c>
      <c r="F1157" s="37" t="str">
        <f>IF(Agent06_Loans!B167="","",Agent06_Loans!F167)</f>
        <v/>
      </c>
      <c r="G1157" s="37" t="str">
        <f>IF(Agent06_Loans!B167="","",Agent06_Loans!G167)</f>
        <v/>
      </c>
      <c r="H1157" s="37" t="str">
        <f>IF(Agent06_Loans!B167="","",Agent06_Loans!H167)</f>
        <v/>
      </c>
      <c r="I1157" s="40" t="str">
        <f>IF(Agent06_Loans!B167="","",Agent06_Loans!I167)</f>
        <v/>
      </c>
      <c r="J1157" s="40" t="str">
        <f>IF(Agent06_Loans!B167="","",Agent06_Loans!J167)</f>
        <v/>
      </c>
      <c r="K1157" s="37" t="str">
        <f>IF(Agent06_Loans!B167="","",Agent06_Loans!K167)</f>
        <v/>
      </c>
      <c r="L1157" s="37" t="str">
        <f>IF(Agent06_Loans!B167="","",Agent06_Loans!L167)</f>
        <v/>
      </c>
      <c r="M1157" s="37" t="str">
        <f>IFERROR(IF(Agent06_Loans!B167="","",YEAR(Agent06_Loans!D167)),"")</f>
        <v/>
      </c>
    </row>
    <row r="1158" spans="1:13" ht="18" customHeight="1" x14ac:dyDescent="0.25">
      <c r="A1158" s="37" t="str">
        <f>IF(Agent06_Loans!B168="","",Agent06_Loans!A168)</f>
        <v/>
      </c>
      <c r="B1158" s="37" t="str">
        <f>IF(Agent06_Loans!B168="","",Agent06_Loans!B168)</f>
        <v/>
      </c>
      <c r="C1158" s="37" t="str">
        <f>IF(Agent06_Loans!B168="","",Agent06_Loans!C168)</f>
        <v/>
      </c>
      <c r="D1158" s="38" t="str">
        <f>IF(Agent06_Loans!B168="","",Agent06_Loans!D168)</f>
        <v/>
      </c>
      <c r="E1158" s="40" t="str">
        <f>IF(Agent06_Loans!B168="","",Agent06_Loans!E168)</f>
        <v/>
      </c>
      <c r="F1158" s="37" t="str">
        <f>IF(Agent06_Loans!B168="","",Agent06_Loans!F168)</f>
        <v/>
      </c>
      <c r="G1158" s="37" t="str">
        <f>IF(Agent06_Loans!B168="","",Agent06_Loans!G168)</f>
        <v/>
      </c>
      <c r="H1158" s="37" t="str">
        <f>IF(Agent06_Loans!B168="","",Agent06_Loans!H168)</f>
        <v/>
      </c>
      <c r="I1158" s="40" t="str">
        <f>IF(Agent06_Loans!B168="","",Agent06_Loans!I168)</f>
        <v/>
      </c>
      <c r="J1158" s="40" t="str">
        <f>IF(Agent06_Loans!B168="","",Agent06_Loans!J168)</f>
        <v/>
      </c>
      <c r="K1158" s="37" t="str">
        <f>IF(Agent06_Loans!B168="","",Agent06_Loans!K168)</f>
        <v/>
      </c>
      <c r="L1158" s="37" t="str">
        <f>IF(Agent06_Loans!B168="","",Agent06_Loans!L168)</f>
        <v/>
      </c>
      <c r="M1158" s="37" t="str">
        <f>IFERROR(IF(Agent06_Loans!B168="","",YEAR(Agent06_Loans!D168)),"")</f>
        <v/>
      </c>
    </row>
    <row r="1159" spans="1:13" ht="18" customHeight="1" x14ac:dyDescent="0.25">
      <c r="A1159" s="37" t="str">
        <f>IF(Agent06_Loans!B169="","",Agent06_Loans!A169)</f>
        <v/>
      </c>
      <c r="B1159" s="37" t="str">
        <f>IF(Agent06_Loans!B169="","",Agent06_Loans!B169)</f>
        <v/>
      </c>
      <c r="C1159" s="37" t="str">
        <f>IF(Agent06_Loans!B169="","",Agent06_Loans!C169)</f>
        <v/>
      </c>
      <c r="D1159" s="38" t="str">
        <f>IF(Agent06_Loans!B169="","",Agent06_Loans!D169)</f>
        <v/>
      </c>
      <c r="E1159" s="40" t="str">
        <f>IF(Agent06_Loans!B169="","",Agent06_Loans!E169)</f>
        <v/>
      </c>
      <c r="F1159" s="37" t="str">
        <f>IF(Agent06_Loans!B169="","",Agent06_Loans!F169)</f>
        <v/>
      </c>
      <c r="G1159" s="37" t="str">
        <f>IF(Agent06_Loans!B169="","",Agent06_Loans!G169)</f>
        <v/>
      </c>
      <c r="H1159" s="37" t="str">
        <f>IF(Agent06_Loans!B169="","",Agent06_Loans!H169)</f>
        <v/>
      </c>
      <c r="I1159" s="40" t="str">
        <f>IF(Agent06_Loans!B169="","",Agent06_Loans!I169)</f>
        <v/>
      </c>
      <c r="J1159" s="40" t="str">
        <f>IF(Agent06_Loans!B169="","",Agent06_Loans!J169)</f>
        <v/>
      </c>
      <c r="K1159" s="37" t="str">
        <f>IF(Agent06_Loans!B169="","",Agent06_Loans!K169)</f>
        <v/>
      </c>
      <c r="L1159" s="37" t="str">
        <f>IF(Agent06_Loans!B169="","",Agent06_Loans!L169)</f>
        <v/>
      </c>
      <c r="M1159" s="37" t="str">
        <f>IFERROR(IF(Agent06_Loans!B169="","",YEAR(Agent06_Loans!D169)),"")</f>
        <v/>
      </c>
    </row>
    <row r="1160" spans="1:13" ht="18" customHeight="1" x14ac:dyDescent="0.25">
      <c r="A1160" s="37" t="str">
        <f>IF(Agent06_Loans!B170="","",Agent06_Loans!A170)</f>
        <v/>
      </c>
      <c r="B1160" s="37" t="str">
        <f>IF(Agent06_Loans!B170="","",Agent06_Loans!B170)</f>
        <v/>
      </c>
      <c r="C1160" s="37" t="str">
        <f>IF(Agent06_Loans!B170="","",Agent06_Loans!C170)</f>
        <v/>
      </c>
      <c r="D1160" s="38" t="str">
        <f>IF(Agent06_Loans!B170="","",Agent06_Loans!D170)</f>
        <v/>
      </c>
      <c r="E1160" s="40" t="str">
        <f>IF(Agent06_Loans!B170="","",Agent06_Loans!E170)</f>
        <v/>
      </c>
      <c r="F1160" s="37" t="str">
        <f>IF(Agent06_Loans!B170="","",Agent06_Loans!F170)</f>
        <v/>
      </c>
      <c r="G1160" s="37" t="str">
        <f>IF(Agent06_Loans!B170="","",Agent06_Loans!G170)</f>
        <v/>
      </c>
      <c r="H1160" s="37" t="str">
        <f>IF(Agent06_Loans!B170="","",Agent06_Loans!H170)</f>
        <v/>
      </c>
      <c r="I1160" s="40" t="str">
        <f>IF(Agent06_Loans!B170="","",Agent06_Loans!I170)</f>
        <v/>
      </c>
      <c r="J1160" s="40" t="str">
        <f>IF(Agent06_Loans!B170="","",Agent06_Loans!J170)</f>
        <v/>
      </c>
      <c r="K1160" s="37" t="str">
        <f>IF(Agent06_Loans!B170="","",Agent06_Loans!K170)</f>
        <v/>
      </c>
      <c r="L1160" s="37" t="str">
        <f>IF(Agent06_Loans!B170="","",Agent06_Loans!L170)</f>
        <v/>
      </c>
      <c r="M1160" s="37" t="str">
        <f>IFERROR(IF(Agent06_Loans!B170="","",YEAR(Agent06_Loans!D170)),"")</f>
        <v/>
      </c>
    </row>
    <row r="1161" spans="1:13" ht="18" customHeight="1" x14ac:dyDescent="0.25">
      <c r="A1161" s="37" t="str">
        <f>IF(Agent06_Loans!B171="","",Agent06_Loans!A171)</f>
        <v/>
      </c>
      <c r="B1161" s="37" t="str">
        <f>IF(Agent06_Loans!B171="","",Agent06_Loans!B171)</f>
        <v/>
      </c>
      <c r="C1161" s="37" t="str">
        <f>IF(Agent06_Loans!B171="","",Agent06_Loans!C171)</f>
        <v/>
      </c>
      <c r="D1161" s="38" t="str">
        <f>IF(Agent06_Loans!B171="","",Agent06_Loans!D171)</f>
        <v/>
      </c>
      <c r="E1161" s="40" t="str">
        <f>IF(Agent06_Loans!B171="","",Agent06_Loans!E171)</f>
        <v/>
      </c>
      <c r="F1161" s="37" t="str">
        <f>IF(Agent06_Loans!B171="","",Agent06_Loans!F171)</f>
        <v/>
      </c>
      <c r="G1161" s="37" t="str">
        <f>IF(Agent06_Loans!B171="","",Agent06_Loans!G171)</f>
        <v/>
      </c>
      <c r="H1161" s="37" t="str">
        <f>IF(Agent06_Loans!B171="","",Agent06_Loans!H171)</f>
        <v/>
      </c>
      <c r="I1161" s="40" t="str">
        <f>IF(Agent06_Loans!B171="","",Agent06_Loans!I171)</f>
        <v/>
      </c>
      <c r="J1161" s="40" t="str">
        <f>IF(Agent06_Loans!B171="","",Agent06_Loans!J171)</f>
        <v/>
      </c>
      <c r="K1161" s="37" t="str">
        <f>IF(Agent06_Loans!B171="","",Agent06_Loans!K171)</f>
        <v/>
      </c>
      <c r="L1161" s="37" t="str">
        <f>IF(Agent06_Loans!B171="","",Agent06_Loans!L171)</f>
        <v/>
      </c>
      <c r="M1161" s="37" t="str">
        <f>IFERROR(IF(Agent06_Loans!B171="","",YEAR(Agent06_Loans!D171)),"")</f>
        <v/>
      </c>
    </row>
    <row r="1162" spans="1:13" ht="18" customHeight="1" x14ac:dyDescent="0.25">
      <c r="A1162" s="37" t="str">
        <f>IF(Agent06_Loans!B172="","",Agent06_Loans!A172)</f>
        <v/>
      </c>
      <c r="B1162" s="37" t="str">
        <f>IF(Agent06_Loans!B172="","",Agent06_Loans!B172)</f>
        <v/>
      </c>
      <c r="C1162" s="37" t="str">
        <f>IF(Agent06_Loans!B172="","",Agent06_Loans!C172)</f>
        <v/>
      </c>
      <c r="D1162" s="38" t="str">
        <f>IF(Agent06_Loans!B172="","",Agent06_Loans!D172)</f>
        <v/>
      </c>
      <c r="E1162" s="40" t="str">
        <f>IF(Agent06_Loans!B172="","",Agent06_Loans!E172)</f>
        <v/>
      </c>
      <c r="F1162" s="37" t="str">
        <f>IF(Agent06_Loans!B172="","",Agent06_Loans!F172)</f>
        <v/>
      </c>
      <c r="G1162" s="37" t="str">
        <f>IF(Agent06_Loans!B172="","",Agent06_Loans!G172)</f>
        <v/>
      </c>
      <c r="H1162" s="37" t="str">
        <f>IF(Agent06_Loans!B172="","",Agent06_Loans!H172)</f>
        <v/>
      </c>
      <c r="I1162" s="40" t="str">
        <f>IF(Agent06_Loans!B172="","",Agent06_Loans!I172)</f>
        <v/>
      </c>
      <c r="J1162" s="40" t="str">
        <f>IF(Agent06_Loans!B172="","",Agent06_Loans!J172)</f>
        <v/>
      </c>
      <c r="K1162" s="37" t="str">
        <f>IF(Agent06_Loans!B172="","",Agent06_Loans!K172)</f>
        <v/>
      </c>
      <c r="L1162" s="37" t="str">
        <f>IF(Agent06_Loans!B172="","",Agent06_Loans!L172)</f>
        <v/>
      </c>
      <c r="M1162" s="37" t="str">
        <f>IFERROR(IF(Agent06_Loans!B172="","",YEAR(Agent06_Loans!D172)),"")</f>
        <v/>
      </c>
    </row>
    <row r="1163" spans="1:13" ht="18" customHeight="1" x14ac:dyDescent="0.25">
      <c r="A1163" s="37" t="str">
        <f>IF(Agent06_Loans!B173="","",Agent06_Loans!A173)</f>
        <v/>
      </c>
      <c r="B1163" s="37" t="str">
        <f>IF(Agent06_Loans!B173="","",Agent06_Loans!B173)</f>
        <v/>
      </c>
      <c r="C1163" s="37" t="str">
        <f>IF(Agent06_Loans!B173="","",Agent06_Loans!C173)</f>
        <v/>
      </c>
      <c r="D1163" s="38" t="str">
        <f>IF(Agent06_Loans!B173="","",Agent06_Loans!D173)</f>
        <v/>
      </c>
      <c r="E1163" s="40" t="str">
        <f>IF(Agent06_Loans!B173="","",Agent06_Loans!E173)</f>
        <v/>
      </c>
      <c r="F1163" s="37" t="str">
        <f>IF(Agent06_Loans!B173="","",Agent06_Loans!F173)</f>
        <v/>
      </c>
      <c r="G1163" s="37" t="str">
        <f>IF(Agent06_Loans!B173="","",Agent06_Loans!G173)</f>
        <v/>
      </c>
      <c r="H1163" s="37" t="str">
        <f>IF(Agent06_Loans!B173="","",Agent06_Loans!H173)</f>
        <v/>
      </c>
      <c r="I1163" s="40" t="str">
        <f>IF(Agent06_Loans!B173="","",Agent06_Loans!I173)</f>
        <v/>
      </c>
      <c r="J1163" s="40" t="str">
        <f>IF(Agent06_Loans!B173="","",Agent06_Loans!J173)</f>
        <v/>
      </c>
      <c r="K1163" s="37" t="str">
        <f>IF(Agent06_Loans!B173="","",Agent06_Loans!K173)</f>
        <v/>
      </c>
      <c r="L1163" s="37" t="str">
        <f>IF(Agent06_Loans!B173="","",Agent06_Loans!L173)</f>
        <v/>
      </c>
      <c r="M1163" s="37" t="str">
        <f>IFERROR(IF(Agent06_Loans!B173="","",YEAR(Agent06_Loans!D173)),"")</f>
        <v/>
      </c>
    </row>
    <row r="1164" spans="1:13" ht="18" customHeight="1" x14ac:dyDescent="0.25">
      <c r="A1164" s="37" t="str">
        <f>IF(Agent06_Loans!B174="","",Agent06_Loans!A174)</f>
        <v/>
      </c>
      <c r="B1164" s="37" t="str">
        <f>IF(Agent06_Loans!B174="","",Agent06_Loans!B174)</f>
        <v/>
      </c>
      <c r="C1164" s="37" t="str">
        <f>IF(Agent06_Loans!B174="","",Agent06_Loans!C174)</f>
        <v/>
      </c>
      <c r="D1164" s="38" t="str">
        <f>IF(Agent06_Loans!B174="","",Agent06_Loans!D174)</f>
        <v/>
      </c>
      <c r="E1164" s="40" t="str">
        <f>IF(Agent06_Loans!B174="","",Agent06_Loans!E174)</f>
        <v/>
      </c>
      <c r="F1164" s="37" t="str">
        <f>IF(Agent06_Loans!B174="","",Agent06_Loans!F174)</f>
        <v/>
      </c>
      <c r="G1164" s="37" t="str">
        <f>IF(Agent06_Loans!B174="","",Agent06_Loans!G174)</f>
        <v/>
      </c>
      <c r="H1164" s="37" t="str">
        <f>IF(Agent06_Loans!B174="","",Agent06_Loans!H174)</f>
        <v/>
      </c>
      <c r="I1164" s="40" t="str">
        <f>IF(Agent06_Loans!B174="","",Agent06_Loans!I174)</f>
        <v/>
      </c>
      <c r="J1164" s="40" t="str">
        <f>IF(Agent06_Loans!B174="","",Agent06_Loans!J174)</f>
        <v/>
      </c>
      <c r="K1164" s="37" t="str">
        <f>IF(Agent06_Loans!B174="","",Agent06_Loans!K174)</f>
        <v/>
      </c>
      <c r="L1164" s="37" t="str">
        <f>IF(Agent06_Loans!B174="","",Agent06_Loans!L174)</f>
        <v/>
      </c>
      <c r="M1164" s="37" t="str">
        <f>IFERROR(IF(Agent06_Loans!B174="","",YEAR(Agent06_Loans!D174)),"")</f>
        <v/>
      </c>
    </row>
    <row r="1165" spans="1:13" ht="18" customHeight="1" x14ac:dyDescent="0.25">
      <c r="A1165" s="37" t="str">
        <f>IF(Agent06_Loans!B175="","",Agent06_Loans!A175)</f>
        <v/>
      </c>
      <c r="B1165" s="37" t="str">
        <f>IF(Agent06_Loans!B175="","",Agent06_Loans!B175)</f>
        <v/>
      </c>
      <c r="C1165" s="37" t="str">
        <f>IF(Agent06_Loans!B175="","",Agent06_Loans!C175)</f>
        <v/>
      </c>
      <c r="D1165" s="38" t="str">
        <f>IF(Agent06_Loans!B175="","",Agent06_Loans!D175)</f>
        <v/>
      </c>
      <c r="E1165" s="40" t="str">
        <f>IF(Agent06_Loans!B175="","",Agent06_Loans!E175)</f>
        <v/>
      </c>
      <c r="F1165" s="37" t="str">
        <f>IF(Agent06_Loans!B175="","",Agent06_Loans!F175)</f>
        <v/>
      </c>
      <c r="G1165" s="37" t="str">
        <f>IF(Agent06_Loans!B175="","",Agent06_Loans!G175)</f>
        <v/>
      </c>
      <c r="H1165" s="37" t="str">
        <f>IF(Agent06_Loans!B175="","",Agent06_Loans!H175)</f>
        <v/>
      </c>
      <c r="I1165" s="40" t="str">
        <f>IF(Agent06_Loans!B175="","",Agent06_Loans!I175)</f>
        <v/>
      </c>
      <c r="J1165" s="40" t="str">
        <f>IF(Agent06_Loans!B175="","",Agent06_Loans!J175)</f>
        <v/>
      </c>
      <c r="K1165" s="37" t="str">
        <f>IF(Agent06_Loans!B175="","",Agent06_Loans!K175)</f>
        <v/>
      </c>
      <c r="L1165" s="37" t="str">
        <f>IF(Agent06_Loans!B175="","",Agent06_Loans!L175)</f>
        <v/>
      </c>
      <c r="M1165" s="37" t="str">
        <f>IFERROR(IF(Agent06_Loans!B175="","",YEAR(Agent06_Loans!D175)),"")</f>
        <v/>
      </c>
    </row>
    <row r="1166" spans="1:13" ht="18" customHeight="1" x14ac:dyDescent="0.25">
      <c r="A1166" s="37" t="str">
        <f>IF(Agent06_Loans!B176="","",Agent06_Loans!A176)</f>
        <v/>
      </c>
      <c r="B1166" s="37" t="str">
        <f>IF(Agent06_Loans!B176="","",Agent06_Loans!B176)</f>
        <v/>
      </c>
      <c r="C1166" s="37" t="str">
        <f>IF(Agent06_Loans!B176="","",Agent06_Loans!C176)</f>
        <v/>
      </c>
      <c r="D1166" s="38" t="str">
        <f>IF(Agent06_Loans!B176="","",Agent06_Loans!D176)</f>
        <v/>
      </c>
      <c r="E1166" s="40" t="str">
        <f>IF(Agent06_Loans!B176="","",Agent06_Loans!E176)</f>
        <v/>
      </c>
      <c r="F1166" s="37" t="str">
        <f>IF(Agent06_Loans!B176="","",Agent06_Loans!F176)</f>
        <v/>
      </c>
      <c r="G1166" s="37" t="str">
        <f>IF(Agent06_Loans!B176="","",Agent06_Loans!G176)</f>
        <v/>
      </c>
      <c r="H1166" s="37" t="str">
        <f>IF(Agent06_Loans!B176="","",Agent06_Loans!H176)</f>
        <v/>
      </c>
      <c r="I1166" s="40" t="str">
        <f>IF(Agent06_Loans!B176="","",Agent06_Loans!I176)</f>
        <v/>
      </c>
      <c r="J1166" s="40" t="str">
        <f>IF(Agent06_Loans!B176="","",Agent06_Loans!J176)</f>
        <v/>
      </c>
      <c r="K1166" s="37" t="str">
        <f>IF(Agent06_Loans!B176="","",Agent06_Loans!K176)</f>
        <v/>
      </c>
      <c r="L1166" s="37" t="str">
        <f>IF(Agent06_Loans!B176="","",Agent06_Loans!L176)</f>
        <v/>
      </c>
      <c r="M1166" s="37" t="str">
        <f>IFERROR(IF(Agent06_Loans!B176="","",YEAR(Agent06_Loans!D176)),"")</f>
        <v/>
      </c>
    </row>
    <row r="1167" spans="1:13" ht="18" customHeight="1" x14ac:dyDescent="0.25">
      <c r="A1167" s="37" t="str">
        <f>IF(Agent06_Loans!B177="","",Agent06_Loans!A177)</f>
        <v/>
      </c>
      <c r="B1167" s="37" t="str">
        <f>IF(Agent06_Loans!B177="","",Agent06_Loans!B177)</f>
        <v/>
      </c>
      <c r="C1167" s="37" t="str">
        <f>IF(Agent06_Loans!B177="","",Agent06_Loans!C177)</f>
        <v/>
      </c>
      <c r="D1167" s="38" t="str">
        <f>IF(Agent06_Loans!B177="","",Agent06_Loans!D177)</f>
        <v/>
      </c>
      <c r="E1167" s="40" t="str">
        <f>IF(Agent06_Loans!B177="","",Agent06_Loans!E177)</f>
        <v/>
      </c>
      <c r="F1167" s="37" t="str">
        <f>IF(Agent06_Loans!B177="","",Agent06_Loans!F177)</f>
        <v/>
      </c>
      <c r="G1167" s="37" t="str">
        <f>IF(Agent06_Loans!B177="","",Agent06_Loans!G177)</f>
        <v/>
      </c>
      <c r="H1167" s="37" t="str">
        <f>IF(Agent06_Loans!B177="","",Agent06_Loans!H177)</f>
        <v/>
      </c>
      <c r="I1167" s="40" t="str">
        <f>IF(Agent06_Loans!B177="","",Agent06_Loans!I177)</f>
        <v/>
      </c>
      <c r="J1167" s="40" t="str">
        <f>IF(Agent06_Loans!B177="","",Agent06_Loans!J177)</f>
        <v/>
      </c>
      <c r="K1167" s="37" t="str">
        <f>IF(Agent06_Loans!B177="","",Agent06_Loans!K177)</f>
        <v/>
      </c>
      <c r="L1167" s="37" t="str">
        <f>IF(Agent06_Loans!B177="","",Agent06_Loans!L177)</f>
        <v/>
      </c>
      <c r="M1167" s="37" t="str">
        <f>IFERROR(IF(Agent06_Loans!B177="","",YEAR(Agent06_Loans!D177)),"")</f>
        <v/>
      </c>
    </row>
    <row r="1168" spans="1:13" ht="18" customHeight="1" x14ac:dyDescent="0.25">
      <c r="A1168" s="37" t="str">
        <f>IF(Agent06_Loans!B178="","",Agent06_Loans!A178)</f>
        <v/>
      </c>
      <c r="B1168" s="37" t="str">
        <f>IF(Agent06_Loans!B178="","",Agent06_Loans!B178)</f>
        <v/>
      </c>
      <c r="C1168" s="37" t="str">
        <f>IF(Agent06_Loans!B178="","",Agent06_Loans!C178)</f>
        <v/>
      </c>
      <c r="D1168" s="38" t="str">
        <f>IF(Agent06_Loans!B178="","",Agent06_Loans!D178)</f>
        <v/>
      </c>
      <c r="E1168" s="40" t="str">
        <f>IF(Agent06_Loans!B178="","",Agent06_Loans!E178)</f>
        <v/>
      </c>
      <c r="F1168" s="37" t="str">
        <f>IF(Agent06_Loans!B178="","",Agent06_Loans!F178)</f>
        <v/>
      </c>
      <c r="G1168" s="37" t="str">
        <f>IF(Agent06_Loans!B178="","",Agent06_Loans!G178)</f>
        <v/>
      </c>
      <c r="H1168" s="37" t="str">
        <f>IF(Agent06_Loans!B178="","",Agent06_Loans!H178)</f>
        <v/>
      </c>
      <c r="I1168" s="40" t="str">
        <f>IF(Agent06_Loans!B178="","",Agent06_Loans!I178)</f>
        <v/>
      </c>
      <c r="J1168" s="40" t="str">
        <f>IF(Agent06_Loans!B178="","",Agent06_Loans!J178)</f>
        <v/>
      </c>
      <c r="K1168" s="37" t="str">
        <f>IF(Agent06_Loans!B178="","",Agent06_Loans!K178)</f>
        <v/>
      </c>
      <c r="L1168" s="37" t="str">
        <f>IF(Agent06_Loans!B178="","",Agent06_Loans!L178)</f>
        <v/>
      </c>
      <c r="M1168" s="37" t="str">
        <f>IFERROR(IF(Agent06_Loans!B178="","",YEAR(Agent06_Loans!D178)),"")</f>
        <v/>
      </c>
    </row>
    <row r="1169" spans="1:13" ht="18" customHeight="1" x14ac:dyDescent="0.25">
      <c r="A1169" s="37" t="str">
        <f>IF(Agent06_Loans!B179="","",Agent06_Loans!A179)</f>
        <v/>
      </c>
      <c r="B1169" s="37" t="str">
        <f>IF(Agent06_Loans!B179="","",Agent06_Loans!B179)</f>
        <v/>
      </c>
      <c r="C1169" s="37" t="str">
        <f>IF(Agent06_Loans!B179="","",Agent06_Loans!C179)</f>
        <v/>
      </c>
      <c r="D1169" s="38" t="str">
        <f>IF(Agent06_Loans!B179="","",Agent06_Loans!D179)</f>
        <v/>
      </c>
      <c r="E1169" s="40" t="str">
        <f>IF(Agent06_Loans!B179="","",Agent06_Loans!E179)</f>
        <v/>
      </c>
      <c r="F1169" s="37" t="str">
        <f>IF(Agent06_Loans!B179="","",Agent06_Loans!F179)</f>
        <v/>
      </c>
      <c r="G1169" s="37" t="str">
        <f>IF(Agent06_Loans!B179="","",Agent06_Loans!G179)</f>
        <v/>
      </c>
      <c r="H1169" s="37" t="str">
        <f>IF(Agent06_Loans!B179="","",Agent06_Loans!H179)</f>
        <v/>
      </c>
      <c r="I1169" s="40" t="str">
        <f>IF(Agent06_Loans!B179="","",Agent06_Loans!I179)</f>
        <v/>
      </c>
      <c r="J1169" s="40" t="str">
        <f>IF(Agent06_Loans!B179="","",Agent06_Loans!J179)</f>
        <v/>
      </c>
      <c r="K1169" s="37" t="str">
        <f>IF(Agent06_Loans!B179="","",Agent06_Loans!K179)</f>
        <v/>
      </c>
      <c r="L1169" s="37" t="str">
        <f>IF(Agent06_Loans!B179="","",Agent06_Loans!L179)</f>
        <v/>
      </c>
      <c r="M1169" s="37" t="str">
        <f>IFERROR(IF(Agent06_Loans!B179="","",YEAR(Agent06_Loans!D179)),"")</f>
        <v/>
      </c>
    </row>
    <row r="1170" spans="1:13" ht="18" customHeight="1" x14ac:dyDescent="0.25">
      <c r="A1170" s="37" t="str">
        <f>IF(Agent06_Loans!B180="","",Agent06_Loans!A180)</f>
        <v/>
      </c>
      <c r="B1170" s="37" t="str">
        <f>IF(Agent06_Loans!B180="","",Agent06_Loans!B180)</f>
        <v/>
      </c>
      <c r="C1170" s="37" t="str">
        <f>IF(Agent06_Loans!B180="","",Agent06_Loans!C180)</f>
        <v/>
      </c>
      <c r="D1170" s="38" t="str">
        <f>IF(Agent06_Loans!B180="","",Agent06_Loans!D180)</f>
        <v/>
      </c>
      <c r="E1170" s="40" t="str">
        <f>IF(Agent06_Loans!B180="","",Agent06_Loans!E180)</f>
        <v/>
      </c>
      <c r="F1170" s="37" t="str">
        <f>IF(Agent06_Loans!B180="","",Agent06_Loans!F180)</f>
        <v/>
      </c>
      <c r="G1170" s="37" t="str">
        <f>IF(Agent06_Loans!B180="","",Agent06_Loans!G180)</f>
        <v/>
      </c>
      <c r="H1170" s="37" t="str">
        <f>IF(Agent06_Loans!B180="","",Agent06_Loans!H180)</f>
        <v/>
      </c>
      <c r="I1170" s="40" t="str">
        <f>IF(Agent06_Loans!B180="","",Agent06_Loans!I180)</f>
        <v/>
      </c>
      <c r="J1170" s="40" t="str">
        <f>IF(Agent06_Loans!B180="","",Agent06_Loans!J180)</f>
        <v/>
      </c>
      <c r="K1170" s="37" t="str">
        <f>IF(Agent06_Loans!B180="","",Agent06_Loans!K180)</f>
        <v/>
      </c>
      <c r="L1170" s="37" t="str">
        <f>IF(Agent06_Loans!B180="","",Agent06_Loans!L180)</f>
        <v/>
      </c>
      <c r="M1170" s="37" t="str">
        <f>IFERROR(IF(Agent06_Loans!B180="","",YEAR(Agent06_Loans!D180)),"")</f>
        <v/>
      </c>
    </row>
    <row r="1171" spans="1:13" ht="18" customHeight="1" x14ac:dyDescent="0.25">
      <c r="A1171" s="37" t="str">
        <f>IF(Agent06_Loans!B181="","",Agent06_Loans!A181)</f>
        <v/>
      </c>
      <c r="B1171" s="37" t="str">
        <f>IF(Agent06_Loans!B181="","",Agent06_Loans!B181)</f>
        <v/>
      </c>
      <c r="C1171" s="37" t="str">
        <f>IF(Agent06_Loans!B181="","",Agent06_Loans!C181)</f>
        <v/>
      </c>
      <c r="D1171" s="38" t="str">
        <f>IF(Agent06_Loans!B181="","",Agent06_Loans!D181)</f>
        <v/>
      </c>
      <c r="E1171" s="40" t="str">
        <f>IF(Agent06_Loans!B181="","",Agent06_Loans!E181)</f>
        <v/>
      </c>
      <c r="F1171" s="37" t="str">
        <f>IF(Agent06_Loans!B181="","",Agent06_Loans!F181)</f>
        <v/>
      </c>
      <c r="G1171" s="37" t="str">
        <f>IF(Agent06_Loans!B181="","",Agent06_Loans!G181)</f>
        <v/>
      </c>
      <c r="H1171" s="37" t="str">
        <f>IF(Agent06_Loans!B181="","",Agent06_Loans!H181)</f>
        <v/>
      </c>
      <c r="I1171" s="40" t="str">
        <f>IF(Agent06_Loans!B181="","",Agent06_Loans!I181)</f>
        <v/>
      </c>
      <c r="J1171" s="40" t="str">
        <f>IF(Agent06_Loans!B181="","",Agent06_Loans!J181)</f>
        <v/>
      </c>
      <c r="K1171" s="37" t="str">
        <f>IF(Agent06_Loans!B181="","",Agent06_Loans!K181)</f>
        <v/>
      </c>
      <c r="L1171" s="37" t="str">
        <f>IF(Agent06_Loans!B181="","",Agent06_Loans!L181)</f>
        <v/>
      </c>
      <c r="M1171" s="37" t="str">
        <f>IFERROR(IF(Agent06_Loans!B181="","",YEAR(Agent06_Loans!D181)),"")</f>
        <v/>
      </c>
    </row>
    <row r="1172" spans="1:13" ht="18" customHeight="1" x14ac:dyDescent="0.25">
      <c r="A1172" s="37" t="str">
        <f>IF(Agent06_Loans!B182="","",Agent06_Loans!A182)</f>
        <v/>
      </c>
      <c r="B1172" s="37" t="str">
        <f>IF(Agent06_Loans!B182="","",Agent06_Loans!B182)</f>
        <v/>
      </c>
      <c r="C1172" s="37" t="str">
        <f>IF(Agent06_Loans!B182="","",Agent06_Loans!C182)</f>
        <v/>
      </c>
      <c r="D1172" s="38" t="str">
        <f>IF(Agent06_Loans!B182="","",Agent06_Loans!D182)</f>
        <v/>
      </c>
      <c r="E1172" s="40" t="str">
        <f>IF(Agent06_Loans!B182="","",Agent06_Loans!E182)</f>
        <v/>
      </c>
      <c r="F1172" s="37" t="str">
        <f>IF(Agent06_Loans!B182="","",Agent06_Loans!F182)</f>
        <v/>
      </c>
      <c r="G1172" s="37" t="str">
        <f>IF(Agent06_Loans!B182="","",Agent06_Loans!G182)</f>
        <v/>
      </c>
      <c r="H1172" s="37" t="str">
        <f>IF(Agent06_Loans!B182="","",Agent06_Loans!H182)</f>
        <v/>
      </c>
      <c r="I1172" s="40" t="str">
        <f>IF(Agent06_Loans!B182="","",Agent06_Loans!I182)</f>
        <v/>
      </c>
      <c r="J1172" s="40" t="str">
        <f>IF(Agent06_Loans!B182="","",Agent06_Loans!J182)</f>
        <v/>
      </c>
      <c r="K1172" s="37" t="str">
        <f>IF(Agent06_Loans!B182="","",Agent06_Loans!K182)</f>
        <v/>
      </c>
      <c r="L1172" s="37" t="str">
        <f>IF(Agent06_Loans!B182="","",Agent06_Loans!L182)</f>
        <v/>
      </c>
      <c r="M1172" s="37" t="str">
        <f>IFERROR(IF(Agent06_Loans!B182="","",YEAR(Agent06_Loans!D182)),"")</f>
        <v/>
      </c>
    </row>
    <row r="1173" spans="1:13" ht="18" customHeight="1" x14ac:dyDescent="0.25">
      <c r="A1173" s="37" t="str">
        <f>IF(Agent06_Loans!B183="","",Agent06_Loans!A183)</f>
        <v/>
      </c>
      <c r="B1173" s="37" t="str">
        <f>IF(Agent06_Loans!B183="","",Agent06_Loans!B183)</f>
        <v/>
      </c>
      <c r="C1173" s="37" t="str">
        <f>IF(Agent06_Loans!B183="","",Agent06_Loans!C183)</f>
        <v/>
      </c>
      <c r="D1173" s="38" t="str">
        <f>IF(Agent06_Loans!B183="","",Agent06_Loans!D183)</f>
        <v/>
      </c>
      <c r="E1173" s="40" t="str">
        <f>IF(Agent06_Loans!B183="","",Agent06_Loans!E183)</f>
        <v/>
      </c>
      <c r="F1173" s="37" t="str">
        <f>IF(Agent06_Loans!B183="","",Agent06_Loans!F183)</f>
        <v/>
      </c>
      <c r="G1173" s="37" t="str">
        <f>IF(Agent06_Loans!B183="","",Agent06_Loans!G183)</f>
        <v/>
      </c>
      <c r="H1173" s="37" t="str">
        <f>IF(Agent06_Loans!B183="","",Agent06_Loans!H183)</f>
        <v/>
      </c>
      <c r="I1173" s="40" t="str">
        <f>IF(Agent06_Loans!B183="","",Agent06_Loans!I183)</f>
        <v/>
      </c>
      <c r="J1173" s="40" t="str">
        <f>IF(Agent06_Loans!B183="","",Agent06_Loans!J183)</f>
        <v/>
      </c>
      <c r="K1173" s="37" t="str">
        <f>IF(Agent06_Loans!B183="","",Agent06_Loans!K183)</f>
        <v/>
      </c>
      <c r="L1173" s="37" t="str">
        <f>IF(Agent06_Loans!B183="","",Agent06_Loans!L183)</f>
        <v/>
      </c>
      <c r="M1173" s="37" t="str">
        <f>IFERROR(IF(Agent06_Loans!B183="","",YEAR(Agent06_Loans!D183)),"")</f>
        <v/>
      </c>
    </row>
    <row r="1174" spans="1:13" ht="18" customHeight="1" x14ac:dyDescent="0.25">
      <c r="A1174" s="37" t="str">
        <f>IF(Agent06_Loans!B184="","",Agent06_Loans!A184)</f>
        <v/>
      </c>
      <c r="B1174" s="37" t="str">
        <f>IF(Agent06_Loans!B184="","",Agent06_Loans!B184)</f>
        <v/>
      </c>
      <c r="C1174" s="37" t="str">
        <f>IF(Agent06_Loans!B184="","",Agent06_Loans!C184)</f>
        <v/>
      </c>
      <c r="D1174" s="38" t="str">
        <f>IF(Agent06_Loans!B184="","",Agent06_Loans!D184)</f>
        <v/>
      </c>
      <c r="E1174" s="40" t="str">
        <f>IF(Agent06_Loans!B184="","",Agent06_Loans!E184)</f>
        <v/>
      </c>
      <c r="F1174" s="37" t="str">
        <f>IF(Agent06_Loans!B184="","",Agent06_Loans!F184)</f>
        <v/>
      </c>
      <c r="G1174" s="37" t="str">
        <f>IF(Agent06_Loans!B184="","",Agent06_Loans!G184)</f>
        <v/>
      </c>
      <c r="H1174" s="37" t="str">
        <f>IF(Agent06_Loans!B184="","",Agent06_Loans!H184)</f>
        <v/>
      </c>
      <c r="I1174" s="40" t="str">
        <f>IF(Agent06_Loans!B184="","",Agent06_Loans!I184)</f>
        <v/>
      </c>
      <c r="J1174" s="40" t="str">
        <f>IF(Agent06_Loans!B184="","",Agent06_Loans!J184)</f>
        <v/>
      </c>
      <c r="K1174" s="37" t="str">
        <f>IF(Agent06_Loans!B184="","",Agent06_Loans!K184)</f>
        <v/>
      </c>
      <c r="L1174" s="37" t="str">
        <f>IF(Agent06_Loans!B184="","",Agent06_Loans!L184)</f>
        <v/>
      </c>
      <c r="M1174" s="37" t="str">
        <f>IFERROR(IF(Agent06_Loans!B184="","",YEAR(Agent06_Loans!D184)),"")</f>
        <v/>
      </c>
    </row>
    <row r="1175" spans="1:13" ht="18" customHeight="1" x14ac:dyDescent="0.25">
      <c r="A1175" s="37" t="str">
        <f>IF(Agent06_Loans!B185="","",Agent06_Loans!A185)</f>
        <v/>
      </c>
      <c r="B1175" s="37" t="str">
        <f>IF(Agent06_Loans!B185="","",Agent06_Loans!B185)</f>
        <v/>
      </c>
      <c r="C1175" s="37" t="str">
        <f>IF(Agent06_Loans!B185="","",Agent06_Loans!C185)</f>
        <v/>
      </c>
      <c r="D1175" s="38" t="str">
        <f>IF(Agent06_Loans!B185="","",Agent06_Loans!D185)</f>
        <v/>
      </c>
      <c r="E1175" s="40" t="str">
        <f>IF(Agent06_Loans!B185="","",Agent06_Loans!E185)</f>
        <v/>
      </c>
      <c r="F1175" s="37" t="str">
        <f>IF(Agent06_Loans!B185="","",Agent06_Loans!F185)</f>
        <v/>
      </c>
      <c r="G1175" s="37" t="str">
        <f>IF(Agent06_Loans!B185="","",Agent06_Loans!G185)</f>
        <v/>
      </c>
      <c r="H1175" s="37" t="str">
        <f>IF(Agent06_Loans!B185="","",Agent06_Loans!H185)</f>
        <v/>
      </c>
      <c r="I1175" s="40" t="str">
        <f>IF(Agent06_Loans!B185="","",Agent06_Loans!I185)</f>
        <v/>
      </c>
      <c r="J1175" s="40" t="str">
        <f>IF(Agent06_Loans!B185="","",Agent06_Loans!J185)</f>
        <v/>
      </c>
      <c r="K1175" s="37" t="str">
        <f>IF(Agent06_Loans!B185="","",Agent06_Loans!K185)</f>
        <v/>
      </c>
      <c r="L1175" s="37" t="str">
        <f>IF(Agent06_Loans!B185="","",Agent06_Loans!L185)</f>
        <v/>
      </c>
      <c r="M1175" s="37" t="str">
        <f>IFERROR(IF(Agent06_Loans!B185="","",YEAR(Agent06_Loans!D185)),"")</f>
        <v/>
      </c>
    </row>
    <row r="1176" spans="1:13" ht="18" customHeight="1" x14ac:dyDescent="0.25">
      <c r="A1176" s="37" t="str">
        <f>IF(Agent06_Loans!B186="","",Agent06_Loans!A186)</f>
        <v/>
      </c>
      <c r="B1176" s="37" t="str">
        <f>IF(Agent06_Loans!B186="","",Agent06_Loans!B186)</f>
        <v/>
      </c>
      <c r="C1176" s="37" t="str">
        <f>IF(Agent06_Loans!B186="","",Agent06_Loans!C186)</f>
        <v/>
      </c>
      <c r="D1176" s="38" t="str">
        <f>IF(Agent06_Loans!B186="","",Agent06_Loans!D186)</f>
        <v/>
      </c>
      <c r="E1176" s="40" t="str">
        <f>IF(Agent06_Loans!B186="","",Agent06_Loans!E186)</f>
        <v/>
      </c>
      <c r="F1176" s="37" t="str">
        <f>IF(Agent06_Loans!B186="","",Agent06_Loans!F186)</f>
        <v/>
      </c>
      <c r="G1176" s="37" t="str">
        <f>IF(Agent06_Loans!B186="","",Agent06_Loans!G186)</f>
        <v/>
      </c>
      <c r="H1176" s="37" t="str">
        <f>IF(Agent06_Loans!B186="","",Agent06_Loans!H186)</f>
        <v/>
      </c>
      <c r="I1176" s="40" t="str">
        <f>IF(Agent06_Loans!B186="","",Agent06_Loans!I186)</f>
        <v/>
      </c>
      <c r="J1176" s="40" t="str">
        <f>IF(Agent06_Loans!B186="","",Agent06_Loans!J186)</f>
        <v/>
      </c>
      <c r="K1176" s="37" t="str">
        <f>IF(Agent06_Loans!B186="","",Agent06_Loans!K186)</f>
        <v/>
      </c>
      <c r="L1176" s="37" t="str">
        <f>IF(Agent06_Loans!B186="","",Agent06_Loans!L186)</f>
        <v/>
      </c>
      <c r="M1176" s="37" t="str">
        <f>IFERROR(IF(Agent06_Loans!B186="","",YEAR(Agent06_Loans!D186)),"")</f>
        <v/>
      </c>
    </row>
    <row r="1177" spans="1:13" ht="18" customHeight="1" x14ac:dyDescent="0.25">
      <c r="A1177" s="37" t="str">
        <f>IF(Agent06_Loans!B187="","",Agent06_Loans!A187)</f>
        <v/>
      </c>
      <c r="B1177" s="37" t="str">
        <f>IF(Agent06_Loans!B187="","",Agent06_Loans!B187)</f>
        <v/>
      </c>
      <c r="C1177" s="37" t="str">
        <f>IF(Agent06_Loans!B187="","",Agent06_Loans!C187)</f>
        <v/>
      </c>
      <c r="D1177" s="38" t="str">
        <f>IF(Agent06_Loans!B187="","",Agent06_Loans!D187)</f>
        <v/>
      </c>
      <c r="E1177" s="40" t="str">
        <f>IF(Agent06_Loans!B187="","",Agent06_Loans!E187)</f>
        <v/>
      </c>
      <c r="F1177" s="37" t="str">
        <f>IF(Agent06_Loans!B187="","",Agent06_Loans!F187)</f>
        <v/>
      </c>
      <c r="G1177" s="37" t="str">
        <f>IF(Agent06_Loans!B187="","",Agent06_Loans!G187)</f>
        <v/>
      </c>
      <c r="H1177" s="37" t="str">
        <f>IF(Agent06_Loans!B187="","",Agent06_Loans!H187)</f>
        <v/>
      </c>
      <c r="I1177" s="40" t="str">
        <f>IF(Agent06_Loans!B187="","",Agent06_Loans!I187)</f>
        <v/>
      </c>
      <c r="J1177" s="40" t="str">
        <f>IF(Agent06_Loans!B187="","",Agent06_Loans!J187)</f>
        <v/>
      </c>
      <c r="K1177" s="37" t="str">
        <f>IF(Agent06_Loans!B187="","",Agent06_Loans!K187)</f>
        <v/>
      </c>
      <c r="L1177" s="37" t="str">
        <f>IF(Agent06_Loans!B187="","",Agent06_Loans!L187)</f>
        <v/>
      </c>
      <c r="M1177" s="37" t="str">
        <f>IFERROR(IF(Agent06_Loans!B187="","",YEAR(Agent06_Loans!D187)),"")</f>
        <v/>
      </c>
    </row>
    <row r="1178" spans="1:13" ht="18" customHeight="1" x14ac:dyDescent="0.25">
      <c r="A1178" s="37" t="str">
        <f>IF(Agent06_Loans!B188="","",Agent06_Loans!A188)</f>
        <v/>
      </c>
      <c r="B1178" s="37" t="str">
        <f>IF(Agent06_Loans!B188="","",Agent06_Loans!B188)</f>
        <v/>
      </c>
      <c r="C1178" s="37" t="str">
        <f>IF(Agent06_Loans!B188="","",Agent06_Loans!C188)</f>
        <v/>
      </c>
      <c r="D1178" s="38" t="str">
        <f>IF(Agent06_Loans!B188="","",Agent06_Loans!D188)</f>
        <v/>
      </c>
      <c r="E1178" s="40" t="str">
        <f>IF(Agent06_Loans!B188="","",Agent06_Loans!E188)</f>
        <v/>
      </c>
      <c r="F1178" s="37" t="str">
        <f>IF(Agent06_Loans!B188="","",Agent06_Loans!F188)</f>
        <v/>
      </c>
      <c r="G1178" s="37" t="str">
        <f>IF(Agent06_Loans!B188="","",Agent06_Loans!G188)</f>
        <v/>
      </c>
      <c r="H1178" s="37" t="str">
        <f>IF(Agent06_Loans!B188="","",Agent06_Loans!H188)</f>
        <v/>
      </c>
      <c r="I1178" s="40" t="str">
        <f>IF(Agent06_Loans!B188="","",Agent06_Loans!I188)</f>
        <v/>
      </c>
      <c r="J1178" s="40" t="str">
        <f>IF(Agent06_Loans!B188="","",Agent06_Loans!J188)</f>
        <v/>
      </c>
      <c r="K1178" s="37" t="str">
        <f>IF(Agent06_Loans!B188="","",Agent06_Loans!K188)</f>
        <v/>
      </c>
      <c r="L1178" s="37" t="str">
        <f>IF(Agent06_Loans!B188="","",Agent06_Loans!L188)</f>
        <v/>
      </c>
      <c r="M1178" s="37" t="str">
        <f>IFERROR(IF(Agent06_Loans!B188="","",YEAR(Agent06_Loans!D188)),"")</f>
        <v/>
      </c>
    </row>
    <row r="1179" spans="1:13" ht="18" customHeight="1" x14ac:dyDescent="0.25">
      <c r="A1179" s="37" t="str">
        <f>IF(Agent06_Loans!B189="","",Agent06_Loans!A189)</f>
        <v/>
      </c>
      <c r="B1179" s="37" t="str">
        <f>IF(Agent06_Loans!B189="","",Agent06_Loans!B189)</f>
        <v/>
      </c>
      <c r="C1179" s="37" t="str">
        <f>IF(Agent06_Loans!B189="","",Agent06_Loans!C189)</f>
        <v/>
      </c>
      <c r="D1179" s="38" t="str">
        <f>IF(Agent06_Loans!B189="","",Agent06_Loans!D189)</f>
        <v/>
      </c>
      <c r="E1179" s="40" t="str">
        <f>IF(Agent06_Loans!B189="","",Agent06_Loans!E189)</f>
        <v/>
      </c>
      <c r="F1179" s="37" t="str">
        <f>IF(Agent06_Loans!B189="","",Agent06_Loans!F189)</f>
        <v/>
      </c>
      <c r="G1179" s="37" t="str">
        <f>IF(Agent06_Loans!B189="","",Agent06_Loans!G189)</f>
        <v/>
      </c>
      <c r="H1179" s="37" t="str">
        <f>IF(Agent06_Loans!B189="","",Agent06_Loans!H189)</f>
        <v/>
      </c>
      <c r="I1179" s="40" t="str">
        <f>IF(Agent06_Loans!B189="","",Agent06_Loans!I189)</f>
        <v/>
      </c>
      <c r="J1179" s="40" t="str">
        <f>IF(Agent06_Loans!B189="","",Agent06_Loans!J189)</f>
        <v/>
      </c>
      <c r="K1179" s="37" t="str">
        <f>IF(Agent06_Loans!B189="","",Agent06_Loans!K189)</f>
        <v/>
      </c>
      <c r="L1179" s="37" t="str">
        <f>IF(Agent06_Loans!B189="","",Agent06_Loans!L189)</f>
        <v/>
      </c>
      <c r="M1179" s="37" t="str">
        <f>IFERROR(IF(Agent06_Loans!B189="","",YEAR(Agent06_Loans!D189)),"")</f>
        <v/>
      </c>
    </row>
    <row r="1180" spans="1:13" ht="18" customHeight="1" x14ac:dyDescent="0.25">
      <c r="A1180" s="37" t="str">
        <f>IF(Agent06_Loans!B190="","",Agent06_Loans!A190)</f>
        <v/>
      </c>
      <c r="B1180" s="37" t="str">
        <f>IF(Agent06_Loans!B190="","",Agent06_Loans!B190)</f>
        <v/>
      </c>
      <c r="C1180" s="37" t="str">
        <f>IF(Agent06_Loans!B190="","",Agent06_Loans!C190)</f>
        <v/>
      </c>
      <c r="D1180" s="38" t="str">
        <f>IF(Agent06_Loans!B190="","",Agent06_Loans!D190)</f>
        <v/>
      </c>
      <c r="E1180" s="40" t="str">
        <f>IF(Agent06_Loans!B190="","",Agent06_Loans!E190)</f>
        <v/>
      </c>
      <c r="F1180" s="37" t="str">
        <f>IF(Agent06_Loans!B190="","",Agent06_Loans!F190)</f>
        <v/>
      </c>
      <c r="G1180" s="37" t="str">
        <f>IF(Agent06_Loans!B190="","",Agent06_Loans!G190)</f>
        <v/>
      </c>
      <c r="H1180" s="37" t="str">
        <f>IF(Agent06_Loans!B190="","",Agent06_Loans!H190)</f>
        <v/>
      </c>
      <c r="I1180" s="40" t="str">
        <f>IF(Agent06_Loans!B190="","",Agent06_Loans!I190)</f>
        <v/>
      </c>
      <c r="J1180" s="40" t="str">
        <f>IF(Agent06_Loans!B190="","",Agent06_Loans!J190)</f>
        <v/>
      </c>
      <c r="K1180" s="37" t="str">
        <f>IF(Agent06_Loans!B190="","",Agent06_Loans!K190)</f>
        <v/>
      </c>
      <c r="L1180" s="37" t="str">
        <f>IF(Agent06_Loans!B190="","",Agent06_Loans!L190)</f>
        <v/>
      </c>
      <c r="M1180" s="37" t="str">
        <f>IFERROR(IF(Agent06_Loans!B190="","",YEAR(Agent06_Loans!D190)),"")</f>
        <v/>
      </c>
    </row>
    <row r="1181" spans="1:13" ht="18" customHeight="1" x14ac:dyDescent="0.25">
      <c r="A1181" s="37" t="str">
        <f>IF(Agent06_Loans!B191="","",Agent06_Loans!A191)</f>
        <v/>
      </c>
      <c r="B1181" s="37" t="str">
        <f>IF(Agent06_Loans!B191="","",Agent06_Loans!B191)</f>
        <v/>
      </c>
      <c r="C1181" s="37" t="str">
        <f>IF(Agent06_Loans!B191="","",Agent06_Loans!C191)</f>
        <v/>
      </c>
      <c r="D1181" s="38" t="str">
        <f>IF(Agent06_Loans!B191="","",Agent06_Loans!D191)</f>
        <v/>
      </c>
      <c r="E1181" s="40" t="str">
        <f>IF(Agent06_Loans!B191="","",Agent06_Loans!E191)</f>
        <v/>
      </c>
      <c r="F1181" s="37" t="str">
        <f>IF(Agent06_Loans!B191="","",Agent06_Loans!F191)</f>
        <v/>
      </c>
      <c r="G1181" s="37" t="str">
        <f>IF(Agent06_Loans!B191="","",Agent06_Loans!G191)</f>
        <v/>
      </c>
      <c r="H1181" s="37" t="str">
        <f>IF(Agent06_Loans!B191="","",Agent06_Loans!H191)</f>
        <v/>
      </c>
      <c r="I1181" s="40" t="str">
        <f>IF(Agent06_Loans!B191="","",Agent06_Loans!I191)</f>
        <v/>
      </c>
      <c r="J1181" s="40" t="str">
        <f>IF(Agent06_Loans!B191="","",Agent06_Loans!J191)</f>
        <v/>
      </c>
      <c r="K1181" s="37" t="str">
        <f>IF(Agent06_Loans!B191="","",Agent06_Loans!K191)</f>
        <v/>
      </c>
      <c r="L1181" s="37" t="str">
        <f>IF(Agent06_Loans!B191="","",Agent06_Loans!L191)</f>
        <v/>
      </c>
      <c r="M1181" s="37" t="str">
        <f>IFERROR(IF(Agent06_Loans!B191="","",YEAR(Agent06_Loans!D191)),"")</f>
        <v/>
      </c>
    </row>
    <row r="1182" spans="1:13" ht="18" customHeight="1" x14ac:dyDescent="0.25">
      <c r="A1182" s="37" t="str">
        <f>IF(Agent06_Loans!B192="","",Agent06_Loans!A192)</f>
        <v/>
      </c>
      <c r="B1182" s="37" t="str">
        <f>IF(Agent06_Loans!B192="","",Agent06_Loans!B192)</f>
        <v/>
      </c>
      <c r="C1182" s="37" t="str">
        <f>IF(Agent06_Loans!B192="","",Agent06_Loans!C192)</f>
        <v/>
      </c>
      <c r="D1182" s="38" t="str">
        <f>IF(Agent06_Loans!B192="","",Agent06_Loans!D192)</f>
        <v/>
      </c>
      <c r="E1182" s="40" t="str">
        <f>IF(Agent06_Loans!B192="","",Agent06_Loans!E192)</f>
        <v/>
      </c>
      <c r="F1182" s="37" t="str">
        <f>IF(Agent06_Loans!B192="","",Agent06_Loans!F192)</f>
        <v/>
      </c>
      <c r="G1182" s="37" t="str">
        <f>IF(Agent06_Loans!B192="","",Agent06_Loans!G192)</f>
        <v/>
      </c>
      <c r="H1182" s="37" t="str">
        <f>IF(Agent06_Loans!B192="","",Agent06_Loans!H192)</f>
        <v/>
      </c>
      <c r="I1182" s="40" t="str">
        <f>IF(Agent06_Loans!B192="","",Agent06_Loans!I192)</f>
        <v/>
      </c>
      <c r="J1182" s="40" t="str">
        <f>IF(Agent06_Loans!B192="","",Agent06_Loans!J192)</f>
        <v/>
      </c>
      <c r="K1182" s="37" t="str">
        <f>IF(Agent06_Loans!B192="","",Agent06_Loans!K192)</f>
        <v/>
      </c>
      <c r="L1182" s="37" t="str">
        <f>IF(Agent06_Loans!B192="","",Agent06_Loans!L192)</f>
        <v/>
      </c>
      <c r="M1182" s="37" t="str">
        <f>IFERROR(IF(Agent06_Loans!B192="","",YEAR(Agent06_Loans!D192)),"")</f>
        <v/>
      </c>
    </row>
    <row r="1183" spans="1:13" ht="18" customHeight="1" x14ac:dyDescent="0.25">
      <c r="A1183" s="37" t="str">
        <f>IF(Agent06_Loans!B193="","",Agent06_Loans!A193)</f>
        <v/>
      </c>
      <c r="B1183" s="37" t="str">
        <f>IF(Agent06_Loans!B193="","",Agent06_Loans!B193)</f>
        <v/>
      </c>
      <c r="C1183" s="37" t="str">
        <f>IF(Agent06_Loans!B193="","",Agent06_Loans!C193)</f>
        <v/>
      </c>
      <c r="D1183" s="38" t="str">
        <f>IF(Agent06_Loans!B193="","",Agent06_Loans!D193)</f>
        <v/>
      </c>
      <c r="E1183" s="40" t="str">
        <f>IF(Agent06_Loans!B193="","",Agent06_Loans!E193)</f>
        <v/>
      </c>
      <c r="F1183" s="37" t="str">
        <f>IF(Agent06_Loans!B193="","",Agent06_Loans!F193)</f>
        <v/>
      </c>
      <c r="G1183" s="37" t="str">
        <f>IF(Agent06_Loans!B193="","",Agent06_Loans!G193)</f>
        <v/>
      </c>
      <c r="H1183" s="37" t="str">
        <f>IF(Agent06_Loans!B193="","",Agent06_Loans!H193)</f>
        <v/>
      </c>
      <c r="I1183" s="40" t="str">
        <f>IF(Agent06_Loans!B193="","",Agent06_Loans!I193)</f>
        <v/>
      </c>
      <c r="J1183" s="40" t="str">
        <f>IF(Agent06_Loans!B193="","",Agent06_Loans!J193)</f>
        <v/>
      </c>
      <c r="K1183" s="37" t="str">
        <f>IF(Agent06_Loans!B193="","",Agent06_Loans!K193)</f>
        <v/>
      </c>
      <c r="L1183" s="37" t="str">
        <f>IF(Agent06_Loans!B193="","",Agent06_Loans!L193)</f>
        <v/>
      </c>
      <c r="M1183" s="37" t="str">
        <f>IFERROR(IF(Agent06_Loans!B193="","",YEAR(Agent06_Loans!D193)),"")</f>
        <v/>
      </c>
    </row>
    <row r="1184" spans="1:13" ht="18" customHeight="1" x14ac:dyDescent="0.25">
      <c r="A1184" s="37" t="str">
        <f>IF(Agent06_Loans!B194="","",Agent06_Loans!A194)</f>
        <v/>
      </c>
      <c r="B1184" s="37" t="str">
        <f>IF(Agent06_Loans!B194="","",Agent06_Loans!B194)</f>
        <v/>
      </c>
      <c r="C1184" s="37" t="str">
        <f>IF(Agent06_Loans!B194="","",Agent06_Loans!C194)</f>
        <v/>
      </c>
      <c r="D1184" s="38" t="str">
        <f>IF(Agent06_Loans!B194="","",Agent06_Loans!D194)</f>
        <v/>
      </c>
      <c r="E1184" s="40" t="str">
        <f>IF(Agent06_Loans!B194="","",Agent06_Loans!E194)</f>
        <v/>
      </c>
      <c r="F1184" s="37" t="str">
        <f>IF(Agent06_Loans!B194="","",Agent06_Loans!F194)</f>
        <v/>
      </c>
      <c r="G1184" s="37" t="str">
        <f>IF(Agent06_Loans!B194="","",Agent06_Loans!G194)</f>
        <v/>
      </c>
      <c r="H1184" s="37" t="str">
        <f>IF(Agent06_Loans!B194="","",Agent06_Loans!H194)</f>
        <v/>
      </c>
      <c r="I1184" s="40" t="str">
        <f>IF(Agent06_Loans!B194="","",Agent06_Loans!I194)</f>
        <v/>
      </c>
      <c r="J1184" s="40" t="str">
        <f>IF(Agent06_Loans!B194="","",Agent06_Loans!J194)</f>
        <v/>
      </c>
      <c r="K1184" s="37" t="str">
        <f>IF(Agent06_Loans!B194="","",Agent06_Loans!K194)</f>
        <v/>
      </c>
      <c r="L1184" s="37" t="str">
        <f>IF(Agent06_Loans!B194="","",Agent06_Loans!L194)</f>
        <v/>
      </c>
      <c r="M1184" s="37" t="str">
        <f>IFERROR(IF(Agent06_Loans!B194="","",YEAR(Agent06_Loans!D194)),"")</f>
        <v/>
      </c>
    </row>
    <row r="1185" spans="1:13" ht="18" customHeight="1" x14ac:dyDescent="0.25">
      <c r="A1185" s="37" t="str">
        <f>IF(Agent06_Loans!B195="","",Agent06_Loans!A195)</f>
        <v/>
      </c>
      <c r="B1185" s="37" t="str">
        <f>IF(Agent06_Loans!B195="","",Agent06_Loans!B195)</f>
        <v/>
      </c>
      <c r="C1185" s="37" t="str">
        <f>IF(Agent06_Loans!B195="","",Agent06_Loans!C195)</f>
        <v/>
      </c>
      <c r="D1185" s="38" t="str">
        <f>IF(Agent06_Loans!B195="","",Agent06_Loans!D195)</f>
        <v/>
      </c>
      <c r="E1185" s="40" t="str">
        <f>IF(Agent06_Loans!B195="","",Agent06_Loans!E195)</f>
        <v/>
      </c>
      <c r="F1185" s="37" t="str">
        <f>IF(Agent06_Loans!B195="","",Agent06_Loans!F195)</f>
        <v/>
      </c>
      <c r="G1185" s="37" t="str">
        <f>IF(Agent06_Loans!B195="","",Agent06_Loans!G195)</f>
        <v/>
      </c>
      <c r="H1185" s="37" t="str">
        <f>IF(Agent06_Loans!B195="","",Agent06_Loans!H195)</f>
        <v/>
      </c>
      <c r="I1185" s="40" t="str">
        <f>IF(Agent06_Loans!B195="","",Agent06_Loans!I195)</f>
        <v/>
      </c>
      <c r="J1185" s="40" t="str">
        <f>IF(Agent06_Loans!B195="","",Agent06_Loans!J195)</f>
        <v/>
      </c>
      <c r="K1185" s="37" t="str">
        <f>IF(Agent06_Loans!B195="","",Agent06_Loans!K195)</f>
        <v/>
      </c>
      <c r="L1185" s="37" t="str">
        <f>IF(Agent06_Loans!B195="","",Agent06_Loans!L195)</f>
        <v/>
      </c>
      <c r="M1185" s="37" t="str">
        <f>IFERROR(IF(Agent06_Loans!B195="","",YEAR(Agent06_Loans!D195)),"")</f>
        <v/>
      </c>
    </row>
    <row r="1186" spans="1:13" ht="18" customHeight="1" x14ac:dyDescent="0.25">
      <c r="A1186" s="37" t="str">
        <f>IF(Agent06_Loans!B196="","",Agent06_Loans!A196)</f>
        <v/>
      </c>
      <c r="B1186" s="37" t="str">
        <f>IF(Agent06_Loans!B196="","",Agent06_Loans!B196)</f>
        <v/>
      </c>
      <c r="C1186" s="37" t="str">
        <f>IF(Agent06_Loans!B196="","",Agent06_Loans!C196)</f>
        <v/>
      </c>
      <c r="D1186" s="38" t="str">
        <f>IF(Agent06_Loans!B196="","",Agent06_Loans!D196)</f>
        <v/>
      </c>
      <c r="E1186" s="40" t="str">
        <f>IF(Agent06_Loans!B196="","",Agent06_Loans!E196)</f>
        <v/>
      </c>
      <c r="F1186" s="37" t="str">
        <f>IF(Agent06_Loans!B196="","",Agent06_Loans!F196)</f>
        <v/>
      </c>
      <c r="G1186" s="37" t="str">
        <f>IF(Agent06_Loans!B196="","",Agent06_Loans!G196)</f>
        <v/>
      </c>
      <c r="H1186" s="37" t="str">
        <f>IF(Agent06_Loans!B196="","",Agent06_Loans!H196)</f>
        <v/>
      </c>
      <c r="I1186" s="40" t="str">
        <f>IF(Agent06_Loans!B196="","",Agent06_Loans!I196)</f>
        <v/>
      </c>
      <c r="J1186" s="40" t="str">
        <f>IF(Agent06_Loans!B196="","",Agent06_Loans!J196)</f>
        <v/>
      </c>
      <c r="K1186" s="37" t="str">
        <f>IF(Agent06_Loans!B196="","",Agent06_Loans!K196)</f>
        <v/>
      </c>
      <c r="L1186" s="37" t="str">
        <f>IF(Agent06_Loans!B196="","",Agent06_Loans!L196)</f>
        <v/>
      </c>
      <c r="M1186" s="37" t="str">
        <f>IFERROR(IF(Agent06_Loans!B196="","",YEAR(Agent06_Loans!D196)),"")</f>
        <v/>
      </c>
    </row>
    <row r="1187" spans="1:13" ht="18" customHeight="1" x14ac:dyDescent="0.25">
      <c r="A1187" s="37" t="str">
        <f>IF(Agent06_Loans!B197="","",Agent06_Loans!A197)</f>
        <v/>
      </c>
      <c r="B1187" s="37" t="str">
        <f>IF(Agent06_Loans!B197="","",Agent06_Loans!B197)</f>
        <v/>
      </c>
      <c r="C1187" s="37" t="str">
        <f>IF(Agent06_Loans!B197="","",Agent06_Loans!C197)</f>
        <v/>
      </c>
      <c r="D1187" s="38" t="str">
        <f>IF(Agent06_Loans!B197="","",Agent06_Loans!D197)</f>
        <v/>
      </c>
      <c r="E1187" s="40" t="str">
        <f>IF(Agent06_Loans!B197="","",Agent06_Loans!E197)</f>
        <v/>
      </c>
      <c r="F1187" s="37" t="str">
        <f>IF(Agent06_Loans!B197="","",Agent06_Loans!F197)</f>
        <v/>
      </c>
      <c r="G1187" s="37" t="str">
        <f>IF(Agent06_Loans!B197="","",Agent06_Loans!G197)</f>
        <v/>
      </c>
      <c r="H1187" s="37" t="str">
        <f>IF(Agent06_Loans!B197="","",Agent06_Loans!H197)</f>
        <v/>
      </c>
      <c r="I1187" s="40" t="str">
        <f>IF(Agent06_Loans!B197="","",Agent06_Loans!I197)</f>
        <v/>
      </c>
      <c r="J1187" s="40" t="str">
        <f>IF(Agent06_Loans!B197="","",Agent06_Loans!J197)</f>
        <v/>
      </c>
      <c r="K1187" s="37" t="str">
        <f>IF(Agent06_Loans!B197="","",Agent06_Loans!K197)</f>
        <v/>
      </c>
      <c r="L1187" s="37" t="str">
        <f>IF(Agent06_Loans!B197="","",Agent06_Loans!L197)</f>
        <v/>
      </c>
      <c r="M1187" s="37" t="str">
        <f>IFERROR(IF(Agent06_Loans!B197="","",YEAR(Agent06_Loans!D197)),"")</f>
        <v/>
      </c>
    </row>
    <row r="1188" spans="1:13" ht="18" customHeight="1" x14ac:dyDescent="0.25">
      <c r="A1188" s="37" t="str">
        <f>IF(Agent06_Loans!B198="","",Agent06_Loans!A198)</f>
        <v/>
      </c>
      <c r="B1188" s="37" t="str">
        <f>IF(Agent06_Loans!B198="","",Agent06_Loans!B198)</f>
        <v/>
      </c>
      <c r="C1188" s="37" t="str">
        <f>IF(Agent06_Loans!B198="","",Agent06_Loans!C198)</f>
        <v/>
      </c>
      <c r="D1188" s="38" t="str">
        <f>IF(Agent06_Loans!B198="","",Agent06_Loans!D198)</f>
        <v/>
      </c>
      <c r="E1188" s="40" t="str">
        <f>IF(Agent06_Loans!B198="","",Agent06_Loans!E198)</f>
        <v/>
      </c>
      <c r="F1188" s="37" t="str">
        <f>IF(Agent06_Loans!B198="","",Agent06_Loans!F198)</f>
        <v/>
      </c>
      <c r="G1188" s="37" t="str">
        <f>IF(Agent06_Loans!B198="","",Agent06_Loans!G198)</f>
        <v/>
      </c>
      <c r="H1188" s="37" t="str">
        <f>IF(Agent06_Loans!B198="","",Agent06_Loans!H198)</f>
        <v/>
      </c>
      <c r="I1188" s="40" t="str">
        <f>IF(Agent06_Loans!B198="","",Agent06_Loans!I198)</f>
        <v/>
      </c>
      <c r="J1188" s="40" t="str">
        <f>IF(Agent06_Loans!B198="","",Agent06_Loans!J198)</f>
        <v/>
      </c>
      <c r="K1188" s="37" t="str">
        <f>IF(Agent06_Loans!B198="","",Agent06_Loans!K198)</f>
        <v/>
      </c>
      <c r="L1188" s="37" t="str">
        <f>IF(Agent06_Loans!B198="","",Agent06_Loans!L198)</f>
        <v/>
      </c>
      <c r="M1188" s="37" t="str">
        <f>IFERROR(IF(Agent06_Loans!B198="","",YEAR(Agent06_Loans!D198)),"")</f>
        <v/>
      </c>
    </row>
    <row r="1189" spans="1:13" ht="18" customHeight="1" x14ac:dyDescent="0.25">
      <c r="A1189" s="37" t="str">
        <f>IF(Agent06_Loans!B199="","",Agent06_Loans!A199)</f>
        <v/>
      </c>
      <c r="B1189" s="37" t="str">
        <f>IF(Agent06_Loans!B199="","",Agent06_Loans!B199)</f>
        <v/>
      </c>
      <c r="C1189" s="37" t="str">
        <f>IF(Agent06_Loans!B199="","",Agent06_Loans!C199)</f>
        <v/>
      </c>
      <c r="D1189" s="38" t="str">
        <f>IF(Agent06_Loans!B199="","",Agent06_Loans!D199)</f>
        <v/>
      </c>
      <c r="E1189" s="40" t="str">
        <f>IF(Agent06_Loans!B199="","",Agent06_Loans!E199)</f>
        <v/>
      </c>
      <c r="F1189" s="37" t="str">
        <f>IF(Agent06_Loans!B199="","",Agent06_Loans!F199)</f>
        <v/>
      </c>
      <c r="G1189" s="37" t="str">
        <f>IF(Agent06_Loans!B199="","",Agent06_Loans!G199)</f>
        <v/>
      </c>
      <c r="H1189" s="37" t="str">
        <f>IF(Agent06_Loans!B199="","",Agent06_Loans!H199)</f>
        <v/>
      </c>
      <c r="I1189" s="40" t="str">
        <f>IF(Agent06_Loans!B199="","",Agent06_Loans!I199)</f>
        <v/>
      </c>
      <c r="J1189" s="40" t="str">
        <f>IF(Agent06_Loans!B199="","",Agent06_Loans!J199)</f>
        <v/>
      </c>
      <c r="K1189" s="37" t="str">
        <f>IF(Agent06_Loans!B199="","",Agent06_Loans!K199)</f>
        <v/>
      </c>
      <c r="L1189" s="37" t="str">
        <f>IF(Agent06_Loans!B199="","",Agent06_Loans!L199)</f>
        <v/>
      </c>
      <c r="M1189" s="37" t="str">
        <f>IFERROR(IF(Agent06_Loans!B199="","",YEAR(Agent06_Loans!D199)),"")</f>
        <v/>
      </c>
    </row>
    <row r="1190" spans="1:13" ht="18" customHeight="1" x14ac:dyDescent="0.25">
      <c r="A1190" s="37" t="str">
        <f>IF(Agent06_Loans!B200="","",Agent06_Loans!A200)</f>
        <v/>
      </c>
      <c r="B1190" s="37" t="str">
        <f>IF(Agent06_Loans!B200="","",Agent06_Loans!B200)</f>
        <v/>
      </c>
      <c r="C1190" s="37" t="str">
        <f>IF(Agent06_Loans!B200="","",Agent06_Loans!C200)</f>
        <v/>
      </c>
      <c r="D1190" s="38" t="str">
        <f>IF(Agent06_Loans!B200="","",Agent06_Loans!D200)</f>
        <v/>
      </c>
      <c r="E1190" s="40" t="str">
        <f>IF(Agent06_Loans!B200="","",Agent06_Loans!E200)</f>
        <v/>
      </c>
      <c r="F1190" s="37" t="str">
        <f>IF(Agent06_Loans!B200="","",Agent06_Loans!F200)</f>
        <v/>
      </c>
      <c r="G1190" s="37" t="str">
        <f>IF(Agent06_Loans!B200="","",Agent06_Loans!G200)</f>
        <v/>
      </c>
      <c r="H1190" s="37" t="str">
        <f>IF(Agent06_Loans!B200="","",Agent06_Loans!H200)</f>
        <v/>
      </c>
      <c r="I1190" s="40" t="str">
        <f>IF(Agent06_Loans!B200="","",Agent06_Loans!I200)</f>
        <v/>
      </c>
      <c r="J1190" s="40" t="str">
        <f>IF(Agent06_Loans!B200="","",Agent06_Loans!J200)</f>
        <v/>
      </c>
      <c r="K1190" s="37" t="str">
        <f>IF(Agent06_Loans!B200="","",Agent06_Loans!K200)</f>
        <v/>
      </c>
      <c r="L1190" s="37" t="str">
        <f>IF(Agent06_Loans!B200="","",Agent06_Loans!L200)</f>
        <v/>
      </c>
      <c r="M1190" s="37" t="str">
        <f>IFERROR(IF(Agent06_Loans!B200="","",YEAR(Agent06_Loans!D200)),"")</f>
        <v/>
      </c>
    </row>
    <row r="1191" spans="1:13" ht="18" customHeight="1" x14ac:dyDescent="0.25">
      <c r="A1191" s="37" t="str">
        <f>IF(Agent06_Loans!B201="","",Agent06_Loans!A201)</f>
        <v/>
      </c>
      <c r="B1191" s="37" t="str">
        <f>IF(Agent06_Loans!B201="","",Agent06_Loans!B201)</f>
        <v/>
      </c>
      <c r="C1191" s="37" t="str">
        <f>IF(Agent06_Loans!B201="","",Agent06_Loans!C201)</f>
        <v/>
      </c>
      <c r="D1191" s="38" t="str">
        <f>IF(Agent06_Loans!B201="","",Agent06_Loans!D201)</f>
        <v/>
      </c>
      <c r="E1191" s="40" t="str">
        <f>IF(Agent06_Loans!B201="","",Agent06_Loans!E201)</f>
        <v/>
      </c>
      <c r="F1191" s="37" t="str">
        <f>IF(Agent06_Loans!B201="","",Agent06_Loans!F201)</f>
        <v/>
      </c>
      <c r="G1191" s="37" t="str">
        <f>IF(Agent06_Loans!B201="","",Agent06_Loans!G201)</f>
        <v/>
      </c>
      <c r="H1191" s="37" t="str">
        <f>IF(Agent06_Loans!B201="","",Agent06_Loans!H201)</f>
        <v/>
      </c>
      <c r="I1191" s="40" t="str">
        <f>IF(Agent06_Loans!B201="","",Agent06_Loans!I201)</f>
        <v/>
      </c>
      <c r="J1191" s="40" t="str">
        <f>IF(Agent06_Loans!B201="","",Agent06_Loans!J201)</f>
        <v/>
      </c>
      <c r="K1191" s="37" t="str">
        <f>IF(Agent06_Loans!B201="","",Agent06_Loans!K201)</f>
        <v/>
      </c>
      <c r="L1191" s="37" t="str">
        <f>IF(Agent06_Loans!B201="","",Agent06_Loans!L201)</f>
        <v/>
      </c>
      <c r="M1191" s="37" t="str">
        <f>IFERROR(IF(Agent06_Loans!B201="","",YEAR(Agent06_Loans!D201)),"")</f>
        <v/>
      </c>
    </row>
    <row r="1192" spans="1:13" ht="18" customHeight="1" x14ac:dyDescent="0.25">
      <c r="A1192" s="37" t="str">
        <f>IF(Agent06_Loans!B202="","",Agent06_Loans!A202)</f>
        <v/>
      </c>
      <c r="B1192" s="37" t="str">
        <f>IF(Agent06_Loans!B202="","",Agent06_Loans!B202)</f>
        <v/>
      </c>
      <c r="C1192" s="37" t="str">
        <f>IF(Agent06_Loans!B202="","",Agent06_Loans!C202)</f>
        <v/>
      </c>
      <c r="D1192" s="38" t="str">
        <f>IF(Agent06_Loans!B202="","",Agent06_Loans!D202)</f>
        <v/>
      </c>
      <c r="E1192" s="40" t="str">
        <f>IF(Agent06_Loans!B202="","",Agent06_Loans!E202)</f>
        <v/>
      </c>
      <c r="F1192" s="37" t="str">
        <f>IF(Agent06_Loans!B202="","",Agent06_Loans!F202)</f>
        <v/>
      </c>
      <c r="G1192" s="37" t="str">
        <f>IF(Agent06_Loans!B202="","",Agent06_Loans!G202)</f>
        <v/>
      </c>
      <c r="H1192" s="37" t="str">
        <f>IF(Agent06_Loans!B202="","",Agent06_Loans!H202)</f>
        <v/>
      </c>
      <c r="I1192" s="40" t="str">
        <f>IF(Agent06_Loans!B202="","",Agent06_Loans!I202)</f>
        <v/>
      </c>
      <c r="J1192" s="40" t="str">
        <f>IF(Agent06_Loans!B202="","",Agent06_Loans!J202)</f>
        <v/>
      </c>
      <c r="K1192" s="37" t="str">
        <f>IF(Agent06_Loans!B202="","",Agent06_Loans!K202)</f>
        <v/>
      </c>
      <c r="L1192" s="37" t="str">
        <f>IF(Agent06_Loans!B202="","",Agent06_Loans!L202)</f>
        <v/>
      </c>
      <c r="M1192" s="37" t="str">
        <f>IFERROR(IF(Agent06_Loans!B202="","",YEAR(Agent06_Loans!D202)),"")</f>
        <v/>
      </c>
    </row>
    <row r="1193" spans="1:13" ht="18" customHeight="1" x14ac:dyDescent="0.25">
      <c r="A1193" s="37" t="str">
        <f>IF(Agent06_Loans!B203="","",Agent06_Loans!A203)</f>
        <v/>
      </c>
      <c r="B1193" s="37" t="str">
        <f>IF(Agent06_Loans!B203="","",Agent06_Loans!B203)</f>
        <v/>
      </c>
      <c r="C1193" s="37" t="str">
        <f>IF(Agent06_Loans!B203="","",Agent06_Loans!C203)</f>
        <v/>
      </c>
      <c r="D1193" s="38" t="str">
        <f>IF(Agent06_Loans!B203="","",Agent06_Loans!D203)</f>
        <v/>
      </c>
      <c r="E1193" s="40" t="str">
        <f>IF(Agent06_Loans!B203="","",Agent06_Loans!E203)</f>
        <v/>
      </c>
      <c r="F1193" s="37" t="str">
        <f>IF(Agent06_Loans!B203="","",Agent06_Loans!F203)</f>
        <v/>
      </c>
      <c r="G1193" s="37" t="str">
        <f>IF(Agent06_Loans!B203="","",Agent06_Loans!G203)</f>
        <v/>
      </c>
      <c r="H1193" s="37" t="str">
        <f>IF(Agent06_Loans!B203="","",Agent06_Loans!H203)</f>
        <v/>
      </c>
      <c r="I1193" s="40" t="str">
        <f>IF(Agent06_Loans!B203="","",Agent06_Loans!I203)</f>
        <v/>
      </c>
      <c r="J1193" s="40" t="str">
        <f>IF(Agent06_Loans!B203="","",Agent06_Loans!J203)</f>
        <v/>
      </c>
      <c r="K1193" s="37" t="str">
        <f>IF(Agent06_Loans!B203="","",Agent06_Loans!K203)</f>
        <v/>
      </c>
      <c r="L1193" s="37" t="str">
        <f>IF(Agent06_Loans!B203="","",Agent06_Loans!L203)</f>
        <v/>
      </c>
      <c r="M1193" s="37" t="str">
        <f>IFERROR(IF(Agent06_Loans!B203="","",YEAR(Agent06_Loans!D203)),"")</f>
        <v/>
      </c>
    </row>
    <row r="1194" spans="1:13" ht="18" customHeight="1" x14ac:dyDescent="0.25">
      <c r="A1194" s="37" t="str">
        <f>IF(Agent06_Loans!B204="","",Agent06_Loans!A204)</f>
        <v/>
      </c>
      <c r="B1194" s="37" t="str">
        <f>IF(Agent06_Loans!B204="","",Agent06_Loans!B204)</f>
        <v/>
      </c>
      <c r="C1194" s="37" t="str">
        <f>IF(Agent06_Loans!B204="","",Agent06_Loans!C204)</f>
        <v/>
      </c>
      <c r="D1194" s="38" t="str">
        <f>IF(Agent06_Loans!B204="","",Agent06_Loans!D204)</f>
        <v/>
      </c>
      <c r="E1194" s="40" t="str">
        <f>IF(Agent06_Loans!B204="","",Agent06_Loans!E204)</f>
        <v/>
      </c>
      <c r="F1194" s="37" t="str">
        <f>IF(Agent06_Loans!B204="","",Agent06_Loans!F204)</f>
        <v/>
      </c>
      <c r="G1194" s="37" t="str">
        <f>IF(Agent06_Loans!B204="","",Agent06_Loans!G204)</f>
        <v/>
      </c>
      <c r="H1194" s="37" t="str">
        <f>IF(Agent06_Loans!B204="","",Agent06_Loans!H204)</f>
        <v/>
      </c>
      <c r="I1194" s="40" t="str">
        <f>IF(Agent06_Loans!B204="","",Agent06_Loans!I204)</f>
        <v/>
      </c>
      <c r="J1194" s="40" t="str">
        <f>IF(Agent06_Loans!B204="","",Agent06_Loans!J204)</f>
        <v/>
      </c>
      <c r="K1194" s="37" t="str">
        <f>IF(Agent06_Loans!B204="","",Agent06_Loans!K204)</f>
        <v/>
      </c>
      <c r="L1194" s="37" t="str">
        <f>IF(Agent06_Loans!B204="","",Agent06_Loans!L204)</f>
        <v/>
      </c>
      <c r="M1194" s="37" t="str">
        <f>IFERROR(IF(Agent06_Loans!B204="","",YEAR(Agent06_Loans!D204)),"")</f>
        <v/>
      </c>
    </row>
    <row r="1195" spans="1:13" ht="18" customHeight="1" x14ac:dyDescent="0.25">
      <c r="A1195" s="37" t="str">
        <f>IF(Agent06_Loans!B205="","",Agent06_Loans!A205)</f>
        <v/>
      </c>
      <c r="B1195" s="37" t="str">
        <f>IF(Agent06_Loans!B205="","",Agent06_Loans!B205)</f>
        <v/>
      </c>
      <c r="C1195" s="37" t="str">
        <f>IF(Agent06_Loans!B205="","",Agent06_Loans!C205)</f>
        <v/>
      </c>
      <c r="D1195" s="38" t="str">
        <f>IF(Agent06_Loans!B205="","",Agent06_Loans!D205)</f>
        <v/>
      </c>
      <c r="E1195" s="40" t="str">
        <f>IF(Agent06_Loans!B205="","",Agent06_Loans!E205)</f>
        <v/>
      </c>
      <c r="F1195" s="37" t="str">
        <f>IF(Agent06_Loans!B205="","",Agent06_Loans!F205)</f>
        <v/>
      </c>
      <c r="G1195" s="37" t="str">
        <f>IF(Agent06_Loans!B205="","",Agent06_Loans!G205)</f>
        <v/>
      </c>
      <c r="H1195" s="37" t="str">
        <f>IF(Agent06_Loans!B205="","",Agent06_Loans!H205)</f>
        <v/>
      </c>
      <c r="I1195" s="40" t="str">
        <f>IF(Agent06_Loans!B205="","",Agent06_Loans!I205)</f>
        <v/>
      </c>
      <c r="J1195" s="40" t="str">
        <f>IF(Agent06_Loans!B205="","",Agent06_Loans!J205)</f>
        <v/>
      </c>
      <c r="K1195" s="37" t="str">
        <f>IF(Agent06_Loans!B205="","",Agent06_Loans!K205)</f>
        <v/>
      </c>
      <c r="L1195" s="37" t="str">
        <f>IF(Agent06_Loans!B205="","",Agent06_Loans!L205)</f>
        <v/>
      </c>
      <c r="M1195" s="37" t="str">
        <f>IFERROR(IF(Agent06_Loans!B205="","",YEAR(Agent06_Loans!D205)),"")</f>
        <v/>
      </c>
    </row>
    <row r="1196" spans="1:13" ht="18" customHeight="1" x14ac:dyDescent="0.25">
      <c r="A1196" s="37" t="str">
        <f>IF(Agent06_Loans!B206="","",Agent06_Loans!A206)</f>
        <v/>
      </c>
      <c r="B1196" s="37" t="str">
        <f>IF(Agent06_Loans!B206="","",Agent06_Loans!B206)</f>
        <v/>
      </c>
      <c r="C1196" s="37" t="str">
        <f>IF(Agent06_Loans!B206="","",Agent06_Loans!C206)</f>
        <v/>
      </c>
      <c r="D1196" s="38" t="str">
        <f>IF(Agent06_Loans!B206="","",Agent06_Loans!D206)</f>
        <v/>
      </c>
      <c r="E1196" s="40" t="str">
        <f>IF(Agent06_Loans!B206="","",Agent06_Loans!E206)</f>
        <v/>
      </c>
      <c r="F1196" s="37" t="str">
        <f>IF(Agent06_Loans!B206="","",Agent06_Loans!F206)</f>
        <v/>
      </c>
      <c r="G1196" s="37" t="str">
        <f>IF(Agent06_Loans!B206="","",Agent06_Loans!G206)</f>
        <v/>
      </c>
      <c r="H1196" s="37" t="str">
        <f>IF(Agent06_Loans!B206="","",Agent06_Loans!H206)</f>
        <v/>
      </c>
      <c r="I1196" s="40" t="str">
        <f>IF(Agent06_Loans!B206="","",Agent06_Loans!I206)</f>
        <v/>
      </c>
      <c r="J1196" s="40" t="str">
        <f>IF(Agent06_Loans!B206="","",Agent06_Loans!J206)</f>
        <v/>
      </c>
      <c r="K1196" s="37" t="str">
        <f>IF(Agent06_Loans!B206="","",Agent06_Loans!K206)</f>
        <v/>
      </c>
      <c r="L1196" s="37" t="str">
        <f>IF(Agent06_Loans!B206="","",Agent06_Loans!L206)</f>
        <v/>
      </c>
      <c r="M1196" s="37" t="str">
        <f>IFERROR(IF(Agent06_Loans!B206="","",YEAR(Agent06_Loans!D206)),"")</f>
        <v/>
      </c>
    </row>
    <row r="1197" spans="1:13" ht="18" customHeight="1" x14ac:dyDescent="0.25">
      <c r="A1197" s="37" t="str">
        <f>IF(Agent06_Loans!B207="","",Agent06_Loans!A207)</f>
        <v/>
      </c>
      <c r="B1197" s="37" t="str">
        <f>IF(Agent06_Loans!B207="","",Agent06_Loans!B207)</f>
        <v/>
      </c>
      <c r="C1197" s="37" t="str">
        <f>IF(Agent06_Loans!B207="","",Agent06_Loans!C207)</f>
        <v/>
      </c>
      <c r="D1197" s="38" t="str">
        <f>IF(Agent06_Loans!B207="","",Agent06_Loans!D207)</f>
        <v/>
      </c>
      <c r="E1197" s="40" t="str">
        <f>IF(Agent06_Loans!B207="","",Agent06_Loans!E207)</f>
        <v/>
      </c>
      <c r="F1197" s="37" t="str">
        <f>IF(Agent06_Loans!B207="","",Agent06_Loans!F207)</f>
        <v/>
      </c>
      <c r="G1197" s="37" t="str">
        <f>IF(Agent06_Loans!B207="","",Agent06_Loans!G207)</f>
        <v/>
      </c>
      <c r="H1197" s="37" t="str">
        <f>IF(Agent06_Loans!B207="","",Agent06_Loans!H207)</f>
        <v/>
      </c>
      <c r="I1197" s="40" t="str">
        <f>IF(Agent06_Loans!B207="","",Agent06_Loans!I207)</f>
        <v/>
      </c>
      <c r="J1197" s="40" t="str">
        <f>IF(Agent06_Loans!B207="","",Agent06_Loans!J207)</f>
        <v/>
      </c>
      <c r="K1197" s="37" t="str">
        <f>IF(Agent06_Loans!B207="","",Agent06_Loans!K207)</f>
        <v/>
      </c>
      <c r="L1197" s="37" t="str">
        <f>IF(Agent06_Loans!B207="","",Agent06_Loans!L207)</f>
        <v/>
      </c>
      <c r="M1197" s="37" t="str">
        <f>IFERROR(IF(Agent06_Loans!B207="","",YEAR(Agent06_Loans!D207)),"")</f>
        <v/>
      </c>
    </row>
    <row r="1198" spans="1:13" ht="18" customHeight="1" x14ac:dyDescent="0.25">
      <c r="A1198" s="37" t="str">
        <f>IF(Agent06_Loans!B208="","",Agent06_Loans!A208)</f>
        <v/>
      </c>
      <c r="B1198" s="37" t="str">
        <f>IF(Agent06_Loans!B208="","",Agent06_Loans!B208)</f>
        <v/>
      </c>
      <c r="C1198" s="37" t="str">
        <f>IF(Agent06_Loans!B208="","",Agent06_Loans!C208)</f>
        <v/>
      </c>
      <c r="D1198" s="38" t="str">
        <f>IF(Agent06_Loans!B208="","",Agent06_Loans!D208)</f>
        <v/>
      </c>
      <c r="E1198" s="40" t="str">
        <f>IF(Agent06_Loans!B208="","",Agent06_Loans!E208)</f>
        <v/>
      </c>
      <c r="F1198" s="37" t="str">
        <f>IF(Agent06_Loans!B208="","",Agent06_Loans!F208)</f>
        <v/>
      </c>
      <c r="G1198" s="37" t="str">
        <f>IF(Agent06_Loans!B208="","",Agent06_Loans!G208)</f>
        <v/>
      </c>
      <c r="H1198" s="37" t="str">
        <f>IF(Agent06_Loans!B208="","",Agent06_Loans!H208)</f>
        <v/>
      </c>
      <c r="I1198" s="40" t="str">
        <f>IF(Agent06_Loans!B208="","",Agent06_Loans!I208)</f>
        <v/>
      </c>
      <c r="J1198" s="40" t="str">
        <f>IF(Agent06_Loans!B208="","",Agent06_Loans!J208)</f>
        <v/>
      </c>
      <c r="K1198" s="37" t="str">
        <f>IF(Agent06_Loans!B208="","",Agent06_Loans!K208)</f>
        <v/>
      </c>
      <c r="L1198" s="37" t="str">
        <f>IF(Agent06_Loans!B208="","",Agent06_Loans!L208)</f>
        <v/>
      </c>
      <c r="M1198" s="37" t="str">
        <f>IFERROR(IF(Agent06_Loans!B208="","",YEAR(Agent06_Loans!D208)),"")</f>
        <v/>
      </c>
    </row>
    <row r="1199" spans="1:13" ht="18" customHeight="1" x14ac:dyDescent="0.25">
      <c r="A1199" s="37" t="str">
        <f>IF(Agent06_Loans!B209="","",Agent06_Loans!A209)</f>
        <v/>
      </c>
      <c r="B1199" s="37" t="str">
        <f>IF(Agent06_Loans!B209="","",Agent06_Loans!B209)</f>
        <v/>
      </c>
      <c r="C1199" s="37" t="str">
        <f>IF(Agent06_Loans!B209="","",Agent06_Loans!C209)</f>
        <v/>
      </c>
      <c r="D1199" s="38" t="str">
        <f>IF(Agent06_Loans!B209="","",Agent06_Loans!D209)</f>
        <v/>
      </c>
      <c r="E1199" s="40" t="str">
        <f>IF(Agent06_Loans!B209="","",Agent06_Loans!E209)</f>
        <v/>
      </c>
      <c r="F1199" s="37" t="str">
        <f>IF(Agent06_Loans!B209="","",Agent06_Loans!F209)</f>
        <v/>
      </c>
      <c r="G1199" s="37" t="str">
        <f>IF(Agent06_Loans!B209="","",Agent06_Loans!G209)</f>
        <v/>
      </c>
      <c r="H1199" s="37" t="str">
        <f>IF(Agent06_Loans!B209="","",Agent06_Loans!H209)</f>
        <v/>
      </c>
      <c r="I1199" s="40" t="str">
        <f>IF(Agent06_Loans!B209="","",Agent06_Loans!I209)</f>
        <v/>
      </c>
      <c r="J1199" s="40" t="str">
        <f>IF(Agent06_Loans!B209="","",Agent06_Loans!J209)</f>
        <v/>
      </c>
      <c r="K1199" s="37" t="str">
        <f>IF(Agent06_Loans!B209="","",Agent06_Loans!K209)</f>
        <v/>
      </c>
      <c r="L1199" s="37" t="str">
        <f>IF(Agent06_Loans!B209="","",Agent06_Loans!L209)</f>
        <v/>
      </c>
      <c r="M1199" s="37" t="str">
        <f>IFERROR(IF(Agent06_Loans!B209="","",YEAR(Agent06_Loans!D209)),"")</f>
        <v/>
      </c>
    </row>
    <row r="1200" spans="1:13" ht="18" customHeight="1" x14ac:dyDescent="0.25">
      <c r="A1200" s="37" t="str">
        <f>IF(Agent06_Loans!B210="","",Agent06_Loans!A210)</f>
        <v/>
      </c>
      <c r="B1200" s="37" t="str">
        <f>IF(Agent06_Loans!B210="","",Agent06_Loans!B210)</f>
        <v/>
      </c>
      <c r="C1200" s="37" t="str">
        <f>IF(Agent06_Loans!B210="","",Agent06_Loans!C210)</f>
        <v/>
      </c>
      <c r="D1200" s="38" t="str">
        <f>IF(Agent06_Loans!B210="","",Agent06_Loans!D210)</f>
        <v/>
      </c>
      <c r="E1200" s="40" t="str">
        <f>IF(Agent06_Loans!B210="","",Agent06_Loans!E210)</f>
        <v/>
      </c>
      <c r="F1200" s="37" t="str">
        <f>IF(Agent06_Loans!B210="","",Agent06_Loans!F210)</f>
        <v/>
      </c>
      <c r="G1200" s="37" t="str">
        <f>IF(Agent06_Loans!B210="","",Agent06_Loans!G210)</f>
        <v/>
      </c>
      <c r="H1200" s="37" t="str">
        <f>IF(Agent06_Loans!B210="","",Agent06_Loans!H210)</f>
        <v/>
      </c>
      <c r="I1200" s="40" t="str">
        <f>IF(Agent06_Loans!B210="","",Agent06_Loans!I210)</f>
        <v/>
      </c>
      <c r="J1200" s="40" t="str">
        <f>IF(Agent06_Loans!B210="","",Agent06_Loans!J210)</f>
        <v/>
      </c>
      <c r="K1200" s="37" t="str">
        <f>IF(Agent06_Loans!B210="","",Agent06_Loans!K210)</f>
        <v/>
      </c>
      <c r="L1200" s="37" t="str">
        <f>IF(Agent06_Loans!B210="","",Agent06_Loans!L210)</f>
        <v/>
      </c>
      <c r="M1200" s="37" t="str">
        <f>IFERROR(IF(Agent06_Loans!B210="","",YEAR(Agent06_Loans!D210)),"")</f>
        <v/>
      </c>
    </row>
    <row r="1201" spans="1:13" ht="18" customHeight="1" x14ac:dyDescent="0.25">
      <c r="A1201" s="37" t="str">
        <f>IF(Agent06_Loans!B211="","",Agent06_Loans!A211)</f>
        <v/>
      </c>
      <c r="B1201" s="37" t="str">
        <f>IF(Agent06_Loans!B211="","",Agent06_Loans!B211)</f>
        <v/>
      </c>
      <c r="C1201" s="37" t="str">
        <f>IF(Agent06_Loans!B211="","",Agent06_Loans!C211)</f>
        <v/>
      </c>
      <c r="D1201" s="38" t="str">
        <f>IF(Agent06_Loans!B211="","",Agent06_Loans!D211)</f>
        <v/>
      </c>
      <c r="E1201" s="40" t="str">
        <f>IF(Agent06_Loans!B211="","",Agent06_Loans!E211)</f>
        <v/>
      </c>
      <c r="F1201" s="37" t="str">
        <f>IF(Agent06_Loans!B211="","",Agent06_Loans!F211)</f>
        <v/>
      </c>
      <c r="G1201" s="37" t="str">
        <f>IF(Agent06_Loans!B211="","",Agent06_Loans!G211)</f>
        <v/>
      </c>
      <c r="H1201" s="37" t="str">
        <f>IF(Agent06_Loans!B211="","",Agent06_Loans!H211)</f>
        <v/>
      </c>
      <c r="I1201" s="40" t="str">
        <f>IF(Agent06_Loans!B211="","",Agent06_Loans!I211)</f>
        <v/>
      </c>
      <c r="J1201" s="40" t="str">
        <f>IF(Agent06_Loans!B211="","",Agent06_Loans!J211)</f>
        <v/>
      </c>
      <c r="K1201" s="37" t="str">
        <f>IF(Agent06_Loans!B211="","",Agent06_Loans!K211)</f>
        <v/>
      </c>
      <c r="L1201" s="37" t="str">
        <f>IF(Agent06_Loans!B211="","",Agent06_Loans!L211)</f>
        <v/>
      </c>
      <c r="M1201" s="37" t="str">
        <f>IFERROR(IF(Agent06_Loans!B211="","",YEAR(Agent06_Loans!D211)),"")</f>
        <v/>
      </c>
    </row>
    <row r="1202" spans="1:13" ht="18" customHeight="1" x14ac:dyDescent="0.25">
      <c r="A1202" s="37" t="str">
        <f>IF(Agent06_Loans!B212="","",Agent06_Loans!A212)</f>
        <v/>
      </c>
      <c r="B1202" s="37" t="str">
        <f>IF(Agent06_Loans!B212="","",Agent06_Loans!B212)</f>
        <v/>
      </c>
      <c r="C1202" s="37" t="str">
        <f>IF(Agent06_Loans!B212="","",Agent06_Loans!C212)</f>
        <v/>
      </c>
      <c r="D1202" s="38" t="str">
        <f>IF(Agent06_Loans!B212="","",Agent06_Loans!D212)</f>
        <v/>
      </c>
      <c r="E1202" s="40" t="str">
        <f>IF(Agent06_Loans!B212="","",Agent06_Loans!E212)</f>
        <v/>
      </c>
      <c r="F1202" s="37" t="str">
        <f>IF(Agent06_Loans!B212="","",Agent06_Loans!F212)</f>
        <v/>
      </c>
      <c r="G1202" s="37" t="str">
        <f>IF(Agent06_Loans!B212="","",Agent06_Loans!G212)</f>
        <v/>
      </c>
      <c r="H1202" s="37" t="str">
        <f>IF(Agent06_Loans!B212="","",Agent06_Loans!H212)</f>
        <v/>
      </c>
      <c r="I1202" s="40" t="str">
        <f>IF(Agent06_Loans!B212="","",Agent06_Loans!I212)</f>
        <v/>
      </c>
      <c r="J1202" s="40" t="str">
        <f>IF(Agent06_Loans!B212="","",Agent06_Loans!J212)</f>
        <v/>
      </c>
      <c r="K1202" s="37" t="str">
        <f>IF(Agent06_Loans!B212="","",Agent06_Loans!K212)</f>
        <v/>
      </c>
      <c r="L1202" s="37" t="str">
        <f>IF(Agent06_Loans!B212="","",Agent06_Loans!L212)</f>
        <v/>
      </c>
      <c r="M1202" s="37" t="str">
        <f>IFERROR(IF(Agent06_Loans!B212="","",YEAR(Agent06_Loans!D212)),"")</f>
        <v/>
      </c>
    </row>
    <row r="1203" spans="1:13" ht="18" customHeight="1" x14ac:dyDescent="0.25">
      <c r="A1203" s="37" t="str">
        <f>IF(Agent06_Loans!B213="","",Agent06_Loans!A213)</f>
        <v/>
      </c>
      <c r="B1203" s="37" t="str">
        <f>IF(Agent06_Loans!B213="","",Agent06_Loans!B213)</f>
        <v/>
      </c>
      <c r="C1203" s="37" t="str">
        <f>IF(Agent06_Loans!B213="","",Agent06_Loans!C213)</f>
        <v/>
      </c>
      <c r="D1203" s="38" t="str">
        <f>IF(Agent06_Loans!B213="","",Agent06_Loans!D213)</f>
        <v/>
      </c>
      <c r="E1203" s="40" t="str">
        <f>IF(Agent06_Loans!B213="","",Agent06_Loans!E213)</f>
        <v/>
      </c>
      <c r="F1203" s="37" t="str">
        <f>IF(Agent06_Loans!B213="","",Agent06_Loans!F213)</f>
        <v/>
      </c>
      <c r="G1203" s="37" t="str">
        <f>IF(Agent06_Loans!B213="","",Agent06_Loans!G213)</f>
        <v/>
      </c>
      <c r="H1203" s="37" t="str">
        <f>IF(Agent06_Loans!B213="","",Agent06_Loans!H213)</f>
        <v/>
      </c>
      <c r="I1203" s="40" t="str">
        <f>IF(Agent06_Loans!B213="","",Agent06_Loans!I213)</f>
        <v/>
      </c>
      <c r="J1203" s="40" t="str">
        <f>IF(Agent06_Loans!B213="","",Agent06_Loans!J213)</f>
        <v/>
      </c>
      <c r="K1203" s="37" t="str">
        <f>IF(Agent06_Loans!B213="","",Agent06_Loans!K213)</f>
        <v/>
      </c>
      <c r="L1203" s="37" t="str">
        <f>IF(Agent06_Loans!B213="","",Agent06_Loans!L213)</f>
        <v/>
      </c>
      <c r="M1203" s="37" t="str">
        <f>IFERROR(IF(Agent06_Loans!B213="","",YEAR(Agent06_Loans!D213)),"")</f>
        <v/>
      </c>
    </row>
    <row r="1204" spans="1:13" ht="18" customHeight="1" x14ac:dyDescent="0.25">
      <c r="A1204" s="37" t="str">
        <f>IF(Agent07_Loans!B14="","",Agent07_Loans!A14)</f>
        <v/>
      </c>
      <c r="B1204" s="37" t="str">
        <f>IF(Agent07_Loans!B14="","",Agent07_Loans!B14)</f>
        <v/>
      </c>
      <c r="C1204" s="37" t="str">
        <f>IF(Agent07_Loans!B14="","",Agent07_Loans!C14)</f>
        <v/>
      </c>
      <c r="D1204" s="38" t="str">
        <f>IF(Agent07_Loans!B14="","",Agent07_Loans!D14)</f>
        <v/>
      </c>
      <c r="E1204" s="40" t="str">
        <f>IF(Agent07_Loans!B14="","",Agent07_Loans!E14)</f>
        <v/>
      </c>
      <c r="F1204" s="37" t="str">
        <f>IF(Agent07_Loans!B14="","",Agent07_Loans!F14)</f>
        <v/>
      </c>
      <c r="G1204" s="37" t="str">
        <f>IF(Agent07_Loans!B14="","",Agent07_Loans!G14)</f>
        <v/>
      </c>
      <c r="H1204" s="37" t="str">
        <f>IF(Agent07_Loans!B14="","",Agent07_Loans!H14)</f>
        <v/>
      </c>
      <c r="I1204" s="40" t="str">
        <f>IF(Agent07_Loans!B14="","",Agent07_Loans!I14)</f>
        <v/>
      </c>
      <c r="J1204" s="40" t="str">
        <f>IF(Agent07_Loans!B14="","",Agent07_Loans!J14)</f>
        <v/>
      </c>
      <c r="K1204" s="37" t="str">
        <f>IF(Agent07_Loans!B14="","",Agent07_Loans!K14)</f>
        <v/>
      </c>
      <c r="L1204" s="37" t="str">
        <f>IF(Agent07_Loans!B14="","",Agent07_Loans!L14)</f>
        <v/>
      </c>
      <c r="M1204" s="37" t="str">
        <f>IFERROR(IF(Agent07_Loans!B14="","",YEAR(Agent07_Loans!D14)),"")</f>
        <v/>
      </c>
    </row>
    <row r="1205" spans="1:13" ht="18" customHeight="1" x14ac:dyDescent="0.25">
      <c r="A1205" s="37" t="str">
        <f>IF(Agent07_Loans!B15="","",Agent07_Loans!A15)</f>
        <v/>
      </c>
      <c r="B1205" s="37" t="str">
        <f>IF(Agent07_Loans!B15="","",Agent07_Loans!B15)</f>
        <v/>
      </c>
      <c r="C1205" s="37" t="str">
        <f>IF(Agent07_Loans!B15="","",Agent07_Loans!C15)</f>
        <v/>
      </c>
      <c r="D1205" s="38" t="str">
        <f>IF(Agent07_Loans!B15="","",Agent07_Loans!D15)</f>
        <v/>
      </c>
      <c r="E1205" s="40" t="str">
        <f>IF(Agent07_Loans!B15="","",Agent07_Loans!E15)</f>
        <v/>
      </c>
      <c r="F1205" s="37" t="str">
        <f>IF(Agent07_Loans!B15="","",Agent07_Loans!F15)</f>
        <v/>
      </c>
      <c r="G1205" s="37" t="str">
        <f>IF(Agent07_Loans!B15="","",Agent07_Loans!G15)</f>
        <v/>
      </c>
      <c r="H1205" s="37" t="str">
        <f>IF(Agent07_Loans!B15="","",Agent07_Loans!H15)</f>
        <v/>
      </c>
      <c r="I1205" s="40" t="str">
        <f>IF(Agent07_Loans!B15="","",Agent07_Loans!I15)</f>
        <v/>
      </c>
      <c r="J1205" s="40" t="str">
        <f>IF(Agent07_Loans!B15="","",Agent07_Loans!J15)</f>
        <v/>
      </c>
      <c r="K1205" s="37" t="str">
        <f>IF(Agent07_Loans!B15="","",Agent07_Loans!K15)</f>
        <v/>
      </c>
      <c r="L1205" s="37" t="str">
        <f>IF(Agent07_Loans!B15="","",Agent07_Loans!L15)</f>
        <v/>
      </c>
      <c r="M1205" s="37" t="str">
        <f>IFERROR(IF(Agent07_Loans!B15="","",YEAR(Agent07_Loans!D15)),"")</f>
        <v/>
      </c>
    </row>
    <row r="1206" spans="1:13" ht="18" customHeight="1" x14ac:dyDescent="0.25">
      <c r="A1206" s="37" t="str">
        <f>IF(Agent07_Loans!B16="","",Agent07_Loans!A16)</f>
        <v/>
      </c>
      <c r="B1206" s="37" t="str">
        <f>IF(Agent07_Loans!B16="","",Agent07_Loans!B16)</f>
        <v/>
      </c>
      <c r="C1206" s="37" t="str">
        <f>IF(Agent07_Loans!B16="","",Agent07_Loans!C16)</f>
        <v/>
      </c>
      <c r="D1206" s="38" t="str">
        <f>IF(Agent07_Loans!B16="","",Agent07_Loans!D16)</f>
        <v/>
      </c>
      <c r="E1206" s="40" t="str">
        <f>IF(Agent07_Loans!B16="","",Agent07_Loans!E16)</f>
        <v/>
      </c>
      <c r="F1206" s="37" t="str">
        <f>IF(Agent07_Loans!B16="","",Agent07_Loans!F16)</f>
        <v/>
      </c>
      <c r="G1206" s="37" t="str">
        <f>IF(Agent07_Loans!B16="","",Agent07_Loans!G16)</f>
        <v/>
      </c>
      <c r="H1206" s="37" t="str">
        <f>IF(Agent07_Loans!B16="","",Agent07_Loans!H16)</f>
        <v/>
      </c>
      <c r="I1206" s="40" t="str">
        <f>IF(Agent07_Loans!B16="","",Agent07_Loans!I16)</f>
        <v/>
      </c>
      <c r="J1206" s="40" t="str">
        <f>IF(Agent07_Loans!B16="","",Agent07_Loans!J16)</f>
        <v/>
      </c>
      <c r="K1206" s="37" t="str">
        <f>IF(Agent07_Loans!B16="","",Agent07_Loans!K16)</f>
        <v/>
      </c>
      <c r="L1206" s="37" t="str">
        <f>IF(Agent07_Loans!B16="","",Agent07_Loans!L16)</f>
        <v/>
      </c>
      <c r="M1206" s="37" t="str">
        <f>IFERROR(IF(Agent07_Loans!B16="","",YEAR(Agent07_Loans!D16)),"")</f>
        <v/>
      </c>
    </row>
    <row r="1207" spans="1:13" ht="18" customHeight="1" x14ac:dyDescent="0.25">
      <c r="A1207" s="37" t="str">
        <f>IF(Agent07_Loans!B17="","",Agent07_Loans!A17)</f>
        <v/>
      </c>
      <c r="B1207" s="37" t="str">
        <f>IF(Agent07_Loans!B17="","",Agent07_Loans!B17)</f>
        <v/>
      </c>
      <c r="C1207" s="37" t="str">
        <f>IF(Agent07_Loans!B17="","",Agent07_Loans!C17)</f>
        <v/>
      </c>
      <c r="D1207" s="38" t="str">
        <f>IF(Agent07_Loans!B17="","",Agent07_Loans!D17)</f>
        <v/>
      </c>
      <c r="E1207" s="40" t="str">
        <f>IF(Agent07_Loans!B17="","",Agent07_Loans!E17)</f>
        <v/>
      </c>
      <c r="F1207" s="37" t="str">
        <f>IF(Agent07_Loans!B17="","",Agent07_Loans!F17)</f>
        <v/>
      </c>
      <c r="G1207" s="37" t="str">
        <f>IF(Agent07_Loans!B17="","",Agent07_Loans!G17)</f>
        <v/>
      </c>
      <c r="H1207" s="37" t="str">
        <f>IF(Agent07_Loans!B17="","",Agent07_Loans!H17)</f>
        <v/>
      </c>
      <c r="I1207" s="40" t="str">
        <f>IF(Agent07_Loans!B17="","",Agent07_Loans!I17)</f>
        <v/>
      </c>
      <c r="J1207" s="40" t="str">
        <f>IF(Agent07_Loans!B17="","",Agent07_Loans!J17)</f>
        <v/>
      </c>
      <c r="K1207" s="37" t="str">
        <f>IF(Agent07_Loans!B17="","",Agent07_Loans!K17)</f>
        <v/>
      </c>
      <c r="L1207" s="37" t="str">
        <f>IF(Agent07_Loans!B17="","",Agent07_Loans!L17)</f>
        <v/>
      </c>
      <c r="M1207" s="37" t="str">
        <f>IFERROR(IF(Agent07_Loans!B17="","",YEAR(Agent07_Loans!D17)),"")</f>
        <v/>
      </c>
    </row>
    <row r="1208" spans="1:13" ht="18" customHeight="1" x14ac:dyDescent="0.25">
      <c r="A1208" s="37" t="str">
        <f>IF(Agent07_Loans!B18="","",Agent07_Loans!A18)</f>
        <v/>
      </c>
      <c r="B1208" s="37" t="str">
        <f>IF(Agent07_Loans!B18="","",Agent07_Loans!B18)</f>
        <v/>
      </c>
      <c r="C1208" s="37" t="str">
        <f>IF(Agent07_Loans!B18="","",Agent07_Loans!C18)</f>
        <v/>
      </c>
      <c r="D1208" s="38" t="str">
        <f>IF(Agent07_Loans!B18="","",Agent07_Loans!D18)</f>
        <v/>
      </c>
      <c r="E1208" s="40" t="str">
        <f>IF(Agent07_Loans!B18="","",Agent07_Loans!E18)</f>
        <v/>
      </c>
      <c r="F1208" s="37" t="str">
        <f>IF(Agent07_Loans!B18="","",Agent07_Loans!F18)</f>
        <v/>
      </c>
      <c r="G1208" s="37" t="str">
        <f>IF(Agent07_Loans!B18="","",Agent07_Loans!G18)</f>
        <v/>
      </c>
      <c r="H1208" s="37" t="str">
        <f>IF(Agent07_Loans!B18="","",Agent07_Loans!H18)</f>
        <v/>
      </c>
      <c r="I1208" s="40" t="str">
        <f>IF(Agent07_Loans!B18="","",Agent07_Loans!I18)</f>
        <v/>
      </c>
      <c r="J1208" s="40" t="str">
        <f>IF(Agent07_Loans!B18="","",Agent07_Loans!J18)</f>
        <v/>
      </c>
      <c r="K1208" s="37" t="str">
        <f>IF(Agent07_Loans!B18="","",Agent07_Loans!K18)</f>
        <v/>
      </c>
      <c r="L1208" s="37" t="str">
        <f>IF(Agent07_Loans!B18="","",Agent07_Loans!L18)</f>
        <v/>
      </c>
      <c r="M1208" s="37" t="str">
        <f>IFERROR(IF(Agent07_Loans!B18="","",YEAR(Agent07_Loans!D18)),"")</f>
        <v/>
      </c>
    </row>
    <row r="1209" spans="1:13" ht="18" customHeight="1" x14ac:dyDescent="0.25">
      <c r="A1209" s="37" t="str">
        <f>IF(Agent07_Loans!B19="","",Agent07_Loans!A19)</f>
        <v/>
      </c>
      <c r="B1209" s="37" t="str">
        <f>IF(Agent07_Loans!B19="","",Agent07_Loans!B19)</f>
        <v/>
      </c>
      <c r="C1209" s="37" t="str">
        <f>IF(Agent07_Loans!B19="","",Agent07_Loans!C19)</f>
        <v/>
      </c>
      <c r="D1209" s="38" t="str">
        <f>IF(Agent07_Loans!B19="","",Agent07_Loans!D19)</f>
        <v/>
      </c>
      <c r="E1209" s="40" t="str">
        <f>IF(Agent07_Loans!B19="","",Agent07_Loans!E19)</f>
        <v/>
      </c>
      <c r="F1209" s="37" t="str">
        <f>IF(Agent07_Loans!B19="","",Agent07_Loans!F19)</f>
        <v/>
      </c>
      <c r="G1209" s="37" t="str">
        <f>IF(Agent07_Loans!B19="","",Agent07_Loans!G19)</f>
        <v/>
      </c>
      <c r="H1209" s="37" t="str">
        <f>IF(Agent07_Loans!B19="","",Agent07_Loans!H19)</f>
        <v/>
      </c>
      <c r="I1209" s="40" t="str">
        <f>IF(Agent07_Loans!B19="","",Agent07_Loans!I19)</f>
        <v/>
      </c>
      <c r="J1209" s="40" t="str">
        <f>IF(Agent07_Loans!B19="","",Agent07_Loans!J19)</f>
        <v/>
      </c>
      <c r="K1209" s="37" t="str">
        <f>IF(Agent07_Loans!B19="","",Agent07_Loans!K19)</f>
        <v/>
      </c>
      <c r="L1209" s="37" t="str">
        <f>IF(Agent07_Loans!B19="","",Agent07_Loans!L19)</f>
        <v/>
      </c>
      <c r="M1209" s="37" t="str">
        <f>IFERROR(IF(Agent07_Loans!B19="","",YEAR(Agent07_Loans!D19)),"")</f>
        <v/>
      </c>
    </row>
    <row r="1210" spans="1:13" ht="18" customHeight="1" x14ac:dyDescent="0.25">
      <c r="A1210" s="37" t="str">
        <f>IF(Agent07_Loans!B20="","",Agent07_Loans!A20)</f>
        <v/>
      </c>
      <c r="B1210" s="37" t="str">
        <f>IF(Agent07_Loans!B20="","",Agent07_Loans!B20)</f>
        <v/>
      </c>
      <c r="C1210" s="37" t="str">
        <f>IF(Agent07_Loans!B20="","",Agent07_Loans!C20)</f>
        <v/>
      </c>
      <c r="D1210" s="38" t="str">
        <f>IF(Agent07_Loans!B20="","",Agent07_Loans!D20)</f>
        <v/>
      </c>
      <c r="E1210" s="40" t="str">
        <f>IF(Agent07_Loans!B20="","",Agent07_Loans!E20)</f>
        <v/>
      </c>
      <c r="F1210" s="37" t="str">
        <f>IF(Agent07_Loans!B20="","",Agent07_Loans!F20)</f>
        <v/>
      </c>
      <c r="G1210" s="37" t="str">
        <f>IF(Agent07_Loans!B20="","",Agent07_Loans!G20)</f>
        <v/>
      </c>
      <c r="H1210" s="37" t="str">
        <f>IF(Agent07_Loans!B20="","",Agent07_Loans!H20)</f>
        <v/>
      </c>
      <c r="I1210" s="40" t="str">
        <f>IF(Agent07_Loans!B20="","",Agent07_Loans!I20)</f>
        <v/>
      </c>
      <c r="J1210" s="40" t="str">
        <f>IF(Agent07_Loans!B20="","",Agent07_Loans!J20)</f>
        <v/>
      </c>
      <c r="K1210" s="37" t="str">
        <f>IF(Agent07_Loans!B20="","",Agent07_Loans!K20)</f>
        <v/>
      </c>
      <c r="L1210" s="37" t="str">
        <f>IF(Agent07_Loans!B20="","",Agent07_Loans!L20)</f>
        <v/>
      </c>
      <c r="M1210" s="37" t="str">
        <f>IFERROR(IF(Agent07_Loans!B20="","",YEAR(Agent07_Loans!D20)),"")</f>
        <v/>
      </c>
    </row>
    <row r="1211" spans="1:13" ht="18" customHeight="1" x14ac:dyDescent="0.25">
      <c r="A1211" s="37" t="str">
        <f>IF(Agent07_Loans!B21="","",Agent07_Loans!A21)</f>
        <v/>
      </c>
      <c r="B1211" s="37" t="str">
        <f>IF(Agent07_Loans!B21="","",Agent07_Loans!B21)</f>
        <v/>
      </c>
      <c r="C1211" s="37" t="str">
        <f>IF(Agent07_Loans!B21="","",Agent07_Loans!C21)</f>
        <v/>
      </c>
      <c r="D1211" s="38" t="str">
        <f>IF(Agent07_Loans!B21="","",Agent07_Loans!D21)</f>
        <v/>
      </c>
      <c r="E1211" s="40" t="str">
        <f>IF(Agent07_Loans!B21="","",Agent07_Loans!E21)</f>
        <v/>
      </c>
      <c r="F1211" s="37" t="str">
        <f>IF(Agent07_Loans!B21="","",Agent07_Loans!F21)</f>
        <v/>
      </c>
      <c r="G1211" s="37" t="str">
        <f>IF(Agent07_Loans!B21="","",Agent07_Loans!G21)</f>
        <v/>
      </c>
      <c r="H1211" s="37" t="str">
        <f>IF(Agent07_Loans!B21="","",Agent07_Loans!H21)</f>
        <v/>
      </c>
      <c r="I1211" s="40" t="str">
        <f>IF(Agent07_Loans!B21="","",Agent07_Loans!I21)</f>
        <v/>
      </c>
      <c r="J1211" s="40" t="str">
        <f>IF(Agent07_Loans!B21="","",Agent07_Loans!J21)</f>
        <v/>
      </c>
      <c r="K1211" s="37" t="str">
        <f>IF(Agent07_Loans!B21="","",Agent07_Loans!K21)</f>
        <v/>
      </c>
      <c r="L1211" s="37" t="str">
        <f>IF(Agent07_Loans!B21="","",Agent07_Loans!L21)</f>
        <v/>
      </c>
      <c r="M1211" s="37" t="str">
        <f>IFERROR(IF(Agent07_Loans!B21="","",YEAR(Agent07_Loans!D21)),"")</f>
        <v/>
      </c>
    </row>
    <row r="1212" spans="1:13" ht="18" customHeight="1" x14ac:dyDescent="0.25">
      <c r="A1212" s="37" t="str">
        <f>IF(Agent07_Loans!B22="","",Agent07_Loans!A22)</f>
        <v/>
      </c>
      <c r="B1212" s="37" t="str">
        <f>IF(Agent07_Loans!B22="","",Agent07_Loans!B22)</f>
        <v/>
      </c>
      <c r="C1212" s="37" t="str">
        <f>IF(Agent07_Loans!B22="","",Agent07_Loans!C22)</f>
        <v/>
      </c>
      <c r="D1212" s="38" t="str">
        <f>IF(Agent07_Loans!B22="","",Agent07_Loans!D22)</f>
        <v/>
      </c>
      <c r="E1212" s="40" t="str">
        <f>IF(Agent07_Loans!B22="","",Agent07_Loans!E22)</f>
        <v/>
      </c>
      <c r="F1212" s="37" t="str">
        <f>IF(Agent07_Loans!B22="","",Agent07_Loans!F22)</f>
        <v/>
      </c>
      <c r="G1212" s="37" t="str">
        <f>IF(Agent07_Loans!B22="","",Agent07_Loans!G22)</f>
        <v/>
      </c>
      <c r="H1212" s="37" t="str">
        <f>IF(Agent07_Loans!B22="","",Agent07_Loans!H22)</f>
        <v/>
      </c>
      <c r="I1212" s="40" t="str">
        <f>IF(Agent07_Loans!B22="","",Agent07_Loans!I22)</f>
        <v/>
      </c>
      <c r="J1212" s="40" t="str">
        <f>IF(Agent07_Loans!B22="","",Agent07_Loans!J22)</f>
        <v/>
      </c>
      <c r="K1212" s="37" t="str">
        <f>IF(Agent07_Loans!B22="","",Agent07_Loans!K22)</f>
        <v/>
      </c>
      <c r="L1212" s="37" t="str">
        <f>IF(Agent07_Loans!B22="","",Agent07_Loans!L22)</f>
        <v/>
      </c>
      <c r="M1212" s="37" t="str">
        <f>IFERROR(IF(Agent07_Loans!B22="","",YEAR(Agent07_Loans!D22)),"")</f>
        <v/>
      </c>
    </row>
    <row r="1213" spans="1:13" ht="18" customHeight="1" x14ac:dyDescent="0.25">
      <c r="A1213" s="37" t="str">
        <f>IF(Agent07_Loans!B23="","",Agent07_Loans!A23)</f>
        <v/>
      </c>
      <c r="B1213" s="37" t="str">
        <f>IF(Agent07_Loans!B23="","",Agent07_Loans!B23)</f>
        <v/>
      </c>
      <c r="C1213" s="37" t="str">
        <f>IF(Agent07_Loans!B23="","",Agent07_Loans!C23)</f>
        <v/>
      </c>
      <c r="D1213" s="38" t="str">
        <f>IF(Agent07_Loans!B23="","",Agent07_Loans!D23)</f>
        <v/>
      </c>
      <c r="E1213" s="40" t="str">
        <f>IF(Agent07_Loans!B23="","",Agent07_Loans!E23)</f>
        <v/>
      </c>
      <c r="F1213" s="37" t="str">
        <f>IF(Agent07_Loans!B23="","",Agent07_Loans!F23)</f>
        <v/>
      </c>
      <c r="G1213" s="37" t="str">
        <f>IF(Agent07_Loans!B23="","",Agent07_Loans!G23)</f>
        <v/>
      </c>
      <c r="H1213" s="37" t="str">
        <f>IF(Agent07_Loans!B23="","",Agent07_Loans!H23)</f>
        <v/>
      </c>
      <c r="I1213" s="40" t="str">
        <f>IF(Agent07_Loans!B23="","",Agent07_Loans!I23)</f>
        <v/>
      </c>
      <c r="J1213" s="40" t="str">
        <f>IF(Agent07_Loans!B23="","",Agent07_Loans!J23)</f>
        <v/>
      </c>
      <c r="K1213" s="37" t="str">
        <f>IF(Agent07_Loans!B23="","",Agent07_Loans!K23)</f>
        <v/>
      </c>
      <c r="L1213" s="37" t="str">
        <f>IF(Agent07_Loans!B23="","",Agent07_Loans!L23)</f>
        <v/>
      </c>
      <c r="M1213" s="37" t="str">
        <f>IFERROR(IF(Agent07_Loans!B23="","",YEAR(Agent07_Loans!D23)),"")</f>
        <v/>
      </c>
    </row>
    <row r="1214" spans="1:13" ht="18" customHeight="1" x14ac:dyDescent="0.25">
      <c r="A1214" s="37" t="str">
        <f>IF(Agent07_Loans!B24="","",Agent07_Loans!A24)</f>
        <v/>
      </c>
      <c r="B1214" s="37" t="str">
        <f>IF(Agent07_Loans!B24="","",Agent07_Loans!B24)</f>
        <v/>
      </c>
      <c r="C1214" s="37" t="str">
        <f>IF(Agent07_Loans!B24="","",Agent07_Loans!C24)</f>
        <v/>
      </c>
      <c r="D1214" s="38" t="str">
        <f>IF(Agent07_Loans!B24="","",Agent07_Loans!D24)</f>
        <v/>
      </c>
      <c r="E1214" s="40" t="str">
        <f>IF(Agent07_Loans!B24="","",Agent07_Loans!E24)</f>
        <v/>
      </c>
      <c r="F1214" s="37" t="str">
        <f>IF(Agent07_Loans!B24="","",Agent07_Loans!F24)</f>
        <v/>
      </c>
      <c r="G1214" s="37" t="str">
        <f>IF(Agent07_Loans!B24="","",Agent07_Loans!G24)</f>
        <v/>
      </c>
      <c r="H1214" s="37" t="str">
        <f>IF(Agent07_Loans!B24="","",Agent07_Loans!H24)</f>
        <v/>
      </c>
      <c r="I1214" s="40" t="str">
        <f>IF(Agent07_Loans!B24="","",Agent07_Loans!I24)</f>
        <v/>
      </c>
      <c r="J1214" s="40" t="str">
        <f>IF(Agent07_Loans!B24="","",Agent07_Loans!J24)</f>
        <v/>
      </c>
      <c r="K1214" s="37" t="str">
        <f>IF(Agent07_Loans!B24="","",Agent07_Loans!K24)</f>
        <v/>
      </c>
      <c r="L1214" s="37" t="str">
        <f>IF(Agent07_Loans!B24="","",Agent07_Loans!L24)</f>
        <v/>
      </c>
      <c r="M1214" s="37" t="str">
        <f>IFERROR(IF(Agent07_Loans!B24="","",YEAR(Agent07_Loans!D24)),"")</f>
        <v/>
      </c>
    </row>
    <row r="1215" spans="1:13" ht="18" customHeight="1" x14ac:dyDescent="0.25">
      <c r="A1215" s="37" t="str">
        <f>IF(Agent07_Loans!B25="","",Agent07_Loans!A25)</f>
        <v/>
      </c>
      <c r="B1215" s="37" t="str">
        <f>IF(Agent07_Loans!B25="","",Agent07_Loans!B25)</f>
        <v/>
      </c>
      <c r="C1215" s="37" t="str">
        <f>IF(Agent07_Loans!B25="","",Agent07_Loans!C25)</f>
        <v/>
      </c>
      <c r="D1215" s="38" t="str">
        <f>IF(Agent07_Loans!B25="","",Agent07_Loans!D25)</f>
        <v/>
      </c>
      <c r="E1215" s="40" t="str">
        <f>IF(Agent07_Loans!B25="","",Agent07_Loans!E25)</f>
        <v/>
      </c>
      <c r="F1215" s="37" t="str">
        <f>IF(Agent07_Loans!B25="","",Agent07_Loans!F25)</f>
        <v/>
      </c>
      <c r="G1215" s="37" t="str">
        <f>IF(Agent07_Loans!B25="","",Agent07_Loans!G25)</f>
        <v/>
      </c>
      <c r="H1215" s="37" t="str">
        <f>IF(Agent07_Loans!B25="","",Agent07_Loans!H25)</f>
        <v/>
      </c>
      <c r="I1215" s="40" t="str">
        <f>IF(Agent07_Loans!B25="","",Agent07_Loans!I25)</f>
        <v/>
      </c>
      <c r="J1215" s="40" t="str">
        <f>IF(Agent07_Loans!B25="","",Agent07_Loans!J25)</f>
        <v/>
      </c>
      <c r="K1215" s="37" t="str">
        <f>IF(Agent07_Loans!B25="","",Agent07_Loans!K25)</f>
        <v/>
      </c>
      <c r="L1215" s="37" t="str">
        <f>IF(Agent07_Loans!B25="","",Agent07_Loans!L25)</f>
        <v/>
      </c>
      <c r="M1215" s="37" t="str">
        <f>IFERROR(IF(Agent07_Loans!B25="","",YEAR(Agent07_Loans!D25)),"")</f>
        <v/>
      </c>
    </row>
    <row r="1216" spans="1:13" ht="18" customHeight="1" x14ac:dyDescent="0.25">
      <c r="A1216" s="37" t="str">
        <f>IF(Agent07_Loans!B26="","",Agent07_Loans!A26)</f>
        <v/>
      </c>
      <c r="B1216" s="37" t="str">
        <f>IF(Agent07_Loans!B26="","",Agent07_Loans!B26)</f>
        <v/>
      </c>
      <c r="C1216" s="37" t="str">
        <f>IF(Agent07_Loans!B26="","",Agent07_Loans!C26)</f>
        <v/>
      </c>
      <c r="D1216" s="38" t="str">
        <f>IF(Agent07_Loans!B26="","",Agent07_Loans!D26)</f>
        <v/>
      </c>
      <c r="E1216" s="40" t="str">
        <f>IF(Agent07_Loans!B26="","",Agent07_Loans!E26)</f>
        <v/>
      </c>
      <c r="F1216" s="37" t="str">
        <f>IF(Agent07_Loans!B26="","",Agent07_Loans!F26)</f>
        <v/>
      </c>
      <c r="G1216" s="37" t="str">
        <f>IF(Agent07_Loans!B26="","",Agent07_Loans!G26)</f>
        <v/>
      </c>
      <c r="H1216" s="37" t="str">
        <f>IF(Agent07_Loans!B26="","",Agent07_Loans!H26)</f>
        <v/>
      </c>
      <c r="I1216" s="40" t="str">
        <f>IF(Agent07_Loans!B26="","",Agent07_Loans!I26)</f>
        <v/>
      </c>
      <c r="J1216" s="40" t="str">
        <f>IF(Agent07_Loans!B26="","",Agent07_Loans!J26)</f>
        <v/>
      </c>
      <c r="K1216" s="37" t="str">
        <f>IF(Agent07_Loans!B26="","",Agent07_Loans!K26)</f>
        <v/>
      </c>
      <c r="L1216" s="37" t="str">
        <f>IF(Agent07_Loans!B26="","",Agent07_Loans!L26)</f>
        <v/>
      </c>
      <c r="M1216" s="37" t="str">
        <f>IFERROR(IF(Agent07_Loans!B26="","",YEAR(Agent07_Loans!D26)),"")</f>
        <v/>
      </c>
    </row>
    <row r="1217" spans="1:13" ht="18" customHeight="1" x14ac:dyDescent="0.25">
      <c r="A1217" s="37" t="str">
        <f>IF(Agent07_Loans!B27="","",Agent07_Loans!A27)</f>
        <v/>
      </c>
      <c r="B1217" s="37" t="str">
        <f>IF(Agent07_Loans!B27="","",Agent07_Loans!B27)</f>
        <v/>
      </c>
      <c r="C1217" s="37" t="str">
        <f>IF(Agent07_Loans!B27="","",Agent07_Loans!C27)</f>
        <v/>
      </c>
      <c r="D1217" s="38" t="str">
        <f>IF(Agent07_Loans!B27="","",Agent07_Loans!D27)</f>
        <v/>
      </c>
      <c r="E1217" s="40" t="str">
        <f>IF(Agent07_Loans!B27="","",Agent07_Loans!E27)</f>
        <v/>
      </c>
      <c r="F1217" s="37" t="str">
        <f>IF(Agent07_Loans!B27="","",Agent07_Loans!F27)</f>
        <v/>
      </c>
      <c r="G1217" s="37" t="str">
        <f>IF(Agent07_Loans!B27="","",Agent07_Loans!G27)</f>
        <v/>
      </c>
      <c r="H1217" s="37" t="str">
        <f>IF(Agent07_Loans!B27="","",Agent07_Loans!H27)</f>
        <v/>
      </c>
      <c r="I1217" s="40" t="str">
        <f>IF(Agent07_Loans!B27="","",Agent07_Loans!I27)</f>
        <v/>
      </c>
      <c r="J1217" s="40" t="str">
        <f>IF(Agent07_Loans!B27="","",Agent07_Loans!J27)</f>
        <v/>
      </c>
      <c r="K1217" s="37" t="str">
        <f>IF(Agent07_Loans!B27="","",Agent07_Loans!K27)</f>
        <v/>
      </c>
      <c r="L1217" s="37" t="str">
        <f>IF(Agent07_Loans!B27="","",Agent07_Loans!L27)</f>
        <v/>
      </c>
      <c r="M1217" s="37" t="str">
        <f>IFERROR(IF(Agent07_Loans!B27="","",YEAR(Agent07_Loans!D27)),"")</f>
        <v/>
      </c>
    </row>
    <row r="1218" spans="1:13" ht="18" customHeight="1" x14ac:dyDescent="0.25">
      <c r="A1218" s="37" t="str">
        <f>IF(Agent07_Loans!B28="","",Agent07_Loans!A28)</f>
        <v/>
      </c>
      <c r="B1218" s="37" t="str">
        <f>IF(Agent07_Loans!B28="","",Agent07_Loans!B28)</f>
        <v/>
      </c>
      <c r="C1218" s="37" t="str">
        <f>IF(Agent07_Loans!B28="","",Agent07_Loans!C28)</f>
        <v/>
      </c>
      <c r="D1218" s="38" t="str">
        <f>IF(Agent07_Loans!B28="","",Agent07_Loans!D28)</f>
        <v/>
      </c>
      <c r="E1218" s="40" t="str">
        <f>IF(Agent07_Loans!B28="","",Agent07_Loans!E28)</f>
        <v/>
      </c>
      <c r="F1218" s="37" t="str">
        <f>IF(Agent07_Loans!B28="","",Agent07_Loans!F28)</f>
        <v/>
      </c>
      <c r="G1218" s="37" t="str">
        <f>IF(Agent07_Loans!B28="","",Agent07_Loans!G28)</f>
        <v/>
      </c>
      <c r="H1218" s="37" t="str">
        <f>IF(Agent07_Loans!B28="","",Agent07_Loans!H28)</f>
        <v/>
      </c>
      <c r="I1218" s="40" t="str">
        <f>IF(Agent07_Loans!B28="","",Agent07_Loans!I28)</f>
        <v/>
      </c>
      <c r="J1218" s="40" t="str">
        <f>IF(Agent07_Loans!B28="","",Agent07_Loans!J28)</f>
        <v/>
      </c>
      <c r="K1218" s="37" t="str">
        <f>IF(Agent07_Loans!B28="","",Agent07_Loans!K28)</f>
        <v/>
      </c>
      <c r="L1218" s="37" t="str">
        <f>IF(Agent07_Loans!B28="","",Agent07_Loans!L28)</f>
        <v/>
      </c>
      <c r="M1218" s="37" t="str">
        <f>IFERROR(IF(Agent07_Loans!B28="","",YEAR(Agent07_Loans!D28)),"")</f>
        <v/>
      </c>
    </row>
    <row r="1219" spans="1:13" ht="18" customHeight="1" x14ac:dyDescent="0.25">
      <c r="A1219" s="37" t="str">
        <f>IF(Agent07_Loans!B29="","",Agent07_Loans!A29)</f>
        <v/>
      </c>
      <c r="B1219" s="37" t="str">
        <f>IF(Agent07_Loans!B29="","",Agent07_Loans!B29)</f>
        <v/>
      </c>
      <c r="C1219" s="37" t="str">
        <f>IF(Agent07_Loans!B29="","",Agent07_Loans!C29)</f>
        <v/>
      </c>
      <c r="D1219" s="38" t="str">
        <f>IF(Agent07_Loans!B29="","",Agent07_Loans!D29)</f>
        <v/>
      </c>
      <c r="E1219" s="40" t="str">
        <f>IF(Agent07_Loans!B29="","",Agent07_Loans!E29)</f>
        <v/>
      </c>
      <c r="F1219" s="37" t="str">
        <f>IF(Agent07_Loans!B29="","",Agent07_Loans!F29)</f>
        <v/>
      </c>
      <c r="G1219" s="37" t="str">
        <f>IF(Agent07_Loans!B29="","",Agent07_Loans!G29)</f>
        <v/>
      </c>
      <c r="H1219" s="37" t="str">
        <f>IF(Agent07_Loans!B29="","",Agent07_Loans!H29)</f>
        <v/>
      </c>
      <c r="I1219" s="40" t="str">
        <f>IF(Agent07_Loans!B29="","",Agent07_Loans!I29)</f>
        <v/>
      </c>
      <c r="J1219" s="40" t="str">
        <f>IF(Agent07_Loans!B29="","",Agent07_Loans!J29)</f>
        <v/>
      </c>
      <c r="K1219" s="37" t="str">
        <f>IF(Agent07_Loans!B29="","",Agent07_Loans!K29)</f>
        <v/>
      </c>
      <c r="L1219" s="37" t="str">
        <f>IF(Agent07_Loans!B29="","",Agent07_Loans!L29)</f>
        <v/>
      </c>
      <c r="M1219" s="37" t="str">
        <f>IFERROR(IF(Agent07_Loans!B29="","",YEAR(Agent07_Loans!D29)),"")</f>
        <v/>
      </c>
    </row>
    <row r="1220" spans="1:13" ht="18" customHeight="1" x14ac:dyDescent="0.25">
      <c r="A1220" s="37" t="str">
        <f>IF(Agent07_Loans!B30="","",Agent07_Loans!A30)</f>
        <v/>
      </c>
      <c r="B1220" s="37" t="str">
        <f>IF(Agent07_Loans!B30="","",Agent07_Loans!B30)</f>
        <v/>
      </c>
      <c r="C1220" s="37" t="str">
        <f>IF(Agent07_Loans!B30="","",Agent07_Loans!C30)</f>
        <v/>
      </c>
      <c r="D1220" s="38" t="str">
        <f>IF(Agent07_Loans!B30="","",Agent07_Loans!D30)</f>
        <v/>
      </c>
      <c r="E1220" s="40" t="str">
        <f>IF(Agent07_Loans!B30="","",Agent07_Loans!E30)</f>
        <v/>
      </c>
      <c r="F1220" s="37" t="str">
        <f>IF(Agent07_Loans!B30="","",Agent07_Loans!F30)</f>
        <v/>
      </c>
      <c r="G1220" s="37" t="str">
        <f>IF(Agent07_Loans!B30="","",Agent07_Loans!G30)</f>
        <v/>
      </c>
      <c r="H1220" s="37" t="str">
        <f>IF(Agent07_Loans!B30="","",Agent07_Loans!H30)</f>
        <v/>
      </c>
      <c r="I1220" s="40" t="str">
        <f>IF(Agent07_Loans!B30="","",Agent07_Loans!I30)</f>
        <v/>
      </c>
      <c r="J1220" s="40" t="str">
        <f>IF(Agent07_Loans!B30="","",Agent07_Loans!J30)</f>
        <v/>
      </c>
      <c r="K1220" s="37" t="str">
        <f>IF(Agent07_Loans!B30="","",Agent07_Loans!K30)</f>
        <v/>
      </c>
      <c r="L1220" s="37" t="str">
        <f>IF(Agent07_Loans!B30="","",Agent07_Loans!L30)</f>
        <v/>
      </c>
      <c r="M1220" s="37" t="str">
        <f>IFERROR(IF(Agent07_Loans!B30="","",YEAR(Agent07_Loans!D30)),"")</f>
        <v/>
      </c>
    </row>
    <row r="1221" spans="1:13" ht="18" customHeight="1" x14ac:dyDescent="0.25">
      <c r="A1221" s="37" t="str">
        <f>IF(Agent07_Loans!B31="","",Agent07_Loans!A31)</f>
        <v/>
      </c>
      <c r="B1221" s="37" t="str">
        <f>IF(Agent07_Loans!B31="","",Agent07_Loans!B31)</f>
        <v/>
      </c>
      <c r="C1221" s="37" t="str">
        <f>IF(Agent07_Loans!B31="","",Agent07_Loans!C31)</f>
        <v/>
      </c>
      <c r="D1221" s="38" t="str">
        <f>IF(Agent07_Loans!B31="","",Agent07_Loans!D31)</f>
        <v/>
      </c>
      <c r="E1221" s="40" t="str">
        <f>IF(Agent07_Loans!B31="","",Agent07_Loans!E31)</f>
        <v/>
      </c>
      <c r="F1221" s="37" t="str">
        <f>IF(Agent07_Loans!B31="","",Agent07_Loans!F31)</f>
        <v/>
      </c>
      <c r="G1221" s="37" t="str">
        <f>IF(Agent07_Loans!B31="","",Agent07_Loans!G31)</f>
        <v/>
      </c>
      <c r="H1221" s="37" t="str">
        <f>IF(Agent07_Loans!B31="","",Agent07_Loans!H31)</f>
        <v/>
      </c>
      <c r="I1221" s="40" t="str">
        <f>IF(Agent07_Loans!B31="","",Agent07_Loans!I31)</f>
        <v/>
      </c>
      <c r="J1221" s="40" t="str">
        <f>IF(Agent07_Loans!B31="","",Agent07_Loans!J31)</f>
        <v/>
      </c>
      <c r="K1221" s="37" t="str">
        <f>IF(Agent07_Loans!B31="","",Agent07_Loans!K31)</f>
        <v/>
      </c>
      <c r="L1221" s="37" t="str">
        <f>IF(Agent07_Loans!B31="","",Agent07_Loans!L31)</f>
        <v/>
      </c>
      <c r="M1221" s="37" t="str">
        <f>IFERROR(IF(Agent07_Loans!B31="","",YEAR(Agent07_Loans!D31)),"")</f>
        <v/>
      </c>
    </row>
    <row r="1222" spans="1:13" ht="18" customHeight="1" x14ac:dyDescent="0.25">
      <c r="A1222" s="37" t="str">
        <f>IF(Agent07_Loans!B32="","",Agent07_Loans!A32)</f>
        <v/>
      </c>
      <c r="B1222" s="37" t="str">
        <f>IF(Agent07_Loans!B32="","",Agent07_Loans!B32)</f>
        <v/>
      </c>
      <c r="C1222" s="37" t="str">
        <f>IF(Agent07_Loans!B32="","",Agent07_Loans!C32)</f>
        <v/>
      </c>
      <c r="D1222" s="38" t="str">
        <f>IF(Agent07_Loans!B32="","",Agent07_Loans!D32)</f>
        <v/>
      </c>
      <c r="E1222" s="40" t="str">
        <f>IF(Agent07_Loans!B32="","",Agent07_Loans!E32)</f>
        <v/>
      </c>
      <c r="F1222" s="37" t="str">
        <f>IF(Agent07_Loans!B32="","",Agent07_Loans!F32)</f>
        <v/>
      </c>
      <c r="G1222" s="37" t="str">
        <f>IF(Agent07_Loans!B32="","",Agent07_Loans!G32)</f>
        <v/>
      </c>
      <c r="H1222" s="37" t="str">
        <f>IF(Agent07_Loans!B32="","",Agent07_Loans!H32)</f>
        <v/>
      </c>
      <c r="I1222" s="40" t="str">
        <f>IF(Agent07_Loans!B32="","",Agent07_Loans!I32)</f>
        <v/>
      </c>
      <c r="J1222" s="40" t="str">
        <f>IF(Agent07_Loans!B32="","",Agent07_Loans!J32)</f>
        <v/>
      </c>
      <c r="K1222" s="37" t="str">
        <f>IF(Agent07_Loans!B32="","",Agent07_Loans!K32)</f>
        <v/>
      </c>
      <c r="L1222" s="37" t="str">
        <f>IF(Agent07_Loans!B32="","",Agent07_Loans!L32)</f>
        <v/>
      </c>
      <c r="M1222" s="37" t="str">
        <f>IFERROR(IF(Agent07_Loans!B32="","",YEAR(Agent07_Loans!D32)),"")</f>
        <v/>
      </c>
    </row>
    <row r="1223" spans="1:13" ht="18" customHeight="1" x14ac:dyDescent="0.25">
      <c r="A1223" s="37" t="str">
        <f>IF(Agent07_Loans!B33="","",Agent07_Loans!A33)</f>
        <v/>
      </c>
      <c r="B1223" s="37" t="str">
        <f>IF(Agent07_Loans!B33="","",Agent07_Loans!B33)</f>
        <v/>
      </c>
      <c r="C1223" s="37" t="str">
        <f>IF(Agent07_Loans!B33="","",Agent07_Loans!C33)</f>
        <v/>
      </c>
      <c r="D1223" s="38" t="str">
        <f>IF(Agent07_Loans!B33="","",Agent07_Loans!D33)</f>
        <v/>
      </c>
      <c r="E1223" s="40" t="str">
        <f>IF(Agent07_Loans!B33="","",Agent07_Loans!E33)</f>
        <v/>
      </c>
      <c r="F1223" s="37" t="str">
        <f>IF(Agent07_Loans!B33="","",Agent07_Loans!F33)</f>
        <v/>
      </c>
      <c r="G1223" s="37" t="str">
        <f>IF(Agent07_Loans!B33="","",Agent07_Loans!G33)</f>
        <v/>
      </c>
      <c r="H1223" s="37" t="str">
        <f>IF(Agent07_Loans!B33="","",Agent07_Loans!H33)</f>
        <v/>
      </c>
      <c r="I1223" s="40" t="str">
        <f>IF(Agent07_Loans!B33="","",Agent07_Loans!I33)</f>
        <v/>
      </c>
      <c r="J1223" s="40" t="str">
        <f>IF(Agent07_Loans!B33="","",Agent07_Loans!J33)</f>
        <v/>
      </c>
      <c r="K1223" s="37" t="str">
        <f>IF(Agent07_Loans!B33="","",Agent07_Loans!K33)</f>
        <v/>
      </c>
      <c r="L1223" s="37" t="str">
        <f>IF(Agent07_Loans!B33="","",Agent07_Loans!L33)</f>
        <v/>
      </c>
      <c r="M1223" s="37" t="str">
        <f>IFERROR(IF(Agent07_Loans!B33="","",YEAR(Agent07_Loans!D33)),"")</f>
        <v/>
      </c>
    </row>
    <row r="1224" spans="1:13" ht="18" customHeight="1" x14ac:dyDescent="0.25">
      <c r="A1224" s="37" t="str">
        <f>IF(Agent07_Loans!B34="","",Agent07_Loans!A34)</f>
        <v/>
      </c>
      <c r="B1224" s="37" t="str">
        <f>IF(Agent07_Loans!B34="","",Agent07_Loans!B34)</f>
        <v/>
      </c>
      <c r="C1224" s="37" t="str">
        <f>IF(Agent07_Loans!B34="","",Agent07_Loans!C34)</f>
        <v/>
      </c>
      <c r="D1224" s="38" t="str">
        <f>IF(Agent07_Loans!B34="","",Agent07_Loans!D34)</f>
        <v/>
      </c>
      <c r="E1224" s="40" t="str">
        <f>IF(Agent07_Loans!B34="","",Agent07_Loans!E34)</f>
        <v/>
      </c>
      <c r="F1224" s="37" t="str">
        <f>IF(Agent07_Loans!B34="","",Agent07_Loans!F34)</f>
        <v/>
      </c>
      <c r="G1224" s="37" t="str">
        <f>IF(Agent07_Loans!B34="","",Agent07_Loans!G34)</f>
        <v/>
      </c>
      <c r="H1224" s="37" t="str">
        <f>IF(Agent07_Loans!B34="","",Agent07_Loans!H34)</f>
        <v/>
      </c>
      <c r="I1224" s="40" t="str">
        <f>IF(Agent07_Loans!B34="","",Agent07_Loans!I34)</f>
        <v/>
      </c>
      <c r="J1224" s="40" t="str">
        <f>IF(Agent07_Loans!B34="","",Agent07_Loans!J34)</f>
        <v/>
      </c>
      <c r="K1224" s="37" t="str">
        <f>IF(Agent07_Loans!B34="","",Agent07_Loans!K34)</f>
        <v/>
      </c>
      <c r="L1224" s="37" t="str">
        <f>IF(Agent07_Loans!B34="","",Agent07_Loans!L34)</f>
        <v/>
      </c>
      <c r="M1224" s="37" t="str">
        <f>IFERROR(IF(Agent07_Loans!B34="","",YEAR(Agent07_Loans!D34)),"")</f>
        <v/>
      </c>
    </row>
    <row r="1225" spans="1:13" ht="18" customHeight="1" x14ac:dyDescent="0.25">
      <c r="A1225" s="37" t="str">
        <f>IF(Agent07_Loans!B35="","",Agent07_Loans!A35)</f>
        <v/>
      </c>
      <c r="B1225" s="37" t="str">
        <f>IF(Agent07_Loans!B35="","",Agent07_Loans!B35)</f>
        <v/>
      </c>
      <c r="C1225" s="37" t="str">
        <f>IF(Agent07_Loans!B35="","",Agent07_Loans!C35)</f>
        <v/>
      </c>
      <c r="D1225" s="38" t="str">
        <f>IF(Agent07_Loans!B35="","",Agent07_Loans!D35)</f>
        <v/>
      </c>
      <c r="E1225" s="40" t="str">
        <f>IF(Agent07_Loans!B35="","",Agent07_Loans!E35)</f>
        <v/>
      </c>
      <c r="F1225" s="37" t="str">
        <f>IF(Agent07_Loans!B35="","",Agent07_Loans!F35)</f>
        <v/>
      </c>
      <c r="G1225" s="37" t="str">
        <f>IF(Agent07_Loans!B35="","",Agent07_Loans!G35)</f>
        <v/>
      </c>
      <c r="H1225" s="37" t="str">
        <f>IF(Agent07_Loans!B35="","",Agent07_Loans!H35)</f>
        <v/>
      </c>
      <c r="I1225" s="40" t="str">
        <f>IF(Agent07_Loans!B35="","",Agent07_Loans!I35)</f>
        <v/>
      </c>
      <c r="J1225" s="40" t="str">
        <f>IF(Agent07_Loans!B35="","",Agent07_Loans!J35)</f>
        <v/>
      </c>
      <c r="K1225" s="37" t="str">
        <f>IF(Agent07_Loans!B35="","",Agent07_Loans!K35)</f>
        <v/>
      </c>
      <c r="L1225" s="37" t="str">
        <f>IF(Agent07_Loans!B35="","",Agent07_Loans!L35)</f>
        <v/>
      </c>
      <c r="M1225" s="37" t="str">
        <f>IFERROR(IF(Agent07_Loans!B35="","",YEAR(Agent07_Loans!D35)),"")</f>
        <v/>
      </c>
    </row>
    <row r="1226" spans="1:13" ht="18" customHeight="1" x14ac:dyDescent="0.25">
      <c r="A1226" s="37" t="str">
        <f>IF(Agent07_Loans!B36="","",Agent07_Loans!A36)</f>
        <v/>
      </c>
      <c r="B1226" s="37" t="str">
        <f>IF(Agent07_Loans!B36="","",Agent07_Loans!B36)</f>
        <v/>
      </c>
      <c r="C1226" s="37" t="str">
        <f>IF(Agent07_Loans!B36="","",Agent07_Loans!C36)</f>
        <v/>
      </c>
      <c r="D1226" s="38" t="str">
        <f>IF(Agent07_Loans!B36="","",Agent07_Loans!D36)</f>
        <v/>
      </c>
      <c r="E1226" s="40" t="str">
        <f>IF(Agent07_Loans!B36="","",Agent07_Loans!E36)</f>
        <v/>
      </c>
      <c r="F1226" s="37" t="str">
        <f>IF(Agent07_Loans!B36="","",Agent07_Loans!F36)</f>
        <v/>
      </c>
      <c r="G1226" s="37" t="str">
        <f>IF(Agent07_Loans!B36="","",Agent07_Loans!G36)</f>
        <v/>
      </c>
      <c r="H1226" s="37" t="str">
        <f>IF(Agent07_Loans!B36="","",Agent07_Loans!H36)</f>
        <v/>
      </c>
      <c r="I1226" s="40" t="str">
        <f>IF(Agent07_Loans!B36="","",Agent07_Loans!I36)</f>
        <v/>
      </c>
      <c r="J1226" s="40" t="str">
        <f>IF(Agent07_Loans!B36="","",Agent07_Loans!J36)</f>
        <v/>
      </c>
      <c r="K1226" s="37" t="str">
        <f>IF(Agent07_Loans!B36="","",Agent07_Loans!K36)</f>
        <v/>
      </c>
      <c r="L1226" s="37" t="str">
        <f>IF(Agent07_Loans!B36="","",Agent07_Loans!L36)</f>
        <v/>
      </c>
      <c r="M1226" s="37" t="str">
        <f>IFERROR(IF(Agent07_Loans!B36="","",YEAR(Agent07_Loans!D36)),"")</f>
        <v/>
      </c>
    </row>
    <row r="1227" spans="1:13" ht="18" customHeight="1" x14ac:dyDescent="0.25">
      <c r="A1227" s="37" t="str">
        <f>IF(Agent07_Loans!B37="","",Agent07_Loans!A37)</f>
        <v/>
      </c>
      <c r="B1227" s="37" t="str">
        <f>IF(Agent07_Loans!B37="","",Agent07_Loans!B37)</f>
        <v/>
      </c>
      <c r="C1227" s="37" t="str">
        <f>IF(Agent07_Loans!B37="","",Agent07_Loans!C37)</f>
        <v/>
      </c>
      <c r="D1227" s="38" t="str">
        <f>IF(Agent07_Loans!B37="","",Agent07_Loans!D37)</f>
        <v/>
      </c>
      <c r="E1227" s="40" t="str">
        <f>IF(Agent07_Loans!B37="","",Agent07_Loans!E37)</f>
        <v/>
      </c>
      <c r="F1227" s="37" t="str">
        <f>IF(Agent07_Loans!B37="","",Agent07_Loans!F37)</f>
        <v/>
      </c>
      <c r="G1227" s="37" t="str">
        <f>IF(Agent07_Loans!B37="","",Agent07_Loans!G37)</f>
        <v/>
      </c>
      <c r="H1227" s="37" t="str">
        <f>IF(Agent07_Loans!B37="","",Agent07_Loans!H37)</f>
        <v/>
      </c>
      <c r="I1227" s="40" t="str">
        <f>IF(Agent07_Loans!B37="","",Agent07_Loans!I37)</f>
        <v/>
      </c>
      <c r="J1227" s="40" t="str">
        <f>IF(Agent07_Loans!B37="","",Agent07_Loans!J37)</f>
        <v/>
      </c>
      <c r="K1227" s="37" t="str">
        <f>IF(Agent07_Loans!B37="","",Agent07_Loans!K37)</f>
        <v/>
      </c>
      <c r="L1227" s="37" t="str">
        <f>IF(Agent07_Loans!B37="","",Agent07_Loans!L37)</f>
        <v/>
      </c>
      <c r="M1227" s="37" t="str">
        <f>IFERROR(IF(Agent07_Loans!B37="","",YEAR(Agent07_Loans!D37)),"")</f>
        <v/>
      </c>
    </row>
    <row r="1228" spans="1:13" ht="18" customHeight="1" x14ac:dyDescent="0.25">
      <c r="A1228" s="37" t="str">
        <f>IF(Agent07_Loans!B38="","",Agent07_Loans!A38)</f>
        <v/>
      </c>
      <c r="B1228" s="37" t="str">
        <f>IF(Agent07_Loans!B38="","",Agent07_Loans!B38)</f>
        <v/>
      </c>
      <c r="C1228" s="37" t="str">
        <f>IF(Agent07_Loans!B38="","",Agent07_Loans!C38)</f>
        <v/>
      </c>
      <c r="D1228" s="38" t="str">
        <f>IF(Agent07_Loans!B38="","",Agent07_Loans!D38)</f>
        <v/>
      </c>
      <c r="E1228" s="40" t="str">
        <f>IF(Agent07_Loans!B38="","",Agent07_Loans!E38)</f>
        <v/>
      </c>
      <c r="F1228" s="37" t="str">
        <f>IF(Agent07_Loans!B38="","",Agent07_Loans!F38)</f>
        <v/>
      </c>
      <c r="G1228" s="37" t="str">
        <f>IF(Agent07_Loans!B38="","",Agent07_Loans!G38)</f>
        <v/>
      </c>
      <c r="H1228" s="37" t="str">
        <f>IF(Agent07_Loans!B38="","",Agent07_Loans!H38)</f>
        <v/>
      </c>
      <c r="I1228" s="40" t="str">
        <f>IF(Agent07_Loans!B38="","",Agent07_Loans!I38)</f>
        <v/>
      </c>
      <c r="J1228" s="40" t="str">
        <f>IF(Agent07_Loans!B38="","",Agent07_Loans!J38)</f>
        <v/>
      </c>
      <c r="K1228" s="37" t="str">
        <f>IF(Agent07_Loans!B38="","",Agent07_Loans!K38)</f>
        <v/>
      </c>
      <c r="L1228" s="37" t="str">
        <f>IF(Agent07_Loans!B38="","",Agent07_Loans!L38)</f>
        <v/>
      </c>
      <c r="M1228" s="37" t="str">
        <f>IFERROR(IF(Agent07_Loans!B38="","",YEAR(Agent07_Loans!D38)),"")</f>
        <v/>
      </c>
    </row>
    <row r="1229" spans="1:13" ht="18" customHeight="1" x14ac:dyDescent="0.25">
      <c r="A1229" s="37" t="str">
        <f>IF(Agent07_Loans!B39="","",Agent07_Loans!A39)</f>
        <v/>
      </c>
      <c r="B1229" s="37" t="str">
        <f>IF(Agent07_Loans!B39="","",Agent07_Loans!B39)</f>
        <v/>
      </c>
      <c r="C1229" s="37" t="str">
        <f>IF(Agent07_Loans!B39="","",Agent07_Loans!C39)</f>
        <v/>
      </c>
      <c r="D1229" s="38" t="str">
        <f>IF(Agent07_Loans!B39="","",Agent07_Loans!D39)</f>
        <v/>
      </c>
      <c r="E1229" s="40" t="str">
        <f>IF(Agent07_Loans!B39="","",Agent07_Loans!E39)</f>
        <v/>
      </c>
      <c r="F1229" s="37" t="str">
        <f>IF(Agent07_Loans!B39="","",Agent07_Loans!F39)</f>
        <v/>
      </c>
      <c r="G1229" s="37" t="str">
        <f>IF(Agent07_Loans!B39="","",Agent07_Loans!G39)</f>
        <v/>
      </c>
      <c r="H1229" s="37" t="str">
        <f>IF(Agent07_Loans!B39="","",Agent07_Loans!H39)</f>
        <v/>
      </c>
      <c r="I1229" s="40" t="str">
        <f>IF(Agent07_Loans!B39="","",Agent07_Loans!I39)</f>
        <v/>
      </c>
      <c r="J1229" s="40" t="str">
        <f>IF(Agent07_Loans!B39="","",Agent07_Loans!J39)</f>
        <v/>
      </c>
      <c r="K1229" s="37" t="str">
        <f>IF(Agent07_Loans!B39="","",Agent07_Loans!K39)</f>
        <v/>
      </c>
      <c r="L1229" s="37" t="str">
        <f>IF(Agent07_Loans!B39="","",Agent07_Loans!L39)</f>
        <v/>
      </c>
      <c r="M1229" s="37" t="str">
        <f>IFERROR(IF(Agent07_Loans!B39="","",YEAR(Agent07_Loans!D39)),"")</f>
        <v/>
      </c>
    </row>
    <row r="1230" spans="1:13" ht="18" customHeight="1" x14ac:dyDescent="0.25">
      <c r="A1230" s="37" t="str">
        <f>IF(Agent07_Loans!B40="","",Agent07_Loans!A40)</f>
        <v/>
      </c>
      <c r="B1230" s="37" t="str">
        <f>IF(Agent07_Loans!B40="","",Agent07_Loans!B40)</f>
        <v/>
      </c>
      <c r="C1230" s="37" t="str">
        <f>IF(Agent07_Loans!B40="","",Agent07_Loans!C40)</f>
        <v/>
      </c>
      <c r="D1230" s="38" t="str">
        <f>IF(Agent07_Loans!B40="","",Agent07_Loans!D40)</f>
        <v/>
      </c>
      <c r="E1230" s="40" t="str">
        <f>IF(Agent07_Loans!B40="","",Agent07_Loans!E40)</f>
        <v/>
      </c>
      <c r="F1230" s="37" t="str">
        <f>IF(Agent07_Loans!B40="","",Agent07_Loans!F40)</f>
        <v/>
      </c>
      <c r="G1230" s="37" t="str">
        <f>IF(Agent07_Loans!B40="","",Agent07_Loans!G40)</f>
        <v/>
      </c>
      <c r="H1230" s="37" t="str">
        <f>IF(Agent07_Loans!B40="","",Agent07_Loans!H40)</f>
        <v/>
      </c>
      <c r="I1230" s="40" t="str">
        <f>IF(Agent07_Loans!B40="","",Agent07_Loans!I40)</f>
        <v/>
      </c>
      <c r="J1230" s="40" t="str">
        <f>IF(Agent07_Loans!B40="","",Agent07_Loans!J40)</f>
        <v/>
      </c>
      <c r="K1230" s="37" t="str">
        <f>IF(Agent07_Loans!B40="","",Agent07_Loans!K40)</f>
        <v/>
      </c>
      <c r="L1230" s="37" t="str">
        <f>IF(Agent07_Loans!B40="","",Agent07_Loans!L40)</f>
        <v/>
      </c>
      <c r="M1230" s="37" t="str">
        <f>IFERROR(IF(Agent07_Loans!B40="","",YEAR(Agent07_Loans!D40)),"")</f>
        <v/>
      </c>
    </row>
    <row r="1231" spans="1:13" ht="18" customHeight="1" x14ac:dyDescent="0.25">
      <c r="A1231" s="37" t="str">
        <f>IF(Agent07_Loans!B41="","",Agent07_Loans!A41)</f>
        <v/>
      </c>
      <c r="B1231" s="37" t="str">
        <f>IF(Agent07_Loans!B41="","",Agent07_Loans!B41)</f>
        <v/>
      </c>
      <c r="C1231" s="37" t="str">
        <f>IF(Agent07_Loans!B41="","",Agent07_Loans!C41)</f>
        <v/>
      </c>
      <c r="D1231" s="38" t="str">
        <f>IF(Agent07_Loans!B41="","",Agent07_Loans!D41)</f>
        <v/>
      </c>
      <c r="E1231" s="40" t="str">
        <f>IF(Agent07_Loans!B41="","",Agent07_Loans!E41)</f>
        <v/>
      </c>
      <c r="F1231" s="37" t="str">
        <f>IF(Agent07_Loans!B41="","",Agent07_Loans!F41)</f>
        <v/>
      </c>
      <c r="G1231" s="37" t="str">
        <f>IF(Agent07_Loans!B41="","",Agent07_Loans!G41)</f>
        <v/>
      </c>
      <c r="H1231" s="37" t="str">
        <f>IF(Agent07_Loans!B41="","",Agent07_Loans!H41)</f>
        <v/>
      </c>
      <c r="I1231" s="40" t="str">
        <f>IF(Agent07_Loans!B41="","",Agent07_Loans!I41)</f>
        <v/>
      </c>
      <c r="J1231" s="40" t="str">
        <f>IF(Agent07_Loans!B41="","",Agent07_Loans!J41)</f>
        <v/>
      </c>
      <c r="K1231" s="37" t="str">
        <f>IF(Agent07_Loans!B41="","",Agent07_Loans!K41)</f>
        <v/>
      </c>
      <c r="L1231" s="37" t="str">
        <f>IF(Agent07_Loans!B41="","",Agent07_Loans!L41)</f>
        <v/>
      </c>
      <c r="M1231" s="37" t="str">
        <f>IFERROR(IF(Agent07_Loans!B41="","",YEAR(Agent07_Loans!D41)),"")</f>
        <v/>
      </c>
    </row>
    <row r="1232" spans="1:13" ht="18" customHeight="1" x14ac:dyDescent="0.25">
      <c r="A1232" s="37" t="str">
        <f>IF(Agent07_Loans!B42="","",Agent07_Loans!A42)</f>
        <v/>
      </c>
      <c r="B1232" s="37" t="str">
        <f>IF(Agent07_Loans!B42="","",Agent07_Loans!B42)</f>
        <v/>
      </c>
      <c r="C1232" s="37" t="str">
        <f>IF(Agent07_Loans!B42="","",Agent07_Loans!C42)</f>
        <v/>
      </c>
      <c r="D1232" s="38" t="str">
        <f>IF(Agent07_Loans!B42="","",Agent07_Loans!D42)</f>
        <v/>
      </c>
      <c r="E1232" s="40" t="str">
        <f>IF(Agent07_Loans!B42="","",Agent07_Loans!E42)</f>
        <v/>
      </c>
      <c r="F1232" s="37" t="str">
        <f>IF(Agent07_Loans!B42="","",Agent07_Loans!F42)</f>
        <v/>
      </c>
      <c r="G1232" s="37" t="str">
        <f>IF(Agent07_Loans!B42="","",Agent07_Loans!G42)</f>
        <v/>
      </c>
      <c r="H1232" s="37" t="str">
        <f>IF(Agent07_Loans!B42="","",Agent07_Loans!H42)</f>
        <v/>
      </c>
      <c r="I1232" s="40" t="str">
        <f>IF(Agent07_Loans!B42="","",Agent07_Loans!I42)</f>
        <v/>
      </c>
      <c r="J1232" s="40" t="str">
        <f>IF(Agent07_Loans!B42="","",Agent07_Loans!J42)</f>
        <v/>
      </c>
      <c r="K1232" s="37" t="str">
        <f>IF(Agent07_Loans!B42="","",Agent07_Loans!K42)</f>
        <v/>
      </c>
      <c r="L1232" s="37" t="str">
        <f>IF(Agent07_Loans!B42="","",Agent07_Loans!L42)</f>
        <v/>
      </c>
      <c r="M1232" s="37" t="str">
        <f>IFERROR(IF(Agent07_Loans!B42="","",YEAR(Agent07_Loans!D42)),"")</f>
        <v/>
      </c>
    </row>
    <row r="1233" spans="1:13" ht="18" customHeight="1" x14ac:dyDescent="0.25">
      <c r="A1233" s="37" t="str">
        <f>IF(Agent07_Loans!B43="","",Agent07_Loans!A43)</f>
        <v/>
      </c>
      <c r="B1233" s="37" t="str">
        <f>IF(Agent07_Loans!B43="","",Agent07_Loans!B43)</f>
        <v/>
      </c>
      <c r="C1233" s="37" t="str">
        <f>IF(Agent07_Loans!B43="","",Agent07_Loans!C43)</f>
        <v/>
      </c>
      <c r="D1233" s="38" t="str">
        <f>IF(Agent07_Loans!B43="","",Agent07_Loans!D43)</f>
        <v/>
      </c>
      <c r="E1233" s="40" t="str">
        <f>IF(Agent07_Loans!B43="","",Agent07_Loans!E43)</f>
        <v/>
      </c>
      <c r="F1233" s="37" t="str">
        <f>IF(Agent07_Loans!B43="","",Agent07_Loans!F43)</f>
        <v/>
      </c>
      <c r="G1233" s="37" t="str">
        <f>IF(Agent07_Loans!B43="","",Agent07_Loans!G43)</f>
        <v/>
      </c>
      <c r="H1233" s="37" t="str">
        <f>IF(Agent07_Loans!B43="","",Agent07_Loans!H43)</f>
        <v/>
      </c>
      <c r="I1233" s="40" t="str">
        <f>IF(Agent07_Loans!B43="","",Agent07_Loans!I43)</f>
        <v/>
      </c>
      <c r="J1233" s="40" t="str">
        <f>IF(Agent07_Loans!B43="","",Agent07_Loans!J43)</f>
        <v/>
      </c>
      <c r="K1233" s="37" t="str">
        <f>IF(Agent07_Loans!B43="","",Agent07_Loans!K43)</f>
        <v/>
      </c>
      <c r="L1233" s="37" t="str">
        <f>IF(Agent07_Loans!B43="","",Agent07_Loans!L43)</f>
        <v/>
      </c>
      <c r="M1233" s="37" t="str">
        <f>IFERROR(IF(Agent07_Loans!B43="","",YEAR(Agent07_Loans!D43)),"")</f>
        <v/>
      </c>
    </row>
    <row r="1234" spans="1:13" ht="18" customHeight="1" x14ac:dyDescent="0.25">
      <c r="A1234" s="37" t="str">
        <f>IF(Agent07_Loans!B44="","",Agent07_Loans!A44)</f>
        <v/>
      </c>
      <c r="B1234" s="37" t="str">
        <f>IF(Agent07_Loans!B44="","",Agent07_Loans!B44)</f>
        <v/>
      </c>
      <c r="C1234" s="37" t="str">
        <f>IF(Agent07_Loans!B44="","",Agent07_Loans!C44)</f>
        <v/>
      </c>
      <c r="D1234" s="38" t="str">
        <f>IF(Agent07_Loans!B44="","",Agent07_Loans!D44)</f>
        <v/>
      </c>
      <c r="E1234" s="40" t="str">
        <f>IF(Agent07_Loans!B44="","",Agent07_Loans!E44)</f>
        <v/>
      </c>
      <c r="F1234" s="37" t="str">
        <f>IF(Agent07_Loans!B44="","",Agent07_Loans!F44)</f>
        <v/>
      </c>
      <c r="G1234" s="37" t="str">
        <f>IF(Agent07_Loans!B44="","",Agent07_Loans!G44)</f>
        <v/>
      </c>
      <c r="H1234" s="37" t="str">
        <f>IF(Agent07_Loans!B44="","",Agent07_Loans!H44)</f>
        <v/>
      </c>
      <c r="I1234" s="40" t="str">
        <f>IF(Agent07_Loans!B44="","",Agent07_Loans!I44)</f>
        <v/>
      </c>
      <c r="J1234" s="40" t="str">
        <f>IF(Agent07_Loans!B44="","",Agent07_Loans!J44)</f>
        <v/>
      </c>
      <c r="K1234" s="37" t="str">
        <f>IF(Agent07_Loans!B44="","",Agent07_Loans!K44)</f>
        <v/>
      </c>
      <c r="L1234" s="37" t="str">
        <f>IF(Agent07_Loans!B44="","",Agent07_Loans!L44)</f>
        <v/>
      </c>
      <c r="M1234" s="37" t="str">
        <f>IFERROR(IF(Agent07_Loans!B44="","",YEAR(Agent07_Loans!D44)),"")</f>
        <v/>
      </c>
    </row>
    <row r="1235" spans="1:13" ht="18" customHeight="1" x14ac:dyDescent="0.25">
      <c r="A1235" s="37" t="str">
        <f>IF(Agent07_Loans!B45="","",Agent07_Loans!A45)</f>
        <v/>
      </c>
      <c r="B1235" s="37" t="str">
        <f>IF(Agent07_Loans!B45="","",Agent07_Loans!B45)</f>
        <v/>
      </c>
      <c r="C1235" s="37" t="str">
        <f>IF(Agent07_Loans!B45="","",Agent07_Loans!C45)</f>
        <v/>
      </c>
      <c r="D1235" s="38" t="str">
        <f>IF(Agent07_Loans!B45="","",Agent07_Loans!D45)</f>
        <v/>
      </c>
      <c r="E1235" s="40" t="str">
        <f>IF(Agent07_Loans!B45="","",Agent07_Loans!E45)</f>
        <v/>
      </c>
      <c r="F1235" s="37" t="str">
        <f>IF(Agent07_Loans!B45="","",Agent07_Loans!F45)</f>
        <v/>
      </c>
      <c r="G1235" s="37" t="str">
        <f>IF(Agent07_Loans!B45="","",Agent07_Loans!G45)</f>
        <v/>
      </c>
      <c r="H1235" s="37" t="str">
        <f>IF(Agent07_Loans!B45="","",Agent07_Loans!H45)</f>
        <v/>
      </c>
      <c r="I1235" s="40" t="str">
        <f>IF(Agent07_Loans!B45="","",Agent07_Loans!I45)</f>
        <v/>
      </c>
      <c r="J1235" s="40" t="str">
        <f>IF(Agent07_Loans!B45="","",Agent07_Loans!J45)</f>
        <v/>
      </c>
      <c r="K1235" s="37" t="str">
        <f>IF(Agent07_Loans!B45="","",Agent07_Loans!K45)</f>
        <v/>
      </c>
      <c r="L1235" s="37" t="str">
        <f>IF(Agent07_Loans!B45="","",Agent07_Loans!L45)</f>
        <v/>
      </c>
      <c r="M1235" s="37" t="str">
        <f>IFERROR(IF(Agent07_Loans!B45="","",YEAR(Agent07_Loans!D45)),"")</f>
        <v/>
      </c>
    </row>
    <row r="1236" spans="1:13" ht="18" customHeight="1" x14ac:dyDescent="0.25">
      <c r="A1236" s="37" t="str">
        <f>IF(Agent07_Loans!B46="","",Agent07_Loans!A46)</f>
        <v/>
      </c>
      <c r="B1236" s="37" t="str">
        <f>IF(Agent07_Loans!B46="","",Agent07_Loans!B46)</f>
        <v/>
      </c>
      <c r="C1236" s="37" t="str">
        <f>IF(Agent07_Loans!B46="","",Agent07_Loans!C46)</f>
        <v/>
      </c>
      <c r="D1236" s="38" t="str">
        <f>IF(Agent07_Loans!B46="","",Agent07_Loans!D46)</f>
        <v/>
      </c>
      <c r="E1236" s="40" t="str">
        <f>IF(Agent07_Loans!B46="","",Agent07_Loans!E46)</f>
        <v/>
      </c>
      <c r="F1236" s="37" t="str">
        <f>IF(Agent07_Loans!B46="","",Agent07_Loans!F46)</f>
        <v/>
      </c>
      <c r="G1236" s="37" t="str">
        <f>IF(Agent07_Loans!B46="","",Agent07_Loans!G46)</f>
        <v/>
      </c>
      <c r="H1236" s="37" t="str">
        <f>IF(Agent07_Loans!B46="","",Agent07_Loans!H46)</f>
        <v/>
      </c>
      <c r="I1236" s="40" t="str">
        <f>IF(Agent07_Loans!B46="","",Agent07_Loans!I46)</f>
        <v/>
      </c>
      <c r="J1236" s="40" t="str">
        <f>IF(Agent07_Loans!B46="","",Agent07_Loans!J46)</f>
        <v/>
      </c>
      <c r="K1236" s="37" t="str">
        <f>IF(Agent07_Loans!B46="","",Agent07_Loans!K46)</f>
        <v/>
      </c>
      <c r="L1236" s="37" t="str">
        <f>IF(Agent07_Loans!B46="","",Agent07_Loans!L46)</f>
        <v/>
      </c>
      <c r="M1236" s="37" t="str">
        <f>IFERROR(IF(Agent07_Loans!B46="","",YEAR(Agent07_Loans!D46)),"")</f>
        <v/>
      </c>
    </row>
    <row r="1237" spans="1:13" ht="18" customHeight="1" x14ac:dyDescent="0.25">
      <c r="A1237" s="37" t="str">
        <f>IF(Agent07_Loans!B47="","",Agent07_Loans!A47)</f>
        <v/>
      </c>
      <c r="B1237" s="37" t="str">
        <f>IF(Agent07_Loans!B47="","",Agent07_Loans!B47)</f>
        <v/>
      </c>
      <c r="C1237" s="37" t="str">
        <f>IF(Agent07_Loans!B47="","",Agent07_Loans!C47)</f>
        <v/>
      </c>
      <c r="D1237" s="38" t="str">
        <f>IF(Agent07_Loans!B47="","",Agent07_Loans!D47)</f>
        <v/>
      </c>
      <c r="E1237" s="40" t="str">
        <f>IF(Agent07_Loans!B47="","",Agent07_Loans!E47)</f>
        <v/>
      </c>
      <c r="F1237" s="37" t="str">
        <f>IF(Agent07_Loans!B47="","",Agent07_Loans!F47)</f>
        <v/>
      </c>
      <c r="G1237" s="37" t="str">
        <f>IF(Agent07_Loans!B47="","",Agent07_Loans!G47)</f>
        <v/>
      </c>
      <c r="H1237" s="37" t="str">
        <f>IF(Agent07_Loans!B47="","",Agent07_Loans!H47)</f>
        <v/>
      </c>
      <c r="I1237" s="40" t="str">
        <f>IF(Agent07_Loans!B47="","",Agent07_Loans!I47)</f>
        <v/>
      </c>
      <c r="J1237" s="40" t="str">
        <f>IF(Agent07_Loans!B47="","",Agent07_Loans!J47)</f>
        <v/>
      </c>
      <c r="K1237" s="37" t="str">
        <f>IF(Agent07_Loans!B47="","",Agent07_Loans!K47)</f>
        <v/>
      </c>
      <c r="L1237" s="37" t="str">
        <f>IF(Agent07_Loans!B47="","",Agent07_Loans!L47)</f>
        <v/>
      </c>
      <c r="M1237" s="37" t="str">
        <f>IFERROR(IF(Agent07_Loans!B47="","",YEAR(Agent07_Loans!D47)),"")</f>
        <v/>
      </c>
    </row>
    <row r="1238" spans="1:13" ht="18" customHeight="1" x14ac:dyDescent="0.25">
      <c r="A1238" s="37" t="str">
        <f>IF(Agent07_Loans!B48="","",Agent07_Loans!A48)</f>
        <v/>
      </c>
      <c r="B1238" s="37" t="str">
        <f>IF(Agent07_Loans!B48="","",Agent07_Loans!B48)</f>
        <v/>
      </c>
      <c r="C1238" s="37" t="str">
        <f>IF(Agent07_Loans!B48="","",Agent07_Loans!C48)</f>
        <v/>
      </c>
      <c r="D1238" s="38" t="str">
        <f>IF(Agent07_Loans!B48="","",Agent07_Loans!D48)</f>
        <v/>
      </c>
      <c r="E1238" s="40" t="str">
        <f>IF(Agent07_Loans!B48="","",Agent07_Loans!E48)</f>
        <v/>
      </c>
      <c r="F1238" s="37" t="str">
        <f>IF(Agent07_Loans!B48="","",Agent07_Loans!F48)</f>
        <v/>
      </c>
      <c r="G1238" s="37" t="str">
        <f>IF(Agent07_Loans!B48="","",Agent07_Loans!G48)</f>
        <v/>
      </c>
      <c r="H1238" s="37" t="str">
        <f>IF(Agent07_Loans!B48="","",Agent07_Loans!H48)</f>
        <v/>
      </c>
      <c r="I1238" s="40" t="str">
        <f>IF(Agent07_Loans!B48="","",Agent07_Loans!I48)</f>
        <v/>
      </c>
      <c r="J1238" s="40" t="str">
        <f>IF(Agent07_Loans!B48="","",Agent07_Loans!J48)</f>
        <v/>
      </c>
      <c r="K1238" s="37" t="str">
        <f>IF(Agent07_Loans!B48="","",Agent07_Loans!K48)</f>
        <v/>
      </c>
      <c r="L1238" s="37" t="str">
        <f>IF(Agent07_Loans!B48="","",Agent07_Loans!L48)</f>
        <v/>
      </c>
      <c r="M1238" s="37" t="str">
        <f>IFERROR(IF(Agent07_Loans!B48="","",YEAR(Agent07_Loans!D48)),"")</f>
        <v/>
      </c>
    </row>
    <row r="1239" spans="1:13" ht="18" customHeight="1" x14ac:dyDescent="0.25">
      <c r="A1239" s="37" t="str">
        <f>IF(Agent07_Loans!B49="","",Agent07_Loans!A49)</f>
        <v/>
      </c>
      <c r="B1239" s="37" t="str">
        <f>IF(Agent07_Loans!B49="","",Agent07_Loans!B49)</f>
        <v/>
      </c>
      <c r="C1239" s="37" t="str">
        <f>IF(Agent07_Loans!B49="","",Agent07_Loans!C49)</f>
        <v/>
      </c>
      <c r="D1239" s="38" t="str">
        <f>IF(Agent07_Loans!B49="","",Agent07_Loans!D49)</f>
        <v/>
      </c>
      <c r="E1239" s="40" t="str">
        <f>IF(Agent07_Loans!B49="","",Agent07_Loans!E49)</f>
        <v/>
      </c>
      <c r="F1239" s="37" t="str">
        <f>IF(Agent07_Loans!B49="","",Agent07_Loans!F49)</f>
        <v/>
      </c>
      <c r="G1239" s="37" t="str">
        <f>IF(Agent07_Loans!B49="","",Agent07_Loans!G49)</f>
        <v/>
      </c>
      <c r="H1239" s="37" t="str">
        <f>IF(Agent07_Loans!B49="","",Agent07_Loans!H49)</f>
        <v/>
      </c>
      <c r="I1239" s="40" t="str">
        <f>IF(Agent07_Loans!B49="","",Agent07_Loans!I49)</f>
        <v/>
      </c>
      <c r="J1239" s="40" t="str">
        <f>IF(Agent07_Loans!B49="","",Agent07_Loans!J49)</f>
        <v/>
      </c>
      <c r="K1239" s="37" t="str">
        <f>IF(Agent07_Loans!B49="","",Agent07_Loans!K49)</f>
        <v/>
      </c>
      <c r="L1239" s="37" t="str">
        <f>IF(Agent07_Loans!B49="","",Agent07_Loans!L49)</f>
        <v/>
      </c>
      <c r="M1239" s="37" t="str">
        <f>IFERROR(IF(Agent07_Loans!B49="","",YEAR(Agent07_Loans!D49)),"")</f>
        <v/>
      </c>
    </row>
    <row r="1240" spans="1:13" ht="18" customHeight="1" x14ac:dyDescent="0.25">
      <c r="A1240" s="37" t="str">
        <f>IF(Agent07_Loans!B50="","",Agent07_Loans!A50)</f>
        <v/>
      </c>
      <c r="B1240" s="37" t="str">
        <f>IF(Agent07_Loans!B50="","",Agent07_Loans!B50)</f>
        <v/>
      </c>
      <c r="C1240" s="37" t="str">
        <f>IF(Agent07_Loans!B50="","",Agent07_Loans!C50)</f>
        <v/>
      </c>
      <c r="D1240" s="38" t="str">
        <f>IF(Agent07_Loans!B50="","",Agent07_Loans!D50)</f>
        <v/>
      </c>
      <c r="E1240" s="40" t="str">
        <f>IF(Agent07_Loans!B50="","",Agent07_Loans!E50)</f>
        <v/>
      </c>
      <c r="F1240" s="37" t="str">
        <f>IF(Agent07_Loans!B50="","",Agent07_Loans!F50)</f>
        <v/>
      </c>
      <c r="G1240" s="37" t="str">
        <f>IF(Agent07_Loans!B50="","",Agent07_Loans!G50)</f>
        <v/>
      </c>
      <c r="H1240" s="37" t="str">
        <f>IF(Agent07_Loans!B50="","",Agent07_Loans!H50)</f>
        <v/>
      </c>
      <c r="I1240" s="40" t="str">
        <f>IF(Agent07_Loans!B50="","",Agent07_Loans!I50)</f>
        <v/>
      </c>
      <c r="J1240" s="40" t="str">
        <f>IF(Agent07_Loans!B50="","",Agent07_Loans!J50)</f>
        <v/>
      </c>
      <c r="K1240" s="37" t="str">
        <f>IF(Agent07_Loans!B50="","",Agent07_Loans!K50)</f>
        <v/>
      </c>
      <c r="L1240" s="37" t="str">
        <f>IF(Agent07_Loans!B50="","",Agent07_Loans!L50)</f>
        <v/>
      </c>
      <c r="M1240" s="37" t="str">
        <f>IFERROR(IF(Agent07_Loans!B50="","",YEAR(Agent07_Loans!D50)),"")</f>
        <v/>
      </c>
    </row>
    <row r="1241" spans="1:13" ht="18" customHeight="1" x14ac:dyDescent="0.25">
      <c r="A1241" s="37" t="str">
        <f>IF(Agent07_Loans!B51="","",Agent07_Loans!A51)</f>
        <v/>
      </c>
      <c r="B1241" s="37" t="str">
        <f>IF(Agent07_Loans!B51="","",Agent07_Loans!B51)</f>
        <v/>
      </c>
      <c r="C1241" s="37" t="str">
        <f>IF(Agent07_Loans!B51="","",Agent07_Loans!C51)</f>
        <v/>
      </c>
      <c r="D1241" s="38" t="str">
        <f>IF(Agent07_Loans!B51="","",Agent07_Loans!D51)</f>
        <v/>
      </c>
      <c r="E1241" s="40" t="str">
        <f>IF(Agent07_Loans!B51="","",Agent07_Loans!E51)</f>
        <v/>
      </c>
      <c r="F1241" s="37" t="str">
        <f>IF(Agent07_Loans!B51="","",Agent07_Loans!F51)</f>
        <v/>
      </c>
      <c r="G1241" s="37" t="str">
        <f>IF(Agent07_Loans!B51="","",Agent07_Loans!G51)</f>
        <v/>
      </c>
      <c r="H1241" s="37" t="str">
        <f>IF(Agent07_Loans!B51="","",Agent07_Loans!H51)</f>
        <v/>
      </c>
      <c r="I1241" s="40" t="str">
        <f>IF(Agent07_Loans!B51="","",Agent07_Loans!I51)</f>
        <v/>
      </c>
      <c r="J1241" s="40" t="str">
        <f>IF(Agent07_Loans!B51="","",Agent07_Loans!J51)</f>
        <v/>
      </c>
      <c r="K1241" s="37" t="str">
        <f>IF(Agent07_Loans!B51="","",Agent07_Loans!K51)</f>
        <v/>
      </c>
      <c r="L1241" s="37" t="str">
        <f>IF(Agent07_Loans!B51="","",Agent07_Loans!L51)</f>
        <v/>
      </c>
      <c r="M1241" s="37" t="str">
        <f>IFERROR(IF(Agent07_Loans!B51="","",YEAR(Agent07_Loans!D51)),"")</f>
        <v/>
      </c>
    </row>
    <row r="1242" spans="1:13" ht="18" customHeight="1" x14ac:dyDescent="0.25">
      <c r="A1242" s="37" t="str">
        <f>IF(Agent07_Loans!B52="","",Agent07_Loans!A52)</f>
        <v/>
      </c>
      <c r="B1242" s="37" t="str">
        <f>IF(Agent07_Loans!B52="","",Agent07_Loans!B52)</f>
        <v/>
      </c>
      <c r="C1242" s="37" t="str">
        <f>IF(Agent07_Loans!B52="","",Agent07_Loans!C52)</f>
        <v/>
      </c>
      <c r="D1242" s="38" t="str">
        <f>IF(Agent07_Loans!B52="","",Agent07_Loans!D52)</f>
        <v/>
      </c>
      <c r="E1242" s="40" t="str">
        <f>IF(Agent07_Loans!B52="","",Agent07_Loans!E52)</f>
        <v/>
      </c>
      <c r="F1242" s="37" t="str">
        <f>IF(Agent07_Loans!B52="","",Agent07_Loans!F52)</f>
        <v/>
      </c>
      <c r="G1242" s="37" t="str">
        <f>IF(Agent07_Loans!B52="","",Agent07_Loans!G52)</f>
        <v/>
      </c>
      <c r="H1242" s="37" t="str">
        <f>IF(Agent07_Loans!B52="","",Agent07_Loans!H52)</f>
        <v/>
      </c>
      <c r="I1242" s="40" t="str">
        <f>IF(Agent07_Loans!B52="","",Agent07_Loans!I52)</f>
        <v/>
      </c>
      <c r="J1242" s="40" t="str">
        <f>IF(Agent07_Loans!B52="","",Agent07_Loans!J52)</f>
        <v/>
      </c>
      <c r="K1242" s="37" t="str">
        <f>IF(Agent07_Loans!B52="","",Agent07_Loans!K52)</f>
        <v/>
      </c>
      <c r="L1242" s="37" t="str">
        <f>IF(Agent07_Loans!B52="","",Agent07_Loans!L52)</f>
        <v/>
      </c>
      <c r="M1242" s="37" t="str">
        <f>IFERROR(IF(Agent07_Loans!B52="","",YEAR(Agent07_Loans!D52)),"")</f>
        <v/>
      </c>
    </row>
    <row r="1243" spans="1:13" ht="18" customHeight="1" x14ac:dyDescent="0.25">
      <c r="A1243" s="37" t="str">
        <f>IF(Agent07_Loans!B53="","",Agent07_Loans!A53)</f>
        <v/>
      </c>
      <c r="B1243" s="37" t="str">
        <f>IF(Agent07_Loans!B53="","",Agent07_Loans!B53)</f>
        <v/>
      </c>
      <c r="C1243" s="37" t="str">
        <f>IF(Agent07_Loans!B53="","",Agent07_Loans!C53)</f>
        <v/>
      </c>
      <c r="D1243" s="38" t="str">
        <f>IF(Agent07_Loans!B53="","",Agent07_Loans!D53)</f>
        <v/>
      </c>
      <c r="E1243" s="40" t="str">
        <f>IF(Agent07_Loans!B53="","",Agent07_Loans!E53)</f>
        <v/>
      </c>
      <c r="F1243" s="37" t="str">
        <f>IF(Agent07_Loans!B53="","",Agent07_Loans!F53)</f>
        <v/>
      </c>
      <c r="G1243" s="37" t="str">
        <f>IF(Agent07_Loans!B53="","",Agent07_Loans!G53)</f>
        <v/>
      </c>
      <c r="H1243" s="37" t="str">
        <f>IF(Agent07_Loans!B53="","",Agent07_Loans!H53)</f>
        <v/>
      </c>
      <c r="I1243" s="40" t="str">
        <f>IF(Agent07_Loans!B53="","",Agent07_Loans!I53)</f>
        <v/>
      </c>
      <c r="J1243" s="40" t="str">
        <f>IF(Agent07_Loans!B53="","",Agent07_Loans!J53)</f>
        <v/>
      </c>
      <c r="K1243" s="37" t="str">
        <f>IF(Agent07_Loans!B53="","",Agent07_Loans!K53)</f>
        <v/>
      </c>
      <c r="L1243" s="37" t="str">
        <f>IF(Agent07_Loans!B53="","",Agent07_Loans!L53)</f>
        <v/>
      </c>
      <c r="M1243" s="37" t="str">
        <f>IFERROR(IF(Agent07_Loans!B53="","",YEAR(Agent07_Loans!D53)),"")</f>
        <v/>
      </c>
    </row>
    <row r="1244" spans="1:13" ht="18" customHeight="1" x14ac:dyDescent="0.25">
      <c r="A1244" s="37" t="str">
        <f>IF(Agent07_Loans!B54="","",Agent07_Loans!A54)</f>
        <v/>
      </c>
      <c r="B1244" s="37" t="str">
        <f>IF(Agent07_Loans!B54="","",Agent07_Loans!B54)</f>
        <v/>
      </c>
      <c r="C1244" s="37" t="str">
        <f>IF(Agent07_Loans!B54="","",Agent07_Loans!C54)</f>
        <v/>
      </c>
      <c r="D1244" s="38" t="str">
        <f>IF(Agent07_Loans!B54="","",Agent07_Loans!D54)</f>
        <v/>
      </c>
      <c r="E1244" s="40" t="str">
        <f>IF(Agent07_Loans!B54="","",Agent07_Loans!E54)</f>
        <v/>
      </c>
      <c r="F1244" s="37" t="str">
        <f>IF(Agent07_Loans!B54="","",Agent07_Loans!F54)</f>
        <v/>
      </c>
      <c r="G1244" s="37" t="str">
        <f>IF(Agent07_Loans!B54="","",Agent07_Loans!G54)</f>
        <v/>
      </c>
      <c r="H1244" s="37" t="str">
        <f>IF(Agent07_Loans!B54="","",Agent07_Loans!H54)</f>
        <v/>
      </c>
      <c r="I1244" s="40" t="str">
        <f>IF(Agent07_Loans!B54="","",Agent07_Loans!I54)</f>
        <v/>
      </c>
      <c r="J1244" s="40" t="str">
        <f>IF(Agent07_Loans!B54="","",Agent07_Loans!J54)</f>
        <v/>
      </c>
      <c r="K1244" s="37" t="str">
        <f>IF(Agent07_Loans!B54="","",Agent07_Loans!K54)</f>
        <v/>
      </c>
      <c r="L1244" s="37" t="str">
        <f>IF(Agent07_Loans!B54="","",Agent07_Loans!L54)</f>
        <v/>
      </c>
      <c r="M1244" s="37" t="str">
        <f>IFERROR(IF(Agent07_Loans!B54="","",YEAR(Agent07_Loans!D54)),"")</f>
        <v/>
      </c>
    </row>
    <row r="1245" spans="1:13" ht="18" customHeight="1" x14ac:dyDescent="0.25">
      <c r="A1245" s="37" t="str">
        <f>IF(Agent07_Loans!B55="","",Agent07_Loans!A55)</f>
        <v/>
      </c>
      <c r="B1245" s="37" t="str">
        <f>IF(Agent07_Loans!B55="","",Agent07_Loans!B55)</f>
        <v/>
      </c>
      <c r="C1245" s="37" t="str">
        <f>IF(Agent07_Loans!B55="","",Agent07_Loans!C55)</f>
        <v/>
      </c>
      <c r="D1245" s="38" t="str">
        <f>IF(Agent07_Loans!B55="","",Agent07_Loans!D55)</f>
        <v/>
      </c>
      <c r="E1245" s="40" t="str">
        <f>IF(Agent07_Loans!B55="","",Agent07_Loans!E55)</f>
        <v/>
      </c>
      <c r="F1245" s="37" t="str">
        <f>IF(Agent07_Loans!B55="","",Agent07_Loans!F55)</f>
        <v/>
      </c>
      <c r="G1245" s="37" t="str">
        <f>IF(Agent07_Loans!B55="","",Agent07_Loans!G55)</f>
        <v/>
      </c>
      <c r="H1245" s="37" t="str">
        <f>IF(Agent07_Loans!B55="","",Agent07_Loans!H55)</f>
        <v/>
      </c>
      <c r="I1245" s="40" t="str">
        <f>IF(Agent07_Loans!B55="","",Agent07_Loans!I55)</f>
        <v/>
      </c>
      <c r="J1245" s="40" t="str">
        <f>IF(Agent07_Loans!B55="","",Agent07_Loans!J55)</f>
        <v/>
      </c>
      <c r="K1245" s="37" t="str">
        <f>IF(Agent07_Loans!B55="","",Agent07_Loans!K55)</f>
        <v/>
      </c>
      <c r="L1245" s="37" t="str">
        <f>IF(Agent07_Loans!B55="","",Agent07_Loans!L55)</f>
        <v/>
      </c>
      <c r="M1245" s="37" t="str">
        <f>IFERROR(IF(Agent07_Loans!B55="","",YEAR(Agent07_Loans!D55)),"")</f>
        <v/>
      </c>
    </row>
    <row r="1246" spans="1:13" ht="18" customHeight="1" x14ac:dyDescent="0.25">
      <c r="A1246" s="37" t="str">
        <f>IF(Agent07_Loans!B56="","",Agent07_Loans!A56)</f>
        <v/>
      </c>
      <c r="B1246" s="37" t="str">
        <f>IF(Agent07_Loans!B56="","",Agent07_Loans!B56)</f>
        <v/>
      </c>
      <c r="C1246" s="37" t="str">
        <f>IF(Agent07_Loans!B56="","",Agent07_Loans!C56)</f>
        <v/>
      </c>
      <c r="D1246" s="38" t="str">
        <f>IF(Agent07_Loans!B56="","",Agent07_Loans!D56)</f>
        <v/>
      </c>
      <c r="E1246" s="40" t="str">
        <f>IF(Agent07_Loans!B56="","",Agent07_Loans!E56)</f>
        <v/>
      </c>
      <c r="F1246" s="37" t="str">
        <f>IF(Agent07_Loans!B56="","",Agent07_Loans!F56)</f>
        <v/>
      </c>
      <c r="G1246" s="37" t="str">
        <f>IF(Agent07_Loans!B56="","",Agent07_Loans!G56)</f>
        <v/>
      </c>
      <c r="H1246" s="37" t="str">
        <f>IF(Agent07_Loans!B56="","",Agent07_Loans!H56)</f>
        <v/>
      </c>
      <c r="I1246" s="40" t="str">
        <f>IF(Agent07_Loans!B56="","",Agent07_Loans!I56)</f>
        <v/>
      </c>
      <c r="J1246" s="40" t="str">
        <f>IF(Agent07_Loans!B56="","",Agent07_Loans!J56)</f>
        <v/>
      </c>
      <c r="K1246" s="37" t="str">
        <f>IF(Agent07_Loans!B56="","",Agent07_Loans!K56)</f>
        <v/>
      </c>
      <c r="L1246" s="37" t="str">
        <f>IF(Agent07_Loans!B56="","",Agent07_Loans!L56)</f>
        <v/>
      </c>
      <c r="M1246" s="37" t="str">
        <f>IFERROR(IF(Agent07_Loans!B56="","",YEAR(Agent07_Loans!D56)),"")</f>
        <v/>
      </c>
    </row>
    <row r="1247" spans="1:13" ht="18" customHeight="1" x14ac:dyDescent="0.25">
      <c r="A1247" s="37" t="str">
        <f>IF(Agent07_Loans!B57="","",Agent07_Loans!A57)</f>
        <v/>
      </c>
      <c r="B1247" s="37" t="str">
        <f>IF(Agent07_Loans!B57="","",Agent07_Loans!B57)</f>
        <v/>
      </c>
      <c r="C1247" s="37" t="str">
        <f>IF(Agent07_Loans!B57="","",Agent07_Loans!C57)</f>
        <v/>
      </c>
      <c r="D1247" s="38" t="str">
        <f>IF(Agent07_Loans!B57="","",Agent07_Loans!D57)</f>
        <v/>
      </c>
      <c r="E1247" s="40" t="str">
        <f>IF(Agent07_Loans!B57="","",Agent07_Loans!E57)</f>
        <v/>
      </c>
      <c r="F1247" s="37" t="str">
        <f>IF(Agent07_Loans!B57="","",Agent07_Loans!F57)</f>
        <v/>
      </c>
      <c r="G1247" s="37" t="str">
        <f>IF(Agent07_Loans!B57="","",Agent07_Loans!G57)</f>
        <v/>
      </c>
      <c r="H1247" s="37" t="str">
        <f>IF(Agent07_Loans!B57="","",Agent07_Loans!H57)</f>
        <v/>
      </c>
      <c r="I1247" s="40" t="str">
        <f>IF(Agent07_Loans!B57="","",Agent07_Loans!I57)</f>
        <v/>
      </c>
      <c r="J1247" s="40" t="str">
        <f>IF(Agent07_Loans!B57="","",Agent07_Loans!J57)</f>
        <v/>
      </c>
      <c r="K1247" s="37" t="str">
        <f>IF(Agent07_Loans!B57="","",Agent07_Loans!K57)</f>
        <v/>
      </c>
      <c r="L1247" s="37" t="str">
        <f>IF(Agent07_Loans!B57="","",Agent07_Loans!L57)</f>
        <v/>
      </c>
      <c r="M1247" s="37" t="str">
        <f>IFERROR(IF(Agent07_Loans!B57="","",YEAR(Agent07_Loans!D57)),"")</f>
        <v/>
      </c>
    </row>
    <row r="1248" spans="1:13" ht="18" customHeight="1" x14ac:dyDescent="0.25">
      <c r="A1248" s="37" t="str">
        <f>IF(Agent07_Loans!B58="","",Agent07_Loans!A58)</f>
        <v/>
      </c>
      <c r="B1248" s="37" t="str">
        <f>IF(Agent07_Loans!B58="","",Agent07_Loans!B58)</f>
        <v/>
      </c>
      <c r="C1248" s="37" t="str">
        <f>IF(Agent07_Loans!B58="","",Agent07_Loans!C58)</f>
        <v/>
      </c>
      <c r="D1248" s="38" t="str">
        <f>IF(Agent07_Loans!B58="","",Agent07_Loans!D58)</f>
        <v/>
      </c>
      <c r="E1248" s="40" t="str">
        <f>IF(Agent07_Loans!B58="","",Agent07_Loans!E58)</f>
        <v/>
      </c>
      <c r="F1248" s="37" t="str">
        <f>IF(Agent07_Loans!B58="","",Agent07_Loans!F58)</f>
        <v/>
      </c>
      <c r="G1248" s="37" t="str">
        <f>IF(Agent07_Loans!B58="","",Agent07_Loans!G58)</f>
        <v/>
      </c>
      <c r="H1248" s="37" t="str">
        <f>IF(Agent07_Loans!B58="","",Agent07_Loans!H58)</f>
        <v/>
      </c>
      <c r="I1248" s="40" t="str">
        <f>IF(Agent07_Loans!B58="","",Agent07_Loans!I58)</f>
        <v/>
      </c>
      <c r="J1248" s="40" t="str">
        <f>IF(Agent07_Loans!B58="","",Agent07_Loans!J58)</f>
        <v/>
      </c>
      <c r="K1248" s="37" t="str">
        <f>IF(Agent07_Loans!B58="","",Agent07_Loans!K58)</f>
        <v/>
      </c>
      <c r="L1248" s="37" t="str">
        <f>IF(Agent07_Loans!B58="","",Agent07_Loans!L58)</f>
        <v/>
      </c>
      <c r="M1248" s="37" t="str">
        <f>IFERROR(IF(Agent07_Loans!B58="","",YEAR(Agent07_Loans!D58)),"")</f>
        <v/>
      </c>
    </row>
    <row r="1249" spans="1:13" ht="18" customHeight="1" x14ac:dyDescent="0.25">
      <c r="A1249" s="37" t="str">
        <f>IF(Agent07_Loans!B59="","",Agent07_Loans!A59)</f>
        <v/>
      </c>
      <c r="B1249" s="37" t="str">
        <f>IF(Agent07_Loans!B59="","",Agent07_Loans!B59)</f>
        <v/>
      </c>
      <c r="C1249" s="37" t="str">
        <f>IF(Agent07_Loans!B59="","",Agent07_Loans!C59)</f>
        <v/>
      </c>
      <c r="D1249" s="38" t="str">
        <f>IF(Agent07_Loans!B59="","",Agent07_Loans!D59)</f>
        <v/>
      </c>
      <c r="E1249" s="40" t="str">
        <f>IF(Agent07_Loans!B59="","",Agent07_Loans!E59)</f>
        <v/>
      </c>
      <c r="F1249" s="37" t="str">
        <f>IF(Agent07_Loans!B59="","",Agent07_Loans!F59)</f>
        <v/>
      </c>
      <c r="G1249" s="37" t="str">
        <f>IF(Agent07_Loans!B59="","",Agent07_Loans!G59)</f>
        <v/>
      </c>
      <c r="H1249" s="37" t="str">
        <f>IF(Agent07_Loans!B59="","",Agent07_Loans!H59)</f>
        <v/>
      </c>
      <c r="I1249" s="40" t="str">
        <f>IF(Agent07_Loans!B59="","",Agent07_Loans!I59)</f>
        <v/>
      </c>
      <c r="J1249" s="40" t="str">
        <f>IF(Agent07_Loans!B59="","",Agent07_Loans!J59)</f>
        <v/>
      </c>
      <c r="K1249" s="37" t="str">
        <f>IF(Agent07_Loans!B59="","",Agent07_Loans!K59)</f>
        <v/>
      </c>
      <c r="L1249" s="37" t="str">
        <f>IF(Agent07_Loans!B59="","",Agent07_Loans!L59)</f>
        <v/>
      </c>
      <c r="M1249" s="37" t="str">
        <f>IFERROR(IF(Agent07_Loans!B59="","",YEAR(Agent07_Loans!D59)),"")</f>
        <v/>
      </c>
    </row>
    <row r="1250" spans="1:13" ht="18" customHeight="1" x14ac:dyDescent="0.25">
      <c r="A1250" s="37" t="str">
        <f>IF(Agent07_Loans!B60="","",Agent07_Loans!A60)</f>
        <v/>
      </c>
      <c r="B1250" s="37" t="str">
        <f>IF(Agent07_Loans!B60="","",Agent07_Loans!B60)</f>
        <v/>
      </c>
      <c r="C1250" s="37" t="str">
        <f>IF(Agent07_Loans!B60="","",Agent07_Loans!C60)</f>
        <v/>
      </c>
      <c r="D1250" s="38" t="str">
        <f>IF(Agent07_Loans!B60="","",Agent07_Loans!D60)</f>
        <v/>
      </c>
      <c r="E1250" s="40" t="str">
        <f>IF(Agent07_Loans!B60="","",Agent07_Loans!E60)</f>
        <v/>
      </c>
      <c r="F1250" s="37" t="str">
        <f>IF(Agent07_Loans!B60="","",Agent07_Loans!F60)</f>
        <v/>
      </c>
      <c r="G1250" s="37" t="str">
        <f>IF(Agent07_Loans!B60="","",Agent07_Loans!G60)</f>
        <v/>
      </c>
      <c r="H1250" s="37" t="str">
        <f>IF(Agent07_Loans!B60="","",Agent07_Loans!H60)</f>
        <v/>
      </c>
      <c r="I1250" s="40" t="str">
        <f>IF(Agent07_Loans!B60="","",Agent07_Loans!I60)</f>
        <v/>
      </c>
      <c r="J1250" s="40" t="str">
        <f>IF(Agent07_Loans!B60="","",Agent07_Loans!J60)</f>
        <v/>
      </c>
      <c r="K1250" s="37" t="str">
        <f>IF(Agent07_Loans!B60="","",Agent07_Loans!K60)</f>
        <v/>
      </c>
      <c r="L1250" s="37" t="str">
        <f>IF(Agent07_Loans!B60="","",Agent07_Loans!L60)</f>
        <v/>
      </c>
      <c r="M1250" s="37" t="str">
        <f>IFERROR(IF(Agent07_Loans!B60="","",YEAR(Agent07_Loans!D60)),"")</f>
        <v/>
      </c>
    </row>
    <row r="1251" spans="1:13" ht="18" customHeight="1" x14ac:dyDescent="0.25">
      <c r="A1251" s="37" t="str">
        <f>IF(Agent07_Loans!B61="","",Agent07_Loans!A61)</f>
        <v/>
      </c>
      <c r="B1251" s="37" t="str">
        <f>IF(Agent07_Loans!B61="","",Agent07_Loans!B61)</f>
        <v/>
      </c>
      <c r="C1251" s="37" t="str">
        <f>IF(Agent07_Loans!B61="","",Agent07_Loans!C61)</f>
        <v/>
      </c>
      <c r="D1251" s="38" t="str">
        <f>IF(Agent07_Loans!B61="","",Agent07_Loans!D61)</f>
        <v/>
      </c>
      <c r="E1251" s="40" t="str">
        <f>IF(Agent07_Loans!B61="","",Agent07_Loans!E61)</f>
        <v/>
      </c>
      <c r="F1251" s="37" t="str">
        <f>IF(Agent07_Loans!B61="","",Agent07_Loans!F61)</f>
        <v/>
      </c>
      <c r="G1251" s="37" t="str">
        <f>IF(Agent07_Loans!B61="","",Agent07_Loans!G61)</f>
        <v/>
      </c>
      <c r="H1251" s="37" t="str">
        <f>IF(Agent07_Loans!B61="","",Agent07_Loans!H61)</f>
        <v/>
      </c>
      <c r="I1251" s="40" t="str">
        <f>IF(Agent07_Loans!B61="","",Agent07_Loans!I61)</f>
        <v/>
      </c>
      <c r="J1251" s="40" t="str">
        <f>IF(Agent07_Loans!B61="","",Agent07_Loans!J61)</f>
        <v/>
      </c>
      <c r="K1251" s="37" t="str">
        <f>IF(Agent07_Loans!B61="","",Agent07_Loans!K61)</f>
        <v/>
      </c>
      <c r="L1251" s="37" t="str">
        <f>IF(Agent07_Loans!B61="","",Agent07_Loans!L61)</f>
        <v/>
      </c>
      <c r="M1251" s="37" t="str">
        <f>IFERROR(IF(Agent07_Loans!B61="","",YEAR(Agent07_Loans!D61)),"")</f>
        <v/>
      </c>
    </row>
    <row r="1252" spans="1:13" ht="18" customHeight="1" x14ac:dyDescent="0.25">
      <c r="A1252" s="37" t="str">
        <f>IF(Agent07_Loans!B62="","",Agent07_Loans!A62)</f>
        <v/>
      </c>
      <c r="B1252" s="37" t="str">
        <f>IF(Agent07_Loans!B62="","",Agent07_Loans!B62)</f>
        <v/>
      </c>
      <c r="C1252" s="37" t="str">
        <f>IF(Agent07_Loans!B62="","",Agent07_Loans!C62)</f>
        <v/>
      </c>
      <c r="D1252" s="38" t="str">
        <f>IF(Agent07_Loans!B62="","",Agent07_Loans!D62)</f>
        <v/>
      </c>
      <c r="E1252" s="40" t="str">
        <f>IF(Agent07_Loans!B62="","",Agent07_Loans!E62)</f>
        <v/>
      </c>
      <c r="F1252" s="37" t="str">
        <f>IF(Agent07_Loans!B62="","",Agent07_Loans!F62)</f>
        <v/>
      </c>
      <c r="G1252" s="37" t="str">
        <f>IF(Agent07_Loans!B62="","",Agent07_Loans!G62)</f>
        <v/>
      </c>
      <c r="H1252" s="37" t="str">
        <f>IF(Agent07_Loans!B62="","",Agent07_Loans!H62)</f>
        <v/>
      </c>
      <c r="I1252" s="40" t="str">
        <f>IF(Agent07_Loans!B62="","",Agent07_Loans!I62)</f>
        <v/>
      </c>
      <c r="J1252" s="40" t="str">
        <f>IF(Agent07_Loans!B62="","",Agent07_Loans!J62)</f>
        <v/>
      </c>
      <c r="K1252" s="37" t="str">
        <f>IF(Agent07_Loans!B62="","",Agent07_Loans!K62)</f>
        <v/>
      </c>
      <c r="L1252" s="37" t="str">
        <f>IF(Agent07_Loans!B62="","",Agent07_Loans!L62)</f>
        <v/>
      </c>
      <c r="M1252" s="37" t="str">
        <f>IFERROR(IF(Agent07_Loans!B62="","",YEAR(Agent07_Loans!D62)),"")</f>
        <v/>
      </c>
    </row>
    <row r="1253" spans="1:13" ht="18" customHeight="1" x14ac:dyDescent="0.25">
      <c r="A1253" s="37" t="str">
        <f>IF(Agent07_Loans!B63="","",Agent07_Loans!A63)</f>
        <v/>
      </c>
      <c r="B1253" s="37" t="str">
        <f>IF(Agent07_Loans!B63="","",Agent07_Loans!B63)</f>
        <v/>
      </c>
      <c r="C1253" s="37" t="str">
        <f>IF(Agent07_Loans!B63="","",Agent07_Loans!C63)</f>
        <v/>
      </c>
      <c r="D1253" s="38" t="str">
        <f>IF(Agent07_Loans!B63="","",Agent07_Loans!D63)</f>
        <v/>
      </c>
      <c r="E1253" s="40" t="str">
        <f>IF(Agent07_Loans!B63="","",Agent07_Loans!E63)</f>
        <v/>
      </c>
      <c r="F1253" s="37" t="str">
        <f>IF(Agent07_Loans!B63="","",Agent07_Loans!F63)</f>
        <v/>
      </c>
      <c r="G1253" s="37" t="str">
        <f>IF(Agent07_Loans!B63="","",Agent07_Loans!G63)</f>
        <v/>
      </c>
      <c r="H1253" s="37" t="str">
        <f>IF(Agent07_Loans!B63="","",Agent07_Loans!H63)</f>
        <v/>
      </c>
      <c r="I1253" s="40" t="str">
        <f>IF(Agent07_Loans!B63="","",Agent07_Loans!I63)</f>
        <v/>
      </c>
      <c r="J1253" s="40" t="str">
        <f>IF(Agent07_Loans!B63="","",Agent07_Loans!J63)</f>
        <v/>
      </c>
      <c r="K1253" s="37" t="str">
        <f>IF(Agent07_Loans!B63="","",Agent07_Loans!K63)</f>
        <v/>
      </c>
      <c r="L1253" s="37" t="str">
        <f>IF(Agent07_Loans!B63="","",Agent07_Loans!L63)</f>
        <v/>
      </c>
      <c r="M1253" s="37" t="str">
        <f>IFERROR(IF(Agent07_Loans!B63="","",YEAR(Agent07_Loans!D63)),"")</f>
        <v/>
      </c>
    </row>
    <row r="1254" spans="1:13" ht="18" customHeight="1" x14ac:dyDescent="0.25">
      <c r="A1254" s="37" t="str">
        <f>IF(Agent07_Loans!B64="","",Agent07_Loans!A64)</f>
        <v/>
      </c>
      <c r="B1254" s="37" t="str">
        <f>IF(Agent07_Loans!B64="","",Agent07_Loans!B64)</f>
        <v/>
      </c>
      <c r="C1254" s="37" t="str">
        <f>IF(Agent07_Loans!B64="","",Agent07_Loans!C64)</f>
        <v/>
      </c>
      <c r="D1254" s="38" t="str">
        <f>IF(Agent07_Loans!B64="","",Agent07_Loans!D64)</f>
        <v/>
      </c>
      <c r="E1254" s="40" t="str">
        <f>IF(Agent07_Loans!B64="","",Agent07_Loans!E64)</f>
        <v/>
      </c>
      <c r="F1254" s="37" t="str">
        <f>IF(Agent07_Loans!B64="","",Agent07_Loans!F64)</f>
        <v/>
      </c>
      <c r="G1254" s="37" t="str">
        <f>IF(Agent07_Loans!B64="","",Agent07_Loans!G64)</f>
        <v/>
      </c>
      <c r="H1254" s="37" t="str">
        <f>IF(Agent07_Loans!B64="","",Agent07_Loans!H64)</f>
        <v/>
      </c>
      <c r="I1254" s="40" t="str">
        <f>IF(Agent07_Loans!B64="","",Agent07_Loans!I64)</f>
        <v/>
      </c>
      <c r="J1254" s="40" t="str">
        <f>IF(Agent07_Loans!B64="","",Agent07_Loans!J64)</f>
        <v/>
      </c>
      <c r="K1254" s="37" t="str">
        <f>IF(Agent07_Loans!B64="","",Agent07_Loans!K64)</f>
        <v/>
      </c>
      <c r="L1254" s="37" t="str">
        <f>IF(Agent07_Loans!B64="","",Agent07_Loans!L64)</f>
        <v/>
      </c>
      <c r="M1254" s="37" t="str">
        <f>IFERROR(IF(Agent07_Loans!B64="","",YEAR(Agent07_Loans!D64)),"")</f>
        <v/>
      </c>
    </row>
    <row r="1255" spans="1:13" ht="18" customHeight="1" x14ac:dyDescent="0.25">
      <c r="A1255" s="37" t="str">
        <f>IF(Agent07_Loans!B65="","",Agent07_Loans!A65)</f>
        <v/>
      </c>
      <c r="B1255" s="37" t="str">
        <f>IF(Agent07_Loans!B65="","",Agent07_Loans!B65)</f>
        <v/>
      </c>
      <c r="C1255" s="37" t="str">
        <f>IF(Agent07_Loans!B65="","",Agent07_Loans!C65)</f>
        <v/>
      </c>
      <c r="D1255" s="38" t="str">
        <f>IF(Agent07_Loans!B65="","",Agent07_Loans!D65)</f>
        <v/>
      </c>
      <c r="E1255" s="40" t="str">
        <f>IF(Agent07_Loans!B65="","",Agent07_Loans!E65)</f>
        <v/>
      </c>
      <c r="F1255" s="37" t="str">
        <f>IF(Agent07_Loans!B65="","",Agent07_Loans!F65)</f>
        <v/>
      </c>
      <c r="G1255" s="37" t="str">
        <f>IF(Agent07_Loans!B65="","",Agent07_Loans!G65)</f>
        <v/>
      </c>
      <c r="H1255" s="37" t="str">
        <f>IF(Agent07_Loans!B65="","",Agent07_Loans!H65)</f>
        <v/>
      </c>
      <c r="I1255" s="40" t="str">
        <f>IF(Agent07_Loans!B65="","",Agent07_Loans!I65)</f>
        <v/>
      </c>
      <c r="J1255" s="40" t="str">
        <f>IF(Agent07_Loans!B65="","",Agent07_Loans!J65)</f>
        <v/>
      </c>
      <c r="K1255" s="37" t="str">
        <f>IF(Agent07_Loans!B65="","",Agent07_Loans!K65)</f>
        <v/>
      </c>
      <c r="L1255" s="37" t="str">
        <f>IF(Agent07_Loans!B65="","",Agent07_Loans!L65)</f>
        <v/>
      </c>
      <c r="M1255" s="37" t="str">
        <f>IFERROR(IF(Agent07_Loans!B65="","",YEAR(Agent07_Loans!D65)),"")</f>
        <v/>
      </c>
    </row>
    <row r="1256" spans="1:13" ht="18" customHeight="1" x14ac:dyDescent="0.25">
      <c r="A1256" s="37" t="str">
        <f>IF(Agent07_Loans!B66="","",Agent07_Loans!A66)</f>
        <v/>
      </c>
      <c r="B1256" s="37" t="str">
        <f>IF(Agent07_Loans!B66="","",Agent07_Loans!B66)</f>
        <v/>
      </c>
      <c r="C1256" s="37" t="str">
        <f>IF(Agent07_Loans!B66="","",Agent07_Loans!C66)</f>
        <v/>
      </c>
      <c r="D1256" s="38" t="str">
        <f>IF(Agent07_Loans!B66="","",Agent07_Loans!D66)</f>
        <v/>
      </c>
      <c r="E1256" s="40" t="str">
        <f>IF(Agent07_Loans!B66="","",Agent07_Loans!E66)</f>
        <v/>
      </c>
      <c r="F1256" s="37" t="str">
        <f>IF(Agent07_Loans!B66="","",Agent07_Loans!F66)</f>
        <v/>
      </c>
      <c r="G1256" s="37" t="str">
        <f>IF(Agent07_Loans!B66="","",Agent07_Loans!G66)</f>
        <v/>
      </c>
      <c r="H1256" s="37" t="str">
        <f>IF(Agent07_Loans!B66="","",Agent07_Loans!H66)</f>
        <v/>
      </c>
      <c r="I1256" s="40" t="str">
        <f>IF(Agent07_Loans!B66="","",Agent07_Loans!I66)</f>
        <v/>
      </c>
      <c r="J1256" s="40" t="str">
        <f>IF(Agent07_Loans!B66="","",Agent07_Loans!J66)</f>
        <v/>
      </c>
      <c r="K1256" s="37" t="str">
        <f>IF(Agent07_Loans!B66="","",Agent07_Loans!K66)</f>
        <v/>
      </c>
      <c r="L1256" s="37" t="str">
        <f>IF(Agent07_Loans!B66="","",Agent07_Loans!L66)</f>
        <v/>
      </c>
      <c r="M1256" s="37" t="str">
        <f>IFERROR(IF(Agent07_Loans!B66="","",YEAR(Agent07_Loans!D66)),"")</f>
        <v/>
      </c>
    </row>
    <row r="1257" spans="1:13" ht="18" customHeight="1" x14ac:dyDescent="0.25">
      <c r="A1257" s="37" t="str">
        <f>IF(Agent07_Loans!B67="","",Agent07_Loans!A67)</f>
        <v/>
      </c>
      <c r="B1257" s="37" t="str">
        <f>IF(Agent07_Loans!B67="","",Agent07_Loans!B67)</f>
        <v/>
      </c>
      <c r="C1257" s="37" t="str">
        <f>IF(Agent07_Loans!B67="","",Agent07_Loans!C67)</f>
        <v/>
      </c>
      <c r="D1257" s="38" t="str">
        <f>IF(Agent07_Loans!B67="","",Agent07_Loans!D67)</f>
        <v/>
      </c>
      <c r="E1257" s="40" t="str">
        <f>IF(Agent07_Loans!B67="","",Agent07_Loans!E67)</f>
        <v/>
      </c>
      <c r="F1257" s="37" t="str">
        <f>IF(Agent07_Loans!B67="","",Agent07_Loans!F67)</f>
        <v/>
      </c>
      <c r="G1257" s="37" t="str">
        <f>IF(Agent07_Loans!B67="","",Agent07_Loans!G67)</f>
        <v/>
      </c>
      <c r="H1257" s="37" t="str">
        <f>IF(Agent07_Loans!B67="","",Agent07_Loans!H67)</f>
        <v/>
      </c>
      <c r="I1257" s="40" t="str">
        <f>IF(Agent07_Loans!B67="","",Agent07_Loans!I67)</f>
        <v/>
      </c>
      <c r="J1257" s="40" t="str">
        <f>IF(Agent07_Loans!B67="","",Agent07_Loans!J67)</f>
        <v/>
      </c>
      <c r="K1257" s="37" t="str">
        <f>IF(Agent07_Loans!B67="","",Agent07_Loans!K67)</f>
        <v/>
      </c>
      <c r="L1257" s="37" t="str">
        <f>IF(Agent07_Loans!B67="","",Agent07_Loans!L67)</f>
        <v/>
      </c>
      <c r="M1257" s="37" t="str">
        <f>IFERROR(IF(Agent07_Loans!B67="","",YEAR(Agent07_Loans!D67)),"")</f>
        <v/>
      </c>
    </row>
    <row r="1258" spans="1:13" ht="18" customHeight="1" x14ac:dyDescent="0.25">
      <c r="A1258" s="37" t="str">
        <f>IF(Agent07_Loans!B68="","",Agent07_Loans!A68)</f>
        <v/>
      </c>
      <c r="B1258" s="37" t="str">
        <f>IF(Agent07_Loans!B68="","",Agent07_Loans!B68)</f>
        <v/>
      </c>
      <c r="C1258" s="37" t="str">
        <f>IF(Agent07_Loans!B68="","",Agent07_Loans!C68)</f>
        <v/>
      </c>
      <c r="D1258" s="38" t="str">
        <f>IF(Agent07_Loans!B68="","",Agent07_Loans!D68)</f>
        <v/>
      </c>
      <c r="E1258" s="40" t="str">
        <f>IF(Agent07_Loans!B68="","",Agent07_Loans!E68)</f>
        <v/>
      </c>
      <c r="F1258" s="37" t="str">
        <f>IF(Agent07_Loans!B68="","",Agent07_Loans!F68)</f>
        <v/>
      </c>
      <c r="G1258" s="37" t="str">
        <f>IF(Agent07_Loans!B68="","",Agent07_Loans!G68)</f>
        <v/>
      </c>
      <c r="H1258" s="37" t="str">
        <f>IF(Agent07_Loans!B68="","",Agent07_Loans!H68)</f>
        <v/>
      </c>
      <c r="I1258" s="40" t="str">
        <f>IF(Agent07_Loans!B68="","",Agent07_Loans!I68)</f>
        <v/>
      </c>
      <c r="J1258" s="40" t="str">
        <f>IF(Agent07_Loans!B68="","",Agent07_Loans!J68)</f>
        <v/>
      </c>
      <c r="K1258" s="37" t="str">
        <f>IF(Agent07_Loans!B68="","",Agent07_Loans!K68)</f>
        <v/>
      </c>
      <c r="L1258" s="37" t="str">
        <f>IF(Agent07_Loans!B68="","",Agent07_Loans!L68)</f>
        <v/>
      </c>
      <c r="M1258" s="37" t="str">
        <f>IFERROR(IF(Agent07_Loans!B68="","",YEAR(Agent07_Loans!D68)),"")</f>
        <v/>
      </c>
    </row>
    <row r="1259" spans="1:13" ht="18" customHeight="1" x14ac:dyDescent="0.25">
      <c r="A1259" s="37" t="str">
        <f>IF(Agent07_Loans!B69="","",Agent07_Loans!A69)</f>
        <v/>
      </c>
      <c r="B1259" s="37" t="str">
        <f>IF(Agent07_Loans!B69="","",Agent07_Loans!B69)</f>
        <v/>
      </c>
      <c r="C1259" s="37" t="str">
        <f>IF(Agent07_Loans!B69="","",Agent07_Loans!C69)</f>
        <v/>
      </c>
      <c r="D1259" s="38" t="str">
        <f>IF(Agent07_Loans!B69="","",Agent07_Loans!D69)</f>
        <v/>
      </c>
      <c r="E1259" s="40" t="str">
        <f>IF(Agent07_Loans!B69="","",Agent07_Loans!E69)</f>
        <v/>
      </c>
      <c r="F1259" s="37" t="str">
        <f>IF(Agent07_Loans!B69="","",Agent07_Loans!F69)</f>
        <v/>
      </c>
      <c r="G1259" s="37" t="str">
        <f>IF(Agent07_Loans!B69="","",Agent07_Loans!G69)</f>
        <v/>
      </c>
      <c r="H1259" s="37" t="str">
        <f>IF(Agent07_Loans!B69="","",Agent07_Loans!H69)</f>
        <v/>
      </c>
      <c r="I1259" s="40" t="str">
        <f>IF(Agent07_Loans!B69="","",Agent07_Loans!I69)</f>
        <v/>
      </c>
      <c r="J1259" s="40" t="str">
        <f>IF(Agent07_Loans!B69="","",Agent07_Loans!J69)</f>
        <v/>
      </c>
      <c r="K1259" s="37" t="str">
        <f>IF(Agent07_Loans!B69="","",Agent07_Loans!K69)</f>
        <v/>
      </c>
      <c r="L1259" s="37" t="str">
        <f>IF(Agent07_Loans!B69="","",Agent07_Loans!L69)</f>
        <v/>
      </c>
      <c r="M1259" s="37" t="str">
        <f>IFERROR(IF(Agent07_Loans!B69="","",YEAR(Agent07_Loans!D69)),"")</f>
        <v/>
      </c>
    </row>
    <row r="1260" spans="1:13" ht="18" customHeight="1" x14ac:dyDescent="0.25">
      <c r="A1260" s="37" t="str">
        <f>IF(Agent07_Loans!B70="","",Agent07_Loans!A70)</f>
        <v/>
      </c>
      <c r="B1260" s="37" t="str">
        <f>IF(Agent07_Loans!B70="","",Agent07_Loans!B70)</f>
        <v/>
      </c>
      <c r="C1260" s="37" t="str">
        <f>IF(Agent07_Loans!B70="","",Agent07_Loans!C70)</f>
        <v/>
      </c>
      <c r="D1260" s="38" t="str">
        <f>IF(Agent07_Loans!B70="","",Agent07_Loans!D70)</f>
        <v/>
      </c>
      <c r="E1260" s="40" t="str">
        <f>IF(Agent07_Loans!B70="","",Agent07_Loans!E70)</f>
        <v/>
      </c>
      <c r="F1260" s="37" t="str">
        <f>IF(Agent07_Loans!B70="","",Agent07_Loans!F70)</f>
        <v/>
      </c>
      <c r="G1260" s="37" t="str">
        <f>IF(Agent07_Loans!B70="","",Agent07_Loans!G70)</f>
        <v/>
      </c>
      <c r="H1260" s="37" t="str">
        <f>IF(Agent07_Loans!B70="","",Agent07_Loans!H70)</f>
        <v/>
      </c>
      <c r="I1260" s="40" t="str">
        <f>IF(Agent07_Loans!B70="","",Agent07_Loans!I70)</f>
        <v/>
      </c>
      <c r="J1260" s="40" t="str">
        <f>IF(Agent07_Loans!B70="","",Agent07_Loans!J70)</f>
        <v/>
      </c>
      <c r="K1260" s="37" t="str">
        <f>IF(Agent07_Loans!B70="","",Agent07_Loans!K70)</f>
        <v/>
      </c>
      <c r="L1260" s="37" t="str">
        <f>IF(Agent07_Loans!B70="","",Agent07_Loans!L70)</f>
        <v/>
      </c>
      <c r="M1260" s="37" t="str">
        <f>IFERROR(IF(Agent07_Loans!B70="","",YEAR(Agent07_Loans!D70)),"")</f>
        <v/>
      </c>
    </row>
    <row r="1261" spans="1:13" ht="18" customHeight="1" x14ac:dyDescent="0.25">
      <c r="A1261" s="37" t="str">
        <f>IF(Agent07_Loans!B71="","",Agent07_Loans!A71)</f>
        <v/>
      </c>
      <c r="B1261" s="37" t="str">
        <f>IF(Agent07_Loans!B71="","",Agent07_Loans!B71)</f>
        <v/>
      </c>
      <c r="C1261" s="37" t="str">
        <f>IF(Agent07_Loans!B71="","",Agent07_Loans!C71)</f>
        <v/>
      </c>
      <c r="D1261" s="38" t="str">
        <f>IF(Agent07_Loans!B71="","",Agent07_Loans!D71)</f>
        <v/>
      </c>
      <c r="E1261" s="40" t="str">
        <f>IF(Agent07_Loans!B71="","",Agent07_Loans!E71)</f>
        <v/>
      </c>
      <c r="F1261" s="37" t="str">
        <f>IF(Agent07_Loans!B71="","",Agent07_Loans!F71)</f>
        <v/>
      </c>
      <c r="G1261" s="37" t="str">
        <f>IF(Agent07_Loans!B71="","",Agent07_Loans!G71)</f>
        <v/>
      </c>
      <c r="H1261" s="37" t="str">
        <f>IF(Agent07_Loans!B71="","",Agent07_Loans!H71)</f>
        <v/>
      </c>
      <c r="I1261" s="40" t="str">
        <f>IF(Agent07_Loans!B71="","",Agent07_Loans!I71)</f>
        <v/>
      </c>
      <c r="J1261" s="40" t="str">
        <f>IF(Agent07_Loans!B71="","",Agent07_Loans!J71)</f>
        <v/>
      </c>
      <c r="K1261" s="37" t="str">
        <f>IF(Agent07_Loans!B71="","",Agent07_Loans!K71)</f>
        <v/>
      </c>
      <c r="L1261" s="37" t="str">
        <f>IF(Agent07_Loans!B71="","",Agent07_Loans!L71)</f>
        <v/>
      </c>
      <c r="M1261" s="37" t="str">
        <f>IFERROR(IF(Agent07_Loans!B71="","",YEAR(Agent07_Loans!D71)),"")</f>
        <v/>
      </c>
    </row>
    <row r="1262" spans="1:13" ht="18" customHeight="1" x14ac:dyDescent="0.25">
      <c r="A1262" s="37" t="str">
        <f>IF(Agent07_Loans!B72="","",Agent07_Loans!A72)</f>
        <v/>
      </c>
      <c r="B1262" s="37" t="str">
        <f>IF(Agent07_Loans!B72="","",Agent07_Loans!B72)</f>
        <v/>
      </c>
      <c r="C1262" s="37" t="str">
        <f>IF(Agent07_Loans!B72="","",Agent07_Loans!C72)</f>
        <v/>
      </c>
      <c r="D1262" s="38" t="str">
        <f>IF(Agent07_Loans!B72="","",Agent07_Loans!D72)</f>
        <v/>
      </c>
      <c r="E1262" s="40" t="str">
        <f>IF(Agent07_Loans!B72="","",Agent07_Loans!E72)</f>
        <v/>
      </c>
      <c r="F1262" s="37" t="str">
        <f>IF(Agent07_Loans!B72="","",Agent07_Loans!F72)</f>
        <v/>
      </c>
      <c r="G1262" s="37" t="str">
        <f>IF(Agent07_Loans!B72="","",Agent07_Loans!G72)</f>
        <v/>
      </c>
      <c r="H1262" s="37" t="str">
        <f>IF(Agent07_Loans!B72="","",Agent07_Loans!H72)</f>
        <v/>
      </c>
      <c r="I1262" s="40" t="str">
        <f>IF(Agent07_Loans!B72="","",Agent07_Loans!I72)</f>
        <v/>
      </c>
      <c r="J1262" s="40" t="str">
        <f>IF(Agent07_Loans!B72="","",Agent07_Loans!J72)</f>
        <v/>
      </c>
      <c r="K1262" s="37" t="str">
        <f>IF(Agent07_Loans!B72="","",Agent07_Loans!K72)</f>
        <v/>
      </c>
      <c r="L1262" s="37" t="str">
        <f>IF(Agent07_Loans!B72="","",Agent07_Loans!L72)</f>
        <v/>
      </c>
      <c r="M1262" s="37" t="str">
        <f>IFERROR(IF(Agent07_Loans!B72="","",YEAR(Agent07_Loans!D72)),"")</f>
        <v/>
      </c>
    </row>
    <row r="1263" spans="1:13" ht="18" customHeight="1" x14ac:dyDescent="0.25">
      <c r="A1263" s="37" t="str">
        <f>IF(Agent07_Loans!B73="","",Agent07_Loans!A73)</f>
        <v/>
      </c>
      <c r="B1263" s="37" t="str">
        <f>IF(Agent07_Loans!B73="","",Agent07_Loans!B73)</f>
        <v/>
      </c>
      <c r="C1263" s="37" t="str">
        <f>IF(Agent07_Loans!B73="","",Agent07_Loans!C73)</f>
        <v/>
      </c>
      <c r="D1263" s="38" t="str">
        <f>IF(Agent07_Loans!B73="","",Agent07_Loans!D73)</f>
        <v/>
      </c>
      <c r="E1263" s="40" t="str">
        <f>IF(Agent07_Loans!B73="","",Agent07_Loans!E73)</f>
        <v/>
      </c>
      <c r="F1263" s="37" t="str">
        <f>IF(Agent07_Loans!B73="","",Agent07_Loans!F73)</f>
        <v/>
      </c>
      <c r="G1263" s="37" t="str">
        <f>IF(Agent07_Loans!B73="","",Agent07_Loans!G73)</f>
        <v/>
      </c>
      <c r="H1263" s="37" t="str">
        <f>IF(Agent07_Loans!B73="","",Agent07_Loans!H73)</f>
        <v/>
      </c>
      <c r="I1263" s="40" t="str">
        <f>IF(Agent07_Loans!B73="","",Agent07_Loans!I73)</f>
        <v/>
      </c>
      <c r="J1263" s="40" t="str">
        <f>IF(Agent07_Loans!B73="","",Agent07_Loans!J73)</f>
        <v/>
      </c>
      <c r="K1263" s="37" t="str">
        <f>IF(Agent07_Loans!B73="","",Agent07_Loans!K73)</f>
        <v/>
      </c>
      <c r="L1263" s="37" t="str">
        <f>IF(Agent07_Loans!B73="","",Agent07_Loans!L73)</f>
        <v/>
      </c>
      <c r="M1263" s="37" t="str">
        <f>IFERROR(IF(Agent07_Loans!B73="","",YEAR(Agent07_Loans!D73)),"")</f>
        <v/>
      </c>
    </row>
    <row r="1264" spans="1:13" ht="18" customHeight="1" x14ac:dyDescent="0.25">
      <c r="A1264" s="37" t="str">
        <f>IF(Agent07_Loans!B74="","",Agent07_Loans!A74)</f>
        <v/>
      </c>
      <c r="B1264" s="37" t="str">
        <f>IF(Agent07_Loans!B74="","",Agent07_Loans!B74)</f>
        <v/>
      </c>
      <c r="C1264" s="37" t="str">
        <f>IF(Agent07_Loans!B74="","",Agent07_Loans!C74)</f>
        <v/>
      </c>
      <c r="D1264" s="38" t="str">
        <f>IF(Agent07_Loans!B74="","",Agent07_Loans!D74)</f>
        <v/>
      </c>
      <c r="E1264" s="40" t="str">
        <f>IF(Agent07_Loans!B74="","",Agent07_Loans!E74)</f>
        <v/>
      </c>
      <c r="F1264" s="37" t="str">
        <f>IF(Agent07_Loans!B74="","",Agent07_Loans!F74)</f>
        <v/>
      </c>
      <c r="G1264" s="37" t="str">
        <f>IF(Agent07_Loans!B74="","",Agent07_Loans!G74)</f>
        <v/>
      </c>
      <c r="H1264" s="37" t="str">
        <f>IF(Agent07_Loans!B74="","",Agent07_Loans!H74)</f>
        <v/>
      </c>
      <c r="I1264" s="40" t="str">
        <f>IF(Agent07_Loans!B74="","",Agent07_Loans!I74)</f>
        <v/>
      </c>
      <c r="J1264" s="40" t="str">
        <f>IF(Agent07_Loans!B74="","",Agent07_Loans!J74)</f>
        <v/>
      </c>
      <c r="K1264" s="37" t="str">
        <f>IF(Agent07_Loans!B74="","",Agent07_Loans!K74)</f>
        <v/>
      </c>
      <c r="L1264" s="37" t="str">
        <f>IF(Agent07_Loans!B74="","",Agent07_Loans!L74)</f>
        <v/>
      </c>
      <c r="M1264" s="37" t="str">
        <f>IFERROR(IF(Agent07_Loans!B74="","",YEAR(Agent07_Loans!D74)),"")</f>
        <v/>
      </c>
    </row>
    <row r="1265" spans="1:13" ht="18" customHeight="1" x14ac:dyDescent="0.25">
      <c r="A1265" s="37" t="str">
        <f>IF(Agent07_Loans!B75="","",Agent07_Loans!A75)</f>
        <v/>
      </c>
      <c r="B1265" s="37" t="str">
        <f>IF(Agent07_Loans!B75="","",Agent07_Loans!B75)</f>
        <v/>
      </c>
      <c r="C1265" s="37" t="str">
        <f>IF(Agent07_Loans!B75="","",Agent07_Loans!C75)</f>
        <v/>
      </c>
      <c r="D1265" s="38" t="str">
        <f>IF(Agent07_Loans!B75="","",Agent07_Loans!D75)</f>
        <v/>
      </c>
      <c r="E1265" s="40" t="str">
        <f>IF(Agent07_Loans!B75="","",Agent07_Loans!E75)</f>
        <v/>
      </c>
      <c r="F1265" s="37" t="str">
        <f>IF(Agent07_Loans!B75="","",Agent07_Loans!F75)</f>
        <v/>
      </c>
      <c r="G1265" s="37" t="str">
        <f>IF(Agent07_Loans!B75="","",Agent07_Loans!G75)</f>
        <v/>
      </c>
      <c r="H1265" s="37" t="str">
        <f>IF(Agent07_Loans!B75="","",Agent07_Loans!H75)</f>
        <v/>
      </c>
      <c r="I1265" s="40" t="str">
        <f>IF(Agent07_Loans!B75="","",Agent07_Loans!I75)</f>
        <v/>
      </c>
      <c r="J1265" s="40" t="str">
        <f>IF(Agent07_Loans!B75="","",Agent07_Loans!J75)</f>
        <v/>
      </c>
      <c r="K1265" s="37" t="str">
        <f>IF(Agent07_Loans!B75="","",Agent07_Loans!K75)</f>
        <v/>
      </c>
      <c r="L1265" s="37" t="str">
        <f>IF(Agent07_Loans!B75="","",Agent07_Loans!L75)</f>
        <v/>
      </c>
      <c r="M1265" s="37" t="str">
        <f>IFERROR(IF(Agent07_Loans!B75="","",YEAR(Agent07_Loans!D75)),"")</f>
        <v/>
      </c>
    </row>
    <row r="1266" spans="1:13" ht="18" customHeight="1" x14ac:dyDescent="0.25">
      <c r="A1266" s="37" t="str">
        <f>IF(Agent07_Loans!B76="","",Agent07_Loans!A76)</f>
        <v/>
      </c>
      <c r="B1266" s="37" t="str">
        <f>IF(Agent07_Loans!B76="","",Agent07_Loans!B76)</f>
        <v/>
      </c>
      <c r="C1266" s="37" t="str">
        <f>IF(Agent07_Loans!B76="","",Agent07_Loans!C76)</f>
        <v/>
      </c>
      <c r="D1266" s="38" t="str">
        <f>IF(Agent07_Loans!B76="","",Agent07_Loans!D76)</f>
        <v/>
      </c>
      <c r="E1266" s="40" t="str">
        <f>IF(Agent07_Loans!B76="","",Agent07_Loans!E76)</f>
        <v/>
      </c>
      <c r="F1266" s="37" t="str">
        <f>IF(Agent07_Loans!B76="","",Agent07_Loans!F76)</f>
        <v/>
      </c>
      <c r="G1266" s="37" t="str">
        <f>IF(Agent07_Loans!B76="","",Agent07_Loans!G76)</f>
        <v/>
      </c>
      <c r="H1266" s="37" t="str">
        <f>IF(Agent07_Loans!B76="","",Agent07_Loans!H76)</f>
        <v/>
      </c>
      <c r="I1266" s="40" t="str">
        <f>IF(Agent07_Loans!B76="","",Agent07_Loans!I76)</f>
        <v/>
      </c>
      <c r="J1266" s="40" t="str">
        <f>IF(Agent07_Loans!B76="","",Agent07_Loans!J76)</f>
        <v/>
      </c>
      <c r="K1266" s="37" t="str">
        <f>IF(Agent07_Loans!B76="","",Agent07_Loans!K76)</f>
        <v/>
      </c>
      <c r="L1266" s="37" t="str">
        <f>IF(Agent07_Loans!B76="","",Agent07_Loans!L76)</f>
        <v/>
      </c>
      <c r="M1266" s="37" t="str">
        <f>IFERROR(IF(Agent07_Loans!B76="","",YEAR(Agent07_Loans!D76)),"")</f>
        <v/>
      </c>
    </row>
    <row r="1267" spans="1:13" ht="18" customHeight="1" x14ac:dyDescent="0.25">
      <c r="A1267" s="37" t="str">
        <f>IF(Agent07_Loans!B77="","",Agent07_Loans!A77)</f>
        <v/>
      </c>
      <c r="B1267" s="37" t="str">
        <f>IF(Agent07_Loans!B77="","",Agent07_Loans!B77)</f>
        <v/>
      </c>
      <c r="C1267" s="37" t="str">
        <f>IF(Agent07_Loans!B77="","",Agent07_Loans!C77)</f>
        <v/>
      </c>
      <c r="D1267" s="38" t="str">
        <f>IF(Agent07_Loans!B77="","",Agent07_Loans!D77)</f>
        <v/>
      </c>
      <c r="E1267" s="40" t="str">
        <f>IF(Agent07_Loans!B77="","",Agent07_Loans!E77)</f>
        <v/>
      </c>
      <c r="F1267" s="37" t="str">
        <f>IF(Agent07_Loans!B77="","",Agent07_Loans!F77)</f>
        <v/>
      </c>
      <c r="G1267" s="37" t="str">
        <f>IF(Agent07_Loans!B77="","",Agent07_Loans!G77)</f>
        <v/>
      </c>
      <c r="H1267" s="37" t="str">
        <f>IF(Agent07_Loans!B77="","",Agent07_Loans!H77)</f>
        <v/>
      </c>
      <c r="I1267" s="40" t="str">
        <f>IF(Agent07_Loans!B77="","",Agent07_Loans!I77)</f>
        <v/>
      </c>
      <c r="J1267" s="40" t="str">
        <f>IF(Agent07_Loans!B77="","",Agent07_Loans!J77)</f>
        <v/>
      </c>
      <c r="K1267" s="37" t="str">
        <f>IF(Agent07_Loans!B77="","",Agent07_Loans!K77)</f>
        <v/>
      </c>
      <c r="L1267" s="37" t="str">
        <f>IF(Agent07_Loans!B77="","",Agent07_Loans!L77)</f>
        <v/>
      </c>
      <c r="M1267" s="37" t="str">
        <f>IFERROR(IF(Agent07_Loans!B77="","",YEAR(Agent07_Loans!D77)),"")</f>
        <v/>
      </c>
    </row>
    <row r="1268" spans="1:13" ht="18" customHeight="1" x14ac:dyDescent="0.25">
      <c r="A1268" s="37" t="str">
        <f>IF(Agent07_Loans!B78="","",Agent07_Loans!A78)</f>
        <v/>
      </c>
      <c r="B1268" s="37" t="str">
        <f>IF(Agent07_Loans!B78="","",Agent07_Loans!B78)</f>
        <v/>
      </c>
      <c r="C1268" s="37" t="str">
        <f>IF(Agent07_Loans!B78="","",Agent07_Loans!C78)</f>
        <v/>
      </c>
      <c r="D1268" s="38" t="str">
        <f>IF(Agent07_Loans!B78="","",Agent07_Loans!D78)</f>
        <v/>
      </c>
      <c r="E1268" s="40" t="str">
        <f>IF(Agent07_Loans!B78="","",Agent07_Loans!E78)</f>
        <v/>
      </c>
      <c r="F1268" s="37" t="str">
        <f>IF(Agent07_Loans!B78="","",Agent07_Loans!F78)</f>
        <v/>
      </c>
      <c r="G1268" s="37" t="str">
        <f>IF(Agent07_Loans!B78="","",Agent07_Loans!G78)</f>
        <v/>
      </c>
      <c r="H1268" s="37" t="str">
        <f>IF(Agent07_Loans!B78="","",Agent07_Loans!H78)</f>
        <v/>
      </c>
      <c r="I1268" s="40" t="str">
        <f>IF(Agent07_Loans!B78="","",Agent07_Loans!I78)</f>
        <v/>
      </c>
      <c r="J1268" s="40" t="str">
        <f>IF(Agent07_Loans!B78="","",Agent07_Loans!J78)</f>
        <v/>
      </c>
      <c r="K1268" s="37" t="str">
        <f>IF(Agent07_Loans!B78="","",Agent07_Loans!K78)</f>
        <v/>
      </c>
      <c r="L1268" s="37" t="str">
        <f>IF(Agent07_Loans!B78="","",Agent07_Loans!L78)</f>
        <v/>
      </c>
      <c r="M1268" s="37" t="str">
        <f>IFERROR(IF(Agent07_Loans!B78="","",YEAR(Agent07_Loans!D78)),"")</f>
        <v/>
      </c>
    </row>
    <row r="1269" spans="1:13" ht="18" customHeight="1" x14ac:dyDescent="0.25">
      <c r="A1269" s="37" t="str">
        <f>IF(Agent07_Loans!B79="","",Agent07_Loans!A79)</f>
        <v/>
      </c>
      <c r="B1269" s="37" t="str">
        <f>IF(Agent07_Loans!B79="","",Agent07_Loans!B79)</f>
        <v/>
      </c>
      <c r="C1269" s="37" t="str">
        <f>IF(Agent07_Loans!B79="","",Agent07_Loans!C79)</f>
        <v/>
      </c>
      <c r="D1269" s="38" t="str">
        <f>IF(Agent07_Loans!B79="","",Agent07_Loans!D79)</f>
        <v/>
      </c>
      <c r="E1269" s="40" t="str">
        <f>IF(Agent07_Loans!B79="","",Agent07_Loans!E79)</f>
        <v/>
      </c>
      <c r="F1269" s="37" t="str">
        <f>IF(Agent07_Loans!B79="","",Agent07_Loans!F79)</f>
        <v/>
      </c>
      <c r="G1269" s="37" t="str">
        <f>IF(Agent07_Loans!B79="","",Agent07_Loans!G79)</f>
        <v/>
      </c>
      <c r="H1269" s="37" t="str">
        <f>IF(Agent07_Loans!B79="","",Agent07_Loans!H79)</f>
        <v/>
      </c>
      <c r="I1269" s="40" t="str">
        <f>IF(Agent07_Loans!B79="","",Agent07_Loans!I79)</f>
        <v/>
      </c>
      <c r="J1269" s="40" t="str">
        <f>IF(Agent07_Loans!B79="","",Agent07_Loans!J79)</f>
        <v/>
      </c>
      <c r="K1269" s="37" t="str">
        <f>IF(Agent07_Loans!B79="","",Agent07_Loans!K79)</f>
        <v/>
      </c>
      <c r="L1269" s="37" t="str">
        <f>IF(Agent07_Loans!B79="","",Agent07_Loans!L79)</f>
        <v/>
      </c>
      <c r="M1269" s="37" t="str">
        <f>IFERROR(IF(Agent07_Loans!B79="","",YEAR(Agent07_Loans!D79)),"")</f>
        <v/>
      </c>
    </row>
    <row r="1270" spans="1:13" ht="18" customHeight="1" x14ac:dyDescent="0.25">
      <c r="A1270" s="37" t="str">
        <f>IF(Agent07_Loans!B80="","",Agent07_Loans!A80)</f>
        <v/>
      </c>
      <c r="B1270" s="37" t="str">
        <f>IF(Agent07_Loans!B80="","",Agent07_Loans!B80)</f>
        <v/>
      </c>
      <c r="C1270" s="37" t="str">
        <f>IF(Agent07_Loans!B80="","",Agent07_Loans!C80)</f>
        <v/>
      </c>
      <c r="D1270" s="38" t="str">
        <f>IF(Agent07_Loans!B80="","",Agent07_Loans!D80)</f>
        <v/>
      </c>
      <c r="E1270" s="40" t="str">
        <f>IF(Agent07_Loans!B80="","",Agent07_Loans!E80)</f>
        <v/>
      </c>
      <c r="F1270" s="37" t="str">
        <f>IF(Agent07_Loans!B80="","",Agent07_Loans!F80)</f>
        <v/>
      </c>
      <c r="G1270" s="37" t="str">
        <f>IF(Agent07_Loans!B80="","",Agent07_Loans!G80)</f>
        <v/>
      </c>
      <c r="H1270" s="37" t="str">
        <f>IF(Agent07_Loans!B80="","",Agent07_Loans!H80)</f>
        <v/>
      </c>
      <c r="I1270" s="40" t="str">
        <f>IF(Agent07_Loans!B80="","",Agent07_Loans!I80)</f>
        <v/>
      </c>
      <c r="J1270" s="40" t="str">
        <f>IF(Agent07_Loans!B80="","",Agent07_Loans!J80)</f>
        <v/>
      </c>
      <c r="K1270" s="37" t="str">
        <f>IF(Agent07_Loans!B80="","",Agent07_Loans!K80)</f>
        <v/>
      </c>
      <c r="L1270" s="37" t="str">
        <f>IF(Agent07_Loans!B80="","",Agent07_Loans!L80)</f>
        <v/>
      </c>
      <c r="M1270" s="37" t="str">
        <f>IFERROR(IF(Agent07_Loans!B80="","",YEAR(Agent07_Loans!D80)),"")</f>
        <v/>
      </c>
    </row>
    <row r="1271" spans="1:13" ht="18" customHeight="1" x14ac:dyDescent="0.25">
      <c r="A1271" s="37" t="str">
        <f>IF(Agent07_Loans!B81="","",Agent07_Loans!A81)</f>
        <v/>
      </c>
      <c r="B1271" s="37" t="str">
        <f>IF(Agent07_Loans!B81="","",Agent07_Loans!B81)</f>
        <v/>
      </c>
      <c r="C1271" s="37" t="str">
        <f>IF(Agent07_Loans!B81="","",Agent07_Loans!C81)</f>
        <v/>
      </c>
      <c r="D1271" s="38" t="str">
        <f>IF(Agent07_Loans!B81="","",Agent07_Loans!D81)</f>
        <v/>
      </c>
      <c r="E1271" s="40" t="str">
        <f>IF(Agent07_Loans!B81="","",Agent07_Loans!E81)</f>
        <v/>
      </c>
      <c r="F1271" s="37" t="str">
        <f>IF(Agent07_Loans!B81="","",Agent07_Loans!F81)</f>
        <v/>
      </c>
      <c r="G1271" s="37" t="str">
        <f>IF(Agent07_Loans!B81="","",Agent07_Loans!G81)</f>
        <v/>
      </c>
      <c r="H1271" s="37" t="str">
        <f>IF(Agent07_Loans!B81="","",Agent07_Loans!H81)</f>
        <v/>
      </c>
      <c r="I1271" s="40" t="str">
        <f>IF(Agent07_Loans!B81="","",Agent07_Loans!I81)</f>
        <v/>
      </c>
      <c r="J1271" s="40" t="str">
        <f>IF(Agent07_Loans!B81="","",Agent07_Loans!J81)</f>
        <v/>
      </c>
      <c r="K1271" s="37" t="str">
        <f>IF(Agent07_Loans!B81="","",Agent07_Loans!K81)</f>
        <v/>
      </c>
      <c r="L1271" s="37" t="str">
        <f>IF(Agent07_Loans!B81="","",Agent07_Loans!L81)</f>
        <v/>
      </c>
      <c r="M1271" s="37" t="str">
        <f>IFERROR(IF(Agent07_Loans!B81="","",YEAR(Agent07_Loans!D81)),"")</f>
        <v/>
      </c>
    </row>
    <row r="1272" spans="1:13" ht="18" customHeight="1" x14ac:dyDescent="0.25">
      <c r="A1272" s="37" t="str">
        <f>IF(Agent07_Loans!B82="","",Agent07_Loans!A82)</f>
        <v/>
      </c>
      <c r="B1272" s="37" t="str">
        <f>IF(Agent07_Loans!B82="","",Agent07_Loans!B82)</f>
        <v/>
      </c>
      <c r="C1272" s="37" t="str">
        <f>IF(Agent07_Loans!B82="","",Agent07_Loans!C82)</f>
        <v/>
      </c>
      <c r="D1272" s="38" t="str">
        <f>IF(Agent07_Loans!B82="","",Agent07_Loans!D82)</f>
        <v/>
      </c>
      <c r="E1272" s="40" t="str">
        <f>IF(Agent07_Loans!B82="","",Agent07_Loans!E82)</f>
        <v/>
      </c>
      <c r="F1272" s="37" t="str">
        <f>IF(Agent07_Loans!B82="","",Agent07_Loans!F82)</f>
        <v/>
      </c>
      <c r="G1272" s="37" t="str">
        <f>IF(Agent07_Loans!B82="","",Agent07_Loans!G82)</f>
        <v/>
      </c>
      <c r="H1272" s="37" t="str">
        <f>IF(Agent07_Loans!B82="","",Agent07_Loans!H82)</f>
        <v/>
      </c>
      <c r="I1272" s="40" t="str">
        <f>IF(Agent07_Loans!B82="","",Agent07_Loans!I82)</f>
        <v/>
      </c>
      <c r="J1272" s="40" t="str">
        <f>IF(Agent07_Loans!B82="","",Agent07_Loans!J82)</f>
        <v/>
      </c>
      <c r="K1272" s="37" t="str">
        <f>IF(Agent07_Loans!B82="","",Agent07_Loans!K82)</f>
        <v/>
      </c>
      <c r="L1272" s="37" t="str">
        <f>IF(Agent07_Loans!B82="","",Agent07_Loans!L82)</f>
        <v/>
      </c>
      <c r="M1272" s="37" t="str">
        <f>IFERROR(IF(Agent07_Loans!B82="","",YEAR(Agent07_Loans!D82)),"")</f>
        <v/>
      </c>
    </row>
    <row r="1273" spans="1:13" ht="18" customHeight="1" x14ac:dyDescent="0.25">
      <c r="A1273" s="37" t="str">
        <f>IF(Agent07_Loans!B83="","",Agent07_Loans!A83)</f>
        <v/>
      </c>
      <c r="B1273" s="37" t="str">
        <f>IF(Agent07_Loans!B83="","",Agent07_Loans!B83)</f>
        <v/>
      </c>
      <c r="C1273" s="37" t="str">
        <f>IF(Agent07_Loans!B83="","",Agent07_Loans!C83)</f>
        <v/>
      </c>
      <c r="D1273" s="38" t="str">
        <f>IF(Agent07_Loans!B83="","",Agent07_Loans!D83)</f>
        <v/>
      </c>
      <c r="E1273" s="40" t="str">
        <f>IF(Agent07_Loans!B83="","",Agent07_Loans!E83)</f>
        <v/>
      </c>
      <c r="F1273" s="37" t="str">
        <f>IF(Agent07_Loans!B83="","",Agent07_Loans!F83)</f>
        <v/>
      </c>
      <c r="G1273" s="37" t="str">
        <f>IF(Agent07_Loans!B83="","",Agent07_Loans!G83)</f>
        <v/>
      </c>
      <c r="H1273" s="37" t="str">
        <f>IF(Agent07_Loans!B83="","",Agent07_Loans!H83)</f>
        <v/>
      </c>
      <c r="I1273" s="40" t="str">
        <f>IF(Agent07_Loans!B83="","",Agent07_Loans!I83)</f>
        <v/>
      </c>
      <c r="J1273" s="40" t="str">
        <f>IF(Agent07_Loans!B83="","",Agent07_Loans!J83)</f>
        <v/>
      </c>
      <c r="K1273" s="37" t="str">
        <f>IF(Agent07_Loans!B83="","",Agent07_Loans!K83)</f>
        <v/>
      </c>
      <c r="L1273" s="37" t="str">
        <f>IF(Agent07_Loans!B83="","",Agent07_Loans!L83)</f>
        <v/>
      </c>
      <c r="M1273" s="37" t="str">
        <f>IFERROR(IF(Agent07_Loans!B83="","",YEAR(Agent07_Loans!D83)),"")</f>
        <v/>
      </c>
    </row>
    <row r="1274" spans="1:13" ht="18" customHeight="1" x14ac:dyDescent="0.25">
      <c r="A1274" s="37" t="str">
        <f>IF(Agent07_Loans!B84="","",Agent07_Loans!A84)</f>
        <v/>
      </c>
      <c r="B1274" s="37" t="str">
        <f>IF(Agent07_Loans!B84="","",Agent07_Loans!B84)</f>
        <v/>
      </c>
      <c r="C1274" s="37" t="str">
        <f>IF(Agent07_Loans!B84="","",Agent07_Loans!C84)</f>
        <v/>
      </c>
      <c r="D1274" s="38" t="str">
        <f>IF(Agent07_Loans!B84="","",Agent07_Loans!D84)</f>
        <v/>
      </c>
      <c r="E1274" s="40" t="str">
        <f>IF(Agent07_Loans!B84="","",Agent07_Loans!E84)</f>
        <v/>
      </c>
      <c r="F1274" s="37" t="str">
        <f>IF(Agent07_Loans!B84="","",Agent07_Loans!F84)</f>
        <v/>
      </c>
      <c r="G1274" s="37" t="str">
        <f>IF(Agent07_Loans!B84="","",Agent07_Loans!G84)</f>
        <v/>
      </c>
      <c r="H1274" s="37" t="str">
        <f>IF(Agent07_Loans!B84="","",Agent07_Loans!H84)</f>
        <v/>
      </c>
      <c r="I1274" s="40" t="str">
        <f>IF(Agent07_Loans!B84="","",Agent07_Loans!I84)</f>
        <v/>
      </c>
      <c r="J1274" s="40" t="str">
        <f>IF(Agent07_Loans!B84="","",Agent07_Loans!J84)</f>
        <v/>
      </c>
      <c r="K1274" s="37" t="str">
        <f>IF(Agent07_Loans!B84="","",Agent07_Loans!K84)</f>
        <v/>
      </c>
      <c r="L1274" s="37" t="str">
        <f>IF(Agent07_Loans!B84="","",Agent07_Loans!L84)</f>
        <v/>
      </c>
      <c r="M1274" s="37" t="str">
        <f>IFERROR(IF(Agent07_Loans!B84="","",YEAR(Agent07_Loans!D84)),"")</f>
        <v/>
      </c>
    </row>
    <row r="1275" spans="1:13" ht="18" customHeight="1" x14ac:dyDescent="0.25">
      <c r="A1275" s="37" t="str">
        <f>IF(Agent07_Loans!B85="","",Agent07_Loans!A85)</f>
        <v/>
      </c>
      <c r="B1275" s="37" t="str">
        <f>IF(Agent07_Loans!B85="","",Agent07_Loans!B85)</f>
        <v/>
      </c>
      <c r="C1275" s="37" t="str">
        <f>IF(Agent07_Loans!B85="","",Agent07_Loans!C85)</f>
        <v/>
      </c>
      <c r="D1275" s="38" t="str">
        <f>IF(Agent07_Loans!B85="","",Agent07_Loans!D85)</f>
        <v/>
      </c>
      <c r="E1275" s="40" t="str">
        <f>IF(Agent07_Loans!B85="","",Agent07_Loans!E85)</f>
        <v/>
      </c>
      <c r="F1275" s="37" t="str">
        <f>IF(Agent07_Loans!B85="","",Agent07_Loans!F85)</f>
        <v/>
      </c>
      <c r="G1275" s="37" t="str">
        <f>IF(Agent07_Loans!B85="","",Agent07_Loans!G85)</f>
        <v/>
      </c>
      <c r="H1275" s="37" t="str">
        <f>IF(Agent07_Loans!B85="","",Agent07_Loans!H85)</f>
        <v/>
      </c>
      <c r="I1275" s="40" t="str">
        <f>IF(Agent07_Loans!B85="","",Agent07_Loans!I85)</f>
        <v/>
      </c>
      <c r="J1275" s="40" t="str">
        <f>IF(Agent07_Loans!B85="","",Agent07_Loans!J85)</f>
        <v/>
      </c>
      <c r="K1275" s="37" t="str">
        <f>IF(Agent07_Loans!B85="","",Agent07_Loans!K85)</f>
        <v/>
      </c>
      <c r="L1275" s="37" t="str">
        <f>IF(Agent07_Loans!B85="","",Agent07_Loans!L85)</f>
        <v/>
      </c>
      <c r="M1275" s="37" t="str">
        <f>IFERROR(IF(Agent07_Loans!B85="","",YEAR(Agent07_Loans!D85)),"")</f>
        <v/>
      </c>
    </row>
    <row r="1276" spans="1:13" ht="18" customHeight="1" x14ac:dyDescent="0.25">
      <c r="A1276" s="37" t="str">
        <f>IF(Agent07_Loans!B86="","",Agent07_Loans!A86)</f>
        <v/>
      </c>
      <c r="B1276" s="37" t="str">
        <f>IF(Agent07_Loans!B86="","",Agent07_Loans!B86)</f>
        <v/>
      </c>
      <c r="C1276" s="37" t="str">
        <f>IF(Agent07_Loans!B86="","",Agent07_Loans!C86)</f>
        <v/>
      </c>
      <c r="D1276" s="38" t="str">
        <f>IF(Agent07_Loans!B86="","",Agent07_Loans!D86)</f>
        <v/>
      </c>
      <c r="E1276" s="40" t="str">
        <f>IF(Agent07_Loans!B86="","",Agent07_Loans!E86)</f>
        <v/>
      </c>
      <c r="F1276" s="37" t="str">
        <f>IF(Agent07_Loans!B86="","",Agent07_Loans!F86)</f>
        <v/>
      </c>
      <c r="G1276" s="37" t="str">
        <f>IF(Agent07_Loans!B86="","",Agent07_Loans!G86)</f>
        <v/>
      </c>
      <c r="H1276" s="37" t="str">
        <f>IF(Agent07_Loans!B86="","",Agent07_Loans!H86)</f>
        <v/>
      </c>
      <c r="I1276" s="40" t="str">
        <f>IF(Agent07_Loans!B86="","",Agent07_Loans!I86)</f>
        <v/>
      </c>
      <c r="J1276" s="40" t="str">
        <f>IF(Agent07_Loans!B86="","",Agent07_Loans!J86)</f>
        <v/>
      </c>
      <c r="K1276" s="37" t="str">
        <f>IF(Agent07_Loans!B86="","",Agent07_Loans!K86)</f>
        <v/>
      </c>
      <c r="L1276" s="37" t="str">
        <f>IF(Agent07_Loans!B86="","",Agent07_Loans!L86)</f>
        <v/>
      </c>
      <c r="M1276" s="37" t="str">
        <f>IFERROR(IF(Agent07_Loans!B86="","",YEAR(Agent07_Loans!D86)),"")</f>
        <v/>
      </c>
    </row>
    <row r="1277" spans="1:13" ht="18" customHeight="1" x14ac:dyDescent="0.25">
      <c r="A1277" s="37" t="str">
        <f>IF(Agent07_Loans!B87="","",Agent07_Loans!A87)</f>
        <v/>
      </c>
      <c r="B1277" s="37" t="str">
        <f>IF(Agent07_Loans!B87="","",Agent07_Loans!B87)</f>
        <v/>
      </c>
      <c r="C1277" s="37" t="str">
        <f>IF(Agent07_Loans!B87="","",Agent07_Loans!C87)</f>
        <v/>
      </c>
      <c r="D1277" s="38" t="str">
        <f>IF(Agent07_Loans!B87="","",Agent07_Loans!D87)</f>
        <v/>
      </c>
      <c r="E1277" s="40" t="str">
        <f>IF(Agent07_Loans!B87="","",Agent07_Loans!E87)</f>
        <v/>
      </c>
      <c r="F1277" s="37" t="str">
        <f>IF(Agent07_Loans!B87="","",Agent07_Loans!F87)</f>
        <v/>
      </c>
      <c r="G1277" s="37" t="str">
        <f>IF(Agent07_Loans!B87="","",Agent07_Loans!G87)</f>
        <v/>
      </c>
      <c r="H1277" s="37" t="str">
        <f>IF(Agent07_Loans!B87="","",Agent07_Loans!H87)</f>
        <v/>
      </c>
      <c r="I1277" s="40" t="str">
        <f>IF(Agent07_Loans!B87="","",Agent07_Loans!I87)</f>
        <v/>
      </c>
      <c r="J1277" s="40" t="str">
        <f>IF(Agent07_Loans!B87="","",Agent07_Loans!J87)</f>
        <v/>
      </c>
      <c r="K1277" s="37" t="str">
        <f>IF(Agent07_Loans!B87="","",Agent07_Loans!K87)</f>
        <v/>
      </c>
      <c r="L1277" s="37" t="str">
        <f>IF(Agent07_Loans!B87="","",Agent07_Loans!L87)</f>
        <v/>
      </c>
      <c r="M1277" s="37" t="str">
        <f>IFERROR(IF(Agent07_Loans!B87="","",YEAR(Agent07_Loans!D87)),"")</f>
        <v/>
      </c>
    </row>
    <row r="1278" spans="1:13" ht="18" customHeight="1" x14ac:dyDescent="0.25">
      <c r="A1278" s="37" t="str">
        <f>IF(Agent07_Loans!B88="","",Agent07_Loans!A88)</f>
        <v/>
      </c>
      <c r="B1278" s="37" t="str">
        <f>IF(Agent07_Loans!B88="","",Agent07_Loans!B88)</f>
        <v/>
      </c>
      <c r="C1278" s="37" t="str">
        <f>IF(Agent07_Loans!B88="","",Agent07_Loans!C88)</f>
        <v/>
      </c>
      <c r="D1278" s="38" t="str">
        <f>IF(Agent07_Loans!B88="","",Agent07_Loans!D88)</f>
        <v/>
      </c>
      <c r="E1278" s="40" t="str">
        <f>IF(Agent07_Loans!B88="","",Agent07_Loans!E88)</f>
        <v/>
      </c>
      <c r="F1278" s="37" t="str">
        <f>IF(Agent07_Loans!B88="","",Agent07_Loans!F88)</f>
        <v/>
      </c>
      <c r="G1278" s="37" t="str">
        <f>IF(Agent07_Loans!B88="","",Agent07_Loans!G88)</f>
        <v/>
      </c>
      <c r="H1278" s="37" t="str">
        <f>IF(Agent07_Loans!B88="","",Agent07_Loans!H88)</f>
        <v/>
      </c>
      <c r="I1278" s="40" t="str">
        <f>IF(Agent07_Loans!B88="","",Agent07_Loans!I88)</f>
        <v/>
      </c>
      <c r="J1278" s="40" t="str">
        <f>IF(Agent07_Loans!B88="","",Agent07_Loans!J88)</f>
        <v/>
      </c>
      <c r="K1278" s="37" t="str">
        <f>IF(Agent07_Loans!B88="","",Agent07_Loans!K88)</f>
        <v/>
      </c>
      <c r="L1278" s="37" t="str">
        <f>IF(Agent07_Loans!B88="","",Agent07_Loans!L88)</f>
        <v/>
      </c>
      <c r="M1278" s="37" t="str">
        <f>IFERROR(IF(Agent07_Loans!B88="","",YEAR(Agent07_Loans!D88)),"")</f>
        <v/>
      </c>
    </row>
    <row r="1279" spans="1:13" ht="18" customHeight="1" x14ac:dyDescent="0.25">
      <c r="A1279" s="37" t="str">
        <f>IF(Agent07_Loans!B89="","",Agent07_Loans!A89)</f>
        <v/>
      </c>
      <c r="B1279" s="37" t="str">
        <f>IF(Agent07_Loans!B89="","",Agent07_Loans!B89)</f>
        <v/>
      </c>
      <c r="C1279" s="37" t="str">
        <f>IF(Agent07_Loans!B89="","",Agent07_Loans!C89)</f>
        <v/>
      </c>
      <c r="D1279" s="38" t="str">
        <f>IF(Agent07_Loans!B89="","",Agent07_Loans!D89)</f>
        <v/>
      </c>
      <c r="E1279" s="40" t="str">
        <f>IF(Agent07_Loans!B89="","",Agent07_Loans!E89)</f>
        <v/>
      </c>
      <c r="F1279" s="37" t="str">
        <f>IF(Agent07_Loans!B89="","",Agent07_Loans!F89)</f>
        <v/>
      </c>
      <c r="G1279" s="37" t="str">
        <f>IF(Agent07_Loans!B89="","",Agent07_Loans!G89)</f>
        <v/>
      </c>
      <c r="H1279" s="37" t="str">
        <f>IF(Agent07_Loans!B89="","",Agent07_Loans!H89)</f>
        <v/>
      </c>
      <c r="I1279" s="40" t="str">
        <f>IF(Agent07_Loans!B89="","",Agent07_Loans!I89)</f>
        <v/>
      </c>
      <c r="J1279" s="40" t="str">
        <f>IF(Agent07_Loans!B89="","",Agent07_Loans!J89)</f>
        <v/>
      </c>
      <c r="K1279" s="37" t="str">
        <f>IF(Agent07_Loans!B89="","",Agent07_Loans!K89)</f>
        <v/>
      </c>
      <c r="L1279" s="37" t="str">
        <f>IF(Agent07_Loans!B89="","",Agent07_Loans!L89)</f>
        <v/>
      </c>
      <c r="M1279" s="37" t="str">
        <f>IFERROR(IF(Agent07_Loans!B89="","",YEAR(Agent07_Loans!D89)),"")</f>
        <v/>
      </c>
    </row>
    <row r="1280" spans="1:13" ht="18" customHeight="1" x14ac:dyDescent="0.25">
      <c r="A1280" s="37" t="str">
        <f>IF(Agent07_Loans!B90="","",Agent07_Loans!A90)</f>
        <v/>
      </c>
      <c r="B1280" s="37" t="str">
        <f>IF(Agent07_Loans!B90="","",Agent07_Loans!B90)</f>
        <v/>
      </c>
      <c r="C1280" s="37" t="str">
        <f>IF(Agent07_Loans!B90="","",Agent07_Loans!C90)</f>
        <v/>
      </c>
      <c r="D1280" s="38" t="str">
        <f>IF(Agent07_Loans!B90="","",Agent07_Loans!D90)</f>
        <v/>
      </c>
      <c r="E1280" s="40" t="str">
        <f>IF(Agent07_Loans!B90="","",Agent07_Loans!E90)</f>
        <v/>
      </c>
      <c r="F1280" s="37" t="str">
        <f>IF(Agent07_Loans!B90="","",Agent07_Loans!F90)</f>
        <v/>
      </c>
      <c r="G1280" s="37" t="str">
        <f>IF(Agent07_Loans!B90="","",Agent07_Loans!G90)</f>
        <v/>
      </c>
      <c r="H1280" s="37" t="str">
        <f>IF(Agent07_Loans!B90="","",Agent07_Loans!H90)</f>
        <v/>
      </c>
      <c r="I1280" s="40" t="str">
        <f>IF(Agent07_Loans!B90="","",Agent07_Loans!I90)</f>
        <v/>
      </c>
      <c r="J1280" s="40" t="str">
        <f>IF(Agent07_Loans!B90="","",Agent07_Loans!J90)</f>
        <v/>
      </c>
      <c r="K1280" s="37" t="str">
        <f>IF(Agent07_Loans!B90="","",Agent07_Loans!K90)</f>
        <v/>
      </c>
      <c r="L1280" s="37" t="str">
        <f>IF(Agent07_Loans!B90="","",Agent07_Loans!L90)</f>
        <v/>
      </c>
      <c r="M1280" s="37" t="str">
        <f>IFERROR(IF(Agent07_Loans!B90="","",YEAR(Agent07_Loans!D90)),"")</f>
        <v/>
      </c>
    </row>
    <row r="1281" spans="1:13" ht="18" customHeight="1" x14ac:dyDescent="0.25">
      <c r="A1281" s="37" t="str">
        <f>IF(Agent07_Loans!B91="","",Agent07_Loans!A91)</f>
        <v/>
      </c>
      <c r="B1281" s="37" t="str">
        <f>IF(Agent07_Loans!B91="","",Agent07_Loans!B91)</f>
        <v/>
      </c>
      <c r="C1281" s="37" t="str">
        <f>IF(Agent07_Loans!B91="","",Agent07_Loans!C91)</f>
        <v/>
      </c>
      <c r="D1281" s="38" t="str">
        <f>IF(Agent07_Loans!B91="","",Agent07_Loans!D91)</f>
        <v/>
      </c>
      <c r="E1281" s="40" t="str">
        <f>IF(Agent07_Loans!B91="","",Agent07_Loans!E91)</f>
        <v/>
      </c>
      <c r="F1281" s="37" t="str">
        <f>IF(Agent07_Loans!B91="","",Agent07_Loans!F91)</f>
        <v/>
      </c>
      <c r="G1281" s="37" t="str">
        <f>IF(Agent07_Loans!B91="","",Agent07_Loans!G91)</f>
        <v/>
      </c>
      <c r="H1281" s="37" t="str">
        <f>IF(Agent07_Loans!B91="","",Agent07_Loans!H91)</f>
        <v/>
      </c>
      <c r="I1281" s="40" t="str">
        <f>IF(Agent07_Loans!B91="","",Agent07_Loans!I91)</f>
        <v/>
      </c>
      <c r="J1281" s="40" t="str">
        <f>IF(Agent07_Loans!B91="","",Agent07_Loans!J91)</f>
        <v/>
      </c>
      <c r="K1281" s="37" t="str">
        <f>IF(Agent07_Loans!B91="","",Agent07_Loans!K91)</f>
        <v/>
      </c>
      <c r="L1281" s="37" t="str">
        <f>IF(Agent07_Loans!B91="","",Agent07_Loans!L91)</f>
        <v/>
      </c>
      <c r="M1281" s="37" t="str">
        <f>IFERROR(IF(Agent07_Loans!B91="","",YEAR(Agent07_Loans!D91)),"")</f>
        <v/>
      </c>
    </row>
    <row r="1282" spans="1:13" ht="18" customHeight="1" x14ac:dyDescent="0.25">
      <c r="A1282" s="37" t="str">
        <f>IF(Agent07_Loans!B92="","",Agent07_Loans!A92)</f>
        <v/>
      </c>
      <c r="B1282" s="37" t="str">
        <f>IF(Agent07_Loans!B92="","",Agent07_Loans!B92)</f>
        <v/>
      </c>
      <c r="C1282" s="37" t="str">
        <f>IF(Agent07_Loans!B92="","",Agent07_Loans!C92)</f>
        <v/>
      </c>
      <c r="D1282" s="38" t="str">
        <f>IF(Agent07_Loans!B92="","",Agent07_Loans!D92)</f>
        <v/>
      </c>
      <c r="E1282" s="40" t="str">
        <f>IF(Agent07_Loans!B92="","",Agent07_Loans!E92)</f>
        <v/>
      </c>
      <c r="F1282" s="37" t="str">
        <f>IF(Agent07_Loans!B92="","",Agent07_Loans!F92)</f>
        <v/>
      </c>
      <c r="G1282" s="37" t="str">
        <f>IF(Agent07_Loans!B92="","",Agent07_Loans!G92)</f>
        <v/>
      </c>
      <c r="H1282" s="37" t="str">
        <f>IF(Agent07_Loans!B92="","",Agent07_Loans!H92)</f>
        <v/>
      </c>
      <c r="I1282" s="40" t="str">
        <f>IF(Agent07_Loans!B92="","",Agent07_Loans!I92)</f>
        <v/>
      </c>
      <c r="J1282" s="40" t="str">
        <f>IF(Agent07_Loans!B92="","",Agent07_Loans!J92)</f>
        <v/>
      </c>
      <c r="K1282" s="37" t="str">
        <f>IF(Agent07_Loans!B92="","",Agent07_Loans!K92)</f>
        <v/>
      </c>
      <c r="L1282" s="37" t="str">
        <f>IF(Agent07_Loans!B92="","",Agent07_Loans!L92)</f>
        <v/>
      </c>
      <c r="M1282" s="37" t="str">
        <f>IFERROR(IF(Agent07_Loans!B92="","",YEAR(Agent07_Loans!D92)),"")</f>
        <v/>
      </c>
    </row>
    <row r="1283" spans="1:13" ht="18" customHeight="1" x14ac:dyDescent="0.25">
      <c r="A1283" s="37" t="str">
        <f>IF(Agent07_Loans!B93="","",Agent07_Loans!A93)</f>
        <v/>
      </c>
      <c r="B1283" s="37" t="str">
        <f>IF(Agent07_Loans!B93="","",Agent07_Loans!B93)</f>
        <v/>
      </c>
      <c r="C1283" s="37" t="str">
        <f>IF(Agent07_Loans!B93="","",Agent07_Loans!C93)</f>
        <v/>
      </c>
      <c r="D1283" s="38" t="str">
        <f>IF(Agent07_Loans!B93="","",Agent07_Loans!D93)</f>
        <v/>
      </c>
      <c r="E1283" s="40" t="str">
        <f>IF(Agent07_Loans!B93="","",Agent07_Loans!E93)</f>
        <v/>
      </c>
      <c r="F1283" s="37" t="str">
        <f>IF(Agent07_Loans!B93="","",Agent07_Loans!F93)</f>
        <v/>
      </c>
      <c r="G1283" s="37" t="str">
        <f>IF(Agent07_Loans!B93="","",Agent07_Loans!G93)</f>
        <v/>
      </c>
      <c r="H1283" s="37" t="str">
        <f>IF(Agent07_Loans!B93="","",Agent07_Loans!H93)</f>
        <v/>
      </c>
      <c r="I1283" s="40" t="str">
        <f>IF(Agent07_Loans!B93="","",Agent07_Loans!I93)</f>
        <v/>
      </c>
      <c r="J1283" s="40" t="str">
        <f>IF(Agent07_Loans!B93="","",Agent07_Loans!J93)</f>
        <v/>
      </c>
      <c r="K1283" s="37" t="str">
        <f>IF(Agent07_Loans!B93="","",Agent07_Loans!K93)</f>
        <v/>
      </c>
      <c r="L1283" s="37" t="str">
        <f>IF(Agent07_Loans!B93="","",Agent07_Loans!L93)</f>
        <v/>
      </c>
      <c r="M1283" s="37" t="str">
        <f>IFERROR(IF(Agent07_Loans!B93="","",YEAR(Agent07_Loans!D93)),"")</f>
        <v/>
      </c>
    </row>
    <row r="1284" spans="1:13" ht="18" customHeight="1" x14ac:dyDescent="0.25">
      <c r="A1284" s="37" t="str">
        <f>IF(Agent07_Loans!B94="","",Agent07_Loans!A94)</f>
        <v/>
      </c>
      <c r="B1284" s="37" t="str">
        <f>IF(Agent07_Loans!B94="","",Agent07_Loans!B94)</f>
        <v/>
      </c>
      <c r="C1284" s="37" t="str">
        <f>IF(Agent07_Loans!B94="","",Agent07_Loans!C94)</f>
        <v/>
      </c>
      <c r="D1284" s="38" t="str">
        <f>IF(Agent07_Loans!B94="","",Agent07_Loans!D94)</f>
        <v/>
      </c>
      <c r="E1284" s="40" t="str">
        <f>IF(Agent07_Loans!B94="","",Agent07_Loans!E94)</f>
        <v/>
      </c>
      <c r="F1284" s="37" t="str">
        <f>IF(Agent07_Loans!B94="","",Agent07_Loans!F94)</f>
        <v/>
      </c>
      <c r="G1284" s="37" t="str">
        <f>IF(Agent07_Loans!B94="","",Agent07_Loans!G94)</f>
        <v/>
      </c>
      <c r="H1284" s="37" t="str">
        <f>IF(Agent07_Loans!B94="","",Agent07_Loans!H94)</f>
        <v/>
      </c>
      <c r="I1284" s="40" t="str">
        <f>IF(Agent07_Loans!B94="","",Agent07_Loans!I94)</f>
        <v/>
      </c>
      <c r="J1284" s="40" t="str">
        <f>IF(Agent07_Loans!B94="","",Agent07_Loans!J94)</f>
        <v/>
      </c>
      <c r="K1284" s="37" t="str">
        <f>IF(Agent07_Loans!B94="","",Agent07_Loans!K94)</f>
        <v/>
      </c>
      <c r="L1284" s="37" t="str">
        <f>IF(Agent07_Loans!B94="","",Agent07_Loans!L94)</f>
        <v/>
      </c>
      <c r="M1284" s="37" t="str">
        <f>IFERROR(IF(Agent07_Loans!B94="","",YEAR(Agent07_Loans!D94)),"")</f>
        <v/>
      </c>
    </row>
    <row r="1285" spans="1:13" ht="18" customHeight="1" x14ac:dyDescent="0.25">
      <c r="A1285" s="37" t="str">
        <f>IF(Agent07_Loans!B95="","",Agent07_Loans!A95)</f>
        <v/>
      </c>
      <c r="B1285" s="37" t="str">
        <f>IF(Agent07_Loans!B95="","",Agent07_Loans!B95)</f>
        <v/>
      </c>
      <c r="C1285" s="37" t="str">
        <f>IF(Agent07_Loans!B95="","",Agent07_Loans!C95)</f>
        <v/>
      </c>
      <c r="D1285" s="38" t="str">
        <f>IF(Agent07_Loans!B95="","",Agent07_Loans!D95)</f>
        <v/>
      </c>
      <c r="E1285" s="40" t="str">
        <f>IF(Agent07_Loans!B95="","",Agent07_Loans!E95)</f>
        <v/>
      </c>
      <c r="F1285" s="37" t="str">
        <f>IF(Agent07_Loans!B95="","",Agent07_Loans!F95)</f>
        <v/>
      </c>
      <c r="G1285" s="37" t="str">
        <f>IF(Agent07_Loans!B95="","",Agent07_Loans!G95)</f>
        <v/>
      </c>
      <c r="H1285" s="37" t="str">
        <f>IF(Agent07_Loans!B95="","",Agent07_Loans!H95)</f>
        <v/>
      </c>
      <c r="I1285" s="40" t="str">
        <f>IF(Agent07_Loans!B95="","",Agent07_Loans!I95)</f>
        <v/>
      </c>
      <c r="J1285" s="40" t="str">
        <f>IF(Agent07_Loans!B95="","",Agent07_Loans!J95)</f>
        <v/>
      </c>
      <c r="K1285" s="37" t="str">
        <f>IF(Agent07_Loans!B95="","",Agent07_Loans!K95)</f>
        <v/>
      </c>
      <c r="L1285" s="37" t="str">
        <f>IF(Agent07_Loans!B95="","",Agent07_Loans!L95)</f>
        <v/>
      </c>
      <c r="M1285" s="37" t="str">
        <f>IFERROR(IF(Agent07_Loans!B95="","",YEAR(Agent07_Loans!D95)),"")</f>
        <v/>
      </c>
    </row>
    <row r="1286" spans="1:13" ht="18" customHeight="1" x14ac:dyDescent="0.25">
      <c r="A1286" s="37" t="str">
        <f>IF(Agent07_Loans!B96="","",Agent07_Loans!A96)</f>
        <v/>
      </c>
      <c r="B1286" s="37" t="str">
        <f>IF(Agent07_Loans!B96="","",Agent07_Loans!B96)</f>
        <v/>
      </c>
      <c r="C1286" s="37" t="str">
        <f>IF(Agent07_Loans!B96="","",Agent07_Loans!C96)</f>
        <v/>
      </c>
      <c r="D1286" s="38" t="str">
        <f>IF(Agent07_Loans!B96="","",Agent07_Loans!D96)</f>
        <v/>
      </c>
      <c r="E1286" s="40" t="str">
        <f>IF(Agent07_Loans!B96="","",Agent07_Loans!E96)</f>
        <v/>
      </c>
      <c r="F1286" s="37" t="str">
        <f>IF(Agent07_Loans!B96="","",Agent07_Loans!F96)</f>
        <v/>
      </c>
      <c r="G1286" s="37" t="str">
        <f>IF(Agent07_Loans!B96="","",Agent07_Loans!G96)</f>
        <v/>
      </c>
      <c r="H1286" s="37" t="str">
        <f>IF(Agent07_Loans!B96="","",Agent07_Loans!H96)</f>
        <v/>
      </c>
      <c r="I1286" s="40" t="str">
        <f>IF(Agent07_Loans!B96="","",Agent07_Loans!I96)</f>
        <v/>
      </c>
      <c r="J1286" s="40" t="str">
        <f>IF(Agent07_Loans!B96="","",Agent07_Loans!J96)</f>
        <v/>
      </c>
      <c r="K1286" s="37" t="str">
        <f>IF(Agent07_Loans!B96="","",Agent07_Loans!K96)</f>
        <v/>
      </c>
      <c r="L1286" s="37" t="str">
        <f>IF(Agent07_Loans!B96="","",Agent07_Loans!L96)</f>
        <v/>
      </c>
      <c r="M1286" s="37" t="str">
        <f>IFERROR(IF(Agent07_Loans!B96="","",YEAR(Agent07_Loans!D96)),"")</f>
        <v/>
      </c>
    </row>
    <row r="1287" spans="1:13" ht="18" customHeight="1" x14ac:dyDescent="0.25">
      <c r="A1287" s="37" t="str">
        <f>IF(Agent07_Loans!B97="","",Agent07_Loans!A97)</f>
        <v/>
      </c>
      <c r="B1287" s="37" t="str">
        <f>IF(Agent07_Loans!B97="","",Agent07_Loans!B97)</f>
        <v/>
      </c>
      <c r="C1287" s="37" t="str">
        <f>IF(Agent07_Loans!B97="","",Agent07_Loans!C97)</f>
        <v/>
      </c>
      <c r="D1287" s="38" t="str">
        <f>IF(Agent07_Loans!B97="","",Agent07_Loans!D97)</f>
        <v/>
      </c>
      <c r="E1287" s="40" t="str">
        <f>IF(Agent07_Loans!B97="","",Agent07_Loans!E97)</f>
        <v/>
      </c>
      <c r="F1287" s="37" t="str">
        <f>IF(Agent07_Loans!B97="","",Agent07_Loans!F97)</f>
        <v/>
      </c>
      <c r="G1287" s="37" t="str">
        <f>IF(Agent07_Loans!B97="","",Agent07_Loans!G97)</f>
        <v/>
      </c>
      <c r="H1287" s="37" t="str">
        <f>IF(Agent07_Loans!B97="","",Agent07_Loans!H97)</f>
        <v/>
      </c>
      <c r="I1287" s="40" t="str">
        <f>IF(Agent07_Loans!B97="","",Agent07_Loans!I97)</f>
        <v/>
      </c>
      <c r="J1287" s="40" t="str">
        <f>IF(Agent07_Loans!B97="","",Agent07_Loans!J97)</f>
        <v/>
      </c>
      <c r="K1287" s="37" t="str">
        <f>IF(Agent07_Loans!B97="","",Agent07_Loans!K97)</f>
        <v/>
      </c>
      <c r="L1287" s="37" t="str">
        <f>IF(Agent07_Loans!B97="","",Agent07_Loans!L97)</f>
        <v/>
      </c>
      <c r="M1287" s="37" t="str">
        <f>IFERROR(IF(Agent07_Loans!B97="","",YEAR(Agent07_Loans!D97)),"")</f>
        <v/>
      </c>
    </row>
    <row r="1288" spans="1:13" ht="18" customHeight="1" x14ac:dyDescent="0.25">
      <c r="A1288" s="37" t="str">
        <f>IF(Agent07_Loans!B98="","",Agent07_Loans!A98)</f>
        <v/>
      </c>
      <c r="B1288" s="37" t="str">
        <f>IF(Agent07_Loans!B98="","",Agent07_Loans!B98)</f>
        <v/>
      </c>
      <c r="C1288" s="37" t="str">
        <f>IF(Agent07_Loans!B98="","",Agent07_Loans!C98)</f>
        <v/>
      </c>
      <c r="D1288" s="38" t="str">
        <f>IF(Agent07_Loans!B98="","",Agent07_Loans!D98)</f>
        <v/>
      </c>
      <c r="E1288" s="40" t="str">
        <f>IF(Agent07_Loans!B98="","",Agent07_Loans!E98)</f>
        <v/>
      </c>
      <c r="F1288" s="37" t="str">
        <f>IF(Agent07_Loans!B98="","",Agent07_Loans!F98)</f>
        <v/>
      </c>
      <c r="G1288" s="37" t="str">
        <f>IF(Agent07_Loans!B98="","",Agent07_Loans!G98)</f>
        <v/>
      </c>
      <c r="H1288" s="37" t="str">
        <f>IF(Agent07_Loans!B98="","",Agent07_Loans!H98)</f>
        <v/>
      </c>
      <c r="I1288" s="40" t="str">
        <f>IF(Agent07_Loans!B98="","",Agent07_Loans!I98)</f>
        <v/>
      </c>
      <c r="J1288" s="40" t="str">
        <f>IF(Agent07_Loans!B98="","",Agent07_Loans!J98)</f>
        <v/>
      </c>
      <c r="K1288" s="37" t="str">
        <f>IF(Agent07_Loans!B98="","",Agent07_Loans!K98)</f>
        <v/>
      </c>
      <c r="L1288" s="37" t="str">
        <f>IF(Agent07_Loans!B98="","",Agent07_Loans!L98)</f>
        <v/>
      </c>
      <c r="M1288" s="37" t="str">
        <f>IFERROR(IF(Agent07_Loans!B98="","",YEAR(Agent07_Loans!D98)),"")</f>
        <v/>
      </c>
    </row>
    <row r="1289" spans="1:13" ht="18" customHeight="1" x14ac:dyDescent="0.25">
      <c r="A1289" s="37" t="str">
        <f>IF(Agent07_Loans!B99="","",Agent07_Loans!A99)</f>
        <v/>
      </c>
      <c r="B1289" s="37" t="str">
        <f>IF(Agent07_Loans!B99="","",Agent07_Loans!B99)</f>
        <v/>
      </c>
      <c r="C1289" s="37" t="str">
        <f>IF(Agent07_Loans!B99="","",Agent07_Loans!C99)</f>
        <v/>
      </c>
      <c r="D1289" s="38" t="str">
        <f>IF(Agent07_Loans!B99="","",Agent07_Loans!D99)</f>
        <v/>
      </c>
      <c r="E1289" s="40" t="str">
        <f>IF(Agent07_Loans!B99="","",Agent07_Loans!E99)</f>
        <v/>
      </c>
      <c r="F1289" s="37" t="str">
        <f>IF(Agent07_Loans!B99="","",Agent07_Loans!F99)</f>
        <v/>
      </c>
      <c r="G1289" s="37" t="str">
        <f>IF(Agent07_Loans!B99="","",Agent07_Loans!G99)</f>
        <v/>
      </c>
      <c r="H1289" s="37" t="str">
        <f>IF(Agent07_Loans!B99="","",Agent07_Loans!H99)</f>
        <v/>
      </c>
      <c r="I1289" s="40" t="str">
        <f>IF(Agent07_Loans!B99="","",Agent07_Loans!I99)</f>
        <v/>
      </c>
      <c r="J1289" s="40" t="str">
        <f>IF(Agent07_Loans!B99="","",Agent07_Loans!J99)</f>
        <v/>
      </c>
      <c r="K1289" s="37" t="str">
        <f>IF(Agent07_Loans!B99="","",Agent07_Loans!K99)</f>
        <v/>
      </c>
      <c r="L1289" s="37" t="str">
        <f>IF(Agent07_Loans!B99="","",Agent07_Loans!L99)</f>
        <v/>
      </c>
      <c r="M1289" s="37" t="str">
        <f>IFERROR(IF(Agent07_Loans!B99="","",YEAR(Agent07_Loans!D99)),"")</f>
        <v/>
      </c>
    </row>
    <row r="1290" spans="1:13" ht="18" customHeight="1" x14ac:dyDescent="0.25">
      <c r="A1290" s="37" t="str">
        <f>IF(Agent07_Loans!B100="","",Agent07_Loans!A100)</f>
        <v/>
      </c>
      <c r="B1290" s="37" t="str">
        <f>IF(Agent07_Loans!B100="","",Agent07_Loans!B100)</f>
        <v/>
      </c>
      <c r="C1290" s="37" t="str">
        <f>IF(Agent07_Loans!B100="","",Agent07_Loans!C100)</f>
        <v/>
      </c>
      <c r="D1290" s="38" t="str">
        <f>IF(Agent07_Loans!B100="","",Agent07_Loans!D100)</f>
        <v/>
      </c>
      <c r="E1290" s="40" t="str">
        <f>IF(Agent07_Loans!B100="","",Agent07_Loans!E100)</f>
        <v/>
      </c>
      <c r="F1290" s="37" t="str">
        <f>IF(Agent07_Loans!B100="","",Agent07_Loans!F100)</f>
        <v/>
      </c>
      <c r="G1290" s="37" t="str">
        <f>IF(Agent07_Loans!B100="","",Agent07_Loans!G100)</f>
        <v/>
      </c>
      <c r="H1290" s="37" t="str">
        <f>IF(Agent07_Loans!B100="","",Agent07_Loans!H100)</f>
        <v/>
      </c>
      <c r="I1290" s="40" t="str">
        <f>IF(Agent07_Loans!B100="","",Agent07_Loans!I100)</f>
        <v/>
      </c>
      <c r="J1290" s="40" t="str">
        <f>IF(Agent07_Loans!B100="","",Agent07_Loans!J100)</f>
        <v/>
      </c>
      <c r="K1290" s="37" t="str">
        <f>IF(Agent07_Loans!B100="","",Agent07_Loans!K100)</f>
        <v/>
      </c>
      <c r="L1290" s="37" t="str">
        <f>IF(Agent07_Loans!B100="","",Agent07_Loans!L100)</f>
        <v/>
      </c>
      <c r="M1290" s="37" t="str">
        <f>IFERROR(IF(Agent07_Loans!B100="","",YEAR(Agent07_Loans!D100)),"")</f>
        <v/>
      </c>
    </row>
    <row r="1291" spans="1:13" ht="18" customHeight="1" x14ac:dyDescent="0.25">
      <c r="A1291" s="37" t="str">
        <f>IF(Agent07_Loans!B101="","",Agent07_Loans!A101)</f>
        <v/>
      </c>
      <c r="B1291" s="37" t="str">
        <f>IF(Agent07_Loans!B101="","",Agent07_Loans!B101)</f>
        <v/>
      </c>
      <c r="C1291" s="37" t="str">
        <f>IF(Agent07_Loans!B101="","",Agent07_Loans!C101)</f>
        <v/>
      </c>
      <c r="D1291" s="38" t="str">
        <f>IF(Agent07_Loans!B101="","",Agent07_Loans!D101)</f>
        <v/>
      </c>
      <c r="E1291" s="40" t="str">
        <f>IF(Agent07_Loans!B101="","",Agent07_Loans!E101)</f>
        <v/>
      </c>
      <c r="F1291" s="37" t="str">
        <f>IF(Agent07_Loans!B101="","",Agent07_Loans!F101)</f>
        <v/>
      </c>
      <c r="G1291" s="37" t="str">
        <f>IF(Agent07_Loans!B101="","",Agent07_Loans!G101)</f>
        <v/>
      </c>
      <c r="H1291" s="37" t="str">
        <f>IF(Agent07_Loans!B101="","",Agent07_Loans!H101)</f>
        <v/>
      </c>
      <c r="I1291" s="40" t="str">
        <f>IF(Agent07_Loans!B101="","",Agent07_Loans!I101)</f>
        <v/>
      </c>
      <c r="J1291" s="40" t="str">
        <f>IF(Agent07_Loans!B101="","",Agent07_Loans!J101)</f>
        <v/>
      </c>
      <c r="K1291" s="37" t="str">
        <f>IF(Agent07_Loans!B101="","",Agent07_Loans!K101)</f>
        <v/>
      </c>
      <c r="L1291" s="37" t="str">
        <f>IF(Agent07_Loans!B101="","",Agent07_Loans!L101)</f>
        <v/>
      </c>
      <c r="M1291" s="37" t="str">
        <f>IFERROR(IF(Agent07_Loans!B101="","",YEAR(Agent07_Loans!D101)),"")</f>
        <v/>
      </c>
    </row>
    <row r="1292" spans="1:13" ht="18" customHeight="1" x14ac:dyDescent="0.25">
      <c r="A1292" s="37" t="str">
        <f>IF(Agent07_Loans!B102="","",Agent07_Loans!A102)</f>
        <v/>
      </c>
      <c r="B1292" s="37" t="str">
        <f>IF(Agent07_Loans!B102="","",Agent07_Loans!B102)</f>
        <v/>
      </c>
      <c r="C1292" s="37" t="str">
        <f>IF(Agent07_Loans!B102="","",Agent07_Loans!C102)</f>
        <v/>
      </c>
      <c r="D1292" s="38" t="str">
        <f>IF(Agent07_Loans!B102="","",Agent07_Loans!D102)</f>
        <v/>
      </c>
      <c r="E1292" s="40" t="str">
        <f>IF(Agent07_Loans!B102="","",Agent07_Loans!E102)</f>
        <v/>
      </c>
      <c r="F1292" s="37" t="str">
        <f>IF(Agent07_Loans!B102="","",Agent07_Loans!F102)</f>
        <v/>
      </c>
      <c r="G1292" s="37" t="str">
        <f>IF(Agent07_Loans!B102="","",Agent07_Loans!G102)</f>
        <v/>
      </c>
      <c r="H1292" s="37" t="str">
        <f>IF(Agent07_Loans!B102="","",Agent07_Loans!H102)</f>
        <v/>
      </c>
      <c r="I1292" s="40" t="str">
        <f>IF(Agent07_Loans!B102="","",Agent07_Loans!I102)</f>
        <v/>
      </c>
      <c r="J1292" s="40" t="str">
        <f>IF(Agent07_Loans!B102="","",Agent07_Loans!J102)</f>
        <v/>
      </c>
      <c r="K1292" s="37" t="str">
        <f>IF(Agent07_Loans!B102="","",Agent07_Loans!K102)</f>
        <v/>
      </c>
      <c r="L1292" s="37" t="str">
        <f>IF(Agent07_Loans!B102="","",Agent07_Loans!L102)</f>
        <v/>
      </c>
      <c r="M1292" s="37" t="str">
        <f>IFERROR(IF(Agent07_Loans!B102="","",YEAR(Agent07_Loans!D102)),"")</f>
        <v/>
      </c>
    </row>
    <row r="1293" spans="1:13" ht="18" customHeight="1" x14ac:dyDescent="0.25">
      <c r="A1293" s="37" t="str">
        <f>IF(Agent07_Loans!B103="","",Agent07_Loans!A103)</f>
        <v/>
      </c>
      <c r="B1293" s="37" t="str">
        <f>IF(Agent07_Loans!B103="","",Agent07_Loans!B103)</f>
        <v/>
      </c>
      <c r="C1293" s="37" t="str">
        <f>IF(Agent07_Loans!B103="","",Agent07_Loans!C103)</f>
        <v/>
      </c>
      <c r="D1293" s="38" t="str">
        <f>IF(Agent07_Loans!B103="","",Agent07_Loans!D103)</f>
        <v/>
      </c>
      <c r="E1293" s="40" t="str">
        <f>IF(Agent07_Loans!B103="","",Agent07_Loans!E103)</f>
        <v/>
      </c>
      <c r="F1293" s="37" t="str">
        <f>IF(Agent07_Loans!B103="","",Agent07_Loans!F103)</f>
        <v/>
      </c>
      <c r="G1293" s="37" t="str">
        <f>IF(Agent07_Loans!B103="","",Agent07_Loans!G103)</f>
        <v/>
      </c>
      <c r="H1293" s="37" t="str">
        <f>IF(Agent07_Loans!B103="","",Agent07_Loans!H103)</f>
        <v/>
      </c>
      <c r="I1293" s="40" t="str">
        <f>IF(Agent07_Loans!B103="","",Agent07_Loans!I103)</f>
        <v/>
      </c>
      <c r="J1293" s="40" t="str">
        <f>IF(Agent07_Loans!B103="","",Agent07_Loans!J103)</f>
        <v/>
      </c>
      <c r="K1293" s="37" t="str">
        <f>IF(Agent07_Loans!B103="","",Agent07_Loans!K103)</f>
        <v/>
      </c>
      <c r="L1293" s="37" t="str">
        <f>IF(Agent07_Loans!B103="","",Agent07_Loans!L103)</f>
        <v/>
      </c>
      <c r="M1293" s="37" t="str">
        <f>IFERROR(IF(Agent07_Loans!B103="","",YEAR(Agent07_Loans!D103)),"")</f>
        <v/>
      </c>
    </row>
    <row r="1294" spans="1:13" ht="18" customHeight="1" x14ac:dyDescent="0.25">
      <c r="A1294" s="37" t="str">
        <f>IF(Agent07_Loans!B104="","",Agent07_Loans!A104)</f>
        <v/>
      </c>
      <c r="B1294" s="37" t="str">
        <f>IF(Agent07_Loans!B104="","",Agent07_Loans!B104)</f>
        <v/>
      </c>
      <c r="C1294" s="37" t="str">
        <f>IF(Agent07_Loans!B104="","",Agent07_Loans!C104)</f>
        <v/>
      </c>
      <c r="D1294" s="38" t="str">
        <f>IF(Agent07_Loans!B104="","",Agent07_Loans!D104)</f>
        <v/>
      </c>
      <c r="E1294" s="40" t="str">
        <f>IF(Agent07_Loans!B104="","",Agent07_Loans!E104)</f>
        <v/>
      </c>
      <c r="F1294" s="37" t="str">
        <f>IF(Agent07_Loans!B104="","",Agent07_Loans!F104)</f>
        <v/>
      </c>
      <c r="G1294" s="37" t="str">
        <f>IF(Agent07_Loans!B104="","",Agent07_Loans!G104)</f>
        <v/>
      </c>
      <c r="H1294" s="37" t="str">
        <f>IF(Agent07_Loans!B104="","",Agent07_Loans!H104)</f>
        <v/>
      </c>
      <c r="I1294" s="40" t="str">
        <f>IF(Agent07_Loans!B104="","",Agent07_Loans!I104)</f>
        <v/>
      </c>
      <c r="J1294" s="40" t="str">
        <f>IF(Agent07_Loans!B104="","",Agent07_Loans!J104)</f>
        <v/>
      </c>
      <c r="K1294" s="37" t="str">
        <f>IF(Agent07_Loans!B104="","",Agent07_Loans!K104)</f>
        <v/>
      </c>
      <c r="L1294" s="37" t="str">
        <f>IF(Agent07_Loans!B104="","",Agent07_Loans!L104)</f>
        <v/>
      </c>
      <c r="M1294" s="37" t="str">
        <f>IFERROR(IF(Agent07_Loans!B104="","",YEAR(Agent07_Loans!D104)),"")</f>
        <v/>
      </c>
    </row>
    <row r="1295" spans="1:13" ht="18" customHeight="1" x14ac:dyDescent="0.25">
      <c r="A1295" s="37" t="str">
        <f>IF(Agent07_Loans!B105="","",Agent07_Loans!A105)</f>
        <v/>
      </c>
      <c r="B1295" s="37" t="str">
        <f>IF(Agent07_Loans!B105="","",Agent07_Loans!B105)</f>
        <v/>
      </c>
      <c r="C1295" s="37" t="str">
        <f>IF(Agent07_Loans!B105="","",Agent07_Loans!C105)</f>
        <v/>
      </c>
      <c r="D1295" s="38" t="str">
        <f>IF(Agent07_Loans!B105="","",Agent07_Loans!D105)</f>
        <v/>
      </c>
      <c r="E1295" s="40" t="str">
        <f>IF(Agent07_Loans!B105="","",Agent07_Loans!E105)</f>
        <v/>
      </c>
      <c r="F1295" s="37" t="str">
        <f>IF(Agent07_Loans!B105="","",Agent07_Loans!F105)</f>
        <v/>
      </c>
      <c r="G1295" s="37" t="str">
        <f>IF(Agent07_Loans!B105="","",Agent07_Loans!G105)</f>
        <v/>
      </c>
      <c r="H1295" s="37" t="str">
        <f>IF(Agent07_Loans!B105="","",Agent07_Loans!H105)</f>
        <v/>
      </c>
      <c r="I1295" s="40" t="str">
        <f>IF(Agent07_Loans!B105="","",Agent07_Loans!I105)</f>
        <v/>
      </c>
      <c r="J1295" s="40" t="str">
        <f>IF(Agent07_Loans!B105="","",Agent07_Loans!J105)</f>
        <v/>
      </c>
      <c r="K1295" s="37" t="str">
        <f>IF(Agent07_Loans!B105="","",Agent07_Loans!K105)</f>
        <v/>
      </c>
      <c r="L1295" s="37" t="str">
        <f>IF(Agent07_Loans!B105="","",Agent07_Loans!L105)</f>
        <v/>
      </c>
      <c r="M1295" s="37" t="str">
        <f>IFERROR(IF(Agent07_Loans!B105="","",YEAR(Agent07_Loans!D105)),"")</f>
        <v/>
      </c>
    </row>
    <row r="1296" spans="1:13" ht="18" customHeight="1" x14ac:dyDescent="0.25">
      <c r="A1296" s="37" t="str">
        <f>IF(Agent07_Loans!B106="","",Agent07_Loans!A106)</f>
        <v/>
      </c>
      <c r="B1296" s="37" t="str">
        <f>IF(Agent07_Loans!B106="","",Agent07_Loans!B106)</f>
        <v/>
      </c>
      <c r="C1296" s="37" t="str">
        <f>IF(Agent07_Loans!B106="","",Agent07_Loans!C106)</f>
        <v/>
      </c>
      <c r="D1296" s="38" t="str">
        <f>IF(Agent07_Loans!B106="","",Agent07_Loans!D106)</f>
        <v/>
      </c>
      <c r="E1296" s="40" t="str">
        <f>IF(Agent07_Loans!B106="","",Agent07_Loans!E106)</f>
        <v/>
      </c>
      <c r="F1296" s="37" t="str">
        <f>IF(Agent07_Loans!B106="","",Agent07_Loans!F106)</f>
        <v/>
      </c>
      <c r="G1296" s="37" t="str">
        <f>IF(Agent07_Loans!B106="","",Agent07_Loans!G106)</f>
        <v/>
      </c>
      <c r="H1296" s="37" t="str">
        <f>IF(Agent07_Loans!B106="","",Agent07_Loans!H106)</f>
        <v/>
      </c>
      <c r="I1296" s="40" t="str">
        <f>IF(Agent07_Loans!B106="","",Agent07_Loans!I106)</f>
        <v/>
      </c>
      <c r="J1296" s="40" t="str">
        <f>IF(Agent07_Loans!B106="","",Agent07_Loans!J106)</f>
        <v/>
      </c>
      <c r="K1296" s="37" t="str">
        <f>IF(Agent07_Loans!B106="","",Agent07_Loans!K106)</f>
        <v/>
      </c>
      <c r="L1296" s="37" t="str">
        <f>IF(Agent07_Loans!B106="","",Agent07_Loans!L106)</f>
        <v/>
      </c>
      <c r="M1296" s="37" t="str">
        <f>IFERROR(IF(Agent07_Loans!B106="","",YEAR(Agent07_Loans!D106)),"")</f>
        <v/>
      </c>
    </row>
    <row r="1297" spans="1:13" ht="18" customHeight="1" x14ac:dyDescent="0.25">
      <c r="A1297" s="37" t="str">
        <f>IF(Agent07_Loans!B107="","",Agent07_Loans!A107)</f>
        <v/>
      </c>
      <c r="B1297" s="37" t="str">
        <f>IF(Agent07_Loans!B107="","",Agent07_Loans!B107)</f>
        <v/>
      </c>
      <c r="C1297" s="37" t="str">
        <f>IF(Agent07_Loans!B107="","",Agent07_Loans!C107)</f>
        <v/>
      </c>
      <c r="D1297" s="38" t="str">
        <f>IF(Agent07_Loans!B107="","",Agent07_Loans!D107)</f>
        <v/>
      </c>
      <c r="E1297" s="40" t="str">
        <f>IF(Agent07_Loans!B107="","",Agent07_Loans!E107)</f>
        <v/>
      </c>
      <c r="F1297" s="37" t="str">
        <f>IF(Agent07_Loans!B107="","",Agent07_Loans!F107)</f>
        <v/>
      </c>
      <c r="G1297" s="37" t="str">
        <f>IF(Agent07_Loans!B107="","",Agent07_Loans!G107)</f>
        <v/>
      </c>
      <c r="H1297" s="37" t="str">
        <f>IF(Agent07_Loans!B107="","",Agent07_Loans!H107)</f>
        <v/>
      </c>
      <c r="I1297" s="40" t="str">
        <f>IF(Agent07_Loans!B107="","",Agent07_Loans!I107)</f>
        <v/>
      </c>
      <c r="J1297" s="40" t="str">
        <f>IF(Agent07_Loans!B107="","",Agent07_Loans!J107)</f>
        <v/>
      </c>
      <c r="K1297" s="37" t="str">
        <f>IF(Agent07_Loans!B107="","",Agent07_Loans!K107)</f>
        <v/>
      </c>
      <c r="L1297" s="37" t="str">
        <f>IF(Agent07_Loans!B107="","",Agent07_Loans!L107)</f>
        <v/>
      </c>
      <c r="M1297" s="37" t="str">
        <f>IFERROR(IF(Agent07_Loans!B107="","",YEAR(Agent07_Loans!D107)),"")</f>
        <v/>
      </c>
    </row>
    <row r="1298" spans="1:13" ht="18" customHeight="1" x14ac:dyDescent="0.25">
      <c r="A1298" s="37" t="str">
        <f>IF(Agent07_Loans!B108="","",Agent07_Loans!A108)</f>
        <v/>
      </c>
      <c r="B1298" s="37" t="str">
        <f>IF(Agent07_Loans!B108="","",Agent07_Loans!B108)</f>
        <v/>
      </c>
      <c r="C1298" s="37" t="str">
        <f>IF(Agent07_Loans!B108="","",Agent07_Loans!C108)</f>
        <v/>
      </c>
      <c r="D1298" s="38" t="str">
        <f>IF(Agent07_Loans!B108="","",Agent07_Loans!D108)</f>
        <v/>
      </c>
      <c r="E1298" s="40" t="str">
        <f>IF(Agent07_Loans!B108="","",Agent07_Loans!E108)</f>
        <v/>
      </c>
      <c r="F1298" s="37" t="str">
        <f>IF(Agent07_Loans!B108="","",Agent07_Loans!F108)</f>
        <v/>
      </c>
      <c r="G1298" s="37" t="str">
        <f>IF(Agent07_Loans!B108="","",Agent07_Loans!G108)</f>
        <v/>
      </c>
      <c r="H1298" s="37" t="str">
        <f>IF(Agent07_Loans!B108="","",Agent07_Loans!H108)</f>
        <v/>
      </c>
      <c r="I1298" s="40" t="str">
        <f>IF(Agent07_Loans!B108="","",Agent07_Loans!I108)</f>
        <v/>
      </c>
      <c r="J1298" s="40" t="str">
        <f>IF(Agent07_Loans!B108="","",Agent07_Loans!J108)</f>
        <v/>
      </c>
      <c r="K1298" s="37" t="str">
        <f>IF(Agent07_Loans!B108="","",Agent07_Loans!K108)</f>
        <v/>
      </c>
      <c r="L1298" s="37" t="str">
        <f>IF(Agent07_Loans!B108="","",Agent07_Loans!L108)</f>
        <v/>
      </c>
      <c r="M1298" s="37" t="str">
        <f>IFERROR(IF(Agent07_Loans!B108="","",YEAR(Agent07_Loans!D108)),"")</f>
        <v/>
      </c>
    </row>
    <row r="1299" spans="1:13" ht="18" customHeight="1" x14ac:dyDescent="0.25">
      <c r="A1299" s="37" t="str">
        <f>IF(Agent07_Loans!B109="","",Agent07_Loans!A109)</f>
        <v/>
      </c>
      <c r="B1299" s="37" t="str">
        <f>IF(Agent07_Loans!B109="","",Agent07_Loans!B109)</f>
        <v/>
      </c>
      <c r="C1299" s="37" t="str">
        <f>IF(Agent07_Loans!B109="","",Agent07_Loans!C109)</f>
        <v/>
      </c>
      <c r="D1299" s="38" t="str">
        <f>IF(Agent07_Loans!B109="","",Agent07_Loans!D109)</f>
        <v/>
      </c>
      <c r="E1299" s="40" t="str">
        <f>IF(Agent07_Loans!B109="","",Agent07_Loans!E109)</f>
        <v/>
      </c>
      <c r="F1299" s="37" t="str">
        <f>IF(Agent07_Loans!B109="","",Agent07_Loans!F109)</f>
        <v/>
      </c>
      <c r="G1299" s="37" t="str">
        <f>IF(Agent07_Loans!B109="","",Agent07_Loans!G109)</f>
        <v/>
      </c>
      <c r="H1299" s="37" t="str">
        <f>IF(Agent07_Loans!B109="","",Agent07_Loans!H109)</f>
        <v/>
      </c>
      <c r="I1299" s="40" t="str">
        <f>IF(Agent07_Loans!B109="","",Agent07_Loans!I109)</f>
        <v/>
      </c>
      <c r="J1299" s="40" t="str">
        <f>IF(Agent07_Loans!B109="","",Agent07_Loans!J109)</f>
        <v/>
      </c>
      <c r="K1299" s="37" t="str">
        <f>IF(Agent07_Loans!B109="","",Agent07_Loans!K109)</f>
        <v/>
      </c>
      <c r="L1299" s="37" t="str">
        <f>IF(Agent07_Loans!B109="","",Agent07_Loans!L109)</f>
        <v/>
      </c>
      <c r="M1299" s="37" t="str">
        <f>IFERROR(IF(Agent07_Loans!B109="","",YEAR(Agent07_Loans!D109)),"")</f>
        <v/>
      </c>
    </row>
    <row r="1300" spans="1:13" ht="18" customHeight="1" x14ac:dyDescent="0.25">
      <c r="A1300" s="37" t="str">
        <f>IF(Agent07_Loans!B110="","",Agent07_Loans!A110)</f>
        <v/>
      </c>
      <c r="B1300" s="37" t="str">
        <f>IF(Agent07_Loans!B110="","",Agent07_Loans!B110)</f>
        <v/>
      </c>
      <c r="C1300" s="37" t="str">
        <f>IF(Agent07_Loans!B110="","",Agent07_Loans!C110)</f>
        <v/>
      </c>
      <c r="D1300" s="38" t="str">
        <f>IF(Agent07_Loans!B110="","",Agent07_Loans!D110)</f>
        <v/>
      </c>
      <c r="E1300" s="40" t="str">
        <f>IF(Agent07_Loans!B110="","",Agent07_Loans!E110)</f>
        <v/>
      </c>
      <c r="F1300" s="37" t="str">
        <f>IF(Agent07_Loans!B110="","",Agent07_Loans!F110)</f>
        <v/>
      </c>
      <c r="G1300" s="37" t="str">
        <f>IF(Agent07_Loans!B110="","",Agent07_Loans!G110)</f>
        <v/>
      </c>
      <c r="H1300" s="37" t="str">
        <f>IF(Agent07_Loans!B110="","",Agent07_Loans!H110)</f>
        <v/>
      </c>
      <c r="I1300" s="40" t="str">
        <f>IF(Agent07_Loans!B110="","",Agent07_Loans!I110)</f>
        <v/>
      </c>
      <c r="J1300" s="40" t="str">
        <f>IF(Agent07_Loans!B110="","",Agent07_Loans!J110)</f>
        <v/>
      </c>
      <c r="K1300" s="37" t="str">
        <f>IF(Agent07_Loans!B110="","",Agent07_Loans!K110)</f>
        <v/>
      </c>
      <c r="L1300" s="37" t="str">
        <f>IF(Agent07_Loans!B110="","",Agent07_Loans!L110)</f>
        <v/>
      </c>
      <c r="M1300" s="37" t="str">
        <f>IFERROR(IF(Agent07_Loans!B110="","",YEAR(Agent07_Loans!D110)),"")</f>
        <v/>
      </c>
    </row>
    <row r="1301" spans="1:13" ht="18" customHeight="1" x14ac:dyDescent="0.25">
      <c r="A1301" s="37" t="str">
        <f>IF(Agent07_Loans!B111="","",Agent07_Loans!A111)</f>
        <v/>
      </c>
      <c r="B1301" s="37" t="str">
        <f>IF(Agent07_Loans!B111="","",Agent07_Loans!B111)</f>
        <v/>
      </c>
      <c r="C1301" s="37" t="str">
        <f>IF(Agent07_Loans!B111="","",Agent07_Loans!C111)</f>
        <v/>
      </c>
      <c r="D1301" s="38" t="str">
        <f>IF(Agent07_Loans!B111="","",Agent07_Loans!D111)</f>
        <v/>
      </c>
      <c r="E1301" s="40" t="str">
        <f>IF(Agent07_Loans!B111="","",Agent07_Loans!E111)</f>
        <v/>
      </c>
      <c r="F1301" s="37" t="str">
        <f>IF(Agent07_Loans!B111="","",Agent07_Loans!F111)</f>
        <v/>
      </c>
      <c r="G1301" s="37" t="str">
        <f>IF(Agent07_Loans!B111="","",Agent07_Loans!G111)</f>
        <v/>
      </c>
      <c r="H1301" s="37" t="str">
        <f>IF(Agent07_Loans!B111="","",Agent07_Loans!H111)</f>
        <v/>
      </c>
      <c r="I1301" s="40" t="str">
        <f>IF(Agent07_Loans!B111="","",Agent07_Loans!I111)</f>
        <v/>
      </c>
      <c r="J1301" s="40" t="str">
        <f>IF(Agent07_Loans!B111="","",Agent07_Loans!J111)</f>
        <v/>
      </c>
      <c r="K1301" s="37" t="str">
        <f>IF(Agent07_Loans!B111="","",Agent07_Loans!K111)</f>
        <v/>
      </c>
      <c r="L1301" s="37" t="str">
        <f>IF(Agent07_Loans!B111="","",Agent07_Loans!L111)</f>
        <v/>
      </c>
      <c r="M1301" s="37" t="str">
        <f>IFERROR(IF(Agent07_Loans!B111="","",YEAR(Agent07_Loans!D111)),"")</f>
        <v/>
      </c>
    </row>
    <row r="1302" spans="1:13" ht="18" customHeight="1" x14ac:dyDescent="0.25">
      <c r="A1302" s="37" t="str">
        <f>IF(Agent07_Loans!B112="","",Agent07_Loans!A112)</f>
        <v/>
      </c>
      <c r="B1302" s="37" t="str">
        <f>IF(Agent07_Loans!B112="","",Agent07_Loans!B112)</f>
        <v/>
      </c>
      <c r="C1302" s="37" t="str">
        <f>IF(Agent07_Loans!B112="","",Agent07_Loans!C112)</f>
        <v/>
      </c>
      <c r="D1302" s="38" t="str">
        <f>IF(Agent07_Loans!B112="","",Agent07_Loans!D112)</f>
        <v/>
      </c>
      <c r="E1302" s="40" t="str">
        <f>IF(Agent07_Loans!B112="","",Agent07_Loans!E112)</f>
        <v/>
      </c>
      <c r="F1302" s="37" t="str">
        <f>IF(Agent07_Loans!B112="","",Agent07_Loans!F112)</f>
        <v/>
      </c>
      <c r="G1302" s="37" t="str">
        <f>IF(Agent07_Loans!B112="","",Agent07_Loans!G112)</f>
        <v/>
      </c>
      <c r="H1302" s="37" t="str">
        <f>IF(Agent07_Loans!B112="","",Agent07_Loans!H112)</f>
        <v/>
      </c>
      <c r="I1302" s="40" t="str">
        <f>IF(Agent07_Loans!B112="","",Agent07_Loans!I112)</f>
        <v/>
      </c>
      <c r="J1302" s="40" t="str">
        <f>IF(Agent07_Loans!B112="","",Agent07_Loans!J112)</f>
        <v/>
      </c>
      <c r="K1302" s="37" t="str">
        <f>IF(Agent07_Loans!B112="","",Agent07_Loans!K112)</f>
        <v/>
      </c>
      <c r="L1302" s="37" t="str">
        <f>IF(Agent07_Loans!B112="","",Agent07_Loans!L112)</f>
        <v/>
      </c>
      <c r="M1302" s="37" t="str">
        <f>IFERROR(IF(Agent07_Loans!B112="","",YEAR(Agent07_Loans!D112)),"")</f>
        <v/>
      </c>
    </row>
    <row r="1303" spans="1:13" ht="18" customHeight="1" x14ac:dyDescent="0.25">
      <c r="A1303" s="37" t="str">
        <f>IF(Agent07_Loans!B113="","",Agent07_Loans!A113)</f>
        <v/>
      </c>
      <c r="B1303" s="37" t="str">
        <f>IF(Agent07_Loans!B113="","",Agent07_Loans!B113)</f>
        <v/>
      </c>
      <c r="C1303" s="37" t="str">
        <f>IF(Agent07_Loans!B113="","",Agent07_Loans!C113)</f>
        <v/>
      </c>
      <c r="D1303" s="38" t="str">
        <f>IF(Agent07_Loans!B113="","",Agent07_Loans!D113)</f>
        <v/>
      </c>
      <c r="E1303" s="40" t="str">
        <f>IF(Agent07_Loans!B113="","",Agent07_Loans!E113)</f>
        <v/>
      </c>
      <c r="F1303" s="37" t="str">
        <f>IF(Agent07_Loans!B113="","",Agent07_Loans!F113)</f>
        <v/>
      </c>
      <c r="G1303" s="37" t="str">
        <f>IF(Agent07_Loans!B113="","",Agent07_Loans!G113)</f>
        <v/>
      </c>
      <c r="H1303" s="37" t="str">
        <f>IF(Agent07_Loans!B113="","",Agent07_Loans!H113)</f>
        <v/>
      </c>
      <c r="I1303" s="40" t="str">
        <f>IF(Agent07_Loans!B113="","",Agent07_Loans!I113)</f>
        <v/>
      </c>
      <c r="J1303" s="40" t="str">
        <f>IF(Agent07_Loans!B113="","",Agent07_Loans!J113)</f>
        <v/>
      </c>
      <c r="K1303" s="37" t="str">
        <f>IF(Agent07_Loans!B113="","",Agent07_Loans!K113)</f>
        <v/>
      </c>
      <c r="L1303" s="37" t="str">
        <f>IF(Agent07_Loans!B113="","",Agent07_Loans!L113)</f>
        <v/>
      </c>
      <c r="M1303" s="37" t="str">
        <f>IFERROR(IF(Agent07_Loans!B113="","",YEAR(Agent07_Loans!D113)),"")</f>
        <v/>
      </c>
    </row>
    <row r="1304" spans="1:13" ht="18" customHeight="1" x14ac:dyDescent="0.25">
      <c r="A1304" s="37" t="str">
        <f>IF(Agent07_Loans!B114="","",Agent07_Loans!A114)</f>
        <v/>
      </c>
      <c r="B1304" s="37" t="str">
        <f>IF(Agent07_Loans!B114="","",Agent07_Loans!B114)</f>
        <v/>
      </c>
      <c r="C1304" s="37" t="str">
        <f>IF(Agent07_Loans!B114="","",Agent07_Loans!C114)</f>
        <v/>
      </c>
      <c r="D1304" s="38" t="str">
        <f>IF(Agent07_Loans!B114="","",Agent07_Loans!D114)</f>
        <v/>
      </c>
      <c r="E1304" s="40" t="str">
        <f>IF(Agent07_Loans!B114="","",Agent07_Loans!E114)</f>
        <v/>
      </c>
      <c r="F1304" s="37" t="str">
        <f>IF(Agent07_Loans!B114="","",Agent07_Loans!F114)</f>
        <v/>
      </c>
      <c r="G1304" s="37" t="str">
        <f>IF(Agent07_Loans!B114="","",Agent07_Loans!G114)</f>
        <v/>
      </c>
      <c r="H1304" s="37" t="str">
        <f>IF(Agent07_Loans!B114="","",Agent07_Loans!H114)</f>
        <v/>
      </c>
      <c r="I1304" s="40" t="str">
        <f>IF(Agent07_Loans!B114="","",Agent07_Loans!I114)</f>
        <v/>
      </c>
      <c r="J1304" s="40" t="str">
        <f>IF(Agent07_Loans!B114="","",Agent07_Loans!J114)</f>
        <v/>
      </c>
      <c r="K1304" s="37" t="str">
        <f>IF(Agent07_Loans!B114="","",Agent07_Loans!K114)</f>
        <v/>
      </c>
      <c r="L1304" s="37" t="str">
        <f>IF(Agent07_Loans!B114="","",Agent07_Loans!L114)</f>
        <v/>
      </c>
      <c r="M1304" s="37" t="str">
        <f>IFERROR(IF(Agent07_Loans!B114="","",YEAR(Agent07_Loans!D114)),"")</f>
        <v/>
      </c>
    </row>
    <row r="1305" spans="1:13" ht="18" customHeight="1" x14ac:dyDescent="0.25">
      <c r="A1305" s="37" t="str">
        <f>IF(Agent07_Loans!B115="","",Agent07_Loans!A115)</f>
        <v/>
      </c>
      <c r="B1305" s="37" t="str">
        <f>IF(Agent07_Loans!B115="","",Agent07_Loans!B115)</f>
        <v/>
      </c>
      <c r="C1305" s="37" t="str">
        <f>IF(Agent07_Loans!B115="","",Agent07_Loans!C115)</f>
        <v/>
      </c>
      <c r="D1305" s="38" t="str">
        <f>IF(Agent07_Loans!B115="","",Agent07_Loans!D115)</f>
        <v/>
      </c>
      <c r="E1305" s="40" t="str">
        <f>IF(Agent07_Loans!B115="","",Agent07_Loans!E115)</f>
        <v/>
      </c>
      <c r="F1305" s="37" t="str">
        <f>IF(Agent07_Loans!B115="","",Agent07_Loans!F115)</f>
        <v/>
      </c>
      <c r="G1305" s="37" t="str">
        <f>IF(Agent07_Loans!B115="","",Agent07_Loans!G115)</f>
        <v/>
      </c>
      <c r="H1305" s="37" t="str">
        <f>IF(Agent07_Loans!B115="","",Agent07_Loans!H115)</f>
        <v/>
      </c>
      <c r="I1305" s="40" t="str">
        <f>IF(Agent07_Loans!B115="","",Agent07_Loans!I115)</f>
        <v/>
      </c>
      <c r="J1305" s="40" t="str">
        <f>IF(Agent07_Loans!B115="","",Agent07_Loans!J115)</f>
        <v/>
      </c>
      <c r="K1305" s="37" t="str">
        <f>IF(Agent07_Loans!B115="","",Agent07_Loans!K115)</f>
        <v/>
      </c>
      <c r="L1305" s="37" t="str">
        <f>IF(Agent07_Loans!B115="","",Agent07_Loans!L115)</f>
        <v/>
      </c>
      <c r="M1305" s="37" t="str">
        <f>IFERROR(IF(Agent07_Loans!B115="","",YEAR(Agent07_Loans!D115)),"")</f>
        <v/>
      </c>
    </row>
    <row r="1306" spans="1:13" ht="18" customHeight="1" x14ac:dyDescent="0.25">
      <c r="A1306" s="37" t="str">
        <f>IF(Agent07_Loans!B116="","",Agent07_Loans!A116)</f>
        <v/>
      </c>
      <c r="B1306" s="37" t="str">
        <f>IF(Agent07_Loans!B116="","",Agent07_Loans!B116)</f>
        <v/>
      </c>
      <c r="C1306" s="37" t="str">
        <f>IF(Agent07_Loans!B116="","",Agent07_Loans!C116)</f>
        <v/>
      </c>
      <c r="D1306" s="38" t="str">
        <f>IF(Agent07_Loans!B116="","",Agent07_Loans!D116)</f>
        <v/>
      </c>
      <c r="E1306" s="40" t="str">
        <f>IF(Agent07_Loans!B116="","",Agent07_Loans!E116)</f>
        <v/>
      </c>
      <c r="F1306" s="37" t="str">
        <f>IF(Agent07_Loans!B116="","",Agent07_Loans!F116)</f>
        <v/>
      </c>
      <c r="G1306" s="37" t="str">
        <f>IF(Agent07_Loans!B116="","",Agent07_Loans!G116)</f>
        <v/>
      </c>
      <c r="H1306" s="37" t="str">
        <f>IF(Agent07_Loans!B116="","",Agent07_Loans!H116)</f>
        <v/>
      </c>
      <c r="I1306" s="40" t="str">
        <f>IF(Agent07_Loans!B116="","",Agent07_Loans!I116)</f>
        <v/>
      </c>
      <c r="J1306" s="40" t="str">
        <f>IF(Agent07_Loans!B116="","",Agent07_Loans!J116)</f>
        <v/>
      </c>
      <c r="K1306" s="37" t="str">
        <f>IF(Agent07_Loans!B116="","",Agent07_Loans!K116)</f>
        <v/>
      </c>
      <c r="L1306" s="37" t="str">
        <f>IF(Agent07_Loans!B116="","",Agent07_Loans!L116)</f>
        <v/>
      </c>
      <c r="M1306" s="37" t="str">
        <f>IFERROR(IF(Agent07_Loans!B116="","",YEAR(Agent07_Loans!D116)),"")</f>
        <v/>
      </c>
    </row>
    <row r="1307" spans="1:13" ht="18" customHeight="1" x14ac:dyDescent="0.25">
      <c r="A1307" s="37" t="str">
        <f>IF(Agent07_Loans!B117="","",Agent07_Loans!A117)</f>
        <v/>
      </c>
      <c r="B1307" s="37" t="str">
        <f>IF(Agent07_Loans!B117="","",Agent07_Loans!B117)</f>
        <v/>
      </c>
      <c r="C1307" s="37" t="str">
        <f>IF(Agent07_Loans!B117="","",Agent07_Loans!C117)</f>
        <v/>
      </c>
      <c r="D1307" s="38" t="str">
        <f>IF(Agent07_Loans!B117="","",Agent07_Loans!D117)</f>
        <v/>
      </c>
      <c r="E1307" s="40" t="str">
        <f>IF(Agent07_Loans!B117="","",Agent07_Loans!E117)</f>
        <v/>
      </c>
      <c r="F1307" s="37" t="str">
        <f>IF(Agent07_Loans!B117="","",Agent07_Loans!F117)</f>
        <v/>
      </c>
      <c r="G1307" s="37" t="str">
        <f>IF(Agent07_Loans!B117="","",Agent07_Loans!G117)</f>
        <v/>
      </c>
      <c r="H1307" s="37" t="str">
        <f>IF(Agent07_Loans!B117="","",Agent07_Loans!H117)</f>
        <v/>
      </c>
      <c r="I1307" s="40" t="str">
        <f>IF(Agent07_Loans!B117="","",Agent07_Loans!I117)</f>
        <v/>
      </c>
      <c r="J1307" s="40" t="str">
        <f>IF(Agent07_Loans!B117="","",Agent07_Loans!J117)</f>
        <v/>
      </c>
      <c r="K1307" s="37" t="str">
        <f>IF(Agent07_Loans!B117="","",Agent07_Loans!K117)</f>
        <v/>
      </c>
      <c r="L1307" s="37" t="str">
        <f>IF(Agent07_Loans!B117="","",Agent07_Loans!L117)</f>
        <v/>
      </c>
      <c r="M1307" s="37" t="str">
        <f>IFERROR(IF(Agent07_Loans!B117="","",YEAR(Agent07_Loans!D117)),"")</f>
        <v/>
      </c>
    </row>
    <row r="1308" spans="1:13" ht="18" customHeight="1" x14ac:dyDescent="0.25">
      <c r="A1308" s="37" t="str">
        <f>IF(Agent07_Loans!B118="","",Agent07_Loans!A118)</f>
        <v/>
      </c>
      <c r="B1308" s="37" t="str">
        <f>IF(Agent07_Loans!B118="","",Agent07_Loans!B118)</f>
        <v/>
      </c>
      <c r="C1308" s="37" t="str">
        <f>IF(Agent07_Loans!B118="","",Agent07_Loans!C118)</f>
        <v/>
      </c>
      <c r="D1308" s="38" t="str">
        <f>IF(Agent07_Loans!B118="","",Agent07_Loans!D118)</f>
        <v/>
      </c>
      <c r="E1308" s="40" t="str">
        <f>IF(Agent07_Loans!B118="","",Agent07_Loans!E118)</f>
        <v/>
      </c>
      <c r="F1308" s="37" t="str">
        <f>IF(Agent07_Loans!B118="","",Agent07_Loans!F118)</f>
        <v/>
      </c>
      <c r="G1308" s="37" t="str">
        <f>IF(Agent07_Loans!B118="","",Agent07_Loans!G118)</f>
        <v/>
      </c>
      <c r="H1308" s="37" t="str">
        <f>IF(Agent07_Loans!B118="","",Agent07_Loans!H118)</f>
        <v/>
      </c>
      <c r="I1308" s="40" t="str">
        <f>IF(Agent07_Loans!B118="","",Agent07_Loans!I118)</f>
        <v/>
      </c>
      <c r="J1308" s="40" t="str">
        <f>IF(Agent07_Loans!B118="","",Agent07_Loans!J118)</f>
        <v/>
      </c>
      <c r="K1308" s="37" t="str">
        <f>IF(Agent07_Loans!B118="","",Agent07_Loans!K118)</f>
        <v/>
      </c>
      <c r="L1308" s="37" t="str">
        <f>IF(Agent07_Loans!B118="","",Agent07_Loans!L118)</f>
        <v/>
      </c>
      <c r="M1308" s="37" t="str">
        <f>IFERROR(IF(Agent07_Loans!B118="","",YEAR(Agent07_Loans!D118)),"")</f>
        <v/>
      </c>
    </row>
    <row r="1309" spans="1:13" ht="18" customHeight="1" x14ac:dyDescent="0.25">
      <c r="A1309" s="37" t="str">
        <f>IF(Agent07_Loans!B119="","",Agent07_Loans!A119)</f>
        <v/>
      </c>
      <c r="B1309" s="37" t="str">
        <f>IF(Agent07_Loans!B119="","",Agent07_Loans!B119)</f>
        <v/>
      </c>
      <c r="C1309" s="37" t="str">
        <f>IF(Agent07_Loans!B119="","",Agent07_Loans!C119)</f>
        <v/>
      </c>
      <c r="D1309" s="38" t="str">
        <f>IF(Agent07_Loans!B119="","",Agent07_Loans!D119)</f>
        <v/>
      </c>
      <c r="E1309" s="40" t="str">
        <f>IF(Agent07_Loans!B119="","",Agent07_Loans!E119)</f>
        <v/>
      </c>
      <c r="F1309" s="37" t="str">
        <f>IF(Agent07_Loans!B119="","",Agent07_Loans!F119)</f>
        <v/>
      </c>
      <c r="G1309" s="37" t="str">
        <f>IF(Agent07_Loans!B119="","",Agent07_Loans!G119)</f>
        <v/>
      </c>
      <c r="H1309" s="37" t="str">
        <f>IF(Agent07_Loans!B119="","",Agent07_Loans!H119)</f>
        <v/>
      </c>
      <c r="I1309" s="40" t="str">
        <f>IF(Agent07_Loans!B119="","",Agent07_Loans!I119)</f>
        <v/>
      </c>
      <c r="J1309" s="40" t="str">
        <f>IF(Agent07_Loans!B119="","",Agent07_Loans!J119)</f>
        <v/>
      </c>
      <c r="K1309" s="37" t="str">
        <f>IF(Agent07_Loans!B119="","",Agent07_Loans!K119)</f>
        <v/>
      </c>
      <c r="L1309" s="37" t="str">
        <f>IF(Agent07_Loans!B119="","",Agent07_Loans!L119)</f>
        <v/>
      </c>
      <c r="M1309" s="37" t="str">
        <f>IFERROR(IF(Agent07_Loans!B119="","",YEAR(Agent07_Loans!D119)),"")</f>
        <v/>
      </c>
    </row>
    <row r="1310" spans="1:13" ht="18" customHeight="1" x14ac:dyDescent="0.25">
      <c r="A1310" s="37" t="str">
        <f>IF(Agent07_Loans!B120="","",Agent07_Loans!A120)</f>
        <v/>
      </c>
      <c r="B1310" s="37" t="str">
        <f>IF(Agent07_Loans!B120="","",Agent07_Loans!B120)</f>
        <v/>
      </c>
      <c r="C1310" s="37" t="str">
        <f>IF(Agent07_Loans!B120="","",Agent07_Loans!C120)</f>
        <v/>
      </c>
      <c r="D1310" s="38" t="str">
        <f>IF(Agent07_Loans!B120="","",Agent07_Loans!D120)</f>
        <v/>
      </c>
      <c r="E1310" s="40" t="str">
        <f>IF(Agent07_Loans!B120="","",Agent07_Loans!E120)</f>
        <v/>
      </c>
      <c r="F1310" s="37" t="str">
        <f>IF(Agent07_Loans!B120="","",Agent07_Loans!F120)</f>
        <v/>
      </c>
      <c r="G1310" s="37" t="str">
        <f>IF(Agent07_Loans!B120="","",Agent07_Loans!G120)</f>
        <v/>
      </c>
      <c r="H1310" s="37" t="str">
        <f>IF(Agent07_Loans!B120="","",Agent07_Loans!H120)</f>
        <v/>
      </c>
      <c r="I1310" s="40" t="str">
        <f>IF(Agent07_Loans!B120="","",Agent07_Loans!I120)</f>
        <v/>
      </c>
      <c r="J1310" s="40" t="str">
        <f>IF(Agent07_Loans!B120="","",Agent07_Loans!J120)</f>
        <v/>
      </c>
      <c r="K1310" s="37" t="str">
        <f>IF(Agent07_Loans!B120="","",Agent07_Loans!K120)</f>
        <v/>
      </c>
      <c r="L1310" s="37" t="str">
        <f>IF(Agent07_Loans!B120="","",Agent07_Loans!L120)</f>
        <v/>
      </c>
      <c r="M1310" s="37" t="str">
        <f>IFERROR(IF(Agent07_Loans!B120="","",YEAR(Agent07_Loans!D120)),"")</f>
        <v/>
      </c>
    </row>
    <row r="1311" spans="1:13" ht="18" customHeight="1" x14ac:dyDescent="0.25">
      <c r="A1311" s="37" t="str">
        <f>IF(Agent07_Loans!B121="","",Agent07_Loans!A121)</f>
        <v/>
      </c>
      <c r="B1311" s="37" t="str">
        <f>IF(Agent07_Loans!B121="","",Agent07_Loans!B121)</f>
        <v/>
      </c>
      <c r="C1311" s="37" t="str">
        <f>IF(Agent07_Loans!B121="","",Agent07_Loans!C121)</f>
        <v/>
      </c>
      <c r="D1311" s="38" t="str">
        <f>IF(Agent07_Loans!B121="","",Agent07_Loans!D121)</f>
        <v/>
      </c>
      <c r="E1311" s="40" t="str">
        <f>IF(Agent07_Loans!B121="","",Agent07_Loans!E121)</f>
        <v/>
      </c>
      <c r="F1311" s="37" t="str">
        <f>IF(Agent07_Loans!B121="","",Agent07_Loans!F121)</f>
        <v/>
      </c>
      <c r="G1311" s="37" t="str">
        <f>IF(Agent07_Loans!B121="","",Agent07_Loans!G121)</f>
        <v/>
      </c>
      <c r="H1311" s="37" t="str">
        <f>IF(Agent07_Loans!B121="","",Agent07_Loans!H121)</f>
        <v/>
      </c>
      <c r="I1311" s="40" t="str">
        <f>IF(Agent07_Loans!B121="","",Agent07_Loans!I121)</f>
        <v/>
      </c>
      <c r="J1311" s="40" t="str">
        <f>IF(Agent07_Loans!B121="","",Agent07_Loans!J121)</f>
        <v/>
      </c>
      <c r="K1311" s="37" t="str">
        <f>IF(Agent07_Loans!B121="","",Agent07_Loans!K121)</f>
        <v/>
      </c>
      <c r="L1311" s="37" t="str">
        <f>IF(Agent07_Loans!B121="","",Agent07_Loans!L121)</f>
        <v/>
      </c>
      <c r="M1311" s="37" t="str">
        <f>IFERROR(IF(Agent07_Loans!B121="","",YEAR(Agent07_Loans!D121)),"")</f>
        <v/>
      </c>
    </row>
    <row r="1312" spans="1:13" ht="18" customHeight="1" x14ac:dyDescent="0.25">
      <c r="A1312" s="37" t="str">
        <f>IF(Agent07_Loans!B122="","",Agent07_Loans!A122)</f>
        <v/>
      </c>
      <c r="B1312" s="37" t="str">
        <f>IF(Agent07_Loans!B122="","",Agent07_Loans!B122)</f>
        <v/>
      </c>
      <c r="C1312" s="37" t="str">
        <f>IF(Agent07_Loans!B122="","",Agent07_Loans!C122)</f>
        <v/>
      </c>
      <c r="D1312" s="38" t="str">
        <f>IF(Agent07_Loans!B122="","",Agent07_Loans!D122)</f>
        <v/>
      </c>
      <c r="E1312" s="40" t="str">
        <f>IF(Agent07_Loans!B122="","",Agent07_Loans!E122)</f>
        <v/>
      </c>
      <c r="F1312" s="37" t="str">
        <f>IF(Agent07_Loans!B122="","",Agent07_Loans!F122)</f>
        <v/>
      </c>
      <c r="G1312" s="37" t="str">
        <f>IF(Agent07_Loans!B122="","",Agent07_Loans!G122)</f>
        <v/>
      </c>
      <c r="H1312" s="37" t="str">
        <f>IF(Agent07_Loans!B122="","",Agent07_Loans!H122)</f>
        <v/>
      </c>
      <c r="I1312" s="40" t="str">
        <f>IF(Agent07_Loans!B122="","",Agent07_Loans!I122)</f>
        <v/>
      </c>
      <c r="J1312" s="40" t="str">
        <f>IF(Agent07_Loans!B122="","",Agent07_Loans!J122)</f>
        <v/>
      </c>
      <c r="K1312" s="37" t="str">
        <f>IF(Agent07_Loans!B122="","",Agent07_Loans!K122)</f>
        <v/>
      </c>
      <c r="L1312" s="37" t="str">
        <f>IF(Agent07_Loans!B122="","",Agent07_Loans!L122)</f>
        <v/>
      </c>
      <c r="M1312" s="37" t="str">
        <f>IFERROR(IF(Agent07_Loans!B122="","",YEAR(Agent07_Loans!D122)),"")</f>
        <v/>
      </c>
    </row>
    <row r="1313" spans="1:13" ht="18" customHeight="1" x14ac:dyDescent="0.25">
      <c r="A1313" s="37" t="str">
        <f>IF(Agent07_Loans!B123="","",Agent07_Loans!A123)</f>
        <v/>
      </c>
      <c r="B1313" s="37" t="str">
        <f>IF(Agent07_Loans!B123="","",Agent07_Loans!B123)</f>
        <v/>
      </c>
      <c r="C1313" s="37" t="str">
        <f>IF(Agent07_Loans!B123="","",Agent07_Loans!C123)</f>
        <v/>
      </c>
      <c r="D1313" s="38" t="str">
        <f>IF(Agent07_Loans!B123="","",Agent07_Loans!D123)</f>
        <v/>
      </c>
      <c r="E1313" s="40" t="str">
        <f>IF(Agent07_Loans!B123="","",Agent07_Loans!E123)</f>
        <v/>
      </c>
      <c r="F1313" s="37" t="str">
        <f>IF(Agent07_Loans!B123="","",Agent07_Loans!F123)</f>
        <v/>
      </c>
      <c r="G1313" s="37" t="str">
        <f>IF(Agent07_Loans!B123="","",Agent07_Loans!G123)</f>
        <v/>
      </c>
      <c r="H1313" s="37" t="str">
        <f>IF(Agent07_Loans!B123="","",Agent07_Loans!H123)</f>
        <v/>
      </c>
      <c r="I1313" s="40" t="str">
        <f>IF(Agent07_Loans!B123="","",Agent07_Loans!I123)</f>
        <v/>
      </c>
      <c r="J1313" s="40" t="str">
        <f>IF(Agent07_Loans!B123="","",Agent07_Loans!J123)</f>
        <v/>
      </c>
      <c r="K1313" s="37" t="str">
        <f>IF(Agent07_Loans!B123="","",Agent07_Loans!K123)</f>
        <v/>
      </c>
      <c r="L1313" s="37" t="str">
        <f>IF(Agent07_Loans!B123="","",Agent07_Loans!L123)</f>
        <v/>
      </c>
      <c r="M1313" s="37" t="str">
        <f>IFERROR(IF(Agent07_Loans!B123="","",YEAR(Agent07_Loans!D123)),"")</f>
        <v/>
      </c>
    </row>
    <row r="1314" spans="1:13" ht="18" customHeight="1" x14ac:dyDescent="0.25">
      <c r="A1314" s="37" t="str">
        <f>IF(Agent07_Loans!B124="","",Agent07_Loans!A124)</f>
        <v/>
      </c>
      <c r="B1314" s="37" t="str">
        <f>IF(Agent07_Loans!B124="","",Agent07_Loans!B124)</f>
        <v/>
      </c>
      <c r="C1314" s="37" t="str">
        <f>IF(Agent07_Loans!B124="","",Agent07_Loans!C124)</f>
        <v/>
      </c>
      <c r="D1314" s="38" t="str">
        <f>IF(Agent07_Loans!B124="","",Agent07_Loans!D124)</f>
        <v/>
      </c>
      <c r="E1314" s="40" t="str">
        <f>IF(Agent07_Loans!B124="","",Agent07_Loans!E124)</f>
        <v/>
      </c>
      <c r="F1314" s="37" t="str">
        <f>IF(Agent07_Loans!B124="","",Agent07_Loans!F124)</f>
        <v/>
      </c>
      <c r="G1314" s="37" t="str">
        <f>IF(Agent07_Loans!B124="","",Agent07_Loans!G124)</f>
        <v/>
      </c>
      <c r="H1314" s="37" t="str">
        <f>IF(Agent07_Loans!B124="","",Agent07_Loans!H124)</f>
        <v/>
      </c>
      <c r="I1314" s="40" t="str">
        <f>IF(Agent07_Loans!B124="","",Agent07_Loans!I124)</f>
        <v/>
      </c>
      <c r="J1314" s="40" t="str">
        <f>IF(Agent07_Loans!B124="","",Agent07_Loans!J124)</f>
        <v/>
      </c>
      <c r="K1314" s="37" t="str">
        <f>IF(Agent07_Loans!B124="","",Agent07_Loans!K124)</f>
        <v/>
      </c>
      <c r="L1314" s="37" t="str">
        <f>IF(Agent07_Loans!B124="","",Agent07_Loans!L124)</f>
        <v/>
      </c>
      <c r="M1314" s="37" t="str">
        <f>IFERROR(IF(Agent07_Loans!B124="","",YEAR(Agent07_Loans!D124)),"")</f>
        <v/>
      </c>
    </row>
    <row r="1315" spans="1:13" ht="18" customHeight="1" x14ac:dyDescent="0.25">
      <c r="A1315" s="37" t="str">
        <f>IF(Agent07_Loans!B125="","",Agent07_Loans!A125)</f>
        <v/>
      </c>
      <c r="B1315" s="37" t="str">
        <f>IF(Agent07_Loans!B125="","",Agent07_Loans!B125)</f>
        <v/>
      </c>
      <c r="C1315" s="37" t="str">
        <f>IF(Agent07_Loans!B125="","",Agent07_Loans!C125)</f>
        <v/>
      </c>
      <c r="D1315" s="38" t="str">
        <f>IF(Agent07_Loans!B125="","",Agent07_Loans!D125)</f>
        <v/>
      </c>
      <c r="E1315" s="40" t="str">
        <f>IF(Agent07_Loans!B125="","",Agent07_Loans!E125)</f>
        <v/>
      </c>
      <c r="F1315" s="37" t="str">
        <f>IF(Agent07_Loans!B125="","",Agent07_Loans!F125)</f>
        <v/>
      </c>
      <c r="G1315" s="37" t="str">
        <f>IF(Agent07_Loans!B125="","",Agent07_Loans!G125)</f>
        <v/>
      </c>
      <c r="H1315" s="37" t="str">
        <f>IF(Agent07_Loans!B125="","",Agent07_Loans!H125)</f>
        <v/>
      </c>
      <c r="I1315" s="40" t="str">
        <f>IF(Agent07_Loans!B125="","",Agent07_Loans!I125)</f>
        <v/>
      </c>
      <c r="J1315" s="40" t="str">
        <f>IF(Agent07_Loans!B125="","",Agent07_Loans!J125)</f>
        <v/>
      </c>
      <c r="K1315" s="37" t="str">
        <f>IF(Agent07_Loans!B125="","",Agent07_Loans!K125)</f>
        <v/>
      </c>
      <c r="L1315" s="37" t="str">
        <f>IF(Agent07_Loans!B125="","",Agent07_Loans!L125)</f>
        <v/>
      </c>
      <c r="M1315" s="37" t="str">
        <f>IFERROR(IF(Agent07_Loans!B125="","",YEAR(Agent07_Loans!D125)),"")</f>
        <v/>
      </c>
    </row>
    <row r="1316" spans="1:13" ht="18" customHeight="1" x14ac:dyDescent="0.25">
      <c r="A1316" s="37" t="str">
        <f>IF(Agent07_Loans!B126="","",Agent07_Loans!A126)</f>
        <v/>
      </c>
      <c r="B1316" s="37" t="str">
        <f>IF(Agent07_Loans!B126="","",Agent07_Loans!B126)</f>
        <v/>
      </c>
      <c r="C1316" s="37" t="str">
        <f>IF(Agent07_Loans!B126="","",Agent07_Loans!C126)</f>
        <v/>
      </c>
      <c r="D1316" s="38" t="str">
        <f>IF(Agent07_Loans!B126="","",Agent07_Loans!D126)</f>
        <v/>
      </c>
      <c r="E1316" s="40" t="str">
        <f>IF(Agent07_Loans!B126="","",Agent07_Loans!E126)</f>
        <v/>
      </c>
      <c r="F1316" s="37" t="str">
        <f>IF(Agent07_Loans!B126="","",Agent07_Loans!F126)</f>
        <v/>
      </c>
      <c r="G1316" s="37" t="str">
        <f>IF(Agent07_Loans!B126="","",Agent07_Loans!G126)</f>
        <v/>
      </c>
      <c r="H1316" s="37" t="str">
        <f>IF(Agent07_Loans!B126="","",Agent07_Loans!H126)</f>
        <v/>
      </c>
      <c r="I1316" s="40" t="str">
        <f>IF(Agent07_Loans!B126="","",Agent07_Loans!I126)</f>
        <v/>
      </c>
      <c r="J1316" s="40" t="str">
        <f>IF(Agent07_Loans!B126="","",Agent07_Loans!J126)</f>
        <v/>
      </c>
      <c r="K1316" s="37" t="str">
        <f>IF(Agent07_Loans!B126="","",Agent07_Loans!K126)</f>
        <v/>
      </c>
      <c r="L1316" s="37" t="str">
        <f>IF(Agent07_Loans!B126="","",Agent07_Loans!L126)</f>
        <v/>
      </c>
      <c r="M1316" s="37" t="str">
        <f>IFERROR(IF(Agent07_Loans!B126="","",YEAR(Agent07_Loans!D126)),"")</f>
        <v/>
      </c>
    </row>
    <row r="1317" spans="1:13" ht="18" customHeight="1" x14ac:dyDescent="0.25">
      <c r="A1317" s="37" t="str">
        <f>IF(Agent07_Loans!B127="","",Agent07_Loans!A127)</f>
        <v/>
      </c>
      <c r="B1317" s="37" t="str">
        <f>IF(Agent07_Loans!B127="","",Agent07_Loans!B127)</f>
        <v/>
      </c>
      <c r="C1317" s="37" t="str">
        <f>IF(Agent07_Loans!B127="","",Agent07_Loans!C127)</f>
        <v/>
      </c>
      <c r="D1317" s="38" t="str">
        <f>IF(Agent07_Loans!B127="","",Agent07_Loans!D127)</f>
        <v/>
      </c>
      <c r="E1317" s="40" t="str">
        <f>IF(Agent07_Loans!B127="","",Agent07_Loans!E127)</f>
        <v/>
      </c>
      <c r="F1317" s="37" t="str">
        <f>IF(Agent07_Loans!B127="","",Agent07_Loans!F127)</f>
        <v/>
      </c>
      <c r="G1317" s="37" t="str">
        <f>IF(Agent07_Loans!B127="","",Agent07_Loans!G127)</f>
        <v/>
      </c>
      <c r="H1317" s="37" t="str">
        <f>IF(Agent07_Loans!B127="","",Agent07_Loans!H127)</f>
        <v/>
      </c>
      <c r="I1317" s="40" t="str">
        <f>IF(Agent07_Loans!B127="","",Agent07_Loans!I127)</f>
        <v/>
      </c>
      <c r="J1317" s="40" t="str">
        <f>IF(Agent07_Loans!B127="","",Agent07_Loans!J127)</f>
        <v/>
      </c>
      <c r="K1317" s="37" t="str">
        <f>IF(Agent07_Loans!B127="","",Agent07_Loans!K127)</f>
        <v/>
      </c>
      <c r="L1317" s="37" t="str">
        <f>IF(Agent07_Loans!B127="","",Agent07_Loans!L127)</f>
        <v/>
      </c>
      <c r="M1317" s="37" t="str">
        <f>IFERROR(IF(Agent07_Loans!B127="","",YEAR(Agent07_Loans!D127)),"")</f>
        <v/>
      </c>
    </row>
    <row r="1318" spans="1:13" ht="18" customHeight="1" x14ac:dyDescent="0.25">
      <c r="A1318" s="37" t="str">
        <f>IF(Agent07_Loans!B128="","",Agent07_Loans!A128)</f>
        <v/>
      </c>
      <c r="B1318" s="37" t="str">
        <f>IF(Agent07_Loans!B128="","",Agent07_Loans!B128)</f>
        <v/>
      </c>
      <c r="C1318" s="37" t="str">
        <f>IF(Agent07_Loans!B128="","",Agent07_Loans!C128)</f>
        <v/>
      </c>
      <c r="D1318" s="38" t="str">
        <f>IF(Agent07_Loans!B128="","",Agent07_Loans!D128)</f>
        <v/>
      </c>
      <c r="E1318" s="40" t="str">
        <f>IF(Agent07_Loans!B128="","",Agent07_Loans!E128)</f>
        <v/>
      </c>
      <c r="F1318" s="37" t="str">
        <f>IF(Agent07_Loans!B128="","",Agent07_Loans!F128)</f>
        <v/>
      </c>
      <c r="G1318" s="37" t="str">
        <f>IF(Agent07_Loans!B128="","",Agent07_Loans!G128)</f>
        <v/>
      </c>
      <c r="H1318" s="37" t="str">
        <f>IF(Agent07_Loans!B128="","",Agent07_Loans!H128)</f>
        <v/>
      </c>
      <c r="I1318" s="40" t="str">
        <f>IF(Agent07_Loans!B128="","",Agent07_Loans!I128)</f>
        <v/>
      </c>
      <c r="J1318" s="40" t="str">
        <f>IF(Agent07_Loans!B128="","",Agent07_Loans!J128)</f>
        <v/>
      </c>
      <c r="K1318" s="37" t="str">
        <f>IF(Agent07_Loans!B128="","",Agent07_Loans!K128)</f>
        <v/>
      </c>
      <c r="L1318" s="37" t="str">
        <f>IF(Agent07_Loans!B128="","",Agent07_Loans!L128)</f>
        <v/>
      </c>
      <c r="M1318" s="37" t="str">
        <f>IFERROR(IF(Agent07_Loans!B128="","",YEAR(Agent07_Loans!D128)),"")</f>
        <v/>
      </c>
    </row>
    <row r="1319" spans="1:13" ht="18" customHeight="1" x14ac:dyDescent="0.25">
      <c r="A1319" s="37" t="str">
        <f>IF(Agent07_Loans!B129="","",Agent07_Loans!A129)</f>
        <v/>
      </c>
      <c r="B1319" s="37" t="str">
        <f>IF(Agent07_Loans!B129="","",Agent07_Loans!B129)</f>
        <v/>
      </c>
      <c r="C1319" s="37" t="str">
        <f>IF(Agent07_Loans!B129="","",Agent07_Loans!C129)</f>
        <v/>
      </c>
      <c r="D1319" s="38" t="str">
        <f>IF(Agent07_Loans!B129="","",Agent07_Loans!D129)</f>
        <v/>
      </c>
      <c r="E1319" s="40" t="str">
        <f>IF(Agent07_Loans!B129="","",Agent07_Loans!E129)</f>
        <v/>
      </c>
      <c r="F1319" s="37" t="str">
        <f>IF(Agent07_Loans!B129="","",Agent07_Loans!F129)</f>
        <v/>
      </c>
      <c r="G1319" s="37" t="str">
        <f>IF(Agent07_Loans!B129="","",Agent07_Loans!G129)</f>
        <v/>
      </c>
      <c r="H1319" s="37" t="str">
        <f>IF(Agent07_Loans!B129="","",Agent07_Loans!H129)</f>
        <v/>
      </c>
      <c r="I1319" s="40" t="str">
        <f>IF(Agent07_Loans!B129="","",Agent07_Loans!I129)</f>
        <v/>
      </c>
      <c r="J1319" s="40" t="str">
        <f>IF(Agent07_Loans!B129="","",Agent07_Loans!J129)</f>
        <v/>
      </c>
      <c r="K1319" s="37" t="str">
        <f>IF(Agent07_Loans!B129="","",Agent07_Loans!K129)</f>
        <v/>
      </c>
      <c r="L1319" s="37" t="str">
        <f>IF(Agent07_Loans!B129="","",Agent07_Loans!L129)</f>
        <v/>
      </c>
      <c r="M1319" s="37" t="str">
        <f>IFERROR(IF(Agent07_Loans!B129="","",YEAR(Agent07_Loans!D129)),"")</f>
        <v/>
      </c>
    </row>
    <row r="1320" spans="1:13" ht="18" customHeight="1" x14ac:dyDescent="0.25">
      <c r="A1320" s="37" t="str">
        <f>IF(Agent07_Loans!B130="","",Agent07_Loans!A130)</f>
        <v/>
      </c>
      <c r="B1320" s="37" t="str">
        <f>IF(Agent07_Loans!B130="","",Agent07_Loans!B130)</f>
        <v/>
      </c>
      <c r="C1320" s="37" t="str">
        <f>IF(Agent07_Loans!B130="","",Agent07_Loans!C130)</f>
        <v/>
      </c>
      <c r="D1320" s="38" t="str">
        <f>IF(Agent07_Loans!B130="","",Agent07_Loans!D130)</f>
        <v/>
      </c>
      <c r="E1320" s="40" t="str">
        <f>IF(Agent07_Loans!B130="","",Agent07_Loans!E130)</f>
        <v/>
      </c>
      <c r="F1320" s="37" t="str">
        <f>IF(Agent07_Loans!B130="","",Agent07_Loans!F130)</f>
        <v/>
      </c>
      <c r="G1320" s="37" t="str">
        <f>IF(Agent07_Loans!B130="","",Agent07_Loans!G130)</f>
        <v/>
      </c>
      <c r="H1320" s="37" t="str">
        <f>IF(Agent07_Loans!B130="","",Agent07_Loans!H130)</f>
        <v/>
      </c>
      <c r="I1320" s="40" t="str">
        <f>IF(Agent07_Loans!B130="","",Agent07_Loans!I130)</f>
        <v/>
      </c>
      <c r="J1320" s="40" t="str">
        <f>IF(Agent07_Loans!B130="","",Agent07_Loans!J130)</f>
        <v/>
      </c>
      <c r="K1320" s="37" t="str">
        <f>IF(Agent07_Loans!B130="","",Agent07_Loans!K130)</f>
        <v/>
      </c>
      <c r="L1320" s="37" t="str">
        <f>IF(Agent07_Loans!B130="","",Agent07_Loans!L130)</f>
        <v/>
      </c>
      <c r="M1320" s="37" t="str">
        <f>IFERROR(IF(Agent07_Loans!B130="","",YEAR(Agent07_Loans!D130)),"")</f>
        <v/>
      </c>
    </row>
    <row r="1321" spans="1:13" ht="18" customHeight="1" x14ac:dyDescent="0.25">
      <c r="A1321" s="37" t="str">
        <f>IF(Agent07_Loans!B131="","",Agent07_Loans!A131)</f>
        <v/>
      </c>
      <c r="B1321" s="37" t="str">
        <f>IF(Agent07_Loans!B131="","",Agent07_Loans!B131)</f>
        <v/>
      </c>
      <c r="C1321" s="37" t="str">
        <f>IF(Agent07_Loans!B131="","",Agent07_Loans!C131)</f>
        <v/>
      </c>
      <c r="D1321" s="38" t="str">
        <f>IF(Agent07_Loans!B131="","",Agent07_Loans!D131)</f>
        <v/>
      </c>
      <c r="E1321" s="40" t="str">
        <f>IF(Agent07_Loans!B131="","",Agent07_Loans!E131)</f>
        <v/>
      </c>
      <c r="F1321" s="37" t="str">
        <f>IF(Agent07_Loans!B131="","",Agent07_Loans!F131)</f>
        <v/>
      </c>
      <c r="G1321" s="37" t="str">
        <f>IF(Agent07_Loans!B131="","",Agent07_Loans!G131)</f>
        <v/>
      </c>
      <c r="H1321" s="37" t="str">
        <f>IF(Agent07_Loans!B131="","",Agent07_Loans!H131)</f>
        <v/>
      </c>
      <c r="I1321" s="40" t="str">
        <f>IF(Agent07_Loans!B131="","",Agent07_Loans!I131)</f>
        <v/>
      </c>
      <c r="J1321" s="40" t="str">
        <f>IF(Agent07_Loans!B131="","",Agent07_Loans!J131)</f>
        <v/>
      </c>
      <c r="K1321" s="37" t="str">
        <f>IF(Agent07_Loans!B131="","",Agent07_Loans!K131)</f>
        <v/>
      </c>
      <c r="L1321" s="37" t="str">
        <f>IF(Agent07_Loans!B131="","",Agent07_Loans!L131)</f>
        <v/>
      </c>
      <c r="M1321" s="37" t="str">
        <f>IFERROR(IF(Agent07_Loans!B131="","",YEAR(Agent07_Loans!D131)),"")</f>
        <v/>
      </c>
    </row>
    <row r="1322" spans="1:13" ht="18" customHeight="1" x14ac:dyDescent="0.25">
      <c r="A1322" s="37" t="str">
        <f>IF(Agent07_Loans!B132="","",Agent07_Loans!A132)</f>
        <v/>
      </c>
      <c r="B1322" s="37" t="str">
        <f>IF(Agent07_Loans!B132="","",Agent07_Loans!B132)</f>
        <v/>
      </c>
      <c r="C1322" s="37" t="str">
        <f>IF(Agent07_Loans!B132="","",Agent07_Loans!C132)</f>
        <v/>
      </c>
      <c r="D1322" s="38" t="str">
        <f>IF(Agent07_Loans!B132="","",Agent07_Loans!D132)</f>
        <v/>
      </c>
      <c r="E1322" s="40" t="str">
        <f>IF(Agent07_Loans!B132="","",Agent07_Loans!E132)</f>
        <v/>
      </c>
      <c r="F1322" s="37" t="str">
        <f>IF(Agent07_Loans!B132="","",Agent07_Loans!F132)</f>
        <v/>
      </c>
      <c r="G1322" s="37" t="str">
        <f>IF(Agent07_Loans!B132="","",Agent07_Loans!G132)</f>
        <v/>
      </c>
      <c r="H1322" s="37" t="str">
        <f>IF(Agent07_Loans!B132="","",Agent07_Loans!H132)</f>
        <v/>
      </c>
      <c r="I1322" s="40" t="str">
        <f>IF(Agent07_Loans!B132="","",Agent07_Loans!I132)</f>
        <v/>
      </c>
      <c r="J1322" s="40" t="str">
        <f>IF(Agent07_Loans!B132="","",Agent07_Loans!J132)</f>
        <v/>
      </c>
      <c r="K1322" s="37" t="str">
        <f>IF(Agent07_Loans!B132="","",Agent07_Loans!K132)</f>
        <v/>
      </c>
      <c r="L1322" s="37" t="str">
        <f>IF(Agent07_Loans!B132="","",Agent07_Loans!L132)</f>
        <v/>
      </c>
      <c r="M1322" s="37" t="str">
        <f>IFERROR(IF(Agent07_Loans!B132="","",YEAR(Agent07_Loans!D132)),"")</f>
        <v/>
      </c>
    </row>
    <row r="1323" spans="1:13" ht="18" customHeight="1" x14ac:dyDescent="0.25">
      <c r="A1323" s="37" t="str">
        <f>IF(Agent07_Loans!B133="","",Agent07_Loans!A133)</f>
        <v/>
      </c>
      <c r="B1323" s="37" t="str">
        <f>IF(Agent07_Loans!B133="","",Agent07_Loans!B133)</f>
        <v/>
      </c>
      <c r="C1323" s="37" t="str">
        <f>IF(Agent07_Loans!B133="","",Agent07_Loans!C133)</f>
        <v/>
      </c>
      <c r="D1323" s="38" t="str">
        <f>IF(Agent07_Loans!B133="","",Agent07_Loans!D133)</f>
        <v/>
      </c>
      <c r="E1323" s="40" t="str">
        <f>IF(Agent07_Loans!B133="","",Agent07_Loans!E133)</f>
        <v/>
      </c>
      <c r="F1323" s="37" t="str">
        <f>IF(Agent07_Loans!B133="","",Agent07_Loans!F133)</f>
        <v/>
      </c>
      <c r="G1323" s="37" t="str">
        <f>IF(Agent07_Loans!B133="","",Agent07_Loans!G133)</f>
        <v/>
      </c>
      <c r="H1323" s="37" t="str">
        <f>IF(Agent07_Loans!B133="","",Agent07_Loans!H133)</f>
        <v/>
      </c>
      <c r="I1323" s="40" t="str">
        <f>IF(Agent07_Loans!B133="","",Agent07_Loans!I133)</f>
        <v/>
      </c>
      <c r="J1323" s="40" t="str">
        <f>IF(Agent07_Loans!B133="","",Agent07_Loans!J133)</f>
        <v/>
      </c>
      <c r="K1323" s="37" t="str">
        <f>IF(Agent07_Loans!B133="","",Agent07_Loans!K133)</f>
        <v/>
      </c>
      <c r="L1323" s="37" t="str">
        <f>IF(Agent07_Loans!B133="","",Agent07_Loans!L133)</f>
        <v/>
      </c>
      <c r="M1323" s="37" t="str">
        <f>IFERROR(IF(Agent07_Loans!B133="","",YEAR(Agent07_Loans!D133)),"")</f>
        <v/>
      </c>
    </row>
    <row r="1324" spans="1:13" ht="18" customHeight="1" x14ac:dyDescent="0.25">
      <c r="A1324" s="37" t="str">
        <f>IF(Agent07_Loans!B134="","",Agent07_Loans!A134)</f>
        <v/>
      </c>
      <c r="B1324" s="37" t="str">
        <f>IF(Agent07_Loans!B134="","",Agent07_Loans!B134)</f>
        <v/>
      </c>
      <c r="C1324" s="37" t="str">
        <f>IF(Agent07_Loans!B134="","",Agent07_Loans!C134)</f>
        <v/>
      </c>
      <c r="D1324" s="38" t="str">
        <f>IF(Agent07_Loans!B134="","",Agent07_Loans!D134)</f>
        <v/>
      </c>
      <c r="E1324" s="40" t="str">
        <f>IF(Agent07_Loans!B134="","",Agent07_Loans!E134)</f>
        <v/>
      </c>
      <c r="F1324" s="37" t="str">
        <f>IF(Agent07_Loans!B134="","",Agent07_Loans!F134)</f>
        <v/>
      </c>
      <c r="G1324" s="37" t="str">
        <f>IF(Agent07_Loans!B134="","",Agent07_Loans!G134)</f>
        <v/>
      </c>
      <c r="H1324" s="37" t="str">
        <f>IF(Agent07_Loans!B134="","",Agent07_Loans!H134)</f>
        <v/>
      </c>
      <c r="I1324" s="40" t="str">
        <f>IF(Agent07_Loans!B134="","",Agent07_Loans!I134)</f>
        <v/>
      </c>
      <c r="J1324" s="40" t="str">
        <f>IF(Agent07_Loans!B134="","",Agent07_Loans!J134)</f>
        <v/>
      </c>
      <c r="K1324" s="37" t="str">
        <f>IF(Agent07_Loans!B134="","",Agent07_Loans!K134)</f>
        <v/>
      </c>
      <c r="L1324" s="37" t="str">
        <f>IF(Agent07_Loans!B134="","",Agent07_Loans!L134)</f>
        <v/>
      </c>
      <c r="M1324" s="37" t="str">
        <f>IFERROR(IF(Agent07_Loans!B134="","",YEAR(Agent07_Loans!D134)),"")</f>
        <v/>
      </c>
    </row>
    <row r="1325" spans="1:13" ht="18" customHeight="1" x14ac:dyDescent="0.25">
      <c r="A1325" s="37" t="str">
        <f>IF(Agent07_Loans!B135="","",Agent07_Loans!A135)</f>
        <v/>
      </c>
      <c r="B1325" s="37" t="str">
        <f>IF(Agent07_Loans!B135="","",Agent07_Loans!B135)</f>
        <v/>
      </c>
      <c r="C1325" s="37" t="str">
        <f>IF(Agent07_Loans!B135="","",Agent07_Loans!C135)</f>
        <v/>
      </c>
      <c r="D1325" s="38" t="str">
        <f>IF(Agent07_Loans!B135="","",Agent07_Loans!D135)</f>
        <v/>
      </c>
      <c r="E1325" s="40" t="str">
        <f>IF(Agent07_Loans!B135="","",Agent07_Loans!E135)</f>
        <v/>
      </c>
      <c r="F1325" s="37" t="str">
        <f>IF(Agent07_Loans!B135="","",Agent07_Loans!F135)</f>
        <v/>
      </c>
      <c r="G1325" s="37" t="str">
        <f>IF(Agent07_Loans!B135="","",Agent07_Loans!G135)</f>
        <v/>
      </c>
      <c r="H1325" s="37" t="str">
        <f>IF(Agent07_Loans!B135="","",Agent07_Loans!H135)</f>
        <v/>
      </c>
      <c r="I1325" s="40" t="str">
        <f>IF(Agent07_Loans!B135="","",Agent07_Loans!I135)</f>
        <v/>
      </c>
      <c r="J1325" s="40" t="str">
        <f>IF(Agent07_Loans!B135="","",Agent07_Loans!J135)</f>
        <v/>
      </c>
      <c r="K1325" s="37" t="str">
        <f>IF(Agent07_Loans!B135="","",Agent07_Loans!K135)</f>
        <v/>
      </c>
      <c r="L1325" s="37" t="str">
        <f>IF(Agent07_Loans!B135="","",Agent07_Loans!L135)</f>
        <v/>
      </c>
      <c r="M1325" s="37" t="str">
        <f>IFERROR(IF(Agent07_Loans!B135="","",YEAR(Agent07_Loans!D135)),"")</f>
        <v/>
      </c>
    </row>
    <row r="1326" spans="1:13" ht="18" customHeight="1" x14ac:dyDescent="0.25">
      <c r="A1326" s="37" t="str">
        <f>IF(Agent07_Loans!B136="","",Agent07_Loans!A136)</f>
        <v/>
      </c>
      <c r="B1326" s="37" t="str">
        <f>IF(Agent07_Loans!B136="","",Agent07_Loans!B136)</f>
        <v/>
      </c>
      <c r="C1326" s="37" t="str">
        <f>IF(Agent07_Loans!B136="","",Agent07_Loans!C136)</f>
        <v/>
      </c>
      <c r="D1326" s="38" t="str">
        <f>IF(Agent07_Loans!B136="","",Agent07_Loans!D136)</f>
        <v/>
      </c>
      <c r="E1326" s="40" t="str">
        <f>IF(Agent07_Loans!B136="","",Agent07_Loans!E136)</f>
        <v/>
      </c>
      <c r="F1326" s="37" t="str">
        <f>IF(Agent07_Loans!B136="","",Agent07_Loans!F136)</f>
        <v/>
      </c>
      <c r="G1326" s="37" t="str">
        <f>IF(Agent07_Loans!B136="","",Agent07_Loans!G136)</f>
        <v/>
      </c>
      <c r="H1326" s="37" t="str">
        <f>IF(Agent07_Loans!B136="","",Agent07_Loans!H136)</f>
        <v/>
      </c>
      <c r="I1326" s="40" t="str">
        <f>IF(Agent07_Loans!B136="","",Agent07_Loans!I136)</f>
        <v/>
      </c>
      <c r="J1326" s="40" t="str">
        <f>IF(Agent07_Loans!B136="","",Agent07_Loans!J136)</f>
        <v/>
      </c>
      <c r="K1326" s="37" t="str">
        <f>IF(Agent07_Loans!B136="","",Agent07_Loans!K136)</f>
        <v/>
      </c>
      <c r="L1326" s="37" t="str">
        <f>IF(Agent07_Loans!B136="","",Agent07_Loans!L136)</f>
        <v/>
      </c>
      <c r="M1326" s="37" t="str">
        <f>IFERROR(IF(Agent07_Loans!B136="","",YEAR(Agent07_Loans!D136)),"")</f>
        <v/>
      </c>
    </row>
    <row r="1327" spans="1:13" ht="18" customHeight="1" x14ac:dyDescent="0.25">
      <c r="A1327" s="37" t="str">
        <f>IF(Agent07_Loans!B137="","",Agent07_Loans!A137)</f>
        <v/>
      </c>
      <c r="B1327" s="37" t="str">
        <f>IF(Agent07_Loans!B137="","",Agent07_Loans!B137)</f>
        <v/>
      </c>
      <c r="C1327" s="37" t="str">
        <f>IF(Agent07_Loans!B137="","",Agent07_Loans!C137)</f>
        <v/>
      </c>
      <c r="D1327" s="38" t="str">
        <f>IF(Agent07_Loans!B137="","",Agent07_Loans!D137)</f>
        <v/>
      </c>
      <c r="E1327" s="40" t="str">
        <f>IF(Agent07_Loans!B137="","",Agent07_Loans!E137)</f>
        <v/>
      </c>
      <c r="F1327" s="37" t="str">
        <f>IF(Agent07_Loans!B137="","",Agent07_Loans!F137)</f>
        <v/>
      </c>
      <c r="G1327" s="37" t="str">
        <f>IF(Agent07_Loans!B137="","",Agent07_Loans!G137)</f>
        <v/>
      </c>
      <c r="H1327" s="37" t="str">
        <f>IF(Agent07_Loans!B137="","",Agent07_Loans!H137)</f>
        <v/>
      </c>
      <c r="I1327" s="40" t="str">
        <f>IF(Agent07_Loans!B137="","",Agent07_Loans!I137)</f>
        <v/>
      </c>
      <c r="J1327" s="40" t="str">
        <f>IF(Agent07_Loans!B137="","",Agent07_Loans!J137)</f>
        <v/>
      </c>
      <c r="K1327" s="37" t="str">
        <f>IF(Agent07_Loans!B137="","",Agent07_Loans!K137)</f>
        <v/>
      </c>
      <c r="L1327" s="37" t="str">
        <f>IF(Agent07_Loans!B137="","",Agent07_Loans!L137)</f>
        <v/>
      </c>
      <c r="M1327" s="37" t="str">
        <f>IFERROR(IF(Agent07_Loans!B137="","",YEAR(Agent07_Loans!D137)),"")</f>
        <v/>
      </c>
    </row>
    <row r="1328" spans="1:13" ht="18" customHeight="1" x14ac:dyDescent="0.25">
      <c r="A1328" s="37" t="str">
        <f>IF(Agent07_Loans!B138="","",Agent07_Loans!A138)</f>
        <v/>
      </c>
      <c r="B1328" s="37" t="str">
        <f>IF(Agent07_Loans!B138="","",Agent07_Loans!B138)</f>
        <v/>
      </c>
      <c r="C1328" s="37" t="str">
        <f>IF(Agent07_Loans!B138="","",Agent07_Loans!C138)</f>
        <v/>
      </c>
      <c r="D1328" s="38" t="str">
        <f>IF(Agent07_Loans!B138="","",Agent07_Loans!D138)</f>
        <v/>
      </c>
      <c r="E1328" s="40" t="str">
        <f>IF(Agent07_Loans!B138="","",Agent07_Loans!E138)</f>
        <v/>
      </c>
      <c r="F1328" s="37" t="str">
        <f>IF(Agent07_Loans!B138="","",Agent07_Loans!F138)</f>
        <v/>
      </c>
      <c r="G1328" s="37" t="str">
        <f>IF(Agent07_Loans!B138="","",Agent07_Loans!G138)</f>
        <v/>
      </c>
      <c r="H1328" s="37" t="str">
        <f>IF(Agent07_Loans!B138="","",Agent07_Loans!H138)</f>
        <v/>
      </c>
      <c r="I1328" s="40" t="str">
        <f>IF(Agent07_Loans!B138="","",Agent07_Loans!I138)</f>
        <v/>
      </c>
      <c r="J1328" s="40" t="str">
        <f>IF(Agent07_Loans!B138="","",Agent07_Loans!J138)</f>
        <v/>
      </c>
      <c r="K1328" s="37" t="str">
        <f>IF(Agent07_Loans!B138="","",Agent07_Loans!K138)</f>
        <v/>
      </c>
      <c r="L1328" s="37" t="str">
        <f>IF(Agent07_Loans!B138="","",Agent07_Loans!L138)</f>
        <v/>
      </c>
      <c r="M1328" s="37" t="str">
        <f>IFERROR(IF(Agent07_Loans!B138="","",YEAR(Agent07_Loans!D138)),"")</f>
        <v/>
      </c>
    </row>
    <row r="1329" spans="1:13" ht="18" customHeight="1" x14ac:dyDescent="0.25">
      <c r="A1329" s="37" t="str">
        <f>IF(Agent07_Loans!B139="","",Agent07_Loans!A139)</f>
        <v/>
      </c>
      <c r="B1329" s="37" t="str">
        <f>IF(Agent07_Loans!B139="","",Agent07_Loans!B139)</f>
        <v/>
      </c>
      <c r="C1329" s="37" t="str">
        <f>IF(Agent07_Loans!B139="","",Agent07_Loans!C139)</f>
        <v/>
      </c>
      <c r="D1329" s="38" t="str">
        <f>IF(Agent07_Loans!B139="","",Agent07_Loans!D139)</f>
        <v/>
      </c>
      <c r="E1329" s="40" t="str">
        <f>IF(Agent07_Loans!B139="","",Agent07_Loans!E139)</f>
        <v/>
      </c>
      <c r="F1329" s="37" t="str">
        <f>IF(Agent07_Loans!B139="","",Agent07_Loans!F139)</f>
        <v/>
      </c>
      <c r="G1329" s="37" t="str">
        <f>IF(Agent07_Loans!B139="","",Agent07_Loans!G139)</f>
        <v/>
      </c>
      <c r="H1329" s="37" t="str">
        <f>IF(Agent07_Loans!B139="","",Agent07_Loans!H139)</f>
        <v/>
      </c>
      <c r="I1329" s="40" t="str">
        <f>IF(Agent07_Loans!B139="","",Agent07_Loans!I139)</f>
        <v/>
      </c>
      <c r="J1329" s="40" t="str">
        <f>IF(Agent07_Loans!B139="","",Agent07_Loans!J139)</f>
        <v/>
      </c>
      <c r="K1329" s="37" t="str">
        <f>IF(Agent07_Loans!B139="","",Agent07_Loans!K139)</f>
        <v/>
      </c>
      <c r="L1329" s="37" t="str">
        <f>IF(Agent07_Loans!B139="","",Agent07_Loans!L139)</f>
        <v/>
      </c>
      <c r="M1329" s="37" t="str">
        <f>IFERROR(IF(Agent07_Loans!B139="","",YEAR(Agent07_Loans!D139)),"")</f>
        <v/>
      </c>
    </row>
    <row r="1330" spans="1:13" ht="18" customHeight="1" x14ac:dyDescent="0.25">
      <c r="A1330" s="37" t="str">
        <f>IF(Agent07_Loans!B140="","",Agent07_Loans!A140)</f>
        <v/>
      </c>
      <c r="B1330" s="37" t="str">
        <f>IF(Agent07_Loans!B140="","",Agent07_Loans!B140)</f>
        <v/>
      </c>
      <c r="C1330" s="37" t="str">
        <f>IF(Agent07_Loans!B140="","",Agent07_Loans!C140)</f>
        <v/>
      </c>
      <c r="D1330" s="38" t="str">
        <f>IF(Agent07_Loans!B140="","",Agent07_Loans!D140)</f>
        <v/>
      </c>
      <c r="E1330" s="40" t="str">
        <f>IF(Agent07_Loans!B140="","",Agent07_Loans!E140)</f>
        <v/>
      </c>
      <c r="F1330" s="37" t="str">
        <f>IF(Agent07_Loans!B140="","",Agent07_Loans!F140)</f>
        <v/>
      </c>
      <c r="G1330" s="37" t="str">
        <f>IF(Agent07_Loans!B140="","",Agent07_Loans!G140)</f>
        <v/>
      </c>
      <c r="H1330" s="37" t="str">
        <f>IF(Agent07_Loans!B140="","",Agent07_Loans!H140)</f>
        <v/>
      </c>
      <c r="I1330" s="40" t="str">
        <f>IF(Agent07_Loans!B140="","",Agent07_Loans!I140)</f>
        <v/>
      </c>
      <c r="J1330" s="40" t="str">
        <f>IF(Agent07_Loans!B140="","",Agent07_Loans!J140)</f>
        <v/>
      </c>
      <c r="K1330" s="37" t="str">
        <f>IF(Agent07_Loans!B140="","",Agent07_Loans!K140)</f>
        <v/>
      </c>
      <c r="L1330" s="37" t="str">
        <f>IF(Agent07_Loans!B140="","",Agent07_Loans!L140)</f>
        <v/>
      </c>
      <c r="M1330" s="37" t="str">
        <f>IFERROR(IF(Agent07_Loans!B140="","",YEAR(Agent07_Loans!D140)),"")</f>
        <v/>
      </c>
    </row>
    <row r="1331" spans="1:13" ht="18" customHeight="1" x14ac:dyDescent="0.25">
      <c r="A1331" s="37" t="str">
        <f>IF(Agent07_Loans!B141="","",Agent07_Loans!A141)</f>
        <v/>
      </c>
      <c r="B1331" s="37" t="str">
        <f>IF(Agent07_Loans!B141="","",Agent07_Loans!B141)</f>
        <v/>
      </c>
      <c r="C1331" s="37" t="str">
        <f>IF(Agent07_Loans!B141="","",Agent07_Loans!C141)</f>
        <v/>
      </c>
      <c r="D1331" s="38" t="str">
        <f>IF(Agent07_Loans!B141="","",Agent07_Loans!D141)</f>
        <v/>
      </c>
      <c r="E1331" s="40" t="str">
        <f>IF(Agent07_Loans!B141="","",Agent07_Loans!E141)</f>
        <v/>
      </c>
      <c r="F1331" s="37" t="str">
        <f>IF(Agent07_Loans!B141="","",Agent07_Loans!F141)</f>
        <v/>
      </c>
      <c r="G1331" s="37" t="str">
        <f>IF(Agent07_Loans!B141="","",Agent07_Loans!G141)</f>
        <v/>
      </c>
      <c r="H1331" s="37" t="str">
        <f>IF(Agent07_Loans!B141="","",Agent07_Loans!H141)</f>
        <v/>
      </c>
      <c r="I1331" s="40" t="str">
        <f>IF(Agent07_Loans!B141="","",Agent07_Loans!I141)</f>
        <v/>
      </c>
      <c r="J1331" s="40" t="str">
        <f>IF(Agent07_Loans!B141="","",Agent07_Loans!J141)</f>
        <v/>
      </c>
      <c r="K1331" s="37" t="str">
        <f>IF(Agent07_Loans!B141="","",Agent07_Loans!K141)</f>
        <v/>
      </c>
      <c r="L1331" s="37" t="str">
        <f>IF(Agent07_Loans!B141="","",Agent07_Loans!L141)</f>
        <v/>
      </c>
      <c r="M1331" s="37" t="str">
        <f>IFERROR(IF(Agent07_Loans!B141="","",YEAR(Agent07_Loans!D141)),"")</f>
        <v/>
      </c>
    </row>
    <row r="1332" spans="1:13" ht="18" customHeight="1" x14ac:dyDescent="0.25">
      <c r="A1332" s="37" t="str">
        <f>IF(Agent07_Loans!B142="","",Agent07_Loans!A142)</f>
        <v/>
      </c>
      <c r="B1332" s="37" t="str">
        <f>IF(Agent07_Loans!B142="","",Agent07_Loans!B142)</f>
        <v/>
      </c>
      <c r="C1332" s="37" t="str">
        <f>IF(Agent07_Loans!B142="","",Agent07_Loans!C142)</f>
        <v/>
      </c>
      <c r="D1332" s="38" t="str">
        <f>IF(Agent07_Loans!B142="","",Agent07_Loans!D142)</f>
        <v/>
      </c>
      <c r="E1332" s="40" t="str">
        <f>IF(Agent07_Loans!B142="","",Agent07_Loans!E142)</f>
        <v/>
      </c>
      <c r="F1332" s="37" t="str">
        <f>IF(Agent07_Loans!B142="","",Agent07_Loans!F142)</f>
        <v/>
      </c>
      <c r="G1332" s="37" t="str">
        <f>IF(Agent07_Loans!B142="","",Agent07_Loans!G142)</f>
        <v/>
      </c>
      <c r="H1332" s="37" t="str">
        <f>IF(Agent07_Loans!B142="","",Agent07_Loans!H142)</f>
        <v/>
      </c>
      <c r="I1332" s="40" t="str">
        <f>IF(Agent07_Loans!B142="","",Agent07_Loans!I142)</f>
        <v/>
      </c>
      <c r="J1332" s="40" t="str">
        <f>IF(Agent07_Loans!B142="","",Agent07_Loans!J142)</f>
        <v/>
      </c>
      <c r="K1332" s="37" t="str">
        <f>IF(Agent07_Loans!B142="","",Agent07_Loans!K142)</f>
        <v/>
      </c>
      <c r="L1332" s="37" t="str">
        <f>IF(Agent07_Loans!B142="","",Agent07_Loans!L142)</f>
        <v/>
      </c>
      <c r="M1332" s="37" t="str">
        <f>IFERROR(IF(Agent07_Loans!B142="","",YEAR(Agent07_Loans!D142)),"")</f>
        <v/>
      </c>
    </row>
    <row r="1333" spans="1:13" ht="18" customHeight="1" x14ac:dyDescent="0.25">
      <c r="A1333" s="37" t="str">
        <f>IF(Agent07_Loans!B143="","",Agent07_Loans!A143)</f>
        <v/>
      </c>
      <c r="B1333" s="37" t="str">
        <f>IF(Agent07_Loans!B143="","",Agent07_Loans!B143)</f>
        <v/>
      </c>
      <c r="C1333" s="37" t="str">
        <f>IF(Agent07_Loans!B143="","",Agent07_Loans!C143)</f>
        <v/>
      </c>
      <c r="D1333" s="38" t="str">
        <f>IF(Agent07_Loans!B143="","",Agent07_Loans!D143)</f>
        <v/>
      </c>
      <c r="E1333" s="40" t="str">
        <f>IF(Agent07_Loans!B143="","",Agent07_Loans!E143)</f>
        <v/>
      </c>
      <c r="F1333" s="37" t="str">
        <f>IF(Agent07_Loans!B143="","",Agent07_Loans!F143)</f>
        <v/>
      </c>
      <c r="G1333" s="37" t="str">
        <f>IF(Agent07_Loans!B143="","",Agent07_Loans!G143)</f>
        <v/>
      </c>
      <c r="H1333" s="37" t="str">
        <f>IF(Agent07_Loans!B143="","",Agent07_Loans!H143)</f>
        <v/>
      </c>
      <c r="I1333" s="40" t="str">
        <f>IF(Agent07_Loans!B143="","",Agent07_Loans!I143)</f>
        <v/>
      </c>
      <c r="J1333" s="40" t="str">
        <f>IF(Agent07_Loans!B143="","",Agent07_Loans!J143)</f>
        <v/>
      </c>
      <c r="K1333" s="37" t="str">
        <f>IF(Agent07_Loans!B143="","",Agent07_Loans!K143)</f>
        <v/>
      </c>
      <c r="L1333" s="37" t="str">
        <f>IF(Agent07_Loans!B143="","",Agent07_Loans!L143)</f>
        <v/>
      </c>
      <c r="M1333" s="37" t="str">
        <f>IFERROR(IF(Agent07_Loans!B143="","",YEAR(Agent07_Loans!D143)),"")</f>
        <v/>
      </c>
    </row>
    <row r="1334" spans="1:13" ht="18" customHeight="1" x14ac:dyDescent="0.25">
      <c r="A1334" s="37" t="str">
        <f>IF(Agent07_Loans!B144="","",Agent07_Loans!A144)</f>
        <v/>
      </c>
      <c r="B1334" s="37" t="str">
        <f>IF(Agent07_Loans!B144="","",Agent07_Loans!B144)</f>
        <v/>
      </c>
      <c r="C1334" s="37" t="str">
        <f>IF(Agent07_Loans!B144="","",Agent07_Loans!C144)</f>
        <v/>
      </c>
      <c r="D1334" s="38" t="str">
        <f>IF(Agent07_Loans!B144="","",Agent07_Loans!D144)</f>
        <v/>
      </c>
      <c r="E1334" s="40" t="str">
        <f>IF(Agent07_Loans!B144="","",Agent07_Loans!E144)</f>
        <v/>
      </c>
      <c r="F1334" s="37" t="str">
        <f>IF(Agent07_Loans!B144="","",Agent07_Loans!F144)</f>
        <v/>
      </c>
      <c r="G1334" s="37" t="str">
        <f>IF(Agent07_Loans!B144="","",Agent07_Loans!G144)</f>
        <v/>
      </c>
      <c r="H1334" s="37" t="str">
        <f>IF(Agent07_Loans!B144="","",Agent07_Loans!H144)</f>
        <v/>
      </c>
      <c r="I1334" s="40" t="str">
        <f>IF(Agent07_Loans!B144="","",Agent07_Loans!I144)</f>
        <v/>
      </c>
      <c r="J1334" s="40" t="str">
        <f>IF(Agent07_Loans!B144="","",Agent07_Loans!J144)</f>
        <v/>
      </c>
      <c r="K1334" s="37" t="str">
        <f>IF(Agent07_Loans!B144="","",Agent07_Loans!K144)</f>
        <v/>
      </c>
      <c r="L1334" s="37" t="str">
        <f>IF(Agent07_Loans!B144="","",Agent07_Loans!L144)</f>
        <v/>
      </c>
      <c r="M1334" s="37" t="str">
        <f>IFERROR(IF(Agent07_Loans!B144="","",YEAR(Agent07_Loans!D144)),"")</f>
        <v/>
      </c>
    </row>
    <row r="1335" spans="1:13" ht="18" customHeight="1" x14ac:dyDescent="0.25">
      <c r="A1335" s="37" t="str">
        <f>IF(Agent07_Loans!B145="","",Agent07_Loans!A145)</f>
        <v/>
      </c>
      <c r="B1335" s="37" t="str">
        <f>IF(Agent07_Loans!B145="","",Agent07_Loans!B145)</f>
        <v/>
      </c>
      <c r="C1335" s="37" t="str">
        <f>IF(Agent07_Loans!B145="","",Agent07_Loans!C145)</f>
        <v/>
      </c>
      <c r="D1335" s="38" t="str">
        <f>IF(Agent07_Loans!B145="","",Agent07_Loans!D145)</f>
        <v/>
      </c>
      <c r="E1335" s="40" t="str">
        <f>IF(Agent07_Loans!B145="","",Agent07_Loans!E145)</f>
        <v/>
      </c>
      <c r="F1335" s="37" t="str">
        <f>IF(Agent07_Loans!B145="","",Agent07_Loans!F145)</f>
        <v/>
      </c>
      <c r="G1335" s="37" t="str">
        <f>IF(Agent07_Loans!B145="","",Agent07_Loans!G145)</f>
        <v/>
      </c>
      <c r="H1335" s="37" t="str">
        <f>IF(Agent07_Loans!B145="","",Agent07_Loans!H145)</f>
        <v/>
      </c>
      <c r="I1335" s="40" t="str">
        <f>IF(Agent07_Loans!B145="","",Agent07_Loans!I145)</f>
        <v/>
      </c>
      <c r="J1335" s="40" t="str">
        <f>IF(Agent07_Loans!B145="","",Agent07_Loans!J145)</f>
        <v/>
      </c>
      <c r="K1335" s="37" t="str">
        <f>IF(Agent07_Loans!B145="","",Agent07_Loans!K145)</f>
        <v/>
      </c>
      <c r="L1335" s="37" t="str">
        <f>IF(Agent07_Loans!B145="","",Agent07_Loans!L145)</f>
        <v/>
      </c>
      <c r="M1335" s="37" t="str">
        <f>IFERROR(IF(Agent07_Loans!B145="","",YEAR(Agent07_Loans!D145)),"")</f>
        <v/>
      </c>
    </row>
    <row r="1336" spans="1:13" ht="18" customHeight="1" x14ac:dyDescent="0.25">
      <c r="A1336" s="37" t="str">
        <f>IF(Agent07_Loans!B146="","",Agent07_Loans!A146)</f>
        <v/>
      </c>
      <c r="B1336" s="37" t="str">
        <f>IF(Agent07_Loans!B146="","",Agent07_Loans!B146)</f>
        <v/>
      </c>
      <c r="C1336" s="37" t="str">
        <f>IF(Agent07_Loans!B146="","",Agent07_Loans!C146)</f>
        <v/>
      </c>
      <c r="D1336" s="38" t="str">
        <f>IF(Agent07_Loans!B146="","",Agent07_Loans!D146)</f>
        <v/>
      </c>
      <c r="E1336" s="40" t="str">
        <f>IF(Agent07_Loans!B146="","",Agent07_Loans!E146)</f>
        <v/>
      </c>
      <c r="F1336" s="37" t="str">
        <f>IF(Agent07_Loans!B146="","",Agent07_Loans!F146)</f>
        <v/>
      </c>
      <c r="G1336" s="37" t="str">
        <f>IF(Agent07_Loans!B146="","",Agent07_Loans!G146)</f>
        <v/>
      </c>
      <c r="H1336" s="37" t="str">
        <f>IF(Agent07_Loans!B146="","",Agent07_Loans!H146)</f>
        <v/>
      </c>
      <c r="I1336" s="40" t="str">
        <f>IF(Agent07_Loans!B146="","",Agent07_Loans!I146)</f>
        <v/>
      </c>
      <c r="J1336" s="40" t="str">
        <f>IF(Agent07_Loans!B146="","",Agent07_Loans!J146)</f>
        <v/>
      </c>
      <c r="K1336" s="37" t="str">
        <f>IF(Agent07_Loans!B146="","",Agent07_Loans!K146)</f>
        <v/>
      </c>
      <c r="L1336" s="37" t="str">
        <f>IF(Agent07_Loans!B146="","",Agent07_Loans!L146)</f>
        <v/>
      </c>
      <c r="M1336" s="37" t="str">
        <f>IFERROR(IF(Agent07_Loans!B146="","",YEAR(Agent07_Loans!D146)),"")</f>
        <v/>
      </c>
    </row>
    <row r="1337" spans="1:13" ht="18" customHeight="1" x14ac:dyDescent="0.25">
      <c r="A1337" s="37" t="str">
        <f>IF(Agent07_Loans!B147="","",Agent07_Loans!A147)</f>
        <v/>
      </c>
      <c r="B1337" s="37" t="str">
        <f>IF(Agent07_Loans!B147="","",Agent07_Loans!B147)</f>
        <v/>
      </c>
      <c r="C1337" s="37" t="str">
        <f>IF(Agent07_Loans!B147="","",Agent07_Loans!C147)</f>
        <v/>
      </c>
      <c r="D1337" s="38" t="str">
        <f>IF(Agent07_Loans!B147="","",Agent07_Loans!D147)</f>
        <v/>
      </c>
      <c r="E1337" s="40" t="str">
        <f>IF(Agent07_Loans!B147="","",Agent07_Loans!E147)</f>
        <v/>
      </c>
      <c r="F1337" s="37" t="str">
        <f>IF(Agent07_Loans!B147="","",Agent07_Loans!F147)</f>
        <v/>
      </c>
      <c r="G1337" s="37" t="str">
        <f>IF(Agent07_Loans!B147="","",Agent07_Loans!G147)</f>
        <v/>
      </c>
      <c r="H1337" s="37" t="str">
        <f>IF(Agent07_Loans!B147="","",Agent07_Loans!H147)</f>
        <v/>
      </c>
      <c r="I1337" s="40" t="str">
        <f>IF(Agent07_Loans!B147="","",Agent07_Loans!I147)</f>
        <v/>
      </c>
      <c r="J1337" s="40" t="str">
        <f>IF(Agent07_Loans!B147="","",Agent07_Loans!J147)</f>
        <v/>
      </c>
      <c r="K1337" s="37" t="str">
        <f>IF(Agent07_Loans!B147="","",Agent07_Loans!K147)</f>
        <v/>
      </c>
      <c r="L1337" s="37" t="str">
        <f>IF(Agent07_Loans!B147="","",Agent07_Loans!L147)</f>
        <v/>
      </c>
      <c r="M1337" s="37" t="str">
        <f>IFERROR(IF(Agent07_Loans!B147="","",YEAR(Agent07_Loans!D147)),"")</f>
        <v/>
      </c>
    </row>
    <row r="1338" spans="1:13" ht="18" customHeight="1" x14ac:dyDescent="0.25">
      <c r="A1338" s="37" t="str">
        <f>IF(Agent07_Loans!B148="","",Agent07_Loans!A148)</f>
        <v/>
      </c>
      <c r="B1338" s="37" t="str">
        <f>IF(Agent07_Loans!B148="","",Agent07_Loans!B148)</f>
        <v/>
      </c>
      <c r="C1338" s="37" t="str">
        <f>IF(Agent07_Loans!B148="","",Agent07_Loans!C148)</f>
        <v/>
      </c>
      <c r="D1338" s="38" t="str">
        <f>IF(Agent07_Loans!B148="","",Agent07_Loans!D148)</f>
        <v/>
      </c>
      <c r="E1338" s="40" t="str">
        <f>IF(Agent07_Loans!B148="","",Agent07_Loans!E148)</f>
        <v/>
      </c>
      <c r="F1338" s="37" t="str">
        <f>IF(Agent07_Loans!B148="","",Agent07_Loans!F148)</f>
        <v/>
      </c>
      <c r="G1338" s="37" t="str">
        <f>IF(Agent07_Loans!B148="","",Agent07_Loans!G148)</f>
        <v/>
      </c>
      <c r="H1338" s="37" t="str">
        <f>IF(Agent07_Loans!B148="","",Agent07_Loans!H148)</f>
        <v/>
      </c>
      <c r="I1338" s="40" t="str">
        <f>IF(Agent07_Loans!B148="","",Agent07_Loans!I148)</f>
        <v/>
      </c>
      <c r="J1338" s="40" t="str">
        <f>IF(Agent07_Loans!B148="","",Agent07_Loans!J148)</f>
        <v/>
      </c>
      <c r="K1338" s="37" t="str">
        <f>IF(Agent07_Loans!B148="","",Agent07_Loans!K148)</f>
        <v/>
      </c>
      <c r="L1338" s="37" t="str">
        <f>IF(Agent07_Loans!B148="","",Agent07_Loans!L148)</f>
        <v/>
      </c>
      <c r="M1338" s="37" t="str">
        <f>IFERROR(IF(Agent07_Loans!B148="","",YEAR(Agent07_Loans!D148)),"")</f>
        <v/>
      </c>
    </row>
    <row r="1339" spans="1:13" ht="18" customHeight="1" x14ac:dyDescent="0.25">
      <c r="A1339" s="37" t="str">
        <f>IF(Agent07_Loans!B149="","",Agent07_Loans!A149)</f>
        <v/>
      </c>
      <c r="B1339" s="37" t="str">
        <f>IF(Agent07_Loans!B149="","",Agent07_Loans!B149)</f>
        <v/>
      </c>
      <c r="C1339" s="37" t="str">
        <f>IF(Agent07_Loans!B149="","",Agent07_Loans!C149)</f>
        <v/>
      </c>
      <c r="D1339" s="38" t="str">
        <f>IF(Agent07_Loans!B149="","",Agent07_Loans!D149)</f>
        <v/>
      </c>
      <c r="E1339" s="40" t="str">
        <f>IF(Agent07_Loans!B149="","",Agent07_Loans!E149)</f>
        <v/>
      </c>
      <c r="F1339" s="37" t="str">
        <f>IF(Agent07_Loans!B149="","",Agent07_Loans!F149)</f>
        <v/>
      </c>
      <c r="G1339" s="37" t="str">
        <f>IF(Agent07_Loans!B149="","",Agent07_Loans!G149)</f>
        <v/>
      </c>
      <c r="H1339" s="37" t="str">
        <f>IF(Agent07_Loans!B149="","",Agent07_Loans!H149)</f>
        <v/>
      </c>
      <c r="I1339" s="40" t="str">
        <f>IF(Agent07_Loans!B149="","",Agent07_Loans!I149)</f>
        <v/>
      </c>
      <c r="J1339" s="40" t="str">
        <f>IF(Agent07_Loans!B149="","",Agent07_Loans!J149)</f>
        <v/>
      </c>
      <c r="K1339" s="37" t="str">
        <f>IF(Agent07_Loans!B149="","",Agent07_Loans!K149)</f>
        <v/>
      </c>
      <c r="L1339" s="37" t="str">
        <f>IF(Agent07_Loans!B149="","",Agent07_Loans!L149)</f>
        <v/>
      </c>
      <c r="M1339" s="37" t="str">
        <f>IFERROR(IF(Agent07_Loans!B149="","",YEAR(Agent07_Loans!D149)),"")</f>
        <v/>
      </c>
    </row>
    <row r="1340" spans="1:13" ht="18" customHeight="1" x14ac:dyDescent="0.25">
      <c r="A1340" s="37" t="str">
        <f>IF(Agent07_Loans!B150="","",Agent07_Loans!A150)</f>
        <v/>
      </c>
      <c r="B1340" s="37" t="str">
        <f>IF(Agent07_Loans!B150="","",Agent07_Loans!B150)</f>
        <v/>
      </c>
      <c r="C1340" s="37" t="str">
        <f>IF(Agent07_Loans!B150="","",Agent07_Loans!C150)</f>
        <v/>
      </c>
      <c r="D1340" s="38" t="str">
        <f>IF(Agent07_Loans!B150="","",Agent07_Loans!D150)</f>
        <v/>
      </c>
      <c r="E1340" s="40" t="str">
        <f>IF(Agent07_Loans!B150="","",Agent07_Loans!E150)</f>
        <v/>
      </c>
      <c r="F1340" s="37" t="str">
        <f>IF(Agent07_Loans!B150="","",Agent07_Loans!F150)</f>
        <v/>
      </c>
      <c r="G1340" s="37" t="str">
        <f>IF(Agent07_Loans!B150="","",Agent07_Loans!G150)</f>
        <v/>
      </c>
      <c r="H1340" s="37" t="str">
        <f>IF(Agent07_Loans!B150="","",Agent07_Loans!H150)</f>
        <v/>
      </c>
      <c r="I1340" s="40" t="str">
        <f>IF(Agent07_Loans!B150="","",Agent07_Loans!I150)</f>
        <v/>
      </c>
      <c r="J1340" s="40" t="str">
        <f>IF(Agent07_Loans!B150="","",Agent07_Loans!J150)</f>
        <v/>
      </c>
      <c r="K1340" s="37" t="str">
        <f>IF(Agent07_Loans!B150="","",Agent07_Loans!K150)</f>
        <v/>
      </c>
      <c r="L1340" s="37" t="str">
        <f>IF(Agent07_Loans!B150="","",Agent07_Loans!L150)</f>
        <v/>
      </c>
      <c r="M1340" s="37" t="str">
        <f>IFERROR(IF(Agent07_Loans!B150="","",YEAR(Agent07_Loans!D150)),"")</f>
        <v/>
      </c>
    </row>
    <row r="1341" spans="1:13" ht="18" customHeight="1" x14ac:dyDescent="0.25">
      <c r="A1341" s="37" t="str">
        <f>IF(Agent07_Loans!B151="","",Agent07_Loans!A151)</f>
        <v/>
      </c>
      <c r="B1341" s="37" t="str">
        <f>IF(Agent07_Loans!B151="","",Agent07_Loans!B151)</f>
        <v/>
      </c>
      <c r="C1341" s="37" t="str">
        <f>IF(Agent07_Loans!B151="","",Agent07_Loans!C151)</f>
        <v/>
      </c>
      <c r="D1341" s="38" t="str">
        <f>IF(Agent07_Loans!B151="","",Agent07_Loans!D151)</f>
        <v/>
      </c>
      <c r="E1341" s="40" t="str">
        <f>IF(Agent07_Loans!B151="","",Agent07_Loans!E151)</f>
        <v/>
      </c>
      <c r="F1341" s="37" t="str">
        <f>IF(Agent07_Loans!B151="","",Agent07_Loans!F151)</f>
        <v/>
      </c>
      <c r="G1341" s="37" t="str">
        <f>IF(Agent07_Loans!B151="","",Agent07_Loans!G151)</f>
        <v/>
      </c>
      <c r="H1341" s="37" t="str">
        <f>IF(Agent07_Loans!B151="","",Agent07_Loans!H151)</f>
        <v/>
      </c>
      <c r="I1341" s="40" t="str">
        <f>IF(Agent07_Loans!B151="","",Agent07_Loans!I151)</f>
        <v/>
      </c>
      <c r="J1341" s="40" t="str">
        <f>IF(Agent07_Loans!B151="","",Agent07_Loans!J151)</f>
        <v/>
      </c>
      <c r="K1341" s="37" t="str">
        <f>IF(Agent07_Loans!B151="","",Agent07_Loans!K151)</f>
        <v/>
      </c>
      <c r="L1341" s="37" t="str">
        <f>IF(Agent07_Loans!B151="","",Agent07_Loans!L151)</f>
        <v/>
      </c>
      <c r="M1341" s="37" t="str">
        <f>IFERROR(IF(Agent07_Loans!B151="","",YEAR(Agent07_Loans!D151)),"")</f>
        <v/>
      </c>
    </row>
    <row r="1342" spans="1:13" ht="18" customHeight="1" x14ac:dyDescent="0.25">
      <c r="A1342" s="37" t="str">
        <f>IF(Agent07_Loans!B152="","",Agent07_Loans!A152)</f>
        <v/>
      </c>
      <c r="B1342" s="37" t="str">
        <f>IF(Agent07_Loans!B152="","",Agent07_Loans!B152)</f>
        <v/>
      </c>
      <c r="C1342" s="37" t="str">
        <f>IF(Agent07_Loans!B152="","",Agent07_Loans!C152)</f>
        <v/>
      </c>
      <c r="D1342" s="38" t="str">
        <f>IF(Agent07_Loans!B152="","",Agent07_Loans!D152)</f>
        <v/>
      </c>
      <c r="E1342" s="40" t="str">
        <f>IF(Agent07_Loans!B152="","",Agent07_Loans!E152)</f>
        <v/>
      </c>
      <c r="F1342" s="37" t="str">
        <f>IF(Agent07_Loans!B152="","",Agent07_Loans!F152)</f>
        <v/>
      </c>
      <c r="G1342" s="37" t="str">
        <f>IF(Agent07_Loans!B152="","",Agent07_Loans!G152)</f>
        <v/>
      </c>
      <c r="H1342" s="37" t="str">
        <f>IF(Agent07_Loans!B152="","",Agent07_Loans!H152)</f>
        <v/>
      </c>
      <c r="I1342" s="40" t="str">
        <f>IF(Agent07_Loans!B152="","",Agent07_Loans!I152)</f>
        <v/>
      </c>
      <c r="J1342" s="40" t="str">
        <f>IF(Agent07_Loans!B152="","",Agent07_Loans!J152)</f>
        <v/>
      </c>
      <c r="K1342" s="37" t="str">
        <f>IF(Agent07_Loans!B152="","",Agent07_Loans!K152)</f>
        <v/>
      </c>
      <c r="L1342" s="37" t="str">
        <f>IF(Agent07_Loans!B152="","",Agent07_Loans!L152)</f>
        <v/>
      </c>
      <c r="M1342" s="37" t="str">
        <f>IFERROR(IF(Agent07_Loans!B152="","",YEAR(Agent07_Loans!D152)),"")</f>
        <v/>
      </c>
    </row>
    <row r="1343" spans="1:13" ht="18" customHeight="1" x14ac:dyDescent="0.25">
      <c r="A1343" s="37" t="str">
        <f>IF(Agent07_Loans!B153="","",Agent07_Loans!A153)</f>
        <v/>
      </c>
      <c r="B1343" s="37" t="str">
        <f>IF(Agent07_Loans!B153="","",Agent07_Loans!B153)</f>
        <v/>
      </c>
      <c r="C1343" s="37" t="str">
        <f>IF(Agent07_Loans!B153="","",Agent07_Loans!C153)</f>
        <v/>
      </c>
      <c r="D1343" s="38" t="str">
        <f>IF(Agent07_Loans!B153="","",Agent07_Loans!D153)</f>
        <v/>
      </c>
      <c r="E1343" s="40" t="str">
        <f>IF(Agent07_Loans!B153="","",Agent07_Loans!E153)</f>
        <v/>
      </c>
      <c r="F1343" s="37" t="str">
        <f>IF(Agent07_Loans!B153="","",Agent07_Loans!F153)</f>
        <v/>
      </c>
      <c r="G1343" s="37" t="str">
        <f>IF(Agent07_Loans!B153="","",Agent07_Loans!G153)</f>
        <v/>
      </c>
      <c r="H1343" s="37" t="str">
        <f>IF(Agent07_Loans!B153="","",Agent07_Loans!H153)</f>
        <v/>
      </c>
      <c r="I1343" s="40" t="str">
        <f>IF(Agent07_Loans!B153="","",Agent07_Loans!I153)</f>
        <v/>
      </c>
      <c r="J1343" s="40" t="str">
        <f>IF(Agent07_Loans!B153="","",Agent07_Loans!J153)</f>
        <v/>
      </c>
      <c r="K1343" s="37" t="str">
        <f>IF(Agent07_Loans!B153="","",Agent07_Loans!K153)</f>
        <v/>
      </c>
      <c r="L1343" s="37" t="str">
        <f>IF(Agent07_Loans!B153="","",Agent07_Loans!L153)</f>
        <v/>
      </c>
      <c r="M1343" s="37" t="str">
        <f>IFERROR(IF(Agent07_Loans!B153="","",YEAR(Agent07_Loans!D153)),"")</f>
        <v/>
      </c>
    </row>
    <row r="1344" spans="1:13" ht="18" customHeight="1" x14ac:dyDescent="0.25">
      <c r="A1344" s="37" t="str">
        <f>IF(Agent07_Loans!B154="","",Agent07_Loans!A154)</f>
        <v/>
      </c>
      <c r="B1344" s="37" t="str">
        <f>IF(Agent07_Loans!B154="","",Agent07_Loans!B154)</f>
        <v/>
      </c>
      <c r="C1344" s="37" t="str">
        <f>IF(Agent07_Loans!B154="","",Agent07_Loans!C154)</f>
        <v/>
      </c>
      <c r="D1344" s="38" t="str">
        <f>IF(Agent07_Loans!B154="","",Agent07_Loans!D154)</f>
        <v/>
      </c>
      <c r="E1344" s="40" t="str">
        <f>IF(Agent07_Loans!B154="","",Agent07_Loans!E154)</f>
        <v/>
      </c>
      <c r="F1344" s="37" t="str">
        <f>IF(Agent07_Loans!B154="","",Agent07_Loans!F154)</f>
        <v/>
      </c>
      <c r="G1344" s="37" t="str">
        <f>IF(Agent07_Loans!B154="","",Agent07_Loans!G154)</f>
        <v/>
      </c>
      <c r="H1344" s="37" t="str">
        <f>IF(Agent07_Loans!B154="","",Agent07_Loans!H154)</f>
        <v/>
      </c>
      <c r="I1344" s="40" t="str">
        <f>IF(Agent07_Loans!B154="","",Agent07_Loans!I154)</f>
        <v/>
      </c>
      <c r="J1344" s="40" t="str">
        <f>IF(Agent07_Loans!B154="","",Agent07_Loans!J154)</f>
        <v/>
      </c>
      <c r="K1344" s="37" t="str">
        <f>IF(Agent07_Loans!B154="","",Agent07_Loans!K154)</f>
        <v/>
      </c>
      <c r="L1344" s="37" t="str">
        <f>IF(Agent07_Loans!B154="","",Agent07_Loans!L154)</f>
        <v/>
      </c>
      <c r="M1344" s="37" t="str">
        <f>IFERROR(IF(Agent07_Loans!B154="","",YEAR(Agent07_Loans!D154)),"")</f>
        <v/>
      </c>
    </row>
    <row r="1345" spans="1:13" ht="18" customHeight="1" x14ac:dyDescent="0.25">
      <c r="A1345" s="37" t="str">
        <f>IF(Agent07_Loans!B155="","",Agent07_Loans!A155)</f>
        <v/>
      </c>
      <c r="B1345" s="37" t="str">
        <f>IF(Agent07_Loans!B155="","",Agent07_Loans!B155)</f>
        <v/>
      </c>
      <c r="C1345" s="37" t="str">
        <f>IF(Agent07_Loans!B155="","",Agent07_Loans!C155)</f>
        <v/>
      </c>
      <c r="D1345" s="38" t="str">
        <f>IF(Agent07_Loans!B155="","",Agent07_Loans!D155)</f>
        <v/>
      </c>
      <c r="E1345" s="40" t="str">
        <f>IF(Agent07_Loans!B155="","",Agent07_Loans!E155)</f>
        <v/>
      </c>
      <c r="F1345" s="37" t="str">
        <f>IF(Agent07_Loans!B155="","",Agent07_Loans!F155)</f>
        <v/>
      </c>
      <c r="G1345" s="37" t="str">
        <f>IF(Agent07_Loans!B155="","",Agent07_Loans!G155)</f>
        <v/>
      </c>
      <c r="H1345" s="37" t="str">
        <f>IF(Agent07_Loans!B155="","",Agent07_Loans!H155)</f>
        <v/>
      </c>
      <c r="I1345" s="40" t="str">
        <f>IF(Agent07_Loans!B155="","",Agent07_Loans!I155)</f>
        <v/>
      </c>
      <c r="J1345" s="40" t="str">
        <f>IF(Agent07_Loans!B155="","",Agent07_Loans!J155)</f>
        <v/>
      </c>
      <c r="K1345" s="37" t="str">
        <f>IF(Agent07_Loans!B155="","",Agent07_Loans!K155)</f>
        <v/>
      </c>
      <c r="L1345" s="37" t="str">
        <f>IF(Agent07_Loans!B155="","",Agent07_Loans!L155)</f>
        <v/>
      </c>
      <c r="M1345" s="37" t="str">
        <f>IFERROR(IF(Agent07_Loans!B155="","",YEAR(Agent07_Loans!D155)),"")</f>
        <v/>
      </c>
    </row>
    <row r="1346" spans="1:13" ht="18" customHeight="1" x14ac:dyDescent="0.25">
      <c r="A1346" s="37" t="str">
        <f>IF(Agent07_Loans!B156="","",Agent07_Loans!A156)</f>
        <v/>
      </c>
      <c r="B1346" s="37" t="str">
        <f>IF(Agent07_Loans!B156="","",Agent07_Loans!B156)</f>
        <v/>
      </c>
      <c r="C1346" s="37" t="str">
        <f>IF(Agent07_Loans!B156="","",Agent07_Loans!C156)</f>
        <v/>
      </c>
      <c r="D1346" s="38" t="str">
        <f>IF(Agent07_Loans!B156="","",Agent07_Loans!D156)</f>
        <v/>
      </c>
      <c r="E1346" s="40" t="str">
        <f>IF(Agent07_Loans!B156="","",Agent07_Loans!E156)</f>
        <v/>
      </c>
      <c r="F1346" s="37" t="str">
        <f>IF(Agent07_Loans!B156="","",Agent07_Loans!F156)</f>
        <v/>
      </c>
      <c r="G1346" s="37" t="str">
        <f>IF(Agent07_Loans!B156="","",Agent07_Loans!G156)</f>
        <v/>
      </c>
      <c r="H1346" s="37" t="str">
        <f>IF(Agent07_Loans!B156="","",Agent07_Loans!H156)</f>
        <v/>
      </c>
      <c r="I1346" s="40" t="str">
        <f>IF(Agent07_Loans!B156="","",Agent07_Loans!I156)</f>
        <v/>
      </c>
      <c r="J1346" s="40" t="str">
        <f>IF(Agent07_Loans!B156="","",Agent07_Loans!J156)</f>
        <v/>
      </c>
      <c r="K1346" s="37" t="str">
        <f>IF(Agent07_Loans!B156="","",Agent07_Loans!K156)</f>
        <v/>
      </c>
      <c r="L1346" s="37" t="str">
        <f>IF(Agent07_Loans!B156="","",Agent07_Loans!L156)</f>
        <v/>
      </c>
      <c r="M1346" s="37" t="str">
        <f>IFERROR(IF(Agent07_Loans!B156="","",YEAR(Agent07_Loans!D156)),"")</f>
        <v/>
      </c>
    </row>
    <row r="1347" spans="1:13" ht="18" customHeight="1" x14ac:dyDescent="0.25">
      <c r="A1347" s="37" t="str">
        <f>IF(Agent07_Loans!B157="","",Agent07_Loans!A157)</f>
        <v/>
      </c>
      <c r="B1347" s="37" t="str">
        <f>IF(Agent07_Loans!B157="","",Agent07_Loans!B157)</f>
        <v/>
      </c>
      <c r="C1347" s="37" t="str">
        <f>IF(Agent07_Loans!B157="","",Agent07_Loans!C157)</f>
        <v/>
      </c>
      <c r="D1347" s="38" t="str">
        <f>IF(Agent07_Loans!B157="","",Agent07_Loans!D157)</f>
        <v/>
      </c>
      <c r="E1347" s="40" t="str">
        <f>IF(Agent07_Loans!B157="","",Agent07_Loans!E157)</f>
        <v/>
      </c>
      <c r="F1347" s="37" t="str">
        <f>IF(Agent07_Loans!B157="","",Agent07_Loans!F157)</f>
        <v/>
      </c>
      <c r="G1347" s="37" t="str">
        <f>IF(Agent07_Loans!B157="","",Agent07_Loans!G157)</f>
        <v/>
      </c>
      <c r="H1347" s="37" t="str">
        <f>IF(Agent07_Loans!B157="","",Agent07_Loans!H157)</f>
        <v/>
      </c>
      <c r="I1347" s="40" t="str">
        <f>IF(Agent07_Loans!B157="","",Agent07_Loans!I157)</f>
        <v/>
      </c>
      <c r="J1347" s="40" t="str">
        <f>IF(Agent07_Loans!B157="","",Agent07_Loans!J157)</f>
        <v/>
      </c>
      <c r="K1347" s="37" t="str">
        <f>IF(Agent07_Loans!B157="","",Agent07_Loans!K157)</f>
        <v/>
      </c>
      <c r="L1347" s="37" t="str">
        <f>IF(Agent07_Loans!B157="","",Agent07_Loans!L157)</f>
        <v/>
      </c>
      <c r="M1347" s="37" t="str">
        <f>IFERROR(IF(Agent07_Loans!B157="","",YEAR(Agent07_Loans!D157)),"")</f>
        <v/>
      </c>
    </row>
    <row r="1348" spans="1:13" ht="18" customHeight="1" x14ac:dyDescent="0.25">
      <c r="A1348" s="37" t="str">
        <f>IF(Agent07_Loans!B158="","",Agent07_Loans!A158)</f>
        <v/>
      </c>
      <c r="B1348" s="37" t="str">
        <f>IF(Agent07_Loans!B158="","",Agent07_Loans!B158)</f>
        <v/>
      </c>
      <c r="C1348" s="37" t="str">
        <f>IF(Agent07_Loans!B158="","",Agent07_Loans!C158)</f>
        <v/>
      </c>
      <c r="D1348" s="38" t="str">
        <f>IF(Agent07_Loans!B158="","",Agent07_Loans!D158)</f>
        <v/>
      </c>
      <c r="E1348" s="40" t="str">
        <f>IF(Agent07_Loans!B158="","",Agent07_Loans!E158)</f>
        <v/>
      </c>
      <c r="F1348" s="37" t="str">
        <f>IF(Agent07_Loans!B158="","",Agent07_Loans!F158)</f>
        <v/>
      </c>
      <c r="G1348" s="37" t="str">
        <f>IF(Agent07_Loans!B158="","",Agent07_Loans!G158)</f>
        <v/>
      </c>
      <c r="H1348" s="37" t="str">
        <f>IF(Agent07_Loans!B158="","",Agent07_Loans!H158)</f>
        <v/>
      </c>
      <c r="I1348" s="40" t="str">
        <f>IF(Agent07_Loans!B158="","",Agent07_Loans!I158)</f>
        <v/>
      </c>
      <c r="J1348" s="40" t="str">
        <f>IF(Agent07_Loans!B158="","",Agent07_Loans!J158)</f>
        <v/>
      </c>
      <c r="K1348" s="37" t="str">
        <f>IF(Agent07_Loans!B158="","",Agent07_Loans!K158)</f>
        <v/>
      </c>
      <c r="L1348" s="37" t="str">
        <f>IF(Agent07_Loans!B158="","",Agent07_Loans!L158)</f>
        <v/>
      </c>
      <c r="M1348" s="37" t="str">
        <f>IFERROR(IF(Agent07_Loans!B158="","",YEAR(Agent07_Loans!D158)),"")</f>
        <v/>
      </c>
    </row>
    <row r="1349" spans="1:13" ht="18" customHeight="1" x14ac:dyDescent="0.25">
      <c r="A1349" s="37" t="str">
        <f>IF(Agent07_Loans!B159="","",Agent07_Loans!A159)</f>
        <v/>
      </c>
      <c r="B1349" s="37" t="str">
        <f>IF(Agent07_Loans!B159="","",Agent07_Loans!B159)</f>
        <v/>
      </c>
      <c r="C1349" s="37" t="str">
        <f>IF(Agent07_Loans!B159="","",Agent07_Loans!C159)</f>
        <v/>
      </c>
      <c r="D1349" s="38" t="str">
        <f>IF(Agent07_Loans!B159="","",Agent07_Loans!D159)</f>
        <v/>
      </c>
      <c r="E1349" s="40" t="str">
        <f>IF(Agent07_Loans!B159="","",Agent07_Loans!E159)</f>
        <v/>
      </c>
      <c r="F1349" s="37" t="str">
        <f>IF(Agent07_Loans!B159="","",Agent07_Loans!F159)</f>
        <v/>
      </c>
      <c r="G1349" s="37" t="str">
        <f>IF(Agent07_Loans!B159="","",Agent07_Loans!G159)</f>
        <v/>
      </c>
      <c r="H1349" s="37" t="str">
        <f>IF(Agent07_Loans!B159="","",Agent07_Loans!H159)</f>
        <v/>
      </c>
      <c r="I1349" s="40" t="str">
        <f>IF(Agent07_Loans!B159="","",Agent07_Loans!I159)</f>
        <v/>
      </c>
      <c r="J1349" s="40" t="str">
        <f>IF(Agent07_Loans!B159="","",Agent07_Loans!J159)</f>
        <v/>
      </c>
      <c r="K1349" s="37" t="str">
        <f>IF(Agent07_Loans!B159="","",Agent07_Loans!K159)</f>
        <v/>
      </c>
      <c r="L1349" s="37" t="str">
        <f>IF(Agent07_Loans!B159="","",Agent07_Loans!L159)</f>
        <v/>
      </c>
      <c r="M1349" s="37" t="str">
        <f>IFERROR(IF(Agent07_Loans!B159="","",YEAR(Agent07_Loans!D159)),"")</f>
        <v/>
      </c>
    </row>
    <row r="1350" spans="1:13" ht="18" customHeight="1" x14ac:dyDescent="0.25">
      <c r="A1350" s="37" t="str">
        <f>IF(Agent07_Loans!B160="","",Agent07_Loans!A160)</f>
        <v/>
      </c>
      <c r="B1350" s="37" t="str">
        <f>IF(Agent07_Loans!B160="","",Agent07_Loans!B160)</f>
        <v/>
      </c>
      <c r="C1350" s="37" t="str">
        <f>IF(Agent07_Loans!B160="","",Agent07_Loans!C160)</f>
        <v/>
      </c>
      <c r="D1350" s="38" t="str">
        <f>IF(Agent07_Loans!B160="","",Agent07_Loans!D160)</f>
        <v/>
      </c>
      <c r="E1350" s="40" t="str">
        <f>IF(Agent07_Loans!B160="","",Agent07_Loans!E160)</f>
        <v/>
      </c>
      <c r="F1350" s="37" t="str">
        <f>IF(Agent07_Loans!B160="","",Agent07_Loans!F160)</f>
        <v/>
      </c>
      <c r="G1350" s="37" t="str">
        <f>IF(Agent07_Loans!B160="","",Agent07_Loans!G160)</f>
        <v/>
      </c>
      <c r="H1350" s="37" t="str">
        <f>IF(Agent07_Loans!B160="","",Agent07_Loans!H160)</f>
        <v/>
      </c>
      <c r="I1350" s="40" t="str">
        <f>IF(Agent07_Loans!B160="","",Agent07_Loans!I160)</f>
        <v/>
      </c>
      <c r="J1350" s="40" t="str">
        <f>IF(Agent07_Loans!B160="","",Agent07_Loans!J160)</f>
        <v/>
      </c>
      <c r="K1350" s="37" t="str">
        <f>IF(Agent07_Loans!B160="","",Agent07_Loans!K160)</f>
        <v/>
      </c>
      <c r="L1350" s="37" t="str">
        <f>IF(Agent07_Loans!B160="","",Agent07_Loans!L160)</f>
        <v/>
      </c>
      <c r="M1350" s="37" t="str">
        <f>IFERROR(IF(Agent07_Loans!B160="","",YEAR(Agent07_Loans!D160)),"")</f>
        <v/>
      </c>
    </row>
    <row r="1351" spans="1:13" ht="18" customHeight="1" x14ac:dyDescent="0.25">
      <c r="A1351" s="37" t="str">
        <f>IF(Agent07_Loans!B161="","",Agent07_Loans!A161)</f>
        <v/>
      </c>
      <c r="B1351" s="37" t="str">
        <f>IF(Agent07_Loans!B161="","",Agent07_Loans!B161)</f>
        <v/>
      </c>
      <c r="C1351" s="37" t="str">
        <f>IF(Agent07_Loans!B161="","",Agent07_Loans!C161)</f>
        <v/>
      </c>
      <c r="D1351" s="38" t="str">
        <f>IF(Agent07_Loans!B161="","",Agent07_Loans!D161)</f>
        <v/>
      </c>
      <c r="E1351" s="40" t="str">
        <f>IF(Agent07_Loans!B161="","",Agent07_Loans!E161)</f>
        <v/>
      </c>
      <c r="F1351" s="37" t="str">
        <f>IF(Agent07_Loans!B161="","",Agent07_Loans!F161)</f>
        <v/>
      </c>
      <c r="G1351" s="37" t="str">
        <f>IF(Agent07_Loans!B161="","",Agent07_Loans!G161)</f>
        <v/>
      </c>
      <c r="H1351" s="37" t="str">
        <f>IF(Agent07_Loans!B161="","",Agent07_Loans!H161)</f>
        <v/>
      </c>
      <c r="I1351" s="40" t="str">
        <f>IF(Agent07_Loans!B161="","",Agent07_Loans!I161)</f>
        <v/>
      </c>
      <c r="J1351" s="40" t="str">
        <f>IF(Agent07_Loans!B161="","",Agent07_Loans!J161)</f>
        <v/>
      </c>
      <c r="K1351" s="37" t="str">
        <f>IF(Agent07_Loans!B161="","",Agent07_Loans!K161)</f>
        <v/>
      </c>
      <c r="L1351" s="37" t="str">
        <f>IF(Agent07_Loans!B161="","",Agent07_Loans!L161)</f>
        <v/>
      </c>
      <c r="M1351" s="37" t="str">
        <f>IFERROR(IF(Agent07_Loans!B161="","",YEAR(Agent07_Loans!D161)),"")</f>
        <v/>
      </c>
    </row>
    <row r="1352" spans="1:13" ht="18" customHeight="1" x14ac:dyDescent="0.25">
      <c r="A1352" s="37" t="str">
        <f>IF(Agent07_Loans!B162="","",Agent07_Loans!A162)</f>
        <v/>
      </c>
      <c r="B1352" s="37" t="str">
        <f>IF(Agent07_Loans!B162="","",Agent07_Loans!B162)</f>
        <v/>
      </c>
      <c r="C1352" s="37" t="str">
        <f>IF(Agent07_Loans!B162="","",Agent07_Loans!C162)</f>
        <v/>
      </c>
      <c r="D1352" s="38" t="str">
        <f>IF(Agent07_Loans!B162="","",Agent07_Loans!D162)</f>
        <v/>
      </c>
      <c r="E1352" s="40" t="str">
        <f>IF(Agent07_Loans!B162="","",Agent07_Loans!E162)</f>
        <v/>
      </c>
      <c r="F1352" s="37" t="str">
        <f>IF(Agent07_Loans!B162="","",Agent07_Loans!F162)</f>
        <v/>
      </c>
      <c r="G1352" s="37" t="str">
        <f>IF(Agent07_Loans!B162="","",Agent07_Loans!G162)</f>
        <v/>
      </c>
      <c r="H1352" s="37" t="str">
        <f>IF(Agent07_Loans!B162="","",Agent07_Loans!H162)</f>
        <v/>
      </c>
      <c r="I1352" s="40" t="str">
        <f>IF(Agent07_Loans!B162="","",Agent07_Loans!I162)</f>
        <v/>
      </c>
      <c r="J1352" s="40" t="str">
        <f>IF(Agent07_Loans!B162="","",Agent07_Loans!J162)</f>
        <v/>
      </c>
      <c r="K1352" s="37" t="str">
        <f>IF(Agent07_Loans!B162="","",Agent07_Loans!K162)</f>
        <v/>
      </c>
      <c r="L1352" s="37" t="str">
        <f>IF(Agent07_Loans!B162="","",Agent07_Loans!L162)</f>
        <v/>
      </c>
      <c r="M1352" s="37" t="str">
        <f>IFERROR(IF(Agent07_Loans!B162="","",YEAR(Agent07_Loans!D162)),"")</f>
        <v/>
      </c>
    </row>
    <row r="1353" spans="1:13" ht="18" customHeight="1" x14ac:dyDescent="0.25">
      <c r="A1353" s="37" t="str">
        <f>IF(Agent07_Loans!B163="","",Agent07_Loans!A163)</f>
        <v/>
      </c>
      <c r="B1353" s="37" t="str">
        <f>IF(Agent07_Loans!B163="","",Agent07_Loans!B163)</f>
        <v/>
      </c>
      <c r="C1353" s="37" t="str">
        <f>IF(Agent07_Loans!B163="","",Agent07_Loans!C163)</f>
        <v/>
      </c>
      <c r="D1353" s="38" t="str">
        <f>IF(Agent07_Loans!B163="","",Agent07_Loans!D163)</f>
        <v/>
      </c>
      <c r="E1353" s="40" t="str">
        <f>IF(Agent07_Loans!B163="","",Agent07_Loans!E163)</f>
        <v/>
      </c>
      <c r="F1353" s="37" t="str">
        <f>IF(Agent07_Loans!B163="","",Agent07_Loans!F163)</f>
        <v/>
      </c>
      <c r="G1353" s="37" t="str">
        <f>IF(Agent07_Loans!B163="","",Agent07_Loans!G163)</f>
        <v/>
      </c>
      <c r="H1353" s="37" t="str">
        <f>IF(Agent07_Loans!B163="","",Agent07_Loans!H163)</f>
        <v/>
      </c>
      <c r="I1353" s="40" t="str">
        <f>IF(Agent07_Loans!B163="","",Agent07_Loans!I163)</f>
        <v/>
      </c>
      <c r="J1353" s="40" t="str">
        <f>IF(Agent07_Loans!B163="","",Agent07_Loans!J163)</f>
        <v/>
      </c>
      <c r="K1353" s="37" t="str">
        <f>IF(Agent07_Loans!B163="","",Agent07_Loans!K163)</f>
        <v/>
      </c>
      <c r="L1353" s="37" t="str">
        <f>IF(Agent07_Loans!B163="","",Agent07_Loans!L163)</f>
        <v/>
      </c>
      <c r="M1353" s="37" t="str">
        <f>IFERROR(IF(Agent07_Loans!B163="","",YEAR(Agent07_Loans!D163)),"")</f>
        <v/>
      </c>
    </row>
    <row r="1354" spans="1:13" ht="18" customHeight="1" x14ac:dyDescent="0.25">
      <c r="A1354" s="37" t="str">
        <f>IF(Agent07_Loans!B164="","",Agent07_Loans!A164)</f>
        <v/>
      </c>
      <c r="B1354" s="37" t="str">
        <f>IF(Agent07_Loans!B164="","",Agent07_Loans!B164)</f>
        <v/>
      </c>
      <c r="C1354" s="37" t="str">
        <f>IF(Agent07_Loans!B164="","",Agent07_Loans!C164)</f>
        <v/>
      </c>
      <c r="D1354" s="38" t="str">
        <f>IF(Agent07_Loans!B164="","",Agent07_Loans!D164)</f>
        <v/>
      </c>
      <c r="E1354" s="40" t="str">
        <f>IF(Agent07_Loans!B164="","",Agent07_Loans!E164)</f>
        <v/>
      </c>
      <c r="F1354" s="37" t="str">
        <f>IF(Agent07_Loans!B164="","",Agent07_Loans!F164)</f>
        <v/>
      </c>
      <c r="G1354" s="37" t="str">
        <f>IF(Agent07_Loans!B164="","",Agent07_Loans!G164)</f>
        <v/>
      </c>
      <c r="H1354" s="37" t="str">
        <f>IF(Agent07_Loans!B164="","",Agent07_Loans!H164)</f>
        <v/>
      </c>
      <c r="I1354" s="40" t="str">
        <f>IF(Agent07_Loans!B164="","",Agent07_Loans!I164)</f>
        <v/>
      </c>
      <c r="J1354" s="40" t="str">
        <f>IF(Agent07_Loans!B164="","",Agent07_Loans!J164)</f>
        <v/>
      </c>
      <c r="K1354" s="37" t="str">
        <f>IF(Agent07_Loans!B164="","",Agent07_Loans!K164)</f>
        <v/>
      </c>
      <c r="L1354" s="37" t="str">
        <f>IF(Agent07_Loans!B164="","",Agent07_Loans!L164)</f>
        <v/>
      </c>
      <c r="M1354" s="37" t="str">
        <f>IFERROR(IF(Agent07_Loans!B164="","",YEAR(Agent07_Loans!D164)),"")</f>
        <v/>
      </c>
    </row>
    <row r="1355" spans="1:13" ht="18" customHeight="1" x14ac:dyDescent="0.25">
      <c r="A1355" s="37" t="str">
        <f>IF(Agent07_Loans!B165="","",Agent07_Loans!A165)</f>
        <v/>
      </c>
      <c r="B1355" s="37" t="str">
        <f>IF(Agent07_Loans!B165="","",Agent07_Loans!B165)</f>
        <v/>
      </c>
      <c r="C1355" s="37" t="str">
        <f>IF(Agent07_Loans!B165="","",Agent07_Loans!C165)</f>
        <v/>
      </c>
      <c r="D1355" s="38" t="str">
        <f>IF(Agent07_Loans!B165="","",Agent07_Loans!D165)</f>
        <v/>
      </c>
      <c r="E1355" s="40" t="str">
        <f>IF(Agent07_Loans!B165="","",Agent07_Loans!E165)</f>
        <v/>
      </c>
      <c r="F1355" s="37" t="str">
        <f>IF(Agent07_Loans!B165="","",Agent07_Loans!F165)</f>
        <v/>
      </c>
      <c r="G1355" s="37" t="str">
        <f>IF(Agent07_Loans!B165="","",Agent07_Loans!G165)</f>
        <v/>
      </c>
      <c r="H1355" s="37" t="str">
        <f>IF(Agent07_Loans!B165="","",Agent07_Loans!H165)</f>
        <v/>
      </c>
      <c r="I1355" s="40" t="str">
        <f>IF(Agent07_Loans!B165="","",Agent07_Loans!I165)</f>
        <v/>
      </c>
      <c r="J1355" s="40" t="str">
        <f>IF(Agent07_Loans!B165="","",Agent07_Loans!J165)</f>
        <v/>
      </c>
      <c r="K1355" s="37" t="str">
        <f>IF(Agent07_Loans!B165="","",Agent07_Loans!K165)</f>
        <v/>
      </c>
      <c r="L1355" s="37" t="str">
        <f>IF(Agent07_Loans!B165="","",Agent07_Loans!L165)</f>
        <v/>
      </c>
      <c r="M1355" s="37" t="str">
        <f>IFERROR(IF(Agent07_Loans!B165="","",YEAR(Agent07_Loans!D165)),"")</f>
        <v/>
      </c>
    </row>
    <row r="1356" spans="1:13" ht="18" customHeight="1" x14ac:dyDescent="0.25">
      <c r="A1356" s="37" t="str">
        <f>IF(Agent07_Loans!B166="","",Agent07_Loans!A166)</f>
        <v/>
      </c>
      <c r="B1356" s="37" t="str">
        <f>IF(Agent07_Loans!B166="","",Agent07_Loans!B166)</f>
        <v/>
      </c>
      <c r="C1356" s="37" t="str">
        <f>IF(Agent07_Loans!B166="","",Agent07_Loans!C166)</f>
        <v/>
      </c>
      <c r="D1356" s="38" t="str">
        <f>IF(Agent07_Loans!B166="","",Agent07_Loans!D166)</f>
        <v/>
      </c>
      <c r="E1356" s="40" t="str">
        <f>IF(Agent07_Loans!B166="","",Agent07_Loans!E166)</f>
        <v/>
      </c>
      <c r="F1356" s="37" t="str">
        <f>IF(Agent07_Loans!B166="","",Agent07_Loans!F166)</f>
        <v/>
      </c>
      <c r="G1356" s="37" t="str">
        <f>IF(Agent07_Loans!B166="","",Agent07_Loans!G166)</f>
        <v/>
      </c>
      <c r="H1356" s="37" t="str">
        <f>IF(Agent07_Loans!B166="","",Agent07_Loans!H166)</f>
        <v/>
      </c>
      <c r="I1356" s="40" t="str">
        <f>IF(Agent07_Loans!B166="","",Agent07_Loans!I166)</f>
        <v/>
      </c>
      <c r="J1356" s="40" t="str">
        <f>IF(Agent07_Loans!B166="","",Agent07_Loans!J166)</f>
        <v/>
      </c>
      <c r="K1356" s="37" t="str">
        <f>IF(Agent07_Loans!B166="","",Agent07_Loans!K166)</f>
        <v/>
      </c>
      <c r="L1356" s="37" t="str">
        <f>IF(Agent07_Loans!B166="","",Agent07_Loans!L166)</f>
        <v/>
      </c>
      <c r="M1356" s="37" t="str">
        <f>IFERROR(IF(Agent07_Loans!B166="","",YEAR(Agent07_Loans!D166)),"")</f>
        <v/>
      </c>
    </row>
    <row r="1357" spans="1:13" ht="18" customHeight="1" x14ac:dyDescent="0.25">
      <c r="A1357" s="37" t="str">
        <f>IF(Agent07_Loans!B167="","",Agent07_Loans!A167)</f>
        <v/>
      </c>
      <c r="B1357" s="37" t="str">
        <f>IF(Agent07_Loans!B167="","",Agent07_Loans!B167)</f>
        <v/>
      </c>
      <c r="C1357" s="37" t="str">
        <f>IF(Agent07_Loans!B167="","",Agent07_Loans!C167)</f>
        <v/>
      </c>
      <c r="D1357" s="38" t="str">
        <f>IF(Agent07_Loans!B167="","",Agent07_Loans!D167)</f>
        <v/>
      </c>
      <c r="E1357" s="40" t="str">
        <f>IF(Agent07_Loans!B167="","",Agent07_Loans!E167)</f>
        <v/>
      </c>
      <c r="F1357" s="37" t="str">
        <f>IF(Agent07_Loans!B167="","",Agent07_Loans!F167)</f>
        <v/>
      </c>
      <c r="G1357" s="37" t="str">
        <f>IF(Agent07_Loans!B167="","",Agent07_Loans!G167)</f>
        <v/>
      </c>
      <c r="H1357" s="37" t="str">
        <f>IF(Agent07_Loans!B167="","",Agent07_Loans!H167)</f>
        <v/>
      </c>
      <c r="I1357" s="40" t="str">
        <f>IF(Agent07_Loans!B167="","",Agent07_Loans!I167)</f>
        <v/>
      </c>
      <c r="J1357" s="40" t="str">
        <f>IF(Agent07_Loans!B167="","",Agent07_Loans!J167)</f>
        <v/>
      </c>
      <c r="K1357" s="37" t="str">
        <f>IF(Agent07_Loans!B167="","",Agent07_Loans!K167)</f>
        <v/>
      </c>
      <c r="L1357" s="37" t="str">
        <f>IF(Agent07_Loans!B167="","",Agent07_Loans!L167)</f>
        <v/>
      </c>
      <c r="M1357" s="37" t="str">
        <f>IFERROR(IF(Agent07_Loans!B167="","",YEAR(Agent07_Loans!D167)),"")</f>
        <v/>
      </c>
    </row>
    <row r="1358" spans="1:13" ht="18" customHeight="1" x14ac:dyDescent="0.25">
      <c r="A1358" s="37" t="str">
        <f>IF(Agent07_Loans!B168="","",Agent07_Loans!A168)</f>
        <v/>
      </c>
      <c r="B1358" s="37" t="str">
        <f>IF(Agent07_Loans!B168="","",Agent07_Loans!B168)</f>
        <v/>
      </c>
      <c r="C1358" s="37" t="str">
        <f>IF(Agent07_Loans!B168="","",Agent07_Loans!C168)</f>
        <v/>
      </c>
      <c r="D1358" s="38" t="str">
        <f>IF(Agent07_Loans!B168="","",Agent07_Loans!D168)</f>
        <v/>
      </c>
      <c r="E1358" s="40" t="str">
        <f>IF(Agent07_Loans!B168="","",Agent07_Loans!E168)</f>
        <v/>
      </c>
      <c r="F1358" s="37" t="str">
        <f>IF(Agent07_Loans!B168="","",Agent07_Loans!F168)</f>
        <v/>
      </c>
      <c r="G1358" s="37" t="str">
        <f>IF(Agent07_Loans!B168="","",Agent07_Loans!G168)</f>
        <v/>
      </c>
      <c r="H1358" s="37" t="str">
        <f>IF(Agent07_Loans!B168="","",Agent07_Loans!H168)</f>
        <v/>
      </c>
      <c r="I1358" s="40" t="str">
        <f>IF(Agent07_Loans!B168="","",Agent07_Loans!I168)</f>
        <v/>
      </c>
      <c r="J1358" s="40" t="str">
        <f>IF(Agent07_Loans!B168="","",Agent07_Loans!J168)</f>
        <v/>
      </c>
      <c r="K1358" s="37" t="str">
        <f>IF(Agent07_Loans!B168="","",Agent07_Loans!K168)</f>
        <v/>
      </c>
      <c r="L1358" s="37" t="str">
        <f>IF(Agent07_Loans!B168="","",Agent07_Loans!L168)</f>
        <v/>
      </c>
      <c r="M1358" s="37" t="str">
        <f>IFERROR(IF(Agent07_Loans!B168="","",YEAR(Agent07_Loans!D168)),"")</f>
        <v/>
      </c>
    </row>
    <row r="1359" spans="1:13" ht="18" customHeight="1" x14ac:dyDescent="0.25">
      <c r="A1359" s="37" t="str">
        <f>IF(Agent07_Loans!B169="","",Agent07_Loans!A169)</f>
        <v/>
      </c>
      <c r="B1359" s="37" t="str">
        <f>IF(Agent07_Loans!B169="","",Agent07_Loans!B169)</f>
        <v/>
      </c>
      <c r="C1359" s="37" t="str">
        <f>IF(Agent07_Loans!B169="","",Agent07_Loans!C169)</f>
        <v/>
      </c>
      <c r="D1359" s="38" t="str">
        <f>IF(Agent07_Loans!B169="","",Agent07_Loans!D169)</f>
        <v/>
      </c>
      <c r="E1359" s="40" t="str">
        <f>IF(Agent07_Loans!B169="","",Agent07_Loans!E169)</f>
        <v/>
      </c>
      <c r="F1359" s="37" t="str">
        <f>IF(Agent07_Loans!B169="","",Agent07_Loans!F169)</f>
        <v/>
      </c>
      <c r="G1359" s="37" t="str">
        <f>IF(Agent07_Loans!B169="","",Agent07_Loans!G169)</f>
        <v/>
      </c>
      <c r="H1359" s="37" t="str">
        <f>IF(Agent07_Loans!B169="","",Agent07_Loans!H169)</f>
        <v/>
      </c>
      <c r="I1359" s="40" t="str">
        <f>IF(Agent07_Loans!B169="","",Agent07_Loans!I169)</f>
        <v/>
      </c>
      <c r="J1359" s="40" t="str">
        <f>IF(Agent07_Loans!B169="","",Agent07_Loans!J169)</f>
        <v/>
      </c>
      <c r="K1359" s="37" t="str">
        <f>IF(Agent07_Loans!B169="","",Agent07_Loans!K169)</f>
        <v/>
      </c>
      <c r="L1359" s="37" t="str">
        <f>IF(Agent07_Loans!B169="","",Agent07_Loans!L169)</f>
        <v/>
      </c>
      <c r="M1359" s="37" t="str">
        <f>IFERROR(IF(Agent07_Loans!B169="","",YEAR(Agent07_Loans!D169)),"")</f>
        <v/>
      </c>
    </row>
    <row r="1360" spans="1:13" ht="18" customHeight="1" x14ac:dyDescent="0.25">
      <c r="A1360" s="37" t="str">
        <f>IF(Agent07_Loans!B170="","",Agent07_Loans!A170)</f>
        <v/>
      </c>
      <c r="B1360" s="37" t="str">
        <f>IF(Agent07_Loans!B170="","",Agent07_Loans!B170)</f>
        <v/>
      </c>
      <c r="C1360" s="37" t="str">
        <f>IF(Agent07_Loans!B170="","",Agent07_Loans!C170)</f>
        <v/>
      </c>
      <c r="D1360" s="38" t="str">
        <f>IF(Agent07_Loans!B170="","",Agent07_Loans!D170)</f>
        <v/>
      </c>
      <c r="E1360" s="40" t="str">
        <f>IF(Agent07_Loans!B170="","",Agent07_Loans!E170)</f>
        <v/>
      </c>
      <c r="F1360" s="37" t="str">
        <f>IF(Agent07_Loans!B170="","",Agent07_Loans!F170)</f>
        <v/>
      </c>
      <c r="G1360" s="37" t="str">
        <f>IF(Agent07_Loans!B170="","",Agent07_Loans!G170)</f>
        <v/>
      </c>
      <c r="H1360" s="37" t="str">
        <f>IF(Agent07_Loans!B170="","",Agent07_Loans!H170)</f>
        <v/>
      </c>
      <c r="I1360" s="40" t="str">
        <f>IF(Agent07_Loans!B170="","",Agent07_Loans!I170)</f>
        <v/>
      </c>
      <c r="J1360" s="40" t="str">
        <f>IF(Agent07_Loans!B170="","",Agent07_Loans!J170)</f>
        <v/>
      </c>
      <c r="K1360" s="37" t="str">
        <f>IF(Agent07_Loans!B170="","",Agent07_Loans!K170)</f>
        <v/>
      </c>
      <c r="L1360" s="37" t="str">
        <f>IF(Agent07_Loans!B170="","",Agent07_Loans!L170)</f>
        <v/>
      </c>
      <c r="M1360" s="37" t="str">
        <f>IFERROR(IF(Agent07_Loans!B170="","",YEAR(Agent07_Loans!D170)),"")</f>
        <v/>
      </c>
    </row>
    <row r="1361" spans="1:13" ht="18" customHeight="1" x14ac:dyDescent="0.25">
      <c r="A1361" s="37" t="str">
        <f>IF(Agent07_Loans!B171="","",Agent07_Loans!A171)</f>
        <v/>
      </c>
      <c r="B1361" s="37" t="str">
        <f>IF(Agent07_Loans!B171="","",Agent07_Loans!B171)</f>
        <v/>
      </c>
      <c r="C1361" s="37" t="str">
        <f>IF(Agent07_Loans!B171="","",Agent07_Loans!C171)</f>
        <v/>
      </c>
      <c r="D1361" s="38" t="str">
        <f>IF(Agent07_Loans!B171="","",Agent07_Loans!D171)</f>
        <v/>
      </c>
      <c r="E1361" s="40" t="str">
        <f>IF(Agent07_Loans!B171="","",Agent07_Loans!E171)</f>
        <v/>
      </c>
      <c r="F1361" s="37" t="str">
        <f>IF(Agent07_Loans!B171="","",Agent07_Loans!F171)</f>
        <v/>
      </c>
      <c r="G1361" s="37" t="str">
        <f>IF(Agent07_Loans!B171="","",Agent07_Loans!G171)</f>
        <v/>
      </c>
      <c r="H1361" s="37" t="str">
        <f>IF(Agent07_Loans!B171="","",Agent07_Loans!H171)</f>
        <v/>
      </c>
      <c r="I1361" s="40" t="str">
        <f>IF(Agent07_Loans!B171="","",Agent07_Loans!I171)</f>
        <v/>
      </c>
      <c r="J1361" s="40" t="str">
        <f>IF(Agent07_Loans!B171="","",Agent07_Loans!J171)</f>
        <v/>
      </c>
      <c r="K1361" s="37" t="str">
        <f>IF(Agent07_Loans!B171="","",Agent07_Loans!K171)</f>
        <v/>
      </c>
      <c r="L1361" s="37" t="str">
        <f>IF(Agent07_Loans!B171="","",Agent07_Loans!L171)</f>
        <v/>
      </c>
      <c r="M1361" s="37" t="str">
        <f>IFERROR(IF(Agent07_Loans!B171="","",YEAR(Agent07_Loans!D171)),"")</f>
        <v/>
      </c>
    </row>
    <row r="1362" spans="1:13" ht="18" customHeight="1" x14ac:dyDescent="0.25">
      <c r="A1362" s="37" t="str">
        <f>IF(Agent07_Loans!B172="","",Agent07_Loans!A172)</f>
        <v/>
      </c>
      <c r="B1362" s="37" t="str">
        <f>IF(Agent07_Loans!B172="","",Agent07_Loans!B172)</f>
        <v/>
      </c>
      <c r="C1362" s="37" t="str">
        <f>IF(Agent07_Loans!B172="","",Agent07_Loans!C172)</f>
        <v/>
      </c>
      <c r="D1362" s="38" t="str">
        <f>IF(Agent07_Loans!B172="","",Agent07_Loans!D172)</f>
        <v/>
      </c>
      <c r="E1362" s="40" t="str">
        <f>IF(Agent07_Loans!B172="","",Agent07_Loans!E172)</f>
        <v/>
      </c>
      <c r="F1362" s="37" t="str">
        <f>IF(Agent07_Loans!B172="","",Agent07_Loans!F172)</f>
        <v/>
      </c>
      <c r="G1362" s="37" t="str">
        <f>IF(Agent07_Loans!B172="","",Agent07_Loans!G172)</f>
        <v/>
      </c>
      <c r="H1362" s="37" t="str">
        <f>IF(Agent07_Loans!B172="","",Agent07_Loans!H172)</f>
        <v/>
      </c>
      <c r="I1362" s="40" t="str">
        <f>IF(Agent07_Loans!B172="","",Agent07_Loans!I172)</f>
        <v/>
      </c>
      <c r="J1362" s="40" t="str">
        <f>IF(Agent07_Loans!B172="","",Agent07_Loans!J172)</f>
        <v/>
      </c>
      <c r="K1362" s="37" t="str">
        <f>IF(Agent07_Loans!B172="","",Agent07_Loans!K172)</f>
        <v/>
      </c>
      <c r="L1362" s="37" t="str">
        <f>IF(Agent07_Loans!B172="","",Agent07_Loans!L172)</f>
        <v/>
      </c>
      <c r="M1362" s="37" t="str">
        <f>IFERROR(IF(Agent07_Loans!B172="","",YEAR(Agent07_Loans!D172)),"")</f>
        <v/>
      </c>
    </row>
    <row r="1363" spans="1:13" ht="18" customHeight="1" x14ac:dyDescent="0.25">
      <c r="A1363" s="37" t="str">
        <f>IF(Agent07_Loans!B173="","",Agent07_Loans!A173)</f>
        <v/>
      </c>
      <c r="B1363" s="37" t="str">
        <f>IF(Agent07_Loans!B173="","",Agent07_Loans!B173)</f>
        <v/>
      </c>
      <c r="C1363" s="37" t="str">
        <f>IF(Agent07_Loans!B173="","",Agent07_Loans!C173)</f>
        <v/>
      </c>
      <c r="D1363" s="38" t="str">
        <f>IF(Agent07_Loans!B173="","",Agent07_Loans!D173)</f>
        <v/>
      </c>
      <c r="E1363" s="40" t="str">
        <f>IF(Agent07_Loans!B173="","",Agent07_Loans!E173)</f>
        <v/>
      </c>
      <c r="F1363" s="37" t="str">
        <f>IF(Agent07_Loans!B173="","",Agent07_Loans!F173)</f>
        <v/>
      </c>
      <c r="G1363" s="37" t="str">
        <f>IF(Agent07_Loans!B173="","",Agent07_Loans!G173)</f>
        <v/>
      </c>
      <c r="H1363" s="37" t="str">
        <f>IF(Agent07_Loans!B173="","",Agent07_Loans!H173)</f>
        <v/>
      </c>
      <c r="I1363" s="40" t="str">
        <f>IF(Agent07_Loans!B173="","",Agent07_Loans!I173)</f>
        <v/>
      </c>
      <c r="J1363" s="40" t="str">
        <f>IF(Agent07_Loans!B173="","",Agent07_Loans!J173)</f>
        <v/>
      </c>
      <c r="K1363" s="37" t="str">
        <f>IF(Agent07_Loans!B173="","",Agent07_Loans!K173)</f>
        <v/>
      </c>
      <c r="L1363" s="37" t="str">
        <f>IF(Agent07_Loans!B173="","",Agent07_Loans!L173)</f>
        <v/>
      </c>
      <c r="M1363" s="37" t="str">
        <f>IFERROR(IF(Agent07_Loans!B173="","",YEAR(Agent07_Loans!D173)),"")</f>
        <v/>
      </c>
    </row>
    <row r="1364" spans="1:13" ht="18" customHeight="1" x14ac:dyDescent="0.25">
      <c r="A1364" s="37" t="str">
        <f>IF(Agent07_Loans!B174="","",Agent07_Loans!A174)</f>
        <v/>
      </c>
      <c r="B1364" s="37" t="str">
        <f>IF(Agent07_Loans!B174="","",Agent07_Loans!B174)</f>
        <v/>
      </c>
      <c r="C1364" s="37" t="str">
        <f>IF(Agent07_Loans!B174="","",Agent07_Loans!C174)</f>
        <v/>
      </c>
      <c r="D1364" s="38" t="str">
        <f>IF(Agent07_Loans!B174="","",Agent07_Loans!D174)</f>
        <v/>
      </c>
      <c r="E1364" s="40" t="str">
        <f>IF(Agent07_Loans!B174="","",Agent07_Loans!E174)</f>
        <v/>
      </c>
      <c r="F1364" s="37" t="str">
        <f>IF(Agent07_Loans!B174="","",Agent07_Loans!F174)</f>
        <v/>
      </c>
      <c r="G1364" s="37" t="str">
        <f>IF(Agent07_Loans!B174="","",Agent07_Loans!G174)</f>
        <v/>
      </c>
      <c r="H1364" s="37" t="str">
        <f>IF(Agent07_Loans!B174="","",Agent07_Loans!H174)</f>
        <v/>
      </c>
      <c r="I1364" s="40" t="str">
        <f>IF(Agent07_Loans!B174="","",Agent07_Loans!I174)</f>
        <v/>
      </c>
      <c r="J1364" s="40" t="str">
        <f>IF(Agent07_Loans!B174="","",Agent07_Loans!J174)</f>
        <v/>
      </c>
      <c r="K1364" s="37" t="str">
        <f>IF(Agent07_Loans!B174="","",Agent07_Loans!K174)</f>
        <v/>
      </c>
      <c r="L1364" s="37" t="str">
        <f>IF(Agent07_Loans!B174="","",Agent07_Loans!L174)</f>
        <v/>
      </c>
      <c r="M1364" s="37" t="str">
        <f>IFERROR(IF(Agent07_Loans!B174="","",YEAR(Agent07_Loans!D174)),"")</f>
        <v/>
      </c>
    </row>
    <row r="1365" spans="1:13" ht="18" customHeight="1" x14ac:dyDescent="0.25">
      <c r="A1365" s="37" t="str">
        <f>IF(Agent07_Loans!B175="","",Agent07_Loans!A175)</f>
        <v/>
      </c>
      <c r="B1365" s="37" t="str">
        <f>IF(Agent07_Loans!B175="","",Agent07_Loans!B175)</f>
        <v/>
      </c>
      <c r="C1365" s="37" t="str">
        <f>IF(Agent07_Loans!B175="","",Agent07_Loans!C175)</f>
        <v/>
      </c>
      <c r="D1365" s="38" t="str">
        <f>IF(Agent07_Loans!B175="","",Agent07_Loans!D175)</f>
        <v/>
      </c>
      <c r="E1365" s="40" t="str">
        <f>IF(Agent07_Loans!B175="","",Agent07_Loans!E175)</f>
        <v/>
      </c>
      <c r="F1365" s="37" t="str">
        <f>IF(Agent07_Loans!B175="","",Agent07_Loans!F175)</f>
        <v/>
      </c>
      <c r="G1365" s="37" t="str">
        <f>IF(Agent07_Loans!B175="","",Agent07_Loans!G175)</f>
        <v/>
      </c>
      <c r="H1365" s="37" t="str">
        <f>IF(Agent07_Loans!B175="","",Agent07_Loans!H175)</f>
        <v/>
      </c>
      <c r="I1365" s="40" t="str">
        <f>IF(Agent07_Loans!B175="","",Agent07_Loans!I175)</f>
        <v/>
      </c>
      <c r="J1365" s="40" t="str">
        <f>IF(Agent07_Loans!B175="","",Agent07_Loans!J175)</f>
        <v/>
      </c>
      <c r="K1365" s="37" t="str">
        <f>IF(Agent07_Loans!B175="","",Agent07_Loans!K175)</f>
        <v/>
      </c>
      <c r="L1365" s="37" t="str">
        <f>IF(Agent07_Loans!B175="","",Agent07_Loans!L175)</f>
        <v/>
      </c>
      <c r="M1365" s="37" t="str">
        <f>IFERROR(IF(Agent07_Loans!B175="","",YEAR(Agent07_Loans!D175)),"")</f>
        <v/>
      </c>
    </row>
    <row r="1366" spans="1:13" ht="18" customHeight="1" x14ac:dyDescent="0.25">
      <c r="A1366" s="37" t="str">
        <f>IF(Agent07_Loans!B176="","",Agent07_Loans!A176)</f>
        <v/>
      </c>
      <c r="B1366" s="37" t="str">
        <f>IF(Agent07_Loans!B176="","",Agent07_Loans!B176)</f>
        <v/>
      </c>
      <c r="C1366" s="37" t="str">
        <f>IF(Agent07_Loans!B176="","",Agent07_Loans!C176)</f>
        <v/>
      </c>
      <c r="D1366" s="38" t="str">
        <f>IF(Agent07_Loans!B176="","",Agent07_Loans!D176)</f>
        <v/>
      </c>
      <c r="E1366" s="40" t="str">
        <f>IF(Agent07_Loans!B176="","",Agent07_Loans!E176)</f>
        <v/>
      </c>
      <c r="F1366" s="37" t="str">
        <f>IF(Agent07_Loans!B176="","",Agent07_Loans!F176)</f>
        <v/>
      </c>
      <c r="G1366" s="37" t="str">
        <f>IF(Agent07_Loans!B176="","",Agent07_Loans!G176)</f>
        <v/>
      </c>
      <c r="H1366" s="37" t="str">
        <f>IF(Agent07_Loans!B176="","",Agent07_Loans!H176)</f>
        <v/>
      </c>
      <c r="I1366" s="40" t="str">
        <f>IF(Agent07_Loans!B176="","",Agent07_Loans!I176)</f>
        <v/>
      </c>
      <c r="J1366" s="40" t="str">
        <f>IF(Agent07_Loans!B176="","",Agent07_Loans!J176)</f>
        <v/>
      </c>
      <c r="K1366" s="37" t="str">
        <f>IF(Agent07_Loans!B176="","",Agent07_Loans!K176)</f>
        <v/>
      </c>
      <c r="L1366" s="37" t="str">
        <f>IF(Agent07_Loans!B176="","",Agent07_Loans!L176)</f>
        <v/>
      </c>
      <c r="M1366" s="37" t="str">
        <f>IFERROR(IF(Agent07_Loans!B176="","",YEAR(Agent07_Loans!D176)),"")</f>
        <v/>
      </c>
    </row>
    <row r="1367" spans="1:13" ht="18" customHeight="1" x14ac:dyDescent="0.25">
      <c r="A1367" s="37" t="str">
        <f>IF(Agent07_Loans!B177="","",Agent07_Loans!A177)</f>
        <v/>
      </c>
      <c r="B1367" s="37" t="str">
        <f>IF(Agent07_Loans!B177="","",Agent07_Loans!B177)</f>
        <v/>
      </c>
      <c r="C1367" s="37" t="str">
        <f>IF(Agent07_Loans!B177="","",Agent07_Loans!C177)</f>
        <v/>
      </c>
      <c r="D1367" s="38" t="str">
        <f>IF(Agent07_Loans!B177="","",Agent07_Loans!D177)</f>
        <v/>
      </c>
      <c r="E1367" s="40" t="str">
        <f>IF(Agent07_Loans!B177="","",Agent07_Loans!E177)</f>
        <v/>
      </c>
      <c r="F1367" s="37" t="str">
        <f>IF(Agent07_Loans!B177="","",Agent07_Loans!F177)</f>
        <v/>
      </c>
      <c r="G1367" s="37" t="str">
        <f>IF(Agent07_Loans!B177="","",Agent07_Loans!G177)</f>
        <v/>
      </c>
      <c r="H1367" s="37" t="str">
        <f>IF(Agent07_Loans!B177="","",Agent07_Loans!H177)</f>
        <v/>
      </c>
      <c r="I1367" s="40" t="str">
        <f>IF(Agent07_Loans!B177="","",Agent07_Loans!I177)</f>
        <v/>
      </c>
      <c r="J1367" s="40" t="str">
        <f>IF(Agent07_Loans!B177="","",Agent07_Loans!J177)</f>
        <v/>
      </c>
      <c r="K1367" s="37" t="str">
        <f>IF(Agent07_Loans!B177="","",Agent07_Loans!K177)</f>
        <v/>
      </c>
      <c r="L1367" s="37" t="str">
        <f>IF(Agent07_Loans!B177="","",Agent07_Loans!L177)</f>
        <v/>
      </c>
      <c r="M1367" s="37" t="str">
        <f>IFERROR(IF(Agent07_Loans!B177="","",YEAR(Agent07_Loans!D177)),"")</f>
        <v/>
      </c>
    </row>
    <row r="1368" spans="1:13" ht="18" customHeight="1" x14ac:dyDescent="0.25">
      <c r="A1368" s="37" t="str">
        <f>IF(Agent07_Loans!B178="","",Agent07_Loans!A178)</f>
        <v/>
      </c>
      <c r="B1368" s="37" t="str">
        <f>IF(Agent07_Loans!B178="","",Agent07_Loans!B178)</f>
        <v/>
      </c>
      <c r="C1368" s="37" t="str">
        <f>IF(Agent07_Loans!B178="","",Agent07_Loans!C178)</f>
        <v/>
      </c>
      <c r="D1368" s="38" t="str">
        <f>IF(Agent07_Loans!B178="","",Agent07_Loans!D178)</f>
        <v/>
      </c>
      <c r="E1368" s="40" t="str">
        <f>IF(Agent07_Loans!B178="","",Agent07_Loans!E178)</f>
        <v/>
      </c>
      <c r="F1368" s="37" t="str">
        <f>IF(Agent07_Loans!B178="","",Agent07_Loans!F178)</f>
        <v/>
      </c>
      <c r="G1368" s="37" t="str">
        <f>IF(Agent07_Loans!B178="","",Agent07_Loans!G178)</f>
        <v/>
      </c>
      <c r="H1368" s="37" t="str">
        <f>IF(Agent07_Loans!B178="","",Agent07_Loans!H178)</f>
        <v/>
      </c>
      <c r="I1368" s="40" t="str">
        <f>IF(Agent07_Loans!B178="","",Agent07_Loans!I178)</f>
        <v/>
      </c>
      <c r="J1368" s="40" t="str">
        <f>IF(Agent07_Loans!B178="","",Agent07_Loans!J178)</f>
        <v/>
      </c>
      <c r="K1368" s="37" t="str">
        <f>IF(Agent07_Loans!B178="","",Agent07_Loans!K178)</f>
        <v/>
      </c>
      <c r="L1368" s="37" t="str">
        <f>IF(Agent07_Loans!B178="","",Agent07_Loans!L178)</f>
        <v/>
      </c>
      <c r="M1368" s="37" t="str">
        <f>IFERROR(IF(Agent07_Loans!B178="","",YEAR(Agent07_Loans!D178)),"")</f>
        <v/>
      </c>
    </row>
    <row r="1369" spans="1:13" ht="18" customHeight="1" x14ac:dyDescent="0.25">
      <c r="A1369" s="37" t="str">
        <f>IF(Agent07_Loans!B179="","",Agent07_Loans!A179)</f>
        <v/>
      </c>
      <c r="B1369" s="37" t="str">
        <f>IF(Agent07_Loans!B179="","",Agent07_Loans!B179)</f>
        <v/>
      </c>
      <c r="C1369" s="37" t="str">
        <f>IF(Agent07_Loans!B179="","",Agent07_Loans!C179)</f>
        <v/>
      </c>
      <c r="D1369" s="38" t="str">
        <f>IF(Agent07_Loans!B179="","",Agent07_Loans!D179)</f>
        <v/>
      </c>
      <c r="E1369" s="40" t="str">
        <f>IF(Agent07_Loans!B179="","",Agent07_Loans!E179)</f>
        <v/>
      </c>
      <c r="F1369" s="37" t="str">
        <f>IF(Agent07_Loans!B179="","",Agent07_Loans!F179)</f>
        <v/>
      </c>
      <c r="G1369" s="37" t="str">
        <f>IF(Agent07_Loans!B179="","",Agent07_Loans!G179)</f>
        <v/>
      </c>
      <c r="H1369" s="37" t="str">
        <f>IF(Agent07_Loans!B179="","",Agent07_Loans!H179)</f>
        <v/>
      </c>
      <c r="I1369" s="40" t="str">
        <f>IF(Agent07_Loans!B179="","",Agent07_Loans!I179)</f>
        <v/>
      </c>
      <c r="J1369" s="40" t="str">
        <f>IF(Agent07_Loans!B179="","",Agent07_Loans!J179)</f>
        <v/>
      </c>
      <c r="K1369" s="37" t="str">
        <f>IF(Agent07_Loans!B179="","",Agent07_Loans!K179)</f>
        <v/>
      </c>
      <c r="L1369" s="37" t="str">
        <f>IF(Agent07_Loans!B179="","",Agent07_Loans!L179)</f>
        <v/>
      </c>
      <c r="M1369" s="37" t="str">
        <f>IFERROR(IF(Agent07_Loans!B179="","",YEAR(Agent07_Loans!D179)),"")</f>
        <v/>
      </c>
    </row>
    <row r="1370" spans="1:13" ht="18" customHeight="1" x14ac:dyDescent="0.25">
      <c r="A1370" s="37" t="str">
        <f>IF(Agent07_Loans!B180="","",Agent07_Loans!A180)</f>
        <v/>
      </c>
      <c r="B1370" s="37" t="str">
        <f>IF(Agent07_Loans!B180="","",Agent07_Loans!B180)</f>
        <v/>
      </c>
      <c r="C1370" s="37" t="str">
        <f>IF(Agent07_Loans!B180="","",Agent07_Loans!C180)</f>
        <v/>
      </c>
      <c r="D1370" s="38" t="str">
        <f>IF(Agent07_Loans!B180="","",Agent07_Loans!D180)</f>
        <v/>
      </c>
      <c r="E1370" s="40" t="str">
        <f>IF(Agent07_Loans!B180="","",Agent07_Loans!E180)</f>
        <v/>
      </c>
      <c r="F1370" s="37" t="str">
        <f>IF(Agent07_Loans!B180="","",Agent07_Loans!F180)</f>
        <v/>
      </c>
      <c r="G1370" s="37" t="str">
        <f>IF(Agent07_Loans!B180="","",Agent07_Loans!G180)</f>
        <v/>
      </c>
      <c r="H1370" s="37" t="str">
        <f>IF(Agent07_Loans!B180="","",Agent07_Loans!H180)</f>
        <v/>
      </c>
      <c r="I1370" s="40" t="str">
        <f>IF(Agent07_Loans!B180="","",Agent07_Loans!I180)</f>
        <v/>
      </c>
      <c r="J1370" s="40" t="str">
        <f>IF(Agent07_Loans!B180="","",Agent07_Loans!J180)</f>
        <v/>
      </c>
      <c r="K1370" s="37" t="str">
        <f>IF(Agent07_Loans!B180="","",Agent07_Loans!K180)</f>
        <v/>
      </c>
      <c r="L1370" s="37" t="str">
        <f>IF(Agent07_Loans!B180="","",Agent07_Loans!L180)</f>
        <v/>
      </c>
      <c r="M1370" s="37" t="str">
        <f>IFERROR(IF(Agent07_Loans!B180="","",YEAR(Agent07_Loans!D180)),"")</f>
        <v/>
      </c>
    </row>
    <row r="1371" spans="1:13" ht="18" customHeight="1" x14ac:dyDescent="0.25">
      <c r="A1371" s="37" t="str">
        <f>IF(Agent07_Loans!B181="","",Agent07_Loans!A181)</f>
        <v/>
      </c>
      <c r="B1371" s="37" t="str">
        <f>IF(Agent07_Loans!B181="","",Agent07_Loans!B181)</f>
        <v/>
      </c>
      <c r="C1371" s="37" t="str">
        <f>IF(Agent07_Loans!B181="","",Agent07_Loans!C181)</f>
        <v/>
      </c>
      <c r="D1371" s="38" t="str">
        <f>IF(Agent07_Loans!B181="","",Agent07_Loans!D181)</f>
        <v/>
      </c>
      <c r="E1371" s="40" t="str">
        <f>IF(Agent07_Loans!B181="","",Agent07_Loans!E181)</f>
        <v/>
      </c>
      <c r="F1371" s="37" t="str">
        <f>IF(Agent07_Loans!B181="","",Agent07_Loans!F181)</f>
        <v/>
      </c>
      <c r="G1371" s="37" t="str">
        <f>IF(Agent07_Loans!B181="","",Agent07_Loans!G181)</f>
        <v/>
      </c>
      <c r="H1371" s="37" t="str">
        <f>IF(Agent07_Loans!B181="","",Agent07_Loans!H181)</f>
        <v/>
      </c>
      <c r="I1371" s="40" t="str">
        <f>IF(Agent07_Loans!B181="","",Agent07_Loans!I181)</f>
        <v/>
      </c>
      <c r="J1371" s="40" t="str">
        <f>IF(Agent07_Loans!B181="","",Agent07_Loans!J181)</f>
        <v/>
      </c>
      <c r="K1371" s="37" t="str">
        <f>IF(Agent07_Loans!B181="","",Agent07_Loans!K181)</f>
        <v/>
      </c>
      <c r="L1371" s="37" t="str">
        <f>IF(Agent07_Loans!B181="","",Agent07_Loans!L181)</f>
        <v/>
      </c>
      <c r="M1371" s="37" t="str">
        <f>IFERROR(IF(Agent07_Loans!B181="","",YEAR(Agent07_Loans!D181)),"")</f>
        <v/>
      </c>
    </row>
    <row r="1372" spans="1:13" ht="18" customHeight="1" x14ac:dyDescent="0.25">
      <c r="A1372" s="37" t="str">
        <f>IF(Agent07_Loans!B182="","",Agent07_Loans!A182)</f>
        <v/>
      </c>
      <c r="B1372" s="37" t="str">
        <f>IF(Agent07_Loans!B182="","",Agent07_Loans!B182)</f>
        <v/>
      </c>
      <c r="C1372" s="37" t="str">
        <f>IF(Agent07_Loans!B182="","",Agent07_Loans!C182)</f>
        <v/>
      </c>
      <c r="D1372" s="38" t="str">
        <f>IF(Agent07_Loans!B182="","",Agent07_Loans!D182)</f>
        <v/>
      </c>
      <c r="E1372" s="40" t="str">
        <f>IF(Agent07_Loans!B182="","",Agent07_Loans!E182)</f>
        <v/>
      </c>
      <c r="F1372" s="37" t="str">
        <f>IF(Agent07_Loans!B182="","",Agent07_Loans!F182)</f>
        <v/>
      </c>
      <c r="G1372" s="37" t="str">
        <f>IF(Agent07_Loans!B182="","",Agent07_Loans!G182)</f>
        <v/>
      </c>
      <c r="H1372" s="37" t="str">
        <f>IF(Agent07_Loans!B182="","",Agent07_Loans!H182)</f>
        <v/>
      </c>
      <c r="I1372" s="40" t="str">
        <f>IF(Agent07_Loans!B182="","",Agent07_Loans!I182)</f>
        <v/>
      </c>
      <c r="J1372" s="40" t="str">
        <f>IF(Agent07_Loans!B182="","",Agent07_Loans!J182)</f>
        <v/>
      </c>
      <c r="K1372" s="37" t="str">
        <f>IF(Agent07_Loans!B182="","",Agent07_Loans!K182)</f>
        <v/>
      </c>
      <c r="L1372" s="37" t="str">
        <f>IF(Agent07_Loans!B182="","",Agent07_Loans!L182)</f>
        <v/>
      </c>
      <c r="M1372" s="37" t="str">
        <f>IFERROR(IF(Agent07_Loans!B182="","",YEAR(Agent07_Loans!D182)),"")</f>
        <v/>
      </c>
    </row>
    <row r="1373" spans="1:13" ht="18" customHeight="1" x14ac:dyDescent="0.25">
      <c r="A1373" s="37" t="str">
        <f>IF(Agent07_Loans!B183="","",Agent07_Loans!A183)</f>
        <v/>
      </c>
      <c r="B1373" s="37" t="str">
        <f>IF(Agent07_Loans!B183="","",Agent07_Loans!B183)</f>
        <v/>
      </c>
      <c r="C1373" s="37" t="str">
        <f>IF(Agent07_Loans!B183="","",Agent07_Loans!C183)</f>
        <v/>
      </c>
      <c r="D1373" s="38" t="str">
        <f>IF(Agent07_Loans!B183="","",Agent07_Loans!D183)</f>
        <v/>
      </c>
      <c r="E1373" s="40" t="str">
        <f>IF(Agent07_Loans!B183="","",Agent07_Loans!E183)</f>
        <v/>
      </c>
      <c r="F1373" s="37" t="str">
        <f>IF(Agent07_Loans!B183="","",Agent07_Loans!F183)</f>
        <v/>
      </c>
      <c r="G1373" s="37" t="str">
        <f>IF(Agent07_Loans!B183="","",Agent07_Loans!G183)</f>
        <v/>
      </c>
      <c r="H1373" s="37" t="str">
        <f>IF(Agent07_Loans!B183="","",Agent07_Loans!H183)</f>
        <v/>
      </c>
      <c r="I1373" s="40" t="str">
        <f>IF(Agent07_Loans!B183="","",Agent07_Loans!I183)</f>
        <v/>
      </c>
      <c r="J1373" s="40" t="str">
        <f>IF(Agent07_Loans!B183="","",Agent07_Loans!J183)</f>
        <v/>
      </c>
      <c r="K1373" s="37" t="str">
        <f>IF(Agent07_Loans!B183="","",Agent07_Loans!K183)</f>
        <v/>
      </c>
      <c r="L1373" s="37" t="str">
        <f>IF(Agent07_Loans!B183="","",Agent07_Loans!L183)</f>
        <v/>
      </c>
      <c r="M1373" s="37" t="str">
        <f>IFERROR(IF(Agent07_Loans!B183="","",YEAR(Agent07_Loans!D183)),"")</f>
        <v/>
      </c>
    </row>
    <row r="1374" spans="1:13" ht="18" customHeight="1" x14ac:dyDescent="0.25">
      <c r="A1374" s="37" t="str">
        <f>IF(Agent07_Loans!B184="","",Agent07_Loans!A184)</f>
        <v/>
      </c>
      <c r="B1374" s="37" t="str">
        <f>IF(Agent07_Loans!B184="","",Agent07_Loans!B184)</f>
        <v/>
      </c>
      <c r="C1374" s="37" t="str">
        <f>IF(Agent07_Loans!B184="","",Agent07_Loans!C184)</f>
        <v/>
      </c>
      <c r="D1374" s="38" t="str">
        <f>IF(Agent07_Loans!B184="","",Agent07_Loans!D184)</f>
        <v/>
      </c>
      <c r="E1374" s="40" t="str">
        <f>IF(Agent07_Loans!B184="","",Agent07_Loans!E184)</f>
        <v/>
      </c>
      <c r="F1374" s="37" t="str">
        <f>IF(Agent07_Loans!B184="","",Agent07_Loans!F184)</f>
        <v/>
      </c>
      <c r="G1374" s="37" t="str">
        <f>IF(Agent07_Loans!B184="","",Agent07_Loans!G184)</f>
        <v/>
      </c>
      <c r="H1374" s="37" t="str">
        <f>IF(Agent07_Loans!B184="","",Agent07_Loans!H184)</f>
        <v/>
      </c>
      <c r="I1374" s="40" t="str">
        <f>IF(Agent07_Loans!B184="","",Agent07_Loans!I184)</f>
        <v/>
      </c>
      <c r="J1374" s="40" t="str">
        <f>IF(Agent07_Loans!B184="","",Agent07_Loans!J184)</f>
        <v/>
      </c>
      <c r="K1374" s="37" t="str">
        <f>IF(Agent07_Loans!B184="","",Agent07_Loans!K184)</f>
        <v/>
      </c>
      <c r="L1374" s="37" t="str">
        <f>IF(Agent07_Loans!B184="","",Agent07_Loans!L184)</f>
        <v/>
      </c>
      <c r="M1374" s="37" t="str">
        <f>IFERROR(IF(Agent07_Loans!B184="","",YEAR(Agent07_Loans!D184)),"")</f>
        <v/>
      </c>
    </row>
    <row r="1375" spans="1:13" ht="18" customHeight="1" x14ac:dyDescent="0.25">
      <c r="A1375" s="37" t="str">
        <f>IF(Agent07_Loans!B185="","",Agent07_Loans!A185)</f>
        <v/>
      </c>
      <c r="B1375" s="37" t="str">
        <f>IF(Agent07_Loans!B185="","",Agent07_Loans!B185)</f>
        <v/>
      </c>
      <c r="C1375" s="37" t="str">
        <f>IF(Agent07_Loans!B185="","",Agent07_Loans!C185)</f>
        <v/>
      </c>
      <c r="D1375" s="38" t="str">
        <f>IF(Agent07_Loans!B185="","",Agent07_Loans!D185)</f>
        <v/>
      </c>
      <c r="E1375" s="40" t="str">
        <f>IF(Agent07_Loans!B185="","",Agent07_Loans!E185)</f>
        <v/>
      </c>
      <c r="F1375" s="37" t="str">
        <f>IF(Agent07_Loans!B185="","",Agent07_Loans!F185)</f>
        <v/>
      </c>
      <c r="G1375" s="37" t="str">
        <f>IF(Agent07_Loans!B185="","",Agent07_Loans!G185)</f>
        <v/>
      </c>
      <c r="H1375" s="37" t="str">
        <f>IF(Agent07_Loans!B185="","",Agent07_Loans!H185)</f>
        <v/>
      </c>
      <c r="I1375" s="40" t="str">
        <f>IF(Agent07_Loans!B185="","",Agent07_Loans!I185)</f>
        <v/>
      </c>
      <c r="J1375" s="40" t="str">
        <f>IF(Agent07_Loans!B185="","",Agent07_Loans!J185)</f>
        <v/>
      </c>
      <c r="K1375" s="37" t="str">
        <f>IF(Agent07_Loans!B185="","",Agent07_Loans!K185)</f>
        <v/>
      </c>
      <c r="L1375" s="37" t="str">
        <f>IF(Agent07_Loans!B185="","",Agent07_Loans!L185)</f>
        <v/>
      </c>
      <c r="M1375" s="37" t="str">
        <f>IFERROR(IF(Agent07_Loans!B185="","",YEAR(Agent07_Loans!D185)),"")</f>
        <v/>
      </c>
    </row>
    <row r="1376" spans="1:13" ht="18" customHeight="1" x14ac:dyDescent="0.25">
      <c r="A1376" s="37" t="str">
        <f>IF(Agent07_Loans!B186="","",Agent07_Loans!A186)</f>
        <v/>
      </c>
      <c r="B1376" s="37" t="str">
        <f>IF(Agent07_Loans!B186="","",Agent07_Loans!B186)</f>
        <v/>
      </c>
      <c r="C1376" s="37" t="str">
        <f>IF(Agent07_Loans!B186="","",Agent07_Loans!C186)</f>
        <v/>
      </c>
      <c r="D1376" s="38" t="str">
        <f>IF(Agent07_Loans!B186="","",Agent07_Loans!D186)</f>
        <v/>
      </c>
      <c r="E1376" s="40" t="str">
        <f>IF(Agent07_Loans!B186="","",Agent07_Loans!E186)</f>
        <v/>
      </c>
      <c r="F1376" s="37" t="str">
        <f>IF(Agent07_Loans!B186="","",Agent07_Loans!F186)</f>
        <v/>
      </c>
      <c r="G1376" s="37" t="str">
        <f>IF(Agent07_Loans!B186="","",Agent07_Loans!G186)</f>
        <v/>
      </c>
      <c r="H1376" s="37" t="str">
        <f>IF(Agent07_Loans!B186="","",Agent07_Loans!H186)</f>
        <v/>
      </c>
      <c r="I1376" s="40" t="str">
        <f>IF(Agent07_Loans!B186="","",Agent07_Loans!I186)</f>
        <v/>
      </c>
      <c r="J1376" s="40" t="str">
        <f>IF(Agent07_Loans!B186="","",Agent07_Loans!J186)</f>
        <v/>
      </c>
      <c r="K1376" s="37" t="str">
        <f>IF(Agent07_Loans!B186="","",Agent07_Loans!K186)</f>
        <v/>
      </c>
      <c r="L1376" s="37" t="str">
        <f>IF(Agent07_Loans!B186="","",Agent07_Loans!L186)</f>
        <v/>
      </c>
      <c r="M1376" s="37" t="str">
        <f>IFERROR(IF(Agent07_Loans!B186="","",YEAR(Agent07_Loans!D186)),"")</f>
        <v/>
      </c>
    </row>
    <row r="1377" spans="1:13" ht="18" customHeight="1" x14ac:dyDescent="0.25">
      <c r="A1377" s="37" t="str">
        <f>IF(Agent07_Loans!B187="","",Agent07_Loans!A187)</f>
        <v/>
      </c>
      <c r="B1377" s="37" t="str">
        <f>IF(Agent07_Loans!B187="","",Agent07_Loans!B187)</f>
        <v/>
      </c>
      <c r="C1377" s="37" t="str">
        <f>IF(Agent07_Loans!B187="","",Agent07_Loans!C187)</f>
        <v/>
      </c>
      <c r="D1377" s="38" t="str">
        <f>IF(Agent07_Loans!B187="","",Agent07_Loans!D187)</f>
        <v/>
      </c>
      <c r="E1377" s="40" t="str">
        <f>IF(Agent07_Loans!B187="","",Agent07_Loans!E187)</f>
        <v/>
      </c>
      <c r="F1377" s="37" t="str">
        <f>IF(Agent07_Loans!B187="","",Agent07_Loans!F187)</f>
        <v/>
      </c>
      <c r="G1377" s="37" t="str">
        <f>IF(Agent07_Loans!B187="","",Agent07_Loans!G187)</f>
        <v/>
      </c>
      <c r="H1377" s="37" t="str">
        <f>IF(Agent07_Loans!B187="","",Agent07_Loans!H187)</f>
        <v/>
      </c>
      <c r="I1377" s="40" t="str">
        <f>IF(Agent07_Loans!B187="","",Agent07_Loans!I187)</f>
        <v/>
      </c>
      <c r="J1377" s="40" t="str">
        <f>IF(Agent07_Loans!B187="","",Agent07_Loans!J187)</f>
        <v/>
      </c>
      <c r="K1377" s="37" t="str">
        <f>IF(Agent07_Loans!B187="","",Agent07_Loans!K187)</f>
        <v/>
      </c>
      <c r="L1377" s="37" t="str">
        <f>IF(Agent07_Loans!B187="","",Agent07_Loans!L187)</f>
        <v/>
      </c>
      <c r="M1377" s="37" t="str">
        <f>IFERROR(IF(Agent07_Loans!B187="","",YEAR(Agent07_Loans!D187)),"")</f>
        <v/>
      </c>
    </row>
    <row r="1378" spans="1:13" ht="18" customHeight="1" x14ac:dyDescent="0.25">
      <c r="A1378" s="37" t="str">
        <f>IF(Agent07_Loans!B188="","",Agent07_Loans!A188)</f>
        <v/>
      </c>
      <c r="B1378" s="37" t="str">
        <f>IF(Agent07_Loans!B188="","",Agent07_Loans!B188)</f>
        <v/>
      </c>
      <c r="C1378" s="37" t="str">
        <f>IF(Agent07_Loans!B188="","",Agent07_Loans!C188)</f>
        <v/>
      </c>
      <c r="D1378" s="38" t="str">
        <f>IF(Agent07_Loans!B188="","",Agent07_Loans!D188)</f>
        <v/>
      </c>
      <c r="E1378" s="40" t="str">
        <f>IF(Agent07_Loans!B188="","",Agent07_Loans!E188)</f>
        <v/>
      </c>
      <c r="F1378" s="37" t="str">
        <f>IF(Agent07_Loans!B188="","",Agent07_Loans!F188)</f>
        <v/>
      </c>
      <c r="G1378" s="37" t="str">
        <f>IF(Agent07_Loans!B188="","",Agent07_Loans!G188)</f>
        <v/>
      </c>
      <c r="H1378" s="37" t="str">
        <f>IF(Agent07_Loans!B188="","",Agent07_Loans!H188)</f>
        <v/>
      </c>
      <c r="I1378" s="40" t="str">
        <f>IF(Agent07_Loans!B188="","",Agent07_Loans!I188)</f>
        <v/>
      </c>
      <c r="J1378" s="40" t="str">
        <f>IF(Agent07_Loans!B188="","",Agent07_Loans!J188)</f>
        <v/>
      </c>
      <c r="K1378" s="37" t="str">
        <f>IF(Agent07_Loans!B188="","",Agent07_Loans!K188)</f>
        <v/>
      </c>
      <c r="L1378" s="37" t="str">
        <f>IF(Agent07_Loans!B188="","",Agent07_Loans!L188)</f>
        <v/>
      </c>
      <c r="M1378" s="37" t="str">
        <f>IFERROR(IF(Agent07_Loans!B188="","",YEAR(Agent07_Loans!D188)),"")</f>
        <v/>
      </c>
    </row>
    <row r="1379" spans="1:13" ht="18" customHeight="1" x14ac:dyDescent="0.25">
      <c r="A1379" s="37" t="str">
        <f>IF(Agent07_Loans!B189="","",Agent07_Loans!A189)</f>
        <v/>
      </c>
      <c r="B1379" s="37" t="str">
        <f>IF(Agent07_Loans!B189="","",Agent07_Loans!B189)</f>
        <v/>
      </c>
      <c r="C1379" s="37" t="str">
        <f>IF(Agent07_Loans!B189="","",Agent07_Loans!C189)</f>
        <v/>
      </c>
      <c r="D1379" s="38" t="str">
        <f>IF(Agent07_Loans!B189="","",Agent07_Loans!D189)</f>
        <v/>
      </c>
      <c r="E1379" s="40" t="str">
        <f>IF(Agent07_Loans!B189="","",Agent07_Loans!E189)</f>
        <v/>
      </c>
      <c r="F1379" s="37" t="str">
        <f>IF(Agent07_Loans!B189="","",Agent07_Loans!F189)</f>
        <v/>
      </c>
      <c r="G1379" s="37" t="str">
        <f>IF(Agent07_Loans!B189="","",Agent07_Loans!G189)</f>
        <v/>
      </c>
      <c r="H1379" s="37" t="str">
        <f>IF(Agent07_Loans!B189="","",Agent07_Loans!H189)</f>
        <v/>
      </c>
      <c r="I1379" s="40" t="str">
        <f>IF(Agent07_Loans!B189="","",Agent07_Loans!I189)</f>
        <v/>
      </c>
      <c r="J1379" s="40" t="str">
        <f>IF(Agent07_Loans!B189="","",Agent07_Loans!J189)</f>
        <v/>
      </c>
      <c r="K1379" s="37" t="str">
        <f>IF(Agent07_Loans!B189="","",Agent07_Loans!K189)</f>
        <v/>
      </c>
      <c r="L1379" s="37" t="str">
        <f>IF(Agent07_Loans!B189="","",Agent07_Loans!L189)</f>
        <v/>
      </c>
      <c r="M1379" s="37" t="str">
        <f>IFERROR(IF(Agent07_Loans!B189="","",YEAR(Agent07_Loans!D189)),"")</f>
        <v/>
      </c>
    </row>
    <row r="1380" spans="1:13" ht="18" customHeight="1" x14ac:dyDescent="0.25">
      <c r="A1380" s="37" t="str">
        <f>IF(Agent07_Loans!B190="","",Agent07_Loans!A190)</f>
        <v/>
      </c>
      <c r="B1380" s="37" t="str">
        <f>IF(Agent07_Loans!B190="","",Agent07_Loans!B190)</f>
        <v/>
      </c>
      <c r="C1380" s="37" t="str">
        <f>IF(Agent07_Loans!B190="","",Agent07_Loans!C190)</f>
        <v/>
      </c>
      <c r="D1380" s="38" t="str">
        <f>IF(Agent07_Loans!B190="","",Agent07_Loans!D190)</f>
        <v/>
      </c>
      <c r="E1380" s="40" t="str">
        <f>IF(Agent07_Loans!B190="","",Agent07_Loans!E190)</f>
        <v/>
      </c>
      <c r="F1380" s="37" t="str">
        <f>IF(Agent07_Loans!B190="","",Agent07_Loans!F190)</f>
        <v/>
      </c>
      <c r="G1380" s="37" t="str">
        <f>IF(Agent07_Loans!B190="","",Agent07_Loans!G190)</f>
        <v/>
      </c>
      <c r="H1380" s="37" t="str">
        <f>IF(Agent07_Loans!B190="","",Agent07_Loans!H190)</f>
        <v/>
      </c>
      <c r="I1380" s="40" t="str">
        <f>IF(Agent07_Loans!B190="","",Agent07_Loans!I190)</f>
        <v/>
      </c>
      <c r="J1380" s="40" t="str">
        <f>IF(Agent07_Loans!B190="","",Agent07_Loans!J190)</f>
        <v/>
      </c>
      <c r="K1380" s="37" t="str">
        <f>IF(Agent07_Loans!B190="","",Agent07_Loans!K190)</f>
        <v/>
      </c>
      <c r="L1380" s="37" t="str">
        <f>IF(Agent07_Loans!B190="","",Agent07_Loans!L190)</f>
        <v/>
      </c>
      <c r="M1380" s="37" t="str">
        <f>IFERROR(IF(Agent07_Loans!B190="","",YEAR(Agent07_Loans!D190)),"")</f>
        <v/>
      </c>
    </row>
    <row r="1381" spans="1:13" ht="18" customHeight="1" x14ac:dyDescent="0.25">
      <c r="A1381" s="37" t="str">
        <f>IF(Agent07_Loans!B191="","",Agent07_Loans!A191)</f>
        <v/>
      </c>
      <c r="B1381" s="37" t="str">
        <f>IF(Agent07_Loans!B191="","",Agent07_Loans!B191)</f>
        <v/>
      </c>
      <c r="C1381" s="37" t="str">
        <f>IF(Agent07_Loans!B191="","",Agent07_Loans!C191)</f>
        <v/>
      </c>
      <c r="D1381" s="38" t="str">
        <f>IF(Agent07_Loans!B191="","",Agent07_Loans!D191)</f>
        <v/>
      </c>
      <c r="E1381" s="40" t="str">
        <f>IF(Agent07_Loans!B191="","",Agent07_Loans!E191)</f>
        <v/>
      </c>
      <c r="F1381" s="37" t="str">
        <f>IF(Agent07_Loans!B191="","",Agent07_Loans!F191)</f>
        <v/>
      </c>
      <c r="G1381" s="37" t="str">
        <f>IF(Agent07_Loans!B191="","",Agent07_Loans!G191)</f>
        <v/>
      </c>
      <c r="H1381" s="37" t="str">
        <f>IF(Agent07_Loans!B191="","",Agent07_Loans!H191)</f>
        <v/>
      </c>
      <c r="I1381" s="40" t="str">
        <f>IF(Agent07_Loans!B191="","",Agent07_Loans!I191)</f>
        <v/>
      </c>
      <c r="J1381" s="40" t="str">
        <f>IF(Agent07_Loans!B191="","",Agent07_Loans!J191)</f>
        <v/>
      </c>
      <c r="K1381" s="37" t="str">
        <f>IF(Agent07_Loans!B191="","",Agent07_Loans!K191)</f>
        <v/>
      </c>
      <c r="L1381" s="37" t="str">
        <f>IF(Agent07_Loans!B191="","",Agent07_Loans!L191)</f>
        <v/>
      </c>
      <c r="M1381" s="37" t="str">
        <f>IFERROR(IF(Agent07_Loans!B191="","",YEAR(Agent07_Loans!D191)),"")</f>
        <v/>
      </c>
    </row>
    <row r="1382" spans="1:13" ht="18" customHeight="1" x14ac:dyDescent="0.25">
      <c r="A1382" s="37" t="str">
        <f>IF(Agent07_Loans!B192="","",Agent07_Loans!A192)</f>
        <v/>
      </c>
      <c r="B1382" s="37" t="str">
        <f>IF(Agent07_Loans!B192="","",Agent07_Loans!B192)</f>
        <v/>
      </c>
      <c r="C1382" s="37" t="str">
        <f>IF(Agent07_Loans!B192="","",Agent07_Loans!C192)</f>
        <v/>
      </c>
      <c r="D1382" s="38" t="str">
        <f>IF(Agent07_Loans!B192="","",Agent07_Loans!D192)</f>
        <v/>
      </c>
      <c r="E1382" s="40" t="str">
        <f>IF(Agent07_Loans!B192="","",Agent07_Loans!E192)</f>
        <v/>
      </c>
      <c r="F1382" s="37" t="str">
        <f>IF(Agent07_Loans!B192="","",Agent07_Loans!F192)</f>
        <v/>
      </c>
      <c r="G1382" s="37" t="str">
        <f>IF(Agent07_Loans!B192="","",Agent07_Loans!G192)</f>
        <v/>
      </c>
      <c r="H1382" s="37" t="str">
        <f>IF(Agent07_Loans!B192="","",Agent07_Loans!H192)</f>
        <v/>
      </c>
      <c r="I1382" s="40" t="str">
        <f>IF(Agent07_Loans!B192="","",Agent07_Loans!I192)</f>
        <v/>
      </c>
      <c r="J1382" s="40" t="str">
        <f>IF(Agent07_Loans!B192="","",Agent07_Loans!J192)</f>
        <v/>
      </c>
      <c r="K1382" s="37" t="str">
        <f>IF(Agent07_Loans!B192="","",Agent07_Loans!K192)</f>
        <v/>
      </c>
      <c r="L1382" s="37" t="str">
        <f>IF(Agent07_Loans!B192="","",Agent07_Loans!L192)</f>
        <v/>
      </c>
      <c r="M1382" s="37" t="str">
        <f>IFERROR(IF(Agent07_Loans!B192="","",YEAR(Agent07_Loans!D192)),"")</f>
        <v/>
      </c>
    </row>
    <row r="1383" spans="1:13" ht="18" customHeight="1" x14ac:dyDescent="0.25">
      <c r="A1383" s="37" t="str">
        <f>IF(Agent07_Loans!B193="","",Agent07_Loans!A193)</f>
        <v/>
      </c>
      <c r="B1383" s="37" t="str">
        <f>IF(Agent07_Loans!B193="","",Agent07_Loans!B193)</f>
        <v/>
      </c>
      <c r="C1383" s="37" t="str">
        <f>IF(Agent07_Loans!B193="","",Agent07_Loans!C193)</f>
        <v/>
      </c>
      <c r="D1383" s="38" t="str">
        <f>IF(Agent07_Loans!B193="","",Agent07_Loans!D193)</f>
        <v/>
      </c>
      <c r="E1383" s="40" t="str">
        <f>IF(Agent07_Loans!B193="","",Agent07_Loans!E193)</f>
        <v/>
      </c>
      <c r="F1383" s="37" t="str">
        <f>IF(Agent07_Loans!B193="","",Agent07_Loans!F193)</f>
        <v/>
      </c>
      <c r="G1383" s="37" t="str">
        <f>IF(Agent07_Loans!B193="","",Agent07_Loans!G193)</f>
        <v/>
      </c>
      <c r="H1383" s="37" t="str">
        <f>IF(Agent07_Loans!B193="","",Agent07_Loans!H193)</f>
        <v/>
      </c>
      <c r="I1383" s="40" t="str">
        <f>IF(Agent07_Loans!B193="","",Agent07_Loans!I193)</f>
        <v/>
      </c>
      <c r="J1383" s="40" t="str">
        <f>IF(Agent07_Loans!B193="","",Agent07_Loans!J193)</f>
        <v/>
      </c>
      <c r="K1383" s="37" t="str">
        <f>IF(Agent07_Loans!B193="","",Agent07_Loans!K193)</f>
        <v/>
      </c>
      <c r="L1383" s="37" t="str">
        <f>IF(Agent07_Loans!B193="","",Agent07_Loans!L193)</f>
        <v/>
      </c>
      <c r="M1383" s="37" t="str">
        <f>IFERROR(IF(Agent07_Loans!B193="","",YEAR(Agent07_Loans!D193)),"")</f>
        <v/>
      </c>
    </row>
    <row r="1384" spans="1:13" ht="18" customHeight="1" x14ac:dyDescent="0.25">
      <c r="A1384" s="37" t="str">
        <f>IF(Agent07_Loans!B194="","",Agent07_Loans!A194)</f>
        <v/>
      </c>
      <c r="B1384" s="37" t="str">
        <f>IF(Agent07_Loans!B194="","",Agent07_Loans!B194)</f>
        <v/>
      </c>
      <c r="C1384" s="37" t="str">
        <f>IF(Agent07_Loans!B194="","",Agent07_Loans!C194)</f>
        <v/>
      </c>
      <c r="D1384" s="38" t="str">
        <f>IF(Agent07_Loans!B194="","",Agent07_Loans!D194)</f>
        <v/>
      </c>
      <c r="E1384" s="40" t="str">
        <f>IF(Agent07_Loans!B194="","",Agent07_Loans!E194)</f>
        <v/>
      </c>
      <c r="F1384" s="37" t="str">
        <f>IF(Agent07_Loans!B194="","",Agent07_Loans!F194)</f>
        <v/>
      </c>
      <c r="G1384" s="37" t="str">
        <f>IF(Agent07_Loans!B194="","",Agent07_Loans!G194)</f>
        <v/>
      </c>
      <c r="H1384" s="37" t="str">
        <f>IF(Agent07_Loans!B194="","",Agent07_Loans!H194)</f>
        <v/>
      </c>
      <c r="I1384" s="40" t="str">
        <f>IF(Agent07_Loans!B194="","",Agent07_Loans!I194)</f>
        <v/>
      </c>
      <c r="J1384" s="40" t="str">
        <f>IF(Agent07_Loans!B194="","",Agent07_Loans!J194)</f>
        <v/>
      </c>
      <c r="K1384" s="37" t="str">
        <f>IF(Agent07_Loans!B194="","",Agent07_Loans!K194)</f>
        <v/>
      </c>
      <c r="L1384" s="37" t="str">
        <f>IF(Agent07_Loans!B194="","",Agent07_Loans!L194)</f>
        <v/>
      </c>
      <c r="M1384" s="37" t="str">
        <f>IFERROR(IF(Agent07_Loans!B194="","",YEAR(Agent07_Loans!D194)),"")</f>
        <v/>
      </c>
    </row>
    <row r="1385" spans="1:13" ht="18" customHeight="1" x14ac:dyDescent="0.25">
      <c r="A1385" s="37" t="str">
        <f>IF(Agent07_Loans!B195="","",Agent07_Loans!A195)</f>
        <v/>
      </c>
      <c r="B1385" s="37" t="str">
        <f>IF(Agent07_Loans!B195="","",Agent07_Loans!B195)</f>
        <v/>
      </c>
      <c r="C1385" s="37" t="str">
        <f>IF(Agent07_Loans!B195="","",Agent07_Loans!C195)</f>
        <v/>
      </c>
      <c r="D1385" s="38" t="str">
        <f>IF(Agent07_Loans!B195="","",Agent07_Loans!D195)</f>
        <v/>
      </c>
      <c r="E1385" s="40" t="str">
        <f>IF(Agent07_Loans!B195="","",Agent07_Loans!E195)</f>
        <v/>
      </c>
      <c r="F1385" s="37" t="str">
        <f>IF(Agent07_Loans!B195="","",Agent07_Loans!F195)</f>
        <v/>
      </c>
      <c r="G1385" s="37" t="str">
        <f>IF(Agent07_Loans!B195="","",Agent07_Loans!G195)</f>
        <v/>
      </c>
      <c r="H1385" s="37" t="str">
        <f>IF(Agent07_Loans!B195="","",Agent07_Loans!H195)</f>
        <v/>
      </c>
      <c r="I1385" s="40" t="str">
        <f>IF(Agent07_Loans!B195="","",Agent07_Loans!I195)</f>
        <v/>
      </c>
      <c r="J1385" s="40" t="str">
        <f>IF(Agent07_Loans!B195="","",Agent07_Loans!J195)</f>
        <v/>
      </c>
      <c r="K1385" s="37" t="str">
        <f>IF(Agent07_Loans!B195="","",Agent07_Loans!K195)</f>
        <v/>
      </c>
      <c r="L1385" s="37" t="str">
        <f>IF(Agent07_Loans!B195="","",Agent07_Loans!L195)</f>
        <v/>
      </c>
      <c r="M1385" s="37" t="str">
        <f>IFERROR(IF(Agent07_Loans!B195="","",YEAR(Agent07_Loans!D195)),"")</f>
        <v/>
      </c>
    </row>
    <row r="1386" spans="1:13" ht="18" customHeight="1" x14ac:dyDescent="0.25">
      <c r="A1386" s="37" t="str">
        <f>IF(Agent07_Loans!B196="","",Agent07_Loans!A196)</f>
        <v/>
      </c>
      <c r="B1386" s="37" t="str">
        <f>IF(Agent07_Loans!B196="","",Agent07_Loans!B196)</f>
        <v/>
      </c>
      <c r="C1386" s="37" t="str">
        <f>IF(Agent07_Loans!B196="","",Agent07_Loans!C196)</f>
        <v/>
      </c>
      <c r="D1386" s="38" t="str">
        <f>IF(Agent07_Loans!B196="","",Agent07_Loans!D196)</f>
        <v/>
      </c>
      <c r="E1386" s="40" t="str">
        <f>IF(Agent07_Loans!B196="","",Agent07_Loans!E196)</f>
        <v/>
      </c>
      <c r="F1386" s="37" t="str">
        <f>IF(Agent07_Loans!B196="","",Agent07_Loans!F196)</f>
        <v/>
      </c>
      <c r="G1386" s="37" t="str">
        <f>IF(Agent07_Loans!B196="","",Agent07_Loans!G196)</f>
        <v/>
      </c>
      <c r="H1386" s="37" t="str">
        <f>IF(Agent07_Loans!B196="","",Agent07_Loans!H196)</f>
        <v/>
      </c>
      <c r="I1386" s="40" t="str">
        <f>IF(Agent07_Loans!B196="","",Agent07_Loans!I196)</f>
        <v/>
      </c>
      <c r="J1386" s="40" t="str">
        <f>IF(Agent07_Loans!B196="","",Agent07_Loans!J196)</f>
        <v/>
      </c>
      <c r="K1386" s="37" t="str">
        <f>IF(Agent07_Loans!B196="","",Agent07_Loans!K196)</f>
        <v/>
      </c>
      <c r="L1386" s="37" t="str">
        <f>IF(Agent07_Loans!B196="","",Agent07_Loans!L196)</f>
        <v/>
      </c>
      <c r="M1386" s="37" t="str">
        <f>IFERROR(IF(Agent07_Loans!B196="","",YEAR(Agent07_Loans!D196)),"")</f>
        <v/>
      </c>
    </row>
    <row r="1387" spans="1:13" ht="18" customHeight="1" x14ac:dyDescent="0.25">
      <c r="A1387" s="37" t="str">
        <f>IF(Agent07_Loans!B197="","",Agent07_Loans!A197)</f>
        <v/>
      </c>
      <c r="B1387" s="37" t="str">
        <f>IF(Agent07_Loans!B197="","",Agent07_Loans!B197)</f>
        <v/>
      </c>
      <c r="C1387" s="37" t="str">
        <f>IF(Agent07_Loans!B197="","",Agent07_Loans!C197)</f>
        <v/>
      </c>
      <c r="D1387" s="38" t="str">
        <f>IF(Agent07_Loans!B197="","",Agent07_Loans!D197)</f>
        <v/>
      </c>
      <c r="E1387" s="40" t="str">
        <f>IF(Agent07_Loans!B197="","",Agent07_Loans!E197)</f>
        <v/>
      </c>
      <c r="F1387" s="37" t="str">
        <f>IF(Agent07_Loans!B197="","",Agent07_Loans!F197)</f>
        <v/>
      </c>
      <c r="G1387" s="37" t="str">
        <f>IF(Agent07_Loans!B197="","",Agent07_Loans!G197)</f>
        <v/>
      </c>
      <c r="H1387" s="37" t="str">
        <f>IF(Agent07_Loans!B197="","",Agent07_Loans!H197)</f>
        <v/>
      </c>
      <c r="I1387" s="40" t="str">
        <f>IF(Agent07_Loans!B197="","",Agent07_Loans!I197)</f>
        <v/>
      </c>
      <c r="J1387" s="40" t="str">
        <f>IF(Agent07_Loans!B197="","",Agent07_Loans!J197)</f>
        <v/>
      </c>
      <c r="K1387" s="37" t="str">
        <f>IF(Agent07_Loans!B197="","",Agent07_Loans!K197)</f>
        <v/>
      </c>
      <c r="L1387" s="37" t="str">
        <f>IF(Agent07_Loans!B197="","",Agent07_Loans!L197)</f>
        <v/>
      </c>
      <c r="M1387" s="37" t="str">
        <f>IFERROR(IF(Agent07_Loans!B197="","",YEAR(Agent07_Loans!D197)),"")</f>
        <v/>
      </c>
    </row>
    <row r="1388" spans="1:13" ht="18" customHeight="1" x14ac:dyDescent="0.25">
      <c r="A1388" s="37" t="str">
        <f>IF(Agent07_Loans!B198="","",Agent07_Loans!A198)</f>
        <v/>
      </c>
      <c r="B1388" s="37" t="str">
        <f>IF(Agent07_Loans!B198="","",Agent07_Loans!B198)</f>
        <v/>
      </c>
      <c r="C1388" s="37" t="str">
        <f>IF(Agent07_Loans!B198="","",Agent07_Loans!C198)</f>
        <v/>
      </c>
      <c r="D1388" s="38" t="str">
        <f>IF(Agent07_Loans!B198="","",Agent07_Loans!D198)</f>
        <v/>
      </c>
      <c r="E1388" s="40" t="str">
        <f>IF(Agent07_Loans!B198="","",Agent07_Loans!E198)</f>
        <v/>
      </c>
      <c r="F1388" s="37" t="str">
        <f>IF(Agent07_Loans!B198="","",Agent07_Loans!F198)</f>
        <v/>
      </c>
      <c r="G1388" s="37" t="str">
        <f>IF(Agent07_Loans!B198="","",Agent07_Loans!G198)</f>
        <v/>
      </c>
      <c r="H1388" s="37" t="str">
        <f>IF(Agent07_Loans!B198="","",Agent07_Loans!H198)</f>
        <v/>
      </c>
      <c r="I1388" s="40" t="str">
        <f>IF(Agent07_Loans!B198="","",Agent07_Loans!I198)</f>
        <v/>
      </c>
      <c r="J1388" s="40" t="str">
        <f>IF(Agent07_Loans!B198="","",Agent07_Loans!J198)</f>
        <v/>
      </c>
      <c r="K1388" s="37" t="str">
        <f>IF(Agent07_Loans!B198="","",Agent07_Loans!K198)</f>
        <v/>
      </c>
      <c r="L1388" s="37" t="str">
        <f>IF(Agent07_Loans!B198="","",Agent07_Loans!L198)</f>
        <v/>
      </c>
      <c r="M1388" s="37" t="str">
        <f>IFERROR(IF(Agent07_Loans!B198="","",YEAR(Agent07_Loans!D198)),"")</f>
        <v/>
      </c>
    </row>
    <row r="1389" spans="1:13" ht="18" customHeight="1" x14ac:dyDescent="0.25">
      <c r="A1389" s="37" t="str">
        <f>IF(Agent07_Loans!B199="","",Agent07_Loans!A199)</f>
        <v/>
      </c>
      <c r="B1389" s="37" t="str">
        <f>IF(Agent07_Loans!B199="","",Agent07_Loans!B199)</f>
        <v/>
      </c>
      <c r="C1389" s="37" t="str">
        <f>IF(Agent07_Loans!B199="","",Agent07_Loans!C199)</f>
        <v/>
      </c>
      <c r="D1389" s="38" t="str">
        <f>IF(Agent07_Loans!B199="","",Agent07_Loans!D199)</f>
        <v/>
      </c>
      <c r="E1389" s="40" t="str">
        <f>IF(Agent07_Loans!B199="","",Agent07_Loans!E199)</f>
        <v/>
      </c>
      <c r="F1389" s="37" t="str">
        <f>IF(Agent07_Loans!B199="","",Agent07_Loans!F199)</f>
        <v/>
      </c>
      <c r="G1389" s="37" t="str">
        <f>IF(Agent07_Loans!B199="","",Agent07_Loans!G199)</f>
        <v/>
      </c>
      <c r="H1389" s="37" t="str">
        <f>IF(Agent07_Loans!B199="","",Agent07_Loans!H199)</f>
        <v/>
      </c>
      <c r="I1389" s="40" t="str">
        <f>IF(Agent07_Loans!B199="","",Agent07_Loans!I199)</f>
        <v/>
      </c>
      <c r="J1389" s="40" t="str">
        <f>IF(Agent07_Loans!B199="","",Agent07_Loans!J199)</f>
        <v/>
      </c>
      <c r="K1389" s="37" t="str">
        <f>IF(Agent07_Loans!B199="","",Agent07_Loans!K199)</f>
        <v/>
      </c>
      <c r="L1389" s="37" t="str">
        <f>IF(Agent07_Loans!B199="","",Agent07_Loans!L199)</f>
        <v/>
      </c>
      <c r="M1389" s="37" t="str">
        <f>IFERROR(IF(Agent07_Loans!B199="","",YEAR(Agent07_Loans!D199)),"")</f>
        <v/>
      </c>
    </row>
    <row r="1390" spans="1:13" ht="18" customHeight="1" x14ac:dyDescent="0.25">
      <c r="A1390" s="37" t="str">
        <f>IF(Agent07_Loans!B200="","",Agent07_Loans!A200)</f>
        <v/>
      </c>
      <c r="B1390" s="37" t="str">
        <f>IF(Agent07_Loans!B200="","",Agent07_Loans!B200)</f>
        <v/>
      </c>
      <c r="C1390" s="37" t="str">
        <f>IF(Agent07_Loans!B200="","",Agent07_Loans!C200)</f>
        <v/>
      </c>
      <c r="D1390" s="38" t="str">
        <f>IF(Agent07_Loans!B200="","",Agent07_Loans!D200)</f>
        <v/>
      </c>
      <c r="E1390" s="40" t="str">
        <f>IF(Agent07_Loans!B200="","",Agent07_Loans!E200)</f>
        <v/>
      </c>
      <c r="F1390" s="37" t="str">
        <f>IF(Agent07_Loans!B200="","",Agent07_Loans!F200)</f>
        <v/>
      </c>
      <c r="G1390" s="37" t="str">
        <f>IF(Agent07_Loans!B200="","",Agent07_Loans!G200)</f>
        <v/>
      </c>
      <c r="H1390" s="37" t="str">
        <f>IF(Agent07_Loans!B200="","",Agent07_Loans!H200)</f>
        <v/>
      </c>
      <c r="I1390" s="40" t="str">
        <f>IF(Agent07_Loans!B200="","",Agent07_Loans!I200)</f>
        <v/>
      </c>
      <c r="J1390" s="40" t="str">
        <f>IF(Agent07_Loans!B200="","",Agent07_Loans!J200)</f>
        <v/>
      </c>
      <c r="K1390" s="37" t="str">
        <f>IF(Agent07_Loans!B200="","",Agent07_Loans!K200)</f>
        <v/>
      </c>
      <c r="L1390" s="37" t="str">
        <f>IF(Agent07_Loans!B200="","",Agent07_Loans!L200)</f>
        <v/>
      </c>
      <c r="M1390" s="37" t="str">
        <f>IFERROR(IF(Agent07_Loans!B200="","",YEAR(Agent07_Loans!D200)),"")</f>
        <v/>
      </c>
    </row>
    <row r="1391" spans="1:13" ht="18" customHeight="1" x14ac:dyDescent="0.25">
      <c r="A1391" s="37" t="str">
        <f>IF(Agent07_Loans!B201="","",Agent07_Loans!A201)</f>
        <v/>
      </c>
      <c r="B1391" s="37" t="str">
        <f>IF(Agent07_Loans!B201="","",Agent07_Loans!B201)</f>
        <v/>
      </c>
      <c r="C1391" s="37" t="str">
        <f>IF(Agent07_Loans!B201="","",Agent07_Loans!C201)</f>
        <v/>
      </c>
      <c r="D1391" s="38" t="str">
        <f>IF(Agent07_Loans!B201="","",Agent07_Loans!D201)</f>
        <v/>
      </c>
      <c r="E1391" s="40" t="str">
        <f>IF(Agent07_Loans!B201="","",Agent07_Loans!E201)</f>
        <v/>
      </c>
      <c r="F1391" s="37" t="str">
        <f>IF(Agent07_Loans!B201="","",Agent07_Loans!F201)</f>
        <v/>
      </c>
      <c r="G1391" s="37" t="str">
        <f>IF(Agent07_Loans!B201="","",Agent07_Loans!G201)</f>
        <v/>
      </c>
      <c r="H1391" s="37" t="str">
        <f>IF(Agent07_Loans!B201="","",Agent07_Loans!H201)</f>
        <v/>
      </c>
      <c r="I1391" s="40" t="str">
        <f>IF(Agent07_Loans!B201="","",Agent07_Loans!I201)</f>
        <v/>
      </c>
      <c r="J1391" s="40" t="str">
        <f>IF(Agent07_Loans!B201="","",Agent07_Loans!J201)</f>
        <v/>
      </c>
      <c r="K1391" s="37" t="str">
        <f>IF(Agent07_Loans!B201="","",Agent07_Loans!K201)</f>
        <v/>
      </c>
      <c r="L1391" s="37" t="str">
        <f>IF(Agent07_Loans!B201="","",Agent07_Loans!L201)</f>
        <v/>
      </c>
      <c r="M1391" s="37" t="str">
        <f>IFERROR(IF(Agent07_Loans!B201="","",YEAR(Agent07_Loans!D201)),"")</f>
        <v/>
      </c>
    </row>
    <row r="1392" spans="1:13" ht="18" customHeight="1" x14ac:dyDescent="0.25">
      <c r="A1392" s="37" t="str">
        <f>IF(Agent07_Loans!B202="","",Agent07_Loans!A202)</f>
        <v/>
      </c>
      <c r="B1392" s="37" t="str">
        <f>IF(Agent07_Loans!B202="","",Agent07_Loans!B202)</f>
        <v/>
      </c>
      <c r="C1392" s="37" t="str">
        <f>IF(Agent07_Loans!B202="","",Agent07_Loans!C202)</f>
        <v/>
      </c>
      <c r="D1392" s="38" t="str">
        <f>IF(Agent07_Loans!B202="","",Agent07_Loans!D202)</f>
        <v/>
      </c>
      <c r="E1392" s="40" t="str">
        <f>IF(Agent07_Loans!B202="","",Agent07_Loans!E202)</f>
        <v/>
      </c>
      <c r="F1392" s="37" t="str">
        <f>IF(Agent07_Loans!B202="","",Agent07_Loans!F202)</f>
        <v/>
      </c>
      <c r="G1392" s="37" t="str">
        <f>IF(Agent07_Loans!B202="","",Agent07_Loans!G202)</f>
        <v/>
      </c>
      <c r="H1392" s="37" t="str">
        <f>IF(Agent07_Loans!B202="","",Agent07_Loans!H202)</f>
        <v/>
      </c>
      <c r="I1392" s="40" t="str">
        <f>IF(Agent07_Loans!B202="","",Agent07_Loans!I202)</f>
        <v/>
      </c>
      <c r="J1392" s="40" t="str">
        <f>IF(Agent07_Loans!B202="","",Agent07_Loans!J202)</f>
        <v/>
      </c>
      <c r="K1392" s="37" t="str">
        <f>IF(Agent07_Loans!B202="","",Agent07_Loans!K202)</f>
        <v/>
      </c>
      <c r="L1392" s="37" t="str">
        <f>IF(Agent07_Loans!B202="","",Agent07_Loans!L202)</f>
        <v/>
      </c>
      <c r="M1392" s="37" t="str">
        <f>IFERROR(IF(Agent07_Loans!B202="","",YEAR(Agent07_Loans!D202)),"")</f>
        <v/>
      </c>
    </row>
    <row r="1393" spans="1:13" ht="18" customHeight="1" x14ac:dyDescent="0.25">
      <c r="A1393" s="37" t="str">
        <f>IF(Agent07_Loans!B203="","",Agent07_Loans!A203)</f>
        <v/>
      </c>
      <c r="B1393" s="37" t="str">
        <f>IF(Agent07_Loans!B203="","",Agent07_Loans!B203)</f>
        <v/>
      </c>
      <c r="C1393" s="37" t="str">
        <f>IF(Agent07_Loans!B203="","",Agent07_Loans!C203)</f>
        <v/>
      </c>
      <c r="D1393" s="38" t="str">
        <f>IF(Agent07_Loans!B203="","",Agent07_Loans!D203)</f>
        <v/>
      </c>
      <c r="E1393" s="40" t="str">
        <f>IF(Agent07_Loans!B203="","",Agent07_Loans!E203)</f>
        <v/>
      </c>
      <c r="F1393" s="37" t="str">
        <f>IF(Agent07_Loans!B203="","",Agent07_Loans!F203)</f>
        <v/>
      </c>
      <c r="G1393" s="37" t="str">
        <f>IF(Agent07_Loans!B203="","",Agent07_Loans!G203)</f>
        <v/>
      </c>
      <c r="H1393" s="37" t="str">
        <f>IF(Agent07_Loans!B203="","",Agent07_Loans!H203)</f>
        <v/>
      </c>
      <c r="I1393" s="40" t="str">
        <f>IF(Agent07_Loans!B203="","",Agent07_Loans!I203)</f>
        <v/>
      </c>
      <c r="J1393" s="40" t="str">
        <f>IF(Agent07_Loans!B203="","",Agent07_Loans!J203)</f>
        <v/>
      </c>
      <c r="K1393" s="37" t="str">
        <f>IF(Agent07_Loans!B203="","",Agent07_Loans!K203)</f>
        <v/>
      </c>
      <c r="L1393" s="37" t="str">
        <f>IF(Agent07_Loans!B203="","",Agent07_Loans!L203)</f>
        <v/>
      </c>
      <c r="M1393" s="37" t="str">
        <f>IFERROR(IF(Agent07_Loans!B203="","",YEAR(Agent07_Loans!D203)),"")</f>
        <v/>
      </c>
    </row>
    <row r="1394" spans="1:13" ht="18" customHeight="1" x14ac:dyDescent="0.25">
      <c r="A1394" s="37" t="str">
        <f>IF(Agent07_Loans!B204="","",Agent07_Loans!A204)</f>
        <v/>
      </c>
      <c r="B1394" s="37" t="str">
        <f>IF(Agent07_Loans!B204="","",Agent07_Loans!B204)</f>
        <v/>
      </c>
      <c r="C1394" s="37" t="str">
        <f>IF(Agent07_Loans!B204="","",Agent07_Loans!C204)</f>
        <v/>
      </c>
      <c r="D1394" s="38" t="str">
        <f>IF(Agent07_Loans!B204="","",Agent07_Loans!D204)</f>
        <v/>
      </c>
      <c r="E1394" s="40" t="str">
        <f>IF(Agent07_Loans!B204="","",Agent07_Loans!E204)</f>
        <v/>
      </c>
      <c r="F1394" s="37" t="str">
        <f>IF(Agent07_Loans!B204="","",Agent07_Loans!F204)</f>
        <v/>
      </c>
      <c r="G1394" s="37" t="str">
        <f>IF(Agent07_Loans!B204="","",Agent07_Loans!G204)</f>
        <v/>
      </c>
      <c r="H1394" s="37" t="str">
        <f>IF(Agent07_Loans!B204="","",Agent07_Loans!H204)</f>
        <v/>
      </c>
      <c r="I1394" s="40" t="str">
        <f>IF(Agent07_Loans!B204="","",Agent07_Loans!I204)</f>
        <v/>
      </c>
      <c r="J1394" s="40" t="str">
        <f>IF(Agent07_Loans!B204="","",Agent07_Loans!J204)</f>
        <v/>
      </c>
      <c r="K1394" s="37" t="str">
        <f>IF(Agent07_Loans!B204="","",Agent07_Loans!K204)</f>
        <v/>
      </c>
      <c r="L1394" s="37" t="str">
        <f>IF(Agent07_Loans!B204="","",Agent07_Loans!L204)</f>
        <v/>
      </c>
      <c r="M1394" s="37" t="str">
        <f>IFERROR(IF(Agent07_Loans!B204="","",YEAR(Agent07_Loans!D204)),"")</f>
        <v/>
      </c>
    </row>
    <row r="1395" spans="1:13" ht="18" customHeight="1" x14ac:dyDescent="0.25">
      <c r="A1395" s="37" t="str">
        <f>IF(Agent07_Loans!B205="","",Agent07_Loans!A205)</f>
        <v/>
      </c>
      <c r="B1395" s="37" t="str">
        <f>IF(Agent07_Loans!B205="","",Agent07_Loans!B205)</f>
        <v/>
      </c>
      <c r="C1395" s="37" t="str">
        <f>IF(Agent07_Loans!B205="","",Agent07_Loans!C205)</f>
        <v/>
      </c>
      <c r="D1395" s="38" t="str">
        <f>IF(Agent07_Loans!B205="","",Agent07_Loans!D205)</f>
        <v/>
      </c>
      <c r="E1395" s="40" t="str">
        <f>IF(Agent07_Loans!B205="","",Agent07_Loans!E205)</f>
        <v/>
      </c>
      <c r="F1395" s="37" t="str">
        <f>IF(Agent07_Loans!B205="","",Agent07_Loans!F205)</f>
        <v/>
      </c>
      <c r="G1395" s="37" t="str">
        <f>IF(Agent07_Loans!B205="","",Agent07_Loans!G205)</f>
        <v/>
      </c>
      <c r="H1395" s="37" t="str">
        <f>IF(Agent07_Loans!B205="","",Agent07_Loans!H205)</f>
        <v/>
      </c>
      <c r="I1395" s="40" t="str">
        <f>IF(Agent07_Loans!B205="","",Agent07_Loans!I205)</f>
        <v/>
      </c>
      <c r="J1395" s="40" t="str">
        <f>IF(Agent07_Loans!B205="","",Agent07_Loans!J205)</f>
        <v/>
      </c>
      <c r="K1395" s="37" t="str">
        <f>IF(Agent07_Loans!B205="","",Agent07_Loans!K205)</f>
        <v/>
      </c>
      <c r="L1395" s="37" t="str">
        <f>IF(Agent07_Loans!B205="","",Agent07_Loans!L205)</f>
        <v/>
      </c>
      <c r="M1395" s="37" t="str">
        <f>IFERROR(IF(Agent07_Loans!B205="","",YEAR(Agent07_Loans!D205)),"")</f>
        <v/>
      </c>
    </row>
    <row r="1396" spans="1:13" ht="18" customHeight="1" x14ac:dyDescent="0.25">
      <c r="A1396" s="37" t="str">
        <f>IF(Agent07_Loans!B206="","",Agent07_Loans!A206)</f>
        <v/>
      </c>
      <c r="B1396" s="37" t="str">
        <f>IF(Agent07_Loans!B206="","",Agent07_Loans!B206)</f>
        <v/>
      </c>
      <c r="C1396" s="37" t="str">
        <f>IF(Agent07_Loans!B206="","",Agent07_Loans!C206)</f>
        <v/>
      </c>
      <c r="D1396" s="38" t="str">
        <f>IF(Agent07_Loans!B206="","",Agent07_Loans!D206)</f>
        <v/>
      </c>
      <c r="E1396" s="40" t="str">
        <f>IF(Agent07_Loans!B206="","",Agent07_Loans!E206)</f>
        <v/>
      </c>
      <c r="F1396" s="37" t="str">
        <f>IF(Agent07_Loans!B206="","",Agent07_Loans!F206)</f>
        <v/>
      </c>
      <c r="G1396" s="37" t="str">
        <f>IF(Agent07_Loans!B206="","",Agent07_Loans!G206)</f>
        <v/>
      </c>
      <c r="H1396" s="37" t="str">
        <f>IF(Agent07_Loans!B206="","",Agent07_Loans!H206)</f>
        <v/>
      </c>
      <c r="I1396" s="40" t="str">
        <f>IF(Agent07_Loans!B206="","",Agent07_Loans!I206)</f>
        <v/>
      </c>
      <c r="J1396" s="40" t="str">
        <f>IF(Agent07_Loans!B206="","",Agent07_Loans!J206)</f>
        <v/>
      </c>
      <c r="K1396" s="37" t="str">
        <f>IF(Agent07_Loans!B206="","",Agent07_Loans!K206)</f>
        <v/>
      </c>
      <c r="L1396" s="37" t="str">
        <f>IF(Agent07_Loans!B206="","",Agent07_Loans!L206)</f>
        <v/>
      </c>
      <c r="M1396" s="37" t="str">
        <f>IFERROR(IF(Agent07_Loans!B206="","",YEAR(Agent07_Loans!D206)),"")</f>
        <v/>
      </c>
    </row>
    <row r="1397" spans="1:13" ht="18" customHeight="1" x14ac:dyDescent="0.25">
      <c r="A1397" s="37" t="str">
        <f>IF(Agent07_Loans!B207="","",Agent07_Loans!A207)</f>
        <v/>
      </c>
      <c r="B1397" s="37" t="str">
        <f>IF(Agent07_Loans!B207="","",Agent07_Loans!B207)</f>
        <v/>
      </c>
      <c r="C1397" s="37" t="str">
        <f>IF(Agent07_Loans!B207="","",Agent07_Loans!C207)</f>
        <v/>
      </c>
      <c r="D1397" s="38" t="str">
        <f>IF(Agent07_Loans!B207="","",Agent07_Loans!D207)</f>
        <v/>
      </c>
      <c r="E1397" s="40" t="str">
        <f>IF(Agent07_Loans!B207="","",Agent07_Loans!E207)</f>
        <v/>
      </c>
      <c r="F1397" s="37" t="str">
        <f>IF(Agent07_Loans!B207="","",Agent07_Loans!F207)</f>
        <v/>
      </c>
      <c r="G1397" s="37" t="str">
        <f>IF(Agent07_Loans!B207="","",Agent07_Loans!G207)</f>
        <v/>
      </c>
      <c r="H1397" s="37" t="str">
        <f>IF(Agent07_Loans!B207="","",Agent07_Loans!H207)</f>
        <v/>
      </c>
      <c r="I1397" s="40" t="str">
        <f>IF(Agent07_Loans!B207="","",Agent07_Loans!I207)</f>
        <v/>
      </c>
      <c r="J1397" s="40" t="str">
        <f>IF(Agent07_Loans!B207="","",Agent07_Loans!J207)</f>
        <v/>
      </c>
      <c r="K1397" s="37" t="str">
        <f>IF(Agent07_Loans!B207="","",Agent07_Loans!K207)</f>
        <v/>
      </c>
      <c r="L1397" s="37" t="str">
        <f>IF(Agent07_Loans!B207="","",Agent07_Loans!L207)</f>
        <v/>
      </c>
      <c r="M1397" s="37" t="str">
        <f>IFERROR(IF(Agent07_Loans!B207="","",YEAR(Agent07_Loans!D207)),"")</f>
        <v/>
      </c>
    </row>
    <row r="1398" spans="1:13" ht="18" customHeight="1" x14ac:dyDescent="0.25">
      <c r="A1398" s="37" t="str">
        <f>IF(Agent07_Loans!B208="","",Agent07_Loans!A208)</f>
        <v/>
      </c>
      <c r="B1398" s="37" t="str">
        <f>IF(Agent07_Loans!B208="","",Agent07_Loans!B208)</f>
        <v/>
      </c>
      <c r="C1398" s="37" t="str">
        <f>IF(Agent07_Loans!B208="","",Agent07_Loans!C208)</f>
        <v/>
      </c>
      <c r="D1398" s="38" t="str">
        <f>IF(Agent07_Loans!B208="","",Agent07_Loans!D208)</f>
        <v/>
      </c>
      <c r="E1398" s="40" t="str">
        <f>IF(Agent07_Loans!B208="","",Agent07_Loans!E208)</f>
        <v/>
      </c>
      <c r="F1398" s="37" t="str">
        <f>IF(Agent07_Loans!B208="","",Agent07_Loans!F208)</f>
        <v/>
      </c>
      <c r="G1398" s="37" t="str">
        <f>IF(Agent07_Loans!B208="","",Agent07_Loans!G208)</f>
        <v/>
      </c>
      <c r="H1398" s="37" t="str">
        <f>IF(Agent07_Loans!B208="","",Agent07_Loans!H208)</f>
        <v/>
      </c>
      <c r="I1398" s="40" t="str">
        <f>IF(Agent07_Loans!B208="","",Agent07_Loans!I208)</f>
        <v/>
      </c>
      <c r="J1398" s="40" t="str">
        <f>IF(Agent07_Loans!B208="","",Agent07_Loans!J208)</f>
        <v/>
      </c>
      <c r="K1398" s="37" t="str">
        <f>IF(Agent07_Loans!B208="","",Agent07_Loans!K208)</f>
        <v/>
      </c>
      <c r="L1398" s="37" t="str">
        <f>IF(Agent07_Loans!B208="","",Agent07_Loans!L208)</f>
        <v/>
      </c>
      <c r="M1398" s="37" t="str">
        <f>IFERROR(IF(Agent07_Loans!B208="","",YEAR(Agent07_Loans!D208)),"")</f>
        <v/>
      </c>
    </row>
    <row r="1399" spans="1:13" ht="18" customHeight="1" x14ac:dyDescent="0.25">
      <c r="A1399" s="37" t="str">
        <f>IF(Agent07_Loans!B209="","",Agent07_Loans!A209)</f>
        <v/>
      </c>
      <c r="B1399" s="37" t="str">
        <f>IF(Agent07_Loans!B209="","",Agent07_Loans!B209)</f>
        <v/>
      </c>
      <c r="C1399" s="37" t="str">
        <f>IF(Agent07_Loans!B209="","",Agent07_Loans!C209)</f>
        <v/>
      </c>
      <c r="D1399" s="38" t="str">
        <f>IF(Agent07_Loans!B209="","",Agent07_Loans!D209)</f>
        <v/>
      </c>
      <c r="E1399" s="40" t="str">
        <f>IF(Agent07_Loans!B209="","",Agent07_Loans!E209)</f>
        <v/>
      </c>
      <c r="F1399" s="37" t="str">
        <f>IF(Agent07_Loans!B209="","",Agent07_Loans!F209)</f>
        <v/>
      </c>
      <c r="G1399" s="37" t="str">
        <f>IF(Agent07_Loans!B209="","",Agent07_Loans!G209)</f>
        <v/>
      </c>
      <c r="H1399" s="37" t="str">
        <f>IF(Agent07_Loans!B209="","",Agent07_Loans!H209)</f>
        <v/>
      </c>
      <c r="I1399" s="40" t="str">
        <f>IF(Agent07_Loans!B209="","",Agent07_Loans!I209)</f>
        <v/>
      </c>
      <c r="J1399" s="40" t="str">
        <f>IF(Agent07_Loans!B209="","",Agent07_Loans!J209)</f>
        <v/>
      </c>
      <c r="K1399" s="37" t="str">
        <f>IF(Agent07_Loans!B209="","",Agent07_Loans!K209)</f>
        <v/>
      </c>
      <c r="L1399" s="37" t="str">
        <f>IF(Agent07_Loans!B209="","",Agent07_Loans!L209)</f>
        <v/>
      </c>
      <c r="M1399" s="37" t="str">
        <f>IFERROR(IF(Agent07_Loans!B209="","",YEAR(Agent07_Loans!D209)),"")</f>
        <v/>
      </c>
    </row>
    <row r="1400" spans="1:13" ht="18" customHeight="1" x14ac:dyDescent="0.25">
      <c r="A1400" s="37" t="str">
        <f>IF(Agent07_Loans!B210="","",Agent07_Loans!A210)</f>
        <v/>
      </c>
      <c r="B1400" s="37" t="str">
        <f>IF(Agent07_Loans!B210="","",Agent07_Loans!B210)</f>
        <v/>
      </c>
      <c r="C1400" s="37" t="str">
        <f>IF(Agent07_Loans!B210="","",Agent07_Loans!C210)</f>
        <v/>
      </c>
      <c r="D1400" s="38" t="str">
        <f>IF(Agent07_Loans!B210="","",Agent07_Loans!D210)</f>
        <v/>
      </c>
      <c r="E1400" s="40" t="str">
        <f>IF(Agent07_Loans!B210="","",Agent07_Loans!E210)</f>
        <v/>
      </c>
      <c r="F1400" s="37" t="str">
        <f>IF(Agent07_Loans!B210="","",Agent07_Loans!F210)</f>
        <v/>
      </c>
      <c r="G1400" s="37" t="str">
        <f>IF(Agent07_Loans!B210="","",Agent07_Loans!G210)</f>
        <v/>
      </c>
      <c r="H1400" s="37" t="str">
        <f>IF(Agent07_Loans!B210="","",Agent07_Loans!H210)</f>
        <v/>
      </c>
      <c r="I1400" s="40" t="str">
        <f>IF(Agent07_Loans!B210="","",Agent07_Loans!I210)</f>
        <v/>
      </c>
      <c r="J1400" s="40" t="str">
        <f>IF(Agent07_Loans!B210="","",Agent07_Loans!J210)</f>
        <v/>
      </c>
      <c r="K1400" s="37" t="str">
        <f>IF(Agent07_Loans!B210="","",Agent07_Loans!K210)</f>
        <v/>
      </c>
      <c r="L1400" s="37" t="str">
        <f>IF(Agent07_Loans!B210="","",Agent07_Loans!L210)</f>
        <v/>
      </c>
      <c r="M1400" s="37" t="str">
        <f>IFERROR(IF(Agent07_Loans!B210="","",YEAR(Agent07_Loans!D210)),"")</f>
        <v/>
      </c>
    </row>
    <row r="1401" spans="1:13" ht="18" customHeight="1" x14ac:dyDescent="0.25">
      <c r="A1401" s="37" t="str">
        <f>IF(Agent07_Loans!B211="","",Agent07_Loans!A211)</f>
        <v/>
      </c>
      <c r="B1401" s="37" t="str">
        <f>IF(Agent07_Loans!B211="","",Agent07_Loans!B211)</f>
        <v/>
      </c>
      <c r="C1401" s="37" t="str">
        <f>IF(Agent07_Loans!B211="","",Agent07_Loans!C211)</f>
        <v/>
      </c>
      <c r="D1401" s="38" t="str">
        <f>IF(Agent07_Loans!B211="","",Agent07_Loans!D211)</f>
        <v/>
      </c>
      <c r="E1401" s="40" t="str">
        <f>IF(Agent07_Loans!B211="","",Agent07_Loans!E211)</f>
        <v/>
      </c>
      <c r="F1401" s="37" t="str">
        <f>IF(Agent07_Loans!B211="","",Agent07_Loans!F211)</f>
        <v/>
      </c>
      <c r="G1401" s="37" t="str">
        <f>IF(Agent07_Loans!B211="","",Agent07_Loans!G211)</f>
        <v/>
      </c>
      <c r="H1401" s="37" t="str">
        <f>IF(Agent07_Loans!B211="","",Agent07_Loans!H211)</f>
        <v/>
      </c>
      <c r="I1401" s="40" t="str">
        <f>IF(Agent07_Loans!B211="","",Agent07_Loans!I211)</f>
        <v/>
      </c>
      <c r="J1401" s="40" t="str">
        <f>IF(Agent07_Loans!B211="","",Agent07_Loans!J211)</f>
        <v/>
      </c>
      <c r="K1401" s="37" t="str">
        <f>IF(Agent07_Loans!B211="","",Agent07_Loans!K211)</f>
        <v/>
      </c>
      <c r="L1401" s="37" t="str">
        <f>IF(Agent07_Loans!B211="","",Agent07_Loans!L211)</f>
        <v/>
      </c>
      <c r="M1401" s="37" t="str">
        <f>IFERROR(IF(Agent07_Loans!B211="","",YEAR(Agent07_Loans!D211)),"")</f>
        <v/>
      </c>
    </row>
    <row r="1402" spans="1:13" ht="18" customHeight="1" x14ac:dyDescent="0.25">
      <c r="A1402" s="37" t="str">
        <f>IF(Agent07_Loans!B212="","",Agent07_Loans!A212)</f>
        <v/>
      </c>
      <c r="B1402" s="37" t="str">
        <f>IF(Agent07_Loans!B212="","",Agent07_Loans!B212)</f>
        <v/>
      </c>
      <c r="C1402" s="37" t="str">
        <f>IF(Agent07_Loans!B212="","",Agent07_Loans!C212)</f>
        <v/>
      </c>
      <c r="D1402" s="38" t="str">
        <f>IF(Agent07_Loans!B212="","",Agent07_Loans!D212)</f>
        <v/>
      </c>
      <c r="E1402" s="40" t="str">
        <f>IF(Agent07_Loans!B212="","",Agent07_Loans!E212)</f>
        <v/>
      </c>
      <c r="F1402" s="37" t="str">
        <f>IF(Agent07_Loans!B212="","",Agent07_Loans!F212)</f>
        <v/>
      </c>
      <c r="G1402" s="37" t="str">
        <f>IF(Agent07_Loans!B212="","",Agent07_Loans!G212)</f>
        <v/>
      </c>
      <c r="H1402" s="37" t="str">
        <f>IF(Agent07_Loans!B212="","",Agent07_Loans!H212)</f>
        <v/>
      </c>
      <c r="I1402" s="40" t="str">
        <f>IF(Agent07_Loans!B212="","",Agent07_Loans!I212)</f>
        <v/>
      </c>
      <c r="J1402" s="40" t="str">
        <f>IF(Agent07_Loans!B212="","",Agent07_Loans!J212)</f>
        <v/>
      </c>
      <c r="K1402" s="37" t="str">
        <f>IF(Agent07_Loans!B212="","",Agent07_Loans!K212)</f>
        <v/>
      </c>
      <c r="L1402" s="37" t="str">
        <f>IF(Agent07_Loans!B212="","",Agent07_Loans!L212)</f>
        <v/>
      </c>
      <c r="M1402" s="37" t="str">
        <f>IFERROR(IF(Agent07_Loans!B212="","",YEAR(Agent07_Loans!D212)),"")</f>
        <v/>
      </c>
    </row>
    <row r="1403" spans="1:13" ht="18" customHeight="1" x14ac:dyDescent="0.25">
      <c r="A1403" s="37" t="str">
        <f>IF(Agent07_Loans!B213="","",Agent07_Loans!A213)</f>
        <v/>
      </c>
      <c r="B1403" s="37" t="str">
        <f>IF(Agent07_Loans!B213="","",Agent07_Loans!B213)</f>
        <v/>
      </c>
      <c r="C1403" s="37" t="str">
        <f>IF(Agent07_Loans!B213="","",Agent07_Loans!C213)</f>
        <v/>
      </c>
      <c r="D1403" s="38" t="str">
        <f>IF(Agent07_Loans!B213="","",Agent07_Loans!D213)</f>
        <v/>
      </c>
      <c r="E1403" s="40" t="str">
        <f>IF(Agent07_Loans!B213="","",Agent07_Loans!E213)</f>
        <v/>
      </c>
      <c r="F1403" s="37" t="str">
        <f>IF(Agent07_Loans!B213="","",Agent07_Loans!F213)</f>
        <v/>
      </c>
      <c r="G1403" s="37" t="str">
        <f>IF(Agent07_Loans!B213="","",Agent07_Loans!G213)</f>
        <v/>
      </c>
      <c r="H1403" s="37" t="str">
        <f>IF(Agent07_Loans!B213="","",Agent07_Loans!H213)</f>
        <v/>
      </c>
      <c r="I1403" s="40" t="str">
        <f>IF(Agent07_Loans!B213="","",Agent07_Loans!I213)</f>
        <v/>
      </c>
      <c r="J1403" s="40" t="str">
        <f>IF(Agent07_Loans!B213="","",Agent07_Loans!J213)</f>
        <v/>
      </c>
      <c r="K1403" s="37" t="str">
        <f>IF(Agent07_Loans!B213="","",Agent07_Loans!K213)</f>
        <v/>
      </c>
      <c r="L1403" s="37" t="str">
        <f>IF(Agent07_Loans!B213="","",Agent07_Loans!L213)</f>
        <v/>
      </c>
      <c r="M1403" s="37" t="str">
        <f>IFERROR(IF(Agent07_Loans!B213="","",YEAR(Agent07_Loans!D213)),"")</f>
        <v/>
      </c>
    </row>
    <row r="1404" spans="1:13" ht="18" customHeight="1" x14ac:dyDescent="0.25">
      <c r="A1404" s="37" t="str">
        <f>IF(Agent08_Loans!B14="","",Agent08_Loans!A14)</f>
        <v/>
      </c>
      <c r="B1404" s="37" t="str">
        <f>IF(Agent08_Loans!B14="","",Agent08_Loans!B14)</f>
        <v/>
      </c>
      <c r="C1404" s="37" t="str">
        <f>IF(Agent08_Loans!B14="","",Agent08_Loans!C14)</f>
        <v/>
      </c>
      <c r="D1404" s="38" t="str">
        <f>IF(Agent08_Loans!B14="","",Agent08_Loans!D14)</f>
        <v/>
      </c>
      <c r="E1404" s="40" t="str">
        <f>IF(Agent08_Loans!B14="","",Agent08_Loans!E14)</f>
        <v/>
      </c>
      <c r="F1404" s="37" t="str">
        <f>IF(Agent08_Loans!B14="","",Agent08_Loans!F14)</f>
        <v/>
      </c>
      <c r="G1404" s="37" t="str">
        <f>IF(Agent08_Loans!B14="","",Agent08_Loans!G14)</f>
        <v/>
      </c>
      <c r="H1404" s="37" t="str">
        <f>IF(Agent08_Loans!B14="","",Agent08_Loans!H14)</f>
        <v/>
      </c>
      <c r="I1404" s="40" t="str">
        <f>IF(Agent08_Loans!B14="","",Agent08_Loans!I14)</f>
        <v/>
      </c>
      <c r="J1404" s="40" t="str">
        <f>IF(Agent08_Loans!B14="","",Agent08_Loans!J14)</f>
        <v/>
      </c>
      <c r="K1404" s="37" t="str">
        <f>IF(Agent08_Loans!B14="","",Agent08_Loans!K14)</f>
        <v/>
      </c>
      <c r="L1404" s="37" t="str">
        <f>IF(Agent08_Loans!B14="","",Agent08_Loans!L14)</f>
        <v/>
      </c>
      <c r="M1404" s="37" t="str">
        <f>IFERROR(IF(Agent08_Loans!B14="","",YEAR(Agent08_Loans!D14)),"")</f>
        <v/>
      </c>
    </row>
    <row r="1405" spans="1:13" ht="18" customHeight="1" x14ac:dyDescent="0.25">
      <c r="A1405" s="37" t="str">
        <f>IF(Agent08_Loans!B15="","",Agent08_Loans!A15)</f>
        <v/>
      </c>
      <c r="B1405" s="37" t="str">
        <f>IF(Agent08_Loans!B15="","",Agent08_Loans!B15)</f>
        <v/>
      </c>
      <c r="C1405" s="37" t="str">
        <f>IF(Agent08_Loans!B15="","",Agent08_Loans!C15)</f>
        <v/>
      </c>
      <c r="D1405" s="38" t="str">
        <f>IF(Agent08_Loans!B15="","",Agent08_Loans!D15)</f>
        <v/>
      </c>
      <c r="E1405" s="40" t="str">
        <f>IF(Agent08_Loans!B15="","",Agent08_Loans!E15)</f>
        <v/>
      </c>
      <c r="F1405" s="37" t="str">
        <f>IF(Agent08_Loans!B15="","",Agent08_Loans!F15)</f>
        <v/>
      </c>
      <c r="G1405" s="37" t="str">
        <f>IF(Agent08_Loans!B15="","",Agent08_Loans!G15)</f>
        <v/>
      </c>
      <c r="H1405" s="37" t="str">
        <f>IF(Agent08_Loans!B15="","",Agent08_Loans!H15)</f>
        <v/>
      </c>
      <c r="I1405" s="40" t="str">
        <f>IF(Agent08_Loans!B15="","",Agent08_Loans!I15)</f>
        <v/>
      </c>
      <c r="J1405" s="40" t="str">
        <f>IF(Agent08_Loans!B15="","",Agent08_Loans!J15)</f>
        <v/>
      </c>
      <c r="K1405" s="37" t="str">
        <f>IF(Agent08_Loans!B15="","",Agent08_Loans!K15)</f>
        <v/>
      </c>
      <c r="L1405" s="37" t="str">
        <f>IF(Agent08_Loans!B15="","",Agent08_Loans!L15)</f>
        <v/>
      </c>
      <c r="M1405" s="37" t="str">
        <f>IFERROR(IF(Agent08_Loans!B15="","",YEAR(Agent08_Loans!D15)),"")</f>
        <v/>
      </c>
    </row>
    <row r="1406" spans="1:13" ht="18" customHeight="1" x14ac:dyDescent="0.25">
      <c r="A1406" s="37" t="str">
        <f>IF(Agent08_Loans!B16="","",Agent08_Loans!A16)</f>
        <v/>
      </c>
      <c r="B1406" s="37" t="str">
        <f>IF(Agent08_Loans!B16="","",Agent08_Loans!B16)</f>
        <v/>
      </c>
      <c r="C1406" s="37" t="str">
        <f>IF(Agent08_Loans!B16="","",Agent08_Loans!C16)</f>
        <v/>
      </c>
      <c r="D1406" s="38" t="str">
        <f>IF(Agent08_Loans!B16="","",Agent08_Loans!D16)</f>
        <v/>
      </c>
      <c r="E1406" s="40" t="str">
        <f>IF(Agent08_Loans!B16="","",Agent08_Loans!E16)</f>
        <v/>
      </c>
      <c r="F1406" s="37" t="str">
        <f>IF(Agent08_Loans!B16="","",Agent08_Loans!F16)</f>
        <v/>
      </c>
      <c r="G1406" s="37" t="str">
        <f>IF(Agent08_Loans!B16="","",Agent08_Loans!G16)</f>
        <v/>
      </c>
      <c r="H1406" s="37" t="str">
        <f>IF(Agent08_Loans!B16="","",Agent08_Loans!H16)</f>
        <v/>
      </c>
      <c r="I1406" s="40" t="str">
        <f>IF(Agent08_Loans!B16="","",Agent08_Loans!I16)</f>
        <v/>
      </c>
      <c r="J1406" s="40" t="str">
        <f>IF(Agent08_Loans!B16="","",Agent08_Loans!J16)</f>
        <v/>
      </c>
      <c r="K1406" s="37" t="str">
        <f>IF(Agent08_Loans!B16="","",Agent08_Loans!K16)</f>
        <v/>
      </c>
      <c r="L1406" s="37" t="str">
        <f>IF(Agent08_Loans!B16="","",Agent08_Loans!L16)</f>
        <v/>
      </c>
      <c r="M1406" s="37" t="str">
        <f>IFERROR(IF(Agent08_Loans!B16="","",YEAR(Agent08_Loans!D16)),"")</f>
        <v/>
      </c>
    </row>
    <row r="1407" spans="1:13" ht="18" customHeight="1" x14ac:dyDescent="0.25">
      <c r="A1407" s="37" t="str">
        <f>IF(Agent08_Loans!B17="","",Agent08_Loans!A17)</f>
        <v/>
      </c>
      <c r="B1407" s="37" t="str">
        <f>IF(Agent08_Loans!B17="","",Agent08_Loans!B17)</f>
        <v/>
      </c>
      <c r="C1407" s="37" t="str">
        <f>IF(Agent08_Loans!B17="","",Agent08_Loans!C17)</f>
        <v/>
      </c>
      <c r="D1407" s="38" t="str">
        <f>IF(Agent08_Loans!B17="","",Agent08_Loans!D17)</f>
        <v/>
      </c>
      <c r="E1407" s="40" t="str">
        <f>IF(Agent08_Loans!B17="","",Agent08_Loans!E17)</f>
        <v/>
      </c>
      <c r="F1407" s="37" t="str">
        <f>IF(Agent08_Loans!B17="","",Agent08_Loans!F17)</f>
        <v/>
      </c>
      <c r="G1407" s="37" t="str">
        <f>IF(Agent08_Loans!B17="","",Agent08_Loans!G17)</f>
        <v/>
      </c>
      <c r="H1407" s="37" t="str">
        <f>IF(Agent08_Loans!B17="","",Agent08_Loans!H17)</f>
        <v/>
      </c>
      <c r="I1407" s="40" t="str">
        <f>IF(Agent08_Loans!B17="","",Agent08_Loans!I17)</f>
        <v/>
      </c>
      <c r="J1407" s="40" t="str">
        <f>IF(Agent08_Loans!B17="","",Agent08_Loans!J17)</f>
        <v/>
      </c>
      <c r="K1407" s="37" t="str">
        <f>IF(Agent08_Loans!B17="","",Agent08_Loans!K17)</f>
        <v/>
      </c>
      <c r="L1407" s="37" t="str">
        <f>IF(Agent08_Loans!B17="","",Agent08_Loans!L17)</f>
        <v/>
      </c>
      <c r="M1407" s="37" t="str">
        <f>IFERROR(IF(Agent08_Loans!B17="","",YEAR(Agent08_Loans!D17)),"")</f>
        <v/>
      </c>
    </row>
    <row r="1408" spans="1:13" ht="18" customHeight="1" x14ac:dyDescent="0.25">
      <c r="A1408" s="37" t="str">
        <f>IF(Agent08_Loans!B18="","",Agent08_Loans!A18)</f>
        <v/>
      </c>
      <c r="B1408" s="37" t="str">
        <f>IF(Agent08_Loans!B18="","",Agent08_Loans!B18)</f>
        <v/>
      </c>
      <c r="C1408" s="37" t="str">
        <f>IF(Agent08_Loans!B18="","",Agent08_Loans!C18)</f>
        <v/>
      </c>
      <c r="D1408" s="38" t="str">
        <f>IF(Agent08_Loans!B18="","",Agent08_Loans!D18)</f>
        <v/>
      </c>
      <c r="E1408" s="40" t="str">
        <f>IF(Agent08_Loans!B18="","",Agent08_Loans!E18)</f>
        <v/>
      </c>
      <c r="F1408" s="37" t="str">
        <f>IF(Agent08_Loans!B18="","",Agent08_Loans!F18)</f>
        <v/>
      </c>
      <c r="G1408" s="37" t="str">
        <f>IF(Agent08_Loans!B18="","",Agent08_Loans!G18)</f>
        <v/>
      </c>
      <c r="H1408" s="37" t="str">
        <f>IF(Agent08_Loans!B18="","",Agent08_Loans!H18)</f>
        <v/>
      </c>
      <c r="I1408" s="40" t="str">
        <f>IF(Agent08_Loans!B18="","",Agent08_Loans!I18)</f>
        <v/>
      </c>
      <c r="J1408" s="40" t="str">
        <f>IF(Agent08_Loans!B18="","",Agent08_Loans!J18)</f>
        <v/>
      </c>
      <c r="K1408" s="37" t="str">
        <f>IF(Agent08_Loans!B18="","",Agent08_Loans!K18)</f>
        <v/>
      </c>
      <c r="L1408" s="37" t="str">
        <f>IF(Agent08_Loans!B18="","",Agent08_Loans!L18)</f>
        <v/>
      </c>
      <c r="M1408" s="37" t="str">
        <f>IFERROR(IF(Agent08_Loans!B18="","",YEAR(Agent08_Loans!D18)),"")</f>
        <v/>
      </c>
    </row>
    <row r="1409" spans="1:13" ht="18" customHeight="1" x14ac:dyDescent="0.25">
      <c r="A1409" s="37" t="str">
        <f>IF(Agent08_Loans!B19="","",Agent08_Loans!A19)</f>
        <v/>
      </c>
      <c r="B1409" s="37" t="str">
        <f>IF(Agent08_Loans!B19="","",Agent08_Loans!B19)</f>
        <v/>
      </c>
      <c r="C1409" s="37" t="str">
        <f>IF(Agent08_Loans!B19="","",Agent08_Loans!C19)</f>
        <v/>
      </c>
      <c r="D1409" s="38" t="str">
        <f>IF(Agent08_Loans!B19="","",Agent08_Loans!D19)</f>
        <v/>
      </c>
      <c r="E1409" s="40" t="str">
        <f>IF(Agent08_Loans!B19="","",Agent08_Loans!E19)</f>
        <v/>
      </c>
      <c r="F1409" s="37" t="str">
        <f>IF(Agent08_Loans!B19="","",Agent08_Loans!F19)</f>
        <v/>
      </c>
      <c r="G1409" s="37" t="str">
        <f>IF(Agent08_Loans!B19="","",Agent08_Loans!G19)</f>
        <v/>
      </c>
      <c r="H1409" s="37" t="str">
        <f>IF(Agent08_Loans!B19="","",Agent08_Loans!H19)</f>
        <v/>
      </c>
      <c r="I1409" s="40" t="str">
        <f>IF(Agent08_Loans!B19="","",Agent08_Loans!I19)</f>
        <v/>
      </c>
      <c r="J1409" s="40" t="str">
        <f>IF(Agent08_Loans!B19="","",Agent08_Loans!J19)</f>
        <v/>
      </c>
      <c r="K1409" s="37" t="str">
        <f>IF(Agent08_Loans!B19="","",Agent08_Loans!K19)</f>
        <v/>
      </c>
      <c r="L1409" s="37" t="str">
        <f>IF(Agent08_Loans!B19="","",Agent08_Loans!L19)</f>
        <v/>
      </c>
      <c r="M1409" s="37" t="str">
        <f>IFERROR(IF(Agent08_Loans!B19="","",YEAR(Agent08_Loans!D19)),"")</f>
        <v/>
      </c>
    </row>
    <row r="1410" spans="1:13" ht="18" customHeight="1" x14ac:dyDescent="0.25">
      <c r="A1410" s="37" t="str">
        <f>IF(Agent08_Loans!B20="","",Agent08_Loans!A20)</f>
        <v/>
      </c>
      <c r="B1410" s="37" t="str">
        <f>IF(Agent08_Loans!B20="","",Agent08_Loans!B20)</f>
        <v/>
      </c>
      <c r="C1410" s="37" t="str">
        <f>IF(Agent08_Loans!B20="","",Agent08_Loans!C20)</f>
        <v/>
      </c>
      <c r="D1410" s="38" t="str">
        <f>IF(Agent08_Loans!B20="","",Agent08_Loans!D20)</f>
        <v/>
      </c>
      <c r="E1410" s="40" t="str">
        <f>IF(Agent08_Loans!B20="","",Agent08_Loans!E20)</f>
        <v/>
      </c>
      <c r="F1410" s="37" t="str">
        <f>IF(Agent08_Loans!B20="","",Agent08_Loans!F20)</f>
        <v/>
      </c>
      <c r="G1410" s="37" t="str">
        <f>IF(Agent08_Loans!B20="","",Agent08_Loans!G20)</f>
        <v/>
      </c>
      <c r="H1410" s="37" t="str">
        <f>IF(Agent08_Loans!B20="","",Agent08_Loans!H20)</f>
        <v/>
      </c>
      <c r="I1410" s="40" t="str">
        <f>IF(Agent08_Loans!B20="","",Agent08_Loans!I20)</f>
        <v/>
      </c>
      <c r="J1410" s="40" t="str">
        <f>IF(Agent08_Loans!B20="","",Agent08_Loans!J20)</f>
        <v/>
      </c>
      <c r="K1410" s="37" t="str">
        <f>IF(Agent08_Loans!B20="","",Agent08_Loans!K20)</f>
        <v/>
      </c>
      <c r="L1410" s="37" t="str">
        <f>IF(Agent08_Loans!B20="","",Agent08_Loans!L20)</f>
        <v/>
      </c>
      <c r="M1410" s="37" t="str">
        <f>IFERROR(IF(Agent08_Loans!B20="","",YEAR(Agent08_Loans!D20)),"")</f>
        <v/>
      </c>
    </row>
    <row r="1411" spans="1:13" ht="18" customHeight="1" x14ac:dyDescent="0.25">
      <c r="A1411" s="37" t="str">
        <f>IF(Agent08_Loans!B21="","",Agent08_Loans!A21)</f>
        <v/>
      </c>
      <c r="B1411" s="37" t="str">
        <f>IF(Agent08_Loans!B21="","",Agent08_Loans!B21)</f>
        <v/>
      </c>
      <c r="C1411" s="37" t="str">
        <f>IF(Agent08_Loans!B21="","",Agent08_Loans!C21)</f>
        <v/>
      </c>
      <c r="D1411" s="38" t="str">
        <f>IF(Agent08_Loans!B21="","",Agent08_Loans!D21)</f>
        <v/>
      </c>
      <c r="E1411" s="40" t="str">
        <f>IF(Agent08_Loans!B21="","",Agent08_Loans!E21)</f>
        <v/>
      </c>
      <c r="F1411" s="37" t="str">
        <f>IF(Agent08_Loans!B21="","",Agent08_Loans!F21)</f>
        <v/>
      </c>
      <c r="G1411" s="37" t="str">
        <f>IF(Agent08_Loans!B21="","",Agent08_Loans!G21)</f>
        <v/>
      </c>
      <c r="H1411" s="37" t="str">
        <f>IF(Agent08_Loans!B21="","",Agent08_Loans!H21)</f>
        <v/>
      </c>
      <c r="I1411" s="40" t="str">
        <f>IF(Agent08_Loans!B21="","",Agent08_Loans!I21)</f>
        <v/>
      </c>
      <c r="J1411" s="40" t="str">
        <f>IF(Agent08_Loans!B21="","",Agent08_Loans!J21)</f>
        <v/>
      </c>
      <c r="K1411" s="37" t="str">
        <f>IF(Agent08_Loans!B21="","",Agent08_Loans!K21)</f>
        <v/>
      </c>
      <c r="L1411" s="37" t="str">
        <f>IF(Agent08_Loans!B21="","",Agent08_Loans!L21)</f>
        <v/>
      </c>
      <c r="M1411" s="37" t="str">
        <f>IFERROR(IF(Agent08_Loans!B21="","",YEAR(Agent08_Loans!D21)),"")</f>
        <v/>
      </c>
    </row>
    <row r="1412" spans="1:13" ht="18" customHeight="1" x14ac:dyDescent="0.25">
      <c r="A1412" s="37" t="str">
        <f>IF(Agent08_Loans!B22="","",Agent08_Loans!A22)</f>
        <v/>
      </c>
      <c r="B1412" s="37" t="str">
        <f>IF(Agent08_Loans!B22="","",Agent08_Loans!B22)</f>
        <v/>
      </c>
      <c r="C1412" s="37" t="str">
        <f>IF(Agent08_Loans!B22="","",Agent08_Loans!C22)</f>
        <v/>
      </c>
      <c r="D1412" s="38" t="str">
        <f>IF(Agent08_Loans!B22="","",Agent08_Loans!D22)</f>
        <v/>
      </c>
      <c r="E1412" s="40" t="str">
        <f>IF(Agent08_Loans!B22="","",Agent08_Loans!E22)</f>
        <v/>
      </c>
      <c r="F1412" s="37" t="str">
        <f>IF(Agent08_Loans!B22="","",Agent08_Loans!F22)</f>
        <v/>
      </c>
      <c r="G1412" s="37" t="str">
        <f>IF(Agent08_Loans!B22="","",Agent08_Loans!G22)</f>
        <v/>
      </c>
      <c r="H1412" s="37" t="str">
        <f>IF(Agent08_Loans!B22="","",Agent08_Loans!H22)</f>
        <v/>
      </c>
      <c r="I1412" s="40" t="str">
        <f>IF(Agent08_Loans!B22="","",Agent08_Loans!I22)</f>
        <v/>
      </c>
      <c r="J1412" s="40" t="str">
        <f>IF(Agent08_Loans!B22="","",Agent08_Loans!J22)</f>
        <v/>
      </c>
      <c r="K1412" s="37" t="str">
        <f>IF(Agent08_Loans!B22="","",Agent08_Loans!K22)</f>
        <v/>
      </c>
      <c r="L1412" s="37" t="str">
        <f>IF(Agent08_Loans!B22="","",Agent08_Loans!L22)</f>
        <v/>
      </c>
      <c r="M1412" s="37" t="str">
        <f>IFERROR(IF(Agent08_Loans!B22="","",YEAR(Agent08_Loans!D22)),"")</f>
        <v/>
      </c>
    </row>
    <row r="1413" spans="1:13" ht="18" customHeight="1" x14ac:dyDescent="0.25">
      <c r="A1413" s="37" t="str">
        <f>IF(Agent08_Loans!B23="","",Agent08_Loans!A23)</f>
        <v/>
      </c>
      <c r="B1413" s="37" t="str">
        <f>IF(Agent08_Loans!B23="","",Agent08_Loans!B23)</f>
        <v/>
      </c>
      <c r="C1413" s="37" t="str">
        <f>IF(Agent08_Loans!B23="","",Agent08_Loans!C23)</f>
        <v/>
      </c>
      <c r="D1413" s="38" t="str">
        <f>IF(Agent08_Loans!B23="","",Agent08_Loans!D23)</f>
        <v/>
      </c>
      <c r="E1413" s="40" t="str">
        <f>IF(Agent08_Loans!B23="","",Agent08_Loans!E23)</f>
        <v/>
      </c>
      <c r="F1413" s="37" t="str">
        <f>IF(Agent08_Loans!B23="","",Agent08_Loans!F23)</f>
        <v/>
      </c>
      <c r="G1413" s="37" t="str">
        <f>IF(Agent08_Loans!B23="","",Agent08_Loans!G23)</f>
        <v/>
      </c>
      <c r="H1413" s="37" t="str">
        <f>IF(Agent08_Loans!B23="","",Agent08_Loans!H23)</f>
        <v/>
      </c>
      <c r="I1413" s="40" t="str">
        <f>IF(Agent08_Loans!B23="","",Agent08_Loans!I23)</f>
        <v/>
      </c>
      <c r="J1413" s="40" t="str">
        <f>IF(Agent08_Loans!B23="","",Agent08_Loans!J23)</f>
        <v/>
      </c>
      <c r="K1413" s="37" t="str">
        <f>IF(Agent08_Loans!B23="","",Agent08_Loans!K23)</f>
        <v/>
      </c>
      <c r="L1413" s="37" t="str">
        <f>IF(Agent08_Loans!B23="","",Agent08_Loans!L23)</f>
        <v/>
      </c>
      <c r="M1413" s="37" t="str">
        <f>IFERROR(IF(Agent08_Loans!B23="","",YEAR(Agent08_Loans!D23)),"")</f>
        <v/>
      </c>
    </row>
    <row r="1414" spans="1:13" ht="18" customHeight="1" x14ac:dyDescent="0.25">
      <c r="A1414" s="37" t="str">
        <f>IF(Agent08_Loans!B24="","",Agent08_Loans!A24)</f>
        <v/>
      </c>
      <c r="B1414" s="37" t="str">
        <f>IF(Agent08_Loans!B24="","",Agent08_Loans!B24)</f>
        <v/>
      </c>
      <c r="C1414" s="37" t="str">
        <f>IF(Agent08_Loans!B24="","",Agent08_Loans!C24)</f>
        <v/>
      </c>
      <c r="D1414" s="38" t="str">
        <f>IF(Agent08_Loans!B24="","",Agent08_Loans!D24)</f>
        <v/>
      </c>
      <c r="E1414" s="40" t="str">
        <f>IF(Agent08_Loans!B24="","",Agent08_Loans!E24)</f>
        <v/>
      </c>
      <c r="F1414" s="37" t="str">
        <f>IF(Agent08_Loans!B24="","",Agent08_Loans!F24)</f>
        <v/>
      </c>
      <c r="G1414" s="37" t="str">
        <f>IF(Agent08_Loans!B24="","",Agent08_Loans!G24)</f>
        <v/>
      </c>
      <c r="H1414" s="37" t="str">
        <f>IF(Agent08_Loans!B24="","",Agent08_Loans!H24)</f>
        <v/>
      </c>
      <c r="I1414" s="40" t="str">
        <f>IF(Agent08_Loans!B24="","",Agent08_Loans!I24)</f>
        <v/>
      </c>
      <c r="J1414" s="40" t="str">
        <f>IF(Agent08_Loans!B24="","",Agent08_Loans!J24)</f>
        <v/>
      </c>
      <c r="K1414" s="37" t="str">
        <f>IF(Agent08_Loans!B24="","",Agent08_Loans!K24)</f>
        <v/>
      </c>
      <c r="L1414" s="37" t="str">
        <f>IF(Agent08_Loans!B24="","",Agent08_Loans!L24)</f>
        <v/>
      </c>
      <c r="M1414" s="37" t="str">
        <f>IFERROR(IF(Agent08_Loans!B24="","",YEAR(Agent08_Loans!D24)),"")</f>
        <v/>
      </c>
    </row>
    <row r="1415" spans="1:13" ht="18" customHeight="1" x14ac:dyDescent="0.25">
      <c r="A1415" s="37" t="str">
        <f>IF(Agent08_Loans!B25="","",Agent08_Loans!A25)</f>
        <v/>
      </c>
      <c r="B1415" s="37" t="str">
        <f>IF(Agent08_Loans!B25="","",Agent08_Loans!B25)</f>
        <v/>
      </c>
      <c r="C1415" s="37" t="str">
        <f>IF(Agent08_Loans!B25="","",Agent08_Loans!C25)</f>
        <v/>
      </c>
      <c r="D1415" s="38" t="str">
        <f>IF(Agent08_Loans!B25="","",Agent08_Loans!D25)</f>
        <v/>
      </c>
      <c r="E1415" s="40" t="str">
        <f>IF(Agent08_Loans!B25="","",Agent08_Loans!E25)</f>
        <v/>
      </c>
      <c r="F1415" s="37" t="str">
        <f>IF(Agent08_Loans!B25="","",Agent08_Loans!F25)</f>
        <v/>
      </c>
      <c r="G1415" s="37" t="str">
        <f>IF(Agent08_Loans!B25="","",Agent08_Loans!G25)</f>
        <v/>
      </c>
      <c r="H1415" s="37" t="str">
        <f>IF(Agent08_Loans!B25="","",Agent08_Loans!H25)</f>
        <v/>
      </c>
      <c r="I1415" s="40" t="str">
        <f>IF(Agent08_Loans!B25="","",Agent08_Loans!I25)</f>
        <v/>
      </c>
      <c r="J1415" s="40" t="str">
        <f>IF(Agent08_Loans!B25="","",Agent08_Loans!J25)</f>
        <v/>
      </c>
      <c r="K1415" s="37" t="str">
        <f>IF(Agent08_Loans!B25="","",Agent08_Loans!K25)</f>
        <v/>
      </c>
      <c r="L1415" s="37" t="str">
        <f>IF(Agent08_Loans!B25="","",Agent08_Loans!L25)</f>
        <v/>
      </c>
      <c r="M1415" s="37" t="str">
        <f>IFERROR(IF(Agent08_Loans!B25="","",YEAR(Agent08_Loans!D25)),"")</f>
        <v/>
      </c>
    </row>
    <row r="1416" spans="1:13" ht="18" customHeight="1" x14ac:dyDescent="0.25">
      <c r="A1416" s="37" t="str">
        <f>IF(Agent08_Loans!B26="","",Agent08_Loans!A26)</f>
        <v/>
      </c>
      <c r="B1416" s="37" t="str">
        <f>IF(Agent08_Loans!B26="","",Agent08_Loans!B26)</f>
        <v/>
      </c>
      <c r="C1416" s="37" t="str">
        <f>IF(Agent08_Loans!B26="","",Agent08_Loans!C26)</f>
        <v/>
      </c>
      <c r="D1416" s="38" t="str">
        <f>IF(Agent08_Loans!B26="","",Agent08_Loans!D26)</f>
        <v/>
      </c>
      <c r="E1416" s="40" t="str">
        <f>IF(Agent08_Loans!B26="","",Agent08_Loans!E26)</f>
        <v/>
      </c>
      <c r="F1416" s="37" t="str">
        <f>IF(Agent08_Loans!B26="","",Agent08_Loans!F26)</f>
        <v/>
      </c>
      <c r="G1416" s="37" t="str">
        <f>IF(Agent08_Loans!B26="","",Agent08_Loans!G26)</f>
        <v/>
      </c>
      <c r="H1416" s="37" t="str">
        <f>IF(Agent08_Loans!B26="","",Agent08_Loans!H26)</f>
        <v/>
      </c>
      <c r="I1416" s="40" t="str">
        <f>IF(Agent08_Loans!B26="","",Agent08_Loans!I26)</f>
        <v/>
      </c>
      <c r="J1416" s="40" t="str">
        <f>IF(Agent08_Loans!B26="","",Agent08_Loans!J26)</f>
        <v/>
      </c>
      <c r="K1416" s="37" t="str">
        <f>IF(Agent08_Loans!B26="","",Agent08_Loans!K26)</f>
        <v/>
      </c>
      <c r="L1416" s="37" t="str">
        <f>IF(Agent08_Loans!B26="","",Agent08_Loans!L26)</f>
        <v/>
      </c>
      <c r="M1416" s="37" t="str">
        <f>IFERROR(IF(Agent08_Loans!B26="","",YEAR(Agent08_Loans!D26)),"")</f>
        <v/>
      </c>
    </row>
    <row r="1417" spans="1:13" ht="18" customHeight="1" x14ac:dyDescent="0.25">
      <c r="A1417" s="37" t="str">
        <f>IF(Agent08_Loans!B27="","",Agent08_Loans!A27)</f>
        <v/>
      </c>
      <c r="B1417" s="37" t="str">
        <f>IF(Agent08_Loans!B27="","",Agent08_Loans!B27)</f>
        <v/>
      </c>
      <c r="C1417" s="37" t="str">
        <f>IF(Agent08_Loans!B27="","",Agent08_Loans!C27)</f>
        <v/>
      </c>
      <c r="D1417" s="38" t="str">
        <f>IF(Agent08_Loans!B27="","",Agent08_Loans!D27)</f>
        <v/>
      </c>
      <c r="E1417" s="40" t="str">
        <f>IF(Agent08_Loans!B27="","",Agent08_Loans!E27)</f>
        <v/>
      </c>
      <c r="F1417" s="37" t="str">
        <f>IF(Agent08_Loans!B27="","",Agent08_Loans!F27)</f>
        <v/>
      </c>
      <c r="G1417" s="37" t="str">
        <f>IF(Agent08_Loans!B27="","",Agent08_Loans!G27)</f>
        <v/>
      </c>
      <c r="H1417" s="37" t="str">
        <f>IF(Agent08_Loans!B27="","",Agent08_Loans!H27)</f>
        <v/>
      </c>
      <c r="I1417" s="40" t="str">
        <f>IF(Agent08_Loans!B27="","",Agent08_Loans!I27)</f>
        <v/>
      </c>
      <c r="J1417" s="40" t="str">
        <f>IF(Agent08_Loans!B27="","",Agent08_Loans!J27)</f>
        <v/>
      </c>
      <c r="K1417" s="37" t="str">
        <f>IF(Agent08_Loans!B27="","",Agent08_Loans!K27)</f>
        <v/>
      </c>
      <c r="L1417" s="37" t="str">
        <f>IF(Agent08_Loans!B27="","",Agent08_Loans!L27)</f>
        <v/>
      </c>
      <c r="M1417" s="37" t="str">
        <f>IFERROR(IF(Agent08_Loans!B27="","",YEAR(Agent08_Loans!D27)),"")</f>
        <v/>
      </c>
    </row>
    <row r="1418" spans="1:13" ht="18" customHeight="1" x14ac:dyDescent="0.25">
      <c r="A1418" s="37" t="str">
        <f>IF(Agent08_Loans!B28="","",Agent08_Loans!A28)</f>
        <v/>
      </c>
      <c r="B1418" s="37" t="str">
        <f>IF(Agent08_Loans!B28="","",Agent08_Loans!B28)</f>
        <v/>
      </c>
      <c r="C1418" s="37" t="str">
        <f>IF(Agent08_Loans!B28="","",Agent08_Loans!C28)</f>
        <v/>
      </c>
      <c r="D1418" s="38" t="str">
        <f>IF(Agent08_Loans!B28="","",Agent08_Loans!D28)</f>
        <v/>
      </c>
      <c r="E1418" s="40" t="str">
        <f>IF(Agent08_Loans!B28="","",Agent08_Loans!E28)</f>
        <v/>
      </c>
      <c r="F1418" s="37" t="str">
        <f>IF(Agent08_Loans!B28="","",Agent08_Loans!F28)</f>
        <v/>
      </c>
      <c r="G1418" s="37" t="str">
        <f>IF(Agent08_Loans!B28="","",Agent08_Loans!G28)</f>
        <v/>
      </c>
      <c r="H1418" s="37" t="str">
        <f>IF(Agent08_Loans!B28="","",Agent08_Loans!H28)</f>
        <v/>
      </c>
      <c r="I1418" s="40" t="str">
        <f>IF(Agent08_Loans!B28="","",Agent08_Loans!I28)</f>
        <v/>
      </c>
      <c r="J1418" s="40" t="str">
        <f>IF(Agent08_Loans!B28="","",Agent08_Loans!J28)</f>
        <v/>
      </c>
      <c r="K1418" s="37" t="str">
        <f>IF(Agent08_Loans!B28="","",Agent08_Loans!K28)</f>
        <v/>
      </c>
      <c r="L1418" s="37" t="str">
        <f>IF(Agent08_Loans!B28="","",Agent08_Loans!L28)</f>
        <v/>
      </c>
      <c r="M1418" s="37" t="str">
        <f>IFERROR(IF(Agent08_Loans!B28="","",YEAR(Agent08_Loans!D28)),"")</f>
        <v/>
      </c>
    </row>
    <row r="1419" spans="1:13" ht="18" customHeight="1" x14ac:dyDescent="0.25">
      <c r="A1419" s="37" t="str">
        <f>IF(Agent08_Loans!B29="","",Agent08_Loans!A29)</f>
        <v/>
      </c>
      <c r="B1419" s="37" t="str">
        <f>IF(Agent08_Loans!B29="","",Agent08_Loans!B29)</f>
        <v/>
      </c>
      <c r="C1419" s="37" t="str">
        <f>IF(Agent08_Loans!B29="","",Agent08_Loans!C29)</f>
        <v/>
      </c>
      <c r="D1419" s="38" t="str">
        <f>IF(Agent08_Loans!B29="","",Agent08_Loans!D29)</f>
        <v/>
      </c>
      <c r="E1419" s="40" t="str">
        <f>IF(Agent08_Loans!B29="","",Agent08_Loans!E29)</f>
        <v/>
      </c>
      <c r="F1419" s="37" t="str">
        <f>IF(Agent08_Loans!B29="","",Agent08_Loans!F29)</f>
        <v/>
      </c>
      <c r="G1419" s="37" t="str">
        <f>IF(Agent08_Loans!B29="","",Agent08_Loans!G29)</f>
        <v/>
      </c>
      <c r="H1419" s="37" t="str">
        <f>IF(Agent08_Loans!B29="","",Agent08_Loans!H29)</f>
        <v/>
      </c>
      <c r="I1419" s="40" t="str">
        <f>IF(Agent08_Loans!B29="","",Agent08_Loans!I29)</f>
        <v/>
      </c>
      <c r="J1419" s="40" t="str">
        <f>IF(Agent08_Loans!B29="","",Agent08_Loans!J29)</f>
        <v/>
      </c>
      <c r="K1419" s="37" t="str">
        <f>IF(Agent08_Loans!B29="","",Agent08_Loans!K29)</f>
        <v/>
      </c>
      <c r="L1419" s="37" t="str">
        <f>IF(Agent08_Loans!B29="","",Agent08_Loans!L29)</f>
        <v/>
      </c>
      <c r="M1419" s="37" t="str">
        <f>IFERROR(IF(Agent08_Loans!B29="","",YEAR(Agent08_Loans!D29)),"")</f>
        <v/>
      </c>
    </row>
    <row r="1420" spans="1:13" ht="18" customHeight="1" x14ac:dyDescent="0.25">
      <c r="A1420" s="37" t="str">
        <f>IF(Agent08_Loans!B30="","",Agent08_Loans!A30)</f>
        <v/>
      </c>
      <c r="B1420" s="37" t="str">
        <f>IF(Agent08_Loans!B30="","",Agent08_Loans!B30)</f>
        <v/>
      </c>
      <c r="C1420" s="37" t="str">
        <f>IF(Agent08_Loans!B30="","",Agent08_Loans!C30)</f>
        <v/>
      </c>
      <c r="D1420" s="38" t="str">
        <f>IF(Agent08_Loans!B30="","",Agent08_Loans!D30)</f>
        <v/>
      </c>
      <c r="E1420" s="40" t="str">
        <f>IF(Agent08_Loans!B30="","",Agent08_Loans!E30)</f>
        <v/>
      </c>
      <c r="F1420" s="37" t="str">
        <f>IF(Agent08_Loans!B30="","",Agent08_Loans!F30)</f>
        <v/>
      </c>
      <c r="G1420" s="37" t="str">
        <f>IF(Agent08_Loans!B30="","",Agent08_Loans!G30)</f>
        <v/>
      </c>
      <c r="H1420" s="37" t="str">
        <f>IF(Agent08_Loans!B30="","",Agent08_Loans!H30)</f>
        <v/>
      </c>
      <c r="I1420" s="40" t="str">
        <f>IF(Agent08_Loans!B30="","",Agent08_Loans!I30)</f>
        <v/>
      </c>
      <c r="J1420" s="40" t="str">
        <f>IF(Agent08_Loans!B30="","",Agent08_Loans!J30)</f>
        <v/>
      </c>
      <c r="K1420" s="37" t="str">
        <f>IF(Agent08_Loans!B30="","",Agent08_Loans!K30)</f>
        <v/>
      </c>
      <c r="L1420" s="37" t="str">
        <f>IF(Agent08_Loans!B30="","",Agent08_Loans!L30)</f>
        <v/>
      </c>
      <c r="M1420" s="37" t="str">
        <f>IFERROR(IF(Agent08_Loans!B30="","",YEAR(Agent08_Loans!D30)),"")</f>
        <v/>
      </c>
    </row>
    <row r="1421" spans="1:13" ht="18" customHeight="1" x14ac:dyDescent="0.25">
      <c r="A1421" s="37" t="str">
        <f>IF(Agent08_Loans!B31="","",Agent08_Loans!A31)</f>
        <v/>
      </c>
      <c r="B1421" s="37" t="str">
        <f>IF(Agent08_Loans!B31="","",Agent08_Loans!B31)</f>
        <v/>
      </c>
      <c r="C1421" s="37" t="str">
        <f>IF(Agent08_Loans!B31="","",Agent08_Loans!C31)</f>
        <v/>
      </c>
      <c r="D1421" s="38" t="str">
        <f>IF(Agent08_Loans!B31="","",Agent08_Loans!D31)</f>
        <v/>
      </c>
      <c r="E1421" s="40" t="str">
        <f>IF(Agent08_Loans!B31="","",Agent08_Loans!E31)</f>
        <v/>
      </c>
      <c r="F1421" s="37" t="str">
        <f>IF(Agent08_Loans!B31="","",Agent08_Loans!F31)</f>
        <v/>
      </c>
      <c r="G1421" s="37" t="str">
        <f>IF(Agent08_Loans!B31="","",Agent08_Loans!G31)</f>
        <v/>
      </c>
      <c r="H1421" s="37" t="str">
        <f>IF(Agent08_Loans!B31="","",Agent08_Loans!H31)</f>
        <v/>
      </c>
      <c r="I1421" s="40" t="str">
        <f>IF(Agent08_Loans!B31="","",Agent08_Loans!I31)</f>
        <v/>
      </c>
      <c r="J1421" s="40" t="str">
        <f>IF(Agent08_Loans!B31="","",Agent08_Loans!J31)</f>
        <v/>
      </c>
      <c r="K1421" s="37" t="str">
        <f>IF(Agent08_Loans!B31="","",Agent08_Loans!K31)</f>
        <v/>
      </c>
      <c r="L1421" s="37" t="str">
        <f>IF(Agent08_Loans!B31="","",Agent08_Loans!L31)</f>
        <v/>
      </c>
      <c r="M1421" s="37" t="str">
        <f>IFERROR(IF(Agent08_Loans!B31="","",YEAR(Agent08_Loans!D31)),"")</f>
        <v/>
      </c>
    </row>
    <row r="1422" spans="1:13" ht="18" customHeight="1" x14ac:dyDescent="0.25">
      <c r="A1422" s="37" t="str">
        <f>IF(Agent08_Loans!B32="","",Agent08_Loans!A32)</f>
        <v/>
      </c>
      <c r="B1422" s="37" t="str">
        <f>IF(Agent08_Loans!B32="","",Agent08_Loans!B32)</f>
        <v/>
      </c>
      <c r="C1422" s="37" t="str">
        <f>IF(Agent08_Loans!B32="","",Agent08_Loans!C32)</f>
        <v/>
      </c>
      <c r="D1422" s="38" t="str">
        <f>IF(Agent08_Loans!B32="","",Agent08_Loans!D32)</f>
        <v/>
      </c>
      <c r="E1422" s="40" t="str">
        <f>IF(Agent08_Loans!B32="","",Agent08_Loans!E32)</f>
        <v/>
      </c>
      <c r="F1422" s="37" t="str">
        <f>IF(Agent08_Loans!B32="","",Agent08_Loans!F32)</f>
        <v/>
      </c>
      <c r="G1422" s="37" t="str">
        <f>IF(Agent08_Loans!B32="","",Agent08_Loans!G32)</f>
        <v/>
      </c>
      <c r="H1422" s="37" t="str">
        <f>IF(Agent08_Loans!B32="","",Agent08_Loans!H32)</f>
        <v/>
      </c>
      <c r="I1422" s="40" t="str">
        <f>IF(Agent08_Loans!B32="","",Agent08_Loans!I32)</f>
        <v/>
      </c>
      <c r="J1422" s="40" t="str">
        <f>IF(Agent08_Loans!B32="","",Agent08_Loans!J32)</f>
        <v/>
      </c>
      <c r="K1422" s="37" t="str">
        <f>IF(Agent08_Loans!B32="","",Agent08_Loans!K32)</f>
        <v/>
      </c>
      <c r="L1422" s="37" t="str">
        <f>IF(Agent08_Loans!B32="","",Agent08_Loans!L32)</f>
        <v/>
      </c>
      <c r="M1422" s="37" t="str">
        <f>IFERROR(IF(Agent08_Loans!B32="","",YEAR(Agent08_Loans!D32)),"")</f>
        <v/>
      </c>
    </row>
    <row r="1423" spans="1:13" ht="18" customHeight="1" x14ac:dyDescent="0.25">
      <c r="A1423" s="37" t="str">
        <f>IF(Agent08_Loans!B33="","",Agent08_Loans!A33)</f>
        <v/>
      </c>
      <c r="B1423" s="37" t="str">
        <f>IF(Agent08_Loans!B33="","",Agent08_Loans!B33)</f>
        <v/>
      </c>
      <c r="C1423" s="37" t="str">
        <f>IF(Agent08_Loans!B33="","",Agent08_Loans!C33)</f>
        <v/>
      </c>
      <c r="D1423" s="38" t="str">
        <f>IF(Agent08_Loans!B33="","",Agent08_Loans!D33)</f>
        <v/>
      </c>
      <c r="E1423" s="40" t="str">
        <f>IF(Agent08_Loans!B33="","",Agent08_Loans!E33)</f>
        <v/>
      </c>
      <c r="F1423" s="37" t="str">
        <f>IF(Agent08_Loans!B33="","",Agent08_Loans!F33)</f>
        <v/>
      </c>
      <c r="G1423" s="37" t="str">
        <f>IF(Agent08_Loans!B33="","",Agent08_Loans!G33)</f>
        <v/>
      </c>
      <c r="H1423" s="37" t="str">
        <f>IF(Agent08_Loans!B33="","",Agent08_Loans!H33)</f>
        <v/>
      </c>
      <c r="I1423" s="40" t="str">
        <f>IF(Agent08_Loans!B33="","",Agent08_Loans!I33)</f>
        <v/>
      </c>
      <c r="J1423" s="40" t="str">
        <f>IF(Agent08_Loans!B33="","",Agent08_Loans!J33)</f>
        <v/>
      </c>
      <c r="K1423" s="37" t="str">
        <f>IF(Agent08_Loans!B33="","",Agent08_Loans!K33)</f>
        <v/>
      </c>
      <c r="L1423" s="37" t="str">
        <f>IF(Agent08_Loans!B33="","",Agent08_Loans!L33)</f>
        <v/>
      </c>
      <c r="M1423" s="37" t="str">
        <f>IFERROR(IF(Agent08_Loans!B33="","",YEAR(Agent08_Loans!D33)),"")</f>
        <v/>
      </c>
    </row>
    <row r="1424" spans="1:13" ht="18" customHeight="1" x14ac:dyDescent="0.25">
      <c r="A1424" s="37" t="str">
        <f>IF(Agent08_Loans!B34="","",Agent08_Loans!A34)</f>
        <v/>
      </c>
      <c r="B1424" s="37" t="str">
        <f>IF(Agent08_Loans!B34="","",Agent08_Loans!B34)</f>
        <v/>
      </c>
      <c r="C1424" s="37" t="str">
        <f>IF(Agent08_Loans!B34="","",Agent08_Loans!C34)</f>
        <v/>
      </c>
      <c r="D1424" s="38" t="str">
        <f>IF(Agent08_Loans!B34="","",Agent08_Loans!D34)</f>
        <v/>
      </c>
      <c r="E1424" s="40" t="str">
        <f>IF(Agent08_Loans!B34="","",Agent08_Loans!E34)</f>
        <v/>
      </c>
      <c r="F1424" s="37" t="str">
        <f>IF(Agent08_Loans!B34="","",Agent08_Loans!F34)</f>
        <v/>
      </c>
      <c r="G1424" s="37" t="str">
        <f>IF(Agent08_Loans!B34="","",Agent08_Loans!G34)</f>
        <v/>
      </c>
      <c r="H1424" s="37" t="str">
        <f>IF(Agent08_Loans!B34="","",Agent08_Loans!H34)</f>
        <v/>
      </c>
      <c r="I1424" s="40" t="str">
        <f>IF(Agent08_Loans!B34="","",Agent08_Loans!I34)</f>
        <v/>
      </c>
      <c r="J1424" s="40" t="str">
        <f>IF(Agent08_Loans!B34="","",Agent08_Loans!J34)</f>
        <v/>
      </c>
      <c r="K1424" s="37" t="str">
        <f>IF(Agent08_Loans!B34="","",Agent08_Loans!K34)</f>
        <v/>
      </c>
      <c r="L1424" s="37" t="str">
        <f>IF(Agent08_Loans!B34="","",Agent08_Loans!L34)</f>
        <v/>
      </c>
      <c r="M1424" s="37" t="str">
        <f>IFERROR(IF(Agent08_Loans!B34="","",YEAR(Agent08_Loans!D34)),"")</f>
        <v/>
      </c>
    </row>
    <row r="1425" spans="1:13" ht="18" customHeight="1" x14ac:dyDescent="0.25">
      <c r="A1425" s="37" t="str">
        <f>IF(Agent08_Loans!B35="","",Agent08_Loans!A35)</f>
        <v/>
      </c>
      <c r="B1425" s="37" t="str">
        <f>IF(Agent08_Loans!B35="","",Agent08_Loans!B35)</f>
        <v/>
      </c>
      <c r="C1425" s="37" t="str">
        <f>IF(Agent08_Loans!B35="","",Agent08_Loans!C35)</f>
        <v/>
      </c>
      <c r="D1425" s="38" t="str">
        <f>IF(Agent08_Loans!B35="","",Agent08_Loans!D35)</f>
        <v/>
      </c>
      <c r="E1425" s="40" t="str">
        <f>IF(Agent08_Loans!B35="","",Agent08_Loans!E35)</f>
        <v/>
      </c>
      <c r="F1425" s="37" t="str">
        <f>IF(Agent08_Loans!B35="","",Agent08_Loans!F35)</f>
        <v/>
      </c>
      <c r="G1425" s="37" t="str">
        <f>IF(Agent08_Loans!B35="","",Agent08_Loans!G35)</f>
        <v/>
      </c>
      <c r="H1425" s="37" t="str">
        <f>IF(Agent08_Loans!B35="","",Agent08_Loans!H35)</f>
        <v/>
      </c>
      <c r="I1425" s="40" t="str">
        <f>IF(Agent08_Loans!B35="","",Agent08_Loans!I35)</f>
        <v/>
      </c>
      <c r="J1425" s="40" t="str">
        <f>IF(Agent08_Loans!B35="","",Agent08_Loans!J35)</f>
        <v/>
      </c>
      <c r="K1425" s="37" t="str">
        <f>IF(Agent08_Loans!B35="","",Agent08_Loans!K35)</f>
        <v/>
      </c>
      <c r="L1425" s="37" t="str">
        <f>IF(Agent08_Loans!B35="","",Agent08_Loans!L35)</f>
        <v/>
      </c>
      <c r="M1425" s="37" t="str">
        <f>IFERROR(IF(Agent08_Loans!B35="","",YEAR(Agent08_Loans!D35)),"")</f>
        <v/>
      </c>
    </row>
    <row r="1426" spans="1:13" ht="18" customHeight="1" x14ac:dyDescent="0.25">
      <c r="A1426" s="37" t="str">
        <f>IF(Agent08_Loans!B36="","",Agent08_Loans!A36)</f>
        <v/>
      </c>
      <c r="B1426" s="37" t="str">
        <f>IF(Agent08_Loans!B36="","",Agent08_Loans!B36)</f>
        <v/>
      </c>
      <c r="C1426" s="37" t="str">
        <f>IF(Agent08_Loans!B36="","",Agent08_Loans!C36)</f>
        <v/>
      </c>
      <c r="D1426" s="38" t="str">
        <f>IF(Agent08_Loans!B36="","",Agent08_Loans!D36)</f>
        <v/>
      </c>
      <c r="E1426" s="40" t="str">
        <f>IF(Agent08_Loans!B36="","",Agent08_Loans!E36)</f>
        <v/>
      </c>
      <c r="F1426" s="37" t="str">
        <f>IF(Agent08_Loans!B36="","",Agent08_Loans!F36)</f>
        <v/>
      </c>
      <c r="G1426" s="37" t="str">
        <f>IF(Agent08_Loans!B36="","",Agent08_Loans!G36)</f>
        <v/>
      </c>
      <c r="H1426" s="37" t="str">
        <f>IF(Agent08_Loans!B36="","",Agent08_Loans!H36)</f>
        <v/>
      </c>
      <c r="I1426" s="40" t="str">
        <f>IF(Agent08_Loans!B36="","",Agent08_Loans!I36)</f>
        <v/>
      </c>
      <c r="J1426" s="40" t="str">
        <f>IF(Agent08_Loans!B36="","",Agent08_Loans!J36)</f>
        <v/>
      </c>
      <c r="K1426" s="37" t="str">
        <f>IF(Agent08_Loans!B36="","",Agent08_Loans!K36)</f>
        <v/>
      </c>
      <c r="L1426" s="37" t="str">
        <f>IF(Agent08_Loans!B36="","",Agent08_Loans!L36)</f>
        <v/>
      </c>
      <c r="M1426" s="37" t="str">
        <f>IFERROR(IF(Agent08_Loans!B36="","",YEAR(Agent08_Loans!D36)),"")</f>
        <v/>
      </c>
    </row>
    <row r="1427" spans="1:13" ht="18" customHeight="1" x14ac:dyDescent="0.25">
      <c r="A1427" s="37" t="str">
        <f>IF(Agent08_Loans!B37="","",Agent08_Loans!A37)</f>
        <v/>
      </c>
      <c r="B1427" s="37" t="str">
        <f>IF(Agent08_Loans!B37="","",Agent08_Loans!B37)</f>
        <v/>
      </c>
      <c r="C1427" s="37" t="str">
        <f>IF(Agent08_Loans!B37="","",Agent08_Loans!C37)</f>
        <v/>
      </c>
      <c r="D1427" s="38" t="str">
        <f>IF(Agent08_Loans!B37="","",Agent08_Loans!D37)</f>
        <v/>
      </c>
      <c r="E1427" s="40" t="str">
        <f>IF(Agent08_Loans!B37="","",Agent08_Loans!E37)</f>
        <v/>
      </c>
      <c r="F1427" s="37" t="str">
        <f>IF(Agent08_Loans!B37="","",Agent08_Loans!F37)</f>
        <v/>
      </c>
      <c r="G1427" s="37" t="str">
        <f>IF(Agent08_Loans!B37="","",Agent08_Loans!G37)</f>
        <v/>
      </c>
      <c r="H1427" s="37" t="str">
        <f>IF(Agent08_Loans!B37="","",Agent08_Loans!H37)</f>
        <v/>
      </c>
      <c r="I1427" s="40" t="str">
        <f>IF(Agent08_Loans!B37="","",Agent08_Loans!I37)</f>
        <v/>
      </c>
      <c r="J1427" s="40" t="str">
        <f>IF(Agent08_Loans!B37="","",Agent08_Loans!J37)</f>
        <v/>
      </c>
      <c r="K1427" s="37" t="str">
        <f>IF(Agent08_Loans!B37="","",Agent08_Loans!K37)</f>
        <v/>
      </c>
      <c r="L1427" s="37" t="str">
        <f>IF(Agent08_Loans!B37="","",Agent08_Loans!L37)</f>
        <v/>
      </c>
      <c r="M1427" s="37" t="str">
        <f>IFERROR(IF(Agent08_Loans!B37="","",YEAR(Agent08_Loans!D37)),"")</f>
        <v/>
      </c>
    </row>
    <row r="1428" spans="1:13" ht="18" customHeight="1" x14ac:dyDescent="0.25">
      <c r="A1428" s="37" t="str">
        <f>IF(Agent08_Loans!B38="","",Agent08_Loans!A38)</f>
        <v/>
      </c>
      <c r="B1428" s="37" t="str">
        <f>IF(Agent08_Loans!B38="","",Agent08_Loans!B38)</f>
        <v/>
      </c>
      <c r="C1428" s="37" t="str">
        <f>IF(Agent08_Loans!B38="","",Agent08_Loans!C38)</f>
        <v/>
      </c>
      <c r="D1428" s="38" t="str">
        <f>IF(Agent08_Loans!B38="","",Agent08_Loans!D38)</f>
        <v/>
      </c>
      <c r="E1428" s="40" t="str">
        <f>IF(Agent08_Loans!B38="","",Agent08_Loans!E38)</f>
        <v/>
      </c>
      <c r="F1428" s="37" t="str">
        <f>IF(Agent08_Loans!B38="","",Agent08_Loans!F38)</f>
        <v/>
      </c>
      <c r="G1428" s="37" t="str">
        <f>IF(Agent08_Loans!B38="","",Agent08_Loans!G38)</f>
        <v/>
      </c>
      <c r="H1428" s="37" t="str">
        <f>IF(Agent08_Loans!B38="","",Agent08_Loans!H38)</f>
        <v/>
      </c>
      <c r="I1428" s="40" t="str">
        <f>IF(Agent08_Loans!B38="","",Agent08_Loans!I38)</f>
        <v/>
      </c>
      <c r="J1428" s="40" t="str">
        <f>IF(Agent08_Loans!B38="","",Agent08_Loans!J38)</f>
        <v/>
      </c>
      <c r="K1428" s="37" t="str">
        <f>IF(Agent08_Loans!B38="","",Agent08_Loans!K38)</f>
        <v/>
      </c>
      <c r="L1428" s="37" t="str">
        <f>IF(Agent08_Loans!B38="","",Agent08_Loans!L38)</f>
        <v/>
      </c>
      <c r="M1428" s="37" t="str">
        <f>IFERROR(IF(Agent08_Loans!B38="","",YEAR(Agent08_Loans!D38)),"")</f>
        <v/>
      </c>
    </row>
    <row r="1429" spans="1:13" ht="18" customHeight="1" x14ac:dyDescent="0.25">
      <c r="A1429" s="37" t="str">
        <f>IF(Agent08_Loans!B39="","",Agent08_Loans!A39)</f>
        <v/>
      </c>
      <c r="B1429" s="37" t="str">
        <f>IF(Agent08_Loans!B39="","",Agent08_Loans!B39)</f>
        <v/>
      </c>
      <c r="C1429" s="37" t="str">
        <f>IF(Agent08_Loans!B39="","",Agent08_Loans!C39)</f>
        <v/>
      </c>
      <c r="D1429" s="38" t="str">
        <f>IF(Agent08_Loans!B39="","",Agent08_Loans!D39)</f>
        <v/>
      </c>
      <c r="E1429" s="40" t="str">
        <f>IF(Agent08_Loans!B39="","",Agent08_Loans!E39)</f>
        <v/>
      </c>
      <c r="F1429" s="37" t="str">
        <f>IF(Agent08_Loans!B39="","",Agent08_Loans!F39)</f>
        <v/>
      </c>
      <c r="G1429" s="37" t="str">
        <f>IF(Agent08_Loans!B39="","",Agent08_Loans!G39)</f>
        <v/>
      </c>
      <c r="H1429" s="37" t="str">
        <f>IF(Agent08_Loans!B39="","",Agent08_Loans!H39)</f>
        <v/>
      </c>
      <c r="I1429" s="40" t="str">
        <f>IF(Agent08_Loans!B39="","",Agent08_Loans!I39)</f>
        <v/>
      </c>
      <c r="J1429" s="40" t="str">
        <f>IF(Agent08_Loans!B39="","",Agent08_Loans!J39)</f>
        <v/>
      </c>
      <c r="K1429" s="37" t="str">
        <f>IF(Agent08_Loans!B39="","",Agent08_Loans!K39)</f>
        <v/>
      </c>
      <c r="L1429" s="37" t="str">
        <f>IF(Agent08_Loans!B39="","",Agent08_Loans!L39)</f>
        <v/>
      </c>
      <c r="M1429" s="37" t="str">
        <f>IFERROR(IF(Agent08_Loans!B39="","",YEAR(Agent08_Loans!D39)),"")</f>
        <v/>
      </c>
    </row>
    <row r="1430" spans="1:13" ht="18" customHeight="1" x14ac:dyDescent="0.25">
      <c r="A1430" s="37" t="str">
        <f>IF(Agent08_Loans!B40="","",Agent08_Loans!A40)</f>
        <v/>
      </c>
      <c r="B1430" s="37" t="str">
        <f>IF(Agent08_Loans!B40="","",Agent08_Loans!B40)</f>
        <v/>
      </c>
      <c r="C1430" s="37" t="str">
        <f>IF(Agent08_Loans!B40="","",Agent08_Loans!C40)</f>
        <v/>
      </c>
      <c r="D1430" s="38" t="str">
        <f>IF(Agent08_Loans!B40="","",Agent08_Loans!D40)</f>
        <v/>
      </c>
      <c r="E1430" s="40" t="str">
        <f>IF(Agent08_Loans!B40="","",Agent08_Loans!E40)</f>
        <v/>
      </c>
      <c r="F1430" s="37" t="str">
        <f>IF(Agent08_Loans!B40="","",Agent08_Loans!F40)</f>
        <v/>
      </c>
      <c r="G1430" s="37" t="str">
        <f>IF(Agent08_Loans!B40="","",Agent08_Loans!G40)</f>
        <v/>
      </c>
      <c r="H1430" s="37" t="str">
        <f>IF(Agent08_Loans!B40="","",Agent08_Loans!H40)</f>
        <v/>
      </c>
      <c r="I1430" s="40" t="str">
        <f>IF(Agent08_Loans!B40="","",Agent08_Loans!I40)</f>
        <v/>
      </c>
      <c r="J1430" s="40" t="str">
        <f>IF(Agent08_Loans!B40="","",Agent08_Loans!J40)</f>
        <v/>
      </c>
      <c r="K1430" s="37" t="str">
        <f>IF(Agent08_Loans!B40="","",Agent08_Loans!K40)</f>
        <v/>
      </c>
      <c r="L1430" s="37" t="str">
        <f>IF(Agent08_Loans!B40="","",Agent08_Loans!L40)</f>
        <v/>
      </c>
      <c r="M1430" s="37" t="str">
        <f>IFERROR(IF(Agent08_Loans!B40="","",YEAR(Agent08_Loans!D40)),"")</f>
        <v/>
      </c>
    </row>
    <row r="1431" spans="1:13" ht="18" customHeight="1" x14ac:dyDescent="0.25">
      <c r="A1431" s="37" t="str">
        <f>IF(Agent08_Loans!B41="","",Agent08_Loans!A41)</f>
        <v/>
      </c>
      <c r="B1431" s="37" t="str">
        <f>IF(Agent08_Loans!B41="","",Agent08_Loans!B41)</f>
        <v/>
      </c>
      <c r="C1431" s="37" t="str">
        <f>IF(Agent08_Loans!B41="","",Agent08_Loans!C41)</f>
        <v/>
      </c>
      <c r="D1431" s="38" t="str">
        <f>IF(Agent08_Loans!B41="","",Agent08_Loans!D41)</f>
        <v/>
      </c>
      <c r="E1431" s="40" t="str">
        <f>IF(Agent08_Loans!B41="","",Agent08_Loans!E41)</f>
        <v/>
      </c>
      <c r="F1431" s="37" t="str">
        <f>IF(Agent08_Loans!B41="","",Agent08_Loans!F41)</f>
        <v/>
      </c>
      <c r="G1431" s="37" t="str">
        <f>IF(Agent08_Loans!B41="","",Agent08_Loans!G41)</f>
        <v/>
      </c>
      <c r="H1431" s="37" t="str">
        <f>IF(Agent08_Loans!B41="","",Agent08_Loans!H41)</f>
        <v/>
      </c>
      <c r="I1431" s="40" t="str">
        <f>IF(Agent08_Loans!B41="","",Agent08_Loans!I41)</f>
        <v/>
      </c>
      <c r="J1431" s="40" t="str">
        <f>IF(Agent08_Loans!B41="","",Agent08_Loans!J41)</f>
        <v/>
      </c>
      <c r="K1431" s="37" t="str">
        <f>IF(Agent08_Loans!B41="","",Agent08_Loans!K41)</f>
        <v/>
      </c>
      <c r="L1431" s="37" t="str">
        <f>IF(Agent08_Loans!B41="","",Agent08_Loans!L41)</f>
        <v/>
      </c>
      <c r="M1431" s="37" t="str">
        <f>IFERROR(IF(Agent08_Loans!B41="","",YEAR(Agent08_Loans!D41)),"")</f>
        <v/>
      </c>
    </row>
    <row r="1432" spans="1:13" ht="18" customHeight="1" x14ac:dyDescent="0.25">
      <c r="A1432" s="37" t="str">
        <f>IF(Agent08_Loans!B42="","",Agent08_Loans!A42)</f>
        <v/>
      </c>
      <c r="B1432" s="37" t="str">
        <f>IF(Agent08_Loans!B42="","",Agent08_Loans!B42)</f>
        <v/>
      </c>
      <c r="C1432" s="37" t="str">
        <f>IF(Agent08_Loans!B42="","",Agent08_Loans!C42)</f>
        <v/>
      </c>
      <c r="D1432" s="38" t="str">
        <f>IF(Agent08_Loans!B42="","",Agent08_Loans!D42)</f>
        <v/>
      </c>
      <c r="E1432" s="40" t="str">
        <f>IF(Agent08_Loans!B42="","",Agent08_Loans!E42)</f>
        <v/>
      </c>
      <c r="F1432" s="37" t="str">
        <f>IF(Agent08_Loans!B42="","",Agent08_Loans!F42)</f>
        <v/>
      </c>
      <c r="G1432" s="37" t="str">
        <f>IF(Agent08_Loans!B42="","",Agent08_Loans!G42)</f>
        <v/>
      </c>
      <c r="H1432" s="37" t="str">
        <f>IF(Agent08_Loans!B42="","",Agent08_Loans!H42)</f>
        <v/>
      </c>
      <c r="I1432" s="40" t="str">
        <f>IF(Agent08_Loans!B42="","",Agent08_Loans!I42)</f>
        <v/>
      </c>
      <c r="J1432" s="40" t="str">
        <f>IF(Agent08_Loans!B42="","",Agent08_Loans!J42)</f>
        <v/>
      </c>
      <c r="K1432" s="37" t="str">
        <f>IF(Agent08_Loans!B42="","",Agent08_Loans!K42)</f>
        <v/>
      </c>
      <c r="L1432" s="37" t="str">
        <f>IF(Agent08_Loans!B42="","",Agent08_Loans!L42)</f>
        <v/>
      </c>
      <c r="M1432" s="37" t="str">
        <f>IFERROR(IF(Agent08_Loans!B42="","",YEAR(Agent08_Loans!D42)),"")</f>
        <v/>
      </c>
    </row>
    <row r="1433" spans="1:13" ht="18" customHeight="1" x14ac:dyDescent="0.25">
      <c r="A1433" s="37" t="str">
        <f>IF(Agent08_Loans!B43="","",Agent08_Loans!A43)</f>
        <v/>
      </c>
      <c r="B1433" s="37" t="str">
        <f>IF(Agent08_Loans!B43="","",Agent08_Loans!B43)</f>
        <v/>
      </c>
      <c r="C1433" s="37" t="str">
        <f>IF(Agent08_Loans!B43="","",Agent08_Loans!C43)</f>
        <v/>
      </c>
      <c r="D1433" s="38" t="str">
        <f>IF(Agent08_Loans!B43="","",Agent08_Loans!D43)</f>
        <v/>
      </c>
      <c r="E1433" s="40" t="str">
        <f>IF(Agent08_Loans!B43="","",Agent08_Loans!E43)</f>
        <v/>
      </c>
      <c r="F1433" s="37" t="str">
        <f>IF(Agent08_Loans!B43="","",Agent08_Loans!F43)</f>
        <v/>
      </c>
      <c r="G1433" s="37" t="str">
        <f>IF(Agent08_Loans!B43="","",Agent08_Loans!G43)</f>
        <v/>
      </c>
      <c r="H1433" s="37" t="str">
        <f>IF(Agent08_Loans!B43="","",Agent08_Loans!H43)</f>
        <v/>
      </c>
      <c r="I1433" s="40" t="str">
        <f>IF(Agent08_Loans!B43="","",Agent08_Loans!I43)</f>
        <v/>
      </c>
      <c r="J1433" s="40" t="str">
        <f>IF(Agent08_Loans!B43="","",Agent08_Loans!J43)</f>
        <v/>
      </c>
      <c r="K1433" s="37" t="str">
        <f>IF(Agent08_Loans!B43="","",Agent08_Loans!K43)</f>
        <v/>
      </c>
      <c r="L1433" s="37" t="str">
        <f>IF(Agent08_Loans!B43="","",Agent08_Loans!L43)</f>
        <v/>
      </c>
      <c r="M1433" s="37" t="str">
        <f>IFERROR(IF(Agent08_Loans!B43="","",YEAR(Agent08_Loans!D43)),"")</f>
        <v/>
      </c>
    </row>
    <row r="1434" spans="1:13" ht="18" customHeight="1" x14ac:dyDescent="0.25">
      <c r="A1434" s="37" t="str">
        <f>IF(Agent08_Loans!B44="","",Agent08_Loans!A44)</f>
        <v/>
      </c>
      <c r="B1434" s="37" t="str">
        <f>IF(Agent08_Loans!B44="","",Agent08_Loans!B44)</f>
        <v/>
      </c>
      <c r="C1434" s="37" t="str">
        <f>IF(Agent08_Loans!B44="","",Agent08_Loans!C44)</f>
        <v/>
      </c>
      <c r="D1434" s="38" t="str">
        <f>IF(Agent08_Loans!B44="","",Agent08_Loans!D44)</f>
        <v/>
      </c>
      <c r="E1434" s="40" t="str">
        <f>IF(Agent08_Loans!B44="","",Agent08_Loans!E44)</f>
        <v/>
      </c>
      <c r="F1434" s="37" t="str">
        <f>IF(Agent08_Loans!B44="","",Agent08_Loans!F44)</f>
        <v/>
      </c>
      <c r="G1434" s="37" t="str">
        <f>IF(Agent08_Loans!B44="","",Agent08_Loans!G44)</f>
        <v/>
      </c>
      <c r="H1434" s="37" t="str">
        <f>IF(Agent08_Loans!B44="","",Agent08_Loans!H44)</f>
        <v/>
      </c>
      <c r="I1434" s="40" t="str">
        <f>IF(Agent08_Loans!B44="","",Agent08_Loans!I44)</f>
        <v/>
      </c>
      <c r="J1434" s="40" t="str">
        <f>IF(Agent08_Loans!B44="","",Agent08_Loans!J44)</f>
        <v/>
      </c>
      <c r="K1434" s="37" t="str">
        <f>IF(Agent08_Loans!B44="","",Agent08_Loans!K44)</f>
        <v/>
      </c>
      <c r="L1434" s="37" t="str">
        <f>IF(Agent08_Loans!B44="","",Agent08_Loans!L44)</f>
        <v/>
      </c>
      <c r="M1434" s="37" t="str">
        <f>IFERROR(IF(Agent08_Loans!B44="","",YEAR(Agent08_Loans!D44)),"")</f>
        <v/>
      </c>
    </row>
    <row r="1435" spans="1:13" ht="18" customHeight="1" x14ac:dyDescent="0.25">
      <c r="A1435" s="37" t="str">
        <f>IF(Agent08_Loans!B45="","",Agent08_Loans!A45)</f>
        <v/>
      </c>
      <c r="B1435" s="37" t="str">
        <f>IF(Agent08_Loans!B45="","",Agent08_Loans!B45)</f>
        <v/>
      </c>
      <c r="C1435" s="37" t="str">
        <f>IF(Agent08_Loans!B45="","",Agent08_Loans!C45)</f>
        <v/>
      </c>
      <c r="D1435" s="38" t="str">
        <f>IF(Agent08_Loans!B45="","",Agent08_Loans!D45)</f>
        <v/>
      </c>
      <c r="E1435" s="40" t="str">
        <f>IF(Agent08_Loans!B45="","",Agent08_Loans!E45)</f>
        <v/>
      </c>
      <c r="F1435" s="37" t="str">
        <f>IF(Agent08_Loans!B45="","",Agent08_Loans!F45)</f>
        <v/>
      </c>
      <c r="G1435" s="37" t="str">
        <f>IF(Agent08_Loans!B45="","",Agent08_Loans!G45)</f>
        <v/>
      </c>
      <c r="H1435" s="37" t="str">
        <f>IF(Agent08_Loans!B45="","",Agent08_Loans!H45)</f>
        <v/>
      </c>
      <c r="I1435" s="40" t="str">
        <f>IF(Agent08_Loans!B45="","",Agent08_Loans!I45)</f>
        <v/>
      </c>
      <c r="J1435" s="40" t="str">
        <f>IF(Agent08_Loans!B45="","",Agent08_Loans!J45)</f>
        <v/>
      </c>
      <c r="K1435" s="37" t="str">
        <f>IF(Agent08_Loans!B45="","",Agent08_Loans!K45)</f>
        <v/>
      </c>
      <c r="L1435" s="37" t="str">
        <f>IF(Agent08_Loans!B45="","",Agent08_Loans!L45)</f>
        <v/>
      </c>
      <c r="M1435" s="37" t="str">
        <f>IFERROR(IF(Agent08_Loans!B45="","",YEAR(Agent08_Loans!D45)),"")</f>
        <v/>
      </c>
    </row>
    <row r="1436" spans="1:13" ht="18" customHeight="1" x14ac:dyDescent="0.25">
      <c r="A1436" s="37" t="str">
        <f>IF(Agent08_Loans!B46="","",Agent08_Loans!A46)</f>
        <v/>
      </c>
      <c r="B1436" s="37" t="str">
        <f>IF(Agent08_Loans!B46="","",Agent08_Loans!B46)</f>
        <v/>
      </c>
      <c r="C1436" s="37" t="str">
        <f>IF(Agent08_Loans!B46="","",Agent08_Loans!C46)</f>
        <v/>
      </c>
      <c r="D1436" s="38" t="str">
        <f>IF(Agent08_Loans!B46="","",Agent08_Loans!D46)</f>
        <v/>
      </c>
      <c r="E1436" s="40" t="str">
        <f>IF(Agent08_Loans!B46="","",Agent08_Loans!E46)</f>
        <v/>
      </c>
      <c r="F1436" s="37" t="str">
        <f>IF(Agent08_Loans!B46="","",Agent08_Loans!F46)</f>
        <v/>
      </c>
      <c r="G1436" s="37" t="str">
        <f>IF(Agent08_Loans!B46="","",Agent08_Loans!G46)</f>
        <v/>
      </c>
      <c r="H1436" s="37" t="str">
        <f>IF(Agent08_Loans!B46="","",Agent08_Loans!H46)</f>
        <v/>
      </c>
      <c r="I1436" s="40" t="str">
        <f>IF(Agent08_Loans!B46="","",Agent08_Loans!I46)</f>
        <v/>
      </c>
      <c r="J1436" s="40" t="str">
        <f>IF(Agent08_Loans!B46="","",Agent08_Loans!J46)</f>
        <v/>
      </c>
      <c r="K1436" s="37" t="str">
        <f>IF(Agent08_Loans!B46="","",Agent08_Loans!K46)</f>
        <v/>
      </c>
      <c r="L1436" s="37" t="str">
        <f>IF(Agent08_Loans!B46="","",Agent08_Loans!L46)</f>
        <v/>
      </c>
      <c r="M1436" s="37" t="str">
        <f>IFERROR(IF(Agent08_Loans!B46="","",YEAR(Agent08_Loans!D46)),"")</f>
        <v/>
      </c>
    </row>
    <row r="1437" spans="1:13" ht="18" customHeight="1" x14ac:dyDescent="0.25">
      <c r="A1437" s="37" t="str">
        <f>IF(Agent08_Loans!B47="","",Agent08_Loans!A47)</f>
        <v/>
      </c>
      <c r="B1437" s="37" t="str">
        <f>IF(Agent08_Loans!B47="","",Agent08_Loans!B47)</f>
        <v/>
      </c>
      <c r="C1437" s="37" t="str">
        <f>IF(Agent08_Loans!B47="","",Agent08_Loans!C47)</f>
        <v/>
      </c>
      <c r="D1437" s="38" t="str">
        <f>IF(Agent08_Loans!B47="","",Agent08_Loans!D47)</f>
        <v/>
      </c>
      <c r="E1437" s="40" t="str">
        <f>IF(Agent08_Loans!B47="","",Agent08_Loans!E47)</f>
        <v/>
      </c>
      <c r="F1437" s="37" t="str">
        <f>IF(Agent08_Loans!B47="","",Agent08_Loans!F47)</f>
        <v/>
      </c>
      <c r="G1437" s="37" t="str">
        <f>IF(Agent08_Loans!B47="","",Agent08_Loans!G47)</f>
        <v/>
      </c>
      <c r="H1437" s="37" t="str">
        <f>IF(Agent08_Loans!B47="","",Agent08_Loans!H47)</f>
        <v/>
      </c>
      <c r="I1437" s="40" t="str">
        <f>IF(Agent08_Loans!B47="","",Agent08_Loans!I47)</f>
        <v/>
      </c>
      <c r="J1437" s="40" t="str">
        <f>IF(Agent08_Loans!B47="","",Agent08_Loans!J47)</f>
        <v/>
      </c>
      <c r="K1437" s="37" t="str">
        <f>IF(Agent08_Loans!B47="","",Agent08_Loans!K47)</f>
        <v/>
      </c>
      <c r="L1437" s="37" t="str">
        <f>IF(Agent08_Loans!B47="","",Agent08_Loans!L47)</f>
        <v/>
      </c>
      <c r="M1437" s="37" t="str">
        <f>IFERROR(IF(Agent08_Loans!B47="","",YEAR(Agent08_Loans!D47)),"")</f>
        <v/>
      </c>
    </row>
    <row r="1438" spans="1:13" ht="18" customHeight="1" x14ac:dyDescent="0.25">
      <c r="A1438" s="37" t="str">
        <f>IF(Agent08_Loans!B48="","",Agent08_Loans!A48)</f>
        <v/>
      </c>
      <c r="B1438" s="37" t="str">
        <f>IF(Agent08_Loans!B48="","",Agent08_Loans!B48)</f>
        <v/>
      </c>
      <c r="C1438" s="37" t="str">
        <f>IF(Agent08_Loans!B48="","",Agent08_Loans!C48)</f>
        <v/>
      </c>
      <c r="D1438" s="38" t="str">
        <f>IF(Agent08_Loans!B48="","",Agent08_Loans!D48)</f>
        <v/>
      </c>
      <c r="E1438" s="40" t="str">
        <f>IF(Agent08_Loans!B48="","",Agent08_Loans!E48)</f>
        <v/>
      </c>
      <c r="F1438" s="37" t="str">
        <f>IF(Agent08_Loans!B48="","",Agent08_Loans!F48)</f>
        <v/>
      </c>
      <c r="G1438" s="37" t="str">
        <f>IF(Agent08_Loans!B48="","",Agent08_Loans!G48)</f>
        <v/>
      </c>
      <c r="H1438" s="37" t="str">
        <f>IF(Agent08_Loans!B48="","",Agent08_Loans!H48)</f>
        <v/>
      </c>
      <c r="I1438" s="40" t="str">
        <f>IF(Agent08_Loans!B48="","",Agent08_Loans!I48)</f>
        <v/>
      </c>
      <c r="J1438" s="40" t="str">
        <f>IF(Agent08_Loans!B48="","",Agent08_Loans!J48)</f>
        <v/>
      </c>
      <c r="K1438" s="37" t="str">
        <f>IF(Agent08_Loans!B48="","",Agent08_Loans!K48)</f>
        <v/>
      </c>
      <c r="L1438" s="37" t="str">
        <f>IF(Agent08_Loans!B48="","",Agent08_Loans!L48)</f>
        <v/>
      </c>
      <c r="M1438" s="37" t="str">
        <f>IFERROR(IF(Agent08_Loans!B48="","",YEAR(Agent08_Loans!D48)),"")</f>
        <v/>
      </c>
    </row>
    <row r="1439" spans="1:13" ht="18" customHeight="1" x14ac:dyDescent="0.25">
      <c r="A1439" s="37" t="str">
        <f>IF(Agent08_Loans!B49="","",Agent08_Loans!A49)</f>
        <v/>
      </c>
      <c r="B1439" s="37" t="str">
        <f>IF(Agent08_Loans!B49="","",Agent08_Loans!B49)</f>
        <v/>
      </c>
      <c r="C1439" s="37" t="str">
        <f>IF(Agent08_Loans!B49="","",Agent08_Loans!C49)</f>
        <v/>
      </c>
      <c r="D1439" s="38" t="str">
        <f>IF(Agent08_Loans!B49="","",Agent08_Loans!D49)</f>
        <v/>
      </c>
      <c r="E1439" s="40" t="str">
        <f>IF(Agent08_Loans!B49="","",Agent08_Loans!E49)</f>
        <v/>
      </c>
      <c r="F1439" s="37" t="str">
        <f>IF(Agent08_Loans!B49="","",Agent08_Loans!F49)</f>
        <v/>
      </c>
      <c r="G1439" s="37" t="str">
        <f>IF(Agent08_Loans!B49="","",Agent08_Loans!G49)</f>
        <v/>
      </c>
      <c r="H1439" s="37" t="str">
        <f>IF(Agent08_Loans!B49="","",Agent08_Loans!H49)</f>
        <v/>
      </c>
      <c r="I1439" s="40" t="str">
        <f>IF(Agent08_Loans!B49="","",Agent08_Loans!I49)</f>
        <v/>
      </c>
      <c r="J1439" s="40" t="str">
        <f>IF(Agent08_Loans!B49="","",Agent08_Loans!J49)</f>
        <v/>
      </c>
      <c r="K1439" s="37" t="str">
        <f>IF(Agent08_Loans!B49="","",Agent08_Loans!K49)</f>
        <v/>
      </c>
      <c r="L1439" s="37" t="str">
        <f>IF(Agent08_Loans!B49="","",Agent08_Loans!L49)</f>
        <v/>
      </c>
      <c r="M1439" s="37" t="str">
        <f>IFERROR(IF(Agent08_Loans!B49="","",YEAR(Agent08_Loans!D49)),"")</f>
        <v/>
      </c>
    </row>
    <row r="1440" spans="1:13" ht="18" customHeight="1" x14ac:dyDescent="0.25">
      <c r="A1440" s="37" t="str">
        <f>IF(Agent08_Loans!B50="","",Agent08_Loans!A50)</f>
        <v/>
      </c>
      <c r="B1440" s="37" t="str">
        <f>IF(Agent08_Loans!B50="","",Agent08_Loans!B50)</f>
        <v/>
      </c>
      <c r="C1440" s="37" t="str">
        <f>IF(Agent08_Loans!B50="","",Agent08_Loans!C50)</f>
        <v/>
      </c>
      <c r="D1440" s="38" t="str">
        <f>IF(Agent08_Loans!B50="","",Agent08_Loans!D50)</f>
        <v/>
      </c>
      <c r="E1440" s="40" t="str">
        <f>IF(Agent08_Loans!B50="","",Agent08_Loans!E50)</f>
        <v/>
      </c>
      <c r="F1440" s="37" t="str">
        <f>IF(Agent08_Loans!B50="","",Agent08_Loans!F50)</f>
        <v/>
      </c>
      <c r="G1440" s="37" t="str">
        <f>IF(Agent08_Loans!B50="","",Agent08_Loans!G50)</f>
        <v/>
      </c>
      <c r="H1440" s="37" t="str">
        <f>IF(Agent08_Loans!B50="","",Agent08_Loans!H50)</f>
        <v/>
      </c>
      <c r="I1440" s="40" t="str">
        <f>IF(Agent08_Loans!B50="","",Agent08_Loans!I50)</f>
        <v/>
      </c>
      <c r="J1440" s="40" t="str">
        <f>IF(Agent08_Loans!B50="","",Agent08_Loans!J50)</f>
        <v/>
      </c>
      <c r="K1440" s="37" t="str">
        <f>IF(Agent08_Loans!B50="","",Agent08_Loans!K50)</f>
        <v/>
      </c>
      <c r="L1440" s="37" t="str">
        <f>IF(Agent08_Loans!B50="","",Agent08_Loans!L50)</f>
        <v/>
      </c>
      <c r="M1440" s="37" t="str">
        <f>IFERROR(IF(Agent08_Loans!B50="","",YEAR(Agent08_Loans!D50)),"")</f>
        <v/>
      </c>
    </row>
    <row r="1441" spans="1:13" ht="18" customHeight="1" x14ac:dyDescent="0.25">
      <c r="A1441" s="37" t="str">
        <f>IF(Agent08_Loans!B51="","",Agent08_Loans!A51)</f>
        <v/>
      </c>
      <c r="B1441" s="37" t="str">
        <f>IF(Agent08_Loans!B51="","",Agent08_Loans!B51)</f>
        <v/>
      </c>
      <c r="C1441" s="37" t="str">
        <f>IF(Agent08_Loans!B51="","",Agent08_Loans!C51)</f>
        <v/>
      </c>
      <c r="D1441" s="38" t="str">
        <f>IF(Agent08_Loans!B51="","",Agent08_Loans!D51)</f>
        <v/>
      </c>
      <c r="E1441" s="40" t="str">
        <f>IF(Agent08_Loans!B51="","",Agent08_Loans!E51)</f>
        <v/>
      </c>
      <c r="F1441" s="37" t="str">
        <f>IF(Agent08_Loans!B51="","",Agent08_Loans!F51)</f>
        <v/>
      </c>
      <c r="G1441" s="37" t="str">
        <f>IF(Agent08_Loans!B51="","",Agent08_Loans!G51)</f>
        <v/>
      </c>
      <c r="H1441" s="37" t="str">
        <f>IF(Agent08_Loans!B51="","",Agent08_Loans!H51)</f>
        <v/>
      </c>
      <c r="I1441" s="40" t="str">
        <f>IF(Agent08_Loans!B51="","",Agent08_Loans!I51)</f>
        <v/>
      </c>
      <c r="J1441" s="40" t="str">
        <f>IF(Agent08_Loans!B51="","",Agent08_Loans!J51)</f>
        <v/>
      </c>
      <c r="K1441" s="37" t="str">
        <f>IF(Agent08_Loans!B51="","",Agent08_Loans!K51)</f>
        <v/>
      </c>
      <c r="L1441" s="37" t="str">
        <f>IF(Agent08_Loans!B51="","",Agent08_Loans!L51)</f>
        <v/>
      </c>
      <c r="M1441" s="37" t="str">
        <f>IFERROR(IF(Agent08_Loans!B51="","",YEAR(Agent08_Loans!D51)),"")</f>
        <v/>
      </c>
    </row>
    <row r="1442" spans="1:13" ht="18" customHeight="1" x14ac:dyDescent="0.25">
      <c r="A1442" s="37" t="str">
        <f>IF(Agent08_Loans!B52="","",Agent08_Loans!A52)</f>
        <v/>
      </c>
      <c r="B1442" s="37" t="str">
        <f>IF(Agent08_Loans!B52="","",Agent08_Loans!B52)</f>
        <v/>
      </c>
      <c r="C1442" s="37" t="str">
        <f>IF(Agent08_Loans!B52="","",Agent08_Loans!C52)</f>
        <v/>
      </c>
      <c r="D1442" s="38" t="str">
        <f>IF(Agent08_Loans!B52="","",Agent08_Loans!D52)</f>
        <v/>
      </c>
      <c r="E1442" s="40" t="str">
        <f>IF(Agent08_Loans!B52="","",Agent08_Loans!E52)</f>
        <v/>
      </c>
      <c r="F1442" s="37" t="str">
        <f>IF(Agent08_Loans!B52="","",Agent08_Loans!F52)</f>
        <v/>
      </c>
      <c r="G1442" s="37" t="str">
        <f>IF(Agent08_Loans!B52="","",Agent08_Loans!G52)</f>
        <v/>
      </c>
      <c r="H1442" s="37" t="str">
        <f>IF(Agent08_Loans!B52="","",Agent08_Loans!H52)</f>
        <v/>
      </c>
      <c r="I1442" s="40" t="str">
        <f>IF(Agent08_Loans!B52="","",Agent08_Loans!I52)</f>
        <v/>
      </c>
      <c r="J1442" s="40" t="str">
        <f>IF(Agent08_Loans!B52="","",Agent08_Loans!J52)</f>
        <v/>
      </c>
      <c r="K1442" s="37" t="str">
        <f>IF(Agent08_Loans!B52="","",Agent08_Loans!K52)</f>
        <v/>
      </c>
      <c r="L1442" s="37" t="str">
        <f>IF(Agent08_Loans!B52="","",Agent08_Loans!L52)</f>
        <v/>
      </c>
      <c r="M1442" s="37" t="str">
        <f>IFERROR(IF(Agent08_Loans!B52="","",YEAR(Agent08_Loans!D52)),"")</f>
        <v/>
      </c>
    </row>
    <row r="1443" spans="1:13" ht="18" customHeight="1" x14ac:dyDescent="0.25">
      <c r="A1443" s="37" t="str">
        <f>IF(Agent08_Loans!B53="","",Agent08_Loans!A53)</f>
        <v/>
      </c>
      <c r="B1443" s="37" t="str">
        <f>IF(Agent08_Loans!B53="","",Agent08_Loans!B53)</f>
        <v/>
      </c>
      <c r="C1443" s="37" t="str">
        <f>IF(Agent08_Loans!B53="","",Agent08_Loans!C53)</f>
        <v/>
      </c>
      <c r="D1443" s="38" t="str">
        <f>IF(Agent08_Loans!B53="","",Agent08_Loans!D53)</f>
        <v/>
      </c>
      <c r="E1443" s="40" t="str">
        <f>IF(Agent08_Loans!B53="","",Agent08_Loans!E53)</f>
        <v/>
      </c>
      <c r="F1443" s="37" t="str">
        <f>IF(Agent08_Loans!B53="","",Agent08_Loans!F53)</f>
        <v/>
      </c>
      <c r="G1443" s="37" t="str">
        <f>IF(Agent08_Loans!B53="","",Agent08_Loans!G53)</f>
        <v/>
      </c>
      <c r="H1443" s="37" t="str">
        <f>IF(Agent08_Loans!B53="","",Agent08_Loans!H53)</f>
        <v/>
      </c>
      <c r="I1443" s="40" t="str">
        <f>IF(Agent08_Loans!B53="","",Agent08_Loans!I53)</f>
        <v/>
      </c>
      <c r="J1443" s="40" t="str">
        <f>IF(Agent08_Loans!B53="","",Agent08_Loans!J53)</f>
        <v/>
      </c>
      <c r="K1443" s="37" t="str">
        <f>IF(Agent08_Loans!B53="","",Agent08_Loans!K53)</f>
        <v/>
      </c>
      <c r="L1443" s="37" t="str">
        <f>IF(Agent08_Loans!B53="","",Agent08_Loans!L53)</f>
        <v/>
      </c>
      <c r="M1443" s="37" t="str">
        <f>IFERROR(IF(Agent08_Loans!B53="","",YEAR(Agent08_Loans!D53)),"")</f>
        <v/>
      </c>
    </row>
    <row r="1444" spans="1:13" ht="18" customHeight="1" x14ac:dyDescent="0.25">
      <c r="A1444" s="37" t="str">
        <f>IF(Agent08_Loans!B54="","",Agent08_Loans!A54)</f>
        <v/>
      </c>
      <c r="B1444" s="37" t="str">
        <f>IF(Agent08_Loans!B54="","",Agent08_Loans!B54)</f>
        <v/>
      </c>
      <c r="C1444" s="37" t="str">
        <f>IF(Agent08_Loans!B54="","",Agent08_Loans!C54)</f>
        <v/>
      </c>
      <c r="D1444" s="38" t="str">
        <f>IF(Agent08_Loans!B54="","",Agent08_Loans!D54)</f>
        <v/>
      </c>
      <c r="E1444" s="40" t="str">
        <f>IF(Agent08_Loans!B54="","",Agent08_Loans!E54)</f>
        <v/>
      </c>
      <c r="F1444" s="37" t="str">
        <f>IF(Agent08_Loans!B54="","",Agent08_Loans!F54)</f>
        <v/>
      </c>
      <c r="G1444" s="37" t="str">
        <f>IF(Agent08_Loans!B54="","",Agent08_Loans!G54)</f>
        <v/>
      </c>
      <c r="H1444" s="37" t="str">
        <f>IF(Agent08_Loans!B54="","",Agent08_Loans!H54)</f>
        <v/>
      </c>
      <c r="I1444" s="40" t="str">
        <f>IF(Agent08_Loans!B54="","",Agent08_Loans!I54)</f>
        <v/>
      </c>
      <c r="J1444" s="40" t="str">
        <f>IF(Agent08_Loans!B54="","",Agent08_Loans!J54)</f>
        <v/>
      </c>
      <c r="K1444" s="37" t="str">
        <f>IF(Agent08_Loans!B54="","",Agent08_Loans!K54)</f>
        <v/>
      </c>
      <c r="L1444" s="37" t="str">
        <f>IF(Agent08_Loans!B54="","",Agent08_Loans!L54)</f>
        <v/>
      </c>
      <c r="M1444" s="37" t="str">
        <f>IFERROR(IF(Agent08_Loans!B54="","",YEAR(Agent08_Loans!D54)),"")</f>
        <v/>
      </c>
    </row>
    <row r="1445" spans="1:13" ht="18" customHeight="1" x14ac:dyDescent="0.25">
      <c r="A1445" s="37" t="str">
        <f>IF(Agent08_Loans!B55="","",Agent08_Loans!A55)</f>
        <v/>
      </c>
      <c r="B1445" s="37" t="str">
        <f>IF(Agent08_Loans!B55="","",Agent08_Loans!B55)</f>
        <v/>
      </c>
      <c r="C1445" s="37" t="str">
        <f>IF(Agent08_Loans!B55="","",Agent08_Loans!C55)</f>
        <v/>
      </c>
      <c r="D1445" s="38" t="str">
        <f>IF(Agent08_Loans!B55="","",Agent08_Loans!D55)</f>
        <v/>
      </c>
      <c r="E1445" s="40" t="str">
        <f>IF(Agent08_Loans!B55="","",Agent08_Loans!E55)</f>
        <v/>
      </c>
      <c r="F1445" s="37" t="str">
        <f>IF(Agent08_Loans!B55="","",Agent08_Loans!F55)</f>
        <v/>
      </c>
      <c r="G1445" s="37" t="str">
        <f>IF(Agent08_Loans!B55="","",Agent08_Loans!G55)</f>
        <v/>
      </c>
      <c r="H1445" s="37" t="str">
        <f>IF(Agent08_Loans!B55="","",Agent08_Loans!H55)</f>
        <v/>
      </c>
      <c r="I1445" s="40" t="str">
        <f>IF(Agent08_Loans!B55="","",Agent08_Loans!I55)</f>
        <v/>
      </c>
      <c r="J1445" s="40" t="str">
        <f>IF(Agent08_Loans!B55="","",Agent08_Loans!J55)</f>
        <v/>
      </c>
      <c r="K1445" s="37" t="str">
        <f>IF(Agent08_Loans!B55="","",Agent08_Loans!K55)</f>
        <v/>
      </c>
      <c r="L1445" s="37" t="str">
        <f>IF(Agent08_Loans!B55="","",Agent08_Loans!L55)</f>
        <v/>
      </c>
      <c r="M1445" s="37" t="str">
        <f>IFERROR(IF(Agent08_Loans!B55="","",YEAR(Agent08_Loans!D55)),"")</f>
        <v/>
      </c>
    </row>
    <row r="1446" spans="1:13" ht="18" customHeight="1" x14ac:dyDescent="0.25">
      <c r="A1446" s="37" t="str">
        <f>IF(Agent08_Loans!B56="","",Agent08_Loans!A56)</f>
        <v/>
      </c>
      <c r="B1446" s="37" t="str">
        <f>IF(Agent08_Loans!B56="","",Agent08_Loans!B56)</f>
        <v/>
      </c>
      <c r="C1446" s="37" t="str">
        <f>IF(Agent08_Loans!B56="","",Agent08_Loans!C56)</f>
        <v/>
      </c>
      <c r="D1446" s="38" t="str">
        <f>IF(Agent08_Loans!B56="","",Agent08_Loans!D56)</f>
        <v/>
      </c>
      <c r="E1446" s="40" t="str">
        <f>IF(Agent08_Loans!B56="","",Agent08_Loans!E56)</f>
        <v/>
      </c>
      <c r="F1446" s="37" t="str">
        <f>IF(Agent08_Loans!B56="","",Agent08_Loans!F56)</f>
        <v/>
      </c>
      <c r="G1446" s="37" t="str">
        <f>IF(Agent08_Loans!B56="","",Agent08_Loans!G56)</f>
        <v/>
      </c>
      <c r="H1446" s="37" t="str">
        <f>IF(Agent08_Loans!B56="","",Agent08_Loans!H56)</f>
        <v/>
      </c>
      <c r="I1446" s="40" t="str">
        <f>IF(Agent08_Loans!B56="","",Agent08_Loans!I56)</f>
        <v/>
      </c>
      <c r="J1446" s="40" t="str">
        <f>IF(Agent08_Loans!B56="","",Agent08_Loans!J56)</f>
        <v/>
      </c>
      <c r="K1446" s="37" t="str">
        <f>IF(Agent08_Loans!B56="","",Agent08_Loans!K56)</f>
        <v/>
      </c>
      <c r="L1446" s="37" t="str">
        <f>IF(Agent08_Loans!B56="","",Agent08_Loans!L56)</f>
        <v/>
      </c>
      <c r="M1446" s="37" t="str">
        <f>IFERROR(IF(Agent08_Loans!B56="","",YEAR(Agent08_Loans!D56)),"")</f>
        <v/>
      </c>
    </row>
    <row r="1447" spans="1:13" ht="18" customHeight="1" x14ac:dyDescent="0.25">
      <c r="A1447" s="37" t="str">
        <f>IF(Agent08_Loans!B57="","",Agent08_Loans!A57)</f>
        <v/>
      </c>
      <c r="B1447" s="37" t="str">
        <f>IF(Agent08_Loans!B57="","",Agent08_Loans!B57)</f>
        <v/>
      </c>
      <c r="C1447" s="37" t="str">
        <f>IF(Agent08_Loans!B57="","",Agent08_Loans!C57)</f>
        <v/>
      </c>
      <c r="D1447" s="38" t="str">
        <f>IF(Agent08_Loans!B57="","",Agent08_Loans!D57)</f>
        <v/>
      </c>
      <c r="E1447" s="40" t="str">
        <f>IF(Agent08_Loans!B57="","",Agent08_Loans!E57)</f>
        <v/>
      </c>
      <c r="F1447" s="37" t="str">
        <f>IF(Agent08_Loans!B57="","",Agent08_Loans!F57)</f>
        <v/>
      </c>
      <c r="G1447" s="37" t="str">
        <f>IF(Agent08_Loans!B57="","",Agent08_Loans!G57)</f>
        <v/>
      </c>
      <c r="H1447" s="37" t="str">
        <f>IF(Agent08_Loans!B57="","",Agent08_Loans!H57)</f>
        <v/>
      </c>
      <c r="I1447" s="40" t="str">
        <f>IF(Agent08_Loans!B57="","",Agent08_Loans!I57)</f>
        <v/>
      </c>
      <c r="J1447" s="40" t="str">
        <f>IF(Agent08_Loans!B57="","",Agent08_Loans!J57)</f>
        <v/>
      </c>
      <c r="K1447" s="37" t="str">
        <f>IF(Agent08_Loans!B57="","",Agent08_Loans!K57)</f>
        <v/>
      </c>
      <c r="L1447" s="37" t="str">
        <f>IF(Agent08_Loans!B57="","",Agent08_Loans!L57)</f>
        <v/>
      </c>
      <c r="M1447" s="37" t="str">
        <f>IFERROR(IF(Agent08_Loans!B57="","",YEAR(Agent08_Loans!D57)),"")</f>
        <v/>
      </c>
    </row>
    <row r="1448" spans="1:13" ht="18" customHeight="1" x14ac:dyDescent="0.25">
      <c r="A1448" s="37" t="str">
        <f>IF(Agent08_Loans!B58="","",Agent08_Loans!A58)</f>
        <v/>
      </c>
      <c r="B1448" s="37" t="str">
        <f>IF(Agent08_Loans!B58="","",Agent08_Loans!B58)</f>
        <v/>
      </c>
      <c r="C1448" s="37" t="str">
        <f>IF(Agent08_Loans!B58="","",Agent08_Loans!C58)</f>
        <v/>
      </c>
      <c r="D1448" s="38" t="str">
        <f>IF(Agent08_Loans!B58="","",Agent08_Loans!D58)</f>
        <v/>
      </c>
      <c r="E1448" s="40" t="str">
        <f>IF(Agent08_Loans!B58="","",Agent08_Loans!E58)</f>
        <v/>
      </c>
      <c r="F1448" s="37" t="str">
        <f>IF(Agent08_Loans!B58="","",Agent08_Loans!F58)</f>
        <v/>
      </c>
      <c r="G1448" s="37" t="str">
        <f>IF(Agent08_Loans!B58="","",Agent08_Loans!G58)</f>
        <v/>
      </c>
      <c r="H1448" s="37" t="str">
        <f>IF(Agent08_Loans!B58="","",Agent08_Loans!H58)</f>
        <v/>
      </c>
      <c r="I1448" s="40" t="str">
        <f>IF(Agent08_Loans!B58="","",Agent08_Loans!I58)</f>
        <v/>
      </c>
      <c r="J1448" s="40" t="str">
        <f>IF(Agent08_Loans!B58="","",Agent08_Loans!J58)</f>
        <v/>
      </c>
      <c r="K1448" s="37" t="str">
        <f>IF(Agent08_Loans!B58="","",Agent08_Loans!K58)</f>
        <v/>
      </c>
      <c r="L1448" s="37" t="str">
        <f>IF(Agent08_Loans!B58="","",Agent08_Loans!L58)</f>
        <v/>
      </c>
      <c r="M1448" s="37" t="str">
        <f>IFERROR(IF(Agent08_Loans!B58="","",YEAR(Agent08_Loans!D58)),"")</f>
        <v/>
      </c>
    </row>
    <row r="1449" spans="1:13" ht="18" customHeight="1" x14ac:dyDescent="0.25">
      <c r="A1449" s="37" t="str">
        <f>IF(Agent08_Loans!B59="","",Agent08_Loans!A59)</f>
        <v/>
      </c>
      <c r="B1449" s="37" t="str">
        <f>IF(Agent08_Loans!B59="","",Agent08_Loans!B59)</f>
        <v/>
      </c>
      <c r="C1449" s="37" t="str">
        <f>IF(Agent08_Loans!B59="","",Agent08_Loans!C59)</f>
        <v/>
      </c>
      <c r="D1449" s="38" t="str">
        <f>IF(Agent08_Loans!B59="","",Agent08_Loans!D59)</f>
        <v/>
      </c>
      <c r="E1449" s="40" t="str">
        <f>IF(Agent08_Loans!B59="","",Agent08_Loans!E59)</f>
        <v/>
      </c>
      <c r="F1449" s="37" t="str">
        <f>IF(Agent08_Loans!B59="","",Agent08_Loans!F59)</f>
        <v/>
      </c>
      <c r="G1449" s="37" t="str">
        <f>IF(Agent08_Loans!B59="","",Agent08_Loans!G59)</f>
        <v/>
      </c>
      <c r="H1449" s="37" t="str">
        <f>IF(Agent08_Loans!B59="","",Agent08_Loans!H59)</f>
        <v/>
      </c>
      <c r="I1449" s="40" t="str">
        <f>IF(Agent08_Loans!B59="","",Agent08_Loans!I59)</f>
        <v/>
      </c>
      <c r="J1449" s="40" t="str">
        <f>IF(Agent08_Loans!B59="","",Agent08_Loans!J59)</f>
        <v/>
      </c>
      <c r="K1449" s="37" t="str">
        <f>IF(Agent08_Loans!B59="","",Agent08_Loans!K59)</f>
        <v/>
      </c>
      <c r="L1449" s="37" t="str">
        <f>IF(Agent08_Loans!B59="","",Agent08_Loans!L59)</f>
        <v/>
      </c>
      <c r="M1449" s="37" t="str">
        <f>IFERROR(IF(Agent08_Loans!B59="","",YEAR(Agent08_Loans!D59)),"")</f>
        <v/>
      </c>
    </row>
    <row r="1450" spans="1:13" ht="18" customHeight="1" x14ac:dyDescent="0.25">
      <c r="A1450" s="37" t="str">
        <f>IF(Agent08_Loans!B60="","",Agent08_Loans!A60)</f>
        <v/>
      </c>
      <c r="B1450" s="37" t="str">
        <f>IF(Agent08_Loans!B60="","",Agent08_Loans!B60)</f>
        <v/>
      </c>
      <c r="C1450" s="37" t="str">
        <f>IF(Agent08_Loans!B60="","",Agent08_Loans!C60)</f>
        <v/>
      </c>
      <c r="D1450" s="38" t="str">
        <f>IF(Agent08_Loans!B60="","",Agent08_Loans!D60)</f>
        <v/>
      </c>
      <c r="E1450" s="40" t="str">
        <f>IF(Agent08_Loans!B60="","",Agent08_Loans!E60)</f>
        <v/>
      </c>
      <c r="F1450" s="37" t="str">
        <f>IF(Agent08_Loans!B60="","",Agent08_Loans!F60)</f>
        <v/>
      </c>
      <c r="G1450" s="37" t="str">
        <f>IF(Agent08_Loans!B60="","",Agent08_Loans!G60)</f>
        <v/>
      </c>
      <c r="H1450" s="37" t="str">
        <f>IF(Agent08_Loans!B60="","",Agent08_Loans!H60)</f>
        <v/>
      </c>
      <c r="I1450" s="40" t="str">
        <f>IF(Agent08_Loans!B60="","",Agent08_Loans!I60)</f>
        <v/>
      </c>
      <c r="J1450" s="40" t="str">
        <f>IF(Agent08_Loans!B60="","",Agent08_Loans!J60)</f>
        <v/>
      </c>
      <c r="K1450" s="37" t="str">
        <f>IF(Agent08_Loans!B60="","",Agent08_Loans!K60)</f>
        <v/>
      </c>
      <c r="L1450" s="37" t="str">
        <f>IF(Agent08_Loans!B60="","",Agent08_Loans!L60)</f>
        <v/>
      </c>
      <c r="M1450" s="37" t="str">
        <f>IFERROR(IF(Agent08_Loans!B60="","",YEAR(Agent08_Loans!D60)),"")</f>
        <v/>
      </c>
    </row>
    <row r="1451" spans="1:13" ht="18" customHeight="1" x14ac:dyDescent="0.25">
      <c r="A1451" s="37" t="str">
        <f>IF(Agent08_Loans!B61="","",Agent08_Loans!A61)</f>
        <v/>
      </c>
      <c r="B1451" s="37" t="str">
        <f>IF(Agent08_Loans!B61="","",Agent08_Loans!B61)</f>
        <v/>
      </c>
      <c r="C1451" s="37" t="str">
        <f>IF(Agent08_Loans!B61="","",Agent08_Loans!C61)</f>
        <v/>
      </c>
      <c r="D1451" s="38" t="str">
        <f>IF(Agent08_Loans!B61="","",Agent08_Loans!D61)</f>
        <v/>
      </c>
      <c r="E1451" s="40" t="str">
        <f>IF(Agent08_Loans!B61="","",Agent08_Loans!E61)</f>
        <v/>
      </c>
      <c r="F1451" s="37" t="str">
        <f>IF(Agent08_Loans!B61="","",Agent08_Loans!F61)</f>
        <v/>
      </c>
      <c r="G1451" s="37" t="str">
        <f>IF(Agent08_Loans!B61="","",Agent08_Loans!G61)</f>
        <v/>
      </c>
      <c r="H1451" s="37" t="str">
        <f>IF(Agent08_Loans!B61="","",Agent08_Loans!H61)</f>
        <v/>
      </c>
      <c r="I1451" s="40" t="str">
        <f>IF(Agent08_Loans!B61="","",Agent08_Loans!I61)</f>
        <v/>
      </c>
      <c r="J1451" s="40" t="str">
        <f>IF(Agent08_Loans!B61="","",Agent08_Loans!J61)</f>
        <v/>
      </c>
      <c r="K1451" s="37" t="str">
        <f>IF(Agent08_Loans!B61="","",Agent08_Loans!K61)</f>
        <v/>
      </c>
      <c r="L1451" s="37" t="str">
        <f>IF(Agent08_Loans!B61="","",Agent08_Loans!L61)</f>
        <v/>
      </c>
      <c r="M1451" s="37" t="str">
        <f>IFERROR(IF(Agent08_Loans!B61="","",YEAR(Agent08_Loans!D61)),"")</f>
        <v/>
      </c>
    </row>
    <row r="1452" spans="1:13" ht="18" customHeight="1" x14ac:dyDescent="0.25">
      <c r="A1452" s="37" t="str">
        <f>IF(Agent08_Loans!B62="","",Agent08_Loans!A62)</f>
        <v/>
      </c>
      <c r="B1452" s="37" t="str">
        <f>IF(Agent08_Loans!B62="","",Agent08_Loans!B62)</f>
        <v/>
      </c>
      <c r="C1452" s="37" t="str">
        <f>IF(Agent08_Loans!B62="","",Agent08_Loans!C62)</f>
        <v/>
      </c>
      <c r="D1452" s="38" t="str">
        <f>IF(Agent08_Loans!B62="","",Agent08_Loans!D62)</f>
        <v/>
      </c>
      <c r="E1452" s="40" t="str">
        <f>IF(Agent08_Loans!B62="","",Agent08_Loans!E62)</f>
        <v/>
      </c>
      <c r="F1452" s="37" t="str">
        <f>IF(Agent08_Loans!B62="","",Agent08_Loans!F62)</f>
        <v/>
      </c>
      <c r="G1452" s="37" t="str">
        <f>IF(Agent08_Loans!B62="","",Agent08_Loans!G62)</f>
        <v/>
      </c>
      <c r="H1452" s="37" t="str">
        <f>IF(Agent08_Loans!B62="","",Agent08_Loans!H62)</f>
        <v/>
      </c>
      <c r="I1452" s="40" t="str">
        <f>IF(Agent08_Loans!B62="","",Agent08_Loans!I62)</f>
        <v/>
      </c>
      <c r="J1452" s="40" t="str">
        <f>IF(Agent08_Loans!B62="","",Agent08_Loans!J62)</f>
        <v/>
      </c>
      <c r="K1452" s="37" t="str">
        <f>IF(Agent08_Loans!B62="","",Agent08_Loans!K62)</f>
        <v/>
      </c>
      <c r="L1452" s="37" t="str">
        <f>IF(Agent08_Loans!B62="","",Agent08_Loans!L62)</f>
        <v/>
      </c>
      <c r="M1452" s="37" t="str">
        <f>IFERROR(IF(Agent08_Loans!B62="","",YEAR(Agent08_Loans!D62)),"")</f>
        <v/>
      </c>
    </row>
    <row r="1453" spans="1:13" ht="18" customHeight="1" x14ac:dyDescent="0.25">
      <c r="A1453" s="37" t="str">
        <f>IF(Agent08_Loans!B63="","",Agent08_Loans!A63)</f>
        <v/>
      </c>
      <c r="B1453" s="37" t="str">
        <f>IF(Agent08_Loans!B63="","",Agent08_Loans!B63)</f>
        <v/>
      </c>
      <c r="C1453" s="37" t="str">
        <f>IF(Agent08_Loans!B63="","",Agent08_Loans!C63)</f>
        <v/>
      </c>
      <c r="D1453" s="38" t="str">
        <f>IF(Agent08_Loans!B63="","",Agent08_Loans!D63)</f>
        <v/>
      </c>
      <c r="E1453" s="40" t="str">
        <f>IF(Agent08_Loans!B63="","",Agent08_Loans!E63)</f>
        <v/>
      </c>
      <c r="F1453" s="37" t="str">
        <f>IF(Agent08_Loans!B63="","",Agent08_Loans!F63)</f>
        <v/>
      </c>
      <c r="G1453" s="37" t="str">
        <f>IF(Agent08_Loans!B63="","",Agent08_Loans!G63)</f>
        <v/>
      </c>
      <c r="H1453" s="37" t="str">
        <f>IF(Agent08_Loans!B63="","",Agent08_Loans!H63)</f>
        <v/>
      </c>
      <c r="I1453" s="40" t="str">
        <f>IF(Agent08_Loans!B63="","",Agent08_Loans!I63)</f>
        <v/>
      </c>
      <c r="J1453" s="40" t="str">
        <f>IF(Agent08_Loans!B63="","",Agent08_Loans!J63)</f>
        <v/>
      </c>
      <c r="K1453" s="37" t="str">
        <f>IF(Agent08_Loans!B63="","",Agent08_Loans!K63)</f>
        <v/>
      </c>
      <c r="L1453" s="37" t="str">
        <f>IF(Agent08_Loans!B63="","",Agent08_Loans!L63)</f>
        <v/>
      </c>
      <c r="M1453" s="37" t="str">
        <f>IFERROR(IF(Agent08_Loans!B63="","",YEAR(Agent08_Loans!D63)),"")</f>
        <v/>
      </c>
    </row>
    <row r="1454" spans="1:13" ht="18" customHeight="1" x14ac:dyDescent="0.25">
      <c r="A1454" s="37" t="str">
        <f>IF(Agent08_Loans!B64="","",Agent08_Loans!A64)</f>
        <v/>
      </c>
      <c r="B1454" s="37" t="str">
        <f>IF(Agent08_Loans!B64="","",Agent08_Loans!B64)</f>
        <v/>
      </c>
      <c r="C1454" s="37" t="str">
        <f>IF(Agent08_Loans!B64="","",Agent08_Loans!C64)</f>
        <v/>
      </c>
      <c r="D1454" s="38" t="str">
        <f>IF(Agent08_Loans!B64="","",Agent08_Loans!D64)</f>
        <v/>
      </c>
      <c r="E1454" s="40" t="str">
        <f>IF(Agent08_Loans!B64="","",Agent08_Loans!E64)</f>
        <v/>
      </c>
      <c r="F1454" s="37" t="str">
        <f>IF(Agent08_Loans!B64="","",Agent08_Loans!F64)</f>
        <v/>
      </c>
      <c r="G1454" s="37" t="str">
        <f>IF(Agent08_Loans!B64="","",Agent08_Loans!G64)</f>
        <v/>
      </c>
      <c r="H1454" s="37" t="str">
        <f>IF(Agent08_Loans!B64="","",Agent08_Loans!H64)</f>
        <v/>
      </c>
      <c r="I1454" s="40" t="str">
        <f>IF(Agent08_Loans!B64="","",Agent08_Loans!I64)</f>
        <v/>
      </c>
      <c r="J1454" s="40" t="str">
        <f>IF(Agent08_Loans!B64="","",Agent08_Loans!J64)</f>
        <v/>
      </c>
      <c r="K1454" s="37" t="str">
        <f>IF(Agent08_Loans!B64="","",Agent08_Loans!K64)</f>
        <v/>
      </c>
      <c r="L1454" s="37" t="str">
        <f>IF(Agent08_Loans!B64="","",Agent08_Loans!L64)</f>
        <v/>
      </c>
      <c r="M1454" s="37" t="str">
        <f>IFERROR(IF(Agent08_Loans!B64="","",YEAR(Agent08_Loans!D64)),"")</f>
        <v/>
      </c>
    </row>
    <row r="1455" spans="1:13" ht="18" customHeight="1" x14ac:dyDescent="0.25">
      <c r="A1455" s="37" t="str">
        <f>IF(Agent08_Loans!B65="","",Agent08_Loans!A65)</f>
        <v/>
      </c>
      <c r="B1455" s="37" t="str">
        <f>IF(Agent08_Loans!B65="","",Agent08_Loans!B65)</f>
        <v/>
      </c>
      <c r="C1455" s="37" t="str">
        <f>IF(Agent08_Loans!B65="","",Agent08_Loans!C65)</f>
        <v/>
      </c>
      <c r="D1455" s="38" t="str">
        <f>IF(Agent08_Loans!B65="","",Agent08_Loans!D65)</f>
        <v/>
      </c>
      <c r="E1455" s="40" t="str">
        <f>IF(Agent08_Loans!B65="","",Agent08_Loans!E65)</f>
        <v/>
      </c>
      <c r="F1455" s="37" t="str">
        <f>IF(Agent08_Loans!B65="","",Agent08_Loans!F65)</f>
        <v/>
      </c>
      <c r="G1455" s="37" t="str">
        <f>IF(Agent08_Loans!B65="","",Agent08_Loans!G65)</f>
        <v/>
      </c>
      <c r="H1455" s="37" t="str">
        <f>IF(Agent08_Loans!B65="","",Agent08_Loans!H65)</f>
        <v/>
      </c>
      <c r="I1455" s="40" t="str">
        <f>IF(Agent08_Loans!B65="","",Agent08_Loans!I65)</f>
        <v/>
      </c>
      <c r="J1455" s="40" t="str">
        <f>IF(Agent08_Loans!B65="","",Agent08_Loans!J65)</f>
        <v/>
      </c>
      <c r="K1455" s="37" t="str">
        <f>IF(Agent08_Loans!B65="","",Agent08_Loans!K65)</f>
        <v/>
      </c>
      <c r="L1455" s="37" t="str">
        <f>IF(Agent08_Loans!B65="","",Agent08_Loans!L65)</f>
        <v/>
      </c>
      <c r="M1455" s="37" t="str">
        <f>IFERROR(IF(Agent08_Loans!B65="","",YEAR(Agent08_Loans!D65)),"")</f>
        <v/>
      </c>
    </row>
    <row r="1456" spans="1:13" ht="18" customHeight="1" x14ac:dyDescent="0.25">
      <c r="A1456" s="37" t="str">
        <f>IF(Agent08_Loans!B66="","",Agent08_Loans!A66)</f>
        <v/>
      </c>
      <c r="B1456" s="37" t="str">
        <f>IF(Agent08_Loans!B66="","",Agent08_Loans!B66)</f>
        <v/>
      </c>
      <c r="C1456" s="37" t="str">
        <f>IF(Agent08_Loans!B66="","",Agent08_Loans!C66)</f>
        <v/>
      </c>
      <c r="D1456" s="38" t="str">
        <f>IF(Agent08_Loans!B66="","",Agent08_Loans!D66)</f>
        <v/>
      </c>
      <c r="E1456" s="40" t="str">
        <f>IF(Agent08_Loans!B66="","",Agent08_Loans!E66)</f>
        <v/>
      </c>
      <c r="F1456" s="37" t="str">
        <f>IF(Agent08_Loans!B66="","",Agent08_Loans!F66)</f>
        <v/>
      </c>
      <c r="G1456" s="37" t="str">
        <f>IF(Agent08_Loans!B66="","",Agent08_Loans!G66)</f>
        <v/>
      </c>
      <c r="H1456" s="37" t="str">
        <f>IF(Agent08_Loans!B66="","",Agent08_Loans!H66)</f>
        <v/>
      </c>
      <c r="I1456" s="40" t="str">
        <f>IF(Agent08_Loans!B66="","",Agent08_Loans!I66)</f>
        <v/>
      </c>
      <c r="J1456" s="40" t="str">
        <f>IF(Agent08_Loans!B66="","",Agent08_Loans!J66)</f>
        <v/>
      </c>
      <c r="K1456" s="37" t="str">
        <f>IF(Agent08_Loans!B66="","",Agent08_Loans!K66)</f>
        <v/>
      </c>
      <c r="L1456" s="37" t="str">
        <f>IF(Agent08_Loans!B66="","",Agent08_Loans!L66)</f>
        <v/>
      </c>
      <c r="M1456" s="37" t="str">
        <f>IFERROR(IF(Agent08_Loans!B66="","",YEAR(Agent08_Loans!D66)),"")</f>
        <v/>
      </c>
    </row>
    <row r="1457" spans="1:13" ht="18" customHeight="1" x14ac:dyDescent="0.25">
      <c r="A1457" s="37" t="str">
        <f>IF(Agent08_Loans!B67="","",Agent08_Loans!A67)</f>
        <v/>
      </c>
      <c r="B1457" s="37" t="str">
        <f>IF(Agent08_Loans!B67="","",Agent08_Loans!B67)</f>
        <v/>
      </c>
      <c r="C1457" s="37" t="str">
        <f>IF(Agent08_Loans!B67="","",Agent08_Loans!C67)</f>
        <v/>
      </c>
      <c r="D1457" s="38" t="str">
        <f>IF(Agent08_Loans!B67="","",Agent08_Loans!D67)</f>
        <v/>
      </c>
      <c r="E1457" s="40" t="str">
        <f>IF(Agent08_Loans!B67="","",Agent08_Loans!E67)</f>
        <v/>
      </c>
      <c r="F1457" s="37" t="str">
        <f>IF(Agent08_Loans!B67="","",Agent08_Loans!F67)</f>
        <v/>
      </c>
      <c r="G1457" s="37" t="str">
        <f>IF(Agent08_Loans!B67="","",Agent08_Loans!G67)</f>
        <v/>
      </c>
      <c r="H1457" s="37" t="str">
        <f>IF(Agent08_Loans!B67="","",Agent08_Loans!H67)</f>
        <v/>
      </c>
      <c r="I1457" s="40" t="str">
        <f>IF(Agent08_Loans!B67="","",Agent08_Loans!I67)</f>
        <v/>
      </c>
      <c r="J1457" s="40" t="str">
        <f>IF(Agent08_Loans!B67="","",Agent08_Loans!J67)</f>
        <v/>
      </c>
      <c r="K1457" s="37" t="str">
        <f>IF(Agent08_Loans!B67="","",Agent08_Loans!K67)</f>
        <v/>
      </c>
      <c r="L1457" s="37" t="str">
        <f>IF(Agent08_Loans!B67="","",Agent08_Loans!L67)</f>
        <v/>
      </c>
      <c r="M1457" s="37" t="str">
        <f>IFERROR(IF(Agent08_Loans!B67="","",YEAR(Agent08_Loans!D67)),"")</f>
        <v/>
      </c>
    </row>
    <row r="1458" spans="1:13" ht="18" customHeight="1" x14ac:dyDescent="0.25">
      <c r="A1458" s="37" t="str">
        <f>IF(Agent08_Loans!B68="","",Agent08_Loans!A68)</f>
        <v/>
      </c>
      <c r="B1458" s="37" t="str">
        <f>IF(Agent08_Loans!B68="","",Agent08_Loans!B68)</f>
        <v/>
      </c>
      <c r="C1458" s="37" t="str">
        <f>IF(Agent08_Loans!B68="","",Agent08_Loans!C68)</f>
        <v/>
      </c>
      <c r="D1458" s="38" t="str">
        <f>IF(Agent08_Loans!B68="","",Agent08_Loans!D68)</f>
        <v/>
      </c>
      <c r="E1458" s="40" t="str">
        <f>IF(Agent08_Loans!B68="","",Agent08_Loans!E68)</f>
        <v/>
      </c>
      <c r="F1458" s="37" t="str">
        <f>IF(Agent08_Loans!B68="","",Agent08_Loans!F68)</f>
        <v/>
      </c>
      <c r="G1458" s="37" t="str">
        <f>IF(Agent08_Loans!B68="","",Agent08_Loans!G68)</f>
        <v/>
      </c>
      <c r="H1458" s="37" t="str">
        <f>IF(Agent08_Loans!B68="","",Agent08_Loans!H68)</f>
        <v/>
      </c>
      <c r="I1458" s="40" t="str">
        <f>IF(Agent08_Loans!B68="","",Agent08_Loans!I68)</f>
        <v/>
      </c>
      <c r="J1458" s="40" t="str">
        <f>IF(Agent08_Loans!B68="","",Agent08_Loans!J68)</f>
        <v/>
      </c>
      <c r="K1458" s="37" t="str">
        <f>IF(Agent08_Loans!B68="","",Agent08_Loans!K68)</f>
        <v/>
      </c>
      <c r="L1458" s="37" t="str">
        <f>IF(Agent08_Loans!B68="","",Agent08_Loans!L68)</f>
        <v/>
      </c>
      <c r="M1458" s="37" t="str">
        <f>IFERROR(IF(Agent08_Loans!B68="","",YEAR(Agent08_Loans!D68)),"")</f>
        <v/>
      </c>
    </row>
    <row r="1459" spans="1:13" ht="18" customHeight="1" x14ac:dyDescent="0.25">
      <c r="A1459" s="37" t="str">
        <f>IF(Agent08_Loans!B69="","",Agent08_Loans!A69)</f>
        <v/>
      </c>
      <c r="B1459" s="37" t="str">
        <f>IF(Agent08_Loans!B69="","",Agent08_Loans!B69)</f>
        <v/>
      </c>
      <c r="C1459" s="37" t="str">
        <f>IF(Agent08_Loans!B69="","",Agent08_Loans!C69)</f>
        <v/>
      </c>
      <c r="D1459" s="38" t="str">
        <f>IF(Agent08_Loans!B69="","",Agent08_Loans!D69)</f>
        <v/>
      </c>
      <c r="E1459" s="40" t="str">
        <f>IF(Agent08_Loans!B69="","",Agent08_Loans!E69)</f>
        <v/>
      </c>
      <c r="F1459" s="37" t="str">
        <f>IF(Agent08_Loans!B69="","",Agent08_Loans!F69)</f>
        <v/>
      </c>
      <c r="G1459" s="37" t="str">
        <f>IF(Agent08_Loans!B69="","",Agent08_Loans!G69)</f>
        <v/>
      </c>
      <c r="H1459" s="37" t="str">
        <f>IF(Agent08_Loans!B69="","",Agent08_Loans!H69)</f>
        <v/>
      </c>
      <c r="I1459" s="40" t="str">
        <f>IF(Agent08_Loans!B69="","",Agent08_Loans!I69)</f>
        <v/>
      </c>
      <c r="J1459" s="40" t="str">
        <f>IF(Agent08_Loans!B69="","",Agent08_Loans!J69)</f>
        <v/>
      </c>
      <c r="K1459" s="37" t="str">
        <f>IF(Agent08_Loans!B69="","",Agent08_Loans!K69)</f>
        <v/>
      </c>
      <c r="L1459" s="37" t="str">
        <f>IF(Agent08_Loans!B69="","",Agent08_Loans!L69)</f>
        <v/>
      </c>
      <c r="M1459" s="37" t="str">
        <f>IFERROR(IF(Agent08_Loans!B69="","",YEAR(Agent08_Loans!D69)),"")</f>
        <v/>
      </c>
    </row>
    <row r="1460" spans="1:13" ht="18" customHeight="1" x14ac:dyDescent="0.25">
      <c r="A1460" s="37" t="str">
        <f>IF(Agent08_Loans!B70="","",Agent08_Loans!A70)</f>
        <v/>
      </c>
      <c r="B1460" s="37" t="str">
        <f>IF(Agent08_Loans!B70="","",Agent08_Loans!B70)</f>
        <v/>
      </c>
      <c r="C1460" s="37" t="str">
        <f>IF(Agent08_Loans!B70="","",Agent08_Loans!C70)</f>
        <v/>
      </c>
      <c r="D1460" s="38" t="str">
        <f>IF(Agent08_Loans!B70="","",Agent08_Loans!D70)</f>
        <v/>
      </c>
      <c r="E1460" s="40" t="str">
        <f>IF(Agent08_Loans!B70="","",Agent08_Loans!E70)</f>
        <v/>
      </c>
      <c r="F1460" s="37" t="str">
        <f>IF(Agent08_Loans!B70="","",Agent08_Loans!F70)</f>
        <v/>
      </c>
      <c r="G1460" s="37" t="str">
        <f>IF(Agent08_Loans!B70="","",Agent08_Loans!G70)</f>
        <v/>
      </c>
      <c r="H1460" s="37" t="str">
        <f>IF(Agent08_Loans!B70="","",Agent08_Loans!H70)</f>
        <v/>
      </c>
      <c r="I1460" s="40" t="str">
        <f>IF(Agent08_Loans!B70="","",Agent08_Loans!I70)</f>
        <v/>
      </c>
      <c r="J1460" s="40" t="str">
        <f>IF(Agent08_Loans!B70="","",Agent08_Loans!J70)</f>
        <v/>
      </c>
      <c r="K1460" s="37" t="str">
        <f>IF(Agent08_Loans!B70="","",Agent08_Loans!K70)</f>
        <v/>
      </c>
      <c r="L1460" s="37" t="str">
        <f>IF(Agent08_Loans!B70="","",Agent08_Loans!L70)</f>
        <v/>
      </c>
      <c r="M1460" s="37" t="str">
        <f>IFERROR(IF(Agent08_Loans!B70="","",YEAR(Agent08_Loans!D70)),"")</f>
        <v/>
      </c>
    </row>
    <row r="1461" spans="1:13" ht="18" customHeight="1" x14ac:dyDescent="0.25">
      <c r="A1461" s="37" t="str">
        <f>IF(Agent08_Loans!B71="","",Agent08_Loans!A71)</f>
        <v/>
      </c>
      <c r="B1461" s="37" t="str">
        <f>IF(Agent08_Loans!B71="","",Agent08_Loans!B71)</f>
        <v/>
      </c>
      <c r="C1461" s="37" t="str">
        <f>IF(Agent08_Loans!B71="","",Agent08_Loans!C71)</f>
        <v/>
      </c>
      <c r="D1461" s="38" t="str">
        <f>IF(Agent08_Loans!B71="","",Agent08_Loans!D71)</f>
        <v/>
      </c>
      <c r="E1461" s="40" t="str">
        <f>IF(Agent08_Loans!B71="","",Agent08_Loans!E71)</f>
        <v/>
      </c>
      <c r="F1461" s="37" t="str">
        <f>IF(Agent08_Loans!B71="","",Agent08_Loans!F71)</f>
        <v/>
      </c>
      <c r="G1461" s="37" t="str">
        <f>IF(Agent08_Loans!B71="","",Agent08_Loans!G71)</f>
        <v/>
      </c>
      <c r="H1461" s="37" t="str">
        <f>IF(Agent08_Loans!B71="","",Agent08_Loans!H71)</f>
        <v/>
      </c>
      <c r="I1461" s="40" t="str">
        <f>IF(Agent08_Loans!B71="","",Agent08_Loans!I71)</f>
        <v/>
      </c>
      <c r="J1461" s="40" t="str">
        <f>IF(Agent08_Loans!B71="","",Agent08_Loans!J71)</f>
        <v/>
      </c>
      <c r="K1461" s="37" t="str">
        <f>IF(Agent08_Loans!B71="","",Agent08_Loans!K71)</f>
        <v/>
      </c>
      <c r="L1461" s="37" t="str">
        <f>IF(Agent08_Loans!B71="","",Agent08_Loans!L71)</f>
        <v/>
      </c>
      <c r="M1461" s="37" t="str">
        <f>IFERROR(IF(Agent08_Loans!B71="","",YEAR(Agent08_Loans!D71)),"")</f>
        <v/>
      </c>
    </row>
    <row r="1462" spans="1:13" ht="18" customHeight="1" x14ac:dyDescent="0.25">
      <c r="A1462" s="37" t="str">
        <f>IF(Agent08_Loans!B72="","",Agent08_Loans!A72)</f>
        <v/>
      </c>
      <c r="B1462" s="37" t="str">
        <f>IF(Agent08_Loans!B72="","",Agent08_Loans!B72)</f>
        <v/>
      </c>
      <c r="C1462" s="37" t="str">
        <f>IF(Agent08_Loans!B72="","",Agent08_Loans!C72)</f>
        <v/>
      </c>
      <c r="D1462" s="38" t="str">
        <f>IF(Agent08_Loans!B72="","",Agent08_Loans!D72)</f>
        <v/>
      </c>
      <c r="E1462" s="40" t="str">
        <f>IF(Agent08_Loans!B72="","",Agent08_Loans!E72)</f>
        <v/>
      </c>
      <c r="F1462" s="37" t="str">
        <f>IF(Agent08_Loans!B72="","",Agent08_Loans!F72)</f>
        <v/>
      </c>
      <c r="G1462" s="37" t="str">
        <f>IF(Agent08_Loans!B72="","",Agent08_Loans!G72)</f>
        <v/>
      </c>
      <c r="H1462" s="37" t="str">
        <f>IF(Agent08_Loans!B72="","",Agent08_Loans!H72)</f>
        <v/>
      </c>
      <c r="I1462" s="40" t="str">
        <f>IF(Agent08_Loans!B72="","",Agent08_Loans!I72)</f>
        <v/>
      </c>
      <c r="J1462" s="40" t="str">
        <f>IF(Agent08_Loans!B72="","",Agent08_Loans!J72)</f>
        <v/>
      </c>
      <c r="K1462" s="37" t="str">
        <f>IF(Agent08_Loans!B72="","",Agent08_Loans!K72)</f>
        <v/>
      </c>
      <c r="L1462" s="37" t="str">
        <f>IF(Agent08_Loans!B72="","",Agent08_Loans!L72)</f>
        <v/>
      </c>
      <c r="M1462" s="37" t="str">
        <f>IFERROR(IF(Agent08_Loans!B72="","",YEAR(Agent08_Loans!D72)),"")</f>
        <v/>
      </c>
    </row>
    <row r="1463" spans="1:13" ht="18" customHeight="1" x14ac:dyDescent="0.25">
      <c r="A1463" s="37" t="str">
        <f>IF(Agent08_Loans!B73="","",Agent08_Loans!A73)</f>
        <v/>
      </c>
      <c r="B1463" s="37" t="str">
        <f>IF(Agent08_Loans!B73="","",Agent08_Loans!B73)</f>
        <v/>
      </c>
      <c r="C1463" s="37" t="str">
        <f>IF(Agent08_Loans!B73="","",Agent08_Loans!C73)</f>
        <v/>
      </c>
      <c r="D1463" s="38" t="str">
        <f>IF(Agent08_Loans!B73="","",Agent08_Loans!D73)</f>
        <v/>
      </c>
      <c r="E1463" s="40" t="str">
        <f>IF(Agent08_Loans!B73="","",Agent08_Loans!E73)</f>
        <v/>
      </c>
      <c r="F1463" s="37" t="str">
        <f>IF(Agent08_Loans!B73="","",Agent08_Loans!F73)</f>
        <v/>
      </c>
      <c r="G1463" s="37" t="str">
        <f>IF(Agent08_Loans!B73="","",Agent08_Loans!G73)</f>
        <v/>
      </c>
      <c r="H1463" s="37" t="str">
        <f>IF(Agent08_Loans!B73="","",Agent08_Loans!H73)</f>
        <v/>
      </c>
      <c r="I1463" s="40" t="str">
        <f>IF(Agent08_Loans!B73="","",Agent08_Loans!I73)</f>
        <v/>
      </c>
      <c r="J1463" s="40" t="str">
        <f>IF(Agent08_Loans!B73="","",Agent08_Loans!J73)</f>
        <v/>
      </c>
      <c r="K1463" s="37" t="str">
        <f>IF(Agent08_Loans!B73="","",Agent08_Loans!K73)</f>
        <v/>
      </c>
      <c r="L1463" s="37" t="str">
        <f>IF(Agent08_Loans!B73="","",Agent08_Loans!L73)</f>
        <v/>
      </c>
      <c r="M1463" s="37" t="str">
        <f>IFERROR(IF(Agent08_Loans!B73="","",YEAR(Agent08_Loans!D73)),"")</f>
        <v/>
      </c>
    </row>
    <row r="1464" spans="1:13" ht="18" customHeight="1" x14ac:dyDescent="0.25">
      <c r="A1464" s="37" t="str">
        <f>IF(Agent08_Loans!B74="","",Agent08_Loans!A74)</f>
        <v/>
      </c>
      <c r="B1464" s="37" t="str">
        <f>IF(Agent08_Loans!B74="","",Agent08_Loans!B74)</f>
        <v/>
      </c>
      <c r="C1464" s="37" t="str">
        <f>IF(Agent08_Loans!B74="","",Agent08_Loans!C74)</f>
        <v/>
      </c>
      <c r="D1464" s="38" t="str">
        <f>IF(Agent08_Loans!B74="","",Agent08_Loans!D74)</f>
        <v/>
      </c>
      <c r="E1464" s="40" t="str">
        <f>IF(Agent08_Loans!B74="","",Agent08_Loans!E74)</f>
        <v/>
      </c>
      <c r="F1464" s="37" t="str">
        <f>IF(Agent08_Loans!B74="","",Agent08_Loans!F74)</f>
        <v/>
      </c>
      <c r="G1464" s="37" t="str">
        <f>IF(Agent08_Loans!B74="","",Agent08_Loans!G74)</f>
        <v/>
      </c>
      <c r="H1464" s="37" t="str">
        <f>IF(Agent08_Loans!B74="","",Agent08_Loans!H74)</f>
        <v/>
      </c>
      <c r="I1464" s="40" t="str">
        <f>IF(Agent08_Loans!B74="","",Agent08_Loans!I74)</f>
        <v/>
      </c>
      <c r="J1464" s="40" t="str">
        <f>IF(Agent08_Loans!B74="","",Agent08_Loans!J74)</f>
        <v/>
      </c>
      <c r="K1464" s="37" t="str">
        <f>IF(Agent08_Loans!B74="","",Agent08_Loans!K74)</f>
        <v/>
      </c>
      <c r="L1464" s="37" t="str">
        <f>IF(Agent08_Loans!B74="","",Agent08_Loans!L74)</f>
        <v/>
      </c>
      <c r="M1464" s="37" t="str">
        <f>IFERROR(IF(Agent08_Loans!B74="","",YEAR(Agent08_Loans!D74)),"")</f>
        <v/>
      </c>
    </row>
    <row r="1465" spans="1:13" ht="18" customHeight="1" x14ac:dyDescent="0.25">
      <c r="A1465" s="37" t="str">
        <f>IF(Agent08_Loans!B75="","",Agent08_Loans!A75)</f>
        <v/>
      </c>
      <c r="B1465" s="37" t="str">
        <f>IF(Agent08_Loans!B75="","",Agent08_Loans!B75)</f>
        <v/>
      </c>
      <c r="C1465" s="37" t="str">
        <f>IF(Agent08_Loans!B75="","",Agent08_Loans!C75)</f>
        <v/>
      </c>
      <c r="D1465" s="38" t="str">
        <f>IF(Agent08_Loans!B75="","",Agent08_Loans!D75)</f>
        <v/>
      </c>
      <c r="E1465" s="40" t="str">
        <f>IF(Agent08_Loans!B75="","",Agent08_Loans!E75)</f>
        <v/>
      </c>
      <c r="F1465" s="37" t="str">
        <f>IF(Agent08_Loans!B75="","",Agent08_Loans!F75)</f>
        <v/>
      </c>
      <c r="G1465" s="37" t="str">
        <f>IF(Agent08_Loans!B75="","",Agent08_Loans!G75)</f>
        <v/>
      </c>
      <c r="H1465" s="37" t="str">
        <f>IF(Agent08_Loans!B75="","",Agent08_Loans!H75)</f>
        <v/>
      </c>
      <c r="I1465" s="40" t="str">
        <f>IF(Agent08_Loans!B75="","",Agent08_Loans!I75)</f>
        <v/>
      </c>
      <c r="J1465" s="40" t="str">
        <f>IF(Agent08_Loans!B75="","",Agent08_Loans!J75)</f>
        <v/>
      </c>
      <c r="K1465" s="37" t="str">
        <f>IF(Agent08_Loans!B75="","",Agent08_Loans!K75)</f>
        <v/>
      </c>
      <c r="L1465" s="37" t="str">
        <f>IF(Agent08_Loans!B75="","",Agent08_Loans!L75)</f>
        <v/>
      </c>
      <c r="M1465" s="37" t="str">
        <f>IFERROR(IF(Agent08_Loans!B75="","",YEAR(Agent08_Loans!D75)),"")</f>
        <v/>
      </c>
    </row>
    <row r="1466" spans="1:13" ht="18" customHeight="1" x14ac:dyDescent="0.25">
      <c r="A1466" s="37" t="str">
        <f>IF(Agent08_Loans!B76="","",Agent08_Loans!A76)</f>
        <v/>
      </c>
      <c r="B1466" s="37" t="str">
        <f>IF(Agent08_Loans!B76="","",Agent08_Loans!B76)</f>
        <v/>
      </c>
      <c r="C1466" s="37" t="str">
        <f>IF(Agent08_Loans!B76="","",Agent08_Loans!C76)</f>
        <v/>
      </c>
      <c r="D1466" s="38" t="str">
        <f>IF(Agent08_Loans!B76="","",Agent08_Loans!D76)</f>
        <v/>
      </c>
      <c r="E1466" s="40" t="str">
        <f>IF(Agent08_Loans!B76="","",Agent08_Loans!E76)</f>
        <v/>
      </c>
      <c r="F1466" s="37" t="str">
        <f>IF(Agent08_Loans!B76="","",Agent08_Loans!F76)</f>
        <v/>
      </c>
      <c r="G1466" s="37" t="str">
        <f>IF(Agent08_Loans!B76="","",Agent08_Loans!G76)</f>
        <v/>
      </c>
      <c r="H1466" s="37" t="str">
        <f>IF(Agent08_Loans!B76="","",Agent08_Loans!H76)</f>
        <v/>
      </c>
      <c r="I1466" s="40" t="str">
        <f>IF(Agent08_Loans!B76="","",Agent08_Loans!I76)</f>
        <v/>
      </c>
      <c r="J1466" s="40" t="str">
        <f>IF(Agent08_Loans!B76="","",Agent08_Loans!J76)</f>
        <v/>
      </c>
      <c r="K1466" s="37" t="str">
        <f>IF(Agent08_Loans!B76="","",Agent08_Loans!K76)</f>
        <v/>
      </c>
      <c r="L1466" s="37" t="str">
        <f>IF(Agent08_Loans!B76="","",Agent08_Loans!L76)</f>
        <v/>
      </c>
      <c r="M1466" s="37" t="str">
        <f>IFERROR(IF(Agent08_Loans!B76="","",YEAR(Agent08_Loans!D76)),"")</f>
        <v/>
      </c>
    </row>
    <row r="1467" spans="1:13" ht="18" customHeight="1" x14ac:dyDescent="0.25">
      <c r="A1467" s="37" t="str">
        <f>IF(Agent08_Loans!B77="","",Agent08_Loans!A77)</f>
        <v/>
      </c>
      <c r="B1467" s="37" t="str">
        <f>IF(Agent08_Loans!B77="","",Agent08_Loans!B77)</f>
        <v/>
      </c>
      <c r="C1467" s="37" t="str">
        <f>IF(Agent08_Loans!B77="","",Agent08_Loans!C77)</f>
        <v/>
      </c>
      <c r="D1467" s="38" t="str">
        <f>IF(Agent08_Loans!B77="","",Agent08_Loans!D77)</f>
        <v/>
      </c>
      <c r="E1467" s="40" t="str">
        <f>IF(Agent08_Loans!B77="","",Agent08_Loans!E77)</f>
        <v/>
      </c>
      <c r="F1467" s="37" t="str">
        <f>IF(Agent08_Loans!B77="","",Agent08_Loans!F77)</f>
        <v/>
      </c>
      <c r="G1467" s="37" t="str">
        <f>IF(Agent08_Loans!B77="","",Agent08_Loans!G77)</f>
        <v/>
      </c>
      <c r="H1467" s="37" t="str">
        <f>IF(Agent08_Loans!B77="","",Agent08_Loans!H77)</f>
        <v/>
      </c>
      <c r="I1467" s="40" t="str">
        <f>IF(Agent08_Loans!B77="","",Agent08_Loans!I77)</f>
        <v/>
      </c>
      <c r="J1467" s="40" t="str">
        <f>IF(Agent08_Loans!B77="","",Agent08_Loans!J77)</f>
        <v/>
      </c>
      <c r="K1467" s="37" t="str">
        <f>IF(Agent08_Loans!B77="","",Agent08_Loans!K77)</f>
        <v/>
      </c>
      <c r="L1467" s="37" t="str">
        <f>IF(Agent08_Loans!B77="","",Agent08_Loans!L77)</f>
        <v/>
      </c>
      <c r="M1467" s="37" t="str">
        <f>IFERROR(IF(Agent08_Loans!B77="","",YEAR(Agent08_Loans!D77)),"")</f>
        <v/>
      </c>
    </row>
    <row r="1468" spans="1:13" ht="18" customHeight="1" x14ac:dyDescent="0.25">
      <c r="A1468" s="37" t="str">
        <f>IF(Agent08_Loans!B78="","",Agent08_Loans!A78)</f>
        <v/>
      </c>
      <c r="B1468" s="37" t="str">
        <f>IF(Agent08_Loans!B78="","",Agent08_Loans!B78)</f>
        <v/>
      </c>
      <c r="C1468" s="37" t="str">
        <f>IF(Agent08_Loans!B78="","",Agent08_Loans!C78)</f>
        <v/>
      </c>
      <c r="D1468" s="38" t="str">
        <f>IF(Agent08_Loans!B78="","",Agent08_Loans!D78)</f>
        <v/>
      </c>
      <c r="E1468" s="40" t="str">
        <f>IF(Agent08_Loans!B78="","",Agent08_Loans!E78)</f>
        <v/>
      </c>
      <c r="F1468" s="37" t="str">
        <f>IF(Agent08_Loans!B78="","",Agent08_Loans!F78)</f>
        <v/>
      </c>
      <c r="G1468" s="37" t="str">
        <f>IF(Agent08_Loans!B78="","",Agent08_Loans!G78)</f>
        <v/>
      </c>
      <c r="H1468" s="37" t="str">
        <f>IF(Agent08_Loans!B78="","",Agent08_Loans!H78)</f>
        <v/>
      </c>
      <c r="I1468" s="40" t="str">
        <f>IF(Agent08_Loans!B78="","",Agent08_Loans!I78)</f>
        <v/>
      </c>
      <c r="J1468" s="40" t="str">
        <f>IF(Agent08_Loans!B78="","",Agent08_Loans!J78)</f>
        <v/>
      </c>
      <c r="K1468" s="37" t="str">
        <f>IF(Agent08_Loans!B78="","",Agent08_Loans!K78)</f>
        <v/>
      </c>
      <c r="L1468" s="37" t="str">
        <f>IF(Agent08_Loans!B78="","",Agent08_Loans!L78)</f>
        <v/>
      </c>
      <c r="M1468" s="37" t="str">
        <f>IFERROR(IF(Agent08_Loans!B78="","",YEAR(Agent08_Loans!D78)),"")</f>
        <v/>
      </c>
    </row>
    <row r="1469" spans="1:13" ht="18" customHeight="1" x14ac:dyDescent="0.25">
      <c r="A1469" s="37" t="str">
        <f>IF(Agent08_Loans!B79="","",Agent08_Loans!A79)</f>
        <v/>
      </c>
      <c r="B1469" s="37" t="str">
        <f>IF(Agent08_Loans!B79="","",Agent08_Loans!B79)</f>
        <v/>
      </c>
      <c r="C1469" s="37" t="str">
        <f>IF(Agent08_Loans!B79="","",Agent08_Loans!C79)</f>
        <v/>
      </c>
      <c r="D1469" s="38" t="str">
        <f>IF(Agent08_Loans!B79="","",Agent08_Loans!D79)</f>
        <v/>
      </c>
      <c r="E1469" s="40" t="str">
        <f>IF(Agent08_Loans!B79="","",Agent08_Loans!E79)</f>
        <v/>
      </c>
      <c r="F1469" s="37" t="str">
        <f>IF(Agent08_Loans!B79="","",Agent08_Loans!F79)</f>
        <v/>
      </c>
      <c r="G1469" s="37" t="str">
        <f>IF(Agent08_Loans!B79="","",Agent08_Loans!G79)</f>
        <v/>
      </c>
      <c r="H1469" s="37" t="str">
        <f>IF(Agent08_Loans!B79="","",Agent08_Loans!H79)</f>
        <v/>
      </c>
      <c r="I1469" s="40" t="str">
        <f>IF(Agent08_Loans!B79="","",Agent08_Loans!I79)</f>
        <v/>
      </c>
      <c r="J1469" s="40" t="str">
        <f>IF(Agent08_Loans!B79="","",Agent08_Loans!J79)</f>
        <v/>
      </c>
      <c r="K1469" s="37" t="str">
        <f>IF(Agent08_Loans!B79="","",Agent08_Loans!K79)</f>
        <v/>
      </c>
      <c r="L1469" s="37" t="str">
        <f>IF(Agent08_Loans!B79="","",Agent08_Loans!L79)</f>
        <v/>
      </c>
      <c r="M1469" s="37" t="str">
        <f>IFERROR(IF(Agent08_Loans!B79="","",YEAR(Agent08_Loans!D79)),"")</f>
        <v/>
      </c>
    </row>
    <row r="1470" spans="1:13" ht="18" customHeight="1" x14ac:dyDescent="0.25">
      <c r="A1470" s="37" t="str">
        <f>IF(Agent08_Loans!B80="","",Agent08_Loans!A80)</f>
        <v/>
      </c>
      <c r="B1470" s="37" t="str">
        <f>IF(Agent08_Loans!B80="","",Agent08_Loans!B80)</f>
        <v/>
      </c>
      <c r="C1470" s="37" t="str">
        <f>IF(Agent08_Loans!B80="","",Agent08_Loans!C80)</f>
        <v/>
      </c>
      <c r="D1470" s="38" t="str">
        <f>IF(Agent08_Loans!B80="","",Agent08_Loans!D80)</f>
        <v/>
      </c>
      <c r="E1470" s="40" t="str">
        <f>IF(Agent08_Loans!B80="","",Agent08_Loans!E80)</f>
        <v/>
      </c>
      <c r="F1470" s="37" t="str">
        <f>IF(Agent08_Loans!B80="","",Agent08_Loans!F80)</f>
        <v/>
      </c>
      <c r="G1470" s="37" t="str">
        <f>IF(Agent08_Loans!B80="","",Agent08_Loans!G80)</f>
        <v/>
      </c>
      <c r="H1470" s="37" t="str">
        <f>IF(Agent08_Loans!B80="","",Agent08_Loans!H80)</f>
        <v/>
      </c>
      <c r="I1470" s="40" t="str">
        <f>IF(Agent08_Loans!B80="","",Agent08_Loans!I80)</f>
        <v/>
      </c>
      <c r="J1470" s="40" t="str">
        <f>IF(Agent08_Loans!B80="","",Agent08_Loans!J80)</f>
        <v/>
      </c>
      <c r="K1470" s="37" t="str">
        <f>IF(Agent08_Loans!B80="","",Agent08_Loans!K80)</f>
        <v/>
      </c>
      <c r="L1470" s="37" t="str">
        <f>IF(Agent08_Loans!B80="","",Agent08_Loans!L80)</f>
        <v/>
      </c>
      <c r="M1470" s="37" t="str">
        <f>IFERROR(IF(Agent08_Loans!B80="","",YEAR(Agent08_Loans!D80)),"")</f>
        <v/>
      </c>
    </row>
    <row r="1471" spans="1:13" ht="18" customHeight="1" x14ac:dyDescent="0.25">
      <c r="A1471" s="37" t="str">
        <f>IF(Agent08_Loans!B81="","",Agent08_Loans!A81)</f>
        <v/>
      </c>
      <c r="B1471" s="37" t="str">
        <f>IF(Agent08_Loans!B81="","",Agent08_Loans!B81)</f>
        <v/>
      </c>
      <c r="C1471" s="37" t="str">
        <f>IF(Agent08_Loans!B81="","",Agent08_Loans!C81)</f>
        <v/>
      </c>
      <c r="D1471" s="38" t="str">
        <f>IF(Agent08_Loans!B81="","",Agent08_Loans!D81)</f>
        <v/>
      </c>
      <c r="E1471" s="40" t="str">
        <f>IF(Agent08_Loans!B81="","",Agent08_Loans!E81)</f>
        <v/>
      </c>
      <c r="F1471" s="37" t="str">
        <f>IF(Agent08_Loans!B81="","",Agent08_Loans!F81)</f>
        <v/>
      </c>
      <c r="G1471" s="37" t="str">
        <f>IF(Agent08_Loans!B81="","",Agent08_Loans!G81)</f>
        <v/>
      </c>
      <c r="H1471" s="37" t="str">
        <f>IF(Agent08_Loans!B81="","",Agent08_Loans!H81)</f>
        <v/>
      </c>
      <c r="I1471" s="40" t="str">
        <f>IF(Agent08_Loans!B81="","",Agent08_Loans!I81)</f>
        <v/>
      </c>
      <c r="J1471" s="40" t="str">
        <f>IF(Agent08_Loans!B81="","",Agent08_Loans!J81)</f>
        <v/>
      </c>
      <c r="K1471" s="37" t="str">
        <f>IF(Agent08_Loans!B81="","",Agent08_Loans!K81)</f>
        <v/>
      </c>
      <c r="L1471" s="37" t="str">
        <f>IF(Agent08_Loans!B81="","",Agent08_Loans!L81)</f>
        <v/>
      </c>
      <c r="M1471" s="37" t="str">
        <f>IFERROR(IF(Agent08_Loans!B81="","",YEAR(Agent08_Loans!D81)),"")</f>
        <v/>
      </c>
    </row>
    <row r="1472" spans="1:13" ht="18" customHeight="1" x14ac:dyDescent="0.25">
      <c r="A1472" s="37" t="str">
        <f>IF(Agent08_Loans!B82="","",Agent08_Loans!A82)</f>
        <v/>
      </c>
      <c r="B1472" s="37" t="str">
        <f>IF(Agent08_Loans!B82="","",Agent08_Loans!B82)</f>
        <v/>
      </c>
      <c r="C1472" s="37" t="str">
        <f>IF(Agent08_Loans!B82="","",Agent08_Loans!C82)</f>
        <v/>
      </c>
      <c r="D1472" s="38" t="str">
        <f>IF(Agent08_Loans!B82="","",Agent08_Loans!D82)</f>
        <v/>
      </c>
      <c r="E1472" s="40" t="str">
        <f>IF(Agent08_Loans!B82="","",Agent08_Loans!E82)</f>
        <v/>
      </c>
      <c r="F1472" s="37" t="str">
        <f>IF(Agent08_Loans!B82="","",Agent08_Loans!F82)</f>
        <v/>
      </c>
      <c r="G1472" s="37" t="str">
        <f>IF(Agent08_Loans!B82="","",Agent08_Loans!G82)</f>
        <v/>
      </c>
      <c r="H1472" s="37" t="str">
        <f>IF(Agent08_Loans!B82="","",Agent08_Loans!H82)</f>
        <v/>
      </c>
      <c r="I1472" s="40" t="str">
        <f>IF(Agent08_Loans!B82="","",Agent08_Loans!I82)</f>
        <v/>
      </c>
      <c r="J1472" s="40" t="str">
        <f>IF(Agent08_Loans!B82="","",Agent08_Loans!J82)</f>
        <v/>
      </c>
      <c r="K1472" s="37" t="str">
        <f>IF(Agent08_Loans!B82="","",Agent08_Loans!K82)</f>
        <v/>
      </c>
      <c r="L1472" s="37" t="str">
        <f>IF(Agent08_Loans!B82="","",Agent08_Loans!L82)</f>
        <v/>
      </c>
      <c r="M1472" s="37" t="str">
        <f>IFERROR(IF(Agent08_Loans!B82="","",YEAR(Agent08_Loans!D82)),"")</f>
        <v/>
      </c>
    </row>
    <row r="1473" spans="1:13" ht="18" customHeight="1" x14ac:dyDescent="0.25">
      <c r="A1473" s="37" t="str">
        <f>IF(Agent08_Loans!B83="","",Agent08_Loans!A83)</f>
        <v/>
      </c>
      <c r="B1473" s="37" t="str">
        <f>IF(Agent08_Loans!B83="","",Agent08_Loans!B83)</f>
        <v/>
      </c>
      <c r="C1473" s="37" t="str">
        <f>IF(Agent08_Loans!B83="","",Agent08_Loans!C83)</f>
        <v/>
      </c>
      <c r="D1473" s="38" t="str">
        <f>IF(Agent08_Loans!B83="","",Agent08_Loans!D83)</f>
        <v/>
      </c>
      <c r="E1473" s="40" t="str">
        <f>IF(Agent08_Loans!B83="","",Agent08_Loans!E83)</f>
        <v/>
      </c>
      <c r="F1473" s="37" t="str">
        <f>IF(Agent08_Loans!B83="","",Agent08_Loans!F83)</f>
        <v/>
      </c>
      <c r="G1473" s="37" t="str">
        <f>IF(Agent08_Loans!B83="","",Agent08_Loans!G83)</f>
        <v/>
      </c>
      <c r="H1473" s="37" t="str">
        <f>IF(Agent08_Loans!B83="","",Agent08_Loans!H83)</f>
        <v/>
      </c>
      <c r="I1473" s="40" t="str">
        <f>IF(Agent08_Loans!B83="","",Agent08_Loans!I83)</f>
        <v/>
      </c>
      <c r="J1473" s="40" t="str">
        <f>IF(Agent08_Loans!B83="","",Agent08_Loans!J83)</f>
        <v/>
      </c>
      <c r="K1473" s="37" t="str">
        <f>IF(Agent08_Loans!B83="","",Agent08_Loans!K83)</f>
        <v/>
      </c>
      <c r="L1473" s="37" t="str">
        <f>IF(Agent08_Loans!B83="","",Agent08_Loans!L83)</f>
        <v/>
      </c>
      <c r="M1473" s="37" t="str">
        <f>IFERROR(IF(Agent08_Loans!B83="","",YEAR(Agent08_Loans!D83)),"")</f>
        <v/>
      </c>
    </row>
    <row r="1474" spans="1:13" ht="18" customHeight="1" x14ac:dyDescent="0.25">
      <c r="A1474" s="37" t="str">
        <f>IF(Agent08_Loans!B84="","",Agent08_Loans!A84)</f>
        <v/>
      </c>
      <c r="B1474" s="37" t="str">
        <f>IF(Agent08_Loans!B84="","",Agent08_Loans!B84)</f>
        <v/>
      </c>
      <c r="C1474" s="37" t="str">
        <f>IF(Agent08_Loans!B84="","",Agent08_Loans!C84)</f>
        <v/>
      </c>
      <c r="D1474" s="38" t="str">
        <f>IF(Agent08_Loans!B84="","",Agent08_Loans!D84)</f>
        <v/>
      </c>
      <c r="E1474" s="40" t="str">
        <f>IF(Agent08_Loans!B84="","",Agent08_Loans!E84)</f>
        <v/>
      </c>
      <c r="F1474" s="37" t="str">
        <f>IF(Agent08_Loans!B84="","",Agent08_Loans!F84)</f>
        <v/>
      </c>
      <c r="G1474" s="37" t="str">
        <f>IF(Agent08_Loans!B84="","",Agent08_Loans!G84)</f>
        <v/>
      </c>
      <c r="H1474" s="37" t="str">
        <f>IF(Agent08_Loans!B84="","",Agent08_Loans!H84)</f>
        <v/>
      </c>
      <c r="I1474" s="40" t="str">
        <f>IF(Agent08_Loans!B84="","",Agent08_Loans!I84)</f>
        <v/>
      </c>
      <c r="J1474" s="40" t="str">
        <f>IF(Agent08_Loans!B84="","",Agent08_Loans!J84)</f>
        <v/>
      </c>
      <c r="K1474" s="37" t="str">
        <f>IF(Agent08_Loans!B84="","",Agent08_Loans!K84)</f>
        <v/>
      </c>
      <c r="L1474" s="37" t="str">
        <f>IF(Agent08_Loans!B84="","",Agent08_Loans!L84)</f>
        <v/>
      </c>
      <c r="M1474" s="37" t="str">
        <f>IFERROR(IF(Agent08_Loans!B84="","",YEAR(Agent08_Loans!D84)),"")</f>
        <v/>
      </c>
    </row>
    <row r="1475" spans="1:13" ht="18" customHeight="1" x14ac:dyDescent="0.25">
      <c r="A1475" s="37" t="str">
        <f>IF(Agent08_Loans!B85="","",Agent08_Loans!A85)</f>
        <v/>
      </c>
      <c r="B1475" s="37" t="str">
        <f>IF(Agent08_Loans!B85="","",Agent08_Loans!B85)</f>
        <v/>
      </c>
      <c r="C1475" s="37" t="str">
        <f>IF(Agent08_Loans!B85="","",Agent08_Loans!C85)</f>
        <v/>
      </c>
      <c r="D1475" s="38" t="str">
        <f>IF(Agent08_Loans!B85="","",Agent08_Loans!D85)</f>
        <v/>
      </c>
      <c r="E1475" s="40" t="str">
        <f>IF(Agent08_Loans!B85="","",Agent08_Loans!E85)</f>
        <v/>
      </c>
      <c r="F1475" s="37" t="str">
        <f>IF(Agent08_Loans!B85="","",Agent08_Loans!F85)</f>
        <v/>
      </c>
      <c r="G1475" s="37" t="str">
        <f>IF(Agent08_Loans!B85="","",Agent08_Loans!G85)</f>
        <v/>
      </c>
      <c r="H1475" s="37" t="str">
        <f>IF(Agent08_Loans!B85="","",Agent08_Loans!H85)</f>
        <v/>
      </c>
      <c r="I1475" s="40" t="str">
        <f>IF(Agent08_Loans!B85="","",Agent08_Loans!I85)</f>
        <v/>
      </c>
      <c r="J1475" s="40" t="str">
        <f>IF(Agent08_Loans!B85="","",Agent08_Loans!J85)</f>
        <v/>
      </c>
      <c r="K1475" s="37" t="str">
        <f>IF(Agent08_Loans!B85="","",Agent08_Loans!K85)</f>
        <v/>
      </c>
      <c r="L1475" s="37" t="str">
        <f>IF(Agent08_Loans!B85="","",Agent08_Loans!L85)</f>
        <v/>
      </c>
      <c r="M1475" s="37" t="str">
        <f>IFERROR(IF(Agent08_Loans!B85="","",YEAR(Agent08_Loans!D85)),"")</f>
        <v/>
      </c>
    </row>
    <row r="1476" spans="1:13" ht="18" customHeight="1" x14ac:dyDescent="0.25">
      <c r="A1476" s="37" t="str">
        <f>IF(Agent08_Loans!B86="","",Agent08_Loans!A86)</f>
        <v/>
      </c>
      <c r="B1476" s="37" t="str">
        <f>IF(Agent08_Loans!B86="","",Agent08_Loans!B86)</f>
        <v/>
      </c>
      <c r="C1476" s="37" t="str">
        <f>IF(Agent08_Loans!B86="","",Agent08_Loans!C86)</f>
        <v/>
      </c>
      <c r="D1476" s="38" t="str">
        <f>IF(Agent08_Loans!B86="","",Agent08_Loans!D86)</f>
        <v/>
      </c>
      <c r="E1476" s="40" t="str">
        <f>IF(Agent08_Loans!B86="","",Agent08_Loans!E86)</f>
        <v/>
      </c>
      <c r="F1476" s="37" t="str">
        <f>IF(Agent08_Loans!B86="","",Agent08_Loans!F86)</f>
        <v/>
      </c>
      <c r="G1476" s="37" t="str">
        <f>IF(Agent08_Loans!B86="","",Agent08_Loans!G86)</f>
        <v/>
      </c>
      <c r="H1476" s="37" t="str">
        <f>IF(Agent08_Loans!B86="","",Agent08_Loans!H86)</f>
        <v/>
      </c>
      <c r="I1476" s="40" t="str">
        <f>IF(Agent08_Loans!B86="","",Agent08_Loans!I86)</f>
        <v/>
      </c>
      <c r="J1476" s="40" t="str">
        <f>IF(Agent08_Loans!B86="","",Agent08_Loans!J86)</f>
        <v/>
      </c>
      <c r="K1476" s="37" t="str">
        <f>IF(Agent08_Loans!B86="","",Agent08_Loans!K86)</f>
        <v/>
      </c>
      <c r="L1476" s="37" t="str">
        <f>IF(Agent08_Loans!B86="","",Agent08_Loans!L86)</f>
        <v/>
      </c>
      <c r="M1476" s="37" t="str">
        <f>IFERROR(IF(Agent08_Loans!B86="","",YEAR(Agent08_Loans!D86)),"")</f>
        <v/>
      </c>
    </row>
    <row r="1477" spans="1:13" ht="18" customHeight="1" x14ac:dyDescent="0.25">
      <c r="A1477" s="37" t="str">
        <f>IF(Agent08_Loans!B87="","",Agent08_Loans!A87)</f>
        <v/>
      </c>
      <c r="B1477" s="37" t="str">
        <f>IF(Agent08_Loans!B87="","",Agent08_Loans!B87)</f>
        <v/>
      </c>
      <c r="C1477" s="37" t="str">
        <f>IF(Agent08_Loans!B87="","",Agent08_Loans!C87)</f>
        <v/>
      </c>
      <c r="D1477" s="38" t="str">
        <f>IF(Agent08_Loans!B87="","",Agent08_Loans!D87)</f>
        <v/>
      </c>
      <c r="E1477" s="40" t="str">
        <f>IF(Agent08_Loans!B87="","",Agent08_Loans!E87)</f>
        <v/>
      </c>
      <c r="F1477" s="37" t="str">
        <f>IF(Agent08_Loans!B87="","",Agent08_Loans!F87)</f>
        <v/>
      </c>
      <c r="G1477" s="37" t="str">
        <f>IF(Agent08_Loans!B87="","",Agent08_Loans!G87)</f>
        <v/>
      </c>
      <c r="H1477" s="37" t="str">
        <f>IF(Agent08_Loans!B87="","",Agent08_Loans!H87)</f>
        <v/>
      </c>
      <c r="I1477" s="40" t="str">
        <f>IF(Agent08_Loans!B87="","",Agent08_Loans!I87)</f>
        <v/>
      </c>
      <c r="J1477" s="40" t="str">
        <f>IF(Agent08_Loans!B87="","",Agent08_Loans!J87)</f>
        <v/>
      </c>
      <c r="K1477" s="37" t="str">
        <f>IF(Agent08_Loans!B87="","",Agent08_Loans!K87)</f>
        <v/>
      </c>
      <c r="L1477" s="37" t="str">
        <f>IF(Agent08_Loans!B87="","",Agent08_Loans!L87)</f>
        <v/>
      </c>
      <c r="M1477" s="37" t="str">
        <f>IFERROR(IF(Agent08_Loans!B87="","",YEAR(Agent08_Loans!D87)),"")</f>
        <v/>
      </c>
    </row>
    <row r="1478" spans="1:13" ht="18" customHeight="1" x14ac:dyDescent="0.25">
      <c r="A1478" s="37" t="str">
        <f>IF(Agent08_Loans!B88="","",Agent08_Loans!A88)</f>
        <v/>
      </c>
      <c r="B1478" s="37" t="str">
        <f>IF(Agent08_Loans!B88="","",Agent08_Loans!B88)</f>
        <v/>
      </c>
      <c r="C1478" s="37" t="str">
        <f>IF(Agent08_Loans!B88="","",Agent08_Loans!C88)</f>
        <v/>
      </c>
      <c r="D1478" s="38" t="str">
        <f>IF(Agent08_Loans!B88="","",Agent08_Loans!D88)</f>
        <v/>
      </c>
      <c r="E1478" s="40" t="str">
        <f>IF(Agent08_Loans!B88="","",Agent08_Loans!E88)</f>
        <v/>
      </c>
      <c r="F1478" s="37" t="str">
        <f>IF(Agent08_Loans!B88="","",Agent08_Loans!F88)</f>
        <v/>
      </c>
      <c r="G1478" s="37" t="str">
        <f>IF(Agent08_Loans!B88="","",Agent08_Loans!G88)</f>
        <v/>
      </c>
      <c r="H1478" s="37" t="str">
        <f>IF(Agent08_Loans!B88="","",Agent08_Loans!H88)</f>
        <v/>
      </c>
      <c r="I1478" s="40" t="str">
        <f>IF(Agent08_Loans!B88="","",Agent08_Loans!I88)</f>
        <v/>
      </c>
      <c r="J1478" s="40" t="str">
        <f>IF(Agent08_Loans!B88="","",Agent08_Loans!J88)</f>
        <v/>
      </c>
      <c r="K1478" s="37" t="str">
        <f>IF(Agent08_Loans!B88="","",Agent08_Loans!K88)</f>
        <v/>
      </c>
      <c r="L1478" s="37" t="str">
        <f>IF(Agent08_Loans!B88="","",Agent08_Loans!L88)</f>
        <v/>
      </c>
      <c r="M1478" s="37" t="str">
        <f>IFERROR(IF(Agent08_Loans!B88="","",YEAR(Agent08_Loans!D88)),"")</f>
        <v/>
      </c>
    </row>
    <row r="1479" spans="1:13" ht="18" customHeight="1" x14ac:dyDescent="0.25">
      <c r="A1479" s="37" t="str">
        <f>IF(Agent08_Loans!B89="","",Agent08_Loans!A89)</f>
        <v/>
      </c>
      <c r="B1479" s="37" t="str">
        <f>IF(Agent08_Loans!B89="","",Agent08_Loans!B89)</f>
        <v/>
      </c>
      <c r="C1479" s="37" t="str">
        <f>IF(Agent08_Loans!B89="","",Agent08_Loans!C89)</f>
        <v/>
      </c>
      <c r="D1479" s="38" t="str">
        <f>IF(Agent08_Loans!B89="","",Agent08_Loans!D89)</f>
        <v/>
      </c>
      <c r="E1479" s="40" t="str">
        <f>IF(Agent08_Loans!B89="","",Agent08_Loans!E89)</f>
        <v/>
      </c>
      <c r="F1479" s="37" t="str">
        <f>IF(Agent08_Loans!B89="","",Agent08_Loans!F89)</f>
        <v/>
      </c>
      <c r="G1479" s="37" t="str">
        <f>IF(Agent08_Loans!B89="","",Agent08_Loans!G89)</f>
        <v/>
      </c>
      <c r="H1479" s="37" t="str">
        <f>IF(Agent08_Loans!B89="","",Agent08_Loans!H89)</f>
        <v/>
      </c>
      <c r="I1479" s="40" t="str">
        <f>IF(Agent08_Loans!B89="","",Agent08_Loans!I89)</f>
        <v/>
      </c>
      <c r="J1479" s="40" t="str">
        <f>IF(Agent08_Loans!B89="","",Agent08_Loans!J89)</f>
        <v/>
      </c>
      <c r="K1479" s="37" t="str">
        <f>IF(Agent08_Loans!B89="","",Agent08_Loans!K89)</f>
        <v/>
      </c>
      <c r="L1479" s="37" t="str">
        <f>IF(Agent08_Loans!B89="","",Agent08_Loans!L89)</f>
        <v/>
      </c>
      <c r="M1479" s="37" t="str">
        <f>IFERROR(IF(Agent08_Loans!B89="","",YEAR(Agent08_Loans!D89)),"")</f>
        <v/>
      </c>
    </row>
    <row r="1480" spans="1:13" ht="18" customHeight="1" x14ac:dyDescent="0.25">
      <c r="A1480" s="37" t="str">
        <f>IF(Agent08_Loans!B90="","",Agent08_Loans!A90)</f>
        <v/>
      </c>
      <c r="B1480" s="37" t="str">
        <f>IF(Agent08_Loans!B90="","",Agent08_Loans!B90)</f>
        <v/>
      </c>
      <c r="C1480" s="37" t="str">
        <f>IF(Agent08_Loans!B90="","",Agent08_Loans!C90)</f>
        <v/>
      </c>
      <c r="D1480" s="38" t="str">
        <f>IF(Agent08_Loans!B90="","",Agent08_Loans!D90)</f>
        <v/>
      </c>
      <c r="E1480" s="40" t="str">
        <f>IF(Agent08_Loans!B90="","",Agent08_Loans!E90)</f>
        <v/>
      </c>
      <c r="F1480" s="37" t="str">
        <f>IF(Agent08_Loans!B90="","",Agent08_Loans!F90)</f>
        <v/>
      </c>
      <c r="G1480" s="37" t="str">
        <f>IF(Agent08_Loans!B90="","",Agent08_Loans!G90)</f>
        <v/>
      </c>
      <c r="H1480" s="37" t="str">
        <f>IF(Agent08_Loans!B90="","",Agent08_Loans!H90)</f>
        <v/>
      </c>
      <c r="I1480" s="40" t="str">
        <f>IF(Agent08_Loans!B90="","",Agent08_Loans!I90)</f>
        <v/>
      </c>
      <c r="J1480" s="40" t="str">
        <f>IF(Agent08_Loans!B90="","",Agent08_Loans!J90)</f>
        <v/>
      </c>
      <c r="K1480" s="37" t="str">
        <f>IF(Agent08_Loans!B90="","",Agent08_Loans!K90)</f>
        <v/>
      </c>
      <c r="L1480" s="37" t="str">
        <f>IF(Agent08_Loans!B90="","",Agent08_Loans!L90)</f>
        <v/>
      </c>
      <c r="M1480" s="37" t="str">
        <f>IFERROR(IF(Agent08_Loans!B90="","",YEAR(Agent08_Loans!D90)),"")</f>
        <v/>
      </c>
    </row>
    <row r="1481" spans="1:13" ht="18" customHeight="1" x14ac:dyDescent="0.25">
      <c r="A1481" s="37" t="str">
        <f>IF(Agent08_Loans!B91="","",Agent08_Loans!A91)</f>
        <v/>
      </c>
      <c r="B1481" s="37" t="str">
        <f>IF(Agent08_Loans!B91="","",Agent08_Loans!B91)</f>
        <v/>
      </c>
      <c r="C1481" s="37" t="str">
        <f>IF(Agent08_Loans!B91="","",Agent08_Loans!C91)</f>
        <v/>
      </c>
      <c r="D1481" s="38" t="str">
        <f>IF(Agent08_Loans!B91="","",Agent08_Loans!D91)</f>
        <v/>
      </c>
      <c r="E1481" s="40" t="str">
        <f>IF(Agent08_Loans!B91="","",Agent08_Loans!E91)</f>
        <v/>
      </c>
      <c r="F1481" s="37" t="str">
        <f>IF(Agent08_Loans!B91="","",Agent08_Loans!F91)</f>
        <v/>
      </c>
      <c r="G1481" s="37" t="str">
        <f>IF(Agent08_Loans!B91="","",Agent08_Loans!G91)</f>
        <v/>
      </c>
      <c r="H1481" s="37" t="str">
        <f>IF(Agent08_Loans!B91="","",Agent08_Loans!H91)</f>
        <v/>
      </c>
      <c r="I1481" s="40" t="str">
        <f>IF(Agent08_Loans!B91="","",Agent08_Loans!I91)</f>
        <v/>
      </c>
      <c r="J1481" s="40" t="str">
        <f>IF(Agent08_Loans!B91="","",Agent08_Loans!J91)</f>
        <v/>
      </c>
      <c r="K1481" s="37" t="str">
        <f>IF(Agent08_Loans!B91="","",Agent08_Loans!K91)</f>
        <v/>
      </c>
      <c r="L1481" s="37" t="str">
        <f>IF(Agent08_Loans!B91="","",Agent08_Loans!L91)</f>
        <v/>
      </c>
      <c r="M1481" s="37" t="str">
        <f>IFERROR(IF(Agent08_Loans!B91="","",YEAR(Agent08_Loans!D91)),"")</f>
        <v/>
      </c>
    </row>
    <row r="1482" spans="1:13" ht="18" customHeight="1" x14ac:dyDescent="0.25">
      <c r="A1482" s="37" t="str">
        <f>IF(Agent08_Loans!B92="","",Agent08_Loans!A92)</f>
        <v/>
      </c>
      <c r="B1482" s="37" t="str">
        <f>IF(Agent08_Loans!B92="","",Agent08_Loans!B92)</f>
        <v/>
      </c>
      <c r="C1482" s="37" t="str">
        <f>IF(Agent08_Loans!B92="","",Agent08_Loans!C92)</f>
        <v/>
      </c>
      <c r="D1482" s="38" t="str">
        <f>IF(Agent08_Loans!B92="","",Agent08_Loans!D92)</f>
        <v/>
      </c>
      <c r="E1482" s="40" t="str">
        <f>IF(Agent08_Loans!B92="","",Agent08_Loans!E92)</f>
        <v/>
      </c>
      <c r="F1482" s="37" t="str">
        <f>IF(Agent08_Loans!B92="","",Agent08_Loans!F92)</f>
        <v/>
      </c>
      <c r="G1482" s="37" t="str">
        <f>IF(Agent08_Loans!B92="","",Agent08_Loans!G92)</f>
        <v/>
      </c>
      <c r="H1482" s="37" t="str">
        <f>IF(Agent08_Loans!B92="","",Agent08_Loans!H92)</f>
        <v/>
      </c>
      <c r="I1482" s="40" t="str">
        <f>IF(Agent08_Loans!B92="","",Agent08_Loans!I92)</f>
        <v/>
      </c>
      <c r="J1482" s="40" t="str">
        <f>IF(Agent08_Loans!B92="","",Agent08_Loans!J92)</f>
        <v/>
      </c>
      <c r="K1482" s="37" t="str">
        <f>IF(Agent08_Loans!B92="","",Agent08_Loans!K92)</f>
        <v/>
      </c>
      <c r="L1482" s="37" t="str">
        <f>IF(Agent08_Loans!B92="","",Agent08_Loans!L92)</f>
        <v/>
      </c>
      <c r="M1482" s="37" t="str">
        <f>IFERROR(IF(Agent08_Loans!B92="","",YEAR(Agent08_Loans!D92)),"")</f>
        <v/>
      </c>
    </row>
    <row r="1483" spans="1:13" ht="18" customHeight="1" x14ac:dyDescent="0.25">
      <c r="A1483" s="37" t="str">
        <f>IF(Agent08_Loans!B93="","",Agent08_Loans!A93)</f>
        <v/>
      </c>
      <c r="B1483" s="37" t="str">
        <f>IF(Agent08_Loans!B93="","",Agent08_Loans!B93)</f>
        <v/>
      </c>
      <c r="C1483" s="37" t="str">
        <f>IF(Agent08_Loans!B93="","",Agent08_Loans!C93)</f>
        <v/>
      </c>
      <c r="D1483" s="38" t="str">
        <f>IF(Agent08_Loans!B93="","",Agent08_Loans!D93)</f>
        <v/>
      </c>
      <c r="E1483" s="40" t="str">
        <f>IF(Agent08_Loans!B93="","",Agent08_Loans!E93)</f>
        <v/>
      </c>
      <c r="F1483" s="37" t="str">
        <f>IF(Agent08_Loans!B93="","",Agent08_Loans!F93)</f>
        <v/>
      </c>
      <c r="G1483" s="37" t="str">
        <f>IF(Agent08_Loans!B93="","",Agent08_Loans!G93)</f>
        <v/>
      </c>
      <c r="H1483" s="37" t="str">
        <f>IF(Agent08_Loans!B93="","",Agent08_Loans!H93)</f>
        <v/>
      </c>
      <c r="I1483" s="40" t="str">
        <f>IF(Agent08_Loans!B93="","",Agent08_Loans!I93)</f>
        <v/>
      </c>
      <c r="J1483" s="40" t="str">
        <f>IF(Agent08_Loans!B93="","",Agent08_Loans!J93)</f>
        <v/>
      </c>
      <c r="K1483" s="37" t="str">
        <f>IF(Agent08_Loans!B93="","",Agent08_Loans!K93)</f>
        <v/>
      </c>
      <c r="L1483" s="37" t="str">
        <f>IF(Agent08_Loans!B93="","",Agent08_Loans!L93)</f>
        <v/>
      </c>
      <c r="M1483" s="37" t="str">
        <f>IFERROR(IF(Agent08_Loans!B93="","",YEAR(Agent08_Loans!D93)),"")</f>
        <v/>
      </c>
    </row>
    <row r="1484" spans="1:13" ht="18" customHeight="1" x14ac:dyDescent="0.25">
      <c r="A1484" s="37" t="str">
        <f>IF(Agent08_Loans!B94="","",Agent08_Loans!A94)</f>
        <v/>
      </c>
      <c r="B1484" s="37" t="str">
        <f>IF(Agent08_Loans!B94="","",Agent08_Loans!B94)</f>
        <v/>
      </c>
      <c r="C1484" s="37" t="str">
        <f>IF(Agent08_Loans!B94="","",Agent08_Loans!C94)</f>
        <v/>
      </c>
      <c r="D1484" s="38" t="str">
        <f>IF(Agent08_Loans!B94="","",Agent08_Loans!D94)</f>
        <v/>
      </c>
      <c r="E1484" s="40" t="str">
        <f>IF(Agent08_Loans!B94="","",Agent08_Loans!E94)</f>
        <v/>
      </c>
      <c r="F1484" s="37" t="str">
        <f>IF(Agent08_Loans!B94="","",Agent08_Loans!F94)</f>
        <v/>
      </c>
      <c r="G1484" s="37" t="str">
        <f>IF(Agent08_Loans!B94="","",Agent08_Loans!G94)</f>
        <v/>
      </c>
      <c r="H1484" s="37" t="str">
        <f>IF(Agent08_Loans!B94="","",Agent08_Loans!H94)</f>
        <v/>
      </c>
      <c r="I1484" s="40" t="str">
        <f>IF(Agent08_Loans!B94="","",Agent08_Loans!I94)</f>
        <v/>
      </c>
      <c r="J1484" s="40" t="str">
        <f>IF(Agent08_Loans!B94="","",Agent08_Loans!J94)</f>
        <v/>
      </c>
      <c r="K1484" s="37" t="str">
        <f>IF(Agent08_Loans!B94="","",Agent08_Loans!K94)</f>
        <v/>
      </c>
      <c r="L1484" s="37" t="str">
        <f>IF(Agent08_Loans!B94="","",Agent08_Loans!L94)</f>
        <v/>
      </c>
      <c r="M1484" s="37" t="str">
        <f>IFERROR(IF(Agent08_Loans!B94="","",YEAR(Agent08_Loans!D94)),"")</f>
        <v/>
      </c>
    </row>
    <row r="1485" spans="1:13" ht="18" customHeight="1" x14ac:dyDescent="0.25">
      <c r="A1485" s="37" t="str">
        <f>IF(Agent08_Loans!B95="","",Agent08_Loans!A95)</f>
        <v/>
      </c>
      <c r="B1485" s="37" t="str">
        <f>IF(Agent08_Loans!B95="","",Agent08_Loans!B95)</f>
        <v/>
      </c>
      <c r="C1485" s="37" t="str">
        <f>IF(Agent08_Loans!B95="","",Agent08_Loans!C95)</f>
        <v/>
      </c>
      <c r="D1485" s="38" t="str">
        <f>IF(Agent08_Loans!B95="","",Agent08_Loans!D95)</f>
        <v/>
      </c>
      <c r="E1485" s="40" t="str">
        <f>IF(Agent08_Loans!B95="","",Agent08_Loans!E95)</f>
        <v/>
      </c>
      <c r="F1485" s="37" t="str">
        <f>IF(Agent08_Loans!B95="","",Agent08_Loans!F95)</f>
        <v/>
      </c>
      <c r="G1485" s="37" t="str">
        <f>IF(Agent08_Loans!B95="","",Agent08_Loans!G95)</f>
        <v/>
      </c>
      <c r="H1485" s="37" t="str">
        <f>IF(Agent08_Loans!B95="","",Agent08_Loans!H95)</f>
        <v/>
      </c>
      <c r="I1485" s="40" t="str">
        <f>IF(Agent08_Loans!B95="","",Agent08_Loans!I95)</f>
        <v/>
      </c>
      <c r="J1485" s="40" t="str">
        <f>IF(Agent08_Loans!B95="","",Agent08_Loans!J95)</f>
        <v/>
      </c>
      <c r="K1485" s="37" t="str">
        <f>IF(Agent08_Loans!B95="","",Agent08_Loans!K95)</f>
        <v/>
      </c>
      <c r="L1485" s="37" t="str">
        <f>IF(Agent08_Loans!B95="","",Agent08_Loans!L95)</f>
        <v/>
      </c>
      <c r="M1485" s="37" t="str">
        <f>IFERROR(IF(Agent08_Loans!B95="","",YEAR(Agent08_Loans!D95)),"")</f>
        <v/>
      </c>
    </row>
    <row r="1486" spans="1:13" ht="18" customHeight="1" x14ac:dyDescent="0.25">
      <c r="A1486" s="37" t="str">
        <f>IF(Agent08_Loans!B96="","",Agent08_Loans!A96)</f>
        <v/>
      </c>
      <c r="B1486" s="37" t="str">
        <f>IF(Agent08_Loans!B96="","",Agent08_Loans!B96)</f>
        <v/>
      </c>
      <c r="C1486" s="37" t="str">
        <f>IF(Agent08_Loans!B96="","",Agent08_Loans!C96)</f>
        <v/>
      </c>
      <c r="D1486" s="38" t="str">
        <f>IF(Agent08_Loans!B96="","",Agent08_Loans!D96)</f>
        <v/>
      </c>
      <c r="E1486" s="40" t="str">
        <f>IF(Agent08_Loans!B96="","",Agent08_Loans!E96)</f>
        <v/>
      </c>
      <c r="F1486" s="37" t="str">
        <f>IF(Agent08_Loans!B96="","",Agent08_Loans!F96)</f>
        <v/>
      </c>
      <c r="G1486" s="37" t="str">
        <f>IF(Agent08_Loans!B96="","",Agent08_Loans!G96)</f>
        <v/>
      </c>
      <c r="H1486" s="37" t="str">
        <f>IF(Agent08_Loans!B96="","",Agent08_Loans!H96)</f>
        <v/>
      </c>
      <c r="I1486" s="40" t="str">
        <f>IF(Agent08_Loans!B96="","",Agent08_Loans!I96)</f>
        <v/>
      </c>
      <c r="J1486" s="40" t="str">
        <f>IF(Agent08_Loans!B96="","",Agent08_Loans!J96)</f>
        <v/>
      </c>
      <c r="K1486" s="37" t="str">
        <f>IF(Agent08_Loans!B96="","",Agent08_Loans!K96)</f>
        <v/>
      </c>
      <c r="L1486" s="37" t="str">
        <f>IF(Agent08_Loans!B96="","",Agent08_Loans!L96)</f>
        <v/>
      </c>
      <c r="M1486" s="37" t="str">
        <f>IFERROR(IF(Agent08_Loans!B96="","",YEAR(Agent08_Loans!D96)),"")</f>
        <v/>
      </c>
    </row>
    <row r="1487" spans="1:13" ht="18" customHeight="1" x14ac:dyDescent="0.25">
      <c r="A1487" s="37" t="str">
        <f>IF(Agent08_Loans!B97="","",Agent08_Loans!A97)</f>
        <v/>
      </c>
      <c r="B1487" s="37" t="str">
        <f>IF(Agent08_Loans!B97="","",Agent08_Loans!B97)</f>
        <v/>
      </c>
      <c r="C1487" s="37" t="str">
        <f>IF(Agent08_Loans!B97="","",Agent08_Loans!C97)</f>
        <v/>
      </c>
      <c r="D1487" s="38" t="str">
        <f>IF(Agent08_Loans!B97="","",Agent08_Loans!D97)</f>
        <v/>
      </c>
      <c r="E1487" s="40" t="str">
        <f>IF(Agent08_Loans!B97="","",Agent08_Loans!E97)</f>
        <v/>
      </c>
      <c r="F1487" s="37" t="str">
        <f>IF(Agent08_Loans!B97="","",Agent08_Loans!F97)</f>
        <v/>
      </c>
      <c r="G1487" s="37" t="str">
        <f>IF(Agent08_Loans!B97="","",Agent08_Loans!G97)</f>
        <v/>
      </c>
      <c r="H1487" s="37" t="str">
        <f>IF(Agent08_Loans!B97="","",Agent08_Loans!H97)</f>
        <v/>
      </c>
      <c r="I1487" s="40" t="str">
        <f>IF(Agent08_Loans!B97="","",Agent08_Loans!I97)</f>
        <v/>
      </c>
      <c r="J1487" s="40" t="str">
        <f>IF(Agent08_Loans!B97="","",Agent08_Loans!J97)</f>
        <v/>
      </c>
      <c r="K1487" s="37" t="str">
        <f>IF(Agent08_Loans!B97="","",Agent08_Loans!K97)</f>
        <v/>
      </c>
      <c r="L1487" s="37" t="str">
        <f>IF(Agent08_Loans!B97="","",Agent08_Loans!L97)</f>
        <v/>
      </c>
      <c r="M1487" s="37" t="str">
        <f>IFERROR(IF(Agent08_Loans!B97="","",YEAR(Agent08_Loans!D97)),"")</f>
        <v/>
      </c>
    </row>
    <row r="1488" spans="1:13" ht="18" customHeight="1" x14ac:dyDescent="0.25">
      <c r="A1488" s="37" t="str">
        <f>IF(Agent08_Loans!B98="","",Agent08_Loans!A98)</f>
        <v/>
      </c>
      <c r="B1488" s="37" t="str">
        <f>IF(Agent08_Loans!B98="","",Agent08_Loans!B98)</f>
        <v/>
      </c>
      <c r="C1488" s="37" t="str">
        <f>IF(Agent08_Loans!B98="","",Agent08_Loans!C98)</f>
        <v/>
      </c>
      <c r="D1488" s="38" t="str">
        <f>IF(Agent08_Loans!B98="","",Agent08_Loans!D98)</f>
        <v/>
      </c>
      <c r="E1488" s="40" t="str">
        <f>IF(Agent08_Loans!B98="","",Agent08_Loans!E98)</f>
        <v/>
      </c>
      <c r="F1488" s="37" t="str">
        <f>IF(Agent08_Loans!B98="","",Agent08_Loans!F98)</f>
        <v/>
      </c>
      <c r="G1488" s="37" t="str">
        <f>IF(Agent08_Loans!B98="","",Agent08_Loans!G98)</f>
        <v/>
      </c>
      <c r="H1488" s="37" t="str">
        <f>IF(Agent08_Loans!B98="","",Agent08_Loans!H98)</f>
        <v/>
      </c>
      <c r="I1488" s="40" t="str">
        <f>IF(Agent08_Loans!B98="","",Agent08_Loans!I98)</f>
        <v/>
      </c>
      <c r="J1488" s="40" t="str">
        <f>IF(Agent08_Loans!B98="","",Agent08_Loans!J98)</f>
        <v/>
      </c>
      <c r="K1488" s="37" t="str">
        <f>IF(Agent08_Loans!B98="","",Agent08_Loans!K98)</f>
        <v/>
      </c>
      <c r="L1488" s="37" t="str">
        <f>IF(Agent08_Loans!B98="","",Agent08_Loans!L98)</f>
        <v/>
      </c>
      <c r="M1488" s="37" t="str">
        <f>IFERROR(IF(Agent08_Loans!B98="","",YEAR(Agent08_Loans!D98)),"")</f>
        <v/>
      </c>
    </row>
    <row r="1489" spans="1:13" ht="18" customHeight="1" x14ac:dyDescent="0.25">
      <c r="A1489" s="37" t="str">
        <f>IF(Agent08_Loans!B99="","",Agent08_Loans!A99)</f>
        <v/>
      </c>
      <c r="B1489" s="37" t="str">
        <f>IF(Agent08_Loans!B99="","",Agent08_Loans!B99)</f>
        <v/>
      </c>
      <c r="C1489" s="37" t="str">
        <f>IF(Agent08_Loans!B99="","",Agent08_Loans!C99)</f>
        <v/>
      </c>
      <c r="D1489" s="38" t="str">
        <f>IF(Agent08_Loans!B99="","",Agent08_Loans!D99)</f>
        <v/>
      </c>
      <c r="E1489" s="40" t="str">
        <f>IF(Agent08_Loans!B99="","",Agent08_Loans!E99)</f>
        <v/>
      </c>
      <c r="F1489" s="37" t="str">
        <f>IF(Agent08_Loans!B99="","",Agent08_Loans!F99)</f>
        <v/>
      </c>
      <c r="G1489" s="37" t="str">
        <f>IF(Agent08_Loans!B99="","",Agent08_Loans!G99)</f>
        <v/>
      </c>
      <c r="H1489" s="37" t="str">
        <f>IF(Agent08_Loans!B99="","",Agent08_Loans!H99)</f>
        <v/>
      </c>
      <c r="I1489" s="40" t="str">
        <f>IF(Agent08_Loans!B99="","",Agent08_Loans!I99)</f>
        <v/>
      </c>
      <c r="J1489" s="40" t="str">
        <f>IF(Agent08_Loans!B99="","",Agent08_Loans!J99)</f>
        <v/>
      </c>
      <c r="K1489" s="37" t="str">
        <f>IF(Agent08_Loans!B99="","",Agent08_Loans!K99)</f>
        <v/>
      </c>
      <c r="L1489" s="37" t="str">
        <f>IF(Agent08_Loans!B99="","",Agent08_Loans!L99)</f>
        <v/>
      </c>
      <c r="M1489" s="37" t="str">
        <f>IFERROR(IF(Agent08_Loans!B99="","",YEAR(Agent08_Loans!D99)),"")</f>
        <v/>
      </c>
    </row>
    <row r="1490" spans="1:13" ht="18" customHeight="1" x14ac:dyDescent="0.25">
      <c r="A1490" s="37" t="str">
        <f>IF(Agent08_Loans!B100="","",Agent08_Loans!A100)</f>
        <v/>
      </c>
      <c r="B1490" s="37" t="str">
        <f>IF(Agent08_Loans!B100="","",Agent08_Loans!B100)</f>
        <v/>
      </c>
      <c r="C1490" s="37" t="str">
        <f>IF(Agent08_Loans!B100="","",Agent08_Loans!C100)</f>
        <v/>
      </c>
      <c r="D1490" s="38" t="str">
        <f>IF(Agent08_Loans!B100="","",Agent08_Loans!D100)</f>
        <v/>
      </c>
      <c r="E1490" s="40" t="str">
        <f>IF(Agent08_Loans!B100="","",Agent08_Loans!E100)</f>
        <v/>
      </c>
      <c r="F1490" s="37" t="str">
        <f>IF(Agent08_Loans!B100="","",Agent08_Loans!F100)</f>
        <v/>
      </c>
      <c r="G1490" s="37" t="str">
        <f>IF(Agent08_Loans!B100="","",Agent08_Loans!G100)</f>
        <v/>
      </c>
      <c r="H1490" s="37" t="str">
        <f>IF(Agent08_Loans!B100="","",Agent08_Loans!H100)</f>
        <v/>
      </c>
      <c r="I1490" s="40" t="str">
        <f>IF(Agent08_Loans!B100="","",Agent08_Loans!I100)</f>
        <v/>
      </c>
      <c r="J1490" s="40" t="str">
        <f>IF(Agent08_Loans!B100="","",Agent08_Loans!J100)</f>
        <v/>
      </c>
      <c r="K1490" s="37" t="str">
        <f>IF(Agent08_Loans!B100="","",Agent08_Loans!K100)</f>
        <v/>
      </c>
      <c r="L1490" s="37" t="str">
        <f>IF(Agent08_Loans!B100="","",Agent08_Loans!L100)</f>
        <v/>
      </c>
      <c r="M1490" s="37" t="str">
        <f>IFERROR(IF(Agent08_Loans!B100="","",YEAR(Agent08_Loans!D100)),"")</f>
        <v/>
      </c>
    </row>
    <row r="1491" spans="1:13" ht="18" customHeight="1" x14ac:dyDescent="0.25">
      <c r="A1491" s="37" t="str">
        <f>IF(Agent08_Loans!B101="","",Agent08_Loans!A101)</f>
        <v/>
      </c>
      <c r="B1491" s="37" t="str">
        <f>IF(Agent08_Loans!B101="","",Agent08_Loans!B101)</f>
        <v/>
      </c>
      <c r="C1491" s="37" t="str">
        <f>IF(Agent08_Loans!B101="","",Agent08_Loans!C101)</f>
        <v/>
      </c>
      <c r="D1491" s="38" t="str">
        <f>IF(Agent08_Loans!B101="","",Agent08_Loans!D101)</f>
        <v/>
      </c>
      <c r="E1491" s="40" t="str">
        <f>IF(Agent08_Loans!B101="","",Agent08_Loans!E101)</f>
        <v/>
      </c>
      <c r="F1491" s="37" t="str">
        <f>IF(Agent08_Loans!B101="","",Agent08_Loans!F101)</f>
        <v/>
      </c>
      <c r="G1491" s="37" t="str">
        <f>IF(Agent08_Loans!B101="","",Agent08_Loans!G101)</f>
        <v/>
      </c>
      <c r="H1491" s="37" t="str">
        <f>IF(Agent08_Loans!B101="","",Agent08_Loans!H101)</f>
        <v/>
      </c>
      <c r="I1491" s="40" t="str">
        <f>IF(Agent08_Loans!B101="","",Agent08_Loans!I101)</f>
        <v/>
      </c>
      <c r="J1491" s="40" t="str">
        <f>IF(Agent08_Loans!B101="","",Agent08_Loans!J101)</f>
        <v/>
      </c>
      <c r="K1491" s="37" t="str">
        <f>IF(Agent08_Loans!B101="","",Agent08_Loans!K101)</f>
        <v/>
      </c>
      <c r="L1491" s="37" t="str">
        <f>IF(Agent08_Loans!B101="","",Agent08_Loans!L101)</f>
        <v/>
      </c>
      <c r="M1491" s="37" t="str">
        <f>IFERROR(IF(Agent08_Loans!B101="","",YEAR(Agent08_Loans!D101)),"")</f>
        <v/>
      </c>
    </row>
    <row r="1492" spans="1:13" ht="18" customHeight="1" x14ac:dyDescent="0.25">
      <c r="A1492" s="37" t="str">
        <f>IF(Agent08_Loans!B102="","",Agent08_Loans!A102)</f>
        <v/>
      </c>
      <c r="B1492" s="37" t="str">
        <f>IF(Agent08_Loans!B102="","",Agent08_Loans!B102)</f>
        <v/>
      </c>
      <c r="C1492" s="37" t="str">
        <f>IF(Agent08_Loans!B102="","",Agent08_Loans!C102)</f>
        <v/>
      </c>
      <c r="D1492" s="38" t="str">
        <f>IF(Agent08_Loans!B102="","",Agent08_Loans!D102)</f>
        <v/>
      </c>
      <c r="E1492" s="40" t="str">
        <f>IF(Agent08_Loans!B102="","",Agent08_Loans!E102)</f>
        <v/>
      </c>
      <c r="F1492" s="37" t="str">
        <f>IF(Agent08_Loans!B102="","",Agent08_Loans!F102)</f>
        <v/>
      </c>
      <c r="G1492" s="37" t="str">
        <f>IF(Agent08_Loans!B102="","",Agent08_Loans!G102)</f>
        <v/>
      </c>
      <c r="H1492" s="37" t="str">
        <f>IF(Agent08_Loans!B102="","",Agent08_Loans!H102)</f>
        <v/>
      </c>
      <c r="I1492" s="40" t="str">
        <f>IF(Agent08_Loans!B102="","",Agent08_Loans!I102)</f>
        <v/>
      </c>
      <c r="J1492" s="40" t="str">
        <f>IF(Agent08_Loans!B102="","",Agent08_Loans!J102)</f>
        <v/>
      </c>
      <c r="K1492" s="37" t="str">
        <f>IF(Agent08_Loans!B102="","",Agent08_Loans!K102)</f>
        <v/>
      </c>
      <c r="L1492" s="37" t="str">
        <f>IF(Agent08_Loans!B102="","",Agent08_Loans!L102)</f>
        <v/>
      </c>
      <c r="M1492" s="37" t="str">
        <f>IFERROR(IF(Agent08_Loans!B102="","",YEAR(Agent08_Loans!D102)),"")</f>
        <v/>
      </c>
    </row>
    <row r="1493" spans="1:13" ht="18" customHeight="1" x14ac:dyDescent="0.25">
      <c r="A1493" s="37" t="str">
        <f>IF(Agent08_Loans!B103="","",Agent08_Loans!A103)</f>
        <v/>
      </c>
      <c r="B1493" s="37" t="str">
        <f>IF(Agent08_Loans!B103="","",Agent08_Loans!B103)</f>
        <v/>
      </c>
      <c r="C1493" s="37" t="str">
        <f>IF(Agent08_Loans!B103="","",Agent08_Loans!C103)</f>
        <v/>
      </c>
      <c r="D1493" s="38" t="str">
        <f>IF(Agent08_Loans!B103="","",Agent08_Loans!D103)</f>
        <v/>
      </c>
      <c r="E1493" s="40" t="str">
        <f>IF(Agent08_Loans!B103="","",Agent08_Loans!E103)</f>
        <v/>
      </c>
      <c r="F1493" s="37" t="str">
        <f>IF(Agent08_Loans!B103="","",Agent08_Loans!F103)</f>
        <v/>
      </c>
      <c r="G1493" s="37" t="str">
        <f>IF(Agent08_Loans!B103="","",Agent08_Loans!G103)</f>
        <v/>
      </c>
      <c r="H1493" s="37" t="str">
        <f>IF(Agent08_Loans!B103="","",Agent08_Loans!H103)</f>
        <v/>
      </c>
      <c r="I1493" s="40" t="str">
        <f>IF(Agent08_Loans!B103="","",Agent08_Loans!I103)</f>
        <v/>
      </c>
      <c r="J1493" s="40" t="str">
        <f>IF(Agent08_Loans!B103="","",Agent08_Loans!J103)</f>
        <v/>
      </c>
      <c r="K1493" s="37" t="str">
        <f>IF(Agent08_Loans!B103="","",Agent08_Loans!K103)</f>
        <v/>
      </c>
      <c r="L1493" s="37" t="str">
        <f>IF(Agent08_Loans!B103="","",Agent08_Loans!L103)</f>
        <v/>
      </c>
      <c r="M1493" s="37" t="str">
        <f>IFERROR(IF(Agent08_Loans!B103="","",YEAR(Agent08_Loans!D103)),"")</f>
        <v/>
      </c>
    </row>
    <row r="1494" spans="1:13" ht="18" customHeight="1" x14ac:dyDescent="0.25">
      <c r="A1494" s="37" t="str">
        <f>IF(Agent08_Loans!B104="","",Agent08_Loans!A104)</f>
        <v/>
      </c>
      <c r="B1494" s="37" t="str">
        <f>IF(Agent08_Loans!B104="","",Agent08_Loans!B104)</f>
        <v/>
      </c>
      <c r="C1494" s="37" t="str">
        <f>IF(Agent08_Loans!B104="","",Agent08_Loans!C104)</f>
        <v/>
      </c>
      <c r="D1494" s="38" t="str">
        <f>IF(Agent08_Loans!B104="","",Agent08_Loans!D104)</f>
        <v/>
      </c>
      <c r="E1494" s="40" t="str">
        <f>IF(Agent08_Loans!B104="","",Agent08_Loans!E104)</f>
        <v/>
      </c>
      <c r="F1494" s="37" t="str">
        <f>IF(Agent08_Loans!B104="","",Agent08_Loans!F104)</f>
        <v/>
      </c>
      <c r="G1494" s="37" t="str">
        <f>IF(Agent08_Loans!B104="","",Agent08_Loans!G104)</f>
        <v/>
      </c>
      <c r="H1494" s="37" t="str">
        <f>IF(Agent08_Loans!B104="","",Agent08_Loans!H104)</f>
        <v/>
      </c>
      <c r="I1494" s="40" t="str">
        <f>IF(Agent08_Loans!B104="","",Agent08_Loans!I104)</f>
        <v/>
      </c>
      <c r="J1494" s="40" t="str">
        <f>IF(Agent08_Loans!B104="","",Agent08_Loans!J104)</f>
        <v/>
      </c>
      <c r="K1494" s="37" t="str">
        <f>IF(Agent08_Loans!B104="","",Agent08_Loans!K104)</f>
        <v/>
      </c>
      <c r="L1494" s="37" t="str">
        <f>IF(Agent08_Loans!B104="","",Agent08_Loans!L104)</f>
        <v/>
      </c>
      <c r="M1494" s="37" t="str">
        <f>IFERROR(IF(Agent08_Loans!B104="","",YEAR(Agent08_Loans!D104)),"")</f>
        <v/>
      </c>
    </row>
    <row r="1495" spans="1:13" ht="18" customHeight="1" x14ac:dyDescent="0.25">
      <c r="A1495" s="37" t="str">
        <f>IF(Agent08_Loans!B105="","",Agent08_Loans!A105)</f>
        <v/>
      </c>
      <c r="B1495" s="37" t="str">
        <f>IF(Agent08_Loans!B105="","",Agent08_Loans!B105)</f>
        <v/>
      </c>
      <c r="C1495" s="37" t="str">
        <f>IF(Agent08_Loans!B105="","",Agent08_Loans!C105)</f>
        <v/>
      </c>
      <c r="D1495" s="38" t="str">
        <f>IF(Agent08_Loans!B105="","",Agent08_Loans!D105)</f>
        <v/>
      </c>
      <c r="E1495" s="40" t="str">
        <f>IF(Agent08_Loans!B105="","",Agent08_Loans!E105)</f>
        <v/>
      </c>
      <c r="F1495" s="37" t="str">
        <f>IF(Agent08_Loans!B105="","",Agent08_Loans!F105)</f>
        <v/>
      </c>
      <c r="G1495" s="37" t="str">
        <f>IF(Agent08_Loans!B105="","",Agent08_Loans!G105)</f>
        <v/>
      </c>
      <c r="H1495" s="37" t="str">
        <f>IF(Agent08_Loans!B105="","",Agent08_Loans!H105)</f>
        <v/>
      </c>
      <c r="I1495" s="40" t="str">
        <f>IF(Agent08_Loans!B105="","",Agent08_Loans!I105)</f>
        <v/>
      </c>
      <c r="J1495" s="40" t="str">
        <f>IF(Agent08_Loans!B105="","",Agent08_Loans!J105)</f>
        <v/>
      </c>
      <c r="K1495" s="37" t="str">
        <f>IF(Agent08_Loans!B105="","",Agent08_Loans!K105)</f>
        <v/>
      </c>
      <c r="L1495" s="37" t="str">
        <f>IF(Agent08_Loans!B105="","",Agent08_Loans!L105)</f>
        <v/>
      </c>
      <c r="M1495" s="37" t="str">
        <f>IFERROR(IF(Agent08_Loans!B105="","",YEAR(Agent08_Loans!D105)),"")</f>
        <v/>
      </c>
    </row>
    <row r="1496" spans="1:13" ht="18" customHeight="1" x14ac:dyDescent="0.25">
      <c r="A1496" s="37" t="str">
        <f>IF(Agent08_Loans!B106="","",Agent08_Loans!A106)</f>
        <v/>
      </c>
      <c r="B1496" s="37" t="str">
        <f>IF(Agent08_Loans!B106="","",Agent08_Loans!B106)</f>
        <v/>
      </c>
      <c r="C1496" s="37" t="str">
        <f>IF(Agent08_Loans!B106="","",Agent08_Loans!C106)</f>
        <v/>
      </c>
      <c r="D1496" s="38" t="str">
        <f>IF(Agent08_Loans!B106="","",Agent08_Loans!D106)</f>
        <v/>
      </c>
      <c r="E1496" s="40" t="str">
        <f>IF(Agent08_Loans!B106="","",Agent08_Loans!E106)</f>
        <v/>
      </c>
      <c r="F1496" s="37" t="str">
        <f>IF(Agent08_Loans!B106="","",Agent08_Loans!F106)</f>
        <v/>
      </c>
      <c r="G1496" s="37" t="str">
        <f>IF(Agent08_Loans!B106="","",Agent08_Loans!G106)</f>
        <v/>
      </c>
      <c r="H1496" s="37" t="str">
        <f>IF(Agent08_Loans!B106="","",Agent08_Loans!H106)</f>
        <v/>
      </c>
      <c r="I1496" s="40" t="str">
        <f>IF(Agent08_Loans!B106="","",Agent08_Loans!I106)</f>
        <v/>
      </c>
      <c r="J1496" s="40" t="str">
        <f>IF(Agent08_Loans!B106="","",Agent08_Loans!J106)</f>
        <v/>
      </c>
      <c r="K1496" s="37" t="str">
        <f>IF(Agent08_Loans!B106="","",Agent08_Loans!K106)</f>
        <v/>
      </c>
      <c r="L1496" s="37" t="str">
        <f>IF(Agent08_Loans!B106="","",Agent08_Loans!L106)</f>
        <v/>
      </c>
      <c r="M1496" s="37" t="str">
        <f>IFERROR(IF(Agent08_Loans!B106="","",YEAR(Agent08_Loans!D106)),"")</f>
        <v/>
      </c>
    </row>
    <row r="1497" spans="1:13" ht="18" customHeight="1" x14ac:dyDescent="0.25">
      <c r="A1497" s="37" t="str">
        <f>IF(Agent08_Loans!B107="","",Agent08_Loans!A107)</f>
        <v/>
      </c>
      <c r="B1497" s="37" t="str">
        <f>IF(Agent08_Loans!B107="","",Agent08_Loans!B107)</f>
        <v/>
      </c>
      <c r="C1497" s="37" t="str">
        <f>IF(Agent08_Loans!B107="","",Agent08_Loans!C107)</f>
        <v/>
      </c>
      <c r="D1497" s="38" t="str">
        <f>IF(Agent08_Loans!B107="","",Agent08_Loans!D107)</f>
        <v/>
      </c>
      <c r="E1497" s="40" t="str">
        <f>IF(Agent08_Loans!B107="","",Agent08_Loans!E107)</f>
        <v/>
      </c>
      <c r="F1497" s="37" t="str">
        <f>IF(Agent08_Loans!B107="","",Agent08_Loans!F107)</f>
        <v/>
      </c>
      <c r="G1497" s="37" t="str">
        <f>IF(Agent08_Loans!B107="","",Agent08_Loans!G107)</f>
        <v/>
      </c>
      <c r="H1497" s="37" t="str">
        <f>IF(Agent08_Loans!B107="","",Agent08_Loans!H107)</f>
        <v/>
      </c>
      <c r="I1497" s="40" t="str">
        <f>IF(Agent08_Loans!B107="","",Agent08_Loans!I107)</f>
        <v/>
      </c>
      <c r="J1497" s="40" t="str">
        <f>IF(Agent08_Loans!B107="","",Agent08_Loans!J107)</f>
        <v/>
      </c>
      <c r="K1497" s="37" t="str">
        <f>IF(Agent08_Loans!B107="","",Agent08_Loans!K107)</f>
        <v/>
      </c>
      <c r="L1497" s="37" t="str">
        <f>IF(Agent08_Loans!B107="","",Agent08_Loans!L107)</f>
        <v/>
      </c>
      <c r="M1497" s="37" t="str">
        <f>IFERROR(IF(Agent08_Loans!B107="","",YEAR(Agent08_Loans!D107)),"")</f>
        <v/>
      </c>
    </row>
    <row r="1498" spans="1:13" ht="18" customHeight="1" x14ac:dyDescent="0.25">
      <c r="A1498" s="37" t="str">
        <f>IF(Agent08_Loans!B108="","",Agent08_Loans!A108)</f>
        <v/>
      </c>
      <c r="B1498" s="37" t="str">
        <f>IF(Agent08_Loans!B108="","",Agent08_Loans!B108)</f>
        <v/>
      </c>
      <c r="C1498" s="37" t="str">
        <f>IF(Agent08_Loans!B108="","",Agent08_Loans!C108)</f>
        <v/>
      </c>
      <c r="D1498" s="38" t="str">
        <f>IF(Agent08_Loans!B108="","",Agent08_Loans!D108)</f>
        <v/>
      </c>
      <c r="E1498" s="40" t="str">
        <f>IF(Agent08_Loans!B108="","",Agent08_Loans!E108)</f>
        <v/>
      </c>
      <c r="F1498" s="37" t="str">
        <f>IF(Agent08_Loans!B108="","",Agent08_Loans!F108)</f>
        <v/>
      </c>
      <c r="G1498" s="37" t="str">
        <f>IF(Agent08_Loans!B108="","",Agent08_Loans!G108)</f>
        <v/>
      </c>
      <c r="H1498" s="37" t="str">
        <f>IF(Agent08_Loans!B108="","",Agent08_Loans!H108)</f>
        <v/>
      </c>
      <c r="I1498" s="40" t="str">
        <f>IF(Agent08_Loans!B108="","",Agent08_Loans!I108)</f>
        <v/>
      </c>
      <c r="J1498" s="40" t="str">
        <f>IF(Agent08_Loans!B108="","",Agent08_Loans!J108)</f>
        <v/>
      </c>
      <c r="K1498" s="37" t="str">
        <f>IF(Agent08_Loans!B108="","",Agent08_Loans!K108)</f>
        <v/>
      </c>
      <c r="L1498" s="37" t="str">
        <f>IF(Agent08_Loans!B108="","",Agent08_Loans!L108)</f>
        <v/>
      </c>
      <c r="M1498" s="37" t="str">
        <f>IFERROR(IF(Agent08_Loans!B108="","",YEAR(Agent08_Loans!D108)),"")</f>
        <v/>
      </c>
    </row>
    <row r="1499" spans="1:13" ht="18" customHeight="1" x14ac:dyDescent="0.25">
      <c r="A1499" s="37" t="str">
        <f>IF(Agent08_Loans!B109="","",Agent08_Loans!A109)</f>
        <v/>
      </c>
      <c r="B1499" s="37" t="str">
        <f>IF(Agent08_Loans!B109="","",Agent08_Loans!B109)</f>
        <v/>
      </c>
      <c r="C1499" s="37" t="str">
        <f>IF(Agent08_Loans!B109="","",Agent08_Loans!C109)</f>
        <v/>
      </c>
      <c r="D1499" s="38" t="str">
        <f>IF(Agent08_Loans!B109="","",Agent08_Loans!D109)</f>
        <v/>
      </c>
      <c r="E1499" s="40" t="str">
        <f>IF(Agent08_Loans!B109="","",Agent08_Loans!E109)</f>
        <v/>
      </c>
      <c r="F1499" s="37" t="str">
        <f>IF(Agent08_Loans!B109="","",Agent08_Loans!F109)</f>
        <v/>
      </c>
      <c r="G1499" s="37" t="str">
        <f>IF(Agent08_Loans!B109="","",Agent08_Loans!G109)</f>
        <v/>
      </c>
      <c r="H1499" s="37" t="str">
        <f>IF(Agent08_Loans!B109="","",Agent08_Loans!H109)</f>
        <v/>
      </c>
      <c r="I1499" s="40" t="str">
        <f>IF(Agent08_Loans!B109="","",Agent08_Loans!I109)</f>
        <v/>
      </c>
      <c r="J1499" s="40" t="str">
        <f>IF(Agent08_Loans!B109="","",Agent08_Loans!J109)</f>
        <v/>
      </c>
      <c r="K1499" s="37" t="str">
        <f>IF(Agent08_Loans!B109="","",Agent08_Loans!K109)</f>
        <v/>
      </c>
      <c r="L1499" s="37" t="str">
        <f>IF(Agent08_Loans!B109="","",Agent08_Loans!L109)</f>
        <v/>
      </c>
      <c r="M1499" s="37" t="str">
        <f>IFERROR(IF(Agent08_Loans!B109="","",YEAR(Agent08_Loans!D109)),"")</f>
        <v/>
      </c>
    </row>
    <row r="1500" spans="1:13" ht="18" customHeight="1" x14ac:dyDescent="0.25">
      <c r="A1500" s="37" t="str">
        <f>IF(Agent08_Loans!B110="","",Agent08_Loans!A110)</f>
        <v/>
      </c>
      <c r="B1500" s="37" t="str">
        <f>IF(Agent08_Loans!B110="","",Agent08_Loans!B110)</f>
        <v/>
      </c>
      <c r="C1500" s="37" t="str">
        <f>IF(Agent08_Loans!B110="","",Agent08_Loans!C110)</f>
        <v/>
      </c>
      <c r="D1500" s="38" t="str">
        <f>IF(Agent08_Loans!B110="","",Agent08_Loans!D110)</f>
        <v/>
      </c>
      <c r="E1500" s="40" t="str">
        <f>IF(Agent08_Loans!B110="","",Agent08_Loans!E110)</f>
        <v/>
      </c>
      <c r="F1500" s="37" t="str">
        <f>IF(Agent08_Loans!B110="","",Agent08_Loans!F110)</f>
        <v/>
      </c>
      <c r="G1500" s="37" t="str">
        <f>IF(Agent08_Loans!B110="","",Agent08_Loans!G110)</f>
        <v/>
      </c>
      <c r="H1500" s="37" t="str">
        <f>IF(Agent08_Loans!B110="","",Agent08_Loans!H110)</f>
        <v/>
      </c>
      <c r="I1500" s="40" t="str">
        <f>IF(Agent08_Loans!B110="","",Agent08_Loans!I110)</f>
        <v/>
      </c>
      <c r="J1500" s="40" t="str">
        <f>IF(Agent08_Loans!B110="","",Agent08_Loans!J110)</f>
        <v/>
      </c>
      <c r="K1500" s="37" t="str">
        <f>IF(Agent08_Loans!B110="","",Agent08_Loans!K110)</f>
        <v/>
      </c>
      <c r="L1500" s="37" t="str">
        <f>IF(Agent08_Loans!B110="","",Agent08_Loans!L110)</f>
        <v/>
      </c>
      <c r="M1500" s="37" t="str">
        <f>IFERROR(IF(Agent08_Loans!B110="","",YEAR(Agent08_Loans!D110)),"")</f>
        <v/>
      </c>
    </row>
    <row r="1501" spans="1:13" ht="18" customHeight="1" x14ac:dyDescent="0.25">
      <c r="A1501" s="37" t="str">
        <f>IF(Agent08_Loans!B111="","",Agent08_Loans!A111)</f>
        <v/>
      </c>
      <c r="B1501" s="37" t="str">
        <f>IF(Agent08_Loans!B111="","",Agent08_Loans!B111)</f>
        <v/>
      </c>
      <c r="C1501" s="37" t="str">
        <f>IF(Agent08_Loans!B111="","",Agent08_Loans!C111)</f>
        <v/>
      </c>
      <c r="D1501" s="38" t="str">
        <f>IF(Agent08_Loans!B111="","",Agent08_Loans!D111)</f>
        <v/>
      </c>
      <c r="E1501" s="40" t="str">
        <f>IF(Agent08_Loans!B111="","",Agent08_Loans!E111)</f>
        <v/>
      </c>
      <c r="F1501" s="37" t="str">
        <f>IF(Agent08_Loans!B111="","",Agent08_Loans!F111)</f>
        <v/>
      </c>
      <c r="G1501" s="37" t="str">
        <f>IF(Agent08_Loans!B111="","",Agent08_Loans!G111)</f>
        <v/>
      </c>
      <c r="H1501" s="37" t="str">
        <f>IF(Agent08_Loans!B111="","",Agent08_Loans!H111)</f>
        <v/>
      </c>
      <c r="I1501" s="40" t="str">
        <f>IF(Agent08_Loans!B111="","",Agent08_Loans!I111)</f>
        <v/>
      </c>
      <c r="J1501" s="40" t="str">
        <f>IF(Agent08_Loans!B111="","",Agent08_Loans!J111)</f>
        <v/>
      </c>
      <c r="K1501" s="37" t="str">
        <f>IF(Agent08_Loans!B111="","",Agent08_Loans!K111)</f>
        <v/>
      </c>
      <c r="L1501" s="37" t="str">
        <f>IF(Agent08_Loans!B111="","",Agent08_Loans!L111)</f>
        <v/>
      </c>
      <c r="M1501" s="37" t="str">
        <f>IFERROR(IF(Agent08_Loans!B111="","",YEAR(Agent08_Loans!D111)),"")</f>
        <v/>
      </c>
    </row>
    <row r="1502" spans="1:13" ht="18" customHeight="1" x14ac:dyDescent="0.25">
      <c r="A1502" s="37" t="str">
        <f>IF(Agent08_Loans!B112="","",Agent08_Loans!A112)</f>
        <v/>
      </c>
      <c r="B1502" s="37" t="str">
        <f>IF(Agent08_Loans!B112="","",Agent08_Loans!B112)</f>
        <v/>
      </c>
      <c r="C1502" s="37" t="str">
        <f>IF(Agent08_Loans!B112="","",Agent08_Loans!C112)</f>
        <v/>
      </c>
      <c r="D1502" s="38" t="str">
        <f>IF(Agent08_Loans!B112="","",Agent08_Loans!D112)</f>
        <v/>
      </c>
      <c r="E1502" s="40" t="str">
        <f>IF(Agent08_Loans!B112="","",Agent08_Loans!E112)</f>
        <v/>
      </c>
      <c r="F1502" s="37" t="str">
        <f>IF(Agent08_Loans!B112="","",Agent08_Loans!F112)</f>
        <v/>
      </c>
      <c r="G1502" s="37" t="str">
        <f>IF(Agent08_Loans!B112="","",Agent08_Loans!G112)</f>
        <v/>
      </c>
      <c r="H1502" s="37" t="str">
        <f>IF(Agent08_Loans!B112="","",Agent08_Loans!H112)</f>
        <v/>
      </c>
      <c r="I1502" s="40" t="str">
        <f>IF(Agent08_Loans!B112="","",Agent08_Loans!I112)</f>
        <v/>
      </c>
      <c r="J1502" s="40" t="str">
        <f>IF(Agent08_Loans!B112="","",Agent08_Loans!J112)</f>
        <v/>
      </c>
      <c r="K1502" s="37" t="str">
        <f>IF(Agent08_Loans!B112="","",Agent08_Loans!K112)</f>
        <v/>
      </c>
      <c r="L1502" s="37" t="str">
        <f>IF(Agent08_Loans!B112="","",Agent08_Loans!L112)</f>
        <v/>
      </c>
      <c r="M1502" s="37" t="str">
        <f>IFERROR(IF(Agent08_Loans!B112="","",YEAR(Agent08_Loans!D112)),"")</f>
        <v/>
      </c>
    </row>
    <row r="1503" spans="1:13" ht="18" customHeight="1" x14ac:dyDescent="0.25">
      <c r="A1503" s="37" t="str">
        <f>IF(Agent08_Loans!B113="","",Agent08_Loans!A113)</f>
        <v/>
      </c>
      <c r="B1503" s="37" t="str">
        <f>IF(Agent08_Loans!B113="","",Agent08_Loans!B113)</f>
        <v/>
      </c>
      <c r="C1503" s="37" t="str">
        <f>IF(Agent08_Loans!B113="","",Agent08_Loans!C113)</f>
        <v/>
      </c>
      <c r="D1503" s="38" t="str">
        <f>IF(Agent08_Loans!B113="","",Agent08_Loans!D113)</f>
        <v/>
      </c>
      <c r="E1503" s="40" t="str">
        <f>IF(Agent08_Loans!B113="","",Agent08_Loans!E113)</f>
        <v/>
      </c>
      <c r="F1503" s="37" t="str">
        <f>IF(Agent08_Loans!B113="","",Agent08_Loans!F113)</f>
        <v/>
      </c>
      <c r="G1503" s="37" t="str">
        <f>IF(Agent08_Loans!B113="","",Agent08_Loans!G113)</f>
        <v/>
      </c>
      <c r="H1503" s="37" t="str">
        <f>IF(Agent08_Loans!B113="","",Agent08_Loans!H113)</f>
        <v/>
      </c>
      <c r="I1503" s="40" t="str">
        <f>IF(Agent08_Loans!B113="","",Agent08_Loans!I113)</f>
        <v/>
      </c>
      <c r="J1503" s="40" t="str">
        <f>IF(Agent08_Loans!B113="","",Agent08_Loans!J113)</f>
        <v/>
      </c>
      <c r="K1503" s="37" t="str">
        <f>IF(Agent08_Loans!B113="","",Agent08_Loans!K113)</f>
        <v/>
      </c>
      <c r="L1503" s="37" t="str">
        <f>IF(Agent08_Loans!B113="","",Agent08_Loans!L113)</f>
        <v/>
      </c>
      <c r="M1503" s="37" t="str">
        <f>IFERROR(IF(Agent08_Loans!B113="","",YEAR(Agent08_Loans!D113)),"")</f>
        <v/>
      </c>
    </row>
    <row r="1504" spans="1:13" ht="18" customHeight="1" x14ac:dyDescent="0.25">
      <c r="A1504" s="37" t="str">
        <f>IF(Agent08_Loans!B114="","",Agent08_Loans!A114)</f>
        <v/>
      </c>
      <c r="B1504" s="37" t="str">
        <f>IF(Agent08_Loans!B114="","",Agent08_Loans!B114)</f>
        <v/>
      </c>
      <c r="C1504" s="37" t="str">
        <f>IF(Agent08_Loans!B114="","",Agent08_Loans!C114)</f>
        <v/>
      </c>
      <c r="D1504" s="38" t="str">
        <f>IF(Agent08_Loans!B114="","",Agent08_Loans!D114)</f>
        <v/>
      </c>
      <c r="E1504" s="40" t="str">
        <f>IF(Agent08_Loans!B114="","",Agent08_Loans!E114)</f>
        <v/>
      </c>
      <c r="F1504" s="37" t="str">
        <f>IF(Agent08_Loans!B114="","",Agent08_Loans!F114)</f>
        <v/>
      </c>
      <c r="G1504" s="37" t="str">
        <f>IF(Agent08_Loans!B114="","",Agent08_Loans!G114)</f>
        <v/>
      </c>
      <c r="H1504" s="37" t="str">
        <f>IF(Agent08_Loans!B114="","",Agent08_Loans!H114)</f>
        <v/>
      </c>
      <c r="I1504" s="40" t="str">
        <f>IF(Agent08_Loans!B114="","",Agent08_Loans!I114)</f>
        <v/>
      </c>
      <c r="J1504" s="40" t="str">
        <f>IF(Agent08_Loans!B114="","",Agent08_Loans!J114)</f>
        <v/>
      </c>
      <c r="K1504" s="37" t="str">
        <f>IF(Agent08_Loans!B114="","",Agent08_Loans!K114)</f>
        <v/>
      </c>
      <c r="L1504" s="37" t="str">
        <f>IF(Agent08_Loans!B114="","",Agent08_Loans!L114)</f>
        <v/>
      </c>
      <c r="M1504" s="37" t="str">
        <f>IFERROR(IF(Agent08_Loans!B114="","",YEAR(Agent08_Loans!D114)),"")</f>
        <v/>
      </c>
    </row>
    <row r="1505" spans="1:13" ht="18" customHeight="1" x14ac:dyDescent="0.25">
      <c r="A1505" s="37" t="str">
        <f>IF(Agent08_Loans!B115="","",Agent08_Loans!A115)</f>
        <v/>
      </c>
      <c r="B1505" s="37" t="str">
        <f>IF(Agent08_Loans!B115="","",Agent08_Loans!B115)</f>
        <v/>
      </c>
      <c r="C1505" s="37" t="str">
        <f>IF(Agent08_Loans!B115="","",Agent08_Loans!C115)</f>
        <v/>
      </c>
      <c r="D1505" s="38" t="str">
        <f>IF(Agent08_Loans!B115="","",Agent08_Loans!D115)</f>
        <v/>
      </c>
      <c r="E1505" s="40" t="str">
        <f>IF(Agent08_Loans!B115="","",Agent08_Loans!E115)</f>
        <v/>
      </c>
      <c r="F1505" s="37" t="str">
        <f>IF(Agent08_Loans!B115="","",Agent08_Loans!F115)</f>
        <v/>
      </c>
      <c r="G1505" s="37" t="str">
        <f>IF(Agent08_Loans!B115="","",Agent08_Loans!G115)</f>
        <v/>
      </c>
      <c r="H1505" s="37" t="str">
        <f>IF(Agent08_Loans!B115="","",Agent08_Loans!H115)</f>
        <v/>
      </c>
      <c r="I1505" s="40" t="str">
        <f>IF(Agent08_Loans!B115="","",Agent08_Loans!I115)</f>
        <v/>
      </c>
      <c r="J1505" s="40" t="str">
        <f>IF(Agent08_Loans!B115="","",Agent08_Loans!J115)</f>
        <v/>
      </c>
      <c r="K1505" s="37" t="str">
        <f>IF(Agent08_Loans!B115="","",Agent08_Loans!K115)</f>
        <v/>
      </c>
      <c r="L1505" s="37" t="str">
        <f>IF(Agent08_Loans!B115="","",Agent08_Loans!L115)</f>
        <v/>
      </c>
      <c r="M1505" s="37" t="str">
        <f>IFERROR(IF(Agent08_Loans!B115="","",YEAR(Agent08_Loans!D115)),"")</f>
        <v/>
      </c>
    </row>
    <row r="1506" spans="1:13" ht="18" customHeight="1" x14ac:dyDescent="0.25">
      <c r="A1506" s="37" t="str">
        <f>IF(Agent08_Loans!B116="","",Agent08_Loans!A116)</f>
        <v/>
      </c>
      <c r="B1506" s="37" t="str">
        <f>IF(Agent08_Loans!B116="","",Agent08_Loans!B116)</f>
        <v/>
      </c>
      <c r="C1506" s="37" t="str">
        <f>IF(Agent08_Loans!B116="","",Agent08_Loans!C116)</f>
        <v/>
      </c>
      <c r="D1506" s="38" t="str">
        <f>IF(Agent08_Loans!B116="","",Agent08_Loans!D116)</f>
        <v/>
      </c>
      <c r="E1506" s="40" t="str">
        <f>IF(Agent08_Loans!B116="","",Agent08_Loans!E116)</f>
        <v/>
      </c>
      <c r="F1506" s="37" t="str">
        <f>IF(Agent08_Loans!B116="","",Agent08_Loans!F116)</f>
        <v/>
      </c>
      <c r="G1506" s="37" t="str">
        <f>IF(Agent08_Loans!B116="","",Agent08_Loans!G116)</f>
        <v/>
      </c>
      <c r="H1506" s="37" t="str">
        <f>IF(Agent08_Loans!B116="","",Agent08_Loans!H116)</f>
        <v/>
      </c>
      <c r="I1506" s="40" t="str">
        <f>IF(Agent08_Loans!B116="","",Agent08_Loans!I116)</f>
        <v/>
      </c>
      <c r="J1506" s="40" t="str">
        <f>IF(Agent08_Loans!B116="","",Agent08_Loans!J116)</f>
        <v/>
      </c>
      <c r="K1506" s="37" t="str">
        <f>IF(Agent08_Loans!B116="","",Agent08_Loans!K116)</f>
        <v/>
      </c>
      <c r="L1506" s="37" t="str">
        <f>IF(Agent08_Loans!B116="","",Agent08_Loans!L116)</f>
        <v/>
      </c>
      <c r="M1506" s="37" t="str">
        <f>IFERROR(IF(Agent08_Loans!B116="","",YEAR(Agent08_Loans!D116)),"")</f>
        <v/>
      </c>
    </row>
    <row r="1507" spans="1:13" ht="18" customHeight="1" x14ac:dyDescent="0.25">
      <c r="A1507" s="37" t="str">
        <f>IF(Agent08_Loans!B117="","",Agent08_Loans!A117)</f>
        <v/>
      </c>
      <c r="B1507" s="37" t="str">
        <f>IF(Agent08_Loans!B117="","",Agent08_Loans!B117)</f>
        <v/>
      </c>
      <c r="C1507" s="37" t="str">
        <f>IF(Agent08_Loans!B117="","",Agent08_Loans!C117)</f>
        <v/>
      </c>
      <c r="D1507" s="38" t="str">
        <f>IF(Agent08_Loans!B117="","",Agent08_Loans!D117)</f>
        <v/>
      </c>
      <c r="E1507" s="40" t="str">
        <f>IF(Agent08_Loans!B117="","",Agent08_Loans!E117)</f>
        <v/>
      </c>
      <c r="F1507" s="37" t="str">
        <f>IF(Agent08_Loans!B117="","",Agent08_Loans!F117)</f>
        <v/>
      </c>
      <c r="G1507" s="37" t="str">
        <f>IF(Agent08_Loans!B117="","",Agent08_Loans!G117)</f>
        <v/>
      </c>
      <c r="H1507" s="37" t="str">
        <f>IF(Agent08_Loans!B117="","",Agent08_Loans!H117)</f>
        <v/>
      </c>
      <c r="I1507" s="40" t="str">
        <f>IF(Agent08_Loans!B117="","",Agent08_Loans!I117)</f>
        <v/>
      </c>
      <c r="J1507" s="40" t="str">
        <f>IF(Agent08_Loans!B117="","",Agent08_Loans!J117)</f>
        <v/>
      </c>
      <c r="K1507" s="37" t="str">
        <f>IF(Agent08_Loans!B117="","",Agent08_Loans!K117)</f>
        <v/>
      </c>
      <c r="L1507" s="37" t="str">
        <f>IF(Agent08_Loans!B117="","",Agent08_Loans!L117)</f>
        <v/>
      </c>
      <c r="M1507" s="37" t="str">
        <f>IFERROR(IF(Agent08_Loans!B117="","",YEAR(Agent08_Loans!D117)),"")</f>
        <v/>
      </c>
    </row>
    <row r="1508" spans="1:13" ht="18" customHeight="1" x14ac:dyDescent="0.25">
      <c r="A1508" s="37" t="str">
        <f>IF(Agent08_Loans!B118="","",Agent08_Loans!A118)</f>
        <v/>
      </c>
      <c r="B1508" s="37" t="str">
        <f>IF(Agent08_Loans!B118="","",Agent08_Loans!B118)</f>
        <v/>
      </c>
      <c r="C1508" s="37" t="str">
        <f>IF(Agent08_Loans!B118="","",Agent08_Loans!C118)</f>
        <v/>
      </c>
      <c r="D1508" s="38" t="str">
        <f>IF(Agent08_Loans!B118="","",Agent08_Loans!D118)</f>
        <v/>
      </c>
      <c r="E1508" s="40" t="str">
        <f>IF(Agent08_Loans!B118="","",Agent08_Loans!E118)</f>
        <v/>
      </c>
      <c r="F1508" s="37" t="str">
        <f>IF(Agent08_Loans!B118="","",Agent08_Loans!F118)</f>
        <v/>
      </c>
      <c r="G1508" s="37" t="str">
        <f>IF(Agent08_Loans!B118="","",Agent08_Loans!G118)</f>
        <v/>
      </c>
      <c r="H1508" s="37" t="str">
        <f>IF(Agent08_Loans!B118="","",Agent08_Loans!H118)</f>
        <v/>
      </c>
      <c r="I1508" s="40" t="str">
        <f>IF(Agent08_Loans!B118="","",Agent08_Loans!I118)</f>
        <v/>
      </c>
      <c r="J1508" s="40" t="str">
        <f>IF(Agent08_Loans!B118="","",Agent08_Loans!J118)</f>
        <v/>
      </c>
      <c r="K1508" s="37" t="str">
        <f>IF(Agent08_Loans!B118="","",Agent08_Loans!K118)</f>
        <v/>
      </c>
      <c r="L1508" s="37" t="str">
        <f>IF(Agent08_Loans!B118="","",Agent08_Loans!L118)</f>
        <v/>
      </c>
      <c r="M1508" s="37" t="str">
        <f>IFERROR(IF(Agent08_Loans!B118="","",YEAR(Agent08_Loans!D118)),"")</f>
        <v/>
      </c>
    </row>
    <row r="1509" spans="1:13" ht="18" customHeight="1" x14ac:dyDescent="0.25">
      <c r="A1509" s="37" t="str">
        <f>IF(Agent08_Loans!B119="","",Agent08_Loans!A119)</f>
        <v/>
      </c>
      <c r="B1509" s="37" t="str">
        <f>IF(Agent08_Loans!B119="","",Agent08_Loans!B119)</f>
        <v/>
      </c>
      <c r="C1509" s="37" t="str">
        <f>IF(Agent08_Loans!B119="","",Agent08_Loans!C119)</f>
        <v/>
      </c>
      <c r="D1509" s="38" t="str">
        <f>IF(Agent08_Loans!B119="","",Agent08_Loans!D119)</f>
        <v/>
      </c>
      <c r="E1509" s="40" t="str">
        <f>IF(Agent08_Loans!B119="","",Agent08_Loans!E119)</f>
        <v/>
      </c>
      <c r="F1509" s="37" t="str">
        <f>IF(Agent08_Loans!B119="","",Agent08_Loans!F119)</f>
        <v/>
      </c>
      <c r="G1509" s="37" t="str">
        <f>IF(Agent08_Loans!B119="","",Agent08_Loans!G119)</f>
        <v/>
      </c>
      <c r="H1509" s="37" t="str">
        <f>IF(Agent08_Loans!B119="","",Agent08_Loans!H119)</f>
        <v/>
      </c>
      <c r="I1509" s="40" t="str">
        <f>IF(Agent08_Loans!B119="","",Agent08_Loans!I119)</f>
        <v/>
      </c>
      <c r="J1509" s="40" t="str">
        <f>IF(Agent08_Loans!B119="","",Agent08_Loans!J119)</f>
        <v/>
      </c>
      <c r="K1509" s="37" t="str">
        <f>IF(Agent08_Loans!B119="","",Agent08_Loans!K119)</f>
        <v/>
      </c>
      <c r="L1509" s="37" t="str">
        <f>IF(Agent08_Loans!B119="","",Agent08_Loans!L119)</f>
        <v/>
      </c>
      <c r="M1509" s="37" t="str">
        <f>IFERROR(IF(Agent08_Loans!B119="","",YEAR(Agent08_Loans!D119)),"")</f>
        <v/>
      </c>
    </row>
    <row r="1510" spans="1:13" ht="18" customHeight="1" x14ac:dyDescent="0.25">
      <c r="A1510" s="37" t="str">
        <f>IF(Agent08_Loans!B120="","",Agent08_Loans!A120)</f>
        <v/>
      </c>
      <c r="B1510" s="37" t="str">
        <f>IF(Agent08_Loans!B120="","",Agent08_Loans!B120)</f>
        <v/>
      </c>
      <c r="C1510" s="37" t="str">
        <f>IF(Agent08_Loans!B120="","",Agent08_Loans!C120)</f>
        <v/>
      </c>
      <c r="D1510" s="38" t="str">
        <f>IF(Agent08_Loans!B120="","",Agent08_Loans!D120)</f>
        <v/>
      </c>
      <c r="E1510" s="40" t="str">
        <f>IF(Agent08_Loans!B120="","",Agent08_Loans!E120)</f>
        <v/>
      </c>
      <c r="F1510" s="37" t="str">
        <f>IF(Agent08_Loans!B120="","",Agent08_Loans!F120)</f>
        <v/>
      </c>
      <c r="G1510" s="37" t="str">
        <f>IF(Agent08_Loans!B120="","",Agent08_Loans!G120)</f>
        <v/>
      </c>
      <c r="H1510" s="37" t="str">
        <f>IF(Agent08_Loans!B120="","",Agent08_Loans!H120)</f>
        <v/>
      </c>
      <c r="I1510" s="40" t="str">
        <f>IF(Agent08_Loans!B120="","",Agent08_Loans!I120)</f>
        <v/>
      </c>
      <c r="J1510" s="40" t="str">
        <f>IF(Agent08_Loans!B120="","",Agent08_Loans!J120)</f>
        <v/>
      </c>
      <c r="K1510" s="37" t="str">
        <f>IF(Agent08_Loans!B120="","",Agent08_Loans!K120)</f>
        <v/>
      </c>
      <c r="L1510" s="37" t="str">
        <f>IF(Agent08_Loans!B120="","",Agent08_Loans!L120)</f>
        <v/>
      </c>
      <c r="M1510" s="37" t="str">
        <f>IFERROR(IF(Agent08_Loans!B120="","",YEAR(Agent08_Loans!D120)),"")</f>
        <v/>
      </c>
    </row>
    <row r="1511" spans="1:13" ht="18" customHeight="1" x14ac:dyDescent="0.25">
      <c r="A1511" s="37" t="str">
        <f>IF(Agent08_Loans!B121="","",Agent08_Loans!A121)</f>
        <v/>
      </c>
      <c r="B1511" s="37" t="str">
        <f>IF(Agent08_Loans!B121="","",Agent08_Loans!B121)</f>
        <v/>
      </c>
      <c r="C1511" s="37" t="str">
        <f>IF(Agent08_Loans!B121="","",Agent08_Loans!C121)</f>
        <v/>
      </c>
      <c r="D1511" s="38" t="str">
        <f>IF(Agent08_Loans!B121="","",Agent08_Loans!D121)</f>
        <v/>
      </c>
      <c r="E1511" s="40" t="str">
        <f>IF(Agent08_Loans!B121="","",Agent08_Loans!E121)</f>
        <v/>
      </c>
      <c r="F1511" s="37" t="str">
        <f>IF(Agent08_Loans!B121="","",Agent08_Loans!F121)</f>
        <v/>
      </c>
      <c r="G1511" s="37" t="str">
        <f>IF(Agent08_Loans!B121="","",Agent08_Loans!G121)</f>
        <v/>
      </c>
      <c r="H1511" s="37" t="str">
        <f>IF(Agent08_Loans!B121="","",Agent08_Loans!H121)</f>
        <v/>
      </c>
      <c r="I1511" s="40" t="str">
        <f>IF(Agent08_Loans!B121="","",Agent08_Loans!I121)</f>
        <v/>
      </c>
      <c r="J1511" s="40" t="str">
        <f>IF(Agent08_Loans!B121="","",Agent08_Loans!J121)</f>
        <v/>
      </c>
      <c r="K1511" s="37" t="str">
        <f>IF(Agent08_Loans!B121="","",Agent08_Loans!K121)</f>
        <v/>
      </c>
      <c r="L1511" s="37" t="str">
        <f>IF(Agent08_Loans!B121="","",Agent08_Loans!L121)</f>
        <v/>
      </c>
      <c r="M1511" s="37" t="str">
        <f>IFERROR(IF(Agent08_Loans!B121="","",YEAR(Agent08_Loans!D121)),"")</f>
        <v/>
      </c>
    </row>
    <row r="1512" spans="1:13" ht="18" customHeight="1" x14ac:dyDescent="0.25">
      <c r="A1512" s="37" t="str">
        <f>IF(Agent08_Loans!B122="","",Agent08_Loans!A122)</f>
        <v/>
      </c>
      <c r="B1512" s="37" t="str">
        <f>IF(Agent08_Loans!B122="","",Agent08_Loans!B122)</f>
        <v/>
      </c>
      <c r="C1512" s="37" t="str">
        <f>IF(Agent08_Loans!B122="","",Agent08_Loans!C122)</f>
        <v/>
      </c>
      <c r="D1512" s="38" t="str">
        <f>IF(Agent08_Loans!B122="","",Agent08_Loans!D122)</f>
        <v/>
      </c>
      <c r="E1512" s="40" t="str">
        <f>IF(Agent08_Loans!B122="","",Agent08_Loans!E122)</f>
        <v/>
      </c>
      <c r="F1512" s="37" t="str">
        <f>IF(Agent08_Loans!B122="","",Agent08_Loans!F122)</f>
        <v/>
      </c>
      <c r="G1512" s="37" t="str">
        <f>IF(Agent08_Loans!B122="","",Agent08_Loans!G122)</f>
        <v/>
      </c>
      <c r="H1512" s="37" t="str">
        <f>IF(Agent08_Loans!B122="","",Agent08_Loans!H122)</f>
        <v/>
      </c>
      <c r="I1512" s="40" t="str">
        <f>IF(Agent08_Loans!B122="","",Agent08_Loans!I122)</f>
        <v/>
      </c>
      <c r="J1512" s="40" t="str">
        <f>IF(Agent08_Loans!B122="","",Agent08_Loans!J122)</f>
        <v/>
      </c>
      <c r="K1512" s="37" t="str">
        <f>IF(Agent08_Loans!B122="","",Agent08_Loans!K122)</f>
        <v/>
      </c>
      <c r="L1512" s="37" t="str">
        <f>IF(Agent08_Loans!B122="","",Agent08_Loans!L122)</f>
        <v/>
      </c>
      <c r="M1512" s="37" t="str">
        <f>IFERROR(IF(Agent08_Loans!B122="","",YEAR(Agent08_Loans!D122)),"")</f>
        <v/>
      </c>
    </row>
    <row r="1513" spans="1:13" ht="18" customHeight="1" x14ac:dyDescent="0.25">
      <c r="A1513" s="37" t="str">
        <f>IF(Agent08_Loans!B123="","",Agent08_Loans!A123)</f>
        <v/>
      </c>
      <c r="B1513" s="37" t="str">
        <f>IF(Agent08_Loans!B123="","",Agent08_Loans!B123)</f>
        <v/>
      </c>
      <c r="C1513" s="37" t="str">
        <f>IF(Agent08_Loans!B123="","",Agent08_Loans!C123)</f>
        <v/>
      </c>
      <c r="D1513" s="38" t="str">
        <f>IF(Agent08_Loans!B123="","",Agent08_Loans!D123)</f>
        <v/>
      </c>
      <c r="E1513" s="40" t="str">
        <f>IF(Agent08_Loans!B123="","",Agent08_Loans!E123)</f>
        <v/>
      </c>
      <c r="F1513" s="37" t="str">
        <f>IF(Agent08_Loans!B123="","",Agent08_Loans!F123)</f>
        <v/>
      </c>
      <c r="G1513" s="37" t="str">
        <f>IF(Agent08_Loans!B123="","",Agent08_Loans!G123)</f>
        <v/>
      </c>
      <c r="H1513" s="37" t="str">
        <f>IF(Agent08_Loans!B123="","",Agent08_Loans!H123)</f>
        <v/>
      </c>
      <c r="I1513" s="40" t="str">
        <f>IF(Agent08_Loans!B123="","",Agent08_Loans!I123)</f>
        <v/>
      </c>
      <c r="J1513" s="40" t="str">
        <f>IF(Agent08_Loans!B123="","",Agent08_Loans!J123)</f>
        <v/>
      </c>
      <c r="K1513" s="37" t="str">
        <f>IF(Agent08_Loans!B123="","",Agent08_Loans!K123)</f>
        <v/>
      </c>
      <c r="L1513" s="37" t="str">
        <f>IF(Agent08_Loans!B123="","",Agent08_Loans!L123)</f>
        <v/>
      </c>
      <c r="M1513" s="37" t="str">
        <f>IFERROR(IF(Agent08_Loans!B123="","",YEAR(Agent08_Loans!D123)),"")</f>
        <v/>
      </c>
    </row>
    <row r="1514" spans="1:13" ht="18" customHeight="1" x14ac:dyDescent="0.25">
      <c r="A1514" s="37" t="str">
        <f>IF(Agent08_Loans!B124="","",Agent08_Loans!A124)</f>
        <v/>
      </c>
      <c r="B1514" s="37" t="str">
        <f>IF(Agent08_Loans!B124="","",Agent08_Loans!B124)</f>
        <v/>
      </c>
      <c r="C1514" s="37" t="str">
        <f>IF(Agent08_Loans!B124="","",Agent08_Loans!C124)</f>
        <v/>
      </c>
      <c r="D1514" s="38" t="str">
        <f>IF(Agent08_Loans!B124="","",Agent08_Loans!D124)</f>
        <v/>
      </c>
      <c r="E1514" s="40" t="str">
        <f>IF(Agent08_Loans!B124="","",Agent08_Loans!E124)</f>
        <v/>
      </c>
      <c r="F1514" s="37" t="str">
        <f>IF(Agent08_Loans!B124="","",Agent08_Loans!F124)</f>
        <v/>
      </c>
      <c r="G1514" s="37" t="str">
        <f>IF(Agent08_Loans!B124="","",Agent08_Loans!G124)</f>
        <v/>
      </c>
      <c r="H1514" s="37" t="str">
        <f>IF(Agent08_Loans!B124="","",Agent08_Loans!H124)</f>
        <v/>
      </c>
      <c r="I1514" s="40" t="str">
        <f>IF(Agent08_Loans!B124="","",Agent08_Loans!I124)</f>
        <v/>
      </c>
      <c r="J1514" s="40" t="str">
        <f>IF(Agent08_Loans!B124="","",Agent08_Loans!J124)</f>
        <v/>
      </c>
      <c r="K1514" s="37" t="str">
        <f>IF(Agent08_Loans!B124="","",Agent08_Loans!K124)</f>
        <v/>
      </c>
      <c r="L1514" s="37" t="str">
        <f>IF(Agent08_Loans!B124="","",Agent08_Loans!L124)</f>
        <v/>
      </c>
      <c r="M1514" s="37" t="str">
        <f>IFERROR(IF(Agent08_Loans!B124="","",YEAR(Agent08_Loans!D124)),"")</f>
        <v/>
      </c>
    </row>
    <row r="1515" spans="1:13" ht="18" customHeight="1" x14ac:dyDescent="0.25">
      <c r="A1515" s="37" t="str">
        <f>IF(Agent08_Loans!B125="","",Agent08_Loans!A125)</f>
        <v/>
      </c>
      <c r="B1515" s="37" t="str">
        <f>IF(Agent08_Loans!B125="","",Agent08_Loans!B125)</f>
        <v/>
      </c>
      <c r="C1515" s="37" t="str">
        <f>IF(Agent08_Loans!B125="","",Agent08_Loans!C125)</f>
        <v/>
      </c>
      <c r="D1515" s="38" t="str">
        <f>IF(Agent08_Loans!B125="","",Agent08_Loans!D125)</f>
        <v/>
      </c>
      <c r="E1515" s="40" t="str">
        <f>IF(Agent08_Loans!B125="","",Agent08_Loans!E125)</f>
        <v/>
      </c>
      <c r="F1515" s="37" t="str">
        <f>IF(Agent08_Loans!B125="","",Agent08_Loans!F125)</f>
        <v/>
      </c>
      <c r="G1515" s="37" t="str">
        <f>IF(Agent08_Loans!B125="","",Agent08_Loans!G125)</f>
        <v/>
      </c>
      <c r="H1515" s="37" t="str">
        <f>IF(Agent08_Loans!B125="","",Agent08_Loans!H125)</f>
        <v/>
      </c>
      <c r="I1515" s="40" t="str">
        <f>IF(Agent08_Loans!B125="","",Agent08_Loans!I125)</f>
        <v/>
      </c>
      <c r="J1515" s="40" t="str">
        <f>IF(Agent08_Loans!B125="","",Agent08_Loans!J125)</f>
        <v/>
      </c>
      <c r="K1515" s="37" t="str">
        <f>IF(Agent08_Loans!B125="","",Agent08_Loans!K125)</f>
        <v/>
      </c>
      <c r="L1515" s="37" t="str">
        <f>IF(Agent08_Loans!B125="","",Agent08_Loans!L125)</f>
        <v/>
      </c>
      <c r="M1515" s="37" t="str">
        <f>IFERROR(IF(Agent08_Loans!B125="","",YEAR(Agent08_Loans!D125)),"")</f>
        <v/>
      </c>
    </row>
    <row r="1516" spans="1:13" ht="18" customHeight="1" x14ac:dyDescent="0.25">
      <c r="A1516" s="37" t="str">
        <f>IF(Agent08_Loans!B126="","",Agent08_Loans!A126)</f>
        <v/>
      </c>
      <c r="B1516" s="37" t="str">
        <f>IF(Agent08_Loans!B126="","",Agent08_Loans!B126)</f>
        <v/>
      </c>
      <c r="C1516" s="37" t="str">
        <f>IF(Agent08_Loans!B126="","",Agent08_Loans!C126)</f>
        <v/>
      </c>
      <c r="D1516" s="38" t="str">
        <f>IF(Agent08_Loans!B126="","",Agent08_Loans!D126)</f>
        <v/>
      </c>
      <c r="E1516" s="40" t="str">
        <f>IF(Agent08_Loans!B126="","",Agent08_Loans!E126)</f>
        <v/>
      </c>
      <c r="F1516" s="37" t="str">
        <f>IF(Agent08_Loans!B126="","",Agent08_Loans!F126)</f>
        <v/>
      </c>
      <c r="G1516" s="37" t="str">
        <f>IF(Agent08_Loans!B126="","",Agent08_Loans!G126)</f>
        <v/>
      </c>
      <c r="H1516" s="37" t="str">
        <f>IF(Agent08_Loans!B126="","",Agent08_Loans!H126)</f>
        <v/>
      </c>
      <c r="I1516" s="40" t="str">
        <f>IF(Agent08_Loans!B126="","",Agent08_Loans!I126)</f>
        <v/>
      </c>
      <c r="J1516" s="40" t="str">
        <f>IF(Agent08_Loans!B126="","",Agent08_Loans!J126)</f>
        <v/>
      </c>
      <c r="K1516" s="37" t="str">
        <f>IF(Agent08_Loans!B126="","",Agent08_Loans!K126)</f>
        <v/>
      </c>
      <c r="L1516" s="37" t="str">
        <f>IF(Agent08_Loans!B126="","",Agent08_Loans!L126)</f>
        <v/>
      </c>
      <c r="M1516" s="37" t="str">
        <f>IFERROR(IF(Agent08_Loans!B126="","",YEAR(Agent08_Loans!D126)),"")</f>
        <v/>
      </c>
    </row>
    <row r="1517" spans="1:13" ht="18" customHeight="1" x14ac:dyDescent="0.25">
      <c r="A1517" s="37" t="str">
        <f>IF(Agent08_Loans!B127="","",Agent08_Loans!A127)</f>
        <v/>
      </c>
      <c r="B1517" s="37" t="str">
        <f>IF(Agent08_Loans!B127="","",Agent08_Loans!B127)</f>
        <v/>
      </c>
      <c r="C1517" s="37" t="str">
        <f>IF(Agent08_Loans!B127="","",Agent08_Loans!C127)</f>
        <v/>
      </c>
      <c r="D1517" s="38" t="str">
        <f>IF(Agent08_Loans!B127="","",Agent08_Loans!D127)</f>
        <v/>
      </c>
      <c r="E1517" s="40" t="str">
        <f>IF(Agent08_Loans!B127="","",Agent08_Loans!E127)</f>
        <v/>
      </c>
      <c r="F1517" s="37" t="str">
        <f>IF(Agent08_Loans!B127="","",Agent08_Loans!F127)</f>
        <v/>
      </c>
      <c r="G1517" s="37" t="str">
        <f>IF(Agent08_Loans!B127="","",Agent08_Loans!G127)</f>
        <v/>
      </c>
      <c r="H1517" s="37" t="str">
        <f>IF(Agent08_Loans!B127="","",Agent08_Loans!H127)</f>
        <v/>
      </c>
      <c r="I1517" s="40" t="str">
        <f>IF(Agent08_Loans!B127="","",Agent08_Loans!I127)</f>
        <v/>
      </c>
      <c r="J1517" s="40" t="str">
        <f>IF(Agent08_Loans!B127="","",Agent08_Loans!J127)</f>
        <v/>
      </c>
      <c r="K1517" s="37" t="str">
        <f>IF(Agent08_Loans!B127="","",Agent08_Loans!K127)</f>
        <v/>
      </c>
      <c r="L1517" s="37" t="str">
        <f>IF(Agent08_Loans!B127="","",Agent08_Loans!L127)</f>
        <v/>
      </c>
      <c r="M1517" s="37" t="str">
        <f>IFERROR(IF(Agent08_Loans!B127="","",YEAR(Agent08_Loans!D127)),"")</f>
        <v/>
      </c>
    </row>
    <row r="1518" spans="1:13" ht="18" customHeight="1" x14ac:dyDescent="0.25">
      <c r="A1518" s="37" t="str">
        <f>IF(Agent08_Loans!B128="","",Agent08_Loans!A128)</f>
        <v/>
      </c>
      <c r="B1518" s="37" t="str">
        <f>IF(Agent08_Loans!B128="","",Agent08_Loans!B128)</f>
        <v/>
      </c>
      <c r="C1518" s="37" t="str">
        <f>IF(Agent08_Loans!B128="","",Agent08_Loans!C128)</f>
        <v/>
      </c>
      <c r="D1518" s="38" t="str">
        <f>IF(Agent08_Loans!B128="","",Agent08_Loans!D128)</f>
        <v/>
      </c>
      <c r="E1518" s="40" t="str">
        <f>IF(Agent08_Loans!B128="","",Agent08_Loans!E128)</f>
        <v/>
      </c>
      <c r="F1518" s="37" t="str">
        <f>IF(Agent08_Loans!B128="","",Agent08_Loans!F128)</f>
        <v/>
      </c>
      <c r="G1518" s="37" t="str">
        <f>IF(Agent08_Loans!B128="","",Agent08_Loans!G128)</f>
        <v/>
      </c>
      <c r="H1518" s="37" t="str">
        <f>IF(Agent08_Loans!B128="","",Agent08_Loans!H128)</f>
        <v/>
      </c>
      <c r="I1518" s="40" t="str">
        <f>IF(Agent08_Loans!B128="","",Agent08_Loans!I128)</f>
        <v/>
      </c>
      <c r="J1518" s="40" t="str">
        <f>IF(Agent08_Loans!B128="","",Agent08_Loans!J128)</f>
        <v/>
      </c>
      <c r="K1518" s="37" t="str">
        <f>IF(Agent08_Loans!B128="","",Agent08_Loans!K128)</f>
        <v/>
      </c>
      <c r="L1518" s="37" t="str">
        <f>IF(Agent08_Loans!B128="","",Agent08_Loans!L128)</f>
        <v/>
      </c>
      <c r="M1518" s="37" t="str">
        <f>IFERROR(IF(Agent08_Loans!B128="","",YEAR(Agent08_Loans!D128)),"")</f>
        <v/>
      </c>
    </row>
    <row r="1519" spans="1:13" ht="18" customHeight="1" x14ac:dyDescent="0.25">
      <c r="A1519" s="37" t="str">
        <f>IF(Agent08_Loans!B129="","",Agent08_Loans!A129)</f>
        <v/>
      </c>
      <c r="B1519" s="37" t="str">
        <f>IF(Agent08_Loans!B129="","",Agent08_Loans!B129)</f>
        <v/>
      </c>
      <c r="C1519" s="37" t="str">
        <f>IF(Agent08_Loans!B129="","",Agent08_Loans!C129)</f>
        <v/>
      </c>
      <c r="D1519" s="38" t="str">
        <f>IF(Agent08_Loans!B129="","",Agent08_Loans!D129)</f>
        <v/>
      </c>
      <c r="E1519" s="40" t="str">
        <f>IF(Agent08_Loans!B129="","",Agent08_Loans!E129)</f>
        <v/>
      </c>
      <c r="F1519" s="37" t="str">
        <f>IF(Agent08_Loans!B129="","",Agent08_Loans!F129)</f>
        <v/>
      </c>
      <c r="G1519" s="37" t="str">
        <f>IF(Agent08_Loans!B129="","",Agent08_Loans!G129)</f>
        <v/>
      </c>
      <c r="H1519" s="37" t="str">
        <f>IF(Agent08_Loans!B129="","",Agent08_Loans!H129)</f>
        <v/>
      </c>
      <c r="I1519" s="40" t="str">
        <f>IF(Agent08_Loans!B129="","",Agent08_Loans!I129)</f>
        <v/>
      </c>
      <c r="J1519" s="40" t="str">
        <f>IF(Agent08_Loans!B129="","",Agent08_Loans!J129)</f>
        <v/>
      </c>
      <c r="K1519" s="37" t="str">
        <f>IF(Agent08_Loans!B129="","",Agent08_Loans!K129)</f>
        <v/>
      </c>
      <c r="L1519" s="37" t="str">
        <f>IF(Agent08_Loans!B129="","",Agent08_Loans!L129)</f>
        <v/>
      </c>
      <c r="M1519" s="37" t="str">
        <f>IFERROR(IF(Agent08_Loans!B129="","",YEAR(Agent08_Loans!D129)),"")</f>
        <v/>
      </c>
    </row>
    <row r="1520" spans="1:13" ht="18" customHeight="1" x14ac:dyDescent="0.25">
      <c r="A1520" s="37" t="str">
        <f>IF(Agent08_Loans!B130="","",Agent08_Loans!A130)</f>
        <v/>
      </c>
      <c r="B1520" s="37" t="str">
        <f>IF(Agent08_Loans!B130="","",Agent08_Loans!B130)</f>
        <v/>
      </c>
      <c r="C1520" s="37" t="str">
        <f>IF(Agent08_Loans!B130="","",Agent08_Loans!C130)</f>
        <v/>
      </c>
      <c r="D1520" s="38" t="str">
        <f>IF(Agent08_Loans!B130="","",Agent08_Loans!D130)</f>
        <v/>
      </c>
      <c r="E1520" s="40" t="str">
        <f>IF(Agent08_Loans!B130="","",Agent08_Loans!E130)</f>
        <v/>
      </c>
      <c r="F1520" s="37" t="str">
        <f>IF(Agent08_Loans!B130="","",Agent08_Loans!F130)</f>
        <v/>
      </c>
      <c r="G1520" s="37" t="str">
        <f>IF(Agent08_Loans!B130="","",Agent08_Loans!G130)</f>
        <v/>
      </c>
      <c r="H1520" s="37" t="str">
        <f>IF(Agent08_Loans!B130="","",Agent08_Loans!H130)</f>
        <v/>
      </c>
      <c r="I1520" s="40" t="str">
        <f>IF(Agent08_Loans!B130="","",Agent08_Loans!I130)</f>
        <v/>
      </c>
      <c r="J1520" s="40" t="str">
        <f>IF(Agent08_Loans!B130="","",Agent08_Loans!J130)</f>
        <v/>
      </c>
      <c r="K1520" s="37" t="str">
        <f>IF(Agent08_Loans!B130="","",Agent08_Loans!K130)</f>
        <v/>
      </c>
      <c r="L1520" s="37" t="str">
        <f>IF(Agent08_Loans!B130="","",Agent08_Loans!L130)</f>
        <v/>
      </c>
      <c r="M1520" s="37" t="str">
        <f>IFERROR(IF(Agent08_Loans!B130="","",YEAR(Agent08_Loans!D130)),"")</f>
        <v/>
      </c>
    </row>
    <row r="1521" spans="1:13" ht="18" customHeight="1" x14ac:dyDescent="0.25">
      <c r="A1521" s="37" t="str">
        <f>IF(Agent08_Loans!B131="","",Agent08_Loans!A131)</f>
        <v/>
      </c>
      <c r="B1521" s="37" t="str">
        <f>IF(Agent08_Loans!B131="","",Agent08_Loans!B131)</f>
        <v/>
      </c>
      <c r="C1521" s="37" t="str">
        <f>IF(Agent08_Loans!B131="","",Agent08_Loans!C131)</f>
        <v/>
      </c>
      <c r="D1521" s="38" t="str">
        <f>IF(Agent08_Loans!B131="","",Agent08_Loans!D131)</f>
        <v/>
      </c>
      <c r="E1521" s="40" t="str">
        <f>IF(Agent08_Loans!B131="","",Agent08_Loans!E131)</f>
        <v/>
      </c>
      <c r="F1521" s="37" t="str">
        <f>IF(Agent08_Loans!B131="","",Agent08_Loans!F131)</f>
        <v/>
      </c>
      <c r="G1521" s="37" t="str">
        <f>IF(Agent08_Loans!B131="","",Agent08_Loans!G131)</f>
        <v/>
      </c>
      <c r="H1521" s="37" t="str">
        <f>IF(Agent08_Loans!B131="","",Agent08_Loans!H131)</f>
        <v/>
      </c>
      <c r="I1521" s="40" t="str">
        <f>IF(Agent08_Loans!B131="","",Agent08_Loans!I131)</f>
        <v/>
      </c>
      <c r="J1521" s="40" t="str">
        <f>IF(Agent08_Loans!B131="","",Agent08_Loans!J131)</f>
        <v/>
      </c>
      <c r="K1521" s="37" t="str">
        <f>IF(Agent08_Loans!B131="","",Agent08_Loans!K131)</f>
        <v/>
      </c>
      <c r="L1521" s="37" t="str">
        <f>IF(Agent08_Loans!B131="","",Agent08_Loans!L131)</f>
        <v/>
      </c>
      <c r="M1521" s="37" t="str">
        <f>IFERROR(IF(Agent08_Loans!B131="","",YEAR(Agent08_Loans!D131)),"")</f>
        <v/>
      </c>
    </row>
    <row r="1522" spans="1:13" ht="18" customHeight="1" x14ac:dyDescent="0.25">
      <c r="A1522" s="37" t="str">
        <f>IF(Agent08_Loans!B132="","",Agent08_Loans!A132)</f>
        <v/>
      </c>
      <c r="B1522" s="37" t="str">
        <f>IF(Agent08_Loans!B132="","",Agent08_Loans!B132)</f>
        <v/>
      </c>
      <c r="C1522" s="37" t="str">
        <f>IF(Agent08_Loans!B132="","",Agent08_Loans!C132)</f>
        <v/>
      </c>
      <c r="D1522" s="38" t="str">
        <f>IF(Agent08_Loans!B132="","",Agent08_Loans!D132)</f>
        <v/>
      </c>
      <c r="E1522" s="40" t="str">
        <f>IF(Agent08_Loans!B132="","",Agent08_Loans!E132)</f>
        <v/>
      </c>
      <c r="F1522" s="37" t="str">
        <f>IF(Agent08_Loans!B132="","",Agent08_Loans!F132)</f>
        <v/>
      </c>
      <c r="G1522" s="37" t="str">
        <f>IF(Agent08_Loans!B132="","",Agent08_Loans!G132)</f>
        <v/>
      </c>
      <c r="H1522" s="37" t="str">
        <f>IF(Agent08_Loans!B132="","",Agent08_Loans!H132)</f>
        <v/>
      </c>
      <c r="I1522" s="40" t="str">
        <f>IF(Agent08_Loans!B132="","",Agent08_Loans!I132)</f>
        <v/>
      </c>
      <c r="J1522" s="40" t="str">
        <f>IF(Agent08_Loans!B132="","",Agent08_Loans!J132)</f>
        <v/>
      </c>
      <c r="K1522" s="37" t="str">
        <f>IF(Agent08_Loans!B132="","",Agent08_Loans!K132)</f>
        <v/>
      </c>
      <c r="L1522" s="37" t="str">
        <f>IF(Agent08_Loans!B132="","",Agent08_Loans!L132)</f>
        <v/>
      </c>
      <c r="M1522" s="37" t="str">
        <f>IFERROR(IF(Agent08_Loans!B132="","",YEAR(Agent08_Loans!D132)),"")</f>
        <v/>
      </c>
    </row>
    <row r="1523" spans="1:13" ht="18" customHeight="1" x14ac:dyDescent="0.25">
      <c r="A1523" s="37" t="str">
        <f>IF(Agent08_Loans!B133="","",Agent08_Loans!A133)</f>
        <v/>
      </c>
      <c r="B1523" s="37" t="str">
        <f>IF(Agent08_Loans!B133="","",Agent08_Loans!B133)</f>
        <v/>
      </c>
      <c r="C1523" s="37" t="str">
        <f>IF(Agent08_Loans!B133="","",Agent08_Loans!C133)</f>
        <v/>
      </c>
      <c r="D1523" s="38" t="str">
        <f>IF(Agent08_Loans!B133="","",Agent08_Loans!D133)</f>
        <v/>
      </c>
      <c r="E1523" s="40" t="str">
        <f>IF(Agent08_Loans!B133="","",Agent08_Loans!E133)</f>
        <v/>
      </c>
      <c r="F1523" s="37" t="str">
        <f>IF(Agent08_Loans!B133="","",Agent08_Loans!F133)</f>
        <v/>
      </c>
      <c r="G1523" s="37" t="str">
        <f>IF(Agent08_Loans!B133="","",Agent08_Loans!G133)</f>
        <v/>
      </c>
      <c r="H1523" s="37" t="str">
        <f>IF(Agent08_Loans!B133="","",Agent08_Loans!H133)</f>
        <v/>
      </c>
      <c r="I1523" s="40" t="str">
        <f>IF(Agent08_Loans!B133="","",Agent08_Loans!I133)</f>
        <v/>
      </c>
      <c r="J1523" s="40" t="str">
        <f>IF(Agent08_Loans!B133="","",Agent08_Loans!J133)</f>
        <v/>
      </c>
      <c r="K1523" s="37" t="str">
        <f>IF(Agent08_Loans!B133="","",Agent08_Loans!K133)</f>
        <v/>
      </c>
      <c r="L1523" s="37" t="str">
        <f>IF(Agent08_Loans!B133="","",Agent08_Loans!L133)</f>
        <v/>
      </c>
      <c r="M1523" s="37" t="str">
        <f>IFERROR(IF(Agent08_Loans!B133="","",YEAR(Agent08_Loans!D133)),"")</f>
        <v/>
      </c>
    </row>
    <row r="1524" spans="1:13" ht="18" customHeight="1" x14ac:dyDescent="0.25">
      <c r="A1524" s="37" t="str">
        <f>IF(Agent08_Loans!B134="","",Agent08_Loans!A134)</f>
        <v/>
      </c>
      <c r="B1524" s="37" t="str">
        <f>IF(Agent08_Loans!B134="","",Agent08_Loans!B134)</f>
        <v/>
      </c>
      <c r="C1524" s="37" t="str">
        <f>IF(Agent08_Loans!B134="","",Agent08_Loans!C134)</f>
        <v/>
      </c>
      <c r="D1524" s="38" t="str">
        <f>IF(Agent08_Loans!B134="","",Agent08_Loans!D134)</f>
        <v/>
      </c>
      <c r="E1524" s="40" t="str">
        <f>IF(Agent08_Loans!B134="","",Agent08_Loans!E134)</f>
        <v/>
      </c>
      <c r="F1524" s="37" t="str">
        <f>IF(Agent08_Loans!B134="","",Agent08_Loans!F134)</f>
        <v/>
      </c>
      <c r="G1524" s="37" t="str">
        <f>IF(Agent08_Loans!B134="","",Agent08_Loans!G134)</f>
        <v/>
      </c>
      <c r="H1524" s="37" t="str">
        <f>IF(Agent08_Loans!B134="","",Agent08_Loans!H134)</f>
        <v/>
      </c>
      <c r="I1524" s="40" t="str">
        <f>IF(Agent08_Loans!B134="","",Agent08_Loans!I134)</f>
        <v/>
      </c>
      <c r="J1524" s="40" t="str">
        <f>IF(Agent08_Loans!B134="","",Agent08_Loans!J134)</f>
        <v/>
      </c>
      <c r="K1524" s="37" t="str">
        <f>IF(Agent08_Loans!B134="","",Agent08_Loans!K134)</f>
        <v/>
      </c>
      <c r="L1524" s="37" t="str">
        <f>IF(Agent08_Loans!B134="","",Agent08_Loans!L134)</f>
        <v/>
      </c>
      <c r="M1524" s="37" t="str">
        <f>IFERROR(IF(Agent08_Loans!B134="","",YEAR(Agent08_Loans!D134)),"")</f>
        <v/>
      </c>
    </row>
    <row r="1525" spans="1:13" ht="18" customHeight="1" x14ac:dyDescent="0.25">
      <c r="A1525" s="37" t="str">
        <f>IF(Agent08_Loans!B135="","",Agent08_Loans!A135)</f>
        <v/>
      </c>
      <c r="B1525" s="37" t="str">
        <f>IF(Agent08_Loans!B135="","",Agent08_Loans!B135)</f>
        <v/>
      </c>
      <c r="C1525" s="37" t="str">
        <f>IF(Agent08_Loans!B135="","",Agent08_Loans!C135)</f>
        <v/>
      </c>
      <c r="D1525" s="38" t="str">
        <f>IF(Agent08_Loans!B135="","",Agent08_Loans!D135)</f>
        <v/>
      </c>
      <c r="E1525" s="40" t="str">
        <f>IF(Agent08_Loans!B135="","",Agent08_Loans!E135)</f>
        <v/>
      </c>
      <c r="F1525" s="37" t="str">
        <f>IF(Agent08_Loans!B135="","",Agent08_Loans!F135)</f>
        <v/>
      </c>
      <c r="G1525" s="37" t="str">
        <f>IF(Agent08_Loans!B135="","",Agent08_Loans!G135)</f>
        <v/>
      </c>
      <c r="H1525" s="37" t="str">
        <f>IF(Agent08_Loans!B135="","",Agent08_Loans!H135)</f>
        <v/>
      </c>
      <c r="I1525" s="40" t="str">
        <f>IF(Agent08_Loans!B135="","",Agent08_Loans!I135)</f>
        <v/>
      </c>
      <c r="J1525" s="40" t="str">
        <f>IF(Agent08_Loans!B135="","",Agent08_Loans!J135)</f>
        <v/>
      </c>
      <c r="K1525" s="37" t="str">
        <f>IF(Agent08_Loans!B135="","",Agent08_Loans!K135)</f>
        <v/>
      </c>
      <c r="L1525" s="37" t="str">
        <f>IF(Agent08_Loans!B135="","",Agent08_Loans!L135)</f>
        <v/>
      </c>
      <c r="M1525" s="37" t="str">
        <f>IFERROR(IF(Agent08_Loans!B135="","",YEAR(Agent08_Loans!D135)),"")</f>
        <v/>
      </c>
    </row>
    <row r="1526" spans="1:13" ht="18" customHeight="1" x14ac:dyDescent="0.25">
      <c r="A1526" s="37" t="str">
        <f>IF(Agent08_Loans!B136="","",Agent08_Loans!A136)</f>
        <v/>
      </c>
      <c r="B1526" s="37" t="str">
        <f>IF(Agent08_Loans!B136="","",Agent08_Loans!B136)</f>
        <v/>
      </c>
      <c r="C1526" s="37" t="str">
        <f>IF(Agent08_Loans!B136="","",Agent08_Loans!C136)</f>
        <v/>
      </c>
      <c r="D1526" s="38" t="str">
        <f>IF(Agent08_Loans!B136="","",Agent08_Loans!D136)</f>
        <v/>
      </c>
      <c r="E1526" s="40" t="str">
        <f>IF(Agent08_Loans!B136="","",Agent08_Loans!E136)</f>
        <v/>
      </c>
      <c r="F1526" s="37" t="str">
        <f>IF(Agent08_Loans!B136="","",Agent08_Loans!F136)</f>
        <v/>
      </c>
      <c r="G1526" s="37" t="str">
        <f>IF(Agent08_Loans!B136="","",Agent08_Loans!G136)</f>
        <v/>
      </c>
      <c r="H1526" s="37" t="str">
        <f>IF(Agent08_Loans!B136="","",Agent08_Loans!H136)</f>
        <v/>
      </c>
      <c r="I1526" s="40" t="str">
        <f>IF(Agent08_Loans!B136="","",Agent08_Loans!I136)</f>
        <v/>
      </c>
      <c r="J1526" s="40" t="str">
        <f>IF(Agent08_Loans!B136="","",Agent08_Loans!J136)</f>
        <v/>
      </c>
      <c r="K1526" s="37" t="str">
        <f>IF(Agent08_Loans!B136="","",Agent08_Loans!K136)</f>
        <v/>
      </c>
      <c r="L1526" s="37" t="str">
        <f>IF(Agent08_Loans!B136="","",Agent08_Loans!L136)</f>
        <v/>
      </c>
      <c r="M1526" s="37" t="str">
        <f>IFERROR(IF(Agent08_Loans!B136="","",YEAR(Agent08_Loans!D136)),"")</f>
        <v/>
      </c>
    </row>
    <row r="1527" spans="1:13" ht="18" customHeight="1" x14ac:dyDescent="0.25">
      <c r="A1527" s="37" t="str">
        <f>IF(Agent08_Loans!B137="","",Agent08_Loans!A137)</f>
        <v/>
      </c>
      <c r="B1527" s="37" t="str">
        <f>IF(Agent08_Loans!B137="","",Agent08_Loans!B137)</f>
        <v/>
      </c>
      <c r="C1527" s="37" t="str">
        <f>IF(Agent08_Loans!B137="","",Agent08_Loans!C137)</f>
        <v/>
      </c>
      <c r="D1527" s="38" t="str">
        <f>IF(Agent08_Loans!B137="","",Agent08_Loans!D137)</f>
        <v/>
      </c>
      <c r="E1527" s="40" t="str">
        <f>IF(Agent08_Loans!B137="","",Agent08_Loans!E137)</f>
        <v/>
      </c>
      <c r="F1527" s="37" t="str">
        <f>IF(Agent08_Loans!B137="","",Agent08_Loans!F137)</f>
        <v/>
      </c>
      <c r="G1527" s="37" t="str">
        <f>IF(Agent08_Loans!B137="","",Agent08_Loans!G137)</f>
        <v/>
      </c>
      <c r="H1527" s="37" t="str">
        <f>IF(Agent08_Loans!B137="","",Agent08_Loans!H137)</f>
        <v/>
      </c>
      <c r="I1527" s="40" t="str">
        <f>IF(Agent08_Loans!B137="","",Agent08_Loans!I137)</f>
        <v/>
      </c>
      <c r="J1527" s="40" t="str">
        <f>IF(Agent08_Loans!B137="","",Agent08_Loans!J137)</f>
        <v/>
      </c>
      <c r="K1527" s="37" t="str">
        <f>IF(Agent08_Loans!B137="","",Agent08_Loans!K137)</f>
        <v/>
      </c>
      <c r="L1527" s="37" t="str">
        <f>IF(Agent08_Loans!B137="","",Agent08_Loans!L137)</f>
        <v/>
      </c>
      <c r="M1527" s="37" t="str">
        <f>IFERROR(IF(Agent08_Loans!B137="","",YEAR(Agent08_Loans!D137)),"")</f>
        <v/>
      </c>
    </row>
    <row r="1528" spans="1:13" ht="18" customHeight="1" x14ac:dyDescent="0.25">
      <c r="A1528" s="37" t="str">
        <f>IF(Agent08_Loans!B138="","",Agent08_Loans!A138)</f>
        <v/>
      </c>
      <c r="B1528" s="37" t="str">
        <f>IF(Agent08_Loans!B138="","",Agent08_Loans!B138)</f>
        <v/>
      </c>
      <c r="C1528" s="37" t="str">
        <f>IF(Agent08_Loans!B138="","",Agent08_Loans!C138)</f>
        <v/>
      </c>
      <c r="D1528" s="38" t="str">
        <f>IF(Agent08_Loans!B138="","",Agent08_Loans!D138)</f>
        <v/>
      </c>
      <c r="E1528" s="40" t="str">
        <f>IF(Agent08_Loans!B138="","",Agent08_Loans!E138)</f>
        <v/>
      </c>
      <c r="F1528" s="37" t="str">
        <f>IF(Agent08_Loans!B138="","",Agent08_Loans!F138)</f>
        <v/>
      </c>
      <c r="G1528" s="37" t="str">
        <f>IF(Agent08_Loans!B138="","",Agent08_Loans!G138)</f>
        <v/>
      </c>
      <c r="H1528" s="37" t="str">
        <f>IF(Agent08_Loans!B138="","",Agent08_Loans!H138)</f>
        <v/>
      </c>
      <c r="I1528" s="40" t="str">
        <f>IF(Agent08_Loans!B138="","",Agent08_Loans!I138)</f>
        <v/>
      </c>
      <c r="J1528" s="40" t="str">
        <f>IF(Agent08_Loans!B138="","",Agent08_Loans!J138)</f>
        <v/>
      </c>
      <c r="K1528" s="37" t="str">
        <f>IF(Agent08_Loans!B138="","",Agent08_Loans!K138)</f>
        <v/>
      </c>
      <c r="L1528" s="37" t="str">
        <f>IF(Agent08_Loans!B138="","",Agent08_Loans!L138)</f>
        <v/>
      </c>
      <c r="M1528" s="37" t="str">
        <f>IFERROR(IF(Agent08_Loans!B138="","",YEAR(Agent08_Loans!D138)),"")</f>
        <v/>
      </c>
    </row>
    <row r="1529" spans="1:13" ht="18" customHeight="1" x14ac:dyDescent="0.25">
      <c r="A1529" s="37" t="str">
        <f>IF(Agent08_Loans!B139="","",Agent08_Loans!A139)</f>
        <v/>
      </c>
      <c r="B1529" s="37" t="str">
        <f>IF(Agent08_Loans!B139="","",Agent08_Loans!B139)</f>
        <v/>
      </c>
      <c r="C1529" s="37" t="str">
        <f>IF(Agent08_Loans!B139="","",Agent08_Loans!C139)</f>
        <v/>
      </c>
      <c r="D1529" s="38" t="str">
        <f>IF(Agent08_Loans!B139="","",Agent08_Loans!D139)</f>
        <v/>
      </c>
      <c r="E1529" s="40" t="str">
        <f>IF(Agent08_Loans!B139="","",Agent08_Loans!E139)</f>
        <v/>
      </c>
      <c r="F1529" s="37" t="str">
        <f>IF(Agent08_Loans!B139="","",Agent08_Loans!F139)</f>
        <v/>
      </c>
      <c r="G1529" s="37" t="str">
        <f>IF(Agent08_Loans!B139="","",Agent08_Loans!G139)</f>
        <v/>
      </c>
      <c r="H1529" s="37" t="str">
        <f>IF(Agent08_Loans!B139="","",Agent08_Loans!H139)</f>
        <v/>
      </c>
      <c r="I1529" s="40" t="str">
        <f>IF(Agent08_Loans!B139="","",Agent08_Loans!I139)</f>
        <v/>
      </c>
      <c r="J1529" s="40" t="str">
        <f>IF(Agent08_Loans!B139="","",Agent08_Loans!J139)</f>
        <v/>
      </c>
      <c r="K1529" s="37" t="str">
        <f>IF(Agent08_Loans!B139="","",Agent08_Loans!K139)</f>
        <v/>
      </c>
      <c r="L1529" s="37" t="str">
        <f>IF(Agent08_Loans!B139="","",Agent08_Loans!L139)</f>
        <v/>
      </c>
      <c r="M1529" s="37" t="str">
        <f>IFERROR(IF(Agent08_Loans!B139="","",YEAR(Agent08_Loans!D139)),"")</f>
        <v/>
      </c>
    </row>
    <row r="1530" spans="1:13" ht="18" customHeight="1" x14ac:dyDescent="0.25">
      <c r="A1530" s="37" t="str">
        <f>IF(Agent08_Loans!B140="","",Agent08_Loans!A140)</f>
        <v/>
      </c>
      <c r="B1530" s="37" t="str">
        <f>IF(Agent08_Loans!B140="","",Agent08_Loans!B140)</f>
        <v/>
      </c>
      <c r="C1530" s="37" t="str">
        <f>IF(Agent08_Loans!B140="","",Agent08_Loans!C140)</f>
        <v/>
      </c>
      <c r="D1530" s="38" t="str">
        <f>IF(Agent08_Loans!B140="","",Agent08_Loans!D140)</f>
        <v/>
      </c>
      <c r="E1530" s="40" t="str">
        <f>IF(Agent08_Loans!B140="","",Agent08_Loans!E140)</f>
        <v/>
      </c>
      <c r="F1530" s="37" t="str">
        <f>IF(Agent08_Loans!B140="","",Agent08_Loans!F140)</f>
        <v/>
      </c>
      <c r="G1530" s="37" t="str">
        <f>IF(Agent08_Loans!B140="","",Agent08_Loans!G140)</f>
        <v/>
      </c>
      <c r="H1530" s="37" t="str">
        <f>IF(Agent08_Loans!B140="","",Agent08_Loans!H140)</f>
        <v/>
      </c>
      <c r="I1530" s="40" t="str">
        <f>IF(Agent08_Loans!B140="","",Agent08_Loans!I140)</f>
        <v/>
      </c>
      <c r="J1530" s="40" t="str">
        <f>IF(Agent08_Loans!B140="","",Agent08_Loans!J140)</f>
        <v/>
      </c>
      <c r="K1530" s="37" t="str">
        <f>IF(Agent08_Loans!B140="","",Agent08_Loans!K140)</f>
        <v/>
      </c>
      <c r="L1530" s="37" t="str">
        <f>IF(Agent08_Loans!B140="","",Agent08_Loans!L140)</f>
        <v/>
      </c>
      <c r="M1530" s="37" t="str">
        <f>IFERROR(IF(Agent08_Loans!B140="","",YEAR(Agent08_Loans!D140)),"")</f>
        <v/>
      </c>
    </row>
    <row r="1531" spans="1:13" ht="18" customHeight="1" x14ac:dyDescent="0.25">
      <c r="A1531" s="37" t="str">
        <f>IF(Agent08_Loans!B141="","",Agent08_Loans!A141)</f>
        <v/>
      </c>
      <c r="B1531" s="37" t="str">
        <f>IF(Agent08_Loans!B141="","",Agent08_Loans!B141)</f>
        <v/>
      </c>
      <c r="C1531" s="37" t="str">
        <f>IF(Agent08_Loans!B141="","",Agent08_Loans!C141)</f>
        <v/>
      </c>
      <c r="D1531" s="38" t="str">
        <f>IF(Agent08_Loans!B141="","",Agent08_Loans!D141)</f>
        <v/>
      </c>
      <c r="E1531" s="40" t="str">
        <f>IF(Agent08_Loans!B141="","",Agent08_Loans!E141)</f>
        <v/>
      </c>
      <c r="F1531" s="37" t="str">
        <f>IF(Agent08_Loans!B141="","",Agent08_Loans!F141)</f>
        <v/>
      </c>
      <c r="G1531" s="37" t="str">
        <f>IF(Agent08_Loans!B141="","",Agent08_Loans!G141)</f>
        <v/>
      </c>
      <c r="H1531" s="37" t="str">
        <f>IF(Agent08_Loans!B141="","",Agent08_Loans!H141)</f>
        <v/>
      </c>
      <c r="I1531" s="40" t="str">
        <f>IF(Agent08_Loans!B141="","",Agent08_Loans!I141)</f>
        <v/>
      </c>
      <c r="J1531" s="40" t="str">
        <f>IF(Agent08_Loans!B141="","",Agent08_Loans!J141)</f>
        <v/>
      </c>
      <c r="K1531" s="37" t="str">
        <f>IF(Agent08_Loans!B141="","",Agent08_Loans!K141)</f>
        <v/>
      </c>
      <c r="L1531" s="37" t="str">
        <f>IF(Agent08_Loans!B141="","",Agent08_Loans!L141)</f>
        <v/>
      </c>
      <c r="M1531" s="37" t="str">
        <f>IFERROR(IF(Agent08_Loans!B141="","",YEAR(Agent08_Loans!D141)),"")</f>
        <v/>
      </c>
    </row>
    <row r="1532" spans="1:13" ht="18" customHeight="1" x14ac:dyDescent="0.25">
      <c r="A1532" s="37" t="str">
        <f>IF(Agent08_Loans!B142="","",Agent08_Loans!A142)</f>
        <v/>
      </c>
      <c r="B1532" s="37" t="str">
        <f>IF(Agent08_Loans!B142="","",Agent08_Loans!B142)</f>
        <v/>
      </c>
      <c r="C1532" s="37" t="str">
        <f>IF(Agent08_Loans!B142="","",Agent08_Loans!C142)</f>
        <v/>
      </c>
      <c r="D1532" s="38" t="str">
        <f>IF(Agent08_Loans!B142="","",Agent08_Loans!D142)</f>
        <v/>
      </c>
      <c r="E1532" s="40" t="str">
        <f>IF(Agent08_Loans!B142="","",Agent08_Loans!E142)</f>
        <v/>
      </c>
      <c r="F1532" s="37" t="str">
        <f>IF(Agent08_Loans!B142="","",Agent08_Loans!F142)</f>
        <v/>
      </c>
      <c r="G1532" s="37" t="str">
        <f>IF(Agent08_Loans!B142="","",Agent08_Loans!G142)</f>
        <v/>
      </c>
      <c r="H1532" s="37" t="str">
        <f>IF(Agent08_Loans!B142="","",Agent08_Loans!H142)</f>
        <v/>
      </c>
      <c r="I1532" s="40" t="str">
        <f>IF(Agent08_Loans!B142="","",Agent08_Loans!I142)</f>
        <v/>
      </c>
      <c r="J1532" s="40" t="str">
        <f>IF(Agent08_Loans!B142="","",Agent08_Loans!J142)</f>
        <v/>
      </c>
      <c r="K1532" s="37" t="str">
        <f>IF(Agent08_Loans!B142="","",Agent08_Loans!K142)</f>
        <v/>
      </c>
      <c r="L1532" s="37" t="str">
        <f>IF(Agent08_Loans!B142="","",Agent08_Loans!L142)</f>
        <v/>
      </c>
      <c r="M1532" s="37" t="str">
        <f>IFERROR(IF(Agent08_Loans!B142="","",YEAR(Agent08_Loans!D142)),"")</f>
        <v/>
      </c>
    </row>
    <row r="1533" spans="1:13" ht="18" customHeight="1" x14ac:dyDescent="0.25">
      <c r="A1533" s="37" t="str">
        <f>IF(Agent08_Loans!B143="","",Agent08_Loans!A143)</f>
        <v/>
      </c>
      <c r="B1533" s="37" t="str">
        <f>IF(Agent08_Loans!B143="","",Agent08_Loans!B143)</f>
        <v/>
      </c>
      <c r="C1533" s="37" t="str">
        <f>IF(Agent08_Loans!B143="","",Agent08_Loans!C143)</f>
        <v/>
      </c>
      <c r="D1533" s="38" t="str">
        <f>IF(Agent08_Loans!B143="","",Agent08_Loans!D143)</f>
        <v/>
      </c>
      <c r="E1533" s="40" t="str">
        <f>IF(Agent08_Loans!B143="","",Agent08_Loans!E143)</f>
        <v/>
      </c>
      <c r="F1533" s="37" t="str">
        <f>IF(Agent08_Loans!B143="","",Agent08_Loans!F143)</f>
        <v/>
      </c>
      <c r="G1533" s="37" t="str">
        <f>IF(Agent08_Loans!B143="","",Agent08_Loans!G143)</f>
        <v/>
      </c>
      <c r="H1533" s="37" t="str">
        <f>IF(Agent08_Loans!B143="","",Agent08_Loans!H143)</f>
        <v/>
      </c>
      <c r="I1533" s="40" t="str">
        <f>IF(Agent08_Loans!B143="","",Agent08_Loans!I143)</f>
        <v/>
      </c>
      <c r="J1533" s="40" t="str">
        <f>IF(Agent08_Loans!B143="","",Agent08_Loans!J143)</f>
        <v/>
      </c>
      <c r="K1533" s="37" t="str">
        <f>IF(Agent08_Loans!B143="","",Agent08_Loans!K143)</f>
        <v/>
      </c>
      <c r="L1533" s="37" t="str">
        <f>IF(Agent08_Loans!B143="","",Agent08_Loans!L143)</f>
        <v/>
      </c>
      <c r="M1533" s="37" t="str">
        <f>IFERROR(IF(Agent08_Loans!B143="","",YEAR(Agent08_Loans!D143)),"")</f>
        <v/>
      </c>
    </row>
    <row r="1534" spans="1:13" ht="18" customHeight="1" x14ac:dyDescent="0.25">
      <c r="A1534" s="37" t="str">
        <f>IF(Agent08_Loans!B144="","",Agent08_Loans!A144)</f>
        <v/>
      </c>
      <c r="B1534" s="37" t="str">
        <f>IF(Agent08_Loans!B144="","",Agent08_Loans!B144)</f>
        <v/>
      </c>
      <c r="C1534" s="37" t="str">
        <f>IF(Agent08_Loans!B144="","",Agent08_Loans!C144)</f>
        <v/>
      </c>
      <c r="D1534" s="38" t="str">
        <f>IF(Agent08_Loans!B144="","",Agent08_Loans!D144)</f>
        <v/>
      </c>
      <c r="E1534" s="40" t="str">
        <f>IF(Agent08_Loans!B144="","",Agent08_Loans!E144)</f>
        <v/>
      </c>
      <c r="F1534" s="37" t="str">
        <f>IF(Agent08_Loans!B144="","",Agent08_Loans!F144)</f>
        <v/>
      </c>
      <c r="G1534" s="37" t="str">
        <f>IF(Agent08_Loans!B144="","",Agent08_Loans!G144)</f>
        <v/>
      </c>
      <c r="H1534" s="37" t="str">
        <f>IF(Agent08_Loans!B144="","",Agent08_Loans!H144)</f>
        <v/>
      </c>
      <c r="I1534" s="40" t="str">
        <f>IF(Agent08_Loans!B144="","",Agent08_Loans!I144)</f>
        <v/>
      </c>
      <c r="J1534" s="40" t="str">
        <f>IF(Agent08_Loans!B144="","",Agent08_Loans!J144)</f>
        <v/>
      </c>
      <c r="K1534" s="37" t="str">
        <f>IF(Agent08_Loans!B144="","",Agent08_Loans!K144)</f>
        <v/>
      </c>
      <c r="L1534" s="37" t="str">
        <f>IF(Agent08_Loans!B144="","",Agent08_Loans!L144)</f>
        <v/>
      </c>
      <c r="M1534" s="37" t="str">
        <f>IFERROR(IF(Agent08_Loans!B144="","",YEAR(Agent08_Loans!D144)),"")</f>
        <v/>
      </c>
    </row>
    <row r="1535" spans="1:13" ht="18" customHeight="1" x14ac:dyDescent="0.25">
      <c r="A1535" s="37" t="str">
        <f>IF(Agent08_Loans!B145="","",Agent08_Loans!A145)</f>
        <v/>
      </c>
      <c r="B1535" s="37" t="str">
        <f>IF(Agent08_Loans!B145="","",Agent08_Loans!B145)</f>
        <v/>
      </c>
      <c r="C1535" s="37" t="str">
        <f>IF(Agent08_Loans!B145="","",Agent08_Loans!C145)</f>
        <v/>
      </c>
      <c r="D1535" s="38" t="str">
        <f>IF(Agent08_Loans!B145="","",Agent08_Loans!D145)</f>
        <v/>
      </c>
      <c r="E1535" s="40" t="str">
        <f>IF(Agent08_Loans!B145="","",Agent08_Loans!E145)</f>
        <v/>
      </c>
      <c r="F1535" s="37" t="str">
        <f>IF(Agent08_Loans!B145="","",Agent08_Loans!F145)</f>
        <v/>
      </c>
      <c r="G1535" s="37" t="str">
        <f>IF(Agent08_Loans!B145="","",Agent08_Loans!G145)</f>
        <v/>
      </c>
      <c r="H1535" s="37" t="str">
        <f>IF(Agent08_Loans!B145="","",Agent08_Loans!H145)</f>
        <v/>
      </c>
      <c r="I1535" s="40" t="str">
        <f>IF(Agent08_Loans!B145="","",Agent08_Loans!I145)</f>
        <v/>
      </c>
      <c r="J1535" s="40" t="str">
        <f>IF(Agent08_Loans!B145="","",Agent08_Loans!J145)</f>
        <v/>
      </c>
      <c r="K1535" s="37" t="str">
        <f>IF(Agent08_Loans!B145="","",Agent08_Loans!K145)</f>
        <v/>
      </c>
      <c r="L1535" s="37" t="str">
        <f>IF(Agent08_Loans!B145="","",Agent08_Loans!L145)</f>
        <v/>
      </c>
      <c r="M1535" s="37" t="str">
        <f>IFERROR(IF(Agent08_Loans!B145="","",YEAR(Agent08_Loans!D145)),"")</f>
        <v/>
      </c>
    </row>
    <row r="1536" spans="1:13" ht="18" customHeight="1" x14ac:dyDescent="0.25">
      <c r="A1536" s="37" t="str">
        <f>IF(Agent08_Loans!B146="","",Agent08_Loans!A146)</f>
        <v/>
      </c>
      <c r="B1536" s="37" t="str">
        <f>IF(Agent08_Loans!B146="","",Agent08_Loans!B146)</f>
        <v/>
      </c>
      <c r="C1536" s="37" t="str">
        <f>IF(Agent08_Loans!B146="","",Agent08_Loans!C146)</f>
        <v/>
      </c>
      <c r="D1536" s="38" t="str">
        <f>IF(Agent08_Loans!B146="","",Agent08_Loans!D146)</f>
        <v/>
      </c>
      <c r="E1536" s="40" t="str">
        <f>IF(Agent08_Loans!B146="","",Agent08_Loans!E146)</f>
        <v/>
      </c>
      <c r="F1536" s="37" t="str">
        <f>IF(Agent08_Loans!B146="","",Agent08_Loans!F146)</f>
        <v/>
      </c>
      <c r="G1536" s="37" t="str">
        <f>IF(Agent08_Loans!B146="","",Agent08_Loans!G146)</f>
        <v/>
      </c>
      <c r="H1536" s="37" t="str">
        <f>IF(Agent08_Loans!B146="","",Agent08_Loans!H146)</f>
        <v/>
      </c>
      <c r="I1536" s="40" t="str">
        <f>IF(Agent08_Loans!B146="","",Agent08_Loans!I146)</f>
        <v/>
      </c>
      <c r="J1536" s="40" t="str">
        <f>IF(Agent08_Loans!B146="","",Agent08_Loans!J146)</f>
        <v/>
      </c>
      <c r="K1536" s="37" t="str">
        <f>IF(Agent08_Loans!B146="","",Agent08_Loans!K146)</f>
        <v/>
      </c>
      <c r="L1536" s="37" t="str">
        <f>IF(Agent08_Loans!B146="","",Agent08_Loans!L146)</f>
        <v/>
      </c>
      <c r="M1536" s="37" t="str">
        <f>IFERROR(IF(Agent08_Loans!B146="","",YEAR(Agent08_Loans!D146)),"")</f>
        <v/>
      </c>
    </row>
    <row r="1537" spans="1:13" ht="18" customHeight="1" x14ac:dyDescent="0.25">
      <c r="A1537" s="37" t="str">
        <f>IF(Agent08_Loans!B147="","",Agent08_Loans!A147)</f>
        <v/>
      </c>
      <c r="B1537" s="37" t="str">
        <f>IF(Agent08_Loans!B147="","",Agent08_Loans!B147)</f>
        <v/>
      </c>
      <c r="C1537" s="37" t="str">
        <f>IF(Agent08_Loans!B147="","",Agent08_Loans!C147)</f>
        <v/>
      </c>
      <c r="D1537" s="38" t="str">
        <f>IF(Agent08_Loans!B147="","",Agent08_Loans!D147)</f>
        <v/>
      </c>
      <c r="E1537" s="40" t="str">
        <f>IF(Agent08_Loans!B147="","",Agent08_Loans!E147)</f>
        <v/>
      </c>
      <c r="F1537" s="37" t="str">
        <f>IF(Agent08_Loans!B147="","",Agent08_Loans!F147)</f>
        <v/>
      </c>
      <c r="G1537" s="37" t="str">
        <f>IF(Agent08_Loans!B147="","",Agent08_Loans!G147)</f>
        <v/>
      </c>
      <c r="H1537" s="37" t="str">
        <f>IF(Agent08_Loans!B147="","",Agent08_Loans!H147)</f>
        <v/>
      </c>
      <c r="I1537" s="40" t="str">
        <f>IF(Agent08_Loans!B147="","",Agent08_Loans!I147)</f>
        <v/>
      </c>
      <c r="J1537" s="40" t="str">
        <f>IF(Agent08_Loans!B147="","",Agent08_Loans!J147)</f>
        <v/>
      </c>
      <c r="K1537" s="37" t="str">
        <f>IF(Agent08_Loans!B147="","",Agent08_Loans!K147)</f>
        <v/>
      </c>
      <c r="L1537" s="37" t="str">
        <f>IF(Agent08_Loans!B147="","",Agent08_Loans!L147)</f>
        <v/>
      </c>
      <c r="M1537" s="37" t="str">
        <f>IFERROR(IF(Agent08_Loans!B147="","",YEAR(Agent08_Loans!D147)),"")</f>
        <v/>
      </c>
    </row>
    <row r="1538" spans="1:13" ht="18" customHeight="1" x14ac:dyDescent="0.25">
      <c r="A1538" s="37" t="str">
        <f>IF(Agent08_Loans!B148="","",Agent08_Loans!A148)</f>
        <v/>
      </c>
      <c r="B1538" s="37" t="str">
        <f>IF(Agent08_Loans!B148="","",Agent08_Loans!B148)</f>
        <v/>
      </c>
      <c r="C1538" s="37" t="str">
        <f>IF(Agent08_Loans!B148="","",Agent08_Loans!C148)</f>
        <v/>
      </c>
      <c r="D1538" s="38" t="str">
        <f>IF(Agent08_Loans!B148="","",Agent08_Loans!D148)</f>
        <v/>
      </c>
      <c r="E1538" s="40" t="str">
        <f>IF(Agent08_Loans!B148="","",Agent08_Loans!E148)</f>
        <v/>
      </c>
      <c r="F1538" s="37" t="str">
        <f>IF(Agent08_Loans!B148="","",Agent08_Loans!F148)</f>
        <v/>
      </c>
      <c r="G1538" s="37" t="str">
        <f>IF(Agent08_Loans!B148="","",Agent08_Loans!G148)</f>
        <v/>
      </c>
      <c r="H1538" s="37" t="str">
        <f>IF(Agent08_Loans!B148="","",Agent08_Loans!H148)</f>
        <v/>
      </c>
      <c r="I1538" s="40" t="str">
        <f>IF(Agent08_Loans!B148="","",Agent08_Loans!I148)</f>
        <v/>
      </c>
      <c r="J1538" s="40" t="str">
        <f>IF(Agent08_Loans!B148="","",Agent08_Loans!J148)</f>
        <v/>
      </c>
      <c r="K1538" s="37" t="str">
        <f>IF(Agent08_Loans!B148="","",Agent08_Loans!K148)</f>
        <v/>
      </c>
      <c r="L1538" s="37" t="str">
        <f>IF(Agent08_Loans!B148="","",Agent08_Loans!L148)</f>
        <v/>
      </c>
      <c r="M1538" s="37" t="str">
        <f>IFERROR(IF(Agent08_Loans!B148="","",YEAR(Agent08_Loans!D148)),"")</f>
        <v/>
      </c>
    </row>
    <row r="1539" spans="1:13" ht="18" customHeight="1" x14ac:dyDescent="0.25">
      <c r="A1539" s="37" t="str">
        <f>IF(Agent08_Loans!B149="","",Agent08_Loans!A149)</f>
        <v/>
      </c>
      <c r="B1539" s="37" t="str">
        <f>IF(Agent08_Loans!B149="","",Agent08_Loans!B149)</f>
        <v/>
      </c>
      <c r="C1539" s="37" t="str">
        <f>IF(Agent08_Loans!B149="","",Agent08_Loans!C149)</f>
        <v/>
      </c>
      <c r="D1539" s="38" t="str">
        <f>IF(Agent08_Loans!B149="","",Agent08_Loans!D149)</f>
        <v/>
      </c>
      <c r="E1539" s="40" t="str">
        <f>IF(Agent08_Loans!B149="","",Agent08_Loans!E149)</f>
        <v/>
      </c>
      <c r="F1539" s="37" t="str">
        <f>IF(Agent08_Loans!B149="","",Agent08_Loans!F149)</f>
        <v/>
      </c>
      <c r="G1539" s="37" t="str">
        <f>IF(Agent08_Loans!B149="","",Agent08_Loans!G149)</f>
        <v/>
      </c>
      <c r="H1539" s="37" t="str">
        <f>IF(Agent08_Loans!B149="","",Agent08_Loans!H149)</f>
        <v/>
      </c>
      <c r="I1539" s="40" t="str">
        <f>IF(Agent08_Loans!B149="","",Agent08_Loans!I149)</f>
        <v/>
      </c>
      <c r="J1539" s="40" t="str">
        <f>IF(Agent08_Loans!B149="","",Agent08_Loans!J149)</f>
        <v/>
      </c>
      <c r="K1539" s="37" t="str">
        <f>IF(Agent08_Loans!B149="","",Agent08_Loans!K149)</f>
        <v/>
      </c>
      <c r="L1539" s="37" t="str">
        <f>IF(Agent08_Loans!B149="","",Agent08_Loans!L149)</f>
        <v/>
      </c>
      <c r="M1539" s="37" t="str">
        <f>IFERROR(IF(Agent08_Loans!B149="","",YEAR(Agent08_Loans!D149)),"")</f>
        <v/>
      </c>
    </row>
    <row r="1540" spans="1:13" ht="18" customHeight="1" x14ac:dyDescent="0.25">
      <c r="A1540" s="37" t="str">
        <f>IF(Agent08_Loans!B150="","",Agent08_Loans!A150)</f>
        <v/>
      </c>
      <c r="B1540" s="37" t="str">
        <f>IF(Agent08_Loans!B150="","",Agent08_Loans!B150)</f>
        <v/>
      </c>
      <c r="C1540" s="37" t="str">
        <f>IF(Agent08_Loans!B150="","",Agent08_Loans!C150)</f>
        <v/>
      </c>
      <c r="D1540" s="38" t="str">
        <f>IF(Agent08_Loans!B150="","",Agent08_Loans!D150)</f>
        <v/>
      </c>
      <c r="E1540" s="40" t="str">
        <f>IF(Agent08_Loans!B150="","",Agent08_Loans!E150)</f>
        <v/>
      </c>
      <c r="F1540" s="37" t="str">
        <f>IF(Agent08_Loans!B150="","",Agent08_Loans!F150)</f>
        <v/>
      </c>
      <c r="G1540" s="37" t="str">
        <f>IF(Agent08_Loans!B150="","",Agent08_Loans!G150)</f>
        <v/>
      </c>
      <c r="H1540" s="37" t="str">
        <f>IF(Agent08_Loans!B150="","",Agent08_Loans!H150)</f>
        <v/>
      </c>
      <c r="I1540" s="40" t="str">
        <f>IF(Agent08_Loans!B150="","",Agent08_Loans!I150)</f>
        <v/>
      </c>
      <c r="J1540" s="40" t="str">
        <f>IF(Agent08_Loans!B150="","",Agent08_Loans!J150)</f>
        <v/>
      </c>
      <c r="K1540" s="37" t="str">
        <f>IF(Agent08_Loans!B150="","",Agent08_Loans!K150)</f>
        <v/>
      </c>
      <c r="L1540" s="37" t="str">
        <f>IF(Agent08_Loans!B150="","",Agent08_Loans!L150)</f>
        <v/>
      </c>
      <c r="M1540" s="37" t="str">
        <f>IFERROR(IF(Agent08_Loans!B150="","",YEAR(Agent08_Loans!D150)),"")</f>
        <v/>
      </c>
    </row>
    <row r="1541" spans="1:13" ht="18" customHeight="1" x14ac:dyDescent="0.25">
      <c r="A1541" s="37" t="str">
        <f>IF(Agent08_Loans!B151="","",Agent08_Loans!A151)</f>
        <v/>
      </c>
      <c r="B1541" s="37" t="str">
        <f>IF(Agent08_Loans!B151="","",Agent08_Loans!B151)</f>
        <v/>
      </c>
      <c r="C1541" s="37" t="str">
        <f>IF(Agent08_Loans!B151="","",Agent08_Loans!C151)</f>
        <v/>
      </c>
      <c r="D1541" s="38" t="str">
        <f>IF(Agent08_Loans!B151="","",Agent08_Loans!D151)</f>
        <v/>
      </c>
      <c r="E1541" s="40" t="str">
        <f>IF(Agent08_Loans!B151="","",Agent08_Loans!E151)</f>
        <v/>
      </c>
      <c r="F1541" s="37" t="str">
        <f>IF(Agent08_Loans!B151="","",Agent08_Loans!F151)</f>
        <v/>
      </c>
      <c r="G1541" s="37" t="str">
        <f>IF(Agent08_Loans!B151="","",Agent08_Loans!G151)</f>
        <v/>
      </c>
      <c r="H1541" s="37" t="str">
        <f>IF(Agent08_Loans!B151="","",Agent08_Loans!H151)</f>
        <v/>
      </c>
      <c r="I1541" s="40" t="str">
        <f>IF(Agent08_Loans!B151="","",Agent08_Loans!I151)</f>
        <v/>
      </c>
      <c r="J1541" s="40" t="str">
        <f>IF(Agent08_Loans!B151="","",Agent08_Loans!J151)</f>
        <v/>
      </c>
      <c r="K1541" s="37" t="str">
        <f>IF(Agent08_Loans!B151="","",Agent08_Loans!K151)</f>
        <v/>
      </c>
      <c r="L1541" s="37" t="str">
        <f>IF(Agent08_Loans!B151="","",Agent08_Loans!L151)</f>
        <v/>
      </c>
      <c r="M1541" s="37" t="str">
        <f>IFERROR(IF(Agent08_Loans!B151="","",YEAR(Agent08_Loans!D151)),"")</f>
        <v/>
      </c>
    </row>
    <row r="1542" spans="1:13" ht="18" customHeight="1" x14ac:dyDescent="0.25">
      <c r="A1542" s="37" t="str">
        <f>IF(Agent08_Loans!B152="","",Agent08_Loans!A152)</f>
        <v/>
      </c>
      <c r="B1542" s="37" t="str">
        <f>IF(Agent08_Loans!B152="","",Agent08_Loans!B152)</f>
        <v/>
      </c>
      <c r="C1542" s="37" t="str">
        <f>IF(Agent08_Loans!B152="","",Agent08_Loans!C152)</f>
        <v/>
      </c>
      <c r="D1542" s="38" t="str">
        <f>IF(Agent08_Loans!B152="","",Agent08_Loans!D152)</f>
        <v/>
      </c>
      <c r="E1542" s="40" t="str">
        <f>IF(Agent08_Loans!B152="","",Agent08_Loans!E152)</f>
        <v/>
      </c>
      <c r="F1542" s="37" t="str">
        <f>IF(Agent08_Loans!B152="","",Agent08_Loans!F152)</f>
        <v/>
      </c>
      <c r="G1542" s="37" t="str">
        <f>IF(Agent08_Loans!B152="","",Agent08_Loans!G152)</f>
        <v/>
      </c>
      <c r="H1542" s="37" t="str">
        <f>IF(Agent08_Loans!B152="","",Agent08_Loans!H152)</f>
        <v/>
      </c>
      <c r="I1542" s="40" t="str">
        <f>IF(Agent08_Loans!B152="","",Agent08_Loans!I152)</f>
        <v/>
      </c>
      <c r="J1542" s="40" t="str">
        <f>IF(Agent08_Loans!B152="","",Agent08_Loans!J152)</f>
        <v/>
      </c>
      <c r="K1542" s="37" t="str">
        <f>IF(Agent08_Loans!B152="","",Agent08_Loans!K152)</f>
        <v/>
      </c>
      <c r="L1542" s="37" t="str">
        <f>IF(Agent08_Loans!B152="","",Agent08_Loans!L152)</f>
        <v/>
      </c>
      <c r="M1542" s="37" t="str">
        <f>IFERROR(IF(Agent08_Loans!B152="","",YEAR(Agent08_Loans!D152)),"")</f>
        <v/>
      </c>
    </row>
    <row r="1543" spans="1:13" ht="18" customHeight="1" x14ac:dyDescent="0.25">
      <c r="A1543" s="37" t="str">
        <f>IF(Agent08_Loans!B153="","",Agent08_Loans!A153)</f>
        <v/>
      </c>
      <c r="B1543" s="37" t="str">
        <f>IF(Agent08_Loans!B153="","",Agent08_Loans!B153)</f>
        <v/>
      </c>
      <c r="C1543" s="37" t="str">
        <f>IF(Agent08_Loans!B153="","",Agent08_Loans!C153)</f>
        <v/>
      </c>
      <c r="D1543" s="38" t="str">
        <f>IF(Agent08_Loans!B153="","",Agent08_Loans!D153)</f>
        <v/>
      </c>
      <c r="E1543" s="40" t="str">
        <f>IF(Agent08_Loans!B153="","",Agent08_Loans!E153)</f>
        <v/>
      </c>
      <c r="F1543" s="37" t="str">
        <f>IF(Agent08_Loans!B153="","",Agent08_Loans!F153)</f>
        <v/>
      </c>
      <c r="G1543" s="37" t="str">
        <f>IF(Agent08_Loans!B153="","",Agent08_Loans!G153)</f>
        <v/>
      </c>
      <c r="H1543" s="37" t="str">
        <f>IF(Agent08_Loans!B153="","",Agent08_Loans!H153)</f>
        <v/>
      </c>
      <c r="I1543" s="40" t="str">
        <f>IF(Agent08_Loans!B153="","",Agent08_Loans!I153)</f>
        <v/>
      </c>
      <c r="J1543" s="40" t="str">
        <f>IF(Agent08_Loans!B153="","",Agent08_Loans!J153)</f>
        <v/>
      </c>
      <c r="K1543" s="37" t="str">
        <f>IF(Agent08_Loans!B153="","",Agent08_Loans!K153)</f>
        <v/>
      </c>
      <c r="L1543" s="37" t="str">
        <f>IF(Agent08_Loans!B153="","",Agent08_Loans!L153)</f>
        <v/>
      </c>
      <c r="M1543" s="37" t="str">
        <f>IFERROR(IF(Agent08_Loans!B153="","",YEAR(Agent08_Loans!D153)),"")</f>
        <v/>
      </c>
    </row>
    <row r="1544" spans="1:13" ht="18" customHeight="1" x14ac:dyDescent="0.25">
      <c r="A1544" s="37" t="str">
        <f>IF(Agent08_Loans!B154="","",Agent08_Loans!A154)</f>
        <v/>
      </c>
      <c r="B1544" s="37" t="str">
        <f>IF(Agent08_Loans!B154="","",Agent08_Loans!B154)</f>
        <v/>
      </c>
      <c r="C1544" s="37" t="str">
        <f>IF(Agent08_Loans!B154="","",Agent08_Loans!C154)</f>
        <v/>
      </c>
      <c r="D1544" s="38" t="str">
        <f>IF(Agent08_Loans!B154="","",Agent08_Loans!D154)</f>
        <v/>
      </c>
      <c r="E1544" s="40" t="str">
        <f>IF(Agent08_Loans!B154="","",Agent08_Loans!E154)</f>
        <v/>
      </c>
      <c r="F1544" s="37" t="str">
        <f>IF(Agent08_Loans!B154="","",Agent08_Loans!F154)</f>
        <v/>
      </c>
      <c r="G1544" s="37" t="str">
        <f>IF(Agent08_Loans!B154="","",Agent08_Loans!G154)</f>
        <v/>
      </c>
      <c r="H1544" s="37" t="str">
        <f>IF(Agent08_Loans!B154="","",Agent08_Loans!H154)</f>
        <v/>
      </c>
      <c r="I1544" s="40" t="str">
        <f>IF(Agent08_Loans!B154="","",Agent08_Loans!I154)</f>
        <v/>
      </c>
      <c r="J1544" s="40" t="str">
        <f>IF(Agent08_Loans!B154="","",Agent08_Loans!J154)</f>
        <v/>
      </c>
      <c r="K1544" s="37" t="str">
        <f>IF(Agent08_Loans!B154="","",Agent08_Loans!K154)</f>
        <v/>
      </c>
      <c r="L1544" s="37" t="str">
        <f>IF(Agent08_Loans!B154="","",Agent08_Loans!L154)</f>
        <v/>
      </c>
      <c r="M1544" s="37" t="str">
        <f>IFERROR(IF(Agent08_Loans!B154="","",YEAR(Agent08_Loans!D154)),"")</f>
        <v/>
      </c>
    </row>
    <row r="1545" spans="1:13" ht="18" customHeight="1" x14ac:dyDescent="0.25">
      <c r="A1545" s="37" t="str">
        <f>IF(Agent08_Loans!B155="","",Agent08_Loans!A155)</f>
        <v/>
      </c>
      <c r="B1545" s="37" t="str">
        <f>IF(Agent08_Loans!B155="","",Agent08_Loans!B155)</f>
        <v/>
      </c>
      <c r="C1545" s="37" t="str">
        <f>IF(Agent08_Loans!B155="","",Agent08_Loans!C155)</f>
        <v/>
      </c>
      <c r="D1545" s="38" t="str">
        <f>IF(Agent08_Loans!B155="","",Agent08_Loans!D155)</f>
        <v/>
      </c>
      <c r="E1545" s="40" t="str">
        <f>IF(Agent08_Loans!B155="","",Agent08_Loans!E155)</f>
        <v/>
      </c>
      <c r="F1545" s="37" t="str">
        <f>IF(Agent08_Loans!B155="","",Agent08_Loans!F155)</f>
        <v/>
      </c>
      <c r="G1545" s="37" t="str">
        <f>IF(Agent08_Loans!B155="","",Agent08_Loans!G155)</f>
        <v/>
      </c>
      <c r="H1545" s="37" t="str">
        <f>IF(Agent08_Loans!B155="","",Agent08_Loans!H155)</f>
        <v/>
      </c>
      <c r="I1545" s="40" t="str">
        <f>IF(Agent08_Loans!B155="","",Agent08_Loans!I155)</f>
        <v/>
      </c>
      <c r="J1545" s="40" t="str">
        <f>IF(Agent08_Loans!B155="","",Agent08_Loans!J155)</f>
        <v/>
      </c>
      <c r="K1545" s="37" t="str">
        <f>IF(Agent08_Loans!B155="","",Agent08_Loans!K155)</f>
        <v/>
      </c>
      <c r="L1545" s="37" t="str">
        <f>IF(Agent08_Loans!B155="","",Agent08_Loans!L155)</f>
        <v/>
      </c>
      <c r="M1545" s="37" t="str">
        <f>IFERROR(IF(Agent08_Loans!B155="","",YEAR(Agent08_Loans!D155)),"")</f>
        <v/>
      </c>
    </row>
    <row r="1546" spans="1:13" ht="18" customHeight="1" x14ac:dyDescent="0.25">
      <c r="A1546" s="37" t="str">
        <f>IF(Agent08_Loans!B156="","",Agent08_Loans!A156)</f>
        <v/>
      </c>
      <c r="B1546" s="37" t="str">
        <f>IF(Agent08_Loans!B156="","",Agent08_Loans!B156)</f>
        <v/>
      </c>
      <c r="C1546" s="37" t="str">
        <f>IF(Agent08_Loans!B156="","",Agent08_Loans!C156)</f>
        <v/>
      </c>
      <c r="D1546" s="38" t="str">
        <f>IF(Agent08_Loans!B156="","",Agent08_Loans!D156)</f>
        <v/>
      </c>
      <c r="E1546" s="40" t="str">
        <f>IF(Agent08_Loans!B156="","",Agent08_Loans!E156)</f>
        <v/>
      </c>
      <c r="F1546" s="37" t="str">
        <f>IF(Agent08_Loans!B156="","",Agent08_Loans!F156)</f>
        <v/>
      </c>
      <c r="G1546" s="37" t="str">
        <f>IF(Agent08_Loans!B156="","",Agent08_Loans!G156)</f>
        <v/>
      </c>
      <c r="H1546" s="37" t="str">
        <f>IF(Agent08_Loans!B156="","",Agent08_Loans!H156)</f>
        <v/>
      </c>
      <c r="I1546" s="40" t="str">
        <f>IF(Agent08_Loans!B156="","",Agent08_Loans!I156)</f>
        <v/>
      </c>
      <c r="J1546" s="40" t="str">
        <f>IF(Agent08_Loans!B156="","",Agent08_Loans!J156)</f>
        <v/>
      </c>
      <c r="K1546" s="37" t="str">
        <f>IF(Agent08_Loans!B156="","",Agent08_Loans!K156)</f>
        <v/>
      </c>
      <c r="L1546" s="37" t="str">
        <f>IF(Agent08_Loans!B156="","",Agent08_Loans!L156)</f>
        <v/>
      </c>
      <c r="M1546" s="37" t="str">
        <f>IFERROR(IF(Agent08_Loans!B156="","",YEAR(Agent08_Loans!D156)),"")</f>
        <v/>
      </c>
    </row>
    <row r="1547" spans="1:13" ht="18" customHeight="1" x14ac:dyDescent="0.25">
      <c r="A1547" s="37" t="str">
        <f>IF(Agent08_Loans!B157="","",Agent08_Loans!A157)</f>
        <v/>
      </c>
      <c r="B1547" s="37" t="str">
        <f>IF(Agent08_Loans!B157="","",Agent08_Loans!B157)</f>
        <v/>
      </c>
      <c r="C1547" s="37" t="str">
        <f>IF(Agent08_Loans!B157="","",Agent08_Loans!C157)</f>
        <v/>
      </c>
      <c r="D1547" s="38" t="str">
        <f>IF(Agent08_Loans!B157="","",Agent08_Loans!D157)</f>
        <v/>
      </c>
      <c r="E1547" s="40" t="str">
        <f>IF(Agent08_Loans!B157="","",Agent08_Loans!E157)</f>
        <v/>
      </c>
      <c r="F1547" s="37" t="str">
        <f>IF(Agent08_Loans!B157="","",Agent08_Loans!F157)</f>
        <v/>
      </c>
      <c r="G1547" s="37" t="str">
        <f>IF(Agent08_Loans!B157="","",Agent08_Loans!G157)</f>
        <v/>
      </c>
      <c r="H1547" s="37" t="str">
        <f>IF(Agent08_Loans!B157="","",Agent08_Loans!H157)</f>
        <v/>
      </c>
      <c r="I1547" s="40" t="str">
        <f>IF(Agent08_Loans!B157="","",Agent08_Loans!I157)</f>
        <v/>
      </c>
      <c r="J1547" s="40" t="str">
        <f>IF(Agent08_Loans!B157="","",Agent08_Loans!J157)</f>
        <v/>
      </c>
      <c r="K1547" s="37" t="str">
        <f>IF(Agent08_Loans!B157="","",Agent08_Loans!K157)</f>
        <v/>
      </c>
      <c r="L1547" s="37" t="str">
        <f>IF(Agent08_Loans!B157="","",Agent08_Loans!L157)</f>
        <v/>
      </c>
      <c r="M1547" s="37" t="str">
        <f>IFERROR(IF(Agent08_Loans!B157="","",YEAR(Agent08_Loans!D157)),"")</f>
        <v/>
      </c>
    </row>
    <row r="1548" spans="1:13" ht="18" customHeight="1" x14ac:dyDescent="0.25">
      <c r="A1548" s="37" t="str">
        <f>IF(Agent08_Loans!B158="","",Agent08_Loans!A158)</f>
        <v/>
      </c>
      <c r="B1548" s="37" t="str">
        <f>IF(Agent08_Loans!B158="","",Agent08_Loans!B158)</f>
        <v/>
      </c>
      <c r="C1548" s="37" t="str">
        <f>IF(Agent08_Loans!B158="","",Agent08_Loans!C158)</f>
        <v/>
      </c>
      <c r="D1548" s="38" t="str">
        <f>IF(Agent08_Loans!B158="","",Agent08_Loans!D158)</f>
        <v/>
      </c>
      <c r="E1548" s="40" t="str">
        <f>IF(Agent08_Loans!B158="","",Agent08_Loans!E158)</f>
        <v/>
      </c>
      <c r="F1548" s="37" t="str">
        <f>IF(Agent08_Loans!B158="","",Agent08_Loans!F158)</f>
        <v/>
      </c>
      <c r="G1548" s="37" t="str">
        <f>IF(Agent08_Loans!B158="","",Agent08_Loans!G158)</f>
        <v/>
      </c>
      <c r="H1548" s="37" t="str">
        <f>IF(Agent08_Loans!B158="","",Agent08_Loans!H158)</f>
        <v/>
      </c>
      <c r="I1548" s="40" t="str">
        <f>IF(Agent08_Loans!B158="","",Agent08_Loans!I158)</f>
        <v/>
      </c>
      <c r="J1548" s="40" t="str">
        <f>IF(Agent08_Loans!B158="","",Agent08_Loans!J158)</f>
        <v/>
      </c>
      <c r="K1548" s="37" t="str">
        <f>IF(Agent08_Loans!B158="","",Agent08_Loans!K158)</f>
        <v/>
      </c>
      <c r="L1548" s="37" t="str">
        <f>IF(Agent08_Loans!B158="","",Agent08_Loans!L158)</f>
        <v/>
      </c>
      <c r="M1548" s="37" t="str">
        <f>IFERROR(IF(Agent08_Loans!B158="","",YEAR(Agent08_Loans!D158)),"")</f>
        <v/>
      </c>
    </row>
    <row r="1549" spans="1:13" ht="18" customHeight="1" x14ac:dyDescent="0.25">
      <c r="A1549" s="37" t="str">
        <f>IF(Agent08_Loans!B159="","",Agent08_Loans!A159)</f>
        <v/>
      </c>
      <c r="B1549" s="37" t="str">
        <f>IF(Agent08_Loans!B159="","",Agent08_Loans!B159)</f>
        <v/>
      </c>
      <c r="C1549" s="37" t="str">
        <f>IF(Agent08_Loans!B159="","",Agent08_Loans!C159)</f>
        <v/>
      </c>
      <c r="D1549" s="38" t="str">
        <f>IF(Agent08_Loans!B159="","",Agent08_Loans!D159)</f>
        <v/>
      </c>
      <c r="E1549" s="40" t="str">
        <f>IF(Agent08_Loans!B159="","",Agent08_Loans!E159)</f>
        <v/>
      </c>
      <c r="F1549" s="37" t="str">
        <f>IF(Agent08_Loans!B159="","",Agent08_Loans!F159)</f>
        <v/>
      </c>
      <c r="G1549" s="37" t="str">
        <f>IF(Agent08_Loans!B159="","",Agent08_Loans!G159)</f>
        <v/>
      </c>
      <c r="H1549" s="37" t="str">
        <f>IF(Agent08_Loans!B159="","",Agent08_Loans!H159)</f>
        <v/>
      </c>
      <c r="I1549" s="40" t="str">
        <f>IF(Agent08_Loans!B159="","",Agent08_Loans!I159)</f>
        <v/>
      </c>
      <c r="J1549" s="40" t="str">
        <f>IF(Agent08_Loans!B159="","",Agent08_Loans!J159)</f>
        <v/>
      </c>
      <c r="K1549" s="37" t="str">
        <f>IF(Agent08_Loans!B159="","",Agent08_Loans!K159)</f>
        <v/>
      </c>
      <c r="L1549" s="37" t="str">
        <f>IF(Agent08_Loans!B159="","",Agent08_Loans!L159)</f>
        <v/>
      </c>
      <c r="M1549" s="37" t="str">
        <f>IFERROR(IF(Agent08_Loans!B159="","",YEAR(Agent08_Loans!D159)),"")</f>
        <v/>
      </c>
    </row>
    <row r="1550" spans="1:13" ht="18" customHeight="1" x14ac:dyDescent="0.25">
      <c r="A1550" s="37" t="str">
        <f>IF(Agent08_Loans!B160="","",Agent08_Loans!A160)</f>
        <v/>
      </c>
      <c r="B1550" s="37" t="str">
        <f>IF(Agent08_Loans!B160="","",Agent08_Loans!B160)</f>
        <v/>
      </c>
      <c r="C1550" s="37" t="str">
        <f>IF(Agent08_Loans!B160="","",Agent08_Loans!C160)</f>
        <v/>
      </c>
      <c r="D1550" s="38" t="str">
        <f>IF(Agent08_Loans!B160="","",Agent08_Loans!D160)</f>
        <v/>
      </c>
      <c r="E1550" s="40" t="str">
        <f>IF(Agent08_Loans!B160="","",Agent08_Loans!E160)</f>
        <v/>
      </c>
      <c r="F1550" s="37" t="str">
        <f>IF(Agent08_Loans!B160="","",Agent08_Loans!F160)</f>
        <v/>
      </c>
      <c r="G1550" s="37" t="str">
        <f>IF(Agent08_Loans!B160="","",Agent08_Loans!G160)</f>
        <v/>
      </c>
      <c r="H1550" s="37" t="str">
        <f>IF(Agent08_Loans!B160="","",Agent08_Loans!H160)</f>
        <v/>
      </c>
      <c r="I1550" s="40" t="str">
        <f>IF(Agent08_Loans!B160="","",Agent08_Loans!I160)</f>
        <v/>
      </c>
      <c r="J1550" s="40" t="str">
        <f>IF(Agent08_Loans!B160="","",Agent08_Loans!J160)</f>
        <v/>
      </c>
      <c r="K1550" s="37" t="str">
        <f>IF(Agent08_Loans!B160="","",Agent08_Loans!K160)</f>
        <v/>
      </c>
      <c r="L1550" s="37" t="str">
        <f>IF(Agent08_Loans!B160="","",Agent08_Loans!L160)</f>
        <v/>
      </c>
      <c r="M1550" s="37" t="str">
        <f>IFERROR(IF(Agent08_Loans!B160="","",YEAR(Agent08_Loans!D160)),"")</f>
        <v/>
      </c>
    </row>
    <row r="1551" spans="1:13" ht="18" customHeight="1" x14ac:dyDescent="0.25">
      <c r="A1551" s="37" t="str">
        <f>IF(Agent08_Loans!B161="","",Agent08_Loans!A161)</f>
        <v/>
      </c>
      <c r="B1551" s="37" t="str">
        <f>IF(Agent08_Loans!B161="","",Agent08_Loans!B161)</f>
        <v/>
      </c>
      <c r="C1551" s="37" t="str">
        <f>IF(Agent08_Loans!B161="","",Agent08_Loans!C161)</f>
        <v/>
      </c>
      <c r="D1551" s="38" t="str">
        <f>IF(Agent08_Loans!B161="","",Agent08_Loans!D161)</f>
        <v/>
      </c>
      <c r="E1551" s="40" t="str">
        <f>IF(Agent08_Loans!B161="","",Agent08_Loans!E161)</f>
        <v/>
      </c>
      <c r="F1551" s="37" t="str">
        <f>IF(Agent08_Loans!B161="","",Agent08_Loans!F161)</f>
        <v/>
      </c>
      <c r="G1551" s="37" t="str">
        <f>IF(Agent08_Loans!B161="","",Agent08_Loans!G161)</f>
        <v/>
      </c>
      <c r="H1551" s="37" t="str">
        <f>IF(Agent08_Loans!B161="","",Agent08_Loans!H161)</f>
        <v/>
      </c>
      <c r="I1551" s="40" t="str">
        <f>IF(Agent08_Loans!B161="","",Agent08_Loans!I161)</f>
        <v/>
      </c>
      <c r="J1551" s="40" t="str">
        <f>IF(Agent08_Loans!B161="","",Agent08_Loans!J161)</f>
        <v/>
      </c>
      <c r="K1551" s="37" t="str">
        <f>IF(Agent08_Loans!B161="","",Agent08_Loans!K161)</f>
        <v/>
      </c>
      <c r="L1551" s="37" t="str">
        <f>IF(Agent08_Loans!B161="","",Agent08_Loans!L161)</f>
        <v/>
      </c>
      <c r="M1551" s="37" t="str">
        <f>IFERROR(IF(Agent08_Loans!B161="","",YEAR(Agent08_Loans!D161)),"")</f>
        <v/>
      </c>
    </row>
    <row r="1552" spans="1:13" ht="18" customHeight="1" x14ac:dyDescent="0.25">
      <c r="A1552" s="37" t="str">
        <f>IF(Agent08_Loans!B162="","",Agent08_Loans!A162)</f>
        <v/>
      </c>
      <c r="B1552" s="37" t="str">
        <f>IF(Agent08_Loans!B162="","",Agent08_Loans!B162)</f>
        <v/>
      </c>
      <c r="C1552" s="37" t="str">
        <f>IF(Agent08_Loans!B162="","",Agent08_Loans!C162)</f>
        <v/>
      </c>
      <c r="D1552" s="38" t="str">
        <f>IF(Agent08_Loans!B162="","",Agent08_Loans!D162)</f>
        <v/>
      </c>
      <c r="E1552" s="40" t="str">
        <f>IF(Agent08_Loans!B162="","",Agent08_Loans!E162)</f>
        <v/>
      </c>
      <c r="F1552" s="37" t="str">
        <f>IF(Agent08_Loans!B162="","",Agent08_Loans!F162)</f>
        <v/>
      </c>
      <c r="G1552" s="37" t="str">
        <f>IF(Agent08_Loans!B162="","",Agent08_Loans!G162)</f>
        <v/>
      </c>
      <c r="H1552" s="37" t="str">
        <f>IF(Agent08_Loans!B162="","",Agent08_Loans!H162)</f>
        <v/>
      </c>
      <c r="I1552" s="40" t="str">
        <f>IF(Agent08_Loans!B162="","",Agent08_Loans!I162)</f>
        <v/>
      </c>
      <c r="J1552" s="40" t="str">
        <f>IF(Agent08_Loans!B162="","",Agent08_Loans!J162)</f>
        <v/>
      </c>
      <c r="K1552" s="37" t="str">
        <f>IF(Agent08_Loans!B162="","",Agent08_Loans!K162)</f>
        <v/>
      </c>
      <c r="L1552" s="37" t="str">
        <f>IF(Agent08_Loans!B162="","",Agent08_Loans!L162)</f>
        <v/>
      </c>
      <c r="M1552" s="37" t="str">
        <f>IFERROR(IF(Agent08_Loans!B162="","",YEAR(Agent08_Loans!D162)),"")</f>
        <v/>
      </c>
    </row>
    <row r="1553" spans="1:13" ht="18" customHeight="1" x14ac:dyDescent="0.25">
      <c r="A1553" s="37" t="str">
        <f>IF(Agent08_Loans!B163="","",Agent08_Loans!A163)</f>
        <v/>
      </c>
      <c r="B1553" s="37" t="str">
        <f>IF(Agent08_Loans!B163="","",Agent08_Loans!B163)</f>
        <v/>
      </c>
      <c r="C1553" s="37" t="str">
        <f>IF(Agent08_Loans!B163="","",Agent08_Loans!C163)</f>
        <v/>
      </c>
      <c r="D1553" s="38" t="str">
        <f>IF(Agent08_Loans!B163="","",Agent08_Loans!D163)</f>
        <v/>
      </c>
      <c r="E1553" s="40" t="str">
        <f>IF(Agent08_Loans!B163="","",Agent08_Loans!E163)</f>
        <v/>
      </c>
      <c r="F1553" s="37" t="str">
        <f>IF(Agent08_Loans!B163="","",Agent08_Loans!F163)</f>
        <v/>
      </c>
      <c r="G1553" s="37" t="str">
        <f>IF(Agent08_Loans!B163="","",Agent08_Loans!G163)</f>
        <v/>
      </c>
      <c r="H1553" s="37" t="str">
        <f>IF(Agent08_Loans!B163="","",Agent08_Loans!H163)</f>
        <v/>
      </c>
      <c r="I1553" s="40" t="str">
        <f>IF(Agent08_Loans!B163="","",Agent08_Loans!I163)</f>
        <v/>
      </c>
      <c r="J1553" s="40" t="str">
        <f>IF(Agent08_Loans!B163="","",Agent08_Loans!J163)</f>
        <v/>
      </c>
      <c r="K1553" s="37" t="str">
        <f>IF(Agent08_Loans!B163="","",Agent08_Loans!K163)</f>
        <v/>
      </c>
      <c r="L1553" s="37" t="str">
        <f>IF(Agent08_Loans!B163="","",Agent08_Loans!L163)</f>
        <v/>
      </c>
      <c r="M1553" s="37" t="str">
        <f>IFERROR(IF(Agent08_Loans!B163="","",YEAR(Agent08_Loans!D163)),"")</f>
        <v/>
      </c>
    </row>
    <row r="1554" spans="1:13" ht="18" customHeight="1" x14ac:dyDescent="0.25">
      <c r="A1554" s="37" t="str">
        <f>IF(Agent08_Loans!B164="","",Agent08_Loans!A164)</f>
        <v/>
      </c>
      <c r="B1554" s="37" t="str">
        <f>IF(Agent08_Loans!B164="","",Agent08_Loans!B164)</f>
        <v/>
      </c>
      <c r="C1554" s="37" t="str">
        <f>IF(Agent08_Loans!B164="","",Agent08_Loans!C164)</f>
        <v/>
      </c>
      <c r="D1554" s="38" t="str">
        <f>IF(Agent08_Loans!B164="","",Agent08_Loans!D164)</f>
        <v/>
      </c>
      <c r="E1554" s="40" t="str">
        <f>IF(Agent08_Loans!B164="","",Agent08_Loans!E164)</f>
        <v/>
      </c>
      <c r="F1554" s="37" t="str">
        <f>IF(Agent08_Loans!B164="","",Agent08_Loans!F164)</f>
        <v/>
      </c>
      <c r="G1554" s="37" t="str">
        <f>IF(Agent08_Loans!B164="","",Agent08_Loans!G164)</f>
        <v/>
      </c>
      <c r="H1554" s="37" t="str">
        <f>IF(Agent08_Loans!B164="","",Agent08_Loans!H164)</f>
        <v/>
      </c>
      <c r="I1554" s="40" t="str">
        <f>IF(Agent08_Loans!B164="","",Agent08_Loans!I164)</f>
        <v/>
      </c>
      <c r="J1554" s="40" t="str">
        <f>IF(Agent08_Loans!B164="","",Agent08_Loans!J164)</f>
        <v/>
      </c>
      <c r="K1554" s="37" t="str">
        <f>IF(Agent08_Loans!B164="","",Agent08_Loans!K164)</f>
        <v/>
      </c>
      <c r="L1554" s="37" t="str">
        <f>IF(Agent08_Loans!B164="","",Agent08_Loans!L164)</f>
        <v/>
      </c>
      <c r="M1554" s="37" t="str">
        <f>IFERROR(IF(Agent08_Loans!B164="","",YEAR(Agent08_Loans!D164)),"")</f>
        <v/>
      </c>
    </row>
    <row r="1555" spans="1:13" ht="18" customHeight="1" x14ac:dyDescent="0.25">
      <c r="A1555" s="37" t="str">
        <f>IF(Agent08_Loans!B165="","",Agent08_Loans!A165)</f>
        <v/>
      </c>
      <c r="B1555" s="37" t="str">
        <f>IF(Agent08_Loans!B165="","",Agent08_Loans!B165)</f>
        <v/>
      </c>
      <c r="C1555" s="37" t="str">
        <f>IF(Agent08_Loans!B165="","",Agent08_Loans!C165)</f>
        <v/>
      </c>
      <c r="D1555" s="38" t="str">
        <f>IF(Agent08_Loans!B165="","",Agent08_Loans!D165)</f>
        <v/>
      </c>
      <c r="E1555" s="40" t="str">
        <f>IF(Agent08_Loans!B165="","",Agent08_Loans!E165)</f>
        <v/>
      </c>
      <c r="F1555" s="37" t="str">
        <f>IF(Agent08_Loans!B165="","",Agent08_Loans!F165)</f>
        <v/>
      </c>
      <c r="G1555" s="37" t="str">
        <f>IF(Agent08_Loans!B165="","",Agent08_Loans!G165)</f>
        <v/>
      </c>
      <c r="H1555" s="37" t="str">
        <f>IF(Agent08_Loans!B165="","",Agent08_Loans!H165)</f>
        <v/>
      </c>
      <c r="I1555" s="40" t="str">
        <f>IF(Agent08_Loans!B165="","",Agent08_Loans!I165)</f>
        <v/>
      </c>
      <c r="J1555" s="40" t="str">
        <f>IF(Agent08_Loans!B165="","",Agent08_Loans!J165)</f>
        <v/>
      </c>
      <c r="K1555" s="37" t="str">
        <f>IF(Agent08_Loans!B165="","",Agent08_Loans!K165)</f>
        <v/>
      </c>
      <c r="L1555" s="37" t="str">
        <f>IF(Agent08_Loans!B165="","",Agent08_Loans!L165)</f>
        <v/>
      </c>
      <c r="M1555" s="37" t="str">
        <f>IFERROR(IF(Agent08_Loans!B165="","",YEAR(Agent08_Loans!D165)),"")</f>
        <v/>
      </c>
    </row>
    <row r="1556" spans="1:13" ht="18" customHeight="1" x14ac:dyDescent="0.25">
      <c r="A1556" s="37" t="str">
        <f>IF(Agent08_Loans!B166="","",Agent08_Loans!A166)</f>
        <v/>
      </c>
      <c r="B1556" s="37" t="str">
        <f>IF(Agent08_Loans!B166="","",Agent08_Loans!B166)</f>
        <v/>
      </c>
      <c r="C1556" s="37" t="str">
        <f>IF(Agent08_Loans!B166="","",Agent08_Loans!C166)</f>
        <v/>
      </c>
      <c r="D1556" s="38" t="str">
        <f>IF(Agent08_Loans!B166="","",Agent08_Loans!D166)</f>
        <v/>
      </c>
      <c r="E1556" s="40" t="str">
        <f>IF(Agent08_Loans!B166="","",Agent08_Loans!E166)</f>
        <v/>
      </c>
      <c r="F1556" s="37" t="str">
        <f>IF(Agent08_Loans!B166="","",Agent08_Loans!F166)</f>
        <v/>
      </c>
      <c r="G1556" s="37" t="str">
        <f>IF(Agent08_Loans!B166="","",Agent08_Loans!G166)</f>
        <v/>
      </c>
      <c r="H1556" s="37" t="str">
        <f>IF(Agent08_Loans!B166="","",Agent08_Loans!H166)</f>
        <v/>
      </c>
      <c r="I1556" s="40" t="str">
        <f>IF(Agent08_Loans!B166="","",Agent08_Loans!I166)</f>
        <v/>
      </c>
      <c r="J1556" s="40" t="str">
        <f>IF(Agent08_Loans!B166="","",Agent08_Loans!J166)</f>
        <v/>
      </c>
      <c r="K1556" s="37" t="str">
        <f>IF(Agent08_Loans!B166="","",Agent08_Loans!K166)</f>
        <v/>
      </c>
      <c r="L1556" s="37" t="str">
        <f>IF(Agent08_Loans!B166="","",Agent08_Loans!L166)</f>
        <v/>
      </c>
      <c r="M1556" s="37" t="str">
        <f>IFERROR(IF(Agent08_Loans!B166="","",YEAR(Agent08_Loans!D166)),"")</f>
        <v/>
      </c>
    </row>
    <row r="1557" spans="1:13" ht="18" customHeight="1" x14ac:dyDescent="0.25">
      <c r="A1557" s="37" t="str">
        <f>IF(Agent08_Loans!B167="","",Agent08_Loans!A167)</f>
        <v/>
      </c>
      <c r="B1557" s="37" t="str">
        <f>IF(Agent08_Loans!B167="","",Agent08_Loans!B167)</f>
        <v/>
      </c>
      <c r="C1557" s="37" t="str">
        <f>IF(Agent08_Loans!B167="","",Agent08_Loans!C167)</f>
        <v/>
      </c>
      <c r="D1557" s="38" t="str">
        <f>IF(Agent08_Loans!B167="","",Agent08_Loans!D167)</f>
        <v/>
      </c>
      <c r="E1557" s="40" t="str">
        <f>IF(Agent08_Loans!B167="","",Agent08_Loans!E167)</f>
        <v/>
      </c>
      <c r="F1557" s="37" t="str">
        <f>IF(Agent08_Loans!B167="","",Agent08_Loans!F167)</f>
        <v/>
      </c>
      <c r="G1557" s="37" t="str">
        <f>IF(Agent08_Loans!B167="","",Agent08_Loans!G167)</f>
        <v/>
      </c>
      <c r="H1557" s="37" t="str">
        <f>IF(Agent08_Loans!B167="","",Agent08_Loans!H167)</f>
        <v/>
      </c>
      <c r="I1557" s="40" t="str">
        <f>IF(Agent08_Loans!B167="","",Agent08_Loans!I167)</f>
        <v/>
      </c>
      <c r="J1557" s="40" t="str">
        <f>IF(Agent08_Loans!B167="","",Agent08_Loans!J167)</f>
        <v/>
      </c>
      <c r="K1557" s="37" t="str">
        <f>IF(Agent08_Loans!B167="","",Agent08_Loans!K167)</f>
        <v/>
      </c>
      <c r="L1557" s="37" t="str">
        <f>IF(Agent08_Loans!B167="","",Agent08_Loans!L167)</f>
        <v/>
      </c>
      <c r="M1557" s="37" t="str">
        <f>IFERROR(IF(Agent08_Loans!B167="","",YEAR(Agent08_Loans!D167)),"")</f>
        <v/>
      </c>
    </row>
    <row r="1558" spans="1:13" ht="18" customHeight="1" x14ac:dyDescent="0.25">
      <c r="A1558" s="37" t="str">
        <f>IF(Agent08_Loans!B168="","",Agent08_Loans!A168)</f>
        <v/>
      </c>
      <c r="B1558" s="37" t="str">
        <f>IF(Agent08_Loans!B168="","",Agent08_Loans!B168)</f>
        <v/>
      </c>
      <c r="C1558" s="37" t="str">
        <f>IF(Agent08_Loans!B168="","",Agent08_Loans!C168)</f>
        <v/>
      </c>
      <c r="D1558" s="38" t="str">
        <f>IF(Agent08_Loans!B168="","",Agent08_Loans!D168)</f>
        <v/>
      </c>
      <c r="E1558" s="40" t="str">
        <f>IF(Agent08_Loans!B168="","",Agent08_Loans!E168)</f>
        <v/>
      </c>
      <c r="F1558" s="37" t="str">
        <f>IF(Agent08_Loans!B168="","",Agent08_Loans!F168)</f>
        <v/>
      </c>
      <c r="G1558" s="37" t="str">
        <f>IF(Agent08_Loans!B168="","",Agent08_Loans!G168)</f>
        <v/>
      </c>
      <c r="H1558" s="37" t="str">
        <f>IF(Agent08_Loans!B168="","",Agent08_Loans!H168)</f>
        <v/>
      </c>
      <c r="I1558" s="40" t="str">
        <f>IF(Agent08_Loans!B168="","",Agent08_Loans!I168)</f>
        <v/>
      </c>
      <c r="J1558" s="40" t="str">
        <f>IF(Agent08_Loans!B168="","",Agent08_Loans!J168)</f>
        <v/>
      </c>
      <c r="K1558" s="37" t="str">
        <f>IF(Agent08_Loans!B168="","",Agent08_Loans!K168)</f>
        <v/>
      </c>
      <c r="L1558" s="37" t="str">
        <f>IF(Agent08_Loans!B168="","",Agent08_Loans!L168)</f>
        <v/>
      </c>
      <c r="M1558" s="37" t="str">
        <f>IFERROR(IF(Agent08_Loans!B168="","",YEAR(Agent08_Loans!D168)),"")</f>
        <v/>
      </c>
    </row>
    <row r="1559" spans="1:13" ht="18" customHeight="1" x14ac:dyDescent="0.25">
      <c r="A1559" s="37" t="str">
        <f>IF(Agent08_Loans!B169="","",Agent08_Loans!A169)</f>
        <v/>
      </c>
      <c r="B1559" s="37" t="str">
        <f>IF(Agent08_Loans!B169="","",Agent08_Loans!B169)</f>
        <v/>
      </c>
      <c r="C1559" s="37" t="str">
        <f>IF(Agent08_Loans!B169="","",Agent08_Loans!C169)</f>
        <v/>
      </c>
      <c r="D1559" s="38" t="str">
        <f>IF(Agent08_Loans!B169="","",Agent08_Loans!D169)</f>
        <v/>
      </c>
      <c r="E1559" s="40" t="str">
        <f>IF(Agent08_Loans!B169="","",Agent08_Loans!E169)</f>
        <v/>
      </c>
      <c r="F1559" s="37" t="str">
        <f>IF(Agent08_Loans!B169="","",Agent08_Loans!F169)</f>
        <v/>
      </c>
      <c r="G1559" s="37" t="str">
        <f>IF(Agent08_Loans!B169="","",Agent08_Loans!G169)</f>
        <v/>
      </c>
      <c r="H1559" s="37" t="str">
        <f>IF(Agent08_Loans!B169="","",Agent08_Loans!H169)</f>
        <v/>
      </c>
      <c r="I1559" s="40" t="str">
        <f>IF(Agent08_Loans!B169="","",Agent08_Loans!I169)</f>
        <v/>
      </c>
      <c r="J1559" s="40" t="str">
        <f>IF(Agent08_Loans!B169="","",Agent08_Loans!J169)</f>
        <v/>
      </c>
      <c r="K1559" s="37" t="str">
        <f>IF(Agent08_Loans!B169="","",Agent08_Loans!K169)</f>
        <v/>
      </c>
      <c r="L1559" s="37" t="str">
        <f>IF(Agent08_Loans!B169="","",Agent08_Loans!L169)</f>
        <v/>
      </c>
      <c r="M1559" s="37" t="str">
        <f>IFERROR(IF(Agent08_Loans!B169="","",YEAR(Agent08_Loans!D169)),"")</f>
        <v/>
      </c>
    </row>
    <row r="1560" spans="1:13" ht="18" customHeight="1" x14ac:dyDescent="0.25">
      <c r="A1560" s="37" t="str">
        <f>IF(Agent08_Loans!B170="","",Agent08_Loans!A170)</f>
        <v/>
      </c>
      <c r="B1560" s="37" t="str">
        <f>IF(Agent08_Loans!B170="","",Agent08_Loans!B170)</f>
        <v/>
      </c>
      <c r="C1560" s="37" t="str">
        <f>IF(Agent08_Loans!B170="","",Agent08_Loans!C170)</f>
        <v/>
      </c>
      <c r="D1560" s="38" t="str">
        <f>IF(Agent08_Loans!B170="","",Agent08_Loans!D170)</f>
        <v/>
      </c>
      <c r="E1560" s="40" t="str">
        <f>IF(Agent08_Loans!B170="","",Agent08_Loans!E170)</f>
        <v/>
      </c>
      <c r="F1560" s="37" t="str">
        <f>IF(Agent08_Loans!B170="","",Agent08_Loans!F170)</f>
        <v/>
      </c>
      <c r="G1560" s="37" t="str">
        <f>IF(Agent08_Loans!B170="","",Agent08_Loans!G170)</f>
        <v/>
      </c>
      <c r="H1560" s="37" t="str">
        <f>IF(Agent08_Loans!B170="","",Agent08_Loans!H170)</f>
        <v/>
      </c>
      <c r="I1560" s="40" t="str">
        <f>IF(Agent08_Loans!B170="","",Agent08_Loans!I170)</f>
        <v/>
      </c>
      <c r="J1560" s="40" t="str">
        <f>IF(Agent08_Loans!B170="","",Agent08_Loans!J170)</f>
        <v/>
      </c>
      <c r="K1560" s="37" t="str">
        <f>IF(Agent08_Loans!B170="","",Agent08_Loans!K170)</f>
        <v/>
      </c>
      <c r="L1560" s="37" t="str">
        <f>IF(Agent08_Loans!B170="","",Agent08_Loans!L170)</f>
        <v/>
      </c>
      <c r="M1560" s="37" t="str">
        <f>IFERROR(IF(Agent08_Loans!B170="","",YEAR(Agent08_Loans!D170)),"")</f>
        <v/>
      </c>
    </row>
    <row r="1561" spans="1:13" ht="18" customHeight="1" x14ac:dyDescent="0.25">
      <c r="A1561" s="37" t="str">
        <f>IF(Agent08_Loans!B171="","",Agent08_Loans!A171)</f>
        <v/>
      </c>
      <c r="B1561" s="37" t="str">
        <f>IF(Agent08_Loans!B171="","",Agent08_Loans!B171)</f>
        <v/>
      </c>
      <c r="C1561" s="37" t="str">
        <f>IF(Agent08_Loans!B171="","",Agent08_Loans!C171)</f>
        <v/>
      </c>
      <c r="D1561" s="38" t="str">
        <f>IF(Agent08_Loans!B171="","",Agent08_Loans!D171)</f>
        <v/>
      </c>
      <c r="E1561" s="40" t="str">
        <f>IF(Agent08_Loans!B171="","",Agent08_Loans!E171)</f>
        <v/>
      </c>
      <c r="F1561" s="37" t="str">
        <f>IF(Agent08_Loans!B171="","",Agent08_Loans!F171)</f>
        <v/>
      </c>
      <c r="G1561" s="37" t="str">
        <f>IF(Agent08_Loans!B171="","",Agent08_Loans!G171)</f>
        <v/>
      </c>
      <c r="H1561" s="37" t="str">
        <f>IF(Agent08_Loans!B171="","",Agent08_Loans!H171)</f>
        <v/>
      </c>
      <c r="I1561" s="40" t="str">
        <f>IF(Agent08_Loans!B171="","",Agent08_Loans!I171)</f>
        <v/>
      </c>
      <c r="J1561" s="40" t="str">
        <f>IF(Agent08_Loans!B171="","",Agent08_Loans!J171)</f>
        <v/>
      </c>
      <c r="K1561" s="37" t="str">
        <f>IF(Agent08_Loans!B171="","",Agent08_Loans!K171)</f>
        <v/>
      </c>
      <c r="L1561" s="37" t="str">
        <f>IF(Agent08_Loans!B171="","",Agent08_Loans!L171)</f>
        <v/>
      </c>
      <c r="M1561" s="37" t="str">
        <f>IFERROR(IF(Agent08_Loans!B171="","",YEAR(Agent08_Loans!D171)),"")</f>
        <v/>
      </c>
    </row>
    <row r="1562" spans="1:13" ht="18" customHeight="1" x14ac:dyDescent="0.25">
      <c r="A1562" s="37" t="str">
        <f>IF(Agent08_Loans!B172="","",Agent08_Loans!A172)</f>
        <v/>
      </c>
      <c r="B1562" s="37" t="str">
        <f>IF(Agent08_Loans!B172="","",Agent08_Loans!B172)</f>
        <v/>
      </c>
      <c r="C1562" s="37" t="str">
        <f>IF(Agent08_Loans!B172="","",Agent08_Loans!C172)</f>
        <v/>
      </c>
      <c r="D1562" s="38" t="str">
        <f>IF(Agent08_Loans!B172="","",Agent08_Loans!D172)</f>
        <v/>
      </c>
      <c r="E1562" s="40" t="str">
        <f>IF(Agent08_Loans!B172="","",Agent08_Loans!E172)</f>
        <v/>
      </c>
      <c r="F1562" s="37" t="str">
        <f>IF(Agent08_Loans!B172="","",Agent08_Loans!F172)</f>
        <v/>
      </c>
      <c r="G1562" s="37" t="str">
        <f>IF(Agent08_Loans!B172="","",Agent08_Loans!G172)</f>
        <v/>
      </c>
      <c r="H1562" s="37" t="str">
        <f>IF(Agent08_Loans!B172="","",Agent08_Loans!H172)</f>
        <v/>
      </c>
      <c r="I1562" s="40" t="str">
        <f>IF(Agent08_Loans!B172="","",Agent08_Loans!I172)</f>
        <v/>
      </c>
      <c r="J1562" s="40" t="str">
        <f>IF(Agent08_Loans!B172="","",Agent08_Loans!J172)</f>
        <v/>
      </c>
      <c r="K1562" s="37" t="str">
        <f>IF(Agent08_Loans!B172="","",Agent08_Loans!K172)</f>
        <v/>
      </c>
      <c r="L1562" s="37" t="str">
        <f>IF(Agent08_Loans!B172="","",Agent08_Loans!L172)</f>
        <v/>
      </c>
      <c r="M1562" s="37" t="str">
        <f>IFERROR(IF(Agent08_Loans!B172="","",YEAR(Agent08_Loans!D172)),"")</f>
        <v/>
      </c>
    </row>
    <row r="1563" spans="1:13" ht="18" customHeight="1" x14ac:dyDescent="0.25">
      <c r="A1563" s="37" t="str">
        <f>IF(Agent08_Loans!B173="","",Agent08_Loans!A173)</f>
        <v/>
      </c>
      <c r="B1563" s="37" t="str">
        <f>IF(Agent08_Loans!B173="","",Agent08_Loans!B173)</f>
        <v/>
      </c>
      <c r="C1563" s="37" t="str">
        <f>IF(Agent08_Loans!B173="","",Agent08_Loans!C173)</f>
        <v/>
      </c>
      <c r="D1563" s="38" t="str">
        <f>IF(Agent08_Loans!B173="","",Agent08_Loans!D173)</f>
        <v/>
      </c>
      <c r="E1563" s="40" t="str">
        <f>IF(Agent08_Loans!B173="","",Agent08_Loans!E173)</f>
        <v/>
      </c>
      <c r="F1563" s="37" t="str">
        <f>IF(Agent08_Loans!B173="","",Agent08_Loans!F173)</f>
        <v/>
      </c>
      <c r="G1563" s="37" t="str">
        <f>IF(Agent08_Loans!B173="","",Agent08_Loans!G173)</f>
        <v/>
      </c>
      <c r="H1563" s="37" t="str">
        <f>IF(Agent08_Loans!B173="","",Agent08_Loans!H173)</f>
        <v/>
      </c>
      <c r="I1563" s="40" t="str">
        <f>IF(Agent08_Loans!B173="","",Agent08_Loans!I173)</f>
        <v/>
      </c>
      <c r="J1563" s="40" t="str">
        <f>IF(Agent08_Loans!B173="","",Agent08_Loans!J173)</f>
        <v/>
      </c>
      <c r="K1563" s="37" t="str">
        <f>IF(Agent08_Loans!B173="","",Agent08_Loans!K173)</f>
        <v/>
      </c>
      <c r="L1563" s="37" t="str">
        <f>IF(Agent08_Loans!B173="","",Agent08_Loans!L173)</f>
        <v/>
      </c>
      <c r="M1563" s="37" t="str">
        <f>IFERROR(IF(Agent08_Loans!B173="","",YEAR(Agent08_Loans!D173)),"")</f>
        <v/>
      </c>
    </row>
    <row r="1564" spans="1:13" ht="18" customHeight="1" x14ac:dyDescent="0.25">
      <c r="A1564" s="37" t="str">
        <f>IF(Agent08_Loans!B174="","",Agent08_Loans!A174)</f>
        <v/>
      </c>
      <c r="B1564" s="37" t="str">
        <f>IF(Agent08_Loans!B174="","",Agent08_Loans!B174)</f>
        <v/>
      </c>
      <c r="C1564" s="37" t="str">
        <f>IF(Agent08_Loans!B174="","",Agent08_Loans!C174)</f>
        <v/>
      </c>
      <c r="D1564" s="38" t="str">
        <f>IF(Agent08_Loans!B174="","",Agent08_Loans!D174)</f>
        <v/>
      </c>
      <c r="E1564" s="40" t="str">
        <f>IF(Agent08_Loans!B174="","",Agent08_Loans!E174)</f>
        <v/>
      </c>
      <c r="F1564" s="37" t="str">
        <f>IF(Agent08_Loans!B174="","",Agent08_Loans!F174)</f>
        <v/>
      </c>
      <c r="G1564" s="37" t="str">
        <f>IF(Agent08_Loans!B174="","",Agent08_Loans!G174)</f>
        <v/>
      </c>
      <c r="H1564" s="37" t="str">
        <f>IF(Agent08_Loans!B174="","",Agent08_Loans!H174)</f>
        <v/>
      </c>
      <c r="I1564" s="40" t="str">
        <f>IF(Agent08_Loans!B174="","",Agent08_Loans!I174)</f>
        <v/>
      </c>
      <c r="J1564" s="40" t="str">
        <f>IF(Agent08_Loans!B174="","",Agent08_Loans!J174)</f>
        <v/>
      </c>
      <c r="K1564" s="37" t="str">
        <f>IF(Agent08_Loans!B174="","",Agent08_Loans!K174)</f>
        <v/>
      </c>
      <c r="L1564" s="37" t="str">
        <f>IF(Agent08_Loans!B174="","",Agent08_Loans!L174)</f>
        <v/>
      </c>
      <c r="M1564" s="37" t="str">
        <f>IFERROR(IF(Agent08_Loans!B174="","",YEAR(Agent08_Loans!D174)),"")</f>
        <v/>
      </c>
    </row>
    <row r="1565" spans="1:13" ht="18" customHeight="1" x14ac:dyDescent="0.25">
      <c r="A1565" s="37" t="str">
        <f>IF(Agent08_Loans!B175="","",Agent08_Loans!A175)</f>
        <v/>
      </c>
      <c r="B1565" s="37" t="str">
        <f>IF(Agent08_Loans!B175="","",Agent08_Loans!B175)</f>
        <v/>
      </c>
      <c r="C1565" s="37" t="str">
        <f>IF(Agent08_Loans!B175="","",Agent08_Loans!C175)</f>
        <v/>
      </c>
      <c r="D1565" s="38" t="str">
        <f>IF(Agent08_Loans!B175="","",Agent08_Loans!D175)</f>
        <v/>
      </c>
      <c r="E1565" s="40" t="str">
        <f>IF(Agent08_Loans!B175="","",Agent08_Loans!E175)</f>
        <v/>
      </c>
      <c r="F1565" s="37" t="str">
        <f>IF(Agent08_Loans!B175="","",Agent08_Loans!F175)</f>
        <v/>
      </c>
      <c r="G1565" s="37" t="str">
        <f>IF(Agent08_Loans!B175="","",Agent08_Loans!G175)</f>
        <v/>
      </c>
      <c r="H1565" s="37" t="str">
        <f>IF(Agent08_Loans!B175="","",Agent08_Loans!H175)</f>
        <v/>
      </c>
      <c r="I1565" s="40" t="str">
        <f>IF(Agent08_Loans!B175="","",Agent08_Loans!I175)</f>
        <v/>
      </c>
      <c r="J1565" s="40" t="str">
        <f>IF(Agent08_Loans!B175="","",Agent08_Loans!J175)</f>
        <v/>
      </c>
      <c r="K1565" s="37" t="str">
        <f>IF(Agent08_Loans!B175="","",Agent08_Loans!K175)</f>
        <v/>
      </c>
      <c r="L1565" s="37" t="str">
        <f>IF(Agent08_Loans!B175="","",Agent08_Loans!L175)</f>
        <v/>
      </c>
      <c r="M1565" s="37" t="str">
        <f>IFERROR(IF(Agent08_Loans!B175="","",YEAR(Agent08_Loans!D175)),"")</f>
        <v/>
      </c>
    </row>
    <row r="1566" spans="1:13" ht="18" customHeight="1" x14ac:dyDescent="0.25">
      <c r="A1566" s="37" t="str">
        <f>IF(Agent08_Loans!B176="","",Agent08_Loans!A176)</f>
        <v/>
      </c>
      <c r="B1566" s="37" t="str">
        <f>IF(Agent08_Loans!B176="","",Agent08_Loans!B176)</f>
        <v/>
      </c>
      <c r="C1566" s="37" t="str">
        <f>IF(Agent08_Loans!B176="","",Agent08_Loans!C176)</f>
        <v/>
      </c>
      <c r="D1566" s="38" t="str">
        <f>IF(Agent08_Loans!B176="","",Agent08_Loans!D176)</f>
        <v/>
      </c>
      <c r="E1566" s="40" t="str">
        <f>IF(Agent08_Loans!B176="","",Agent08_Loans!E176)</f>
        <v/>
      </c>
      <c r="F1566" s="37" t="str">
        <f>IF(Agent08_Loans!B176="","",Agent08_Loans!F176)</f>
        <v/>
      </c>
      <c r="G1566" s="37" t="str">
        <f>IF(Agent08_Loans!B176="","",Agent08_Loans!G176)</f>
        <v/>
      </c>
      <c r="H1566" s="37" t="str">
        <f>IF(Agent08_Loans!B176="","",Agent08_Loans!H176)</f>
        <v/>
      </c>
      <c r="I1566" s="40" t="str">
        <f>IF(Agent08_Loans!B176="","",Agent08_Loans!I176)</f>
        <v/>
      </c>
      <c r="J1566" s="40" t="str">
        <f>IF(Agent08_Loans!B176="","",Agent08_Loans!J176)</f>
        <v/>
      </c>
      <c r="K1566" s="37" t="str">
        <f>IF(Agent08_Loans!B176="","",Agent08_Loans!K176)</f>
        <v/>
      </c>
      <c r="L1566" s="37" t="str">
        <f>IF(Agent08_Loans!B176="","",Agent08_Loans!L176)</f>
        <v/>
      </c>
      <c r="M1566" s="37" t="str">
        <f>IFERROR(IF(Agent08_Loans!B176="","",YEAR(Agent08_Loans!D176)),"")</f>
        <v/>
      </c>
    </row>
    <row r="1567" spans="1:13" ht="18" customHeight="1" x14ac:dyDescent="0.25">
      <c r="A1567" s="37" t="str">
        <f>IF(Agent08_Loans!B177="","",Agent08_Loans!A177)</f>
        <v/>
      </c>
      <c r="B1567" s="37" t="str">
        <f>IF(Agent08_Loans!B177="","",Agent08_Loans!B177)</f>
        <v/>
      </c>
      <c r="C1567" s="37" t="str">
        <f>IF(Agent08_Loans!B177="","",Agent08_Loans!C177)</f>
        <v/>
      </c>
      <c r="D1567" s="38" t="str">
        <f>IF(Agent08_Loans!B177="","",Agent08_Loans!D177)</f>
        <v/>
      </c>
      <c r="E1567" s="40" t="str">
        <f>IF(Agent08_Loans!B177="","",Agent08_Loans!E177)</f>
        <v/>
      </c>
      <c r="F1567" s="37" t="str">
        <f>IF(Agent08_Loans!B177="","",Agent08_Loans!F177)</f>
        <v/>
      </c>
      <c r="G1567" s="37" t="str">
        <f>IF(Agent08_Loans!B177="","",Agent08_Loans!G177)</f>
        <v/>
      </c>
      <c r="H1567" s="37" t="str">
        <f>IF(Agent08_Loans!B177="","",Agent08_Loans!H177)</f>
        <v/>
      </c>
      <c r="I1567" s="40" t="str">
        <f>IF(Agent08_Loans!B177="","",Agent08_Loans!I177)</f>
        <v/>
      </c>
      <c r="J1567" s="40" t="str">
        <f>IF(Agent08_Loans!B177="","",Agent08_Loans!J177)</f>
        <v/>
      </c>
      <c r="K1567" s="37" t="str">
        <f>IF(Agent08_Loans!B177="","",Agent08_Loans!K177)</f>
        <v/>
      </c>
      <c r="L1567" s="37" t="str">
        <f>IF(Agent08_Loans!B177="","",Agent08_Loans!L177)</f>
        <v/>
      </c>
      <c r="M1567" s="37" t="str">
        <f>IFERROR(IF(Agent08_Loans!B177="","",YEAR(Agent08_Loans!D177)),"")</f>
        <v/>
      </c>
    </row>
    <row r="1568" spans="1:13" ht="18" customHeight="1" x14ac:dyDescent="0.25">
      <c r="A1568" s="37" t="str">
        <f>IF(Agent08_Loans!B178="","",Agent08_Loans!A178)</f>
        <v/>
      </c>
      <c r="B1568" s="37" t="str">
        <f>IF(Agent08_Loans!B178="","",Agent08_Loans!B178)</f>
        <v/>
      </c>
      <c r="C1568" s="37" t="str">
        <f>IF(Agent08_Loans!B178="","",Agent08_Loans!C178)</f>
        <v/>
      </c>
      <c r="D1568" s="38" t="str">
        <f>IF(Agent08_Loans!B178="","",Agent08_Loans!D178)</f>
        <v/>
      </c>
      <c r="E1568" s="40" t="str">
        <f>IF(Agent08_Loans!B178="","",Agent08_Loans!E178)</f>
        <v/>
      </c>
      <c r="F1568" s="37" t="str">
        <f>IF(Agent08_Loans!B178="","",Agent08_Loans!F178)</f>
        <v/>
      </c>
      <c r="G1568" s="37" t="str">
        <f>IF(Agent08_Loans!B178="","",Agent08_Loans!G178)</f>
        <v/>
      </c>
      <c r="H1568" s="37" t="str">
        <f>IF(Agent08_Loans!B178="","",Agent08_Loans!H178)</f>
        <v/>
      </c>
      <c r="I1568" s="40" t="str">
        <f>IF(Agent08_Loans!B178="","",Agent08_Loans!I178)</f>
        <v/>
      </c>
      <c r="J1568" s="40" t="str">
        <f>IF(Agent08_Loans!B178="","",Agent08_Loans!J178)</f>
        <v/>
      </c>
      <c r="K1568" s="37" t="str">
        <f>IF(Agent08_Loans!B178="","",Agent08_Loans!K178)</f>
        <v/>
      </c>
      <c r="L1568" s="37" t="str">
        <f>IF(Agent08_Loans!B178="","",Agent08_Loans!L178)</f>
        <v/>
      </c>
      <c r="M1568" s="37" t="str">
        <f>IFERROR(IF(Agent08_Loans!B178="","",YEAR(Agent08_Loans!D178)),"")</f>
        <v/>
      </c>
    </row>
    <row r="1569" spans="1:13" ht="18" customHeight="1" x14ac:dyDescent="0.25">
      <c r="A1569" s="37" t="str">
        <f>IF(Agent08_Loans!B179="","",Agent08_Loans!A179)</f>
        <v/>
      </c>
      <c r="B1569" s="37" t="str">
        <f>IF(Agent08_Loans!B179="","",Agent08_Loans!B179)</f>
        <v/>
      </c>
      <c r="C1569" s="37" t="str">
        <f>IF(Agent08_Loans!B179="","",Agent08_Loans!C179)</f>
        <v/>
      </c>
      <c r="D1569" s="38" t="str">
        <f>IF(Agent08_Loans!B179="","",Agent08_Loans!D179)</f>
        <v/>
      </c>
      <c r="E1569" s="40" t="str">
        <f>IF(Agent08_Loans!B179="","",Agent08_Loans!E179)</f>
        <v/>
      </c>
      <c r="F1569" s="37" t="str">
        <f>IF(Agent08_Loans!B179="","",Agent08_Loans!F179)</f>
        <v/>
      </c>
      <c r="G1569" s="37" t="str">
        <f>IF(Agent08_Loans!B179="","",Agent08_Loans!G179)</f>
        <v/>
      </c>
      <c r="H1569" s="37" t="str">
        <f>IF(Agent08_Loans!B179="","",Agent08_Loans!H179)</f>
        <v/>
      </c>
      <c r="I1569" s="40" t="str">
        <f>IF(Agent08_Loans!B179="","",Agent08_Loans!I179)</f>
        <v/>
      </c>
      <c r="J1569" s="40" t="str">
        <f>IF(Agent08_Loans!B179="","",Agent08_Loans!J179)</f>
        <v/>
      </c>
      <c r="K1569" s="37" t="str">
        <f>IF(Agent08_Loans!B179="","",Agent08_Loans!K179)</f>
        <v/>
      </c>
      <c r="L1569" s="37" t="str">
        <f>IF(Agent08_Loans!B179="","",Agent08_Loans!L179)</f>
        <v/>
      </c>
      <c r="M1569" s="37" t="str">
        <f>IFERROR(IF(Agent08_Loans!B179="","",YEAR(Agent08_Loans!D179)),"")</f>
        <v/>
      </c>
    </row>
    <row r="1570" spans="1:13" ht="18" customHeight="1" x14ac:dyDescent="0.25">
      <c r="A1570" s="37" t="str">
        <f>IF(Agent08_Loans!B180="","",Agent08_Loans!A180)</f>
        <v/>
      </c>
      <c r="B1570" s="37" t="str">
        <f>IF(Agent08_Loans!B180="","",Agent08_Loans!B180)</f>
        <v/>
      </c>
      <c r="C1570" s="37" t="str">
        <f>IF(Agent08_Loans!B180="","",Agent08_Loans!C180)</f>
        <v/>
      </c>
      <c r="D1570" s="38" t="str">
        <f>IF(Agent08_Loans!B180="","",Agent08_Loans!D180)</f>
        <v/>
      </c>
      <c r="E1570" s="40" t="str">
        <f>IF(Agent08_Loans!B180="","",Agent08_Loans!E180)</f>
        <v/>
      </c>
      <c r="F1570" s="37" t="str">
        <f>IF(Agent08_Loans!B180="","",Agent08_Loans!F180)</f>
        <v/>
      </c>
      <c r="G1570" s="37" t="str">
        <f>IF(Agent08_Loans!B180="","",Agent08_Loans!G180)</f>
        <v/>
      </c>
      <c r="H1570" s="37" t="str">
        <f>IF(Agent08_Loans!B180="","",Agent08_Loans!H180)</f>
        <v/>
      </c>
      <c r="I1570" s="40" t="str">
        <f>IF(Agent08_Loans!B180="","",Agent08_Loans!I180)</f>
        <v/>
      </c>
      <c r="J1570" s="40" t="str">
        <f>IF(Agent08_Loans!B180="","",Agent08_Loans!J180)</f>
        <v/>
      </c>
      <c r="K1570" s="37" t="str">
        <f>IF(Agent08_Loans!B180="","",Agent08_Loans!K180)</f>
        <v/>
      </c>
      <c r="L1570" s="37" t="str">
        <f>IF(Agent08_Loans!B180="","",Agent08_Loans!L180)</f>
        <v/>
      </c>
      <c r="M1570" s="37" t="str">
        <f>IFERROR(IF(Agent08_Loans!B180="","",YEAR(Agent08_Loans!D180)),"")</f>
        <v/>
      </c>
    </row>
    <row r="1571" spans="1:13" ht="18" customHeight="1" x14ac:dyDescent="0.25">
      <c r="A1571" s="37" t="str">
        <f>IF(Agent08_Loans!B181="","",Agent08_Loans!A181)</f>
        <v/>
      </c>
      <c r="B1571" s="37" t="str">
        <f>IF(Agent08_Loans!B181="","",Agent08_Loans!B181)</f>
        <v/>
      </c>
      <c r="C1571" s="37" t="str">
        <f>IF(Agent08_Loans!B181="","",Agent08_Loans!C181)</f>
        <v/>
      </c>
      <c r="D1571" s="38" t="str">
        <f>IF(Agent08_Loans!B181="","",Agent08_Loans!D181)</f>
        <v/>
      </c>
      <c r="E1571" s="40" t="str">
        <f>IF(Agent08_Loans!B181="","",Agent08_Loans!E181)</f>
        <v/>
      </c>
      <c r="F1571" s="37" t="str">
        <f>IF(Agent08_Loans!B181="","",Agent08_Loans!F181)</f>
        <v/>
      </c>
      <c r="G1571" s="37" t="str">
        <f>IF(Agent08_Loans!B181="","",Agent08_Loans!G181)</f>
        <v/>
      </c>
      <c r="H1571" s="37" t="str">
        <f>IF(Agent08_Loans!B181="","",Agent08_Loans!H181)</f>
        <v/>
      </c>
      <c r="I1571" s="40" t="str">
        <f>IF(Agent08_Loans!B181="","",Agent08_Loans!I181)</f>
        <v/>
      </c>
      <c r="J1571" s="40" t="str">
        <f>IF(Agent08_Loans!B181="","",Agent08_Loans!J181)</f>
        <v/>
      </c>
      <c r="K1571" s="37" t="str">
        <f>IF(Agent08_Loans!B181="","",Agent08_Loans!K181)</f>
        <v/>
      </c>
      <c r="L1571" s="37" t="str">
        <f>IF(Agent08_Loans!B181="","",Agent08_Loans!L181)</f>
        <v/>
      </c>
      <c r="M1571" s="37" t="str">
        <f>IFERROR(IF(Agent08_Loans!B181="","",YEAR(Agent08_Loans!D181)),"")</f>
        <v/>
      </c>
    </row>
    <row r="1572" spans="1:13" ht="18" customHeight="1" x14ac:dyDescent="0.25">
      <c r="A1572" s="37" t="str">
        <f>IF(Agent08_Loans!B182="","",Agent08_Loans!A182)</f>
        <v/>
      </c>
      <c r="B1572" s="37" t="str">
        <f>IF(Agent08_Loans!B182="","",Agent08_Loans!B182)</f>
        <v/>
      </c>
      <c r="C1572" s="37" t="str">
        <f>IF(Agent08_Loans!B182="","",Agent08_Loans!C182)</f>
        <v/>
      </c>
      <c r="D1572" s="38" t="str">
        <f>IF(Agent08_Loans!B182="","",Agent08_Loans!D182)</f>
        <v/>
      </c>
      <c r="E1572" s="40" t="str">
        <f>IF(Agent08_Loans!B182="","",Agent08_Loans!E182)</f>
        <v/>
      </c>
      <c r="F1572" s="37" t="str">
        <f>IF(Agent08_Loans!B182="","",Agent08_Loans!F182)</f>
        <v/>
      </c>
      <c r="G1572" s="37" t="str">
        <f>IF(Agent08_Loans!B182="","",Agent08_Loans!G182)</f>
        <v/>
      </c>
      <c r="H1572" s="37" t="str">
        <f>IF(Agent08_Loans!B182="","",Agent08_Loans!H182)</f>
        <v/>
      </c>
      <c r="I1572" s="40" t="str">
        <f>IF(Agent08_Loans!B182="","",Agent08_Loans!I182)</f>
        <v/>
      </c>
      <c r="J1572" s="40" t="str">
        <f>IF(Agent08_Loans!B182="","",Agent08_Loans!J182)</f>
        <v/>
      </c>
      <c r="K1572" s="37" t="str">
        <f>IF(Agent08_Loans!B182="","",Agent08_Loans!K182)</f>
        <v/>
      </c>
      <c r="L1572" s="37" t="str">
        <f>IF(Agent08_Loans!B182="","",Agent08_Loans!L182)</f>
        <v/>
      </c>
      <c r="M1572" s="37" t="str">
        <f>IFERROR(IF(Agent08_Loans!B182="","",YEAR(Agent08_Loans!D182)),"")</f>
        <v/>
      </c>
    </row>
    <row r="1573" spans="1:13" ht="18" customHeight="1" x14ac:dyDescent="0.25">
      <c r="A1573" s="37" t="str">
        <f>IF(Agent08_Loans!B183="","",Agent08_Loans!A183)</f>
        <v/>
      </c>
      <c r="B1573" s="37" t="str">
        <f>IF(Agent08_Loans!B183="","",Agent08_Loans!B183)</f>
        <v/>
      </c>
      <c r="C1573" s="37" t="str">
        <f>IF(Agent08_Loans!B183="","",Agent08_Loans!C183)</f>
        <v/>
      </c>
      <c r="D1573" s="38" t="str">
        <f>IF(Agent08_Loans!B183="","",Agent08_Loans!D183)</f>
        <v/>
      </c>
      <c r="E1573" s="40" t="str">
        <f>IF(Agent08_Loans!B183="","",Agent08_Loans!E183)</f>
        <v/>
      </c>
      <c r="F1573" s="37" t="str">
        <f>IF(Agent08_Loans!B183="","",Agent08_Loans!F183)</f>
        <v/>
      </c>
      <c r="G1573" s="37" t="str">
        <f>IF(Agent08_Loans!B183="","",Agent08_Loans!G183)</f>
        <v/>
      </c>
      <c r="H1573" s="37" t="str">
        <f>IF(Agent08_Loans!B183="","",Agent08_Loans!H183)</f>
        <v/>
      </c>
      <c r="I1573" s="40" t="str">
        <f>IF(Agent08_Loans!B183="","",Agent08_Loans!I183)</f>
        <v/>
      </c>
      <c r="J1573" s="40" t="str">
        <f>IF(Agent08_Loans!B183="","",Agent08_Loans!J183)</f>
        <v/>
      </c>
      <c r="K1573" s="37" t="str">
        <f>IF(Agent08_Loans!B183="","",Agent08_Loans!K183)</f>
        <v/>
      </c>
      <c r="L1573" s="37" t="str">
        <f>IF(Agent08_Loans!B183="","",Agent08_Loans!L183)</f>
        <v/>
      </c>
      <c r="M1573" s="37" t="str">
        <f>IFERROR(IF(Agent08_Loans!B183="","",YEAR(Agent08_Loans!D183)),"")</f>
        <v/>
      </c>
    </row>
    <row r="1574" spans="1:13" ht="18" customHeight="1" x14ac:dyDescent="0.25">
      <c r="A1574" s="37" t="str">
        <f>IF(Agent08_Loans!B184="","",Agent08_Loans!A184)</f>
        <v/>
      </c>
      <c r="B1574" s="37" t="str">
        <f>IF(Agent08_Loans!B184="","",Agent08_Loans!B184)</f>
        <v/>
      </c>
      <c r="C1574" s="37" t="str">
        <f>IF(Agent08_Loans!B184="","",Agent08_Loans!C184)</f>
        <v/>
      </c>
      <c r="D1574" s="38" t="str">
        <f>IF(Agent08_Loans!B184="","",Agent08_Loans!D184)</f>
        <v/>
      </c>
      <c r="E1574" s="40" t="str">
        <f>IF(Agent08_Loans!B184="","",Agent08_Loans!E184)</f>
        <v/>
      </c>
      <c r="F1574" s="37" t="str">
        <f>IF(Agent08_Loans!B184="","",Agent08_Loans!F184)</f>
        <v/>
      </c>
      <c r="G1574" s="37" t="str">
        <f>IF(Agent08_Loans!B184="","",Agent08_Loans!G184)</f>
        <v/>
      </c>
      <c r="H1574" s="37" t="str">
        <f>IF(Agent08_Loans!B184="","",Agent08_Loans!H184)</f>
        <v/>
      </c>
      <c r="I1574" s="40" t="str">
        <f>IF(Agent08_Loans!B184="","",Agent08_Loans!I184)</f>
        <v/>
      </c>
      <c r="J1574" s="40" t="str">
        <f>IF(Agent08_Loans!B184="","",Agent08_Loans!J184)</f>
        <v/>
      </c>
      <c r="K1574" s="37" t="str">
        <f>IF(Agent08_Loans!B184="","",Agent08_Loans!K184)</f>
        <v/>
      </c>
      <c r="L1574" s="37" t="str">
        <f>IF(Agent08_Loans!B184="","",Agent08_Loans!L184)</f>
        <v/>
      </c>
      <c r="M1574" s="37" t="str">
        <f>IFERROR(IF(Agent08_Loans!B184="","",YEAR(Agent08_Loans!D184)),"")</f>
        <v/>
      </c>
    </row>
    <row r="1575" spans="1:13" ht="18" customHeight="1" x14ac:dyDescent="0.25">
      <c r="A1575" s="37" t="str">
        <f>IF(Agent08_Loans!B185="","",Agent08_Loans!A185)</f>
        <v/>
      </c>
      <c r="B1575" s="37" t="str">
        <f>IF(Agent08_Loans!B185="","",Agent08_Loans!B185)</f>
        <v/>
      </c>
      <c r="C1575" s="37" t="str">
        <f>IF(Agent08_Loans!B185="","",Agent08_Loans!C185)</f>
        <v/>
      </c>
      <c r="D1575" s="38" t="str">
        <f>IF(Agent08_Loans!B185="","",Agent08_Loans!D185)</f>
        <v/>
      </c>
      <c r="E1575" s="40" t="str">
        <f>IF(Agent08_Loans!B185="","",Agent08_Loans!E185)</f>
        <v/>
      </c>
      <c r="F1575" s="37" t="str">
        <f>IF(Agent08_Loans!B185="","",Agent08_Loans!F185)</f>
        <v/>
      </c>
      <c r="G1575" s="37" t="str">
        <f>IF(Agent08_Loans!B185="","",Agent08_Loans!G185)</f>
        <v/>
      </c>
      <c r="H1575" s="37" t="str">
        <f>IF(Agent08_Loans!B185="","",Agent08_Loans!H185)</f>
        <v/>
      </c>
      <c r="I1575" s="40" t="str">
        <f>IF(Agent08_Loans!B185="","",Agent08_Loans!I185)</f>
        <v/>
      </c>
      <c r="J1575" s="40" t="str">
        <f>IF(Agent08_Loans!B185="","",Agent08_Loans!J185)</f>
        <v/>
      </c>
      <c r="K1575" s="37" t="str">
        <f>IF(Agent08_Loans!B185="","",Agent08_Loans!K185)</f>
        <v/>
      </c>
      <c r="L1575" s="37" t="str">
        <f>IF(Agent08_Loans!B185="","",Agent08_Loans!L185)</f>
        <v/>
      </c>
      <c r="M1575" s="37" t="str">
        <f>IFERROR(IF(Agent08_Loans!B185="","",YEAR(Agent08_Loans!D185)),"")</f>
        <v/>
      </c>
    </row>
    <row r="1576" spans="1:13" ht="18" customHeight="1" x14ac:dyDescent="0.25">
      <c r="A1576" s="37" t="str">
        <f>IF(Agent08_Loans!B186="","",Agent08_Loans!A186)</f>
        <v/>
      </c>
      <c r="B1576" s="37" t="str">
        <f>IF(Agent08_Loans!B186="","",Agent08_Loans!B186)</f>
        <v/>
      </c>
      <c r="C1576" s="37" t="str">
        <f>IF(Agent08_Loans!B186="","",Agent08_Loans!C186)</f>
        <v/>
      </c>
      <c r="D1576" s="38" t="str">
        <f>IF(Agent08_Loans!B186="","",Agent08_Loans!D186)</f>
        <v/>
      </c>
      <c r="E1576" s="40" t="str">
        <f>IF(Agent08_Loans!B186="","",Agent08_Loans!E186)</f>
        <v/>
      </c>
      <c r="F1576" s="37" t="str">
        <f>IF(Agent08_Loans!B186="","",Agent08_Loans!F186)</f>
        <v/>
      </c>
      <c r="G1576" s="37" t="str">
        <f>IF(Agent08_Loans!B186="","",Agent08_Loans!G186)</f>
        <v/>
      </c>
      <c r="H1576" s="37" t="str">
        <f>IF(Agent08_Loans!B186="","",Agent08_Loans!H186)</f>
        <v/>
      </c>
      <c r="I1576" s="40" t="str">
        <f>IF(Agent08_Loans!B186="","",Agent08_Loans!I186)</f>
        <v/>
      </c>
      <c r="J1576" s="40" t="str">
        <f>IF(Agent08_Loans!B186="","",Agent08_Loans!J186)</f>
        <v/>
      </c>
      <c r="K1576" s="37" t="str">
        <f>IF(Agent08_Loans!B186="","",Agent08_Loans!K186)</f>
        <v/>
      </c>
      <c r="L1576" s="37" t="str">
        <f>IF(Agent08_Loans!B186="","",Agent08_Loans!L186)</f>
        <v/>
      </c>
      <c r="M1576" s="37" t="str">
        <f>IFERROR(IF(Agent08_Loans!B186="","",YEAR(Agent08_Loans!D186)),"")</f>
        <v/>
      </c>
    </row>
    <row r="1577" spans="1:13" ht="18" customHeight="1" x14ac:dyDescent="0.25">
      <c r="A1577" s="37" t="str">
        <f>IF(Agent08_Loans!B187="","",Agent08_Loans!A187)</f>
        <v/>
      </c>
      <c r="B1577" s="37" t="str">
        <f>IF(Agent08_Loans!B187="","",Agent08_Loans!B187)</f>
        <v/>
      </c>
      <c r="C1577" s="37" t="str">
        <f>IF(Agent08_Loans!B187="","",Agent08_Loans!C187)</f>
        <v/>
      </c>
      <c r="D1577" s="38" t="str">
        <f>IF(Agent08_Loans!B187="","",Agent08_Loans!D187)</f>
        <v/>
      </c>
      <c r="E1577" s="40" t="str">
        <f>IF(Agent08_Loans!B187="","",Agent08_Loans!E187)</f>
        <v/>
      </c>
      <c r="F1577" s="37" t="str">
        <f>IF(Agent08_Loans!B187="","",Agent08_Loans!F187)</f>
        <v/>
      </c>
      <c r="G1577" s="37" t="str">
        <f>IF(Agent08_Loans!B187="","",Agent08_Loans!G187)</f>
        <v/>
      </c>
      <c r="H1577" s="37" t="str">
        <f>IF(Agent08_Loans!B187="","",Agent08_Loans!H187)</f>
        <v/>
      </c>
      <c r="I1577" s="40" t="str">
        <f>IF(Agent08_Loans!B187="","",Agent08_Loans!I187)</f>
        <v/>
      </c>
      <c r="J1577" s="40" t="str">
        <f>IF(Agent08_Loans!B187="","",Agent08_Loans!J187)</f>
        <v/>
      </c>
      <c r="K1577" s="37" t="str">
        <f>IF(Agent08_Loans!B187="","",Agent08_Loans!K187)</f>
        <v/>
      </c>
      <c r="L1577" s="37" t="str">
        <f>IF(Agent08_Loans!B187="","",Agent08_Loans!L187)</f>
        <v/>
      </c>
      <c r="M1577" s="37" t="str">
        <f>IFERROR(IF(Agent08_Loans!B187="","",YEAR(Agent08_Loans!D187)),"")</f>
        <v/>
      </c>
    </row>
    <row r="1578" spans="1:13" ht="18" customHeight="1" x14ac:dyDescent="0.25">
      <c r="A1578" s="37" t="str">
        <f>IF(Agent08_Loans!B188="","",Agent08_Loans!A188)</f>
        <v/>
      </c>
      <c r="B1578" s="37" t="str">
        <f>IF(Agent08_Loans!B188="","",Agent08_Loans!B188)</f>
        <v/>
      </c>
      <c r="C1578" s="37" t="str">
        <f>IF(Agent08_Loans!B188="","",Agent08_Loans!C188)</f>
        <v/>
      </c>
      <c r="D1578" s="38" t="str">
        <f>IF(Agent08_Loans!B188="","",Agent08_Loans!D188)</f>
        <v/>
      </c>
      <c r="E1578" s="40" t="str">
        <f>IF(Agent08_Loans!B188="","",Agent08_Loans!E188)</f>
        <v/>
      </c>
      <c r="F1578" s="37" t="str">
        <f>IF(Agent08_Loans!B188="","",Agent08_Loans!F188)</f>
        <v/>
      </c>
      <c r="G1578" s="37" t="str">
        <f>IF(Agent08_Loans!B188="","",Agent08_Loans!G188)</f>
        <v/>
      </c>
      <c r="H1578" s="37" t="str">
        <f>IF(Agent08_Loans!B188="","",Agent08_Loans!H188)</f>
        <v/>
      </c>
      <c r="I1578" s="40" t="str">
        <f>IF(Agent08_Loans!B188="","",Agent08_Loans!I188)</f>
        <v/>
      </c>
      <c r="J1578" s="40" t="str">
        <f>IF(Agent08_Loans!B188="","",Agent08_Loans!J188)</f>
        <v/>
      </c>
      <c r="K1578" s="37" t="str">
        <f>IF(Agent08_Loans!B188="","",Agent08_Loans!K188)</f>
        <v/>
      </c>
      <c r="L1578" s="37" t="str">
        <f>IF(Agent08_Loans!B188="","",Agent08_Loans!L188)</f>
        <v/>
      </c>
      <c r="M1578" s="37" t="str">
        <f>IFERROR(IF(Agent08_Loans!B188="","",YEAR(Agent08_Loans!D188)),"")</f>
        <v/>
      </c>
    </row>
    <row r="1579" spans="1:13" ht="18" customHeight="1" x14ac:dyDescent="0.25">
      <c r="A1579" s="37" t="str">
        <f>IF(Agent08_Loans!B189="","",Agent08_Loans!A189)</f>
        <v/>
      </c>
      <c r="B1579" s="37" t="str">
        <f>IF(Agent08_Loans!B189="","",Agent08_Loans!B189)</f>
        <v/>
      </c>
      <c r="C1579" s="37" t="str">
        <f>IF(Agent08_Loans!B189="","",Agent08_Loans!C189)</f>
        <v/>
      </c>
      <c r="D1579" s="38" t="str">
        <f>IF(Agent08_Loans!B189="","",Agent08_Loans!D189)</f>
        <v/>
      </c>
      <c r="E1579" s="40" t="str">
        <f>IF(Agent08_Loans!B189="","",Agent08_Loans!E189)</f>
        <v/>
      </c>
      <c r="F1579" s="37" t="str">
        <f>IF(Agent08_Loans!B189="","",Agent08_Loans!F189)</f>
        <v/>
      </c>
      <c r="G1579" s="37" t="str">
        <f>IF(Agent08_Loans!B189="","",Agent08_Loans!G189)</f>
        <v/>
      </c>
      <c r="H1579" s="37" t="str">
        <f>IF(Agent08_Loans!B189="","",Agent08_Loans!H189)</f>
        <v/>
      </c>
      <c r="I1579" s="40" t="str">
        <f>IF(Agent08_Loans!B189="","",Agent08_Loans!I189)</f>
        <v/>
      </c>
      <c r="J1579" s="40" t="str">
        <f>IF(Agent08_Loans!B189="","",Agent08_Loans!J189)</f>
        <v/>
      </c>
      <c r="K1579" s="37" t="str">
        <f>IF(Agent08_Loans!B189="","",Agent08_Loans!K189)</f>
        <v/>
      </c>
      <c r="L1579" s="37" t="str">
        <f>IF(Agent08_Loans!B189="","",Agent08_Loans!L189)</f>
        <v/>
      </c>
      <c r="M1579" s="37" t="str">
        <f>IFERROR(IF(Agent08_Loans!B189="","",YEAR(Agent08_Loans!D189)),"")</f>
        <v/>
      </c>
    </row>
    <row r="1580" spans="1:13" ht="18" customHeight="1" x14ac:dyDescent="0.25">
      <c r="A1580" s="37" t="str">
        <f>IF(Agent08_Loans!B190="","",Agent08_Loans!A190)</f>
        <v/>
      </c>
      <c r="B1580" s="37" t="str">
        <f>IF(Agent08_Loans!B190="","",Agent08_Loans!B190)</f>
        <v/>
      </c>
      <c r="C1580" s="37" t="str">
        <f>IF(Agent08_Loans!B190="","",Agent08_Loans!C190)</f>
        <v/>
      </c>
      <c r="D1580" s="38" t="str">
        <f>IF(Agent08_Loans!B190="","",Agent08_Loans!D190)</f>
        <v/>
      </c>
      <c r="E1580" s="40" t="str">
        <f>IF(Agent08_Loans!B190="","",Agent08_Loans!E190)</f>
        <v/>
      </c>
      <c r="F1580" s="37" t="str">
        <f>IF(Agent08_Loans!B190="","",Agent08_Loans!F190)</f>
        <v/>
      </c>
      <c r="G1580" s="37" t="str">
        <f>IF(Agent08_Loans!B190="","",Agent08_Loans!G190)</f>
        <v/>
      </c>
      <c r="H1580" s="37" t="str">
        <f>IF(Agent08_Loans!B190="","",Agent08_Loans!H190)</f>
        <v/>
      </c>
      <c r="I1580" s="40" t="str">
        <f>IF(Agent08_Loans!B190="","",Agent08_Loans!I190)</f>
        <v/>
      </c>
      <c r="J1580" s="40" t="str">
        <f>IF(Agent08_Loans!B190="","",Agent08_Loans!J190)</f>
        <v/>
      </c>
      <c r="K1580" s="37" t="str">
        <f>IF(Agent08_Loans!B190="","",Agent08_Loans!K190)</f>
        <v/>
      </c>
      <c r="L1580" s="37" t="str">
        <f>IF(Agent08_Loans!B190="","",Agent08_Loans!L190)</f>
        <v/>
      </c>
      <c r="M1580" s="37" t="str">
        <f>IFERROR(IF(Agent08_Loans!B190="","",YEAR(Agent08_Loans!D190)),"")</f>
        <v/>
      </c>
    </row>
    <row r="1581" spans="1:13" ht="18" customHeight="1" x14ac:dyDescent="0.25">
      <c r="A1581" s="37" t="str">
        <f>IF(Agent08_Loans!B191="","",Agent08_Loans!A191)</f>
        <v/>
      </c>
      <c r="B1581" s="37" t="str">
        <f>IF(Agent08_Loans!B191="","",Agent08_Loans!B191)</f>
        <v/>
      </c>
      <c r="C1581" s="37" t="str">
        <f>IF(Agent08_Loans!B191="","",Agent08_Loans!C191)</f>
        <v/>
      </c>
      <c r="D1581" s="38" t="str">
        <f>IF(Agent08_Loans!B191="","",Agent08_Loans!D191)</f>
        <v/>
      </c>
      <c r="E1581" s="40" t="str">
        <f>IF(Agent08_Loans!B191="","",Agent08_Loans!E191)</f>
        <v/>
      </c>
      <c r="F1581" s="37" t="str">
        <f>IF(Agent08_Loans!B191="","",Agent08_Loans!F191)</f>
        <v/>
      </c>
      <c r="G1581" s="37" t="str">
        <f>IF(Agent08_Loans!B191="","",Agent08_Loans!G191)</f>
        <v/>
      </c>
      <c r="H1581" s="37" t="str">
        <f>IF(Agent08_Loans!B191="","",Agent08_Loans!H191)</f>
        <v/>
      </c>
      <c r="I1581" s="40" t="str">
        <f>IF(Agent08_Loans!B191="","",Agent08_Loans!I191)</f>
        <v/>
      </c>
      <c r="J1581" s="40" t="str">
        <f>IF(Agent08_Loans!B191="","",Agent08_Loans!J191)</f>
        <v/>
      </c>
      <c r="K1581" s="37" t="str">
        <f>IF(Agent08_Loans!B191="","",Agent08_Loans!K191)</f>
        <v/>
      </c>
      <c r="L1581" s="37" t="str">
        <f>IF(Agent08_Loans!B191="","",Agent08_Loans!L191)</f>
        <v/>
      </c>
      <c r="M1581" s="37" t="str">
        <f>IFERROR(IF(Agent08_Loans!B191="","",YEAR(Agent08_Loans!D191)),"")</f>
        <v/>
      </c>
    </row>
    <row r="1582" spans="1:13" ht="18" customHeight="1" x14ac:dyDescent="0.25">
      <c r="A1582" s="37" t="str">
        <f>IF(Agent08_Loans!B192="","",Agent08_Loans!A192)</f>
        <v/>
      </c>
      <c r="B1582" s="37" t="str">
        <f>IF(Agent08_Loans!B192="","",Agent08_Loans!B192)</f>
        <v/>
      </c>
      <c r="C1582" s="37" t="str">
        <f>IF(Agent08_Loans!B192="","",Agent08_Loans!C192)</f>
        <v/>
      </c>
      <c r="D1582" s="38" t="str">
        <f>IF(Agent08_Loans!B192="","",Agent08_Loans!D192)</f>
        <v/>
      </c>
      <c r="E1582" s="40" t="str">
        <f>IF(Agent08_Loans!B192="","",Agent08_Loans!E192)</f>
        <v/>
      </c>
      <c r="F1582" s="37" t="str">
        <f>IF(Agent08_Loans!B192="","",Agent08_Loans!F192)</f>
        <v/>
      </c>
      <c r="G1582" s="37" t="str">
        <f>IF(Agent08_Loans!B192="","",Agent08_Loans!G192)</f>
        <v/>
      </c>
      <c r="H1582" s="37" t="str">
        <f>IF(Agent08_Loans!B192="","",Agent08_Loans!H192)</f>
        <v/>
      </c>
      <c r="I1582" s="40" t="str">
        <f>IF(Agent08_Loans!B192="","",Agent08_Loans!I192)</f>
        <v/>
      </c>
      <c r="J1582" s="40" t="str">
        <f>IF(Agent08_Loans!B192="","",Agent08_Loans!J192)</f>
        <v/>
      </c>
      <c r="K1582" s="37" t="str">
        <f>IF(Agent08_Loans!B192="","",Agent08_Loans!K192)</f>
        <v/>
      </c>
      <c r="L1582" s="37" t="str">
        <f>IF(Agent08_Loans!B192="","",Agent08_Loans!L192)</f>
        <v/>
      </c>
      <c r="M1582" s="37" t="str">
        <f>IFERROR(IF(Agent08_Loans!B192="","",YEAR(Agent08_Loans!D192)),"")</f>
        <v/>
      </c>
    </row>
    <row r="1583" spans="1:13" ht="18" customHeight="1" x14ac:dyDescent="0.25">
      <c r="A1583" s="37" t="str">
        <f>IF(Agent08_Loans!B193="","",Agent08_Loans!A193)</f>
        <v/>
      </c>
      <c r="B1583" s="37" t="str">
        <f>IF(Agent08_Loans!B193="","",Agent08_Loans!B193)</f>
        <v/>
      </c>
      <c r="C1583" s="37" t="str">
        <f>IF(Agent08_Loans!B193="","",Agent08_Loans!C193)</f>
        <v/>
      </c>
      <c r="D1583" s="38" t="str">
        <f>IF(Agent08_Loans!B193="","",Agent08_Loans!D193)</f>
        <v/>
      </c>
      <c r="E1583" s="40" t="str">
        <f>IF(Agent08_Loans!B193="","",Agent08_Loans!E193)</f>
        <v/>
      </c>
      <c r="F1583" s="37" t="str">
        <f>IF(Agent08_Loans!B193="","",Agent08_Loans!F193)</f>
        <v/>
      </c>
      <c r="G1583" s="37" t="str">
        <f>IF(Agent08_Loans!B193="","",Agent08_Loans!G193)</f>
        <v/>
      </c>
      <c r="H1583" s="37" t="str">
        <f>IF(Agent08_Loans!B193="","",Agent08_Loans!H193)</f>
        <v/>
      </c>
      <c r="I1583" s="40" t="str">
        <f>IF(Agent08_Loans!B193="","",Agent08_Loans!I193)</f>
        <v/>
      </c>
      <c r="J1583" s="40" t="str">
        <f>IF(Agent08_Loans!B193="","",Agent08_Loans!J193)</f>
        <v/>
      </c>
      <c r="K1583" s="37" t="str">
        <f>IF(Agent08_Loans!B193="","",Agent08_Loans!K193)</f>
        <v/>
      </c>
      <c r="L1583" s="37" t="str">
        <f>IF(Agent08_Loans!B193="","",Agent08_Loans!L193)</f>
        <v/>
      </c>
      <c r="M1583" s="37" t="str">
        <f>IFERROR(IF(Agent08_Loans!B193="","",YEAR(Agent08_Loans!D193)),"")</f>
        <v/>
      </c>
    </row>
    <row r="1584" spans="1:13" ht="18" customHeight="1" x14ac:dyDescent="0.25">
      <c r="A1584" s="37" t="str">
        <f>IF(Agent08_Loans!B194="","",Agent08_Loans!A194)</f>
        <v/>
      </c>
      <c r="B1584" s="37" t="str">
        <f>IF(Agent08_Loans!B194="","",Agent08_Loans!B194)</f>
        <v/>
      </c>
      <c r="C1584" s="37" t="str">
        <f>IF(Agent08_Loans!B194="","",Agent08_Loans!C194)</f>
        <v/>
      </c>
      <c r="D1584" s="38" t="str">
        <f>IF(Agent08_Loans!B194="","",Agent08_Loans!D194)</f>
        <v/>
      </c>
      <c r="E1584" s="40" t="str">
        <f>IF(Agent08_Loans!B194="","",Agent08_Loans!E194)</f>
        <v/>
      </c>
      <c r="F1584" s="37" t="str">
        <f>IF(Agent08_Loans!B194="","",Agent08_Loans!F194)</f>
        <v/>
      </c>
      <c r="G1584" s="37" t="str">
        <f>IF(Agent08_Loans!B194="","",Agent08_Loans!G194)</f>
        <v/>
      </c>
      <c r="H1584" s="37" t="str">
        <f>IF(Agent08_Loans!B194="","",Agent08_Loans!H194)</f>
        <v/>
      </c>
      <c r="I1584" s="40" t="str">
        <f>IF(Agent08_Loans!B194="","",Agent08_Loans!I194)</f>
        <v/>
      </c>
      <c r="J1584" s="40" t="str">
        <f>IF(Agent08_Loans!B194="","",Agent08_Loans!J194)</f>
        <v/>
      </c>
      <c r="K1584" s="37" t="str">
        <f>IF(Agent08_Loans!B194="","",Agent08_Loans!K194)</f>
        <v/>
      </c>
      <c r="L1584" s="37" t="str">
        <f>IF(Agent08_Loans!B194="","",Agent08_Loans!L194)</f>
        <v/>
      </c>
      <c r="M1584" s="37" t="str">
        <f>IFERROR(IF(Agent08_Loans!B194="","",YEAR(Agent08_Loans!D194)),"")</f>
        <v/>
      </c>
    </row>
    <row r="1585" spans="1:13" ht="18" customHeight="1" x14ac:dyDescent="0.25">
      <c r="A1585" s="37" t="str">
        <f>IF(Agent08_Loans!B195="","",Agent08_Loans!A195)</f>
        <v/>
      </c>
      <c r="B1585" s="37" t="str">
        <f>IF(Agent08_Loans!B195="","",Agent08_Loans!B195)</f>
        <v/>
      </c>
      <c r="C1585" s="37" t="str">
        <f>IF(Agent08_Loans!B195="","",Agent08_Loans!C195)</f>
        <v/>
      </c>
      <c r="D1585" s="38" t="str">
        <f>IF(Agent08_Loans!B195="","",Agent08_Loans!D195)</f>
        <v/>
      </c>
      <c r="E1585" s="40" t="str">
        <f>IF(Agent08_Loans!B195="","",Agent08_Loans!E195)</f>
        <v/>
      </c>
      <c r="F1585" s="37" t="str">
        <f>IF(Agent08_Loans!B195="","",Agent08_Loans!F195)</f>
        <v/>
      </c>
      <c r="G1585" s="37" t="str">
        <f>IF(Agent08_Loans!B195="","",Agent08_Loans!G195)</f>
        <v/>
      </c>
      <c r="H1585" s="37" t="str">
        <f>IF(Agent08_Loans!B195="","",Agent08_Loans!H195)</f>
        <v/>
      </c>
      <c r="I1585" s="40" t="str">
        <f>IF(Agent08_Loans!B195="","",Agent08_Loans!I195)</f>
        <v/>
      </c>
      <c r="J1585" s="40" t="str">
        <f>IF(Agent08_Loans!B195="","",Agent08_Loans!J195)</f>
        <v/>
      </c>
      <c r="K1585" s="37" t="str">
        <f>IF(Agent08_Loans!B195="","",Agent08_Loans!K195)</f>
        <v/>
      </c>
      <c r="L1585" s="37" t="str">
        <f>IF(Agent08_Loans!B195="","",Agent08_Loans!L195)</f>
        <v/>
      </c>
      <c r="M1585" s="37" t="str">
        <f>IFERROR(IF(Agent08_Loans!B195="","",YEAR(Agent08_Loans!D195)),"")</f>
        <v/>
      </c>
    </row>
    <row r="1586" spans="1:13" ht="18" customHeight="1" x14ac:dyDescent="0.25">
      <c r="A1586" s="37" t="str">
        <f>IF(Agent08_Loans!B196="","",Agent08_Loans!A196)</f>
        <v/>
      </c>
      <c r="B1586" s="37" t="str">
        <f>IF(Agent08_Loans!B196="","",Agent08_Loans!B196)</f>
        <v/>
      </c>
      <c r="C1586" s="37" t="str">
        <f>IF(Agent08_Loans!B196="","",Agent08_Loans!C196)</f>
        <v/>
      </c>
      <c r="D1586" s="38" t="str">
        <f>IF(Agent08_Loans!B196="","",Agent08_Loans!D196)</f>
        <v/>
      </c>
      <c r="E1586" s="40" t="str">
        <f>IF(Agent08_Loans!B196="","",Agent08_Loans!E196)</f>
        <v/>
      </c>
      <c r="F1586" s="37" t="str">
        <f>IF(Agent08_Loans!B196="","",Agent08_Loans!F196)</f>
        <v/>
      </c>
      <c r="G1586" s="37" t="str">
        <f>IF(Agent08_Loans!B196="","",Agent08_Loans!G196)</f>
        <v/>
      </c>
      <c r="H1586" s="37" t="str">
        <f>IF(Agent08_Loans!B196="","",Agent08_Loans!H196)</f>
        <v/>
      </c>
      <c r="I1586" s="40" t="str">
        <f>IF(Agent08_Loans!B196="","",Agent08_Loans!I196)</f>
        <v/>
      </c>
      <c r="J1586" s="40" t="str">
        <f>IF(Agent08_Loans!B196="","",Agent08_Loans!J196)</f>
        <v/>
      </c>
      <c r="K1586" s="37" t="str">
        <f>IF(Agent08_Loans!B196="","",Agent08_Loans!K196)</f>
        <v/>
      </c>
      <c r="L1586" s="37" t="str">
        <f>IF(Agent08_Loans!B196="","",Agent08_Loans!L196)</f>
        <v/>
      </c>
      <c r="M1586" s="37" t="str">
        <f>IFERROR(IF(Agent08_Loans!B196="","",YEAR(Agent08_Loans!D196)),"")</f>
        <v/>
      </c>
    </row>
    <row r="1587" spans="1:13" ht="18" customHeight="1" x14ac:dyDescent="0.25">
      <c r="A1587" s="37" t="str">
        <f>IF(Agent08_Loans!B197="","",Agent08_Loans!A197)</f>
        <v/>
      </c>
      <c r="B1587" s="37" t="str">
        <f>IF(Agent08_Loans!B197="","",Agent08_Loans!B197)</f>
        <v/>
      </c>
      <c r="C1587" s="37" t="str">
        <f>IF(Agent08_Loans!B197="","",Agent08_Loans!C197)</f>
        <v/>
      </c>
      <c r="D1587" s="38" t="str">
        <f>IF(Agent08_Loans!B197="","",Agent08_Loans!D197)</f>
        <v/>
      </c>
      <c r="E1587" s="40" t="str">
        <f>IF(Agent08_Loans!B197="","",Agent08_Loans!E197)</f>
        <v/>
      </c>
      <c r="F1587" s="37" t="str">
        <f>IF(Agent08_Loans!B197="","",Agent08_Loans!F197)</f>
        <v/>
      </c>
      <c r="G1587" s="37" t="str">
        <f>IF(Agent08_Loans!B197="","",Agent08_Loans!G197)</f>
        <v/>
      </c>
      <c r="H1587" s="37" t="str">
        <f>IF(Agent08_Loans!B197="","",Agent08_Loans!H197)</f>
        <v/>
      </c>
      <c r="I1587" s="40" t="str">
        <f>IF(Agent08_Loans!B197="","",Agent08_Loans!I197)</f>
        <v/>
      </c>
      <c r="J1587" s="40" t="str">
        <f>IF(Agent08_Loans!B197="","",Agent08_Loans!J197)</f>
        <v/>
      </c>
      <c r="K1587" s="37" t="str">
        <f>IF(Agent08_Loans!B197="","",Agent08_Loans!K197)</f>
        <v/>
      </c>
      <c r="L1587" s="37" t="str">
        <f>IF(Agent08_Loans!B197="","",Agent08_Loans!L197)</f>
        <v/>
      </c>
      <c r="M1587" s="37" t="str">
        <f>IFERROR(IF(Agent08_Loans!B197="","",YEAR(Agent08_Loans!D197)),"")</f>
        <v/>
      </c>
    </row>
    <row r="1588" spans="1:13" ht="18" customHeight="1" x14ac:dyDescent="0.25">
      <c r="A1588" s="37" t="str">
        <f>IF(Agent08_Loans!B198="","",Agent08_Loans!A198)</f>
        <v/>
      </c>
      <c r="B1588" s="37" t="str">
        <f>IF(Agent08_Loans!B198="","",Agent08_Loans!B198)</f>
        <v/>
      </c>
      <c r="C1588" s="37" t="str">
        <f>IF(Agent08_Loans!B198="","",Agent08_Loans!C198)</f>
        <v/>
      </c>
      <c r="D1588" s="38" t="str">
        <f>IF(Agent08_Loans!B198="","",Agent08_Loans!D198)</f>
        <v/>
      </c>
      <c r="E1588" s="40" t="str">
        <f>IF(Agent08_Loans!B198="","",Agent08_Loans!E198)</f>
        <v/>
      </c>
      <c r="F1588" s="37" t="str">
        <f>IF(Agent08_Loans!B198="","",Agent08_Loans!F198)</f>
        <v/>
      </c>
      <c r="G1588" s="37" t="str">
        <f>IF(Agent08_Loans!B198="","",Agent08_Loans!G198)</f>
        <v/>
      </c>
      <c r="H1588" s="37" t="str">
        <f>IF(Agent08_Loans!B198="","",Agent08_Loans!H198)</f>
        <v/>
      </c>
      <c r="I1588" s="40" t="str">
        <f>IF(Agent08_Loans!B198="","",Agent08_Loans!I198)</f>
        <v/>
      </c>
      <c r="J1588" s="40" t="str">
        <f>IF(Agent08_Loans!B198="","",Agent08_Loans!J198)</f>
        <v/>
      </c>
      <c r="K1588" s="37" t="str">
        <f>IF(Agent08_Loans!B198="","",Agent08_Loans!K198)</f>
        <v/>
      </c>
      <c r="L1588" s="37" t="str">
        <f>IF(Agent08_Loans!B198="","",Agent08_Loans!L198)</f>
        <v/>
      </c>
      <c r="M1588" s="37" t="str">
        <f>IFERROR(IF(Agent08_Loans!B198="","",YEAR(Agent08_Loans!D198)),"")</f>
        <v/>
      </c>
    </row>
    <row r="1589" spans="1:13" ht="18" customHeight="1" x14ac:dyDescent="0.25">
      <c r="A1589" s="37" t="str">
        <f>IF(Agent08_Loans!B199="","",Agent08_Loans!A199)</f>
        <v/>
      </c>
      <c r="B1589" s="37" t="str">
        <f>IF(Agent08_Loans!B199="","",Agent08_Loans!B199)</f>
        <v/>
      </c>
      <c r="C1589" s="37" t="str">
        <f>IF(Agent08_Loans!B199="","",Agent08_Loans!C199)</f>
        <v/>
      </c>
      <c r="D1589" s="38" t="str">
        <f>IF(Agent08_Loans!B199="","",Agent08_Loans!D199)</f>
        <v/>
      </c>
      <c r="E1589" s="40" t="str">
        <f>IF(Agent08_Loans!B199="","",Agent08_Loans!E199)</f>
        <v/>
      </c>
      <c r="F1589" s="37" t="str">
        <f>IF(Agent08_Loans!B199="","",Agent08_Loans!F199)</f>
        <v/>
      </c>
      <c r="G1589" s="37" t="str">
        <f>IF(Agent08_Loans!B199="","",Agent08_Loans!G199)</f>
        <v/>
      </c>
      <c r="H1589" s="37" t="str">
        <f>IF(Agent08_Loans!B199="","",Agent08_Loans!H199)</f>
        <v/>
      </c>
      <c r="I1589" s="40" t="str">
        <f>IF(Agent08_Loans!B199="","",Agent08_Loans!I199)</f>
        <v/>
      </c>
      <c r="J1589" s="40" t="str">
        <f>IF(Agent08_Loans!B199="","",Agent08_Loans!J199)</f>
        <v/>
      </c>
      <c r="K1589" s="37" t="str">
        <f>IF(Agent08_Loans!B199="","",Agent08_Loans!K199)</f>
        <v/>
      </c>
      <c r="L1589" s="37" t="str">
        <f>IF(Agent08_Loans!B199="","",Agent08_Loans!L199)</f>
        <v/>
      </c>
      <c r="M1589" s="37" t="str">
        <f>IFERROR(IF(Agent08_Loans!B199="","",YEAR(Agent08_Loans!D199)),"")</f>
        <v/>
      </c>
    </row>
    <row r="1590" spans="1:13" ht="18" customHeight="1" x14ac:dyDescent="0.25">
      <c r="A1590" s="37" t="str">
        <f>IF(Agent08_Loans!B200="","",Agent08_Loans!A200)</f>
        <v/>
      </c>
      <c r="B1590" s="37" t="str">
        <f>IF(Agent08_Loans!B200="","",Agent08_Loans!B200)</f>
        <v/>
      </c>
      <c r="C1590" s="37" t="str">
        <f>IF(Agent08_Loans!B200="","",Agent08_Loans!C200)</f>
        <v/>
      </c>
      <c r="D1590" s="38" t="str">
        <f>IF(Agent08_Loans!B200="","",Agent08_Loans!D200)</f>
        <v/>
      </c>
      <c r="E1590" s="40" t="str">
        <f>IF(Agent08_Loans!B200="","",Agent08_Loans!E200)</f>
        <v/>
      </c>
      <c r="F1590" s="37" t="str">
        <f>IF(Agent08_Loans!B200="","",Agent08_Loans!F200)</f>
        <v/>
      </c>
      <c r="G1590" s="37" t="str">
        <f>IF(Agent08_Loans!B200="","",Agent08_Loans!G200)</f>
        <v/>
      </c>
      <c r="H1590" s="37" t="str">
        <f>IF(Agent08_Loans!B200="","",Agent08_Loans!H200)</f>
        <v/>
      </c>
      <c r="I1590" s="40" t="str">
        <f>IF(Agent08_Loans!B200="","",Agent08_Loans!I200)</f>
        <v/>
      </c>
      <c r="J1590" s="40" t="str">
        <f>IF(Agent08_Loans!B200="","",Agent08_Loans!J200)</f>
        <v/>
      </c>
      <c r="K1590" s="37" t="str">
        <f>IF(Agent08_Loans!B200="","",Agent08_Loans!K200)</f>
        <v/>
      </c>
      <c r="L1590" s="37" t="str">
        <f>IF(Agent08_Loans!B200="","",Agent08_Loans!L200)</f>
        <v/>
      </c>
      <c r="M1590" s="37" t="str">
        <f>IFERROR(IF(Agent08_Loans!B200="","",YEAR(Agent08_Loans!D200)),"")</f>
        <v/>
      </c>
    </row>
    <row r="1591" spans="1:13" ht="18" customHeight="1" x14ac:dyDescent="0.25">
      <c r="A1591" s="37" t="str">
        <f>IF(Agent08_Loans!B201="","",Agent08_Loans!A201)</f>
        <v/>
      </c>
      <c r="B1591" s="37" t="str">
        <f>IF(Agent08_Loans!B201="","",Agent08_Loans!B201)</f>
        <v/>
      </c>
      <c r="C1591" s="37" t="str">
        <f>IF(Agent08_Loans!B201="","",Agent08_Loans!C201)</f>
        <v/>
      </c>
      <c r="D1591" s="38" t="str">
        <f>IF(Agent08_Loans!B201="","",Agent08_Loans!D201)</f>
        <v/>
      </c>
      <c r="E1591" s="40" t="str">
        <f>IF(Agent08_Loans!B201="","",Agent08_Loans!E201)</f>
        <v/>
      </c>
      <c r="F1591" s="37" t="str">
        <f>IF(Agent08_Loans!B201="","",Agent08_Loans!F201)</f>
        <v/>
      </c>
      <c r="G1591" s="37" t="str">
        <f>IF(Agent08_Loans!B201="","",Agent08_Loans!G201)</f>
        <v/>
      </c>
      <c r="H1591" s="37" t="str">
        <f>IF(Agent08_Loans!B201="","",Agent08_Loans!H201)</f>
        <v/>
      </c>
      <c r="I1591" s="40" t="str">
        <f>IF(Agent08_Loans!B201="","",Agent08_Loans!I201)</f>
        <v/>
      </c>
      <c r="J1591" s="40" t="str">
        <f>IF(Agent08_Loans!B201="","",Agent08_Loans!J201)</f>
        <v/>
      </c>
      <c r="K1591" s="37" t="str">
        <f>IF(Agent08_Loans!B201="","",Agent08_Loans!K201)</f>
        <v/>
      </c>
      <c r="L1591" s="37" t="str">
        <f>IF(Agent08_Loans!B201="","",Agent08_Loans!L201)</f>
        <v/>
      </c>
      <c r="M1591" s="37" t="str">
        <f>IFERROR(IF(Agent08_Loans!B201="","",YEAR(Agent08_Loans!D201)),"")</f>
        <v/>
      </c>
    </row>
    <row r="1592" spans="1:13" ht="18" customHeight="1" x14ac:dyDescent="0.25">
      <c r="A1592" s="37" t="str">
        <f>IF(Agent08_Loans!B202="","",Agent08_Loans!A202)</f>
        <v/>
      </c>
      <c r="B1592" s="37" t="str">
        <f>IF(Agent08_Loans!B202="","",Agent08_Loans!B202)</f>
        <v/>
      </c>
      <c r="C1592" s="37" t="str">
        <f>IF(Agent08_Loans!B202="","",Agent08_Loans!C202)</f>
        <v/>
      </c>
      <c r="D1592" s="38" t="str">
        <f>IF(Agent08_Loans!B202="","",Agent08_Loans!D202)</f>
        <v/>
      </c>
      <c r="E1592" s="40" t="str">
        <f>IF(Agent08_Loans!B202="","",Agent08_Loans!E202)</f>
        <v/>
      </c>
      <c r="F1592" s="37" t="str">
        <f>IF(Agent08_Loans!B202="","",Agent08_Loans!F202)</f>
        <v/>
      </c>
      <c r="G1592" s="37" t="str">
        <f>IF(Agent08_Loans!B202="","",Agent08_Loans!G202)</f>
        <v/>
      </c>
      <c r="H1592" s="37" t="str">
        <f>IF(Agent08_Loans!B202="","",Agent08_Loans!H202)</f>
        <v/>
      </c>
      <c r="I1592" s="40" t="str">
        <f>IF(Agent08_Loans!B202="","",Agent08_Loans!I202)</f>
        <v/>
      </c>
      <c r="J1592" s="40" t="str">
        <f>IF(Agent08_Loans!B202="","",Agent08_Loans!J202)</f>
        <v/>
      </c>
      <c r="K1592" s="37" t="str">
        <f>IF(Agent08_Loans!B202="","",Agent08_Loans!K202)</f>
        <v/>
      </c>
      <c r="L1592" s="37" t="str">
        <f>IF(Agent08_Loans!B202="","",Agent08_Loans!L202)</f>
        <v/>
      </c>
      <c r="M1592" s="37" t="str">
        <f>IFERROR(IF(Agent08_Loans!B202="","",YEAR(Agent08_Loans!D202)),"")</f>
        <v/>
      </c>
    </row>
    <row r="1593" spans="1:13" ht="18" customHeight="1" x14ac:dyDescent="0.25">
      <c r="A1593" s="37" t="str">
        <f>IF(Agent08_Loans!B203="","",Agent08_Loans!A203)</f>
        <v/>
      </c>
      <c r="B1593" s="37" t="str">
        <f>IF(Agent08_Loans!B203="","",Agent08_Loans!B203)</f>
        <v/>
      </c>
      <c r="C1593" s="37" t="str">
        <f>IF(Agent08_Loans!B203="","",Agent08_Loans!C203)</f>
        <v/>
      </c>
      <c r="D1593" s="38" t="str">
        <f>IF(Agent08_Loans!B203="","",Agent08_Loans!D203)</f>
        <v/>
      </c>
      <c r="E1593" s="40" t="str">
        <f>IF(Agent08_Loans!B203="","",Agent08_Loans!E203)</f>
        <v/>
      </c>
      <c r="F1593" s="37" t="str">
        <f>IF(Agent08_Loans!B203="","",Agent08_Loans!F203)</f>
        <v/>
      </c>
      <c r="G1593" s="37" t="str">
        <f>IF(Agent08_Loans!B203="","",Agent08_Loans!G203)</f>
        <v/>
      </c>
      <c r="H1593" s="37" t="str">
        <f>IF(Agent08_Loans!B203="","",Agent08_Loans!H203)</f>
        <v/>
      </c>
      <c r="I1593" s="40" t="str">
        <f>IF(Agent08_Loans!B203="","",Agent08_Loans!I203)</f>
        <v/>
      </c>
      <c r="J1593" s="40" t="str">
        <f>IF(Agent08_Loans!B203="","",Agent08_Loans!J203)</f>
        <v/>
      </c>
      <c r="K1593" s="37" t="str">
        <f>IF(Agent08_Loans!B203="","",Agent08_Loans!K203)</f>
        <v/>
      </c>
      <c r="L1593" s="37" t="str">
        <f>IF(Agent08_Loans!B203="","",Agent08_Loans!L203)</f>
        <v/>
      </c>
      <c r="M1593" s="37" t="str">
        <f>IFERROR(IF(Agent08_Loans!B203="","",YEAR(Agent08_Loans!D203)),"")</f>
        <v/>
      </c>
    </row>
    <row r="1594" spans="1:13" ht="18" customHeight="1" x14ac:dyDescent="0.25">
      <c r="A1594" s="37" t="str">
        <f>IF(Agent08_Loans!B204="","",Agent08_Loans!A204)</f>
        <v/>
      </c>
      <c r="B1594" s="37" t="str">
        <f>IF(Agent08_Loans!B204="","",Agent08_Loans!B204)</f>
        <v/>
      </c>
      <c r="C1594" s="37" t="str">
        <f>IF(Agent08_Loans!B204="","",Agent08_Loans!C204)</f>
        <v/>
      </c>
      <c r="D1594" s="38" t="str">
        <f>IF(Agent08_Loans!B204="","",Agent08_Loans!D204)</f>
        <v/>
      </c>
      <c r="E1594" s="40" t="str">
        <f>IF(Agent08_Loans!B204="","",Agent08_Loans!E204)</f>
        <v/>
      </c>
      <c r="F1594" s="37" t="str">
        <f>IF(Agent08_Loans!B204="","",Agent08_Loans!F204)</f>
        <v/>
      </c>
      <c r="G1594" s="37" t="str">
        <f>IF(Agent08_Loans!B204="","",Agent08_Loans!G204)</f>
        <v/>
      </c>
      <c r="H1594" s="37" t="str">
        <f>IF(Agent08_Loans!B204="","",Agent08_Loans!H204)</f>
        <v/>
      </c>
      <c r="I1594" s="40" t="str">
        <f>IF(Agent08_Loans!B204="","",Agent08_Loans!I204)</f>
        <v/>
      </c>
      <c r="J1594" s="40" t="str">
        <f>IF(Agent08_Loans!B204="","",Agent08_Loans!J204)</f>
        <v/>
      </c>
      <c r="K1594" s="37" t="str">
        <f>IF(Agent08_Loans!B204="","",Agent08_Loans!K204)</f>
        <v/>
      </c>
      <c r="L1594" s="37" t="str">
        <f>IF(Agent08_Loans!B204="","",Agent08_Loans!L204)</f>
        <v/>
      </c>
      <c r="M1594" s="37" t="str">
        <f>IFERROR(IF(Agent08_Loans!B204="","",YEAR(Agent08_Loans!D204)),"")</f>
        <v/>
      </c>
    </row>
    <row r="1595" spans="1:13" ht="18" customHeight="1" x14ac:dyDescent="0.25">
      <c r="A1595" s="37" t="str">
        <f>IF(Agent08_Loans!B205="","",Agent08_Loans!A205)</f>
        <v/>
      </c>
      <c r="B1595" s="37" t="str">
        <f>IF(Agent08_Loans!B205="","",Agent08_Loans!B205)</f>
        <v/>
      </c>
      <c r="C1595" s="37" t="str">
        <f>IF(Agent08_Loans!B205="","",Agent08_Loans!C205)</f>
        <v/>
      </c>
      <c r="D1595" s="38" t="str">
        <f>IF(Agent08_Loans!B205="","",Agent08_Loans!D205)</f>
        <v/>
      </c>
      <c r="E1595" s="40" t="str">
        <f>IF(Agent08_Loans!B205="","",Agent08_Loans!E205)</f>
        <v/>
      </c>
      <c r="F1595" s="37" t="str">
        <f>IF(Agent08_Loans!B205="","",Agent08_Loans!F205)</f>
        <v/>
      </c>
      <c r="G1595" s="37" t="str">
        <f>IF(Agent08_Loans!B205="","",Agent08_Loans!G205)</f>
        <v/>
      </c>
      <c r="H1595" s="37" t="str">
        <f>IF(Agent08_Loans!B205="","",Agent08_Loans!H205)</f>
        <v/>
      </c>
      <c r="I1595" s="40" t="str">
        <f>IF(Agent08_Loans!B205="","",Agent08_Loans!I205)</f>
        <v/>
      </c>
      <c r="J1595" s="40" t="str">
        <f>IF(Agent08_Loans!B205="","",Agent08_Loans!J205)</f>
        <v/>
      </c>
      <c r="K1595" s="37" t="str">
        <f>IF(Agent08_Loans!B205="","",Agent08_Loans!K205)</f>
        <v/>
      </c>
      <c r="L1595" s="37" t="str">
        <f>IF(Agent08_Loans!B205="","",Agent08_Loans!L205)</f>
        <v/>
      </c>
      <c r="M1595" s="37" t="str">
        <f>IFERROR(IF(Agent08_Loans!B205="","",YEAR(Agent08_Loans!D205)),"")</f>
        <v/>
      </c>
    </row>
    <row r="1596" spans="1:13" ht="18" customHeight="1" x14ac:dyDescent="0.25">
      <c r="A1596" s="37" t="str">
        <f>IF(Agent08_Loans!B206="","",Agent08_Loans!A206)</f>
        <v/>
      </c>
      <c r="B1596" s="37" t="str">
        <f>IF(Agent08_Loans!B206="","",Agent08_Loans!B206)</f>
        <v/>
      </c>
      <c r="C1596" s="37" t="str">
        <f>IF(Agent08_Loans!B206="","",Agent08_Loans!C206)</f>
        <v/>
      </c>
      <c r="D1596" s="38" t="str">
        <f>IF(Agent08_Loans!B206="","",Agent08_Loans!D206)</f>
        <v/>
      </c>
      <c r="E1596" s="40" t="str">
        <f>IF(Agent08_Loans!B206="","",Agent08_Loans!E206)</f>
        <v/>
      </c>
      <c r="F1596" s="37" t="str">
        <f>IF(Agent08_Loans!B206="","",Agent08_Loans!F206)</f>
        <v/>
      </c>
      <c r="G1596" s="37" t="str">
        <f>IF(Agent08_Loans!B206="","",Agent08_Loans!G206)</f>
        <v/>
      </c>
      <c r="H1596" s="37" t="str">
        <f>IF(Agent08_Loans!B206="","",Agent08_Loans!H206)</f>
        <v/>
      </c>
      <c r="I1596" s="40" t="str">
        <f>IF(Agent08_Loans!B206="","",Agent08_Loans!I206)</f>
        <v/>
      </c>
      <c r="J1596" s="40" t="str">
        <f>IF(Agent08_Loans!B206="","",Agent08_Loans!J206)</f>
        <v/>
      </c>
      <c r="K1596" s="37" t="str">
        <f>IF(Agent08_Loans!B206="","",Agent08_Loans!K206)</f>
        <v/>
      </c>
      <c r="L1596" s="37" t="str">
        <f>IF(Agent08_Loans!B206="","",Agent08_Loans!L206)</f>
        <v/>
      </c>
      <c r="M1596" s="37" t="str">
        <f>IFERROR(IF(Agent08_Loans!B206="","",YEAR(Agent08_Loans!D206)),"")</f>
        <v/>
      </c>
    </row>
    <row r="1597" spans="1:13" ht="18" customHeight="1" x14ac:dyDescent="0.25">
      <c r="A1597" s="37" t="str">
        <f>IF(Agent08_Loans!B207="","",Agent08_Loans!A207)</f>
        <v/>
      </c>
      <c r="B1597" s="37" t="str">
        <f>IF(Agent08_Loans!B207="","",Agent08_Loans!B207)</f>
        <v/>
      </c>
      <c r="C1597" s="37" t="str">
        <f>IF(Agent08_Loans!B207="","",Agent08_Loans!C207)</f>
        <v/>
      </c>
      <c r="D1597" s="38" t="str">
        <f>IF(Agent08_Loans!B207="","",Agent08_Loans!D207)</f>
        <v/>
      </c>
      <c r="E1597" s="40" t="str">
        <f>IF(Agent08_Loans!B207="","",Agent08_Loans!E207)</f>
        <v/>
      </c>
      <c r="F1597" s="37" t="str">
        <f>IF(Agent08_Loans!B207="","",Agent08_Loans!F207)</f>
        <v/>
      </c>
      <c r="G1597" s="37" t="str">
        <f>IF(Agent08_Loans!B207="","",Agent08_Loans!G207)</f>
        <v/>
      </c>
      <c r="H1597" s="37" t="str">
        <f>IF(Agent08_Loans!B207="","",Agent08_Loans!H207)</f>
        <v/>
      </c>
      <c r="I1597" s="40" t="str">
        <f>IF(Agent08_Loans!B207="","",Agent08_Loans!I207)</f>
        <v/>
      </c>
      <c r="J1597" s="40" t="str">
        <f>IF(Agent08_Loans!B207="","",Agent08_Loans!J207)</f>
        <v/>
      </c>
      <c r="K1597" s="37" t="str">
        <f>IF(Agent08_Loans!B207="","",Agent08_Loans!K207)</f>
        <v/>
      </c>
      <c r="L1597" s="37" t="str">
        <f>IF(Agent08_Loans!B207="","",Agent08_Loans!L207)</f>
        <v/>
      </c>
      <c r="M1597" s="37" t="str">
        <f>IFERROR(IF(Agent08_Loans!B207="","",YEAR(Agent08_Loans!D207)),"")</f>
        <v/>
      </c>
    </row>
    <row r="1598" spans="1:13" ht="18" customHeight="1" x14ac:dyDescent="0.25">
      <c r="A1598" s="37" t="str">
        <f>IF(Agent08_Loans!B208="","",Agent08_Loans!A208)</f>
        <v/>
      </c>
      <c r="B1598" s="37" t="str">
        <f>IF(Agent08_Loans!B208="","",Agent08_Loans!B208)</f>
        <v/>
      </c>
      <c r="C1598" s="37" t="str">
        <f>IF(Agent08_Loans!B208="","",Agent08_Loans!C208)</f>
        <v/>
      </c>
      <c r="D1598" s="38" t="str">
        <f>IF(Agent08_Loans!B208="","",Agent08_Loans!D208)</f>
        <v/>
      </c>
      <c r="E1598" s="40" t="str">
        <f>IF(Agent08_Loans!B208="","",Agent08_Loans!E208)</f>
        <v/>
      </c>
      <c r="F1598" s="37" t="str">
        <f>IF(Agent08_Loans!B208="","",Agent08_Loans!F208)</f>
        <v/>
      </c>
      <c r="G1598" s="37" t="str">
        <f>IF(Agent08_Loans!B208="","",Agent08_Loans!G208)</f>
        <v/>
      </c>
      <c r="H1598" s="37" t="str">
        <f>IF(Agent08_Loans!B208="","",Agent08_Loans!H208)</f>
        <v/>
      </c>
      <c r="I1598" s="40" t="str">
        <f>IF(Agent08_Loans!B208="","",Agent08_Loans!I208)</f>
        <v/>
      </c>
      <c r="J1598" s="40" t="str">
        <f>IF(Agent08_Loans!B208="","",Agent08_Loans!J208)</f>
        <v/>
      </c>
      <c r="K1598" s="37" t="str">
        <f>IF(Agent08_Loans!B208="","",Agent08_Loans!K208)</f>
        <v/>
      </c>
      <c r="L1598" s="37" t="str">
        <f>IF(Agent08_Loans!B208="","",Agent08_Loans!L208)</f>
        <v/>
      </c>
      <c r="M1598" s="37" t="str">
        <f>IFERROR(IF(Agent08_Loans!B208="","",YEAR(Agent08_Loans!D208)),"")</f>
        <v/>
      </c>
    </row>
    <row r="1599" spans="1:13" ht="18" customHeight="1" x14ac:dyDescent="0.25">
      <c r="A1599" s="37" t="str">
        <f>IF(Agent08_Loans!B209="","",Agent08_Loans!A209)</f>
        <v/>
      </c>
      <c r="B1599" s="37" t="str">
        <f>IF(Agent08_Loans!B209="","",Agent08_Loans!B209)</f>
        <v/>
      </c>
      <c r="C1599" s="37" t="str">
        <f>IF(Agent08_Loans!B209="","",Agent08_Loans!C209)</f>
        <v/>
      </c>
      <c r="D1599" s="38" t="str">
        <f>IF(Agent08_Loans!B209="","",Agent08_Loans!D209)</f>
        <v/>
      </c>
      <c r="E1599" s="40" t="str">
        <f>IF(Agent08_Loans!B209="","",Agent08_Loans!E209)</f>
        <v/>
      </c>
      <c r="F1599" s="37" t="str">
        <f>IF(Agent08_Loans!B209="","",Agent08_Loans!F209)</f>
        <v/>
      </c>
      <c r="G1599" s="37" t="str">
        <f>IF(Agent08_Loans!B209="","",Agent08_Loans!G209)</f>
        <v/>
      </c>
      <c r="H1599" s="37" t="str">
        <f>IF(Agent08_Loans!B209="","",Agent08_Loans!H209)</f>
        <v/>
      </c>
      <c r="I1599" s="40" t="str">
        <f>IF(Agent08_Loans!B209="","",Agent08_Loans!I209)</f>
        <v/>
      </c>
      <c r="J1599" s="40" t="str">
        <f>IF(Agent08_Loans!B209="","",Agent08_Loans!J209)</f>
        <v/>
      </c>
      <c r="K1599" s="37" t="str">
        <f>IF(Agent08_Loans!B209="","",Agent08_Loans!K209)</f>
        <v/>
      </c>
      <c r="L1599" s="37" t="str">
        <f>IF(Agent08_Loans!B209="","",Agent08_Loans!L209)</f>
        <v/>
      </c>
      <c r="M1599" s="37" t="str">
        <f>IFERROR(IF(Agent08_Loans!B209="","",YEAR(Agent08_Loans!D209)),"")</f>
        <v/>
      </c>
    </row>
    <row r="1600" spans="1:13" ht="18" customHeight="1" x14ac:dyDescent="0.25">
      <c r="A1600" s="37" t="str">
        <f>IF(Agent08_Loans!B210="","",Agent08_Loans!A210)</f>
        <v/>
      </c>
      <c r="B1600" s="37" t="str">
        <f>IF(Agent08_Loans!B210="","",Agent08_Loans!B210)</f>
        <v/>
      </c>
      <c r="C1600" s="37" t="str">
        <f>IF(Agent08_Loans!B210="","",Agent08_Loans!C210)</f>
        <v/>
      </c>
      <c r="D1600" s="38" t="str">
        <f>IF(Agent08_Loans!B210="","",Agent08_Loans!D210)</f>
        <v/>
      </c>
      <c r="E1600" s="40" t="str">
        <f>IF(Agent08_Loans!B210="","",Agent08_Loans!E210)</f>
        <v/>
      </c>
      <c r="F1600" s="37" t="str">
        <f>IF(Agent08_Loans!B210="","",Agent08_Loans!F210)</f>
        <v/>
      </c>
      <c r="G1600" s="37" t="str">
        <f>IF(Agent08_Loans!B210="","",Agent08_Loans!G210)</f>
        <v/>
      </c>
      <c r="H1600" s="37" t="str">
        <f>IF(Agent08_Loans!B210="","",Agent08_Loans!H210)</f>
        <v/>
      </c>
      <c r="I1600" s="40" t="str">
        <f>IF(Agent08_Loans!B210="","",Agent08_Loans!I210)</f>
        <v/>
      </c>
      <c r="J1600" s="40" t="str">
        <f>IF(Agent08_Loans!B210="","",Agent08_Loans!J210)</f>
        <v/>
      </c>
      <c r="K1600" s="37" t="str">
        <f>IF(Agent08_Loans!B210="","",Agent08_Loans!K210)</f>
        <v/>
      </c>
      <c r="L1600" s="37" t="str">
        <f>IF(Agent08_Loans!B210="","",Agent08_Loans!L210)</f>
        <v/>
      </c>
      <c r="M1600" s="37" t="str">
        <f>IFERROR(IF(Agent08_Loans!B210="","",YEAR(Agent08_Loans!D210)),"")</f>
        <v/>
      </c>
    </row>
    <row r="1601" spans="1:13" ht="18" customHeight="1" x14ac:dyDescent="0.25">
      <c r="A1601" s="37" t="str">
        <f>IF(Agent08_Loans!B211="","",Agent08_Loans!A211)</f>
        <v/>
      </c>
      <c r="B1601" s="37" t="str">
        <f>IF(Agent08_Loans!B211="","",Agent08_Loans!B211)</f>
        <v/>
      </c>
      <c r="C1601" s="37" t="str">
        <f>IF(Agent08_Loans!B211="","",Agent08_Loans!C211)</f>
        <v/>
      </c>
      <c r="D1601" s="38" t="str">
        <f>IF(Agent08_Loans!B211="","",Agent08_Loans!D211)</f>
        <v/>
      </c>
      <c r="E1601" s="40" t="str">
        <f>IF(Agent08_Loans!B211="","",Agent08_Loans!E211)</f>
        <v/>
      </c>
      <c r="F1601" s="37" t="str">
        <f>IF(Agent08_Loans!B211="","",Agent08_Loans!F211)</f>
        <v/>
      </c>
      <c r="G1601" s="37" t="str">
        <f>IF(Agent08_Loans!B211="","",Agent08_Loans!G211)</f>
        <v/>
      </c>
      <c r="H1601" s="37" t="str">
        <f>IF(Agent08_Loans!B211="","",Agent08_Loans!H211)</f>
        <v/>
      </c>
      <c r="I1601" s="40" t="str">
        <f>IF(Agent08_Loans!B211="","",Agent08_Loans!I211)</f>
        <v/>
      </c>
      <c r="J1601" s="40" t="str">
        <f>IF(Agent08_Loans!B211="","",Agent08_Loans!J211)</f>
        <v/>
      </c>
      <c r="K1601" s="37" t="str">
        <f>IF(Agent08_Loans!B211="","",Agent08_Loans!K211)</f>
        <v/>
      </c>
      <c r="L1601" s="37" t="str">
        <f>IF(Agent08_Loans!B211="","",Agent08_Loans!L211)</f>
        <v/>
      </c>
      <c r="M1601" s="37" t="str">
        <f>IFERROR(IF(Agent08_Loans!B211="","",YEAR(Agent08_Loans!D211)),"")</f>
        <v/>
      </c>
    </row>
    <row r="1602" spans="1:13" ht="18" customHeight="1" x14ac:dyDescent="0.25">
      <c r="A1602" s="37" t="str">
        <f>IF(Agent08_Loans!B212="","",Agent08_Loans!A212)</f>
        <v/>
      </c>
      <c r="B1602" s="37" t="str">
        <f>IF(Agent08_Loans!B212="","",Agent08_Loans!B212)</f>
        <v/>
      </c>
      <c r="C1602" s="37" t="str">
        <f>IF(Agent08_Loans!B212="","",Agent08_Loans!C212)</f>
        <v/>
      </c>
      <c r="D1602" s="38" t="str">
        <f>IF(Agent08_Loans!B212="","",Agent08_Loans!D212)</f>
        <v/>
      </c>
      <c r="E1602" s="40" t="str">
        <f>IF(Agent08_Loans!B212="","",Agent08_Loans!E212)</f>
        <v/>
      </c>
      <c r="F1602" s="37" t="str">
        <f>IF(Agent08_Loans!B212="","",Agent08_Loans!F212)</f>
        <v/>
      </c>
      <c r="G1602" s="37" t="str">
        <f>IF(Agent08_Loans!B212="","",Agent08_Loans!G212)</f>
        <v/>
      </c>
      <c r="H1602" s="37" t="str">
        <f>IF(Agent08_Loans!B212="","",Agent08_Loans!H212)</f>
        <v/>
      </c>
      <c r="I1602" s="40" t="str">
        <f>IF(Agent08_Loans!B212="","",Agent08_Loans!I212)</f>
        <v/>
      </c>
      <c r="J1602" s="40" t="str">
        <f>IF(Agent08_Loans!B212="","",Agent08_Loans!J212)</f>
        <v/>
      </c>
      <c r="K1602" s="37" t="str">
        <f>IF(Agent08_Loans!B212="","",Agent08_Loans!K212)</f>
        <v/>
      </c>
      <c r="L1602" s="37" t="str">
        <f>IF(Agent08_Loans!B212="","",Agent08_Loans!L212)</f>
        <v/>
      </c>
      <c r="M1602" s="37" t="str">
        <f>IFERROR(IF(Agent08_Loans!B212="","",YEAR(Agent08_Loans!D212)),"")</f>
        <v/>
      </c>
    </row>
    <row r="1603" spans="1:13" ht="18" customHeight="1" x14ac:dyDescent="0.25">
      <c r="A1603" s="37" t="str">
        <f>IF(Agent08_Loans!B213="","",Agent08_Loans!A213)</f>
        <v/>
      </c>
      <c r="B1603" s="37" t="str">
        <f>IF(Agent08_Loans!B213="","",Agent08_Loans!B213)</f>
        <v/>
      </c>
      <c r="C1603" s="37" t="str">
        <f>IF(Agent08_Loans!B213="","",Agent08_Loans!C213)</f>
        <v/>
      </c>
      <c r="D1603" s="38" t="str">
        <f>IF(Agent08_Loans!B213="","",Agent08_Loans!D213)</f>
        <v/>
      </c>
      <c r="E1603" s="40" t="str">
        <f>IF(Agent08_Loans!B213="","",Agent08_Loans!E213)</f>
        <v/>
      </c>
      <c r="F1603" s="37" t="str">
        <f>IF(Agent08_Loans!B213="","",Agent08_Loans!F213)</f>
        <v/>
      </c>
      <c r="G1603" s="37" t="str">
        <f>IF(Agent08_Loans!B213="","",Agent08_Loans!G213)</f>
        <v/>
      </c>
      <c r="H1603" s="37" t="str">
        <f>IF(Agent08_Loans!B213="","",Agent08_Loans!H213)</f>
        <v/>
      </c>
      <c r="I1603" s="40" t="str">
        <f>IF(Agent08_Loans!B213="","",Agent08_Loans!I213)</f>
        <v/>
      </c>
      <c r="J1603" s="40" t="str">
        <f>IF(Agent08_Loans!B213="","",Agent08_Loans!J213)</f>
        <v/>
      </c>
      <c r="K1603" s="37" t="str">
        <f>IF(Agent08_Loans!B213="","",Agent08_Loans!K213)</f>
        <v/>
      </c>
      <c r="L1603" s="37" t="str">
        <f>IF(Agent08_Loans!B213="","",Agent08_Loans!L213)</f>
        <v/>
      </c>
      <c r="M1603" s="37" t="str">
        <f>IFERROR(IF(Agent08_Loans!B213="","",YEAR(Agent08_Loans!D213)),"")</f>
        <v/>
      </c>
    </row>
    <row r="1604" spans="1:13" ht="18" customHeight="1" x14ac:dyDescent="0.25">
      <c r="A1604" s="37" t="str">
        <f>IF(Agent09_Loans!B14="","",Agent09_Loans!A14)</f>
        <v/>
      </c>
      <c r="B1604" s="37" t="str">
        <f>IF(Agent09_Loans!B14="","",Agent09_Loans!B14)</f>
        <v/>
      </c>
      <c r="C1604" s="37" t="str">
        <f>IF(Agent09_Loans!B14="","",Agent09_Loans!C14)</f>
        <v/>
      </c>
      <c r="D1604" s="38" t="str">
        <f>IF(Agent09_Loans!B14="","",Agent09_Loans!D14)</f>
        <v/>
      </c>
      <c r="E1604" s="40" t="str">
        <f>IF(Agent09_Loans!B14="","",Agent09_Loans!E14)</f>
        <v/>
      </c>
      <c r="F1604" s="37" t="str">
        <f>IF(Agent09_Loans!B14="","",Agent09_Loans!F14)</f>
        <v/>
      </c>
      <c r="G1604" s="37" t="str">
        <f>IF(Agent09_Loans!B14="","",Agent09_Loans!G14)</f>
        <v/>
      </c>
      <c r="H1604" s="37" t="str">
        <f>IF(Agent09_Loans!B14="","",Agent09_Loans!H14)</f>
        <v/>
      </c>
      <c r="I1604" s="40" t="str">
        <f>IF(Agent09_Loans!B14="","",Agent09_Loans!I14)</f>
        <v/>
      </c>
      <c r="J1604" s="40" t="str">
        <f>IF(Agent09_Loans!B14="","",Agent09_Loans!J14)</f>
        <v/>
      </c>
      <c r="K1604" s="37" t="str">
        <f>IF(Agent09_Loans!B14="","",Agent09_Loans!K14)</f>
        <v/>
      </c>
      <c r="L1604" s="37" t="str">
        <f>IF(Agent09_Loans!B14="","",Agent09_Loans!L14)</f>
        <v/>
      </c>
      <c r="M1604" s="37" t="str">
        <f>IFERROR(IF(Agent09_Loans!B14="","",YEAR(Agent09_Loans!D14)),"")</f>
        <v/>
      </c>
    </row>
    <row r="1605" spans="1:13" ht="18" customHeight="1" x14ac:dyDescent="0.25">
      <c r="A1605" s="37" t="str">
        <f>IF(Agent09_Loans!B15="","",Agent09_Loans!A15)</f>
        <v/>
      </c>
      <c r="B1605" s="37" t="str">
        <f>IF(Agent09_Loans!B15="","",Agent09_Loans!B15)</f>
        <v/>
      </c>
      <c r="C1605" s="37" t="str">
        <f>IF(Agent09_Loans!B15="","",Agent09_Loans!C15)</f>
        <v/>
      </c>
      <c r="D1605" s="38" t="str">
        <f>IF(Agent09_Loans!B15="","",Agent09_Loans!D15)</f>
        <v/>
      </c>
      <c r="E1605" s="40" t="str">
        <f>IF(Agent09_Loans!B15="","",Agent09_Loans!E15)</f>
        <v/>
      </c>
      <c r="F1605" s="37" t="str">
        <f>IF(Agent09_Loans!B15="","",Agent09_Loans!F15)</f>
        <v/>
      </c>
      <c r="G1605" s="37" t="str">
        <f>IF(Agent09_Loans!B15="","",Agent09_Loans!G15)</f>
        <v/>
      </c>
      <c r="H1605" s="37" t="str">
        <f>IF(Agent09_Loans!B15="","",Agent09_Loans!H15)</f>
        <v/>
      </c>
      <c r="I1605" s="40" t="str">
        <f>IF(Agent09_Loans!B15="","",Agent09_Loans!I15)</f>
        <v/>
      </c>
      <c r="J1605" s="40" t="str">
        <f>IF(Agent09_Loans!B15="","",Agent09_Loans!J15)</f>
        <v/>
      </c>
      <c r="K1605" s="37" t="str">
        <f>IF(Agent09_Loans!B15="","",Agent09_Loans!K15)</f>
        <v/>
      </c>
      <c r="L1605" s="37" t="str">
        <f>IF(Agent09_Loans!B15="","",Agent09_Loans!L15)</f>
        <v/>
      </c>
      <c r="M1605" s="37" t="str">
        <f>IFERROR(IF(Agent09_Loans!B15="","",YEAR(Agent09_Loans!D15)),"")</f>
        <v/>
      </c>
    </row>
    <row r="1606" spans="1:13" ht="18" customHeight="1" x14ac:dyDescent="0.25">
      <c r="A1606" s="37" t="str">
        <f>IF(Agent09_Loans!B16="","",Agent09_Loans!A16)</f>
        <v/>
      </c>
      <c r="B1606" s="37" t="str">
        <f>IF(Agent09_Loans!B16="","",Agent09_Loans!B16)</f>
        <v/>
      </c>
      <c r="C1606" s="37" t="str">
        <f>IF(Agent09_Loans!B16="","",Agent09_Loans!C16)</f>
        <v/>
      </c>
      <c r="D1606" s="38" t="str">
        <f>IF(Agent09_Loans!B16="","",Agent09_Loans!D16)</f>
        <v/>
      </c>
      <c r="E1606" s="40" t="str">
        <f>IF(Agent09_Loans!B16="","",Agent09_Loans!E16)</f>
        <v/>
      </c>
      <c r="F1606" s="37" t="str">
        <f>IF(Agent09_Loans!B16="","",Agent09_Loans!F16)</f>
        <v/>
      </c>
      <c r="G1606" s="37" t="str">
        <f>IF(Agent09_Loans!B16="","",Agent09_Loans!G16)</f>
        <v/>
      </c>
      <c r="H1606" s="37" t="str">
        <f>IF(Agent09_Loans!B16="","",Agent09_Loans!H16)</f>
        <v/>
      </c>
      <c r="I1606" s="40" t="str">
        <f>IF(Agent09_Loans!B16="","",Agent09_Loans!I16)</f>
        <v/>
      </c>
      <c r="J1606" s="40" t="str">
        <f>IF(Agent09_Loans!B16="","",Agent09_Loans!J16)</f>
        <v/>
      </c>
      <c r="K1606" s="37" t="str">
        <f>IF(Agent09_Loans!B16="","",Agent09_Loans!K16)</f>
        <v/>
      </c>
      <c r="L1606" s="37" t="str">
        <f>IF(Agent09_Loans!B16="","",Agent09_Loans!L16)</f>
        <v/>
      </c>
      <c r="M1606" s="37" t="str">
        <f>IFERROR(IF(Agent09_Loans!B16="","",YEAR(Agent09_Loans!D16)),"")</f>
        <v/>
      </c>
    </row>
    <row r="1607" spans="1:13" ht="18" customHeight="1" x14ac:dyDescent="0.25">
      <c r="A1607" s="37" t="str">
        <f>IF(Agent09_Loans!B17="","",Agent09_Loans!A17)</f>
        <v/>
      </c>
      <c r="B1607" s="37" t="str">
        <f>IF(Agent09_Loans!B17="","",Agent09_Loans!B17)</f>
        <v/>
      </c>
      <c r="C1607" s="37" t="str">
        <f>IF(Agent09_Loans!B17="","",Agent09_Loans!C17)</f>
        <v/>
      </c>
      <c r="D1607" s="38" t="str">
        <f>IF(Agent09_Loans!B17="","",Agent09_Loans!D17)</f>
        <v/>
      </c>
      <c r="E1607" s="40" t="str">
        <f>IF(Agent09_Loans!B17="","",Agent09_Loans!E17)</f>
        <v/>
      </c>
      <c r="F1607" s="37" t="str">
        <f>IF(Agent09_Loans!B17="","",Agent09_Loans!F17)</f>
        <v/>
      </c>
      <c r="G1607" s="37" t="str">
        <f>IF(Agent09_Loans!B17="","",Agent09_Loans!G17)</f>
        <v/>
      </c>
      <c r="H1607" s="37" t="str">
        <f>IF(Agent09_Loans!B17="","",Agent09_Loans!H17)</f>
        <v/>
      </c>
      <c r="I1607" s="40" t="str">
        <f>IF(Agent09_Loans!B17="","",Agent09_Loans!I17)</f>
        <v/>
      </c>
      <c r="J1607" s="40" t="str">
        <f>IF(Agent09_Loans!B17="","",Agent09_Loans!J17)</f>
        <v/>
      </c>
      <c r="K1607" s="37" t="str">
        <f>IF(Agent09_Loans!B17="","",Agent09_Loans!K17)</f>
        <v/>
      </c>
      <c r="L1607" s="37" t="str">
        <f>IF(Agent09_Loans!B17="","",Agent09_Loans!L17)</f>
        <v/>
      </c>
      <c r="M1607" s="37" t="str">
        <f>IFERROR(IF(Agent09_Loans!B17="","",YEAR(Agent09_Loans!D17)),"")</f>
        <v/>
      </c>
    </row>
    <row r="1608" spans="1:13" ht="18" customHeight="1" x14ac:dyDescent="0.25">
      <c r="A1608" s="37" t="str">
        <f>IF(Agent09_Loans!B18="","",Agent09_Loans!A18)</f>
        <v/>
      </c>
      <c r="B1608" s="37" t="str">
        <f>IF(Agent09_Loans!B18="","",Agent09_Loans!B18)</f>
        <v/>
      </c>
      <c r="C1608" s="37" t="str">
        <f>IF(Agent09_Loans!B18="","",Agent09_Loans!C18)</f>
        <v/>
      </c>
      <c r="D1608" s="38" t="str">
        <f>IF(Agent09_Loans!B18="","",Agent09_Loans!D18)</f>
        <v/>
      </c>
      <c r="E1608" s="40" t="str">
        <f>IF(Agent09_Loans!B18="","",Agent09_Loans!E18)</f>
        <v/>
      </c>
      <c r="F1608" s="37" t="str">
        <f>IF(Agent09_Loans!B18="","",Agent09_Loans!F18)</f>
        <v/>
      </c>
      <c r="G1608" s="37" t="str">
        <f>IF(Agent09_Loans!B18="","",Agent09_Loans!G18)</f>
        <v/>
      </c>
      <c r="H1608" s="37" t="str">
        <f>IF(Agent09_Loans!B18="","",Agent09_Loans!H18)</f>
        <v/>
      </c>
      <c r="I1608" s="40" t="str">
        <f>IF(Agent09_Loans!B18="","",Agent09_Loans!I18)</f>
        <v/>
      </c>
      <c r="J1608" s="40" t="str">
        <f>IF(Agent09_Loans!B18="","",Agent09_Loans!J18)</f>
        <v/>
      </c>
      <c r="K1608" s="37" t="str">
        <f>IF(Agent09_Loans!B18="","",Agent09_Loans!K18)</f>
        <v/>
      </c>
      <c r="L1608" s="37" t="str">
        <f>IF(Agent09_Loans!B18="","",Agent09_Loans!L18)</f>
        <v/>
      </c>
      <c r="M1608" s="37" t="str">
        <f>IFERROR(IF(Agent09_Loans!B18="","",YEAR(Agent09_Loans!D18)),"")</f>
        <v/>
      </c>
    </row>
    <row r="1609" spans="1:13" ht="18" customHeight="1" x14ac:dyDescent="0.25">
      <c r="A1609" s="37" t="str">
        <f>IF(Agent09_Loans!B19="","",Agent09_Loans!A19)</f>
        <v/>
      </c>
      <c r="B1609" s="37" t="str">
        <f>IF(Agent09_Loans!B19="","",Agent09_Loans!B19)</f>
        <v/>
      </c>
      <c r="C1609" s="37" t="str">
        <f>IF(Agent09_Loans!B19="","",Agent09_Loans!C19)</f>
        <v/>
      </c>
      <c r="D1609" s="38" t="str">
        <f>IF(Agent09_Loans!B19="","",Agent09_Loans!D19)</f>
        <v/>
      </c>
      <c r="E1609" s="40" t="str">
        <f>IF(Agent09_Loans!B19="","",Agent09_Loans!E19)</f>
        <v/>
      </c>
      <c r="F1609" s="37" t="str">
        <f>IF(Agent09_Loans!B19="","",Agent09_Loans!F19)</f>
        <v/>
      </c>
      <c r="G1609" s="37" t="str">
        <f>IF(Agent09_Loans!B19="","",Agent09_Loans!G19)</f>
        <v/>
      </c>
      <c r="H1609" s="37" t="str">
        <f>IF(Agent09_Loans!B19="","",Agent09_Loans!H19)</f>
        <v/>
      </c>
      <c r="I1609" s="40" t="str">
        <f>IF(Agent09_Loans!B19="","",Agent09_Loans!I19)</f>
        <v/>
      </c>
      <c r="J1609" s="40" t="str">
        <f>IF(Agent09_Loans!B19="","",Agent09_Loans!J19)</f>
        <v/>
      </c>
      <c r="K1609" s="37" t="str">
        <f>IF(Agent09_Loans!B19="","",Agent09_Loans!K19)</f>
        <v/>
      </c>
      <c r="L1609" s="37" t="str">
        <f>IF(Agent09_Loans!B19="","",Agent09_Loans!L19)</f>
        <v/>
      </c>
      <c r="M1609" s="37" t="str">
        <f>IFERROR(IF(Agent09_Loans!B19="","",YEAR(Agent09_Loans!D19)),"")</f>
        <v/>
      </c>
    </row>
    <row r="1610" spans="1:13" ht="18" customHeight="1" x14ac:dyDescent="0.25">
      <c r="A1610" s="37" t="str">
        <f>IF(Agent09_Loans!B20="","",Agent09_Loans!A20)</f>
        <v/>
      </c>
      <c r="B1610" s="37" t="str">
        <f>IF(Agent09_Loans!B20="","",Agent09_Loans!B20)</f>
        <v/>
      </c>
      <c r="C1610" s="37" t="str">
        <f>IF(Agent09_Loans!B20="","",Agent09_Loans!C20)</f>
        <v/>
      </c>
      <c r="D1610" s="38" t="str">
        <f>IF(Agent09_Loans!B20="","",Agent09_Loans!D20)</f>
        <v/>
      </c>
      <c r="E1610" s="40" t="str">
        <f>IF(Agent09_Loans!B20="","",Agent09_Loans!E20)</f>
        <v/>
      </c>
      <c r="F1610" s="37" t="str">
        <f>IF(Agent09_Loans!B20="","",Agent09_Loans!F20)</f>
        <v/>
      </c>
      <c r="G1610" s="37" t="str">
        <f>IF(Agent09_Loans!B20="","",Agent09_Loans!G20)</f>
        <v/>
      </c>
      <c r="H1610" s="37" t="str">
        <f>IF(Agent09_Loans!B20="","",Agent09_Loans!H20)</f>
        <v/>
      </c>
      <c r="I1610" s="40" t="str">
        <f>IF(Agent09_Loans!B20="","",Agent09_Loans!I20)</f>
        <v/>
      </c>
      <c r="J1610" s="40" t="str">
        <f>IF(Agent09_Loans!B20="","",Agent09_Loans!J20)</f>
        <v/>
      </c>
      <c r="K1610" s="37" t="str">
        <f>IF(Agent09_Loans!B20="","",Agent09_Loans!K20)</f>
        <v/>
      </c>
      <c r="L1610" s="37" t="str">
        <f>IF(Agent09_Loans!B20="","",Agent09_Loans!L20)</f>
        <v/>
      </c>
      <c r="M1610" s="37" t="str">
        <f>IFERROR(IF(Agent09_Loans!B20="","",YEAR(Agent09_Loans!D20)),"")</f>
        <v/>
      </c>
    </row>
    <row r="1611" spans="1:13" ht="18" customHeight="1" x14ac:dyDescent="0.25">
      <c r="A1611" s="37" t="str">
        <f>IF(Agent09_Loans!B21="","",Agent09_Loans!A21)</f>
        <v/>
      </c>
      <c r="B1611" s="37" t="str">
        <f>IF(Agent09_Loans!B21="","",Agent09_Loans!B21)</f>
        <v/>
      </c>
      <c r="C1611" s="37" t="str">
        <f>IF(Agent09_Loans!B21="","",Agent09_Loans!C21)</f>
        <v/>
      </c>
      <c r="D1611" s="38" t="str">
        <f>IF(Agent09_Loans!B21="","",Agent09_Loans!D21)</f>
        <v/>
      </c>
      <c r="E1611" s="40" t="str">
        <f>IF(Agent09_Loans!B21="","",Agent09_Loans!E21)</f>
        <v/>
      </c>
      <c r="F1611" s="37" t="str">
        <f>IF(Agent09_Loans!B21="","",Agent09_Loans!F21)</f>
        <v/>
      </c>
      <c r="G1611" s="37" t="str">
        <f>IF(Agent09_Loans!B21="","",Agent09_Loans!G21)</f>
        <v/>
      </c>
      <c r="H1611" s="37" t="str">
        <f>IF(Agent09_Loans!B21="","",Agent09_Loans!H21)</f>
        <v/>
      </c>
      <c r="I1611" s="40" t="str">
        <f>IF(Agent09_Loans!B21="","",Agent09_Loans!I21)</f>
        <v/>
      </c>
      <c r="J1611" s="40" t="str">
        <f>IF(Agent09_Loans!B21="","",Agent09_Loans!J21)</f>
        <v/>
      </c>
      <c r="K1611" s="37" t="str">
        <f>IF(Agent09_Loans!B21="","",Agent09_Loans!K21)</f>
        <v/>
      </c>
      <c r="L1611" s="37" t="str">
        <f>IF(Agent09_Loans!B21="","",Agent09_Loans!L21)</f>
        <v/>
      </c>
      <c r="M1611" s="37" t="str">
        <f>IFERROR(IF(Agent09_Loans!B21="","",YEAR(Agent09_Loans!D21)),"")</f>
        <v/>
      </c>
    </row>
    <row r="1612" spans="1:13" ht="18" customHeight="1" x14ac:dyDescent="0.25">
      <c r="A1612" s="37" t="str">
        <f>IF(Agent09_Loans!B22="","",Agent09_Loans!A22)</f>
        <v/>
      </c>
      <c r="B1612" s="37" t="str">
        <f>IF(Agent09_Loans!B22="","",Agent09_Loans!B22)</f>
        <v/>
      </c>
      <c r="C1612" s="37" t="str">
        <f>IF(Agent09_Loans!B22="","",Agent09_Loans!C22)</f>
        <v/>
      </c>
      <c r="D1612" s="38" t="str">
        <f>IF(Agent09_Loans!B22="","",Agent09_Loans!D22)</f>
        <v/>
      </c>
      <c r="E1612" s="40" t="str">
        <f>IF(Agent09_Loans!B22="","",Agent09_Loans!E22)</f>
        <v/>
      </c>
      <c r="F1612" s="37" t="str">
        <f>IF(Agent09_Loans!B22="","",Agent09_Loans!F22)</f>
        <v/>
      </c>
      <c r="G1612" s="37" t="str">
        <f>IF(Agent09_Loans!B22="","",Agent09_Loans!G22)</f>
        <v/>
      </c>
      <c r="H1612" s="37" t="str">
        <f>IF(Agent09_Loans!B22="","",Agent09_Loans!H22)</f>
        <v/>
      </c>
      <c r="I1612" s="40" t="str">
        <f>IF(Agent09_Loans!B22="","",Agent09_Loans!I22)</f>
        <v/>
      </c>
      <c r="J1612" s="40" t="str">
        <f>IF(Agent09_Loans!B22="","",Agent09_Loans!J22)</f>
        <v/>
      </c>
      <c r="K1612" s="37" t="str">
        <f>IF(Agent09_Loans!B22="","",Agent09_Loans!K22)</f>
        <v/>
      </c>
      <c r="L1612" s="37" t="str">
        <f>IF(Agent09_Loans!B22="","",Agent09_Loans!L22)</f>
        <v/>
      </c>
      <c r="M1612" s="37" t="str">
        <f>IFERROR(IF(Agent09_Loans!B22="","",YEAR(Agent09_Loans!D22)),"")</f>
        <v/>
      </c>
    </row>
    <row r="1613" spans="1:13" ht="18" customHeight="1" x14ac:dyDescent="0.25">
      <c r="A1613" s="37" t="str">
        <f>IF(Agent09_Loans!B23="","",Agent09_Loans!A23)</f>
        <v/>
      </c>
      <c r="B1613" s="37" t="str">
        <f>IF(Agent09_Loans!B23="","",Agent09_Loans!B23)</f>
        <v/>
      </c>
      <c r="C1613" s="37" t="str">
        <f>IF(Agent09_Loans!B23="","",Agent09_Loans!C23)</f>
        <v/>
      </c>
      <c r="D1613" s="38" t="str">
        <f>IF(Agent09_Loans!B23="","",Agent09_Loans!D23)</f>
        <v/>
      </c>
      <c r="E1613" s="40" t="str">
        <f>IF(Agent09_Loans!B23="","",Agent09_Loans!E23)</f>
        <v/>
      </c>
      <c r="F1613" s="37" t="str">
        <f>IF(Agent09_Loans!B23="","",Agent09_Loans!F23)</f>
        <v/>
      </c>
      <c r="G1613" s="37" t="str">
        <f>IF(Agent09_Loans!B23="","",Agent09_Loans!G23)</f>
        <v/>
      </c>
      <c r="H1613" s="37" t="str">
        <f>IF(Agent09_Loans!B23="","",Agent09_Loans!H23)</f>
        <v/>
      </c>
      <c r="I1613" s="40" t="str">
        <f>IF(Agent09_Loans!B23="","",Agent09_Loans!I23)</f>
        <v/>
      </c>
      <c r="J1613" s="40" t="str">
        <f>IF(Agent09_Loans!B23="","",Agent09_Loans!J23)</f>
        <v/>
      </c>
      <c r="K1613" s="37" t="str">
        <f>IF(Agent09_Loans!B23="","",Agent09_Loans!K23)</f>
        <v/>
      </c>
      <c r="L1613" s="37" t="str">
        <f>IF(Agent09_Loans!B23="","",Agent09_Loans!L23)</f>
        <v/>
      </c>
      <c r="M1613" s="37" t="str">
        <f>IFERROR(IF(Agent09_Loans!B23="","",YEAR(Agent09_Loans!D23)),"")</f>
        <v/>
      </c>
    </row>
    <row r="1614" spans="1:13" ht="18" customHeight="1" x14ac:dyDescent="0.25">
      <c r="A1614" s="37" t="str">
        <f>IF(Agent09_Loans!B24="","",Agent09_Loans!A24)</f>
        <v/>
      </c>
      <c r="B1614" s="37" t="str">
        <f>IF(Agent09_Loans!B24="","",Agent09_Loans!B24)</f>
        <v/>
      </c>
      <c r="C1614" s="37" t="str">
        <f>IF(Agent09_Loans!B24="","",Agent09_Loans!C24)</f>
        <v/>
      </c>
      <c r="D1614" s="38" t="str">
        <f>IF(Agent09_Loans!B24="","",Agent09_Loans!D24)</f>
        <v/>
      </c>
      <c r="E1614" s="40" t="str">
        <f>IF(Agent09_Loans!B24="","",Agent09_Loans!E24)</f>
        <v/>
      </c>
      <c r="F1614" s="37" t="str">
        <f>IF(Agent09_Loans!B24="","",Agent09_Loans!F24)</f>
        <v/>
      </c>
      <c r="G1614" s="37" t="str">
        <f>IF(Agent09_Loans!B24="","",Agent09_Loans!G24)</f>
        <v/>
      </c>
      <c r="H1614" s="37" t="str">
        <f>IF(Agent09_Loans!B24="","",Agent09_Loans!H24)</f>
        <v/>
      </c>
      <c r="I1614" s="40" t="str">
        <f>IF(Agent09_Loans!B24="","",Agent09_Loans!I24)</f>
        <v/>
      </c>
      <c r="J1614" s="40" t="str">
        <f>IF(Agent09_Loans!B24="","",Agent09_Loans!J24)</f>
        <v/>
      </c>
      <c r="K1614" s="37" t="str">
        <f>IF(Agent09_Loans!B24="","",Agent09_Loans!K24)</f>
        <v/>
      </c>
      <c r="L1614" s="37" t="str">
        <f>IF(Agent09_Loans!B24="","",Agent09_Loans!L24)</f>
        <v/>
      </c>
      <c r="M1614" s="37" t="str">
        <f>IFERROR(IF(Agent09_Loans!B24="","",YEAR(Agent09_Loans!D24)),"")</f>
        <v/>
      </c>
    </row>
    <row r="1615" spans="1:13" ht="18" customHeight="1" x14ac:dyDescent="0.25">
      <c r="A1615" s="37" t="str">
        <f>IF(Agent09_Loans!B25="","",Agent09_Loans!A25)</f>
        <v/>
      </c>
      <c r="B1615" s="37" t="str">
        <f>IF(Agent09_Loans!B25="","",Agent09_Loans!B25)</f>
        <v/>
      </c>
      <c r="C1615" s="37" t="str">
        <f>IF(Agent09_Loans!B25="","",Agent09_Loans!C25)</f>
        <v/>
      </c>
      <c r="D1615" s="38" t="str">
        <f>IF(Agent09_Loans!B25="","",Agent09_Loans!D25)</f>
        <v/>
      </c>
      <c r="E1615" s="40" t="str">
        <f>IF(Agent09_Loans!B25="","",Agent09_Loans!E25)</f>
        <v/>
      </c>
      <c r="F1615" s="37" t="str">
        <f>IF(Agent09_Loans!B25="","",Agent09_Loans!F25)</f>
        <v/>
      </c>
      <c r="G1615" s="37" t="str">
        <f>IF(Agent09_Loans!B25="","",Agent09_Loans!G25)</f>
        <v/>
      </c>
      <c r="H1615" s="37" t="str">
        <f>IF(Agent09_Loans!B25="","",Agent09_Loans!H25)</f>
        <v/>
      </c>
      <c r="I1615" s="40" t="str">
        <f>IF(Agent09_Loans!B25="","",Agent09_Loans!I25)</f>
        <v/>
      </c>
      <c r="J1615" s="40" t="str">
        <f>IF(Agent09_Loans!B25="","",Agent09_Loans!J25)</f>
        <v/>
      </c>
      <c r="K1615" s="37" t="str">
        <f>IF(Agent09_Loans!B25="","",Agent09_Loans!K25)</f>
        <v/>
      </c>
      <c r="L1615" s="37" t="str">
        <f>IF(Agent09_Loans!B25="","",Agent09_Loans!L25)</f>
        <v/>
      </c>
      <c r="M1615" s="37" t="str">
        <f>IFERROR(IF(Agent09_Loans!B25="","",YEAR(Agent09_Loans!D25)),"")</f>
        <v/>
      </c>
    </row>
    <row r="1616" spans="1:13" ht="18" customHeight="1" x14ac:dyDescent="0.25">
      <c r="A1616" s="37" t="str">
        <f>IF(Agent09_Loans!B26="","",Agent09_Loans!A26)</f>
        <v/>
      </c>
      <c r="B1616" s="37" t="str">
        <f>IF(Agent09_Loans!B26="","",Agent09_Loans!B26)</f>
        <v/>
      </c>
      <c r="C1616" s="37" t="str">
        <f>IF(Agent09_Loans!B26="","",Agent09_Loans!C26)</f>
        <v/>
      </c>
      <c r="D1616" s="38" t="str">
        <f>IF(Agent09_Loans!B26="","",Agent09_Loans!D26)</f>
        <v/>
      </c>
      <c r="E1616" s="40" t="str">
        <f>IF(Agent09_Loans!B26="","",Agent09_Loans!E26)</f>
        <v/>
      </c>
      <c r="F1616" s="37" t="str">
        <f>IF(Agent09_Loans!B26="","",Agent09_Loans!F26)</f>
        <v/>
      </c>
      <c r="G1616" s="37" t="str">
        <f>IF(Agent09_Loans!B26="","",Agent09_Loans!G26)</f>
        <v/>
      </c>
      <c r="H1616" s="37" t="str">
        <f>IF(Agent09_Loans!B26="","",Agent09_Loans!H26)</f>
        <v/>
      </c>
      <c r="I1616" s="40" t="str">
        <f>IF(Agent09_Loans!B26="","",Agent09_Loans!I26)</f>
        <v/>
      </c>
      <c r="J1616" s="40" t="str">
        <f>IF(Agent09_Loans!B26="","",Agent09_Loans!J26)</f>
        <v/>
      </c>
      <c r="K1616" s="37" t="str">
        <f>IF(Agent09_Loans!B26="","",Agent09_Loans!K26)</f>
        <v/>
      </c>
      <c r="L1616" s="37" t="str">
        <f>IF(Agent09_Loans!B26="","",Agent09_Loans!L26)</f>
        <v/>
      </c>
      <c r="M1616" s="37" t="str">
        <f>IFERROR(IF(Agent09_Loans!B26="","",YEAR(Agent09_Loans!D26)),"")</f>
        <v/>
      </c>
    </row>
    <row r="1617" spans="1:13" ht="18" customHeight="1" x14ac:dyDescent="0.25">
      <c r="A1617" s="37" t="str">
        <f>IF(Agent09_Loans!B27="","",Agent09_Loans!A27)</f>
        <v/>
      </c>
      <c r="B1617" s="37" t="str">
        <f>IF(Agent09_Loans!B27="","",Agent09_Loans!B27)</f>
        <v/>
      </c>
      <c r="C1617" s="37" t="str">
        <f>IF(Agent09_Loans!B27="","",Agent09_Loans!C27)</f>
        <v/>
      </c>
      <c r="D1617" s="38" t="str">
        <f>IF(Agent09_Loans!B27="","",Agent09_Loans!D27)</f>
        <v/>
      </c>
      <c r="E1617" s="40" t="str">
        <f>IF(Agent09_Loans!B27="","",Agent09_Loans!E27)</f>
        <v/>
      </c>
      <c r="F1617" s="37" t="str">
        <f>IF(Agent09_Loans!B27="","",Agent09_Loans!F27)</f>
        <v/>
      </c>
      <c r="G1617" s="37" t="str">
        <f>IF(Agent09_Loans!B27="","",Agent09_Loans!G27)</f>
        <v/>
      </c>
      <c r="H1617" s="37" t="str">
        <f>IF(Agent09_Loans!B27="","",Agent09_Loans!H27)</f>
        <v/>
      </c>
      <c r="I1617" s="40" t="str">
        <f>IF(Agent09_Loans!B27="","",Agent09_Loans!I27)</f>
        <v/>
      </c>
      <c r="J1617" s="40" t="str">
        <f>IF(Agent09_Loans!B27="","",Agent09_Loans!J27)</f>
        <v/>
      </c>
      <c r="K1617" s="37" t="str">
        <f>IF(Agent09_Loans!B27="","",Agent09_Loans!K27)</f>
        <v/>
      </c>
      <c r="L1617" s="37" t="str">
        <f>IF(Agent09_Loans!B27="","",Agent09_Loans!L27)</f>
        <v/>
      </c>
      <c r="M1617" s="37" t="str">
        <f>IFERROR(IF(Agent09_Loans!B27="","",YEAR(Agent09_Loans!D27)),"")</f>
        <v/>
      </c>
    </row>
    <row r="1618" spans="1:13" ht="18" customHeight="1" x14ac:dyDescent="0.25">
      <c r="A1618" s="37" t="str">
        <f>IF(Agent09_Loans!B28="","",Agent09_Loans!A28)</f>
        <v/>
      </c>
      <c r="B1618" s="37" t="str">
        <f>IF(Agent09_Loans!B28="","",Agent09_Loans!B28)</f>
        <v/>
      </c>
      <c r="C1618" s="37" t="str">
        <f>IF(Agent09_Loans!B28="","",Agent09_Loans!C28)</f>
        <v/>
      </c>
      <c r="D1618" s="38" t="str">
        <f>IF(Agent09_Loans!B28="","",Agent09_Loans!D28)</f>
        <v/>
      </c>
      <c r="E1618" s="40" t="str">
        <f>IF(Agent09_Loans!B28="","",Agent09_Loans!E28)</f>
        <v/>
      </c>
      <c r="F1618" s="37" t="str">
        <f>IF(Agent09_Loans!B28="","",Agent09_Loans!F28)</f>
        <v/>
      </c>
      <c r="G1618" s="37" t="str">
        <f>IF(Agent09_Loans!B28="","",Agent09_Loans!G28)</f>
        <v/>
      </c>
      <c r="H1618" s="37" t="str">
        <f>IF(Agent09_Loans!B28="","",Agent09_Loans!H28)</f>
        <v/>
      </c>
      <c r="I1618" s="40" t="str">
        <f>IF(Agent09_Loans!B28="","",Agent09_Loans!I28)</f>
        <v/>
      </c>
      <c r="J1618" s="40" t="str">
        <f>IF(Agent09_Loans!B28="","",Agent09_Loans!J28)</f>
        <v/>
      </c>
      <c r="K1618" s="37" t="str">
        <f>IF(Agent09_Loans!B28="","",Agent09_Loans!K28)</f>
        <v/>
      </c>
      <c r="L1618" s="37" t="str">
        <f>IF(Agent09_Loans!B28="","",Agent09_Loans!L28)</f>
        <v/>
      </c>
      <c r="M1618" s="37" t="str">
        <f>IFERROR(IF(Agent09_Loans!B28="","",YEAR(Agent09_Loans!D28)),"")</f>
        <v/>
      </c>
    </row>
    <row r="1619" spans="1:13" ht="18" customHeight="1" x14ac:dyDescent="0.25">
      <c r="A1619" s="37" t="str">
        <f>IF(Agent09_Loans!B29="","",Agent09_Loans!A29)</f>
        <v/>
      </c>
      <c r="B1619" s="37" t="str">
        <f>IF(Agent09_Loans!B29="","",Agent09_Loans!B29)</f>
        <v/>
      </c>
      <c r="C1619" s="37" t="str">
        <f>IF(Agent09_Loans!B29="","",Agent09_Loans!C29)</f>
        <v/>
      </c>
      <c r="D1619" s="38" t="str">
        <f>IF(Agent09_Loans!B29="","",Agent09_Loans!D29)</f>
        <v/>
      </c>
      <c r="E1619" s="40" t="str">
        <f>IF(Agent09_Loans!B29="","",Agent09_Loans!E29)</f>
        <v/>
      </c>
      <c r="F1619" s="37" t="str">
        <f>IF(Agent09_Loans!B29="","",Agent09_Loans!F29)</f>
        <v/>
      </c>
      <c r="G1619" s="37" t="str">
        <f>IF(Agent09_Loans!B29="","",Agent09_Loans!G29)</f>
        <v/>
      </c>
      <c r="H1619" s="37" t="str">
        <f>IF(Agent09_Loans!B29="","",Agent09_Loans!H29)</f>
        <v/>
      </c>
      <c r="I1619" s="40" t="str">
        <f>IF(Agent09_Loans!B29="","",Agent09_Loans!I29)</f>
        <v/>
      </c>
      <c r="J1619" s="40" t="str">
        <f>IF(Agent09_Loans!B29="","",Agent09_Loans!J29)</f>
        <v/>
      </c>
      <c r="K1619" s="37" t="str">
        <f>IF(Agent09_Loans!B29="","",Agent09_Loans!K29)</f>
        <v/>
      </c>
      <c r="L1619" s="37" t="str">
        <f>IF(Agent09_Loans!B29="","",Agent09_Loans!L29)</f>
        <v/>
      </c>
      <c r="M1619" s="37" t="str">
        <f>IFERROR(IF(Agent09_Loans!B29="","",YEAR(Agent09_Loans!D29)),"")</f>
        <v/>
      </c>
    </row>
    <row r="1620" spans="1:13" ht="18" customHeight="1" x14ac:dyDescent="0.25">
      <c r="A1620" s="37" t="str">
        <f>IF(Agent09_Loans!B30="","",Agent09_Loans!A30)</f>
        <v/>
      </c>
      <c r="B1620" s="37" t="str">
        <f>IF(Agent09_Loans!B30="","",Agent09_Loans!B30)</f>
        <v/>
      </c>
      <c r="C1620" s="37" t="str">
        <f>IF(Agent09_Loans!B30="","",Agent09_Loans!C30)</f>
        <v/>
      </c>
      <c r="D1620" s="38" t="str">
        <f>IF(Agent09_Loans!B30="","",Agent09_Loans!D30)</f>
        <v/>
      </c>
      <c r="E1620" s="40" t="str">
        <f>IF(Agent09_Loans!B30="","",Agent09_Loans!E30)</f>
        <v/>
      </c>
      <c r="F1620" s="37" t="str">
        <f>IF(Agent09_Loans!B30="","",Agent09_Loans!F30)</f>
        <v/>
      </c>
      <c r="G1620" s="37" t="str">
        <f>IF(Agent09_Loans!B30="","",Agent09_Loans!G30)</f>
        <v/>
      </c>
      <c r="H1620" s="37" t="str">
        <f>IF(Agent09_Loans!B30="","",Agent09_Loans!H30)</f>
        <v/>
      </c>
      <c r="I1620" s="40" t="str">
        <f>IF(Agent09_Loans!B30="","",Agent09_Loans!I30)</f>
        <v/>
      </c>
      <c r="J1620" s="40" t="str">
        <f>IF(Agent09_Loans!B30="","",Agent09_Loans!J30)</f>
        <v/>
      </c>
      <c r="K1620" s="37" t="str">
        <f>IF(Agent09_Loans!B30="","",Agent09_Loans!K30)</f>
        <v/>
      </c>
      <c r="L1620" s="37" t="str">
        <f>IF(Agent09_Loans!B30="","",Agent09_Loans!L30)</f>
        <v/>
      </c>
      <c r="M1620" s="37" t="str">
        <f>IFERROR(IF(Agent09_Loans!B30="","",YEAR(Agent09_Loans!D30)),"")</f>
        <v/>
      </c>
    </row>
    <row r="1621" spans="1:13" ht="18" customHeight="1" x14ac:dyDescent="0.25">
      <c r="A1621" s="37" t="str">
        <f>IF(Agent09_Loans!B31="","",Agent09_Loans!A31)</f>
        <v/>
      </c>
      <c r="B1621" s="37" t="str">
        <f>IF(Agent09_Loans!B31="","",Agent09_Loans!B31)</f>
        <v/>
      </c>
      <c r="C1621" s="37" t="str">
        <f>IF(Agent09_Loans!B31="","",Agent09_Loans!C31)</f>
        <v/>
      </c>
      <c r="D1621" s="38" t="str">
        <f>IF(Agent09_Loans!B31="","",Agent09_Loans!D31)</f>
        <v/>
      </c>
      <c r="E1621" s="40" t="str">
        <f>IF(Agent09_Loans!B31="","",Agent09_Loans!E31)</f>
        <v/>
      </c>
      <c r="F1621" s="37" t="str">
        <f>IF(Agent09_Loans!B31="","",Agent09_Loans!F31)</f>
        <v/>
      </c>
      <c r="G1621" s="37" t="str">
        <f>IF(Agent09_Loans!B31="","",Agent09_Loans!G31)</f>
        <v/>
      </c>
      <c r="H1621" s="37" t="str">
        <f>IF(Agent09_Loans!B31="","",Agent09_Loans!H31)</f>
        <v/>
      </c>
      <c r="I1621" s="40" t="str">
        <f>IF(Agent09_Loans!B31="","",Agent09_Loans!I31)</f>
        <v/>
      </c>
      <c r="J1621" s="40" t="str">
        <f>IF(Agent09_Loans!B31="","",Agent09_Loans!J31)</f>
        <v/>
      </c>
      <c r="K1621" s="37" t="str">
        <f>IF(Agent09_Loans!B31="","",Agent09_Loans!K31)</f>
        <v/>
      </c>
      <c r="L1621" s="37" t="str">
        <f>IF(Agent09_Loans!B31="","",Agent09_Loans!L31)</f>
        <v/>
      </c>
      <c r="M1621" s="37" t="str">
        <f>IFERROR(IF(Agent09_Loans!B31="","",YEAR(Agent09_Loans!D31)),"")</f>
        <v/>
      </c>
    </row>
    <row r="1622" spans="1:13" ht="18" customHeight="1" x14ac:dyDescent="0.25">
      <c r="A1622" s="37" t="str">
        <f>IF(Agent09_Loans!B32="","",Agent09_Loans!A32)</f>
        <v/>
      </c>
      <c r="B1622" s="37" t="str">
        <f>IF(Agent09_Loans!B32="","",Agent09_Loans!B32)</f>
        <v/>
      </c>
      <c r="C1622" s="37" t="str">
        <f>IF(Agent09_Loans!B32="","",Agent09_Loans!C32)</f>
        <v/>
      </c>
      <c r="D1622" s="38" t="str">
        <f>IF(Agent09_Loans!B32="","",Agent09_Loans!D32)</f>
        <v/>
      </c>
      <c r="E1622" s="40" t="str">
        <f>IF(Agent09_Loans!B32="","",Agent09_Loans!E32)</f>
        <v/>
      </c>
      <c r="F1622" s="37" t="str">
        <f>IF(Agent09_Loans!B32="","",Agent09_Loans!F32)</f>
        <v/>
      </c>
      <c r="G1622" s="37" t="str">
        <f>IF(Agent09_Loans!B32="","",Agent09_Loans!G32)</f>
        <v/>
      </c>
      <c r="H1622" s="37" t="str">
        <f>IF(Agent09_Loans!B32="","",Agent09_Loans!H32)</f>
        <v/>
      </c>
      <c r="I1622" s="40" t="str">
        <f>IF(Agent09_Loans!B32="","",Agent09_Loans!I32)</f>
        <v/>
      </c>
      <c r="J1622" s="40" t="str">
        <f>IF(Agent09_Loans!B32="","",Agent09_Loans!J32)</f>
        <v/>
      </c>
      <c r="K1622" s="37" t="str">
        <f>IF(Agent09_Loans!B32="","",Agent09_Loans!K32)</f>
        <v/>
      </c>
      <c r="L1622" s="37" t="str">
        <f>IF(Agent09_Loans!B32="","",Agent09_Loans!L32)</f>
        <v/>
      </c>
      <c r="M1622" s="37" t="str">
        <f>IFERROR(IF(Agent09_Loans!B32="","",YEAR(Agent09_Loans!D32)),"")</f>
        <v/>
      </c>
    </row>
    <row r="1623" spans="1:13" ht="18" customHeight="1" x14ac:dyDescent="0.25">
      <c r="A1623" s="37" t="str">
        <f>IF(Agent09_Loans!B33="","",Agent09_Loans!A33)</f>
        <v/>
      </c>
      <c r="B1623" s="37" t="str">
        <f>IF(Agent09_Loans!B33="","",Agent09_Loans!B33)</f>
        <v/>
      </c>
      <c r="C1623" s="37" t="str">
        <f>IF(Agent09_Loans!B33="","",Agent09_Loans!C33)</f>
        <v/>
      </c>
      <c r="D1623" s="38" t="str">
        <f>IF(Agent09_Loans!B33="","",Agent09_Loans!D33)</f>
        <v/>
      </c>
      <c r="E1623" s="40" t="str">
        <f>IF(Agent09_Loans!B33="","",Agent09_Loans!E33)</f>
        <v/>
      </c>
      <c r="F1623" s="37" t="str">
        <f>IF(Agent09_Loans!B33="","",Agent09_Loans!F33)</f>
        <v/>
      </c>
      <c r="G1623" s="37" t="str">
        <f>IF(Agent09_Loans!B33="","",Agent09_Loans!G33)</f>
        <v/>
      </c>
      <c r="H1623" s="37" t="str">
        <f>IF(Agent09_Loans!B33="","",Agent09_Loans!H33)</f>
        <v/>
      </c>
      <c r="I1623" s="40" t="str">
        <f>IF(Agent09_Loans!B33="","",Agent09_Loans!I33)</f>
        <v/>
      </c>
      <c r="J1623" s="40" t="str">
        <f>IF(Agent09_Loans!B33="","",Agent09_Loans!J33)</f>
        <v/>
      </c>
      <c r="K1623" s="37" t="str">
        <f>IF(Agent09_Loans!B33="","",Agent09_Loans!K33)</f>
        <v/>
      </c>
      <c r="L1623" s="37" t="str">
        <f>IF(Agent09_Loans!B33="","",Agent09_Loans!L33)</f>
        <v/>
      </c>
      <c r="M1623" s="37" t="str">
        <f>IFERROR(IF(Agent09_Loans!B33="","",YEAR(Agent09_Loans!D33)),"")</f>
        <v/>
      </c>
    </row>
    <row r="1624" spans="1:13" ht="18" customHeight="1" x14ac:dyDescent="0.25">
      <c r="A1624" s="37" t="str">
        <f>IF(Agent09_Loans!B34="","",Agent09_Loans!A34)</f>
        <v/>
      </c>
      <c r="B1624" s="37" t="str">
        <f>IF(Agent09_Loans!B34="","",Agent09_Loans!B34)</f>
        <v/>
      </c>
      <c r="C1624" s="37" t="str">
        <f>IF(Agent09_Loans!B34="","",Agent09_Loans!C34)</f>
        <v/>
      </c>
      <c r="D1624" s="38" t="str">
        <f>IF(Agent09_Loans!B34="","",Agent09_Loans!D34)</f>
        <v/>
      </c>
      <c r="E1624" s="40" t="str">
        <f>IF(Agent09_Loans!B34="","",Agent09_Loans!E34)</f>
        <v/>
      </c>
      <c r="F1624" s="37" t="str">
        <f>IF(Agent09_Loans!B34="","",Agent09_Loans!F34)</f>
        <v/>
      </c>
      <c r="G1624" s="37" t="str">
        <f>IF(Agent09_Loans!B34="","",Agent09_Loans!G34)</f>
        <v/>
      </c>
      <c r="H1624" s="37" t="str">
        <f>IF(Agent09_Loans!B34="","",Agent09_Loans!H34)</f>
        <v/>
      </c>
      <c r="I1624" s="40" t="str">
        <f>IF(Agent09_Loans!B34="","",Agent09_Loans!I34)</f>
        <v/>
      </c>
      <c r="J1624" s="40" t="str">
        <f>IF(Agent09_Loans!B34="","",Agent09_Loans!J34)</f>
        <v/>
      </c>
      <c r="K1624" s="37" t="str">
        <f>IF(Agent09_Loans!B34="","",Agent09_Loans!K34)</f>
        <v/>
      </c>
      <c r="L1624" s="37" t="str">
        <f>IF(Agent09_Loans!B34="","",Agent09_Loans!L34)</f>
        <v/>
      </c>
      <c r="M1624" s="37" t="str">
        <f>IFERROR(IF(Agent09_Loans!B34="","",YEAR(Agent09_Loans!D34)),"")</f>
        <v/>
      </c>
    </row>
    <row r="1625" spans="1:13" ht="18" customHeight="1" x14ac:dyDescent="0.25">
      <c r="A1625" s="37" t="str">
        <f>IF(Agent09_Loans!B35="","",Agent09_Loans!A35)</f>
        <v/>
      </c>
      <c r="B1625" s="37" t="str">
        <f>IF(Agent09_Loans!B35="","",Agent09_Loans!B35)</f>
        <v/>
      </c>
      <c r="C1625" s="37" t="str">
        <f>IF(Agent09_Loans!B35="","",Agent09_Loans!C35)</f>
        <v/>
      </c>
      <c r="D1625" s="38" t="str">
        <f>IF(Agent09_Loans!B35="","",Agent09_Loans!D35)</f>
        <v/>
      </c>
      <c r="E1625" s="40" t="str">
        <f>IF(Agent09_Loans!B35="","",Agent09_Loans!E35)</f>
        <v/>
      </c>
      <c r="F1625" s="37" t="str">
        <f>IF(Agent09_Loans!B35="","",Agent09_Loans!F35)</f>
        <v/>
      </c>
      <c r="G1625" s="37" t="str">
        <f>IF(Agent09_Loans!B35="","",Agent09_Loans!G35)</f>
        <v/>
      </c>
      <c r="H1625" s="37" t="str">
        <f>IF(Agent09_Loans!B35="","",Agent09_Loans!H35)</f>
        <v/>
      </c>
      <c r="I1625" s="40" t="str">
        <f>IF(Agent09_Loans!B35="","",Agent09_Loans!I35)</f>
        <v/>
      </c>
      <c r="J1625" s="40" t="str">
        <f>IF(Agent09_Loans!B35="","",Agent09_Loans!J35)</f>
        <v/>
      </c>
      <c r="K1625" s="37" t="str">
        <f>IF(Agent09_Loans!B35="","",Agent09_Loans!K35)</f>
        <v/>
      </c>
      <c r="L1625" s="37" t="str">
        <f>IF(Agent09_Loans!B35="","",Agent09_Loans!L35)</f>
        <v/>
      </c>
      <c r="M1625" s="37" t="str">
        <f>IFERROR(IF(Agent09_Loans!B35="","",YEAR(Agent09_Loans!D35)),"")</f>
        <v/>
      </c>
    </row>
    <row r="1626" spans="1:13" ht="18" customHeight="1" x14ac:dyDescent="0.25">
      <c r="A1626" s="37" t="str">
        <f>IF(Agent09_Loans!B36="","",Agent09_Loans!A36)</f>
        <v/>
      </c>
      <c r="B1626" s="37" t="str">
        <f>IF(Agent09_Loans!B36="","",Agent09_Loans!B36)</f>
        <v/>
      </c>
      <c r="C1626" s="37" t="str">
        <f>IF(Agent09_Loans!B36="","",Agent09_Loans!C36)</f>
        <v/>
      </c>
      <c r="D1626" s="38" t="str">
        <f>IF(Agent09_Loans!B36="","",Agent09_Loans!D36)</f>
        <v/>
      </c>
      <c r="E1626" s="40" t="str">
        <f>IF(Agent09_Loans!B36="","",Agent09_Loans!E36)</f>
        <v/>
      </c>
      <c r="F1626" s="37" t="str">
        <f>IF(Agent09_Loans!B36="","",Agent09_Loans!F36)</f>
        <v/>
      </c>
      <c r="G1626" s="37" t="str">
        <f>IF(Agent09_Loans!B36="","",Agent09_Loans!G36)</f>
        <v/>
      </c>
      <c r="H1626" s="37" t="str">
        <f>IF(Agent09_Loans!B36="","",Agent09_Loans!H36)</f>
        <v/>
      </c>
      <c r="I1626" s="40" t="str">
        <f>IF(Agent09_Loans!B36="","",Agent09_Loans!I36)</f>
        <v/>
      </c>
      <c r="J1626" s="40" t="str">
        <f>IF(Agent09_Loans!B36="","",Agent09_Loans!J36)</f>
        <v/>
      </c>
      <c r="K1626" s="37" t="str">
        <f>IF(Agent09_Loans!B36="","",Agent09_Loans!K36)</f>
        <v/>
      </c>
      <c r="L1626" s="37" t="str">
        <f>IF(Agent09_Loans!B36="","",Agent09_Loans!L36)</f>
        <v/>
      </c>
      <c r="M1626" s="37" t="str">
        <f>IFERROR(IF(Agent09_Loans!B36="","",YEAR(Agent09_Loans!D36)),"")</f>
        <v/>
      </c>
    </row>
    <row r="1627" spans="1:13" ht="18" customHeight="1" x14ac:dyDescent="0.25">
      <c r="A1627" s="37" t="str">
        <f>IF(Agent09_Loans!B37="","",Agent09_Loans!A37)</f>
        <v/>
      </c>
      <c r="B1627" s="37" t="str">
        <f>IF(Agent09_Loans!B37="","",Agent09_Loans!B37)</f>
        <v/>
      </c>
      <c r="C1627" s="37" t="str">
        <f>IF(Agent09_Loans!B37="","",Agent09_Loans!C37)</f>
        <v/>
      </c>
      <c r="D1627" s="38" t="str">
        <f>IF(Agent09_Loans!B37="","",Agent09_Loans!D37)</f>
        <v/>
      </c>
      <c r="E1627" s="40" t="str">
        <f>IF(Agent09_Loans!B37="","",Agent09_Loans!E37)</f>
        <v/>
      </c>
      <c r="F1627" s="37" t="str">
        <f>IF(Agent09_Loans!B37="","",Agent09_Loans!F37)</f>
        <v/>
      </c>
      <c r="G1627" s="37" t="str">
        <f>IF(Agent09_Loans!B37="","",Agent09_Loans!G37)</f>
        <v/>
      </c>
      <c r="H1627" s="37" t="str">
        <f>IF(Agent09_Loans!B37="","",Agent09_Loans!H37)</f>
        <v/>
      </c>
      <c r="I1627" s="40" t="str">
        <f>IF(Agent09_Loans!B37="","",Agent09_Loans!I37)</f>
        <v/>
      </c>
      <c r="J1627" s="40" t="str">
        <f>IF(Agent09_Loans!B37="","",Agent09_Loans!J37)</f>
        <v/>
      </c>
      <c r="K1627" s="37" t="str">
        <f>IF(Agent09_Loans!B37="","",Agent09_Loans!K37)</f>
        <v/>
      </c>
      <c r="L1627" s="37" t="str">
        <f>IF(Agent09_Loans!B37="","",Agent09_Loans!L37)</f>
        <v/>
      </c>
      <c r="M1627" s="37" t="str">
        <f>IFERROR(IF(Agent09_Loans!B37="","",YEAR(Agent09_Loans!D37)),"")</f>
        <v/>
      </c>
    </row>
    <row r="1628" spans="1:13" ht="18" customHeight="1" x14ac:dyDescent="0.25">
      <c r="A1628" s="37" t="str">
        <f>IF(Agent09_Loans!B38="","",Agent09_Loans!A38)</f>
        <v/>
      </c>
      <c r="B1628" s="37" t="str">
        <f>IF(Agent09_Loans!B38="","",Agent09_Loans!B38)</f>
        <v/>
      </c>
      <c r="C1628" s="37" t="str">
        <f>IF(Agent09_Loans!B38="","",Agent09_Loans!C38)</f>
        <v/>
      </c>
      <c r="D1628" s="38" t="str">
        <f>IF(Agent09_Loans!B38="","",Agent09_Loans!D38)</f>
        <v/>
      </c>
      <c r="E1628" s="40" t="str">
        <f>IF(Agent09_Loans!B38="","",Agent09_Loans!E38)</f>
        <v/>
      </c>
      <c r="F1628" s="37" t="str">
        <f>IF(Agent09_Loans!B38="","",Agent09_Loans!F38)</f>
        <v/>
      </c>
      <c r="G1628" s="37" t="str">
        <f>IF(Agent09_Loans!B38="","",Agent09_Loans!G38)</f>
        <v/>
      </c>
      <c r="H1628" s="37" t="str">
        <f>IF(Agent09_Loans!B38="","",Agent09_Loans!H38)</f>
        <v/>
      </c>
      <c r="I1628" s="40" t="str">
        <f>IF(Agent09_Loans!B38="","",Agent09_Loans!I38)</f>
        <v/>
      </c>
      <c r="J1628" s="40" t="str">
        <f>IF(Agent09_Loans!B38="","",Agent09_Loans!J38)</f>
        <v/>
      </c>
      <c r="K1628" s="37" t="str">
        <f>IF(Agent09_Loans!B38="","",Agent09_Loans!K38)</f>
        <v/>
      </c>
      <c r="L1628" s="37" t="str">
        <f>IF(Agent09_Loans!B38="","",Agent09_Loans!L38)</f>
        <v/>
      </c>
      <c r="M1628" s="37" t="str">
        <f>IFERROR(IF(Agent09_Loans!B38="","",YEAR(Agent09_Loans!D38)),"")</f>
        <v/>
      </c>
    </row>
    <row r="1629" spans="1:13" ht="18" customHeight="1" x14ac:dyDescent="0.25">
      <c r="A1629" s="37" t="str">
        <f>IF(Agent09_Loans!B39="","",Agent09_Loans!A39)</f>
        <v/>
      </c>
      <c r="B1629" s="37" t="str">
        <f>IF(Agent09_Loans!B39="","",Agent09_Loans!B39)</f>
        <v/>
      </c>
      <c r="C1629" s="37" t="str">
        <f>IF(Agent09_Loans!B39="","",Agent09_Loans!C39)</f>
        <v/>
      </c>
      <c r="D1629" s="38" t="str">
        <f>IF(Agent09_Loans!B39="","",Agent09_Loans!D39)</f>
        <v/>
      </c>
      <c r="E1629" s="40" t="str">
        <f>IF(Agent09_Loans!B39="","",Agent09_Loans!E39)</f>
        <v/>
      </c>
      <c r="F1629" s="37" t="str">
        <f>IF(Agent09_Loans!B39="","",Agent09_Loans!F39)</f>
        <v/>
      </c>
      <c r="G1629" s="37" t="str">
        <f>IF(Agent09_Loans!B39="","",Agent09_Loans!G39)</f>
        <v/>
      </c>
      <c r="H1629" s="37" t="str">
        <f>IF(Agent09_Loans!B39="","",Agent09_Loans!H39)</f>
        <v/>
      </c>
      <c r="I1629" s="40" t="str">
        <f>IF(Agent09_Loans!B39="","",Agent09_Loans!I39)</f>
        <v/>
      </c>
      <c r="J1629" s="40" t="str">
        <f>IF(Agent09_Loans!B39="","",Agent09_Loans!J39)</f>
        <v/>
      </c>
      <c r="K1629" s="37" t="str">
        <f>IF(Agent09_Loans!B39="","",Agent09_Loans!K39)</f>
        <v/>
      </c>
      <c r="L1629" s="37" t="str">
        <f>IF(Agent09_Loans!B39="","",Agent09_Loans!L39)</f>
        <v/>
      </c>
      <c r="M1629" s="37" t="str">
        <f>IFERROR(IF(Agent09_Loans!B39="","",YEAR(Agent09_Loans!D39)),"")</f>
        <v/>
      </c>
    </row>
    <row r="1630" spans="1:13" ht="18" customHeight="1" x14ac:dyDescent="0.25">
      <c r="A1630" s="37" t="str">
        <f>IF(Agent09_Loans!B40="","",Agent09_Loans!A40)</f>
        <v/>
      </c>
      <c r="B1630" s="37" t="str">
        <f>IF(Agent09_Loans!B40="","",Agent09_Loans!B40)</f>
        <v/>
      </c>
      <c r="C1630" s="37" t="str">
        <f>IF(Agent09_Loans!B40="","",Agent09_Loans!C40)</f>
        <v/>
      </c>
      <c r="D1630" s="38" t="str">
        <f>IF(Agent09_Loans!B40="","",Agent09_Loans!D40)</f>
        <v/>
      </c>
      <c r="E1630" s="40" t="str">
        <f>IF(Agent09_Loans!B40="","",Agent09_Loans!E40)</f>
        <v/>
      </c>
      <c r="F1630" s="37" t="str">
        <f>IF(Agent09_Loans!B40="","",Agent09_Loans!F40)</f>
        <v/>
      </c>
      <c r="G1630" s="37" t="str">
        <f>IF(Agent09_Loans!B40="","",Agent09_Loans!G40)</f>
        <v/>
      </c>
      <c r="H1630" s="37" t="str">
        <f>IF(Agent09_Loans!B40="","",Agent09_Loans!H40)</f>
        <v/>
      </c>
      <c r="I1630" s="40" t="str">
        <f>IF(Agent09_Loans!B40="","",Agent09_Loans!I40)</f>
        <v/>
      </c>
      <c r="J1630" s="40" t="str">
        <f>IF(Agent09_Loans!B40="","",Agent09_Loans!J40)</f>
        <v/>
      </c>
      <c r="K1630" s="37" t="str">
        <f>IF(Agent09_Loans!B40="","",Agent09_Loans!K40)</f>
        <v/>
      </c>
      <c r="L1630" s="37" t="str">
        <f>IF(Agent09_Loans!B40="","",Agent09_Loans!L40)</f>
        <v/>
      </c>
      <c r="M1630" s="37" t="str">
        <f>IFERROR(IF(Agent09_Loans!B40="","",YEAR(Agent09_Loans!D40)),"")</f>
        <v/>
      </c>
    </row>
    <row r="1631" spans="1:13" ht="18" customHeight="1" x14ac:dyDescent="0.25">
      <c r="A1631" s="37" t="str">
        <f>IF(Agent09_Loans!B41="","",Agent09_Loans!A41)</f>
        <v/>
      </c>
      <c r="B1631" s="37" t="str">
        <f>IF(Agent09_Loans!B41="","",Agent09_Loans!B41)</f>
        <v/>
      </c>
      <c r="C1631" s="37" t="str">
        <f>IF(Agent09_Loans!B41="","",Agent09_Loans!C41)</f>
        <v/>
      </c>
      <c r="D1631" s="38" t="str">
        <f>IF(Agent09_Loans!B41="","",Agent09_Loans!D41)</f>
        <v/>
      </c>
      <c r="E1631" s="40" t="str">
        <f>IF(Agent09_Loans!B41="","",Agent09_Loans!E41)</f>
        <v/>
      </c>
      <c r="F1631" s="37" t="str">
        <f>IF(Agent09_Loans!B41="","",Agent09_Loans!F41)</f>
        <v/>
      </c>
      <c r="G1631" s="37" t="str">
        <f>IF(Agent09_Loans!B41="","",Agent09_Loans!G41)</f>
        <v/>
      </c>
      <c r="H1631" s="37" t="str">
        <f>IF(Agent09_Loans!B41="","",Agent09_Loans!H41)</f>
        <v/>
      </c>
      <c r="I1631" s="40" t="str">
        <f>IF(Agent09_Loans!B41="","",Agent09_Loans!I41)</f>
        <v/>
      </c>
      <c r="J1631" s="40" t="str">
        <f>IF(Agent09_Loans!B41="","",Agent09_Loans!J41)</f>
        <v/>
      </c>
      <c r="K1631" s="37" t="str">
        <f>IF(Agent09_Loans!B41="","",Agent09_Loans!K41)</f>
        <v/>
      </c>
      <c r="L1631" s="37" t="str">
        <f>IF(Agent09_Loans!B41="","",Agent09_Loans!L41)</f>
        <v/>
      </c>
      <c r="M1631" s="37" t="str">
        <f>IFERROR(IF(Agent09_Loans!B41="","",YEAR(Agent09_Loans!D41)),"")</f>
        <v/>
      </c>
    </row>
    <row r="1632" spans="1:13" ht="18" customHeight="1" x14ac:dyDescent="0.25">
      <c r="A1632" s="37" t="str">
        <f>IF(Agent09_Loans!B42="","",Agent09_Loans!A42)</f>
        <v/>
      </c>
      <c r="B1632" s="37" t="str">
        <f>IF(Agent09_Loans!B42="","",Agent09_Loans!B42)</f>
        <v/>
      </c>
      <c r="C1632" s="37" t="str">
        <f>IF(Agent09_Loans!B42="","",Agent09_Loans!C42)</f>
        <v/>
      </c>
      <c r="D1632" s="38" t="str">
        <f>IF(Agent09_Loans!B42="","",Agent09_Loans!D42)</f>
        <v/>
      </c>
      <c r="E1632" s="40" t="str">
        <f>IF(Agent09_Loans!B42="","",Agent09_Loans!E42)</f>
        <v/>
      </c>
      <c r="F1632" s="37" t="str">
        <f>IF(Agent09_Loans!B42="","",Agent09_Loans!F42)</f>
        <v/>
      </c>
      <c r="G1632" s="37" t="str">
        <f>IF(Agent09_Loans!B42="","",Agent09_Loans!G42)</f>
        <v/>
      </c>
      <c r="H1632" s="37" t="str">
        <f>IF(Agent09_Loans!B42="","",Agent09_Loans!H42)</f>
        <v/>
      </c>
      <c r="I1632" s="40" t="str">
        <f>IF(Agent09_Loans!B42="","",Agent09_Loans!I42)</f>
        <v/>
      </c>
      <c r="J1632" s="40" t="str">
        <f>IF(Agent09_Loans!B42="","",Agent09_Loans!J42)</f>
        <v/>
      </c>
      <c r="K1632" s="37" t="str">
        <f>IF(Agent09_Loans!B42="","",Agent09_Loans!K42)</f>
        <v/>
      </c>
      <c r="L1632" s="37" t="str">
        <f>IF(Agent09_Loans!B42="","",Agent09_Loans!L42)</f>
        <v/>
      </c>
      <c r="M1632" s="37" t="str">
        <f>IFERROR(IF(Agent09_Loans!B42="","",YEAR(Agent09_Loans!D42)),"")</f>
        <v/>
      </c>
    </row>
    <row r="1633" spans="1:13" ht="18" customHeight="1" x14ac:dyDescent="0.25">
      <c r="A1633" s="37" t="str">
        <f>IF(Agent09_Loans!B43="","",Agent09_Loans!A43)</f>
        <v/>
      </c>
      <c r="B1633" s="37" t="str">
        <f>IF(Agent09_Loans!B43="","",Agent09_Loans!B43)</f>
        <v/>
      </c>
      <c r="C1633" s="37" t="str">
        <f>IF(Agent09_Loans!B43="","",Agent09_Loans!C43)</f>
        <v/>
      </c>
      <c r="D1633" s="38" t="str">
        <f>IF(Agent09_Loans!B43="","",Agent09_Loans!D43)</f>
        <v/>
      </c>
      <c r="E1633" s="40" t="str">
        <f>IF(Agent09_Loans!B43="","",Agent09_Loans!E43)</f>
        <v/>
      </c>
      <c r="F1633" s="37" t="str">
        <f>IF(Agent09_Loans!B43="","",Agent09_Loans!F43)</f>
        <v/>
      </c>
      <c r="G1633" s="37" t="str">
        <f>IF(Agent09_Loans!B43="","",Agent09_Loans!G43)</f>
        <v/>
      </c>
      <c r="H1633" s="37" t="str">
        <f>IF(Agent09_Loans!B43="","",Agent09_Loans!H43)</f>
        <v/>
      </c>
      <c r="I1633" s="40" t="str">
        <f>IF(Agent09_Loans!B43="","",Agent09_Loans!I43)</f>
        <v/>
      </c>
      <c r="J1633" s="40" t="str">
        <f>IF(Agent09_Loans!B43="","",Agent09_Loans!J43)</f>
        <v/>
      </c>
      <c r="K1633" s="37" t="str">
        <f>IF(Agent09_Loans!B43="","",Agent09_Loans!K43)</f>
        <v/>
      </c>
      <c r="L1633" s="37" t="str">
        <f>IF(Agent09_Loans!B43="","",Agent09_Loans!L43)</f>
        <v/>
      </c>
      <c r="M1633" s="37" t="str">
        <f>IFERROR(IF(Agent09_Loans!B43="","",YEAR(Agent09_Loans!D43)),"")</f>
        <v/>
      </c>
    </row>
    <row r="1634" spans="1:13" ht="18" customHeight="1" x14ac:dyDescent="0.25">
      <c r="A1634" s="37" t="str">
        <f>IF(Agent09_Loans!B44="","",Agent09_Loans!A44)</f>
        <v/>
      </c>
      <c r="B1634" s="37" t="str">
        <f>IF(Agent09_Loans!B44="","",Agent09_Loans!B44)</f>
        <v/>
      </c>
      <c r="C1634" s="37" t="str">
        <f>IF(Agent09_Loans!B44="","",Agent09_Loans!C44)</f>
        <v/>
      </c>
      <c r="D1634" s="38" t="str">
        <f>IF(Agent09_Loans!B44="","",Agent09_Loans!D44)</f>
        <v/>
      </c>
      <c r="E1634" s="40" t="str">
        <f>IF(Agent09_Loans!B44="","",Agent09_Loans!E44)</f>
        <v/>
      </c>
      <c r="F1634" s="37" t="str">
        <f>IF(Agent09_Loans!B44="","",Agent09_Loans!F44)</f>
        <v/>
      </c>
      <c r="G1634" s="37" t="str">
        <f>IF(Agent09_Loans!B44="","",Agent09_Loans!G44)</f>
        <v/>
      </c>
      <c r="H1634" s="37" t="str">
        <f>IF(Agent09_Loans!B44="","",Agent09_Loans!H44)</f>
        <v/>
      </c>
      <c r="I1634" s="40" t="str">
        <f>IF(Agent09_Loans!B44="","",Agent09_Loans!I44)</f>
        <v/>
      </c>
      <c r="J1634" s="40" t="str">
        <f>IF(Agent09_Loans!B44="","",Agent09_Loans!J44)</f>
        <v/>
      </c>
      <c r="K1634" s="37" t="str">
        <f>IF(Agent09_Loans!B44="","",Agent09_Loans!K44)</f>
        <v/>
      </c>
      <c r="L1634" s="37" t="str">
        <f>IF(Agent09_Loans!B44="","",Agent09_Loans!L44)</f>
        <v/>
      </c>
      <c r="M1634" s="37" t="str">
        <f>IFERROR(IF(Agent09_Loans!B44="","",YEAR(Agent09_Loans!D44)),"")</f>
        <v/>
      </c>
    </row>
    <row r="1635" spans="1:13" ht="18" customHeight="1" x14ac:dyDescent="0.25">
      <c r="A1635" s="37" t="str">
        <f>IF(Agent09_Loans!B45="","",Agent09_Loans!A45)</f>
        <v/>
      </c>
      <c r="B1635" s="37" t="str">
        <f>IF(Agent09_Loans!B45="","",Agent09_Loans!B45)</f>
        <v/>
      </c>
      <c r="C1635" s="37" t="str">
        <f>IF(Agent09_Loans!B45="","",Agent09_Loans!C45)</f>
        <v/>
      </c>
      <c r="D1635" s="38" t="str">
        <f>IF(Agent09_Loans!B45="","",Agent09_Loans!D45)</f>
        <v/>
      </c>
      <c r="E1635" s="40" t="str">
        <f>IF(Agent09_Loans!B45="","",Agent09_Loans!E45)</f>
        <v/>
      </c>
      <c r="F1635" s="37" t="str">
        <f>IF(Agent09_Loans!B45="","",Agent09_Loans!F45)</f>
        <v/>
      </c>
      <c r="G1635" s="37" t="str">
        <f>IF(Agent09_Loans!B45="","",Agent09_Loans!G45)</f>
        <v/>
      </c>
      <c r="H1635" s="37" t="str">
        <f>IF(Agent09_Loans!B45="","",Agent09_Loans!H45)</f>
        <v/>
      </c>
      <c r="I1635" s="40" t="str">
        <f>IF(Agent09_Loans!B45="","",Agent09_Loans!I45)</f>
        <v/>
      </c>
      <c r="J1635" s="40" t="str">
        <f>IF(Agent09_Loans!B45="","",Agent09_Loans!J45)</f>
        <v/>
      </c>
      <c r="K1635" s="37" t="str">
        <f>IF(Agent09_Loans!B45="","",Agent09_Loans!K45)</f>
        <v/>
      </c>
      <c r="L1635" s="37" t="str">
        <f>IF(Agent09_Loans!B45="","",Agent09_Loans!L45)</f>
        <v/>
      </c>
      <c r="M1635" s="37" t="str">
        <f>IFERROR(IF(Agent09_Loans!B45="","",YEAR(Agent09_Loans!D45)),"")</f>
        <v/>
      </c>
    </row>
    <row r="1636" spans="1:13" ht="18" customHeight="1" x14ac:dyDescent="0.25">
      <c r="A1636" s="37" t="str">
        <f>IF(Agent09_Loans!B46="","",Agent09_Loans!A46)</f>
        <v/>
      </c>
      <c r="B1636" s="37" t="str">
        <f>IF(Agent09_Loans!B46="","",Agent09_Loans!B46)</f>
        <v/>
      </c>
      <c r="C1636" s="37" t="str">
        <f>IF(Agent09_Loans!B46="","",Agent09_Loans!C46)</f>
        <v/>
      </c>
      <c r="D1636" s="38" t="str">
        <f>IF(Agent09_Loans!B46="","",Agent09_Loans!D46)</f>
        <v/>
      </c>
      <c r="E1636" s="40" t="str">
        <f>IF(Agent09_Loans!B46="","",Agent09_Loans!E46)</f>
        <v/>
      </c>
      <c r="F1636" s="37" t="str">
        <f>IF(Agent09_Loans!B46="","",Agent09_Loans!F46)</f>
        <v/>
      </c>
      <c r="G1636" s="37" t="str">
        <f>IF(Agent09_Loans!B46="","",Agent09_Loans!G46)</f>
        <v/>
      </c>
      <c r="H1636" s="37" t="str">
        <f>IF(Agent09_Loans!B46="","",Agent09_Loans!H46)</f>
        <v/>
      </c>
      <c r="I1636" s="40" t="str">
        <f>IF(Agent09_Loans!B46="","",Agent09_Loans!I46)</f>
        <v/>
      </c>
      <c r="J1636" s="40" t="str">
        <f>IF(Agent09_Loans!B46="","",Agent09_Loans!J46)</f>
        <v/>
      </c>
      <c r="K1636" s="37" t="str">
        <f>IF(Agent09_Loans!B46="","",Agent09_Loans!K46)</f>
        <v/>
      </c>
      <c r="L1636" s="37" t="str">
        <f>IF(Agent09_Loans!B46="","",Agent09_Loans!L46)</f>
        <v/>
      </c>
      <c r="M1636" s="37" t="str">
        <f>IFERROR(IF(Agent09_Loans!B46="","",YEAR(Agent09_Loans!D46)),"")</f>
        <v/>
      </c>
    </row>
    <row r="1637" spans="1:13" ht="18" customHeight="1" x14ac:dyDescent="0.25">
      <c r="A1637" s="37" t="str">
        <f>IF(Agent09_Loans!B47="","",Agent09_Loans!A47)</f>
        <v/>
      </c>
      <c r="B1637" s="37" t="str">
        <f>IF(Agent09_Loans!B47="","",Agent09_Loans!B47)</f>
        <v/>
      </c>
      <c r="C1637" s="37" t="str">
        <f>IF(Agent09_Loans!B47="","",Agent09_Loans!C47)</f>
        <v/>
      </c>
      <c r="D1637" s="38" t="str">
        <f>IF(Agent09_Loans!B47="","",Agent09_Loans!D47)</f>
        <v/>
      </c>
      <c r="E1637" s="40" t="str">
        <f>IF(Agent09_Loans!B47="","",Agent09_Loans!E47)</f>
        <v/>
      </c>
      <c r="F1637" s="37" t="str">
        <f>IF(Agent09_Loans!B47="","",Agent09_Loans!F47)</f>
        <v/>
      </c>
      <c r="G1637" s="37" t="str">
        <f>IF(Agent09_Loans!B47="","",Agent09_Loans!G47)</f>
        <v/>
      </c>
      <c r="H1637" s="37" t="str">
        <f>IF(Agent09_Loans!B47="","",Agent09_Loans!H47)</f>
        <v/>
      </c>
      <c r="I1637" s="40" t="str">
        <f>IF(Agent09_Loans!B47="","",Agent09_Loans!I47)</f>
        <v/>
      </c>
      <c r="J1637" s="40" t="str">
        <f>IF(Agent09_Loans!B47="","",Agent09_Loans!J47)</f>
        <v/>
      </c>
      <c r="K1637" s="37" t="str">
        <f>IF(Agent09_Loans!B47="","",Agent09_Loans!K47)</f>
        <v/>
      </c>
      <c r="L1637" s="37" t="str">
        <f>IF(Agent09_Loans!B47="","",Agent09_Loans!L47)</f>
        <v/>
      </c>
      <c r="M1637" s="37" t="str">
        <f>IFERROR(IF(Agent09_Loans!B47="","",YEAR(Agent09_Loans!D47)),"")</f>
        <v/>
      </c>
    </row>
    <row r="1638" spans="1:13" ht="18" customHeight="1" x14ac:dyDescent="0.25">
      <c r="A1638" s="37" t="str">
        <f>IF(Agent09_Loans!B48="","",Agent09_Loans!A48)</f>
        <v/>
      </c>
      <c r="B1638" s="37" t="str">
        <f>IF(Agent09_Loans!B48="","",Agent09_Loans!B48)</f>
        <v/>
      </c>
      <c r="C1638" s="37" t="str">
        <f>IF(Agent09_Loans!B48="","",Agent09_Loans!C48)</f>
        <v/>
      </c>
      <c r="D1638" s="38" t="str">
        <f>IF(Agent09_Loans!B48="","",Agent09_Loans!D48)</f>
        <v/>
      </c>
      <c r="E1638" s="40" t="str">
        <f>IF(Agent09_Loans!B48="","",Agent09_Loans!E48)</f>
        <v/>
      </c>
      <c r="F1638" s="37" t="str">
        <f>IF(Agent09_Loans!B48="","",Agent09_Loans!F48)</f>
        <v/>
      </c>
      <c r="G1638" s="37" t="str">
        <f>IF(Agent09_Loans!B48="","",Agent09_Loans!G48)</f>
        <v/>
      </c>
      <c r="H1638" s="37" t="str">
        <f>IF(Agent09_Loans!B48="","",Agent09_Loans!H48)</f>
        <v/>
      </c>
      <c r="I1638" s="40" t="str">
        <f>IF(Agent09_Loans!B48="","",Agent09_Loans!I48)</f>
        <v/>
      </c>
      <c r="J1638" s="40" t="str">
        <f>IF(Agent09_Loans!B48="","",Agent09_Loans!J48)</f>
        <v/>
      </c>
      <c r="K1638" s="37" t="str">
        <f>IF(Agent09_Loans!B48="","",Agent09_Loans!K48)</f>
        <v/>
      </c>
      <c r="L1638" s="37" t="str">
        <f>IF(Agent09_Loans!B48="","",Agent09_Loans!L48)</f>
        <v/>
      </c>
      <c r="M1638" s="37" t="str">
        <f>IFERROR(IF(Agent09_Loans!B48="","",YEAR(Agent09_Loans!D48)),"")</f>
        <v/>
      </c>
    </row>
    <row r="1639" spans="1:13" ht="18" customHeight="1" x14ac:dyDescent="0.25">
      <c r="A1639" s="37" t="str">
        <f>IF(Agent09_Loans!B49="","",Agent09_Loans!A49)</f>
        <v/>
      </c>
      <c r="B1639" s="37" t="str">
        <f>IF(Agent09_Loans!B49="","",Agent09_Loans!B49)</f>
        <v/>
      </c>
      <c r="C1639" s="37" t="str">
        <f>IF(Agent09_Loans!B49="","",Agent09_Loans!C49)</f>
        <v/>
      </c>
      <c r="D1639" s="38" t="str">
        <f>IF(Agent09_Loans!B49="","",Agent09_Loans!D49)</f>
        <v/>
      </c>
      <c r="E1639" s="40" t="str">
        <f>IF(Agent09_Loans!B49="","",Agent09_Loans!E49)</f>
        <v/>
      </c>
      <c r="F1639" s="37" t="str">
        <f>IF(Agent09_Loans!B49="","",Agent09_Loans!F49)</f>
        <v/>
      </c>
      <c r="G1639" s="37" t="str">
        <f>IF(Agent09_Loans!B49="","",Agent09_Loans!G49)</f>
        <v/>
      </c>
      <c r="H1639" s="37" t="str">
        <f>IF(Agent09_Loans!B49="","",Agent09_Loans!H49)</f>
        <v/>
      </c>
      <c r="I1639" s="40" t="str">
        <f>IF(Agent09_Loans!B49="","",Agent09_Loans!I49)</f>
        <v/>
      </c>
      <c r="J1639" s="40" t="str">
        <f>IF(Agent09_Loans!B49="","",Agent09_Loans!J49)</f>
        <v/>
      </c>
      <c r="K1639" s="37" t="str">
        <f>IF(Agent09_Loans!B49="","",Agent09_Loans!K49)</f>
        <v/>
      </c>
      <c r="L1639" s="37" t="str">
        <f>IF(Agent09_Loans!B49="","",Agent09_Loans!L49)</f>
        <v/>
      </c>
      <c r="M1639" s="37" t="str">
        <f>IFERROR(IF(Agent09_Loans!B49="","",YEAR(Agent09_Loans!D49)),"")</f>
        <v/>
      </c>
    </row>
    <row r="1640" spans="1:13" ht="18" customHeight="1" x14ac:dyDescent="0.25">
      <c r="A1640" s="37" t="str">
        <f>IF(Agent09_Loans!B50="","",Agent09_Loans!A50)</f>
        <v/>
      </c>
      <c r="B1640" s="37" t="str">
        <f>IF(Agent09_Loans!B50="","",Agent09_Loans!B50)</f>
        <v/>
      </c>
      <c r="C1640" s="37" t="str">
        <f>IF(Agent09_Loans!B50="","",Agent09_Loans!C50)</f>
        <v/>
      </c>
      <c r="D1640" s="38" t="str">
        <f>IF(Agent09_Loans!B50="","",Agent09_Loans!D50)</f>
        <v/>
      </c>
      <c r="E1640" s="40" t="str">
        <f>IF(Agent09_Loans!B50="","",Agent09_Loans!E50)</f>
        <v/>
      </c>
      <c r="F1640" s="37" t="str">
        <f>IF(Agent09_Loans!B50="","",Agent09_Loans!F50)</f>
        <v/>
      </c>
      <c r="G1640" s="37" t="str">
        <f>IF(Agent09_Loans!B50="","",Agent09_Loans!G50)</f>
        <v/>
      </c>
      <c r="H1640" s="37" t="str">
        <f>IF(Agent09_Loans!B50="","",Agent09_Loans!H50)</f>
        <v/>
      </c>
      <c r="I1640" s="40" t="str">
        <f>IF(Agent09_Loans!B50="","",Agent09_Loans!I50)</f>
        <v/>
      </c>
      <c r="J1640" s="40" t="str">
        <f>IF(Agent09_Loans!B50="","",Agent09_Loans!J50)</f>
        <v/>
      </c>
      <c r="K1640" s="37" t="str">
        <f>IF(Agent09_Loans!B50="","",Agent09_Loans!K50)</f>
        <v/>
      </c>
      <c r="L1640" s="37" t="str">
        <f>IF(Agent09_Loans!B50="","",Agent09_Loans!L50)</f>
        <v/>
      </c>
      <c r="M1640" s="37" t="str">
        <f>IFERROR(IF(Agent09_Loans!B50="","",YEAR(Agent09_Loans!D50)),"")</f>
        <v/>
      </c>
    </row>
    <row r="1641" spans="1:13" ht="18" customHeight="1" x14ac:dyDescent="0.25">
      <c r="A1641" s="37" t="str">
        <f>IF(Agent09_Loans!B51="","",Agent09_Loans!A51)</f>
        <v/>
      </c>
      <c r="B1641" s="37" t="str">
        <f>IF(Agent09_Loans!B51="","",Agent09_Loans!B51)</f>
        <v/>
      </c>
      <c r="C1641" s="37" t="str">
        <f>IF(Agent09_Loans!B51="","",Agent09_Loans!C51)</f>
        <v/>
      </c>
      <c r="D1641" s="38" t="str">
        <f>IF(Agent09_Loans!B51="","",Agent09_Loans!D51)</f>
        <v/>
      </c>
      <c r="E1641" s="40" t="str">
        <f>IF(Agent09_Loans!B51="","",Agent09_Loans!E51)</f>
        <v/>
      </c>
      <c r="F1641" s="37" t="str">
        <f>IF(Agent09_Loans!B51="","",Agent09_Loans!F51)</f>
        <v/>
      </c>
      <c r="G1641" s="37" t="str">
        <f>IF(Agent09_Loans!B51="","",Agent09_Loans!G51)</f>
        <v/>
      </c>
      <c r="H1641" s="37" t="str">
        <f>IF(Agent09_Loans!B51="","",Agent09_Loans!H51)</f>
        <v/>
      </c>
      <c r="I1641" s="40" t="str">
        <f>IF(Agent09_Loans!B51="","",Agent09_Loans!I51)</f>
        <v/>
      </c>
      <c r="J1641" s="40" t="str">
        <f>IF(Agent09_Loans!B51="","",Agent09_Loans!J51)</f>
        <v/>
      </c>
      <c r="K1641" s="37" t="str">
        <f>IF(Agent09_Loans!B51="","",Agent09_Loans!K51)</f>
        <v/>
      </c>
      <c r="L1641" s="37" t="str">
        <f>IF(Agent09_Loans!B51="","",Agent09_Loans!L51)</f>
        <v/>
      </c>
      <c r="M1641" s="37" t="str">
        <f>IFERROR(IF(Agent09_Loans!B51="","",YEAR(Agent09_Loans!D51)),"")</f>
        <v/>
      </c>
    </row>
    <row r="1642" spans="1:13" ht="18" customHeight="1" x14ac:dyDescent="0.25">
      <c r="A1642" s="37" t="str">
        <f>IF(Agent09_Loans!B52="","",Agent09_Loans!A52)</f>
        <v/>
      </c>
      <c r="B1642" s="37" t="str">
        <f>IF(Agent09_Loans!B52="","",Agent09_Loans!B52)</f>
        <v/>
      </c>
      <c r="C1642" s="37" t="str">
        <f>IF(Agent09_Loans!B52="","",Agent09_Loans!C52)</f>
        <v/>
      </c>
      <c r="D1642" s="38" t="str">
        <f>IF(Agent09_Loans!B52="","",Agent09_Loans!D52)</f>
        <v/>
      </c>
      <c r="E1642" s="40" t="str">
        <f>IF(Agent09_Loans!B52="","",Agent09_Loans!E52)</f>
        <v/>
      </c>
      <c r="F1642" s="37" t="str">
        <f>IF(Agent09_Loans!B52="","",Agent09_Loans!F52)</f>
        <v/>
      </c>
      <c r="G1642" s="37" t="str">
        <f>IF(Agent09_Loans!B52="","",Agent09_Loans!G52)</f>
        <v/>
      </c>
      <c r="H1642" s="37" t="str">
        <f>IF(Agent09_Loans!B52="","",Agent09_Loans!H52)</f>
        <v/>
      </c>
      <c r="I1642" s="40" t="str">
        <f>IF(Agent09_Loans!B52="","",Agent09_Loans!I52)</f>
        <v/>
      </c>
      <c r="J1642" s="40" t="str">
        <f>IF(Agent09_Loans!B52="","",Agent09_Loans!J52)</f>
        <v/>
      </c>
      <c r="K1642" s="37" t="str">
        <f>IF(Agent09_Loans!B52="","",Agent09_Loans!K52)</f>
        <v/>
      </c>
      <c r="L1642" s="37" t="str">
        <f>IF(Agent09_Loans!B52="","",Agent09_Loans!L52)</f>
        <v/>
      </c>
      <c r="M1642" s="37" t="str">
        <f>IFERROR(IF(Agent09_Loans!B52="","",YEAR(Agent09_Loans!D52)),"")</f>
        <v/>
      </c>
    </row>
    <row r="1643" spans="1:13" ht="18" customHeight="1" x14ac:dyDescent="0.25">
      <c r="A1643" s="37" t="str">
        <f>IF(Agent09_Loans!B53="","",Agent09_Loans!A53)</f>
        <v/>
      </c>
      <c r="B1643" s="37" t="str">
        <f>IF(Agent09_Loans!B53="","",Agent09_Loans!B53)</f>
        <v/>
      </c>
      <c r="C1643" s="37" t="str">
        <f>IF(Agent09_Loans!B53="","",Agent09_Loans!C53)</f>
        <v/>
      </c>
      <c r="D1643" s="38" t="str">
        <f>IF(Agent09_Loans!B53="","",Agent09_Loans!D53)</f>
        <v/>
      </c>
      <c r="E1643" s="40" t="str">
        <f>IF(Agent09_Loans!B53="","",Agent09_Loans!E53)</f>
        <v/>
      </c>
      <c r="F1643" s="37" t="str">
        <f>IF(Agent09_Loans!B53="","",Agent09_Loans!F53)</f>
        <v/>
      </c>
      <c r="G1643" s="37" t="str">
        <f>IF(Agent09_Loans!B53="","",Agent09_Loans!G53)</f>
        <v/>
      </c>
      <c r="H1643" s="37" t="str">
        <f>IF(Agent09_Loans!B53="","",Agent09_Loans!H53)</f>
        <v/>
      </c>
      <c r="I1643" s="40" t="str">
        <f>IF(Agent09_Loans!B53="","",Agent09_Loans!I53)</f>
        <v/>
      </c>
      <c r="J1643" s="40" t="str">
        <f>IF(Agent09_Loans!B53="","",Agent09_Loans!J53)</f>
        <v/>
      </c>
      <c r="K1643" s="37" t="str">
        <f>IF(Agent09_Loans!B53="","",Agent09_Loans!K53)</f>
        <v/>
      </c>
      <c r="L1643" s="37" t="str">
        <f>IF(Agent09_Loans!B53="","",Agent09_Loans!L53)</f>
        <v/>
      </c>
      <c r="M1643" s="37" t="str">
        <f>IFERROR(IF(Agent09_Loans!B53="","",YEAR(Agent09_Loans!D53)),"")</f>
        <v/>
      </c>
    </row>
    <row r="1644" spans="1:13" ht="18" customHeight="1" x14ac:dyDescent="0.25">
      <c r="A1644" s="37" t="str">
        <f>IF(Agent09_Loans!B54="","",Agent09_Loans!A54)</f>
        <v/>
      </c>
      <c r="B1644" s="37" t="str">
        <f>IF(Agent09_Loans!B54="","",Agent09_Loans!B54)</f>
        <v/>
      </c>
      <c r="C1644" s="37" t="str">
        <f>IF(Agent09_Loans!B54="","",Agent09_Loans!C54)</f>
        <v/>
      </c>
      <c r="D1644" s="38" t="str">
        <f>IF(Agent09_Loans!B54="","",Agent09_Loans!D54)</f>
        <v/>
      </c>
      <c r="E1644" s="40" t="str">
        <f>IF(Agent09_Loans!B54="","",Agent09_Loans!E54)</f>
        <v/>
      </c>
      <c r="F1644" s="37" t="str">
        <f>IF(Agent09_Loans!B54="","",Agent09_Loans!F54)</f>
        <v/>
      </c>
      <c r="G1644" s="37" t="str">
        <f>IF(Agent09_Loans!B54="","",Agent09_Loans!G54)</f>
        <v/>
      </c>
      <c r="H1644" s="37" t="str">
        <f>IF(Agent09_Loans!B54="","",Agent09_Loans!H54)</f>
        <v/>
      </c>
      <c r="I1644" s="40" t="str">
        <f>IF(Agent09_Loans!B54="","",Agent09_Loans!I54)</f>
        <v/>
      </c>
      <c r="J1644" s="40" t="str">
        <f>IF(Agent09_Loans!B54="","",Agent09_Loans!J54)</f>
        <v/>
      </c>
      <c r="K1644" s="37" t="str">
        <f>IF(Agent09_Loans!B54="","",Agent09_Loans!K54)</f>
        <v/>
      </c>
      <c r="L1644" s="37" t="str">
        <f>IF(Agent09_Loans!B54="","",Agent09_Loans!L54)</f>
        <v/>
      </c>
      <c r="M1644" s="37" t="str">
        <f>IFERROR(IF(Agent09_Loans!B54="","",YEAR(Agent09_Loans!D54)),"")</f>
        <v/>
      </c>
    </row>
    <row r="1645" spans="1:13" ht="18" customHeight="1" x14ac:dyDescent="0.25">
      <c r="A1645" s="37" t="str">
        <f>IF(Agent09_Loans!B55="","",Agent09_Loans!A55)</f>
        <v/>
      </c>
      <c r="B1645" s="37" t="str">
        <f>IF(Agent09_Loans!B55="","",Agent09_Loans!B55)</f>
        <v/>
      </c>
      <c r="C1645" s="37" t="str">
        <f>IF(Agent09_Loans!B55="","",Agent09_Loans!C55)</f>
        <v/>
      </c>
      <c r="D1645" s="38" t="str">
        <f>IF(Agent09_Loans!B55="","",Agent09_Loans!D55)</f>
        <v/>
      </c>
      <c r="E1645" s="40" t="str">
        <f>IF(Agent09_Loans!B55="","",Agent09_Loans!E55)</f>
        <v/>
      </c>
      <c r="F1645" s="37" t="str">
        <f>IF(Agent09_Loans!B55="","",Agent09_Loans!F55)</f>
        <v/>
      </c>
      <c r="G1645" s="37" t="str">
        <f>IF(Agent09_Loans!B55="","",Agent09_Loans!G55)</f>
        <v/>
      </c>
      <c r="H1645" s="37" t="str">
        <f>IF(Agent09_Loans!B55="","",Agent09_Loans!H55)</f>
        <v/>
      </c>
      <c r="I1645" s="40" t="str">
        <f>IF(Agent09_Loans!B55="","",Agent09_Loans!I55)</f>
        <v/>
      </c>
      <c r="J1645" s="40" t="str">
        <f>IF(Agent09_Loans!B55="","",Agent09_Loans!J55)</f>
        <v/>
      </c>
      <c r="K1645" s="37" t="str">
        <f>IF(Agent09_Loans!B55="","",Agent09_Loans!K55)</f>
        <v/>
      </c>
      <c r="L1645" s="37" t="str">
        <f>IF(Agent09_Loans!B55="","",Agent09_Loans!L55)</f>
        <v/>
      </c>
      <c r="M1645" s="37" t="str">
        <f>IFERROR(IF(Agent09_Loans!B55="","",YEAR(Agent09_Loans!D55)),"")</f>
        <v/>
      </c>
    </row>
    <row r="1646" spans="1:13" ht="18" customHeight="1" x14ac:dyDescent="0.25">
      <c r="A1646" s="37" t="str">
        <f>IF(Agent09_Loans!B56="","",Agent09_Loans!A56)</f>
        <v/>
      </c>
      <c r="B1646" s="37" t="str">
        <f>IF(Agent09_Loans!B56="","",Agent09_Loans!B56)</f>
        <v/>
      </c>
      <c r="C1646" s="37" t="str">
        <f>IF(Agent09_Loans!B56="","",Agent09_Loans!C56)</f>
        <v/>
      </c>
      <c r="D1646" s="38" t="str">
        <f>IF(Agent09_Loans!B56="","",Agent09_Loans!D56)</f>
        <v/>
      </c>
      <c r="E1646" s="40" t="str">
        <f>IF(Agent09_Loans!B56="","",Agent09_Loans!E56)</f>
        <v/>
      </c>
      <c r="F1646" s="37" t="str">
        <f>IF(Agent09_Loans!B56="","",Agent09_Loans!F56)</f>
        <v/>
      </c>
      <c r="G1646" s="37" t="str">
        <f>IF(Agent09_Loans!B56="","",Agent09_Loans!G56)</f>
        <v/>
      </c>
      <c r="H1646" s="37" t="str">
        <f>IF(Agent09_Loans!B56="","",Agent09_Loans!H56)</f>
        <v/>
      </c>
      <c r="I1646" s="40" t="str">
        <f>IF(Agent09_Loans!B56="","",Agent09_Loans!I56)</f>
        <v/>
      </c>
      <c r="J1646" s="40" t="str">
        <f>IF(Agent09_Loans!B56="","",Agent09_Loans!J56)</f>
        <v/>
      </c>
      <c r="K1646" s="37" t="str">
        <f>IF(Agent09_Loans!B56="","",Agent09_Loans!K56)</f>
        <v/>
      </c>
      <c r="L1646" s="37" t="str">
        <f>IF(Agent09_Loans!B56="","",Agent09_Loans!L56)</f>
        <v/>
      </c>
      <c r="M1646" s="37" t="str">
        <f>IFERROR(IF(Agent09_Loans!B56="","",YEAR(Agent09_Loans!D56)),"")</f>
        <v/>
      </c>
    </row>
    <row r="1647" spans="1:13" ht="18" customHeight="1" x14ac:dyDescent="0.25">
      <c r="A1647" s="37" t="str">
        <f>IF(Agent09_Loans!B57="","",Agent09_Loans!A57)</f>
        <v/>
      </c>
      <c r="B1647" s="37" t="str">
        <f>IF(Agent09_Loans!B57="","",Agent09_Loans!B57)</f>
        <v/>
      </c>
      <c r="C1647" s="37" t="str">
        <f>IF(Agent09_Loans!B57="","",Agent09_Loans!C57)</f>
        <v/>
      </c>
      <c r="D1647" s="38" t="str">
        <f>IF(Agent09_Loans!B57="","",Agent09_Loans!D57)</f>
        <v/>
      </c>
      <c r="E1647" s="40" t="str">
        <f>IF(Agent09_Loans!B57="","",Agent09_Loans!E57)</f>
        <v/>
      </c>
      <c r="F1647" s="37" t="str">
        <f>IF(Agent09_Loans!B57="","",Agent09_Loans!F57)</f>
        <v/>
      </c>
      <c r="G1647" s="37" t="str">
        <f>IF(Agent09_Loans!B57="","",Agent09_Loans!G57)</f>
        <v/>
      </c>
      <c r="H1647" s="37" t="str">
        <f>IF(Agent09_Loans!B57="","",Agent09_Loans!H57)</f>
        <v/>
      </c>
      <c r="I1647" s="40" t="str">
        <f>IF(Agent09_Loans!B57="","",Agent09_Loans!I57)</f>
        <v/>
      </c>
      <c r="J1647" s="40" t="str">
        <f>IF(Agent09_Loans!B57="","",Agent09_Loans!J57)</f>
        <v/>
      </c>
      <c r="K1647" s="37" t="str">
        <f>IF(Agent09_Loans!B57="","",Agent09_Loans!K57)</f>
        <v/>
      </c>
      <c r="L1647" s="37" t="str">
        <f>IF(Agent09_Loans!B57="","",Agent09_Loans!L57)</f>
        <v/>
      </c>
      <c r="M1647" s="37" t="str">
        <f>IFERROR(IF(Agent09_Loans!B57="","",YEAR(Agent09_Loans!D57)),"")</f>
        <v/>
      </c>
    </row>
    <row r="1648" spans="1:13" ht="18" customHeight="1" x14ac:dyDescent="0.25">
      <c r="A1648" s="37" t="str">
        <f>IF(Agent09_Loans!B58="","",Agent09_Loans!A58)</f>
        <v/>
      </c>
      <c r="B1648" s="37" t="str">
        <f>IF(Agent09_Loans!B58="","",Agent09_Loans!B58)</f>
        <v/>
      </c>
      <c r="C1648" s="37" t="str">
        <f>IF(Agent09_Loans!B58="","",Agent09_Loans!C58)</f>
        <v/>
      </c>
      <c r="D1648" s="38" t="str">
        <f>IF(Agent09_Loans!B58="","",Agent09_Loans!D58)</f>
        <v/>
      </c>
      <c r="E1648" s="40" t="str">
        <f>IF(Agent09_Loans!B58="","",Agent09_Loans!E58)</f>
        <v/>
      </c>
      <c r="F1648" s="37" t="str">
        <f>IF(Agent09_Loans!B58="","",Agent09_Loans!F58)</f>
        <v/>
      </c>
      <c r="G1648" s="37" t="str">
        <f>IF(Agent09_Loans!B58="","",Agent09_Loans!G58)</f>
        <v/>
      </c>
      <c r="H1648" s="37" t="str">
        <f>IF(Agent09_Loans!B58="","",Agent09_Loans!H58)</f>
        <v/>
      </c>
      <c r="I1648" s="40" t="str">
        <f>IF(Agent09_Loans!B58="","",Agent09_Loans!I58)</f>
        <v/>
      </c>
      <c r="J1648" s="40" t="str">
        <f>IF(Agent09_Loans!B58="","",Agent09_Loans!J58)</f>
        <v/>
      </c>
      <c r="K1648" s="37" t="str">
        <f>IF(Agent09_Loans!B58="","",Agent09_Loans!K58)</f>
        <v/>
      </c>
      <c r="L1648" s="37" t="str">
        <f>IF(Agent09_Loans!B58="","",Agent09_Loans!L58)</f>
        <v/>
      </c>
      <c r="M1648" s="37" t="str">
        <f>IFERROR(IF(Agent09_Loans!B58="","",YEAR(Agent09_Loans!D58)),"")</f>
        <v/>
      </c>
    </row>
    <row r="1649" spans="1:13" ht="18" customHeight="1" x14ac:dyDescent="0.25">
      <c r="A1649" s="37" t="str">
        <f>IF(Agent09_Loans!B59="","",Agent09_Loans!A59)</f>
        <v/>
      </c>
      <c r="B1649" s="37" t="str">
        <f>IF(Agent09_Loans!B59="","",Agent09_Loans!B59)</f>
        <v/>
      </c>
      <c r="C1649" s="37" t="str">
        <f>IF(Agent09_Loans!B59="","",Agent09_Loans!C59)</f>
        <v/>
      </c>
      <c r="D1649" s="38" t="str">
        <f>IF(Agent09_Loans!B59="","",Agent09_Loans!D59)</f>
        <v/>
      </c>
      <c r="E1649" s="40" t="str">
        <f>IF(Agent09_Loans!B59="","",Agent09_Loans!E59)</f>
        <v/>
      </c>
      <c r="F1649" s="37" t="str">
        <f>IF(Agent09_Loans!B59="","",Agent09_Loans!F59)</f>
        <v/>
      </c>
      <c r="G1649" s="37" t="str">
        <f>IF(Agent09_Loans!B59="","",Agent09_Loans!G59)</f>
        <v/>
      </c>
      <c r="H1649" s="37" t="str">
        <f>IF(Agent09_Loans!B59="","",Agent09_Loans!H59)</f>
        <v/>
      </c>
      <c r="I1649" s="40" t="str">
        <f>IF(Agent09_Loans!B59="","",Agent09_Loans!I59)</f>
        <v/>
      </c>
      <c r="J1649" s="40" t="str">
        <f>IF(Agent09_Loans!B59="","",Agent09_Loans!J59)</f>
        <v/>
      </c>
      <c r="K1649" s="37" t="str">
        <f>IF(Agent09_Loans!B59="","",Agent09_Loans!K59)</f>
        <v/>
      </c>
      <c r="L1649" s="37" t="str">
        <f>IF(Agent09_Loans!B59="","",Agent09_Loans!L59)</f>
        <v/>
      </c>
      <c r="M1649" s="37" t="str">
        <f>IFERROR(IF(Agent09_Loans!B59="","",YEAR(Agent09_Loans!D59)),"")</f>
        <v/>
      </c>
    </row>
    <row r="1650" spans="1:13" ht="18" customHeight="1" x14ac:dyDescent="0.25">
      <c r="A1650" s="37" t="str">
        <f>IF(Agent09_Loans!B60="","",Agent09_Loans!A60)</f>
        <v/>
      </c>
      <c r="B1650" s="37" t="str">
        <f>IF(Agent09_Loans!B60="","",Agent09_Loans!B60)</f>
        <v/>
      </c>
      <c r="C1650" s="37" t="str">
        <f>IF(Agent09_Loans!B60="","",Agent09_Loans!C60)</f>
        <v/>
      </c>
      <c r="D1650" s="38" t="str">
        <f>IF(Agent09_Loans!B60="","",Agent09_Loans!D60)</f>
        <v/>
      </c>
      <c r="E1650" s="40" t="str">
        <f>IF(Agent09_Loans!B60="","",Agent09_Loans!E60)</f>
        <v/>
      </c>
      <c r="F1650" s="37" t="str">
        <f>IF(Agent09_Loans!B60="","",Agent09_Loans!F60)</f>
        <v/>
      </c>
      <c r="G1650" s="37" t="str">
        <f>IF(Agent09_Loans!B60="","",Agent09_Loans!G60)</f>
        <v/>
      </c>
      <c r="H1650" s="37" t="str">
        <f>IF(Agent09_Loans!B60="","",Agent09_Loans!H60)</f>
        <v/>
      </c>
      <c r="I1650" s="40" t="str">
        <f>IF(Agent09_Loans!B60="","",Agent09_Loans!I60)</f>
        <v/>
      </c>
      <c r="J1650" s="40" t="str">
        <f>IF(Agent09_Loans!B60="","",Agent09_Loans!J60)</f>
        <v/>
      </c>
      <c r="K1650" s="37" t="str">
        <f>IF(Agent09_Loans!B60="","",Agent09_Loans!K60)</f>
        <v/>
      </c>
      <c r="L1650" s="37" t="str">
        <f>IF(Agent09_Loans!B60="","",Agent09_Loans!L60)</f>
        <v/>
      </c>
      <c r="M1650" s="37" t="str">
        <f>IFERROR(IF(Agent09_Loans!B60="","",YEAR(Agent09_Loans!D60)),"")</f>
        <v/>
      </c>
    </row>
    <row r="1651" spans="1:13" ht="18" customHeight="1" x14ac:dyDescent="0.25">
      <c r="A1651" s="37" t="str">
        <f>IF(Agent09_Loans!B61="","",Agent09_Loans!A61)</f>
        <v/>
      </c>
      <c r="B1651" s="37" t="str">
        <f>IF(Agent09_Loans!B61="","",Agent09_Loans!B61)</f>
        <v/>
      </c>
      <c r="C1651" s="37" t="str">
        <f>IF(Agent09_Loans!B61="","",Agent09_Loans!C61)</f>
        <v/>
      </c>
      <c r="D1651" s="38" t="str">
        <f>IF(Agent09_Loans!B61="","",Agent09_Loans!D61)</f>
        <v/>
      </c>
      <c r="E1651" s="40" t="str">
        <f>IF(Agent09_Loans!B61="","",Agent09_Loans!E61)</f>
        <v/>
      </c>
      <c r="F1651" s="37" t="str">
        <f>IF(Agent09_Loans!B61="","",Agent09_Loans!F61)</f>
        <v/>
      </c>
      <c r="G1651" s="37" t="str">
        <f>IF(Agent09_Loans!B61="","",Agent09_Loans!G61)</f>
        <v/>
      </c>
      <c r="H1651" s="37" t="str">
        <f>IF(Agent09_Loans!B61="","",Agent09_Loans!H61)</f>
        <v/>
      </c>
      <c r="I1651" s="40" t="str">
        <f>IF(Agent09_Loans!B61="","",Agent09_Loans!I61)</f>
        <v/>
      </c>
      <c r="J1651" s="40" t="str">
        <f>IF(Agent09_Loans!B61="","",Agent09_Loans!J61)</f>
        <v/>
      </c>
      <c r="K1651" s="37" t="str">
        <f>IF(Agent09_Loans!B61="","",Agent09_Loans!K61)</f>
        <v/>
      </c>
      <c r="L1651" s="37" t="str">
        <f>IF(Agent09_Loans!B61="","",Agent09_Loans!L61)</f>
        <v/>
      </c>
      <c r="M1651" s="37" t="str">
        <f>IFERROR(IF(Agent09_Loans!B61="","",YEAR(Agent09_Loans!D61)),"")</f>
        <v/>
      </c>
    </row>
    <row r="1652" spans="1:13" ht="18" customHeight="1" x14ac:dyDescent="0.25">
      <c r="A1652" s="37" t="str">
        <f>IF(Agent09_Loans!B62="","",Agent09_Loans!A62)</f>
        <v/>
      </c>
      <c r="B1652" s="37" t="str">
        <f>IF(Agent09_Loans!B62="","",Agent09_Loans!B62)</f>
        <v/>
      </c>
      <c r="C1652" s="37" t="str">
        <f>IF(Agent09_Loans!B62="","",Agent09_Loans!C62)</f>
        <v/>
      </c>
      <c r="D1652" s="38" t="str">
        <f>IF(Agent09_Loans!B62="","",Agent09_Loans!D62)</f>
        <v/>
      </c>
      <c r="E1652" s="40" t="str">
        <f>IF(Agent09_Loans!B62="","",Agent09_Loans!E62)</f>
        <v/>
      </c>
      <c r="F1652" s="37" t="str">
        <f>IF(Agent09_Loans!B62="","",Agent09_Loans!F62)</f>
        <v/>
      </c>
      <c r="G1652" s="37" t="str">
        <f>IF(Agent09_Loans!B62="","",Agent09_Loans!G62)</f>
        <v/>
      </c>
      <c r="H1652" s="37" t="str">
        <f>IF(Agent09_Loans!B62="","",Agent09_Loans!H62)</f>
        <v/>
      </c>
      <c r="I1652" s="40" t="str">
        <f>IF(Agent09_Loans!B62="","",Agent09_Loans!I62)</f>
        <v/>
      </c>
      <c r="J1652" s="40" t="str">
        <f>IF(Agent09_Loans!B62="","",Agent09_Loans!J62)</f>
        <v/>
      </c>
      <c r="K1652" s="37" t="str">
        <f>IF(Agent09_Loans!B62="","",Agent09_Loans!K62)</f>
        <v/>
      </c>
      <c r="L1652" s="37" t="str">
        <f>IF(Agent09_Loans!B62="","",Agent09_Loans!L62)</f>
        <v/>
      </c>
      <c r="M1652" s="37" t="str">
        <f>IFERROR(IF(Agent09_Loans!B62="","",YEAR(Agent09_Loans!D62)),"")</f>
        <v/>
      </c>
    </row>
    <row r="1653" spans="1:13" ht="18" customHeight="1" x14ac:dyDescent="0.25">
      <c r="A1653" s="37" t="str">
        <f>IF(Agent09_Loans!B63="","",Agent09_Loans!A63)</f>
        <v/>
      </c>
      <c r="B1653" s="37" t="str">
        <f>IF(Agent09_Loans!B63="","",Agent09_Loans!B63)</f>
        <v/>
      </c>
      <c r="C1653" s="37" t="str">
        <f>IF(Agent09_Loans!B63="","",Agent09_Loans!C63)</f>
        <v/>
      </c>
      <c r="D1653" s="38" t="str">
        <f>IF(Agent09_Loans!B63="","",Agent09_Loans!D63)</f>
        <v/>
      </c>
      <c r="E1653" s="40" t="str">
        <f>IF(Agent09_Loans!B63="","",Agent09_Loans!E63)</f>
        <v/>
      </c>
      <c r="F1653" s="37" t="str">
        <f>IF(Agent09_Loans!B63="","",Agent09_Loans!F63)</f>
        <v/>
      </c>
      <c r="G1653" s="37" t="str">
        <f>IF(Agent09_Loans!B63="","",Agent09_Loans!G63)</f>
        <v/>
      </c>
      <c r="H1653" s="37" t="str">
        <f>IF(Agent09_Loans!B63="","",Agent09_Loans!H63)</f>
        <v/>
      </c>
      <c r="I1653" s="40" t="str">
        <f>IF(Agent09_Loans!B63="","",Agent09_Loans!I63)</f>
        <v/>
      </c>
      <c r="J1653" s="40" t="str">
        <f>IF(Agent09_Loans!B63="","",Agent09_Loans!J63)</f>
        <v/>
      </c>
      <c r="K1653" s="37" t="str">
        <f>IF(Agent09_Loans!B63="","",Agent09_Loans!K63)</f>
        <v/>
      </c>
      <c r="L1653" s="37" t="str">
        <f>IF(Agent09_Loans!B63="","",Agent09_Loans!L63)</f>
        <v/>
      </c>
      <c r="M1653" s="37" t="str">
        <f>IFERROR(IF(Agent09_Loans!B63="","",YEAR(Agent09_Loans!D63)),"")</f>
        <v/>
      </c>
    </row>
    <row r="1654" spans="1:13" ht="18" customHeight="1" x14ac:dyDescent="0.25">
      <c r="A1654" s="37" t="str">
        <f>IF(Agent09_Loans!B64="","",Agent09_Loans!A64)</f>
        <v/>
      </c>
      <c r="B1654" s="37" t="str">
        <f>IF(Agent09_Loans!B64="","",Agent09_Loans!B64)</f>
        <v/>
      </c>
      <c r="C1654" s="37" t="str">
        <f>IF(Agent09_Loans!B64="","",Agent09_Loans!C64)</f>
        <v/>
      </c>
      <c r="D1654" s="38" t="str">
        <f>IF(Agent09_Loans!B64="","",Agent09_Loans!D64)</f>
        <v/>
      </c>
      <c r="E1654" s="40" t="str">
        <f>IF(Agent09_Loans!B64="","",Agent09_Loans!E64)</f>
        <v/>
      </c>
      <c r="F1654" s="37" t="str">
        <f>IF(Agent09_Loans!B64="","",Agent09_Loans!F64)</f>
        <v/>
      </c>
      <c r="G1654" s="37" t="str">
        <f>IF(Agent09_Loans!B64="","",Agent09_Loans!G64)</f>
        <v/>
      </c>
      <c r="H1654" s="37" t="str">
        <f>IF(Agent09_Loans!B64="","",Agent09_Loans!H64)</f>
        <v/>
      </c>
      <c r="I1654" s="40" t="str">
        <f>IF(Agent09_Loans!B64="","",Agent09_Loans!I64)</f>
        <v/>
      </c>
      <c r="J1654" s="40" t="str">
        <f>IF(Agent09_Loans!B64="","",Agent09_Loans!J64)</f>
        <v/>
      </c>
      <c r="K1654" s="37" t="str">
        <f>IF(Agent09_Loans!B64="","",Agent09_Loans!K64)</f>
        <v/>
      </c>
      <c r="L1654" s="37" t="str">
        <f>IF(Agent09_Loans!B64="","",Agent09_Loans!L64)</f>
        <v/>
      </c>
      <c r="M1654" s="37" t="str">
        <f>IFERROR(IF(Agent09_Loans!B64="","",YEAR(Agent09_Loans!D64)),"")</f>
        <v/>
      </c>
    </row>
    <row r="1655" spans="1:13" ht="18" customHeight="1" x14ac:dyDescent="0.25">
      <c r="A1655" s="37" t="str">
        <f>IF(Agent09_Loans!B65="","",Agent09_Loans!A65)</f>
        <v/>
      </c>
      <c r="B1655" s="37" t="str">
        <f>IF(Agent09_Loans!B65="","",Agent09_Loans!B65)</f>
        <v/>
      </c>
      <c r="C1655" s="37" t="str">
        <f>IF(Agent09_Loans!B65="","",Agent09_Loans!C65)</f>
        <v/>
      </c>
      <c r="D1655" s="38" t="str">
        <f>IF(Agent09_Loans!B65="","",Agent09_Loans!D65)</f>
        <v/>
      </c>
      <c r="E1655" s="40" t="str">
        <f>IF(Agent09_Loans!B65="","",Agent09_Loans!E65)</f>
        <v/>
      </c>
      <c r="F1655" s="37" t="str">
        <f>IF(Agent09_Loans!B65="","",Agent09_Loans!F65)</f>
        <v/>
      </c>
      <c r="G1655" s="37" t="str">
        <f>IF(Agent09_Loans!B65="","",Agent09_Loans!G65)</f>
        <v/>
      </c>
      <c r="H1655" s="37" t="str">
        <f>IF(Agent09_Loans!B65="","",Agent09_Loans!H65)</f>
        <v/>
      </c>
      <c r="I1655" s="40" t="str">
        <f>IF(Agent09_Loans!B65="","",Agent09_Loans!I65)</f>
        <v/>
      </c>
      <c r="J1655" s="40" t="str">
        <f>IF(Agent09_Loans!B65="","",Agent09_Loans!J65)</f>
        <v/>
      </c>
      <c r="K1655" s="37" t="str">
        <f>IF(Agent09_Loans!B65="","",Agent09_Loans!K65)</f>
        <v/>
      </c>
      <c r="L1655" s="37" t="str">
        <f>IF(Agent09_Loans!B65="","",Agent09_Loans!L65)</f>
        <v/>
      </c>
      <c r="M1655" s="37" t="str">
        <f>IFERROR(IF(Agent09_Loans!B65="","",YEAR(Agent09_Loans!D65)),"")</f>
        <v/>
      </c>
    </row>
    <row r="1656" spans="1:13" ht="18" customHeight="1" x14ac:dyDescent="0.25">
      <c r="A1656" s="37" t="str">
        <f>IF(Agent09_Loans!B66="","",Agent09_Loans!A66)</f>
        <v/>
      </c>
      <c r="B1656" s="37" t="str">
        <f>IF(Agent09_Loans!B66="","",Agent09_Loans!B66)</f>
        <v/>
      </c>
      <c r="C1656" s="37" t="str">
        <f>IF(Agent09_Loans!B66="","",Agent09_Loans!C66)</f>
        <v/>
      </c>
      <c r="D1656" s="38" t="str">
        <f>IF(Agent09_Loans!B66="","",Agent09_Loans!D66)</f>
        <v/>
      </c>
      <c r="E1656" s="40" t="str">
        <f>IF(Agent09_Loans!B66="","",Agent09_Loans!E66)</f>
        <v/>
      </c>
      <c r="F1656" s="37" t="str">
        <f>IF(Agent09_Loans!B66="","",Agent09_Loans!F66)</f>
        <v/>
      </c>
      <c r="G1656" s="37" t="str">
        <f>IF(Agent09_Loans!B66="","",Agent09_Loans!G66)</f>
        <v/>
      </c>
      <c r="H1656" s="37" t="str">
        <f>IF(Agent09_Loans!B66="","",Agent09_Loans!H66)</f>
        <v/>
      </c>
      <c r="I1656" s="40" t="str">
        <f>IF(Agent09_Loans!B66="","",Agent09_Loans!I66)</f>
        <v/>
      </c>
      <c r="J1656" s="40" t="str">
        <f>IF(Agent09_Loans!B66="","",Agent09_Loans!J66)</f>
        <v/>
      </c>
      <c r="K1656" s="37" t="str">
        <f>IF(Agent09_Loans!B66="","",Agent09_Loans!K66)</f>
        <v/>
      </c>
      <c r="L1656" s="37" t="str">
        <f>IF(Agent09_Loans!B66="","",Agent09_Loans!L66)</f>
        <v/>
      </c>
      <c r="M1656" s="37" t="str">
        <f>IFERROR(IF(Agent09_Loans!B66="","",YEAR(Agent09_Loans!D66)),"")</f>
        <v/>
      </c>
    </row>
    <row r="1657" spans="1:13" ht="18" customHeight="1" x14ac:dyDescent="0.25">
      <c r="A1657" s="37" t="str">
        <f>IF(Agent09_Loans!B67="","",Agent09_Loans!A67)</f>
        <v/>
      </c>
      <c r="B1657" s="37" t="str">
        <f>IF(Agent09_Loans!B67="","",Agent09_Loans!B67)</f>
        <v/>
      </c>
      <c r="C1657" s="37" t="str">
        <f>IF(Agent09_Loans!B67="","",Agent09_Loans!C67)</f>
        <v/>
      </c>
      <c r="D1657" s="38" t="str">
        <f>IF(Agent09_Loans!B67="","",Agent09_Loans!D67)</f>
        <v/>
      </c>
      <c r="E1657" s="40" t="str">
        <f>IF(Agent09_Loans!B67="","",Agent09_Loans!E67)</f>
        <v/>
      </c>
      <c r="F1657" s="37" t="str">
        <f>IF(Agent09_Loans!B67="","",Agent09_Loans!F67)</f>
        <v/>
      </c>
      <c r="G1657" s="37" t="str">
        <f>IF(Agent09_Loans!B67="","",Agent09_Loans!G67)</f>
        <v/>
      </c>
      <c r="H1657" s="37" t="str">
        <f>IF(Agent09_Loans!B67="","",Agent09_Loans!H67)</f>
        <v/>
      </c>
      <c r="I1657" s="40" t="str">
        <f>IF(Agent09_Loans!B67="","",Agent09_Loans!I67)</f>
        <v/>
      </c>
      <c r="J1657" s="40" t="str">
        <f>IF(Agent09_Loans!B67="","",Agent09_Loans!J67)</f>
        <v/>
      </c>
      <c r="K1657" s="37" t="str">
        <f>IF(Agent09_Loans!B67="","",Agent09_Loans!K67)</f>
        <v/>
      </c>
      <c r="L1657" s="37" t="str">
        <f>IF(Agent09_Loans!B67="","",Agent09_Loans!L67)</f>
        <v/>
      </c>
      <c r="M1657" s="37" t="str">
        <f>IFERROR(IF(Agent09_Loans!B67="","",YEAR(Agent09_Loans!D67)),"")</f>
        <v/>
      </c>
    </row>
    <row r="1658" spans="1:13" ht="18" customHeight="1" x14ac:dyDescent="0.25">
      <c r="A1658" s="37" t="str">
        <f>IF(Agent09_Loans!B68="","",Agent09_Loans!A68)</f>
        <v/>
      </c>
      <c r="B1658" s="37" t="str">
        <f>IF(Agent09_Loans!B68="","",Agent09_Loans!B68)</f>
        <v/>
      </c>
      <c r="C1658" s="37" t="str">
        <f>IF(Agent09_Loans!B68="","",Agent09_Loans!C68)</f>
        <v/>
      </c>
      <c r="D1658" s="38" t="str">
        <f>IF(Agent09_Loans!B68="","",Agent09_Loans!D68)</f>
        <v/>
      </c>
      <c r="E1658" s="40" t="str">
        <f>IF(Agent09_Loans!B68="","",Agent09_Loans!E68)</f>
        <v/>
      </c>
      <c r="F1658" s="37" t="str">
        <f>IF(Agent09_Loans!B68="","",Agent09_Loans!F68)</f>
        <v/>
      </c>
      <c r="G1658" s="37" t="str">
        <f>IF(Agent09_Loans!B68="","",Agent09_Loans!G68)</f>
        <v/>
      </c>
      <c r="H1658" s="37" t="str">
        <f>IF(Agent09_Loans!B68="","",Agent09_Loans!H68)</f>
        <v/>
      </c>
      <c r="I1658" s="40" t="str">
        <f>IF(Agent09_Loans!B68="","",Agent09_Loans!I68)</f>
        <v/>
      </c>
      <c r="J1658" s="40" t="str">
        <f>IF(Agent09_Loans!B68="","",Agent09_Loans!J68)</f>
        <v/>
      </c>
      <c r="K1658" s="37" t="str">
        <f>IF(Agent09_Loans!B68="","",Agent09_Loans!K68)</f>
        <v/>
      </c>
      <c r="L1658" s="37" t="str">
        <f>IF(Agent09_Loans!B68="","",Agent09_Loans!L68)</f>
        <v/>
      </c>
      <c r="M1658" s="37" t="str">
        <f>IFERROR(IF(Agent09_Loans!B68="","",YEAR(Agent09_Loans!D68)),"")</f>
        <v/>
      </c>
    </row>
    <row r="1659" spans="1:13" ht="18" customHeight="1" x14ac:dyDescent="0.25">
      <c r="A1659" s="37" t="str">
        <f>IF(Agent09_Loans!B69="","",Agent09_Loans!A69)</f>
        <v/>
      </c>
      <c r="B1659" s="37" t="str">
        <f>IF(Agent09_Loans!B69="","",Agent09_Loans!B69)</f>
        <v/>
      </c>
      <c r="C1659" s="37" t="str">
        <f>IF(Agent09_Loans!B69="","",Agent09_Loans!C69)</f>
        <v/>
      </c>
      <c r="D1659" s="38" t="str">
        <f>IF(Agent09_Loans!B69="","",Agent09_Loans!D69)</f>
        <v/>
      </c>
      <c r="E1659" s="40" t="str">
        <f>IF(Agent09_Loans!B69="","",Agent09_Loans!E69)</f>
        <v/>
      </c>
      <c r="F1659" s="37" t="str">
        <f>IF(Agent09_Loans!B69="","",Agent09_Loans!F69)</f>
        <v/>
      </c>
      <c r="G1659" s="37" t="str">
        <f>IF(Agent09_Loans!B69="","",Agent09_Loans!G69)</f>
        <v/>
      </c>
      <c r="H1659" s="37" t="str">
        <f>IF(Agent09_Loans!B69="","",Agent09_Loans!H69)</f>
        <v/>
      </c>
      <c r="I1659" s="40" t="str">
        <f>IF(Agent09_Loans!B69="","",Agent09_Loans!I69)</f>
        <v/>
      </c>
      <c r="J1659" s="40" t="str">
        <f>IF(Agent09_Loans!B69="","",Agent09_Loans!J69)</f>
        <v/>
      </c>
      <c r="K1659" s="37" t="str">
        <f>IF(Agent09_Loans!B69="","",Agent09_Loans!K69)</f>
        <v/>
      </c>
      <c r="L1659" s="37" t="str">
        <f>IF(Agent09_Loans!B69="","",Agent09_Loans!L69)</f>
        <v/>
      </c>
      <c r="M1659" s="37" t="str">
        <f>IFERROR(IF(Agent09_Loans!B69="","",YEAR(Agent09_Loans!D69)),"")</f>
        <v/>
      </c>
    </row>
    <row r="1660" spans="1:13" ht="18" customHeight="1" x14ac:dyDescent="0.25">
      <c r="A1660" s="37" t="str">
        <f>IF(Agent09_Loans!B70="","",Agent09_Loans!A70)</f>
        <v/>
      </c>
      <c r="B1660" s="37" t="str">
        <f>IF(Agent09_Loans!B70="","",Agent09_Loans!B70)</f>
        <v/>
      </c>
      <c r="C1660" s="37" t="str">
        <f>IF(Agent09_Loans!B70="","",Agent09_Loans!C70)</f>
        <v/>
      </c>
      <c r="D1660" s="38" t="str">
        <f>IF(Agent09_Loans!B70="","",Agent09_Loans!D70)</f>
        <v/>
      </c>
      <c r="E1660" s="40" t="str">
        <f>IF(Agent09_Loans!B70="","",Agent09_Loans!E70)</f>
        <v/>
      </c>
      <c r="F1660" s="37" t="str">
        <f>IF(Agent09_Loans!B70="","",Agent09_Loans!F70)</f>
        <v/>
      </c>
      <c r="G1660" s="37" t="str">
        <f>IF(Agent09_Loans!B70="","",Agent09_Loans!G70)</f>
        <v/>
      </c>
      <c r="H1660" s="37" t="str">
        <f>IF(Agent09_Loans!B70="","",Agent09_Loans!H70)</f>
        <v/>
      </c>
      <c r="I1660" s="40" t="str">
        <f>IF(Agent09_Loans!B70="","",Agent09_Loans!I70)</f>
        <v/>
      </c>
      <c r="J1660" s="40" t="str">
        <f>IF(Agent09_Loans!B70="","",Agent09_Loans!J70)</f>
        <v/>
      </c>
      <c r="K1660" s="37" t="str">
        <f>IF(Agent09_Loans!B70="","",Agent09_Loans!K70)</f>
        <v/>
      </c>
      <c r="L1660" s="37" t="str">
        <f>IF(Agent09_Loans!B70="","",Agent09_Loans!L70)</f>
        <v/>
      </c>
      <c r="M1660" s="37" t="str">
        <f>IFERROR(IF(Agent09_Loans!B70="","",YEAR(Agent09_Loans!D70)),"")</f>
        <v/>
      </c>
    </row>
    <row r="1661" spans="1:13" ht="18" customHeight="1" x14ac:dyDescent="0.25">
      <c r="A1661" s="37" t="str">
        <f>IF(Agent09_Loans!B71="","",Agent09_Loans!A71)</f>
        <v/>
      </c>
      <c r="B1661" s="37" t="str">
        <f>IF(Agent09_Loans!B71="","",Agent09_Loans!B71)</f>
        <v/>
      </c>
      <c r="C1661" s="37" t="str">
        <f>IF(Agent09_Loans!B71="","",Agent09_Loans!C71)</f>
        <v/>
      </c>
      <c r="D1661" s="38" t="str">
        <f>IF(Agent09_Loans!B71="","",Agent09_Loans!D71)</f>
        <v/>
      </c>
      <c r="E1661" s="40" t="str">
        <f>IF(Agent09_Loans!B71="","",Agent09_Loans!E71)</f>
        <v/>
      </c>
      <c r="F1661" s="37" t="str">
        <f>IF(Agent09_Loans!B71="","",Agent09_Loans!F71)</f>
        <v/>
      </c>
      <c r="G1661" s="37" t="str">
        <f>IF(Agent09_Loans!B71="","",Agent09_Loans!G71)</f>
        <v/>
      </c>
      <c r="H1661" s="37" t="str">
        <f>IF(Agent09_Loans!B71="","",Agent09_Loans!H71)</f>
        <v/>
      </c>
      <c r="I1661" s="40" t="str">
        <f>IF(Agent09_Loans!B71="","",Agent09_Loans!I71)</f>
        <v/>
      </c>
      <c r="J1661" s="40" t="str">
        <f>IF(Agent09_Loans!B71="","",Agent09_Loans!J71)</f>
        <v/>
      </c>
      <c r="K1661" s="37" t="str">
        <f>IF(Agent09_Loans!B71="","",Agent09_Loans!K71)</f>
        <v/>
      </c>
      <c r="L1661" s="37" t="str">
        <f>IF(Agent09_Loans!B71="","",Agent09_Loans!L71)</f>
        <v/>
      </c>
      <c r="M1661" s="37" t="str">
        <f>IFERROR(IF(Agent09_Loans!B71="","",YEAR(Agent09_Loans!D71)),"")</f>
        <v/>
      </c>
    </row>
    <row r="1662" spans="1:13" ht="18" customHeight="1" x14ac:dyDescent="0.25">
      <c r="A1662" s="37" t="str">
        <f>IF(Agent09_Loans!B72="","",Agent09_Loans!A72)</f>
        <v/>
      </c>
      <c r="B1662" s="37" t="str">
        <f>IF(Agent09_Loans!B72="","",Agent09_Loans!B72)</f>
        <v/>
      </c>
      <c r="C1662" s="37" t="str">
        <f>IF(Agent09_Loans!B72="","",Agent09_Loans!C72)</f>
        <v/>
      </c>
      <c r="D1662" s="38" t="str">
        <f>IF(Agent09_Loans!B72="","",Agent09_Loans!D72)</f>
        <v/>
      </c>
      <c r="E1662" s="40" t="str">
        <f>IF(Agent09_Loans!B72="","",Agent09_Loans!E72)</f>
        <v/>
      </c>
      <c r="F1662" s="37" t="str">
        <f>IF(Agent09_Loans!B72="","",Agent09_Loans!F72)</f>
        <v/>
      </c>
      <c r="G1662" s="37" t="str">
        <f>IF(Agent09_Loans!B72="","",Agent09_Loans!G72)</f>
        <v/>
      </c>
      <c r="H1662" s="37" t="str">
        <f>IF(Agent09_Loans!B72="","",Agent09_Loans!H72)</f>
        <v/>
      </c>
      <c r="I1662" s="40" t="str">
        <f>IF(Agent09_Loans!B72="","",Agent09_Loans!I72)</f>
        <v/>
      </c>
      <c r="J1662" s="40" t="str">
        <f>IF(Agent09_Loans!B72="","",Agent09_Loans!J72)</f>
        <v/>
      </c>
      <c r="K1662" s="37" t="str">
        <f>IF(Agent09_Loans!B72="","",Agent09_Loans!K72)</f>
        <v/>
      </c>
      <c r="L1662" s="37" t="str">
        <f>IF(Agent09_Loans!B72="","",Agent09_Loans!L72)</f>
        <v/>
      </c>
      <c r="M1662" s="37" t="str">
        <f>IFERROR(IF(Agent09_Loans!B72="","",YEAR(Agent09_Loans!D72)),"")</f>
        <v/>
      </c>
    </row>
    <row r="1663" spans="1:13" ht="18" customHeight="1" x14ac:dyDescent="0.25">
      <c r="A1663" s="37" t="str">
        <f>IF(Agent09_Loans!B73="","",Agent09_Loans!A73)</f>
        <v/>
      </c>
      <c r="B1663" s="37" t="str">
        <f>IF(Agent09_Loans!B73="","",Agent09_Loans!B73)</f>
        <v/>
      </c>
      <c r="C1663" s="37" t="str">
        <f>IF(Agent09_Loans!B73="","",Agent09_Loans!C73)</f>
        <v/>
      </c>
      <c r="D1663" s="38" t="str">
        <f>IF(Agent09_Loans!B73="","",Agent09_Loans!D73)</f>
        <v/>
      </c>
      <c r="E1663" s="40" t="str">
        <f>IF(Agent09_Loans!B73="","",Agent09_Loans!E73)</f>
        <v/>
      </c>
      <c r="F1663" s="37" t="str">
        <f>IF(Agent09_Loans!B73="","",Agent09_Loans!F73)</f>
        <v/>
      </c>
      <c r="G1663" s="37" t="str">
        <f>IF(Agent09_Loans!B73="","",Agent09_Loans!G73)</f>
        <v/>
      </c>
      <c r="H1663" s="37" t="str">
        <f>IF(Agent09_Loans!B73="","",Agent09_Loans!H73)</f>
        <v/>
      </c>
      <c r="I1663" s="40" t="str">
        <f>IF(Agent09_Loans!B73="","",Agent09_Loans!I73)</f>
        <v/>
      </c>
      <c r="J1663" s="40" t="str">
        <f>IF(Agent09_Loans!B73="","",Agent09_Loans!J73)</f>
        <v/>
      </c>
      <c r="K1663" s="37" t="str">
        <f>IF(Agent09_Loans!B73="","",Agent09_Loans!K73)</f>
        <v/>
      </c>
      <c r="L1663" s="37" t="str">
        <f>IF(Agent09_Loans!B73="","",Agent09_Loans!L73)</f>
        <v/>
      </c>
      <c r="M1663" s="37" t="str">
        <f>IFERROR(IF(Agent09_Loans!B73="","",YEAR(Agent09_Loans!D73)),"")</f>
        <v/>
      </c>
    </row>
    <row r="1664" spans="1:13" ht="18" customHeight="1" x14ac:dyDescent="0.25">
      <c r="A1664" s="37" t="str">
        <f>IF(Agent09_Loans!B74="","",Agent09_Loans!A74)</f>
        <v/>
      </c>
      <c r="B1664" s="37" t="str">
        <f>IF(Agent09_Loans!B74="","",Agent09_Loans!B74)</f>
        <v/>
      </c>
      <c r="C1664" s="37" t="str">
        <f>IF(Agent09_Loans!B74="","",Agent09_Loans!C74)</f>
        <v/>
      </c>
      <c r="D1664" s="38" t="str">
        <f>IF(Agent09_Loans!B74="","",Agent09_Loans!D74)</f>
        <v/>
      </c>
      <c r="E1664" s="40" t="str">
        <f>IF(Agent09_Loans!B74="","",Agent09_Loans!E74)</f>
        <v/>
      </c>
      <c r="F1664" s="37" t="str">
        <f>IF(Agent09_Loans!B74="","",Agent09_Loans!F74)</f>
        <v/>
      </c>
      <c r="G1664" s="37" t="str">
        <f>IF(Agent09_Loans!B74="","",Agent09_Loans!G74)</f>
        <v/>
      </c>
      <c r="H1664" s="37" t="str">
        <f>IF(Agent09_Loans!B74="","",Agent09_Loans!H74)</f>
        <v/>
      </c>
      <c r="I1664" s="40" t="str">
        <f>IF(Agent09_Loans!B74="","",Agent09_Loans!I74)</f>
        <v/>
      </c>
      <c r="J1664" s="40" t="str">
        <f>IF(Agent09_Loans!B74="","",Agent09_Loans!J74)</f>
        <v/>
      </c>
      <c r="K1664" s="37" t="str">
        <f>IF(Agent09_Loans!B74="","",Agent09_Loans!K74)</f>
        <v/>
      </c>
      <c r="L1664" s="37" t="str">
        <f>IF(Agent09_Loans!B74="","",Agent09_Loans!L74)</f>
        <v/>
      </c>
      <c r="M1664" s="37" t="str">
        <f>IFERROR(IF(Agent09_Loans!B74="","",YEAR(Agent09_Loans!D74)),"")</f>
        <v/>
      </c>
    </row>
    <row r="1665" spans="1:13" ht="18" customHeight="1" x14ac:dyDescent="0.25">
      <c r="A1665" s="37" t="str">
        <f>IF(Agent09_Loans!B75="","",Agent09_Loans!A75)</f>
        <v/>
      </c>
      <c r="B1665" s="37" t="str">
        <f>IF(Agent09_Loans!B75="","",Agent09_Loans!B75)</f>
        <v/>
      </c>
      <c r="C1665" s="37" t="str">
        <f>IF(Agent09_Loans!B75="","",Agent09_Loans!C75)</f>
        <v/>
      </c>
      <c r="D1665" s="38" t="str">
        <f>IF(Agent09_Loans!B75="","",Agent09_Loans!D75)</f>
        <v/>
      </c>
      <c r="E1665" s="40" t="str">
        <f>IF(Agent09_Loans!B75="","",Agent09_Loans!E75)</f>
        <v/>
      </c>
      <c r="F1665" s="37" t="str">
        <f>IF(Agent09_Loans!B75="","",Agent09_Loans!F75)</f>
        <v/>
      </c>
      <c r="G1665" s="37" t="str">
        <f>IF(Agent09_Loans!B75="","",Agent09_Loans!G75)</f>
        <v/>
      </c>
      <c r="H1665" s="37" t="str">
        <f>IF(Agent09_Loans!B75="","",Agent09_Loans!H75)</f>
        <v/>
      </c>
      <c r="I1665" s="40" t="str">
        <f>IF(Agent09_Loans!B75="","",Agent09_Loans!I75)</f>
        <v/>
      </c>
      <c r="J1665" s="40" t="str">
        <f>IF(Agent09_Loans!B75="","",Agent09_Loans!J75)</f>
        <v/>
      </c>
      <c r="K1665" s="37" t="str">
        <f>IF(Agent09_Loans!B75="","",Agent09_Loans!K75)</f>
        <v/>
      </c>
      <c r="L1665" s="37" t="str">
        <f>IF(Agent09_Loans!B75="","",Agent09_Loans!L75)</f>
        <v/>
      </c>
      <c r="M1665" s="37" t="str">
        <f>IFERROR(IF(Agent09_Loans!B75="","",YEAR(Agent09_Loans!D75)),"")</f>
        <v/>
      </c>
    </row>
    <row r="1666" spans="1:13" ht="18" customHeight="1" x14ac:dyDescent="0.25">
      <c r="A1666" s="37" t="str">
        <f>IF(Agent09_Loans!B76="","",Agent09_Loans!A76)</f>
        <v/>
      </c>
      <c r="B1666" s="37" t="str">
        <f>IF(Agent09_Loans!B76="","",Agent09_Loans!B76)</f>
        <v/>
      </c>
      <c r="C1666" s="37" t="str">
        <f>IF(Agent09_Loans!B76="","",Agent09_Loans!C76)</f>
        <v/>
      </c>
      <c r="D1666" s="38" t="str">
        <f>IF(Agent09_Loans!B76="","",Agent09_Loans!D76)</f>
        <v/>
      </c>
      <c r="E1666" s="40" t="str">
        <f>IF(Agent09_Loans!B76="","",Agent09_Loans!E76)</f>
        <v/>
      </c>
      <c r="F1666" s="37" t="str">
        <f>IF(Agent09_Loans!B76="","",Agent09_Loans!F76)</f>
        <v/>
      </c>
      <c r="G1666" s="37" t="str">
        <f>IF(Agent09_Loans!B76="","",Agent09_Loans!G76)</f>
        <v/>
      </c>
      <c r="H1666" s="37" t="str">
        <f>IF(Agent09_Loans!B76="","",Agent09_Loans!H76)</f>
        <v/>
      </c>
      <c r="I1666" s="40" t="str">
        <f>IF(Agent09_Loans!B76="","",Agent09_Loans!I76)</f>
        <v/>
      </c>
      <c r="J1666" s="40" t="str">
        <f>IF(Agent09_Loans!B76="","",Agent09_Loans!J76)</f>
        <v/>
      </c>
      <c r="K1666" s="37" t="str">
        <f>IF(Agent09_Loans!B76="","",Agent09_Loans!K76)</f>
        <v/>
      </c>
      <c r="L1666" s="37" t="str">
        <f>IF(Agent09_Loans!B76="","",Agent09_Loans!L76)</f>
        <v/>
      </c>
      <c r="M1666" s="37" t="str">
        <f>IFERROR(IF(Agent09_Loans!B76="","",YEAR(Agent09_Loans!D76)),"")</f>
        <v/>
      </c>
    </row>
    <row r="1667" spans="1:13" ht="18" customHeight="1" x14ac:dyDescent="0.25">
      <c r="A1667" s="37" t="str">
        <f>IF(Agent09_Loans!B77="","",Agent09_Loans!A77)</f>
        <v/>
      </c>
      <c r="B1667" s="37" t="str">
        <f>IF(Agent09_Loans!B77="","",Agent09_Loans!B77)</f>
        <v/>
      </c>
      <c r="C1667" s="37" t="str">
        <f>IF(Agent09_Loans!B77="","",Agent09_Loans!C77)</f>
        <v/>
      </c>
      <c r="D1667" s="38" t="str">
        <f>IF(Agent09_Loans!B77="","",Agent09_Loans!D77)</f>
        <v/>
      </c>
      <c r="E1667" s="40" t="str">
        <f>IF(Agent09_Loans!B77="","",Agent09_Loans!E77)</f>
        <v/>
      </c>
      <c r="F1667" s="37" t="str">
        <f>IF(Agent09_Loans!B77="","",Agent09_Loans!F77)</f>
        <v/>
      </c>
      <c r="G1667" s="37" t="str">
        <f>IF(Agent09_Loans!B77="","",Agent09_Loans!G77)</f>
        <v/>
      </c>
      <c r="H1667" s="37" t="str">
        <f>IF(Agent09_Loans!B77="","",Agent09_Loans!H77)</f>
        <v/>
      </c>
      <c r="I1667" s="40" t="str">
        <f>IF(Agent09_Loans!B77="","",Agent09_Loans!I77)</f>
        <v/>
      </c>
      <c r="J1667" s="40" t="str">
        <f>IF(Agent09_Loans!B77="","",Agent09_Loans!J77)</f>
        <v/>
      </c>
      <c r="K1667" s="37" t="str">
        <f>IF(Agent09_Loans!B77="","",Agent09_Loans!K77)</f>
        <v/>
      </c>
      <c r="L1667" s="37" t="str">
        <f>IF(Agent09_Loans!B77="","",Agent09_Loans!L77)</f>
        <v/>
      </c>
      <c r="M1667" s="37" t="str">
        <f>IFERROR(IF(Agent09_Loans!B77="","",YEAR(Agent09_Loans!D77)),"")</f>
        <v/>
      </c>
    </row>
    <row r="1668" spans="1:13" ht="18" customHeight="1" x14ac:dyDescent="0.25">
      <c r="A1668" s="37" t="str">
        <f>IF(Agent09_Loans!B78="","",Agent09_Loans!A78)</f>
        <v/>
      </c>
      <c r="B1668" s="37" t="str">
        <f>IF(Agent09_Loans!B78="","",Agent09_Loans!B78)</f>
        <v/>
      </c>
      <c r="C1668" s="37" t="str">
        <f>IF(Agent09_Loans!B78="","",Agent09_Loans!C78)</f>
        <v/>
      </c>
      <c r="D1668" s="38" t="str">
        <f>IF(Agent09_Loans!B78="","",Agent09_Loans!D78)</f>
        <v/>
      </c>
      <c r="E1668" s="40" t="str">
        <f>IF(Agent09_Loans!B78="","",Agent09_Loans!E78)</f>
        <v/>
      </c>
      <c r="F1668" s="37" t="str">
        <f>IF(Agent09_Loans!B78="","",Agent09_Loans!F78)</f>
        <v/>
      </c>
      <c r="G1668" s="37" t="str">
        <f>IF(Agent09_Loans!B78="","",Agent09_Loans!G78)</f>
        <v/>
      </c>
      <c r="H1668" s="37" t="str">
        <f>IF(Agent09_Loans!B78="","",Agent09_Loans!H78)</f>
        <v/>
      </c>
      <c r="I1668" s="40" t="str">
        <f>IF(Agent09_Loans!B78="","",Agent09_Loans!I78)</f>
        <v/>
      </c>
      <c r="J1668" s="40" t="str">
        <f>IF(Agent09_Loans!B78="","",Agent09_Loans!J78)</f>
        <v/>
      </c>
      <c r="K1668" s="37" t="str">
        <f>IF(Agent09_Loans!B78="","",Agent09_Loans!K78)</f>
        <v/>
      </c>
      <c r="L1668" s="37" t="str">
        <f>IF(Agent09_Loans!B78="","",Agent09_Loans!L78)</f>
        <v/>
      </c>
      <c r="M1668" s="37" t="str">
        <f>IFERROR(IF(Agent09_Loans!B78="","",YEAR(Agent09_Loans!D78)),"")</f>
        <v/>
      </c>
    </row>
    <row r="1669" spans="1:13" ht="18" customHeight="1" x14ac:dyDescent="0.25">
      <c r="A1669" s="37" t="str">
        <f>IF(Agent09_Loans!B79="","",Agent09_Loans!A79)</f>
        <v/>
      </c>
      <c r="B1669" s="37" t="str">
        <f>IF(Agent09_Loans!B79="","",Agent09_Loans!B79)</f>
        <v/>
      </c>
      <c r="C1669" s="37" t="str">
        <f>IF(Agent09_Loans!B79="","",Agent09_Loans!C79)</f>
        <v/>
      </c>
      <c r="D1669" s="38" t="str">
        <f>IF(Agent09_Loans!B79="","",Agent09_Loans!D79)</f>
        <v/>
      </c>
      <c r="E1669" s="40" t="str">
        <f>IF(Agent09_Loans!B79="","",Agent09_Loans!E79)</f>
        <v/>
      </c>
      <c r="F1669" s="37" t="str">
        <f>IF(Agent09_Loans!B79="","",Agent09_Loans!F79)</f>
        <v/>
      </c>
      <c r="G1669" s="37" t="str">
        <f>IF(Agent09_Loans!B79="","",Agent09_Loans!G79)</f>
        <v/>
      </c>
      <c r="H1669" s="37" t="str">
        <f>IF(Agent09_Loans!B79="","",Agent09_Loans!H79)</f>
        <v/>
      </c>
      <c r="I1669" s="40" t="str">
        <f>IF(Agent09_Loans!B79="","",Agent09_Loans!I79)</f>
        <v/>
      </c>
      <c r="J1669" s="40" t="str">
        <f>IF(Agent09_Loans!B79="","",Agent09_Loans!J79)</f>
        <v/>
      </c>
      <c r="K1669" s="37" t="str">
        <f>IF(Agent09_Loans!B79="","",Agent09_Loans!K79)</f>
        <v/>
      </c>
      <c r="L1669" s="37" t="str">
        <f>IF(Agent09_Loans!B79="","",Agent09_Loans!L79)</f>
        <v/>
      </c>
      <c r="M1669" s="37" t="str">
        <f>IFERROR(IF(Agent09_Loans!B79="","",YEAR(Agent09_Loans!D79)),"")</f>
        <v/>
      </c>
    </row>
    <row r="1670" spans="1:13" ht="18" customHeight="1" x14ac:dyDescent="0.25">
      <c r="A1670" s="37" t="str">
        <f>IF(Agent09_Loans!B80="","",Agent09_Loans!A80)</f>
        <v/>
      </c>
      <c r="B1670" s="37" t="str">
        <f>IF(Agent09_Loans!B80="","",Agent09_Loans!B80)</f>
        <v/>
      </c>
      <c r="C1670" s="37" t="str">
        <f>IF(Agent09_Loans!B80="","",Agent09_Loans!C80)</f>
        <v/>
      </c>
      <c r="D1670" s="38" t="str">
        <f>IF(Agent09_Loans!B80="","",Agent09_Loans!D80)</f>
        <v/>
      </c>
      <c r="E1670" s="40" t="str">
        <f>IF(Agent09_Loans!B80="","",Agent09_Loans!E80)</f>
        <v/>
      </c>
      <c r="F1670" s="37" t="str">
        <f>IF(Agent09_Loans!B80="","",Agent09_Loans!F80)</f>
        <v/>
      </c>
      <c r="G1670" s="37" t="str">
        <f>IF(Agent09_Loans!B80="","",Agent09_Loans!G80)</f>
        <v/>
      </c>
      <c r="H1670" s="37" t="str">
        <f>IF(Agent09_Loans!B80="","",Agent09_Loans!H80)</f>
        <v/>
      </c>
      <c r="I1670" s="40" t="str">
        <f>IF(Agent09_Loans!B80="","",Agent09_Loans!I80)</f>
        <v/>
      </c>
      <c r="J1670" s="40" t="str">
        <f>IF(Agent09_Loans!B80="","",Agent09_Loans!J80)</f>
        <v/>
      </c>
      <c r="K1670" s="37" t="str">
        <f>IF(Agent09_Loans!B80="","",Agent09_Loans!K80)</f>
        <v/>
      </c>
      <c r="L1670" s="37" t="str">
        <f>IF(Agent09_Loans!B80="","",Agent09_Loans!L80)</f>
        <v/>
      </c>
      <c r="M1670" s="37" t="str">
        <f>IFERROR(IF(Agent09_Loans!B80="","",YEAR(Agent09_Loans!D80)),"")</f>
        <v/>
      </c>
    </row>
    <row r="1671" spans="1:13" ht="18" customHeight="1" x14ac:dyDescent="0.25">
      <c r="A1671" s="37" t="str">
        <f>IF(Agent09_Loans!B81="","",Agent09_Loans!A81)</f>
        <v/>
      </c>
      <c r="B1671" s="37" t="str">
        <f>IF(Agent09_Loans!B81="","",Agent09_Loans!B81)</f>
        <v/>
      </c>
      <c r="C1671" s="37" t="str">
        <f>IF(Agent09_Loans!B81="","",Agent09_Loans!C81)</f>
        <v/>
      </c>
      <c r="D1671" s="38" t="str">
        <f>IF(Agent09_Loans!B81="","",Agent09_Loans!D81)</f>
        <v/>
      </c>
      <c r="E1671" s="40" t="str">
        <f>IF(Agent09_Loans!B81="","",Agent09_Loans!E81)</f>
        <v/>
      </c>
      <c r="F1671" s="37" t="str">
        <f>IF(Agent09_Loans!B81="","",Agent09_Loans!F81)</f>
        <v/>
      </c>
      <c r="G1671" s="37" t="str">
        <f>IF(Agent09_Loans!B81="","",Agent09_Loans!G81)</f>
        <v/>
      </c>
      <c r="H1671" s="37" t="str">
        <f>IF(Agent09_Loans!B81="","",Agent09_Loans!H81)</f>
        <v/>
      </c>
      <c r="I1671" s="40" t="str">
        <f>IF(Agent09_Loans!B81="","",Agent09_Loans!I81)</f>
        <v/>
      </c>
      <c r="J1671" s="40" t="str">
        <f>IF(Agent09_Loans!B81="","",Agent09_Loans!J81)</f>
        <v/>
      </c>
      <c r="K1671" s="37" t="str">
        <f>IF(Agent09_Loans!B81="","",Agent09_Loans!K81)</f>
        <v/>
      </c>
      <c r="L1671" s="37" t="str">
        <f>IF(Agent09_Loans!B81="","",Agent09_Loans!L81)</f>
        <v/>
      </c>
      <c r="M1671" s="37" t="str">
        <f>IFERROR(IF(Agent09_Loans!B81="","",YEAR(Agent09_Loans!D81)),"")</f>
        <v/>
      </c>
    </row>
    <row r="1672" spans="1:13" ht="18" customHeight="1" x14ac:dyDescent="0.25">
      <c r="A1672" s="37" t="str">
        <f>IF(Agent09_Loans!B82="","",Agent09_Loans!A82)</f>
        <v/>
      </c>
      <c r="B1672" s="37" t="str">
        <f>IF(Agent09_Loans!B82="","",Agent09_Loans!B82)</f>
        <v/>
      </c>
      <c r="C1672" s="37" t="str">
        <f>IF(Agent09_Loans!B82="","",Agent09_Loans!C82)</f>
        <v/>
      </c>
      <c r="D1672" s="38" t="str">
        <f>IF(Agent09_Loans!B82="","",Agent09_Loans!D82)</f>
        <v/>
      </c>
      <c r="E1672" s="40" t="str">
        <f>IF(Agent09_Loans!B82="","",Agent09_Loans!E82)</f>
        <v/>
      </c>
      <c r="F1672" s="37" t="str">
        <f>IF(Agent09_Loans!B82="","",Agent09_Loans!F82)</f>
        <v/>
      </c>
      <c r="G1672" s="37" t="str">
        <f>IF(Agent09_Loans!B82="","",Agent09_Loans!G82)</f>
        <v/>
      </c>
      <c r="H1672" s="37" t="str">
        <f>IF(Agent09_Loans!B82="","",Agent09_Loans!H82)</f>
        <v/>
      </c>
      <c r="I1672" s="40" t="str">
        <f>IF(Agent09_Loans!B82="","",Agent09_Loans!I82)</f>
        <v/>
      </c>
      <c r="J1672" s="40" t="str">
        <f>IF(Agent09_Loans!B82="","",Agent09_Loans!J82)</f>
        <v/>
      </c>
      <c r="K1672" s="37" t="str">
        <f>IF(Agent09_Loans!B82="","",Agent09_Loans!K82)</f>
        <v/>
      </c>
      <c r="L1672" s="37" t="str">
        <f>IF(Agent09_Loans!B82="","",Agent09_Loans!L82)</f>
        <v/>
      </c>
      <c r="M1672" s="37" t="str">
        <f>IFERROR(IF(Agent09_Loans!B82="","",YEAR(Agent09_Loans!D82)),"")</f>
        <v/>
      </c>
    </row>
    <row r="1673" spans="1:13" ht="18" customHeight="1" x14ac:dyDescent="0.25">
      <c r="A1673" s="37" t="str">
        <f>IF(Agent09_Loans!B83="","",Agent09_Loans!A83)</f>
        <v/>
      </c>
      <c r="B1673" s="37" t="str">
        <f>IF(Agent09_Loans!B83="","",Agent09_Loans!B83)</f>
        <v/>
      </c>
      <c r="C1673" s="37" t="str">
        <f>IF(Agent09_Loans!B83="","",Agent09_Loans!C83)</f>
        <v/>
      </c>
      <c r="D1673" s="38" t="str">
        <f>IF(Agent09_Loans!B83="","",Agent09_Loans!D83)</f>
        <v/>
      </c>
      <c r="E1673" s="40" t="str">
        <f>IF(Agent09_Loans!B83="","",Agent09_Loans!E83)</f>
        <v/>
      </c>
      <c r="F1673" s="37" t="str">
        <f>IF(Agent09_Loans!B83="","",Agent09_Loans!F83)</f>
        <v/>
      </c>
      <c r="G1673" s="37" t="str">
        <f>IF(Agent09_Loans!B83="","",Agent09_Loans!G83)</f>
        <v/>
      </c>
      <c r="H1673" s="37" t="str">
        <f>IF(Agent09_Loans!B83="","",Agent09_Loans!H83)</f>
        <v/>
      </c>
      <c r="I1673" s="40" t="str">
        <f>IF(Agent09_Loans!B83="","",Agent09_Loans!I83)</f>
        <v/>
      </c>
      <c r="J1673" s="40" t="str">
        <f>IF(Agent09_Loans!B83="","",Agent09_Loans!J83)</f>
        <v/>
      </c>
      <c r="K1673" s="37" t="str">
        <f>IF(Agent09_Loans!B83="","",Agent09_Loans!K83)</f>
        <v/>
      </c>
      <c r="L1673" s="37" t="str">
        <f>IF(Agent09_Loans!B83="","",Agent09_Loans!L83)</f>
        <v/>
      </c>
      <c r="M1673" s="37" t="str">
        <f>IFERROR(IF(Agent09_Loans!B83="","",YEAR(Agent09_Loans!D83)),"")</f>
        <v/>
      </c>
    </row>
    <row r="1674" spans="1:13" ht="18" customHeight="1" x14ac:dyDescent="0.25">
      <c r="A1674" s="37" t="str">
        <f>IF(Agent09_Loans!B84="","",Agent09_Loans!A84)</f>
        <v/>
      </c>
      <c r="B1674" s="37" t="str">
        <f>IF(Agent09_Loans!B84="","",Agent09_Loans!B84)</f>
        <v/>
      </c>
      <c r="C1674" s="37" t="str">
        <f>IF(Agent09_Loans!B84="","",Agent09_Loans!C84)</f>
        <v/>
      </c>
      <c r="D1674" s="38" t="str">
        <f>IF(Agent09_Loans!B84="","",Agent09_Loans!D84)</f>
        <v/>
      </c>
      <c r="E1674" s="40" t="str">
        <f>IF(Agent09_Loans!B84="","",Agent09_Loans!E84)</f>
        <v/>
      </c>
      <c r="F1674" s="37" t="str">
        <f>IF(Agent09_Loans!B84="","",Agent09_Loans!F84)</f>
        <v/>
      </c>
      <c r="G1674" s="37" t="str">
        <f>IF(Agent09_Loans!B84="","",Agent09_Loans!G84)</f>
        <v/>
      </c>
      <c r="H1674" s="37" t="str">
        <f>IF(Agent09_Loans!B84="","",Agent09_Loans!H84)</f>
        <v/>
      </c>
      <c r="I1674" s="40" t="str">
        <f>IF(Agent09_Loans!B84="","",Agent09_Loans!I84)</f>
        <v/>
      </c>
      <c r="J1674" s="40" t="str">
        <f>IF(Agent09_Loans!B84="","",Agent09_Loans!J84)</f>
        <v/>
      </c>
      <c r="K1674" s="37" t="str">
        <f>IF(Agent09_Loans!B84="","",Agent09_Loans!K84)</f>
        <v/>
      </c>
      <c r="L1674" s="37" t="str">
        <f>IF(Agent09_Loans!B84="","",Agent09_Loans!L84)</f>
        <v/>
      </c>
      <c r="M1674" s="37" t="str">
        <f>IFERROR(IF(Agent09_Loans!B84="","",YEAR(Agent09_Loans!D84)),"")</f>
        <v/>
      </c>
    </row>
    <row r="1675" spans="1:13" ht="18" customHeight="1" x14ac:dyDescent="0.25">
      <c r="A1675" s="37" t="str">
        <f>IF(Agent09_Loans!B85="","",Agent09_Loans!A85)</f>
        <v/>
      </c>
      <c r="B1675" s="37" t="str">
        <f>IF(Agent09_Loans!B85="","",Agent09_Loans!B85)</f>
        <v/>
      </c>
      <c r="C1675" s="37" t="str">
        <f>IF(Agent09_Loans!B85="","",Agent09_Loans!C85)</f>
        <v/>
      </c>
      <c r="D1675" s="38" t="str">
        <f>IF(Agent09_Loans!B85="","",Agent09_Loans!D85)</f>
        <v/>
      </c>
      <c r="E1675" s="40" t="str">
        <f>IF(Agent09_Loans!B85="","",Agent09_Loans!E85)</f>
        <v/>
      </c>
      <c r="F1675" s="37" t="str">
        <f>IF(Agent09_Loans!B85="","",Agent09_Loans!F85)</f>
        <v/>
      </c>
      <c r="G1675" s="37" t="str">
        <f>IF(Agent09_Loans!B85="","",Agent09_Loans!G85)</f>
        <v/>
      </c>
      <c r="H1675" s="37" t="str">
        <f>IF(Agent09_Loans!B85="","",Agent09_Loans!H85)</f>
        <v/>
      </c>
      <c r="I1675" s="40" t="str">
        <f>IF(Agent09_Loans!B85="","",Agent09_Loans!I85)</f>
        <v/>
      </c>
      <c r="J1675" s="40" t="str">
        <f>IF(Agent09_Loans!B85="","",Agent09_Loans!J85)</f>
        <v/>
      </c>
      <c r="K1675" s="37" t="str">
        <f>IF(Agent09_Loans!B85="","",Agent09_Loans!K85)</f>
        <v/>
      </c>
      <c r="L1675" s="37" t="str">
        <f>IF(Agent09_Loans!B85="","",Agent09_Loans!L85)</f>
        <v/>
      </c>
      <c r="M1675" s="37" t="str">
        <f>IFERROR(IF(Agent09_Loans!B85="","",YEAR(Agent09_Loans!D85)),"")</f>
        <v/>
      </c>
    </row>
    <row r="1676" spans="1:13" ht="18" customHeight="1" x14ac:dyDescent="0.25">
      <c r="A1676" s="37" t="str">
        <f>IF(Agent09_Loans!B86="","",Agent09_Loans!A86)</f>
        <v/>
      </c>
      <c r="B1676" s="37" t="str">
        <f>IF(Agent09_Loans!B86="","",Agent09_Loans!B86)</f>
        <v/>
      </c>
      <c r="C1676" s="37" t="str">
        <f>IF(Agent09_Loans!B86="","",Agent09_Loans!C86)</f>
        <v/>
      </c>
      <c r="D1676" s="38" t="str">
        <f>IF(Agent09_Loans!B86="","",Agent09_Loans!D86)</f>
        <v/>
      </c>
      <c r="E1676" s="40" t="str">
        <f>IF(Agent09_Loans!B86="","",Agent09_Loans!E86)</f>
        <v/>
      </c>
      <c r="F1676" s="37" t="str">
        <f>IF(Agent09_Loans!B86="","",Agent09_Loans!F86)</f>
        <v/>
      </c>
      <c r="G1676" s="37" t="str">
        <f>IF(Agent09_Loans!B86="","",Agent09_Loans!G86)</f>
        <v/>
      </c>
      <c r="H1676" s="37" t="str">
        <f>IF(Agent09_Loans!B86="","",Agent09_Loans!H86)</f>
        <v/>
      </c>
      <c r="I1676" s="40" t="str">
        <f>IF(Agent09_Loans!B86="","",Agent09_Loans!I86)</f>
        <v/>
      </c>
      <c r="J1676" s="40" t="str">
        <f>IF(Agent09_Loans!B86="","",Agent09_Loans!J86)</f>
        <v/>
      </c>
      <c r="K1676" s="37" t="str">
        <f>IF(Agent09_Loans!B86="","",Agent09_Loans!K86)</f>
        <v/>
      </c>
      <c r="L1676" s="37" t="str">
        <f>IF(Agent09_Loans!B86="","",Agent09_Loans!L86)</f>
        <v/>
      </c>
      <c r="M1676" s="37" t="str">
        <f>IFERROR(IF(Agent09_Loans!B86="","",YEAR(Agent09_Loans!D86)),"")</f>
        <v/>
      </c>
    </row>
    <row r="1677" spans="1:13" ht="18" customHeight="1" x14ac:dyDescent="0.25">
      <c r="A1677" s="37" t="str">
        <f>IF(Agent09_Loans!B87="","",Agent09_Loans!A87)</f>
        <v/>
      </c>
      <c r="B1677" s="37" t="str">
        <f>IF(Agent09_Loans!B87="","",Agent09_Loans!B87)</f>
        <v/>
      </c>
      <c r="C1677" s="37" t="str">
        <f>IF(Agent09_Loans!B87="","",Agent09_Loans!C87)</f>
        <v/>
      </c>
      <c r="D1677" s="38" t="str">
        <f>IF(Agent09_Loans!B87="","",Agent09_Loans!D87)</f>
        <v/>
      </c>
      <c r="E1677" s="40" t="str">
        <f>IF(Agent09_Loans!B87="","",Agent09_Loans!E87)</f>
        <v/>
      </c>
      <c r="F1677" s="37" t="str">
        <f>IF(Agent09_Loans!B87="","",Agent09_Loans!F87)</f>
        <v/>
      </c>
      <c r="G1677" s="37" t="str">
        <f>IF(Agent09_Loans!B87="","",Agent09_Loans!G87)</f>
        <v/>
      </c>
      <c r="H1677" s="37" t="str">
        <f>IF(Agent09_Loans!B87="","",Agent09_Loans!H87)</f>
        <v/>
      </c>
      <c r="I1677" s="40" t="str">
        <f>IF(Agent09_Loans!B87="","",Agent09_Loans!I87)</f>
        <v/>
      </c>
      <c r="J1677" s="40" t="str">
        <f>IF(Agent09_Loans!B87="","",Agent09_Loans!J87)</f>
        <v/>
      </c>
      <c r="K1677" s="37" t="str">
        <f>IF(Agent09_Loans!B87="","",Agent09_Loans!K87)</f>
        <v/>
      </c>
      <c r="L1677" s="37" t="str">
        <f>IF(Agent09_Loans!B87="","",Agent09_Loans!L87)</f>
        <v/>
      </c>
      <c r="M1677" s="37" t="str">
        <f>IFERROR(IF(Agent09_Loans!B87="","",YEAR(Agent09_Loans!D87)),"")</f>
        <v/>
      </c>
    </row>
    <row r="1678" spans="1:13" ht="18" customHeight="1" x14ac:dyDescent="0.25">
      <c r="A1678" s="37" t="str">
        <f>IF(Agent09_Loans!B88="","",Agent09_Loans!A88)</f>
        <v/>
      </c>
      <c r="B1678" s="37" t="str">
        <f>IF(Agent09_Loans!B88="","",Agent09_Loans!B88)</f>
        <v/>
      </c>
      <c r="C1678" s="37" t="str">
        <f>IF(Agent09_Loans!B88="","",Agent09_Loans!C88)</f>
        <v/>
      </c>
      <c r="D1678" s="38" t="str">
        <f>IF(Agent09_Loans!B88="","",Agent09_Loans!D88)</f>
        <v/>
      </c>
      <c r="E1678" s="40" t="str">
        <f>IF(Agent09_Loans!B88="","",Agent09_Loans!E88)</f>
        <v/>
      </c>
      <c r="F1678" s="37" t="str">
        <f>IF(Agent09_Loans!B88="","",Agent09_Loans!F88)</f>
        <v/>
      </c>
      <c r="G1678" s="37" t="str">
        <f>IF(Agent09_Loans!B88="","",Agent09_Loans!G88)</f>
        <v/>
      </c>
      <c r="H1678" s="37" t="str">
        <f>IF(Agent09_Loans!B88="","",Agent09_Loans!H88)</f>
        <v/>
      </c>
      <c r="I1678" s="40" t="str">
        <f>IF(Agent09_Loans!B88="","",Agent09_Loans!I88)</f>
        <v/>
      </c>
      <c r="J1678" s="40" t="str">
        <f>IF(Agent09_Loans!B88="","",Agent09_Loans!J88)</f>
        <v/>
      </c>
      <c r="K1678" s="37" t="str">
        <f>IF(Agent09_Loans!B88="","",Agent09_Loans!K88)</f>
        <v/>
      </c>
      <c r="L1678" s="37" t="str">
        <f>IF(Agent09_Loans!B88="","",Agent09_Loans!L88)</f>
        <v/>
      </c>
      <c r="M1678" s="37" t="str">
        <f>IFERROR(IF(Agent09_Loans!B88="","",YEAR(Agent09_Loans!D88)),"")</f>
        <v/>
      </c>
    </row>
    <row r="1679" spans="1:13" ht="18" customHeight="1" x14ac:dyDescent="0.25">
      <c r="A1679" s="37" t="str">
        <f>IF(Agent09_Loans!B89="","",Agent09_Loans!A89)</f>
        <v/>
      </c>
      <c r="B1679" s="37" t="str">
        <f>IF(Agent09_Loans!B89="","",Agent09_Loans!B89)</f>
        <v/>
      </c>
      <c r="C1679" s="37" t="str">
        <f>IF(Agent09_Loans!B89="","",Agent09_Loans!C89)</f>
        <v/>
      </c>
      <c r="D1679" s="38" t="str">
        <f>IF(Agent09_Loans!B89="","",Agent09_Loans!D89)</f>
        <v/>
      </c>
      <c r="E1679" s="40" t="str">
        <f>IF(Agent09_Loans!B89="","",Agent09_Loans!E89)</f>
        <v/>
      </c>
      <c r="F1679" s="37" t="str">
        <f>IF(Agent09_Loans!B89="","",Agent09_Loans!F89)</f>
        <v/>
      </c>
      <c r="G1679" s="37" t="str">
        <f>IF(Agent09_Loans!B89="","",Agent09_Loans!G89)</f>
        <v/>
      </c>
      <c r="H1679" s="37" t="str">
        <f>IF(Agent09_Loans!B89="","",Agent09_Loans!H89)</f>
        <v/>
      </c>
      <c r="I1679" s="40" t="str">
        <f>IF(Agent09_Loans!B89="","",Agent09_Loans!I89)</f>
        <v/>
      </c>
      <c r="J1679" s="40" t="str">
        <f>IF(Agent09_Loans!B89="","",Agent09_Loans!J89)</f>
        <v/>
      </c>
      <c r="K1679" s="37" t="str">
        <f>IF(Agent09_Loans!B89="","",Agent09_Loans!K89)</f>
        <v/>
      </c>
      <c r="L1679" s="37" t="str">
        <f>IF(Agent09_Loans!B89="","",Agent09_Loans!L89)</f>
        <v/>
      </c>
      <c r="M1679" s="37" t="str">
        <f>IFERROR(IF(Agent09_Loans!B89="","",YEAR(Agent09_Loans!D89)),"")</f>
        <v/>
      </c>
    </row>
    <row r="1680" spans="1:13" ht="18" customHeight="1" x14ac:dyDescent="0.25">
      <c r="A1680" s="37" t="str">
        <f>IF(Agent09_Loans!B90="","",Agent09_Loans!A90)</f>
        <v/>
      </c>
      <c r="B1680" s="37" t="str">
        <f>IF(Agent09_Loans!B90="","",Agent09_Loans!B90)</f>
        <v/>
      </c>
      <c r="C1680" s="37" t="str">
        <f>IF(Agent09_Loans!B90="","",Agent09_Loans!C90)</f>
        <v/>
      </c>
      <c r="D1680" s="38" t="str">
        <f>IF(Agent09_Loans!B90="","",Agent09_Loans!D90)</f>
        <v/>
      </c>
      <c r="E1680" s="40" t="str">
        <f>IF(Agent09_Loans!B90="","",Agent09_Loans!E90)</f>
        <v/>
      </c>
      <c r="F1680" s="37" t="str">
        <f>IF(Agent09_Loans!B90="","",Agent09_Loans!F90)</f>
        <v/>
      </c>
      <c r="G1680" s="37" t="str">
        <f>IF(Agent09_Loans!B90="","",Agent09_Loans!G90)</f>
        <v/>
      </c>
      <c r="H1680" s="37" t="str">
        <f>IF(Agent09_Loans!B90="","",Agent09_Loans!H90)</f>
        <v/>
      </c>
      <c r="I1680" s="40" t="str">
        <f>IF(Agent09_Loans!B90="","",Agent09_Loans!I90)</f>
        <v/>
      </c>
      <c r="J1680" s="40" t="str">
        <f>IF(Agent09_Loans!B90="","",Agent09_Loans!J90)</f>
        <v/>
      </c>
      <c r="K1680" s="37" t="str">
        <f>IF(Agent09_Loans!B90="","",Agent09_Loans!K90)</f>
        <v/>
      </c>
      <c r="L1680" s="37" t="str">
        <f>IF(Agent09_Loans!B90="","",Agent09_Loans!L90)</f>
        <v/>
      </c>
      <c r="M1680" s="37" t="str">
        <f>IFERROR(IF(Agent09_Loans!B90="","",YEAR(Agent09_Loans!D90)),"")</f>
        <v/>
      </c>
    </row>
    <row r="1681" spans="1:13" ht="18" customHeight="1" x14ac:dyDescent="0.25">
      <c r="A1681" s="37" t="str">
        <f>IF(Agent09_Loans!B91="","",Agent09_Loans!A91)</f>
        <v/>
      </c>
      <c r="B1681" s="37" t="str">
        <f>IF(Agent09_Loans!B91="","",Agent09_Loans!B91)</f>
        <v/>
      </c>
      <c r="C1681" s="37" t="str">
        <f>IF(Agent09_Loans!B91="","",Agent09_Loans!C91)</f>
        <v/>
      </c>
      <c r="D1681" s="38" t="str">
        <f>IF(Agent09_Loans!B91="","",Agent09_Loans!D91)</f>
        <v/>
      </c>
      <c r="E1681" s="40" t="str">
        <f>IF(Agent09_Loans!B91="","",Agent09_Loans!E91)</f>
        <v/>
      </c>
      <c r="F1681" s="37" t="str">
        <f>IF(Agent09_Loans!B91="","",Agent09_Loans!F91)</f>
        <v/>
      </c>
      <c r="G1681" s="37" t="str">
        <f>IF(Agent09_Loans!B91="","",Agent09_Loans!G91)</f>
        <v/>
      </c>
      <c r="H1681" s="37" t="str">
        <f>IF(Agent09_Loans!B91="","",Agent09_Loans!H91)</f>
        <v/>
      </c>
      <c r="I1681" s="40" t="str">
        <f>IF(Agent09_Loans!B91="","",Agent09_Loans!I91)</f>
        <v/>
      </c>
      <c r="J1681" s="40" t="str">
        <f>IF(Agent09_Loans!B91="","",Agent09_Loans!J91)</f>
        <v/>
      </c>
      <c r="K1681" s="37" t="str">
        <f>IF(Agent09_Loans!B91="","",Agent09_Loans!K91)</f>
        <v/>
      </c>
      <c r="L1681" s="37" t="str">
        <f>IF(Agent09_Loans!B91="","",Agent09_Loans!L91)</f>
        <v/>
      </c>
      <c r="M1681" s="37" t="str">
        <f>IFERROR(IF(Agent09_Loans!B91="","",YEAR(Agent09_Loans!D91)),"")</f>
        <v/>
      </c>
    </row>
    <row r="1682" spans="1:13" ht="18" customHeight="1" x14ac:dyDescent="0.25">
      <c r="A1682" s="37" t="str">
        <f>IF(Agent09_Loans!B92="","",Agent09_Loans!A92)</f>
        <v/>
      </c>
      <c r="B1682" s="37" t="str">
        <f>IF(Agent09_Loans!B92="","",Agent09_Loans!B92)</f>
        <v/>
      </c>
      <c r="C1682" s="37" t="str">
        <f>IF(Agent09_Loans!B92="","",Agent09_Loans!C92)</f>
        <v/>
      </c>
      <c r="D1682" s="38" t="str">
        <f>IF(Agent09_Loans!B92="","",Agent09_Loans!D92)</f>
        <v/>
      </c>
      <c r="E1682" s="40" t="str">
        <f>IF(Agent09_Loans!B92="","",Agent09_Loans!E92)</f>
        <v/>
      </c>
      <c r="F1682" s="37" t="str">
        <f>IF(Agent09_Loans!B92="","",Agent09_Loans!F92)</f>
        <v/>
      </c>
      <c r="G1682" s="37" t="str">
        <f>IF(Agent09_Loans!B92="","",Agent09_Loans!G92)</f>
        <v/>
      </c>
      <c r="H1682" s="37" t="str">
        <f>IF(Agent09_Loans!B92="","",Agent09_Loans!H92)</f>
        <v/>
      </c>
      <c r="I1682" s="40" t="str">
        <f>IF(Agent09_Loans!B92="","",Agent09_Loans!I92)</f>
        <v/>
      </c>
      <c r="J1682" s="40" t="str">
        <f>IF(Agent09_Loans!B92="","",Agent09_Loans!J92)</f>
        <v/>
      </c>
      <c r="K1682" s="37" t="str">
        <f>IF(Agent09_Loans!B92="","",Agent09_Loans!K92)</f>
        <v/>
      </c>
      <c r="L1682" s="37" t="str">
        <f>IF(Agent09_Loans!B92="","",Agent09_Loans!L92)</f>
        <v/>
      </c>
      <c r="M1682" s="37" t="str">
        <f>IFERROR(IF(Agent09_Loans!B92="","",YEAR(Agent09_Loans!D92)),"")</f>
        <v/>
      </c>
    </row>
    <row r="1683" spans="1:13" ht="18" customHeight="1" x14ac:dyDescent="0.25">
      <c r="A1683" s="37" t="str">
        <f>IF(Agent09_Loans!B93="","",Agent09_Loans!A93)</f>
        <v/>
      </c>
      <c r="B1683" s="37" t="str">
        <f>IF(Agent09_Loans!B93="","",Agent09_Loans!B93)</f>
        <v/>
      </c>
      <c r="C1683" s="37" t="str">
        <f>IF(Agent09_Loans!B93="","",Agent09_Loans!C93)</f>
        <v/>
      </c>
      <c r="D1683" s="38" t="str">
        <f>IF(Agent09_Loans!B93="","",Agent09_Loans!D93)</f>
        <v/>
      </c>
      <c r="E1683" s="40" t="str">
        <f>IF(Agent09_Loans!B93="","",Agent09_Loans!E93)</f>
        <v/>
      </c>
      <c r="F1683" s="37" t="str">
        <f>IF(Agent09_Loans!B93="","",Agent09_Loans!F93)</f>
        <v/>
      </c>
      <c r="G1683" s="37" t="str">
        <f>IF(Agent09_Loans!B93="","",Agent09_Loans!G93)</f>
        <v/>
      </c>
      <c r="H1683" s="37" t="str">
        <f>IF(Agent09_Loans!B93="","",Agent09_Loans!H93)</f>
        <v/>
      </c>
      <c r="I1683" s="40" t="str">
        <f>IF(Agent09_Loans!B93="","",Agent09_Loans!I93)</f>
        <v/>
      </c>
      <c r="J1683" s="40" t="str">
        <f>IF(Agent09_Loans!B93="","",Agent09_Loans!J93)</f>
        <v/>
      </c>
      <c r="K1683" s="37" t="str">
        <f>IF(Agent09_Loans!B93="","",Agent09_Loans!K93)</f>
        <v/>
      </c>
      <c r="L1683" s="37" t="str">
        <f>IF(Agent09_Loans!B93="","",Agent09_Loans!L93)</f>
        <v/>
      </c>
      <c r="M1683" s="37" t="str">
        <f>IFERROR(IF(Agent09_Loans!B93="","",YEAR(Agent09_Loans!D93)),"")</f>
        <v/>
      </c>
    </row>
    <row r="1684" spans="1:13" ht="18" customHeight="1" x14ac:dyDescent="0.25">
      <c r="A1684" s="37" t="str">
        <f>IF(Agent09_Loans!B94="","",Agent09_Loans!A94)</f>
        <v/>
      </c>
      <c r="B1684" s="37" t="str">
        <f>IF(Agent09_Loans!B94="","",Agent09_Loans!B94)</f>
        <v/>
      </c>
      <c r="C1684" s="37" t="str">
        <f>IF(Agent09_Loans!B94="","",Agent09_Loans!C94)</f>
        <v/>
      </c>
      <c r="D1684" s="38" t="str">
        <f>IF(Agent09_Loans!B94="","",Agent09_Loans!D94)</f>
        <v/>
      </c>
      <c r="E1684" s="40" t="str">
        <f>IF(Agent09_Loans!B94="","",Agent09_Loans!E94)</f>
        <v/>
      </c>
      <c r="F1684" s="37" t="str">
        <f>IF(Agent09_Loans!B94="","",Agent09_Loans!F94)</f>
        <v/>
      </c>
      <c r="G1684" s="37" t="str">
        <f>IF(Agent09_Loans!B94="","",Agent09_Loans!G94)</f>
        <v/>
      </c>
      <c r="H1684" s="37" t="str">
        <f>IF(Agent09_Loans!B94="","",Agent09_Loans!H94)</f>
        <v/>
      </c>
      <c r="I1684" s="40" t="str">
        <f>IF(Agent09_Loans!B94="","",Agent09_Loans!I94)</f>
        <v/>
      </c>
      <c r="J1684" s="40" t="str">
        <f>IF(Agent09_Loans!B94="","",Agent09_Loans!J94)</f>
        <v/>
      </c>
      <c r="K1684" s="37" t="str">
        <f>IF(Agent09_Loans!B94="","",Agent09_Loans!K94)</f>
        <v/>
      </c>
      <c r="L1684" s="37" t="str">
        <f>IF(Agent09_Loans!B94="","",Agent09_Loans!L94)</f>
        <v/>
      </c>
      <c r="M1684" s="37" t="str">
        <f>IFERROR(IF(Agent09_Loans!B94="","",YEAR(Agent09_Loans!D94)),"")</f>
        <v/>
      </c>
    </row>
    <row r="1685" spans="1:13" ht="18" customHeight="1" x14ac:dyDescent="0.25">
      <c r="A1685" s="37" t="str">
        <f>IF(Agent09_Loans!B95="","",Agent09_Loans!A95)</f>
        <v/>
      </c>
      <c r="B1685" s="37" t="str">
        <f>IF(Agent09_Loans!B95="","",Agent09_Loans!B95)</f>
        <v/>
      </c>
      <c r="C1685" s="37" t="str">
        <f>IF(Agent09_Loans!B95="","",Agent09_Loans!C95)</f>
        <v/>
      </c>
      <c r="D1685" s="38" t="str">
        <f>IF(Agent09_Loans!B95="","",Agent09_Loans!D95)</f>
        <v/>
      </c>
      <c r="E1685" s="40" t="str">
        <f>IF(Agent09_Loans!B95="","",Agent09_Loans!E95)</f>
        <v/>
      </c>
      <c r="F1685" s="37" t="str">
        <f>IF(Agent09_Loans!B95="","",Agent09_Loans!F95)</f>
        <v/>
      </c>
      <c r="G1685" s="37" t="str">
        <f>IF(Agent09_Loans!B95="","",Agent09_Loans!G95)</f>
        <v/>
      </c>
      <c r="H1685" s="37" t="str">
        <f>IF(Agent09_Loans!B95="","",Agent09_Loans!H95)</f>
        <v/>
      </c>
      <c r="I1685" s="40" t="str">
        <f>IF(Agent09_Loans!B95="","",Agent09_Loans!I95)</f>
        <v/>
      </c>
      <c r="J1685" s="40" t="str">
        <f>IF(Agent09_Loans!B95="","",Agent09_Loans!J95)</f>
        <v/>
      </c>
      <c r="K1685" s="37" t="str">
        <f>IF(Agent09_Loans!B95="","",Agent09_Loans!K95)</f>
        <v/>
      </c>
      <c r="L1685" s="37" t="str">
        <f>IF(Agent09_Loans!B95="","",Agent09_Loans!L95)</f>
        <v/>
      </c>
      <c r="M1685" s="37" t="str">
        <f>IFERROR(IF(Agent09_Loans!B95="","",YEAR(Agent09_Loans!D95)),"")</f>
        <v/>
      </c>
    </row>
    <row r="1686" spans="1:13" ht="18" customHeight="1" x14ac:dyDescent="0.25">
      <c r="A1686" s="37" t="str">
        <f>IF(Agent09_Loans!B96="","",Agent09_Loans!A96)</f>
        <v/>
      </c>
      <c r="B1686" s="37" t="str">
        <f>IF(Agent09_Loans!B96="","",Agent09_Loans!B96)</f>
        <v/>
      </c>
      <c r="C1686" s="37" t="str">
        <f>IF(Agent09_Loans!B96="","",Agent09_Loans!C96)</f>
        <v/>
      </c>
      <c r="D1686" s="38" t="str">
        <f>IF(Agent09_Loans!B96="","",Agent09_Loans!D96)</f>
        <v/>
      </c>
      <c r="E1686" s="40" t="str">
        <f>IF(Agent09_Loans!B96="","",Agent09_Loans!E96)</f>
        <v/>
      </c>
      <c r="F1686" s="37" t="str">
        <f>IF(Agent09_Loans!B96="","",Agent09_Loans!F96)</f>
        <v/>
      </c>
      <c r="G1686" s="37" t="str">
        <f>IF(Agent09_Loans!B96="","",Agent09_Loans!G96)</f>
        <v/>
      </c>
      <c r="H1686" s="37" t="str">
        <f>IF(Agent09_Loans!B96="","",Agent09_Loans!H96)</f>
        <v/>
      </c>
      <c r="I1686" s="40" t="str">
        <f>IF(Agent09_Loans!B96="","",Agent09_Loans!I96)</f>
        <v/>
      </c>
      <c r="J1686" s="40" t="str">
        <f>IF(Agent09_Loans!B96="","",Agent09_Loans!J96)</f>
        <v/>
      </c>
      <c r="K1686" s="37" t="str">
        <f>IF(Agent09_Loans!B96="","",Agent09_Loans!K96)</f>
        <v/>
      </c>
      <c r="L1686" s="37" t="str">
        <f>IF(Agent09_Loans!B96="","",Agent09_Loans!L96)</f>
        <v/>
      </c>
      <c r="M1686" s="37" t="str">
        <f>IFERROR(IF(Agent09_Loans!B96="","",YEAR(Agent09_Loans!D96)),"")</f>
        <v/>
      </c>
    </row>
    <row r="1687" spans="1:13" ht="18" customHeight="1" x14ac:dyDescent="0.25">
      <c r="A1687" s="37" t="str">
        <f>IF(Agent09_Loans!B97="","",Agent09_Loans!A97)</f>
        <v/>
      </c>
      <c r="B1687" s="37" t="str">
        <f>IF(Agent09_Loans!B97="","",Agent09_Loans!B97)</f>
        <v/>
      </c>
      <c r="C1687" s="37" t="str">
        <f>IF(Agent09_Loans!B97="","",Agent09_Loans!C97)</f>
        <v/>
      </c>
      <c r="D1687" s="38" t="str">
        <f>IF(Agent09_Loans!B97="","",Agent09_Loans!D97)</f>
        <v/>
      </c>
      <c r="E1687" s="40" t="str">
        <f>IF(Agent09_Loans!B97="","",Agent09_Loans!E97)</f>
        <v/>
      </c>
      <c r="F1687" s="37" t="str">
        <f>IF(Agent09_Loans!B97="","",Agent09_Loans!F97)</f>
        <v/>
      </c>
      <c r="G1687" s="37" t="str">
        <f>IF(Agent09_Loans!B97="","",Agent09_Loans!G97)</f>
        <v/>
      </c>
      <c r="H1687" s="37" t="str">
        <f>IF(Agent09_Loans!B97="","",Agent09_Loans!H97)</f>
        <v/>
      </c>
      <c r="I1687" s="40" t="str">
        <f>IF(Agent09_Loans!B97="","",Agent09_Loans!I97)</f>
        <v/>
      </c>
      <c r="J1687" s="40" t="str">
        <f>IF(Agent09_Loans!B97="","",Agent09_Loans!J97)</f>
        <v/>
      </c>
      <c r="K1687" s="37" t="str">
        <f>IF(Agent09_Loans!B97="","",Agent09_Loans!K97)</f>
        <v/>
      </c>
      <c r="L1687" s="37" t="str">
        <f>IF(Agent09_Loans!B97="","",Agent09_Loans!L97)</f>
        <v/>
      </c>
      <c r="M1687" s="37" t="str">
        <f>IFERROR(IF(Agent09_Loans!B97="","",YEAR(Agent09_Loans!D97)),"")</f>
        <v/>
      </c>
    </row>
    <row r="1688" spans="1:13" ht="18" customHeight="1" x14ac:dyDescent="0.25">
      <c r="A1688" s="37" t="str">
        <f>IF(Agent09_Loans!B98="","",Agent09_Loans!A98)</f>
        <v/>
      </c>
      <c r="B1688" s="37" t="str">
        <f>IF(Agent09_Loans!B98="","",Agent09_Loans!B98)</f>
        <v/>
      </c>
      <c r="C1688" s="37" t="str">
        <f>IF(Agent09_Loans!B98="","",Agent09_Loans!C98)</f>
        <v/>
      </c>
      <c r="D1688" s="38" t="str">
        <f>IF(Agent09_Loans!B98="","",Agent09_Loans!D98)</f>
        <v/>
      </c>
      <c r="E1688" s="40" t="str">
        <f>IF(Agent09_Loans!B98="","",Agent09_Loans!E98)</f>
        <v/>
      </c>
      <c r="F1688" s="37" t="str">
        <f>IF(Agent09_Loans!B98="","",Agent09_Loans!F98)</f>
        <v/>
      </c>
      <c r="G1688" s="37" t="str">
        <f>IF(Agent09_Loans!B98="","",Agent09_Loans!G98)</f>
        <v/>
      </c>
      <c r="H1688" s="37" t="str">
        <f>IF(Agent09_Loans!B98="","",Agent09_Loans!H98)</f>
        <v/>
      </c>
      <c r="I1688" s="40" t="str">
        <f>IF(Agent09_Loans!B98="","",Agent09_Loans!I98)</f>
        <v/>
      </c>
      <c r="J1688" s="40" t="str">
        <f>IF(Agent09_Loans!B98="","",Agent09_Loans!J98)</f>
        <v/>
      </c>
      <c r="K1688" s="37" t="str">
        <f>IF(Agent09_Loans!B98="","",Agent09_Loans!K98)</f>
        <v/>
      </c>
      <c r="L1688" s="37" t="str">
        <f>IF(Agent09_Loans!B98="","",Agent09_Loans!L98)</f>
        <v/>
      </c>
      <c r="M1688" s="37" t="str">
        <f>IFERROR(IF(Agent09_Loans!B98="","",YEAR(Agent09_Loans!D98)),"")</f>
        <v/>
      </c>
    </row>
    <row r="1689" spans="1:13" ht="18" customHeight="1" x14ac:dyDescent="0.25">
      <c r="A1689" s="37" t="str">
        <f>IF(Agent09_Loans!B99="","",Agent09_Loans!A99)</f>
        <v/>
      </c>
      <c r="B1689" s="37" t="str">
        <f>IF(Agent09_Loans!B99="","",Agent09_Loans!B99)</f>
        <v/>
      </c>
      <c r="C1689" s="37" t="str">
        <f>IF(Agent09_Loans!B99="","",Agent09_Loans!C99)</f>
        <v/>
      </c>
      <c r="D1689" s="38" t="str">
        <f>IF(Agent09_Loans!B99="","",Agent09_Loans!D99)</f>
        <v/>
      </c>
      <c r="E1689" s="40" t="str">
        <f>IF(Agent09_Loans!B99="","",Agent09_Loans!E99)</f>
        <v/>
      </c>
      <c r="F1689" s="37" t="str">
        <f>IF(Agent09_Loans!B99="","",Agent09_Loans!F99)</f>
        <v/>
      </c>
      <c r="G1689" s="37" t="str">
        <f>IF(Agent09_Loans!B99="","",Agent09_Loans!G99)</f>
        <v/>
      </c>
      <c r="H1689" s="37" t="str">
        <f>IF(Agent09_Loans!B99="","",Agent09_Loans!H99)</f>
        <v/>
      </c>
      <c r="I1689" s="40" t="str">
        <f>IF(Agent09_Loans!B99="","",Agent09_Loans!I99)</f>
        <v/>
      </c>
      <c r="J1689" s="40" t="str">
        <f>IF(Agent09_Loans!B99="","",Agent09_Loans!J99)</f>
        <v/>
      </c>
      <c r="K1689" s="37" t="str">
        <f>IF(Agent09_Loans!B99="","",Agent09_Loans!K99)</f>
        <v/>
      </c>
      <c r="L1689" s="37" t="str">
        <f>IF(Agent09_Loans!B99="","",Agent09_Loans!L99)</f>
        <v/>
      </c>
      <c r="M1689" s="37" t="str">
        <f>IFERROR(IF(Agent09_Loans!B99="","",YEAR(Agent09_Loans!D99)),"")</f>
        <v/>
      </c>
    </row>
    <row r="1690" spans="1:13" ht="18" customHeight="1" x14ac:dyDescent="0.25">
      <c r="A1690" s="37" t="str">
        <f>IF(Agent09_Loans!B100="","",Agent09_Loans!A100)</f>
        <v/>
      </c>
      <c r="B1690" s="37" t="str">
        <f>IF(Agent09_Loans!B100="","",Agent09_Loans!B100)</f>
        <v/>
      </c>
      <c r="C1690" s="37" t="str">
        <f>IF(Agent09_Loans!B100="","",Agent09_Loans!C100)</f>
        <v/>
      </c>
      <c r="D1690" s="38" t="str">
        <f>IF(Agent09_Loans!B100="","",Agent09_Loans!D100)</f>
        <v/>
      </c>
      <c r="E1690" s="40" t="str">
        <f>IF(Agent09_Loans!B100="","",Agent09_Loans!E100)</f>
        <v/>
      </c>
      <c r="F1690" s="37" t="str">
        <f>IF(Agent09_Loans!B100="","",Agent09_Loans!F100)</f>
        <v/>
      </c>
      <c r="G1690" s="37" t="str">
        <f>IF(Agent09_Loans!B100="","",Agent09_Loans!G100)</f>
        <v/>
      </c>
      <c r="H1690" s="37" t="str">
        <f>IF(Agent09_Loans!B100="","",Agent09_Loans!H100)</f>
        <v/>
      </c>
      <c r="I1690" s="40" t="str">
        <f>IF(Agent09_Loans!B100="","",Agent09_Loans!I100)</f>
        <v/>
      </c>
      <c r="J1690" s="40" t="str">
        <f>IF(Agent09_Loans!B100="","",Agent09_Loans!J100)</f>
        <v/>
      </c>
      <c r="K1690" s="37" t="str">
        <f>IF(Agent09_Loans!B100="","",Agent09_Loans!K100)</f>
        <v/>
      </c>
      <c r="L1690" s="37" t="str">
        <f>IF(Agent09_Loans!B100="","",Agent09_Loans!L100)</f>
        <v/>
      </c>
      <c r="M1690" s="37" t="str">
        <f>IFERROR(IF(Agent09_Loans!B100="","",YEAR(Agent09_Loans!D100)),"")</f>
        <v/>
      </c>
    </row>
    <row r="1691" spans="1:13" ht="18" customHeight="1" x14ac:dyDescent="0.25">
      <c r="A1691" s="37" t="str">
        <f>IF(Agent09_Loans!B101="","",Agent09_Loans!A101)</f>
        <v/>
      </c>
      <c r="B1691" s="37" t="str">
        <f>IF(Agent09_Loans!B101="","",Agent09_Loans!B101)</f>
        <v/>
      </c>
      <c r="C1691" s="37" t="str">
        <f>IF(Agent09_Loans!B101="","",Agent09_Loans!C101)</f>
        <v/>
      </c>
      <c r="D1691" s="38" t="str">
        <f>IF(Agent09_Loans!B101="","",Agent09_Loans!D101)</f>
        <v/>
      </c>
      <c r="E1691" s="40" t="str">
        <f>IF(Agent09_Loans!B101="","",Agent09_Loans!E101)</f>
        <v/>
      </c>
      <c r="F1691" s="37" t="str">
        <f>IF(Agent09_Loans!B101="","",Agent09_Loans!F101)</f>
        <v/>
      </c>
      <c r="G1691" s="37" t="str">
        <f>IF(Agent09_Loans!B101="","",Agent09_Loans!G101)</f>
        <v/>
      </c>
      <c r="H1691" s="37" t="str">
        <f>IF(Agent09_Loans!B101="","",Agent09_Loans!H101)</f>
        <v/>
      </c>
      <c r="I1691" s="40" t="str">
        <f>IF(Agent09_Loans!B101="","",Agent09_Loans!I101)</f>
        <v/>
      </c>
      <c r="J1691" s="40" t="str">
        <f>IF(Agent09_Loans!B101="","",Agent09_Loans!J101)</f>
        <v/>
      </c>
      <c r="K1691" s="37" t="str">
        <f>IF(Agent09_Loans!B101="","",Agent09_Loans!K101)</f>
        <v/>
      </c>
      <c r="L1691" s="37" t="str">
        <f>IF(Agent09_Loans!B101="","",Agent09_Loans!L101)</f>
        <v/>
      </c>
      <c r="M1691" s="37" t="str">
        <f>IFERROR(IF(Agent09_Loans!B101="","",YEAR(Agent09_Loans!D101)),"")</f>
        <v/>
      </c>
    </row>
    <row r="1692" spans="1:13" ht="18" customHeight="1" x14ac:dyDescent="0.25">
      <c r="A1692" s="37" t="str">
        <f>IF(Agent09_Loans!B102="","",Agent09_Loans!A102)</f>
        <v/>
      </c>
      <c r="B1692" s="37" t="str">
        <f>IF(Agent09_Loans!B102="","",Agent09_Loans!B102)</f>
        <v/>
      </c>
      <c r="C1692" s="37" t="str">
        <f>IF(Agent09_Loans!B102="","",Agent09_Loans!C102)</f>
        <v/>
      </c>
      <c r="D1692" s="38" t="str">
        <f>IF(Agent09_Loans!B102="","",Agent09_Loans!D102)</f>
        <v/>
      </c>
      <c r="E1692" s="40" t="str">
        <f>IF(Agent09_Loans!B102="","",Agent09_Loans!E102)</f>
        <v/>
      </c>
      <c r="F1692" s="37" t="str">
        <f>IF(Agent09_Loans!B102="","",Agent09_Loans!F102)</f>
        <v/>
      </c>
      <c r="G1692" s="37" t="str">
        <f>IF(Agent09_Loans!B102="","",Agent09_Loans!G102)</f>
        <v/>
      </c>
      <c r="H1692" s="37" t="str">
        <f>IF(Agent09_Loans!B102="","",Agent09_Loans!H102)</f>
        <v/>
      </c>
      <c r="I1692" s="40" t="str">
        <f>IF(Agent09_Loans!B102="","",Agent09_Loans!I102)</f>
        <v/>
      </c>
      <c r="J1692" s="40" t="str">
        <f>IF(Agent09_Loans!B102="","",Agent09_Loans!J102)</f>
        <v/>
      </c>
      <c r="K1692" s="37" t="str">
        <f>IF(Agent09_Loans!B102="","",Agent09_Loans!K102)</f>
        <v/>
      </c>
      <c r="L1692" s="37" t="str">
        <f>IF(Agent09_Loans!B102="","",Agent09_Loans!L102)</f>
        <v/>
      </c>
      <c r="M1692" s="37" t="str">
        <f>IFERROR(IF(Agent09_Loans!B102="","",YEAR(Agent09_Loans!D102)),"")</f>
        <v/>
      </c>
    </row>
    <row r="1693" spans="1:13" ht="18" customHeight="1" x14ac:dyDescent="0.25">
      <c r="A1693" s="37" t="str">
        <f>IF(Agent09_Loans!B103="","",Agent09_Loans!A103)</f>
        <v/>
      </c>
      <c r="B1693" s="37" t="str">
        <f>IF(Agent09_Loans!B103="","",Agent09_Loans!B103)</f>
        <v/>
      </c>
      <c r="C1693" s="37" t="str">
        <f>IF(Agent09_Loans!B103="","",Agent09_Loans!C103)</f>
        <v/>
      </c>
      <c r="D1693" s="38" t="str">
        <f>IF(Agent09_Loans!B103="","",Agent09_Loans!D103)</f>
        <v/>
      </c>
      <c r="E1693" s="40" t="str">
        <f>IF(Agent09_Loans!B103="","",Agent09_Loans!E103)</f>
        <v/>
      </c>
      <c r="F1693" s="37" t="str">
        <f>IF(Agent09_Loans!B103="","",Agent09_Loans!F103)</f>
        <v/>
      </c>
      <c r="G1693" s="37" t="str">
        <f>IF(Agent09_Loans!B103="","",Agent09_Loans!G103)</f>
        <v/>
      </c>
      <c r="H1693" s="37" t="str">
        <f>IF(Agent09_Loans!B103="","",Agent09_Loans!H103)</f>
        <v/>
      </c>
      <c r="I1693" s="40" t="str">
        <f>IF(Agent09_Loans!B103="","",Agent09_Loans!I103)</f>
        <v/>
      </c>
      <c r="J1693" s="40" t="str">
        <f>IF(Agent09_Loans!B103="","",Agent09_Loans!J103)</f>
        <v/>
      </c>
      <c r="K1693" s="37" t="str">
        <f>IF(Agent09_Loans!B103="","",Agent09_Loans!K103)</f>
        <v/>
      </c>
      <c r="L1693" s="37" t="str">
        <f>IF(Agent09_Loans!B103="","",Agent09_Loans!L103)</f>
        <v/>
      </c>
      <c r="M1693" s="37" t="str">
        <f>IFERROR(IF(Agent09_Loans!B103="","",YEAR(Agent09_Loans!D103)),"")</f>
        <v/>
      </c>
    </row>
    <row r="1694" spans="1:13" ht="18" customHeight="1" x14ac:dyDescent="0.25">
      <c r="A1694" s="37" t="str">
        <f>IF(Agent09_Loans!B104="","",Agent09_Loans!A104)</f>
        <v/>
      </c>
      <c r="B1694" s="37" t="str">
        <f>IF(Agent09_Loans!B104="","",Agent09_Loans!B104)</f>
        <v/>
      </c>
      <c r="C1694" s="37" t="str">
        <f>IF(Agent09_Loans!B104="","",Agent09_Loans!C104)</f>
        <v/>
      </c>
      <c r="D1694" s="38" t="str">
        <f>IF(Agent09_Loans!B104="","",Agent09_Loans!D104)</f>
        <v/>
      </c>
      <c r="E1694" s="40" t="str">
        <f>IF(Agent09_Loans!B104="","",Agent09_Loans!E104)</f>
        <v/>
      </c>
      <c r="F1694" s="37" t="str">
        <f>IF(Agent09_Loans!B104="","",Agent09_Loans!F104)</f>
        <v/>
      </c>
      <c r="G1694" s="37" t="str">
        <f>IF(Agent09_Loans!B104="","",Agent09_Loans!G104)</f>
        <v/>
      </c>
      <c r="H1694" s="37" t="str">
        <f>IF(Agent09_Loans!B104="","",Agent09_Loans!H104)</f>
        <v/>
      </c>
      <c r="I1694" s="40" t="str">
        <f>IF(Agent09_Loans!B104="","",Agent09_Loans!I104)</f>
        <v/>
      </c>
      <c r="J1694" s="40" t="str">
        <f>IF(Agent09_Loans!B104="","",Agent09_Loans!J104)</f>
        <v/>
      </c>
      <c r="K1694" s="37" t="str">
        <f>IF(Agent09_Loans!B104="","",Agent09_Loans!K104)</f>
        <v/>
      </c>
      <c r="L1694" s="37" t="str">
        <f>IF(Agent09_Loans!B104="","",Agent09_Loans!L104)</f>
        <v/>
      </c>
      <c r="M1694" s="37" t="str">
        <f>IFERROR(IF(Agent09_Loans!B104="","",YEAR(Agent09_Loans!D104)),"")</f>
        <v/>
      </c>
    </row>
    <row r="1695" spans="1:13" ht="18" customHeight="1" x14ac:dyDescent="0.25">
      <c r="A1695" s="37" t="str">
        <f>IF(Agent09_Loans!B105="","",Agent09_Loans!A105)</f>
        <v/>
      </c>
      <c r="B1695" s="37" t="str">
        <f>IF(Agent09_Loans!B105="","",Agent09_Loans!B105)</f>
        <v/>
      </c>
      <c r="C1695" s="37" t="str">
        <f>IF(Agent09_Loans!B105="","",Agent09_Loans!C105)</f>
        <v/>
      </c>
      <c r="D1695" s="38" t="str">
        <f>IF(Agent09_Loans!B105="","",Agent09_Loans!D105)</f>
        <v/>
      </c>
      <c r="E1695" s="40" t="str">
        <f>IF(Agent09_Loans!B105="","",Agent09_Loans!E105)</f>
        <v/>
      </c>
      <c r="F1695" s="37" t="str">
        <f>IF(Agent09_Loans!B105="","",Agent09_Loans!F105)</f>
        <v/>
      </c>
      <c r="G1695" s="37" t="str">
        <f>IF(Agent09_Loans!B105="","",Agent09_Loans!G105)</f>
        <v/>
      </c>
      <c r="H1695" s="37" t="str">
        <f>IF(Agent09_Loans!B105="","",Agent09_Loans!H105)</f>
        <v/>
      </c>
      <c r="I1695" s="40" t="str">
        <f>IF(Agent09_Loans!B105="","",Agent09_Loans!I105)</f>
        <v/>
      </c>
      <c r="J1695" s="40" t="str">
        <f>IF(Agent09_Loans!B105="","",Agent09_Loans!J105)</f>
        <v/>
      </c>
      <c r="K1695" s="37" t="str">
        <f>IF(Agent09_Loans!B105="","",Agent09_Loans!K105)</f>
        <v/>
      </c>
      <c r="L1695" s="37" t="str">
        <f>IF(Agent09_Loans!B105="","",Agent09_Loans!L105)</f>
        <v/>
      </c>
      <c r="M1695" s="37" t="str">
        <f>IFERROR(IF(Agent09_Loans!B105="","",YEAR(Agent09_Loans!D105)),"")</f>
        <v/>
      </c>
    </row>
    <row r="1696" spans="1:13" ht="18" customHeight="1" x14ac:dyDescent="0.25">
      <c r="A1696" s="37" t="str">
        <f>IF(Agent09_Loans!B106="","",Agent09_Loans!A106)</f>
        <v/>
      </c>
      <c r="B1696" s="37" t="str">
        <f>IF(Agent09_Loans!B106="","",Agent09_Loans!B106)</f>
        <v/>
      </c>
      <c r="C1696" s="37" t="str">
        <f>IF(Agent09_Loans!B106="","",Agent09_Loans!C106)</f>
        <v/>
      </c>
      <c r="D1696" s="38" t="str">
        <f>IF(Agent09_Loans!B106="","",Agent09_Loans!D106)</f>
        <v/>
      </c>
      <c r="E1696" s="40" t="str">
        <f>IF(Agent09_Loans!B106="","",Agent09_Loans!E106)</f>
        <v/>
      </c>
      <c r="F1696" s="37" t="str">
        <f>IF(Agent09_Loans!B106="","",Agent09_Loans!F106)</f>
        <v/>
      </c>
      <c r="G1696" s="37" t="str">
        <f>IF(Agent09_Loans!B106="","",Agent09_Loans!G106)</f>
        <v/>
      </c>
      <c r="H1696" s="37" t="str">
        <f>IF(Agent09_Loans!B106="","",Agent09_Loans!H106)</f>
        <v/>
      </c>
      <c r="I1696" s="40" t="str">
        <f>IF(Agent09_Loans!B106="","",Agent09_Loans!I106)</f>
        <v/>
      </c>
      <c r="J1696" s="40" t="str">
        <f>IF(Agent09_Loans!B106="","",Agent09_Loans!J106)</f>
        <v/>
      </c>
      <c r="K1696" s="37" t="str">
        <f>IF(Agent09_Loans!B106="","",Agent09_Loans!K106)</f>
        <v/>
      </c>
      <c r="L1696" s="37" t="str">
        <f>IF(Agent09_Loans!B106="","",Agent09_Loans!L106)</f>
        <v/>
      </c>
      <c r="M1696" s="37" t="str">
        <f>IFERROR(IF(Agent09_Loans!B106="","",YEAR(Agent09_Loans!D106)),"")</f>
        <v/>
      </c>
    </row>
    <row r="1697" spans="1:13" ht="18" customHeight="1" x14ac:dyDescent="0.25">
      <c r="A1697" s="37" t="str">
        <f>IF(Agent09_Loans!B107="","",Agent09_Loans!A107)</f>
        <v/>
      </c>
      <c r="B1697" s="37" t="str">
        <f>IF(Agent09_Loans!B107="","",Agent09_Loans!B107)</f>
        <v/>
      </c>
      <c r="C1697" s="37" t="str">
        <f>IF(Agent09_Loans!B107="","",Agent09_Loans!C107)</f>
        <v/>
      </c>
      <c r="D1697" s="38" t="str">
        <f>IF(Agent09_Loans!B107="","",Agent09_Loans!D107)</f>
        <v/>
      </c>
      <c r="E1697" s="40" t="str">
        <f>IF(Agent09_Loans!B107="","",Agent09_Loans!E107)</f>
        <v/>
      </c>
      <c r="F1697" s="37" t="str">
        <f>IF(Agent09_Loans!B107="","",Agent09_Loans!F107)</f>
        <v/>
      </c>
      <c r="G1697" s="37" t="str">
        <f>IF(Agent09_Loans!B107="","",Agent09_Loans!G107)</f>
        <v/>
      </c>
      <c r="H1697" s="37" t="str">
        <f>IF(Agent09_Loans!B107="","",Agent09_Loans!H107)</f>
        <v/>
      </c>
      <c r="I1697" s="40" t="str">
        <f>IF(Agent09_Loans!B107="","",Agent09_Loans!I107)</f>
        <v/>
      </c>
      <c r="J1697" s="40" t="str">
        <f>IF(Agent09_Loans!B107="","",Agent09_Loans!J107)</f>
        <v/>
      </c>
      <c r="K1697" s="37" t="str">
        <f>IF(Agent09_Loans!B107="","",Agent09_Loans!K107)</f>
        <v/>
      </c>
      <c r="L1697" s="37" t="str">
        <f>IF(Agent09_Loans!B107="","",Agent09_Loans!L107)</f>
        <v/>
      </c>
      <c r="M1697" s="37" t="str">
        <f>IFERROR(IF(Agent09_Loans!B107="","",YEAR(Agent09_Loans!D107)),"")</f>
        <v/>
      </c>
    </row>
    <row r="1698" spans="1:13" ht="18" customHeight="1" x14ac:dyDescent="0.25">
      <c r="A1698" s="37" t="str">
        <f>IF(Agent09_Loans!B108="","",Agent09_Loans!A108)</f>
        <v/>
      </c>
      <c r="B1698" s="37" t="str">
        <f>IF(Agent09_Loans!B108="","",Agent09_Loans!B108)</f>
        <v/>
      </c>
      <c r="C1698" s="37" t="str">
        <f>IF(Agent09_Loans!B108="","",Agent09_Loans!C108)</f>
        <v/>
      </c>
      <c r="D1698" s="38" t="str">
        <f>IF(Agent09_Loans!B108="","",Agent09_Loans!D108)</f>
        <v/>
      </c>
      <c r="E1698" s="40" t="str">
        <f>IF(Agent09_Loans!B108="","",Agent09_Loans!E108)</f>
        <v/>
      </c>
      <c r="F1698" s="37" t="str">
        <f>IF(Agent09_Loans!B108="","",Agent09_Loans!F108)</f>
        <v/>
      </c>
      <c r="G1698" s="37" t="str">
        <f>IF(Agent09_Loans!B108="","",Agent09_Loans!G108)</f>
        <v/>
      </c>
      <c r="H1698" s="37" t="str">
        <f>IF(Agent09_Loans!B108="","",Agent09_Loans!H108)</f>
        <v/>
      </c>
      <c r="I1698" s="40" t="str">
        <f>IF(Agent09_Loans!B108="","",Agent09_Loans!I108)</f>
        <v/>
      </c>
      <c r="J1698" s="40" t="str">
        <f>IF(Agent09_Loans!B108="","",Agent09_Loans!J108)</f>
        <v/>
      </c>
      <c r="K1698" s="37" t="str">
        <f>IF(Agent09_Loans!B108="","",Agent09_Loans!K108)</f>
        <v/>
      </c>
      <c r="L1698" s="37" t="str">
        <f>IF(Agent09_Loans!B108="","",Agent09_Loans!L108)</f>
        <v/>
      </c>
      <c r="M1698" s="37" t="str">
        <f>IFERROR(IF(Agent09_Loans!B108="","",YEAR(Agent09_Loans!D108)),"")</f>
        <v/>
      </c>
    </row>
    <row r="1699" spans="1:13" ht="18" customHeight="1" x14ac:dyDescent="0.25">
      <c r="A1699" s="37" t="str">
        <f>IF(Agent09_Loans!B109="","",Agent09_Loans!A109)</f>
        <v/>
      </c>
      <c r="B1699" s="37" t="str">
        <f>IF(Agent09_Loans!B109="","",Agent09_Loans!B109)</f>
        <v/>
      </c>
      <c r="C1699" s="37" t="str">
        <f>IF(Agent09_Loans!B109="","",Agent09_Loans!C109)</f>
        <v/>
      </c>
      <c r="D1699" s="38" t="str">
        <f>IF(Agent09_Loans!B109="","",Agent09_Loans!D109)</f>
        <v/>
      </c>
      <c r="E1699" s="40" t="str">
        <f>IF(Agent09_Loans!B109="","",Agent09_Loans!E109)</f>
        <v/>
      </c>
      <c r="F1699" s="37" t="str">
        <f>IF(Agent09_Loans!B109="","",Agent09_Loans!F109)</f>
        <v/>
      </c>
      <c r="G1699" s="37" t="str">
        <f>IF(Agent09_Loans!B109="","",Agent09_Loans!G109)</f>
        <v/>
      </c>
      <c r="H1699" s="37" t="str">
        <f>IF(Agent09_Loans!B109="","",Agent09_Loans!H109)</f>
        <v/>
      </c>
      <c r="I1699" s="40" t="str">
        <f>IF(Agent09_Loans!B109="","",Agent09_Loans!I109)</f>
        <v/>
      </c>
      <c r="J1699" s="40" t="str">
        <f>IF(Agent09_Loans!B109="","",Agent09_Loans!J109)</f>
        <v/>
      </c>
      <c r="K1699" s="37" t="str">
        <f>IF(Agent09_Loans!B109="","",Agent09_Loans!K109)</f>
        <v/>
      </c>
      <c r="L1699" s="37" t="str">
        <f>IF(Agent09_Loans!B109="","",Agent09_Loans!L109)</f>
        <v/>
      </c>
      <c r="M1699" s="37" t="str">
        <f>IFERROR(IF(Agent09_Loans!B109="","",YEAR(Agent09_Loans!D109)),"")</f>
        <v/>
      </c>
    </row>
    <row r="1700" spans="1:13" ht="18" customHeight="1" x14ac:dyDescent="0.25">
      <c r="A1700" s="37" t="str">
        <f>IF(Agent09_Loans!B110="","",Agent09_Loans!A110)</f>
        <v/>
      </c>
      <c r="B1700" s="37" t="str">
        <f>IF(Agent09_Loans!B110="","",Agent09_Loans!B110)</f>
        <v/>
      </c>
      <c r="C1700" s="37" t="str">
        <f>IF(Agent09_Loans!B110="","",Agent09_Loans!C110)</f>
        <v/>
      </c>
      <c r="D1700" s="38" t="str">
        <f>IF(Agent09_Loans!B110="","",Agent09_Loans!D110)</f>
        <v/>
      </c>
      <c r="E1700" s="40" t="str">
        <f>IF(Agent09_Loans!B110="","",Agent09_Loans!E110)</f>
        <v/>
      </c>
      <c r="F1700" s="37" t="str">
        <f>IF(Agent09_Loans!B110="","",Agent09_Loans!F110)</f>
        <v/>
      </c>
      <c r="G1700" s="37" t="str">
        <f>IF(Agent09_Loans!B110="","",Agent09_Loans!G110)</f>
        <v/>
      </c>
      <c r="H1700" s="37" t="str">
        <f>IF(Agent09_Loans!B110="","",Agent09_Loans!H110)</f>
        <v/>
      </c>
      <c r="I1700" s="40" t="str">
        <f>IF(Agent09_Loans!B110="","",Agent09_Loans!I110)</f>
        <v/>
      </c>
      <c r="J1700" s="40" t="str">
        <f>IF(Agent09_Loans!B110="","",Agent09_Loans!J110)</f>
        <v/>
      </c>
      <c r="K1700" s="37" t="str">
        <f>IF(Agent09_Loans!B110="","",Agent09_Loans!K110)</f>
        <v/>
      </c>
      <c r="L1700" s="37" t="str">
        <f>IF(Agent09_Loans!B110="","",Agent09_Loans!L110)</f>
        <v/>
      </c>
      <c r="M1700" s="37" t="str">
        <f>IFERROR(IF(Agent09_Loans!B110="","",YEAR(Agent09_Loans!D110)),"")</f>
        <v/>
      </c>
    </row>
    <row r="1701" spans="1:13" ht="18" customHeight="1" x14ac:dyDescent="0.25">
      <c r="A1701" s="37" t="str">
        <f>IF(Agent09_Loans!B111="","",Agent09_Loans!A111)</f>
        <v/>
      </c>
      <c r="B1701" s="37" t="str">
        <f>IF(Agent09_Loans!B111="","",Agent09_Loans!B111)</f>
        <v/>
      </c>
      <c r="C1701" s="37" t="str">
        <f>IF(Agent09_Loans!B111="","",Agent09_Loans!C111)</f>
        <v/>
      </c>
      <c r="D1701" s="38" t="str">
        <f>IF(Agent09_Loans!B111="","",Agent09_Loans!D111)</f>
        <v/>
      </c>
      <c r="E1701" s="40" t="str">
        <f>IF(Agent09_Loans!B111="","",Agent09_Loans!E111)</f>
        <v/>
      </c>
      <c r="F1701" s="37" t="str">
        <f>IF(Agent09_Loans!B111="","",Agent09_Loans!F111)</f>
        <v/>
      </c>
      <c r="G1701" s="37" t="str">
        <f>IF(Agent09_Loans!B111="","",Agent09_Loans!G111)</f>
        <v/>
      </c>
      <c r="H1701" s="37" t="str">
        <f>IF(Agent09_Loans!B111="","",Agent09_Loans!H111)</f>
        <v/>
      </c>
      <c r="I1701" s="40" t="str">
        <f>IF(Agent09_Loans!B111="","",Agent09_Loans!I111)</f>
        <v/>
      </c>
      <c r="J1701" s="40" t="str">
        <f>IF(Agent09_Loans!B111="","",Agent09_Loans!J111)</f>
        <v/>
      </c>
      <c r="K1701" s="37" t="str">
        <f>IF(Agent09_Loans!B111="","",Agent09_Loans!K111)</f>
        <v/>
      </c>
      <c r="L1701" s="37" t="str">
        <f>IF(Agent09_Loans!B111="","",Agent09_Loans!L111)</f>
        <v/>
      </c>
      <c r="M1701" s="37" t="str">
        <f>IFERROR(IF(Agent09_Loans!B111="","",YEAR(Agent09_Loans!D111)),"")</f>
        <v/>
      </c>
    </row>
    <row r="1702" spans="1:13" ht="18" customHeight="1" x14ac:dyDescent="0.25">
      <c r="A1702" s="37" t="str">
        <f>IF(Agent09_Loans!B112="","",Agent09_Loans!A112)</f>
        <v/>
      </c>
      <c r="B1702" s="37" t="str">
        <f>IF(Agent09_Loans!B112="","",Agent09_Loans!B112)</f>
        <v/>
      </c>
      <c r="C1702" s="37" t="str">
        <f>IF(Agent09_Loans!B112="","",Agent09_Loans!C112)</f>
        <v/>
      </c>
      <c r="D1702" s="38" t="str">
        <f>IF(Agent09_Loans!B112="","",Agent09_Loans!D112)</f>
        <v/>
      </c>
      <c r="E1702" s="40" t="str">
        <f>IF(Agent09_Loans!B112="","",Agent09_Loans!E112)</f>
        <v/>
      </c>
      <c r="F1702" s="37" t="str">
        <f>IF(Agent09_Loans!B112="","",Agent09_Loans!F112)</f>
        <v/>
      </c>
      <c r="G1702" s="37" t="str">
        <f>IF(Agent09_Loans!B112="","",Agent09_Loans!G112)</f>
        <v/>
      </c>
      <c r="H1702" s="37" t="str">
        <f>IF(Agent09_Loans!B112="","",Agent09_Loans!H112)</f>
        <v/>
      </c>
      <c r="I1702" s="40" t="str">
        <f>IF(Agent09_Loans!B112="","",Agent09_Loans!I112)</f>
        <v/>
      </c>
      <c r="J1702" s="40" t="str">
        <f>IF(Agent09_Loans!B112="","",Agent09_Loans!J112)</f>
        <v/>
      </c>
      <c r="K1702" s="37" t="str">
        <f>IF(Agent09_Loans!B112="","",Agent09_Loans!K112)</f>
        <v/>
      </c>
      <c r="L1702" s="37" t="str">
        <f>IF(Agent09_Loans!B112="","",Agent09_Loans!L112)</f>
        <v/>
      </c>
      <c r="M1702" s="37" t="str">
        <f>IFERROR(IF(Agent09_Loans!B112="","",YEAR(Agent09_Loans!D112)),"")</f>
        <v/>
      </c>
    </row>
    <row r="1703" spans="1:13" ht="18" customHeight="1" x14ac:dyDescent="0.25">
      <c r="A1703" s="37" t="str">
        <f>IF(Agent09_Loans!B113="","",Agent09_Loans!A113)</f>
        <v/>
      </c>
      <c r="B1703" s="37" t="str">
        <f>IF(Agent09_Loans!B113="","",Agent09_Loans!B113)</f>
        <v/>
      </c>
      <c r="C1703" s="37" t="str">
        <f>IF(Agent09_Loans!B113="","",Agent09_Loans!C113)</f>
        <v/>
      </c>
      <c r="D1703" s="38" t="str">
        <f>IF(Agent09_Loans!B113="","",Agent09_Loans!D113)</f>
        <v/>
      </c>
      <c r="E1703" s="40" t="str">
        <f>IF(Agent09_Loans!B113="","",Agent09_Loans!E113)</f>
        <v/>
      </c>
      <c r="F1703" s="37" t="str">
        <f>IF(Agent09_Loans!B113="","",Agent09_Loans!F113)</f>
        <v/>
      </c>
      <c r="G1703" s="37" t="str">
        <f>IF(Agent09_Loans!B113="","",Agent09_Loans!G113)</f>
        <v/>
      </c>
      <c r="H1703" s="37" t="str">
        <f>IF(Agent09_Loans!B113="","",Agent09_Loans!H113)</f>
        <v/>
      </c>
      <c r="I1703" s="40" t="str">
        <f>IF(Agent09_Loans!B113="","",Agent09_Loans!I113)</f>
        <v/>
      </c>
      <c r="J1703" s="40" t="str">
        <f>IF(Agent09_Loans!B113="","",Agent09_Loans!J113)</f>
        <v/>
      </c>
      <c r="K1703" s="37" t="str">
        <f>IF(Agent09_Loans!B113="","",Agent09_Loans!K113)</f>
        <v/>
      </c>
      <c r="L1703" s="37" t="str">
        <f>IF(Agent09_Loans!B113="","",Agent09_Loans!L113)</f>
        <v/>
      </c>
      <c r="M1703" s="37" t="str">
        <f>IFERROR(IF(Agent09_Loans!B113="","",YEAR(Agent09_Loans!D113)),"")</f>
        <v/>
      </c>
    </row>
    <row r="1704" spans="1:13" ht="18" customHeight="1" x14ac:dyDescent="0.25">
      <c r="A1704" s="37" t="str">
        <f>IF(Agent09_Loans!B114="","",Agent09_Loans!A114)</f>
        <v/>
      </c>
      <c r="B1704" s="37" t="str">
        <f>IF(Agent09_Loans!B114="","",Agent09_Loans!B114)</f>
        <v/>
      </c>
      <c r="C1704" s="37" t="str">
        <f>IF(Agent09_Loans!B114="","",Agent09_Loans!C114)</f>
        <v/>
      </c>
      <c r="D1704" s="38" t="str">
        <f>IF(Agent09_Loans!B114="","",Agent09_Loans!D114)</f>
        <v/>
      </c>
      <c r="E1704" s="40" t="str">
        <f>IF(Agent09_Loans!B114="","",Agent09_Loans!E114)</f>
        <v/>
      </c>
      <c r="F1704" s="37" t="str">
        <f>IF(Agent09_Loans!B114="","",Agent09_Loans!F114)</f>
        <v/>
      </c>
      <c r="G1704" s="37" t="str">
        <f>IF(Agent09_Loans!B114="","",Agent09_Loans!G114)</f>
        <v/>
      </c>
      <c r="H1704" s="37" t="str">
        <f>IF(Agent09_Loans!B114="","",Agent09_Loans!H114)</f>
        <v/>
      </c>
      <c r="I1704" s="40" t="str">
        <f>IF(Agent09_Loans!B114="","",Agent09_Loans!I114)</f>
        <v/>
      </c>
      <c r="J1704" s="40" t="str">
        <f>IF(Agent09_Loans!B114="","",Agent09_Loans!J114)</f>
        <v/>
      </c>
      <c r="K1704" s="37" t="str">
        <f>IF(Agent09_Loans!B114="","",Agent09_Loans!K114)</f>
        <v/>
      </c>
      <c r="L1704" s="37" t="str">
        <f>IF(Agent09_Loans!B114="","",Agent09_Loans!L114)</f>
        <v/>
      </c>
      <c r="M1704" s="37" t="str">
        <f>IFERROR(IF(Agent09_Loans!B114="","",YEAR(Agent09_Loans!D114)),"")</f>
        <v/>
      </c>
    </row>
    <row r="1705" spans="1:13" ht="18" customHeight="1" x14ac:dyDescent="0.25">
      <c r="A1705" s="37" t="str">
        <f>IF(Agent09_Loans!B115="","",Agent09_Loans!A115)</f>
        <v/>
      </c>
      <c r="B1705" s="37" t="str">
        <f>IF(Agent09_Loans!B115="","",Agent09_Loans!B115)</f>
        <v/>
      </c>
      <c r="C1705" s="37" t="str">
        <f>IF(Agent09_Loans!B115="","",Agent09_Loans!C115)</f>
        <v/>
      </c>
      <c r="D1705" s="38" t="str">
        <f>IF(Agent09_Loans!B115="","",Agent09_Loans!D115)</f>
        <v/>
      </c>
      <c r="E1705" s="40" t="str">
        <f>IF(Agent09_Loans!B115="","",Agent09_Loans!E115)</f>
        <v/>
      </c>
      <c r="F1705" s="37" t="str">
        <f>IF(Agent09_Loans!B115="","",Agent09_Loans!F115)</f>
        <v/>
      </c>
      <c r="G1705" s="37" t="str">
        <f>IF(Agent09_Loans!B115="","",Agent09_Loans!G115)</f>
        <v/>
      </c>
      <c r="H1705" s="37" t="str">
        <f>IF(Agent09_Loans!B115="","",Agent09_Loans!H115)</f>
        <v/>
      </c>
      <c r="I1705" s="40" t="str">
        <f>IF(Agent09_Loans!B115="","",Agent09_Loans!I115)</f>
        <v/>
      </c>
      <c r="J1705" s="40" t="str">
        <f>IF(Agent09_Loans!B115="","",Agent09_Loans!J115)</f>
        <v/>
      </c>
      <c r="K1705" s="37" t="str">
        <f>IF(Agent09_Loans!B115="","",Agent09_Loans!K115)</f>
        <v/>
      </c>
      <c r="L1705" s="37" t="str">
        <f>IF(Agent09_Loans!B115="","",Agent09_Loans!L115)</f>
        <v/>
      </c>
      <c r="M1705" s="37" t="str">
        <f>IFERROR(IF(Agent09_Loans!B115="","",YEAR(Agent09_Loans!D115)),"")</f>
        <v/>
      </c>
    </row>
    <row r="1706" spans="1:13" ht="18" customHeight="1" x14ac:dyDescent="0.25">
      <c r="A1706" s="37" t="str">
        <f>IF(Agent09_Loans!B116="","",Agent09_Loans!A116)</f>
        <v/>
      </c>
      <c r="B1706" s="37" t="str">
        <f>IF(Agent09_Loans!B116="","",Agent09_Loans!B116)</f>
        <v/>
      </c>
      <c r="C1706" s="37" t="str">
        <f>IF(Agent09_Loans!B116="","",Agent09_Loans!C116)</f>
        <v/>
      </c>
      <c r="D1706" s="38" t="str">
        <f>IF(Agent09_Loans!B116="","",Agent09_Loans!D116)</f>
        <v/>
      </c>
      <c r="E1706" s="40" t="str">
        <f>IF(Agent09_Loans!B116="","",Agent09_Loans!E116)</f>
        <v/>
      </c>
      <c r="F1706" s="37" t="str">
        <f>IF(Agent09_Loans!B116="","",Agent09_Loans!F116)</f>
        <v/>
      </c>
      <c r="G1706" s="37" t="str">
        <f>IF(Agent09_Loans!B116="","",Agent09_Loans!G116)</f>
        <v/>
      </c>
      <c r="H1706" s="37" t="str">
        <f>IF(Agent09_Loans!B116="","",Agent09_Loans!H116)</f>
        <v/>
      </c>
      <c r="I1706" s="40" t="str">
        <f>IF(Agent09_Loans!B116="","",Agent09_Loans!I116)</f>
        <v/>
      </c>
      <c r="J1706" s="40" t="str">
        <f>IF(Agent09_Loans!B116="","",Agent09_Loans!J116)</f>
        <v/>
      </c>
      <c r="K1706" s="37" t="str">
        <f>IF(Agent09_Loans!B116="","",Agent09_Loans!K116)</f>
        <v/>
      </c>
      <c r="L1706" s="37" t="str">
        <f>IF(Agent09_Loans!B116="","",Agent09_Loans!L116)</f>
        <v/>
      </c>
      <c r="M1706" s="37" t="str">
        <f>IFERROR(IF(Agent09_Loans!B116="","",YEAR(Agent09_Loans!D116)),"")</f>
        <v/>
      </c>
    </row>
    <row r="1707" spans="1:13" ht="18" customHeight="1" x14ac:dyDescent="0.25">
      <c r="A1707" s="37" t="str">
        <f>IF(Agent09_Loans!B117="","",Agent09_Loans!A117)</f>
        <v/>
      </c>
      <c r="B1707" s="37" t="str">
        <f>IF(Agent09_Loans!B117="","",Agent09_Loans!B117)</f>
        <v/>
      </c>
      <c r="C1707" s="37" t="str">
        <f>IF(Agent09_Loans!B117="","",Agent09_Loans!C117)</f>
        <v/>
      </c>
      <c r="D1707" s="38" t="str">
        <f>IF(Agent09_Loans!B117="","",Agent09_Loans!D117)</f>
        <v/>
      </c>
      <c r="E1707" s="40" t="str">
        <f>IF(Agent09_Loans!B117="","",Agent09_Loans!E117)</f>
        <v/>
      </c>
      <c r="F1707" s="37" t="str">
        <f>IF(Agent09_Loans!B117="","",Agent09_Loans!F117)</f>
        <v/>
      </c>
      <c r="G1707" s="37" t="str">
        <f>IF(Agent09_Loans!B117="","",Agent09_Loans!G117)</f>
        <v/>
      </c>
      <c r="H1707" s="37" t="str">
        <f>IF(Agent09_Loans!B117="","",Agent09_Loans!H117)</f>
        <v/>
      </c>
      <c r="I1707" s="40" t="str">
        <f>IF(Agent09_Loans!B117="","",Agent09_Loans!I117)</f>
        <v/>
      </c>
      <c r="J1707" s="40" t="str">
        <f>IF(Agent09_Loans!B117="","",Agent09_Loans!J117)</f>
        <v/>
      </c>
      <c r="K1707" s="37" t="str">
        <f>IF(Agent09_Loans!B117="","",Agent09_Loans!K117)</f>
        <v/>
      </c>
      <c r="L1707" s="37" t="str">
        <f>IF(Agent09_Loans!B117="","",Agent09_Loans!L117)</f>
        <v/>
      </c>
      <c r="M1707" s="37" t="str">
        <f>IFERROR(IF(Agent09_Loans!B117="","",YEAR(Agent09_Loans!D117)),"")</f>
        <v/>
      </c>
    </row>
    <row r="1708" spans="1:13" ht="18" customHeight="1" x14ac:dyDescent="0.25">
      <c r="A1708" s="37" t="str">
        <f>IF(Agent09_Loans!B118="","",Agent09_Loans!A118)</f>
        <v/>
      </c>
      <c r="B1708" s="37" t="str">
        <f>IF(Agent09_Loans!B118="","",Agent09_Loans!B118)</f>
        <v/>
      </c>
      <c r="C1708" s="37" t="str">
        <f>IF(Agent09_Loans!B118="","",Agent09_Loans!C118)</f>
        <v/>
      </c>
      <c r="D1708" s="38" t="str">
        <f>IF(Agent09_Loans!B118="","",Agent09_Loans!D118)</f>
        <v/>
      </c>
      <c r="E1708" s="40" t="str">
        <f>IF(Agent09_Loans!B118="","",Agent09_Loans!E118)</f>
        <v/>
      </c>
      <c r="F1708" s="37" t="str">
        <f>IF(Agent09_Loans!B118="","",Agent09_Loans!F118)</f>
        <v/>
      </c>
      <c r="G1708" s="37" t="str">
        <f>IF(Agent09_Loans!B118="","",Agent09_Loans!G118)</f>
        <v/>
      </c>
      <c r="H1708" s="37" t="str">
        <f>IF(Agent09_Loans!B118="","",Agent09_Loans!H118)</f>
        <v/>
      </c>
      <c r="I1708" s="40" t="str">
        <f>IF(Agent09_Loans!B118="","",Agent09_Loans!I118)</f>
        <v/>
      </c>
      <c r="J1708" s="40" t="str">
        <f>IF(Agent09_Loans!B118="","",Agent09_Loans!J118)</f>
        <v/>
      </c>
      <c r="K1708" s="37" t="str">
        <f>IF(Agent09_Loans!B118="","",Agent09_Loans!K118)</f>
        <v/>
      </c>
      <c r="L1708" s="37" t="str">
        <f>IF(Agent09_Loans!B118="","",Agent09_Loans!L118)</f>
        <v/>
      </c>
      <c r="M1708" s="37" t="str">
        <f>IFERROR(IF(Agent09_Loans!B118="","",YEAR(Agent09_Loans!D118)),"")</f>
        <v/>
      </c>
    </row>
    <row r="1709" spans="1:13" ht="18" customHeight="1" x14ac:dyDescent="0.25">
      <c r="A1709" s="37" t="str">
        <f>IF(Agent09_Loans!B119="","",Agent09_Loans!A119)</f>
        <v/>
      </c>
      <c r="B1709" s="37" t="str">
        <f>IF(Agent09_Loans!B119="","",Agent09_Loans!B119)</f>
        <v/>
      </c>
      <c r="C1709" s="37" t="str">
        <f>IF(Agent09_Loans!B119="","",Agent09_Loans!C119)</f>
        <v/>
      </c>
      <c r="D1709" s="38" t="str">
        <f>IF(Agent09_Loans!B119="","",Agent09_Loans!D119)</f>
        <v/>
      </c>
      <c r="E1709" s="40" t="str">
        <f>IF(Agent09_Loans!B119="","",Agent09_Loans!E119)</f>
        <v/>
      </c>
      <c r="F1709" s="37" t="str">
        <f>IF(Agent09_Loans!B119="","",Agent09_Loans!F119)</f>
        <v/>
      </c>
      <c r="G1709" s="37" t="str">
        <f>IF(Agent09_Loans!B119="","",Agent09_Loans!G119)</f>
        <v/>
      </c>
      <c r="H1709" s="37" t="str">
        <f>IF(Agent09_Loans!B119="","",Agent09_Loans!H119)</f>
        <v/>
      </c>
      <c r="I1709" s="40" t="str">
        <f>IF(Agent09_Loans!B119="","",Agent09_Loans!I119)</f>
        <v/>
      </c>
      <c r="J1709" s="40" t="str">
        <f>IF(Agent09_Loans!B119="","",Agent09_Loans!J119)</f>
        <v/>
      </c>
      <c r="K1709" s="37" t="str">
        <f>IF(Agent09_Loans!B119="","",Agent09_Loans!K119)</f>
        <v/>
      </c>
      <c r="L1709" s="37" t="str">
        <f>IF(Agent09_Loans!B119="","",Agent09_Loans!L119)</f>
        <v/>
      </c>
      <c r="M1709" s="37" t="str">
        <f>IFERROR(IF(Agent09_Loans!B119="","",YEAR(Agent09_Loans!D119)),"")</f>
        <v/>
      </c>
    </row>
    <row r="1710" spans="1:13" ht="18" customHeight="1" x14ac:dyDescent="0.25">
      <c r="A1710" s="37" t="str">
        <f>IF(Agent09_Loans!B120="","",Agent09_Loans!A120)</f>
        <v/>
      </c>
      <c r="B1710" s="37" t="str">
        <f>IF(Agent09_Loans!B120="","",Agent09_Loans!B120)</f>
        <v/>
      </c>
      <c r="C1710" s="37" t="str">
        <f>IF(Agent09_Loans!B120="","",Agent09_Loans!C120)</f>
        <v/>
      </c>
      <c r="D1710" s="38" t="str">
        <f>IF(Agent09_Loans!B120="","",Agent09_Loans!D120)</f>
        <v/>
      </c>
      <c r="E1710" s="40" t="str">
        <f>IF(Agent09_Loans!B120="","",Agent09_Loans!E120)</f>
        <v/>
      </c>
      <c r="F1710" s="37" t="str">
        <f>IF(Agent09_Loans!B120="","",Agent09_Loans!F120)</f>
        <v/>
      </c>
      <c r="G1710" s="37" t="str">
        <f>IF(Agent09_Loans!B120="","",Agent09_Loans!G120)</f>
        <v/>
      </c>
      <c r="H1710" s="37" t="str">
        <f>IF(Agent09_Loans!B120="","",Agent09_Loans!H120)</f>
        <v/>
      </c>
      <c r="I1710" s="40" t="str">
        <f>IF(Agent09_Loans!B120="","",Agent09_Loans!I120)</f>
        <v/>
      </c>
      <c r="J1710" s="40" t="str">
        <f>IF(Agent09_Loans!B120="","",Agent09_Loans!J120)</f>
        <v/>
      </c>
      <c r="K1710" s="37" t="str">
        <f>IF(Agent09_Loans!B120="","",Agent09_Loans!K120)</f>
        <v/>
      </c>
      <c r="L1710" s="37" t="str">
        <f>IF(Agent09_Loans!B120="","",Agent09_Loans!L120)</f>
        <v/>
      </c>
      <c r="M1710" s="37" t="str">
        <f>IFERROR(IF(Agent09_Loans!B120="","",YEAR(Agent09_Loans!D120)),"")</f>
        <v/>
      </c>
    </row>
    <row r="1711" spans="1:13" ht="18" customHeight="1" x14ac:dyDescent="0.25">
      <c r="A1711" s="37" t="str">
        <f>IF(Agent09_Loans!B121="","",Agent09_Loans!A121)</f>
        <v/>
      </c>
      <c r="B1711" s="37" t="str">
        <f>IF(Agent09_Loans!B121="","",Agent09_Loans!B121)</f>
        <v/>
      </c>
      <c r="C1711" s="37" t="str">
        <f>IF(Agent09_Loans!B121="","",Agent09_Loans!C121)</f>
        <v/>
      </c>
      <c r="D1711" s="38" t="str">
        <f>IF(Agent09_Loans!B121="","",Agent09_Loans!D121)</f>
        <v/>
      </c>
      <c r="E1711" s="40" t="str">
        <f>IF(Agent09_Loans!B121="","",Agent09_Loans!E121)</f>
        <v/>
      </c>
      <c r="F1711" s="37" t="str">
        <f>IF(Agent09_Loans!B121="","",Agent09_Loans!F121)</f>
        <v/>
      </c>
      <c r="G1711" s="37" t="str">
        <f>IF(Agent09_Loans!B121="","",Agent09_Loans!G121)</f>
        <v/>
      </c>
      <c r="H1711" s="37" t="str">
        <f>IF(Agent09_Loans!B121="","",Agent09_Loans!H121)</f>
        <v/>
      </c>
      <c r="I1711" s="40" t="str">
        <f>IF(Agent09_Loans!B121="","",Agent09_Loans!I121)</f>
        <v/>
      </c>
      <c r="J1711" s="40" t="str">
        <f>IF(Agent09_Loans!B121="","",Agent09_Loans!J121)</f>
        <v/>
      </c>
      <c r="K1711" s="37" t="str">
        <f>IF(Agent09_Loans!B121="","",Agent09_Loans!K121)</f>
        <v/>
      </c>
      <c r="L1711" s="37" t="str">
        <f>IF(Agent09_Loans!B121="","",Agent09_Loans!L121)</f>
        <v/>
      </c>
      <c r="M1711" s="37" t="str">
        <f>IFERROR(IF(Agent09_Loans!B121="","",YEAR(Agent09_Loans!D121)),"")</f>
        <v/>
      </c>
    </row>
    <row r="1712" spans="1:13" ht="18" customHeight="1" x14ac:dyDescent="0.25">
      <c r="A1712" s="37" t="str">
        <f>IF(Agent09_Loans!B122="","",Agent09_Loans!A122)</f>
        <v/>
      </c>
      <c r="B1712" s="37" t="str">
        <f>IF(Agent09_Loans!B122="","",Agent09_Loans!B122)</f>
        <v/>
      </c>
      <c r="C1712" s="37" t="str">
        <f>IF(Agent09_Loans!B122="","",Agent09_Loans!C122)</f>
        <v/>
      </c>
      <c r="D1712" s="38" t="str">
        <f>IF(Agent09_Loans!B122="","",Agent09_Loans!D122)</f>
        <v/>
      </c>
      <c r="E1712" s="40" t="str">
        <f>IF(Agent09_Loans!B122="","",Agent09_Loans!E122)</f>
        <v/>
      </c>
      <c r="F1712" s="37" t="str">
        <f>IF(Agent09_Loans!B122="","",Agent09_Loans!F122)</f>
        <v/>
      </c>
      <c r="G1712" s="37" t="str">
        <f>IF(Agent09_Loans!B122="","",Agent09_Loans!G122)</f>
        <v/>
      </c>
      <c r="H1712" s="37" t="str">
        <f>IF(Agent09_Loans!B122="","",Agent09_Loans!H122)</f>
        <v/>
      </c>
      <c r="I1712" s="40" t="str">
        <f>IF(Agent09_Loans!B122="","",Agent09_Loans!I122)</f>
        <v/>
      </c>
      <c r="J1712" s="40" t="str">
        <f>IF(Agent09_Loans!B122="","",Agent09_Loans!J122)</f>
        <v/>
      </c>
      <c r="K1712" s="37" t="str">
        <f>IF(Agent09_Loans!B122="","",Agent09_Loans!K122)</f>
        <v/>
      </c>
      <c r="L1712" s="37" t="str">
        <f>IF(Agent09_Loans!B122="","",Agent09_Loans!L122)</f>
        <v/>
      </c>
      <c r="M1712" s="37" t="str">
        <f>IFERROR(IF(Agent09_Loans!B122="","",YEAR(Agent09_Loans!D122)),"")</f>
        <v/>
      </c>
    </row>
    <row r="1713" spans="1:13" ht="18" customHeight="1" x14ac:dyDescent="0.25">
      <c r="A1713" s="37" t="str">
        <f>IF(Agent09_Loans!B123="","",Agent09_Loans!A123)</f>
        <v/>
      </c>
      <c r="B1713" s="37" t="str">
        <f>IF(Agent09_Loans!B123="","",Agent09_Loans!B123)</f>
        <v/>
      </c>
      <c r="C1713" s="37" t="str">
        <f>IF(Agent09_Loans!B123="","",Agent09_Loans!C123)</f>
        <v/>
      </c>
      <c r="D1713" s="38" t="str">
        <f>IF(Agent09_Loans!B123="","",Agent09_Loans!D123)</f>
        <v/>
      </c>
      <c r="E1713" s="40" t="str">
        <f>IF(Agent09_Loans!B123="","",Agent09_Loans!E123)</f>
        <v/>
      </c>
      <c r="F1713" s="37" t="str">
        <f>IF(Agent09_Loans!B123="","",Agent09_Loans!F123)</f>
        <v/>
      </c>
      <c r="G1713" s="37" t="str">
        <f>IF(Agent09_Loans!B123="","",Agent09_Loans!G123)</f>
        <v/>
      </c>
      <c r="H1713" s="37" t="str">
        <f>IF(Agent09_Loans!B123="","",Agent09_Loans!H123)</f>
        <v/>
      </c>
      <c r="I1713" s="40" t="str">
        <f>IF(Agent09_Loans!B123="","",Agent09_Loans!I123)</f>
        <v/>
      </c>
      <c r="J1713" s="40" t="str">
        <f>IF(Agent09_Loans!B123="","",Agent09_Loans!J123)</f>
        <v/>
      </c>
      <c r="K1713" s="37" t="str">
        <f>IF(Agent09_Loans!B123="","",Agent09_Loans!K123)</f>
        <v/>
      </c>
      <c r="L1713" s="37" t="str">
        <f>IF(Agent09_Loans!B123="","",Agent09_Loans!L123)</f>
        <v/>
      </c>
      <c r="M1713" s="37" t="str">
        <f>IFERROR(IF(Agent09_Loans!B123="","",YEAR(Agent09_Loans!D123)),"")</f>
        <v/>
      </c>
    </row>
    <row r="1714" spans="1:13" ht="18" customHeight="1" x14ac:dyDescent="0.25">
      <c r="A1714" s="37" t="str">
        <f>IF(Agent09_Loans!B124="","",Agent09_Loans!A124)</f>
        <v/>
      </c>
      <c r="B1714" s="37" t="str">
        <f>IF(Agent09_Loans!B124="","",Agent09_Loans!B124)</f>
        <v/>
      </c>
      <c r="C1714" s="37" t="str">
        <f>IF(Agent09_Loans!B124="","",Agent09_Loans!C124)</f>
        <v/>
      </c>
      <c r="D1714" s="38" t="str">
        <f>IF(Agent09_Loans!B124="","",Agent09_Loans!D124)</f>
        <v/>
      </c>
      <c r="E1714" s="40" t="str">
        <f>IF(Agent09_Loans!B124="","",Agent09_Loans!E124)</f>
        <v/>
      </c>
      <c r="F1714" s="37" t="str">
        <f>IF(Agent09_Loans!B124="","",Agent09_Loans!F124)</f>
        <v/>
      </c>
      <c r="G1714" s="37" t="str">
        <f>IF(Agent09_Loans!B124="","",Agent09_Loans!G124)</f>
        <v/>
      </c>
      <c r="H1714" s="37" t="str">
        <f>IF(Agent09_Loans!B124="","",Agent09_Loans!H124)</f>
        <v/>
      </c>
      <c r="I1714" s="40" t="str">
        <f>IF(Agent09_Loans!B124="","",Agent09_Loans!I124)</f>
        <v/>
      </c>
      <c r="J1714" s="40" t="str">
        <f>IF(Agent09_Loans!B124="","",Agent09_Loans!J124)</f>
        <v/>
      </c>
      <c r="K1714" s="37" t="str">
        <f>IF(Agent09_Loans!B124="","",Agent09_Loans!K124)</f>
        <v/>
      </c>
      <c r="L1714" s="37" t="str">
        <f>IF(Agent09_Loans!B124="","",Agent09_Loans!L124)</f>
        <v/>
      </c>
      <c r="M1714" s="37" t="str">
        <f>IFERROR(IF(Agent09_Loans!B124="","",YEAR(Agent09_Loans!D124)),"")</f>
        <v/>
      </c>
    </row>
    <row r="1715" spans="1:13" ht="18" customHeight="1" x14ac:dyDescent="0.25">
      <c r="A1715" s="37" t="str">
        <f>IF(Agent09_Loans!B125="","",Agent09_Loans!A125)</f>
        <v/>
      </c>
      <c r="B1715" s="37" t="str">
        <f>IF(Agent09_Loans!B125="","",Agent09_Loans!B125)</f>
        <v/>
      </c>
      <c r="C1715" s="37" t="str">
        <f>IF(Agent09_Loans!B125="","",Agent09_Loans!C125)</f>
        <v/>
      </c>
      <c r="D1715" s="38" t="str">
        <f>IF(Agent09_Loans!B125="","",Agent09_Loans!D125)</f>
        <v/>
      </c>
      <c r="E1715" s="40" t="str">
        <f>IF(Agent09_Loans!B125="","",Agent09_Loans!E125)</f>
        <v/>
      </c>
      <c r="F1715" s="37" t="str">
        <f>IF(Agent09_Loans!B125="","",Agent09_Loans!F125)</f>
        <v/>
      </c>
      <c r="G1715" s="37" t="str">
        <f>IF(Agent09_Loans!B125="","",Agent09_Loans!G125)</f>
        <v/>
      </c>
      <c r="H1715" s="37" t="str">
        <f>IF(Agent09_Loans!B125="","",Agent09_Loans!H125)</f>
        <v/>
      </c>
      <c r="I1715" s="40" t="str">
        <f>IF(Agent09_Loans!B125="","",Agent09_Loans!I125)</f>
        <v/>
      </c>
      <c r="J1715" s="40" t="str">
        <f>IF(Agent09_Loans!B125="","",Agent09_Loans!J125)</f>
        <v/>
      </c>
      <c r="K1715" s="37" t="str">
        <f>IF(Agent09_Loans!B125="","",Agent09_Loans!K125)</f>
        <v/>
      </c>
      <c r="L1715" s="37" t="str">
        <f>IF(Agent09_Loans!B125="","",Agent09_Loans!L125)</f>
        <v/>
      </c>
      <c r="M1715" s="37" t="str">
        <f>IFERROR(IF(Agent09_Loans!B125="","",YEAR(Agent09_Loans!D125)),"")</f>
        <v/>
      </c>
    </row>
    <row r="1716" spans="1:13" ht="18" customHeight="1" x14ac:dyDescent="0.25">
      <c r="A1716" s="37" t="str">
        <f>IF(Agent09_Loans!B126="","",Agent09_Loans!A126)</f>
        <v/>
      </c>
      <c r="B1716" s="37" t="str">
        <f>IF(Agent09_Loans!B126="","",Agent09_Loans!B126)</f>
        <v/>
      </c>
      <c r="C1716" s="37" t="str">
        <f>IF(Agent09_Loans!B126="","",Agent09_Loans!C126)</f>
        <v/>
      </c>
      <c r="D1716" s="38" t="str">
        <f>IF(Agent09_Loans!B126="","",Agent09_Loans!D126)</f>
        <v/>
      </c>
      <c r="E1716" s="40" t="str">
        <f>IF(Agent09_Loans!B126="","",Agent09_Loans!E126)</f>
        <v/>
      </c>
      <c r="F1716" s="37" t="str">
        <f>IF(Agent09_Loans!B126="","",Agent09_Loans!F126)</f>
        <v/>
      </c>
      <c r="G1716" s="37" t="str">
        <f>IF(Agent09_Loans!B126="","",Agent09_Loans!G126)</f>
        <v/>
      </c>
      <c r="H1716" s="37" t="str">
        <f>IF(Agent09_Loans!B126="","",Agent09_Loans!H126)</f>
        <v/>
      </c>
      <c r="I1716" s="40" t="str">
        <f>IF(Agent09_Loans!B126="","",Agent09_Loans!I126)</f>
        <v/>
      </c>
      <c r="J1716" s="40" t="str">
        <f>IF(Agent09_Loans!B126="","",Agent09_Loans!J126)</f>
        <v/>
      </c>
      <c r="K1716" s="37" t="str">
        <f>IF(Agent09_Loans!B126="","",Agent09_Loans!K126)</f>
        <v/>
      </c>
      <c r="L1716" s="37" t="str">
        <f>IF(Agent09_Loans!B126="","",Agent09_Loans!L126)</f>
        <v/>
      </c>
      <c r="M1716" s="37" t="str">
        <f>IFERROR(IF(Agent09_Loans!B126="","",YEAR(Agent09_Loans!D126)),"")</f>
        <v/>
      </c>
    </row>
    <row r="1717" spans="1:13" ht="18" customHeight="1" x14ac:dyDescent="0.25">
      <c r="A1717" s="37" t="str">
        <f>IF(Agent09_Loans!B127="","",Agent09_Loans!A127)</f>
        <v/>
      </c>
      <c r="B1717" s="37" t="str">
        <f>IF(Agent09_Loans!B127="","",Agent09_Loans!B127)</f>
        <v/>
      </c>
      <c r="C1717" s="37" t="str">
        <f>IF(Agent09_Loans!B127="","",Agent09_Loans!C127)</f>
        <v/>
      </c>
      <c r="D1717" s="38" t="str">
        <f>IF(Agent09_Loans!B127="","",Agent09_Loans!D127)</f>
        <v/>
      </c>
      <c r="E1717" s="40" t="str">
        <f>IF(Agent09_Loans!B127="","",Agent09_Loans!E127)</f>
        <v/>
      </c>
      <c r="F1717" s="37" t="str">
        <f>IF(Agent09_Loans!B127="","",Agent09_Loans!F127)</f>
        <v/>
      </c>
      <c r="G1717" s="37" t="str">
        <f>IF(Agent09_Loans!B127="","",Agent09_Loans!G127)</f>
        <v/>
      </c>
      <c r="H1717" s="37" t="str">
        <f>IF(Agent09_Loans!B127="","",Agent09_Loans!H127)</f>
        <v/>
      </c>
      <c r="I1717" s="40" t="str">
        <f>IF(Agent09_Loans!B127="","",Agent09_Loans!I127)</f>
        <v/>
      </c>
      <c r="J1717" s="40" t="str">
        <f>IF(Agent09_Loans!B127="","",Agent09_Loans!J127)</f>
        <v/>
      </c>
      <c r="K1717" s="37" t="str">
        <f>IF(Agent09_Loans!B127="","",Agent09_Loans!K127)</f>
        <v/>
      </c>
      <c r="L1717" s="37" t="str">
        <f>IF(Agent09_Loans!B127="","",Agent09_Loans!L127)</f>
        <v/>
      </c>
      <c r="M1717" s="37" t="str">
        <f>IFERROR(IF(Agent09_Loans!B127="","",YEAR(Agent09_Loans!D127)),"")</f>
        <v/>
      </c>
    </row>
    <row r="1718" spans="1:13" ht="18" customHeight="1" x14ac:dyDescent="0.25">
      <c r="A1718" s="37" t="str">
        <f>IF(Agent09_Loans!B128="","",Agent09_Loans!A128)</f>
        <v/>
      </c>
      <c r="B1718" s="37" t="str">
        <f>IF(Agent09_Loans!B128="","",Agent09_Loans!B128)</f>
        <v/>
      </c>
      <c r="C1718" s="37" t="str">
        <f>IF(Agent09_Loans!B128="","",Agent09_Loans!C128)</f>
        <v/>
      </c>
      <c r="D1718" s="38" t="str">
        <f>IF(Agent09_Loans!B128="","",Agent09_Loans!D128)</f>
        <v/>
      </c>
      <c r="E1718" s="40" t="str">
        <f>IF(Agent09_Loans!B128="","",Agent09_Loans!E128)</f>
        <v/>
      </c>
      <c r="F1718" s="37" t="str">
        <f>IF(Agent09_Loans!B128="","",Agent09_Loans!F128)</f>
        <v/>
      </c>
      <c r="G1718" s="37" t="str">
        <f>IF(Agent09_Loans!B128="","",Agent09_Loans!G128)</f>
        <v/>
      </c>
      <c r="H1718" s="37" t="str">
        <f>IF(Agent09_Loans!B128="","",Agent09_Loans!H128)</f>
        <v/>
      </c>
      <c r="I1718" s="40" t="str">
        <f>IF(Agent09_Loans!B128="","",Agent09_Loans!I128)</f>
        <v/>
      </c>
      <c r="J1718" s="40" t="str">
        <f>IF(Agent09_Loans!B128="","",Agent09_Loans!J128)</f>
        <v/>
      </c>
      <c r="K1718" s="37" t="str">
        <f>IF(Agent09_Loans!B128="","",Agent09_Loans!K128)</f>
        <v/>
      </c>
      <c r="L1718" s="37" t="str">
        <f>IF(Agent09_Loans!B128="","",Agent09_Loans!L128)</f>
        <v/>
      </c>
      <c r="M1718" s="37" t="str">
        <f>IFERROR(IF(Agent09_Loans!B128="","",YEAR(Agent09_Loans!D128)),"")</f>
        <v/>
      </c>
    </row>
    <row r="1719" spans="1:13" ht="18" customHeight="1" x14ac:dyDescent="0.25">
      <c r="A1719" s="37" t="str">
        <f>IF(Agent09_Loans!B129="","",Agent09_Loans!A129)</f>
        <v/>
      </c>
      <c r="B1719" s="37" t="str">
        <f>IF(Agent09_Loans!B129="","",Agent09_Loans!B129)</f>
        <v/>
      </c>
      <c r="C1719" s="37" t="str">
        <f>IF(Agent09_Loans!B129="","",Agent09_Loans!C129)</f>
        <v/>
      </c>
      <c r="D1719" s="38" t="str">
        <f>IF(Agent09_Loans!B129="","",Agent09_Loans!D129)</f>
        <v/>
      </c>
      <c r="E1719" s="40" t="str">
        <f>IF(Agent09_Loans!B129="","",Agent09_Loans!E129)</f>
        <v/>
      </c>
      <c r="F1719" s="37" t="str">
        <f>IF(Agent09_Loans!B129="","",Agent09_Loans!F129)</f>
        <v/>
      </c>
      <c r="G1719" s="37" t="str">
        <f>IF(Agent09_Loans!B129="","",Agent09_Loans!G129)</f>
        <v/>
      </c>
      <c r="H1719" s="37" t="str">
        <f>IF(Agent09_Loans!B129="","",Agent09_Loans!H129)</f>
        <v/>
      </c>
      <c r="I1719" s="40" t="str">
        <f>IF(Agent09_Loans!B129="","",Agent09_Loans!I129)</f>
        <v/>
      </c>
      <c r="J1719" s="40" t="str">
        <f>IF(Agent09_Loans!B129="","",Agent09_Loans!J129)</f>
        <v/>
      </c>
      <c r="K1719" s="37" t="str">
        <f>IF(Agent09_Loans!B129="","",Agent09_Loans!K129)</f>
        <v/>
      </c>
      <c r="L1719" s="37" t="str">
        <f>IF(Agent09_Loans!B129="","",Agent09_Loans!L129)</f>
        <v/>
      </c>
      <c r="M1719" s="37" t="str">
        <f>IFERROR(IF(Agent09_Loans!B129="","",YEAR(Agent09_Loans!D129)),"")</f>
        <v/>
      </c>
    </row>
    <row r="1720" spans="1:13" ht="18" customHeight="1" x14ac:dyDescent="0.25">
      <c r="A1720" s="37" t="str">
        <f>IF(Agent09_Loans!B130="","",Agent09_Loans!A130)</f>
        <v/>
      </c>
      <c r="B1720" s="37" t="str">
        <f>IF(Agent09_Loans!B130="","",Agent09_Loans!B130)</f>
        <v/>
      </c>
      <c r="C1720" s="37" t="str">
        <f>IF(Agent09_Loans!B130="","",Agent09_Loans!C130)</f>
        <v/>
      </c>
      <c r="D1720" s="38" t="str">
        <f>IF(Agent09_Loans!B130="","",Agent09_Loans!D130)</f>
        <v/>
      </c>
      <c r="E1720" s="40" t="str">
        <f>IF(Agent09_Loans!B130="","",Agent09_Loans!E130)</f>
        <v/>
      </c>
      <c r="F1720" s="37" t="str">
        <f>IF(Agent09_Loans!B130="","",Agent09_Loans!F130)</f>
        <v/>
      </c>
      <c r="G1720" s="37" t="str">
        <f>IF(Agent09_Loans!B130="","",Agent09_Loans!G130)</f>
        <v/>
      </c>
      <c r="H1720" s="37" t="str">
        <f>IF(Agent09_Loans!B130="","",Agent09_Loans!H130)</f>
        <v/>
      </c>
      <c r="I1720" s="40" t="str">
        <f>IF(Agent09_Loans!B130="","",Agent09_Loans!I130)</f>
        <v/>
      </c>
      <c r="J1720" s="40" t="str">
        <f>IF(Agent09_Loans!B130="","",Agent09_Loans!J130)</f>
        <v/>
      </c>
      <c r="K1720" s="37" t="str">
        <f>IF(Agent09_Loans!B130="","",Agent09_Loans!K130)</f>
        <v/>
      </c>
      <c r="L1720" s="37" t="str">
        <f>IF(Agent09_Loans!B130="","",Agent09_Loans!L130)</f>
        <v/>
      </c>
      <c r="M1720" s="37" t="str">
        <f>IFERROR(IF(Agent09_Loans!B130="","",YEAR(Agent09_Loans!D130)),"")</f>
        <v/>
      </c>
    </row>
    <row r="1721" spans="1:13" ht="18" customHeight="1" x14ac:dyDescent="0.25">
      <c r="A1721" s="37" t="str">
        <f>IF(Agent09_Loans!B131="","",Agent09_Loans!A131)</f>
        <v/>
      </c>
      <c r="B1721" s="37" t="str">
        <f>IF(Agent09_Loans!B131="","",Agent09_Loans!B131)</f>
        <v/>
      </c>
      <c r="C1721" s="37" t="str">
        <f>IF(Agent09_Loans!B131="","",Agent09_Loans!C131)</f>
        <v/>
      </c>
      <c r="D1721" s="38" t="str">
        <f>IF(Agent09_Loans!B131="","",Agent09_Loans!D131)</f>
        <v/>
      </c>
      <c r="E1721" s="40" t="str">
        <f>IF(Agent09_Loans!B131="","",Agent09_Loans!E131)</f>
        <v/>
      </c>
      <c r="F1721" s="37" t="str">
        <f>IF(Agent09_Loans!B131="","",Agent09_Loans!F131)</f>
        <v/>
      </c>
      <c r="G1721" s="37" t="str">
        <f>IF(Agent09_Loans!B131="","",Agent09_Loans!G131)</f>
        <v/>
      </c>
      <c r="H1721" s="37" t="str">
        <f>IF(Agent09_Loans!B131="","",Agent09_Loans!H131)</f>
        <v/>
      </c>
      <c r="I1721" s="40" t="str">
        <f>IF(Agent09_Loans!B131="","",Agent09_Loans!I131)</f>
        <v/>
      </c>
      <c r="J1721" s="40" t="str">
        <f>IF(Agent09_Loans!B131="","",Agent09_Loans!J131)</f>
        <v/>
      </c>
      <c r="K1721" s="37" t="str">
        <f>IF(Agent09_Loans!B131="","",Agent09_Loans!K131)</f>
        <v/>
      </c>
      <c r="L1721" s="37" t="str">
        <f>IF(Agent09_Loans!B131="","",Agent09_Loans!L131)</f>
        <v/>
      </c>
      <c r="M1721" s="37" t="str">
        <f>IFERROR(IF(Agent09_Loans!B131="","",YEAR(Agent09_Loans!D131)),"")</f>
        <v/>
      </c>
    </row>
    <row r="1722" spans="1:13" ht="18" customHeight="1" x14ac:dyDescent="0.25">
      <c r="A1722" s="37" t="str">
        <f>IF(Agent09_Loans!B132="","",Agent09_Loans!A132)</f>
        <v/>
      </c>
      <c r="B1722" s="37" t="str">
        <f>IF(Agent09_Loans!B132="","",Agent09_Loans!B132)</f>
        <v/>
      </c>
      <c r="C1722" s="37" t="str">
        <f>IF(Agent09_Loans!B132="","",Agent09_Loans!C132)</f>
        <v/>
      </c>
      <c r="D1722" s="38" t="str">
        <f>IF(Agent09_Loans!B132="","",Agent09_Loans!D132)</f>
        <v/>
      </c>
      <c r="E1722" s="40" t="str">
        <f>IF(Agent09_Loans!B132="","",Agent09_Loans!E132)</f>
        <v/>
      </c>
      <c r="F1722" s="37" t="str">
        <f>IF(Agent09_Loans!B132="","",Agent09_Loans!F132)</f>
        <v/>
      </c>
      <c r="G1722" s="37" t="str">
        <f>IF(Agent09_Loans!B132="","",Agent09_Loans!G132)</f>
        <v/>
      </c>
      <c r="H1722" s="37" t="str">
        <f>IF(Agent09_Loans!B132="","",Agent09_Loans!H132)</f>
        <v/>
      </c>
      <c r="I1722" s="40" t="str">
        <f>IF(Agent09_Loans!B132="","",Agent09_Loans!I132)</f>
        <v/>
      </c>
      <c r="J1722" s="40" t="str">
        <f>IF(Agent09_Loans!B132="","",Agent09_Loans!J132)</f>
        <v/>
      </c>
      <c r="K1722" s="37" t="str">
        <f>IF(Agent09_Loans!B132="","",Agent09_Loans!K132)</f>
        <v/>
      </c>
      <c r="L1722" s="37" t="str">
        <f>IF(Agent09_Loans!B132="","",Agent09_Loans!L132)</f>
        <v/>
      </c>
      <c r="M1722" s="37" t="str">
        <f>IFERROR(IF(Agent09_Loans!B132="","",YEAR(Agent09_Loans!D132)),"")</f>
        <v/>
      </c>
    </row>
    <row r="1723" spans="1:13" ht="18" customHeight="1" x14ac:dyDescent="0.25">
      <c r="A1723" s="37" t="str">
        <f>IF(Agent09_Loans!B133="","",Agent09_Loans!A133)</f>
        <v/>
      </c>
      <c r="B1723" s="37" t="str">
        <f>IF(Agent09_Loans!B133="","",Agent09_Loans!B133)</f>
        <v/>
      </c>
      <c r="C1723" s="37" t="str">
        <f>IF(Agent09_Loans!B133="","",Agent09_Loans!C133)</f>
        <v/>
      </c>
      <c r="D1723" s="38" t="str">
        <f>IF(Agent09_Loans!B133="","",Agent09_Loans!D133)</f>
        <v/>
      </c>
      <c r="E1723" s="40" t="str">
        <f>IF(Agent09_Loans!B133="","",Agent09_Loans!E133)</f>
        <v/>
      </c>
      <c r="F1723" s="37" t="str">
        <f>IF(Agent09_Loans!B133="","",Agent09_Loans!F133)</f>
        <v/>
      </c>
      <c r="G1723" s="37" t="str">
        <f>IF(Agent09_Loans!B133="","",Agent09_Loans!G133)</f>
        <v/>
      </c>
      <c r="H1723" s="37" t="str">
        <f>IF(Agent09_Loans!B133="","",Agent09_Loans!H133)</f>
        <v/>
      </c>
      <c r="I1723" s="40" t="str">
        <f>IF(Agent09_Loans!B133="","",Agent09_Loans!I133)</f>
        <v/>
      </c>
      <c r="J1723" s="40" t="str">
        <f>IF(Agent09_Loans!B133="","",Agent09_Loans!J133)</f>
        <v/>
      </c>
      <c r="K1723" s="37" t="str">
        <f>IF(Agent09_Loans!B133="","",Agent09_Loans!K133)</f>
        <v/>
      </c>
      <c r="L1723" s="37" t="str">
        <f>IF(Agent09_Loans!B133="","",Agent09_Loans!L133)</f>
        <v/>
      </c>
      <c r="M1723" s="37" t="str">
        <f>IFERROR(IF(Agent09_Loans!B133="","",YEAR(Agent09_Loans!D133)),"")</f>
        <v/>
      </c>
    </row>
    <row r="1724" spans="1:13" ht="18" customHeight="1" x14ac:dyDescent="0.25">
      <c r="A1724" s="37" t="str">
        <f>IF(Agent09_Loans!B134="","",Agent09_Loans!A134)</f>
        <v/>
      </c>
      <c r="B1724" s="37" t="str">
        <f>IF(Agent09_Loans!B134="","",Agent09_Loans!B134)</f>
        <v/>
      </c>
      <c r="C1724" s="37" t="str">
        <f>IF(Agent09_Loans!B134="","",Agent09_Loans!C134)</f>
        <v/>
      </c>
      <c r="D1724" s="38" t="str">
        <f>IF(Agent09_Loans!B134="","",Agent09_Loans!D134)</f>
        <v/>
      </c>
      <c r="E1724" s="40" t="str">
        <f>IF(Agent09_Loans!B134="","",Agent09_Loans!E134)</f>
        <v/>
      </c>
      <c r="F1724" s="37" t="str">
        <f>IF(Agent09_Loans!B134="","",Agent09_Loans!F134)</f>
        <v/>
      </c>
      <c r="G1724" s="37" t="str">
        <f>IF(Agent09_Loans!B134="","",Agent09_Loans!G134)</f>
        <v/>
      </c>
      <c r="H1724" s="37" t="str">
        <f>IF(Agent09_Loans!B134="","",Agent09_Loans!H134)</f>
        <v/>
      </c>
      <c r="I1724" s="40" t="str">
        <f>IF(Agent09_Loans!B134="","",Agent09_Loans!I134)</f>
        <v/>
      </c>
      <c r="J1724" s="40" t="str">
        <f>IF(Agent09_Loans!B134="","",Agent09_Loans!J134)</f>
        <v/>
      </c>
      <c r="K1724" s="37" t="str">
        <f>IF(Agent09_Loans!B134="","",Agent09_Loans!K134)</f>
        <v/>
      </c>
      <c r="L1724" s="37" t="str">
        <f>IF(Agent09_Loans!B134="","",Agent09_Loans!L134)</f>
        <v/>
      </c>
      <c r="M1724" s="37" t="str">
        <f>IFERROR(IF(Agent09_Loans!B134="","",YEAR(Agent09_Loans!D134)),"")</f>
        <v/>
      </c>
    </row>
    <row r="1725" spans="1:13" ht="18" customHeight="1" x14ac:dyDescent="0.25">
      <c r="A1725" s="37" t="str">
        <f>IF(Agent09_Loans!B135="","",Agent09_Loans!A135)</f>
        <v/>
      </c>
      <c r="B1725" s="37" t="str">
        <f>IF(Agent09_Loans!B135="","",Agent09_Loans!B135)</f>
        <v/>
      </c>
      <c r="C1725" s="37" t="str">
        <f>IF(Agent09_Loans!B135="","",Agent09_Loans!C135)</f>
        <v/>
      </c>
      <c r="D1725" s="38" t="str">
        <f>IF(Agent09_Loans!B135="","",Agent09_Loans!D135)</f>
        <v/>
      </c>
      <c r="E1725" s="40" t="str">
        <f>IF(Agent09_Loans!B135="","",Agent09_Loans!E135)</f>
        <v/>
      </c>
      <c r="F1725" s="37" t="str">
        <f>IF(Agent09_Loans!B135="","",Agent09_Loans!F135)</f>
        <v/>
      </c>
      <c r="G1725" s="37" t="str">
        <f>IF(Agent09_Loans!B135="","",Agent09_Loans!G135)</f>
        <v/>
      </c>
      <c r="H1725" s="37" t="str">
        <f>IF(Agent09_Loans!B135="","",Agent09_Loans!H135)</f>
        <v/>
      </c>
      <c r="I1725" s="40" t="str">
        <f>IF(Agent09_Loans!B135="","",Agent09_Loans!I135)</f>
        <v/>
      </c>
      <c r="J1725" s="40" t="str">
        <f>IF(Agent09_Loans!B135="","",Agent09_Loans!J135)</f>
        <v/>
      </c>
      <c r="K1725" s="37" t="str">
        <f>IF(Agent09_Loans!B135="","",Agent09_Loans!K135)</f>
        <v/>
      </c>
      <c r="L1725" s="37" t="str">
        <f>IF(Agent09_Loans!B135="","",Agent09_Loans!L135)</f>
        <v/>
      </c>
      <c r="M1725" s="37" t="str">
        <f>IFERROR(IF(Agent09_Loans!B135="","",YEAR(Agent09_Loans!D135)),"")</f>
        <v/>
      </c>
    </row>
    <row r="1726" spans="1:13" ht="18" customHeight="1" x14ac:dyDescent="0.25">
      <c r="A1726" s="37" t="str">
        <f>IF(Agent09_Loans!B136="","",Agent09_Loans!A136)</f>
        <v/>
      </c>
      <c r="B1726" s="37" t="str">
        <f>IF(Agent09_Loans!B136="","",Agent09_Loans!B136)</f>
        <v/>
      </c>
      <c r="C1726" s="37" t="str">
        <f>IF(Agent09_Loans!B136="","",Agent09_Loans!C136)</f>
        <v/>
      </c>
      <c r="D1726" s="38" t="str">
        <f>IF(Agent09_Loans!B136="","",Agent09_Loans!D136)</f>
        <v/>
      </c>
      <c r="E1726" s="40" t="str">
        <f>IF(Agent09_Loans!B136="","",Agent09_Loans!E136)</f>
        <v/>
      </c>
      <c r="F1726" s="37" t="str">
        <f>IF(Agent09_Loans!B136="","",Agent09_Loans!F136)</f>
        <v/>
      </c>
      <c r="G1726" s="37" t="str">
        <f>IF(Agent09_Loans!B136="","",Agent09_Loans!G136)</f>
        <v/>
      </c>
      <c r="H1726" s="37" t="str">
        <f>IF(Agent09_Loans!B136="","",Agent09_Loans!H136)</f>
        <v/>
      </c>
      <c r="I1726" s="40" t="str">
        <f>IF(Agent09_Loans!B136="","",Agent09_Loans!I136)</f>
        <v/>
      </c>
      <c r="J1726" s="40" t="str">
        <f>IF(Agent09_Loans!B136="","",Agent09_Loans!J136)</f>
        <v/>
      </c>
      <c r="K1726" s="37" t="str">
        <f>IF(Agent09_Loans!B136="","",Agent09_Loans!K136)</f>
        <v/>
      </c>
      <c r="L1726" s="37" t="str">
        <f>IF(Agent09_Loans!B136="","",Agent09_Loans!L136)</f>
        <v/>
      </c>
      <c r="M1726" s="37" t="str">
        <f>IFERROR(IF(Agent09_Loans!B136="","",YEAR(Agent09_Loans!D136)),"")</f>
        <v/>
      </c>
    </row>
    <row r="1727" spans="1:13" ht="18" customHeight="1" x14ac:dyDescent="0.25">
      <c r="A1727" s="37" t="str">
        <f>IF(Agent09_Loans!B137="","",Agent09_Loans!A137)</f>
        <v/>
      </c>
      <c r="B1727" s="37" t="str">
        <f>IF(Agent09_Loans!B137="","",Agent09_Loans!B137)</f>
        <v/>
      </c>
      <c r="C1727" s="37" t="str">
        <f>IF(Agent09_Loans!B137="","",Agent09_Loans!C137)</f>
        <v/>
      </c>
      <c r="D1727" s="38" t="str">
        <f>IF(Agent09_Loans!B137="","",Agent09_Loans!D137)</f>
        <v/>
      </c>
      <c r="E1727" s="40" t="str">
        <f>IF(Agent09_Loans!B137="","",Agent09_Loans!E137)</f>
        <v/>
      </c>
      <c r="F1727" s="37" t="str">
        <f>IF(Agent09_Loans!B137="","",Agent09_Loans!F137)</f>
        <v/>
      </c>
      <c r="G1727" s="37" t="str">
        <f>IF(Agent09_Loans!B137="","",Agent09_Loans!G137)</f>
        <v/>
      </c>
      <c r="H1727" s="37" t="str">
        <f>IF(Agent09_Loans!B137="","",Agent09_Loans!H137)</f>
        <v/>
      </c>
      <c r="I1727" s="40" t="str">
        <f>IF(Agent09_Loans!B137="","",Agent09_Loans!I137)</f>
        <v/>
      </c>
      <c r="J1727" s="40" t="str">
        <f>IF(Agent09_Loans!B137="","",Agent09_Loans!J137)</f>
        <v/>
      </c>
      <c r="K1727" s="37" t="str">
        <f>IF(Agent09_Loans!B137="","",Agent09_Loans!K137)</f>
        <v/>
      </c>
      <c r="L1727" s="37" t="str">
        <f>IF(Agent09_Loans!B137="","",Agent09_Loans!L137)</f>
        <v/>
      </c>
      <c r="M1727" s="37" t="str">
        <f>IFERROR(IF(Agent09_Loans!B137="","",YEAR(Agent09_Loans!D137)),"")</f>
        <v/>
      </c>
    </row>
    <row r="1728" spans="1:13" ht="18" customHeight="1" x14ac:dyDescent="0.25">
      <c r="A1728" s="37" t="str">
        <f>IF(Agent09_Loans!B138="","",Agent09_Loans!A138)</f>
        <v/>
      </c>
      <c r="B1728" s="37" t="str">
        <f>IF(Agent09_Loans!B138="","",Agent09_Loans!B138)</f>
        <v/>
      </c>
      <c r="C1728" s="37" t="str">
        <f>IF(Agent09_Loans!B138="","",Agent09_Loans!C138)</f>
        <v/>
      </c>
      <c r="D1728" s="38" t="str">
        <f>IF(Agent09_Loans!B138="","",Agent09_Loans!D138)</f>
        <v/>
      </c>
      <c r="E1728" s="40" t="str">
        <f>IF(Agent09_Loans!B138="","",Agent09_Loans!E138)</f>
        <v/>
      </c>
      <c r="F1728" s="37" t="str">
        <f>IF(Agent09_Loans!B138="","",Agent09_Loans!F138)</f>
        <v/>
      </c>
      <c r="G1728" s="37" t="str">
        <f>IF(Agent09_Loans!B138="","",Agent09_Loans!G138)</f>
        <v/>
      </c>
      <c r="H1728" s="37" t="str">
        <f>IF(Agent09_Loans!B138="","",Agent09_Loans!H138)</f>
        <v/>
      </c>
      <c r="I1728" s="40" t="str">
        <f>IF(Agent09_Loans!B138="","",Agent09_Loans!I138)</f>
        <v/>
      </c>
      <c r="J1728" s="40" t="str">
        <f>IF(Agent09_Loans!B138="","",Agent09_Loans!J138)</f>
        <v/>
      </c>
      <c r="K1728" s="37" t="str">
        <f>IF(Agent09_Loans!B138="","",Agent09_Loans!K138)</f>
        <v/>
      </c>
      <c r="L1728" s="37" t="str">
        <f>IF(Agent09_Loans!B138="","",Agent09_Loans!L138)</f>
        <v/>
      </c>
      <c r="M1728" s="37" t="str">
        <f>IFERROR(IF(Agent09_Loans!B138="","",YEAR(Agent09_Loans!D138)),"")</f>
        <v/>
      </c>
    </row>
    <row r="1729" spans="1:13" ht="18" customHeight="1" x14ac:dyDescent="0.25">
      <c r="A1729" s="37" t="str">
        <f>IF(Agent09_Loans!B139="","",Agent09_Loans!A139)</f>
        <v/>
      </c>
      <c r="B1729" s="37" t="str">
        <f>IF(Agent09_Loans!B139="","",Agent09_Loans!B139)</f>
        <v/>
      </c>
      <c r="C1729" s="37" t="str">
        <f>IF(Agent09_Loans!B139="","",Agent09_Loans!C139)</f>
        <v/>
      </c>
      <c r="D1729" s="38" t="str">
        <f>IF(Agent09_Loans!B139="","",Agent09_Loans!D139)</f>
        <v/>
      </c>
      <c r="E1729" s="40" t="str">
        <f>IF(Agent09_Loans!B139="","",Agent09_Loans!E139)</f>
        <v/>
      </c>
      <c r="F1729" s="37" t="str">
        <f>IF(Agent09_Loans!B139="","",Agent09_Loans!F139)</f>
        <v/>
      </c>
      <c r="G1729" s="37" t="str">
        <f>IF(Agent09_Loans!B139="","",Agent09_Loans!G139)</f>
        <v/>
      </c>
      <c r="H1729" s="37" t="str">
        <f>IF(Agent09_Loans!B139="","",Agent09_Loans!H139)</f>
        <v/>
      </c>
      <c r="I1729" s="40" t="str">
        <f>IF(Agent09_Loans!B139="","",Agent09_Loans!I139)</f>
        <v/>
      </c>
      <c r="J1729" s="40" t="str">
        <f>IF(Agent09_Loans!B139="","",Agent09_Loans!J139)</f>
        <v/>
      </c>
      <c r="K1729" s="37" t="str">
        <f>IF(Agent09_Loans!B139="","",Agent09_Loans!K139)</f>
        <v/>
      </c>
      <c r="L1729" s="37" t="str">
        <f>IF(Agent09_Loans!B139="","",Agent09_Loans!L139)</f>
        <v/>
      </c>
      <c r="M1729" s="37" t="str">
        <f>IFERROR(IF(Agent09_Loans!B139="","",YEAR(Agent09_Loans!D139)),"")</f>
        <v/>
      </c>
    </row>
    <row r="1730" spans="1:13" ht="18" customHeight="1" x14ac:dyDescent="0.25">
      <c r="A1730" s="37" t="str">
        <f>IF(Agent09_Loans!B140="","",Agent09_Loans!A140)</f>
        <v/>
      </c>
      <c r="B1730" s="37" t="str">
        <f>IF(Agent09_Loans!B140="","",Agent09_Loans!B140)</f>
        <v/>
      </c>
      <c r="C1730" s="37" t="str">
        <f>IF(Agent09_Loans!B140="","",Agent09_Loans!C140)</f>
        <v/>
      </c>
      <c r="D1730" s="38" t="str">
        <f>IF(Agent09_Loans!B140="","",Agent09_Loans!D140)</f>
        <v/>
      </c>
      <c r="E1730" s="40" t="str">
        <f>IF(Agent09_Loans!B140="","",Agent09_Loans!E140)</f>
        <v/>
      </c>
      <c r="F1730" s="37" t="str">
        <f>IF(Agent09_Loans!B140="","",Agent09_Loans!F140)</f>
        <v/>
      </c>
      <c r="G1730" s="37" t="str">
        <f>IF(Agent09_Loans!B140="","",Agent09_Loans!G140)</f>
        <v/>
      </c>
      <c r="H1730" s="37" t="str">
        <f>IF(Agent09_Loans!B140="","",Agent09_Loans!H140)</f>
        <v/>
      </c>
      <c r="I1730" s="40" t="str">
        <f>IF(Agent09_Loans!B140="","",Agent09_Loans!I140)</f>
        <v/>
      </c>
      <c r="J1730" s="40" t="str">
        <f>IF(Agent09_Loans!B140="","",Agent09_Loans!J140)</f>
        <v/>
      </c>
      <c r="K1730" s="37" t="str">
        <f>IF(Agent09_Loans!B140="","",Agent09_Loans!K140)</f>
        <v/>
      </c>
      <c r="L1730" s="37" t="str">
        <f>IF(Agent09_Loans!B140="","",Agent09_Loans!L140)</f>
        <v/>
      </c>
      <c r="M1730" s="37" t="str">
        <f>IFERROR(IF(Agent09_Loans!B140="","",YEAR(Agent09_Loans!D140)),"")</f>
        <v/>
      </c>
    </row>
    <row r="1731" spans="1:13" ht="18" customHeight="1" x14ac:dyDescent="0.25">
      <c r="A1731" s="37" t="str">
        <f>IF(Agent09_Loans!B141="","",Agent09_Loans!A141)</f>
        <v/>
      </c>
      <c r="B1731" s="37" t="str">
        <f>IF(Agent09_Loans!B141="","",Agent09_Loans!B141)</f>
        <v/>
      </c>
      <c r="C1731" s="37" t="str">
        <f>IF(Agent09_Loans!B141="","",Agent09_Loans!C141)</f>
        <v/>
      </c>
      <c r="D1731" s="38" t="str">
        <f>IF(Agent09_Loans!B141="","",Agent09_Loans!D141)</f>
        <v/>
      </c>
      <c r="E1731" s="40" t="str">
        <f>IF(Agent09_Loans!B141="","",Agent09_Loans!E141)</f>
        <v/>
      </c>
      <c r="F1731" s="37" t="str">
        <f>IF(Agent09_Loans!B141="","",Agent09_Loans!F141)</f>
        <v/>
      </c>
      <c r="G1731" s="37" t="str">
        <f>IF(Agent09_Loans!B141="","",Agent09_Loans!G141)</f>
        <v/>
      </c>
      <c r="H1731" s="37" t="str">
        <f>IF(Agent09_Loans!B141="","",Agent09_Loans!H141)</f>
        <v/>
      </c>
      <c r="I1731" s="40" t="str">
        <f>IF(Agent09_Loans!B141="","",Agent09_Loans!I141)</f>
        <v/>
      </c>
      <c r="J1731" s="40" t="str">
        <f>IF(Agent09_Loans!B141="","",Agent09_Loans!J141)</f>
        <v/>
      </c>
      <c r="K1731" s="37" t="str">
        <f>IF(Agent09_Loans!B141="","",Agent09_Loans!K141)</f>
        <v/>
      </c>
      <c r="L1731" s="37" t="str">
        <f>IF(Agent09_Loans!B141="","",Agent09_Loans!L141)</f>
        <v/>
      </c>
      <c r="M1731" s="37" t="str">
        <f>IFERROR(IF(Agent09_Loans!B141="","",YEAR(Agent09_Loans!D141)),"")</f>
        <v/>
      </c>
    </row>
    <row r="1732" spans="1:13" ht="18" customHeight="1" x14ac:dyDescent="0.25">
      <c r="A1732" s="37" t="str">
        <f>IF(Agent09_Loans!B142="","",Agent09_Loans!A142)</f>
        <v/>
      </c>
      <c r="B1732" s="37" t="str">
        <f>IF(Agent09_Loans!B142="","",Agent09_Loans!B142)</f>
        <v/>
      </c>
      <c r="C1732" s="37" t="str">
        <f>IF(Agent09_Loans!B142="","",Agent09_Loans!C142)</f>
        <v/>
      </c>
      <c r="D1732" s="38" t="str">
        <f>IF(Agent09_Loans!B142="","",Agent09_Loans!D142)</f>
        <v/>
      </c>
      <c r="E1732" s="40" t="str">
        <f>IF(Agent09_Loans!B142="","",Agent09_Loans!E142)</f>
        <v/>
      </c>
      <c r="F1732" s="37" t="str">
        <f>IF(Agent09_Loans!B142="","",Agent09_Loans!F142)</f>
        <v/>
      </c>
      <c r="G1732" s="37" t="str">
        <f>IF(Agent09_Loans!B142="","",Agent09_Loans!G142)</f>
        <v/>
      </c>
      <c r="H1732" s="37" t="str">
        <f>IF(Agent09_Loans!B142="","",Agent09_Loans!H142)</f>
        <v/>
      </c>
      <c r="I1732" s="40" t="str">
        <f>IF(Agent09_Loans!B142="","",Agent09_Loans!I142)</f>
        <v/>
      </c>
      <c r="J1732" s="40" t="str">
        <f>IF(Agent09_Loans!B142="","",Agent09_Loans!J142)</f>
        <v/>
      </c>
      <c r="K1732" s="37" t="str">
        <f>IF(Agent09_Loans!B142="","",Agent09_Loans!K142)</f>
        <v/>
      </c>
      <c r="L1732" s="37" t="str">
        <f>IF(Agent09_Loans!B142="","",Agent09_Loans!L142)</f>
        <v/>
      </c>
      <c r="M1732" s="37" t="str">
        <f>IFERROR(IF(Agent09_Loans!B142="","",YEAR(Agent09_Loans!D142)),"")</f>
        <v/>
      </c>
    </row>
    <row r="1733" spans="1:13" ht="18" customHeight="1" x14ac:dyDescent="0.25">
      <c r="A1733" s="37" t="str">
        <f>IF(Agent09_Loans!B143="","",Agent09_Loans!A143)</f>
        <v/>
      </c>
      <c r="B1733" s="37" t="str">
        <f>IF(Agent09_Loans!B143="","",Agent09_Loans!B143)</f>
        <v/>
      </c>
      <c r="C1733" s="37" t="str">
        <f>IF(Agent09_Loans!B143="","",Agent09_Loans!C143)</f>
        <v/>
      </c>
      <c r="D1733" s="38" t="str">
        <f>IF(Agent09_Loans!B143="","",Agent09_Loans!D143)</f>
        <v/>
      </c>
      <c r="E1733" s="40" t="str">
        <f>IF(Agent09_Loans!B143="","",Agent09_Loans!E143)</f>
        <v/>
      </c>
      <c r="F1733" s="37" t="str">
        <f>IF(Agent09_Loans!B143="","",Agent09_Loans!F143)</f>
        <v/>
      </c>
      <c r="G1733" s="37" t="str">
        <f>IF(Agent09_Loans!B143="","",Agent09_Loans!G143)</f>
        <v/>
      </c>
      <c r="H1733" s="37" t="str">
        <f>IF(Agent09_Loans!B143="","",Agent09_Loans!H143)</f>
        <v/>
      </c>
      <c r="I1733" s="40" t="str">
        <f>IF(Agent09_Loans!B143="","",Agent09_Loans!I143)</f>
        <v/>
      </c>
      <c r="J1733" s="40" t="str">
        <f>IF(Agent09_Loans!B143="","",Agent09_Loans!J143)</f>
        <v/>
      </c>
      <c r="K1733" s="37" t="str">
        <f>IF(Agent09_Loans!B143="","",Agent09_Loans!K143)</f>
        <v/>
      </c>
      <c r="L1733" s="37" t="str">
        <f>IF(Agent09_Loans!B143="","",Agent09_Loans!L143)</f>
        <v/>
      </c>
      <c r="M1733" s="37" t="str">
        <f>IFERROR(IF(Agent09_Loans!B143="","",YEAR(Agent09_Loans!D143)),"")</f>
        <v/>
      </c>
    </row>
    <row r="1734" spans="1:13" ht="18" customHeight="1" x14ac:dyDescent="0.25">
      <c r="A1734" s="37" t="str">
        <f>IF(Agent09_Loans!B144="","",Agent09_Loans!A144)</f>
        <v/>
      </c>
      <c r="B1734" s="37" t="str">
        <f>IF(Agent09_Loans!B144="","",Agent09_Loans!B144)</f>
        <v/>
      </c>
      <c r="C1734" s="37" t="str">
        <f>IF(Agent09_Loans!B144="","",Agent09_Loans!C144)</f>
        <v/>
      </c>
      <c r="D1734" s="38" t="str">
        <f>IF(Agent09_Loans!B144="","",Agent09_Loans!D144)</f>
        <v/>
      </c>
      <c r="E1734" s="40" t="str">
        <f>IF(Agent09_Loans!B144="","",Agent09_Loans!E144)</f>
        <v/>
      </c>
      <c r="F1734" s="37" t="str">
        <f>IF(Agent09_Loans!B144="","",Agent09_Loans!F144)</f>
        <v/>
      </c>
      <c r="G1734" s="37" t="str">
        <f>IF(Agent09_Loans!B144="","",Agent09_Loans!G144)</f>
        <v/>
      </c>
      <c r="H1734" s="37" t="str">
        <f>IF(Agent09_Loans!B144="","",Agent09_Loans!H144)</f>
        <v/>
      </c>
      <c r="I1734" s="40" t="str">
        <f>IF(Agent09_Loans!B144="","",Agent09_Loans!I144)</f>
        <v/>
      </c>
      <c r="J1734" s="40" t="str">
        <f>IF(Agent09_Loans!B144="","",Agent09_Loans!J144)</f>
        <v/>
      </c>
      <c r="K1734" s="37" t="str">
        <f>IF(Agent09_Loans!B144="","",Agent09_Loans!K144)</f>
        <v/>
      </c>
      <c r="L1734" s="37" t="str">
        <f>IF(Agent09_Loans!B144="","",Agent09_Loans!L144)</f>
        <v/>
      </c>
      <c r="M1734" s="37" t="str">
        <f>IFERROR(IF(Agent09_Loans!B144="","",YEAR(Agent09_Loans!D144)),"")</f>
        <v/>
      </c>
    </row>
    <row r="1735" spans="1:13" ht="18" customHeight="1" x14ac:dyDescent="0.25">
      <c r="A1735" s="37" t="str">
        <f>IF(Agent09_Loans!B145="","",Agent09_Loans!A145)</f>
        <v/>
      </c>
      <c r="B1735" s="37" t="str">
        <f>IF(Agent09_Loans!B145="","",Agent09_Loans!B145)</f>
        <v/>
      </c>
      <c r="C1735" s="37" t="str">
        <f>IF(Agent09_Loans!B145="","",Agent09_Loans!C145)</f>
        <v/>
      </c>
      <c r="D1735" s="38" t="str">
        <f>IF(Agent09_Loans!B145="","",Agent09_Loans!D145)</f>
        <v/>
      </c>
      <c r="E1735" s="40" t="str">
        <f>IF(Agent09_Loans!B145="","",Agent09_Loans!E145)</f>
        <v/>
      </c>
      <c r="F1735" s="37" t="str">
        <f>IF(Agent09_Loans!B145="","",Agent09_Loans!F145)</f>
        <v/>
      </c>
      <c r="G1735" s="37" t="str">
        <f>IF(Agent09_Loans!B145="","",Agent09_Loans!G145)</f>
        <v/>
      </c>
      <c r="H1735" s="37" t="str">
        <f>IF(Agent09_Loans!B145="","",Agent09_Loans!H145)</f>
        <v/>
      </c>
      <c r="I1735" s="40" t="str">
        <f>IF(Agent09_Loans!B145="","",Agent09_Loans!I145)</f>
        <v/>
      </c>
      <c r="J1735" s="40" t="str">
        <f>IF(Agent09_Loans!B145="","",Agent09_Loans!J145)</f>
        <v/>
      </c>
      <c r="K1735" s="37" t="str">
        <f>IF(Agent09_Loans!B145="","",Agent09_Loans!K145)</f>
        <v/>
      </c>
      <c r="L1735" s="37" t="str">
        <f>IF(Agent09_Loans!B145="","",Agent09_Loans!L145)</f>
        <v/>
      </c>
      <c r="M1735" s="37" t="str">
        <f>IFERROR(IF(Agent09_Loans!B145="","",YEAR(Agent09_Loans!D145)),"")</f>
        <v/>
      </c>
    </row>
    <row r="1736" spans="1:13" ht="18" customHeight="1" x14ac:dyDescent="0.25">
      <c r="A1736" s="37" t="str">
        <f>IF(Agent09_Loans!B146="","",Agent09_Loans!A146)</f>
        <v/>
      </c>
      <c r="B1736" s="37" t="str">
        <f>IF(Agent09_Loans!B146="","",Agent09_Loans!B146)</f>
        <v/>
      </c>
      <c r="C1736" s="37" t="str">
        <f>IF(Agent09_Loans!B146="","",Agent09_Loans!C146)</f>
        <v/>
      </c>
      <c r="D1736" s="38" t="str">
        <f>IF(Agent09_Loans!B146="","",Agent09_Loans!D146)</f>
        <v/>
      </c>
      <c r="E1736" s="40" t="str">
        <f>IF(Agent09_Loans!B146="","",Agent09_Loans!E146)</f>
        <v/>
      </c>
      <c r="F1736" s="37" t="str">
        <f>IF(Agent09_Loans!B146="","",Agent09_Loans!F146)</f>
        <v/>
      </c>
      <c r="G1736" s="37" t="str">
        <f>IF(Agent09_Loans!B146="","",Agent09_Loans!G146)</f>
        <v/>
      </c>
      <c r="H1736" s="37" t="str">
        <f>IF(Agent09_Loans!B146="","",Agent09_Loans!H146)</f>
        <v/>
      </c>
      <c r="I1736" s="40" t="str">
        <f>IF(Agent09_Loans!B146="","",Agent09_Loans!I146)</f>
        <v/>
      </c>
      <c r="J1736" s="40" t="str">
        <f>IF(Agent09_Loans!B146="","",Agent09_Loans!J146)</f>
        <v/>
      </c>
      <c r="K1736" s="37" t="str">
        <f>IF(Agent09_Loans!B146="","",Agent09_Loans!K146)</f>
        <v/>
      </c>
      <c r="L1736" s="37" t="str">
        <f>IF(Agent09_Loans!B146="","",Agent09_Loans!L146)</f>
        <v/>
      </c>
      <c r="M1736" s="37" t="str">
        <f>IFERROR(IF(Agent09_Loans!B146="","",YEAR(Agent09_Loans!D146)),"")</f>
        <v/>
      </c>
    </row>
    <row r="1737" spans="1:13" ht="18" customHeight="1" x14ac:dyDescent="0.25">
      <c r="A1737" s="37" t="str">
        <f>IF(Agent09_Loans!B147="","",Agent09_Loans!A147)</f>
        <v/>
      </c>
      <c r="B1737" s="37" t="str">
        <f>IF(Agent09_Loans!B147="","",Agent09_Loans!B147)</f>
        <v/>
      </c>
      <c r="C1737" s="37" t="str">
        <f>IF(Agent09_Loans!B147="","",Agent09_Loans!C147)</f>
        <v/>
      </c>
      <c r="D1737" s="38" t="str">
        <f>IF(Agent09_Loans!B147="","",Agent09_Loans!D147)</f>
        <v/>
      </c>
      <c r="E1737" s="40" t="str">
        <f>IF(Agent09_Loans!B147="","",Agent09_Loans!E147)</f>
        <v/>
      </c>
      <c r="F1737" s="37" t="str">
        <f>IF(Agent09_Loans!B147="","",Agent09_Loans!F147)</f>
        <v/>
      </c>
      <c r="G1737" s="37" t="str">
        <f>IF(Agent09_Loans!B147="","",Agent09_Loans!G147)</f>
        <v/>
      </c>
      <c r="H1737" s="37" t="str">
        <f>IF(Agent09_Loans!B147="","",Agent09_Loans!H147)</f>
        <v/>
      </c>
      <c r="I1737" s="40" t="str">
        <f>IF(Agent09_Loans!B147="","",Agent09_Loans!I147)</f>
        <v/>
      </c>
      <c r="J1737" s="40" t="str">
        <f>IF(Agent09_Loans!B147="","",Agent09_Loans!J147)</f>
        <v/>
      </c>
      <c r="K1737" s="37" t="str">
        <f>IF(Agent09_Loans!B147="","",Agent09_Loans!K147)</f>
        <v/>
      </c>
      <c r="L1737" s="37" t="str">
        <f>IF(Agent09_Loans!B147="","",Agent09_Loans!L147)</f>
        <v/>
      </c>
      <c r="M1737" s="37" t="str">
        <f>IFERROR(IF(Agent09_Loans!B147="","",YEAR(Agent09_Loans!D147)),"")</f>
        <v/>
      </c>
    </row>
    <row r="1738" spans="1:13" ht="18" customHeight="1" x14ac:dyDescent="0.25">
      <c r="A1738" s="37" t="str">
        <f>IF(Agent09_Loans!B148="","",Agent09_Loans!A148)</f>
        <v/>
      </c>
      <c r="B1738" s="37" t="str">
        <f>IF(Agent09_Loans!B148="","",Agent09_Loans!B148)</f>
        <v/>
      </c>
      <c r="C1738" s="37" t="str">
        <f>IF(Agent09_Loans!B148="","",Agent09_Loans!C148)</f>
        <v/>
      </c>
      <c r="D1738" s="38" t="str">
        <f>IF(Agent09_Loans!B148="","",Agent09_Loans!D148)</f>
        <v/>
      </c>
      <c r="E1738" s="40" t="str">
        <f>IF(Agent09_Loans!B148="","",Agent09_Loans!E148)</f>
        <v/>
      </c>
      <c r="F1738" s="37" t="str">
        <f>IF(Agent09_Loans!B148="","",Agent09_Loans!F148)</f>
        <v/>
      </c>
      <c r="G1738" s="37" t="str">
        <f>IF(Agent09_Loans!B148="","",Agent09_Loans!G148)</f>
        <v/>
      </c>
      <c r="H1738" s="37" t="str">
        <f>IF(Agent09_Loans!B148="","",Agent09_Loans!H148)</f>
        <v/>
      </c>
      <c r="I1738" s="40" t="str">
        <f>IF(Agent09_Loans!B148="","",Agent09_Loans!I148)</f>
        <v/>
      </c>
      <c r="J1738" s="40" t="str">
        <f>IF(Agent09_Loans!B148="","",Agent09_Loans!J148)</f>
        <v/>
      </c>
      <c r="K1738" s="37" t="str">
        <f>IF(Agent09_Loans!B148="","",Agent09_Loans!K148)</f>
        <v/>
      </c>
      <c r="L1738" s="37" t="str">
        <f>IF(Agent09_Loans!B148="","",Agent09_Loans!L148)</f>
        <v/>
      </c>
      <c r="M1738" s="37" t="str">
        <f>IFERROR(IF(Agent09_Loans!B148="","",YEAR(Agent09_Loans!D148)),"")</f>
        <v/>
      </c>
    </row>
    <row r="1739" spans="1:13" ht="18" customHeight="1" x14ac:dyDescent="0.25">
      <c r="A1739" s="37" t="str">
        <f>IF(Agent09_Loans!B149="","",Agent09_Loans!A149)</f>
        <v/>
      </c>
      <c r="B1739" s="37" t="str">
        <f>IF(Agent09_Loans!B149="","",Agent09_Loans!B149)</f>
        <v/>
      </c>
      <c r="C1739" s="37" t="str">
        <f>IF(Agent09_Loans!B149="","",Agent09_Loans!C149)</f>
        <v/>
      </c>
      <c r="D1739" s="38" t="str">
        <f>IF(Agent09_Loans!B149="","",Agent09_Loans!D149)</f>
        <v/>
      </c>
      <c r="E1739" s="40" t="str">
        <f>IF(Agent09_Loans!B149="","",Agent09_Loans!E149)</f>
        <v/>
      </c>
      <c r="F1739" s="37" t="str">
        <f>IF(Agent09_Loans!B149="","",Agent09_Loans!F149)</f>
        <v/>
      </c>
      <c r="G1739" s="37" t="str">
        <f>IF(Agent09_Loans!B149="","",Agent09_Loans!G149)</f>
        <v/>
      </c>
      <c r="H1739" s="37" t="str">
        <f>IF(Agent09_Loans!B149="","",Agent09_Loans!H149)</f>
        <v/>
      </c>
      <c r="I1739" s="40" t="str">
        <f>IF(Agent09_Loans!B149="","",Agent09_Loans!I149)</f>
        <v/>
      </c>
      <c r="J1739" s="40" t="str">
        <f>IF(Agent09_Loans!B149="","",Agent09_Loans!J149)</f>
        <v/>
      </c>
      <c r="K1739" s="37" t="str">
        <f>IF(Agent09_Loans!B149="","",Agent09_Loans!K149)</f>
        <v/>
      </c>
      <c r="L1739" s="37" t="str">
        <f>IF(Agent09_Loans!B149="","",Agent09_Loans!L149)</f>
        <v/>
      </c>
      <c r="M1739" s="37" t="str">
        <f>IFERROR(IF(Agent09_Loans!B149="","",YEAR(Agent09_Loans!D149)),"")</f>
        <v/>
      </c>
    </row>
    <row r="1740" spans="1:13" ht="18" customHeight="1" x14ac:dyDescent="0.25">
      <c r="A1740" s="37" t="str">
        <f>IF(Agent09_Loans!B150="","",Agent09_Loans!A150)</f>
        <v/>
      </c>
      <c r="B1740" s="37" t="str">
        <f>IF(Agent09_Loans!B150="","",Agent09_Loans!B150)</f>
        <v/>
      </c>
      <c r="C1740" s="37" t="str">
        <f>IF(Agent09_Loans!B150="","",Agent09_Loans!C150)</f>
        <v/>
      </c>
      <c r="D1740" s="38" t="str">
        <f>IF(Agent09_Loans!B150="","",Agent09_Loans!D150)</f>
        <v/>
      </c>
      <c r="E1740" s="40" t="str">
        <f>IF(Agent09_Loans!B150="","",Agent09_Loans!E150)</f>
        <v/>
      </c>
      <c r="F1740" s="37" t="str">
        <f>IF(Agent09_Loans!B150="","",Agent09_Loans!F150)</f>
        <v/>
      </c>
      <c r="G1740" s="37" t="str">
        <f>IF(Agent09_Loans!B150="","",Agent09_Loans!G150)</f>
        <v/>
      </c>
      <c r="H1740" s="37" t="str">
        <f>IF(Agent09_Loans!B150="","",Agent09_Loans!H150)</f>
        <v/>
      </c>
      <c r="I1740" s="40" t="str">
        <f>IF(Agent09_Loans!B150="","",Agent09_Loans!I150)</f>
        <v/>
      </c>
      <c r="J1740" s="40" t="str">
        <f>IF(Agent09_Loans!B150="","",Agent09_Loans!J150)</f>
        <v/>
      </c>
      <c r="K1740" s="37" t="str">
        <f>IF(Agent09_Loans!B150="","",Agent09_Loans!K150)</f>
        <v/>
      </c>
      <c r="L1740" s="37" t="str">
        <f>IF(Agent09_Loans!B150="","",Agent09_Loans!L150)</f>
        <v/>
      </c>
      <c r="M1740" s="37" t="str">
        <f>IFERROR(IF(Agent09_Loans!B150="","",YEAR(Agent09_Loans!D150)),"")</f>
        <v/>
      </c>
    </row>
    <row r="1741" spans="1:13" ht="18" customHeight="1" x14ac:dyDescent="0.25">
      <c r="A1741" s="37" t="str">
        <f>IF(Agent09_Loans!B151="","",Agent09_Loans!A151)</f>
        <v/>
      </c>
      <c r="B1741" s="37" t="str">
        <f>IF(Agent09_Loans!B151="","",Agent09_Loans!B151)</f>
        <v/>
      </c>
      <c r="C1741" s="37" t="str">
        <f>IF(Agent09_Loans!B151="","",Agent09_Loans!C151)</f>
        <v/>
      </c>
      <c r="D1741" s="38" t="str">
        <f>IF(Agent09_Loans!B151="","",Agent09_Loans!D151)</f>
        <v/>
      </c>
      <c r="E1741" s="40" t="str">
        <f>IF(Agent09_Loans!B151="","",Agent09_Loans!E151)</f>
        <v/>
      </c>
      <c r="F1741" s="37" t="str">
        <f>IF(Agent09_Loans!B151="","",Agent09_Loans!F151)</f>
        <v/>
      </c>
      <c r="G1741" s="37" t="str">
        <f>IF(Agent09_Loans!B151="","",Agent09_Loans!G151)</f>
        <v/>
      </c>
      <c r="H1741" s="37" t="str">
        <f>IF(Agent09_Loans!B151="","",Agent09_Loans!H151)</f>
        <v/>
      </c>
      <c r="I1741" s="40" t="str">
        <f>IF(Agent09_Loans!B151="","",Agent09_Loans!I151)</f>
        <v/>
      </c>
      <c r="J1741" s="40" t="str">
        <f>IF(Agent09_Loans!B151="","",Agent09_Loans!J151)</f>
        <v/>
      </c>
      <c r="K1741" s="37" t="str">
        <f>IF(Agent09_Loans!B151="","",Agent09_Loans!K151)</f>
        <v/>
      </c>
      <c r="L1741" s="37" t="str">
        <f>IF(Agent09_Loans!B151="","",Agent09_Loans!L151)</f>
        <v/>
      </c>
      <c r="M1741" s="37" t="str">
        <f>IFERROR(IF(Agent09_Loans!B151="","",YEAR(Agent09_Loans!D151)),"")</f>
        <v/>
      </c>
    </row>
    <row r="1742" spans="1:13" ht="18" customHeight="1" x14ac:dyDescent="0.25">
      <c r="A1742" s="37" t="str">
        <f>IF(Agent09_Loans!B152="","",Agent09_Loans!A152)</f>
        <v/>
      </c>
      <c r="B1742" s="37" t="str">
        <f>IF(Agent09_Loans!B152="","",Agent09_Loans!B152)</f>
        <v/>
      </c>
      <c r="C1742" s="37" t="str">
        <f>IF(Agent09_Loans!B152="","",Agent09_Loans!C152)</f>
        <v/>
      </c>
      <c r="D1742" s="38" t="str">
        <f>IF(Agent09_Loans!B152="","",Agent09_Loans!D152)</f>
        <v/>
      </c>
      <c r="E1742" s="40" t="str">
        <f>IF(Agent09_Loans!B152="","",Agent09_Loans!E152)</f>
        <v/>
      </c>
      <c r="F1742" s="37" t="str">
        <f>IF(Agent09_Loans!B152="","",Agent09_Loans!F152)</f>
        <v/>
      </c>
      <c r="G1742" s="37" t="str">
        <f>IF(Agent09_Loans!B152="","",Agent09_Loans!G152)</f>
        <v/>
      </c>
      <c r="H1742" s="37" t="str">
        <f>IF(Agent09_Loans!B152="","",Agent09_Loans!H152)</f>
        <v/>
      </c>
      <c r="I1742" s="40" t="str">
        <f>IF(Agent09_Loans!B152="","",Agent09_Loans!I152)</f>
        <v/>
      </c>
      <c r="J1742" s="40" t="str">
        <f>IF(Agent09_Loans!B152="","",Agent09_Loans!J152)</f>
        <v/>
      </c>
      <c r="K1742" s="37" t="str">
        <f>IF(Agent09_Loans!B152="","",Agent09_Loans!K152)</f>
        <v/>
      </c>
      <c r="L1742" s="37" t="str">
        <f>IF(Agent09_Loans!B152="","",Agent09_Loans!L152)</f>
        <v/>
      </c>
      <c r="M1742" s="37" t="str">
        <f>IFERROR(IF(Agent09_Loans!B152="","",YEAR(Agent09_Loans!D152)),"")</f>
        <v/>
      </c>
    </row>
    <row r="1743" spans="1:13" ht="18" customHeight="1" x14ac:dyDescent="0.25">
      <c r="A1743" s="37" t="str">
        <f>IF(Agent09_Loans!B153="","",Agent09_Loans!A153)</f>
        <v/>
      </c>
      <c r="B1743" s="37" t="str">
        <f>IF(Agent09_Loans!B153="","",Agent09_Loans!B153)</f>
        <v/>
      </c>
      <c r="C1743" s="37" t="str">
        <f>IF(Agent09_Loans!B153="","",Agent09_Loans!C153)</f>
        <v/>
      </c>
      <c r="D1743" s="38" t="str">
        <f>IF(Agent09_Loans!B153="","",Agent09_Loans!D153)</f>
        <v/>
      </c>
      <c r="E1743" s="40" t="str">
        <f>IF(Agent09_Loans!B153="","",Agent09_Loans!E153)</f>
        <v/>
      </c>
      <c r="F1743" s="37" t="str">
        <f>IF(Agent09_Loans!B153="","",Agent09_Loans!F153)</f>
        <v/>
      </c>
      <c r="G1743" s="37" t="str">
        <f>IF(Agent09_Loans!B153="","",Agent09_Loans!G153)</f>
        <v/>
      </c>
      <c r="H1743" s="37" t="str">
        <f>IF(Agent09_Loans!B153="","",Agent09_Loans!H153)</f>
        <v/>
      </c>
      <c r="I1743" s="40" t="str">
        <f>IF(Agent09_Loans!B153="","",Agent09_Loans!I153)</f>
        <v/>
      </c>
      <c r="J1743" s="40" t="str">
        <f>IF(Agent09_Loans!B153="","",Agent09_Loans!J153)</f>
        <v/>
      </c>
      <c r="K1743" s="37" t="str">
        <f>IF(Agent09_Loans!B153="","",Agent09_Loans!K153)</f>
        <v/>
      </c>
      <c r="L1743" s="37" t="str">
        <f>IF(Agent09_Loans!B153="","",Agent09_Loans!L153)</f>
        <v/>
      </c>
      <c r="M1743" s="37" t="str">
        <f>IFERROR(IF(Agent09_Loans!B153="","",YEAR(Agent09_Loans!D153)),"")</f>
        <v/>
      </c>
    </row>
    <row r="1744" spans="1:13" ht="18" customHeight="1" x14ac:dyDescent="0.25">
      <c r="A1744" s="37" t="str">
        <f>IF(Agent09_Loans!B154="","",Agent09_Loans!A154)</f>
        <v/>
      </c>
      <c r="B1744" s="37" t="str">
        <f>IF(Agent09_Loans!B154="","",Agent09_Loans!B154)</f>
        <v/>
      </c>
      <c r="C1744" s="37" t="str">
        <f>IF(Agent09_Loans!B154="","",Agent09_Loans!C154)</f>
        <v/>
      </c>
      <c r="D1744" s="38" t="str">
        <f>IF(Agent09_Loans!B154="","",Agent09_Loans!D154)</f>
        <v/>
      </c>
      <c r="E1744" s="40" t="str">
        <f>IF(Agent09_Loans!B154="","",Agent09_Loans!E154)</f>
        <v/>
      </c>
      <c r="F1744" s="37" t="str">
        <f>IF(Agent09_Loans!B154="","",Agent09_Loans!F154)</f>
        <v/>
      </c>
      <c r="G1744" s="37" t="str">
        <f>IF(Agent09_Loans!B154="","",Agent09_Loans!G154)</f>
        <v/>
      </c>
      <c r="H1744" s="37" t="str">
        <f>IF(Agent09_Loans!B154="","",Agent09_Loans!H154)</f>
        <v/>
      </c>
      <c r="I1744" s="40" t="str">
        <f>IF(Agent09_Loans!B154="","",Agent09_Loans!I154)</f>
        <v/>
      </c>
      <c r="J1744" s="40" t="str">
        <f>IF(Agent09_Loans!B154="","",Agent09_Loans!J154)</f>
        <v/>
      </c>
      <c r="K1744" s="37" t="str">
        <f>IF(Agent09_Loans!B154="","",Agent09_Loans!K154)</f>
        <v/>
      </c>
      <c r="L1744" s="37" t="str">
        <f>IF(Agent09_Loans!B154="","",Agent09_Loans!L154)</f>
        <v/>
      </c>
      <c r="M1744" s="37" t="str">
        <f>IFERROR(IF(Agent09_Loans!B154="","",YEAR(Agent09_Loans!D154)),"")</f>
        <v/>
      </c>
    </row>
    <row r="1745" spans="1:13" ht="18" customHeight="1" x14ac:dyDescent="0.25">
      <c r="A1745" s="37" t="str">
        <f>IF(Agent09_Loans!B155="","",Agent09_Loans!A155)</f>
        <v/>
      </c>
      <c r="B1745" s="37" t="str">
        <f>IF(Agent09_Loans!B155="","",Agent09_Loans!B155)</f>
        <v/>
      </c>
      <c r="C1745" s="37" t="str">
        <f>IF(Agent09_Loans!B155="","",Agent09_Loans!C155)</f>
        <v/>
      </c>
      <c r="D1745" s="38" t="str">
        <f>IF(Agent09_Loans!B155="","",Agent09_Loans!D155)</f>
        <v/>
      </c>
      <c r="E1745" s="40" t="str">
        <f>IF(Agent09_Loans!B155="","",Agent09_Loans!E155)</f>
        <v/>
      </c>
      <c r="F1745" s="37" t="str">
        <f>IF(Agent09_Loans!B155="","",Agent09_Loans!F155)</f>
        <v/>
      </c>
      <c r="G1745" s="37" t="str">
        <f>IF(Agent09_Loans!B155="","",Agent09_Loans!G155)</f>
        <v/>
      </c>
      <c r="H1745" s="37" t="str">
        <f>IF(Agent09_Loans!B155="","",Agent09_Loans!H155)</f>
        <v/>
      </c>
      <c r="I1745" s="40" t="str">
        <f>IF(Agent09_Loans!B155="","",Agent09_Loans!I155)</f>
        <v/>
      </c>
      <c r="J1745" s="40" t="str">
        <f>IF(Agent09_Loans!B155="","",Agent09_Loans!J155)</f>
        <v/>
      </c>
      <c r="K1745" s="37" t="str">
        <f>IF(Agent09_Loans!B155="","",Agent09_Loans!K155)</f>
        <v/>
      </c>
      <c r="L1745" s="37" t="str">
        <f>IF(Agent09_Loans!B155="","",Agent09_Loans!L155)</f>
        <v/>
      </c>
      <c r="M1745" s="37" t="str">
        <f>IFERROR(IF(Agent09_Loans!B155="","",YEAR(Agent09_Loans!D155)),"")</f>
        <v/>
      </c>
    </row>
    <row r="1746" spans="1:13" ht="18" customHeight="1" x14ac:dyDescent="0.25">
      <c r="A1746" s="37" t="str">
        <f>IF(Agent09_Loans!B156="","",Agent09_Loans!A156)</f>
        <v/>
      </c>
      <c r="B1746" s="37" t="str">
        <f>IF(Agent09_Loans!B156="","",Agent09_Loans!B156)</f>
        <v/>
      </c>
      <c r="C1746" s="37" t="str">
        <f>IF(Agent09_Loans!B156="","",Agent09_Loans!C156)</f>
        <v/>
      </c>
      <c r="D1746" s="38" t="str">
        <f>IF(Agent09_Loans!B156="","",Agent09_Loans!D156)</f>
        <v/>
      </c>
      <c r="E1746" s="40" t="str">
        <f>IF(Agent09_Loans!B156="","",Agent09_Loans!E156)</f>
        <v/>
      </c>
      <c r="F1746" s="37" t="str">
        <f>IF(Agent09_Loans!B156="","",Agent09_Loans!F156)</f>
        <v/>
      </c>
      <c r="G1746" s="37" t="str">
        <f>IF(Agent09_Loans!B156="","",Agent09_Loans!G156)</f>
        <v/>
      </c>
      <c r="H1746" s="37" t="str">
        <f>IF(Agent09_Loans!B156="","",Agent09_Loans!H156)</f>
        <v/>
      </c>
      <c r="I1746" s="40" t="str">
        <f>IF(Agent09_Loans!B156="","",Agent09_Loans!I156)</f>
        <v/>
      </c>
      <c r="J1746" s="40" t="str">
        <f>IF(Agent09_Loans!B156="","",Agent09_Loans!J156)</f>
        <v/>
      </c>
      <c r="K1746" s="37" t="str">
        <f>IF(Agent09_Loans!B156="","",Agent09_Loans!K156)</f>
        <v/>
      </c>
      <c r="L1746" s="37" t="str">
        <f>IF(Agent09_Loans!B156="","",Agent09_Loans!L156)</f>
        <v/>
      </c>
      <c r="M1746" s="37" t="str">
        <f>IFERROR(IF(Agent09_Loans!B156="","",YEAR(Agent09_Loans!D156)),"")</f>
        <v/>
      </c>
    </row>
    <row r="1747" spans="1:13" ht="18" customHeight="1" x14ac:dyDescent="0.25">
      <c r="A1747" s="37" t="str">
        <f>IF(Agent09_Loans!B157="","",Agent09_Loans!A157)</f>
        <v/>
      </c>
      <c r="B1747" s="37" t="str">
        <f>IF(Agent09_Loans!B157="","",Agent09_Loans!B157)</f>
        <v/>
      </c>
      <c r="C1747" s="37" t="str">
        <f>IF(Agent09_Loans!B157="","",Agent09_Loans!C157)</f>
        <v/>
      </c>
      <c r="D1747" s="38" t="str">
        <f>IF(Agent09_Loans!B157="","",Agent09_Loans!D157)</f>
        <v/>
      </c>
      <c r="E1747" s="40" t="str">
        <f>IF(Agent09_Loans!B157="","",Agent09_Loans!E157)</f>
        <v/>
      </c>
      <c r="F1747" s="37" t="str">
        <f>IF(Agent09_Loans!B157="","",Agent09_Loans!F157)</f>
        <v/>
      </c>
      <c r="G1747" s="37" t="str">
        <f>IF(Agent09_Loans!B157="","",Agent09_Loans!G157)</f>
        <v/>
      </c>
      <c r="H1747" s="37" t="str">
        <f>IF(Agent09_Loans!B157="","",Agent09_Loans!H157)</f>
        <v/>
      </c>
      <c r="I1747" s="40" t="str">
        <f>IF(Agent09_Loans!B157="","",Agent09_Loans!I157)</f>
        <v/>
      </c>
      <c r="J1747" s="40" t="str">
        <f>IF(Agent09_Loans!B157="","",Agent09_Loans!J157)</f>
        <v/>
      </c>
      <c r="K1747" s="37" t="str">
        <f>IF(Agent09_Loans!B157="","",Agent09_Loans!K157)</f>
        <v/>
      </c>
      <c r="L1747" s="37" t="str">
        <f>IF(Agent09_Loans!B157="","",Agent09_Loans!L157)</f>
        <v/>
      </c>
      <c r="M1747" s="37" t="str">
        <f>IFERROR(IF(Agent09_Loans!B157="","",YEAR(Agent09_Loans!D157)),"")</f>
        <v/>
      </c>
    </row>
    <row r="1748" spans="1:13" ht="18" customHeight="1" x14ac:dyDescent="0.25">
      <c r="A1748" s="37" t="str">
        <f>IF(Agent09_Loans!B158="","",Agent09_Loans!A158)</f>
        <v/>
      </c>
      <c r="B1748" s="37" t="str">
        <f>IF(Agent09_Loans!B158="","",Agent09_Loans!B158)</f>
        <v/>
      </c>
      <c r="C1748" s="37" t="str">
        <f>IF(Agent09_Loans!B158="","",Agent09_Loans!C158)</f>
        <v/>
      </c>
      <c r="D1748" s="38" t="str">
        <f>IF(Agent09_Loans!B158="","",Agent09_Loans!D158)</f>
        <v/>
      </c>
      <c r="E1748" s="40" t="str">
        <f>IF(Agent09_Loans!B158="","",Agent09_Loans!E158)</f>
        <v/>
      </c>
      <c r="F1748" s="37" t="str">
        <f>IF(Agent09_Loans!B158="","",Agent09_Loans!F158)</f>
        <v/>
      </c>
      <c r="G1748" s="37" t="str">
        <f>IF(Agent09_Loans!B158="","",Agent09_Loans!G158)</f>
        <v/>
      </c>
      <c r="H1748" s="37" t="str">
        <f>IF(Agent09_Loans!B158="","",Agent09_Loans!H158)</f>
        <v/>
      </c>
      <c r="I1748" s="40" t="str">
        <f>IF(Agent09_Loans!B158="","",Agent09_Loans!I158)</f>
        <v/>
      </c>
      <c r="J1748" s="40" t="str">
        <f>IF(Agent09_Loans!B158="","",Agent09_Loans!J158)</f>
        <v/>
      </c>
      <c r="K1748" s="37" t="str">
        <f>IF(Agent09_Loans!B158="","",Agent09_Loans!K158)</f>
        <v/>
      </c>
      <c r="L1748" s="37" t="str">
        <f>IF(Agent09_Loans!B158="","",Agent09_Loans!L158)</f>
        <v/>
      </c>
      <c r="M1748" s="37" t="str">
        <f>IFERROR(IF(Agent09_Loans!B158="","",YEAR(Agent09_Loans!D158)),"")</f>
        <v/>
      </c>
    </row>
    <row r="1749" spans="1:13" ht="18" customHeight="1" x14ac:dyDescent="0.25">
      <c r="A1749" s="37" t="str">
        <f>IF(Agent09_Loans!B159="","",Agent09_Loans!A159)</f>
        <v/>
      </c>
      <c r="B1749" s="37" t="str">
        <f>IF(Agent09_Loans!B159="","",Agent09_Loans!B159)</f>
        <v/>
      </c>
      <c r="C1749" s="37" t="str">
        <f>IF(Agent09_Loans!B159="","",Agent09_Loans!C159)</f>
        <v/>
      </c>
      <c r="D1749" s="38" t="str">
        <f>IF(Agent09_Loans!B159="","",Agent09_Loans!D159)</f>
        <v/>
      </c>
      <c r="E1749" s="40" t="str">
        <f>IF(Agent09_Loans!B159="","",Agent09_Loans!E159)</f>
        <v/>
      </c>
      <c r="F1749" s="37" t="str">
        <f>IF(Agent09_Loans!B159="","",Agent09_Loans!F159)</f>
        <v/>
      </c>
      <c r="G1749" s="37" t="str">
        <f>IF(Agent09_Loans!B159="","",Agent09_Loans!G159)</f>
        <v/>
      </c>
      <c r="H1749" s="37" t="str">
        <f>IF(Agent09_Loans!B159="","",Agent09_Loans!H159)</f>
        <v/>
      </c>
      <c r="I1749" s="40" t="str">
        <f>IF(Agent09_Loans!B159="","",Agent09_Loans!I159)</f>
        <v/>
      </c>
      <c r="J1749" s="40" t="str">
        <f>IF(Agent09_Loans!B159="","",Agent09_Loans!J159)</f>
        <v/>
      </c>
      <c r="K1749" s="37" t="str">
        <f>IF(Agent09_Loans!B159="","",Agent09_Loans!K159)</f>
        <v/>
      </c>
      <c r="L1749" s="37" t="str">
        <f>IF(Agent09_Loans!B159="","",Agent09_Loans!L159)</f>
        <v/>
      </c>
      <c r="M1749" s="37" t="str">
        <f>IFERROR(IF(Agent09_Loans!B159="","",YEAR(Agent09_Loans!D159)),"")</f>
        <v/>
      </c>
    </row>
    <row r="1750" spans="1:13" ht="18" customHeight="1" x14ac:dyDescent="0.25">
      <c r="A1750" s="37" t="str">
        <f>IF(Agent09_Loans!B160="","",Agent09_Loans!A160)</f>
        <v/>
      </c>
      <c r="B1750" s="37" t="str">
        <f>IF(Agent09_Loans!B160="","",Agent09_Loans!B160)</f>
        <v/>
      </c>
      <c r="C1750" s="37" t="str">
        <f>IF(Agent09_Loans!B160="","",Agent09_Loans!C160)</f>
        <v/>
      </c>
      <c r="D1750" s="38" t="str">
        <f>IF(Agent09_Loans!B160="","",Agent09_Loans!D160)</f>
        <v/>
      </c>
      <c r="E1750" s="40" t="str">
        <f>IF(Agent09_Loans!B160="","",Agent09_Loans!E160)</f>
        <v/>
      </c>
      <c r="F1750" s="37" t="str">
        <f>IF(Agent09_Loans!B160="","",Agent09_Loans!F160)</f>
        <v/>
      </c>
      <c r="G1750" s="37" t="str">
        <f>IF(Agent09_Loans!B160="","",Agent09_Loans!G160)</f>
        <v/>
      </c>
      <c r="H1750" s="37" t="str">
        <f>IF(Agent09_Loans!B160="","",Agent09_Loans!H160)</f>
        <v/>
      </c>
      <c r="I1750" s="40" t="str">
        <f>IF(Agent09_Loans!B160="","",Agent09_Loans!I160)</f>
        <v/>
      </c>
      <c r="J1750" s="40" t="str">
        <f>IF(Agent09_Loans!B160="","",Agent09_Loans!J160)</f>
        <v/>
      </c>
      <c r="K1750" s="37" t="str">
        <f>IF(Agent09_Loans!B160="","",Agent09_Loans!K160)</f>
        <v/>
      </c>
      <c r="L1750" s="37" t="str">
        <f>IF(Agent09_Loans!B160="","",Agent09_Loans!L160)</f>
        <v/>
      </c>
      <c r="M1750" s="37" t="str">
        <f>IFERROR(IF(Agent09_Loans!B160="","",YEAR(Agent09_Loans!D160)),"")</f>
        <v/>
      </c>
    </row>
    <row r="1751" spans="1:13" ht="18" customHeight="1" x14ac:dyDescent="0.25">
      <c r="A1751" s="37" t="str">
        <f>IF(Agent09_Loans!B161="","",Agent09_Loans!A161)</f>
        <v/>
      </c>
      <c r="B1751" s="37" t="str">
        <f>IF(Agent09_Loans!B161="","",Agent09_Loans!B161)</f>
        <v/>
      </c>
      <c r="C1751" s="37" t="str">
        <f>IF(Agent09_Loans!B161="","",Agent09_Loans!C161)</f>
        <v/>
      </c>
      <c r="D1751" s="38" t="str">
        <f>IF(Agent09_Loans!B161="","",Agent09_Loans!D161)</f>
        <v/>
      </c>
      <c r="E1751" s="40" t="str">
        <f>IF(Agent09_Loans!B161="","",Agent09_Loans!E161)</f>
        <v/>
      </c>
      <c r="F1751" s="37" t="str">
        <f>IF(Agent09_Loans!B161="","",Agent09_Loans!F161)</f>
        <v/>
      </c>
      <c r="G1751" s="37" t="str">
        <f>IF(Agent09_Loans!B161="","",Agent09_Loans!G161)</f>
        <v/>
      </c>
      <c r="H1751" s="37" t="str">
        <f>IF(Agent09_Loans!B161="","",Agent09_Loans!H161)</f>
        <v/>
      </c>
      <c r="I1751" s="40" t="str">
        <f>IF(Agent09_Loans!B161="","",Agent09_Loans!I161)</f>
        <v/>
      </c>
      <c r="J1751" s="40" t="str">
        <f>IF(Agent09_Loans!B161="","",Agent09_Loans!J161)</f>
        <v/>
      </c>
      <c r="K1751" s="37" t="str">
        <f>IF(Agent09_Loans!B161="","",Agent09_Loans!K161)</f>
        <v/>
      </c>
      <c r="L1751" s="37" t="str">
        <f>IF(Agent09_Loans!B161="","",Agent09_Loans!L161)</f>
        <v/>
      </c>
      <c r="M1751" s="37" t="str">
        <f>IFERROR(IF(Agent09_Loans!B161="","",YEAR(Agent09_Loans!D161)),"")</f>
        <v/>
      </c>
    </row>
    <row r="1752" spans="1:13" ht="18" customHeight="1" x14ac:dyDescent="0.25">
      <c r="A1752" s="37" t="str">
        <f>IF(Agent09_Loans!B162="","",Agent09_Loans!A162)</f>
        <v/>
      </c>
      <c r="B1752" s="37" t="str">
        <f>IF(Agent09_Loans!B162="","",Agent09_Loans!B162)</f>
        <v/>
      </c>
      <c r="C1752" s="37" t="str">
        <f>IF(Agent09_Loans!B162="","",Agent09_Loans!C162)</f>
        <v/>
      </c>
      <c r="D1752" s="38" t="str">
        <f>IF(Agent09_Loans!B162="","",Agent09_Loans!D162)</f>
        <v/>
      </c>
      <c r="E1752" s="40" t="str">
        <f>IF(Agent09_Loans!B162="","",Agent09_Loans!E162)</f>
        <v/>
      </c>
      <c r="F1752" s="37" t="str">
        <f>IF(Agent09_Loans!B162="","",Agent09_Loans!F162)</f>
        <v/>
      </c>
      <c r="G1752" s="37" t="str">
        <f>IF(Agent09_Loans!B162="","",Agent09_Loans!G162)</f>
        <v/>
      </c>
      <c r="H1752" s="37" t="str">
        <f>IF(Agent09_Loans!B162="","",Agent09_Loans!H162)</f>
        <v/>
      </c>
      <c r="I1752" s="40" t="str">
        <f>IF(Agent09_Loans!B162="","",Agent09_Loans!I162)</f>
        <v/>
      </c>
      <c r="J1752" s="40" t="str">
        <f>IF(Agent09_Loans!B162="","",Agent09_Loans!J162)</f>
        <v/>
      </c>
      <c r="K1752" s="37" t="str">
        <f>IF(Agent09_Loans!B162="","",Agent09_Loans!K162)</f>
        <v/>
      </c>
      <c r="L1752" s="37" t="str">
        <f>IF(Agent09_Loans!B162="","",Agent09_Loans!L162)</f>
        <v/>
      </c>
      <c r="M1752" s="37" t="str">
        <f>IFERROR(IF(Agent09_Loans!B162="","",YEAR(Agent09_Loans!D162)),"")</f>
        <v/>
      </c>
    </row>
    <row r="1753" spans="1:13" ht="18" customHeight="1" x14ac:dyDescent="0.25">
      <c r="A1753" s="37" t="str">
        <f>IF(Agent09_Loans!B163="","",Agent09_Loans!A163)</f>
        <v/>
      </c>
      <c r="B1753" s="37" t="str">
        <f>IF(Agent09_Loans!B163="","",Agent09_Loans!B163)</f>
        <v/>
      </c>
      <c r="C1753" s="37" t="str">
        <f>IF(Agent09_Loans!B163="","",Agent09_Loans!C163)</f>
        <v/>
      </c>
      <c r="D1753" s="38" t="str">
        <f>IF(Agent09_Loans!B163="","",Agent09_Loans!D163)</f>
        <v/>
      </c>
      <c r="E1753" s="40" t="str">
        <f>IF(Agent09_Loans!B163="","",Agent09_Loans!E163)</f>
        <v/>
      </c>
      <c r="F1753" s="37" t="str">
        <f>IF(Agent09_Loans!B163="","",Agent09_Loans!F163)</f>
        <v/>
      </c>
      <c r="G1753" s="37" t="str">
        <f>IF(Agent09_Loans!B163="","",Agent09_Loans!G163)</f>
        <v/>
      </c>
      <c r="H1753" s="37" t="str">
        <f>IF(Agent09_Loans!B163="","",Agent09_Loans!H163)</f>
        <v/>
      </c>
      <c r="I1753" s="40" t="str">
        <f>IF(Agent09_Loans!B163="","",Agent09_Loans!I163)</f>
        <v/>
      </c>
      <c r="J1753" s="40" t="str">
        <f>IF(Agent09_Loans!B163="","",Agent09_Loans!J163)</f>
        <v/>
      </c>
      <c r="K1753" s="37" t="str">
        <f>IF(Agent09_Loans!B163="","",Agent09_Loans!K163)</f>
        <v/>
      </c>
      <c r="L1753" s="37" t="str">
        <f>IF(Agent09_Loans!B163="","",Agent09_Loans!L163)</f>
        <v/>
      </c>
      <c r="M1753" s="37" t="str">
        <f>IFERROR(IF(Agent09_Loans!B163="","",YEAR(Agent09_Loans!D163)),"")</f>
        <v/>
      </c>
    </row>
    <row r="1754" spans="1:13" ht="18" customHeight="1" x14ac:dyDescent="0.25">
      <c r="A1754" s="37" t="str">
        <f>IF(Agent09_Loans!B164="","",Agent09_Loans!A164)</f>
        <v/>
      </c>
      <c r="B1754" s="37" t="str">
        <f>IF(Agent09_Loans!B164="","",Agent09_Loans!B164)</f>
        <v/>
      </c>
      <c r="C1754" s="37" t="str">
        <f>IF(Agent09_Loans!B164="","",Agent09_Loans!C164)</f>
        <v/>
      </c>
      <c r="D1754" s="38" t="str">
        <f>IF(Agent09_Loans!B164="","",Agent09_Loans!D164)</f>
        <v/>
      </c>
      <c r="E1754" s="40" t="str">
        <f>IF(Agent09_Loans!B164="","",Agent09_Loans!E164)</f>
        <v/>
      </c>
      <c r="F1754" s="37" t="str">
        <f>IF(Agent09_Loans!B164="","",Agent09_Loans!F164)</f>
        <v/>
      </c>
      <c r="G1754" s="37" t="str">
        <f>IF(Agent09_Loans!B164="","",Agent09_Loans!G164)</f>
        <v/>
      </c>
      <c r="H1754" s="37" t="str">
        <f>IF(Agent09_Loans!B164="","",Agent09_Loans!H164)</f>
        <v/>
      </c>
      <c r="I1754" s="40" t="str">
        <f>IF(Agent09_Loans!B164="","",Agent09_Loans!I164)</f>
        <v/>
      </c>
      <c r="J1754" s="40" t="str">
        <f>IF(Agent09_Loans!B164="","",Agent09_Loans!J164)</f>
        <v/>
      </c>
      <c r="K1754" s="37" t="str">
        <f>IF(Agent09_Loans!B164="","",Agent09_Loans!K164)</f>
        <v/>
      </c>
      <c r="L1754" s="37" t="str">
        <f>IF(Agent09_Loans!B164="","",Agent09_Loans!L164)</f>
        <v/>
      </c>
      <c r="M1754" s="37" t="str">
        <f>IFERROR(IF(Agent09_Loans!B164="","",YEAR(Agent09_Loans!D164)),"")</f>
        <v/>
      </c>
    </row>
    <row r="1755" spans="1:13" ht="18" customHeight="1" x14ac:dyDescent="0.25">
      <c r="A1755" s="37" t="str">
        <f>IF(Agent09_Loans!B165="","",Agent09_Loans!A165)</f>
        <v/>
      </c>
      <c r="B1755" s="37" t="str">
        <f>IF(Agent09_Loans!B165="","",Agent09_Loans!B165)</f>
        <v/>
      </c>
      <c r="C1755" s="37" t="str">
        <f>IF(Agent09_Loans!B165="","",Agent09_Loans!C165)</f>
        <v/>
      </c>
      <c r="D1755" s="38" t="str">
        <f>IF(Agent09_Loans!B165="","",Agent09_Loans!D165)</f>
        <v/>
      </c>
      <c r="E1755" s="40" t="str">
        <f>IF(Agent09_Loans!B165="","",Agent09_Loans!E165)</f>
        <v/>
      </c>
      <c r="F1755" s="37" t="str">
        <f>IF(Agent09_Loans!B165="","",Agent09_Loans!F165)</f>
        <v/>
      </c>
      <c r="G1755" s="37" t="str">
        <f>IF(Agent09_Loans!B165="","",Agent09_Loans!G165)</f>
        <v/>
      </c>
      <c r="H1755" s="37" t="str">
        <f>IF(Agent09_Loans!B165="","",Agent09_Loans!H165)</f>
        <v/>
      </c>
      <c r="I1755" s="40" t="str">
        <f>IF(Agent09_Loans!B165="","",Agent09_Loans!I165)</f>
        <v/>
      </c>
      <c r="J1755" s="40" t="str">
        <f>IF(Agent09_Loans!B165="","",Agent09_Loans!J165)</f>
        <v/>
      </c>
      <c r="K1755" s="37" t="str">
        <f>IF(Agent09_Loans!B165="","",Agent09_Loans!K165)</f>
        <v/>
      </c>
      <c r="L1755" s="37" t="str">
        <f>IF(Agent09_Loans!B165="","",Agent09_Loans!L165)</f>
        <v/>
      </c>
      <c r="M1755" s="37" t="str">
        <f>IFERROR(IF(Agent09_Loans!B165="","",YEAR(Agent09_Loans!D165)),"")</f>
        <v/>
      </c>
    </row>
    <row r="1756" spans="1:13" ht="18" customHeight="1" x14ac:dyDescent="0.25">
      <c r="A1756" s="37" t="str">
        <f>IF(Agent09_Loans!B166="","",Agent09_Loans!A166)</f>
        <v/>
      </c>
      <c r="B1756" s="37" t="str">
        <f>IF(Agent09_Loans!B166="","",Agent09_Loans!B166)</f>
        <v/>
      </c>
      <c r="C1756" s="37" t="str">
        <f>IF(Agent09_Loans!B166="","",Agent09_Loans!C166)</f>
        <v/>
      </c>
      <c r="D1756" s="38" t="str">
        <f>IF(Agent09_Loans!B166="","",Agent09_Loans!D166)</f>
        <v/>
      </c>
      <c r="E1756" s="40" t="str">
        <f>IF(Agent09_Loans!B166="","",Agent09_Loans!E166)</f>
        <v/>
      </c>
      <c r="F1756" s="37" t="str">
        <f>IF(Agent09_Loans!B166="","",Agent09_Loans!F166)</f>
        <v/>
      </c>
      <c r="G1756" s="37" t="str">
        <f>IF(Agent09_Loans!B166="","",Agent09_Loans!G166)</f>
        <v/>
      </c>
      <c r="H1756" s="37" t="str">
        <f>IF(Agent09_Loans!B166="","",Agent09_Loans!H166)</f>
        <v/>
      </c>
      <c r="I1756" s="40" t="str">
        <f>IF(Agent09_Loans!B166="","",Agent09_Loans!I166)</f>
        <v/>
      </c>
      <c r="J1756" s="40" t="str">
        <f>IF(Agent09_Loans!B166="","",Agent09_Loans!J166)</f>
        <v/>
      </c>
      <c r="K1756" s="37" t="str">
        <f>IF(Agent09_Loans!B166="","",Agent09_Loans!K166)</f>
        <v/>
      </c>
      <c r="L1756" s="37" t="str">
        <f>IF(Agent09_Loans!B166="","",Agent09_Loans!L166)</f>
        <v/>
      </c>
      <c r="M1756" s="37" t="str">
        <f>IFERROR(IF(Agent09_Loans!B166="","",YEAR(Agent09_Loans!D166)),"")</f>
        <v/>
      </c>
    </row>
    <row r="1757" spans="1:13" ht="18" customHeight="1" x14ac:dyDescent="0.25">
      <c r="A1757" s="37" t="str">
        <f>IF(Agent09_Loans!B167="","",Agent09_Loans!A167)</f>
        <v/>
      </c>
      <c r="B1757" s="37" t="str">
        <f>IF(Agent09_Loans!B167="","",Agent09_Loans!B167)</f>
        <v/>
      </c>
      <c r="C1757" s="37" t="str">
        <f>IF(Agent09_Loans!B167="","",Agent09_Loans!C167)</f>
        <v/>
      </c>
      <c r="D1757" s="38" t="str">
        <f>IF(Agent09_Loans!B167="","",Agent09_Loans!D167)</f>
        <v/>
      </c>
      <c r="E1757" s="40" t="str">
        <f>IF(Agent09_Loans!B167="","",Agent09_Loans!E167)</f>
        <v/>
      </c>
      <c r="F1757" s="37" t="str">
        <f>IF(Agent09_Loans!B167="","",Agent09_Loans!F167)</f>
        <v/>
      </c>
      <c r="G1757" s="37" t="str">
        <f>IF(Agent09_Loans!B167="","",Agent09_Loans!G167)</f>
        <v/>
      </c>
      <c r="H1757" s="37" t="str">
        <f>IF(Agent09_Loans!B167="","",Agent09_Loans!H167)</f>
        <v/>
      </c>
      <c r="I1757" s="40" t="str">
        <f>IF(Agent09_Loans!B167="","",Agent09_Loans!I167)</f>
        <v/>
      </c>
      <c r="J1757" s="40" t="str">
        <f>IF(Agent09_Loans!B167="","",Agent09_Loans!J167)</f>
        <v/>
      </c>
      <c r="K1757" s="37" t="str">
        <f>IF(Agent09_Loans!B167="","",Agent09_Loans!K167)</f>
        <v/>
      </c>
      <c r="L1757" s="37" t="str">
        <f>IF(Agent09_Loans!B167="","",Agent09_Loans!L167)</f>
        <v/>
      </c>
      <c r="M1757" s="37" t="str">
        <f>IFERROR(IF(Agent09_Loans!B167="","",YEAR(Agent09_Loans!D167)),"")</f>
        <v/>
      </c>
    </row>
    <row r="1758" spans="1:13" ht="18" customHeight="1" x14ac:dyDescent="0.25">
      <c r="A1758" s="37" t="str">
        <f>IF(Agent09_Loans!B168="","",Agent09_Loans!A168)</f>
        <v/>
      </c>
      <c r="B1758" s="37" t="str">
        <f>IF(Agent09_Loans!B168="","",Agent09_Loans!B168)</f>
        <v/>
      </c>
      <c r="C1758" s="37" t="str">
        <f>IF(Agent09_Loans!B168="","",Agent09_Loans!C168)</f>
        <v/>
      </c>
      <c r="D1758" s="38" t="str">
        <f>IF(Agent09_Loans!B168="","",Agent09_Loans!D168)</f>
        <v/>
      </c>
      <c r="E1758" s="40" t="str">
        <f>IF(Agent09_Loans!B168="","",Agent09_Loans!E168)</f>
        <v/>
      </c>
      <c r="F1758" s="37" t="str">
        <f>IF(Agent09_Loans!B168="","",Agent09_Loans!F168)</f>
        <v/>
      </c>
      <c r="G1758" s="37" t="str">
        <f>IF(Agent09_Loans!B168="","",Agent09_Loans!G168)</f>
        <v/>
      </c>
      <c r="H1758" s="37" t="str">
        <f>IF(Agent09_Loans!B168="","",Agent09_Loans!H168)</f>
        <v/>
      </c>
      <c r="I1758" s="40" t="str">
        <f>IF(Agent09_Loans!B168="","",Agent09_Loans!I168)</f>
        <v/>
      </c>
      <c r="J1758" s="40" t="str">
        <f>IF(Agent09_Loans!B168="","",Agent09_Loans!J168)</f>
        <v/>
      </c>
      <c r="K1758" s="37" t="str">
        <f>IF(Agent09_Loans!B168="","",Agent09_Loans!K168)</f>
        <v/>
      </c>
      <c r="L1758" s="37" t="str">
        <f>IF(Agent09_Loans!B168="","",Agent09_Loans!L168)</f>
        <v/>
      </c>
      <c r="M1758" s="37" t="str">
        <f>IFERROR(IF(Agent09_Loans!B168="","",YEAR(Agent09_Loans!D168)),"")</f>
        <v/>
      </c>
    </row>
    <row r="1759" spans="1:13" ht="18" customHeight="1" x14ac:dyDescent="0.25">
      <c r="A1759" s="37" t="str">
        <f>IF(Agent09_Loans!B169="","",Agent09_Loans!A169)</f>
        <v/>
      </c>
      <c r="B1759" s="37" t="str">
        <f>IF(Agent09_Loans!B169="","",Agent09_Loans!B169)</f>
        <v/>
      </c>
      <c r="C1759" s="37" t="str">
        <f>IF(Agent09_Loans!B169="","",Agent09_Loans!C169)</f>
        <v/>
      </c>
      <c r="D1759" s="38" t="str">
        <f>IF(Agent09_Loans!B169="","",Agent09_Loans!D169)</f>
        <v/>
      </c>
      <c r="E1759" s="40" t="str">
        <f>IF(Agent09_Loans!B169="","",Agent09_Loans!E169)</f>
        <v/>
      </c>
      <c r="F1759" s="37" t="str">
        <f>IF(Agent09_Loans!B169="","",Agent09_Loans!F169)</f>
        <v/>
      </c>
      <c r="G1759" s="37" t="str">
        <f>IF(Agent09_Loans!B169="","",Agent09_Loans!G169)</f>
        <v/>
      </c>
      <c r="H1759" s="37" t="str">
        <f>IF(Agent09_Loans!B169="","",Agent09_Loans!H169)</f>
        <v/>
      </c>
      <c r="I1759" s="40" t="str">
        <f>IF(Agent09_Loans!B169="","",Agent09_Loans!I169)</f>
        <v/>
      </c>
      <c r="J1759" s="40" t="str">
        <f>IF(Agent09_Loans!B169="","",Agent09_Loans!J169)</f>
        <v/>
      </c>
      <c r="K1759" s="37" t="str">
        <f>IF(Agent09_Loans!B169="","",Agent09_Loans!K169)</f>
        <v/>
      </c>
      <c r="L1759" s="37" t="str">
        <f>IF(Agent09_Loans!B169="","",Agent09_Loans!L169)</f>
        <v/>
      </c>
      <c r="M1759" s="37" t="str">
        <f>IFERROR(IF(Agent09_Loans!B169="","",YEAR(Agent09_Loans!D169)),"")</f>
        <v/>
      </c>
    </row>
    <row r="1760" spans="1:13" ht="18" customHeight="1" x14ac:dyDescent="0.25">
      <c r="A1760" s="37" t="str">
        <f>IF(Agent09_Loans!B170="","",Agent09_Loans!A170)</f>
        <v/>
      </c>
      <c r="B1760" s="37" t="str">
        <f>IF(Agent09_Loans!B170="","",Agent09_Loans!B170)</f>
        <v/>
      </c>
      <c r="C1760" s="37" t="str">
        <f>IF(Agent09_Loans!B170="","",Agent09_Loans!C170)</f>
        <v/>
      </c>
      <c r="D1760" s="38" t="str">
        <f>IF(Agent09_Loans!B170="","",Agent09_Loans!D170)</f>
        <v/>
      </c>
      <c r="E1760" s="40" t="str">
        <f>IF(Agent09_Loans!B170="","",Agent09_Loans!E170)</f>
        <v/>
      </c>
      <c r="F1760" s="37" t="str">
        <f>IF(Agent09_Loans!B170="","",Agent09_Loans!F170)</f>
        <v/>
      </c>
      <c r="G1760" s="37" t="str">
        <f>IF(Agent09_Loans!B170="","",Agent09_Loans!G170)</f>
        <v/>
      </c>
      <c r="H1760" s="37" t="str">
        <f>IF(Agent09_Loans!B170="","",Agent09_Loans!H170)</f>
        <v/>
      </c>
      <c r="I1760" s="40" t="str">
        <f>IF(Agent09_Loans!B170="","",Agent09_Loans!I170)</f>
        <v/>
      </c>
      <c r="J1760" s="40" t="str">
        <f>IF(Agent09_Loans!B170="","",Agent09_Loans!J170)</f>
        <v/>
      </c>
      <c r="K1760" s="37" t="str">
        <f>IF(Agent09_Loans!B170="","",Agent09_Loans!K170)</f>
        <v/>
      </c>
      <c r="L1760" s="37" t="str">
        <f>IF(Agent09_Loans!B170="","",Agent09_Loans!L170)</f>
        <v/>
      </c>
      <c r="M1760" s="37" t="str">
        <f>IFERROR(IF(Agent09_Loans!B170="","",YEAR(Agent09_Loans!D170)),"")</f>
        <v/>
      </c>
    </row>
    <row r="1761" spans="1:13" ht="18" customHeight="1" x14ac:dyDescent="0.25">
      <c r="A1761" s="37" t="str">
        <f>IF(Agent09_Loans!B171="","",Agent09_Loans!A171)</f>
        <v/>
      </c>
      <c r="B1761" s="37" t="str">
        <f>IF(Agent09_Loans!B171="","",Agent09_Loans!B171)</f>
        <v/>
      </c>
      <c r="C1761" s="37" t="str">
        <f>IF(Agent09_Loans!B171="","",Agent09_Loans!C171)</f>
        <v/>
      </c>
      <c r="D1761" s="38" t="str">
        <f>IF(Agent09_Loans!B171="","",Agent09_Loans!D171)</f>
        <v/>
      </c>
      <c r="E1761" s="40" t="str">
        <f>IF(Agent09_Loans!B171="","",Agent09_Loans!E171)</f>
        <v/>
      </c>
      <c r="F1761" s="37" t="str">
        <f>IF(Agent09_Loans!B171="","",Agent09_Loans!F171)</f>
        <v/>
      </c>
      <c r="G1761" s="37" t="str">
        <f>IF(Agent09_Loans!B171="","",Agent09_Loans!G171)</f>
        <v/>
      </c>
      <c r="H1761" s="37" t="str">
        <f>IF(Agent09_Loans!B171="","",Agent09_Loans!H171)</f>
        <v/>
      </c>
      <c r="I1761" s="40" t="str">
        <f>IF(Agent09_Loans!B171="","",Agent09_Loans!I171)</f>
        <v/>
      </c>
      <c r="J1761" s="40" t="str">
        <f>IF(Agent09_Loans!B171="","",Agent09_Loans!J171)</f>
        <v/>
      </c>
      <c r="K1761" s="37" t="str">
        <f>IF(Agent09_Loans!B171="","",Agent09_Loans!K171)</f>
        <v/>
      </c>
      <c r="L1761" s="37" t="str">
        <f>IF(Agent09_Loans!B171="","",Agent09_Loans!L171)</f>
        <v/>
      </c>
      <c r="M1761" s="37" t="str">
        <f>IFERROR(IF(Agent09_Loans!B171="","",YEAR(Agent09_Loans!D171)),"")</f>
        <v/>
      </c>
    </row>
    <row r="1762" spans="1:13" ht="18" customHeight="1" x14ac:dyDescent="0.25">
      <c r="A1762" s="37" t="str">
        <f>IF(Agent09_Loans!B172="","",Agent09_Loans!A172)</f>
        <v/>
      </c>
      <c r="B1762" s="37" t="str">
        <f>IF(Agent09_Loans!B172="","",Agent09_Loans!B172)</f>
        <v/>
      </c>
      <c r="C1762" s="37" t="str">
        <f>IF(Agent09_Loans!B172="","",Agent09_Loans!C172)</f>
        <v/>
      </c>
      <c r="D1762" s="38" t="str">
        <f>IF(Agent09_Loans!B172="","",Agent09_Loans!D172)</f>
        <v/>
      </c>
      <c r="E1762" s="40" t="str">
        <f>IF(Agent09_Loans!B172="","",Agent09_Loans!E172)</f>
        <v/>
      </c>
      <c r="F1762" s="37" t="str">
        <f>IF(Agent09_Loans!B172="","",Agent09_Loans!F172)</f>
        <v/>
      </c>
      <c r="G1762" s="37" t="str">
        <f>IF(Agent09_Loans!B172="","",Agent09_Loans!G172)</f>
        <v/>
      </c>
      <c r="H1762" s="37" t="str">
        <f>IF(Agent09_Loans!B172="","",Agent09_Loans!H172)</f>
        <v/>
      </c>
      <c r="I1762" s="40" t="str">
        <f>IF(Agent09_Loans!B172="","",Agent09_Loans!I172)</f>
        <v/>
      </c>
      <c r="J1762" s="40" t="str">
        <f>IF(Agent09_Loans!B172="","",Agent09_Loans!J172)</f>
        <v/>
      </c>
      <c r="K1762" s="37" t="str">
        <f>IF(Agent09_Loans!B172="","",Agent09_Loans!K172)</f>
        <v/>
      </c>
      <c r="L1762" s="37" t="str">
        <f>IF(Agent09_Loans!B172="","",Agent09_Loans!L172)</f>
        <v/>
      </c>
      <c r="M1762" s="37" t="str">
        <f>IFERROR(IF(Agent09_Loans!B172="","",YEAR(Agent09_Loans!D172)),"")</f>
        <v/>
      </c>
    </row>
    <row r="1763" spans="1:13" ht="18" customHeight="1" x14ac:dyDescent="0.25">
      <c r="A1763" s="37" t="str">
        <f>IF(Agent09_Loans!B173="","",Agent09_Loans!A173)</f>
        <v/>
      </c>
      <c r="B1763" s="37" t="str">
        <f>IF(Agent09_Loans!B173="","",Agent09_Loans!B173)</f>
        <v/>
      </c>
      <c r="C1763" s="37" t="str">
        <f>IF(Agent09_Loans!B173="","",Agent09_Loans!C173)</f>
        <v/>
      </c>
      <c r="D1763" s="38" t="str">
        <f>IF(Agent09_Loans!B173="","",Agent09_Loans!D173)</f>
        <v/>
      </c>
      <c r="E1763" s="40" t="str">
        <f>IF(Agent09_Loans!B173="","",Agent09_Loans!E173)</f>
        <v/>
      </c>
      <c r="F1763" s="37" t="str">
        <f>IF(Agent09_Loans!B173="","",Agent09_Loans!F173)</f>
        <v/>
      </c>
      <c r="G1763" s="37" t="str">
        <f>IF(Agent09_Loans!B173="","",Agent09_Loans!G173)</f>
        <v/>
      </c>
      <c r="H1763" s="37" t="str">
        <f>IF(Agent09_Loans!B173="","",Agent09_Loans!H173)</f>
        <v/>
      </c>
      <c r="I1763" s="40" t="str">
        <f>IF(Agent09_Loans!B173="","",Agent09_Loans!I173)</f>
        <v/>
      </c>
      <c r="J1763" s="40" t="str">
        <f>IF(Agent09_Loans!B173="","",Agent09_Loans!J173)</f>
        <v/>
      </c>
      <c r="K1763" s="37" t="str">
        <f>IF(Agent09_Loans!B173="","",Agent09_Loans!K173)</f>
        <v/>
      </c>
      <c r="L1763" s="37" t="str">
        <f>IF(Agent09_Loans!B173="","",Agent09_Loans!L173)</f>
        <v/>
      </c>
      <c r="M1763" s="37" t="str">
        <f>IFERROR(IF(Agent09_Loans!B173="","",YEAR(Agent09_Loans!D173)),"")</f>
        <v/>
      </c>
    </row>
    <row r="1764" spans="1:13" ht="18" customHeight="1" x14ac:dyDescent="0.25">
      <c r="A1764" s="37" t="str">
        <f>IF(Agent09_Loans!B174="","",Agent09_Loans!A174)</f>
        <v/>
      </c>
      <c r="B1764" s="37" t="str">
        <f>IF(Agent09_Loans!B174="","",Agent09_Loans!B174)</f>
        <v/>
      </c>
      <c r="C1764" s="37" t="str">
        <f>IF(Agent09_Loans!B174="","",Agent09_Loans!C174)</f>
        <v/>
      </c>
      <c r="D1764" s="38" t="str">
        <f>IF(Agent09_Loans!B174="","",Agent09_Loans!D174)</f>
        <v/>
      </c>
      <c r="E1764" s="40" t="str">
        <f>IF(Agent09_Loans!B174="","",Agent09_Loans!E174)</f>
        <v/>
      </c>
      <c r="F1764" s="37" t="str">
        <f>IF(Agent09_Loans!B174="","",Agent09_Loans!F174)</f>
        <v/>
      </c>
      <c r="G1764" s="37" t="str">
        <f>IF(Agent09_Loans!B174="","",Agent09_Loans!G174)</f>
        <v/>
      </c>
      <c r="H1764" s="37" t="str">
        <f>IF(Agent09_Loans!B174="","",Agent09_Loans!H174)</f>
        <v/>
      </c>
      <c r="I1764" s="40" t="str">
        <f>IF(Agent09_Loans!B174="","",Agent09_Loans!I174)</f>
        <v/>
      </c>
      <c r="J1764" s="40" t="str">
        <f>IF(Agent09_Loans!B174="","",Agent09_Loans!J174)</f>
        <v/>
      </c>
      <c r="K1764" s="37" t="str">
        <f>IF(Agent09_Loans!B174="","",Agent09_Loans!K174)</f>
        <v/>
      </c>
      <c r="L1764" s="37" t="str">
        <f>IF(Agent09_Loans!B174="","",Agent09_Loans!L174)</f>
        <v/>
      </c>
      <c r="M1764" s="37" t="str">
        <f>IFERROR(IF(Agent09_Loans!B174="","",YEAR(Agent09_Loans!D174)),"")</f>
        <v/>
      </c>
    </row>
    <row r="1765" spans="1:13" ht="18" customHeight="1" x14ac:dyDescent="0.25">
      <c r="A1765" s="37" t="str">
        <f>IF(Agent09_Loans!B175="","",Agent09_Loans!A175)</f>
        <v/>
      </c>
      <c r="B1765" s="37" t="str">
        <f>IF(Agent09_Loans!B175="","",Agent09_Loans!B175)</f>
        <v/>
      </c>
      <c r="C1765" s="37" t="str">
        <f>IF(Agent09_Loans!B175="","",Agent09_Loans!C175)</f>
        <v/>
      </c>
      <c r="D1765" s="38" t="str">
        <f>IF(Agent09_Loans!B175="","",Agent09_Loans!D175)</f>
        <v/>
      </c>
      <c r="E1765" s="40" t="str">
        <f>IF(Agent09_Loans!B175="","",Agent09_Loans!E175)</f>
        <v/>
      </c>
      <c r="F1765" s="37" t="str">
        <f>IF(Agent09_Loans!B175="","",Agent09_Loans!F175)</f>
        <v/>
      </c>
      <c r="G1765" s="37" t="str">
        <f>IF(Agent09_Loans!B175="","",Agent09_Loans!G175)</f>
        <v/>
      </c>
      <c r="H1765" s="37" t="str">
        <f>IF(Agent09_Loans!B175="","",Agent09_Loans!H175)</f>
        <v/>
      </c>
      <c r="I1765" s="40" t="str">
        <f>IF(Agent09_Loans!B175="","",Agent09_Loans!I175)</f>
        <v/>
      </c>
      <c r="J1765" s="40" t="str">
        <f>IF(Agent09_Loans!B175="","",Agent09_Loans!J175)</f>
        <v/>
      </c>
      <c r="K1765" s="37" t="str">
        <f>IF(Agent09_Loans!B175="","",Agent09_Loans!K175)</f>
        <v/>
      </c>
      <c r="L1765" s="37" t="str">
        <f>IF(Agent09_Loans!B175="","",Agent09_Loans!L175)</f>
        <v/>
      </c>
      <c r="M1765" s="37" t="str">
        <f>IFERROR(IF(Agent09_Loans!B175="","",YEAR(Agent09_Loans!D175)),"")</f>
        <v/>
      </c>
    </row>
    <row r="1766" spans="1:13" ht="18" customHeight="1" x14ac:dyDescent="0.25">
      <c r="A1766" s="37" t="str">
        <f>IF(Agent09_Loans!B176="","",Agent09_Loans!A176)</f>
        <v/>
      </c>
      <c r="B1766" s="37" t="str">
        <f>IF(Agent09_Loans!B176="","",Agent09_Loans!B176)</f>
        <v/>
      </c>
      <c r="C1766" s="37" t="str">
        <f>IF(Agent09_Loans!B176="","",Agent09_Loans!C176)</f>
        <v/>
      </c>
      <c r="D1766" s="38" t="str">
        <f>IF(Agent09_Loans!B176="","",Agent09_Loans!D176)</f>
        <v/>
      </c>
      <c r="E1766" s="40" t="str">
        <f>IF(Agent09_Loans!B176="","",Agent09_Loans!E176)</f>
        <v/>
      </c>
      <c r="F1766" s="37" t="str">
        <f>IF(Agent09_Loans!B176="","",Agent09_Loans!F176)</f>
        <v/>
      </c>
      <c r="G1766" s="37" t="str">
        <f>IF(Agent09_Loans!B176="","",Agent09_Loans!G176)</f>
        <v/>
      </c>
      <c r="H1766" s="37" t="str">
        <f>IF(Agent09_Loans!B176="","",Agent09_Loans!H176)</f>
        <v/>
      </c>
      <c r="I1766" s="40" t="str">
        <f>IF(Agent09_Loans!B176="","",Agent09_Loans!I176)</f>
        <v/>
      </c>
      <c r="J1766" s="40" t="str">
        <f>IF(Agent09_Loans!B176="","",Agent09_Loans!J176)</f>
        <v/>
      </c>
      <c r="K1766" s="37" t="str">
        <f>IF(Agent09_Loans!B176="","",Agent09_Loans!K176)</f>
        <v/>
      </c>
      <c r="L1766" s="37" t="str">
        <f>IF(Agent09_Loans!B176="","",Agent09_Loans!L176)</f>
        <v/>
      </c>
      <c r="M1766" s="37" t="str">
        <f>IFERROR(IF(Agent09_Loans!B176="","",YEAR(Agent09_Loans!D176)),"")</f>
        <v/>
      </c>
    </row>
    <row r="1767" spans="1:13" ht="18" customHeight="1" x14ac:dyDescent="0.25">
      <c r="A1767" s="37" t="str">
        <f>IF(Agent09_Loans!B177="","",Agent09_Loans!A177)</f>
        <v/>
      </c>
      <c r="B1767" s="37" t="str">
        <f>IF(Agent09_Loans!B177="","",Agent09_Loans!B177)</f>
        <v/>
      </c>
      <c r="C1767" s="37" t="str">
        <f>IF(Agent09_Loans!B177="","",Agent09_Loans!C177)</f>
        <v/>
      </c>
      <c r="D1767" s="38" t="str">
        <f>IF(Agent09_Loans!B177="","",Agent09_Loans!D177)</f>
        <v/>
      </c>
      <c r="E1767" s="40" t="str">
        <f>IF(Agent09_Loans!B177="","",Agent09_Loans!E177)</f>
        <v/>
      </c>
      <c r="F1767" s="37" t="str">
        <f>IF(Agent09_Loans!B177="","",Agent09_Loans!F177)</f>
        <v/>
      </c>
      <c r="G1767" s="37" t="str">
        <f>IF(Agent09_Loans!B177="","",Agent09_Loans!G177)</f>
        <v/>
      </c>
      <c r="H1767" s="37" t="str">
        <f>IF(Agent09_Loans!B177="","",Agent09_Loans!H177)</f>
        <v/>
      </c>
      <c r="I1767" s="40" t="str">
        <f>IF(Agent09_Loans!B177="","",Agent09_Loans!I177)</f>
        <v/>
      </c>
      <c r="J1767" s="40" t="str">
        <f>IF(Agent09_Loans!B177="","",Agent09_Loans!J177)</f>
        <v/>
      </c>
      <c r="K1767" s="37" t="str">
        <f>IF(Agent09_Loans!B177="","",Agent09_Loans!K177)</f>
        <v/>
      </c>
      <c r="L1767" s="37" t="str">
        <f>IF(Agent09_Loans!B177="","",Agent09_Loans!L177)</f>
        <v/>
      </c>
      <c r="M1767" s="37" t="str">
        <f>IFERROR(IF(Agent09_Loans!B177="","",YEAR(Agent09_Loans!D177)),"")</f>
        <v/>
      </c>
    </row>
    <row r="1768" spans="1:13" ht="18" customHeight="1" x14ac:dyDescent="0.25">
      <c r="A1768" s="37" t="str">
        <f>IF(Agent09_Loans!B178="","",Agent09_Loans!A178)</f>
        <v/>
      </c>
      <c r="B1768" s="37" t="str">
        <f>IF(Agent09_Loans!B178="","",Agent09_Loans!B178)</f>
        <v/>
      </c>
      <c r="C1768" s="37" t="str">
        <f>IF(Agent09_Loans!B178="","",Agent09_Loans!C178)</f>
        <v/>
      </c>
      <c r="D1768" s="38" t="str">
        <f>IF(Agent09_Loans!B178="","",Agent09_Loans!D178)</f>
        <v/>
      </c>
      <c r="E1768" s="40" t="str">
        <f>IF(Agent09_Loans!B178="","",Agent09_Loans!E178)</f>
        <v/>
      </c>
      <c r="F1768" s="37" t="str">
        <f>IF(Agent09_Loans!B178="","",Agent09_Loans!F178)</f>
        <v/>
      </c>
      <c r="G1768" s="37" t="str">
        <f>IF(Agent09_Loans!B178="","",Agent09_Loans!G178)</f>
        <v/>
      </c>
      <c r="H1768" s="37" t="str">
        <f>IF(Agent09_Loans!B178="","",Agent09_Loans!H178)</f>
        <v/>
      </c>
      <c r="I1768" s="40" t="str">
        <f>IF(Agent09_Loans!B178="","",Agent09_Loans!I178)</f>
        <v/>
      </c>
      <c r="J1768" s="40" t="str">
        <f>IF(Agent09_Loans!B178="","",Agent09_Loans!J178)</f>
        <v/>
      </c>
      <c r="K1768" s="37" t="str">
        <f>IF(Agent09_Loans!B178="","",Agent09_Loans!K178)</f>
        <v/>
      </c>
      <c r="L1768" s="37" t="str">
        <f>IF(Agent09_Loans!B178="","",Agent09_Loans!L178)</f>
        <v/>
      </c>
      <c r="M1768" s="37" t="str">
        <f>IFERROR(IF(Agent09_Loans!B178="","",YEAR(Agent09_Loans!D178)),"")</f>
        <v/>
      </c>
    </row>
    <row r="1769" spans="1:13" ht="18" customHeight="1" x14ac:dyDescent="0.25">
      <c r="A1769" s="37" t="str">
        <f>IF(Agent09_Loans!B179="","",Agent09_Loans!A179)</f>
        <v/>
      </c>
      <c r="B1769" s="37" t="str">
        <f>IF(Agent09_Loans!B179="","",Agent09_Loans!B179)</f>
        <v/>
      </c>
      <c r="C1769" s="37" t="str">
        <f>IF(Agent09_Loans!B179="","",Agent09_Loans!C179)</f>
        <v/>
      </c>
      <c r="D1769" s="38" t="str">
        <f>IF(Agent09_Loans!B179="","",Agent09_Loans!D179)</f>
        <v/>
      </c>
      <c r="E1769" s="40" t="str">
        <f>IF(Agent09_Loans!B179="","",Agent09_Loans!E179)</f>
        <v/>
      </c>
      <c r="F1769" s="37" t="str">
        <f>IF(Agent09_Loans!B179="","",Agent09_Loans!F179)</f>
        <v/>
      </c>
      <c r="G1769" s="37" t="str">
        <f>IF(Agent09_Loans!B179="","",Agent09_Loans!G179)</f>
        <v/>
      </c>
      <c r="H1769" s="37" t="str">
        <f>IF(Agent09_Loans!B179="","",Agent09_Loans!H179)</f>
        <v/>
      </c>
      <c r="I1769" s="40" t="str">
        <f>IF(Agent09_Loans!B179="","",Agent09_Loans!I179)</f>
        <v/>
      </c>
      <c r="J1769" s="40" t="str">
        <f>IF(Agent09_Loans!B179="","",Agent09_Loans!J179)</f>
        <v/>
      </c>
      <c r="K1769" s="37" t="str">
        <f>IF(Agent09_Loans!B179="","",Agent09_Loans!K179)</f>
        <v/>
      </c>
      <c r="L1769" s="37" t="str">
        <f>IF(Agent09_Loans!B179="","",Agent09_Loans!L179)</f>
        <v/>
      </c>
      <c r="M1769" s="37" t="str">
        <f>IFERROR(IF(Agent09_Loans!B179="","",YEAR(Agent09_Loans!D179)),"")</f>
        <v/>
      </c>
    </row>
    <row r="1770" spans="1:13" ht="18" customHeight="1" x14ac:dyDescent="0.25">
      <c r="A1770" s="37" t="str">
        <f>IF(Agent09_Loans!B180="","",Agent09_Loans!A180)</f>
        <v/>
      </c>
      <c r="B1770" s="37" t="str">
        <f>IF(Agent09_Loans!B180="","",Agent09_Loans!B180)</f>
        <v/>
      </c>
      <c r="C1770" s="37" t="str">
        <f>IF(Agent09_Loans!B180="","",Agent09_Loans!C180)</f>
        <v/>
      </c>
      <c r="D1770" s="38" t="str">
        <f>IF(Agent09_Loans!B180="","",Agent09_Loans!D180)</f>
        <v/>
      </c>
      <c r="E1770" s="40" t="str">
        <f>IF(Agent09_Loans!B180="","",Agent09_Loans!E180)</f>
        <v/>
      </c>
      <c r="F1770" s="37" t="str">
        <f>IF(Agent09_Loans!B180="","",Agent09_Loans!F180)</f>
        <v/>
      </c>
      <c r="G1770" s="37" t="str">
        <f>IF(Agent09_Loans!B180="","",Agent09_Loans!G180)</f>
        <v/>
      </c>
      <c r="H1770" s="37" t="str">
        <f>IF(Agent09_Loans!B180="","",Agent09_Loans!H180)</f>
        <v/>
      </c>
      <c r="I1770" s="40" t="str">
        <f>IF(Agent09_Loans!B180="","",Agent09_Loans!I180)</f>
        <v/>
      </c>
      <c r="J1770" s="40" t="str">
        <f>IF(Agent09_Loans!B180="","",Agent09_Loans!J180)</f>
        <v/>
      </c>
      <c r="K1770" s="37" t="str">
        <f>IF(Agent09_Loans!B180="","",Agent09_Loans!K180)</f>
        <v/>
      </c>
      <c r="L1770" s="37" t="str">
        <f>IF(Agent09_Loans!B180="","",Agent09_Loans!L180)</f>
        <v/>
      </c>
      <c r="M1770" s="37" t="str">
        <f>IFERROR(IF(Agent09_Loans!B180="","",YEAR(Agent09_Loans!D180)),"")</f>
        <v/>
      </c>
    </row>
    <row r="1771" spans="1:13" ht="18" customHeight="1" x14ac:dyDescent="0.25">
      <c r="A1771" s="37" t="str">
        <f>IF(Agent09_Loans!B181="","",Agent09_Loans!A181)</f>
        <v/>
      </c>
      <c r="B1771" s="37" t="str">
        <f>IF(Agent09_Loans!B181="","",Agent09_Loans!B181)</f>
        <v/>
      </c>
      <c r="C1771" s="37" t="str">
        <f>IF(Agent09_Loans!B181="","",Agent09_Loans!C181)</f>
        <v/>
      </c>
      <c r="D1771" s="38" t="str">
        <f>IF(Agent09_Loans!B181="","",Agent09_Loans!D181)</f>
        <v/>
      </c>
      <c r="E1771" s="40" t="str">
        <f>IF(Agent09_Loans!B181="","",Agent09_Loans!E181)</f>
        <v/>
      </c>
      <c r="F1771" s="37" t="str">
        <f>IF(Agent09_Loans!B181="","",Agent09_Loans!F181)</f>
        <v/>
      </c>
      <c r="G1771" s="37" t="str">
        <f>IF(Agent09_Loans!B181="","",Agent09_Loans!G181)</f>
        <v/>
      </c>
      <c r="H1771" s="37" t="str">
        <f>IF(Agent09_Loans!B181="","",Agent09_Loans!H181)</f>
        <v/>
      </c>
      <c r="I1771" s="40" t="str">
        <f>IF(Agent09_Loans!B181="","",Agent09_Loans!I181)</f>
        <v/>
      </c>
      <c r="J1771" s="40" t="str">
        <f>IF(Agent09_Loans!B181="","",Agent09_Loans!J181)</f>
        <v/>
      </c>
      <c r="K1771" s="37" t="str">
        <f>IF(Agent09_Loans!B181="","",Agent09_Loans!K181)</f>
        <v/>
      </c>
      <c r="L1771" s="37" t="str">
        <f>IF(Agent09_Loans!B181="","",Agent09_Loans!L181)</f>
        <v/>
      </c>
      <c r="M1771" s="37" t="str">
        <f>IFERROR(IF(Agent09_Loans!B181="","",YEAR(Agent09_Loans!D181)),"")</f>
        <v/>
      </c>
    </row>
    <row r="1772" spans="1:13" ht="18" customHeight="1" x14ac:dyDescent="0.25">
      <c r="A1772" s="37" t="str">
        <f>IF(Agent09_Loans!B182="","",Agent09_Loans!A182)</f>
        <v/>
      </c>
      <c r="B1772" s="37" t="str">
        <f>IF(Agent09_Loans!B182="","",Agent09_Loans!B182)</f>
        <v/>
      </c>
      <c r="C1772" s="37" t="str">
        <f>IF(Agent09_Loans!B182="","",Agent09_Loans!C182)</f>
        <v/>
      </c>
      <c r="D1772" s="38" t="str">
        <f>IF(Agent09_Loans!B182="","",Agent09_Loans!D182)</f>
        <v/>
      </c>
      <c r="E1772" s="40" t="str">
        <f>IF(Agent09_Loans!B182="","",Agent09_Loans!E182)</f>
        <v/>
      </c>
      <c r="F1772" s="37" t="str">
        <f>IF(Agent09_Loans!B182="","",Agent09_Loans!F182)</f>
        <v/>
      </c>
      <c r="G1772" s="37" t="str">
        <f>IF(Agent09_Loans!B182="","",Agent09_Loans!G182)</f>
        <v/>
      </c>
      <c r="H1772" s="37" t="str">
        <f>IF(Agent09_Loans!B182="","",Agent09_Loans!H182)</f>
        <v/>
      </c>
      <c r="I1772" s="40" t="str">
        <f>IF(Agent09_Loans!B182="","",Agent09_Loans!I182)</f>
        <v/>
      </c>
      <c r="J1772" s="40" t="str">
        <f>IF(Agent09_Loans!B182="","",Agent09_Loans!J182)</f>
        <v/>
      </c>
      <c r="K1772" s="37" t="str">
        <f>IF(Agent09_Loans!B182="","",Agent09_Loans!K182)</f>
        <v/>
      </c>
      <c r="L1772" s="37" t="str">
        <f>IF(Agent09_Loans!B182="","",Agent09_Loans!L182)</f>
        <v/>
      </c>
      <c r="M1772" s="37" t="str">
        <f>IFERROR(IF(Agent09_Loans!B182="","",YEAR(Agent09_Loans!D182)),"")</f>
        <v/>
      </c>
    </row>
    <row r="1773" spans="1:13" ht="18" customHeight="1" x14ac:dyDescent="0.25">
      <c r="A1773" s="37" t="str">
        <f>IF(Agent09_Loans!B183="","",Agent09_Loans!A183)</f>
        <v/>
      </c>
      <c r="B1773" s="37" t="str">
        <f>IF(Agent09_Loans!B183="","",Agent09_Loans!B183)</f>
        <v/>
      </c>
      <c r="C1773" s="37" t="str">
        <f>IF(Agent09_Loans!B183="","",Agent09_Loans!C183)</f>
        <v/>
      </c>
      <c r="D1773" s="38" t="str">
        <f>IF(Agent09_Loans!B183="","",Agent09_Loans!D183)</f>
        <v/>
      </c>
      <c r="E1773" s="40" t="str">
        <f>IF(Agent09_Loans!B183="","",Agent09_Loans!E183)</f>
        <v/>
      </c>
      <c r="F1773" s="37" t="str">
        <f>IF(Agent09_Loans!B183="","",Agent09_Loans!F183)</f>
        <v/>
      </c>
      <c r="G1773" s="37" t="str">
        <f>IF(Agent09_Loans!B183="","",Agent09_Loans!G183)</f>
        <v/>
      </c>
      <c r="H1773" s="37" t="str">
        <f>IF(Agent09_Loans!B183="","",Agent09_Loans!H183)</f>
        <v/>
      </c>
      <c r="I1773" s="40" t="str">
        <f>IF(Agent09_Loans!B183="","",Agent09_Loans!I183)</f>
        <v/>
      </c>
      <c r="J1773" s="40" t="str">
        <f>IF(Agent09_Loans!B183="","",Agent09_Loans!J183)</f>
        <v/>
      </c>
      <c r="K1773" s="37" t="str">
        <f>IF(Agent09_Loans!B183="","",Agent09_Loans!K183)</f>
        <v/>
      </c>
      <c r="L1773" s="37" t="str">
        <f>IF(Agent09_Loans!B183="","",Agent09_Loans!L183)</f>
        <v/>
      </c>
      <c r="M1773" s="37" t="str">
        <f>IFERROR(IF(Agent09_Loans!B183="","",YEAR(Agent09_Loans!D183)),"")</f>
        <v/>
      </c>
    </row>
    <row r="1774" spans="1:13" ht="18" customHeight="1" x14ac:dyDescent="0.25">
      <c r="A1774" s="37" t="str">
        <f>IF(Agent09_Loans!B184="","",Agent09_Loans!A184)</f>
        <v/>
      </c>
      <c r="B1774" s="37" t="str">
        <f>IF(Agent09_Loans!B184="","",Agent09_Loans!B184)</f>
        <v/>
      </c>
      <c r="C1774" s="37" t="str">
        <f>IF(Agent09_Loans!B184="","",Agent09_Loans!C184)</f>
        <v/>
      </c>
      <c r="D1774" s="38" t="str">
        <f>IF(Agent09_Loans!B184="","",Agent09_Loans!D184)</f>
        <v/>
      </c>
      <c r="E1774" s="40" t="str">
        <f>IF(Agent09_Loans!B184="","",Agent09_Loans!E184)</f>
        <v/>
      </c>
      <c r="F1774" s="37" t="str">
        <f>IF(Agent09_Loans!B184="","",Agent09_Loans!F184)</f>
        <v/>
      </c>
      <c r="G1774" s="37" t="str">
        <f>IF(Agent09_Loans!B184="","",Agent09_Loans!G184)</f>
        <v/>
      </c>
      <c r="H1774" s="37" t="str">
        <f>IF(Agent09_Loans!B184="","",Agent09_Loans!H184)</f>
        <v/>
      </c>
      <c r="I1774" s="40" t="str">
        <f>IF(Agent09_Loans!B184="","",Agent09_Loans!I184)</f>
        <v/>
      </c>
      <c r="J1774" s="40" t="str">
        <f>IF(Agent09_Loans!B184="","",Agent09_Loans!J184)</f>
        <v/>
      </c>
      <c r="K1774" s="37" t="str">
        <f>IF(Agent09_Loans!B184="","",Agent09_Loans!K184)</f>
        <v/>
      </c>
      <c r="L1774" s="37" t="str">
        <f>IF(Agent09_Loans!B184="","",Agent09_Loans!L184)</f>
        <v/>
      </c>
      <c r="M1774" s="37" t="str">
        <f>IFERROR(IF(Agent09_Loans!B184="","",YEAR(Agent09_Loans!D184)),"")</f>
        <v/>
      </c>
    </row>
    <row r="1775" spans="1:13" ht="18" customHeight="1" x14ac:dyDescent="0.25">
      <c r="A1775" s="37" t="str">
        <f>IF(Agent09_Loans!B185="","",Agent09_Loans!A185)</f>
        <v/>
      </c>
      <c r="B1775" s="37" t="str">
        <f>IF(Agent09_Loans!B185="","",Agent09_Loans!B185)</f>
        <v/>
      </c>
      <c r="C1775" s="37" t="str">
        <f>IF(Agent09_Loans!B185="","",Agent09_Loans!C185)</f>
        <v/>
      </c>
      <c r="D1775" s="38" t="str">
        <f>IF(Agent09_Loans!B185="","",Agent09_Loans!D185)</f>
        <v/>
      </c>
      <c r="E1775" s="40" t="str">
        <f>IF(Agent09_Loans!B185="","",Agent09_Loans!E185)</f>
        <v/>
      </c>
      <c r="F1775" s="37" t="str">
        <f>IF(Agent09_Loans!B185="","",Agent09_Loans!F185)</f>
        <v/>
      </c>
      <c r="G1775" s="37" t="str">
        <f>IF(Agent09_Loans!B185="","",Agent09_Loans!G185)</f>
        <v/>
      </c>
      <c r="H1775" s="37" t="str">
        <f>IF(Agent09_Loans!B185="","",Agent09_Loans!H185)</f>
        <v/>
      </c>
      <c r="I1775" s="40" t="str">
        <f>IF(Agent09_Loans!B185="","",Agent09_Loans!I185)</f>
        <v/>
      </c>
      <c r="J1775" s="40" t="str">
        <f>IF(Agent09_Loans!B185="","",Agent09_Loans!J185)</f>
        <v/>
      </c>
      <c r="K1775" s="37" t="str">
        <f>IF(Agent09_Loans!B185="","",Agent09_Loans!K185)</f>
        <v/>
      </c>
      <c r="L1775" s="37" t="str">
        <f>IF(Agent09_Loans!B185="","",Agent09_Loans!L185)</f>
        <v/>
      </c>
      <c r="M1775" s="37" t="str">
        <f>IFERROR(IF(Agent09_Loans!B185="","",YEAR(Agent09_Loans!D185)),"")</f>
        <v/>
      </c>
    </row>
    <row r="1776" spans="1:13" ht="18" customHeight="1" x14ac:dyDescent="0.25">
      <c r="A1776" s="37" t="str">
        <f>IF(Agent09_Loans!B186="","",Agent09_Loans!A186)</f>
        <v/>
      </c>
      <c r="B1776" s="37" t="str">
        <f>IF(Agent09_Loans!B186="","",Agent09_Loans!B186)</f>
        <v/>
      </c>
      <c r="C1776" s="37" t="str">
        <f>IF(Agent09_Loans!B186="","",Agent09_Loans!C186)</f>
        <v/>
      </c>
      <c r="D1776" s="38" t="str">
        <f>IF(Agent09_Loans!B186="","",Agent09_Loans!D186)</f>
        <v/>
      </c>
      <c r="E1776" s="40" t="str">
        <f>IF(Agent09_Loans!B186="","",Agent09_Loans!E186)</f>
        <v/>
      </c>
      <c r="F1776" s="37" t="str">
        <f>IF(Agent09_Loans!B186="","",Agent09_Loans!F186)</f>
        <v/>
      </c>
      <c r="G1776" s="37" t="str">
        <f>IF(Agent09_Loans!B186="","",Agent09_Loans!G186)</f>
        <v/>
      </c>
      <c r="H1776" s="37" t="str">
        <f>IF(Agent09_Loans!B186="","",Agent09_Loans!H186)</f>
        <v/>
      </c>
      <c r="I1776" s="40" t="str">
        <f>IF(Agent09_Loans!B186="","",Agent09_Loans!I186)</f>
        <v/>
      </c>
      <c r="J1776" s="40" t="str">
        <f>IF(Agent09_Loans!B186="","",Agent09_Loans!J186)</f>
        <v/>
      </c>
      <c r="K1776" s="37" t="str">
        <f>IF(Agent09_Loans!B186="","",Agent09_Loans!K186)</f>
        <v/>
      </c>
      <c r="L1776" s="37" t="str">
        <f>IF(Agent09_Loans!B186="","",Agent09_Loans!L186)</f>
        <v/>
      </c>
      <c r="M1776" s="37" t="str">
        <f>IFERROR(IF(Agent09_Loans!B186="","",YEAR(Agent09_Loans!D186)),"")</f>
        <v/>
      </c>
    </row>
    <row r="1777" spans="1:13" ht="18" customHeight="1" x14ac:dyDescent="0.25">
      <c r="A1777" s="37" t="str">
        <f>IF(Agent09_Loans!B187="","",Agent09_Loans!A187)</f>
        <v/>
      </c>
      <c r="B1777" s="37" t="str">
        <f>IF(Agent09_Loans!B187="","",Agent09_Loans!B187)</f>
        <v/>
      </c>
      <c r="C1777" s="37" t="str">
        <f>IF(Agent09_Loans!B187="","",Agent09_Loans!C187)</f>
        <v/>
      </c>
      <c r="D1777" s="38" t="str">
        <f>IF(Agent09_Loans!B187="","",Agent09_Loans!D187)</f>
        <v/>
      </c>
      <c r="E1777" s="40" t="str">
        <f>IF(Agent09_Loans!B187="","",Agent09_Loans!E187)</f>
        <v/>
      </c>
      <c r="F1777" s="37" t="str">
        <f>IF(Agent09_Loans!B187="","",Agent09_Loans!F187)</f>
        <v/>
      </c>
      <c r="G1777" s="37" t="str">
        <f>IF(Agent09_Loans!B187="","",Agent09_Loans!G187)</f>
        <v/>
      </c>
      <c r="H1777" s="37" t="str">
        <f>IF(Agent09_Loans!B187="","",Agent09_Loans!H187)</f>
        <v/>
      </c>
      <c r="I1777" s="40" t="str">
        <f>IF(Agent09_Loans!B187="","",Agent09_Loans!I187)</f>
        <v/>
      </c>
      <c r="J1777" s="40" t="str">
        <f>IF(Agent09_Loans!B187="","",Agent09_Loans!J187)</f>
        <v/>
      </c>
      <c r="K1777" s="37" t="str">
        <f>IF(Agent09_Loans!B187="","",Agent09_Loans!K187)</f>
        <v/>
      </c>
      <c r="L1777" s="37" t="str">
        <f>IF(Agent09_Loans!B187="","",Agent09_Loans!L187)</f>
        <v/>
      </c>
      <c r="M1777" s="37" t="str">
        <f>IFERROR(IF(Agent09_Loans!B187="","",YEAR(Agent09_Loans!D187)),"")</f>
        <v/>
      </c>
    </row>
    <row r="1778" spans="1:13" ht="18" customHeight="1" x14ac:dyDescent="0.25">
      <c r="A1778" s="37" t="str">
        <f>IF(Agent09_Loans!B188="","",Agent09_Loans!A188)</f>
        <v/>
      </c>
      <c r="B1778" s="37" t="str">
        <f>IF(Agent09_Loans!B188="","",Agent09_Loans!B188)</f>
        <v/>
      </c>
      <c r="C1778" s="37" t="str">
        <f>IF(Agent09_Loans!B188="","",Agent09_Loans!C188)</f>
        <v/>
      </c>
      <c r="D1778" s="38" t="str">
        <f>IF(Agent09_Loans!B188="","",Agent09_Loans!D188)</f>
        <v/>
      </c>
      <c r="E1778" s="40" t="str">
        <f>IF(Agent09_Loans!B188="","",Agent09_Loans!E188)</f>
        <v/>
      </c>
      <c r="F1778" s="37" t="str">
        <f>IF(Agent09_Loans!B188="","",Agent09_Loans!F188)</f>
        <v/>
      </c>
      <c r="G1778" s="37" t="str">
        <f>IF(Agent09_Loans!B188="","",Agent09_Loans!G188)</f>
        <v/>
      </c>
      <c r="H1778" s="37" t="str">
        <f>IF(Agent09_Loans!B188="","",Agent09_Loans!H188)</f>
        <v/>
      </c>
      <c r="I1778" s="40" t="str">
        <f>IF(Agent09_Loans!B188="","",Agent09_Loans!I188)</f>
        <v/>
      </c>
      <c r="J1778" s="40" t="str">
        <f>IF(Agent09_Loans!B188="","",Agent09_Loans!J188)</f>
        <v/>
      </c>
      <c r="K1778" s="37" t="str">
        <f>IF(Agent09_Loans!B188="","",Agent09_Loans!K188)</f>
        <v/>
      </c>
      <c r="L1778" s="37" t="str">
        <f>IF(Agent09_Loans!B188="","",Agent09_Loans!L188)</f>
        <v/>
      </c>
      <c r="M1778" s="37" t="str">
        <f>IFERROR(IF(Agent09_Loans!B188="","",YEAR(Agent09_Loans!D188)),"")</f>
        <v/>
      </c>
    </row>
    <row r="1779" spans="1:13" ht="18" customHeight="1" x14ac:dyDescent="0.25">
      <c r="A1779" s="37" t="str">
        <f>IF(Agent09_Loans!B189="","",Agent09_Loans!A189)</f>
        <v/>
      </c>
      <c r="B1779" s="37" t="str">
        <f>IF(Agent09_Loans!B189="","",Agent09_Loans!B189)</f>
        <v/>
      </c>
      <c r="C1779" s="37" t="str">
        <f>IF(Agent09_Loans!B189="","",Agent09_Loans!C189)</f>
        <v/>
      </c>
      <c r="D1779" s="38" t="str">
        <f>IF(Agent09_Loans!B189="","",Agent09_Loans!D189)</f>
        <v/>
      </c>
      <c r="E1779" s="40" t="str">
        <f>IF(Agent09_Loans!B189="","",Agent09_Loans!E189)</f>
        <v/>
      </c>
      <c r="F1779" s="37" t="str">
        <f>IF(Agent09_Loans!B189="","",Agent09_Loans!F189)</f>
        <v/>
      </c>
      <c r="G1779" s="37" t="str">
        <f>IF(Agent09_Loans!B189="","",Agent09_Loans!G189)</f>
        <v/>
      </c>
      <c r="H1779" s="37" t="str">
        <f>IF(Agent09_Loans!B189="","",Agent09_Loans!H189)</f>
        <v/>
      </c>
      <c r="I1779" s="40" t="str">
        <f>IF(Agent09_Loans!B189="","",Agent09_Loans!I189)</f>
        <v/>
      </c>
      <c r="J1779" s="40" t="str">
        <f>IF(Agent09_Loans!B189="","",Agent09_Loans!J189)</f>
        <v/>
      </c>
      <c r="K1779" s="37" t="str">
        <f>IF(Agent09_Loans!B189="","",Agent09_Loans!K189)</f>
        <v/>
      </c>
      <c r="L1779" s="37" t="str">
        <f>IF(Agent09_Loans!B189="","",Agent09_Loans!L189)</f>
        <v/>
      </c>
      <c r="M1779" s="37" t="str">
        <f>IFERROR(IF(Agent09_Loans!B189="","",YEAR(Agent09_Loans!D189)),"")</f>
        <v/>
      </c>
    </row>
    <row r="1780" spans="1:13" ht="18" customHeight="1" x14ac:dyDescent="0.25">
      <c r="A1780" s="37" t="str">
        <f>IF(Agent09_Loans!B190="","",Agent09_Loans!A190)</f>
        <v/>
      </c>
      <c r="B1780" s="37" t="str">
        <f>IF(Agent09_Loans!B190="","",Agent09_Loans!B190)</f>
        <v/>
      </c>
      <c r="C1780" s="37" t="str">
        <f>IF(Agent09_Loans!B190="","",Agent09_Loans!C190)</f>
        <v/>
      </c>
      <c r="D1780" s="38" t="str">
        <f>IF(Agent09_Loans!B190="","",Agent09_Loans!D190)</f>
        <v/>
      </c>
      <c r="E1780" s="40" t="str">
        <f>IF(Agent09_Loans!B190="","",Agent09_Loans!E190)</f>
        <v/>
      </c>
      <c r="F1780" s="37" t="str">
        <f>IF(Agent09_Loans!B190="","",Agent09_Loans!F190)</f>
        <v/>
      </c>
      <c r="G1780" s="37" t="str">
        <f>IF(Agent09_Loans!B190="","",Agent09_Loans!G190)</f>
        <v/>
      </c>
      <c r="H1780" s="37" t="str">
        <f>IF(Agent09_Loans!B190="","",Agent09_Loans!H190)</f>
        <v/>
      </c>
      <c r="I1780" s="40" t="str">
        <f>IF(Agent09_Loans!B190="","",Agent09_Loans!I190)</f>
        <v/>
      </c>
      <c r="J1780" s="40" t="str">
        <f>IF(Agent09_Loans!B190="","",Agent09_Loans!J190)</f>
        <v/>
      </c>
      <c r="K1780" s="37" t="str">
        <f>IF(Agent09_Loans!B190="","",Agent09_Loans!K190)</f>
        <v/>
      </c>
      <c r="L1780" s="37" t="str">
        <f>IF(Agent09_Loans!B190="","",Agent09_Loans!L190)</f>
        <v/>
      </c>
      <c r="M1780" s="37" t="str">
        <f>IFERROR(IF(Agent09_Loans!B190="","",YEAR(Agent09_Loans!D190)),"")</f>
        <v/>
      </c>
    </row>
    <row r="1781" spans="1:13" ht="18" customHeight="1" x14ac:dyDescent="0.25">
      <c r="A1781" s="37" t="str">
        <f>IF(Agent09_Loans!B191="","",Agent09_Loans!A191)</f>
        <v/>
      </c>
      <c r="B1781" s="37" t="str">
        <f>IF(Agent09_Loans!B191="","",Agent09_Loans!B191)</f>
        <v/>
      </c>
      <c r="C1781" s="37" t="str">
        <f>IF(Agent09_Loans!B191="","",Agent09_Loans!C191)</f>
        <v/>
      </c>
      <c r="D1781" s="38" t="str">
        <f>IF(Agent09_Loans!B191="","",Agent09_Loans!D191)</f>
        <v/>
      </c>
      <c r="E1781" s="40" t="str">
        <f>IF(Agent09_Loans!B191="","",Agent09_Loans!E191)</f>
        <v/>
      </c>
      <c r="F1781" s="37" t="str">
        <f>IF(Agent09_Loans!B191="","",Agent09_Loans!F191)</f>
        <v/>
      </c>
      <c r="G1781" s="37" t="str">
        <f>IF(Agent09_Loans!B191="","",Agent09_Loans!G191)</f>
        <v/>
      </c>
      <c r="H1781" s="37" t="str">
        <f>IF(Agent09_Loans!B191="","",Agent09_Loans!H191)</f>
        <v/>
      </c>
      <c r="I1781" s="40" t="str">
        <f>IF(Agent09_Loans!B191="","",Agent09_Loans!I191)</f>
        <v/>
      </c>
      <c r="J1781" s="40" t="str">
        <f>IF(Agent09_Loans!B191="","",Agent09_Loans!J191)</f>
        <v/>
      </c>
      <c r="K1781" s="37" t="str">
        <f>IF(Agent09_Loans!B191="","",Agent09_Loans!K191)</f>
        <v/>
      </c>
      <c r="L1781" s="37" t="str">
        <f>IF(Agent09_Loans!B191="","",Agent09_Loans!L191)</f>
        <v/>
      </c>
      <c r="M1781" s="37" t="str">
        <f>IFERROR(IF(Agent09_Loans!B191="","",YEAR(Agent09_Loans!D191)),"")</f>
        <v/>
      </c>
    </row>
    <row r="1782" spans="1:13" ht="18" customHeight="1" x14ac:dyDescent="0.25">
      <c r="A1782" s="37" t="str">
        <f>IF(Agent09_Loans!B192="","",Agent09_Loans!A192)</f>
        <v/>
      </c>
      <c r="B1782" s="37" t="str">
        <f>IF(Agent09_Loans!B192="","",Agent09_Loans!B192)</f>
        <v/>
      </c>
      <c r="C1782" s="37" t="str">
        <f>IF(Agent09_Loans!B192="","",Agent09_Loans!C192)</f>
        <v/>
      </c>
      <c r="D1782" s="38" t="str">
        <f>IF(Agent09_Loans!B192="","",Agent09_Loans!D192)</f>
        <v/>
      </c>
      <c r="E1782" s="40" t="str">
        <f>IF(Agent09_Loans!B192="","",Agent09_Loans!E192)</f>
        <v/>
      </c>
      <c r="F1782" s="37" t="str">
        <f>IF(Agent09_Loans!B192="","",Agent09_Loans!F192)</f>
        <v/>
      </c>
      <c r="G1782" s="37" t="str">
        <f>IF(Agent09_Loans!B192="","",Agent09_Loans!G192)</f>
        <v/>
      </c>
      <c r="H1782" s="37" t="str">
        <f>IF(Agent09_Loans!B192="","",Agent09_Loans!H192)</f>
        <v/>
      </c>
      <c r="I1782" s="40" t="str">
        <f>IF(Agent09_Loans!B192="","",Agent09_Loans!I192)</f>
        <v/>
      </c>
      <c r="J1782" s="40" t="str">
        <f>IF(Agent09_Loans!B192="","",Agent09_Loans!J192)</f>
        <v/>
      </c>
      <c r="K1782" s="37" t="str">
        <f>IF(Agent09_Loans!B192="","",Agent09_Loans!K192)</f>
        <v/>
      </c>
      <c r="L1782" s="37" t="str">
        <f>IF(Agent09_Loans!B192="","",Agent09_Loans!L192)</f>
        <v/>
      </c>
      <c r="M1782" s="37" t="str">
        <f>IFERROR(IF(Agent09_Loans!B192="","",YEAR(Agent09_Loans!D192)),"")</f>
        <v/>
      </c>
    </row>
    <row r="1783" spans="1:13" ht="18" customHeight="1" x14ac:dyDescent="0.25">
      <c r="A1783" s="37" t="str">
        <f>IF(Agent09_Loans!B193="","",Agent09_Loans!A193)</f>
        <v/>
      </c>
      <c r="B1783" s="37" t="str">
        <f>IF(Agent09_Loans!B193="","",Agent09_Loans!B193)</f>
        <v/>
      </c>
      <c r="C1783" s="37" t="str">
        <f>IF(Agent09_Loans!B193="","",Agent09_Loans!C193)</f>
        <v/>
      </c>
      <c r="D1783" s="38" t="str">
        <f>IF(Agent09_Loans!B193="","",Agent09_Loans!D193)</f>
        <v/>
      </c>
      <c r="E1783" s="40" t="str">
        <f>IF(Agent09_Loans!B193="","",Agent09_Loans!E193)</f>
        <v/>
      </c>
      <c r="F1783" s="37" t="str">
        <f>IF(Agent09_Loans!B193="","",Agent09_Loans!F193)</f>
        <v/>
      </c>
      <c r="G1783" s="37" t="str">
        <f>IF(Agent09_Loans!B193="","",Agent09_Loans!G193)</f>
        <v/>
      </c>
      <c r="H1783" s="37" t="str">
        <f>IF(Agent09_Loans!B193="","",Agent09_Loans!H193)</f>
        <v/>
      </c>
      <c r="I1783" s="40" t="str">
        <f>IF(Agent09_Loans!B193="","",Agent09_Loans!I193)</f>
        <v/>
      </c>
      <c r="J1783" s="40" t="str">
        <f>IF(Agent09_Loans!B193="","",Agent09_Loans!J193)</f>
        <v/>
      </c>
      <c r="K1783" s="37" t="str">
        <f>IF(Agent09_Loans!B193="","",Agent09_Loans!K193)</f>
        <v/>
      </c>
      <c r="L1783" s="37" t="str">
        <f>IF(Agent09_Loans!B193="","",Agent09_Loans!L193)</f>
        <v/>
      </c>
      <c r="M1783" s="37" t="str">
        <f>IFERROR(IF(Agent09_Loans!B193="","",YEAR(Agent09_Loans!D193)),"")</f>
        <v/>
      </c>
    </row>
    <row r="1784" spans="1:13" ht="18" customHeight="1" x14ac:dyDescent="0.25">
      <c r="A1784" s="37" t="str">
        <f>IF(Agent09_Loans!B194="","",Agent09_Loans!A194)</f>
        <v/>
      </c>
      <c r="B1784" s="37" t="str">
        <f>IF(Agent09_Loans!B194="","",Agent09_Loans!B194)</f>
        <v/>
      </c>
      <c r="C1784" s="37" t="str">
        <f>IF(Agent09_Loans!B194="","",Agent09_Loans!C194)</f>
        <v/>
      </c>
      <c r="D1784" s="38" t="str">
        <f>IF(Agent09_Loans!B194="","",Agent09_Loans!D194)</f>
        <v/>
      </c>
      <c r="E1784" s="40" t="str">
        <f>IF(Agent09_Loans!B194="","",Agent09_Loans!E194)</f>
        <v/>
      </c>
      <c r="F1784" s="37" t="str">
        <f>IF(Agent09_Loans!B194="","",Agent09_Loans!F194)</f>
        <v/>
      </c>
      <c r="G1784" s="37" t="str">
        <f>IF(Agent09_Loans!B194="","",Agent09_Loans!G194)</f>
        <v/>
      </c>
      <c r="H1784" s="37" t="str">
        <f>IF(Agent09_Loans!B194="","",Agent09_Loans!H194)</f>
        <v/>
      </c>
      <c r="I1784" s="40" t="str">
        <f>IF(Agent09_Loans!B194="","",Agent09_Loans!I194)</f>
        <v/>
      </c>
      <c r="J1784" s="40" t="str">
        <f>IF(Agent09_Loans!B194="","",Agent09_Loans!J194)</f>
        <v/>
      </c>
      <c r="K1784" s="37" t="str">
        <f>IF(Agent09_Loans!B194="","",Agent09_Loans!K194)</f>
        <v/>
      </c>
      <c r="L1784" s="37" t="str">
        <f>IF(Agent09_Loans!B194="","",Agent09_Loans!L194)</f>
        <v/>
      </c>
      <c r="M1784" s="37" t="str">
        <f>IFERROR(IF(Agent09_Loans!B194="","",YEAR(Agent09_Loans!D194)),"")</f>
        <v/>
      </c>
    </row>
    <row r="1785" spans="1:13" ht="18" customHeight="1" x14ac:dyDescent="0.25">
      <c r="A1785" s="37" t="str">
        <f>IF(Agent09_Loans!B195="","",Agent09_Loans!A195)</f>
        <v/>
      </c>
      <c r="B1785" s="37" t="str">
        <f>IF(Agent09_Loans!B195="","",Agent09_Loans!B195)</f>
        <v/>
      </c>
      <c r="C1785" s="37" t="str">
        <f>IF(Agent09_Loans!B195="","",Agent09_Loans!C195)</f>
        <v/>
      </c>
      <c r="D1785" s="38" t="str">
        <f>IF(Agent09_Loans!B195="","",Agent09_Loans!D195)</f>
        <v/>
      </c>
      <c r="E1785" s="40" t="str">
        <f>IF(Agent09_Loans!B195="","",Agent09_Loans!E195)</f>
        <v/>
      </c>
      <c r="F1785" s="37" t="str">
        <f>IF(Agent09_Loans!B195="","",Agent09_Loans!F195)</f>
        <v/>
      </c>
      <c r="G1785" s="37" t="str">
        <f>IF(Agent09_Loans!B195="","",Agent09_Loans!G195)</f>
        <v/>
      </c>
      <c r="H1785" s="37" t="str">
        <f>IF(Agent09_Loans!B195="","",Agent09_Loans!H195)</f>
        <v/>
      </c>
      <c r="I1785" s="40" t="str">
        <f>IF(Agent09_Loans!B195="","",Agent09_Loans!I195)</f>
        <v/>
      </c>
      <c r="J1785" s="40" t="str">
        <f>IF(Agent09_Loans!B195="","",Agent09_Loans!J195)</f>
        <v/>
      </c>
      <c r="K1785" s="37" t="str">
        <f>IF(Agent09_Loans!B195="","",Agent09_Loans!K195)</f>
        <v/>
      </c>
      <c r="L1785" s="37" t="str">
        <f>IF(Agent09_Loans!B195="","",Agent09_Loans!L195)</f>
        <v/>
      </c>
      <c r="M1785" s="37" t="str">
        <f>IFERROR(IF(Agent09_Loans!B195="","",YEAR(Agent09_Loans!D195)),"")</f>
        <v/>
      </c>
    </row>
    <row r="1786" spans="1:13" ht="18" customHeight="1" x14ac:dyDescent="0.25">
      <c r="A1786" s="37" t="str">
        <f>IF(Agent09_Loans!B196="","",Agent09_Loans!A196)</f>
        <v/>
      </c>
      <c r="B1786" s="37" t="str">
        <f>IF(Agent09_Loans!B196="","",Agent09_Loans!B196)</f>
        <v/>
      </c>
      <c r="C1786" s="37" t="str">
        <f>IF(Agent09_Loans!B196="","",Agent09_Loans!C196)</f>
        <v/>
      </c>
      <c r="D1786" s="38" t="str">
        <f>IF(Agent09_Loans!B196="","",Agent09_Loans!D196)</f>
        <v/>
      </c>
      <c r="E1786" s="40" t="str">
        <f>IF(Agent09_Loans!B196="","",Agent09_Loans!E196)</f>
        <v/>
      </c>
      <c r="F1786" s="37" t="str">
        <f>IF(Agent09_Loans!B196="","",Agent09_Loans!F196)</f>
        <v/>
      </c>
      <c r="G1786" s="37" t="str">
        <f>IF(Agent09_Loans!B196="","",Agent09_Loans!G196)</f>
        <v/>
      </c>
      <c r="H1786" s="37" t="str">
        <f>IF(Agent09_Loans!B196="","",Agent09_Loans!H196)</f>
        <v/>
      </c>
      <c r="I1786" s="40" t="str">
        <f>IF(Agent09_Loans!B196="","",Agent09_Loans!I196)</f>
        <v/>
      </c>
      <c r="J1786" s="40" t="str">
        <f>IF(Agent09_Loans!B196="","",Agent09_Loans!J196)</f>
        <v/>
      </c>
      <c r="K1786" s="37" t="str">
        <f>IF(Agent09_Loans!B196="","",Agent09_Loans!K196)</f>
        <v/>
      </c>
      <c r="L1786" s="37" t="str">
        <f>IF(Agent09_Loans!B196="","",Agent09_Loans!L196)</f>
        <v/>
      </c>
      <c r="M1786" s="37" t="str">
        <f>IFERROR(IF(Agent09_Loans!B196="","",YEAR(Agent09_Loans!D196)),"")</f>
        <v/>
      </c>
    </row>
    <row r="1787" spans="1:13" ht="18" customHeight="1" x14ac:dyDescent="0.25">
      <c r="A1787" s="37" t="str">
        <f>IF(Agent09_Loans!B197="","",Agent09_Loans!A197)</f>
        <v/>
      </c>
      <c r="B1787" s="37" t="str">
        <f>IF(Agent09_Loans!B197="","",Agent09_Loans!B197)</f>
        <v/>
      </c>
      <c r="C1787" s="37" t="str">
        <f>IF(Agent09_Loans!B197="","",Agent09_Loans!C197)</f>
        <v/>
      </c>
      <c r="D1787" s="38" t="str">
        <f>IF(Agent09_Loans!B197="","",Agent09_Loans!D197)</f>
        <v/>
      </c>
      <c r="E1787" s="40" t="str">
        <f>IF(Agent09_Loans!B197="","",Agent09_Loans!E197)</f>
        <v/>
      </c>
      <c r="F1787" s="37" t="str">
        <f>IF(Agent09_Loans!B197="","",Agent09_Loans!F197)</f>
        <v/>
      </c>
      <c r="G1787" s="37" t="str">
        <f>IF(Agent09_Loans!B197="","",Agent09_Loans!G197)</f>
        <v/>
      </c>
      <c r="H1787" s="37" t="str">
        <f>IF(Agent09_Loans!B197="","",Agent09_Loans!H197)</f>
        <v/>
      </c>
      <c r="I1787" s="40" t="str">
        <f>IF(Agent09_Loans!B197="","",Agent09_Loans!I197)</f>
        <v/>
      </c>
      <c r="J1787" s="40" t="str">
        <f>IF(Agent09_Loans!B197="","",Agent09_Loans!J197)</f>
        <v/>
      </c>
      <c r="K1787" s="37" t="str">
        <f>IF(Agent09_Loans!B197="","",Agent09_Loans!K197)</f>
        <v/>
      </c>
      <c r="L1787" s="37" t="str">
        <f>IF(Agent09_Loans!B197="","",Agent09_Loans!L197)</f>
        <v/>
      </c>
      <c r="M1787" s="37" t="str">
        <f>IFERROR(IF(Agent09_Loans!B197="","",YEAR(Agent09_Loans!D197)),"")</f>
        <v/>
      </c>
    </row>
    <row r="1788" spans="1:13" ht="18" customHeight="1" x14ac:dyDescent="0.25">
      <c r="A1788" s="37" t="str">
        <f>IF(Agent09_Loans!B198="","",Agent09_Loans!A198)</f>
        <v/>
      </c>
      <c r="B1788" s="37" t="str">
        <f>IF(Agent09_Loans!B198="","",Agent09_Loans!B198)</f>
        <v/>
      </c>
      <c r="C1788" s="37" t="str">
        <f>IF(Agent09_Loans!B198="","",Agent09_Loans!C198)</f>
        <v/>
      </c>
      <c r="D1788" s="38" t="str">
        <f>IF(Agent09_Loans!B198="","",Agent09_Loans!D198)</f>
        <v/>
      </c>
      <c r="E1788" s="40" t="str">
        <f>IF(Agent09_Loans!B198="","",Agent09_Loans!E198)</f>
        <v/>
      </c>
      <c r="F1788" s="37" t="str">
        <f>IF(Agent09_Loans!B198="","",Agent09_Loans!F198)</f>
        <v/>
      </c>
      <c r="G1788" s="37" t="str">
        <f>IF(Agent09_Loans!B198="","",Agent09_Loans!G198)</f>
        <v/>
      </c>
      <c r="H1788" s="37" t="str">
        <f>IF(Agent09_Loans!B198="","",Agent09_Loans!H198)</f>
        <v/>
      </c>
      <c r="I1788" s="40" t="str">
        <f>IF(Agent09_Loans!B198="","",Agent09_Loans!I198)</f>
        <v/>
      </c>
      <c r="J1788" s="40" t="str">
        <f>IF(Agent09_Loans!B198="","",Agent09_Loans!J198)</f>
        <v/>
      </c>
      <c r="K1788" s="37" t="str">
        <f>IF(Agent09_Loans!B198="","",Agent09_Loans!K198)</f>
        <v/>
      </c>
      <c r="L1788" s="37" t="str">
        <f>IF(Agent09_Loans!B198="","",Agent09_Loans!L198)</f>
        <v/>
      </c>
      <c r="M1788" s="37" t="str">
        <f>IFERROR(IF(Agent09_Loans!B198="","",YEAR(Agent09_Loans!D198)),"")</f>
        <v/>
      </c>
    </row>
    <row r="1789" spans="1:13" ht="18" customHeight="1" x14ac:dyDescent="0.25">
      <c r="A1789" s="37" t="str">
        <f>IF(Agent09_Loans!B199="","",Agent09_Loans!A199)</f>
        <v/>
      </c>
      <c r="B1789" s="37" t="str">
        <f>IF(Agent09_Loans!B199="","",Agent09_Loans!B199)</f>
        <v/>
      </c>
      <c r="C1789" s="37" t="str">
        <f>IF(Agent09_Loans!B199="","",Agent09_Loans!C199)</f>
        <v/>
      </c>
      <c r="D1789" s="38" t="str">
        <f>IF(Agent09_Loans!B199="","",Agent09_Loans!D199)</f>
        <v/>
      </c>
      <c r="E1789" s="40" t="str">
        <f>IF(Agent09_Loans!B199="","",Agent09_Loans!E199)</f>
        <v/>
      </c>
      <c r="F1789" s="37" t="str">
        <f>IF(Agent09_Loans!B199="","",Agent09_Loans!F199)</f>
        <v/>
      </c>
      <c r="G1789" s="37" t="str">
        <f>IF(Agent09_Loans!B199="","",Agent09_Loans!G199)</f>
        <v/>
      </c>
      <c r="H1789" s="37" t="str">
        <f>IF(Agent09_Loans!B199="","",Agent09_Loans!H199)</f>
        <v/>
      </c>
      <c r="I1789" s="40" t="str">
        <f>IF(Agent09_Loans!B199="","",Agent09_Loans!I199)</f>
        <v/>
      </c>
      <c r="J1789" s="40" t="str">
        <f>IF(Agent09_Loans!B199="","",Agent09_Loans!J199)</f>
        <v/>
      </c>
      <c r="K1789" s="37" t="str">
        <f>IF(Agent09_Loans!B199="","",Agent09_Loans!K199)</f>
        <v/>
      </c>
      <c r="L1789" s="37" t="str">
        <f>IF(Agent09_Loans!B199="","",Agent09_Loans!L199)</f>
        <v/>
      </c>
      <c r="M1789" s="37" t="str">
        <f>IFERROR(IF(Agent09_Loans!B199="","",YEAR(Agent09_Loans!D199)),"")</f>
        <v/>
      </c>
    </row>
    <row r="1790" spans="1:13" ht="18" customHeight="1" x14ac:dyDescent="0.25">
      <c r="A1790" s="37" t="str">
        <f>IF(Agent09_Loans!B200="","",Agent09_Loans!A200)</f>
        <v/>
      </c>
      <c r="B1790" s="37" t="str">
        <f>IF(Agent09_Loans!B200="","",Agent09_Loans!B200)</f>
        <v/>
      </c>
      <c r="C1790" s="37" t="str">
        <f>IF(Agent09_Loans!B200="","",Agent09_Loans!C200)</f>
        <v/>
      </c>
      <c r="D1790" s="38" t="str">
        <f>IF(Agent09_Loans!B200="","",Agent09_Loans!D200)</f>
        <v/>
      </c>
      <c r="E1790" s="40" t="str">
        <f>IF(Agent09_Loans!B200="","",Agent09_Loans!E200)</f>
        <v/>
      </c>
      <c r="F1790" s="37" t="str">
        <f>IF(Agent09_Loans!B200="","",Agent09_Loans!F200)</f>
        <v/>
      </c>
      <c r="G1790" s="37" t="str">
        <f>IF(Agent09_Loans!B200="","",Agent09_Loans!G200)</f>
        <v/>
      </c>
      <c r="H1790" s="37" t="str">
        <f>IF(Agent09_Loans!B200="","",Agent09_Loans!H200)</f>
        <v/>
      </c>
      <c r="I1790" s="40" t="str">
        <f>IF(Agent09_Loans!B200="","",Agent09_Loans!I200)</f>
        <v/>
      </c>
      <c r="J1790" s="40" t="str">
        <f>IF(Agent09_Loans!B200="","",Agent09_Loans!J200)</f>
        <v/>
      </c>
      <c r="K1790" s="37" t="str">
        <f>IF(Agent09_Loans!B200="","",Agent09_Loans!K200)</f>
        <v/>
      </c>
      <c r="L1790" s="37" t="str">
        <f>IF(Agent09_Loans!B200="","",Agent09_Loans!L200)</f>
        <v/>
      </c>
      <c r="M1790" s="37" t="str">
        <f>IFERROR(IF(Agent09_Loans!B200="","",YEAR(Agent09_Loans!D200)),"")</f>
        <v/>
      </c>
    </row>
    <row r="1791" spans="1:13" ht="18" customHeight="1" x14ac:dyDescent="0.25">
      <c r="A1791" s="37" t="str">
        <f>IF(Agent09_Loans!B201="","",Agent09_Loans!A201)</f>
        <v/>
      </c>
      <c r="B1791" s="37" t="str">
        <f>IF(Agent09_Loans!B201="","",Agent09_Loans!B201)</f>
        <v/>
      </c>
      <c r="C1791" s="37" t="str">
        <f>IF(Agent09_Loans!B201="","",Agent09_Loans!C201)</f>
        <v/>
      </c>
      <c r="D1791" s="38" t="str">
        <f>IF(Agent09_Loans!B201="","",Agent09_Loans!D201)</f>
        <v/>
      </c>
      <c r="E1791" s="40" t="str">
        <f>IF(Agent09_Loans!B201="","",Agent09_Loans!E201)</f>
        <v/>
      </c>
      <c r="F1791" s="37" t="str">
        <f>IF(Agent09_Loans!B201="","",Agent09_Loans!F201)</f>
        <v/>
      </c>
      <c r="G1791" s="37" t="str">
        <f>IF(Agent09_Loans!B201="","",Agent09_Loans!G201)</f>
        <v/>
      </c>
      <c r="H1791" s="37" t="str">
        <f>IF(Agent09_Loans!B201="","",Agent09_Loans!H201)</f>
        <v/>
      </c>
      <c r="I1791" s="40" t="str">
        <f>IF(Agent09_Loans!B201="","",Agent09_Loans!I201)</f>
        <v/>
      </c>
      <c r="J1791" s="40" t="str">
        <f>IF(Agent09_Loans!B201="","",Agent09_Loans!J201)</f>
        <v/>
      </c>
      <c r="K1791" s="37" t="str">
        <f>IF(Agent09_Loans!B201="","",Agent09_Loans!K201)</f>
        <v/>
      </c>
      <c r="L1791" s="37" t="str">
        <f>IF(Agent09_Loans!B201="","",Agent09_Loans!L201)</f>
        <v/>
      </c>
      <c r="M1791" s="37" t="str">
        <f>IFERROR(IF(Agent09_Loans!B201="","",YEAR(Agent09_Loans!D201)),"")</f>
        <v/>
      </c>
    </row>
    <row r="1792" spans="1:13" ht="18" customHeight="1" x14ac:dyDescent="0.25">
      <c r="A1792" s="37" t="str">
        <f>IF(Agent09_Loans!B202="","",Agent09_Loans!A202)</f>
        <v/>
      </c>
      <c r="B1792" s="37" t="str">
        <f>IF(Agent09_Loans!B202="","",Agent09_Loans!B202)</f>
        <v/>
      </c>
      <c r="C1792" s="37" t="str">
        <f>IF(Agent09_Loans!B202="","",Agent09_Loans!C202)</f>
        <v/>
      </c>
      <c r="D1792" s="38" t="str">
        <f>IF(Agent09_Loans!B202="","",Agent09_Loans!D202)</f>
        <v/>
      </c>
      <c r="E1792" s="40" t="str">
        <f>IF(Agent09_Loans!B202="","",Agent09_Loans!E202)</f>
        <v/>
      </c>
      <c r="F1792" s="37" t="str">
        <f>IF(Agent09_Loans!B202="","",Agent09_Loans!F202)</f>
        <v/>
      </c>
      <c r="G1792" s="37" t="str">
        <f>IF(Agent09_Loans!B202="","",Agent09_Loans!G202)</f>
        <v/>
      </c>
      <c r="H1792" s="37" t="str">
        <f>IF(Agent09_Loans!B202="","",Agent09_Loans!H202)</f>
        <v/>
      </c>
      <c r="I1792" s="40" t="str">
        <f>IF(Agent09_Loans!B202="","",Agent09_Loans!I202)</f>
        <v/>
      </c>
      <c r="J1792" s="40" t="str">
        <f>IF(Agent09_Loans!B202="","",Agent09_Loans!J202)</f>
        <v/>
      </c>
      <c r="K1792" s="37" t="str">
        <f>IF(Agent09_Loans!B202="","",Agent09_Loans!K202)</f>
        <v/>
      </c>
      <c r="L1792" s="37" t="str">
        <f>IF(Agent09_Loans!B202="","",Agent09_Loans!L202)</f>
        <v/>
      </c>
      <c r="M1792" s="37" t="str">
        <f>IFERROR(IF(Agent09_Loans!B202="","",YEAR(Agent09_Loans!D202)),"")</f>
        <v/>
      </c>
    </row>
    <row r="1793" spans="1:13" ht="18" customHeight="1" x14ac:dyDescent="0.25">
      <c r="A1793" s="37" t="str">
        <f>IF(Agent09_Loans!B203="","",Agent09_Loans!A203)</f>
        <v/>
      </c>
      <c r="B1793" s="37" t="str">
        <f>IF(Agent09_Loans!B203="","",Agent09_Loans!B203)</f>
        <v/>
      </c>
      <c r="C1793" s="37" t="str">
        <f>IF(Agent09_Loans!B203="","",Agent09_Loans!C203)</f>
        <v/>
      </c>
      <c r="D1793" s="38" t="str">
        <f>IF(Agent09_Loans!B203="","",Agent09_Loans!D203)</f>
        <v/>
      </c>
      <c r="E1793" s="40" t="str">
        <f>IF(Agent09_Loans!B203="","",Agent09_Loans!E203)</f>
        <v/>
      </c>
      <c r="F1793" s="37" t="str">
        <f>IF(Agent09_Loans!B203="","",Agent09_Loans!F203)</f>
        <v/>
      </c>
      <c r="G1793" s="37" t="str">
        <f>IF(Agent09_Loans!B203="","",Agent09_Loans!G203)</f>
        <v/>
      </c>
      <c r="H1793" s="37" t="str">
        <f>IF(Agent09_Loans!B203="","",Agent09_Loans!H203)</f>
        <v/>
      </c>
      <c r="I1793" s="40" t="str">
        <f>IF(Agent09_Loans!B203="","",Agent09_Loans!I203)</f>
        <v/>
      </c>
      <c r="J1793" s="40" t="str">
        <f>IF(Agent09_Loans!B203="","",Agent09_Loans!J203)</f>
        <v/>
      </c>
      <c r="K1793" s="37" t="str">
        <f>IF(Agent09_Loans!B203="","",Agent09_Loans!K203)</f>
        <v/>
      </c>
      <c r="L1793" s="37" t="str">
        <f>IF(Agent09_Loans!B203="","",Agent09_Loans!L203)</f>
        <v/>
      </c>
      <c r="M1793" s="37" t="str">
        <f>IFERROR(IF(Agent09_Loans!B203="","",YEAR(Agent09_Loans!D203)),"")</f>
        <v/>
      </c>
    </row>
    <row r="1794" spans="1:13" ht="18" customHeight="1" x14ac:dyDescent="0.25">
      <c r="A1794" s="37" t="str">
        <f>IF(Agent09_Loans!B204="","",Agent09_Loans!A204)</f>
        <v/>
      </c>
      <c r="B1794" s="37" t="str">
        <f>IF(Agent09_Loans!B204="","",Agent09_Loans!B204)</f>
        <v/>
      </c>
      <c r="C1794" s="37" t="str">
        <f>IF(Agent09_Loans!B204="","",Agent09_Loans!C204)</f>
        <v/>
      </c>
      <c r="D1794" s="38" t="str">
        <f>IF(Agent09_Loans!B204="","",Agent09_Loans!D204)</f>
        <v/>
      </c>
      <c r="E1794" s="40" t="str">
        <f>IF(Agent09_Loans!B204="","",Agent09_Loans!E204)</f>
        <v/>
      </c>
      <c r="F1794" s="37" t="str">
        <f>IF(Agent09_Loans!B204="","",Agent09_Loans!F204)</f>
        <v/>
      </c>
      <c r="G1794" s="37" t="str">
        <f>IF(Agent09_Loans!B204="","",Agent09_Loans!G204)</f>
        <v/>
      </c>
      <c r="H1794" s="37" t="str">
        <f>IF(Agent09_Loans!B204="","",Agent09_Loans!H204)</f>
        <v/>
      </c>
      <c r="I1794" s="40" t="str">
        <f>IF(Agent09_Loans!B204="","",Agent09_Loans!I204)</f>
        <v/>
      </c>
      <c r="J1794" s="40" t="str">
        <f>IF(Agent09_Loans!B204="","",Agent09_Loans!J204)</f>
        <v/>
      </c>
      <c r="K1794" s="37" t="str">
        <f>IF(Agent09_Loans!B204="","",Agent09_Loans!K204)</f>
        <v/>
      </c>
      <c r="L1794" s="37" t="str">
        <f>IF(Agent09_Loans!B204="","",Agent09_Loans!L204)</f>
        <v/>
      </c>
      <c r="M1794" s="37" t="str">
        <f>IFERROR(IF(Agent09_Loans!B204="","",YEAR(Agent09_Loans!D204)),"")</f>
        <v/>
      </c>
    </row>
    <row r="1795" spans="1:13" ht="18" customHeight="1" x14ac:dyDescent="0.25">
      <c r="A1795" s="37" t="str">
        <f>IF(Agent09_Loans!B205="","",Agent09_Loans!A205)</f>
        <v/>
      </c>
      <c r="B1795" s="37" t="str">
        <f>IF(Agent09_Loans!B205="","",Agent09_Loans!B205)</f>
        <v/>
      </c>
      <c r="C1795" s="37" t="str">
        <f>IF(Agent09_Loans!B205="","",Agent09_Loans!C205)</f>
        <v/>
      </c>
      <c r="D1795" s="38" t="str">
        <f>IF(Agent09_Loans!B205="","",Agent09_Loans!D205)</f>
        <v/>
      </c>
      <c r="E1795" s="40" t="str">
        <f>IF(Agent09_Loans!B205="","",Agent09_Loans!E205)</f>
        <v/>
      </c>
      <c r="F1795" s="37" t="str">
        <f>IF(Agent09_Loans!B205="","",Agent09_Loans!F205)</f>
        <v/>
      </c>
      <c r="G1795" s="37" t="str">
        <f>IF(Agent09_Loans!B205="","",Agent09_Loans!G205)</f>
        <v/>
      </c>
      <c r="H1795" s="37" t="str">
        <f>IF(Agent09_Loans!B205="","",Agent09_Loans!H205)</f>
        <v/>
      </c>
      <c r="I1795" s="40" t="str">
        <f>IF(Agent09_Loans!B205="","",Agent09_Loans!I205)</f>
        <v/>
      </c>
      <c r="J1795" s="40" t="str">
        <f>IF(Agent09_Loans!B205="","",Agent09_Loans!J205)</f>
        <v/>
      </c>
      <c r="K1795" s="37" t="str">
        <f>IF(Agent09_Loans!B205="","",Agent09_Loans!K205)</f>
        <v/>
      </c>
      <c r="L1795" s="37" t="str">
        <f>IF(Agent09_Loans!B205="","",Agent09_Loans!L205)</f>
        <v/>
      </c>
      <c r="M1795" s="37" t="str">
        <f>IFERROR(IF(Agent09_Loans!B205="","",YEAR(Agent09_Loans!D205)),"")</f>
        <v/>
      </c>
    </row>
    <row r="1796" spans="1:13" ht="18" customHeight="1" x14ac:dyDescent="0.25">
      <c r="A1796" s="37" t="str">
        <f>IF(Agent09_Loans!B206="","",Agent09_Loans!A206)</f>
        <v/>
      </c>
      <c r="B1796" s="37" t="str">
        <f>IF(Agent09_Loans!B206="","",Agent09_Loans!B206)</f>
        <v/>
      </c>
      <c r="C1796" s="37" t="str">
        <f>IF(Agent09_Loans!B206="","",Agent09_Loans!C206)</f>
        <v/>
      </c>
      <c r="D1796" s="38" t="str">
        <f>IF(Agent09_Loans!B206="","",Agent09_Loans!D206)</f>
        <v/>
      </c>
      <c r="E1796" s="40" t="str">
        <f>IF(Agent09_Loans!B206="","",Agent09_Loans!E206)</f>
        <v/>
      </c>
      <c r="F1796" s="37" t="str">
        <f>IF(Agent09_Loans!B206="","",Agent09_Loans!F206)</f>
        <v/>
      </c>
      <c r="G1796" s="37" t="str">
        <f>IF(Agent09_Loans!B206="","",Agent09_Loans!G206)</f>
        <v/>
      </c>
      <c r="H1796" s="37" t="str">
        <f>IF(Agent09_Loans!B206="","",Agent09_Loans!H206)</f>
        <v/>
      </c>
      <c r="I1796" s="40" t="str">
        <f>IF(Agent09_Loans!B206="","",Agent09_Loans!I206)</f>
        <v/>
      </c>
      <c r="J1796" s="40" t="str">
        <f>IF(Agent09_Loans!B206="","",Agent09_Loans!J206)</f>
        <v/>
      </c>
      <c r="K1796" s="37" t="str">
        <f>IF(Agent09_Loans!B206="","",Agent09_Loans!K206)</f>
        <v/>
      </c>
      <c r="L1796" s="37" t="str">
        <f>IF(Agent09_Loans!B206="","",Agent09_Loans!L206)</f>
        <v/>
      </c>
      <c r="M1796" s="37" t="str">
        <f>IFERROR(IF(Agent09_Loans!B206="","",YEAR(Agent09_Loans!D206)),"")</f>
        <v/>
      </c>
    </row>
    <row r="1797" spans="1:13" ht="18" customHeight="1" x14ac:dyDescent="0.25">
      <c r="A1797" s="37" t="str">
        <f>IF(Agent09_Loans!B207="","",Agent09_Loans!A207)</f>
        <v/>
      </c>
      <c r="B1797" s="37" t="str">
        <f>IF(Agent09_Loans!B207="","",Agent09_Loans!B207)</f>
        <v/>
      </c>
      <c r="C1797" s="37" t="str">
        <f>IF(Agent09_Loans!B207="","",Agent09_Loans!C207)</f>
        <v/>
      </c>
      <c r="D1797" s="38" t="str">
        <f>IF(Agent09_Loans!B207="","",Agent09_Loans!D207)</f>
        <v/>
      </c>
      <c r="E1797" s="40" t="str">
        <f>IF(Agent09_Loans!B207="","",Agent09_Loans!E207)</f>
        <v/>
      </c>
      <c r="F1797" s="37" t="str">
        <f>IF(Agent09_Loans!B207="","",Agent09_Loans!F207)</f>
        <v/>
      </c>
      <c r="G1797" s="37" t="str">
        <f>IF(Agent09_Loans!B207="","",Agent09_Loans!G207)</f>
        <v/>
      </c>
      <c r="H1797" s="37" t="str">
        <f>IF(Agent09_Loans!B207="","",Agent09_Loans!H207)</f>
        <v/>
      </c>
      <c r="I1797" s="40" t="str">
        <f>IF(Agent09_Loans!B207="","",Agent09_Loans!I207)</f>
        <v/>
      </c>
      <c r="J1797" s="40" t="str">
        <f>IF(Agent09_Loans!B207="","",Agent09_Loans!J207)</f>
        <v/>
      </c>
      <c r="K1797" s="37" t="str">
        <f>IF(Agent09_Loans!B207="","",Agent09_Loans!K207)</f>
        <v/>
      </c>
      <c r="L1797" s="37" t="str">
        <f>IF(Agent09_Loans!B207="","",Agent09_Loans!L207)</f>
        <v/>
      </c>
      <c r="M1797" s="37" t="str">
        <f>IFERROR(IF(Agent09_Loans!B207="","",YEAR(Agent09_Loans!D207)),"")</f>
        <v/>
      </c>
    </row>
    <row r="1798" spans="1:13" ht="18" customHeight="1" x14ac:dyDescent="0.25">
      <c r="A1798" s="37" t="str">
        <f>IF(Agent09_Loans!B208="","",Agent09_Loans!A208)</f>
        <v/>
      </c>
      <c r="B1798" s="37" t="str">
        <f>IF(Agent09_Loans!B208="","",Agent09_Loans!B208)</f>
        <v/>
      </c>
      <c r="C1798" s="37" t="str">
        <f>IF(Agent09_Loans!B208="","",Agent09_Loans!C208)</f>
        <v/>
      </c>
      <c r="D1798" s="38" t="str">
        <f>IF(Agent09_Loans!B208="","",Agent09_Loans!D208)</f>
        <v/>
      </c>
      <c r="E1798" s="40" t="str">
        <f>IF(Agent09_Loans!B208="","",Agent09_Loans!E208)</f>
        <v/>
      </c>
      <c r="F1798" s="37" t="str">
        <f>IF(Agent09_Loans!B208="","",Agent09_Loans!F208)</f>
        <v/>
      </c>
      <c r="G1798" s="37" t="str">
        <f>IF(Agent09_Loans!B208="","",Agent09_Loans!G208)</f>
        <v/>
      </c>
      <c r="H1798" s="37" t="str">
        <f>IF(Agent09_Loans!B208="","",Agent09_Loans!H208)</f>
        <v/>
      </c>
      <c r="I1798" s="40" t="str">
        <f>IF(Agent09_Loans!B208="","",Agent09_Loans!I208)</f>
        <v/>
      </c>
      <c r="J1798" s="40" t="str">
        <f>IF(Agent09_Loans!B208="","",Agent09_Loans!J208)</f>
        <v/>
      </c>
      <c r="K1798" s="37" t="str">
        <f>IF(Agent09_Loans!B208="","",Agent09_Loans!K208)</f>
        <v/>
      </c>
      <c r="L1798" s="37" t="str">
        <f>IF(Agent09_Loans!B208="","",Agent09_Loans!L208)</f>
        <v/>
      </c>
      <c r="M1798" s="37" t="str">
        <f>IFERROR(IF(Agent09_Loans!B208="","",YEAR(Agent09_Loans!D208)),"")</f>
        <v/>
      </c>
    </row>
    <row r="1799" spans="1:13" ht="18" customHeight="1" x14ac:dyDescent="0.25">
      <c r="A1799" s="37" t="str">
        <f>IF(Agent09_Loans!B209="","",Agent09_Loans!A209)</f>
        <v/>
      </c>
      <c r="B1799" s="37" t="str">
        <f>IF(Agent09_Loans!B209="","",Agent09_Loans!B209)</f>
        <v/>
      </c>
      <c r="C1799" s="37" t="str">
        <f>IF(Agent09_Loans!B209="","",Agent09_Loans!C209)</f>
        <v/>
      </c>
      <c r="D1799" s="38" t="str">
        <f>IF(Agent09_Loans!B209="","",Agent09_Loans!D209)</f>
        <v/>
      </c>
      <c r="E1799" s="40" t="str">
        <f>IF(Agent09_Loans!B209="","",Agent09_Loans!E209)</f>
        <v/>
      </c>
      <c r="F1799" s="37" t="str">
        <f>IF(Agent09_Loans!B209="","",Agent09_Loans!F209)</f>
        <v/>
      </c>
      <c r="G1799" s="37" t="str">
        <f>IF(Agent09_Loans!B209="","",Agent09_Loans!G209)</f>
        <v/>
      </c>
      <c r="H1799" s="37" t="str">
        <f>IF(Agent09_Loans!B209="","",Agent09_Loans!H209)</f>
        <v/>
      </c>
      <c r="I1799" s="40" t="str">
        <f>IF(Agent09_Loans!B209="","",Agent09_Loans!I209)</f>
        <v/>
      </c>
      <c r="J1799" s="40" t="str">
        <f>IF(Agent09_Loans!B209="","",Agent09_Loans!J209)</f>
        <v/>
      </c>
      <c r="K1799" s="37" t="str">
        <f>IF(Agent09_Loans!B209="","",Agent09_Loans!K209)</f>
        <v/>
      </c>
      <c r="L1799" s="37" t="str">
        <f>IF(Agent09_Loans!B209="","",Agent09_Loans!L209)</f>
        <v/>
      </c>
      <c r="M1799" s="37" t="str">
        <f>IFERROR(IF(Agent09_Loans!B209="","",YEAR(Agent09_Loans!D209)),"")</f>
        <v/>
      </c>
    </row>
    <row r="1800" spans="1:13" ht="18" customHeight="1" x14ac:dyDescent="0.25">
      <c r="A1800" s="37" t="str">
        <f>IF(Agent09_Loans!B210="","",Agent09_Loans!A210)</f>
        <v/>
      </c>
      <c r="B1800" s="37" t="str">
        <f>IF(Agent09_Loans!B210="","",Agent09_Loans!B210)</f>
        <v/>
      </c>
      <c r="C1800" s="37" t="str">
        <f>IF(Agent09_Loans!B210="","",Agent09_Loans!C210)</f>
        <v/>
      </c>
      <c r="D1800" s="38" t="str">
        <f>IF(Agent09_Loans!B210="","",Agent09_Loans!D210)</f>
        <v/>
      </c>
      <c r="E1800" s="40" t="str">
        <f>IF(Agent09_Loans!B210="","",Agent09_Loans!E210)</f>
        <v/>
      </c>
      <c r="F1800" s="37" t="str">
        <f>IF(Agent09_Loans!B210="","",Agent09_Loans!F210)</f>
        <v/>
      </c>
      <c r="G1800" s="37" t="str">
        <f>IF(Agent09_Loans!B210="","",Agent09_Loans!G210)</f>
        <v/>
      </c>
      <c r="H1800" s="37" t="str">
        <f>IF(Agent09_Loans!B210="","",Agent09_Loans!H210)</f>
        <v/>
      </c>
      <c r="I1800" s="40" t="str">
        <f>IF(Agent09_Loans!B210="","",Agent09_Loans!I210)</f>
        <v/>
      </c>
      <c r="J1800" s="40" t="str">
        <f>IF(Agent09_Loans!B210="","",Agent09_Loans!J210)</f>
        <v/>
      </c>
      <c r="K1800" s="37" t="str">
        <f>IF(Agent09_Loans!B210="","",Agent09_Loans!K210)</f>
        <v/>
      </c>
      <c r="L1800" s="37" t="str">
        <f>IF(Agent09_Loans!B210="","",Agent09_Loans!L210)</f>
        <v/>
      </c>
      <c r="M1800" s="37" t="str">
        <f>IFERROR(IF(Agent09_Loans!B210="","",YEAR(Agent09_Loans!D210)),"")</f>
        <v/>
      </c>
    </row>
    <row r="1801" spans="1:13" ht="18" customHeight="1" x14ac:dyDescent="0.25">
      <c r="A1801" s="37" t="str">
        <f>IF(Agent09_Loans!B211="","",Agent09_Loans!A211)</f>
        <v/>
      </c>
      <c r="B1801" s="37" t="str">
        <f>IF(Agent09_Loans!B211="","",Agent09_Loans!B211)</f>
        <v/>
      </c>
      <c r="C1801" s="37" t="str">
        <f>IF(Agent09_Loans!B211="","",Agent09_Loans!C211)</f>
        <v/>
      </c>
      <c r="D1801" s="38" t="str">
        <f>IF(Agent09_Loans!B211="","",Agent09_Loans!D211)</f>
        <v/>
      </c>
      <c r="E1801" s="40" t="str">
        <f>IF(Agent09_Loans!B211="","",Agent09_Loans!E211)</f>
        <v/>
      </c>
      <c r="F1801" s="37" t="str">
        <f>IF(Agent09_Loans!B211="","",Agent09_Loans!F211)</f>
        <v/>
      </c>
      <c r="G1801" s="37" t="str">
        <f>IF(Agent09_Loans!B211="","",Agent09_Loans!G211)</f>
        <v/>
      </c>
      <c r="H1801" s="37" t="str">
        <f>IF(Agent09_Loans!B211="","",Agent09_Loans!H211)</f>
        <v/>
      </c>
      <c r="I1801" s="40" t="str">
        <f>IF(Agent09_Loans!B211="","",Agent09_Loans!I211)</f>
        <v/>
      </c>
      <c r="J1801" s="40" t="str">
        <f>IF(Agent09_Loans!B211="","",Agent09_Loans!J211)</f>
        <v/>
      </c>
      <c r="K1801" s="37" t="str">
        <f>IF(Agent09_Loans!B211="","",Agent09_Loans!K211)</f>
        <v/>
      </c>
      <c r="L1801" s="37" t="str">
        <f>IF(Agent09_Loans!B211="","",Agent09_Loans!L211)</f>
        <v/>
      </c>
      <c r="M1801" s="37" t="str">
        <f>IFERROR(IF(Agent09_Loans!B211="","",YEAR(Agent09_Loans!D211)),"")</f>
        <v/>
      </c>
    </row>
    <row r="1802" spans="1:13" ht="18" customHeight="1" x14ac:dyDescent="0.25">
      <c r="A1802" s="37" t="str">
        <f>IF(Agent09_Loans!B212="","",Agent09_Loans!A212)</f>
        <v/>
      </c>
      <c r="B1802" s="37" t="str">
        <f>IF(Agent09_Loans!B212="","",Agent09_Loans!B212)</f>
        <v/>
      </c>
      <c r="C1802" s="37" t="str">
        <f>IF(Agent09_Loans!B212="","",Agent09_Loans!C212)</f>
        <v/>
      </c>
      <c r="D1802" s="38" t="str">
        <f>IF(Agent09_Loans!B212="","",Agent09_Loans!D212)</f>
        <v/>
      </c>
      <c r="E1802" s="40" t="str">
        <f>IF(Agent09_Loans!B212="","",Agent09_Loans!E212)</f>
        <v/>
      </c>
      <c r="F1802" s="37" t="str">
        <f>IF(Agent09_Loans!B212="","",Agent09_Loans!F212)</f>
        <v/>
      </c>
      <c r="G1802" s="37" t="str">
        <f>IF(Agent09_Loans!B212="","",Agent09_Loans!G212)</f>
        <v/>
      </c>
      <c r="H1802" s="37" t="str">
        <f>IF(Agent09_Loans!B212="","",Agent09_Loans!H212)</f>
        <v/>
      </c>
      <c r="I1802" s="40" t="str">
        <f>IF(Agent09_Loans!B212="","",Agent09_Loans!I212)</f>
        <v/>
      </c>
      <c r="J1802" s="40" t="str">
        <f>IF(Agent09_Loans!B212="","",Agent09_Loans!J212)</f>
        <v/>
      </c>
      <c r="K1802" s="37" t="str">
        <f>IF(Agent09_Loans!B212="","",Agent09_Loans!K212)</f>
        <v/>
      </c>
      <c r="L1802" s="37" t="str">
        <f>IF(Agent09_Loans!B212="","",Agent09_Loans!L212)</f>
        <v/>
      </c>
      <c r="M1802" s="37" t="str">
        <f>IFERROR(IF(Agent09_Loans!B212="","",YEAR(Agent09_Loans!D212)),"")</f>
        <v/>
      </c>
    </row>
    <row r="1803" spans="1:13" ht="18" customHeight="1" x14ac:dyDescent="0.25">
      <c r="A1803" s="37" t="str">
        <f>IF(Agent09_Loans!B213="","",Agent09_Loans!A213)</f>
        <v/>
      </c>
      <c r="B1803" s="37" t="str">
        <f>IF(Agent09_Loans!B213="","",Agent09_Loans!B213)</f>
        <v/>
      </c>
      <c r="C1803" s="37" t="str">
        <f>IF(Agent09_Loans!B213="","",Agent09_Loans!C213)</f>
        <v/>
      </c>
      <c r="D1803" s="38" t="str">
        <f>IF(Agent09_Loans!B213="","",Agent09_Loans!D213)</f>
        <v/>
      </c>
      <c r="E1803" s="40" t="str">
        <f>IF(Agent09_Loans!B213="","",Agent09_Loans!E213)</f>
        <v/>
      </c>
      <c r="F1803" s="37" t="str">
        <f>IF(Agent09_Loans!B213="","",Agent09_Loans!F213)</f>
        <v/>
      </c>
      <c r="G1803" s="37" t="str">
        <f>IF(Agent09_Loans!B213="","",Agent09_Loans!G213)</f>
        <v/>
      </c>
      <c r="H1803" s="37" t="str">
        <f>IF(Agent09_Loans!B213="","",Agent09_Loans!H213)</f>
        <v/>
      </c>
      <c r="I1803" s="40" t="str">
        <f>IF(Agent09_Loans!B213="","",Agent09_Loans!I213)</f>
        <v/>
      </c>
      <c r="J1803" s="40" t="str">
        <f>IF(Agent09_Loans!B213="","",Agent09_Loans!J213)</f>
        <v/>
      </c>
      <c r="K1803" s="37" t="str">
        <f>IF(Agent09_Loans!B213="","",Agent09_Loans!K213)</f>
        <v/>
      </c>
      <c r="L1803" s="37" t="str">
        <f>IF(Agent09_Loans!B213="","",Agent09_Loans!L213)</f>
        <v/>
      </c>
      <c r="M1803" s="37" t="str">
        <f>IFERROR(IF(Agent09_Loans!B213="","",YEAR(Agent09_Loans!D213)),"")</f>
        <v/>
      </c>
    </row>
    <row r="1804" spans="1:13" ht="18" customHeight="1" x14ac:dyDescent="0.25">
      <c r="A1804" s="37" t="str">
        <f>IF(Agent10_Loans!B14="","",Agent10_Loans!A14)</f>
        <v/>
      </c>
      <c r="B1804" s="37" t="str">
        <f>IF(Agent10_Loans!B14="","",Agent10_Loans!B14)</f>
        <v/>
      </c>
      <c r="C1804" s="37" t="str">
        <f>IF(Agent10_Loans!B14="","",Agent10_Loans!C14)</f>
        <v/>
      </c>
      <c r="D1804" s="38" t="str">
        <f>IF(Agent10_Loans!B14="","",Agent10_Loans!D14)</f>
        <v/>
      </c>
      <c r="E1804" s="40" t="str">
        <f>IF(Agent10_Loans!B14="","",Agent10_Loans!E14)</f>
        <v/>
      </c>
      <c r="F1804" s="37" t="str">
        <f>IF(Agent10_Loans!B14="","",Agent10_Loans!F14)</f>
        <v/>
      </c>
      <c r="G1804" s="37" t="str">
        <f>IF(Agent10_Loans!B14="","",Agent10_Loans!G14)</f>
        <v/>
      </c>
      <c r="H1804" s="37" t="str">
        <f>IF(Agent10_Loans!B14="","",Agent10_Loans!H14)</f>
        <v/>
      </c>
      <c r="I1804" s="40" t="str">
        <f>IF(Agent10_Loans!B14="","",Agent10_Loans!I14)</f>
        <v/>
      </c>
      <c r="J1804" s="40" t="str">
        <f>IF(Agent10_Loans!B14="","",Agent10_Loans!J14)</f>
        <v/>
      </c>
      <c r="K1804" s="37" t="str">
        <f>IF(Agent10_Loans!B14="","",Agent10_Loans!K14)</f>
        <v/>
      </c>
      <c r="L1804" s="37" t="str">
        <f>IF(Agent10_Loans!B14="","",Agent10_Loans!L14)</f>
        <v/>
      </c>
      <c r="M1804" s="37" t="str">
        <f>IFERROR(IF(Agent10_Loans!B14="","",YEAR(Agent10_Loans!D14)),"")</f>
        <v/>
      </c>
    </row>
    <row r="1805" spans="1:13" ht="18" customHeight="1" x14ac:dyDescent="0.25">
      <c r="A1805" s="37" t="str">
        <f>IF(Agent10_Loans!B15="","",Agent10_Loans!A15)</f>
        <v/>
      </c>
      <c r="B1805" s="37" t="str">
        <f>IF(Agent10_Loans!B15="","",Agent10_Loans!B15)</f>
        <v/>
      </c>
      <c r="C1805" s="37" t="str">
        <f>IF(Agent10_Loans!B15="","",Agent10_Loans!C15)</f>
        <v/>
      </c>
      <c r="D1805" s="38" t="str">
        <f>IF(Agent10_Loans!B15="","",Agent10_Loans!D15)</f>
        <v/>
      </c>
      <c r="E1805" s="40" t="str">
        <f>IF(Agent10_Loans!B15="","",Agent10_Loans!E15)</f>
        <v/>
      </c>
      <c r="F1805" s="37" t="str">
        <f>IF(Agent10_Loans!B15="","",Agent10_Loans!F15)</f>
        <v/>
      </c>
      <c r="G1805" s="37" t="str">
        <f>IF(Agent10_Loans!B15="","",Agent10_Loans!G15)</f>
        <v/>
      </c>
      <c r="H1805" s="37" t="str">
        <f>IF(Agent10_Loans!B15="","",Agent10_Loans!H15)</f>
        <v/>
      </c>
      <c r="I1805" s="40" t="str">
        <f>IF(Agent10_Loans!B15="","",Agent10_Loans!I15)</f>
        <v/>
      </c>
      <c r="J1805" s="40" t="str">
        <f>IF(Agent10_Loans!B15="","",Agent10_Loans!J15)</f>
        <v/>
      </c>
      <c r="K1805" s="37" t="str">
        <f>IF(Agent10_Loans!B15="","",Agent10_Loans!K15)</f>
        <v/>
      </c>
      <c r="L1805" s="37" t="str">
        <f>IF(Agent10_Loans!B15="","",Agent10_Loans!L15)</f>
        <v/>
      </c>
      <c r="M1805" s="37" t="str">
        <f>IFERROR(IF(Agent10_Loans!B15="","",YEAR(Agent10_Loans!D15)),"")</f>
        <v/>
      </c>
    </row>
    <row r="1806" spans="1:13" ht="18" customHeight="1" x14ac:dyDescent="0.25">
      <c r="A1806" s="37" t="str">
        <f>IF(Agent10_Loans!B16="","",Agent10_Loans!A16)</f>
        <v/>
      </c>
      <c r="B1806" s="37" t="str">
        <f>IF(Agent10_Loans!B16="","",Agent10_Loans!B16)</f>
        <v/>
      </c>
      <c r="C1806" s="37" t="str">
        <f>IF(Agent10_Loans!B16="","",Agent10_Loans!C16)</f>
        <v/>
      </c>
      <c r="D1806" s="38" t="str">
        <f>IF(Agent10_Loans!B16="","",Agent10_Loans!D16)</f>
        <v/>
      </c>
      <c r="E1806" s="40" t="str">
        <f>IF(Agent10_Loans!B16="","",Agent10_Loans!E16)</f>
        <v/>
      </c>
      <c r="F1806" s="37" t="str">
        <f>IF(Agent10_Loans!B16="","",Agent10_Loans!F16)</f>
        <v/>
      </c>
      <c r="G1806" s="37" t="str">
        <f>IF(Agent10_Loans!B16="","",Agent10_Loans!G16)</f>
        <v/>
      </c>
      <c r="H1806" s="37" t="str">
        <f>IF(Agent10_Loans!B16="","",Agent10_Loans!H16)</f>
        <v/>
      </c>
      <c r="I1806" s="40" t="str">
        <f>IF(Agent10_Loans!B16="","",Agent10_Loans!I16)</f>
        <v/>
      </c>
      <c r="J1806" s="40" t="str">
        <f>IF(Agent10_Loans!B16="","",Agent10_Loans!J16)</f>
        <v/>
      </c>
      <c r="K1806" s="37" t="str">
        <f>IF(Agent10_Loans!B16="","",Agent10_Loans!K16)</f>
        <v/>
      </c>
      <c r="L1806" s="37" t="str">
        <f>IF(Agent10_Loans!B16="","",Agent10_Loans!L16)</f>
        <v/>
      </c>
      <c r="M1806" s="37" t="str">
        <f>IFERROR(IF(Agent10_Loans!B16="","",YEAR(Agent10_Loans!D16)),"")</f>
        <v/>
      </c>
    </row>
    <row r="1807" spans="1:13" ht="18" customHeight="1" x14ac:dyDescent="0.25">
      <c r="A1807" s="37" t="str">
        <f>IF(Agent10_Loans!B17="","",Agent10_Loans!A17)</f>
        <v/>
      </c>
      <c r="B1807" s="37" t="str">
        <f>IF(Agent10_Loans!B17="","",Agent10_Loans!B17)</f>
        <v/>
      </c>
      <c r="C1807" s="37" t="str">
        <f>IF(Agent10_Loans!B17="","",Agent10_Loans!C17)</f>
        <v/>
      </c>
      <c r="D1807" s="38" t="str">
        <f>IF(Agent10_Loans!B17="","",Agent10_Loans!D17)</f>
        <v/>
      </c>
      <c r="E1807" s="40" t="str">
        <f>IF(Agent10_Loans!B17="","",Agent10_Loans!E17)</f>
        <v/>
      </c>
      <c r="F1807" s="37" t="str">
        <f>IF(Agent10_Loans!B17="","",Agent10_Loans!F17)</f>
        <v/>
      </c>
      <c r="G1807" s="37" t="str">
        <f>IF(Agent10_Loans!B17="","",Agent10_Loans!G17)</f>
        <v/>
      </c>
      <c r="H1807" s="37" t="str">
        <f>IF(Agent10_Loans!B17="","",Agent10_Loans!H17)</f>
        <v/>
      </c>
      <c r="I1807" s="40" t="str">
        <f>IF(Agent10_Loans!B17="","",Agent10_Loans!I17)</f>
        <v/>
      </c>
      <c r="J1807" s="40" t="str">
        <f>IF(Agent10_Loans!B17="","",Agent10_Loans!J17)</f>
        <v/>
      </c>
      <c r="K1807" s="37" t="str">
        <f>IF(Agent10_Loans!B17="","",Agent10_Loans!K17)</f>
        <v/>
      </c>
      <c r="L1807" s="37" t="str">
        <f>IF(Agent10_Loans!B17="","",Agent10_Loans!L17)</f>
        <v/>
      </c>
      <c r="M1807" s="37" t="str">
        <f>IFERROR(IF(Agent10_Loans!B17="","",YEAR(Agent10_Loans!D17)),"")</f>
        <v/>
      </c>
    </row>
    <row r="1808" spans="1:13" ht="18" customHeight="1" x14ac:dyDescent="0.25">
      <c r="A1808" s="37" t="str">
        <f>IF(Agent10_Loans!B18="","",Agent10_Loans!A18)</f>
        <v/>
      </c>
      <c r="B1808" s="37" t="str">
        <f>IF(Agent10_Loans!B18="","",Agent10_Loans!B18)</f>
        <v/>
      </c>
      <c r="C1808" s="37" t="str">
        <f>IF(Agent10_Loans!B18="","",Agent10_Loans!C18)</f>
        <v/>
      </c>
      <c r="D1808" s="38" t="str">
        <f>IF(Agent10_Loans!B18="","",Agent10_Loans!D18)</f>
        <v/>
      </c>
      <c r="E1808" s="40" t="str">
        <f>IF(Agent10_Loans!B18="","",Agent10_Loans!E18)</f>
        <v/>
      </c>
      <c r="F1808" s="37" t="str">
        <f>IF(Agent10_Loans!B18="","",Agent10_Loans!F18)</f>
        <v/>
      </c>
      <c r="G1808" s="37" t="str">
        <f>IF(Agent10_Loans!B18="","",Agent10_Loans!G18)</f>
        <v/>
      </c>
      <c r="H1808" s="37" t="str">
        <f>IF(Agent10_Loans!B18="","",Agent10_Loans!H18)</f>
        <v/>
      </c>
      <c r="I1808" s="40" t="str">
        <f>IF(Agent10_Loans!B18="","",Agent10_Loans!I18)</f>
        <v/>
      </c>
      <c r="J1808" s="40" t="str">
        <f>IF(Agent10_Loans!B18="","",Agent10_Loans!J18)</f>
        <v/>
      </c>
      <c r="K1808" s="37" t="str">
        <f>IF(Agent10_Loans!B18="","",Agent10_Loans!K18)</f>
        <v/>
      </c>
      <c r="L1808" s="37" t="str">
        <f>IF(Agent10_Loans!B18="","",Agent10_Loans!L18)</f>
        <v/>
      </c>
      <c r="M1808" s="37" t="str">
        <f>IFERROR(IF(Agent10_Loans!B18="","",YEAR(Agent10_Loans!D18)),"")</f>
        <v/>
      </c>
    </row>
    <row r="1809" spans="1:13" ht="18" customHeight="1" x14ac:dyDescent="0.25">
      <c r="A1809" s="37" t="str">
        <f>IF(Agent10_Loans!B19="","",Agent10_Loans!A19)</f>
        <v/>
      </c>
      <c r="B1809" s="37" t="str">
        <f>IF(Agent10_Loans!B19="","",Agent10_Loans!B19)</f>
        <v/>
      </c>
      <c r="C1809" s="37" t="str">
        <f>IF(Agent10_Loans!B19="","",Agent10_Loans!C19)</f>
        <v/>
      </c>
      <c r="D1809" s="38" t="str">
        <f>IF(Agent10_Loans!B19="","",Agent10_Loans!D19)</f>
        <v/>
      </c>
      <c r="E1809" s="40" t="str">
        <f>IF(Agent10_Loans!B19="","",Agent10_Loans!E19)</f>
        <v/>
      </c>
      <c r="F1809" s="37" t="str">
        <f>IF(Agent10_Loans!B19="","",Agent10_Loans!F19)</f>
        <v/>
      </c>
      <c r="G1809" s="37" t="str">
        <f>IF(Agent10_Loans!B19="","",Agent10_Loans!G19)</f>
        <v/>
      </c>
      <c r="H1809" s="37" t="str">
        <f>IF(Agent10_Loans!B19="","",Agent10_Loans!H19)</f>
        <v/>
      </c>
      <c r="I1809" s="40" t="str">
        <f>IF(Agent10_Loans!B19="","",Agent10_Loans!I19)</f>
        <v/>
      </c>
      <c r="J1809" s="40" t="str">
        <f>IF(Agent10_Loans!B19="","",Agent10_Loans!J19)</f>
        <v/>
      </c>
      <c r="K1809" s="37" t="str">
        <f>IF(Agent10_Loans!B19="","",Agent10_Loans!K19)</f>
        <v/>
      </c>
      <c r="L1809" s="37" t="str">
        <f>IF(Agent10_Loans!B19="","",Agent10_Loans!L19)</f>
        <v/>
      </c>
      <c r="M1809" s="37" t="str">
        <f>IFERROR(IF(Agent10_Loans!B19="","",YEAR(Agent10_Loans!D19)),"")</f>
        <v/>
      </c>
    </row>
    <row r="1810" spans="1:13" ht="18" customHeight="1" x14ac:dyDescent="0.25">
      <c r="A1810" s="37" t="str">
        <f>IF(Agent10_Loans!B20="","",Agent10_Loans!A20)</f>
        <v/>
      </c>
      <c r="B1810" s="37" t="str">
        <f>IF(Agent10_Loans!B20="","",Agent10_Loans!B20)</f>
        <v/>
      </c>
      <c r="C1810" s="37" t="str">
        <f>IF(Agent10_Loans!B20="","",Agent10_Loans!C20)</f>
        <v/>
      </c>
      <c r="D1810" s="38" t="str">
        <f>IF(Agent10_Loans!B20="","",Agent10_Loans!D20)</f>
        <v/>
      </c>
      <c r="E1810" s="40" t="str">
        <f>IF(Agent10_Loans!B20="","",Agent10_Loans!E20)</f>
        <v/>
      </c>
      <c r="F1810" s="37" t="str">
        <f>IF(Agent10_Loans!B20="","",Agent10_Loans!F20)</f>
        <v/>
      </c>
      <c r="G1810" s="37" t="str">
        <f>IF(Agent10_Loans!B20="","",Agent10_Loans!G20)</f>
        <v/>
      </c>
      <c r="H1810" s="37" t="str">
        <f>IF(Agent10_Loans!B20="","",Agent10_Loans!H20)</f>
        <v/>
      </c>
      <c r="I1810" s="40" t="str">
        <f>IF(Agent10_Loans!B20="","",Agent10_Loans!I20)</f>
        <v/>
      </c>
      <c r="J1810" s="40" t="str">
        <f>IF(Agent10_Loans!B20="","",Agent10_Loans!J20)</f>
        <v/>
      </c>
      <c r="K1810" s="37" t="str">
        <f>IF(Agent10_Loans!B20="","",Agent10_Loans!K20)</f>
        <v/>
      </c>
      <c r="L1810" s="37" t="str">
        <f>IF(Agent10_Loans!B20="","",Agent10_Loans!L20)</f>
        <v/>
      </c>
      <c r="M1810" s="37" t="str">
        <f>IFERROR(IF(Agent10_Loans!B20="","",YEAR(Agent10_Loans!D20)),"")</f>
        <v/>
      </c>
    </row>
    <row r="1811" spans="1:13" ht="18" customHeight="1" x14ac:dyDescent="0.25">
      <c r="A1811" s="37" t="str">
        <f>IF(Agent10_Loans!B21="","",Agent10_Loans!A21)</f>
        <v/>
      </c>
      <c r="B1811" s="37" t="str">
        <f>IF(Agent10_Loans!B21="","",Agent10_Loans!B21)</f>
        <v/>
      </c>
      <c r="C1811" s="37" t="str">
        <f>IF(Agent10_Loans!B21="","",Agent10_Loans!C21)</f>
        <v/>
      </c>
      <c r="D1811" s="38" t="str">
        <f>IF(Agent10_Loans!B21="","",Agent10_Loans!D21)</f>
        <v/>
      </c>
      <c r="E1811" s="40" t="str">
        <f>IF(Agent10_Loans!B21="","",Agent10_Loans!E21)</f>
        <v/>
      </c>
      <c r="F1811" s="37" t="str">
        <f>IF(Agent10_Loans!B21="","",Agent10_Loans!F21)</f>
        <v/>
      </c>
      <c r="G1811" s="37" t="str">
        <f>IF(Agent10_Loans!B21="","",Agent10_Loans!G21)</f>
        <v/>
      </c>
      <c r="H1811" s="37" t="str">
        <f>IF(Agent10_Loans!B21="","",Agent10_Loans!H21)</f>
        <v/>
      </c>
      <c r="I1811" s="40" t="str">
        <f>IF(Agent10_Loans!B21="","",Agent10_Loans!I21)</f>
        <v/>
      </c>
      <c r="J1811" s="40" t="str">
        <f>IF(Agent10_Loans!B21="","",Agent10_Loans!J21)</f>
        <v/>
      </c>
      <c r="K1811" s="37" t="str">
        <f>IF(Agent10_Loans!B21="","",Agent10_Loans!K21)</f>
        <v/>
      </c>
      <c r="L1811" s="37" t="str">
        <f>IF(Agent10_Loans!B21="","",Agent10_Loans!L21)</f>
        <v/>
      </c>
      <c r="M1811" s="37" t="str">
        <f>IFERROR(IF(Agent10_Loans!B21="","",YEAR(Agent10_Loans!D21)),"")</f>
        <v/>
      </c>
    </row>
    <row r="1812" spans="1:13" ht="18" customHeight="1" x14ac:dyDescent="0.25">
      <c r="A1812" s="37" t="str">
        <f>IF(Agent10_Loans!B22="","",Agent10_Loans!A22)</f>
        <v/>
      </c>
      <c r="B1812" s="37" t="str">
        <f>IF(Agent10_Loans!B22="","",Agent10_Loans!B22)</f>
        <v/>
      </c>
      <c r="C1812" s="37" t="str">
        <f>IF(Agent10_Loans!B22="","",Agent10_Loans!C22)</f>
        <v/>
      </c>
      <c r="D1812" s="38" t="str">
        <f>IF(Agent10_Loans!B22="","",Agent10_Loans!D22)</f>
        <v/>
      </c>
      <c r="E1812" s="40" t="str">
        <f>IF(Agent10_Loans!B22="","",Agent10_Loans!E22)</f>
        <v/>
      </c>
      <c r="F1812" s="37" t="str">
        <f>IF(Agent10_Loans!B22="","",Agent10_Loans!F22)</f>
        <v/>
      </c>
      <c r="G1812" s="37" t="str">
        <f>IF(Agent10_Loans!B22="","",Agent10_Loans!G22)</f>
        <v/>
      </c>
      <c r="H1812" s="37" t="str">
        <f>IF(Agent10_Loans!B22="","",Agent10_Loans!H22)</f>
        <v/>
      </c>
      <c r="I1812" s="40" t="str">
        <f>IF(Agent10_Loans!B22="","",Agent10_Loans!I22)</f>
        <v/>
      </c>
      <c r="J1812" s="40" t="str">
        <f>IF(Agent10_Loans!B22="","",Agent10_Loans!J22)</f>
        <v/>
      </c>
      <c r="K1812" s="37" t="str">
        <f>IF(Agent10_Loans!B22="","",Agent10_Loans!K22)</f>
        <v/>
      </c>
      <c r="L1812" s="37" t="str">
        <f>IF(Agent10_Loans!B22="","",Agent10_Loans!L22)</f>
        <v/>
      </c>
      <c r="M1812" s="37" t="str">
        <f>IFERROR(IF(Agent10_Loans!B22="","",YEAR(Agent10_Loans!D22)),"")</f>
        <v/>
      </c>
    </row>
    <row r="1813" spans="1:13" ht="18" customHeight="1" x14ac:dyDescent="0.25">
      <c r="A1813" s="37" t="str">
        <f>IF(Agent10_Loans!B23="","",Agent10_Loans!A23)</f>
        <v/>
      </c>
      <c r="B1813" s="37" t="str">
        <f>IF(Agent10_Loans!B23="","",Agent10_Loans!B23)</f>
        <v/>
      </c>
      <c r="C1813" s="37" t="str">
        <f>IF(Agent10_Loans!B23="","",Agent10_Loans!C23)</f>
        <v/>
      </c>
      <c r="D1813" s="38" t="str">
        <f>IF(Agent10_Loans!B23="","",Agent10_Loans!D23)</f>
        <v/>
      </c>
      <c r="E1813" s="40" t="str">
        <f>IF(Agent10_Loans!B23="","",Agent10_Loans!E23)</f>
        <v/>
      </c>
      <c r="F1813" s="37" t="str">
        <f>IF(Agent10_Loans!B23="","",Agent10_Loans!F23)</f>
        <v/>
      </c>
      <c r="G1813" s="37" t="str">
        <f>IF(Agent10_Loans!B23="","",Agent10_Loans!G23)</f>
        <v/>
      </c>
      <c r="H1813" s="37" t="str">
        <f>IF(Agent10_Loans!B23="","",Agent10_Loans!H23)</f>
        <v/>
      </c>
      <c r="I1813" s="40" t="str">
        <f>IF(Agent10_Loans!B23="","",Agent10_Loans!I23)</f>
        <v/>
      </c>
      <c r="J1813" s="40" t="str">
        <f>IF(Agent10_Loans!B23="","",Agent10_Loans!J23)</f>
        <v/>
      </c>
      <c r="K1813" s="37" t="str">
        <f>IF(Agent10_Loans!B23="","",Agent10_Loans!K23)</f>
        <v/>
      </c>
      <c r="L1813" s="37" t="str">
        <f>IF(Agent10_Loans!B23="","",Agent10_Loans!L23)</f>
        <v/>
      </c>
      <c r="M1813" s="37" t="str">
        <f>IFERROR(IF(Agent10_Loans!B23="","",YEAR(Agent10_Loans!D23)),"")</f>
        <v/>
      </c>
    </row>
    <row r="1814" spans="1:13" ht="18" customHeight="1" x14ac:dyDescent="0.25">
      <c r="A1814" s="37" t="str">
        <f>IF(Agent10_Loans!B24="","",Agent10_Loans!A24)</f>
        <v/>
      </c>
      <c r="B1814" s="37" t="str">
        <f>IF(Agent10_Loans!B24="","",Agent10_Loans!B24)</f>
        <v/>
      </c>
      <c r="C1814" s="37" t="str">
        <f>IF(Agent10_Loans!B24="","",Agent10_Loans!C24)</f>
        <v/>
      </c>
      <c r="D1814" s="38" t="str">
        <f>IF(Agent10_Loans!B24="","",Agent10_Loans!D24)</f>
        <v/>
      </c>
      <c r="E1814" s="40" t="str">
        <f>IF(Agent10_Loans!B24="","",Agent10_Loans!E24)</f>
        <v/>
      </c>
      <c r="F1814" s="37" t="str">
        <f>IF(Agent10_Loans!B24="","",Agent10_Loans!F24)</f>
        <v/>
      </c>
      <c r="G1814" s="37" t="str">
        <f>IF(Agent10_Loans!B24="","",Agent10_Loans!G24)</f>
        <v/>
      </c>
      <c r="H1814" s="37" t="str">
        <f>IF(Agent10_Loans!B24="","",Agent10_Loans!H24)</f>
        <v/>
      </c>
      <c r="I1814" s="40" t="str">
        <f>IF(Agent10_Loans!B24="","",Agent10_Loans!I24)</f>
        <v/>
      </c>
      <c r="J1814" s="40" t="str">
        <f>IF(Agent10_Loans!B24="","",Agent10_Loans!J24)</f>
        <v/>
      </c>
      <c r="K1814" s="37" t="str">
        <f>IF(Agent10_Loans!B24="","",Agent10_Loans!K24)</f>
        <v/>
      </c>
      <c r="L1814" s="37" t="str">
        <f>IF(Agent10_Loans!B24="","",Agent10_Loans!L24)</f>
        <v/>
      </c>
      <c r="M1814" s="37" t="str">
        <f>IFERROR(IF(Agent10_Loans!B24="","",YEAR(Agent10_Loans!D24)),"")</f>
        <v/>
      </c>
    </row>
    <row r="1815" spans="1:13" ht="18" customHeight="1" x14ac:dyDescent="0.25">
      <c r="A1815" s="37" t="str">
        <f>IF(Agent10_Loans!B25="","",Agent10_Loans!A25)</f>
        <v/>
      </c>
      <c r="B1815" s="37" t="str">
        <f>IF(Agent10_Loans!B25="","",Agent10_Loans!B25)</f>
        <v/>
      </c>
      <c r="C1815" s="37" t="str">
        <f>IF(Agent10_Loans!B25="","",Agent10_Loans!C25)</f>
        <v/>
      </c>
      <c r="D1815" s="38" t="str">
        <f>IF(Agent10_Loans!B25="","",Agent10_Loans!D25)</f>
        <v/>
      </c>
      <c r="E1815" s="40" t="str">
        <f>IF(Agent10_Loans!B25="","",Agent10_Loans!E25)</f>
        <v/>
      </c>
      <c r="F1815" s="37" t="str">
        <f>IF(Agent10_Loans!B25="","",Agent10_Loans!F25)</f>
        <v/>
      </c>
      <c r="G1815" s="37" t="str">
        <f>IF(Agent10_Loans!B25="","",Agent10_Loans!G25)</f>
        <v/>
      </c>
      <c r="H1815" s="37" t="str">
        <f>IF(Agent10_Loans!B25="","",Agent10_Loans!H25)</f>
        <v/>
      </c>
      <c r="I1815" s="40" t="str">
        <f>IF(Agent10_Loans!B25="","",Agent10_Loans!I25)</f>
        <v/>
      </c>
      <c r="J1815" s="40" t="str">
        <f>IF(Agent10_Loans!B25="","",Agent10_Loans!J25)</f>
        <v/>
      </c>
      <c r="K1815" s="37" t="str">
        <f>IF(Agent10_Loans!B25="","",Agent10_Loans!K25)</f>
        <v/>
      </c>
      <c r="L1815" s="37" t="str">
        <f>IF(Agent10_Loans!B25="","",Agent10_Loans!L25)</f>
        <v/>
      </c>
      <c r="M1815" s="37" t="str">
        <f>IFERROR(IF(Agent10_Loans!B25="","",YEAR(Agent10_Loans!D25)),"")</f>
        <v/>
      </c>
    </row>
    <row r="1816" spans="1:13" ht="18" customHeight="1" x14ac:dyDescent="0.25">
      <c r="A1816" s="37" t="str">
        <f>IF(Agent10_Loans!B26="","",Agent10_Loans!A26)</f>
        <v/>
      </c>
      <c r="B1816" s="37" t="str">
        <f>IF(Agent10_Loans!B26="","",Agent10_Loans!B26)</f>
        <v/>
      </c>
      <c r="C1816" s="37" t="str">
        <f>IF(Agent10_Loans!B26="","",Agent10_Loans!C26)</f>
        <v/>
      </c>
      <c r="D1816" s="38" t="str">
        <f>IF(Agent10_Loans!B26="","",Agent10_Loans!D26)</f>
        <v/>
      </c>
      <c r="E1816" s="40" t="str">
        <f>IF(Agent10_Loans!B26="","",Agent10_Loans!E26)</f>
        <v/>
      </c>
      <c r="F1816" s="37" t="str">
        <f>IF(Agent10_Loans!B26="","",Agent10_Loans!F26)</f>
        <v/>
      </c>
      <c r="G1816" s="37" t="str">
        <f>IF(Agent10_Loans!B26="","",Agent10_Loans!G26)</f>
        <v/>
      </c>
      <c r="H1816" s="37" t="str">
        <f>IF(Agent10_Loans!B26="","",Agent10_Loans!H26)</f>
        <v/>
      </c>
      <c r="I1816" s="40" t="str">
        <f>IF(Agent10_Loans!B26="","",Agent10_Loans!I26)</f>
        <v/>
      </c>
      <c r="J1816" s="40" t="str">
        <f>IF(Agent10_Loans!B26="","",Agent10_Loans!J26)</f>
        <v/>
      </c>
      <c r="K1816" s="37" t="str">
        <f>IF(Agent10_Loans!B26="","",Agent10_Loans!K26)</f>
        <v/>
      </c>
      <c r="L1816" s="37" t="str">
        <f>IF(Agent10_Loans!B26="","",Agent10_Loans!L26)</f>
        <v/>
      </c>
      <c r="M1816" s="37" t="str">
        <f>IFERROR(IF(Agent10_Loans!B26="","",YEAR(Agent10_Loans!D26)),"")</f>
        <v/>
      </c>
    </row>
    <row r="1817" spans="1:13" ht="18" customHeight="1" x14ac:dyDescent="0.25">
      <c r="A1817" s="37" t="str">
        <f>IF(Agent10_Loans!B27="","",Agent10_Loans!A27)</f>
        <v/>
      </c>
      <c r="B1817" s="37" t="str">
        <f>IF(Agent10_Loans!B27="","",Agent10_Loans!B27)</f>
        <v/>
      </c>
      <c r="C1817" s="37" t="str">
        <f>IF(Agent10_Loans!B27="","",Agent10_Loans!C27)</f>
        <v/>
      </c>
      <c r="D1817" s="38" t="str">
        <f>IF(Agent10_Loans!B27="","",Agent10_Loans!D27)</f>
        <v/>
      </c>
      <c r="E1817" s="40" t="str">
        <f>IF(Agent10_Loans!B27="","",Agent10_Loans!E27)</f>
        <v/>
      </c>
      <c r="F1817" s="37" t="str">
        <f>IF(Agent10_Loans!B27="","",Agent10_Loans!F27)</f>
        <v/>
      </c>
      <c r="G1817" s="37" t="str">
        <f>IF(Agent10_Loans!B27="","",Agent10_Loans!G27)</f>
        <v/>
      </c>
      <c r="H1817" s="37" t="str">
        <f>IF(Agent10_Loans!B27="","",Agent10_Loans!H27)</f>
        <v/>
      </c>
      <c r="I1817" s="40" t="str">
        <f>IF(Agent10_Loans!B27="","",Agent10_Loans!I27)</f>
        <v/>
      </c>
      <c r="J1817" s="40" t="str">
        <f>IF(Agent10_Loans!B27="","",Agent10_Loans!J27)</f>
        <v/>
      </c>
      <c r="K1817" s="37" t="str">
        <f>IF(Agent10_Loans!B27="","",Agent10_Loans!K27)</f>
        <v/>
      </c>
      <c r="L1817" s="37" t="str">
        <f>IF(Agent10_Loans!B27="","",Agent10_Loans!L27)</f>
        <v/>
      </c>
      <c r="M1817" s="37" t="str">
        <f>IFERROR(IF(Agent10_Loans!B27="","",YEAR(Agent10_Loans!D27)),"")</f>
        <v/>
      </c>
    </row>
    <row r="1818" spans="1:13" ht="18" customHeight="1" x14ac:dyDescent="0.25">
      <c r="A1818" s="37" t="str">
        <f>IF(Agent10_Loans!B28="","",Agent10_Loans!A28)</f>
        <v/>
      </c>
      <c r="B1818" s="37" t="str">
        <f>IF(Agent10_Loans!B28="","",Agent10_Loans!B28)</f>
        <v/>
      </c>
      <c r="C1818" s="37" t="str">
        <f>IF(Agent10_Loans!B28="","",Agent10_Loans!C28)</f>
        <v/>
      </c>
      <c r="D1818" s="38" t="str">
        <f>IF(Agent10_Loans!B28="","",Agent10_Loans!D28)</f>
        <v/>
      </c>
      <c r="E1818" s="40" t="str">
        <f>IF(Agent10_Loans!B28="","",Agent10_Loans!E28)</f>
        <v/>
      </c>
      <c r="F1818" s="37" t="str">
        <f>IF(Agent10_Loans!B28="","",Agent10_Loans!F28)</f>
        <v/>
      </c>
      <c r="G1818" s="37" t="str">
        <f>IF(Agent10_Loans!B28="","",Agent10_Loans!G28)</f>
        <v/>
      </c>
      <c r="H1818" s="37" t="str">
        <f>IF(Agent10_Loans!B28="","",Agent10_Loans!H28)</f>
        <v/>
      </c>
      <c r="I1818" s="40" t="str">
        <f>IF(Agent10_Loans!B28="","",Agent10_Loans!I28)</f>
        <v/>
      </c>
      <c r="J1818" s="40" t="str">
        <f>IF(Agent10_Loans!B28="","",Agent10_Loans!J28)</f>
        <v/>
      </c>
      <c r="K1818" s="37" t="str">
        <f>IF(Agent10_Loans!B28="","",Agent10_Loans!K28)</f>
        <v/>
      </c>
      <c r="L1818" s="37" t="str">
        <f>IF(Agent10_Loans!B28="","",Agent10_Loans!L28)</f>
        <v/>
      </c>
      <c r="M1818" s="37" t="str">
        <f>IFERROR(IF(Agent10_Loans!B28="","",YEAR(Agent10_Loans!D28)),"")</f>
        <v/>
      </c>
    </row>
    <row r="1819" spans="1:13" ht="18" customHeight="1" x14ac:dyDescent="0.25">
      <c r="A1819" s="37" t="str">
        <f>IF(Agent10_Loans!B29="","",Agent10_Loans!A29)</f>
        <v/>
      </c>
      <c r="B1819" s="37" t="str">
        <f>IF(Agent10_Loans!B29="","",Agent10_Loans!B29)</f>
        <v/>
      </c>
      <c r="C1819" s="37" t="str">
        <f>IF(Agent10_Loans!B29="","",Agent10_Loans!C29)</f>
        <v/>
      </c>
      <c r="D1819" s="38" t="str">
        <f>IF(Agent10_Loans!B29="","",Agent10_Loans!D29)</f>
        <v/>
      </c>
      <c r="E1819" s="40" t="str">
        <f>IF(Agent10_Loans!B29="","",Agent10_Loans!E29)</f>
        <v/>
      </c>
      <c r="F1819" s="37" t="str">
        <f>IF(Agent10_Loans!B29="","",Agent10_Loans!F29)</f>
        <v/>
      </c>
      <c r="G1819" s="37" t="str">
        <f>IF(Agent10_Loans!B29="","",Agent10_Loans!G29)</f>
        <v/>
      </c>
      <c r="H1819" s="37" t="str">
        <f>IF(Agent10_Loans!B29="","",Agent10_Loans!H29)</f>
        <v/>
      </c>
      <c r="I1819" s="40" t="str">
        <f>IF(Agent10_Loans!B29="","",Agent10_Loans!I29)</f>
        <v/>
      </c>
      <c r="J1819" s="40" t="str">
        <f>IF(Agent10_Loans!B29="","",Agent10_Loans!J29)</f>
        <v/>
      </c>
      <c r="K1819" s="37" t="str">
        <f>IF(Agent10_Loans!B29="","",Agent10_Loans!K29)</f>
        <v/>
      </c>
      <c r="L1819" s="37" t="str">
        <f>IF(Agent10_Loans!B29="","",Agent10_Loans!L29)</f>
        <v/>
      </c>
      <c r="M1819" s="37" t="str">
        <f>IFERROR(IF(Agent10_Loans!B29="","",YEAR(Agent10_Loans!D29)),"")</f>
        <v/>
      </c>
    </row>
    <row r="1820" spans="1:13" ht="18" customHeight="1" x14ac:dyDescent="0.25">
      <c r="A1820" s="37" t="str">
        <f>IF(Agent10_Loans!B30="","",Agent10_Loans!A30)</f>
        <v/>
      </c>
      <c r="B1820" s="37" t="str">
        <f>IF(Agent10_Loans!B30="","",Agent10_Loans!B30)</f>
        <v/>
      </c>
      <c r="C1820" s="37" t="str">
        <f>IF(Agent10_Loans!B30="","",Agent10_Loans!C30)</f>
        <v/>
      </c>
      <c r="D1820" s="38" t="str">
        <f>IF(Agent10_Loans!B30="","",Agent10_Loans!D30)</f>
        <v/>
      </c>
      <c r="E1820" s="40" t="str">
        <f>IF(Agent10_Loans!B30="","",Agent10_Loans!E30)</f>
        <v/>
      </c>
      <c r="F1820" s="37" t="str">
        <f>IF(Agent10_Loans!B30="","",Agent10_Loans!F30)</f>
        <v/>
      </c>
      <c r="G1820" s="37" t="str">
        <f>IF(Agent10_Loans!B30="","",Agent10_Loans!G30)</f>
        <v/>
      </c>
      <c r="H1820" s="37" t="str">
        <f>IF(Agent10_Loans!B30="","",Agent10_Loans!H30)</f>
        <v/>
      </c>
      <c r="I1820" s="40" t="str">
        <f>IF(Agent10_Loans!B30="","",Agent10_Loans!I30)</f>
        <v/>
      </c>
      <c r="J1820" s="40" t="str">
        <f>IF(Agent10_Loans!B30="","",Agent10_Loans!J30)</f>
        <v/>
      </c>
      <c r="K1820" s="37" t="str">
        <f>IF(Agent10_Loans!B30="","",Agent10_Loans!K30)</f>
        <v/>
      </c>
      <c r="L1820" s="37" t="str">
        <f>IF(Agent10_Loans!B30="","",Agent10_Loans!L30)</f>
        <v/>
      </c>
      <c r="M1820" s="37" t="str">
        <f>IFERROR(IF(Agent10_Loans!B30="","",YEAR(Agent10_Loans!D30)),"")</f>
        <v/>
      </c>
    </row>
    <row r="1821" spans="1:13" ht="18" customHeight="1" x14ac:dyDescent="0.25">
      <c r="A1821" s="37" t="str">
        <f>IF(Agent10_Loans!B31="","",Agent10_Loans!A31)</f>
        <v/>
      </c>
      <c r="B1821" s="37" t="str">
        <f>IF(Agent10_Loans!B31="","",Agent10_Loans!B31)</f>
        <v/>
      </c>
      <c r="C1821" s="37" t="str">
        <f>IF(Agent10_Loans!B31="","",Agent10_Loans!C31)</f>
        <v/>
      </c>
      <c r="D1821" s="38" t="str">
        <f>IF(Agent10_Loans!B31="","",Agent10_Loans!D31)</f>
        <v/>
      </c>
      <c r="E1821" s="40" t="str">
        <f>IF(Agent10_Loans!B31="","",Agent10_Loans!E31)</f>
        <v/>
      </c>
      <c r="F1821" s="37" t="str">
        <f>IF(Agent10_Loans!B31="","",Agent10_Loans!F31)</f>
        <v/>
      </c>
      <c r="G1821" s="37" t="str">
        <f>IF(Agent10_Loans!B31="","",Agent10_Loans!G31)</f>
        <v/>
      </c>
      <c r="H1821" s="37" t="str">
        <f>IF(Agent10_Loans!B31="","",Agent10_Loans!H31)</f>
        <v/>
      </c>
      <c r="I1821" s="40" t="str">
        <f>IF(Agent10_Loans!B31="","",Agent10_Loans!I31)</f>
        <v/>
      </c>
      <c r="J1821" s="40" t="str">
        <f>IF(Agent10_Loans!B31="","",Agent10_Loans!J31)</f>
        <v/>
      </c>
      <c r="K1821" s="37" t="str">
        <f>IF(Agent10_Loans!B31="","",Agent10_Loans!K31)</f>
        <v/>
      </c>
      <c r="L1821" s="37" t="str">
        <f>IF(Agent10_Loans!B31="","",Agent10_Loans!L31)</f>
        <v/>
      </c>
      <c r="M1821" s="37" t="str">
        <f>IFERROR(IF(Agent10_Loans!B31="","",YEAR(Agent10_Loans!D31)),"")</f>
        <v/>
      </c>
    </row>
    <row r="1822" spans="1:13" ht="18" customHeight="1" x14ac:dyDescent="0.25">
      <c r="A1822" s="37" t="str">
        <f>IF(Agent10_Loans!B32="","",Agent10_Loans!A32)</f>
        <v/>
      </c>
      <c r="B1822" s="37" t="str">
        <f>IF(Agent10_Loans!B32="","",Agent10_Loans!B32)</f>
        <v/>
      </c>
      <c r="C1822" s="37" t="str">
        <f>IF(Agent10_Loans!B32="","",Agent10_Loans!C32)</f>
        <v/>
      </c>
      <c r="D1822" s="38" t="str">
        <f>IF(Agent10_Loans!B32="","",Agent10_Loans!D32)</f>
        <v/>
      </c>
      <c r="E1822" s="40" t="str">
        <f>IF(Agent10_Loans!B32="","",Agent10_Loans!E32)</f>
        <v/>
      </c>
      <c r="F1822" s="37" t="str">
        <f>IF(Agent10_Loans!B32="","",Agent10_Loans!F32)</f>
        <v/>
      </c>
      <c r="G1822" s="37" t="str">
        <f>IF(Agent10_Loans!B32="","",Agent10_Loans!G32)</f>
        <v/>
      </c>
      <c r="H1822" s="37" t="str">
        <f>IF(Agent10_Loans!B32="","",Agent10_Loans!H32)</f>
        <v/>
      </c>
      <c r="I1822" s="40" t="str">
        <f>IF(Agent10_Loans!B32="","",Agent10_Loans!I32)</f>
        <v/>
      </c>
      <c r="J1822" s="40" t="str">
        <f>IF(Agent10_Loans!B32="","",Agent10_Loans!J32)</f>
        <v/>
      </c>
      <c r="K1822" s="37" t="str">
        <f>IF(Agent10_Loans!B32="","",Agent10_Loans!K32)</f>
        <v/>
      </c>
      <c r="L1822" s="37" t="str">
        <f>IF(Agent10_Loans!B32="","",Agent10_Loans!L32)</f>
        <v/>
      </c>
      <c r="M1822" s="37" t="str">
        <f>IFERROR(IF(Agent10_Loans!B32="","",YEAR(Agent10_Loans!D32)),"")</f>
        <v/>
      </c>
    </row>
    <row r="1823" spans="1:13" ht="18" customHeight="1" x14ac:dyDescent="0.25">
      <c r="A1823" s="37" t="str">
        <f>IF(Agent10_Loans!B33="","",Agent10_Loans!A33)</f>
        <v/>
      </c>
      <c r="B1823" s="37" t="str">
        <f>IF(Agent10_Loans!B33="","",Agent10_Loans!B33)</f>
        <v/>
      </c>
      <c r="C1823" s="37" t="str">
        <f>IF(Agent10_Loans!B33="","",Agent10_Loans!C33)</f>
        <v/>
      </c>
      <c r="D1823" s="38" t="str">
        <f>IF(Agent10_Loans!B33="","",Agent10_Loans!D33)</f>
        <v/>
      </c>
      <c r="E1823" s="40" t="str">
        <f>IF(Agent10_Loans!B33="","",Agent10_Loans!E33)</f>
        <v/>
      </c>
      <c r="F1823" s="37" t="str">
        <f>IF(Agent10_Loans!B33="","",Agent10_Loans!F33)</f>
        <v/>
      </c>
      <c r="G1823" s="37" t="str">
        <f>IF(Agent10_Loans!B33="","",Agent10_Loans!G33)</f>
        <v/>
      </c>
      <c r="H1823" s="37" t="str">
        <f>IF(Agent10_Loans!B33="","",Agent10_Loans!H33)</f>
        <v/>
      </c>
      <c r="I1823" s="40" t="str">
        <f>IF(Agent10_Loans!B33="","",Agent10_Loans!I33)</f>
        <v/>
      </c>
      <c r="J1823" s="40" t="str">
        <f>IF(Agent10_Loans!B33="","",Agent10_Loans!J33)</f>
        <v/>
      </c>
      <c r="K1823" s="37" t="str">
        <f>IF(Agent10_Loans!B33="","",Agent10_Loans!K33)</f>
        <v/>
      </c>
      <c r="L1823" s="37" t="str">
        <f>IF(Agent10_Loans!B33="","",Agent10_Loans!L33)</f>
        <v/>
      </c>
      <c r="M1823" s="37" t="str">
        <f>IFERROR(IF(Agent10_Loans!B33="","",YEAR(Agent10_Loans!D33)),"")</f>
        <v/>
      </c>
    </row>
    <row r="1824" spans="1:13" ht="18" customHeight="1" x14ac:dyDescent="0.25">
      <c r="A1824" s="37" t="str">
        <f>IF(Agent10_Loans!B34="","",Agent10_Loans!A34)</f>
        <v/>
      </c>
      <c r="B1824" s="37" t="str">
        <f>IF(Agent10_Loans!B34="","",Agent10_Loans!B34)</f>
        <v/>
      </c>
      <c r="C1824" s="37" t="str">
        <f>IF(Agent10_Loans!B34="","",Agent10_Loans!C34)</f>
        <v/>
      </c>
      <c r="D1824" s="38" t="str">
        <f>IF(Agent10_Loans!B34="","",Agent10_Loans!D34)</f>
        <v/>
      </c>
      <c r="E1824" s="40" t="str">
        <f>IF(Agent10_Loans!B34="","",Agent10_Loans!E34)</f>
        <v/>
      </c>
      <c r="F1824" s="37" t="str">
        <f>IF(Agent10_Loans!B34="","",Agent10_Loans!F34)</f>
        <v/>
      </c>
      <c r="G1824" s="37" t="str">
        <f>IF(Agent10_Loans!B34="","",Agent10_Loans!G34)</f>
        <v/>
      </c>
      <c r="H1824" s="37" t="str">
        <f>IF(Agent10_Loans!B34="","",Agent10_Loans!H34)</f>
        <v/>
      </c>
      <c r="I1824" s="40" t="str">
        <f>IF(Agent10_Loans!B34="","",Agent10_Loans!I34)</f>
        <v/>
      </c>
      <c r="J1824" s="40" t="str">
        <f>IF(Agent10_Loans!B34="","",Agent10_Loans!J34)</f>
        <v/>
      </c>
      <c r="K1824" s="37" t="str">
        <f>IF(Agent10_Loans!B34="","",Agent10_Loans!K34)</f>
        <v/>
      </c>
      <c r="L1824" s="37" t="str">
        <f>IF(Agent10_Loans!B34="","",Agent10_Loans!L34)</f>
        <v/>
      </c>
      <c r="M1824" s="37" t="str">
        <f>IFERROR(IF(Agent10_Loans!B34="","",YEAR(Agent10_Loans!D34)),"")</f>
        <v/>
      </c>
    </row>
    <row r="1825" spans="1:13" ht="18" customHeight="1" x14ac:dyDescent="0.25">
      <c r="A1825" s="37" t="str">
        <f>IF(Agent10_Loans!B35="","",Agent10_Loans!A35)</f>
        <v/>
      </c>
      <c r="B1825" s="37" t="str">
        <f>IF(Agent10_Loans!B35="","",Agent10_Loans!B35)</f>
        <v/>
      </c>
      <c r="C1825" s="37" t="str">
        <f>IF(Agent10_Loans!B35="","",Agent10_Loans!C35)</f>
        <v/>
      </c>
      <c r="D1825" s="38" t="str">
        <f>IF(Agent10_Loans!B35="","",Agent10_Loans!D35)</f>
        <v/>
      </c>
      <c r="E1825" s="40" t="str">
        <f>IF(Agent10_Loans!B35="","",Agent10_Loans!E35)</f>
        <v/>
      </c>
      <c r="F1825" s="37" t="str">
        <f>IF(Agent10_Loans!B35="","",Agent10_Loans!F35)</f>
        <v/>
      </c>
      <c r="G1825" s="37" t="str">
        <f>IF(Agent10_Loans!B35="","",Agent10_Loans!G35)</f>
        <v/>
      </c>
      <c r="H1825" s="37" t="str">
        <f>IF(Agent10_Loans!B35="","",Agent10_Loans!H35)</f>
        <v/>
      </c>
      <c r="I1825" s="40" t="str">
        <f>IF(Agent10_Loans!B35="","",Agent10_Loans!I35)</f>
        <v/>
      </c>
      <c r="J1825" s="40" t="str">
        <f>IF(Agent10_Loans!B35="","",Agent10_Loans!J35)</f>
        <v/>
      </c>
      <c r="K1825" s="37" t="str">
        <f>IF(Agent10_Loans!B35="","",Agent10_Loans!K35)</f>
        <v/>
      </c>
      <c r="L1825" s="37" t="str">
        <f>IF(Agent10_Loans!B35="","",Agent10_Loans!L35)</f>
        <v/>
      </c>
      <c r="M1825" s="37" t="str">
        <f>IFERROR(IF(Agent10_Loans!B35="","",YEAR(Agent10_Loans!D35)),"")</f>
        <v/>
      </c>
    </row>
    <row r="1826" spans="1:13" ht="18" customHeight="1" x14ac:dyDescent="0.25">
      <c r="A1826" s="37" t="str">
        <f>IF(Agent10_Loans!B36="","",Agent10_Loans!A36)</f>
        <v/>
      </c>
      <c r="B1826" s="37" t="str">
        <f>IF(Agent10_Loans!B36="","",Agent10_Loans!B36)</f>
        <v/>
      </c>
      <c r="C1826" s="37" t="str">
        <f>IF(Agent10_Loans!B36="","",Agent10_Loans!C36)</f>
        <v/>
      </c>
      <c r="D1826" s="38" t="str">
        <f>IF(Agent10_Loans!B36="","",Agent10_Loans!D36)</f>
        <v/>
      </c>
      <c r="E1826" s="40" t="str">
        <f>IF(Agent10_Loans!B36="","",Agent10_Loans!E36)</f>
        <v/>
      </c>
      <c r="F1826" s="37" t="str">
        <f>IF(Agent10_Loans!B36="","",Agent10_Loans!F36)</f>
        <v/>
      </c>
      <c r="G1826" s="37" t="str">
        <f>IF(Agent10_Loans!B36="","",Agent10_Loans!G36)</f>
        <v/>
      </c>
      <c r="H1826" s="37" t="str">
        <f>IF(Agent10_Loans!B36="","",Agent10_Loans!H36)</f>
        <v/>
      </c>
      <c r="I1826" s="40" t="str">
        <f>IF(Agent10_Loans!B36="","",Agent10_Loans!I36)</f>
        <v/>
      </c>
      <c r="J1826" s="40" t="str">
        <f>IF(Agent10_Loans!B36="","",Agent10_Loans!J36)</f>
        <v/>
      </c>
      <c r="K1826" s="37" t="str">
        <f>IF(Agent10_Loans!B36="","",Agent10_Loans!K36)</f>
        <v/>
      </c>
      <c r="L1826" s="37" t="str">
        <f>IF(Agent10_Loans!B36="","",Agent10_Loans!L36)</f>
        <v/>
      </c>
      <c r="M1826" s="37" t="str">
        <f>IFERROR(IF(Agent10_Loans!B36="","",YEAR(Agent10_Loans!D36)),"")</f>
        <v/>
      </c>
    </row>
    <row r="1827" spans="1:13" ht="18" customHeight="1" x14ac:dyDescent="0.25">
      <c r="A1827" s="37" t="str">
        <f>IF(Agent10_Loans!B37="","",Agent10_Loans!A37)</f>
        <v/>
      </c>
      <c r="B1827" s="37" t="str">
        <f>IF(Agent10_Loans!B37="","",Agent10_Loans!B37)</f>
        <v/>
      </c>
      <c r="C1827" s="37" t="str">
        <f>IF(Agent10_Loans!B37="","",Agent10_Loans!C37)</f>
        <v/>
      </c>
      <c r="D1827" s="38" t="str">
        <f>IF(Agent10_Loans!B37="","",Agent10_Loans!D37)</f>
        <v/>
      </c>
      <c r="E1827" s="40" t="str">
        <f>IF(Agent10_Loans!B37="","",Agent10_Loans!E37)</f>
        <v/>
      </c>
      <c r="F1827" s="37" t="str">
        <f>IF(Agent10_Loans!B37="","",Agent10_Loans!F37)</f>
        <v/>
      </c>
      <c r="G1827" s="37" t="str">
        <f>IF(Agent10_Loans!B37="","",Agent10_Loans!G37)</f>
        <v/>
      </c>
      <c r="H1827" s="37" t="str">
        <f>IF(Agent10_Loans!B37="","",Agent10_Loans!H37)</f>
        <v/>
      </c>
      <c r="I1827" s="40" t="str">
        <f>IF(Agent10_Loans!B37="","",Agent10_Loans!I37)</f>
        <v/>
      </c>
      <c r="J1827" s="40" t="str">
        <f>IF(Agent10_Loans!B37="","",Agent10_Loans!J37)</f>
        <v/>
      </c>
      <c r="K1827" s="37" t="str">
        <f>IF(Agent10_Loans!B37="","",Agent10_Loans!K37)</f>
        <v/>
      </c>
      <c r="L1827" s="37" t="str">
        <f>IF(Agent10_Loans!B37="","",Agent10_Loans!L37)</f>
        <v/>
      </c>
      <c r="M1827" s="37" t="str">
        <f>IFERROR(IF(Agent10_Loans!B37="","",YEAR(Agent10_Loans!D37)),"")</f>
        <v/>
      </c>
    </row>
    <row r="1828" spans="1:13" ht="18" customHeight="1" x14ac:dyDescent="0.25">
      <c r="A1828" s="37" t="str">
        <f>IF(Agent10_Loans!B38="","",Agent10_Loans!A38)</f>
        <v/>
      </c>
      <c r="B1828" s="37" t="str">
        <f>IF(Agent10_Loans!B38="","",Agent10_Loans!B38)</f>
        <v/>
      </c>
      <c r="C1828" s="37" t="str">
        <f>IF(Agent10_Loans!B38="","",Agent10_Loans!C38)</f>
        <v/>
      </c>
      <c r="D1828" s="38" t="str">
        <f>IF(Agent10_Loans!B38="","",Agent10_Loans!D38)</f>
        <v/>
      </c>
      <c r="E1828" s="40" t="str">
        <f>IF(Agent10_Loans!B38="","",Agent10_Loans!E38)</f>
        <v/>
      </c>
      <c r="F1828" s="37" t="str">
        <f>IF(Agent10_Loans!B38="","",Agent10_Loans!F38)</f>
        <v/>
      </c>
      <c r="G1828" s="37" t="str">
        <f>IF(Agent10_Loans!B38="","",Agent10_Loans!G38)</f>
        <v/>
      </c>
      <c r="H1828" s="37" t="str">
        <f>IF(Agent10_Loans!B38="","",Agent10_Loans!H38)</f>
        <v/>
      </c>
      <c r="I1828" s="40" t="str">
        <f>IF(Agent10_Loans!B38="","",Agent10_Loans!I38)</f>
        <v/>
      </c>
      <c r="J1828" s="40" t="str">
        <f>IF(Agent10_Loans!B38="","",Agent10_Loans!J38)</f>
        <v/>
      </c>
      <c r="K1828" s="37" t="str">
        <f>IF(Agent10_Loans!B38="","",Agent10_Loans!K38)</f>
        <v/>
      </c>
      <c r="L1828" s="37" t="str">
        <f>IF(Agent10_Loans!B38="","",Agent10_Loans!L38)</f>
        <v/>
      </c>
      <c r="M1828" s="37" t="str">
        <f>IFERROR(IF(Agent10_Loans!B38="","",YEAR(Agent10_Loans!D38)),"")</f>
        <v/>
      </c>
    </row>
    <row r="1829" spans="1:13" ht="18" customHeight="1" x14ac:dyDescent="0.25">
      <c r="A1829" s="37" t="str">
        <f>IF(Agent10_Loans!B39="","",Agent10_Loans!A39)</f>
        <v/>
      </c>
      <c r="B1829" s="37" t="str">
        <f>IF(Agent10_Loans!B39="","",Agent10_Loans!B39)</f>
        <v/>
      </c>
      <c r="C1829" s="37" t="str">
        <f>IF(Agent10_Loans!B39="","",Agent10_Loans!C39)</f>
        <v/>
      </c>
      <c r="D1829" s="38" t="str">
        <f>IF(Agent10_Loans!B39="","",Agent10_Loans!D39)</f>
        <v/>
      </c>
      <c r="E1829" s="40" t="str">
        <f>IF(Agent10_Loans!B39="","",Agent10_Loans!E39)</f>
        <v/>
      </c>
      <c r="F1829" s="37" t="str">
        <f>IF(Agent10_Loans!B39="","",Agent10_Loans!F39)</f>
        <v/>
      </c>
      <c r="G1829" s="37" t="str">
        <f>IF(Agent10_Loans!B39="","",Agent10_Loans!G39)</f>
        <v/>
      </c>
      <c r="H1829" s="37" t="str">
        <f>IF(Agent10_Loans!B39="","",Agent10_Loans!H39)</f>
        <v/>
      </c>
      <c r="I1829" s="40" t="str">
        <f>IF(Agent10_Loans!B39="","",Agent10_Loans!I39)</f>
        <v/>
      </c>
      <c r="J1829" s="40" t="str">
        <f>IF(Agent10_Loans!B39="","",Agent10_Loans!J39)</f>
        <v/>
      </c>
      <c r="K1829" s="37" t="str">
        <f>IF(Agent10_Loans!B39="","",Agent10_Loans!K39)</f>
        <v/>
      </c>
      <c r="L1829" s="37" t="str">
        <f>IF(Agent10_Loans!B39="","",Agent10_Loans!L39)</f>
        <v/>
      </c>
      <c r="M1829" s="37" t="str">
        <f>IFERROR(IF(Agent10_Loans!B39="","",YEAR(Agent10_Loans!D39)),"")</f>
        <v/>
      </c>
    </row>
    <row r="1830" spans="1:13" ht="18" customHeight="1" x14ac:dyDescent="0.25">
      <c r="A1830" s="37" t="str">
        <f>IF(Agent10_Loans!B40="","",Agent10_Loans!A40)</f>
        <v/>
      </c>
      <c r="B1830" s="37" t="str">
        <f>IF(Agent10_Loans!B40="","",Agent10_Loans!B40)</f>
        <v/>
      </c>
      <c r="C1830" s="37" t="str">
        <f>IF(Agent10_Loans!B40="","",Agent10_Loans!C40)</f>
        <v/>
      </c>
      <c r="D1830" s="38" t="str">
        <f>IF(Agent10_Loans!B40="","",Agent10_Loans!D40)</f>
        <v/>
      </c>
      <c r="E1830" s="40" t="str">
        <f>IF(Agent10_Loans!B40="","",Agent10_Loans!E40)</f>
        <v/>
      </c>
      <c r="F1830" s="37" t="str">
        <f>IF(Agent10_Loans!B40="","",Agent10_Loans!F40)</f>
        <v/>
      </c>
      <c r="G1830" s="37" t="str">
        <f>IF(Agent10_Loans!B40="","",Agent10_Loans!G40)</f>
        <v/>
      </c>
      <c r="H1830" s="37" t="str">
        <f>IF(Agent10_Loans!B40="","",Agent10_Loans!H40)</f>
        <v/>
      </c>
      <c r="I1830" s="40" t="str">
        <f>IF(Agent10_Loans!B40="","",Agent10_Loans!I40)</f>
        <v/>
      </c>
      <c r="J1830" s="40" t="str">
        <f>IF(Agent10_Loans!B40="","",Agent10_Loans!J40)</f>
        <v/>
      </c>
      <c r="K1830" s="37" t="str">
        <f>IF(Agent10_Loans!B40="","",Agent10_Loans!K40)</f>
        <v/>
      </c>
      <c r="L1830" s="37" t="str">
        <f>IF(Agent10_Loans!B40="","",Agent10_Loans!L40)</f>
        <v/>
      </c>
      <c r="M1830" s="37" t="str">
        <f>IFERROR(IF(Agent10_Loans!B40="","",YEAR(Agent10_Loans!D40)),"")</f>
        <v/>
      </c>
    </row>
    <row r="1831" spans="1:13" ht="18" customHeight="1" x14ac:dyDescent="0.25">
      <c r="A1831" s="37" t="str">
        <f>IF(Agent10_Loans!B41="","",Agent10_Loans!A41)</f>
        <v/>
      </c>
      <c r="B1831" s="37" t="str">
        <f>IF(Agent10_Loans!B41="","",Agent10_Loans!B41)</f>
        <v/>
      </c>
      <c r="C1831" s="37" t="str">
        <f>IF(Agent10_Loans!B41="","",Agent10_Loans!C41)</f>
        <v/>
      </c>
      <c r="D1831" s="38" t="str">
        <f>IF(Agent10_Loans!B41="","",Agent10_Loans!D41)</f>
        <v/>
      </c>
      <c r="E1831" s="40" t="str">
        <f>IF(Agent10_Loans!B41="","",Agent10_Loans!E41)</f>
        <v/>
      </c>
      <c r="F1831" s="37" t="str">
        <f>IF(Agent10_Loans!B41="","",Agent10_Loans!F41)</f>
        <v/>
      </c>
      <c r="G1831" s="37" t="str">
        <f>IF(Agent10_Loans!B41="","",Agent10_Loans!G41)</f>
        <v/>
      </c>
      <c r="H1831" s="37" t="str">
        <f>IF(Agent10_Loans!B41="","",Agent10_Loans!H41)</f>
        <v/>
      </c>
      <c r="I1831" s="40" t="str">
        <f>IF(Agent10_Loans!B41="","",Agent10_Loans!I41)</f>
        <v/>
      </c>
      <c r="J1831" s="40" t="str">
        <f>IF(Agent10_Loans!B41="","",Agent10_Loans!J41)</f>
        <v/>
      </c>
      <c r="K1831" s="37" t="str">
        <f>IF(Agent10_Loans!B41="","",Agent10_Loans!K41)</f>
        <v/>
      </c>
      <c r="L1831" s="37" t="str">
        <f>IF(Agent10_Loans!B41="","",Agent10_Loans!L41)</f>
        <v/>
      </c>
      <c r="M1831" s="37" t="str">
        <f>IFERROR(IF(Agent10_Loans!B41="","",YEAR(Agent10_Loans!D41)),"")</f>
        <v/>
      </c>
    </row>
    <row r="1832" spans="1:13" ht="18" customHeight="1" x14ac:dyDescent="0.25">
      <c r="A1832" s="37" t="str">
        <f>IF(Agent10_Loans!B42="","",Agent10_Loans!A42)</f>
        <v/>
      </c>
      <c r="B1832" s="37" t="str">
        <f>IF(Agent10_Loans!B42="","",Agent10_Loans!B42)</f>
        <v/>
      </c>
      <c r="C1832" s="37" t="str">
        <f>IF(Agent10_Loans!B42="","",Agent10_Loans!C42)</f>
        <v/>
      </c>
      <c r="D1832" s="38" t="str">
        <f>IF(Agent10_Loans!B42="","",Agent10_Loans!D42)</f>
        <v/>
      </c>
      <c r="E1832" s="40" t="str">
        <f>IF(Agent10_Loans!B42="","",Agent10_Loans!E42)</f>
        <v/>
      </c>
      <c r="F1832" s="37" t="str">
        <f>IF(Agent10_Loans!B42="","",Agent10_Loans!F42)</f>
        <v/>
      </c>
      <c r="G1832" s="37" t="str">
        <f>IF(Agent10_Loans!B42="","",Agent10_Loans!G42)</f>
        <v/>
      </c>
      <c r="H1832" s="37" t="str">
        <f>IF(Agent10_Loans!B42="","",Agent10_Loans!H42)</f>
        <v/>
      </c>
      <c r="I1832" s="40" t="str">
        <f>IF(Agent10_Loans!B42="","",Agent10_Loans!I42)</f>
        <v/>
      </c>
      <c r="J1832" s="40" t="str">
        <f>IF(Agent10_Loans!B42="","",Agent10_Loans!J42)</f>
        <v/>
      </c>
      <c r="K1832" s="37" t="str">
        <f>IF(Agent10_Loans!B42="","",Agent10_Loans!K42)</f>
        <v/>
      </c>
      <c r="L1832" s="37" t="str">
        <f>IF(Agent10_Loans!B42="","",Agent10_Loans!L42)</f>
        <v/>
      </c>
      <c r="M1832" s="37" t="str">
        <f>IFERROR(IF(Agent10_Loans!B42="","",YEAR(Agent10_Loans!D42)),"")</f>
        <v/>
      </c>
    </row>
    <row r="1833" spans="1:13" ht="18" customHeight="1" x14ac:dyDescent="0.25">
      <c r="A1833" s="37" t="str">
        <f>IF(Agent10_Loans!B43="","",Agent10_Loans!A43)</f>
        <v/>
      </c>
      <c r="B1833" s="37" t="str">
        <f>IF(Agent10_Loans!B43="","",Agent10_Loans!B43)</f>
        <v/>
      </c>
      <c r="C1833" s="37" t="str">
        <f>IF(Agent10_Loans!B43="","",Agent10_Loans!C43)</f>
        <v/>
      </c>
      <c r="D1833" s="38" t="str">
        <f>IF(Agent10_Loans!B43="","",Agent10_Loans!D43)</f>
        <v/>
      </c>
      <c r="E1833" s="40" t="str">
        <f>IF(Agent10_Loans!B43="","",Agent10_Loans!E43)</f>
        <v/>
      </c>
      <c r="F1833" s="37" t="str">
        <f>IF(Agent10_Loans!B43="","",Agent10_Loans!F43)</f>
        <v/>
      </c>
      <c r="G1833" s="37" t="str">
        <f>IF(Agent10_Loans!B43="","",Agent10_Loans!G43)</f>
        <v/>
      </c>
      <c r="H1833" s="37" t="str">
        <f>IF(Agent10_Loans!B43="","",Agent10_Loans!H43)</f>
        <v/>
      </c>
      <c r="I1833" s="40" t="str">
        <f>IF(Agent10_Loans!B43="","",Agent10_Loans!I43)</f>
        <v/>
      </c>
      <c r="J1833" s="40" t="str">
        <f>IF(Agent10_Loans!B43="","",Agent10_Loans!J43)</f>
        <v/>
      </c>
      <c r="K1833" s="37" t="str">
        <f>IF(Agent10_Loans!B43="","",Agent10_Loans!K43)</f>
        <v/>
      </c>
      <c r="L1833" s="37" t="str">
        <f>IF(Agent10_Loans!B43="","",Agent10_Loans!L43)</f>
        <v/>
      </c>
      <c r="M1833" s="37" t="str">
        <f>IFERROR(IF(Agent10_Loans!B43="","",YEAR(Agent10_Loans!D43)),"")</f>
        <v/>
      </c>
    </row>
    <row r="1834" spans="1:13" ht="18" customHeight="1" x14ac:dyDescent="0.25">
      <c r="A1834" s="37" t="str">
        <f>IF(Agent10_Loans!B44="","",Agent10_Loans!A44)</f>
        <v/>
      </c>
      <c r="B1834" s="37" t="str">
        <f>IF(Agent10_Loans!B44="","",Agent10_Loans!B44)</f>
        <v/>
      </c>
      <c r="C1834" s="37" t="str">
        <f>IF(Agent10_Loans!B44="","",Agent10_Loans!C44)</f>
        <v/>
      </c>
      <c r="D1834" s="38" t="str">
        <f>IF(Agent10_Loans!B44="","",Agent10_Loans!D44)</f>
        <v/>
      </c>
      <c r="E1834" s="40" t="str">
        <f>IF(Agent10_Loans!B44="","",Agent10_Loans!E44)</f>
        <v/>
      </c>
      <c r="F1834" s="37" t="str">
        <f>IF(Agent10_Loans!B44="","",Agent10_Loans!F44)</f>
        <v/>
      </c>
      <c r="G1834" s="37" t="str">
        <f>IF(Agent10_Loans!B44="","",Agent10_Loans!G44)</f>
        <v/>
      </c>
      <c r="H1834" s="37" t="str">
        <f>IF(Agent10_Loans!B44="","",Agent10_Loans!H44)</f>
        <v/>
      </c>
      <c r="I1834" s="40" t="str">
        <f>IF(Agent10_Loans!B44="","",Agent10_Loans!I44)</f>
        <v/>
      </c>
      <c r="J1834" s="40" t="str">
        <f>IF(Agent10_Loans!B44="","",Agent10_Loans!J44)</f>
        <v/>
      </c>
      <c r="K1834" s="37" t="str">
        <f>IF(Agent10_Loans!B44="","",Agent10_Loans!K44)</f>
        <v/>
      </c>
      <c r="L1834" s="37" t="str">
        <f>IF(Agent10_Loans!B44="","",Agent10_Loans!L44)</f>
        <v/>
      </c>
      <c r="M1834" s="37" t="str">
        <f>IFERROR(IF(Agent10_Loans!B44="","",YEAR(Agent10_Loans!D44)),"")</f>
        <v/>
      </c>
    </row>
    <row r="1835" spans="1:13" ht="18" customHeight="1" x14ac:dyDescent="0.25">
      <c r="A1835" s="37" t="str">
        <f>IF(Agent10_Loans!B45="","",Agent10_Loans!A45)</f>
        <v/>
      </c>
      <c r="B1835" s="37" t="str">
        <f>IF(Agent10_Loans!B45="","",Agent10_Loans!B45)</f>
        <v/>
      </c>
      <c r="C1835" s="37" t="str">
        <f>IF(Agent10_Loans!B45="","",Agent10_Loans!C45)</f>
        <v/>
      </c>
      <c r="D1835" s="38" t="str">
        <f>IF(Agent10_Loans!B45="","",Agent10_Loans!D45)</f>
        <v/>
      </c>
      <c r="E1835" s="40" t="str">
        <f>IF(Agent10_Loans!B45="","",Agent10_Loans!E45)</f>
        <v/>
      </c>
      <c r="F1835" s="37" t="str">
        <f>IF(Agent10_Loans!B45="","",Agent10_Loans!F45)</f>
        <v/>
      </c>
      <c r="G1835" s="37" t="str">
        <f>IF(Agent10_Loans!B45="","",Agent10_Loans!G45)</f>
        <v/>
      </c>
      <c r="H1835" s="37" t="str">
        <f>IF(Agent10_Loans!B45="","",Agent10_Loans!H45)</f>
        <v/>
      </c>
      <c r="I1835" s="40" t="str">
        <f>IF(Agent10_Loans!B45="","",Agent10_Loans!I45)</f>
        <v/>
      </c>
      <c r="J1835" s="40" t="str">
        <f>IF(Agent10_Loans!B45="","",Agent10_Loans!J45)</f>
        <v/>
      </c>
      <c r="K1835" s="37" t="str">
        <f>IF(Agent10_Loans!B45="","",Agent10_Loans!K45)</f>
        <v/>
      </c>
      <c r="L1835" s="37" t="str">
        <f>IF(Agent10_Loans!B45="","",Agent10_Loans!L45)</f>
        <v/>
      </c>
      <c r="M1835" s="37" t="str">
        <f>IFERROR(IF(Agent10_Loans!B45="","",YEAR(Agent10_Loans!D45)),"")</f>
        <v/>
      </c>
    </row>
    <row r="1836" spans="1:13" ht="18" customHeight="1" x14ac:dyDescent="0.25">
      <c r="A1836" s="37" t="str">
        <f>IF(Agent10_Loans!B46="","",Agent10_Loans!A46)</f>
        <v/>
      </c>
      <c r="B1836" s="37" t="str">
        <f>IF(Agent10_Loans!B46="","",Agent10_Loans!B46)</f>
        <v/>
      </c>
      <c r="C1836" s="37" t="str">
        <f>IF(Agent10_Loans!B46="","",Agent10_Loans!C46)</f>
        <v/>
      </c>
      <c r="D1836" s="38" t="str">
        <f>IF(Agent10_Loans!B46="","",Agent10_Loans!D46)</f>
        <v/>
      </c>
      <c r="E1836" s="40" t="str">
        <f>IF(Agent10_Loans!B46="","",Agent10_Loans!E46)</f>
        <v/>
      </c>
      <c r="F1836" s="37" t="str">
        <f>IF(Agent10_Loans!B46="","",Agent10_Loans!F46)</f>
        <v/>
      </c>
      <c r="G1836" s="37" t="str">
        <f>IF(Agent10_Loans!B46="","",Agent10_Loans!G46)</f>
        <v/>
      </c>
      <c r="H1836" s="37" t="str">
        <f>IF(Agent10_Loans!B46="","",Agent10_Loans!H46)</f>
        <v/>
      </c>
      <c r="I1836" s="40" t="str">
        <f>IF(Agent10_Loans!B46="","",Agent10_Loans!I46)</f>
        <v/>
      </c>
      <c r="J1836" s="40" t="str">
        <f>IF(Agent10_Loans!B46="","",Agent10_Loans!J46)</f>
        <v/>
      </c>
      <c r="K1836" s="37" t="str">
        <f>IF(Agent10_Loans!B46="","",Agent10_Loans!K46)</f>
        <v/>
      </c>
      <c r="L1836" s="37" t="str">
        <f>IF(Agent10_Loans!B46="","",Agent10_Loans!L46)</f>
        <v/>
      </c>
      <c r="M1836" s="37" t="str">
        <f>IFERROR(IF(Agent10_Loans!B46="","",YEAR(Agent10_Loans!D46)),"")</f>
        <v/>
      </c>
    </row>
    <row r="1837" spans="1:13" ht="18" customHeight="1" x14ac:dyDescent="0.25">
      <c r="A1837" s="37" t="str">
        <f>IF(Agent10_Loans!B47="","",Agent10_Loans!A47)</f>
        <v/>
      </c>
      <c r="B1837" s="37" t="str">
        <f>IF(Agent10_Loans!B47="","",Agent10_Loans!B47)</f>
        <v/>
      </c>
      <c r="C1837" s="37" t="str">
        <f>IF(Agent10_Loans!B47="","",Agent10_Loans!C47)</f>
        <v/>
      </c>
      <c r="D1837" s="38" t="str">
        <f>IF(Agent10_Loans!B47="","",Agent10_Loans!D47)</f>
        <v/>
      </c>
      <c r="E1837" s="40" t="str">
        <f>IF(Agent10_Loans!B47="","",Agent10_Loans!E47)</f>
        <v/>
      </c>
      <c r="F1837" s="37" t="str">
        <f>IF(Agent10_Loans!B47="","",Agent10_Loans!F47)</f>
        <v/>
      </c>
      <c r="G1837" s="37" t="str">
        <f>IF(Agent10_Loans!B47="","",Agent10_Loans!G47)</f>
        <v/>
      </c>
      <c r="H1837" s="37" t="str">
        <f>IF(Agent10_Loans!B47="","",Agent10_Loans!H47)</f>
        <v/>
      </c>
      <c r="I1837" s="40" t="str">
        <f>IF(Agent10_Loans!B47="","",Agent10_Loans!I47)</f>
        <v/>
      </c>
      <c r="J1837" s="40" t="str">
        <f>IF(Agent10_Loans!B47="","",Agent10_Loans!J47)</f>
        <v/>
      </c>
      <c r="K1837" s="37" t="str">
        <f>IF(Agent10_Loans!B47="","",Agent10_Loans!K47)</f>
        <v/>
      </c>
      <c r="L1837" s="37" t="str">
        <f>IF(Agent10_Loans!B47="","",Agent10_Loans!L47)</f>
        <v/>
      </c>
      <c r="M1837" s="37" t="str">
        <f>IFERROR(IF(Agent10_Loans!B47="","",YEAR(Agent10_Loans!D47)),"")</f>
        <v/>
      </c>
    </row>
    <row r="1838" spans="1:13" ht="18" customHeight="1" x14ac:dyDescent="0.25">
      <c r="A1838" s="37" t="str">
        <f>IF(Agent10_Loans!B48="","",Agent10_Loans!A48)</f>
        <v/>
      </c>
      <c r="B1838" s="37" t="str">
        <f>IF(Agent10_Loans!B48="","",Agent10_Loans!B48)</f>
        <v/>
      </c>
      <c r="C1838" s="37" t="str">
        <f>IF(Agent10_Loans!B48="","",Agent10_Loans!C48)</f>
        <v/>
      </c>
      <c r="D1838" s="38" t="str">
        <f>IF(Agent10_Loans!B48="","",Agent10_Loans!D48)</f>
        <v/>
      </c>
      <c r="E1838" s="40" t="str">
        <f>IF(Agent10_Loans!B48="","",Agent10_Loans!E48)</f>
        <v/>
      </c>
      <c r="F1838" s="37" t="str">
        <f>IF(Agent10_Loans!B48="","",Agent10_Loans!F48)</f>
        <v/>
      </c>
      <c r="G1838" s="37" t="str">
        <f>IF(Agent10_Loans!B48="","",Agent10_Loans!G48)</f>
        <v/>
      </c>
      <c r="H1838" s="37" t="str">
        <f>IF(Agent10_Loans!B48="","",Agent10_Loans!H48)</f>
        <v/>
      </c>
      <c r="I1838" s="40" t="str">
        <f>IF(Agent10_Loans!B48="","",Agent10_Loans!I48)</f>
        <v/>
      </c>
      <c r="J1838" s="40" t="str">
        <f>IF(Agent10_Loans!B48="","",Agent10_Loans!J48)</f>
        <v/>
      </c>
      <c r="K1838" s="37" t="str">
        <f>IF(Agent10_Loans!B48="","",Agent10_Loans!K48)</f>
        <v/>
      </c>
      <c r="L1838" s="37" t="str">
        <f>IF(Agent10_Loans!B48="","",Agent10_Loans!L48)</f>
        <v/>
      </c>
      <c r="M1838" s="37" t="str">
        <f>IFERROR(IF(Agent10_Loans!B48="","",YEAR(Agent10_Loans!D48)),"")</f>
        <v/>
      </c>
    </row>
    <row r="1839" spans="1:13" ht="18" customHeight="1" x14ac:dyDescent="0.25">
      <c r="A1839" s="37" t="str">
        <f>IF(Agent10_Loans!B49="","",Agent10_Loans!A49)</f>
        <v/>
      </c>
      <c r="B1839" s="37" t="str">
        <f>IF(Agent10_Loans!B49="","",Agent10_Loans!B49)</f>
        <v/>
      </c>
      <c r="C1839" s="37" t="str">
        <f>IF(Agent10_Loans!B49="","",Agent10_Loans!C49)</f>
        <v/>
      </c>
      <c r="D1839" s="38" t="str">
        <f>IF(Agent10_Loans!B49="","",Agent10_Loans!D49)</f>
        <v/>
      </c>
      <c r="E1839" s="40" t="str">
        <f>IF(Agent10_Loans!B49="","",Agent10_Loans!E49)</f>
        <v/>
      </c>
      <c r="F1839" s="37" t="str">
        <f>IF(Agent10_Loans!B49="","",Agent10_Loans!F49)</f>
        <v/>
      </c>
      <c r="G1839" s="37" t="str">
        <f>IF(Agent10_Loans!B49="","",Agent10_Loans!G49)</f>
        <v/>
      </c>
      <c r="H1839" s="37" t="str">
        <f>IF(Agent10_Loans!B49="","",Agent10_Loans!H49)</f>
        <v/>
      </c>
      <c r="I1839" s="40" t="str">
        <f>IF(Agent10_Loans!B49="","",Agent10_Loans!I49)</f>
        <v/>
      </c>
      <c r="J1839" s="40" t="str">
        <f>IF(Agent10_Loans!B49="","",Agent10_Loans!J49)</f>
        <v/>
      </c>
      <c r="K1839" s="37" t="str">
        <f>IF(Agent10_Loans!B49="","",Agent10_Loans!K49)</f>
        <v/>
      </c>
      <c r="L1839" s="37" t="str">
        <f>IF(Agent10_Loans!B49="","",Agent10_Loans!L49)</f>
        <v/>
      </c>
      <c r="M1839" s="37" t="str">
        <f>IFERROR(IF(Agent10_Loans!B49="","",YEAR(Agent10_Loans!D49)),"")</f>
        <v/>
      </c>
    </row>
    <row r="1840" spans="1:13" ht="18" customHeight="1" x14ac:dyDescent="0.25">
      <c r="A1840" s="37" t="str">
        <f>IF(Agent10_Loans!B50="","",Agent10_Loans!A50)</f>
        <v/>
      </c>
      <c r="B1840" s="37" t="str">
        <f>IF(Agent10_Loans!B50="","",Agent10_Loans!B50)</f>
        <v/>
      </c>
      <c r="C1840" s="37" t="str">
        <f>IF(Agent10_Loans!B50="","",Agent10_Loans!C50)</f>
        <v/>
      </c>
      <c r="D1840" s="38" t="str">
        <f>IF(Agent10_Loans!B50="","",Agent10_Loans!D50)</f>
        <v/>
      </c>
      <c r="E1840" s="40" t="str">
        <f>IF(Agent10_Loans!B50="","",Agent10_Loans!E50)</f>
        <v/>
      </c>
      <c r="F1840" s="37" t="str">
        <f>IF(Agent10_Loans!B50="","",Agent10_Loans!F50)</f>
        <v/>
      </c>
      <c r="G1840" s="37" t="str">
        <f>IF(Agent10_Loans!B50="","",Agent10_Loans!G50)</f>
        <v/>
      </c>
      <c r="H1840" s="37" t="str">
        <f>IF(Agent10_Loans!B50="","",Agent10_Loans!H50)</f>
        <v/>
      </c>
      <c r="I1840" s="40" t="str">
        <f>IF(Agent10_Loans!B50="","",Agent10_Loans!I50)</f>
        <v/>
      </c>
      <c r="J1840" s="40" t="str">
        <f>IF(Agent10_Loans!B50="","",Agent10_Loans!J50)</f>
        <v/>
      </c>
      <c r="K1840" s="37" t="str">
        <f>IF(Agent10_Loans!B50="","",Agent10_Loans!K50)</f>
        <v/>
      </c>
      <c r="L1840" s="37" t="str">
        <f>IF(Agent10_Loans!B50="","",Agent10_Loans!L50)</f>
        <v/>
      </c>
      <c r="M1840" s="37" t="str">
        <f>IFERROR(IF(Agent10_Loans!B50="","",YEAR(Agent10_Loans!D50)),"")</f>
        <v/>
      </c>
    </row>
    <row r="1841" spans="1:13" ht="18" customHeight="1" x14ac:dyDescent="0.25">
      <c r="A1841" s="37" t="str">
        <f>IF(Agent10_Loans!B51="","",Agent10_Loans!A51)</f>
        <v/>
      </c>
      <c r="B1841" s="37" t="str">
        <f>IF(Agent10_Loans!B51="","",Agent10_Loans!B51)</f>
        <v/>
      </c>
      <c r="C1841" s="37" t="str">
        <f>IF(Agent10_Loans!B51="","",Agent10_Loans!C51)</f>
        <v/>
      </c>
      <c r="D1841" s="38" t="str">
        <f>IF(Agent10_Loans!B51="","",Agent10_Loans!D51)</f>
        <v/>
      </c>
      <c r="E1841" s="40" t="str">
        <f>IF(Agent10_Loans!B51="","",Agent10_Loans!E51)</f>
        <v/>
      </c>
      <c r="F1841" s="37" t="str">
        <f>IF(Agent10_Loans!B51="","",Agent10_Loans!F51)</f>
        <v/>
      </c>
      <c r="G1841" s="37" t="str">
        <f>IF(Agent10_Loans!B51="","",Agent10_Loans!G51)</f>
        <v/>
      </c>
      <c r="H1841" s="37" t="str">
        <f>IF(Agent10_Loans!B51="","",Agent10_Loans!H51)</f>
        <v/>
      </c>
      <c r="I1841" s="40" t="str">
        <f>IF(Agent10_Loans!B51="","",Agent10_Loans!I51)</f>
        <v/>
      </c>
      <c r="J1841" s="40" t="str">
        <f>IF(Agent10_Loans!B51="","",Agent10_Loans!J51)</f>
        <v/>
      </c>
      <c r="K1841" s="37" t="str">
        <f>IF(Agent10_Loans!B51="","",Agent10_Loans!K51)</f>
        <v/>
      </c>
      <c r="L1841" s="37" t="str">
        <f>IF(Agent10_Loans!B51="","",Agent10_Loans!L51)</f>
        <v/>
      </c>
      <c r="M1841" s="37" t="str">
        <f>IFERROR(IF(Agent10_Loans!B51="","",YEAR(Agent10_Loans!D51)),"")</f>
        <v/>
      </c>
    </row>
    <row r="1842" spans="1:13" ht="18" customHeight="1" x14ac:dyDescent="0.25">
      <c r="A1842" s="37" t="str">
        <f>IF(Agent10_Loans!B52="","",Agent10_Loans!A52)</f>
        <v/>
      </c>
      <c r="B1842" s="37" t="str">
        <f>IF(Agent10_Loans!B52="","",Agent10_Loans!B52)</f>
        <v/>
      </c>
      <c r="C1842" s="37" t="str">
        <f>IF(Agent10_Loans!B52="","",Agent10_Loans!C52)</f>
        <v/>
      </c>
      <c r="D1842" s="38" t="str">
        <f>IF(Agent10_Loans!B52="","",Agent10_Loans!D52)</f>
        <v/>
      </c>
      <c r="E1842" s="40" t="str">
        <f>IF(Agent10_Loans!B52="","",Agent10_Loans!E52)</f>
        <v/>
      </c>
      <c r="F1842" s="37" t="str">
        <f>IF(Agent10_Loans!B52="","",Agent10_Loans!F52)</f>
        <v/>
      </c>
      <c r="G1842" s="37" t="str">
        <f>IF(Agent10_Loans!B52="","",Agent10_Loans!G52)</f>
        <v/>
      </c>
      <c r="H1842" s="37" t="str">
        <f>IF(Agent10_Loans!B52="","",Agent10_Loans!H52)</f>
        <v/>
      </c>
      <c r="I1842" s="40" t="str">
        <f>IF(Agent10_Loans!B52="","",Agent10_Loans!I52)</f>
        <v/>
      </c>
      <c r="J1842" s="40" t="str">
        <f>IF(Agent10_Loans!B52="","",Agent10_Loans!J52)</f>
        <v/>
      </c>
      <c r="K1842" s="37" t="str">
        <f>IF(Agent10_Loans!B52="","",Agent10_Loans!K52)</f>
        <v/>
      </c>
      <c r="L1842" s="37" t="str">
        <f>IF(Agent10_Loans!B52="","",Agent10_Loans!L52)</f>
        <v/>
      </c>
      <c r="M1842" s="37" t="str">
        <f>IFERROR(IF(Agent10_Loans!B52="","",YEAR(Agent10_Loans!D52)),"")</f>
        <v/>
      </c>
    </row>
    <row r="1843" spans="1:13" ht="18" customHeight="1" x14ac:dyDescent="0.25">
      <c r="A1843" s="37" t="str">
        <f>IF(Agent10_Loans!B53="","",Agent10_Loans!A53)</f>
        <v/>
      </c>
      <c r="B1843" s="37" t="str">
        <f>IF(Agent10_Loans!B53="","",Agent10_Loans!B53)</f>
        <v/>
      </c>
      <c r="C1843" s="37" t="str">
        <f>IF(Agent10_Loans!B53="","",Agent10_Loans!C53)</f>
        <v/>
      </c>
      <c r="D1843" s="38" t="str">
        <f>IF(Agent10_Loans!B53="","",Agent10_Loans!D53)</f>
        <v/>
      </c>
      <c r="E1843" s="40" t="str">
        <f>IF(Agent10_Loans!B53="","",Agent10_Loans!E53)</f>
        <v/>
      </c>
      <c r="F1843" s="37" t="str">
        <f>IF(Agent10_Loans!B53="","",Agent10_Loans!F53)</f>
        <v/>
      </c>
      <c r="G1843" s="37" t="str">
        <f>IF(Agent10_Loans!B53="","",Agent10_Loans!G53)</f>
        <v/>
      </c>
      <c r="H1843" s="37" t="str">
        <f>IF(Agent10_Loans!B53="","",Agent10_Loans!H53)</f>
        <v/>
      </c>
      <c r="I1843" s="40" t="str">
        <f>IF(Agent10_Loans!B53="","",Agent10_Loans!I53)</f>
        <v/>
      </c>
      <c r="J1843" s="40" t="str">
        <f>IF(Agent10_Loans!B53="","",Agent10_Loans!J53)</f>
        <v/>
      </c>
      <c r="K1843" s="37" t="str">
        <f>IF(Agent10_Loans!B53="","",Agent10_Loans!K53)</f>
        <v/>
      </c>
      <c r="L1843" s="37" t="str">
        <f>IF(Agent10_Loans!B53="","",Agent10_Loans!L53)</f>
        <v/>
      </c>
      <c r="M1843" s="37" t="str">
        <f>IFERROR(IF(Agent10_Loans!B53="","",YEAR(Agent10_Loans!D53)),"")</f>
        <v/>
      </c>
    </row>
    <row r="1844" spans="1:13" ht="18" customHeight="1" x14ac:dyDescent="0.25">
      <c r="A1844" s="37" t="str">
        <f>IF(Agent10_Loans!B54="","",Agent10_Loans!A54)</f>
        <v/>
      </c>
      <c r="B1844" s="37" t="str">
        <f>IF(Agent10_Loans!B54="","",Agent10_Loans!B54)</f>
        <v/>
      </c>
      <c r="C1844" s="37" t="str">
        <f>IF(Agent10_Loans!B54="","",Agent10_Loans!C54)</f>
        <v/>
      </c>
      <c r="D1844" s="38" t="str">
        <f>IF(Agent10_Loans!B54="","",Agent10_Loans!D54)</f>
        <v/>
      </c>
      <c r="E1844" s="40" t="str">
        <f>IF(Agent10_Loans!B54="","",Agent10_Loans!E54)</f>
        <v/>
      </c>
      <c r="F1844" s="37" t="str">
        <f>IF(Agent10_Loans!B54="","",Agent10_Loans!F54)</f>
        <v/>
      </c>
      <c r="G1844" s="37" t="str">
        <f>IF(Agent10_Loans!B54="","",Agent10_Loans!G54)</f>
        <v/>
      </c>
      <c r="H1844" s="37" t="str">
        <f>IF(Agent10_Loans!B54="","",Agent10_Loans!H54)</f>
        <v/>
      </c>
      <c r="I1844" s="40" t="str">
        <f>IF(Agent10_Loans!B54="","",Agent10_Loans!I54)</f>
        <v/>
      </c>
      <c r="J1844" s="40" t="str">
        <f>IF(Agent10_Loans!B54="","",Agent10_Loans!J54)</f>
        <v/>
      </c>
      <c r="K1844" s="37" t="str">
        <f>IF(Agent10_Loans!B54="","",Agent10_Loans!K54)</f>
        <v/>
      </c>
      <c r="L1844" s="37" t="str">
        <f>IF(Agent10_Loans!B54="","",Agent10_Loans!L54)</f>
        <v/>
      </c>
      <c r="M1844" s="37" t="str">
        <f>IFERROR(IF(Agent10_Loans!B54="","",YEAR(Agent10_Loans!D54)),"")</f>
        <v/>
      </c>
    </row>
    <row r="1845" spans="1:13" ht="18" customHeight="1" x14ac:dyDescent="0.25">
      <c r="A1845" s="37" t="str">
        <f>IF(Agent10_Loans!B55="","",Agent10_Loans!A55)</f>
        <v/>
      </c>
      <c r="B1845" s="37" t="str">
        <f>IF(Agent10_Loans!B55="","",Agent10_Loans!B55)</f>
        <v/>
      </c>
      <c r="C1845" s="37" t="str">
        <f>IF(Agent10_Loans!B55="","",Agent10_Loans!C55)</f>
        <v/>
      </c>
      <c r="D1845" s="38" t="str">
        <f>IF(Agent10_Loans!B55="","",Agent10_Loans!D55)</f>
        <v/>
      </c>
      <c r="E1845" s="40" t="str">
        <f>IF(Agent10_Loans!B55="","",Agent10_Loans!E55)</f>
        <v/>
      </c>
      <c r="F1845" s="37" t="str">
        <f>IF(Agent10_Loans!B55="","",Agent10_Loans!F55)</f>
        <v/>
      </c>
      <c r="G1845" s="37" t="str">
        <f>IF(Agent10_Loans!B55="","",Agent10_Loans!G55)</f>
        <v/>
      </c>
      <c r="H1845" s="37" t="str">
        <f>IF(Agent10_Loans!B55="","",Agent10_Loans!H55)</f>
        <v/>
      </c>
      <c r="I1845" s="40" t="str">
        <f>IF(Agent10_Loans!B55="","",Agent10_Loans!I55)</f>
        <v/>
      </c>
      <c r="J1845" s="40" t="str">
        <f>IF(Agent10_Loans!B55="","",Agent10_Loans!J55)</f>
        <v/>
      </c>
      <c r="K1845" s="37" t="str">
        <f>IF(Agent10_Loans!B55="","",Agent10_Loans!K55)</f>
        <v/>
      </c>
      <c r="L1845" s="37" t="str">
        <f>IF(Agent10_Loans!B55="","",Agent10_Loans!L55)</f>
        <v/>
      </c>
      <c r="M1845" s="37" t="str">
        <f>IFERROR(IF(Agent10_Loans!B55="","",YEAR(Agent10_Loans!D55)),"")</f>
        <v/>
      </c>
    </row>
    <row r="1846" spans="1:13" ht="18" customHeight="1" x14ac:dyDescent="0.25">
      <c r="A1846" s="37" t="str">
        <f>IF(Agent10_Loans!B56="","",Agent10_Loans!A56)</f>
        <v/>
      </c>
      <c r="B1846" s="37" t="str">
        <f>IF(Agent10_Loans!B56="","",Agent10_Loans!B56)</f>
        <v/>
      </c>
      <c r="C1846" s="37" t="str">
        <f>IF(Agent10_Loans!B56="","",Agent10_Loans!C56)</f>
        <v/>
      </c>
      <c r="D1846" s="38" t="str">
        <f>IF(Agent10_Loans!B56="","",Agent10_Loans!D56)</f>
        <v/>
      </c>
      <c r="E1846" s="40" t="str">
        <f>IF(Agent10_Loans!B56="","",Agent10_Loans!E56)</f>
        <v/>
      </c>
      <c r="F1846" s="37" t="str">
        <f>IF(Agent10_Loans!B56="","",Agent10_Loans!F56)</f>
        <v/>
      </c>
      <c r="G1846" s="37" t="str">
        <f>IF(Agent10_Loans!B56="","",Agent10_Loans!G56)</f>
        <v/>
      </c>
      <c r="H1846" s="37" t="str">
        <f>IF(Agent10_Loans!B56="","",Agent10_Loans!H56)</f>
        <v/>
      </c>
      <c r="I1846" s="40" t="str">
        <f>IF(Agent10_Loans!B56="","",Agent10_Loans!I56)</f>
        <v/>
      </c>
      <c r="J1846" s="40" t="str">
        <f>IF(Agent10_Loans!B56="","",Agent10_Loans!J56)</f>
        <v/>
      </c>
      <c r="K1846" s="37" t="str">
        <f>IF(Agent10_Loans!B56="","",Agent10_Loans!K56)</f>
        <v/>
      </c>
      <c r="L1846" s="37" t="str">
        <f>IF(Agent10_Loans!B56="","",Agent10_Loans!L56)</f>
        <v/>
      </c>
      <c r="M1846" s="37" t="str">
        <f>IFERROR(IF(Agent10_Loans!B56="","",YEAR(Agent10_Loans!D56)),"")</f>
        <v/>
      </c>
    </row>
    <row r="1847" spans="1:13" ht="18" customHeight="1" x14ac:dyDescent="0.25">
      <c r="A1847" s="37" t="str">
        <f>IF(Agent10_Loans!B57="","",Agent10_Loans!A57)</f>
        <v/>
      </c>
      <c r="B1847" s="37" t="str">
        <f>IF(Agent10_Loans!B57="","",Agent10_Loans!B57)</f>
        <v/>
      </c>
      <c r="C1847" s="37" t="str">
        <f>IF(Agent10_Loans!B57="","",Agent10_Loans!C57)</f>
        <v/>
      </c>
      <c r="D1847" s="38" t="str">
        <f>IF(Agent10_Loans!B57="","",Agent10_Loans!D57)</f>
        <v/>
      </c>
      <c r="E1847" s="40" t="str">
        <f>IF(Agent10_Loans!B57="","",Agent10_Loans!E57)</f>
        <v/>
      </c>
      <c r="F1847" s="37" t="str">
        <f>IF(Agent10_Loans!B57="","",Agent10_Loans!F57)</f>
        <v/>
      </c>
      <c r="G1847" s="37" t="str">
        <f>IF(Agent10_Loans!B57="","",Agent10_Loans!G57)</f>
        <v/>
      </c>
      <c r="H1847" s="37" t="str">
        <f>IF(Agent10_Loans!B57="","",Agent10_Loans!H57)</f>
        <v/>
      </c>
      <c r="I1847" s="40" t="str">
        <f>IF(Agent10_Loans!B57="","",Agent10_Loans!I57)</f>
        <v/>
      </c>
      <c r="J1847" s="40" t="str">
        <f>IF(Agent10_Loans!B57="","",Agent10_Loans!J57)</f>
        <v/>
      </c>
      <c r="K1847" s="37" t="str">
        <f>IF(Agent10_Loans!B57="","",Agent10_Loans!K57)</f>
        <v/>
      </c>
      <c r="L1847" s="37" t="str">
        <f>IF(Agent10_Loans!B57="","",Agent10_Loans!L57)</f>
        <v/>
      </c>
      <c r="M1847" s="37" t="str">
        <f>IFERROR(IF(Agent10_Loans!B57="","",YEAR(Agent10_Loans!D57)),"")</f>
        <v/>
      </c>
    </row>
    <row r="1848" spans="1:13" ht="18" customHeight="1" x14ac:dyDescent="0.25">
      <c r="A1848" s="37" t="str">
        <f>IF(Agent10_Loans!B58="","",Agent10_Loans!A58)</f>
        <v/>
      </c>
      <c r="B1848" s="37" t="str">
        <f>IF(Agent10_Loans!B58="","",Agent10_Loans!B58)</f>
        <v/>
      </c>
      <c r="C1848" s="37" t="str">
        <f>IF(Agent10_Loans!B58="","",Agent10_Loans!C58)</f>
        <v/>
      </c>
      <c r="D1848" s="38" t="str">
        <f>IF(Agent10_Loans!B58="","",Agent10_Loans!D58)</f>
        <v/>
      </c>
      <c r="E1848" s="40" t="str">
        <f>IF(Agent10_Loans!B58="","",Agent10_Loans!E58)</f>
        <v/>
      </c>
      <c r="F1848" s="37" t="str">
        <f>IF(Agent10_Loans!B58="","",Agent10_Loans!F58)</f>
        <v/>
      </c>
      <c r="G1848" s="37" t="str">
        <f>IF(Agent10_Loans!B58="","",Agent10_Loans!G58)</f>
        <v/>
      </c>
      <c r="H1848" s="37" t="str">
        <f>IF(Agent10_Loans!B58="","",Agent10_Loans!H58)</f>
        <v/>
      </c>
      <c r="I1848" s="40" t="str">
        <f>IF(Agent10_Loans!B58="","",Agent10_Loans!I58)</f>
        <v/>
      </c>
      <c r="J1848" s="40" t="str">
        <f>IF(Agent10_Loans!B58="","",Agent10_Loans!J58)</f>
        <v/>
      </c>
      <c r="K1848" s="37" t="str">
        <f>IF(Agent10_Loans!B58="","",Agent10_Loans!K58)</f>
        <v/>
      </c>
      <c r="L1848" s="37" t="str">
        <f>IF(Agent10_Loans!B58="","",Agent10_Loans!L58)</f>
        <v/>
      </c>
      <c r="M1848" s="37" t="str">
        <f>IFERROR(IF(Agent10_Loans!B58="","",YEAR(Agent10_Loans!D58)),"")</f>
        <v/>
      </c>
    </row>
    <row r="1849" spans="1:13" ht="18" customHeight="1" x14ac:dyDescent="0.25">
      <c r="A1849" s="37" t="str">
        <f>IF(Agent10_Loans!B59="","",Agent10_Loans!A59)</f>
        <v/>
      </c>
      <c r="B1849" s="37" t="str">
        <f>IF(Agent10_Loans!B59="","",Agent10_Loans!B59)</f>
        <v/>
      </c>
      <c r="C1849" s="37" t="str">
        <f>IF(Agent10_Loans!B59="","",Agent10_Loans!C59)</f>
        <v/>
      </c>
      <c r="D1849" s="38" t="str">
        <f>IF(Agent10_Loans!B59="","",Agent10_Loans!D59)</f>
        <v/>
      </c>
      <c r="E1849" s="40" t="str">
        <f>IF(Agent10_Loans!B59="","",Agent10_Loans!E59)</f>
        <v/>
      </c>
      <c r="F1849" s="37" t="str">
        <f>IF(Agent10_Loans!B59="","",Agent10_Loans!F59)</f>
        <v/>
      </c>
      <c r="G1849" s="37" t="str">
        <f>IF(Agent10_Loans!B59="","",Agent10_Loans!G59)</f>
        <v/>
      </c>
      <c r="H1849" s="37" t="str">
        <f>IF(Agent10_Loans!B59="","",Agent10_Loans!H59)</f>
        <v/>
      </c>
      <c r="I1849" s="40" t="str">
        <f>IF(Agent10_Loans!B59="","",Agent10_Loans!I59)</f>
        <v/>
      </c>
      <c r="J1849" s="40" t="str">
        <f>IF(Agent10_Loans!B59="","",Agent10_Loans!J59)</f>
        <v/>
      </c>
      <c r="K1849" s="37" t="str">
        <f>IF(Agent10_Loans!B59="","",Agent10_Loans!K59)</f>
        <v/>
      </c>
      <c r="L1849" s="37" t="str">
        <f>IF(Agent10_Loans!B59="","",Agent10_Loans!L59)</f>
        <v/>
      </c>
      <c r="M1849" s="37" t="str">
        <f>IFERROR(IF(Agent10_Loans!B59="","",YEAR(Agent10_Loans!D59)),"")</f>
        <v/>
      </c>
    </row>
    <row r="1850" spans="1:13" ht="18" customHeight="1" x14ac:dyDescent="0.25">
      <c r="A1850" s="37" t="str">
        <f>IF(Agent10_Loans!B60="","",Agent10_Loans!A60)</f>
        <v/>
      </c>
      <c r="B1850" s="37" t="str">
        <f>IF(Agent10_Loans!B60="","",Agent10_Loans!B60)</f>
        <v/>
      </c>
      <c r="C1850" s="37" t="str">
        <f>IF(Agent10_Loans!B60="","",Agent10_Loans!C60)</f>
        <v/>
      </c>
      <c r="D1850" s="38" t="str">
        <f>IF(Agent10_Loans!B60="","",Agent10_Loans!D60)</f>
        <v/>
      </c>
      <c r="E1850" s="40" t="str">
        <f>IF(Agent10_Loans!B60="","",Agent10_Loans!E60)</f>
        <v/>
      </c>
      <c r="F1850" s="37" t="str">
        <f>IF(Agent10_Loans!B60="","",Agent10_Loans!F60)</f>
        <v/>
      </c>
      <c r="G1850" s="37" t="str">
        <f>IF(Agent10_Loans!B60="","",Agent10_Loans!G60)</f>
        <v/>
      </c>
      <c r="H1850" s="37" t="str">
        <f>IF(Agent10_Loans!B60="","",Agent10_Loans!H60)</f>
        <v/>
      </c>
      <c r="I1850" s="40" t="str">
        <f>IF(Agent10_Loans!B60="","",Agent10_Loans!I60)</f>
        <v/>
      </c>
      <c r="J1850" s="40" t="str">
        <f>IF(Agent10_Loans!B60="","",Agent10_Loans!J60)</f>
        <v/>
      </c>
      <c r="K1850" s="37" t="str">
        <f>IF(Agent10_Loans!B60="","",Agent10_Loans!K60)</f>
        <v/>
      </c>
      <c r="L1850" s="37" t="str">
        <f>IF(Agent10_Loans!B60="","",Agent10_Loans!L60)</f>
        <v/>
      </c>
      <c r="M1850" s="37" t="str">
        <f>IFERROR(IF(Agent10_Loans!B60="","",YEAR(Agent10_Loans!D60)),"")</f>
        <v/>
      </c>
    </row>
    <row r="1851" spans="1:13" ht="18" customHeight="1" x14ac:dyDescent="0.25">
      <c r="A1851" s="37" t="str">
        <f>IF(Agent10_Loans!B61="","",Agent10_Loans!A61)</f>
        <v/>
      </c>
      <c r="B1851" s="37" t="str">
        <f>IF(Agent10_Loans!B61="","",Agent10_Loans!B61)</f>
        <v/>
      </c>
      <c r="C1851" s="37" t="str">
        <f>IF(Agent10_Loans!B61="","",Agent10_Loans!C61)</f>
        <v/>
      </c>
      <c r="D1851" s="38" t="str">
        <f>IF(Agent10_Loans!B61="","",Agent10_Loans!D61)</f>
        <v/>
      </c>
      <c r="E1851" s="40" t="str">
        <f>IF(Agent10_Loans!B61="","",Agent10_Loans!E61)</f>
        <v/>
      </c>
      <c r="F1851" s="37" t="str">
        <f>IF(Agent10_Loans!B61="","",Agent10_Loans!F61)</f>
        <v/>
      </c>
      <c r="G1851" s="37" t="str">
        <f>IF(Agent10_Loans!B61="","",Agent10_Loans!G61)</f>
        <v/>
      </c>
      <c r="H1851" s="37" t="str">
        <f>IF(Agent10_Loans!B61="","",Agent10_Loans!H61)</f>
        <v/>
      </c>
      <c r="I1851" s="40" t="str">
        <f>IF(Agent10_Loans!B61="","",Agent10_Loans!I61)</f>
        <v/>
      </c>
      <c r="J1851" s="40" t="str">
        <f>IF(Agent10_Loans!B61="","",Agent10_Loans!J61)</f>
        <v/>
      </c>
      <c r="K1851" s="37" t="str">
        <f>IF(Agent10_Loans!B61="","",Agent10_Loans!K61)</f>
        <v/>
      </c>
      <c r="L1851" s="37" t="str">
        <f>IF(Agent10_Loans!B61="","",Agent10_Loans!L61)</f>
        <v/>
      </c>
      <c r="M1851" s="37" t="str">
        <f>IFERROR(IF(Agent10_Loans!B61="","",YEAR(Agent10_Loans!D61)),"")</f>
        <v/>
      </c>
    </row>
    <row r="1852" spans="1:13" ht="18" customHeight="1" x14ac:dyDescent="0.25">
      <c r="A1852" s="37" t="str">
        <f>IF(Agent10_Loans!B62="","",Agent10_Loans!A62)</f>
        <v/>
      </c>
      <c r="B1852" s="37" t="str">
        <f>IF(Agent10_Loans!B62="","",Agent10_Loans!B62)</f>
        <v/>
      </c>
      <c r="C1852" s="37" t="str">
        <f>IF(Agent10_Loans!B62="","",Agent10_Loans!C62)</f>
        <v/>
      </c>
      <c r="D1852" s="38" t="str">
        <f>IF(Agent10_Loans!B62="","",Agent10_Loans!D62)</f>
        <v/>
      </c>
      <c r="E1852" s="40" t="str">
        <f>IF(Agent10_Loans!B62="","",Agent10_Loans!E62)</f>
        <v/>
      </c>
      <c r="F1852" s="37" t="str">
        <f>IF(Agent10_Loans!B62="","",Agent10_Loans!F62)</f>
        <v/>
      </c>
      <c r="G1852" s="37" t="str">
        <f>IF(Agent10_Loans!B62="","",Agent10_Loans!G62)</f>
        <v/>
      </c>
      <c r="H1852" s="37" t="str">
        <f>IF(Agent10_Loans!B62="","",Agent10_Loans!H62)</f>
        <v/>
      </c>
      <c r="I1852" s="40" t="str">
        <f>IF(Agent10_Loans!B62="","",Agent10_Loans!I62)</f>
        <v/>
      </c>
      <c r="J1852" s="40" t="str">
        <f>IF(Agent10_Loans!B62="","",Agent10_Loans!J62)</f>
        <v/>
      </c>
      <c r="K1852" s="37" t="str">
        <f>IF(Agent10_Loans!B62="","",Agent10_Loans!K62)</f>
        <v/>
      </c>
      <c r="L1852" s="37" t="str">
        <f>IF(Agent10_Loans!B62="","",Agent10_Loans!L62)</f>
        <v/>
      </c>
      <c r="M1852" s="37" t="str">
        <f>IFERROR(IF(Agent10_Loans!B62="","",YEAR(Agent10_Loans!D62)),"")</f>
        <v/>
      </c>
    </row>
    <row r="1853" spans="1:13" ht="18" customHeight="1" x14ac:dyDescent="0.25">
      <c r="A1853" s="37" t="str">
        <f>IF(Agent10_Loans!B63="","",Agent10_Loans!A63)</f>
        <v/>
      </c>
      <c r="B1853" s="37" t="str">
        <f>IF(Agent10_Loans!B63="","",Agent10_Loans!B63)</f>
        <v/>
      </c>
      <c r="C1853" s="37" t="str">
        <f>IF(Agent10_Loans!B63="","",Agent10_Loans!C63)</f>
        <v/>
      </c>
      <c r="D1853" s="38" t="str">
        <f>IF(Agent10_Loans!B63="","",Agent10_Loans!D63)</f>
        <v/>
      </c>
      <c r="E1853" s="40" t="str">
        <f>IF(Agent10_Loans!B63="","",Agent10_Loans!E63)</f>
        <v/>
      </c>
      <c r="F1853" s="37" t="str">
        <f>IF(Agent10_Loans!B63="","",Agent10_Loans!F63)</f>
        <v/>
      </c>
      <c r="G1853" s="37" t="str">
        <f>IF(Agent10_Loans!B63="","",Agent10_Loans!G63)</f>
        <v/>
      </c>
      <c r="H1853" s="37" t="str">
        <f>IF(Agent10_Loans!B63="","",Agent10_Loans!H63)</f>
        <v/>
      </c>
      <c r="I1853" s="40" t="str">
        <f>IF(Agent10_Loans!B63="","",Agent10_Loans!I63)</f>
        <v/>
      </c>
      <c r="J1853" s="40" t="str">
        <f>IF(Agent10_Loans!B63="","",Agent10_Loans!J63)</f>
        <v/>
      </c>
      <c r="K1853" s="37" t="str">
        <f>IF(Agent10_Loans!B63="","",Agent10_Loans!K63)</f>
        <v/>
      </c>
      <c r="L1853" s="37" t="str">
        <f>IF(Agent10_Loans!B63="","",Agent10_Loans!L63)</f>
        <v/>
      </c>
      <c r="M1853" s="37" t="str">
        <f>IFERROR(IF(Agent10_Loans!B63="","",YEAR(Agent10_Loans!D63)),"")</f>
        <v/>
      </c>
    </row>
    <row r="1854" spans="1:13" ht="18" customHeight="1" x14ac:dyDescent="0.25">
      <c r="A1854" s="37" t="str">
        <f>IF(Agent10_Loans!B64="","",Agent10_Loans!A64)</f>
        <v/>
      </c>
      <c r="B1854" s="37" t="str">
        <f>IF(Agent10_Loans!B64="","",Agent10_Loans!B64)</f>
        <v/>
      </c>
      <c r="C1854" s="37" t="str">
        <f>IF(Agent10_Loans!B64="","",Agent10_Loans!C64)</f>
        <v/>
      </c>
      <c r="D1854" s="38" t="str">
        <f>IF(Agent10_Loans!B64="","",Agent10_Loans!D64)</f>
        <v/>
      </c>
      <c r="E1854" s="40" t="str">
        <f>IF(Agent10_Loans!B64="","",Agent10_Loans!E64)</f>
        <v/>
      </c>
      <c r="F1854" s="37" t="str">
        <f>IF(Agent10_Loans!B64="","",Agent10_Loans!F64)</f>
        <v/>
      </c>
      <c r="G1854" s="37" t="str">
        <f>IF(Agent10_Loans!B64="","",Agent10_Loans!G64)</f>
        <v/>
      </c>
      <c r="H1854" s="37" t="str">
        <f>IF(Agent10_Loans!B64="","",Agent10_Loans!H64)</f>
        <v/>
      </c>
      <c r="I1854" s="40" t="str">
        <f>IF(Agent10_Loans!B64="","",Agent10_Loans!I64)</f>
        <v/>
      </c>
      <c r="J1854" s="40" t="str">
        <f>IF(Agent10_Loans!B64="","",Agent10_Loans!J64)</f>
        <v/>
      </c>
      <c r="K1854" s="37" t="str">
        <f>IF(Agent10_Loans!B64="","",Agent10_Loans!K64)</f>
        <v/>
      </c>
      <c r="L1854" s="37" t="str">
        <f>IF(Agent10_Loans!B64="","",Agent10_Loans!L64)</f>
        <v/>
      </c>
      <c r="M1854" s="37" t="str">
        <f>IFERROR(IF(Agent10_Loans!B64="","",YEAR(Agent10_Loans!D64)),"")</f>
        <v/>
      </c>
    </row>
    <row r="1855" spans="1:13" ht="18" customHeight="1" x14ac:dyDescent="0.25">
      <c r="A1855" s="37" t="str">
        <f>IF(Agent10_Loans!B65="","",Agent10_Loans!A65)</f>
        <v/>
      </c>
      <c r="B1855" s="37" t="str">
        <f>IF(Agent10_Loans!B65="","",Agent10_Loans!B65)</f>
        <v/>
      </c>
      <c r="C1855" s="37" t="str">
        <f>IF(Agent10_Loans!B65="","",Agent10_Loans!C65)</f>
        <v/>
      </c>
      <c r="D1855" s="38" t="str">
        <f>IF(Agent10_Loans!B65="","",Agent10_Loans!D65)</f>
        <v/>
      </c>
      <c r="E1855" s="40" t="str">
        <f>IF(Agent10_Loans!B65="","",Agent10_Loans!E65)</f>
        <v/>
      </c>
      <c r="F1855" s="37" t="str">
        <f>IF(Agent10_Loans!B65="","",Agent10_Loans!F65)</f>
        <v/>
      </c>
      <c r="G1855" s="37" t="str">
        <f>IF(Agent10_Loans!B65="","",Agent10_Loans!G65)</f>
        <v/>
      </c>
      <c r="H1855" s="37" t="str">
        <f>IF(Agent10_Loans!B65="","",Agent10_Loans!H65)</f>
        <v/>
      </c>
      <c r="I1855" s="40" t="str">
        <f>IF(Agent10_Loans!B65="","",Agent10_Loans!I65)</f>
        <v/>
      </c>
      <c r="J1855" s="40" t="str">
        <f>IF(Agent10_Loans!B65="","",Agent10_Loans!J65)</f>
        <v/>
      </c>
      <c r="K1855" s="37" t="str">
        <f>IF(Agent10_Loans!B65="","",Agent10_Loans!K65)</f>
        <v/>
      </c>
      <c r="L1855" s="37" t="str">
        <f>IF(Agent10_Loans!B65="","",Agent10_Loans!L65)</f>
        <v/>
      </c>
      <c r="M1855" s="37" t="str">
        <f>IFERROR(IF(Agent10_Loans!B65="","",YEAR(Agent10_Loans!D65)),"")</f>
        <v/>
      </c>
    </row>
    <row r="1856" spans="1:13" ht="18" customHeight="1" x14ac:dyDescent="0.25">
      <c r="A1856" s="37" t="str">
        <f>IF(Agent10_Loans!B66="","",Agent10_Loans!A66)</f>
        <v/>
      </c>
      <c r="B1856" s="37" t="str">
        <f>IF(Agent10_Loans!B66="","",Agent10_Loans!B66)</f>
        <v/>
      </c>
      <c r="C1856" s="37" t="str">
        <f>IF(Agent10_Loans!B66="","",Agent10_Loans!C66)</f>
        <v/>
      </c>
      <c r="D1856" s="38" t="str">
        <f>IF(Agent10_Loans!B66="","",Agent10_Loans!D66)</f>
        <v/>
      </c>
      <c r="E1856" s="40" t="str">
        <f>IF(Agent10_Loans!B66="","",Agent10_Loans!E66)</f>
        <v/>
      </c>
      <c r="F1856" s="37" t="str">
        <f>IF(Agent10_Loans!B66="","",Agent10_Loans!F66)</f>
        <v/>
      </c>
      <c r="G1856" s="37" t="str">
        <f>IF(Agent10_Loans!B66="","",Agent10_Loans!G66)</f>
        <v/>
      </c>
      <c r="H1856" s="37" t="str">
        <f>IF(Agent10_Loans!B66="","",Agent10_Loans!H66)</f>
        <v/>
      </c>
      <c r="I1856" s="40" t="str">
        <f>IF(Agent10_Loans!B66="","",Agent10_Loans!I66)</f>
        <v/>
      </c>
      <c r="J1856" s="40" t="str">
        <f>IF(Agent10_Loans!B66="","",Agent10_Loans!J66)</f>
        <v/>
      </c>
      <c r="K1856" s="37" t="str">
        <f>IF(Agent10_Loans!B66="","",Agent10_Loans!K66)</f>
        <v/>
      </c>
      <c r="L1856" s="37" t="str">
        <f>IF(Agent10_Loans!B66="","",Agent10_Loans!L66)</f>
        <v/>
      </c>
      <c r="M1856" s="37" t="str">
        <f>IFERROR(IF(Agent10_Loans!B66="","",YEAR(Agent10_Loans!D66)),"")</f>
        <v/>
      </c>
    </row>
    <row r="1857" spans="1:13" ht="18" customHeight="1" x14ac:dyDescent="0.25">
      <c r="A1857" s="37" t="str">
        <f>IF(Agent10_Loans!B67="","",Agent10_Loans!A67)</f>
        <v/>
      </c>
      <c r="B1857" s="37" t="str">
        <f>IF(Agent10_Loans!B67="","",Agent10_Loans!B67)</f>
        <v/>
      </c>
      <c r="C1857" s="37" t="str">
        <f>IF(Agent10_Loans!B67="","",Agent10_Loans!C67)</f>
        <v/>
      </c>
      <c r="D1857" s="38" t="str">
        <f>IF(Agent10_Loans!B67="","",Agent10_Loans!D67)</f>
        <v/>
      </c>
      <c r="E1857" s="40" t="str">
        <f>IF(Agent10_Loans!B67="","",Agent10_Loans!E67)</f>
        <v/>
      </c>
      <c r="F1857" s="37" t="str">
        <f>IF(Agent10_Loans!B67="","",Agent10_Loans!F67)</f>
        <v/>
      </c>
      <c r="G1857" s="37" t="str">
        <f>IF(Agent10_Loans!B67="","",Agent10_Loans!G67)</f>
        <v/>
      </c>
      <c r="H1857" s="37" t="str">
        <f>IF(Agent10_Loans!B67="","",Agent10_Loans!H67)</f>
        <v/>
      </c>
      <c r="I1857" s="40" t="str">
        <f>IF(Agent10_Loans!B67="","",Agent10_Loans!I67)</f>
        <v/>
      </c>
      <c r="J1857" s="40" t="str">
        <f>IF(Agent10_Loans!B67="","",Agent10_Loans!J67)</f>
        <v/>
      </c>
      <c r="K1857" s="37" t="str">
        <f>IF(Agent10_Loans!B67="","",Agent10_Loans!K67)</f>
        <v/>
      </c>
      <c r="L1857" s="37" t="str">
        <f>IF(Agent10_Loans!B67="","",Agent10_Loans!L67)</f>
        <v/>
      </c>
      <c r="M1857" s="37" t="str">
        <f>IFERROR(IF(Agent10_Loans!B67="","",YEAR(Agent10_Loans!D67)),"")</f>
        <v/>
      </c>
    </row>
    <row r="1858" spans="1:13" ht="18" customHeight="1" x14ac:dyDescent="0.25">
      <c r="A1858" s="37" t="str">
        <f>IF(Agent10_Loans!B68="","",Agent10_Loans!A68)</f>
        <v/>
      </c>
      <c r="B1858" s="37" t="str">
        <f>IF(Agent10_Loans!B68="","",Agent10_Loans!B68)</f>
        <v/>
      </c>
      <c r="C1858" s="37" t="str">
        <f>IF(Agent10_Loans!B68="","",Agent10_Loans!C68)</f>
        <v/>
      </c>
      <c r="D1858" s="38" t="str">
        <f>IF(Agent10_Loans!B68="","",Agent10_Loans!D68)</f>
        <v/>
      </c>
      <c r="E1858" s="40" t="str">
        <f>IF(Agent10_Loans!B68="","",Agent10_Loans!E68)</f>
        <v/>
      </c>
      <c r="F1858" s="37" t="str">
        <f>IF(Agent10_Loans!B68="","",Agent10_Loans!F68)</f>
        <v/>
      </c>
      <c r="G1858" s="37" t="str">
        <f>IF(Agent10_Loans!B68="","",Agent10_Loans!G68)</f>
        <v/>
      </c>
      <c r="H1858" s="37" t="str">
        <f>IF(Agent10_Loans!B68="","",Agent10_Loans!H68)</f>
        <v/>
      </c>
      <c r="I1858" s="40" t="str">
        <f>IF(Agent10_Loans!B68="","",Agent10_Loans!I68)</f>
        <v/>
      </c>
      <c r="J1858" s="40" t="str">
        <f>IF(Agent10_Loans!B68="","",Agent10_Loans!J68)</f>
        <v/>
      </c>
      <c r="K1858" s="37" t="str">
        <f>IF(Agent10_Loans!B68="","",Agent10_Loans!K68)</f>
        <v/>
      </c>
      <c r="L1858" s="37" t="str">
        <f>IF(Agent10_Loans!B68="","",Agent10_Loans!L68)</f>
        <v/>
      </c>
      <c r="M1858" s="37" t="str">
        <f>IFERROR(IF(Agent10_Loans!B68="","",YEAR(Agent10_Loans!D68)),"")</f>
        <v/>
      </c>
    </row>
    <row r="1859" spans="1:13" ht="18" customHeight="1" x14ac:dyDescent="0.25">
      <c r="A1859" s="37" t="str">
        <f>IF(Agent10_Loans!B69="","",Agent10_Loans!A69)</f>
        <v/>
      </c>
      <c r="B1859" s="37" t="str">
        <f>IF(Agent10_Loans!B69="","",Agent10_Loans!B69)</f>
        <v/>
      </c>
      <c r="C1859" s="37" t="str">
        <f>IF(Agent10_Loans!B69="","",Agent10_Loans!C69)</f>
        <v/>
      </c>
      <c r="D1859" s="38" t="str">
        <f>IF(Agent10_Loans!B69="","",Agent10_Loans!D69)</f>
        <v/>
      </c>
      <c r="E1859" s="40" t="str">
        <f>IF(Agent10_Loans!B69="","",Agent10_Loans!E69)</f>
        <v/>
      </c>
      <c r="F1859" s="37" t="str">
        <f>IF(Agent10_Loans!B69="","",Agent10_Loans!F69)</f>
        <v/>
      </c>
      <c r="G1859" s="37" t="str">
        <f>IF(Agent10_Loans!B69="","",Agent10_Loans!G69)</f>
        <v/>
      </c>
      <c r="H1859" s="37" t="str">
        <f>IF(Agent10_Loans!B69="","",Agent10_Loans!H69)</f>
        <v/>
      </c>
      <c r="I1859" s="40" t="str">
        <f>IF(Agent10_Loans!B69="","",Agent10_Loans!I69)</f>
        <v/>
      </c>
      <c r="J1859" s="40" t="str">
        <f>IF(Agent10_Loans!B69="","",Agent10_Loans!J69)</f>
        <v/>
      </c>
      <c r="K1859" s="37" t="str">
        <f>IF(Agent10_Loans!B69="","",Agent10_Loans!K69)</f>
        <v/>
      </c>
      <c r="L1859" s="37" t="str">
        <f>IF(Agent10_Loans!B69="","",Agent10_Loans!L69)</f>
        <v/>
      </c>
      <c r="M1859" s="37" t="str">
        <f>IFERROR(IF(Agent10_Loans!B69="","",YEAR(Agent10_Loans!D69)),"")</f>
        <v/>
      </c>
    </row>
    <row r="1860" spans="1:13" ht="18" customHeight="1" x14ac:dyDescent="0.25">
      <c r="A1860" s="37" t="str">
        <f>IF(Agent10_Loans!B70="","",Agent10_Loans!A70)</f>
        <v/>
      </c>
      <c r="B1860" s="37" t="str">
        <f>IF(Agent10_Loans!B70="","",Agent10_Loans!B70)</f>
        <v/>
      </c>
      <c r="C1860" s="37" t="str">
        <f>IF(Agent10_Loans!B70="","",Agent10_Loans!C70)</f>
        <v/>
      </c>
      <c r="D1860" s="38" t="str">
        <f>IF(Agent10_Loans!B70="","",Agent10_Loans!D70)</f>
        <v/>
      </c>
      <c r="E1860" s="40" t="str">
        <f>IF(Agent10_Loans!B70="","",Agent10_Loans!E70)</f>
        <v/>
      </c>
      <c r="F1860" s="37" t="str">
        <f>IF(Agent10_Loans!B70="","",Agent10_Loans!F70)</f>
        <v/>
      </c>
      <c r="G1860" s="37" t="str">
        <f>IF(Agent10_Loans!B70="","",Agent10_Loans!G70)</f>
        <v/>
      </c>
      <c r="H1860" s="37" t="str">
        <f>IF(Agent10_Loans!B70="","",Agent10_Loans!H70)</f>
        <v/>
      </c>
      <c r="I1860" s="40" t="str">
        <f>IF(Agent10_Loans!B70="","",Agent10_Loans!I70)</f>
        <v/>
      </c>
      <c r="J1860" s="40" t="str">
        <f>IF(Agent10_Loans!B70="","",Agent10_Loans!J70)</f>
        <v/>
      </c>
      <c r="K1860" s="37" t="str">
        <f>IF(Agent10_Loans!B70="","",Agent10_Loans!K70)</f>
        <v/>
      </c>
      <c r="L1860" s="37" t="str">
        <f>IF(Agent10_Loans!B70="","",Agent10_Loans!L70)</f>
        <v/>
      </c>
      <c r="M1860" s="37" t="str">
        <f>IFERROR(IF(Agent10_Loans!B70="","",YEAR(Agent10_Loans!D70)),"")</f>
        <v/>
      </c>
    </row>
    <row r="1861" spans="1:13" ht="18" customHeight="1" x14ac:dyDescent="0.25">
      <c r="A1861" s="37" t="str">
        <f>IF(Agent10_Loans!B71="","",Agent10_Loans!A71)</f>
        <v/>
      </c>
      <c r="B1861" s="37" t="str">
        <f>IF(Agent10_Loans!B71="","",Agent10_Loans!B71)</f>
        <v/>
      </c>
      <c r="C1861" s="37" t="str">
        <f>IF(Agent10_Loans!B71="","",Agent10_Loans!C71)</f>
        <v/>
      </c>
      <c r="D1861" s="38" t="str">
        <f>IF(Agent10_Loans!B71="","",Agent10_Loans!D71)</f>
        <v/>
      </c>
      <c r="E1861" s="40" t="str">
        <f>IF(Agent10_Loans!B71="","",Agent10_Loans!E71)</f>
        <v/>
      </c>
      <c r="F1861" s="37" t="str">
        <f>IF(Agent10_Loans!B71="","",Agent10_Loans!F71)</f>
        <v/>
      </c>
      <c r="G1861" s="37" t="str">
        <f>IF(Agent10_Loans!B71="","",Agent10_Loans!G71)</f>
        <v/>
      </c>
      <c r="H1861" s="37" t="str">
        <f>IF(Agent10_Loans!B71="","",Agent10_Loans!H71)</f>
        <v/>
      </c>
      <c r="I1861" s="40" t="str">
        <f>IF(Agent10_Loans!B71="","",Agent10_Loans!I71)</f>
        <v/>
      </c>
      <c r="J1861" s="40" t="str">
        <f>IF(Agent10_Loans!B71="","",Agent10_Loans!J71)</f>
        <v/>
      </c>
      <c r="K1861" s="37" t="str">
        <f>IF(Agent10_Loans!B71="","",Agent10_Loans!K71)</f>
        <v/>
      </c>
      <c r="L1861" s="37" t="str">
        <f>IF(Agent10_Loans!B71="","",Agent10_Loans!L71)</f>
        <v/>
      </c>
      <c r="M1861" s="37" t="str">
        <f>IFERROR(IF(Agent10_Loans!B71="","",YEAR(Agent10_Loans!D71)),"")</f>
        <v/>
      </c>
    </row>
    <row r="1862" spans="1:13" ht="18" customHeight="1" x14ac:dyDescent="0.25">
      <c r="A1862" s="37" t="str">
        <f>IF(Agent10_Loans!B72="","",Agent10_Loans!A72)</f>
        <v/>
      </c>
      <c r="B1862" s="37" t="str">
        <f>IF(Agent10_Loans!B72="","",Agent10_Loans!B72)</f>
        <v/>
      </c>
      <c r="C1862" s="37" t="str">
        <f>IF(Agent10_Loans!B72="","",Agent10_Loans!C72)</f>
        <v/>
      </c>
      <c r="D1862" s="38" t="str">
        <f>IF(Agent10_Loans!B72="","",Agent10_Loans!D72)</f>
        <v/>
      </c>
      <c r="E1862" s="40" t="str">
        <f>IF(Agent10_Loans!B72="","",Agent10_Loans!E72)</f>
        <v/>
      </c>
      <c r="F1862" s="37" t="str">
        <f>IF(Agent10_Loans!B72="","",Agent10_Loans!F72)</f>
        <v/>
      </c>
      <c r="G1862" s="37" t="str">
        <f>IF(Agent10_Loans!B72="","",Agent10_Loans!G72)</f>
        <v/>
      </c>
      <c r="H1862" s="37" t="str">
        <f>IF(Agent10_Loans!B72="","",Agent10_Loans!H72)</f>
        <v/>
      </c>
      <c r="I1862" s="40" t="str">
        <f>IF(Agent10_Loans!B72="","",Agent10_Loans!I72)</f>
        <v/>
      </c>
      <c r="J1862" s="40" t="str">
        <f>IF(Agent10_Loans!B72="","",Agent10_Loans!J72)</f>
        <v/>
      </c>
      <c r="K1862" s="37" t="str">
        <f>IF(Agent10_Loans!B72="","",Agent10_Loans!K72)</f>
        <v/>
      </c>
      <c r="L1862" s="37" t="str">
        <f>IF(Agent10_Loans!B72="","",Agent10_Loans!L72)</f>
        <v/>
      </c>
      <c r="M1862" s="37" t="str">
        <f>IFERROR(IF(Agent10_Loans!B72="","",YEAR(Agent10_Loans!D72)),"")</f>
        <v/>
      </c>
    </row>
    <row r="1863" spans="1:13" ht="18" customHeight="1" x14ac:dyDescent="0.25">
      <c r="A1863" s="37" t="str">
        <f>IF(Agent10_Loans!B73="","",Agent10_Loans!A73)</f>
        <v/>
      </c>
      <c r="B1863" s="37" t="str">
        <f>IF(Agent10_Loans!B73="","",Agent10_Loans!B73)</f>
        <v/>
      </c>
      <c r="C1863" s="37" t="str">
        <f>IF(Agent10_Loans!B73="","",Agent10_Loans!C73)</f>
        <v/>
      </c>
      <c r="D1863" s="38" t="str">
        <f>IF(Agent10_Loans!B73="","",Agent10_Loans!D73)</f>
        <v/>
      </c>
      <c r="E1863" s="40" t="str">
        <f>IF(Agent10_Loans!B73="","",Agent10_Loans!E73)</f>
        <v/>
      </c>
      <c r="F1863" s="37" t="str">
        <f>IF(Agent10_Loans!B73="","",Agent10_Loans!F73)</f>
        <v/>
      </c>
      <c r="G1863" s="37" t="str">
        <f>IF(Agent10_Loans!B73="","",Agent10_Loans!G73)</f>
        <v/>
      </c>
      <c r="H1863" s="37" t="str">
        <f>IF(Agent10_Loans!B73="","",Agent10_Loans!H73)</f>
        <v/>
      </c>
      <c r="I1863" s="40" t="str">
        <f>IF(Agent10_Loans!B73="","",Agent10_Loans!I73)</f>
        <v/>
      </c>
      <c r="J1863" s="40" t="str">
        <f>IF(Agent10_Loans!B73="","",Agent10_Loans!J73)</f>
        <v/>
      </c>
      <c r="K1863" s="37" t="str">
        <f>IF(Agent10_Loans!B73="","",Agent10_Loans!K73)</f>
        <v/>
      </c>
      <c r="L1863" s="37" t="str">
        <f>IF(Agent10_Loans!B73="","",Agent10_Loans!L73)</f>
        <v/>
      </c>
      <c r="M1863" s="37" t="str">
        <f>IFERROR(IF(Agent10_Loans!B73="","",YEAR(Agent10_Loans!D73)),"")</f>
        <v/>
      </c>
    </row>
    <row r="1864" spans="1:13" ht="18" customHeight="1" x14ac:dyDescent="0.25">
      <c r="A1864" s="37" t="str">
        <f>IF(Agent10_Loans!B74="","",Agent10_Loans!A74)</f>
        <v/>
      </c>
      <c r="B1864" s="37" t="str">
        <f>IF(Agent10_Loans!B74="","",Agent10_Loans!B74)</f>
        <v/>
      </c>
      <c r="C1864" s="37" t="str">
        <f>IF(Agent10_Loans!B74="","",Agent10_Loans!C74)</f>
        <v/>
      </c>
      <c r="D1864" s="38" t="str">
        <f>IF(Agent10_Loans!B74="","",Agent10_Loans!D74)</f>
        <v/>
      </c>
      <c r="E1864" s="40" t="str">
        <f>IF(Agent10_Loans!B74="","",Agent10_Loans!E74)</f>
        <v/>
      </c>
      <c r="F1864" s="37" t="str">
        <f>IF(Agent10_Loans!B74="","",Agent10_Loans!F74)</f>
        <v/>
      </c>
      <c r="G1864" s="37" t="str">
        <f>IF(Agent10_Loans!B74="","",Agent10_Loans!G74)</f>
        <v/>
      </c>
      <c r="H1864" s="37" t="str">
        <f>IF(Agent10_Loans!B74="","",Agent10_Loans!H74)</f>
        <v/>
      </c>
      <c r="I1864" s="40" t="str">
        <f>IF(Agent10_Loans!B74="","",Agent10_Loans!I74)</f>
        <v/>
      </c>
      <c r="J1864" s="40" t="str">
        <f>IF(Agent10_Loans!B74="","",Agent10_Loans!J74)</f>
        <v/>
      </c>
      <c r="K1864" s="37" t="str">
        <f>IF(Agent10_Loans!B74="","",Agent10_Loans!K74)</f>
        <v/>
      </c>
      <c r="L1864" s="37" t="str">
        <f>IF(Agent10_Loans!B74="","",Agent10_Loans!L74)</f>
        <v/>
      </c>
      <c r="M1864" s="37" t="str">
        <f>IFERROR(IF(Agent10_Loans!B74="","",YEAR(Agent10_Loans!D74)),"")</f>
        <v/>
      </c>
    </row>
    <row r="1865" spans="1:13" ht="18" customHeight="1" x14ac:dyDescent="0.25">
      <c r="A1865" s="37" t="str">
        <f>IF(Agent10_Loans!B75="","",Agent10_Loans!A75)</f>
        <v/>
      </c>
      <c r="B1865" s="37" t="str">
        <f>IF(Agent10_Loans!B75="","",Agent10_Loans!B75)</f>
        <v/>
      </c>
      <c r="C1865" s="37" t="str">
        <f>IF(Agent10_Loans!B75="","",Agent10_Loans!C75)</f>
        <v/>
      </c>
      <c r="D1865" s="38" t="str">
        <f>IF(Agent10_Loans!B75="","",Agent10_Loans!D75)</f>
        <v/>
      </c>
      <c r="E1865" s="40" t="str">
        <f>IF(Agent10_Loans!B75="","",Agent10_Loans!E75)</f>
        <v/>
      </c>
      <c r="F1865" s="37" t="str">
        <f>IF(Agent10_Loans!B75="","",Agent10_Loans!F75)</f>
        <v/>
      </c>
      <c r="G1865" s="37" t="str">
        <f>IF(Agent10_Loans!B75="","",Agent10_Loans!G75)</f>
        <v/>
      </c>
      <c r="H1865" s="37" t="str">
        <f>IF(Agent10_Loans!B75="","",Agent10_Loans!H75)</f>
        <v/>
      </c>
      <c r="I1865" s="40" t="str">
        <f>IF(Agent10_Loans!B75="","",Agent10_Loans!I75)</f>
        <v/>
      </c>
      <c r="J1865" s="40" t="str">
        <f>IF(Agent10_Loans!B75="","",Agent10_Loans!J75)</f>
        <v/>
      </c>
      <c r="K1865" s="37" t="str">
        <f>IF(Agent10_Loans!B75="","",Agent10_Loans!K75)</f>
        <v/>
      </c>
      <c r="L1865" s="37" t="str">
        <f>IF(Agent10_Loans!B75="","",Agent10_Loans!L75)</f>
        <v/>
      </c>
      <c r="M1865" s="37" t="str">
        <f>IFERROR(IF(Agent10_Loans!B75="","",YEAR(Agent10_Loans!D75)),"")</f>
        <v/>
      </c>
    </row>
    <row r="1866" spans="1:13" ht="18" customHeight="1" x14ac:dyDescent="0.25">
      <c r="A1866" s="37" t="str">
        <f>IF(Agent10_Loans!B76="","",Agent10_Loans!A76)</f>
        <v/>
      </c>
      <c r="B1866" s="37" t="str">
        <f>IF(Agent10_Loans!B76="","",Agent10_Loans!B76)</f>
        <v/>
      </c>
      <c r="C1866" s="37" t="str">
        <f>IF(Agent10_Loans!B76="","",Agent10_Loans!C76)</f>
        <v/>
      </c>
      <c r="D1866" s="38" t="str">
        <f>IF(Agent10_Loans!B76="","",Agent10_Loans!D76)</f>
        <v/>
      </c>
      <c r="E1866" s="40" t="str">
        <f>IF(Agent10_Loans!B76="","",Agent10_Loans!E76)</f>
        <v/>
      </c>
      <c r="F1866" s="37" t="str">
        <f>IF(Agent10_Loans!B76="","",Agent10_Loans!F76)</f>
        <v/>
      </c>
      <c r="G1866" s="37" t="str">
        <f>IF(Agent10_Loans!B76="","",Agent10_Loans!G76)</f>
        <v/>
      </c>
      <c r="H1866" s="37" t="str">
        <f>IF(Agent10_Loans!B76="","",Agent10_Loans!H76)</f>
        <v/>
      </c>
      <c r="I1866" s="40" t="str">
        <f>IF(Agent10_Loans!B76="","",Agent10_Loans!I76)</f>
        <v/>
      </c>
      <c r="J1866" s="40" t="str">
        <f>IF(Agent10_Loans!B76="","",Agent10_Loans!J76)</f>
        <v/>
      </c>
      <c r="K1866" s="37" t="str">
        <f>IF(Agent10_Loans!B76="","",Agent10_Loans!K76)</f>
        <v/>
      </c>
      <c r="L1866" s="37" t="str">
        <f>IF(Agent10_Loans!B76="","",Agent10_Loans!L76)</f>
        <v/>
      </c>
      <c r="M1866" s="37" t="str">
        <f>IFERROR(IF(Agent10_Loans!B76="","",YEAR(Agent10_Loans!D76)),"")</f>
        <v/>
      </c>
    </row>
    <row r="1867" spans="1:13" ht="18" customHeight="1" x14ac:dyDescent="0.25">
      <c r="A1867" s="37" t="str">
        <f>IF(Agent10_Loans!B77="","",Agent10_Loans!A77)</f>
        <v/>
      </c>
      <c r="B1867" s="37" t="str">
        <f>IF(Agent10_Loans!B77="","",Agent10_Loans!B77)</f>
        <v/>
      </c>
      <c r="C1867" s="37" t="str">
        <f>IF(Agent10_Loans!B77="","",Agent10_Loans!C77)</f>
        <v/>
      </c>
      <c r="D1867" s="38" t="str">
        <f>IF(Agent10_Loans!B77="","",Agent10_Loans!D77)</f>
        <v/>
      </c>
      <c r="E1867" s="40" t="str">
        <f>IF(Agent10_Loans!B77="","",Agent10_Loans!E77)</f>
        <v/>
      </c>
      <c r="F1867" s="37" t="str">
        <f>IF(Agent10_Loans!B77="","",Agent10_Loans!F77)</f>
        <v/>
      </c>
      <c r="G1867" s="37" t="str">
        <f>IF(Agent10_Loans!B77="","",Agent10_Loans!G77)</f>
        <v/>
      </c>
      <c r="H1867" s="37" t="str">
        <f>IF(Agent10_Loans!B77="","",Agent10_Loans!H77)</f>
        <v/>
      </c>
      <c r="I1867" s="40" t="str">
        <f>IF(Agent10_Loans!B77="","",Agent10_Loans!I77)</f>
        <v/>
      </c>
      <c r="J1867" s="40" t="str">
        <f>IF(Agent10_Loans!B77="","",Agent10_Loans!J77)</f>
        <v/>
      </c>
      <c r="K1867" s="37" t="str">
        <f>IF(Agent10_Loans!B77="","",Agent10_Loans!K77)</f>
        <v/>
      </c>
      <c r="L1867" s="37" t="str">
        <f>IF(Agent10_Loans!B77="","",Agent10_Loans!L77)</f>
        <v/>
      </c>
      <c r="M1867" s="37" t="str">
        <f>IFERROR(IF(Agent10_Loans!B77="","",YEAR(Agent10_Loans!D77)),"")</f>
        <v/>
      </c>
    </row>
    <row r="1868" spans="1:13" ht="18" customHeight="1" x14ac:dyDescent="0.25">
      <c r="A1868" s="37" t="str">
        <f>IF(Agent10_Loans!B78="","",Agent10_Loans!A78)</f>
        <v/>
      </c>
      <c r="B1868" s="37" t="str">
        <f>IF(Agent10_Loans!B78="","",Agent10_Loans!B78)</f>
        <v/>
      </c>
      <c r="C1868" s="37" t="str">
        <f>IF(Agent10_Loans!B78="","",Agent10_Loans!C78)</f>
        <v/>
      </c>
      <c r="D1868" s="38" t="str">
        <f>IF(Agent10_Loans!B78="","",Agent10_Loans!D78)</f>
        <v/>
      </c>
      <c r="E1868" s="40" t="str">
        <f>IF(Agent10_Loans!B78="","",Agent10_Loans!E78)</f>
        <v/>
      </c>
      <c r="F1868" s="37" t="str">
        <f>IF(Agent10_Loans!B78="","",Agent10_Loans!F78)</f>
        <v/>
      </c>
      <c r="G1868" s="37" t="str">
        <f>IF(Agent10_Loans!B78="","",Agent10_Loans!G78)</f>
        <v/>
      </c>
      <c r="H1868" s="37" t="str">
        <f>IF(Agent10_Loans!B78="","",Agent10_Loans!H78)</f>
        <v/>
      </c>
      <c r="I1868" s="40" t="str">
        <f>IF(Agent10_Loans!B78="","",Agent10_Loans!I78)</f>
        <v/>
      </c>
      <c r="J1868" s="40" t="str">
        <f>IF(Agent10_Loans!B78="","",Agent10_Loans!J78)</f>
        <v/>
      </c>
      <c r="K1868" s="37" t="str">
        <f>IF(Agent10_Loans!B78="","",Agent10_Loans!K78)</f>
        <v/>
      </c>
      <c r="L1868" s="37" t="str">
        <f>IF(Agent10_Loans!B78="","",Agent10_Loans!L78)</f>
        <v/>
      </c>
      <c r="M1868" s="37" t="str">
        <f>IFERROR(IF(Agent10_Loans!B78="","",YEAR(Agent10_Loans!D78)),"")</f>
        <v/>
      </c>
    </row>
    <row r="1869" spans="1:13" ht="18" customHeight="1" x14ac:dyDescent="0.25">
      <c r="A1869" s="37" t="str">
        <f>IF(Agent10_Loans!B79="","",Agent10_Loans!A79)</f>
        <v/>
      </c>
      <c r="B1869" s="37" t="str">
        <f>IF(Agent10_Loans!B79="","",Agent10_Loans!B79)</f>
        <v/>
      </c>
      <c r="C1869" s="37" t="str">
        <f>IF(Agent10_Loans!B79="","",Agent10_Loans!C79)</f>
        <v/>
      </c>
      <c r="D1869" s="38" t="str">
        <f>IF(Agent10_Loans!B79="","",Agent10_Loans!D79)</f>
        <v/>
      </c>
      <c r="E1869" s="40" t="str">
        <f>IF(Agent10_Loans!B79="","",Agent10_Loans!E79)</f>
        <v/>
      </c>
      <c r="F1869" s="37" t="str">
        <f>IF(Agent10_Loans!B79="","",Agent10_Loans!F79)</f>
        <v/>
      </c>
      <c r="G1869" s="37" t="str">
        <f>IF(Agent10_Loans!B79="","",Agent10_Loans!G79)</f>
        <v/>
      </c>
      <c r="H1869" s="37" t="str">
        <f>IF(Agent10_Loans!B79="","",Agent10_Loans!H79)</f>
        <v/>
      </c>
      <c r="I1869" s="40" t="str">
        <f>IF(Agent10_Loans!B79="","",Agent10_Loans!I79)</f>
        <v/>
      </c>
      <c r="J1869" s="40" t="str">
        <f>IF(Agent10_Loans!B79="","",Agent10_Loans!J79)</f>
        <v/>
      </c>
      <c r="K1869" s="37" t="str">
        <f>IF(Agent10_Loans!B79="","",Agent10_Loans!K79)</f>
        <v/>
      </c>
      <c r="L1869" s="37" t="str">
        <f>IF(Agent10_Loans!B79="","",Agent10_Loans!L79)</f>
        <v/>
      </c>
      <c r="M1869" s="37" t="str">
        <f>IFERROR(IF(Agent10_Loans!B79="","",YEAR(Agent10_Loans!D79)),"")</f>
        <v/>
      </c>
    </row>
    <row r="1870" spans="1:13" ht="18" customHeight="1" x14ac:dyDescent="0.25">
      <c r="A1870" s="37" t="str">
        <f>IF(Agent10_Loans!B80="","",Agent10_Loans!A80)</f>
        <v/>
      </c>
      <c r="B1870" s="37" t="str">
        <f>IF(Agent10_Loans!B80="","",Agent10_Loans!B80)</f>
        <v/>
      </c>
      <c r="C1870" s="37" t="str">
        <f>IF(Agent10_Loans!B80="","",Agent10_Loans!C80)</f>
        <v/>
      </c>
      <c r="D1870" s="38" t="str">
        <f>IF(Agent10_Loans!B80="","",Agent10_Loans!D80)</f>
        <v/>
      </c>
      <c r="E1870" s="40" t="str">
        <f>IF(Agent10_Loans!B80="","",Agent10_Loans!E80)</f>
        <v/>
      </c>
      <c r="F1870" s="37" t="str">
        <f>IF(Agent10_Loans!B80="","",Agent10_Loans!F80)</f>
        <v/>
      </c>
      <c r="G1870" s="37" t="str">
        <f>IF(Agent10_Loans!B80="","",Agent10_Loans!G80)</f>
        <v/>
      </c>
      <c r="H1870" s="37" t="str">
        <f>IF(Agent10_Loans!B80="","",Agent10_Loans!H80)</f>
        <v/>
      </c>
      <c r="I1870" s="40" t="str">
        <f>IF(Agent10_Loans!B80="","",Agent10_Loans!I80)</f>
        <v/>
      </c>
      <c r="J1870" s="40" t="str">
        <f>IF(Agent10_Loans!B80="","",Agent10_Loans!J80)</f>
        <v/>
      </c>
      <c r="K1870" s="37" t="str">
        <f>IF(Agent10_Loans!B80="","",Agent10_Loans!K80)</f>
        <v/>
      </c>
      <c r="L1870" s="37" t="str">
        <f>IF(Agent10_Loans!B80="","",Agent10_Loans!L80)</f>
        <v/>
      </c>
      <c r="M1870" s="37" t="str">
        <f>IFERROR(IF(Agent10_Loans!B80="","",YEAR(Agent10_Loans!D80)),"")</f>
        <v/>
      </c>
    </row>
    <row r="1871" spans="1:13" ht="18" customHeight="1" x14ac:dyDescent="0.25">
      <c r="A1871" s="37" t="str">
        <f>IF(Agent10_Loans!B81="","",Agent10_Loans!A81)</f>
        <v/>
      </c>
      <c r="B1871" s="37" t="str">
        <f>IF(Agent10_Loans!B81="","",Agent10_Loans!B81)</f>
        <v/>
      </c>
      <c r="C1871" s="37" t="str">
        <f>IF(Agent10_Loans!B81="","",Agent10_Loans!C81)</f>
        <v/>
      </c>
      <c r="D1871" s="38" t="str">
        <f>IF(Agent10_Loans!B81="","",Agent10_Loans!D81)</f>
        <v/>
      </c>
      <c r="E1871" s="40" t="str">
        <f>IF(Agent10_Loans!B81="","",Agent10_Loans!E81)</f>
        <v/>
      </c>
      <c r="F1871" s="37" t="str">
        <f>IF(Agent10_Loans!B81="","",Agent10_Loans!F81)</f>
        <v/>
      </c>
      <c r="G1871" s="37" t="str">
        <f>IF(Agent10_Loans!B81="","",Agent10_Loans!G81)</f>
        <v/>
      </c>
      <c r="H1871" s="37" t="str">
        <f>IF(Agent10_Loans!B81="","",Agent10_Loans!H81)</f>
        <v/>
      </c>
      <c r="I1871" s="40" t="str">
        <f>IF(Agent10_Loans!B81="","",Agent10_Loans!I81)</f>
        <v/>
      </c>
      <c r="J1871" s="40" t="str">
        <f>IF(Agent10_Loans!B81="","",Agent10_Loans!J81)</f>
        <v/>
      </c>
      <c r="K1871" s="37" t="str">
        <f>IF(Agent10_Loans!B81="","",Agent10_Loans!K81)</f>
        <v/>
      </c>
      <c r="L1871" s="37" t="str">
        <f>IF(Agent10_Loans!B81="","",Agent10_Loans!L81)</f>
        <v/>
      </c>
      <c r="M1871" s="37" t="str">
        <f>IFERROR(IF(Agent10_Loans!B81="","",YEAR(Agent10_Loans!D81)),"")</f>
        <v/>
      </c>
    </row>
    <row r="1872" spans="1:13" ht="18" customHeight="1" x14ac:dyDescent="0.25">
      <c r="A1872" s="37" t="str">
        <f>IF(Agent10_Loans!B82="","",Agent10_Loans!A82)</f>
        <v/>
      </c>
      <c r="B1872" s="37" t="str">
        <f>IF(Agent10_Loans!B82="","",Agent10_Loans!B82)</f>
        <v/>
      </c>
      <c r="C1872" s="37" t="str">
        <f>IF(Agent10_Loans!B82="","",Agent10_Loans!C82)</f>
        <v/>
      </c>
      <c r="D1872" s="38" t="str">
        <f>IF(Agent10_Loans!B82="","",Agent10_Loans!D82)</f>
        <v/>
      </c>
      <c r="E1872" s="40" t="str">
        <f>IF(Agent10_Loans!B82="","",Agent10_Loans!E82)</f>
        <v/>
      </c>
      <c r="F1872" s="37" t="str">
        <f>IF(Agent10_Loans!B82="","",Agent10_Loans!F82)</f>
        <v/>
      </c>
      <c r="G1872" s="37" t="str">
        <f>IF(Agent10_Loans!B82="","",Agent10_Loans!G82)</f>
        <v/>
      </c>
      <c r="H1872" s="37" t="str">
        <f>IF(Agent10_Loans!B82="","",Agent10_Loans!H82)</f>
        <v/>
      </c>
      <c r="I1872" s="40" t="str">
        <f>IF(Agent10_Loans!B82="","",Agent10_Loans!I82)</f>
        <v/>
      </c>
      <c r="J1872" s="40" t="str">
        <f>IF(Agent10_Loans!B82="","",Agent10_Loans!J82)</f>
        <v/>
      </c>
      <c r="K1872" s="37" t="str">
        <f>IF(Agent10_Loans!B82="","",Agent10_Loans!K82)</f>
        <v/>
      </c>
      <c r="L1872" s="37" t="str">
        <f>IF(Agent10_Loans!B82="","",Agent10_Loans!L82)</f>
        <v/>
      </c>
      <c r="M1872" s="37" t="str">
        <f>IFERROR(IF(Agent10_Loans!B82="","",YEAR(Agent10_Loans!D82)),"")</f>
        <v/>
      </c>
    </row>
    <row r="1873" spans="1:13" ht="18" customHeight="1" x14ac:dyDescent="0.25">
      <c r="A1873" s="37" t="str">
        <f>IF(Agent10_Loans!B83="","",Agent10_Loans!A83)</f>
        <v/>
      </c>
      <c r="B1873" s="37" t="str">
        <f>IF(Agent10_Loans!B83="","",Agent10_Loans!B83)</f>
        <v/>
      </c>
      <c r="C1873" s="37" t="str">
        <f>IF(Agent10_Loans!B83="","",Agent10_Loans!C83)</f>
        <v/>
      </c>
      <c r="D1873" s="38" t="str">
        <f>IF(Agent10_Loans!B83="","",Agent10_Loans!D83)</f>
        <v/>
      </c>
      <c r="E1873" s="40" t="str">
        <f>IF(Agent10_Loans!B83="","",Agent10_Loans!E83)</f>
        <v/>
      </c>
      <c r="F1873" s="37" t="str">
        <f>IF(Agent10_Loans!B83="","",Agent10_Loans!F83)</f>
        <v/>
      </c>
      <c r="G1873" s="37" t="str">
        <f>IF(Agent10_Loans!B83="","",Agent10_Loans!G83)</f>
        <v/>
      </c>
      <c r="H1873" s="37" t="str">
        <f>IF(Agent10_Loans!B83="","",Agent10_Loans!H83)</f>
        <v/>
      </c>
      <c r="I1873" s="40" t="str">
        <f>IF(Agent10_Loans!B83="","",Agent10_Loans!I83)</f>
        <v/>
      </c>
      <c r="J1873" s="40" t="str">
        <f>IF(Agent10_Loans!B83="","",Agent10_Loans!J83)</f>
        <v/>
      </c>
      <c r="K1873" s="37" t="str">
        <f>IF(Agent10_Loans!B83="","",Agent10_Loans!K83)</f>
        <v/>
      </c>
      <c r="L1873" s="37" t="str">
        <f>IF(Agent10_Loans!B83="","",Agent10_Loans!L83)</f>
        <v/>
      </c>
      <c r="M1873" s="37" t="str">
        <f>IFERROR(IF(Agent10_Loans!B83="","",YEAR(Agent10_Loans!D83)),"")</f>
        <v/>
      </c>
    </row>
    <row r="1874" spans="1:13" ht="18" customHeight="1" x14ac:dyDescent="0.25">
      <c r="A1874" s="37" t="str">
        <f>IF(Agent10_Loans!B84="","",Agent10_Loans!A84)</f>
        <v/>
      </c>
      <c r="B1874" s="37" t="str">
        <f>IF(Agent10_Loans!B84="","",Agent10_Loans!B84)</f>
        <v/>
      </c>
      <c r="C1874" s="37" t="str">
        <f>IF(Agent10_Loans!B84="","",Agent10_Loans!C84)</f>
        <v/>
      </c>
      <c r="D1874" s="38" t="str">
        <f>IF(Agent10_Loans!B84="","",Agent10_Loans!D84)</f>
        <v/>
      </c>
      <c r="E1874" s="40" t="str">
        <f>IF(Agent10_Loans!B84="","",Agent10_Loans!E84)</f>
        <v/>
      </c>
      <c r="F1874" s="37" t="str">
        <f>IF(Agent10_Loans!B84="","",Agent10_Loans!F84)</f>
        <v/>
      </c>
      <c r="G1874" s="37" t="str">
        <f>IF(Agent10_Loans!B84="","",Agent10_Loans!G84)</f>
        <v/>
      </c>
      <c r="H1874" s="37" t="str">
        <f>IF(Agent10_Loans!B84="","",Agent10_Loans!H84)</f>
        <v/>
      </c>
      <c r="I1874" s="40" t="str">
        <f>IF(Agent10_Loans!B84="","",Agent10_Loans!I84)</f>
        <v/>
      </c>
      <c r="J1874" s="40" t="str">
        <f>IF(Agent10_Loans!B84="","",Agent10_Loans!J84)</f>
        <v/>
      </c>
      <c r="K1874" s="37" t="str">
        <f>IF(Agent10_Loans!B84="","",Agent10_Loans!K84)</f>
        <v/>
      </c>
      <c r="L1874" s="37" t="str">
        <f>IF(Agent10_Loans!B84="","",Agent10_Loans!L84)</f>
        <v/>
      </c>
      <c r="M1874" s="37" t="str">
        <f>IFERROR(IF(Agent10_Loans!B84="","",YEAR(Agent10_Loans!D84)),"")</f>
        <v/>
      </c>
    </row>
    <row r="1875" spans="1:13" ht="18" customHeight="1" x14ac:dyDescent="0.25">
      <c r="A1875" s="37" t="str">
        <f>IF(Agent10_Loans!B85="","",Agent10_Loans!A85)</f>
        <v/>
      </c>
      <c r="B1875" s="37" t="str">
        <f>IF(Agent10_Loans!B85="","",Agent10_Loans!B85)</f>
        <v/>
      </c>
      <c r="C1875" s="37" t="str">
        <f>IF(Agent10_Loans!B85="","",Agent10_Loans!C85)</f>
        <v/>
      </c>
      <c r="D1875" s="38" t="str">
        <f>IF(Agent10_Loans!B85="","",Agent10_Loans!D85)</f>
        <v/>
      </c>
      <c r="E1875" s="40" t="str">
        <f>IF(Agent10_Loans!B85="","",Agent10_Loans!E85)</f>
        <v/>
      </c>
      <c r="F1875" s="37" t="str">
        <f>IF(Agent10_Loans!B85="","",Agent10_Loans!F85)</f>
        <v/>
      </c>
      <c r="G1875" s="37" t="str">
        <f>IF(Agent10_Loans!B85="","",Agent10_Loans!G85)</f>
        <v/>
      </c>
      <c r="H1875" s="37" t="str">
        <f>IF(Agent10_Loans!B85="","",Agent10_Loans!H85)</f>
        <v/>
      </c>
      <c r="I1875" s="40" t="str">
        <f>IF(Agent10_Loans!B85="","",Agent10_Loans!I85)</f>
        <v/>
      </c>
      <c r="J1875" s="40" t="str">
        <f>IF(Agent10_Loans!B85="","",Agent10_Loans!J85)</f>
        <v/>
      </c>
      <c r="K1875" s="37" t="str">
        <f>IF(Agent10_Loans!B85="","",Agent10_Loans!K85)</f>
        <v/>
      </c>
      <c r="L1875" s="37" t="str">
        <f>IF(Agent10_Loans!B85="","",Agent10_Loans!L85)</f>
        <v/>
      </c>
      <c r="M1875" s="37" t="str">
        <f>IFERROR(IF(Agent10_Loans!B85="","",YEAR(Agent10_Loans!D85)),"")</f>
        <v/>
      </c>
    </row>
    <row r="1876" spans="1:13" ht="18" customHeight="1" x14ac:dyDescent="0.25">
      <c r="A1876" s="37" t="str">
        <f>IF(Agent10_Loans!B86="","",Agent10_Loans!A86)</f>
        <v/>
      </c>
      <c r="B1876" s="37" t="str">
        <f>IF(Agent10_Loans!B86="","",Agent10_Loans!B86)</f>
        <v/>
      </c>
      <c r="C1876" s="37" t="str">
        <f>IF(Agent10_Loans!B86="","",Agent10_Loans!C86)</f>
        <v/>
      </c>
      <c r="D1876" s="38" t="str">
        <f>IF(Agent10_Loans!B86="","",Agent10_Loans!D86)</f>
        <v/>
      </c>
      <c r="E1876" s="40" t="str">
        <f>IF(Agent10_Loans!B86="","",Agent10_Loans!E86)</f>
        <v/>
      </c>
      <c r="F1876" s="37" t="str">
        <f>IF(Agent10_Loans!B86="","",Agent10_Loans!F86)</f>
        <v/>
      </c>
      <c r="G1876" s="37" t="str">
        <f>IF(Agent10_Loans!B86="","",Agent10_Loans!G86)</f>
        <v/>
      </c>
      <c r="H1876" s="37" t="str">
        <f>IF(Agent10_Loans!B86="","",Agent10_Loans!H86)</f>
        <v/>
      </c>
      <c r="I1876" s="40" t="str">
        <f>IF(Agent10_Loans!B86="","",Agent10_Loans!I86)</f>
        <v/>
      </c>
      <c r="J1876" s="40" t="str">
        <f>IF(Agent10_Loans!B86="","",Agent10_Loans!J86)</f>
        <v/>
      </c>
      <c r="K1876" s="37" t="str">
        <f>IF(Agent10_Loans!B86="","",Agent10_Loans!K86)</f>
        <v/>
      </c>
      <c r="L1876" s="37" t="str">
        <f>IF(Agent10_Loans!B86="","",Agent10_Loans!L86)</f>
        <v/>
      </c>
      <c r="M1876" s="37" t="str">
        <f>IFERROR(IF(Agent10_Loans!B86="","",YEAR(Agent10_Loans!D86)),"")</f>
        <v/>
      </c>
    </row>
    <row r="1877" spans="1:13" ht="18" customHeight="1" x14ac:dyDescent="0.25">
      <c r="A1877" s="37" t="str">
        <f>IF(Agent10_Loans!B87="","",Agent10_Loans!A87)</f>
        <v/>
      </c>
      <c r="B1877" s="37" t="str">
        <f>IF(Agent10_Loans!B87="","",Agent10_Loans!B87)</f>
        <v/>
      </c>
      <c r="C1877" s="37" t="str">
        <f>IF(Agent10_Loans!B87="","",Agent10_Loans!C87)</f>
        <v/>
      </c>
      <c r="D1877" s="38" t="str">
        <f>IF(Agent10_Loans!B87="","",Agent10_Loans!D87)</f>
        <v/>
      </c>
      <c r="E1877" s="40" t="str">
        <f>IF(Agent10_Loans!B87="","",Agent10_Loans!E87)</f>
        <v/>
      </c>
      <c r="F1877" s="37" t="str">
        <f>IF(Agent10_Loans!B87="","",Agent10_Loans!F87)</f>
        <v/>
      </c>
      <c r="G1877" s="37" t="str">
        <f>IF(Agent10_Loans!B87="","",Agent10_Loans!G87)</f>
        <v/>
      </c>
      <c r="H1877" s="37" t="str">
        <f>IF(Agent10_Loans!B87="","",Agent10_Loans!H87)</f>
        <v/>
      </c>
      <c r="I1877" s="40" t="str">
        <f>IF(Agent10_Loans!B87="","",Agent10_Loans!I87)</f>
        <v/>
      </c>
      <c r="J1877" s="40" t="str">
        <f>IF(Agent10_Loans!B87="","",Agent10_Loans!J87)</f>
        <v/>
      </c>
      <c r="K1877" s="37" t="str">
        <f>IF(Agent10_Loans!B87="","",Agent10_Loans!K87)</f>
        <v/>
      </c>
      <c r="L1877" s="37" t="str">
        <f>IF(Agent10_Loans!B87="","",Agent10_Loans!L87)</f>
        <v/>
      </c>
      <c r="M1877" s="37" t="str">
        <f>IFERROR(IF(Agent10_Loans!B87="","",YEAR(Agent10_Loans!D87)),"")</f>
        <v/>
      </c>
    </row>
    <row r="1878" spans="1:13" ht="18" customHeight="1" x14ac:dyDescent="0.25">
      <c r="A1878" s="37" t="str">
        <f>IF(Agent10_Loans!B88="","",Agent10_Loans!A88)</f>
        <v/>
      </c>
      <c r="B1878" s="37" t="str">
        <f>IF(Agent10_Loans!B88="","",Agent10_Loans!B88)</f>
        <v/>
      </c>
      <c r="C1878" s="37" t="str">
        <f>IF(Agent10_Loans!B88="","",Agent10_Loans!C88)</f>
        <v/>
      </c>
      <c r="D1878" s="38" t="str">
        <f>IF(Agent10_Loans!B88="","",Agent10_Loans!D88)</f>
        <v/>
      </c>
      <c r="E1878" s="40" t="str">
        <f>IF(Agent10_Loans!B88="","",Agent10_Loans!E88)</f>
        <v/>
      </c>
      <c r="F1878" s="37" t="str">
        <f>IF(Agent10_Loans!B88="","",Agent10_Loans!F88)</f>
        <v/>
      </c>
      <c r="G1878" s="37" t="str">
        <f>IF(Agent10_Loans!B88="","",Agent10_Loans!G88)</f>
        <v/>
      </c>
      <c r="H1878" s="37" t="str">
        <f>IF(Agent10_Loans!B88="","",Agent10_Loans!H88)</f>
        <v/>
      </c>
      <c r="I1878" s="40" t="str">
        <f>IF(Agent10_Loans!B88="","",Agent10_Loans!I88)</f>
        <v/>
      </c>
      <c r="J1878" s="40" t="str">
        <f>IF(Agent10_Loans!B88="","",Agent10_Loans!J88)</f>
        <v/>
      </c>
      <c r="K1878" s="37" t="str">
        <f>IF(Agent10_Loans!B88="","",Agent10_Loans!K88)</f>
        <v/>
      </c>
      <c r="L1878" s="37" t="str">
        <f>IF(Agent10_Loans!B88="","",Agent10_Loans!L88)</f>
        <v/>
      </c>
      <c r="M1878" s="37" t="str">
        <f>IFERROR(IF(Agent10_Loans!B88="","",YEAR(Agent10_Loans!D88)),"")</f>
        <v/>
      </c>
    </row>
    <row r="1879" spans="1:13" ht="18" customHeight="1" x14ac:dyDescent="0.25">
      <c r="A1879" s="37" t="str">
        <f>IF(Agent10_Loans!B89="","",Agent10_Loans!A89)</f>
        <v/>
      </c>
      <c r="B1879" s="37" t="str">
        <f>IF(Agent10_Loans!B89="","",Agent10_Loans!B89)</f>
        <v/>
      </c>
      <c r="C1879" s="37" t="str">
        <f>IF(Agent10_Loans!B89="","",Agent10_Loans!C89)</f>
        <v/>
      </c>
      <c r="D1879" s="38" t="str">
        <f>IF(Agent10_Loans!B89="","",Agent10_Loans!D89)</f>
        <v/>
      </c>
      <c r="E1879" s="40" t="str">
        <f>IF(Agent10_Loans!B89="","",Agent10_Loans!E89)</f>
        <v/>
      </c>
      <c r="F1879" s="37" t="str">
        <f>IF(Agent10_Loans!B89="","",Agent10_Loans!F89)</f>
        <v/>
      </c>
      <c r="G1879" s="37" t="str">
        <f>IF(Agent10_Loans!B89="","",Agent10_Loans!G89)</f>
        <v/>
      </c>
      <c r="H1879" s="37" t="str">
        <f>IF(Agent10_Loans!B89="","",Agent10_Loans!H89)</f>
        <v/>
      </c>
      <c r="I1879" s="40" t="str">
        <f>IF(Agent10_Loans!B89="","",Agent10_Loans!I89)</f>
        <v/>
      </c>
      <c r="J1879" s="40" t="str">
        <f>IF(Agent10_Loans!B89="","",Agent10_Loans!J89)</f>
        <v/>
      </c>
      <c r="K1879" s="37" t="str">
        <f>IF(Agent10_Loans!B89="","",Agent10_Loans!K89)</f>
        <v/>
      </c>
      <c r="L1879" s="37" t="str">
        <f>IF(Agent10_Loans!B89="","",Agent10_Loans!L89)</f>
        <v/>
      </c>
      <c r="M1879" s="37" t="str">
        <f>IFERROR(IF(Agent10_Loans!B89="","",YEAR(Agent10_Loans!D89)),"")</f>
        <v/>
      </c>
    </row>
    <row r="1880" spans="1:13" ht="18" customHeight="1" x14ac:dyDescent="0.25">
      <c r="A1880" s="37" t="str">
        <f>IF(Agent10_Loans!B90="","",Agent10_Loans!A90)</f>
        <v/>
      </c>
      <c r="B1880" s="37" t="str">
        <f>IF(Agent10_Loans!B90="","",Agent10_Loans!B90)</f>
        <v/>
      </c>
      <c r="C1880" s="37" t="str">
        <f>IF(Agent10_Loans!B90="","",Agent10_Loans!C90)</f>
        <v/>
      </c>
      <c r="D1880" s="38" t="str">
        <f>IF(Agent10_Loans!B90="","",Agent10_Loans!D90)</f>
        <v/>
      </c>
      <c r="E1880" s="40" t="str">
        <f>IF(Agent10_Loans!B90="","",Agent10_Loans!E90)</f>
        <v/>
      </c>
      <c r="F1880" s="37" t="str">
        <f>IF(Agent10_Loans!B90="","",Agent10_Loans!F90)</f>
        <v/>
      </c>
      <c r="G1880" s="37" t="str">
        <f>IF(Agent10_Loans!B90="","",Agent10_Loans!G90)</f>
        <v/>
      </c>
      <c r="H1880" s="37" t="str">
        <f>IF(Agent10_Loans!B90="","",Agent10_Loans!H90)</f>
        <v/>
      </c>
      <c r="I1880" s="40" t="str">
        <f>IF(Agent10_Loans!B90="","",Agent10_Loans!I90)</f>
        <v/>
      </c>
      <c r="J1880" s="40" t="str">
        <f>IF(Agent10_Loans!B90="","",Agent10_Loans!J90)</f>
        <v/>
      </c>
      <c r="K1880" s="37" t="str">
        <f>IF(Agent10_Loans!B90="","",Agent10_Loans!K90)</f>
        <v/>
      </c>
      <c r="L1880" s="37" t="str">
        <f>IF(Agent10_Loans!B90="","",Agent10_Loans!L90)</f>
        <v/>
      </c>
      <c r="M1880" s="37" t="str">
        <f>IFERROR(IF(Agent10_Loans!B90="","",YEAR(Agent10_Loans!D90)),"")</f>
        <v/>
      </c>
    </row>
    <row r="1881" spans="1:13" ht="18" customHeight="1" x14ac:dyDescent="0.25">
      <c r="A1881" s="37" t="str">
        <f>IF(Agent10_Loans!B91="","",Agent10_Loans!A91)</f>
        <v/>
      </c>
      <c r="B1881" s="37" t="str">
        <f>IF(Agent10_Loans!B91="","",Agent10_Loans!B91)</f>
        <v/>
      </c>
      <c r="C1881" s="37" t="str">
        <f>IF(Agent10_Loans!B91="","",Agent10_Loans!C91)</f>
        <v/>
      </c>
      <c r="D1881" s="38" t="str">
        <f>IF(Agent10_Loans!B91="","",Agent10_Loans!D91)</f>
        <v/>
      </c>
      <c r="E1881" s="40" t="str">
        <f>IF(Agent10_Loans!B91="","",Agent10_Loans!E91)</f>
        <v/>
      </c>
      <c r="F1881" s="37" t="str">
        <f>IF(Agent10_Loans!B91="","",Agent10_Loans!F91)</f>
        <v/>
      </c>
      <c r="G1881" s="37" t="str">
        <f>IF(Agent10_Loans!B91="","",Agent10_Loans!G91)</f>
        <v/>
      </c>
      <c r="H1881" s="37" t="str">
        <f>IF(Agent10_Loans!B91="","",Agent10_Loans!H91)</f>
        <v/>
      </c>
      <c r="I1881" s="40" t="str">
        <f>IF(Agent10_Loans!B91="","",Agent10_Loans!I91)</f>
        <v/>
      </c>
      <c r="J1881" s="40" t="str">
        <f>IF(Agent10_Loans!B91="","",Agent10_Loans!J91)</f>
        <v/>
      </c>
      <c r="K1881" s="37" t="str">
        <f>IF(Agent10_Loans!B91="","",Agent10_Loans!K91)</f>
        <v/>
      </c>
      <c r="L1881" s="37" t="str">
        <f>IF(Agent10_Loans!B91="","",Agent10_Loans!L91)</f>
        <v/>
      </c>
      <c r="M1881" s="37" t="str">
        <f>IFERROR(IF(Agent10_Loans!B91="","",YEAR(Agent10_Loans!D91)),"")</f>
        <v/>
      </c>
    </row>
    <row r="1882" spans="1:13" ht="18" customHeight="1" x14ac:dyDescent="0.25">
      <c r="A1882" s="37" t="str">
        <f>IF(Agent10_Loans!B92="","",Agent10_Loans!A92)</f>
        <v/>
      </c>
      <c r="B1882" s="37" t="str">
        <f>IF(Agent10_Loans!B92="","",Agent10_Loans!B92)</f>
        <v/>
      </c>
      <c r="C1882" s="37" t="str">
        <f>IF(Agent10_Loans!B92="","",Agent10_Loans!C92)</f>
        <v/>
      </c>
      <c r="D1882" s="38" t="str">
        <f>IF(Agent10_Loans!B92="","",Agent10_Loans!D92)</f>
        <v/>
      </c>
      <c r="E1882" s="40" t="str">
        <f>IF(Agent10_Loans!B92="","",Agent10_Loans!E92)</f>
        <v/>
      </c>
      <c r="F1882" s="37" t="str">
        <f>IF(Agent10_Loans!B92="","",Agent10_Loans!F92)</f>
        <v/>
      </c>
      <c r="G1882" s="37" t="str">
        <f>IF(Agent10_Loans!B92="","",Agent10_Loans!G92)</f>
        <v/>
      </c>
      <c r="H1882" s="37" t="str">
        <f>IF(Agent10_Loans!B92="","",Agent10_Loans!H92)</f>
        <v/>
      </c>
      <c r="I1882" s="40" t="str">
        <f>IF(Agent10_Loans!B92="","",Agent10_Loans!I92)</f>
        <v/>
      </c>
      <c r="J1882" s="40" t="str">
        <f>IF(Agent10_Loans!B92="","",Agent10_Loans!J92)</f>
        <v/>
      </c>
      <c r="K1882" s="37" t="str">
        <f>IF(Agent10_Loans!B92="","",Agent10_Loans!K92)</f>
        <v/>
      </c>
      <c r="L1882" s="37" t="str">
        <f>IF(Agent10_Loans!B92="","",Agent10_Loans!L92)</f>
        <v/>
      </c>
      <c r="M1882" s="37" t="str">
        <f>IFERROR(IF(Agent10_Loans!B92="","",YEAR(Agent10_Loans!D92)),"")</f>
        <v/>
      </c>
    </row>
    <row r="1883" spans="1:13" ht="18" customHeight="1" x14ac:dyDescent="0.25">
      <c r="A1883" s="37" t="str">
        <f>IF(Agent10_Loans!B93="","",Agent10_Loans!A93)</f>
        <v/>
      </c>
      <c r="B1883" s="37" t="str">
        <f>IF(Agent10_Loans!B93="","",Agent10_Loans!B93)</f>
        <v/>
      </c>
      <c r="C1883" s="37" t="str">
        <f>IF(Agent10_Loans!B93="","",Agent10_Loans!C93)</f>
        <v/>
      </c>
      <c r="D1883" s="38" t="str">
        <f>IF(Agent10_Loans!B93="","",Agent10_Loans!D93)</f>
        <v/>
      </c>
      <c r="E1883" s="40" t="str">
        <f>IF(Agent10_Loans!B93="","",Agent10_Loans!E93)</f>
        <v/>
      </c>
      <c r="F1883" s="37" t="str">
        <f>IF(Agent10_Loans!B93="","",Agent10_Loans!F93)</f>
        <v/>
      </c>
      <c r="G1883" s="37" t="str">
        <f>IF(Agent10_Loans!B93="","",Agent10_Loans!G93)</f>
        <v/>
      </c>
      <c r="H1883" s="37" t="str">
        <f>IF(Agent10_Loans!B93="","",Agent10_Loans!H93)</f>
        <v/>
      </c>
      <c r="I1883" s="40" t="str">
        <f>IF(Agent10_Loans!B93="","",Agent10_Loans!I93)</f>
        <v/>
      </c>
      <c r="J1883" s="40" t="str">
        <f>IF(Agent10_Loans!B93="","",Agent10_Loans!J93)</f>
        <v/>
      </c>
      <c r="K1883" s="37" t="str">
        <f>IF(Agent10_Loans!B93="","",Agent10_Loans!K93)</f>
        <v/>
      </c>
      <c r="L1883" s="37" t="str">
        <f>IF(Agent10_Loans!B93="","",Agent10_Loans!L93)</f>
        <v/>
      </c>
      <c r="M1883" s="37" t="str">
        <f>IFERROR(IF(Agent10_Loans!B93="","",YEAR(Agent10_Loans!D93)),"")</f>
        <v/>
      </c>
    </row>
    <row r="1884" spans="1:13" ht="18" customHeight="1" x14ac:dyDescent="0.25">
      <c r="A1884" s="37" t="str">
        <f>IF(Agent10_Loans!B94="","",Agent10_Loans!A94)</f>
        <v/>
      </c>
      <c r="B1884" s="37" t="str">
        <f>IF(Agent10_Loans!B94="","",Agent10_Loans!B94)</f>
        <v/>
      </c>
      <c r="C1884" s="37" t="str">
        <f>IF(Agent10_Loans!B94="","",Agent10_Loans!C94)</f>
        <v/>
      </c>
      <c r="D1884" s="38" t="str">
        <f>IF(Agent10_Loans!B94="","",Agent10_Loans!D94)</f>
        <v/>
      </c>
      <c r="E1884" s="40" t="str">
        <f>IF(Agent10_Loans!B94="","",Agent10_Loans!E94)</f>
        <v/>
      </c>
      <c r="F1884" s="37" t="str">
        <f>IF(Agent10_Loans!B94="","",Agent10_Loans!F94)</f>
        <v/>
      </c>
      <c r="G1884" s="37" t="str">
        <f>IF(Agent10_Loans!B94="","",Agent10_Loans!G94)</f>
        <v/>
      </c>
      <c r="H1884" s="37" t="str">
        <f>IF(Agent10_Loans!B94="","",Agent10_Loans!H94)</f>
        <v/>
      </c>
      <c r="I1884" s="40" t="str">
        <f>IF(Agent10_Loans!B94="","",Agent10_Loans!I94)</f>
        <v/>
      </c>
      <c r="J1884" s="40" t="str">
        <f>IF(Agent10_Loans!B94="","",Agent10_Loans!J94)</f>
        <v/>
      </c>
      <c r="K1884" s="37" t="str">
        <f>IF(Agent10_Loans!B94="","",Agent10_Loans!K94)</f>
        <v/>
      </c>
      <c r="L1884" s="37" t="str">
        <f>IF(Agent10_Loans!B94="","",Agent10_Loans!L94)</f>
        <v/>
      </c>
      <c r="M1884" s="37" t="str">
        <f>IFERROR(IF(Agent10_Loans!B94="","",YEAR(Agent10_Loans!D94)),"")</f>
        <v/>
      </c>
    </row>
    <row r="1885" spans="1:13" ht="18" customHeight="1" x14ac:dyDescent="0.25">
      <c r="A1885" s="37" t="str">
        <f>IF(Agent10_Loans!B95="","",Agent10_Loans!A95)</f>
        <v/>
      </c>
      <c r="B1885" s="37" t="str">
        <f>IF(Agent10_Loans!B95="","",Agent10_Loans!B95)</f>
        <v/>
      </c>
      <c r="C1885" s="37" t="str">
        <f>IF(Agent10_Loans!B95="","",Agent10_Loans!C95)</f>
        <v/>
      </c>
      <c r="D1885" s="38" t="str">
        <f>IF(Agent10_Loans!B95="","",Agent10_Loans!D95)</f>
        <v/>
      </c>
      <c r="E1885" s="40" t="str">
        <f>IF(Agent10_Loans!B95="","",Agent10_Loans!E95)</f>
        <v/>
      </c>
      <c r="F1885" s="37" t="str">
        <f>IF(Agent10_Loans!B95="","",Agent10_Loans!F95)</f>
        <v/>
      </c>
      <c r="G1885" s="37" t="str">
        <f>IF(Agent10_Loans!B95="","",Agent10_Loans!G95)</f>
        <v/>
      </c>
      <c r="H1885" s="37" t="str">
        <f>IF(Agent10_Loans!B95="","",Agent10_Loans!H95)</f>
        <v/>
      </c>
      <c r="I1885" s="40" t="str">
        <f>IF(Agent10_Loans!B95="","",Agent10_Loans!I95)</f>
        <v/>
      </c>
      <c r="J1885" s="40" t="str">
        <f>IF(Agent10_Loans!B95="","",Agent10_Loans!J95)</f>
        <v/>
      </c>
      <c r="K1885" s="37" t="str">
        <f>IF(Agent10_Loans!B95="","",Agent10_Loans!K95)</f>
        <v/>
      </c>
      <c r="L1885" s="37" t="str">
        <f>IF(Agent10_Loans!B95="","",Agent10_Loans!L95)</f>
        <v/>
      </c>
      <c r="M1885" s="37" t="str">
        <f>IFERROR(IF(Agent10_Loans!B95="","",YEAR(Agent10_Loans!D95)),"")</f>
        <v/>
      </c>
    </row>
    <row r="1886" spans="1:13" ht="18" customHeight="1" x14ac:dyDescent="0.25">
      <c r="A1886" s="37" t="str">
        <f>IF(Agent10_Loans!B96="","",Agent10_Loans!A96)</f>
        <v/>
      </c>
      <c r="B1886" s="37" t="str">
        <f>IF(Agent10_Loans!B96="","",Agent10_Loans!B96)</f>
        <v/>
      </c>
      <c r="C1886" s="37" t="str">
        <f>IF(Agent10_Loans!B96="","",Agent10_Loans!C96)</f>
        <v/>
      </c>
      <c r="D1886" s="38" t="str">
        <f>IF(Agent10_Loans!B96="","",Agent10_Loans!D96)</f>
        <v/>
      </c>
      <c r="E1886" s="40" t="str">
        <f>IF(Agent10_Loans!B96="","",Agent10_Loans!E96)</f>
        <v/>
      </c>
      <c r="F1886" s="37" t="str">
        <f>IF(Agent10_Loans!B96="","",Agent10_Loans!F96)</f>
        <v/>
      </c>
      <c r="G1886" s="37" t="str">
        <f>IF(Agent10_Loans!B96="","",Agent10_Loans!G96)</f>
        <v/>
      </c>
      <c r="H1886" s="37" t="str">
        <f>IF(Agent10_Loans!B96="","",Agent10_Loans!H96)</f>
        <v/>
      </c>
      <c r="I1886" s="40" t="str">
        <f>IF(Agent10_Loans!B96="","",Agent10_Loans!I96)</f>
        <v/>
      </c>
      <c r="J1886" s="40" t="str">
        <f>IF(Agent10_Loans!B96="","",Agent10_Loans!J96)</f>
        <v/>
      </c>
      <c r="K1886" s="37" t="str">
        <f>IF(Agent10_Loans!B96="","",Agent10_Loans!K96)</f>
        <v/>
      </c>
      <c r="L1886" s="37" t="str">
        <f>IF(Agent10_Loans!B96="","",Agent10_Loans!L96)</f>
        <v/>
      </c>
      <c r="M1886" s="37" t="str">
        <f>IFERROR(IF(Agent10_Loans!B96="","",YEAR(Agent10_Loans!D96)),"")</f>
        <v/>
      </c>
    </row>
    <row r="1887" spans="1:13" ht="18" customHeight="1" x14ac:dyDescent="0.25">
      <c r="A1887" s="37" t="str">
        <f>IF(Agent10_Loans!B97="","",Agent10_Loans!A97)</f>
        <v/>
      </c>
      <c r="B1887" s="37" t="str">
        <f>IF(Agent10_Loans!B97="","",Agent10_Loans!B97)</f>
        <v/>
      </c>
      <c r="C1887" s="37" t="str">
        <f>IF(Agent10_Loans!B97="","",Agent10_Loans!C97)</f>
        <v/>
      </c>
      <c r="D1887" s="38" t="str">
        <f>IF(Agent10_Loans!B97="","",Agent10_Loans!D97)</f>
        <v/>
      </c>
      <c r="E1887" s="40" t="str">
        <f>IF(Agent10_Loans!B97="","",Agent10_Loans!E97)</f>
        <v/>
      </c>
      <c r="F1887" s="37" t="str">
        <f>IF(Agent10_Loans!B97="","",Agent10_Loans!F97)</f>
        <v/>
      </c>
      <c r="G1887" s="37" t="str">
        <f>IF(Agent10_Loans!B97="","",Agent10_Loans!G97)</f>
        <v/>
      </c>
      <c r="H1887" s="37" t="str">
        <f>IF(Agent10_Loans!B97="","",Agent10_Loans!H97)</f>
        <v/>
      </c>
      <c r="I1887" s="40" t="str">
        <f>IF(Agent10_Loans!B97="","",Agent10_Loans!I97)</f>
        <v/>
      </c>
      <c r="J1887" s="40" t="str">
        <f>IF(Agent10_Loans!B97="","",Agent10_Loans!J97)</f>
        <v/>
      </c>
      <c r="K1887" s="37" t="str">
        <f>IF(Agent10_Loans!B97="","",Agent10_Loans!K97)</f>
        <v/>
      </c>
      <c r="L1887" s="37" t="str">
        <f>IF(Agent10_Loans!B97="","",Agent10_Loans!L97)</f>
        <v/>
      </c>
      <c r="M1887" s="37" t="str">
        <f>IFERROR(IF(Agent10_Loans!B97="","",YEAR(Agent10_Loans!D97)),"")</f>
        <v/>
      </c>
    </row>
    <row r="1888" spans="1:13" ht="18" customHeight="1" x14ac:dyDescent="0.25">
      <c r="A1888" s="37" t="str">
        <f>IF(Agent10_Loans!B98="","",Agent10_Loans!A98)</f>
        <v/>
      </c>
      <c r="B1888" s="37" t="str">
        <f>IF(Agent10_Loans!B98="","",Agent10_Loans!B98)</f>
        <v/>
      </c>
      <c r="C1888" s="37" t="str">
        <f>IF(Agent10_Loans!B98="","",Agent10_Loans!C98)</f>
        <v/>
      </c>
      <c r="D1888" s="38" t="str">
        <f>IF(Agent10_Loans!B98="","",Agent10_Loans!D98)</f>
        <v/>
      </c>
      <c r="E1888" s="40" t="str">
        <f>IF(Agent10_Loans!B98="","",Agent10_Loans!E98)</f>
        <v/>
      </c>
      <c r="F1888" s="37" t="str">
        <f>IF(Agent10_Loans!B98="","",Agent10_Loans!F98)</f>
        <v/>
      </c>
      <c r="G1888" s="37" t="str">
        <f>IF(Agent10_Loans!B98="","",Agent10_Loans!G98)</f>
        <v/>
      </c>
      <c r="H1888" s="37" t="str">
        <f>IF(Agent10_Loans!B98="","",Agent10_Loans!H98)</f>
        <v/>
      </c>
      <c r="I1888" s="40" t="str">
        <f>IF(Agent10_Loans!B98="","",Agent10_Loans!I98)</f>
        <v/>
      </c>
      <c r="J1888" s="40" t="str">
        <f>IF(Agent10_Loans!B98="","",Agent10_Loans!J98)</f>
        <v/>
      </c>
      <c r="K1888" s="37" t="str">
        <f>IF(Agent10_Loans!B98="","",Agent10_Loans!K98)</f>
        <v/>
      </c>
      <c r="L1888" s="37" t="str">
        <f>IF(Agent10_Loans!B98="","",Agent10_Loans!L98)</f>
        <v/>
      </c>
      <c r="M1888" s="37" t="str">
        <f>IFERROR(IF(Agent10_Loans!B98="","",YEAR(Agent10_Loans!D98)),"")</f>
        <v/>
      </c>
    </row>
    <row r="1889" spans="1:13" ht="18" customHeight="1" x14ac:dyDescent="0.25">
      <c r="A1889" s="37" t="str">
        <f>IF(Agent10_Loans!B99="","",Agent10_Loans!A99)</f>
        <v/>
      </c>
      <c r="B1889" s="37" t="str">
        <f>IF(Agent10_Loans!B99="","",Agent10_Loans!B99)</f>
        <v/>
      </c>
      <c r="C1889" s="37" t="str">
        <f>IF(Agent10_Loans!B99="","",Agent10_Loans!C99)</f>
        <v/>
      </c>
      <c r="D1889" s="38" t="str">
        <f>IF(Agent10_Loans!B99="","",Agent10_Loans!D99)</f>
        <v/>
      </c>
      <c r="E1889" s="40" t="str">
        <f>IF(Agent10_Loans!B99="","",Agent10_Loans!E99)</f>
        <v/>
      </c>
      <c r="F1889" s="37" t="str">
        <f>IF(Agent10_Loans!B99="","",Agent10_Loans!F99)</f>
        <v/>
      </c>
      <c r="G1889" s="37" t="str">
        <f>IF(Agent10_Loans!B99="","",Agent10_Loans!G99)</f>
        <v/>
      </c>
      <c r="H1889" s="37" t="str">
        <f>IF(Agent10_Loans!B99="","",Agent10_Loans!H99)</f>
        <v/>
      </c>
      <c r="I1889" s="40" t="str">
        <f>IF(Agent10_Loans!B99="","",Agent10_Loans!I99)</f>
        <v/>
      </c>
      <c r="J1889" s="40" t="str">
        <f>IF(Agent10_Loans!B99="","",Agent10_Loans!J99)</f>
        <v/>
      </c>
      <c r="K1889" s="37" t="str">
        <f>IF(Agent10_Loans!B99="","",Agent10_Loans!K99)</f>
        <v/>
      </c>
      <c r="L1889" s="37" t="str">
        <f>IF(Agent10_Loans!B99="","",Agent10_Loans!L99)</f>
        <v/>
      </c>
      <c r="M1889" s="37" t="str">
        <f>IFERROR(IF(Agent10_Loans!B99="","",YEAR(Agent10_Loans!D99)),"")</f>
        <v/>
      </c>
    </row>
    <row r="1890" spans="1:13" ht="18" customHeight="1" x14ac:dyDescent="0.25">
      <c r="A1890" s="37" t="str">
        <f>IF(Agent10_Loans!B100="","",Agent10_Loans!A100)</f>
        <v/>
      </c>
      <c r="B1890" s="37" t="str">
        <f>IF(Agent10_Loans!B100="","",Agent10_Loans!B100)</f>
        <v/>
      </c>
      <c r="C1890" s="37" t="str">
        <f>IF(Agent10_Loans!B100="","",Agent10_Loans!C100)</f>
        <v/>
      </c>
      <c r="D1890" s="38" t="str">
        <f>IF(Agent10_Loans!B100="","",Agent10_Loans!D100)</f>
        <v/>
      </c>
      <c r="E1890" s="40" t="str">
        <f>IF(Agent10_Loans!B100="","",Agent10_Loans!E100)</f>
        <v/>
      </c>
      <c r="F1890" s="37" t="str">
        <f>IF(Agent10_Loans!B100="","",Agent10_Loans!F100)</f>
        <v/>
      </c>
      <c r="G1890" s="37" t="str">
        <f>IF(Agent10_Loans!B100="","",Agent10_Loans!G100)</f>
        <v/>
      </c>
      <c r="H1890" s="37" t="str">
        <f>IF(Agent10_Loans!B100="","",Agent10_Loans!H100)</f>
        <v/>
      </c>
      <c r="I1890" s="40" t="str">
        <f>IF(Agent10_Loans!B100="","",Agent10_Loans!I100)</f>
        <v/>
      </c>
      <c r="J1890" s="40" t="str">
        <f>IF(Agent10_Loans!B100="","",Agent10_Loans!J100)</f>
        <v/>
      </c>
      <c r="K1890" s="37" t="str">
        <f>IF(Agent10_Loans!B100="","",Agent10_Loans!K100)</f>
        <v/>
      </c>
      <c r="L1890" s="37" t="str">
        <f>IF(Agent10_Loans!B100="","",Agent10_Loans!L100)</f>
        <v/>
      </c>
      <c r="M1890" s="37" t="str">
        <f>IFERROR(IF(Agent10_Loans!B100="","",YEAR(Agent10_Loans!D100)),"")</f>
        <v/>
      </c>
    </row>
    <row r="1891" spans="1:13" ht="18" customHeight="1" x14ac:dyDescent="0.25">
      <c r="A1891" s="37" t="str">
        <f>IF(Agent10_Loans!B101="","",Agent10_Loans!A101)</f>
        <v/>
      </c>
      <c r="B1891" s="37" t="str">
        <f>IF(Agent10_Loans!B101="","",Agent10_Loans!B101)</f>
        <v/>
      </c>
      <c r="C1891" s="37" t="str">
        <f>IF(Agent10_Loans!B101="","",Agent10_Loans!C101)</f>
        <v/>
      </c>
      <c r="D1891" s="38" t="str">
        <f>IF(Agent10_Loans!B101="","",Agent10_Loans!D101)</f>
        <v/>
      </c>
      <c r="E1891" s="40" t="str">
        <f>IF(Agent10_Loans!B101="","",Agent10_Loans!E101)</f>
        <v/>
      </c>
      <c r="F1891" s="37" t="str">
        <f>IF(Agent10_Loans!B101="","",Agent10_Loans!F101)</f>
        <v/>
      </c>
      <c r="G1891" s="37" t="str">
        <f>IF(Agent10_Loans!B101="","",Agent10_Loans!G101)</f>
        <v/>
      </c>
      <c r="H1891" s="37" t="str">
        <f>IF(Agent10_Loans!B101="","",Agent10_Loans!H101)</f>
        <v/>
      </c>
      <c r="I1891" s="40" t="str">
        <f>IF(Agent10_Loans!B101="","",Agent10_Loans!I101)</f>
        <v/>
      </c>
      <c r="J1891" s="40" t="str">
        <f>IF(Agent10_Loans!B101="","",Agent10_Loans!J101)</f>
        <v/>
      </c>
      <c r="K1891" s="37" t="str">
        <f>IF(Agent10_Loans!B101="","",Agent10_Loans!K101)</f>
        <v/>
      </c>
      <c r="L1891" s="37" t="str">
        <f>IF(Agent10_Loans!B101="","",Agent10_Loans!L101)</f>
        <v/>
      </c>
      <c r="M1891" s="37" t="str">
        <f>IFERROR(IF(Agent10_Loans!B101="","",YEAR(Agent10_Loans!D101)),"")</f>
        <v/>
      </c>
    </row>
    <row r="1892" spans="1:13" ht="18" customHeight="1" x14ac:dyDescent="0.25">
      <c r="A1892" s="37" t="str">
        <f>IF(Agent10_Loans!B102="","",Agent10_Loans!A102)</f>
        <v/>
      </c>
      <c r="B1892" s="37" t="str">
        <f>IF(Agent10_Loans!B102="","",Agent10_Loans!B102)</f>
        <v/>
      </c>
      <c r="C1892" s="37" t="str">
        <f>IF(Agent10_Loans!B102="","",Agent10_Loans!C102)</f>
        <v/>
      </c>
      <c r="D1892" s="38" t="str">
        <f>IF(Agent10_Loans!B102="","",Agent10_Loans!D102)</f>
        <v/>
      </c>
      <c r="E1892" s="40" t="str">
        <f>IF(Agent10_Loans!B102="","",Agent10_Loans!E102)</f>
        <v/>
      </c>
      <c r="F1892" s="37" t="str">
        <f>IF(Agent10_Loans!B102="","",Agent10_Loans!F102)</f>
        <v/>
      </c>
      <c r="G1892" s="37" t="str">
        <f>IF(Agent10_Loans!B102="","",Agent10_Loans!G102)</f>
        <v/>
      </c>
      <c r="H1892" s="37" t="str">
        <f>IF(Agent10_Loans!B102="","",Agent10_Loans!H102)</f>
        <v/>
      </c>
      <c r="I1892" s="40" t="str">
        <f>IF(Agent10_Loans!B102="","",Agent10_Loans!I102)</f>
        <v/>
      </c>
      <c r="J1892" s="40" t="str">
        <f>IF(Agent10_Loans!B102="","",Agent10_Loans!J102)</f>
        <v/>
      </c>
      <c r="K1892" s="37" t="str">
        <f>IF(Agent10_Loans!B102="","",Agent10_Loans!K102)</f>
        <v/>
      </c>
      <c r="L1892" s="37" t="str">
        <f>IF(Agent10_Loans!B102="","",Agent10_Loans!L102)</f>
        <v/>
      </c>
      <c r="M1892" s="37" t="str">
        <f>IFERROR(IF(Agent10_Loans!B102="","",YEAR(Agent10_Loans!D102)),"")</f>
        <v/>
      </c>
    </row>
    <row r="1893" spans="1:13" ht="18" customHeight="1" x14ac:dyDescent="0.25">
      <c r="A1893" s="37" t="str">
        <f>IF(Agent10_Loans!B103="","",Agent10_Loans!A103)</f>
        <v/>
      </c>
      <c r="B1893" s="37" t="str">
        <f>IF(Agent10_Loans!B103="","",Agent10_Loans!B103)</f>
        <v/>
      </c>
      <c r="C1893" s="37" t="str">
        <f>IF(Agent10_Loans!B103="","",Agent10_Loans!C103)</f>
        <v/>
      </c>
      <c r="D1893" s="38" t="str">
        <f>IF(Agent10_Loans!B103="","",Agent10_Loans!D103)</f>
        <v/>
      </c>
      <c r="E1893" s="40" t="str">
        <f>IF(Agent10_Loans!B103="","",Agent10_Loans!E103)</f>
        <v/>
      </c>
      <c r="F1893" s="37" t="str">
        <f>IF(Agent10_Loans!B103="","",Agent10_Loans!F103)</f>
        <v/>
      </c>
      <c r="G1893" s="37" t="str">
        <f>IF(Agent10_Loans!B103="","",Agent10_Loans!G103)</f>
        <v/>
      </c>
      <c r="H1893" s="37" t="str">
        <f>IF(Agent10_Loans!B103="","",Agent10_Loans!H103)</f>
        <v/>
      </c>
      <c r="I1893" s="40" t="str">
        <f>IF(Agent10_Loans!B103="","",Agent10_Loans!I103)</f>
        <v/>
      </c>
      <c r="J1893" s="40" t="str">
        <f>IF(Agent10_Loans!B103="","",Agent10_Loans!J103)</f>
        <v/>
      </c>
      <c r="K1893" s="37" t="str">
        <f>IF(Agent10_Loans!B103="","",Agent10_Loans!K103)</f>
        <v/>
      </c>
      <c r="L1893" s="37" t="str">
        <f>IF(Agent10_Loans!B103="","",Agent10_Loans!L103)</f>
        <v/>
      </c>
      <c r="M1893" s="37" t="str">
        <f>IFERROR(IF(Agent10_Loans!B103="","",YEAR(Agent10_Loans!D103)),"")</f>
        <v/>
      </c>
    </row>
    <row r="1894" spans="1:13" ht="18" customHeight="1" x14ac:dyDescent="0.25">
      <c r="A1894" s="37" t="str">
        <f>IF(Agent10_Loans!B104="","",Agent10_Loans!A104)</f>
        <v/>
      </c>
      <c r="B1894" s="37" t="str">
        <f>IF(Agent10_Loans!B104="","",Agent10_Loans!B104)</f>
        <v/>
      </c>
      <c r="C1894" s="37" t="str">
        <f>IF(Agent10_Loans!B104="","",Agent10_Loans!C104)</f>
        <v/>
      </c>
      <c r="D1894" s="38" t="str">
        <f>IF(Agent10_Loans!B104="","",Agent10_Loans!D104)</f>
        <v/>
      </c>
      <c r="E1894" s="40" t="str">
        <f>IF(Agent10_Loans!B104="","",Agent10_Loans!E104)</f>
        <v/>
      </c>
      <c r="F1894" s="37" t="str">
        <f>IF(Agent10_Loans!B104="","",Agent10_Loans!F104)</f>
        <v/>
      </c>
      <c r="G1894" s="37" t="str">
        <f>IF(Agent10_Loans!B104="","",Agent10_Loans!G104)</f>
        <v/>
      </c>
      <c r="H1894" s="37" t="str">
        <f>IF(Agent10_Loans!B104="","",Agent10_Loans!H104)</f>
        <v/>
      </c>
      <c r="I1894" s="40" t="str">
        <f>IF(Agent10_Loans!B104="","",Agent10_Loans!I104)</f>
        <v/>
      </c>
      <c r="J1894" s="40" t="str">
        <f>IF(Agent10_Loans!B104="","",Agent10_Loans!J104)</f>
        <v/>
      </c>
      <c r="K1894" s="37" t="str">
        <f>IF(Agent10_Loans!B104="","",Agent10_Loans!K104)</f>
        <v/>
      </c>
      <c r="L1894" s="37" t="str">
        <f>IF(Agent10_Loans!B104="","",Agent10_Loans!L104)</f>
        <v/>
      </c>
      <c r="M1894" s="37" t="str">
        <f>IFERROR(IF(Agent10_Loans!B104="","",YEAR(Agent10_Loans!D104)),"")</f>
        <v/>
      </c>
    </row>
    <row r="1895" spans="1:13" ht="18" customHeight="1" x14ac:dyDescent="0.25">
      <c r="A1895" s="37" t="str">
        <f>IF(Agent10_Loans!B105="","",Agent10_Loans!A105)</f>
        <v/>
      </c>
      <c r="B1895" s="37" t="str">
        <f>IF(Agent10_Loans!B105="","",Agent10_Loans!B105)</f>
        <v/>
      </c>
      <c r="C1895" s="37" t="str">
        <f>IF(Agent10_Loans!B105="","",Agent10_Loans!C105)</f>
        <v/>
      </c>
      <c r="D1895" s="38" t="str">
        <f>IF(Agent10_Loans!B105="","",Agent10_Loans!D105)</f>
        <v/>
      </c>
      <c r="E1895" s="40" t="str">
        <f>IF(Agent10_Loans!B105="","",Agent10_Loans!E105)</f>
        <v/>
      </c>
      <c r="F1895" s="37" t="str">
        <f>IF(Agent10_Loans!B105="","",Agent10_Loans!F105)</f>
        <v/>
      </c>
      <c r="G1895" s="37" t="str">
        <f>IF(Agent10_Loans!B105="","",Agent10_Loans!G105)</f>
        <v/>
      </c>
      <c r="H1895" s="37" t="str">
        <f>IF(Agent10_Loans!B105="","",Agent10_Loans!H105)</f>
        <v/>
      </c>
      <c r="I1895" s="40" t="str">
        <f>IF(Agent10_Loans!B105="","",Agent10_Loans!I105)</f>
        <v/>
      </c>
      <c r="J1895" s="40" t="str">
        <f>IF(Agent10_Loans!B105="","",Agent10_Loans!J105)</f>
        <v/>
      </c>
      <c r="K1895" s="37" t="str">
        <f>IF(Agent10_Loans!B105="","",Agent10_Loans!K105)</f>
        <v/>
      </c>
      <c r="L1895" s="37" t="str">
        <f>IF(Agent10_Loans!B105="","",Agent10_Loans!L105)</f>
        <v/>
      </c>
      <c r="M1895" s="37" t="str">
        <f>IFERROR(IF(Agent10_Loans!B105="","",YEAR(Agent10_Loans!D105)),"")</f>
        <v/>
      </c>
    </row>
    <row r="1896" spans="1:13" ht="18" customHeight="1" x14ac:dyDescent="0.25">
      <c r="A1896" s="37" t="str">
        <f>IF(Agent10_Loans!B106="","",Agent10_Loans!A106)</f>
        <v/>
      </c>
      <c r="B1896" s="37" t="str">
        <f>IF(Agent10_Loans!B106="","",Agent10_Loans!B106)</f>
        <v/>
      </c>
      <c r="C1896" s="37" t="str">
        <f>IF(Agent10_Loans!B106="","",Agent10_Loans!C106)</f>
        <v/>
      </c>
      <c r="D1896" s="38" t="str">
        <f>IF(Agent10_Loans!B106="","",Agent10_Loans!D106)</f>
        <v/>
      </c>
      <c r="E1896" s="40" t="str">
        <f>IF(Agent10_Loans!B106="","",Agent10_Loans!E106)</f>
        <v/>
      </c>
      <c r="F1896" s="37" t="str">
        <f>IF(Agent10_Loans!B106="","",Agent10_Loans!F106)</f>
        <v/>
      </c>
      <c r="G1896" s="37" t="str">
        <f>IF(Agent10_Loans!B106="","",Agent10_Loans!G106)</f>
        <v/>
      </c>
      <c r="H1896" s="37" t="str">
        <f>IF(Agent10_Loans!B106="","",Agent10_Loans!H106)</f>
        <v/>
      </c>
      <c r="I1896" s="40" t="str">
        <f>IF(Agent10_Loans!B106="","",Agent10_Loans!I106)</f>
        <v/>
      </c>
      <c r="J1896" s="40" t="str">
        <f>IF(Agent10_Loans!B106="","",Agent10_Loans!J106)</f>
        <v/>
      </c>
      <c r="K1896" s="37" t="str">
        <f>IF(Agent10_Loans!B106="","",Agent10_Loans!K106)</f>
        <v/>
      </c>
      <c r="L1896" s="37" t="str">
        <f>IF(Agent10_Loans!B106="","",Agent10_Loans!L106)</f>
        <v/>
      </c>
      <c r="M1896" s="37" t="str">
        <f>IFERROR(IF(Agent10_Loans!B106="","",YEAR(Agent10_Loans!D106)),"")</f>
        <v/>
      </c>
    </row>
    <row r="1897" spans="1:13" ht="18" customHeight="1" x14ac:dyDescent="0.25">
      <c r="A1897" s="37" t="str">
        <f>IF(Agent10_Loans!B107="","",Agent10_Loans!A107)</f>
        <v/>
      </c>
      <c r="B1897" s="37" t="str">
        <f>IF(Agent10_Loans!B107="","",Agent10_Loans!B107)</f>
        <v/>
      </c>
      <c r="C1897" s="37" t="str">
        <f>IF(Agent10_Loans!B107="","",Agent10_Loans!C107)</f>
        <v/>
      </c>
      <c r="D1897" s="38" t="str">
        <f>IF(Agent10_Loans!B107="","",Agent10_Loans!D107)</f>
        <v/>
      </c>
      <c r="E1897" s="40" t="str">
        <f>IF(Agent10_Loans!B107="","",Agent10_Loans!E107)</f>
        <v/>
      </c>
      <c r="F1897" s="37" t="str">
        <f>IF(Agent10_Loans!B107="","",Agent10_Loans!F107)</f>
        <v/>
      </c>
      <c r="G1897" s="37" t="str">
        <f>IF(Agent10_Loans!B107="","",Agent10_Loans!G107)</f>
        <v/>
      </c>
      <c r="H1897" s="37" t="str">
        <f>IF(Agent10_Loans!B107="","",Agent10_Loans!H107)</f>
        <v/>
      </c>
      <c r="I1897" s="40" t="str">
        <f>IF(Agent10_Loans!B107="","",Agent10_Loans!I107)</f>
        <v/>
      </c>
      <c r="J1897" s="40" t="str">
        <f>IF(Agent10_Loans!B107="","",Agent10_Loans!J107)</f>
        <v/>
      </c>
      <c r="K1897" s="37" t="str">
        <f>IF(Agent10_Loans!B107="","",Agent10_Loans!K107)</f>
        <v/>
      </c>
      <c r="L1897" s="37" t="str">
        <f>IF(Agent10_Loans!B107="","",Agent10_Loans!L107)</f>
        <v/>
      </c>
      <c r="M1897" s="37" t="str">
        <f>IFERROR(IF(Agent10_Loans!B107="","",YEAR(Agent10_Loans!D107)),"")</f>
        <v/>
      </c>
    </row>
    <row r="1898" spans="1:13" ht="18" customHeight="1" x14ac:dyDescent="0.25">
      <c r="A1898" s="37" t="str">
        <f>IF(Agent10_Loans!B108="","",Agent10_Loans!A108)</f>
        <v/>
      </c>
      <c r="B1898" s="37" t="str">
        <f>IF(Agent10_Loans!B108="","",Agent10_Loans!B108)</f>
        <v/>
      </c>
      <c r="C1898" s="37" t="str">
        <f>IF(Agent10_Loans!B108="","",Agent10_Loans!C108)</f>
        <v/>
      </c>
      <c r="D1898" s="38" t="str">
        <f>IF(Agent10_Loans!B108="","",Agent10_Loans!D108)</f>
        <v/>
      </c>
      <c r="E1898" s="40" t="str">
        <f>IF(Agent10_Loans!B108="","",Agent10_Loans!E108)</f>
        <v/>
      </c>
      <c r="F1898" s="37" t="str">
        <f>IF(Agent10_Loans!B108="","",Agent10_Loans!F108)</f>
        <v/>
      </c>
      <c r="G1898" s="37" t="str">
        <f>IF(Agent10_Loans!B108="","",Agent10_Loans!G108)</f>
        <v/>
      </c>
      <c r="H1898" s="37" t="str">
        <f>IF(Agent10_Loans!B108="","",Agent10_Loans!H108)</f>
        <v/>
      </c>
      <c r="I1898" s="40" t="str">
        <f>IF(Agent10_Loans!B108="","",Agent10_Loans!I108)</f>
        <v/>
      </c>
      <c r="J1898" s="40" t="str">
        <f>IF(Agent10_Loans!B108="","",Agent10_Loans!J108)</f>
        <v/>
      </c>
      <c r="K1898" s="37" t="str">
        <f>IF(Agent10_Loans!B108="","",Agent10_Loans!K108)</f>
        <v/>
      </c>
      <c r="L1898" s="37" t="str">
        <f>IF(Agent10_Loans!B108="","",Agent10_Loans!L108)</f>
        <v/>
      </c>
      <c r="M1898" s="37" t="str">
        <f>IFERROR(IF(Agent10_Loans!B108="","",YEAR(Agent10_Loans!D108)),"")</f>
        <v/>
      </c>
    </row>
    <row r="1899" spans="1:13" ht="18" customHeight="1" x14ac:dyDescent="0.25">
      <c r="A1899" s="37" t="str">
        <f>IF(Agent10_Loans!B109="","",Agent10_Loans!A109)</f>
        <v/>
      </c>
      <c r="B1899" s="37" t="str">
        <f>IF(Agent10_Loans!B109="","",Agent10_Loans!B109)</f>
        <v/>
      </c>
      <c r="C1899" s="37" t="str">
        <f>IF(Agent10_Loans!B109="","",Agent10_Loans!C109)</f>
        <v/>
      </c>
      <c r="D1899" s="38" t="str">
        <f>IF(Agent10_Loans!B109="","",Agent10_Loans!D109)</f>
        <v/>
      </c>
      <c r="E1899" s="40" t="str">
        <f>IF(Agent10_Loans!B109="","",Agent10_Loans!E109)</f>
        <v/>
      </c>
      <c r="F1899" s="37" t="str">
        <f>IF(Agent10_Loans!B109="","",Agent10_Loans!F109)</f>
        <v/>
      </c>
      <c r="G1899" s="37" t="str">
        <f>IF(Agent10_Loans!B109="","",Agent10_Loans!G109)</f>
        <v/>
      </c>
      <c r="H1899" s="37" t="str">
        <f>IF(Agent10_Loans!B109="","",Agent10_Loans!H109)</f>
        <v/>
      </c>
      <c r="I1899" s="40" t="str">
        <f>IF(Agent10_Loans!B109="","",Agent10_Loans!I109)</f>
        <v/>
      </c>
      <c r="J1899" s="40" t="str">
        <f>IF(Agent10_Loans!B109="","",Agent10_Loans!J109)</f>
        <v/>
      </c>
      <c r="K1899" s="37" t="str">
        <f>IF(Agent10_Loans!B109="","",Agent10_Loans!K109)</f>
        <v/>
      </c>
      <c r="L1899" s="37" t="str">
        <f>IF(Agent10_Loans!B109="","",Agent10_Loans!L109)</f>
        <v/>
      </c>
      <c r="M1899" s="37" t="str">
        <f>IFERROR(IF(Agent10_Loans!B109="","",YEAR(Agent10_Loans!D109)),"")</f>
        <v/>
      </c>
    </row>
    <row r="1900" spans="1:13" ht="18" customHeight="1" x14ac:dyDescent="0.25">
      <c r="A1900" s="37" t="str">
        <f>IF(Agent10_Loans!B110="","",Agent10_Loans!A110)</f>
        <v/>
      </c>
      <c r="B1900" s="37" t="str">
        <f>IF(Agent10_Loans!B110="","",Agent10_Loans!B110)</f>
        <v/>
      </c>
      <c r="C1900" s="37" t="str">
        <f>IF(Agent10_Loans!B110="","",Agent10_Loans!C110)</f>
        <v/>
      </c>
      <c r="D1900" s="38" t="str">
        <f>IF(Agent10_Loans!B110="","",Agent10_Loans!D110)</f>
        <v/>
      </c>
      <c r="E1900" s="40" t="str">
        <f>IF(Agent10_Loans!B110="","",Agent10_Loans!E110)</f>
        <v/>
      </c>
      <c r="F1900" s="37" t="str">
        <f>IF(Agent10_Loans!B110="","",Agent10_Loans!F110)</f>
        <v/>
      </c>
      <c r="G1900" s="37" t="str">
        <f>IF(Agent10_Loans!B110="","",Agent10_Loans!G110)</f>
        <v/>
      </c>
      <c r="H1900" s="37" t="str">
        <f>IF(Agent10_Loans!B110="","",Agent10_Loans!H110)</f>
        <v/>
      </c>
      <c r="I1900" s="40" t="str">
        <f>IF(Agent10_Loans!B110="","",Agent10_Loans!I110)</f>
        <v/>
      </c>
      <c r="J1900" s="40" t="str">
        <f>IF(Agent10_Loans!B110="","",Agent10_Loans!J110)</f>
        <v/>
      </c>
      <c r="K1900" s="37" t="str">
        <f>IF(Agent10_Loans!B110="","",Agent10_Loans!K110)</f>
        <v/>
      </c>
      <c r="L1900" s="37" t="str">
        <f>IF(Agent10_Loans!B110="","",Agent10_Loans!L110)</f>
        <v/>
      </c>
      <c r="M1900" s="37" t="str">
        <f>IFERROR(IF(Agent10_Loans!B110="","",YEAR(Agent10_Loans!D110)),"")</f>
        <v/>
      </c>
    </row>
    <row r="1901" spans="1:13" ht="18" customHeight="1" x14ac:dyDescent="0.25">
      <c r="A1901" s="37" t="str">
        <f>IF(Agent10_Loans!B111="","",Agent10_Loans!A111)</f>
        <v/>
      </c>
      <c r="B1901" s="37" t="str">
        <f>IF(Agent10_Loans!B111="","",Agent10_Loans!B111)</f>
        <v/>
      </c>
      <c r="C1901" s="37" t="str">
        <f>IF(Agent10_Loans!B111="","",Agent10_Loans!C111)</f>
        <v/>
      </c>
      <c r="D1901" s="38" t="str">
        <f>IF(Agent10_Loans!B111="","",Agent10_Loans!D111)</f>
        <v/>
      </c>
      <c r="E1901" s="40" t="str">
        <f>IF(Agent10_Loans!B111="","",Agent10_Loans!E111)</f>
        <v/>
      </c>
      <c r="F1901" s="37" t="str">
        <f>IF(Agent10_Loans!B111="","",Agent10_Loans!F111)</f>
        <v/>
      </c>
      <c r="G1901" s="37" t="str">
        <f>IF(Agent10_Loans!B111="","",Agent10_Loans!G111)</f>
        <v/>
      </c>
      <c r="H1901" s="37" t="str">
        <f>IF(Agent10_Loans!B111="","",Agent10_Loans!H111)</f>
        <v/>
      </c>
      <c r="I1901" s="40" t="str">
        <f>IF(Agent10_Loans!B111="","",Agent10_Loans!I111)</f>
        <v/>
      </c>
      <c r="J1901" s="40" t="str">
        <f>IF(Agent10_Loans!B111="","",Agent10_Loans!J111)</f>
        <v/>
      </c>
      <c r="K1901" s="37" t="str">
        <f>IF(Agent10_Loans!B111="","",Agent10_Loans!K111)</f>
        <v/>
      </c>
      <c r="L1901" s="37" t="str">
        <f>IF(Agent10_Loans!B111="","",Agent10_Loans!L111)</f>
        <v/>
      </c>
      <c r="M1901" s="37" t="str">
        <f>IFERROR(IF(Agent10_Loans!B111="","",YEAR(Agent10_Loans!D111)),"")</f>
        <v/>
      </c>
    </row>
    <row r="1902" spans="1:13" ht="18" customHeight="1" x14ac:dyDescent="0.25">
      <c r="A1902" s="37" t="str">
        <f>IF(Agent10_Loans!B112="","",Agent10_Loans!A112)</f>
        <v/>
      </c>
      <c r="B1902" s="37" t="str">
        <f>IF(Agent10_Loans!B112="","",Agent10_Loans!B112)</f>
        <v/>
      </c>
      <c r="C1902" s="37" t="str">
        <f>IF(Agent10_Loans!B112="","",Agent10_Loans!C112)</f>
        <v/>
      </c>
      <c r="D1902" s="38" t="str">
        <f>IF(Agent10_Loans!B112="","",Agent10_Loans!D112)</f>
        <v/>
      </c>
      <c r="E1902" s="40" t="str">
        <f>IF(Agent10_Loans!B112="","",Agent10_Loans!E112)</f>
        <v/>
      </c>
      <c r="F1902" s="37" t="str">
        <f>IF(Agent10_Loans!B112="","",Agent10_Loans!F112)</f>
        <v/>
      </c>
      <c r="G1902" s="37" t="str">
        <f>IF(Agent10_Loans!B112="","",Agent10_Loans!G112)</f>
        <v/>
      </c>
      <c r="H1902" s="37" t="str">
        <f>IF(Agent10_Loans!B112="","",Agent10_Loans!H112)</f>
        <v/>
      </c>
      <c r="I1902" s="40" t="str">
        <f>IF(Agent10_Loans!B112="","",Agent10_Loans!I112)</f>
        <v/>
      </c>
      <c r="J1902" s="40" t="str">
        <f>IF(Agent10_Loans!B112="","",Agent10_Loans!J112)</f>
        <v/>
      </c>
      <c r="K1902" s="37" t="str">
        <f>IF(Agent10_Loans!B112="","",Agent10_Loans!K112)</f>
        <v/>
      </c>
      <c r="L1902" s="37" t="str">
        <f>IF(Agent10_Loans!B112="","",Agent10_Loans!L112)</f>
        <v/>
      </c>
      <c r="M1902" s="37" t="str">
        <f>IFERROR(IF(Agent10_Loans!B112="","",YEAR(Agent10_Loans!D112)),"")</f>
        <v/>
      </c>
    </row>
    <row r="1903" spans="1:13" ht="18" customHeight="1" x14ac:dyDescent="0.25">
      <c r="A1903" s="37" t="str">
        <f>IF(Agent10_Loans!B113="","",Agent10_Loans!A113)</f>
        <v/>
      </c>
      <c r="B1903" s="37" t="str">
        <f>IF(Agent10_Loans!B113="","",Agent10_Loans!B113)</f>
        <v/>
      </c>
      <c r="C1903" s="37" t="str">
        <f>IF(Agent10_Loans!B113="","",Agent10_Loans!C113)</f>
        <v/>
      </c>
      <c r="D1903" s="38" t="str">
        <f>IF(Agent10_Loans!B113="","",Agent10_Loans!D113)</f>
        <v/>
      </c>
      <c r="E1903" s="40" t="str">
        <f>IF(Agent10_Loans!B113="","",Agent10_Loans!E113)</f>
        <v/>
      </c>
      <c r="F1903" s="37" t="str">
        <f>IF(Agent10_Loans!B113="","",Agent10_Loans!F113)</f>
        <v/>
      </c>
      <c r="G1903" s="37" t="str">
        <f>IF(Agent10_Loans!B113="","",Agent10_Loans!G113)</f>
        <v/>
      </c>
      <c r="H1903" s="37" t="str">
        <f>IF(Agent10_Loans!B113="","",Agent10_Loans!H113)</f>
        <v/>
      </c>
      <c r="I1903" s="40" t="str">
        <f>IF(Agent10_Loans!B113="","",Agent10_Loans!I113)</f>
        <v/>
      </c>
      <c r="J1903" s="40" t="str">
        <f>IF(Agent10_Loans!B113="","",Agent10_Loans!J113)</f>
        <v/>
      </c>
      <c r="K1903" s="37" t="str">
        <f>IF(Agent10_Loans!B113="","",Agent10_Loans!K113)</f>
        <v/>
      </c>
      <c r="L1903" s="37" t="str">
        <f>IF(Agent10_Loans!B113="","",Agent10_Loans!L113)</f>
        <v/>
      </c>
      <c r="M1903" s="37" t="str">
        <f>IFERROR(IF(Agent10_Loans!B113="","",YEAR(Agent10_Loans!D113)),"")</f>
        <v/>
      </c>
    </row>
    <row r="1904" spans="1:13" ht="18" customHeight="1" x14ac:dyDescent="0.25">
      <c r="A1904" s="37" t="str">
        <f>IF(Agent10_Loans!B114="","",Agent10_Loans!A114)</f>
        <v/>
      </c>
      <c r="B1904" s="37" t="str">
        <f>IF(Agent10_Loans!B114="","",Agent10_Loans!B114)</f>
        <v/>
      </c>
      <c r="C1904" s="37" t="str">
        <f>IF(Agent10_Loans!B114="","",Agent10_Loans!C114)</f>
        <v/>
      </c>
      <c r="D1904" s="38" t="str">
        <f>IF(Agent10_Loans!B114="","",Agent10_Loans!D114)</f>
        <v/>
      </c>
      <c r="E1904" s="40" t="str">
        <f>IF(Agent10_Loans!B114="","",Agent10_Loans!E114)</f>
        <v/>
      </c>
      <c r="F1904" s="37" t="str">
        <f>IF(Agent10_Loans!B114="","",Agent10_Loans!F114)</f>
        <v/>
      </c>
      <c r="G1904" s="37" t="str">
        <f>IF(Agent10_Loans!B114="","",Agent10_Loans!G114)</f>
        <v/>
      </c>
      <c r="H1904" s="37" t="str">
        <f>IF(Agent10_Loans!B114="","",Agent10_Loans!H114)</f>
        <v/>
      </c>
      <c r="I1904" s="40" t="str">
        <f>IF(Agent10_Loans!B114="","",Agent10_Loans!I114)</f>
        <v/>
      </c>
      <c r="J1904" s="40" t="str">
        <f>IF(Agent10_Loans!B114="","",Agent10_Loans!J114)</f>
        <v/>
      </c>
      <c r="K1904" s="37" t="str">
        <f>IF(Agent10_Loans!B114="","",Agent10_Loans!K114)</f>
        <v/>
      </c>
      <c r="L1904" s="37" t="str">
        <f>IF(Agent10_Loans!B114="","",Agent10_Loans!L114)</f>
        <v/>
      </c>
      <c r="M1904" s="37" t="str">
        <f>IFERROR(IF(Agent10_Loans!B114="","",YEAR(Agent10_Loans!D114)),"")</f>
        <v/>
      </c>
    </row>
    <row r="1905" spans="1:13" ht="18" customHeight="1" x14ac:dyDescent="0.25">
      <c r="A1905" s="37" t="str">
        <f>IF(Agent10_Loans!B115="","",Agent10_Loans!A115)</f>
        <v/>
      </c>
      <c r="B1905" s="37" t="str">
        <f>IF(Agent10_Loans!B115="","",Agent10_Loans!B115)</f>
        <v/>
      </c>
      <c r="C1905" s="37" t="str">
        <f>IF(Agent10_Loans!B115="","",Agent10_Loans!C115)</f>
        <v/>
      </c>
      <c r="D1905" s="38" t="str">
        <f>IF(Agent10_Loans!B115="","",Agent10_Loans!D115)</f>
        <v/>
      </c>
      <c r="E1905" s="40" t="str">
        <f>IF(Agent10_Loans!B115="","",Agent10_Loans!E115)</f>
        <v/>
      </c>
      <c r="F1905" s="37" t="str">
        <f>IF(Agent10_Loans!B115="","",Agent10_Loans!F115)</f>
        <v/>
      </c>
      <c r="G1905" s="37" t="str">
        <f>IF(Agent10_Loans!B115="","",Agent10_Loans!G115)</f>
        <v/>
      </c>
      <c r="H1905" s="37" t="str">
        <f>IF(Agent10_Loans!B115="","",Agent10_Loans!H115)</f>
        <v/>
      </c>
      <c r="I1905" s="40" t="str">
        <f>IF(Agent10_Loans!B115="","",Agent10_Loans!I115)</f>
        <v/>
      </c>
      <c r="J1905" s="40" t="str">
        <f>IF(Agent10_Loans!B115="","",Agent10_Loans!J115)</f>
        <v/>
      </c>
      <c r="K1905" s="37" t="str">
        <f>IF(Agent10_Loans!B115="","",Agent10_Loans!K115)</f>
        <v/>
      </c>
      <c r="L1905" s="37" t="str">
        <f>IF(Agent10_Loans!B115="","",Agent10_Loans!L115)</f>
        <v/>
      </c>
      <c r="M1905" s="37" t="str">
        <f>IFERROR(IF(Agent10_Loans!B115="","",YEAR(Agent10_Loans!D115)),"")</f>
        <v/>
      </c>
    </row>
    <row r="1906" spans="1:13" ht="18" customHeight="1" x14ac:dyDescent="0.25">
      <c r="A1906" s="37" t="str">
        <f>IF(Agent10_Loans!B116="","",Agent10_Loans!A116)</f>
        <v/>
      </c>
      <c r="B1906" s="37" t="str">
        <f>IF(Agent10_Loans!B116="","",Agent10_Loans!B116)</f>
        <v/>
      </c>
      <c r="C1906" s="37" t="str">
        <f>IF(Agent10_Loans!B116="","",Agent10_Loans!C116)</f>
        <v/>
      </c>
      <c r="D1906" s="38" t="str">
        <f>IF(Agent10_Loans!B116="","",Agent10_Loans!D116)</f>
        <v/>
      </c>
      <c r="E1906" s="40" t="str">
        <f>IF(Agent10_Loans!B116="","",Agent10_Loans!E116)</f>
        <v/>
      </c>
      <c r="F1906" s="37" t="str">
        <f>IF(Agent10_Loans!B116="","",Agent10_Loans!F116)</f>
        <v/>
      </c>
      <c r="G1906" s="37" t="str">
        <f>IF(Agent10_Loans!B116="","",Agent10_Loans!G116)</f>
        <v/>
      </c>
      <c r="H1906" s="37" t="str">
        <f>IF(Agent10_Loans!B116="","",Agent10_Loans!H116)</f>
        <v/>
      </c>
      <c r="I1906" s="40" t="str">
        <f>IF(Agent10_Loans!B116="","",Agent10_Loans!I116)</f>
        <v/>
      </c>
      <c r="J1906" s="40" t="str">
        <f>IF(Agent10_Loans!B116="","",Agent10_Loans!J116)</f>
        <v/>
      </c>
      <c r="K1906" s="37" t="str">
        <f>IF(Agent10_Loans!B116="","",Agent10_Loans!K116)</f>
        <v/>
      </c>
      <c r="L1906" s="37" t="str">
        <f>IF(Agent10_Loans!B116="","",Agent10_Loans!L116)</f>
        <v/>
      </c>
      <c r="M1906" s="37" t="str">
        <f>IFERROR(IF(Agent10_Loans!B116="","",YEAR(Agent10_Loans!D116)),"")</f>
        <v/>
      </c>
    </row>
    <row r="1907" spans="1:13" ht="18" customHeight="1" x14ac:dyDescent="0.25">
      <c r="A1907" s="37" t="str">
        <f>IF(Agent10_Loans!B117="","",Agent10_Loans!A117)</f>
        <v/>
      </c>
      <c r="B1907" s="37" t="str">
        <f>IF(Agent10_Loans!B117="","",Agent10_Loans!B117)</f>
        <v/>
      </c>
      <c r="C1907" s="37" t="str">
        <f>IF(Agent10_Loans!B117="","",Agent10_Loans!C117)</f>
        <v/>
      </c>
      <c r="D1907" s="38" t="str">
        <f>IF(Agent10_Loans!B117="","",Agent10_Loans!D117)</f>
        <v/>
      </c>
      <c r="E1907" s="40" t="str">
        <f>IF(Agent10_Loans!B117="","",Agent10_Loans!E117)</f>
        <v/>
      </c>
      <c r="F1907" s="37" t="str">
        <f>IF(Agent10_Loans!B117="","",Agent10_Loans!F117)</f>
        <v/>
      </c>
      <c r="G1907" s="37" t="str">
        <f>IF(Agent10_Loans!B117="","",Agent10_Loans!G117)</f>
        <v/>
      </c>
      <c r="H1907" s="37" t="str">
        <f>IF(Agent10_Loans!B117="","",Agent10_Loans!H117)</f>
        <v/>
      </c>
      <c r="I1907" s="40" t="str">
        <f>IF(Agent10_Loans!B117="","",Agent10_Loans!I117)</f>
        <v/>
      </c>
      <c r="J1907" s="40" t="str">
        <f>IF(Agent10_Loans!B117="","",Agent10_Loans!J117)</f>
        <v/>
      </c>
      <c r="K1907" s="37" t="str">
        <f>IF(Agent10_Loans!B117="","",Agent10_Loans!K117)</f>
        <v/>
      </c>
      <c r="L1907" s="37" t="str">
        <f>IF(Agent10_Loans!B117="","",Agent10_Loans!L117)</f>
        <v/>
      </c>
      <c r="M1907" s="37" t="str">
        <f>IFERROR(IF(Agent10_Loans!B117="","",YEAR(Agent10_Loans!D117)),"")</f>
        <v/>
      </c>
    </row>
    <row r="1908" spans="1:13" ht="18" customHeight="1" x14ac:dyDescent="0.25">
      <c r="A1908" s="37" t="str">
        <f>IF(Agent10_Loans!B118="","",Agent10_Loans!A118)</f>
        <v/>
      </c>
      <c r="B1908" s="37" t="str">
        <f>IF(Agent10_Loans!B118="","",Agent10_Loans!B118)</f>
        <v/>
      </c>
      <c r="C1908" s="37" t="str">
        <f>IF(Agent10_Loans!B118="","",Agent10_Loans!C118)</f>
        <v/>
      </c>
      <c r="D1908" s="38" t="str">
        <f>IF(Agent10_Loans!B118="","",Agent10_Loans!D118)</f>
        <v/>
      </c>
      <c r="E1908" s="40" t="str">
        <f>IF(Agent10_Loans!B118="","",Agent10_Loans!E118)</f>
        <v/>
      </c>
      <c r="F1908" s="37" t="str">
        <f>IF(Agent10_Loans!B118="","",Agent10_Loans!F118)</f>
        <v/>
      </c>
      <c r="G1908" s="37" t="str">
        <f>IF(Agent10_Loans!B118="","",Agent10_Loans!G118)</f>
        <v/>
      </c>
      <c r="H1908" s="37" t="str">
        <f>IF(Agent10_Loans!B118="","",Agent10_Loans!H118)</f>
        <v/>
      </c>
      <c r="I1908" s="40" t="str">
        <f>IF(Agent10_Loans!B118="","",Agent10_Loans!I118)</f>
        <v/>
      </c>
      <c r="J1908" s="40" t="str">
        <f>IF(Agent10_Loans!B118="","",Agent10_Loans!J118)</f>
        <v/>
      </c>
      <c r="K1908" s="37" t="str">
        <f>IF(Agent10_Loans!B118="","",Agent10_Loans!K118)</f>
        <v/>
      </c>
      <c r="L1908" s="37" t="str">
        <f>IF(Agent10_Loans!B118="","",Agent10_Loans!L118)</f>
        <v/>
      </c>
      <c r="M1908" s="37" t="str">
        <f>IFERROR(IF(Agent10_Loans!B118="","",YEAR(Agent10_Loans!D118)),"")</f>
        <v/>
      </c>
    </row>
    <row r="1909" spans="1:13" ht="18" customHeight="1" x14ac:dyDescent="0.25">
      <c r="A1909" s="37" t="str">
        <f>IF(Agent10_Loans!B119="","",Agent10_Loans!A119)</f>
        <v/>
      </c>
      <c r="B1909" s="37" t="str">
        <f>IF(Agent10_Loans!B119="","",Agent10_Loans!B119)</f>
        <v/>
      </c>
      <c r="C1909" s="37" t="str">
        <f>IF(Agent10_Loans!B119="","",Agent10_Loans!C119)</f>
        <v/>
      </c>
      <c r="D1909" s="38" t="str">
        <f>IF(Agent10_Loans!B119="","",Agent10_Loans!D119)</f>
        <v/>
      </c>
      <c r="E1909" s="40" t="str">
        <f>IF(Agent10_Loans!B119="","",Agent10_Loans!E119)</f>
        <v/>
      </c>
      <c r="F1909" s="37" t="str">
        <f>IF(Agent10_Loans!B119="","",Agent10_Loans!F119)</f>
        <v/>
      </c>
      <c r="G1909" s="37" t="str">
        <f>IF(Agent10_Loans!B119="","",Agent10_Loans!G119)</f>
        <v/>
      </c>
      <c r="H1909" s="37" t="str">
        <f>IF(Agent10_Loans!B119="","",Agent10_Loans!H119)</f>
        <v/>
      </c>
      <c r="I1909" s="40" t="str">
        <f>IF(Agent10_Loans!B119="","",Agent10_Loans!I119)</f>
        <v/>
      </c>
      <c r="J1909" s="40" t="str">
        <f>IF(Agent10_Loans!B119="","",Agent10_Loans!J119)</f>
        <v/>
      </c>
      <c r="K1909" s="37" t="str">
        <f>IF(Agent10_Loans!B119="","",Agent10_Loans!K119)</f>
        <v/>
      </c>
      <c r="L1909" s="37" t="str">
        <f>IF(Agent10_Loans!B119="","",Agent10_Loans!L119)</f>
        <v/>
      </c>
      <c r="M1909" s="37" t="str">
        <f>IFERROR(IF(Agent10_Loans!B119="","",YEAR(Agent10_Loans!D119)),"")</f>
        <v/>
      </c>
    </row>
    <row r="1910" spans="1:13" ht="18" customHeight="1" x14ac:dyDescent="0.25">
      <c r="A1910" s="37" t="str">
        <f>IF(Agent10_Loans!B120="","",Agent10_Loans!A120)</f>
        <v/>
      </c>
      <c r="B1910" s="37" t="str">
        <f>IF(Agent10_Loans!B120="","",Agent10_Loans!B120)</f>
        <v/>
      </c>
      <c r="C1910" s="37" t="str">
        <f>IF(Agent10_Loans!B120="","",Agent10_Loans!C120)</f>
        <v/>
      </c>
      <c r="D1910" s="38" t="str">
        <f>IF(Agent10_Loans!B120="","",Agent10_Loans!D120)</f>
        <v/>
      </c>
      <c r="E1910" s="40" t="str">
        <f>IF(Agent10_Loans!B120="","",Agent10_Loans!E120)</f>
        <v/>
      </c>
      <c r="F1910" s="37" t="str">
        <f>IF(Agent10_Loans!B120="","",Agent10_Loans!F120)</f>
        <v/>
      </c>
      <c r="G1910" s="37" t="str">
        <f>IF(Agent10_Loans!B120="","",Agent10_Loans!G120)</f>
        <v/>
      </c>
      <c r="H1910" s="37" t="str">
        <f>IF(Agent10_Loans!B120="","",Agent10_Loans!H120)</f>
        <v/>
      </c>
      <c r="I1910" s="40" t="str">
        <f>IF(Agent10_Loans!B120="","",Agent10_Loans!I120)</f>
        <v/>
      </c>
      <c r="J1910" s="40" t="str">
        <f>IF(Agent10_Loans!B120="","",Agent10_Loans!J120)</f>
        <v/>
      </c>
      <c r="K1910" s="37" t="str">
        <f>IF(Agent10_Loans!B120="","",Agent10_Loans!K120)</f>
        <v/>
      </c>
      <c r="L1910" s="37" t="str">
        <f>IF(Agent10_Loans!B120="","",Agent10_Loans!L120)</f>
        <v/>
      </c>
      <c r="M1910" s="37" t="str">
        <f>IFERROR(IF(Agent10_Loans!B120="","",YEAR(Agent10_Loans!D120)),"")</f>
        <v/>
      </c>
    </row>
    <row r="1911" spans="1:13" ht="18" customHeight="1" x14ac:dyDescent="0.25">
      <c r="A1911" s="37" t="str">
        <f>IF(Agent10_Loans!B121="","",Agent10_Loans!A121)</f>
        <v/>
      </c>
      <c r="B1911" s="37" t="str">
        <f>IF(Agent10_Loans!B121="","",Agent10_Loans!B121)</f>
        <v/>
      </c>
      <c r="C1911" s="37" t="str">
        <f>IF(Agent10_Loans!B121="","",Agent10_Loans!C121)</f>
        <v/>
      </c>
      <c r="D1911" s="38" t="str">
        <f>IF(Agent10_Loans!B121="","",Agent10_Loans!D121)</f>
        <v/>
      </c>
      <c r="E1911" s="40" t="str">
        <f>IF(Agent10_Loans!B121="","",Agent10_Loans!E121)</f>
        <v/>
      </c>
      <c r="F1911" s="37" t="str">
        <f>IF(Agent10_Loans!B121="","",Agent10_Loans!F121)</f>
        <v/>
      </c>
      <c r="G1911" s="37" t="str">
        <f>IF(Agent10_Loans!B121="","",Agent10_Loans!G121)</f>
        <v/>
      </c>
      <c r="H1911" s="37" t="str">
        <f>IF(Agent10_Loans!B121="","",Agent10_Loans!H121)</f>
        <v/>
      </c>
      <c r="I1911" s="40" t="str">
        <f>IF(Agent10_Loans!B121="","",Agent10_Loans!I121)</f>
        <v/>
      </c>
      <c r="J1911" s="40" t="str">
        <f>IF(Agent10_Loans!B121="","",Agent10_Loans!J121)</f>
        <v/>
      </c>
      <c r="K1911" s="37" t="str">
        <f>IF(Agent10_Loans!B121="","",Agent10_Loans!K121)</f>
        <v/>
      </c>
      <c r="L1911" s="37" t="str">
        <f>IF(Agent10_Loans!B121="","",Agent10_Loans!L121)</f>
        <v/>
      </c>
      <c r="M1911" s="37" t="str">
        <f>IFERROR(IF(Agent10_Loans!B121="","",YEAR(Agent10_Loans!D121)),"")</f>
        <v/>
      </c>
    </row>
    <row r="1912" spans="1:13" ht="18" customHeight="1" x14ac:dyDescent="0.25">
      <c r="A1912" s="37" t="str">
        <f>IF(Agent10_Loans!B122="","",Agent10_Loans!A122)</f>
        <v/>
      </c>
      <c r="B1912" s="37" t="str">
        <f>IF(Agent10_Loans!B122="","",Agent10_Loans!B122)</f>
        <v/>
      </c>
      <c r="C1912" s="37" t="str">
        <f>IF(Agent10_Loans!B122="","",Agent10_Loans!C122)</f>
        <v/>
      </c>
      <c r="D1912" s="38" t="str">
        <f>IF(Agent10_Loans!B122="","",Agent10_Loans!D122)</f>
        <v/>
      </c>
      <c r="E1912" s="40" t="str">
        <f>IF(Agent10_Loans!B122="","",Agent10_Loans!E122)</f>
        <v/>
      </c>
      <c r="F1912" s="37" t="str">
        <f>IF(Agent10_Loans!B122="","",Agent10_Loans!F122)</f>
        <v/>
      </c>
      <c r="G1912" s="37" t="str">
        <f>IF(Agent10_Loans!B122="","",Agent10_Loans!G122)</f>
        <v/>
      </c>
      <c r="H1912" s="37" t="str">
        <f>IF(Agent10_Loans!B122="","",Agent10_Loans!H122)</f>
        <v/>
      </c>
      <c r="I1912" s="40" t="str">
        <f>IF(Agent10_Loans!B122="","",Agent10_Loans!I122)</f>
        <v/>
      </c>
      <c r="J1912" s="40" t="str">
        <f>IF(Agent10_Loans!B122="","",Agent10_Loans!J122)</f>
        <v/>
      </c>
      <c r="K1912" s="37" t="str">
        <f>IF(Agent10_Loans!B122="","",Agent10_Loans!K122)</f>
        <v/>
      </c>
      <c r="L1912" s="37" t="str">
        <f>IF(Agent10_Loans!B122="","",Agent10_Loans!L122)</f>
        <v/>
      </c>
      <c r="M1912" s="37" t="str">
        <f>IFERROR(IF(Agent10_Loans!B122="","",YEAR(Agent10_Loans!D122)),"")</f>
        <v/>
      </c>
    </row>
    <row r="1913" spans="1:13" ht="18" customHeight="1" x14ac:dyDescent="0.25">
      <c r="A1913" s="37" t="str">
        <f>IF(Agent10_Loans!B123="","",Agent10_Loans!A123)</f>
        <v/>
      </c>
      <c r="B1913" s="37" t="str">
        <f>IF(Agent10_Loans!B123="","",Agent10_Loans!B123)</f>
        <v/>
      </c>
      <c r="C1913" s="37" t="str">
        <f>IF(Agent10_Loans!B123="","",Agent10_Loans!C123)</f>
        <v/>
      </c>
      <c r="D1913" s="38" t="str">
        <f>IF(Agent10_Loans!B123="","",Agent10_Loans!D123)</f>
        <v/>
      </c>
      <c r="E1913" s="40" t="str">
        <f>IF(Agent10_Loans!B123="","",Agent10_Loans!E123)</f>
        <v/>
      </c>
      <c r="F1913" s="37" t="str">
        <f>IF(Agent10_Loans!B123="","",Agent10_Loans!F123)</f>
        <v/>
      </c>
      <c r="G1913" s="37" t="str">
        <f>IF(Agent10_Loans!B123="","",Agent10_Loans!G123)</f>
        <v/>
      </c>
      <c r="H1913" s="37" t="str">
        <f>IF(Agent10_Loans!B123="","",Agent10_Loans!H123)</f>
        <v/>
      </c>
      <c r="I1913" s="40" t="str">
        <f>IF(Agent10_Loans!B123="","",Agent10_Loans!I123)</f>
        <v/>
      </c>
      <c r="J1913" s="40" t="str">
        <f>IF(Agent10_Loans!B123="","",Agent10_Loans!J123)</f>
        <v/>
      </c>
      <c r="K1913" s="37" t="str">
        <f>IF(Agent10_Loans!B123="","",Agent10_Loans!K123)</f>
        <v/>
      </c>
      <c r="L1913" s="37" t="str">
        <f>IF(Agent10_Loans!B123="","",Agent10_Loans!L123)</f>
        <v/>
      </c>
      <c r="M1913" s="37" t="str">
        <f>IFERROR(IF(Agent10_Loans!B123="","",YEAR(Agent10_Loans!D123)),"")</f>
        <v/>
      </c>
    </row>
    <row r="1914" spans="1:13" ht="18" customHeight="1" x14ac:dyDescent="0.25">
      <c r="A1914" s="37" t="str">
        <f>IF(Agent10_Loans!B124="","",Agent10_Loans!A124)</f>
        <v/>
      </c>
      <c r="B1914" s="37" t="str">
        <f>IF(Agent10_Loans!B124="","",Agent10_Loans!B124)</f>
        <v/>
      </c>
      <c r="C1914" s="37" t="str">
        <f>IF(Agent10_Loans!B124="","",Agent10_Loans!C124)</f>
        <v/>
      </c>
      <c r="D1914" s="38" t="str">
        <f>IF(Agent10_Loans!B124="","",Agent10_Loans!D124)</f>
        <v/>
      </c>
      <c r="E1914" s="40" t="str">
        <f>IF(Agent10_Loans!B124="","",Agent10_Loans!E124)</f>
        <v/>
      </c>
      <c r="F1914" s="37" t="str">
        <f>IF(Agent10_Loans!B124="","",Agent10_Loans!F124)</f>
        <v/>
      </c>
      <c r="G1914" s="37" t="str">
        <f>IF(Agent10_Loans!B124="","",Agent10_Loans!G124)</f>
        <v/>
      </c>
      <c r="H1914" s="37" t="str">
        <f>IF(Agent10_Loans!B124="","",Agent10_Loans!H124)</f>
        <v/>
      </c>
      <c r="I1914" s="40" t="str">
        <f>IF(Agent10_Loans!B124="","",Agent10_Loans!I124)</f>
        <v/>
      </c>
      <c r="J1914" s="40" t="str">
        <f>IF(Agent10_Loans!B124="","",Agent10_Loans!J124)</f>
        <v/>
      </c>
      <c r="K1914" s="37" t="str">
        <f>IF(Agent10_Loans!B124="","",Agent10_Loans!K124)</f>
        <v/>
      </c>
      <c r="L1914" s="37" t="str">
        <f>IF(Agent10_Loans!B124="","",Agent10_Loans!L124)</f>
        <v/>
      </c>
      <c r="M1914" s="37" t="str">
        <f>IFERROR(IF(Agent10_Loans!B124="","",YEAR(Agent10_Loans!D124)),"")</f>
        <v/>
      </c>
    </row>
    <row r="1915" spans="1:13" ht="18" customHeight="1" x14ac:dyDescent="0.25">
      <c r="A1915" s="37" t="str">
        <f>IF(Agent10_Loans!B125="","",Agent10_Loans!A125)</f>
        <v/>
      </c>
      <c r="B1915" s="37" t="str">
        <f>IF(Agent10_Loans!B125="","",Agent10_Loans!B125)</f>
        <v/>
      </c>
      <c r="C1915" s="37" t="str">
        <f>IF(Agent10_Loans!B125="","",Agent10_Loans!C125)</f>
        <v/>
      </c>
      <c r="D1915" s="38" t="str">
        <f>IF(Agent10_Loans!B125="","",Agent10_Loans!D125)</f>
        <v/>
      </c>
      <c r="E1915" s="40" t="str">
        <f>IF(Agent10_Loans!B125="","",Agent10_Loans!E125)</f>
        <v/>
      </c>
      <c r="F1915" s="37" t="str">
        <f>IF(Agent10_Loans!B125="","",Agent10_Loans!F125)</f>
        <v/>
      </c>
      <c r="G1915" s="37" t="str">
        <f>IF(Agent10_Loans!B125="","",Agent10_Loans!G125)</f>
        <v/>
      </c>
      <c r="H1915" s="37" t="str">
        <f>IF(Agent10_Loans!B125="","",Agent10_Loans!H125)</f>
        <v/>
      </c>
      <c r="I1915" s="40" t="str">
        <f>IF(Agent10_Loans!B125="","",Agent10_Loans!I125)</f>
        <v/>
      </c>
      <c r="J1915" s="40" t="str">
        <f>IF(Agent10_Loans!B125="","",Agent10_Loans!J125)</f>
        <v/>
      </c>
      <c r="K1915" s="37" t="str">
        <f>IF(Agent10_Loans!B125="","",Agent10_Loans!K125)</f>
        <v/>
      </c>
      <c r="L1915" s="37" t="str">
        <f>IF(Agent10_Loans!B125="","",Agent10_Loans!L125)</f>
        <v/>
      </c>
      <c r="M1915" s="37" t="str">
        <f>IFERROR(IF(Agent10_Loans!B125="","",YEAR(Agent10_Loans!D125)),"")</f>
        <v/>
      </c>
    </row>
    <row r="1916" spans="1:13" ht="18" customHeight="1" x14ac:dyDescent="0.25">
      <c r="A1916" s="37" t="str">
        <f>IF(Agent10_Loans!B126="","",Agent10_Loans!A126)</f>
        <v/>
      </c>
      <c r="B1916" s="37" t="str">
        <f>IF(Agent10_Loans!B126="","",Agent10_Loans!B126)</f>
        <v/>
      </c>
      <c r="C1916" s="37" t="str">
        <f>IF(Agent10_Loans!B126="","",Agent10_Loans!C126)</f>
        <v/>
      </c>
      <c r="D1916" s="38" t="str">
        <f>IF(Agent10_Loans!B126="","",Agent10_Loans!D126)</f>
        <v/>
      </c>
      <c r="E1916" s="40" t="str">
        <f>IF(Agent10_Loans!B126="","",Agent10_Loans!E126)</f>
        <v/>
      </c>
      <c r="F1916" s="37" t="str">
        <f>IF(Agent10_Loans!B126="","",Agent10_Loans!F126)</f>
        <v/>
      </c>
      <c r="G1916" s="37" t="str">
        <f>IF(Agent10_Loans!B126="","",Agent10_Loans!G126)</f>
        <v/>
      </c>
      <c r="H1916" s="37" t="str">
        <f>IF(Agent10_Loans!B126="","",Agent10_Loans!H126)</f>
        <v/>
      </c>
      <c r="I1916" s="40" t="str">
        <f>IF(Agent10_Loans!B126="","",Agent10_Loans!I126)</f>
        <v/>
      </c>
      <c r="J1916" s="40" t="str">
        <f>IF(Agent10_Loans!B126="","",Agent10_Loans!J126)</f>
        <v/>
      </c>
      <c r="K1916" s="37" t="str">
        <f>IF(Agent10_Loans!B126="","",Agent10_Loans!K126)</f>
        <v/>
      </c>
      <c r="L1916" s="37" t="str">
        <f>IF(Agent10_Loans!B126="","",Agent10_Loans!L126)</f>
        <v/>
      </c>
      <c r="M1916" s="37" t="str">
        <f>IFERROR(IF(Agent10_Loans!B126="","",YEAR(Agent10_Loans!D126)),"")</f>
        <v/>
      </c>
    </row>
    <row r="1917" spans="1:13" ht="18" customHeight="1" x14ac:dyDescent="0.25">
      <c r="A1917" s="37" t="str">
        <f>IF(Agent10_Loans!B127="","",Agent10_Loans!A127)</f>
        <v/>
      </c>
      <c r="B1917" s="37" t="str">
        <f>IF(Agent10_Loans!B127="","",Agent10_Loans!B127)</f>
        <v/>
      </c>
      <c r="C1917" s="37" t="str">
        <f>IF(Agent10_Loans!B127="","",Agent10_Loans!C127)</f>
        <v/>
      </c>
      <c r="D1917" s="38" t="str">
        <f>IF(Agent10_Loans!B127="","",Agent10_Loans!D127)</f>
        <v/>
      </c>
      <c r="E1917" s="40" t="str">
        <f>IF(Agent10_Loans!B127="","",Agent10_Loans!E127)</f>
        <v/>
      </c>
      <c r="F1917" s="37" t="str">
        <f>IF(Agent10_Loans!B127="","",Agent10_Loans!F127)</f>
        <v/>
      </c>
      <c r="G1917" s="37" t="str">
        <f>IF(Agent10_Loans!B127="","",Agent10_Loans!G127)</f>
        <v/>
      </c>
      <c r="H1917" s="37" t="str">
        <f>IF(Agent10_Loans!B127="","",Agent10_Loans!H127)</f>
        <v/>
      </c>
      <c r="I1917" s="40" t="str">
        <f>IF(Agent10_Loans!B127="","",Agent10_Loans!I127)</f>
        <v/>
      </c>
      <c r="J1917" s="40" t="str">
        <f>IF(Agent10_Loans!B127="","",Agent10_Loans!J127)</f>
        <v/>
      </c>
      <c r="K1917" s="37" t="str">
        <f>IF(Agent10_Loans!B127="","",Agent10_Loans!K127)</f>
        <v/>
      </c>
      <c r="L1917" s="37" t="str">
        <f>IF(Agent10_Loans!B127="","",Agent10_Loans!L127)</f>
        <v/>
      </c>
      <c r="M1917" s="37" t="str">
        <f>IFERROR(IF(Agent10_Loans!B127="","",YEAR(Agent10_Loans!D127)),"")</f>
        <v/>
      </c>
    </row>
    <row r="1918" spans="1:13" ht="18" customHeight="1" x14ac:dyDescent="0.25">
      <c r="A1918" s="37" t="str">
        <f>IF(Agent10_Loans!B128="","",Agent10_Loans!A128)</f>
        <v/>
      </c>
      <c r="B1918" s="37" t="str">
        <f>IF(Agent10_Loans!B128="","",Agent10_Loans!B128)</f>
        <v/>
      </c>
      <c r="C1918" s="37" t="str">
        <f>IF(Agent10_Loans!B128="","",Agent10_Loans!C128)</f>
        <v/>
      </c>
      <c r="D1918" s="38" t="str">
        <f>IF(Agent10_Loans!B128="","",Agent10_Loans!D128)</f>
        <v/>
      </c>
      <c r="E1918" s="40" t="str">
        <f>IF(Agent10_Loans!B128="","",Agent10_Loans!E128)</f>
        <v/>
      </c>
      <c r="F1918" s="37" t="str">
        <f>IF(Agent10_Loans!B128="","",Agent10_Loans!F128)</f>
        <v/>
      </c>
      <c r="G1918" s="37" t="str">
        <f>IF(Agent10_Loans!B128="","",Agent10_Loans!G128)</f>
        <v/>
      </c>
      <c r="H1918" s="37" t="str">
        <f>IF(Agent10_Loans!B128="","",Agent10_Loans!H128)</f>
        <v/>
      </c>
      <c r="I1918" s="40" t="str">
        <f>IF(Agent10_Loans!B128="","",Agent10_Loans!I128)</f>
        <v/>
      </c>
      <c r="J1918" s="40" t="str">
        <f>IF(Agent10_Loans!B128="","",Agent10_Loans!J128)</f>
        <v/>
      </c>
      <c r="K1918" s="37" t="str">
        <f>IF(Agent10_Loans!B128="","",Agent10_Loans!K128)</f>
        <v/>
      </c>
      <c r="L1918" s="37" t="str">
        <f>IF(Agent10_Loans!B128="","",Agent10_Loans!L128)</f>
        <v/>
      </c>
      <c r="M1918" s="37" t="str">
        <f>IFERROR(IF(Agent10_Loans!B128="","",YEAR(Agent10_Loans!D128)),"")</f>
        <v/>
      </c>
    </row>
    <row r="1919" spans="1:13" ht="18" customHeight="1" x14ac:dyDescent="0.25">
      <c r="A1919" s="37" t="str">
        <f>IF(Agent10_Loans!B129="","",Agent10_Loans!A129)</f>
        <v/>
      </c>
      <c r="B1919" s="37" t="str">
        <f>IF(Agent10_Loans!B129="","",Agent10_Loans!B129)</f>
        <v/>
      </c>
      <c r="C1919" s="37" t="str">
        <f>IF(Agent10_Loans!B129="","",Agent10_Loans!C129)</f>
        <v/>
      </c>
      <c r="D1919" s="38" t="str">
        <f>IF(Agent10_Loans!B129="","",Agent10_Loans!D129)</f>
        <v/>
      </c>
      <c r="E1919" s="40" t="str">
        <f>IF(Agent10_Loans!B129="","",Agent10_Loans!E129)</f>
        <v/>
      </c>
      <c r="F1919" s="37" t="str">
        <f>IF(Agent10_Loans!B129="","",Agent10_Loans!F129)</f>
        <v/>
      </c>
      <c r="G1919" s="37" t="str">
        <f>IF(Agent10_Loans!B129="","",Agent10_Loans!G129)</f>
        <v/>
      </c>
      <c r="H1919" s="37" t="str">
        <f>IF(Agent10_Loans!B129="","",Agent10_Loans!H129)</f>
        <v/>
      </c>
      <c r="I1919" s="40" t="str">
        <f>IF(Agent10_Loans!B129="","",Agent10_Loans!I129)</f>
        <v/>
      </c>
      <c r="J1919" s="40" t="str">
        <f>IF(Agent10_Loans!B129="","",Agent10_Loans!J129)</f>
        <v/>
      </c>
      <c r="K1919" s="37" t="str">
        <f>IF(Agent10_Loans!B129="","",Agent10_Loans!K129)</f>
        <v/>
      </c>
      <c r="L1919" s="37" t="str">
        <f>IF(Agent10_Loans!B129="","",Agent10_Loans!L129)</f>
        <v/>
      </c>
      <c r="M1919" s="37" t="str">
        <f>IFERROR(IF(Agent10_Loans!B129="","",YEAR(Agent10_Loans!D129)),"")</f>
        <v/>
      </c>
    </row>
    <row r="1920" spans="1:13" ht="18" customHeight="1" x14ac:dyDescent="0.25">
      <c r="A1920" s="37" t="str">
        <f>IF(Agent10_Loans!B130="","",Agent10_Loans!A130)</f>
        <v/>
      </c>
      <c r="B1920" s="37" t="str">
        <f>IF(Agent10_Loans!B130="","",Agent10_Loans!B130)</f>
        <v/>
      </c>
      <c r="C1920" s="37" t="str">
        <f>IF(Agent10_Loans!B130="","",Agent10_Loans!C130)</f>
        <v/>
      </c>
      <c r="D1920" s="38" t="str">
        <f>IF(Agent10_Loans!B130="","",Agent10_Loans!D130)</f>
        <v/>
      </c>
      <c r="E1920" s="40" t="str">
        <f>IF(Agent10_Loans!B130="","",Agent10_Loans!E130)</f>
        <v/>
      </c>
      <c r="F1920" s="37" t="str">
        <f>IF(Agent10_Loans!B130="","",Agent10_Loans!F130)</f>
        <v/>
      </c>
      <c r="G1920" s="37" t="str">
        <f>IF(Agent10_Loans!B130="","",Agent10_Loans!G130)</f>
        <v/>
      </c>
      <c r="H1920" s="37" t="str">
        <f>IF(Agent10_Loans!B130="","",Agent10_Loans!H130)</f>
        <v/>
      </c>
      <c r="I1920" s="40" t="str">
        <f>IF(Agent10_Loans!B130="","",Agent10_Loans!I130)</f>
        <v/>
      </c>
      <c r="J1920" s="40" t="str">
        <f>IF(Agent10_Loans!B130="","",Agent10_Loans!J130)</f>
        <v/>
      </c>
      <c r="K1920" s="37" t="str">
        <f>IF(Agent10_Loans!B130="","",Agent10_Loans!K130)</f>
        <v/>
      </c>
      <c r="L1920" s="37" t="str">
        <f>IF(Agent10_Loans!B130="","",Agent10_Loans!L130)</f>
        <v/>
      </c>
      <c r="M1920" s="37" t="str">
        <f>IFERROR(IF(Agent10_Loans!B130="","",YEAR(Agent10_Loans!D130)),"")</f>
        <v/>
      </c>
    </row>
    <row r="1921" spans="1:13" ht="18" customHeight="1" x14ac:dyDescent="0.25">
      <c r="A1921" s="37" t="str">
        <f>IF(Agent10_Loans!B131="","",Agent10_Loans!A131)</f>
        <v/>
      </c>
      <c r="B1921" s="37" t="str">
        <f>IF(Agent10_Loans!B131="","",Agent10_Loans!B131)</f>
        <v/>
      </c>
      <c r="C1921" s="37" t="str">
        <f>IF(Agent10_Loans!B131="","",Agent10_Loans!C131)</f>
        <v/>
      </c>
      <c r="D1921" s="38" t="str">
        <f>IF(Agent10_Loans!B131="","",Agent10_Loans!D131)</f>
        <v/>
      </c>
      <c r="E1921" s="40" t="str">
        <f>IF(Agent10_Loans!B131="","",Agent10_Loans!E131)</f>
        <v/>
      </c>
      <c r="F1921" s="37" t="str">
        <f>IF(Agent10_Loans!B131="","",Agent10_Loans!F131)</f>
        <v/>
      </c>
      <c r="G1921" s="37" t="str">
        <f>IF(Agent10_Loans!B131="","",Agent10_Loans!G131)</f>
        <v/>
      </c>
      <c r="H1921" s="37" t="str">
        <f>IF(Agent10_Loans!B131="","",Agent10_Loans!H131)</f>
        <v/>
      </c>
      <c r="I1921" s="40" t="str">
        <f>IF(Agent10_Loans!B131="","",Agent10_Loans!I131)</f>
        <v/>
      </c>
      <c r="J1921" s="40" t="str">
        <f>IF(Agent10_Loans!B131="","",Agent10_Loans!J131)</f>
        <v/>
      </c>
      <c r="K1921" s="37" t="str">
        <f>IF(Agent10_Loans!B131="","",Agent10_Loans!K131)</f>
        <v/>
      </c>
      <c r="L1921" s="37" t="str">
        <f>IF(Agent10_Loans!B131="","",Agent10_Loans!L131)</f>
        <v/>
      </c>
      <c r="M1921" s="37" t="str">
        <f>IFERROR(IF(Agent10_Loans!B131="","",YEAR(Agent10_Loans!D131)),"")</f>
        <v/>
      </c>
    </row>
    <row r="1922" spans="1:13" ht="18" customHeight="1" x14ac:dyDescent="0.25">
      <c r="A1922" s="37" t="str">
        <f>IF(Agent10_Loans!B132="","",Agent10_Loans!A132)</f>
        <v/>
      </c>
      <c r="B1922" s="37" t="str">
        <f>IF(Agent10_Loans!B132="","",Agent10_Loans!B132)</f>
        <v/>
      </c>
      <c r="C1922" s="37" t="str">
        <f>IF(Agent10_Loans!B132="","",Agent10_Loans!C132)</f>
        <v/>
      </c>
      <c r="D1922" s="38" t="str">
        <f>IF(Agent10_Loans!B132="","",Agent10_Loans!D132)</f>
        <v/>
      </c>
      <c r="E1922" s="40" t="str">
        <f>IF(Agent10_Loans!B132="","",Agent10_Loans!E132)</f>
        <v/>
      </c>
      <c r="F1922" s="37" t="str">
        <f>IF(Agent10_Loans!B132="","",Agent10_Loans!F132)</f>
        <v/>
      </c>
      <c r="G1922" s="37" t="str">
        <f>IF(Agent10_Loans!B132="","",Agent10_Loans!G132)</f>
        <v/>
      </c>
      <c r="H1922" s="37" t="str">
        <f>IF(Agent10_Loans!B132="","",Agent10_Loans!H132)</f>
        <v/>
      </c>
      <c r="I1922" s="40" t="str">
        <f>IF(Agent10_Loans!B132="","",Agent10_Loans!I132)</f>
        <v/>
      </c>
      <c r="J1922" s="40" t="str">
        <f>IF(Agent10_Loans!B132="","",Agent10_Loans!J132)</f>
        <v/>
      </c>
      <c r="K1922" s="37" t="str">
        <f>IF(Agent10_Loans!B132="","",Agent10_Loans!K132)</f>
        <v/>
      </c>
      <c r="L1922" s="37" t="str">
        <f>IF(Agent10_Loans!B132="","",Agent10_Loans!L132)</f>
        <v/>
      </c>
      <c r="M1922" s="37" t="str">
        <f>IFERROR(IF(Agent10_Loans!B132="","",YEAR(Agent10_Loans!D132)),"")</f>
        <v/>
      </c>
    </row>
    <row r="1923" spans="1:13" ht="18" customHeight="1" x14ac:dyDescent="0.25">
      <c r="A1923" s="37" t="str">
        <f>IF(Agent10_Loans!B133="","",Agent10_Loans!A133)</f>
        <v/>
      </c>
      <c r="B1923" s="37" t="str">
        <f>IF(Agent10_Loans!B133="","",Agent10_Loans!B133)</f>
        <v/>
      </c>
      <c r="C1923" s="37" t="str">
        <f>IF(Agent10_Loans!B133="","",Agent10_Loans!C133)</f>
        <v/>
      </c>
      <c r="D1923" s="38" t="str">
        <f>IF(Agent10_Loans!B133="","",Agent10_Loans!D133)</f>
        <v/>
      </c>
      <c r="E1923" s="40" t="str">
        <f>IF(Agent10_Loans!B133="","",Agent10_Loans!E133)</f>
        <v/>
      </c>
      <c r="F1923" s="37" t="str">
        <f>IF(Agent10_Loans!B133="","",Agent10_Loans!F133)</f>
        <v/>
      </c>
      <c r="G1923" s="37" t="str">
        <f>IF(Agent10_Loans!B133="","",Agent10_Loans!G133)</f>
        <v/>
      </c>
      <c r="H1923" s="37" t="str">
        <f>IF(Agent10_Loans!B133="","",Agent10_Loans!H133)</f>
        <v/>
      </c>
      <c r="I1923" s="40" t="str">
        <f>IF(Agent10_Loans!B133="","",Agent10_Loans!I133)</f>
        <v/>
      </c>
      <c r="J1923" s="40" t="str">
        <f>IF(Agent10_Loans!B133="","",Agent10_Loans!J133)</f>
        <v/>
      </c>
      <c r="K1923" s="37" t="str">
        <f>IF(Agent10_Loans!B133="","",Agent10_Loans!K133)</f>
        <v/>
      </c>
      <c r="L1923" s="37" t="str">
        <f>IF(Agent10_Loans!B133="","",Agent10_Loans!L133)</f>
        <v/>
      </c>
      <c r="M1923" s="37" t="str">
        <f>IFERROR(IF(Agent10_Loans!B133="","",YEAR(Agent10_Loans!D133)),"")</f>
        <v/>
      </c>
    </row>
    <row r="1924" spans="1:13" ht="18" customHeight="1" x14ac:dyDescent="0.25">
      <c r="A1924" s="37" t="str">
        <f>IF(Agent10_Loans!B134="","",Agent10_Loans!A134)</f>
        <v/>
      </c>
      <c r="B1924" s="37" t="str">
        <f>IF(Agent10_Loans!B134="","",Agent10_Loans!B134)</f>
        <v/>
      </c>
      <c r="C1924" s="37" t="str">
        <f>IF(Agent10_Loans!B134="","",Agent10_Loans!C134)</f>
        <v/>
      </c>
      <c r="D1924" s="38" t="str">
        <f>IF(Agent10_Loans!B134="","",Agent10_Loans!D134)</f>
        <v/>
      </c>
      <c r="E1924" s="40" t="str">
        <f>IF(Agent10_Loans!B134="","",Agent10_Loans!E134)</f>
        <v/>
      </c>
      <c r="F1924" s="37" t="str">
        <f>IF(Agent10_Loans!B134="","",Agent10_Loans!F134)</f>
        <v/>
      </c>
      <c r="G1924" s="37" t="str">
        <f>IF(Agent10_Loans!B134="","",Agent10_Loans!G134)</f>
        <v/>
      </c>
      <c r="H1924" s="37" t="str">
        <f>IF(Agent10_Loans!B134="","",Agent10_Loans!H134)</f>
        <v/>
      </c>
      <c r="I1924" s="40" t="str">
        <f>IF(Agent10_Loans!B134="","",Agent10_Loans!I134)</f>
        <v/>
      </c>
      <c r="J1924" s="40" t="str">
        <f>IF(Agent10_Loans!B134="","",Agent10_Loans!J134)</f>
        <v/>
      </c>
      <c r="K1924" s="37" t="str">
        <f>IF(Agent10_Loans!B134="","",Agent10_Loans!K134)</f>
        <v/>
      </c>
      <c r="L1924" s="37" t="str">
        <f>IF(Agent10_Loans!B134="","",Agent10_Loans!L134)</f>
        <v/>
      </c>
      <c r="M1924" s="37" t="str">
        <f>IFERROR(IF(Agent10_Loans!B134="","",YEAR(Agent10_Loans!D134)),"")</f>
        <v/>
      </c>
    </row>
    <row r="1925" spans="1:13" ht="18" customHeight="1" x14ac:dyDescent="0.25">
      <c r="A1925" s="37" t="str">
        <f>IF(Agent10_Loans!B135="","",Agent10_Loans!A135)</f>
        <v/>
      </c>
      <c r="B1925" s="37" t="str">
        <f>IF(Agent10_Loans!B135="","",Agent10_Loans!B135)</f>
        <v/>
      </c>
      <c r="C1925" s="37" t="str">
        <f>IF(Agent10_Loans!B135="","",Agent10_Loans!C135)</f>
        <v/>
      </c>
      <c r="D1925" s="38" t="str">
        <f>IF(Agent10_Loans!B135="","",Agent10_Loans!D135)</f>
        <v/>
      </c>
      <c r="E1925" s="40" t="str">
        <f>IF(Agent10_Loans!B135="","",Agent10_Loans!E135)</f>
        <v/>
      </c>
      <c r="F1925" s="37" t="str">
        <f>IF(Agent10_Loans!B135="","",Agent10_Loans!F135)</f>
        <v/>
      </c>
      <c r="G1925" s="37" t="str">
        <f>IF(Agent10_Loans!B135="","",Agent10_Loans!G135)</f>
        <v/>
      </c>
      <c r="H1925" s="37" t="str">
        <f>IF(Agent10_Loans!B135="","",Agent10_Loans!H135)</f>
        <v/>
      </c>
      <c r="I1925" s="40" t="str">
        <f>IF(Agent10_Loans!B135="","",Agent10_Loans!I135)</f>
        <v/>
      </c>
      <c r="J1925" s="40" t="str">
        <f>IF(Agent10_Loans!B135="","",Agent10_Loans!J135)</f>
        <v/>
      </c>
      <c r="K1925" s="37" t="str">
        <f>IF(Agent10_Loans!B135="","",Agent10_Loans!K135)</f>
        <v/>
      </c>
      <c r="L1925" s="37" t="str">
        <f>IF(Agent10_Loans!B135="","",Agent10_Loans!L135)</f>
        <v/>
      </c>
      <c r="M1925" s="37" t="str">
        <f>IFERROR(IF(Agent10_Loans!B135="","",YEAR(Agent10_Loans!D135)),"")</f>
        <v/>
      </c>
    </row>
    <row r="1926" spans="1:13" ht="18" customHeight="1" x14ac:dyDescent="0.25">
      <c r="A1926" s="37" t="str">
        <f>IF(Agent10_Loans!B136="","",Agent10_Loans!A136)</f>
        <v/>
      </c>
      <c r="B1926" s="37" t="str">
        <f>IF(Agent10_Loans!B136="","",Agent10_Loans!B136)</f>
        <v/>
      </c>
      <c r="C1926" s="37" t="str">
        <f>IF(Agent10_Loans!B136="","",Agent10_Loans!C136)</f>
        <v/>
      </c>
      <c r="D1926" s="38" t="str">
        <f>IF(Agent10_Loans!B136="","",Agent10_Loans!D136)</f>
        <v/>
      </c>
      <c r="E1926" s="40" t="str">
        <f>IF(Agent10_Loans!B136="","",Agent10_Loans!E136)</f>
        <v/>
      </c>
      <c r="F1926" s="37" t="str">
        <f>IF(Agent10_Loans!B136="","",Agent10_Loans!F136)</f>
        <v/>
      </c>
      <c r="G1926" s="37" t="str">
        <f>IF(Agent10_Loans!B136="","",Agent10_Loans!G136)</f>
        <v/>
      </c>
      <c r="H1926" s="37" t="str">
        <f>IF(Agent10_Loans!B136="","",Agent10_Loans!H136)</f>
        <v/>
      </c>
      <c r="I1926" s="40" t="str">
        <f>IF(Agent10_Loans!B136="","",Agent10_Loans!I136)</f>
        <v/>
      </c>
      <c r="J1926" s="40" t="str">
        <f>IF(Agent10_Loans!B136="","",Agent10_Loans!J136)</f>
        <v/>
      </c>
      <c r="K1926" s="37" t="str">
        <f>IF(Agent10_Loans!B136="","",Agent10_Loans!K136)</f>
        <v/>
      </c>
      <c r="L1926" s="37" t="str">
        <f>IF(Agent10_Loans!B136="","",Agent10_Loans!L136)</f>
        <v/>
      </c>
      <c r="M1926" s="37" t="str">
        <f>IFERROR(IF(Agent10_Loans!B136="","",YEAR(Agent10_Loans!D136)),"")</f>
        <v/>
      </c>
    </row>
    <row r="1927" spans="1:13" ht="18" customHeight="1" x14ac:dyDescent="0.25">
      <c r="A1927" s="37" t="str">
        <f>IF(Agent10_Loans!B137="","",Agent10_Loans!A137)</f>
        <v/>
      </c>
      <c r="B1927" s="37" t="str">
        <f>IF(Agent10_Loans!B137="","",Agent10_Loans!B137)</f>
        <v/>
      </c>
      <c r="C1927" s="37" t="str">
        <f>IF(Agent10_Loans!B137="","",Agent10_Loans!C137)</f>
        <v/>
      </c>
      <c r="D1927" s="38" t="str">
        <f>IF(Agent10_Loans!B137="","",Agent10_Loans!D137)</f>
        <v/>
      </c>
      <c r="E1927" s="40" t="str">
        <f>IF(Agent10_Loans!B137="","",Agent10_Loans!E137)</f>
        <v/>
      </c>
      <c r="F1927" s="37" t="str">
        <f>IF(Agent10_Loans!B137="","",Agent10_Loans!F137)</f>
        <v/>
      </c>
      <c r="G1927" s="37" t="str">
        <f>IF(Agent10_Loans!B137="","",Agent10_Loans!G137)</f>
        <v/>
      </c>
      <c r="H1927" s="37" t="str">
        <f>IF(Agent10_Loans!B137="","",Agent10_Loans!H137)</f>
        <v/>
      </c>
      <c r="I1927" s="40" t="str">
        <f>IF(Agent10_Loans!B137="","",Agent10_Loans!I137)</f>
        <v/>
      </c>
      <c r="J1927" s="40" t="str">
        <f>IF(Agent10_Loans!B137="","",Agent10_Loans!J137)</f>
        <v/>
      </c>
      <c r="K1927" s="37" t="str">
        <f>IF(Agent10_Loans!B137="","",Agent10_Loans!K137)</f>
        <v/>
      </c>
      <c r="L1927" s="37" t="str">
        <f>IF(Agent10_Loans!B137="","",Agent10_Loans!L137)</f>
        <v/>
      </c>
      <c r="M1927" s="37" t="str">
        <f>IFERROR(IF(Agent10_Loans!B137="","",YEAR(Agent10_Loans!D137)),"")</f>
        <v/>
      </c>
    </row>
    <row r="1928" spans="1:13" ht="18" customHeight="1" x14ac:dyDescent="0.25">
      <c r="A1928" s="37" t="str">
        <f>IF(Agent10_Loans!B138="","",Agent10_Loans!A138)</f>
        <v/>
      </c>
      <c r="B1928" s="37" t="str">
        <f>IF(Agent10_Loans!B138="","",Agent10_Loans!B138)</f>
        <v/>
      </c>
      <c r="C1928" s="37" t="str">
        <f>IF(Agent10_Loans!B138="","",Agent10_Loans!C138)</f>
        <v/>
      </c>
      <c r="D1928" s="38" t="str">
        <f>IF(Agent10_Loans!B138="","",Agent10_Loans!D138)</f>
        <v/>
      </c>
      <c r="E1928" s="40" t="str">
        <f>IF(Agent10_Loans!B138="","",Agent10_Loans!E138)</f>
        <v/>
      </c>
      <c r="F1928" s="37" t="str">
        <f>IF(Agent10_Loans!B138="","",Agent10_Loans!F138)</f>
        <v/>
      </c>
      <c r="G1928" s="37" t="str">
        <f>IF(Agent10_Loans!B138="","",Agent10_Loans!G138)</f>
        <v/>
      </c>
      <c r="H1928" s="37" t="str">
        <f>IF(Agent10_Loans!B138="","",Agent10_Loans!H138)</f>
        <v/>
      </c>
      <c r="I1928" s="40" t="str">
        <f>IF(Agent10_Loans!B138="","",Agent10_Loans!I138)</f>
        <v/>
      </c>
      <c r="J1928" s="40" t="str">
        <f>IF(Agent10_Loans!B138="","",Agent10_Loans!J138)</f>
        <v/>
      </c>
      <c r="K1928" s="37" t="str">
        <f>IF(Agent10_Loans!B138="","",Agent10_Loans!K138)</f>
        <v/>
      </c>
      <c r="L1928" s="37" t="str">
        <f>IF(Agent10_Loans!B138="","",Agent10_Loans!L138)</f>
        <v/>
      </c>
      <c r="M1928" s="37" t="str">
        <f>IFERROR(IF(Agent10_Loans!B138="","",YEAR(Agent10_Loans!D138)),"")</f>
        <v/>
      </c>
    </row>
    <row r="1929" spans="1:13" ht="18" customHeight="1" x14ac:dyDescent="0.25">
      <c r="A1929" s="37" t="str">
        <f>IF(Agent10_Loans!B139="","",Agent10_Loans!A139)</f>
        <v/>
      </c>
      <c r="B1929" s="37" t="str">
        <f>IF(Agent10_Loans!B139="","",Agent10_Loans!B139)</f>
        <v/>
      </c>
      <c r="C1929" s="37" t="str">
        <f>IF(Agent10_Loans!B139="","",Agent10_Loans!C139)</f>
        <v/>
      </c>
      <c r="D1929" s="38" t="str">
        <f>IF(Agent10_Loans!B139="","",Agent10_Loans!D139)</f>
        <v/>
      </c>
      <c r="E1929" s="40" t="str">
        <f>IF(Agent10_Loans!B139="","",Agent10_Loans!E139)</f>
        <v/>
      </c>
      <c r="F1929" s="37" t="str">
        <f>IF(Agent10_Loans!B139="","",Agent10_Loans!F139)</f>
        <v/>
      </c>
      <c r="G1929" s="37" t="str">
        <f>IF(Agent10_Loans!B139="","",Agent10_Loans!G139)</f>
        <v/>
      </c>
      <c r="H1929" s="37" t="str">
        <f>IF(Agent10_Loans!B139="","",Agent10_Loans!H139)</f>
        <v/>
      </c>
      <c r="I1929" s="40" t="str">
        <f>IF(Agent10_Loans!B139="","",Agent10_Loans!I139)</f>
        <v/>
      </c>
      <c r="J1929" s="40" t="str">
        <f>IF(Agent10_Loans!B139="","",Agent10_Loans!J139)</f>
        <v/>
      </c>
      <c r="K1929" s="37" t="str">
        <f>IF(Agent10_Loans!B139="","",Agent10_Loans!K139)</f>
        <v/>
      </c>
      <c r="L1929" s="37" t="str">
        <f>IF(Agent10_Loans!B139="","",Agent10_Loans!L139)</f>
        <v/>
      </c>
      <c r="M1929" s="37" t="str">
        <f>IFERROR(IF(Agent10_Loans!B139="","",YEAR(Agent10_Loans!D139)),"")</f>
        <v/>
      </c>
    </row>
    <row r="1930" spans="1:13" ht="18" customHeight="1" x14ac:dyDescent="0.25">
      <c r="A1930" s="37" t="str">
        <f>IF(Agent10_Loans!B140="","",Agent10_Loans!A140)</f>
        <v/>
      </c>
      <c r="B1930" s="37" t="str">
        <f>IF(Agent10_Loans!B140="","",Agent10_Loans!B140)</f>
        <v/>
      </c>
      <c r="C1930" s="37" t="str">
        <f>IF(Agent10_Loans!B140="","",Agent10_Loans!C140)</f>
        <v/>
      </c>
      <c r="D1930" s="38" t="str">
        <f>IF(Agent10_Loans!B140="","",Agent10_Loans!D140)</f>
        <v/>
      </c>
      <c r="E1930" s="40" t="str">
        <f>IF(Agent10_Loans!B140="","",Agent10_Loans!E140)</f>
        <v/>
      </c>
      <c r="F1930" s="37" t="str">
        <f>IF(Agent10_Loans!B140="","",Agent10_Loans!F140)</f>
        <v/>
      </c>
      <c r="G1930" s="37" t="str">
        <f>IF(Agent10_Loans!B140="","",Agent10_Loans!G140)</f>
        <v/>
      </c>
      <c r="H1930" s="37" t="str">
        <f>IF(Agent10_Loans!B140="","",Agent10_Loans!H140)</f>
        <v/>
      </c>
      <c r="I1930" s="40" t="str">
        <f>IF(Agent10_Loans!B140="","",Agent10_Loans!I140)</f>
        <v/>
      </c>
      <c r="J1930" s="40" t="str">
        <f>IF(Agent10_Loans!B140="","",Agent10_Loans!J140)</f>
        <v/>
      </c>
      <c r="K1930" s="37" t="str">
        <f>IF(Agent10_Loans!B140="","",Agent10_Loans!K140)</f>
        <v/>
      </c>
      <c r="L1930" s="37" t="str">
        <f>IF(Agent10_Loans!B140="","",Agent10_Loans!L140)</f>
        <v/>
      </c>
      <c r="M1930" s="37" t="str">
        <f>IFERROR(IF(Agent10_Loans!B140="","",YEAR(Agent10_Loans!D140)),"")</f>
        <v/>
      </c>
    </row>
    <row r="1931" spans="1:13" ht="18" customHeight="1" x14ac:dyDescent="0.25">
      <c r="A1931" s="37" t="str">
        <f>IF(Agent10_Loans!B141="","",Agent10_Loans!A141)</f>
        <v/>
      </c>
      <c r="B1931" s="37" t="str">
        <f>IF(Agent10_Loans!B141="","",Agent10_Loans!B141)</f>
        <v/>
      </c>
      <c r="C1931" s="37" t="str">
        <f>IF(Agent10_Loans!B141="","",Agent10_Loans!C141)</f>
        <v/>
      </c>
      <c r="D1931" s="38" t="str">
        <f>IF(Agent10_Loans!B141="","",Agent10_Loans!D141)</f>
        <v/>
      </c>
      <c r="E1931" s="40" t="str">
        <f>IF(Agent10_Loans!B141="","",Agent10_Loans!E141)</f>
        <v/>
      </c>
      <c r="F1931" s="37" t="str">
        <f>IF(Agent10_Loans!B141="","",Agent10_Loans!F141)</f>
        <v/>
      </c>
      <c r="G1931" s="37" t="str">
        <f>IF(Agent10_Loans!B141="","",Agent10_Loans!G141)</f>
        <v/>
      </c>
      <c r="H1931" s="37" t="str">
        <f>IF(Agent10_Loans!B141="","",Agent10_Loans!H141)</f>
        <v/>
      </c>
      <c r="I1931" s="40" t="str">
        <f>IF(Agent10_Loans!B141="","",Agent10_Loans!I141)</f>
        <v/>
      </c>
      <c r="J1931" s="40" t="str">
        <f>IF(Agent10_Loans!B141="","",Agent10_Loans!J141)</f>
        <v/>
      </c>
      <c r="K1931" s="37" t="str">
        <f>IF(Agent10_Loans!B141="","",Agent10_Loans!K141)</f>
        <v/>
      </c>
      <c r="L1931" s="37" t="str">
        <f>IF(Agent10_Loans!B141="","",Agent10_Loans!L141)</f>
        <v/>
      </c>
      <c r="M1931" s="37" t="str">
        <f>IFERROR(IF(Agent10_Loans!B141="","",YEAR(Agent10_Loans!D141)),"")</f>
        <v/>
      </c>
    </row>
    <row r="1932" spans="1:13" ht="18" customHeight="1" x14ac:dyDescent="0.25">
      <c r="A1932" s="37" t="str">
        <f>IF(Agent10_Loans!B142="","",Agent10_Loans!A142)</f>
        <v/>
      </c>
      <c r="B1932" s="37" t="str">
        <f>IF(Agent10_Loans!B142="","",Agent10_Loans!B142)</f>
        <v/>
      </c>
      <c r="C1932" s="37" t="str">
        <f>IF(Agent10_Loans!B142="","",Agent10_Loans!C142)</f>
        <v/>
      </c>
      <c r="D1932" s="38" t="str">
        <f>IF(Agent10_Loans!B142="","",Agent10_Loans!D142)</f>
        <v/>
      </c>
      <c r="E1932" s="40" t="str">
        <f>IF(Agent10_Loans!B142="","",Agent10_Loans!E142)</f>
        <v/>
      </c>
      <c r="F1932" s="37" t="str">
        <f>IF(Agent10_Loans!B142="","",Agent10_Loans!F142)</f>
        <v/>
      </c>
      <c r="G1932" s="37" t="str">
        <f>IF(Agent10_Loans!B142="","",Agent10_Loans!G142)</f>
        <v/>
      </c>
      <c r="H1932" s="37" t="str">
        <f>IF(Agent10_Loans!B142="","",Agent10_Loans!H142)</f>
        <v/>
      </c>
      <c r="I1932" s="40" t="str">
        <f>IF(Agent10_Loans!B142="","",Agent10_Loans!I142)</f>
        <v/>
      </c>
      <c r="J1932" s="40" t="str">
        <f>IF(Agent10_Loans!B142="","",Agent10_Loans!J142)</f>
        <v/>
      </c>
      <c r="K1932" s="37" t="str">
        <f>IF(Agent10_Loans!B142="","",Agent10_Loans!K142)</f>
        <v/>
      </c>
      <c r="L1932" s="37" t="str">
        <f>IF(Agent10_Loans!B142="","",Agent10_Loans!L142)</f>
        <v/>
      </c>
      <c r="M1932" s="37" t="str">
        <f>IFERROR(IF(Agent10_Loans!B142="","",YEAR(Agent10_Loans!D142)),"")</f>
        <v/>
      </c>
    </row>
    <row r="1933" spans="1:13" ht="18" customHeight="1" x14ac:dyDescent="0.25">
      <c r="A1933" s="37" t="str">
        <f>IF(Agent10_Loans!B143="","",Agent10_Loans!A143)</f>
        <v/>
      </c>
      <c r="B1933" s="37" t="str">
        <f>IF(Agent10_Loans!B143="","",Agent10_Loans!B143)</f>
        <v/>
      </c>
      <c r="C1933" s="37" t="str">
        <f>IF(Agent10_Loans!B143="","",Agent10_Loans!C143)</f>
        <v/>
      </c>
      <c r="D1933" s="38" t="str">
        <f>IF(Agent10_Loans!B143="","",Agent10_Loans!D143)</f>
        <v/>
      </c>
      <c r="E1933" s="40" t="str">
        <f>IF(Agent10_Loans!B143="","",Agent10_Loans!E143)</f>
        <v/>
      </c>
      <c r="F1933" s="37" t="str">
        <f>IF(Agent10_Loans!B143="","",Agent10_Loans!F143)</f>
        <v/>
      </c>
      <c r="G1933" s="37" t="str">
        <f>IF(Agent10_Loans!B143="","",Agent10_Loans!G143)</f>
        <v/>
      </c>
      <c r="H1933" s="37" t="str">
        <f>IF(Agent10_Loans!B143="","",Agent10_Loans!H143)</f>
        <v/>
      </c>
      <c r="I1933" s="40" t="str">
        <f>IF(Agent10_Loans!B143="","",Agent10_Loans!I143)</f>
        <v/>
      </c>
      <c r="J1933" s="40" t="str">
        <f>IF(Agent10_Loans!B143="","",Agent10_Loans!J143)</f>
        <v/>
      </c>
      <c r="K1933" s="37" t="str">
        <f>IF(Agent10_Loans!B143="","",Agent10_Loans!K143)</f>
        <v/>
      </c>
      <c r="L1933" s="37" t="str">
        <f>IF(Agent10_Loans!B143="","",Agent10_Loans!L143)</f>
        <v/>
      </c>
      <c r="M1933" s="37" t="str">
        <f>IFERROR(IF(Agent10_Loans!B143="","",YEAR(Agent10_Loans!D143)),"")</f>
        <v/>
      </c>
    </row>
    <row r="1934" spans="1:13" ht="18" customHeight="1" x14ac:dyDescent="0.25">
      <c r="A1934" s="37" t="str">
        <f>IF(Agent10_Loans!B144="","",Agent10_Loans!A144)</f>
        <v/>
      </c>
      <c r="B1934" s="37" t="str">
        <f>IF(Agent10_Loans!B144="","",Agent10_Loans!B144)</f>
        <v/>
      </c>
      <c r="C1934" s="37" t="str">
        <f>IF(Agent10_Loans!B144="","",Agent10_Loans!C144)</f>
        <v/>
      </c>
      <c r="D1934" s="38" t="str">
        <f>IF(Agent10_Loans!B144="","",Agent10_Loans!D144)</f>
        <v/>
      </c>
      <c r="E1934" s="40" t="str">
        <f>IF(Agent10_Loans!B144="","",Agent10_Loans!E144)</f>
        <v/>
      </c>
      <c r="F1934" s="37" t="str">
        <f>IF(Agent10_Loans!B144="","",Agent10_Loans!F144)</f>
        <v/>
      </c>
      <c r="G1934" s="37" t="str">
        <f>IF(Agent10_Loans!B144="","",Agent10_Loans!G144)</f>
        <v/>
      </c>
      <c r="H1934" s="37" t="str">
        <f>IF(Agent10_Loans!B144="","",Agent10_Loans!H144)</f>
        <v/>
      </c>
      <c r="I1934" s="40" t="str">
        <f>IF(Agent10_Loans!B144="","",Agent10_Loans!I144)</f>
        <v/>
      </c>
      <c r="J1934" s="40" t="str">
        <f>IF(Agent10_Loans!B144="","",Agent10_Loans!J144)</f>
        <v/>
      </c>
      <c r="K1934" s="37" t="str">
        <f>IF(Agent10_Loans!B144="","",Agent10_Loans!K144)</f>
        <v/>
      </c>
      <c r="L1934" s="37" t="str">
        <f>IF(Agent10_Loans!B144="","",Agent10_Loans!L144)</f>
        <v/>
      </c>
      <c r="M1934" s="37" t="str">
        <f>IFERROR(IF(Agent10_Loans!B144="","",YEAR(Agent10_Loans!D144)),"")</f>
        <v/>
      </c>
    </row>
    <row r="1935" spans="1:13" ht="18" customHeight="1" x14ac:dyDescent="0.25">
      <c r="A1935" s="37" t="str">
        <f>IF(Agent10_Loans!B145="","",Agent10_Loans!A145)</f>
        <v/>
      </c>
      <c r="B1935" s="37" t="str">
        <f>IF(Agent10_Loans!B145="","",Agent10_Loans!B145)</f>
        <v/>
      </c>
      <c r="C1935" s="37" t="str">
        <f>IF(Agent10_Loans!B145="","",Agent10_Loans!C145)</f>
        <v/>
      </c>
      <c r="D1935" s="38" t="str">
        <f>IF(Agent10_Loans!B145="","",Agent10_Loans!D145)</f>
        <v/>
      </c>
      <c r="E1935" s="40" t="str">
        <f>IF(Agent10_Loans!B145="","",Agent10_Loans!E145)</f>
        <v/>
      </c>
      <c r="F1935" s="37" t="str">
        <f>IF(Agent10_Loans!B145="","",Agent10_Loans!F145)</f>
        <v/>
      </c>
      <c r="G1935" s="37" t="str">
        <f>IF(Agent10_Loans!B145="","",Agent10_Loans!G145)</f>
        <v/>
      </c>
      <c r="H1935" s="37" t="str">
        <f>IF(Agent10_Loans!B145="","",Agent10_Loans!H145)</f>
        <v/>
      </c>
      <c r="I1935" s="40" t="str">
        <f>IF(Agent10_Loans!B145="","",Agent10_Loans!I145)</f>
        <v/>
      </c>
      <c r="J1935" s="40" t="str">
        <f>IF(Agent10_Loans!B145="","",Agent10_Loans!J145)</f>
        <v/>
      </c>
      <c r="K1935" s="37" t="str">
        <f>IF(Agent10_Loans!B145="","",Agent10_Loans!K145)</f>
        <v/>
      </c>
      <c r="L1935" s="37" t="str">
        <f>IF(Agent10_Loans!B145="","",Agent10_Loans!L145)</f>
        <v/>
      </c>
      <c r="M1935" s="37" t="str">
        <f>IFERROR(IF(Agent10_Loans!B145="","",YEAR(Agent10_Loans!D145)),"")</f>
        <v/>
      </c>
    </row>
    <row r="1936" spans="1:13" ht="18" customHeight="1" x14ac:dyDescent="0.25">
      <c r="A1936" s="37" t="str">
        <f>IF(Agent10_Loans!B146="","",Agent10_Loans!A146)</f>
        <v/>
      </c>
      <c r="B1936" s="37" t="str">
        <f>IF(Agent10_Loans!B146="","",Agent10_Loans!B146)</f>
        <v/>
      </c>
      <c r="C1936" s="37" t="str">
        <f>IF(Agent10_Loans!B146="","",Agent10_Loans!C146)</f>
        <v/>
      </c>
      <c r="D1936" s="38" t="str">
        <f>IF(Agent10_Loans!B146="","",Agent10_Loans!D146)</f>
        <v/>
      </c>
      <c r="E1936" s="40" t="str">
        <f>IF(Agent10_Loans!B146="","",Agent10_Loans!E146)</f>
        <v/>
      </c>
      <c r="F1936" s="37" t="str">
        <f>IF(Agent10_Loans!B146="","",Agent10_Loans!F146)</f>
        <v/>
      </c>
      <c r="G1936" s="37" t="str">
        <f>IF(Agent10_Loans!B146="","",Agent10_Loans!G146)</f>
        <v/>
      </c>
      <c r="H1936" s="37" t="str">
        <f>IF(Agent10_Loans!B146="","",Agent10_Loans!H146)</f>
        <v/>
      </c>
      <c r="I1936" s="40" t="str">
        <f>IF(Agent10_Loans!B146="","",Agent10_Loans!I146)</f>
        <v/>
      </c>
      <c r="J1936" s="40" t="str">
        <f>IF(Agent10_Loans!B146="","",Agent10_Loans!J146)</f>
        <v/>
      </c>
      <c r="K1936" s="37" t="str">
        <f>IF(Agent10_Loans!B146="","",Agent10_Loans!K146)</f>
        <v/>
      </c>
      <c r="L1936" s="37" t="str">
        <f>IF(Agent10_Loans!B146="","",Agent10_Loans!L146)</f>
        <v/>
      </c>
      <c r="M1936" s="37" t="str">
        <f>IFERROR(IF(Agent10_Loans!B146="","",YEAR(Agent10_Loans!D146)),"")</f>
        <v/>
      </c>
    </row>
    <row r="1937" spans="1:13" ht="18" customHeight="1" x14ac:dyDescent="0.25">
      <c r="A1937" s="37" t="str">
        <f>IF(Agent10_Loans!B147="","",Agent10_Loans!A147)</f>
        <v/>
      </c>
      <c r="B1937" s="37" t="str">
        <f>IF(Agent10_Loans!B147="","",Agent10_Loans!B147)</f>
        <v/>
      </c>
      <c r="C1937" s="37" t="str">
        <f>IF(Agent10_Loans!B147="","",Agent10_Loans!C147)</f>
        <v/>
      </c>
      <c r="D1937" s="38" t="str">
        <f>IF(Agent10_Loans!B147="","",Agent10_Loans!D147)</f>
        <v/>
      </c>
      <c r="E1937" s="40" t="str">
        <f>IF(Agent10_Loans!B147="","",Agent10_Loans!E147)</f>
        <v/>
      </c>
      <c r="F1937" s="37" t="str">
        <f>IF(Agent10_Loans!B147="","",Agent10_Loans!F147)</f>
        <v/>
      </c>
      <c r="G1937" s="37" t="str">
        <f>IF(Agent10_Loans!B147="","",Agent10_Loans!G147)</f>
        <v/>
      </c>
      <c r="H1937" s="37" t="str">
        <f>IF(Agent10_Loans!B147="","",Agent10_Loans!H147)</f>
        <v/>
      </c>
      <c r="I1937" s="40" t="str">
        <f>IF(Agent10_Loans!B147="","",Agent10_Loans!I147)</f>
        <v/>
      </c>
      <c r="J1937" s="40" t="str">
        <f>IF(Agent10_Loans!B147="","",Agent10_Loans!J147)</f>
        <v/>
      </c>
      <c r="K1937" s="37" t="str">
        <f>IF(Agent10_Loans!B147="","",Agent10_Loans!K147)</f>
        <v/>
      </c>
      <c r="L1937" s="37" t="str">
        <f>IF(Agent10_Loans!B147="","",Agent10_Loans!L147)</f>
        <v/>
      </c>
      <c r="M1937" s="37" t="str">
        <f>IFERROR(IF(Agent10_Loans!B147="","",YEAR(Agent10_Loans!D147)),"")</f>
        <v/>
      </c>
    </row>
    <row r="1938" spans="1:13" ht="18" customHeight="1" x14ac:dyDescent="0.25">
      <c r="A1938" s="37" t="str">
        <f>IF(Agent10_Loans!B148="","",Agent10_Loans!A148)</f>
        <v/>
      </c>
      <c r="B1938" s="37" t="str">
        <f>IF(Agent10_Loans!B148="","",Agent10_Loans!B148)</f>
        <v/>
      </c>
      <c r="C1938" s="37" t="str">
        <f>IF(Agent10_Loans!B148="","",Agent10_Loans!C148)</f>
        <v/>
      </c>
      <c r="D1938" s="38" t="str">
        <f>IF(Agent10_Loans!B148="","",Agent10_Loans!D148)</f>
        <v/>
      </c>
      <c r="E1938" s="40" t="str">
        <f>IF(Agent10_Loans!B148="","",Agent10_Loans!E148)</f>
        <v/>
      </c>
      <c r="F1938" s="37" t="str">
        <f>IF(Agent10_Loans!B148="","",Agent10_Loans!F148)</f>
        <v/>
      </c>
      <c r="G1938" s="37" t="str">
        <f>IF(Agent10_Loans!B148="","",Agent10_Loans!G148)</f>
        <v/>
      </c>
      <c r="H1938" s="37" t="str">
        <f>IF(Agent10_Loans!B148="","",Agent10_Loans!H148)</f>
        <v/>
      </c>
      <c r="I1938" s="40" t="str">
        <f>IF(Agent10_Loans!B148="","",Agent10_Loans!I148)</f>
        <v/>
      </c>
      <c r="J1938" s="40" t="str">
        <f>IF(Agent10_Loans!B148="","",Agent10_Loans!J148)</f>
        <v/>
      </c>
      <c r="K1938" s="37" t="str">
        <f>IF(Agent10_Loans!B148="","",Agent10_Loans!K148)</f>
        <v/>
      </c>
      <c r="L1938" s="37" t="str">
        <f>IF(Agent10_Loans!B148="","",Agent10_Loans!L148)</f>
        <v/>
      </c>
      <c r="M1938" s="37" t="str">
        <f>IFERROR(IF(Agent10_Loans!B148="","",YEAR(Agent10_Loans!D148)),"")</f>
        <v/>
      </c>
    </row>
    <row r="1939" spans="1:13" ht="18" customHeight="1" x14ac:dyDescent="0.25">
      <c r="A1939" s="37" t="str">
        <f>IF(Agent10_Loans!B149="","",Agent10_Loans!A149)</f>
        <v/>
      </c>
      <c r="B1939" s="37" t="str">
        <f>IF(Agent10_Loans!B149="","",Agent10_Loans!B149)</f>
        <v/>
      </c>
      <c r="C1939" s="37" t="str">
        <f>IF(Agent10_Loans!B149="","",Agent10_Loans!C149)</f>
        <v/>
      </c>
      <c r="D1939" s="38" t="str">
        <f>IF(Agent10_Loans!B149="","",Agent10_Loans!D149)</f>
        <v/>
      </c>
      <c r="E1939" s="40" t="str">
        <f>IF(Agent10_Loans!B149="","",Agent10_Loans!E149)</f>
        <v/>
      </c>
      <c r="F1939" s="37" t="str">
        <f>IF(Agent10_Loans!B149="","",Agent10_Loans!F149)</f>
        <v/>
      </c>
      <c r="G1939" s="37" t="str">
        <f>IF(Agent10_Loans!B149="","",Agent10_Loans!G149)</f>
        <v/>
      </c>
      <c r="H1939" s="37" t="str">
        <f>IF(Agent10_Loans!B149="","",Agent10_Loans!H149)</f>
        <v/>
      </c>
      <c r="I1939" s="40" t="str">
        <f>IF(Agent10_Loans!B149="","",Agent10_Loans!I149)</f>
        <v/>
      </c>
      <c r="J1939" s="40" t="str">
        <f>IF(Agent10_Loans!B149="","",Agent10_Loans!J149)</f>
        <v/>
      </c>
      <c r="K1939" s="37" t="str">
        <f>IF(Agent10_Loans!B149="","",Agent10_Loans!K149)</f>
        <v/>
      </c>
      <c r="L1939" s="37" t="str">
        <f>IF(Agent10_Loans!B149="","",Agent10_Loans!L149)</f>
        <v/>
      </c>
      <c r="M1939" s="37" t="str">
        <f>IFERROR(IF(Agent10_Loans!B149="","",YEAR(Agent10_Loans!D149)),"")</f>
        <v/>
      </c>
    </row>
    <row r="1940" spans="1:13" ht="18" customHeight="1" x14ac:dyDescent="0.25">
      <c r="A1940" s="37" t="str">
        <f>IF(Agent10_Loans!B150="","",Agent10_Loans!A150)</f>
        <v/>
      </c>
      <c r="B1940" s="37" t="str">
        <f>IF(Agent10_Loans!B150="","",Agent10_Loans!B150)</f>
        <v/>
      </c>
      <c r="C1940" s="37" t="str">
        <f>IF(Agent10_Loans!B150="","",Agent10_Loans!C150)</f>
        <v/>
      </c>
      <c r="D1940" s="38" t="str">
        <f>IF(Agent10_Loans!B150="","",Agent10_Loans!D150)</f>
        <v/>
      </c>
      <c r="E1940" s="40" t="str">
        <f>IF(Agent10_Loans!B150="","",Agent10_Loans!E150)</f>
        <v/>
      </c>
      <c r="F1940" s="37" t="str">
        <f>IF(Agent10_Loans!B150="","",Agent10_Loans!F150)</f>
        <v/>
      </c>
      <c r="G1940" s="37" t="str">
        <f>IF(Agent10_Loans!B150="","",Agent10_Loans!G150)</f>
        <v/>
      </c>
      <c r="H1940" s="37" t="str">
        <f>IF(Agent10_Loans!B150="","",Agent10_Loans!H150)</f>
        <v/>
      </c>
      <c r="I1940" s="40" t="str">
        <f>IF(Agent10_Loans!B150="","",Agent10_Loans!I150)</f>
        <v/>
      </c>
      <c r="J1940" s="40" t="str">
        <f>IF(Agent10_Loans!B150="","",Agent10_Loans!J150)</f>
        <v/>
      </c>
      <c r="K1940" s="37" t="str">
        <f>IF(Agent10_Loans!B150="","",Agent10_Loans!K150)</f>
        <v/>
      </c>
      <c r="L1940" s="37" t="str">
        <f>IF(Agent10_Loans!B150="","",Agent10_Loans!L150)</f>
        <v/>
      </c>
      <c r="M1940" s="37" t="str">
        <f>IFERROR(IF(Agent10_Loans!B150="","",YEAR(Agent10_Loans!D150)),"")</f>
        <v/>
      </c>
    </row>
    <row r="1941" spans="1:13" ht="18" customHeight="1" x14ac:dyDescent="0.25">
      <c r="A1941" s="37" t="str">
        <f>IF(Agent10_Loans!B151="","",Agent10_Loans!A151)</f>
        <v/>
      </c>
      <c r="B1941" s="37" t="str">
        <f>IF(Agent10_Loans!B151="","",Agent10_Loans!B151)</f>
        <v/>
      </c>
      <c r="C1941" s="37" t="str">
        <f>IF(Agent10_Loans!B151="","",Agent10_Loans!C151)</f>
        <v/>
      </c>
      <c r="D1941" s="38" t="str">
        <f>IF(Agent10_Loans!B151="","",Agent10_Loans!D151)</f>
        <v/>
      </c>
      <c r="E1941" s="40" t="str">
        <f>IF(Agent10_Loans!B151="","",Agent10_Loans!E151)</f>
        <v/>
      </c>
      <c r="F1941" s="37" t="str">
        <f>IF(Agent10_Loans!B151="","",Agent10_Loans!F151)</f>
        <v/>
      </c>
      <c r="G1941" s="37" t="str">
        <f>IF(Agent10_Loans!B151="","",Agent10_Loans!G151)</f>
        <v/>
      </c>
      <c r="H1941" s="37" t="str">
        <f>IF(Agent10_Loans!B151="","",Agent10_Loans!H151)</f>
        <v/>
      </c>
      <c r="I1941" s="40" t="str">
        <f>IF(Agent10_Loans!B151="","",Agent10_Loans!I151)</f>
        <v/>
      </c>
      <c r="J1941" s="40" t="str">
        <f>IF(Agent10_Loans!B151="","",Agent10_Loans!J151)</f>
        <v/>
      </c>
      <c r="K1941" s="37" t="str">
        <f>IF(Agent10_Loans!B151="","",Agent10_Loans!K151)</f>
        <v/>
      </c>
      <c r="L1941" s="37" t="str">
        <f>IF(Agent10_Loans!B151="","",Agent10_Loans!L151)</f>
        <v/>
      </c>
      <c r="M1941" s="37" t="str">
        <f>IFERROR(IF(Agent10_Loans!B151="","",YEAR(Agent10_Loans!D151)),"")</f>
        <v/>
      </c>
    </row>
    <row r="1942" spans="1:13" ht="18" customHeight="1" x14ac:dyDescent="0.25">
      <c r="A1942" s="37" t="str">
        <f>IF(Agent10_Loans!B152="","",Agent10_Loans!A152)</f>
        <v/>
      </c>
      <c r="B1942" s="37" t="str">
        <f>IF(Agent10_Loans!B152="","",Agent10_Loans!B152)</f>
        <v/>
      </c>
      <c r="C1942" s="37" t="str">
        <f>IF(Agent10_Loans!B152="","",Agent10_Loans!C152)</f>
        <v/>
      </c>
      <c r="D1942" s="38" t="str">
        <f>IF(Agent10_Loans!B152="","",Agent10_Loans!D152)</f>
        <v/>
      </c>
      <c r="E1942" s="40" t="str">
        <f>IF(Agent10_Loans!B152="","",Agent10_Loans!E152)</f>
        <v/>
      </c>
      <c r="F1942" s="37" t="str">
        <f>IF(Agent10_Loans!B152="","",Agent10_Loans!F152)</f>
        <v/>
      </c>
      <c r="G1942" s="37" t="str">
        <f>IF(Agent10_Loans!B152="","",Agent10_Loans!G152)</f>
        <v/>
      </c>
      <c r="H1942" s="37" t="str">
        <f>IF(Agent10_Loans!B152="","",Agent10_Loans!H152)</f>
        <v/>
      </c>
      <c r="I1942" s="40" t="str">
        <f>IF(Agent10_Loans!B152="","",Agent10_Loans!I152)</f>
        <v/>
      </c>
      <c r="J1942" s="40" t="str">
        <f>IF(Agent10_Loans!B152="","",Agent10_Loans!J152)</f>
        <v/>
      </c>
      <c r="K1942" s="37" t="str">
        <f>IF(Agent10_Loans!B152="","",Agent10_Loans!K152)</f>
        <v/>
      </c>
      <c r="L1942" s="37" t="str">
        <f>IF(Agent10_Loans!B152="","",Agent10_Loans!L152)</f>
        <v/>
      </c>
      <c r="M1942" s="37" t="str">
        <f>IFERROR(IF(Agent10_Loans!B152="","",YEAR(Agent10_Loans!D152)),"")</f>
        <v/>
      </c>
    </row>
    <row r="1943" spans="1:13" ht="18" customHeight="1" x14ac:dyDescent="0.25">
      <c r="A1943" s="37" t="str">
        <f>IF(Agent10_Loans!B153="","",Agent10_Loans!A153)</f>
        <v/>
      </c>
      <c r="B1943" s="37" t="str">
        <f>IF(Agent10_Loans!B153="","",Agent10_Loans!B153)</f>
        <v/>
      </c>
      <c r="C1943" s="37" t="str">
        <f>IF(Agent10_Loans!B153="","",Agent10_Loans!C153)</f>
        <v/>
      </c>
      <c r="D1943" s="38" t="str">
        <f>IF(Agent10_Loans!B153="","",Agent10_Loans!D153)</f>
        <v/>
      </c>
      <c r="E1943" s="40" t="str">
        <f>IF(Agent10_Loans!B153="","",Agent10_Loans!E153)</f>
        <v/>
      </c>
      <c r="F1943" s="37" t="str">
        <f>IF(Agent10_Loans!B153="","",Agent10_Loans!F153)</f>
        <v/>
      </c>
      <c r="G1943" s="37" t="str">
        <f>IF(Agent10_Loans!B153="","",Agent10_Loans!G153)</f>
        <v/>
      </c>
      <c r="H1943" s="37" t="str">
        <f>IF(Agent10_Loans!B153="","",Agent10_Loans!H153)</f>
        <v/>
      </c>
      <c r="I1943" s="40" t="str">
        <f>IF(Agent10_Loans!B153="","",Agent10_Loans!I153)</f>
        <v/>
      </c>
      <c r="J1943" s="40" t="str">
        <f>IF(Agent10_Loans!B153="","",Agent10_Loans!J153)</f>
        <v/>
      </c>
      <c r="K1943" s="37" t="str">
        <f>IF(Agent10_Loans!B153="","",Agent10_Loans!K153)</f>
        <v/>
      </c>
      <c r="L1943" s="37" t="str">
        <f>IF(Agent10_Loans!B153="","",Agent10_Loans!L153)</f>
        <v/>
      </c>
      <c r="M1943" s="37" t="str">
        <f>IFERROR(IF(Agent10_Loans!B153="","",YEAR(Agent10_Loans!D153)),"")</f>
        <v/>
      </c>
    </row>
    <row r="1944" spans="1:13" ht="18" customHeight="1" x14ac:dyDescent="0.25">
      <c r="A1944" s="37" t="str">
        <f>IF(Agent10_Loans!B154="","",Agent10_Loans!A154)</f>
        <v/>
      </c>
      <c r="B1944" s="37" t="str">
        <f>IF(Agent10_Loans!B154="","",Agent10_Loans!B154)</f>
        <v/>
      </c>
      <c r="C1944" s="37" t="str">
        <f>IF(Agent10_Loans!B154="","",Agent10_Loans!C154)</f>
        <v/>
      </c>
      <c r="D1944" s="38" t="str">
        <f>IF(Agent10_Loans!B154="","",Agent10_Loans!D154)</f>
        <v/>
      </c>
      <c r="E1944" s="40" t="str">
        <f>IF(Agent10_Loans!B154="","",Agent10_Loans!E154)</f>
        <v/>
      </c>
      <c r="F1944" s="37" t="str">
        <f>IF(Agent10_Loans!B154="","",Agent10_Loans!F154)</f>
        <v/>
      </c>
      <c r="G1944" s="37" t="str">
        <f>IF(Agent10_Loans!B154="","",Agent10_Loans!G154)</f>
        <v/>
      </c>
      <c r="H1944" s="37" t="str">
        <f>IF(Agent10_Loans!B154="","",Agent10_Loans!H154)</f>
        <v/>
      </c>
      <c r="I1944" s="40" t="str">
        <f>IF(Agent10_Loans!B154="","",Agent10_Loans!I154)</f>
        <v/>
      </c>
      <c r="J1944" s="40" t="str">
        <f>IF(Agent10_Loans!B154="","",Agent10_Loans!J154)</f>
        <v/>
      </c>
      <c r="K1944" s="37" t="str">
        <f>IF(Agent10_Loans!B154="","",Agent10_Loans!K154)</f>
        <v/>
      </c>
      <c r="L1944" s="37" t="str">
        <f>IF(Agent10_Loans!B154="","",Agent10_Loans!L154)</f>
        <v/>
      </c>
      <c r="M1944" s="37" t="str">
        <f>IFERROR(IF(Agent10_Loans!B154="","",YEAR(Agent10_Loans!D154)),"")</f>
        <v/>
      </c>
    </row>
    <row r="1945" spans="1:13" ht="18" customHeight="1" x14ac:dyDescent="0.25">
      <c r="A1945" s="37" t="str">
        <f>IF(Agent10_Loans!B155="","",Agent10_Loans!A155)</f>
        <v/>
      </c>
      <c r="B1945" s="37" t="str">
        <f>IF(Agent10_Loans!B155="","",Agent10_Loans!B155)</f>
        <v/>
      </c>
      <c r="C1945" s="37" t="str">
        <f>IF(Agent10_Loans!B155="","",Agent10_Loans!C155)</f>
        <v/>
      </c>
      <c r="D1945" s="38" t="str">
        <f>IF(Agent10_Loans!B155="","",Agent10_Loans!D155)</f>
        <v/>
      </c>
      <c r="E1945" s="40" t="str">
        <f>IF(Agent10_Loans!B155="","",Agent10_Loans!E155)</f>
        <v/>
      </c>
      <c r="F1945" s="37" t="str">
        <f>IF(Agent10_Loans!B155="","",Agent10_Loans!F155)</f>
        <v/>
      </c>
      <c r="G1945" s="37" t="str">
        <f>IF(Agent10_Loans!B155="","",Agent10_Loans!G155)</f>
        <v/>
      </c>
      <c r="H1945" s="37" t="str">
        <f>IF(Agent10_Loans!B155="","",Agent10_Loans!H155)</f>
        <v/>
      </c>
      <c r="I1945" s="40" t="str">
        <f>IF(Agent10_Loans!B155="","",Agent10_Loans!I155)</f>
        <v/>
      </c>
      <c r="J1945" s="40" t="str">
        <f>IF(Agent10_Loans!B155="","",Agent10_Loans!J155)</f>
        <v/>
      </c>
      <c r="K1945" s="37" t="str">
        <f>IF(Agent10_Loans!B155="","",Agent10_Loans!K155)</f>
        <v/>
      </c>
      <c r="L1945" s="37" t="str">
        <f>IF(Agent10_Loans!B155="","",Agent10_Loans!L155)</f>
        <v/>
      </c>
      <c r="M1945" s="37" t="str">
        <f>IFERROR(IF(Agent10_Loans!B155="","",YEAR(Agent10_Loans!D155)),"")</f>
        <v/>
      </c>
    </row>
    <row r="1946" spans="1:13" ht="18" customHeight="1" x14ac:dyDescent="0.25">
      <c r="A1946" s="37" t="str">
        <f>IF(Agent10_Loans!B156="","",Agent10_Loans!A156)</f>
        <v/>
      </c>
      <c r="B1946" s="37" t="str">
        <f>IF(Agent10_Loans!B156="","",Agent10_Loans!B156)</f>
        <v/>
      </c>
      <c r="C1946" s="37" t="str">
        <f>IF(Agent10_Loans!B156="","",Agent10_Loans!C156)</f>
        <v/>
      </c>
      <c r="D1946" s="38" t="str">
        <f>IF(Agent10_Loans!B156="","",Agent10_Loans!D156)</f>
        <v/>
      </c>
      <c r="E1946" s="40" t="str">
        <f>IF(Agent10_Loans!B156="","",Agent10_Loans!E156)</f>
        <v/>
      </c>
      <c r="F1946" s="37" t="str">
        <f>IF(Agent10_Loans!B156="","",Agent10_Loans!F156)</f>
        <v/>
      </c>
      <c r="G1946" s="37" t="str">
        <f>IF(Agent10_Loans!B156="","",Agent10_Loans!G156)</f>
        <v/>
      </c>
      <c r="H1946" s="37" t="str">
        <f>IF(Agent10_Loans!B156="","",Agent10_Loans!H156)</f>
        <v/>
      </c>
      <c r="I1946" s="40" t="str">
        <f>IF(Agent10_Loans!B156="","",Agent10_Loans!I156)</f>
        <v/>
      </c>
      <c r="J1946" s="40" t="str">
        <f>IF(Agent10_Loans!B156="","",Agent10_Loans!J156)</f>
        <v/>
      </c>
      <c r="K1946" s="37" t="str">
        <f>IF(Agent10_Loans!B156="","",Agent10_Loans!K156)</f>
        <v/>
      </c>
      <c r="L1946" s="37" t="str">
        <f>IF(Agent10_Loans!B156="","",Agent10_Loans!L156)</f>
        <v/>
      </c>
      <c r="M1946" s="37" t="str">
        <f>IFERROR(IF(Agent10_Loans!B156="","",YEAR(Agent10_Loans!D156)),"")</f>
        <v/>
      </c>
    </row>
    <row r="1947" spans="1:13" ht="18" customHeight="1" x14ac:dyDescent="0.25">
      <c r="A1947" s="37" t="str">
        <f>IF(Agent10_Loans!B157="","",Agent10_Loans!A157)</f>
        <v/>
      </c>
      <c r="B1947" s="37" t="str">
        <f>IF(Agent10_Loans!B157="","",Agent10_Loans!B157)</f>
        <v/>
      </c>
      <c r="C1947" s="37" t="str">
        <f>IF(Agent10_Loans!B157="","",Agent10_Loans!C157)</f>
        <v/>
      </c>
      <c r="D1947" s="38" t="str">
        <f>IF(Agent10_Loans!B157="","",Agent10_Loans!D157)</f>
        <v/>
      </c>
      <c r="E1947" s="40" t="str">
        <f>IF(Agent10_Loans!B157="","",Agent10_Loans!E157)</f>
        <v/>
      </c>
      <c r="F1947" s="37" t="str">
        <f>IF(Agent10_Loans!B157="","",Agent10_Loans!F157)</f>
        <v/>
      </c>
      <c r="G1947" s="37" t="str">
        <f>IF(Agent10_Loans!B157="","",Agent10_Loans!G157)</f>
        <v/>
      </c>
      <c r="H1947" s="37" t="str">
        <f>IF(Agent10_Loans!B157="","",Agent10_Loans!H157)</f>
        <v/>
      </c>
      <c r="I1947" s="40" t="str">
        <f>IF(Agent10_Loans!B157="","",Agent10_Loans!I157)</f>
        <v/>
      </c>
      <c r="J1947" s="40" t="str">
        <f>IF(Agent10_Loans!B157="","",Agent10_Loans!J157)</f>
        <v/>
      </c>
      <c r="K1947" s="37" t="str">
        <f>IF(Agent10_Loans!B157="","",Agent10_Loans!K157)</f>
        <v/>
      </c>
      <c r="L1947" s="37" t="str">
        <f>IF(Agent10_Loans!B157="","",Agent10_Loans!L157)</f>
        <v/>
      </c>
      <c r="M1947" s="37" t="str">
        <f>IFERROR(IF(Agent10_Loans!B157="","",YEAR(Agent10_Loans!D157)),"")</f>
        <v/>
      </c>
    </row>
    <row r="1948" spans="1:13" ht="18" customHeight="1" x14ac:dyDescent="0.25">
      <c r="A1948" s="37" t="str">
        <f>IF(Agent10_Loans!B158="","",Agent10_Loans!A158)</f>
        <v/>
      </c>
      <c r="B1948" s="37" t="str">
        <f>IF(Agent10_Loans!B158="","",Agent10_Loans!B158)</f>
        <v/>
      </c>
      <c r="C1948" s="37" t="str">
        <f>IF(Agent10_Loans!B158="","",Agent10_Loans!C158)</f>
        <v/>
      </c>
      <c r="D1948" s="38" t="str">
        <f>IF(Agent10_Loans!B158="","",Agent10_Loans!D158)</f>
        <v/>
      </c>
      <c r="E1948" s="40" t="str">
        <f>IF(Agent10_Loans!B158="","",Agent10_Loans!E158)</f>
        <v/>
      </c>
      <c r="F1948" s="37" t="str">
        <f>IF(Agent10_Loans!B158="","",Agent10_Loans!F158)</f>
        <v/>
      </c>
      <c r="G1948" s="37" t="str">
        <f>IF(Agent10_Loans!B158="","",Agent10_Loans!G158)</f>
        <v/>
      </c>
      <c r="H1948" s="37" t="str">
        <f>IF(Agent10_Loans!B158="","",Agent10_Loans!H158)</f>
        <v/>
      </c>
      <c r="I1948" s="40" t="str">
        <f>IF(Agent10_Loans!B158="","",Agent10_Loans!I158)</f>
        <v/>
      </c>
      <c r="J1948" s="40" t="str">
        <f>IF(Agent10_Loans!B158="","",Agent10_Loans!J158)</f>
        <v/>
      </c>
      <c r="K1948" s="37" t="str">
        <f>IF(Agent10_Loans!B158="","",Agent10_Loans!K158)</f>
        <v/>
      </c>
      <c r="L1948" s="37" t="str">
        <f>IF(Agent10_Loans!B158="","",Agent10_Loans!L158)</f>
        <v/>
      </c>
      <c r="M1948" s="37" t="str">
        <f>IFERROR(IF(Agent10_Loans!B158="","",YEAR(Agent10_Loans!D158)),"")</f>
        <v/>
      </c>
    </row>
    <row r="1949" spans="1:13" ht="18" customHeight="1" x14ac:dyDescent="0.25">
      <c r="A1949" s="37" t="str">
        <f>IF(Agent10_Loans!B159="","",Agent10_Loans!A159)</f>
        <v/>
      </c>
      <c r="B1949" s="37" t="str">
        <f>IF(Agent10_Loans!B159="","",Agent10_Loans!B159)</f>
        <v/>
      </c>
      <c r="C1949" s="37" t="str">
        <f>IF(Agent10_Loans!B159="","",Agent10_Loans!C159)</f>
        <v/>
      </c>
      <c r="D1949" s="38" t="str">
        <f>IF(Agent10_Loans!B159="","",Agent10_Loans!D159)</f>
        <v/>
      </c>
      <c r="E1949" s="40" t="str">
        <f>IF(Agent10_Loans!B159="","",Agent10_Loans!E159)</f>
        <v/>
      </c>
      <c r="F1949" s="37" t="str">
        <f>IF(Agent10_Loans!B159="","",Agent10_Loans!F159)</f>
        <v/>
      </c>
      <c r="G1949" s="37" t="str">
        <f>IF(Agent10_Loans!B159="","",Agent10_Loans!G159)</f>
        <v/>
      </c>
      <c r="H1949" s="37" t="str">
        <f>IF(Agent10_Loans!B159="","",Agent10_Loans!H159)</f>
        <v/>
      </c>
      <c r="I1949" s="40" t="str">
        <f>IF(Agent10_Loans!B159="","",Agent10_Loans!I159)</f>
        <v/>
      </c>
      <c r="J1949" s="40" t="str">
        <f>IF(Agent10_Loans!B159="","",Agent10_Loans!J159)</f>
        <v/>
      </c>
      <c r="K1949" s="37" t="str">
        <f>IF(Agent10_Loans!B159="","",Agent10_Loans!K159)</f>
        <v/>
      </c>
      <c r="L1949" s="37" t="str">
        <f>IF(Agent10_Loans!B159="","",Agent10_Loans!L159)</f>
        <v/>
      </c>
      <c r="M1949" s="37" t="str">
        <f>IFERROR(IF(Agent10_Loans!B159="","",YEAR(Agent10_Loans!D159)),"")</f>
        <v/>
      </c>
    </row>
    <row r="1950" spans="1:13" ht="18" customHeight="1" x14ac:dyDescent="0.25">
      <c r="A1950" s="37" t="str">
        <f>IF(Agent10_Loans!B160="","",Agent10_Loans!A160)</f>
        <v/>
      </c>
      <c r="B1950" s="37" t="str">
        <f>IF(Agent10_Loans!B160="","",Agent10_Loans!B160)</f>
        <v/>
      </c>
      <c r="C1950" s="37" t="str">
        <f>IF(Agent10_Loans!B160="","",Agent10_Loans!C160)</f>
        <v/>
      </c>
      <c r="D1950" s="38" t="str">
        <f>IF(Agent10_Loans!B160="","",Agent10_Loans!D160)</f>
        <v/>
      </c>
      <c r="E1950" s="40" t="str">
        <f>IF(Agent10_Loans!B160="","",Agent10_Loans!E160)</f>
        <v/>
      </c>
      <c r="F1950" s="37" t="str">
        <f>IF(Agent10_Loans!B160="","",Agent10_Loans!F160)</f>
        <v/>
      </c>
      <c r="G1950" s="37" t="str">
        <f>IF(Agent10_Loans!B160="","",Agent10_Loans!G160)</f>
        <v/>
      </c>
      <c r="H1950" s="37" t="str">
        <f>IF(Agent10_Loans!B160="","",Agent10_Loans!H160)</f>
        <v/>
      </c>
      <c r="I1950" s="40" t="str">
        <f>IF(Agent10_Loans!B160="","",Agent10_Loans!I160)</f>
        <v/>
      </c>
      <c r="J1950" s="40" t="str">
        <f>IF(Agent10_Loans!B160="","",Agent10_Loans!J160)</f>
        <v/>
      </c>
      <c r="K1950" s="37" t="str">
        <f>IF(Agent10_Loans!B160="","",Agent10_Loans!K160)</f>
        <v/>
      </c>
      <c r="L1950" s="37" t="str">
        <f>IF(Agent10_Loans!B160="","",Agent10_Loans!L160)</f>
        <v/>
      </c>
      <c r="M1950" s="37" t="str">
        <f>IFERROR(IF(Agent10_Loans!B160="","",YEAR(Agent10_Loans!D160)),"")</f>
        <v/>
      </c>
    </row>
    <row r="1951" spans="1:13" ht="18" customHeight="1" x14ac:dyDescent="0.25">
      <c r="A1951" s="37" t="str">
        <f>IF(Agent10_Loans!B161="","",Agent10_Loans!A161)</f>
        <v/>
      </c>
      <c r="B1951" s="37" t="str">
        <f>IF(Agent10_Loans!B161="","",Agent10_Loans!B161)</f>
        <v/>
      </c>
      <c r="C1951" s="37" t="str">
        <f>IF(Agent10_Loans!B161="","",Agent10_Loans!C161)</f>
        <v/>
      </c>
      <c r="D1951" s="38" t="str">
        <f>IF(Agent10_Loans!B161="","",Agent10_Loans!D161)</f>
        <v/>
      </c>
      <c r="E1951" s="40" t="str">
        <f>IF(Agent10_Loans!B161="","",Agent10_Loans!E161)</f>
        <v/>
      </c>
      <c r="F1951" s="37" t="str">
        <f>IF(Agent10_Loans!B161="","",Agent10_Loans!F161)</f>
        <v/>
      </c>
      <c r="G1951" s="37" t="str">
        <f>IF(Agent10_Loans!B161="","",Agent10_Loans!G161)</f>
        <v/>
      </c>
      <c r="H1951" s="37" t="str">
        <f>IF(Agent10_Loans!B161="","",Agent10_Loans!H161)</f>
        <v/>
      </c>
      <c r="I1951" s="40" t="str">
        <f>IF(Agent10_Loans!B161="","",Agent10_Loans!I161)</f>
        <v/>
      </c>
      <c r="J1951" s="40" t="str">
        <f>IF(Agent10_Loans!B161="","",Agent10_Loans!J161)</f>
        <v/>
      </c>
      <c r="K1951" s="37" t="str">
        <f>IF(Agent10_Loans!B161="","",Agent10_Loans!K161)</f>
        <v/>
      </c>
      <c r="L1951" s="37" t="str">
        <f>IF(Agent10_Loans!B161="","",Agent10_Loans!L161)</f>
        <v/>
      </c>
      <c r="M1951" s="37" t="str">
        <f>IFERROR(IF(Agent10_Loans!B161="","",YEAR(Agent10_Loans!D161)),"")</f>
        <v/>
      </c>
    </row>
    <row r="1952" spans="1:13" ht="18" customHeight="1" x14ac:dyDescent="0.25">
      <c r="A1952" s="37" t="str">
        <f>IF(Agent10_Loans!B162="","",Agent10_Loans!A162)</f>
        <v/>
      </c>
      <c r="B1952" s="37" t="str">
        <f>IF(Agent10_Loans!B162="","",Agent10_Loans!B162)</f>
        <v/>
      </c>
      <c r="C1952" s="37" t="str">
        <f>IF(Agent10_Loans!B162="","",Agent10_Loans!C162)</f>
        <v/>
      </c>
      <c r="D1952" s="38" t="str">
        <f>IF(Agent10_Loans!B162="","",Agent10_Loans!D162)</f>
        <v/>
      </c>
      <c r="E1952" s="40" t="str">
        <f>IF(Agent10_Loans!B162="","",Agent10_Loans!E162)</f>
        <v/>
      </c>
      <c r="F1952" s="37" t="str">
        <f>IF(Agent10_Loans!B162="","",Agent10_Loans!F162)</f>
        <v/>
      </c>
      <c r="G1952" s="37" t="str">
        <f>IF(Agent10_Loans!B162="","",Agent10_Loans!G162)</f>
        <v/>
      </c>
      <c r="H1952" s="37" t="str">
        <f>IF(Agent10_Loans!B162="","",Agent10_Loans!H162)</f>
        <v/>
      </c>
      <c r="I1952" s="40" t="str">
        <f>IF(Agent10_Loans!B162="","",Agent10_Loans!I162)</f>
        <v/>
      </c>
      <c r="J1952" s="40" t="str">
        <f>IF(Agent10_Loans!B162="","",Agent10_Loans!J162)</f>
        <v/>
      </c>
      <c r="K1952" s="37" t="str">
        <f>IF(Agent10_Loans!B162="","",Agent10_Loans!K162)</f>
        <v/>
      </c>
      <c r="L1952" s="37" t="str">
        <f>IF(Agent10_Loans!B162="","",Agent10_Loans!L162)</f>
        <v/>
      </c>
      <c r="M1952" s="37" t="str">
        <f>IFERROR(IF(Agent10_Loans!B162="","",YEAR(Agent10_Loans!D162)),"")</f>
        <v/>
      </c>
    </row>
    <row r="1953" spans="1:13" ht="18" customHeight="1" x14ac:dyDescent="0.25">
      <c r="A1953" s="37" t="str">
        <f>IF(Agent10_Loans!B163="","",Agent10_Loans!A163)</f>
        <v/>
      </c>
      <c r="B1953" s="37" t="str">
        <f>IF(Agent10_Loans!B163="","",Agent10_Loans!B163)</f>
        <v/>
      </c>
      <c r="C1953" s="37" t="str">
        <f>IF(Agent10_Loans!B163="","",Agent10_Loans!C163)</f>
        <v/>
      </c>
      <c r="D1953" s="38" t="str">
        <f>IF(Agent10_Loans!B163="","",Agent10_Loans!D163)</f>
        <v/>
      </c>
      <c r="E1953" s="40" t="str">
        <f>IF(Agent10_Loans!B163="","",Agent10_Loans!E163)</f>
        <v/>
      </c>
      <c r="F1953" s="37" t="str">
        <f>IF(Agent10_Loans!B163="","",Agent10_Loans!F163)</f>
        <v/>
      </c>
      <c r="G1953" s="37" t="str">
        <f>IF(Agent10_Loans!B163="","",Agent10_Loans!G163)</f>
        <v/>
      </c>
      <c r="H1953" s="37" t="str">
        <f>IF(Agent10_Loans!B163="","",Agent10_Loans!H163)</f>
        <v/>
      </c>
      <c r="I1953" s="40" t="str">
        <f>IF(Agent10_Loans!B163="","",Agent10_Loans!I163)</f>
        <v/>
      </c>
      <c r="J1953" s="40" t="str">
        <f>IF(Agent10_Loans!B163="","",Agent10_Loans!J163)</f>
        <v/>
      </c>
      <c r="K1953" s="37" t="str">
        <f>IF(Agent10_Loans!B163="","",Agent10_Loans!K163)</f>
        <v/>
      </c>
      <c r="L1953" s="37" t="str">
        <f>IF(Agent10_Loans!B163="","",Agent10_Loans!L163)</f>
        <v/>
      </c>
      <c r="M1953" s="37" t="str">
        <f>IFERROR(IF(Agent10_Loans!B163="","",YEAR(Agent10_Loans!D163)),"")</f>
        <v/>
      </c>
    </row>
    <row r="1954" spans="1:13" ht="18" customHeight="1" x14ac:dyDescent="0.25">
      <c r="A1954" s="37" t="str">
        <f>IF(Agent10_Loans!B164="","",Agent10_Loans!A164)</f>
        <v/>
      </c>
      <c r="B1954" s="37" t="str">
        <f>IF(Agent10_Loans!B164="","",Agent10_Loans!B164)</f>
        <v/>
      </c>
      <c r="C1954" s="37" t="str">
        <f>IF(Agent10_Loans!B164="","",Agent10_Loans!C164)</f>
        <v/>
      </c>
      <c r="D1954" s="38" t="str">
        <f>IF(Agent10_Loans!B164="","",Agent10_Loans!D164)</f>
        <v/>
      </c>
      <c r="E1954" s="40" t="str">
        <f>IF(Agent10_Loans!B164="","",Agent10_Loans!E164)</f>
        <v/>
      </c>
      <c r="F1954" s="37" t="str">
        <f>IF(Agent10_Loans!B164="","",Agent10_Loans!F164)</f>
        <v/>
      </c>
      <c r="G1954" s="37" t="str">
        <f>IF(Agent10_Loans!B164="","",Agent10_Loans!G164)</f>
        <v/>
      </c>
      <c r="H1954" s="37" t="str">
        <f>IF(Agent10_Loans!B164="","",Agent10_Loans!H164)</f>
        <v/>
      </c>
      <c r="I1954" s="40" t="str">
        <f>IF(Agent10_Loans!B164="","",Agent10_Loans!I164)</f>
        <v/>
      </c>
      <c r="J1954" s="40" t="str">
        <f>IF(Agent10_Loans!B164="","",Agent10_Loans!J164)</f>
        <v/>
      </c>
      <c r="K1954" s="37" t="str">
        <f>IF(Agent10_Loans!B164="","",Agent10_Loans!K164)</f>
        <v/>
      </c>
      <c r="L1954" s="37" t="str">
        <f>IF(Agent10_Loans!B164="","",Agent10_Loans!L164)</f>
        <v/>
      </c>
      <c r="M1954" s="37" t="str">
        <f>IFERROR(IF(Agent10_Loans!B164="","",YEAR(Agent10_Loans!D164)),"")</f>
        <v/>
      </c>
    </row>
    <row r="1955" spans="1:13" ht="18" customHeight="1" x14ac:dyDescent="0.25">
      <c r="A1955" s="37" t="str">
        <f>IF(Agent10_Loans!B165="","",Agent10_Loans!A165)</f>
        <v/>
      </c>
      <c r="B1955" s="37" t="str">
        <f>IF(Agent10_Loans!B165="","",Agent10_Loans!B165)</f>
        <v/>
      </c>
      <c r="C1955" s="37" t="str">
        <f>IF(Agent10_Loans!B165="","",Agent10_Loans!C165)</f>
        <v/>
      </c>
      <c r="D1955" s="38" t="str">
        <f>IF(Agent10_Loans!B165="","",Agent10_Loans!D165)</f>
        <v/>
      </c>
      <c r="E1955" s="40" t="str">
        <f>IF(Agent10_Loans!B165="","",Agent10_Loans!E165)</f>
        <v/>
      </c>
      <c r="F1955" s="37" t="str">
        <f>IF(Agent10_Loans!B165="","",Agent10_Loans!F165)</f>
        <v/>
      </c>
      <c r="G1955" s="37" t="str">
        <f>IF(Agent10_Loans!B165="","",Agent10_Loans!G165)</f>
        <v/>
      </c>
      <c r="H1955" s="37" t="str">
        <f>IF(Agent10_Loans!B165="","",Agent10_Loans!H165)</f>
        <v/>
      </c>
      <c r="I1955" s="40" t="str">
        <f>IF(Agent10_Loans!B165="","",Agent10_Loans!I165)</f>
        <v/>
      </c>
      <c r="J1955" s="40" t="str">
        <f>IF(Agent10_Loans!B165="","",Agent10_Loans!J165)</f>
        <v/>
      </c>
      <c r="K1955" s="37" t="str">
        <f>IF(Agent10_Loans!B165="","",Agent10_Loans!K165)</f>
        <v/>
      </c>
      <c r="L1955" s="37" t="str">
        <f>IF(Agent10_Loans!B165="","",Agent10_Loans!L165)</f>
        <v/>
      </c>
      <c r="M1955" s="37" t="str">
        <f>IFERROR(IF(Agent10_Loans!B165="","",YEAR(Agent10_Loans!D165)),"")</f>
        <v/>
      </c>
    </row>
    <row r="1956" spans="1:13" ht="18" customHeight="1" x14ac:dyDescent="0.25">
      <c r="A1956" s="37" t="str">
        <f>IF(Agent10_Loans!B166="","",Agent10_Loans!A166)</f>
        <v/>
      </c>
      <c r="B1956" s="37" t="str">
        <f>IF(Agent10_Loans!B166="","",Agent10_Loans!B166)</f>
        <v/>
      </c>
      <c r="C1956" s="37" t="str">
        <f>IF(Agent10_Loans!B166="","",Agent10_Loans!C166)</f>
        <v/>
      </c>
      <c r="D1956" s="38" t="str">
        <f>IF(Agent10_Loans!B166="","",Agent10_Loans!D166)</f>
        <v/>
      </c>
      <c r="E1956" s="40" t="str">
        <f>IF(Agent10_Loans!B166="","",Agent10_Loans!E166)</f>
        <v/>
      </c>
      <c r="F1956" s="37" t="str">
        <f>IF(Agent10_Loans!B166="","",Agent10_Loans!F166)</f>
        <v/>
      </c>
      <c r="G1956" s="37" t="str">
        <f>IF(Agent10_Loans!B166="","",Agent10_Loans!G166)</f>
        <v/>
      </c>
      <c r="H1956" s="37" t="str">
        <f>IF(Agent10_Loans!B166="","",Agent10_Loans!H166)</f>
        <v/>
      </c>
      <c r="I1956" s="40" t="str">
        <f>IF(Agent10_Loans!B166="","",Agent10_Loans!I166)</f>
        <v/>
      </c>
      <c r="J1956" s="40" t="str">
        <f>IF(Agent10_Loans!B166="","",Agent10_Loans!J166)</f>
        <v/>
      </c>
      <c r="K1956" s="37" t="str">
        <f>IF(Agent10_Loans!B166="","",Agent10_Loans!K166)</f>
        <v/>
      </c>
      <c r="L1956" s="37" t="str">
        <f>IF(Agent10_Loans!B166="","",Agent10_Loans!L166)</f>
        <v/>
      </c>
      <c r="M1956" s="37" t="str">
        <f>IFERROR(IF(Agent10_Loans!B166="","",YEAR(Agent10_Loans!D166)),"")</f>
        <v/>
      </c>
    </row>
    <row r="1957" spans="1:13" ht="18" customHeight="1" x14ac:dyDescent="0.25">
      <c r="A1957" s="37" t="str">
        <f>IF(Agent10_Loans!B167="","",Agent10_Loans!A167)</f>
        <v/>
      </c>
      <c r="B1957" s="37" t="str">
        <f>IF(Agent10_Loans!B167="","",Agent10_Loans!B167)</f>
        <v/>
      </c>
      <c r="C1957" s="37" t="str">
        <f>IF(Agent10_Loans!B167="","",Agent10_Loans!C167)</f>
        <v/>
      </c>
      <c r="D1957" s="38" t="str">
        <f>IF(Agent10_Loans!B167="","",Agent10_Loans!D167)</f>
        <v/>
      </c>
      <c r="E1957" s="40" t="str">
        <f>IF(Agent10_Loans!B167="","",Agent10_Loans!E167)</f>
        <v/>
      </c>
      <c r="F1957" s="37" t="str">
        <f>IF(Agent10_Loans!B167="","",Agent10_Loans!F167)</f>
        <v/>
      </c>
      <c r="G1957" s="37" t="str">
        <f>IF(Agent10_Loans!B167="","",Agent10_Loans!G167)</f>
        <v/>
      </c>
      <c r="H1957" s="37" t="str">
        <f>IF(Agent10_Loans!B167="","",Agent10_Loans!H167)</f>
        <v/>
      </c>
      <c r="I1957" s="40" t="str">
        <f>IF(Agent10_Loans!B167="","",Agent10_Loans!I167)</f>
        <v/>
      </c>
      <c r="J1957" s="40" t="str">
        <f>IF(Agent10_Loans!B167="","",Agent10_Loans!J167)</f>
        <v/>
      </c>
      <c r="K1957" s="37" t="str">
        <f>IF(Agent10_Loans!B167="","",Agent10_Loans!K167)</f>
        <v/>
      </c>
      <c r="L1957" s="37" t="str">
        <f>IF(Agent10_Loans!B167="","",Agent10_Loans!L167)</f>
        <v/>
      </c>
      <c r="M1957" s="37" t="str">
        <f>IFERROR(IF(Agent10_Loans!B167="","",YEAR(Agent10_Loans!D167)),"")</f>
        <v/>
      </c>
    </row>
    <row r="1958" spans="1:13" ht="18" customHeight="1" x14ac:dyDescent="0.25">
      <c r="A1958" s="37" t="str">
        <f>IF(Agent10_Loans!B168="","",Agent10_Loans!A168)</f>
        <v/>
      </c>
      <c r="B1958" s="37" t="str">
        <f>IF(Agent10_Loans!B168="","",Agent10_Loans!B168)</f>
        <v/>
      </c>
      <c r="C1958" s="37" t="str">
        <f>IF(Agent10_Loans!B168="","",Agent10_Loans!C168)</f>
        <v/>
      </c>
      <c r="D1958" s="38" t="str">
        <f>IF(Agent10_Loans!B168="","",Agent10_Loans!D168)</f>
        <v/>
      </c>
      <c r="E1958" s="40" t="str">
        <f>IF(Agent10_Loans!B168="","",Agent10_Loans!E168)</f>
        <v/>
      </c>
      <c r="F1958" s="37" t="str">
        <f>IF(Agent10_Loans!B168="","",Agent10_Loans!F168)</f>
        <v/>
      </c>
      <c r="G1958" s="37" t="str">
        <f>IF(Agent10_Loans!B168="","",Agent10_Loans!G168)</f>
        <v/>
      </c>
      <c r="H1958" s="37" t="str">
        <f>IF(Agent10_Loans!B168="","",Agent10_Loans!H168)</f>
        <v/>
      </c>
      <c r="I1958" s="40" t="str">
        <f>IF(Agent10_Loans!B168="","",Agent10_Loans!I168)</f>
        <v/>
      </c>
      <c r="J1958" s="40" t="str">
        <f>IF(Agent10_Loans!B168="","",Agent10_Loans!J168)</f>
        <v/>
      </c>
      <c r="K1958" s="37" t="str">
        <f>IF(Agent10_Loans!B168="","",Agent10_Loans!K168)</f>
        <v/>
      </c>
      <c r="L1958" s="37" t="str">
        <f>IF(Agent10_Loans!B168="","",Agent10_Loans!L168)</f>
        <v/>
      </c>
      <c r="M1958" s="37" t="str">
        <f>IFERROR(IF(Agent10_Loans!B168="","",YEAR(Agent10_Loans!D168)),"")</f>
        <v/>
      </c>
    </row>
    <row r="1959" spans="1:13" ht="18" customHeight="1" x14ac:dyDescent="0.25">
      <c r="A1959" s="37" t="str">
        <f>IF(Agent10_Loans!B169="","",Agent10_Loans!A169)</f>
        <v/>
      </c>
      <c r="B1959" s="37" t="str">
        <f>IF(Agent10_Loans!B169="","",Agent10_Loans!B169)</f>
        <v/>
      </c>
      <c r="C1959" s="37" t="str">
        <f>IF(Agent10_Loans!B169="","",Agent10_Loans!C169)</f>
        <v/>
      </c>
      <c r="D1959" s="38" t="str">
        <f>IF(Agent10_Loans!B169="","",Agent10_Loans!D169)</f>
        <v/>
      </c>
      <c r="E1959" s="40" t="str">
        <f>IF(Agent10_Loans!B169="","",Agent10_Loans!E169)</f>
        <v/>
      </c>
      <c r="F1959" s="37" t="str">
        <f>IF(Agent10_Loans!B169="","",Agent10_Loans!F169)</f>
        <v/>
      </c>
      <c r="G1959" s="37" t="str">
        <f>IF(Agent10_Loans!B169="","",Agent10_Loans!G169)</f>
        <v/>
      </c>
      <c r="H1959" s="37" t="str">
        <f>IF(Agent10_Loans!B169="","",Agent10_Loans!H169)</f>
        <v/>
      </c>
      <c r="I1959" s="40" t="str">
        <f>IF(Agent10_Loans!B169="","",Agent10_Loans!I169)</f>
        <v/>
      </c>
      <c r="J1959" s="40" t="str">
        <f>IF(Agent10_Loans!B169="","",Agent10_Loans!J169)</f>
        <v/>
      </c>
      <c r="K1959" s="37" t="str">
        <f>IF(Agent10_Loans!B169="","",Agent10_Loans!K169)</f>
        <v/>
      </c>
      <c r="L1959" s="37" t="str">
        <f>IF(Agent10_Loans!B169="","",Agent10_Loans!L169)</f>
        <v/>
      </c>
      <c r="M1959" s="37" t="str">
        <f>IFERROR(IF(Agent10_Loans!B169="","",YEAR(Agent10_Loans!D169)),"")</f>
        <v/>
      </c>
    </row>
    <row r="1960" spans="1:13" ht="18" customHeight="1" x14ac:dyDescent="0.25">
      <c r="A1960" s="37" t="str">
        <f>IF(Agent10_Loans!B170="","",Agent10_Loans!A170)</f>
        <v/>
      </c>
      <c r="B1960" s="37" t="str">
        <f>IF(Agent10_Loans!B170="","",Agent10_Loans!B170)</f>
        <v/>
      </c>
      <c r="C1960" s="37" t="str">
        <f>IF(Agent10_Loans!B170="","",Agent10_Loans!C170)</f>
        <v/>
      </c>
      <c r="D1960" s="38" t="str">
        <f>IF(Agent10_Loans!B170="","",Agent10_Loans!D170)</f>
        <v/>
      </c>
      <c r="E1960" s="40" t="str">
        <f>IF(Agent10_Loans!B170="","",Agent10_Loans!E170)</f>
        <v/>
      </c>
      <c r="F1960" s="37" t="str">
        <f>IF(Agent10_Loans!B170="","",Agent10_Loans!F170)</f>
        <v/>
      </c>
      <c r="G1960" s="37" t="str">
        <f>IF(Agent10_Loans!B170="","",Agent10_Loans!G170)</f>
        <v/>
      </c>
      <c r="H1960" s="37" t="str">
        <f>IF(Agent10_Loans!B170="","",Agent10_Loans!H170)</f>
        <v/>
      </c>
      <c r="I1960" s="40" t="str">
        <f>IF(Agent10_Loans!B170="","",Agent10_Loans!I170)</f>
        <v/>
      </c>
      <c r="J1960" s="40" t="str">
        <f>IF(Agent10_Loans!B170="","",Agent10_Loans!J170)</f>
        <v/>
      </c>
      <c r="K1960" s="37" t="str">
        <f>IF(Agent10_Loans!B170="","",Agent10_Loans!K170)</f>
        <v/>
      </c>
      <c r="L1960" s="37" t="str">
        <f>IF(Agent10_Loans!B170="","",Agent10_Loans!L170)</f>
        <v/>
      </c>
      <c r="M1960" s="37" t="str">
        <f>IFERROR(IF(Agent10_Loans!B170="","",YEAR(Agent10_Loans!D170)),"")</f>
        <v/>
      </c>
    </row>
    <row r="1961" spans="1:13" ht="18" customHeight="1" x14ac:dyDescent="0.25">
      <c r="A1961" s="37" t="str">
        <f>IF(Agent10_Loans!B171="","",Agent10_Loans!A171)</f>
        <v/>
      </c>
      <c r="B1961" s="37" t="str">
        <f>IF(Agent10_Loans!B171="","",Agent10_Loans!B171)</f>
        <v/>
      </c>
      <c r="C1961" s="37" t="str">
        <f>IF(Agent10_Loans!B171="","",Agent10_Loans!C171)</f>
        <v/>
      </c>
      <c r="D1961" s="38" t="str">
        <f>IF(Agent10_Loans!B171="","",Agent10_Loans!D171)</f>
        <v/>
      </c>
      <c r="E1961" s="40" t="str">
        <f>IF(Agent10_Loans!B171="","",Agent10_Loans!E171)</f>
        <v/>
      </c>
      <c r="F1961" s="37" t="str">
        <f>IF(Agent10_Loans!B171="","",Agent10_Loans!F171)</f>
        <v/>
      </c>
      <c r="G1961" s="37" t="str">
        <f>IF(Agent10_Loans!B171="","",Agent10_Loans!G171)</f>
        <v/>
      </c>
      <c r="H1961" s="37" t="str">
        <f>IF(Agent10_Loans!B171="","",Agent10_Loans!H171)</f>
        <v/>
      </c>
      <c r="I1961" s="40" t="str">
        <f>IF(Agent10_Loans!B171="","",Agent10_Loans!I171)</f>
        <v/>
      </c>
      <c r="J1961" s="40" t="str">
        <f>IF(Agent10_Loans!B171="","",Agent10_Loans!J171)</f>
        <v/>
      </c>
      <c r="K1961" s="37" t="str">
        <f>IF(Agent10_Loans!B171="","",Agent10_Loans!K171)</f>
        <v/>
      </c>
      <c r="L1961" s="37" t="str">
        <f>IF(Agent10_Loans!B171="","",Agent10_Loans!L171)</f>
        <v/>
      </c>
      <c r="M1961" s="37" t="str">
        <f>IFERROR(IF(Agent10_Loans!B171="","",YEAR(Agent10_Loans!D171)),"")</f>
        <v/>
      </c>
    </row>
    <row r="1962" spans="1:13" ht="18" customHeight="1" x14ac:dyDescent="0.25">
      <c r="A1962" s="37" t="str">
        <f>IF(Agent10_Loans!B172="","",Agent10_Loans!A172)</f>
        <v/>
      </c>
      <c r="B1962" s="37" t="str">
        <f>IF(Agent10_Loans!B172="","",Agent10_Loans!B172)</f>
        <v/>
      </c>
      <c r="C1962" s="37" t="str">
        <f>IF(Agent10_Loans!B172="","",Agent10_Loans!C172)</f>
        <v/>
      </c>
      <c r="D1962" s="38" t="str">
        <f>IF(Agent10_Loans!B172="","",Agent10_Loans!D172)</f>
        <v/>
      </c>
      <c r="E1962" s="40" t="str">
        <f>IF(Agent10_Loans!B172="","",Agent10_Loans!E172)</f>
        <v/>
      </c>
      <c r="F1962" s="37" t="str">
        <f>IF(Agent10_Loans!B172="","",Agent10_Loans!F172)</f>
        <v/>
      </c>
      <c r="G1962" s="37" t="str">
        <f>IF(Agent10_Loans!B172="","",Agent10_Loans!G172)</f>
        <v/>
      </c>
      <c r="H1962" s="37" t="str">
        <f>IF(Agent10_Loans!B172="","",Agent10_Loans!H172)</f>
        <v/>
      </c>
      <c r="I1962" s="40" t="str">
        <f>IF(Agent10_Loans!B172="","",Agent10_Loans!I172)</f>
        <v/>
      </c>
      <c r="J1962" s="40" t="str">
        <f>IF(Agent10_Loans!B172="","",Agent10_Loans!J172)</f>
        <v/>
      </c>
      <c r="K1962" s="37" t="str">
        <f>IF(Agent10_Loans!B172="","",Agent10_Loans!K172)</f>
        <v/>
      </c>
      <c r="L1962" s="37" t="str">
        <f>IF(Agent10_Loans!B172="","",Agent10_Loans!L172)</f>
        <v/>
      </c>
      <c r="M1962" s="37" t="str">
        <f>IFERROR(IF(Agent10_Loans!B172="","",YEAR(Agent10_Loans!D172)),"")</f>
        <v/>
      </c>
    </row>
    <row r="1963" spans="1:13" ht="18" customHeight="1" x14ac:dyDescent="0.25">
      <c r="A1963" s="37" t="str">
        <f>IF(Agent10_Loans!B173="","",Agent10_Loans!A173)</f>
        <v/>
      </c>
      <c r="B1963" s="37" t="str">
        <f>IF(Agent10_Loans!B173="","",Agent10_Loans!B173)</f>
        <v/>
      </c>
      <c r="C1963" s="37" t="str">
        <f>IF(Agent10_Loans!B173="","",Agent10_Loans!C173)</f>
        <v/>
      </c>
      <c r="D1963" s="38" t="str">
        <f>IF(Agent10_Loans!B173="","",Agent10_Loans!D173)</f>
        <v/>
      </c>
      <c r="E1963" s="40" t="str">
        <f>IF(Agent10_Loans!B173="","",Agent10_Loans!E173)</f>
        <v/>
      </c>
      <c r="F1963" s="37" t="str">
        <f>IF(Agent10_Loans!B173="","",Agent10_Loans!F173)</f>
        <v/>
      </c>
      <c r="G1963" s="37" t="str">
        <f>IF(Agent10_Loans!B173="","",Agent10_Loans!G173)</f>
        <v/>
      </c>
      <c r="H1963" s="37" t="str">
        <f>IF(Agent10_Loans!B173="","",Agent10_Loans!H173)</f>
        <v/>
      </c>
      <c r="I1963" s="40" t="str">
        <f>IF(Agent10_Loans!B173="","",Agent10_Loans!I173)</f>
        <v/>
      </c>
      <c r="J1963" s="40" t="str">
        <f>IF(Agent10_Loans!B173="","",Agent10_Loans!J173)</f>
        <v/>
      </c>
      <c r="K1963" s="37" t="str">
        <f>IF(Agent10_Loans!B173="","",Agent10_Loans!K173)</f>
        <v/>
      </c>
      <c r="L1963" s="37" t="str">
        <f>IF(Agent10_Loans!B173="","",Agent10_Loans!L173)</f>
        <v/>
      </c>
      <c r="M1963" s="37" t="str">
        <f>IFERROR(IF(Agent10_Loans!B173="","",YEAR(Agent10_Loans!D173)),"")</f>
        <v/>
      </c>
    </row>
    <row r="1964" spans="1:13" ht="18" customHeight="1" x14ac:dyDescent="0.25">
      <c r="A1964" s="37" t="str">
        <f>IF(Agent10_Loans!B174="","",Agent10_Loans!A174)</f>
        <v/>
      </c>
      <c r="B1964" s="37" t="str">
        <f>IF(Agent10_Loans!B174="","",Agent10_Loans!B174)</f>
        <v/>
      </c>
      <c r="C1964" s="37" t="str">
        <f>IF(Agent10_Loans!B174="","",Agent10_Loans!C174)</f>
        <v/>
      </c>
      <c r="D1964" s="38" t="str">
        <f>IF(Agent10_Loans!B174="","",Agent10_Loans!D174)</f>
        <v/>
      </c>
      <c r="E1964" s="40" t="str">
        <f>IF(Agent10_Loans!B174="","",Agent10_Loans!E174)</f>
        <v/>
      </c>
      <c r="F1964" s="37" t="str">
        <f>IF(Agent10_Loans!B174="","",Agent10_Loans!F174)</f>
        <v/>
      </c>
      <c r="G1964" s="37" t="str">
        <f>IF(Agent10_Loans!B174="","",Agent10_Loans!G174)</f>
        <v/>
      </c>
      <c r="H1964" s="37" t="str">
        <f>IF(Agent10_Loans!B174="","",Agent10_Loans!H174)</f>
        <v/>
      </c>
      <c r="I1964" s="40" t="str">
        <f>IF(Agent10_Loans!B174="","",Agent10_Loans!I174)</f>
        <v/>
      </c>
      <c r="J1964" s="40" t="str">
        <f>IF(Agent10_Loans!B174="","",Agent10_Loans!J174)</f>
        <v/>
      </c>
      <c r="K1964" s="37" t="str">
        <f>IF(Agent10_Loans!B174="","",Agent10_Loans!K174)</f>
        <v/>
      </c>
      <c r="L1964" s="37" t="str">
        <f>IF(Agent10_Loans!B174="","",Agent10_Loans!L174)</f>
        <v/>
      </c>
      <c r="M1964" s="37" t="str">
        <f>IFERROR(IF(Agent10_Loans!B174="","",YEAR(Agent10_Loans!D174)),"")</f>
        <v/>
      </c>
    </row>
    <row r="1965" spans="1:13" ht="18" customHeight="1" x14ac:dyDescent="0.25">
      <c r="A1965" s="37" t="str">
        <f>IF(Agent10_Loans!B175="","",Agent10_Loans!A175)</f>
        <v/>
      </c>
      <c r="B1965" s="37" t="str">
        <f>IF(Agent10_Loans!B175="","",Agent10_Loans!B175)</f>
        <v/>
      </c>
      <c r="C1965" s="37" t="str">
        <f>IF(Agent10_Loans!B175="","",Agent10_Loans!C175)</f>
        <v/>
      </c>
      <c r="D1965" s="38" t="str">
        <f>IF(Agent10_Loans!B175="","",Agent10_Loans!D175)</f>
        <v/>
      </c>
      <c r="E1965" s="40" t="str">
        <f>IF(Agent10_Loans!B175="","",Agent10_Loans!E175)</f>
        <v/>
      </c>
      <c r="F1965" s="37" t="str">
        <f>IF(Agent10_Loans!B175="","",Agent10_Loans!F175)</f>
        <v/>
      </c>
      <c r="G1965" s="37" t="str">
        <f>IF(Agent10_Loans!B175="","",Agent10_Loans!G175)</f>
        <v/>
      </c>
      <c r="H1965" s="37" t="str">
        <f>IF(Agent10_Loans!B175="","",Agent10_Loans!H175)</f>
        <v/>
      </c>
      <c r="I1965" s="40" t="str">
        <f>IF(Agent10_Loans!B175="","",Agent10_Loans!I175)</f>
        <v/>
      </c>
      <c r="J1965" s="40" t="str">
        <f>IF(Agent10_Loans!B175="","",Agent10_Loans!J175)</f>
        <v/>
      </c>
      <c r="K1965" s="37" t="str">
        <f>IF(Agent10_Loans!B175="","",Agent10_Loans!K175)</f>
        <v/>
      </c>
      <c r="L1965" s="37" t="str">
        <f>IF(Agent10_Loans!B175="","",Agent10_Loans!L175)</f>
        <v/>
      </c>
      <c r="M1965" s="37" t="str">
        <f>IFERROR(IF(Agent10_Loans!B175="","",YEAR(Agent10_Loans!D175)),"")</f>
        <v/>
      </c>
    </row>
    <row r="1966" spans="1:13" ht="18" customHeight="1" x14ac:dyDescent="0.25">
      <c r="A1966" s="37" t="str">
        <f>IF(Agent10_Loans!B176="","",Agent10_Loans!A176)</f>
        <v/>
      </c>
      <c r="B1966" s="37" t="str">
        <f>IF(Agent10_Loans!B176="","",Agent10_Loans!B176)</f>
        <v/>
      </c>
      <c r="C1966" s="37" t="str">
        <f>IF(Agent10_Loans!B176="","",Agent10_Loans!C176)</f>
        <v/>
      </c>
      <c r="D1966" s="38" t="str">
        <f>IF(Agent10_Loans!B176="","",Agent10_Loans!D176)</f>
        <v/>
      </c>
      <c r="E1966" s="40" t="str">
        <f>IF(Agent10_Loans!B176="","",Agent10_Loans!E176)</f>
        <v/>
      </c>
      <c r="F1966" s="37" t="str">
        <f>IF(Agent10_Loans!B176="","",Agent10_Loans!F176)</f>
        <v/>
      </c>
      <c r="G1966" s="37" t="str">
        <f>IF(Agent10_Loans!B176="","",Agent10_Loans!G176)</f>
        <v/>
      </c>
      <c r="H1966" s="37" t="str">
        <f>IF(Agent10_Loans!B176="","",Agent10_Loans!H176)</f>
        <v/>
      </c>
      <c r="I1966" s="40" t="str">
        <f>IF(Agent10_Loans!B176="","",Agent10_Loans!I176)</f>
        <v/>
      </c>
      <c r="J1966" s="40" t="str">
        <f>IF(Agent10_Loans!B176="","",Agent10_Loans!J176)</f>
        <v/>
      </c>
      <c r="K1966" s="37" t="str">
        <f>IF(Agent10_Loans!B176="","",Agent10_Loans!K176)</f>
        <v/>
      </c>
      <c r="L1966" s="37" t="str">
        <f>IF(Agent10_Loans!B176="","",Agent10_Loans!L176)</f>
        <v/>
      </c>
      <c r="M1966" s="37" t="str">
        <f>IFERROR(IF(Agent10_Loans!B176="","",YEAR(Agent10_Loans!D176)),"")</f>
        <v/>
      </c>
    </row>
    <row r="1967" spans="1:13" ht="18" customHeight="1" x14ac:dyDescent="0.25">
      <c r="A1967" s="37" t="str">
        <f>IF(Agent10_Loans!B177="","",Agent10_Loans!A177)</f>
        <v/>
      </c>
      <c r="B1967" s="37" t="str">
        <f>IF(Agent10_Loans!B177="","",Agent10_Loans!B177)</f>
        <v/>
      </c>
      <c r="C1967" s="37" t="str">
        <f>IF(Agent10_Loans!B177="","",Agent10_Loans!C177)</f>
        <v/>
      </c>
      <c r="D1967" s="38" t="str">
        <f>IF(Agent10_Loans!B177="","",Agent10_Loans!D177)</f>
        <v/>
      </c>
      <c r="E1967" s="40" t="str">
        <f>IF(Agent10_Loans!B177="","",Agent10_Loans!E177)</f>
        <v/>
      </c>
      <c r="F1967" s="37" t="str">
        <f>IF(Agent10_Loans!B177="","",Agent10_Loans!F177)</f>
        <v/>
      </c>
      <c r="G1967" s="37" t="str">
        <f>IF(Agent10_Loans!B177="","",Agent10_Loans!G177)</f>
        <v/>
      </c>
      <c r="H1967" s="37" t="str">
        <f>IF(Agent10_Loans!B177="","",Agent10_Loans!H177)</f>
        <v/>
      </c>
      <c r="I1967" s="40" t="str">
        <f>IF(Agent10_Loans!B177="","",Agent10_Loans!I177)</f>
        <v/>
      </c>
      <c r="J1967" s="40" t="str">
        <f>IF(Agent10_Loans!B177="","",Agent10_Loans!J177)</f>
        <v/>
      </c>
      <c r="K1967" s="37" t="str">
        <f>IF(Agent10_Loans!B177="","",Agent10_Loans!K177)</f>
        <v/>
      </c>
      <c r="L1967" s="37" t="str">
        <f>IF(Agent10_Loans!B177="","",Agent10_Loans!L177)</f>
        <v/>
      </c>
      <c r="M1967" s="37" t="str">
        <f>IFERROR(IF(Agent10_Loans!B177="","",YEAR(Agent10_Loans!D177)),"")</f>
        <v/>
      </c>
    </row>
    <row r="1968" spans="1:13" ht="18" customHeight="1" x14ac:dyDescent="0.25">
      <c r="A1968" s="37" t="str">
        <f>IF(Agent10_Loans!B178="","",Agent10_Loans!A178)</f>
        <v/>
      </c>
      <c r="B1968" s="37" t="str">
        <f>IF(Agent10_Loans!B178="","",Agent10_Loans!B178)</f>
        <v/>
      </c>
      <c r="C1968" s="37" t="str">
        <f>IF(Agent10_Loans!B178="","",Agent10_Loans!C178)</f>
        <v/>
      </c>
      <c r="D1968" s="38" t="str">
        <f>IF(Agent10_Loans!B178="","",Agent10_Loans!D178)</f>
        <v/>
      </c>
      <c r="E1968" s="40" t="str">
        <f>IF(Agent10_Loans!B178="","",Agent10_Loans!E178)</f>
        <v/>
      </c>
      <c r="F1968" s="37" t="str">
        <f>IF(Agent10_Loans!B178="","",Agent10_Loans!F178)</f>
        <v/>
      </c>
      <c r="G1968" s="37" t="str">
        <f>IF(Agent10_Loans!B178="","",Agent10_Loans!G178)</f>
        <v/>
      </c>
      <c r="H1968" s="37" t="str">
        <f>IF(Agent10_Loans!B178="","",Agent10_Loans!H178)</f>
        <v/>
      </c>
      <c r="I1968" s="40" t="str">
        <f>IF(Agent10_Loans!B178="","",Agent10_Loans!I178)</f>
        <v/>
      </c>
      <c r="J1968" s="40" t="str">
        <f>IF(Agent10_Loans!B178="","",Agent10_Loans!J178)</f>
        <v/>
      </c>
      <c r="K1968" s="37" t="str">
        <f>IF(Agent10_Loans!B178="","",Agent10_Loans!K178)</f>
        <v/>
      </c>
      <c r="L1968" s="37" t="str">
        <f>IF(Agent10_Loans!B178="","",Agent10_Loans!L178)</f>
        <v/>
      </c>
      <c r="M1968" s="37" t="str">
        <f>IFERROR(IF(Agent10_Loans!B178="","",YEAR(Agent10_Loans!D178)),"")</f>
        <v/>
      </c>
    </row>
    <row r="1969" spans="1:13" ht="18" customHeight="1" x14ac:dyDescent="0.25">
      <c r="A1969" s="37" t="str">
        <f>IF(Agent10_Loans!B179="","",Agent10_Loans!A179)</f>
        <v/>
      </c>
      <c r="B1969" s="37" t="str">
        <f>IF(Agent10_Loans!B179="","",Agent10_Loans!B179)</f>
        <v/>
      </c>
      <c r="C1969" s="37" t="str">
        <f>IF(Agent10_Loans!B179="","",Agent10_Loans!C179)</f>
        <v/>
      </c>
      <c r="D1969" s="38" t="str">
        <f>IF(Agent10_Loans!B179="","",Agent10_Loans!D179)</f>
        <v/>
      </c>
      <c r="E1969" s="40" t="str">
        <f>IF(Agent10_Loans!B179="","",Agent10_Loans!E179)</f>
        <v/>
      </c>
      <c r="F1969" s="37" t="str">
        <f>IF(Agent10_Loans!B179="","",Agent10_Loans!F179)</f>
        <v/>
      </c>
      <c r="G1969" s="37" t="str">
        <f>IF(Agent10_Loans!B179="","",Agent10_Loans!G179)</f>
        <v/>
      </c>
      <c r="H1969" s="37" t="str">
        <f>IF(Agent10_Loans!B179="","",Agent10_Loans!H179)</f>
        <v/>
      </c>
      <c r="I1969" s="40" t="str">
        <f>IF(Agent10_Loans!B179="","",Agent10_Loans!I179)</f>
        <v/>
      </c>
      <c r="J1969" s="40" t="str">
        <f>IF(Agent10_Loans!B179="","",Agent10_Loans!J179)</f>
        <v/>
      </c>
      <c r="K1969" s="37" t="str">
        <f>IF(Agent10_Loans!B179="","",Agent10_Loans!K179)</f>
        <v/>
      </c>
      <c r="L1969" s="37" t="str">
        <f>IF(Agent10_Loans!B179="","",Agent10_Loans!L179)</f>
        <v/>
      </c>
      <c r="M1969" s="37" t="str">
        <f>IFERROR(IF(Agent10_Loans!B179="","",YEAR(Agent10_Loans!D179)),"")</f>
        <v/>
      </c>
    </row>
    <row r="1970" spans="1:13" ht="18" customHeight="1" x14ac:dyDescent="0.25">
      <c r="A1970" s="37" t="str">
        <f>IF(Agent10_Loans!B180="","",Agent10_Loans!A180)</f>
        <v/>
      </c>
      <c r="B1970" s="37" t="str">
        <f>IF(Agent10_Loans!B180="","",Agent10_Loans!B180)</f>
        <v/>
      </c>
      <c r="C1970" s="37" t="str">
        <f>IF(Agent10_Loans!B180="","",Agent10_Loans!C180)</f>
        <v/>
      </c>
      <c r="D1970" s="38" t="str">
        <f>IF(Agent10_Loans!B180="","",Agent10_Loans!D180)</f>
        <v/>
      </c>
      <c r="E1970" s="40" t="str">
        <f>IF(Agent10_Loans!B180="","",Agent10_Loans!E180)</f>
        <v/>
      </c>
      <c r="F1970" s="37" t="str">
        <f>IF(Agent10_Loans!B180="","",Agent10_Loans!F180)</f>
        <v/>
      </c>
      <c r="G1970" s="37" t="str">
        <f>IF(Agent10_Loans!B180="","",Agent10_Loans!G180)</f>
        <v/>
      </c>
      <c r="H1970" s="37" t="str">
        <f>IF(Agent10_Loans!B180="","",Agent10_Loans!H180)</f>
        <v/>
      </c>
      <c r="I1970" s="40" t="str">
        <f>IF(Agent10_Loans!B180="","",Agent10_Loans!I180)</f>
        <v/>
      </c>
      <c r="J1970" s="40" t="str">
        <f>IF(Agent10_Loans!B180="","",Agent10_Loans!J180)</f>
        <v/>
      </c>
      <c r="K1970" s="37" t="str">
        <f>IF(Agent10_Loans!B180="","",Agent10_Loans!K180)</f>
        <v/>
      </c>
      <c r="L1970" s="37" t="str">
        <f>IF(Agent10_Loans!B180="","",Agent10_Loans!L180)</f>
        <v/>
      </c>
      <c r="M1970" s="37" t="str">
        <f>IFERROR(IF(Agent10_Loans!B180="","",YEAR(Agent10_Loans!D180)),"")</f>
        <v/>
      </c>
    </row>
    <row r="1971" spans="1:13" ht="18" customHeight="1" x14ac:dyDescent="0.25">
      <c r="A1971" s="37" t="str">
        <f>IF(Agent10_Loans!B181="","",Agent10_Loans!A181)</f>
        <v/>
      </c>
      <c r="B1971" s="37" t="str">
        <f>IF(Agent10_Loans!B181="","",Agent10_Loans!B181)</f>
        <v/>
      </c>
      <c r="C1971" s="37" t="str">
        <f>IF(Agent10_Loans!B181="","",Agent10_Loans!C181)</f>
        <v/>
      </c>
      <c r="D1971" s="38" t="str">
        <f>IF(Agent10_Loans!B181="","",Agent10_Loans!D181)</f>
        <v/>
      </c>
      <c r="E1971" s="40" t="str">
        <f>IF(Agent10_Loans!B181="","",Agent10_Loans!E181)</f>
        <v/>
      </c>
      <c r="F1971" s="37" t="str">
        <f>IF(Agent10_Loans!B181="","",Agent10_Loans!F181)</f>
        <v/>
      </c>
      <c r="G1971" s="37" t="str">
        <f>IF(Agent10_Loans!B181="","",Agent10_Loans!G181)</f>
        <v/>
      </c>
      <c r="H1971" s="37" t="str">
        <f>IF(Agent10_Loans!B181="","",Agent10_Loans!H181)</f>
        <v/>
      </c>
      <c r="I1971" s="40" t="str">
        <f>IF(Agent10_Loans!B181="","",Agent10_Loans!I181)</f>
        <v/>
      </c>
      <c r="J1971" s="40" t="str">
        <f>IF(Agent10_Loans!B181="","",Agent10_Loans!J181)</f>
        <v/>
      </c>
      <c r="K1971" s="37" t="str">
        <f>IF(Agent10_Loans!B181="","",Agent10_Loans!K181)</f>
        <v/>
      </c>
      <c r="L1971" s="37" t="str">
        <f>IF(Agent10_Loans!B181="","",Agent10_Loans!L181)</f>
        <v/>
      </c>
      <c r="M1971" s="37" t="str">
        <f>IFERROR(IF(Agent10_Loans!B181="","",YEAR(Agent10_Loans!D181)),"")</f>
        <v/>
      </c>
    </row>
    <row r="1972" spans="1:13" ht="18" customHeight="1" x14ac:dyDescent="0.25">
      <c r="A1972" s="37" t="str">
        <f>IF(Agent10_Loans!B182="","",Agent10_Loans!A182)</f>
        <v/>
      </c>
      <c r="B1972" s="37" t="str">
        <f>IF(Agent10_Loans!B182="","",Agent10_Loans!B182)</f>
        <v/>
      </c>
      <c r="C1972" s="37" t="str">
        <f>IF(Agent10_Loans!B182="","",Agent10_Loans!C182)</f>
        <v/>
      </c>
      <c r="D1972" s="38" t="str">
        <f>IF(Agent10_Loans!B182="","",Agent10_Loans!D182)</f>
        <v/>
      </c>
      <c r="E1972" s="40" t="str">
        <f>IF(Agent10_Loans!B182="","",Agent10_Loans!E182)</f>
        <v/>
      </c>
      <c r="F1972" s="37" t="str">
        <f>IF(Agent10_Loans!B182="","",Agent10_Loans!F182)</f>
        <v/>
      </c>
      <c r="G1972" s="37" t="str">
        <f>IF(Agent10_Loans!B182="","",Agent10_Loans!G182)</f>
        <v/>
      </c>
      <c r="H1972" s="37" t="str">
        <f>IF(Agent10_Loans!B182="","",Agent10_Loans!H182)</f>
        <v/>
      </c>
      <c r="I1972" s="40" t="str">
        <f>IF(Agent10_Loans!B182="","",Agent10_Loans!I182)</f>
        <v/>
      </c>
      <c r="J1972" s="40" t="str">
        <f>IF(Agent10_Loans!B182="","",Agent10_Loans!J182)</f>
        <v/>
      </c>
      <c r="K1972" s="37" t="str">
        <f>IF(Agent10_Loans!B182="","",Agent10_Loans!K182)</f>
        <v/>
      </c>
      <c r="L1972" s="37" t="str">
        <f>IF(Agent10_Loans!B182="","",Agent10_Loans!L182)</f>
        <v/>
      </c>
      <c r="M1972" s="37" t="str">
        <f>IFERROR(IF(Agent10_Loans!B182="","",YEAR(Agent10_Loans!D182)),"")</f>
        <v/>
      </c>
    </row>
    <row r="1973" spans="1:13" ht="18" customHeight="1" x14ac:dyDescent="0.25">
      <c r="A1973" s="37" t="str">
        <f>IF(Agent10_Loans!B183="","",Agent10_Loans!A183)</f>
        <v/>
      </c>
      <c r="B1973" s="37" t="str">
        <f>IF(Agent10_Loans!B183="","",Agent10_Loans!B183)</f>
        <v/>
      </c>
      <c r="C1973" s="37" t="str">
        <f>IF(Agent10_Loans!B183="","",Agent10_Loans!C183)</f>
        <v/>
      </c>
      <c r="D1973" s="38" t="str">
        <f>IF(Agent10_Loans!B183="","",Agent10_Loans!D183)</f>
        <v/>
      </c>
      <c r="E1973" s="40" t="str">
        <f>IF(Agent10_Loans!B183="","",Agent10_Loans!E183)</f>
        <v/>
      </c>
      <c r="F1973" s="37" t="str">
        <f>IF(Agent10_Loans!B183="","",Agent10_Loans!F183)</f>
        <v/>
      </c>
      <c r="G1973" s="37" t="str">
        <f>IF(Agent10_Loans!B183="","",Agent10_Loans!G183)</f>
        <v/>
      </c>
      <c r="H1973" s="37" t="str">
        <f>IF(Agent10_Loans!B183="","",Agent10_Loans!H183)</f>
        <v/>
      </c>
      <c r="I1973" s="40" t="str">
        <f>IF(Agent10_Loans!B183="","",Agent10_Loans!I183)</f>
        <v/>
      </c>
      <c r="J1973" s="40" t="str">
        <f>IF(Agent10_Loans!B183="","",Agent10_Loans!J183)</f>
        <v/>
      </c>
      <c r="K1973" s="37" t="str">
        <f>IF(Agent10_Loans!B183="","",Agent10_Loans!K183)</f>
        <v/>
      </c>
      <c r="L1973" s="37" t="str">
        <f>IF(Agent10_Loans!B183="","",Agent10_Loans!L183)</f>
        <v/>
      </c>
      <c r="M1973" s="37" t="str">
        <f>IFERROR(IF(Agent10_Loans!B183="","",YEAR(Agent10_Loans!D183)),"")</f>
        <v/>
      </c>
    </row>
    <row r="1974" spans="1:13" ht="18" customHeight="1" x14ac:dyDescent="0.25">
      <c r="A1974" s="37" t="str">
        <f>IF(Agent10_Loans!B184="","",Agent10_Loans!A184)</f>
        <v/>
      </c>
      <c r="B1974" s="37" t="str">
        <f>IF(Agent10_Loans!B184="","",Agent10_Loans!B184)</f>
        <v/>
      </c>
      <c r="C1974" s="37" t="str">
        <f>IF(Agent10_Loans!B184="","",Agent10_Loans!C184)</f>
        <v/>
      </c>
      <c r="D1974" s="38" t="str">
        <f>IF(Agent10_Loans!B184="","",Agent10_Loans!D184)</f>
        <v/>
      </c>
      <c r="E1974" s="40" t="str">
        <f>IF(Agent10_Loans!B184="","",Agent10_Loans!E184)</f>
        <v/>
      </c>
      <c r="F1974" s="37" t="str">
        <f>IF(Agent10_Loans!B184="","",Agent10_Loans!F184)</f>
        <v/>
      </c>
      <c r="G1974" s="37" t="str">
        <f>IF(Agent10_Loans!B184="","",Agent10_Loans!G184)</f>
        <v/>
      </c>
      <c r="H1974" s="37" t="str">
        <f>IF(Agent10_Loans!B184="","",Agent10_Loans!H184)</f>
        <v/>
      </c>
      <c r="I1974" s="40" t="str">
        <f>IF(Agent10_Loans!B184="","",Agent10_Loans!I184)</f>
        <v/>
      </c>
      <c r="J1974" s="40" t="str">
        <f>IF(Agent10_Loans!B184="","",Agent10_Loans!J184)</f>
        <v/>
      </c>
      <c r="K1974" s="37" t="str">
        <f>IF(Agent10_Loans!B184="","",Agent10_Loans!K184)</f>
        <v/>
      </c>
      <c r="L1974" s="37" t="str">
        <f>IF(Agent10_Loans!B184="","",Agent10_Loans!L184)</f>
        <v/>
      </c>
      <c r="M1974" s="37" t="str">
        <f>IFERROR(IF(Agent10_Loans!B184="","",YEAR(Agent10_Loans!D184)),"")</f>
        <v/>
      </c>
    </row>
    <row r="1975" spans="1:13" ht="18" customHeight="1" x14ac:dyDescent="0.25">
      <c r="A1975" s="37" t="str">
        <f>IF(Agent10_Loans!B185="","",Agent10_Loans!A185)</f>
        <v/>
      </c>
      <c r="B1975" s="37" t="str">
        <f>IF(Agent10_Loans!B185="","",Agent10_Loans!B185)</f>
        <v/>
      </c>
      <c r="C1975" s="37" t="str">
        <f>IF(Agent10_Loans!B185="","",Agent10_Loans!C185)</f>
        <v/>
      </c>
      <c r="D1975" s="38" t="str">
        <f>IF(Agent10_Loans!B185="","",Agent10_Loans!D185)</f>
        <v/>
      </c>
      <c r="E1975" s="40" t="str">
        <f>IF(Agent10_Loans!B185="","",Agent10_Loans!E185)</f>
        <v/>
      </c>
      <c r="F1975" s="37" t="str">
        <f>IF(Agent10_Loans!B185="","",Agent10_Loans!F185)</f>
        <v/>
      </c>
      <c r="G1975" s="37" t="str">
        <f>IF(Agent10_Loans!B185="","",Agent10_Loans!G185)</f>
        <v/>
      </c>
      <c r="H1975" s="37" t="str">
        <f>IF(Agent10_Loans!B185="","",Agent10_Loans!H185)</f>
        <v/>
      </c>
      <c r="I1975" s="40" t="str">
        <f>IF(Agent10_Loans!B185="","",Agent10_Loans!I185)</f>
        <v/>
      </c>
      <c r="J1975" s="40" t="str">
        <f>IF(Agent10_Loans!B185="","",Agent10_Loans!J185)</f>
        <v/>
      </c>
      <c r="K1975" s="37" t="str">
        <f>IF(Agent10_Loans!B185="","",Agent10_Loans!K185)</f>
        <v/>
      </c>
      <c r="L1975" s="37" t="str">
        <f>IF(Agent10_Loans!B185="","",Agent10_Loans!L185)</f>
        <v/>
      </c>
      <c r="M1975" s="37" t="str">
        <f>IFERROR(IF(Agent10_Loans!B185="","",YEAR(Agent10_Loans!D185)),"")</f>
        <v/>
      </c>
    </row>
    <row r="1976" spans="1:13" ht="18" customHeight="1" x14ac:dyDescent="0.25">
      <c r="A1976" s="37" t="str">
        <f>IF(Agent10_Loans!B186="","",Agent10_Loans!A186)</f>
        <v/>
      </c>
      <c r="B1976" s="37" t="str">
        <f>IF(Agent10_Loans!B186="","",Agent10_Loans!B186)</f>
        <v/>
      </c>
      <c r="C1976" s="37" t="str">
        <f>IF(Agent10_Loans!B186="","",Agent10_Loans!C186)</f>
        <v/>
      </c>
      <c r="D1976" s="38" t="str">
        <f>IF(Agent10_Loans!B186="","",Agent10_Loans!D186)</f>
        <v/>
      </c>
      <c r="E1976" s="40" t="str">
        <f>IF(Agent10_Loans!B186="","",Agent10_Loans!E186)</f>
        <v/>
      </c>
      <c r="F1976" s="37" t="str">
        <f>IF(Agent10_Loans!B186="","",Agent10_Loans!F186)</f>
        <v/>
      </c>
      <c r="G1976" s="37" t="str">
        <f>IF(Agent10_Loans!B186="","",Agent10_Loans!G186)</f>
        <v/>
      </c>
      <c r="H1976" s="37" t="str">
        <f>IF(Agent10_Loans!B186="","",Agent10_Loans!H186)</f>
        <v/>
      </c>
      <c r="I1976" s="40" t="str">
        <f>IF(Agent10_Loans!B186="","",Agent10_Loans!I186)</f>
        <v/>
      </c>
      <c r="J1976" s="40" t="str">
        <f>IF(Agent10_Loans!B186="","",Agent10_Loans!J186)</f>
        <v/>
      </c>
      <c r="K1976" s="37" t="str">
        <f>IF(Agent10_Loans!B186="","",Agent10_Loans!K186)</f>
        <v/>
      </c>
      <c r="L1976" s="37" t="str">
        <f>IF(Agent10_Loans!B186="","",Agent10_Loans!L186)</f>
        <v/>
      </c>
      <c r="M1976" s="37" t="str">
        <f>IFERROR(IF(Agent10_Loans!B186="","",YEAR(Agent10_Loans!D186)),"")</f>
        <v/>
      </c>
    </row>
    <row r="1977" spans="1:13" ht="18" customHeight="1" x14ac:dyDescent="0.25">
      <c r="A1977" s="37" t="str">
        <f>IF(Agent10_Loans!B187="","",Agent10_Loans!A187)</f>
        <v/>
      </c>
      <c r="B1977" s="37" t="str">
        <f>IF(Agent10_Loans!B187="","",Agent10_Loans!B187)</f>
        <v/>
      </c>
      <c r="C1977" s="37" t="str">
        <f>IF(Agent10_Loans!B187="","",Agent10_Loans!C187)</f>
        <v/>
      </c>
      <c r="D1977" s="38" t="str">
        <f>IF(Agent10_Loans!B187="","",Agent10_Loans!D187)</f>
        <v/>
      </c>
      <c r="E1977" s="40" t="str">
        <f>IF(Agent10_Loans!B187="","",Agent10_Loans!E187)</f>
        <v/>
      </c>
      <c r="F1977" s="37" t="str">
        <f>IF(Agent10_Loans!B187="","",Agent10_Loans!F187)</f>
        <v/>
      </c>
      <c r="G1977" s="37" t="str">
        <f>IF(Agent10_Loans!B187="","",Agent10_Loans!G187)</f>
        <v/>
      </c>
      <c r="H1977" s="37" t="str">
        <f>IF(Agent10_Loans!B187="","",Agent10_Loans!H187)</f>
        <v/>
      </c>
      <c r="I1977" s="40" t="str">
        <f>IF(Agent10_Loans!B187="","",Agent10_Loans!I187)</f>
        <v/>
      </c>
      <c r="J1977" s="40" t="str">
        <f>IF(Agent10_Loans!B187="","",Agent10_Loans!J187)</f>
        <v/>
      </c>
      <c r="K1977" s="37" t="str">
        <f>IF(Agent10_Loans!B187="","",Agent10_Loans!K187)</f>
        <v/>
      </c>
      <c r="L1977" s="37" t="str">
        <f>IF(Agent10_Loans!B187="","",Agent10_Loans!L187)</f>
        <v/>
      </c>
      <c r="M1977" s="37" t="str">
        <f>IFERROR(IF(Agent10_Loans!B187="","",YEAR(Agent10_Loans!D187)),"")</f>
        <v/>
      </c>
    </row>
    <row r="1978" spans="1:13" ht="18" customHeight="1" x14ac:dyDescent="0.25">
      <c r="A1978" s="37" t="str">
        <f>IF(Agent10_Loans!B188="","",Agent10_Loans!A188)</f>
        <v/>
      </c>
      <c r="B1978" s="37" t="str">
        <f>IF(Agent10_Loans!B188="","",Agent10_Loans!B188)</f>
        <v/>
      </c>
      <c r="C1978" s="37" t="str">
        <f>IF(Agent10_Loans!B188="","",Agent10_Loans!C188)</f>
        <v/>
      </c>
      <c r="D1978" s="38" t="str">
        <f>IF(Agent10_Loans!B188="","",Agent10_Loans!D188)</f>
        <v/>
      </c>
      <c r="E1978" s="40" t="str">
        <f>IF(Agent10_Loans!B188="","",Agent10_Loans!E188)</f>
        <v/>
      </c>
      <c r="F1978" s="37" t="str">
        <f>IF(Agent10_Loans!B188="","",Agent10_Loans!F188)</f>
        <v/>
      </c>
      <c r="G1978" s="37" t="str">
        <f>IF(Agent10_Loans!B188="","",Agent10_Loans!G188)</f>
        <v/>
      </c>
      <c r="H1978" s="37" t="str">
        <f>IF(Agent10_Loans!B188="","",Agent10_Loans!H188)</f>
        <v/>
      </c>
      <c r="I1978" s="40" t="str">
        <f>IF(Agent10_Loans!B188="","",Agent10_Loans!I188)</f>
        <v/>
      </c>
      <c r="J1978" s="40" t="str">
        <f>IF(Agent10_Loans!B188="","",Agent10_Loans!J188)</f>
        <v/>
      </c>
      <c r="K1978" s="37" t="str">
        <f>IF(Agent10_Loans!B188="","",Agent10_Loans!K188)</f>
        <v/>
      </c>
      <c r="L1978" s="37" t="str">
        <f>IF(Agent10_Loans!B188="","",Agent10_Loans!L188)</f>
        <v/>
      </c>
      <c r="M1978" s="37" t="str">
        <f>IFERROR(IF(Agent10_Loans!B188="","",YEAR(Agent10_Loans!D188)),"")</f>
        <v/>
      </c>
    </row>
    <row r="1979" spans="1:13" ht="18" customHeight="1" x14ac:dyDescent="0.25">
      <c r="A1979" s="37" t="str">
        <f>IF(Agent10_Loans!B189="","",Agent10_Loans!A189)</f>
        <v/>
      </c>
      <c r="B1979" s="37" t="str">
        <f>IF(Agent10_Loans!B189="","",Agent10_Loans!B189)</f>
        <v/>
      </c>
      <c r="C1979" s="37" t="str">
        <f>IF(Agent10_Loans!B189="","",Agent10_Loans!C189)</f>
        <v/>
      </c>
      <c r="D1979" s="38" t="str">
        <f>IF(Agent10_Loans!B189="","",Agent10_Loans!D189)</f>
        <v/>
      </c>
      <c r="E1979" s="40" t="str">
        <f>IF(Agent10_Loans!B189="","",Agent10_Loans!E189)</f>
        <v/>
      </c>
      <c r="F1979" s="37" t="str">
        <f>IF(Agent10_Loans!B189="","",Agent10_Loans!F189)</f>
        <v/>
      </c>
      <c r="G1979" s="37" t="str">
        <f>IF(Agent10_Loans!B189="","",Agent10_Loans!G189)</f>
        <v/>
      </c>
      <c r="H1979" s="37" t="str">
        <f>IF(Agent10_Loans!B189="","",Agent10_Loans!H189)</f>
        <v/>
      </c>
      <c r="I1979" s="40" t="str">
        <f>IF(Agent10_Loans!B189="","",Agent10_Loans!I189)</f>
        <v/>
      </c>
      <c r="J1979" s="40" t="str">
        <f>IF(Agent10_Loans!B189="","",Agent10_Loans!J189)</f>
        <v/>
      </c>
      <c r="K1979" s="37" t="str">
        <f>IF(Agent10_Loans!B189="","",Agent10_Loans!K189)</f>
        <v/>
      </c>
      <c r="L1979" s="37" t="str">
        <f>IF(Agent10_Loans!B189="","",Agent10_Loans!L189)</f>
        <v/>
      </c>
      <c r="M1979" s="37" t="str">
        <f>IFERROR(IF(Agent10_Loans!B189="","",YEAR(Agent10_Loans!D189)),"")</f>
        <v/>
      </c>
    </row>
    <row r="1980" spans="1:13" ht="18" customHeight="1" x14ac:dyDescent="0.25">
      <c r="A1980" s="37" t="str">
        <f>IF(Agent10_Loans!B190="","",Agent10_Loans!A190)</f>
        <v/>
      </c>
      <c r="B1980" s="37" t="str">
        <f>IF(Agent10_Loans!B190="","",Agent10_Loans!B190)</f>
        <v/>
      </c>
      <c r="C1980" s="37" t="str">
        <f>IF(Agent10_Loans!B190="","",Agent10_Loans!C190)</f>
        <v/>
      </c>
      <c r="D1980" s="38" t="str">
        <f>IF(Agent10_Loans!B190="","",Agent10_Loans!D190)</f>
        <v/>
      </c>
      <c r="E1980" s="40" t="str">
        <f>IF(Agent10_Loans!B190="","",Agent10_Loans!E190)</f>
        <v/>
      </c>
      <c r="F1980" s="37" t="str">
        <f>IF(Agent10_Loans!B190="","",Agent10_Loans!F190)</f>
        <v/>
      </c>
      <c r="G1980" s="37" t="str">
        <f>IF(Agent10_Loans!B190="","",Agent10_Loans!G190)</f>
        <v/>
      </c>
      <c r="H1980" s="37" t="str">
        <f>IF(Agent10_Loans!B190="","",Agent10_Loans!H190)</f>
        <v/>
      </c>
      <c r="I1980" s="40" t="str">
        <f>IF(Agent10_Loans!B190="","",Agent10_Loans!I190)</f>
        <v/>
      </c>
      <c r="J1980" s="40" t="str">
        <f>IF(Agent10_Loans!B190="","",Agent10_Loans!J190)</f>
        <v/>
      </c>
      <c r="K1980" s="37" t="str">
        <f>IF(Agent10_Loans!B190="","",Agent10_Loans!K190)</f>
        <v/>
      </c>
      <c r="L1980" s="37" t="str">
        <f>IF(Agent10_Loans!B190="","",Agent10_Loans!L190)</f>
        <v/>
      </c>
      <c r="M1980" s="37" t="str">
        <f>IFERROR(IF(Agent10_Loans!B190="","",YEAR(Agent10_Loans!D190)),"")</f>
        <v/>
      </c>
    </row>
    <row r="1981" spans="1:13" ht="18" customHeight="1" x14ac:dyDescent="0.25">
      <c r="A1981" s="37" t="str">
        <f>IF(Agent10_Loans!B191="","",Agent10_Loans!A191)</f>
        <v/>
      </c>
      <c r="B1981" s="37" t="str">
        <f>IF(Agent10_Loans!B191="","",Agent10_Loans!B191)</f>
        <v/>
      </c>
      <c r="C1981" s="37" t="str">
        <f>IF(Agent10_Loans!B191="","",Agent10_Loans!C191)</f>
        <v/>
      </c>
      <c r="D1981" s="38" t="str">
        <f>IF(Agent10_Loans!B191="","",Agent10_Loans!D191)</f>
        <v/>
      </c>
      <c r="E1981" s="40" t="str">
        <f>IF(Agent10_Loans!B191="","",Agent10_Loans!E191)</f>
        <v/>
      </c>
      <c r="F1981" s="37" t="str">
        <f>IF(Agent10_Loans!B191="","",Agent10_Loans!F191)</f>
        <v/>
      </c>
      <c r="G1981" s="37" t="str">
        <f>IF(Agent10_Loans!B191="","",Agent10_Loans!G191)</f>
        <v/>
      </c>
      <c r="H1981" s="37" t="str">
        <f>IF(Agent10_Loans!B191="","",Agent10_Loans!H191)</f>
        <v/>
      </c>
      <c r="I1981" s="40" t="str">
        <f>IF(Agent10_Loans!B191="","",Agent10_Loans!I191)</f>
        <v/>
      </c>
      <c r="J1981" s="40" t="str">
        <f>IF(Agent10_Loans!B191="","",Agent10_Loans!J191)</f>
        <v/>
      </c>
      <c r="K1981" s="37" t="str">
        <f>IF(Agent10_Loans!B191="","",Agent10_Loans!K191)</f>
        <v/>
      </c>
      <c r="L1981" s="37" t="str">
        <f>IF(Agent10_Loans!B191="","",Agent10_Loans!L191)</f>
        <v/>
      </c>
      <c r="M1981" s="37" t="str">
        <f>IFERROR(IF(Agent10_Loans!B191="","",YEAR(Agent10_Loans!D191)),"")</f>
        <v/>
      </c>
    </row>
    <row r="1982" spans="1:13" ht="18" customHeight="1" x14ac:dyDescent="0.25">
      <c r="A1982" s="37" t="str">
        <f>IF(Agent10_Loans!B192="","",Agent10_Loans!A192)</f>
        <v/>
      </c>
      <c r="B1982" s="37" t="str">
        <f>IF(Agent10_Loans!B192="","",Agent10_Loans!B192)</f>
        <v/>
      </c>
      <c r="C1982" s="37" t="str">
        <f>IF(Agent10_Loans!B192="","",Agent10_Loans!C192)</f>
        <v/>
      </c>
      <c r="D1982" s="38" t="str">
        <f>IF(Agent10_Loans!B192="","",Agent10_Loans!D192)</f>
        <v/>
      </c>
      <c r="E1982" s="40" t="str">
        <f>IF(Agent10_Loans!B192="","",Agent10_Loans!E192)</f>
        <v/>
      </c>
      <c r="F1982" s="37" t="str">
        <f>IF(Agent10_Loans!B192="","",Agent10_Loans!F192)</f>
        <v/>
      </c>
      <c r="G1982" s="37" t="str">
        <f>IF(Agent10_Loans!B192="","",Agent10_Loans!G192)</f>
        <v/>
      </c>
      <c r="H1982" s="37" t="str">
        <f>IF(Agent10_Loans!B192="","",Agent10_Loans!H192)</f>
        <v/>
      </c>
      <c r="I1982" s="40" t="str">
        <f>IF(Agent10_Loans!B192="","",Agent10_Loans!I192)</f>
        <v/>
      </c>
      <c r="J1982" s="40" t="str">
        <f>IF(Agent10_Loans!B192="","",Agent10_Loans!J192)</f>
        <v/>
      </c>
      <c r="K1982" s="37" t="str">
        <f>IF(Agent10_Loans!B192="","",Agent10_Loans!K192)</f>
        <v/>
      </c>
      <c r="L1982" s="37" t="str">
        <f>IF(Agent10_Loans!B192="","",Agent10_Loans!L192)</f>
        <v/>
      </c>
      <c r="M1982" s="37" t="str">
        <f>IFERROR(IF(Agent10_Loans!B192="","",YEAR(Agent10_Loans!D192)),"")</f>
        <v/>
      </c>
    </row>
    <row r="1983" spans="1:13" ht="18" customHeight="1" x14ac:dyDescent="0.25">
      <c r="A1983" s="37" t="str">
        <f>IF(Agent10_Loans!B193="","",Agent10_Loans!A193)</f>
        <v/>
      </c>
      <c r="B1983" s="37" t="str">
        <f>IF(Agent10_Loans!B193="","",Agent10_Loans!B193)</f>
        <v/>
      </c>
      <c r="C1983" s="37" t="str">
        <f>IF(Agent10_Loans!B193="","",Agent10_Loans!C193)</f>
        <v/>
      </c>
      <c r="D1983" s="38" t="str">
        <f>IF(Agent10_Loans!B193="","",Agent10_Loans!D193)</f>
        <v/>
      </c>
      <c r="E1983" s="40" t="str">
        <f>IF(Agent10_Loans!B193="","",Agent10_Loans!E193)</f>
        <v/>
      </c>
      <c r="F1983" s="37" t="str">
        <f>IF(Agent10_Loans!B193="","",Agent10_Loans!F193)</f>
        <v/>
      </c>
      <c r="G1983" s="37" t="str">
        <f>IF(Agent10_Loans!B193="","",Agent10_Loans!G193)</f>
        <v/>
      </c>
      <c r="H1983" s="37" t="str">
        <f>IF(Agent10_Loans!B193="","",Agent10_Loans!H193)</f>
        <v/>
      </c>
      <c r="I1983" s="40" t="str">
        <f>IF(Agent10_Loans!B193="","",Agent10_Loans!I193)</f>
        <v/>
      </c>
      <c r="J1983" s="40" t="str">
        <f>IF(Agent10_Loans!B193="","",Agent10_Loans!J193)</f>
        <v/>
      </c>
      <c r="K1983" s="37" t="str">
        <f>IF(Agent10_Loans!B193="","",Agent10_Loans!K193)</f>
        <v/>
      </c>
      <c r="L1983" s="37" t="str">
        <f>IF(Agent10_Loans!B193="","",Agent10_Loans!L193)</f>
        <v/>
      </c>
      <c r="M1983" s="37" t="str">
        <f>IFERROR(IF(Agent10_Loans!B193="","",YEAR(Agent10_Loans!D193)),"")</f>
        <v/>
      </c>
    </row>
    <row r="1984" spans="1:13" ht="18" customHeight="1" x14ac:dyDescent="0.25">
      <c r="A1984" s="37" t="str">
        <f>IF(Agent10_Loans!B194="","",Agent10_Loans!A194)</f>
        <v/>
      </c>
      <c r="B1984" s="37" t="str">
        <f>IF(Agent10_Loans!B194="","",Agent10_Loans!B194)</f>
        <v/>
      </c>
      <c r="C1984" s="37" t="str">
        <f>IF(Agent10_Loans!B194="","",Agent10_Loans!C194)</f>
        <v/>
      </c>
      <c r="D1984" s="38" t="str">
        <f>IF(Agent10_Loans!B194="","",Agent10_Loans!D194)</f>
        <v/>
      </c>
      <c r="E1984" s="40" t="str">
        <f>IF(Agent10_Loans!B194="","",Agent10_Loans!E194)</f>
        <v/>
      </c>
      <c r="F1984" s="37" t="str">
        <f>IF(Agent10_Loans!B194="","",Agent10_Loans!F194)</f>
        <v/>
      </c>
      <c r="G1984" s="37" t="str">
        <f>IF(Agent10_Loans!B194="","",Agent10_Loans!G194)</f>
        <v/>
      </c>
      <c r="H1984" s="37" t="str">
        <f>IF(Agent10_Loans!B194="","",Agent10_Loans!H194)</f>
        <v/>
      </c>
      <c r="I1984" s="40" t="str">
        <f>IF(Agent10_Loans!B194="","",Agent10_Loans!I194)</f>
        <v/>
      </c>
      <c r="J1984" s="40" t="str">
        <f>IF(Agent10_Loans!B194="","",Agent10_Loans!J194)</f>
        <v/>
      </c>
      <c r="K1984" s="37" t="str">
        <f>IF(Agent10_Loans!B194="","",Agent10_Loans!K194)</f>
        <v/>
      </c>
      <c r="L1984" s="37" t="str">
        <f>IF(Agent10_Loans!B194="","",Agent10_Loans!L194)</f>
        <v/>
      </c>
      <c r="M1984" s="37" t="str">
        <f>IFERROR(IF(Agent10_Loans!B194="","",YEAR(Agent10_Loans!D194)),"")</f>
        <v/>
      </c>
    </row>
    <row r="1985" spans="1:13" ht="18" customHeight="1" x14ac:dyDescent="0.25">
      <c r="A1985" s="37" t="str">
        <f>IF(Agent10_Loans!B195="","",Agent10_Loans!A195)</f>
        <v/>
      </c>
      <c r="B1985" s="37" t="str">
        <f>IF(Agent10_Loans!B195="","",Agent10_Loans!B195)</f>
        <v/>
      </c>
      <c r="C1985" s="37" t="str">
        <f>IF(Agent10_Loans!B195="","",Agent10_Loans!C195)</f>
        <v/>
      </c>
      <c r="D1985" s="38" t="str">
        <f>IF(Agent10_Loans!B195="","",Agent10_Loans!D195)</f>
        <v/>
      </c>
      <c r="E1985" s="40" t="str">
        <f>IF(Agent10_Loans!B195="","",Agent10_Loans!E195)</f>
        <v/>
      </c>
      <c r="F1985" s="37" t="str">
        <f>IF(Agent10_Loans!B195="","",Agent10_Loans!F195)</f>
        <v/>
      </c>
      <c r="G1985" s="37" t="str">
        <f>IF(Agent10_Loans!B195="","",Agent10_Loans!G195)</f>
        <v/>
      </c>
      <c r="H1985" s="37" t="str">
        <f>IF(Agent10_Loans!B195="","",Agent10_Loans!H195)</f>
        <v/>
      </c>
      <c r="I1985" s="40" t="str">
        <f>IF(Agent10_Loans!B195="","",Agent10_Loans!I195)</f>
        <v/>
      </c>
      <c r="J1985" s="40" t="str">
        <f>IF(Agent10_Loans!B195="","",Agent10_Loans!J195)</f>
        <v/>
      </c>
      <c r="K1985" s="37" t="str">
        <f>IF(Agent10_Loans!B195="","",Agent10_Loans!K195)</f>
        <v/>
      </c>
      <c r="L1985" s="37" t="str">
        <f>IF(Agent10_Loans!B195="","",Agent10_Loans!L195)</f>
        <v/>
      </c>
      <c r="M1985" s="37" t="str">
        <f>IFERROR(IF(Agent10_Loans!B195="","",YEAR(Agent10_Loans!D195)),"")</f>
        <v/>
      </c>
    </row>
    <row r="1986" spans="1:13" ht="18" customHeight="1" x14ac:dyDescent="0.25">
      <c r="A1986" s="37" t="str">
        <f>IF(Agent10_Loans!B196="","",Agent10_Loans!A196)</f>
        <v/>
      </c>
      <c r="B1986" s="37" t="str">
        <f>IF(Agent10_Loans!B196="","",Agent10_Loans!B196)</f>
        <v/>
      </c>
      <c r="C1986" s="37" t="str">
        <f>IF(Agent10_Loans!B196="","",Agent10_Loans!C196)</f>
        <v/>
      </c>
      <c r="D1986" s="38" t="str">
        <f>IF(Agent10_Loans!B196="","",Agent10_Loans!D196)</f>
        <v/>
      </c>
      <c r="E1986" s="40" t="str">
        <f>IF(Agent10_Loans!B196="","",Agent10_Loans!E196)</f>
        <v/>
      </c>
      <c r="F1986" s="37" t="str">
        <f>IF(Agent10_Loans!B196="","",Agent10_Loans!F196)</f>
        <v/>
      </c>
      <c r="G1986" s="37" t="str">
        <f>IF(Agent10_Loans!B196="","",Agent10_Loans!G196)</f>
        <v/>
      </c>
      <c r="H1986" s="37" t="str">
        <f>IF(Agent10_Loans!B196="","",Agent10_Loans!H196)</f>
        <v/>
      </c>
      <c r="I1986" s="40" t="str">
        <f>IF(Agent10_Loans!B196="","",Agent10_Loans!I196)</f>
        <v/>
      </c>
      <c r="J1986" s="40" t="str">
        <f>IF(Agent10_Loans!B196="","",Agent10_Loans!J196)</f>
        <v/>
      </c>
      <c r="K1986" s="37" t="str">
        <f>IF(Agent10_Loans!B196="","",Agent10_Loans!K196)</f>
        <v/>
      </c>
      <c r="L1986" s="37" t="str">
        <f>IF(Agent10_Loans!B196="","",Agent10_Loans!L196)</f>
        <v/>
      </c>
      <c r="M1986" s="37" t="str">
        <f>IFERROR(IF(Agent10_Loans!B196="","",YEAR(Agent10_Loans!D196)),"")</f>
        <v/>
      </c>
    </row>
    <row r="1987" spans="1:13" ht="18" customHeight="1" x14ac:dyDescent="0.25">
      <c r="A1987" s="37" t="str">
        <f>IF(Agent10_Loans!B197="","",Agent10_Loans!A197)</f>
        <v/>
      </c>
      <c r="B1987" s="37" t="str">
        <f>IF(Agent10_Loans!B197="","",Agent10_Loans!B197)</f>
        <v/>
      </c>
      <c r="C1987" s="37" t="str">
        <f>IF(Agent10_Loans!B197="","",Agent10_Loans!C197)</f>
        <v/>
      </c>
      <c r="D1987" s="38" t="str">
        <f>IF(Agent10_Loans!B197="","",Agent10_Loans!D197)</f>
        <v/>
      </c>
      <c r="E1987" s="40" t="str">
        <f>IF(Agent10_Loans!B197="","",Agent10_Loans!E197)</f>
        <v/>
      </c>
      <c r="F1987" s="37" t="str">
        <f>IF(Agent10_Loans!B197="","",Agent10_Loans!F197)</f>
        <v/>
      </c>
      <c r="G1987" s="37" t="str">
        <f>IF(Agent10_Loans!B197="","",Agent10_Loans!G197)</f>
        <v/>
      </c>
      <c r="H1987" s="37" t="str">
        <f>IF(Agent10_Loans!B197="","",Agent10_Loans!H197)</f>
        <v/>
      </c>
      <c r="I1987" s="40" t="str">
        <f>IF(Agent10_Loans!B197="","",Agent10_Loans!I197)</f>
        <v/>
      </c>
      <c r="J1987" s="40" t="str">
        <f>IF(Agent10_Loans!B197="","",Agent10_Loans!J197)</f>
        <v/>
      </c>
      <c r="K1987" s="37" t="str">
        <f>IF(Agent10_Loans!B197="","",Agent10_Loans!K197)</f>
        <v/>
      </c>
      <c r="L1987" s="37" t="str">
        <f>IF(Agent10_Loans!B197="","",Agent10_Loans!L197)</f>
        <v/>
      </c>
      <c r="M1987" s="37" t="str">
        <f>IFERROR(IF(Agent10_Loans!B197="","",YEAR(Agent10_Loans!D197)),"")</f>
        <v/>
      </c>
    </row>
    <row r="1988" spans="1:13" ht="18" customHeight="1" x14ac:dyDescent="0.25">
      <c r="A1988" s="37" t="str">
        <f>IF(Agent10_Loans!B198="","",Agent10_Loans!A198)</f>
        <v/>
      </c>
      <c r="B1988" s="37" t="str">
        <f>IF(Agent10_Loans!B198="","",Agent10_Loans!B198)</f>
        <v/>
      </c>
      <c r="C1988" s="37" t="str">
        <f>IF(Agent10_Loans!B198="","",Agent10_Loans!C198)</f>
        <v/>
      </c>
      <c r="D1988" s="38" t="str">
        <f>IF(Agent10_Loans!B198="","",Agent10_Loans!D198)</f>
        <v/>
      </c>
      <c r="E1988" s="40" t="str">
        <f>IF(Agent10_Loans!B198="","",Agent10_Loans!E198)</f>
        <v/>
      </c>
      <c r="F1988" s="37" t="str">
        <f>IF(Agent10_Loans!B198="","",Agent10_Loans!F198)</f>
        <v/>
      </c>
      <c r="G1988" s="37" t="str">
        <f>IF(Agent10_Loans!B198="","",Agent10_Loans!G198)</f>
        <v/>
      </c>
      <c r="H1988" s="37" t="str">
        <f>IF(Agent10_Loans!B198="","",Agent10_Loans!H198)</f>
        <v/>
      </c>
      <c r="I1988" s="40" t="str">
        <f>IF(Agent10_Loans!B198="","",Agent10_Loans!I198)</f>
        <v/>
      </c>
      <c r="J1988" s="40" t="str">
        <f>IF(Agent10_Loans!B198="","",Agent10_Loans!J198)</f>
        <v/>
      </c>
      <c r="K1988" s="37" t="str">
        <f>IF(Agent10_Loans!B198="","",Agent10_Loans!K198)</f>
        <v/>
      </c>
      <c r="L1988" s="37" t="str">
        <f>IF(Agent10_Loans!B198="","",Agent10_Loans!L198)</f>
        <v/>
      </c>
      <c r="M1988" s="37" t="str">
        <f>IFERROR(IF(Agent10_Loans!B198="","",YEAR(Agent10_Loans!D198)),"")</f>
        <v/>
      </c>
    </row>
    <row r="1989" spans="1:13" ht="18" customHeight="1" x14ac:dyDescent="0.25">
      <c r="A1989" s="37" t="str">
        <f>IF(Agent10_Loans!B199="","",Agent10_Loans!A199)</f>
        <v/>
      </c>
      <c r="B1989" s="37" t="str">
        <f>IF(Agent10_Loans!B199="","",Agent10_Loans!B199)</f>
        <v/>
      </c>
      <c r="C1989" s="37" t="str">
        <f>IF(Agent10_Loans!B199="","",Agent10_Loans!C199)</f>
        <v/>
      </c>
      <c r="D1989" s="38" t="str">
        <f>IF(Agent10_Loans!B199="","",Agent10_Loans!D199)</f>
        <v/>
      </c>
      <c r="E1989" s="40" t="str">
        <f>IF(Agent10_Loans!B199="","",Agent10_Loans!E199)</f>
        <v/>
      </c>
      <c r="F1989" s="37" t="str">
        <f>IF(Agent10_Loans!B199="","",Agent10_Loans!F199)</f>
        <v/>
      </c>
      <c r="G1989" s="37" t="str">
        <f>IF(Agent10_Loans!B199="","",Agent10_Loans!G199)</f>
        <v/>
      </c>
      <c r="H1989" s="37" t="str">
        <f>IF(Agent10_Loans!B199="","",Agent10_Loans!H199)</f>
        <v/>
      </c>
      <c r="I1989" s="40" t="str">
        <f>IF(Agent10_Loans!B199="","",Agent10_Loans!I199)</f>
        <v/>
      </c>
      <c r="J1989" s="40" t="str">
        <f>IF(Agent10_Loans!B199="","",Agent10_Loans!J199)</f>
        <v/>
      </c>
      <c r="K1989" s="37" t="str">
        <f>IF(Agent10_Loans!B199="","",Agent10_Loans!K199)</f>
        <v/>
      </c>
      <c r="L1989" s="37" t="str">
        <f>IF(Agent10_Loans!B199="","",Agent10_Loans!L199)</f>
        <v/>
      </c>
      <c r="M1989" s="37" t="str">
        <f>IFERROR(IF(Agent10_Loans!B199="","",YEAR(Agent10_Loans!D199)),"")</f>
        <v/>
      </c>
    </row>
    <row r="1990" spans="1:13" ht="18" customHeight="1" x14ac:dyDescent="0.25">
      <c r="A1990" s="37" t="str">
        <f>IF(Agent10_Loans!B200="","",Agent10_Loans!A200)</f>
        <v/>
      </c>
      <c r="B1990" s="37" t="str">
        <f>IF(Agent10_Loans!B200="","",Agent10_Loans!B200)</f>
        <v/>
      </c>
      <c r="C1990" s="37" t="str">
        <f>IF(Agent10_Loans!B200="","",Agent10_Loans!C200)</f>
        <v/>
      </c>
      <c r="D1990" s="38" t="str">
        <f>IF(Agent10_Loans!B200="","",Agent10_Loans!D200)</f>
        <v/>
      </c>
      <c r="E1990" s="40" t="str">
        <f>IF(Agent10_Loans!B200="","",Agent10_Loans!E200)</f>
        <v/>
      </c>
      <c r="F1990" s="37" t="str">
        <f>IF(Agent10_Loans!B200="","",Agent10_Loans!F200)</f>
        <v/>
      </c>
      <c r="G1990" s="37" t="str">
        <f>IF(Agent10_Loans!B200="","",Agent10_Loans!G200)</f>
        <v/>
      </c>
      <c r="H1990" s="37" t="str">
        <f>IF(Agent10_Loans!B200="","",Agent10_Loans!H200)</f>
        <v/>
      </c>
      <c r="I1990" s="40" t="str">
        <f>IF(Agent10_Loans!B200="","",Agent10_Loans!I200)</f>
        <v/>
      </c>
      <c r="J1990" s="40" t="str">
        <f>IF(Agent10_Loans!B200="","",Agent10_Loans!J200)</f>
        <v/>
      </c>
      <c r="K1990" s="37" t="str">
        <f>IF(Agent10_Loans!B200="","",Agent10_Loans!K200)</f>
        <v/>
      </c>
      <c r="L1990" s="37" t="str">
        <f>IF(Agent10_Loans!B200="","",Agent10_Loans!L200)</f>
        <v/>
      </c>
      <c r="M1990" s="37" t="str">
        <f>IFERROR(IF(Agent10_Loans!B200="","",YEAR(Agent10_Loans!D200)),"")</f>
        <v/>
      </c>
    </row>
    <row r="1991" spans="1:13" ht="18" customHeight="1" x14ac:dyDescent="0.25">
      <c r="A1991" s="37" t="str">
        <f>IF(Agent10_Loans!B201="","",Agent10_Loans!A201)</f>
        <v/>
      </c>
      <c r="B1991" s="37" t="str">
        <f>IF(Agent10_Loans!B201="","",Agent10_Loans!B201)</f>
        <v/>
      </c>
      <c r="C1991" s="37" t="str">
        <f>IF(Agent10_Loans!B201="","",Agent10_Loans!C201)</f>
        <v/>
      </c>
      <c r="D1991" s="38" t="str">
        <f>IF(Agent10_Loans!B201="","",Agent10_Loans!D201)</f>
        <v/>
      </c>
      <c r="E1991" s="40" t="str">
        <f>IF(Agent10_Loans!B201="","",Agent10_Loans!E201)</f>
        <v/>
      </c>
      <c r="F1991" s="37" t="str">
        <f>IF(Agent10_Loans!B201="","",Agent10_Loans!F201)</f>
        <v/>
      </c>
      <c r="G1991" s="37" t="str">
        <f>IF(Agent10_Loans!B201="","",Agent10_Loans!G201)</f>
        <v/>
      </c>
      <c r="H1991" s="37" t="str">
        <f>IF(Agent10_Loans!B201="","",Agent10_Loans!H201)</f>
        <v/>
      </c>
      <c r="I1991" s="40" t="str">
        <f>IF(Agent10_Loans!B201="","",Agent10_Loans!I201)</f>
        <v/>
      </c>
      <c r="J1991" s="40" t="str">
        <f>IF(Agent10_Loans!B201="","",Agent10_Loans!J201)</f>
        <v/>
      </c>
      <c r="K1991" s="37" t="str">
        <f>IF(Agent10_Loans!B201="","",Agent10_Loans!K201)</f>
        <v/>
      </c>
      <c r="L1991" s="37" t="str">
        <f>IF(Agent10_Loans!B201="","",Agent10_Loans!L201)</f>
        <v/>
      </c>
      <c r="M1991" s="37" t="str">
        <f>IFERROR(IF(Agent10_Loans!B201="","",YEAR(Agent10_Loans!D201)),"")</f>
        <v/>
      </c>
    </row>
    <row r="1992" spans="1:13" ht="18" customHeight="1" x14ac:dyDescent="0.25">
      <c r="A1992" s="37" t="str">
        <f>IF(Agent10_Loans!B202="","",Agent10_Loans!A202)</f>
        <v/>
      </c>
      <c r="B1992" s="37" t="str">
        <f>IF(Agent10_Loans!B202="","",Agent10_Loans!B202)</f>
        <v/>
      </c>
      <c r="C1992" s="37" t="str">
        <f>IF(Agent10_Loans!B202="","",Agent10_Loans!C202)</f>
        <v/>
      </c>
      <c r="D1992" s="38" t="str">
        <f>IF(Agent10_Loans!B202="","",Agent10_Loans!D202)</f>
        <v/>
      </c>
      <c r="E1992" s="40" t="str">
        <f>IF(Agent10_Loans!B202="","",Agent10_Loans!E202)</f>
        <v/>
      </c>
      <c r="F1992" s="37" t="str">
        <f>IF(Agent10_Loans!B202="","",Agent10_Loans!F202)</f>
        <v/>
      </c>
      <c r="G1992" s="37" t="str">
        <f>IF(Agent10_Loans!B202="","",Agent10_Loans!G202)</f>
        <v/>
      </c>
      <c r="H1992" s="37" t="str">
        <f>IF(Agent10_Loans!B202="","",Agent10_Loans!H202)</f>
        <v/>
      </c>
      <c r="I1992" s="40" t="str">
        <f>IF(Agent10_Loans!B202="","",Agent10_Loans!I202)</f>
        <v/>
      </c>
      <c r="J1992" s="40" t="str">
        <f>IF(Agent10_Loans!B202="","",Agent10_Loans!J202)</f>
        <v/>
      </c>
      <c r="K1992" s="37" t="str">
        <f>IF(Agent10_Loans!B202="","",Agent10_Loans!K202)</f>
        <v/>
      </c>
      <c r="L1992" s="37" t="str">
        <f>IF(Agent10_Loans!B202="","",Agent10_Loans!L202)</f>
        <v/>
      </c>
      <c r="M1992" s="37" t="str">
        <f>IFERROR(IF(Agent10_Loans!B202="","",YEAR(Agent10_Loans!D202)),"")</f>
        <v/>
      </c>
    </row>
    <row r="1993" spans="1:13" ht="18" customHeight="1" x14ac:dyDescent="0.25">
      <c r="A1993" s="37" t="str">
        <f>IF(Agent10_Loans!B203="","",Agent10_Loans!A203)</f>
        <v/>
      </c>
      <c r="B1993" s="37" t="str">
        <f>IF(Agent10_Loans!B203="","",Agent10_Loans!B203)</f>
        <v/>
      </c>
      <c r="C1993" s="37" t="str">
        <f>IF(Agent10_Loans!B203="","",Agent10_Loans!C203)</f>
        <v/>
      </c>
      <c r="D1993" s="38" t="str">
        <f>IF(Agent10_Loans!B203="","",Agent10_Loans!D203)</f>
        <v/>
      </c>
      <c r="E1993" s="40" t="str">
        <f>IF(Agent10_Loans!B203="","",Agent10_Loans!E203)</f>
        <v/>
      </c>
      <c r="F1993" s="37" t="str">
        <f>IF(Agent10_Loans!B203="","",Agent10_Loans!F203)</f>
        <v/>
      </c>
      <c r="G1993" s="37" t="str">
        <f>IF(Agent10_Loans!B203="","",Agent10_Loans!G203)</f>
        <v/>
      </c>
      <c r="H1993" s="37" t="str">
        <f>IF(Agent10_Loans!B203="","",Agent10_Loans!H203)</f>
        <v/>
      </c>
      <c r="I1993" s="40" t="str">
        <f>IF(Agent10_Loans!B203="","",Agent10_Loans!I203)</f>
        <v/>
      </c>
      <c r="J1993" s="40" t="str">
        <f>IF(Agent10_Loans!B203="","",Agent10_Loans!J203)</f>
        <v/>
      </c>
      <c r="K1993" s="37" t="str">
        <f>IF(Agent10_Loans!B203="","",Agent10_Loans!K203)</f>
        <v/>
      </c>
      <c r="L1993" s="37" t="str">
        <f>IF(Agent10_Loans!B203="","",Agent10_Loans!L203)</f>
        <v/>
      </c>
      <c r="M1993" s="37" t="str">
        <f>IFERROR(IF(Agent10_Loans!B203="","",YEAR(Agent10_Loans!D203)),"")</f>
        <v/>
      </c>
    </row>
    <row r="1994" spans="1:13" ht="18" customHeight="1" x14ac:dyDescent="0.25">
      <c r="A1994" s="37" t="str">
        <f>IF(Agent10_Loans!B204="","",Agent10_Loans!A204)</f>
        <v/>
      </c>
      <c r="B1994" s="37" t="str">
        <f>IF(Agent10_Loans!B204="","",Agent10_Loans!B204)</f>
        <v/>
      </c>
      <c r="C1994" s="37" t="str">
        <f>IF(Agent10_Loans!B204="","",Agent10_Loans!C204)</f>
        <v/>
      </c>
      <c r="D1994" s="38" t="str">
        <f>IF(Agent10_Loans!B204="","",Agent10_Loans!D204)</f>
        <v/>
      </c>
      <c r="E1994" s="40" t="str">
        <f>IF(Agent10_Loans!B204="","",Agent10_Loans!E204)</f>
        <v/>
      </c>
      <c r="F1994" s="37" t="str">
        <f>IF(Agent10_Loans!B204="","",Agent10_Loans!F204)</f>
        <v/>
      </c>
      <c r="G1994" s="37" t="str">
        <f>IF(Agent10_Loans!B204="","",Agent10_Loans!G204)</f>
        <v/>
      </c>
      <c r="H1994" s="37" t="str">
        <f>IF(Agent10_Loans!B204="","",Agent10_Loans!H204)</f>
        <v/>
      </c>
      <c r="I1994" s="40" t="str">
        <f>IF(Agent10_Loans!B204="","",Agent10_Loans!I204)</f>
        <v/>
      </c>
      <c r="J1994" s="40" t="str">
        <f>IF(Agent10_Loans!B204="","",Agent10_Loans!J204)</f>
        <v/>
      </c>
      <c r="K1994" s="37" t="str">
        <f>IF(Agent10_Loans!B204="","",Agent10_Loans!K204)</f>
        <v/>
      </c>
      <c r="L1994" s="37" t="str">
        <f>IF(Agent10_Loans!B204="","",Agent10_Loans!L204)</f>
        <v/>
      </c>
      <c r="M1994" s="37" t="str">
        <f>IFERROR(IF(Agent10_Loans!B204="","",YEAR(Agent10_Loans!D204)),"")</f>
        <v/>
      </c>
    </row>
    <row r="1995" spans="1:13" ht="18" customHeight="1" x14ac:dyDescent="0.25">
      <c r="A1995" s="37" t="str">
        <f>IF(Agent10_Loans!B205="","",Agent10_Loans!A205)</f>
        <v/>
      </c>
      <c r="B1995" s="37" t="str">
        <f>IF(Agent10_Loans!B205="","",Agent10_Loans!B205)</f>
        <v/>
      </c>
      <c r="C1995" s="37" t="str">
        <f>IF(Agent10_Loans!B205="","",Agent10_Loans!C205)</f>
        <v/>
      </c>
      <c r="D1995" s="38" t="str">
        <f>IF(Agent10_Loans!B205="","",Agent10_Loans!D205)</f>
        <v/>
      </c>
      <c r="E1995" s="40" t="str">
        <f>IF(Agent10_Loans!B205="","",Agent10_Loans!E205)</f>
        <v/>
      </c>
      <c r="F1995" s="37" t="str">
        <f>IF(Agent10_Loans!B205="","",Agent10_Loans!F205)</f>
        <v/>
      </c>
      <c r="G1995" s="37" t="str">
        <f>IF(Agent10_Loans!B205="","",Agent10_Loans!G205)</f>
        <v/>
      </c>
      <c r="H1995" s="37" t="str">
        <f>IF(Agent10_Loans!B205="","",Agent10_Loans!H205)</f>
        <v/>
      </c>
      <c r="I1995" s="40" t="str">
        <f>IF(Agent10_Loans!B205="","",Agent10_Loans!I205)</f>
        <v/>
      </c>
      <c r="J1995" s="40" t="str">
        <f>IF(Agent10_Loans!B205="","",Agent10_Loans!J205)</f>
        <v/>
      </c>
      <c r="K1995" s="37" t="str">
        <f>IF(Agent10_Loans!B205="","",Agent10_Loans!K205)</f>
        <v/>
      </c>
      <c r="L1995" s="37" t="str">
        <f>IF(Agent10_Loans!B205="","",Agent10_Loans!L205)</f>
        <v/>
      </c>
      <c r="M1995" s="37" t="str">
        <f>IFERROR(IF(Agent10_Loans!B205="","",YEAR(Agent10_Loans!D205)),"")</f>
        <v/>
      </c>
    </row>
    <row r="1996" spans="1:13" ht="18" customHeight="1" x14ac:dyDescent="0.25">
      <c r="A1996" s="37" t="str">
        <f>IF(Agent10_Loans!B206="","",Agent10_Loans!A206)</f>
        <v/>
      </c>
      <c r="B1996" s="37" t="str">
        <f>IF(Agent10_Loans!B206="","",Agent10_Loans!B206)</f>
        <v/>
      </c>
      <c r="C1996" s="37" t="str">
        <f>IF(Agent10_Loans!B206="","",Agent10_Loans!C206)</f>
        <v/>
      </c>
      <c r="D1996" s="38" t="str">
        <f>IF(Agent10_Loans!B206="","",Agent10_Loans!D206)</f>
        <v/>
      </c>
      <c r="E1996" s="40" t="str">
        <f>IF(Agent10_Loans!B206="","",Agent10_Loans!E206)</f>
        <v/>
      </c>
      <c r="F1996" s="37" t="str">
        <f>IF(Agent10_Loans!B206="","",Agent10_Loans!F206)</f>
        <v/>
      </c>
      <c r="G1996" s="37" t="str">
        <f>IF(Agent10_Loans!B206="","",Agent10_Loans!G206)</f>
        <v/>
      </c>
      <c r="H1996" s="37" t="str">
        <f>IF(Agent10_Loans!B206="","",Agent10_Loans!H206)</f>
        <v/>
      </c>
      <c r="I1996" s="40" t="str">
        <f>IF(Agent10_Loans!B206="","",Agent10_Loans!I206)</f>
        <v/>
      </c>
      <c r="J1996" s="40" t="str">
        <f>IF(Agent10_Loans!B206="","",Agent10_Loans!J206)</f>
        <v/>
      </c>
      <c r="K1996" s="37" t="str">
        <f>IF(Agent10_Loans!B206="","",Agent10_Loans!K206)</f>
        <v/>
      </c>
      <c r="L1996" s="37" t="str">
        <f>IF(Agent10_Loans!B206="","",Agent10_Loans!L206)</f>
        <v/>
      </c>
      <c r="M1996" s="37" t="str">
        <f>IFERROR(IF(Agent10_Loans!B206="","",YEAR(Agent10_Loans!D206)),"")</f>
        <v/>
      </c>
    </row>
    <row r="1997" spans="1:13" ht="18" customHeight="1" x14ac:dyDescent="0.25">
      <c r="A1997" s="37" t="str">
        <f>IF(Agent10_Loans!B207="","",Agent10_Loans!A207)</f>
        <v/>
      </c>
      <c r="B1997" s="37" t="str">
        <f>IF(Agent10_Loans!B207="","",Agent10_Loans!B207)</f>
        <v/>
      </c>
      <c r="C1997" s="37" t="str">
        <f>IF(Agent10_Loans!B207="","",Agent10_Loans!C207)</f>
        <v/>
      </c>
      <c r="D1997" s="38" t="str">
        <f>IF(Agent10_Loans!B207="","",Agent10_Loans!D207)</f>
        <v/>
      </c>
      <c r="E1997" s="40" t="str">
        <f>IF(Agent10_Loans!B207="","",Agent10_Loans!E207)</f>
        <v/>
      </c>
      <c r="F1997" s="37" t="str">
        <f>IF(Agent10_Loans!B207="","",Agent10_Loans!F207)</f>
        <v/>
      </c>
      <c r="G1997" s="37" t="str">
        <f>IF(Agent10_Loans!B207="","",Agent10_Loans!G207)</f>
        <v/>
      </c>
      <c r="H1997" s="37" t="str">
        <f>IF(Agent10_Loans!B207="","",Agent10_Loans!H207)</f>
        <v/>
      </c>
      <c r="I1997" s="40" t="str">
        <f>IF(Agent10_Loans!B207="","",Agent10_Loans!I207)</f>
        <v/>
      </c>
      <c r="J1997" s="40" t="str">
        <f>IF(Agent10_Loans!B207="","",Agent10_Loans!J207)</f>
        <v/>
      </c>
      <c r="K1997" s="37" t="str">
        <f>IF(Agent10_Loans!B207="","",Agent10_Loans!K207)</f>
        <v/>
      </c>
      <c r="L1997" s="37" t="str">
        <f>IF(Agent10_Loans!B207="","",Agent10_Loans!L207)</f>
        <v/>
      </c>
      <c r="M1997" s="37" t="str">
        <f>IFERROR(IF(Agent10_Loans!B207="","",YEAR(Agent10_Loans!D207)),"")</f>
        <v/>
      </c>
    </row>
    <row r="1998" spans="1:13" ht="18" customHeight="1" x14ac:dyDescent="0.25">
      <c r="A1998" s="37" t="str">
        <f>IF(Agent10_Loans!B208="","",Agent10_Loans!A208)</f>
        <v/>
      </c>
      <c r="B1998" s="37" t="str">
        <f>IF(Agent10_Loans!B208="","",Agent10_Loans!B208)</f>
        <v/>
      </c>
      <c r="C1998" s="37" t="str">
        <f>IF(Agent10_Loans!B208="","",Agent10_Loans!C208)</f>
        <v/>
      </c>
      <c r="D1998" s="38" t="str">
        <f>IF(Agent10_Loans!B208="","",Agent10_Loans!D208)</f>
        <v/>
      </c>
      <c r="E1998" s="40" t="str">
        <f>IF(Agent10_Loans!B208="","",Agent10_Loans!E208)</f>
        <v/>
      </c>
      <c r="F1998" s="37" t="str">
        <f>IF(Agent10_Loans!B208="","",Agent10_Loans!F208)</f>
        <v/>
      </c>
      <c r="G1998" s="37" t="str">
        <f>IF(Agent10_Loans!B208="","",Agent10_Loans!G208)</f>
        <v/>
      </c>
      <c r="H1998" s="37" t="str">
        <f>IF(Agent10_Loans!B208="","",Agent10_Loans!H208)</f>
        <v/>
      </c>
      <c r="I1998" s="40" t="str">
        <f>IF(Agent10_Loans!B208="","",Agent10_Loans!I208)</f>
        <v/>
      </c>
      <c r="J1998" s="40" t="str">
        <f>IF(Agent10_Loans!B208="","",Agent10_Loans!J208)</f>
        <v/>
      </c>
      <c r="K1998" s="37" t="str">
        <f>IF(Agent10_Loans!B208="","",Agent10_Loans!K208)</f>
        <v/>
      </c>
      <c r="L1998" s="37" t="str">
        <f>IF(Agent10_Loans!B208="","",Agent10_Loans!L208)</f>
        <v/>
      </c>
      <c r="M1998" s="37" t="str">
        <f>IFERROR(IF(Agent10_Loans!B208="","",YEAR(Agent10_Loans!D208)),"")</f>
        <v/>
      </c>
    </row>
    <row r="1999" spans="1:13" ht="18" customHeight="1" x14ac:dyDescent="0.25">
      <c r="A1999" s="37" t="str">
        <f>IF(Agent10_Loans!B209="","",Agent10_Loans!A209)</f>
        <v/>
      </c>
      <c r="B1999" s="37" t="str">
        <f>IF(Agent10_Loans!B209="","",Agent10_Loans!B209)</f>
        <v/>
      </c>
      <c r="C1999" s="37" t="str">
        <f>IF(Agent10_Loans!B209="","",Agent10_Loans!C209)</f>
        <v/>
      </c>
      <c r="D1999" s="38" t="str">
        <f>IF(Agent10_Loans!B209="","",Agent10_Loans!D209)</f>
        <v/>
      </c>
      <c r="E1999" s="40" t="str">
        <f>IF(Agent10_Loans!B209="","",Agent10_Loans!E209)</f>
        <v/>
      </c>
      <c r="F1999" s="37" t="str">
        <f>IF(Agent10_Loans!B209="","",Agent10_Loans!F209)</f>
        <v/>
      </c>
      <c r="G1999" s="37" t="str">
        <f>IF(Agent10_Loans!B209="","",Agent10_Loans!G209)</f>
        <v/>
      </c>
      <c r="H1999" s="37" t="str">
        <f>IF(Agent10_Loans!B209="","",Agent10_Loans!H209)</f>
        <v/>
      </c>
      <c r="I1999" s="40" t="str">
        <f>IF(Agent10_Loans!B209="","",Agent10_Loans!I209)</f>
        <v/>
      </c>
      <c r="J1999" s="40" t="str">
        <f>IF(Agent10_Loans!B209="","",Agent10_Loans!J209)</f>
        <v/>
      </c>
      <c r="K1999" s="37" t="str">
        <f>IF(Agent10_Loans!B209="","",Agent10_Loans!K209)</f>
        <v/>
      </c>
      <c r="L1999" s="37" t="str">
        <f>IF(Agent10_Loans!B209="","",Agent10_Loans!L209)</f>
        <v/>
      </c>
      <c r="M1999" s="37" t="str">
        <f>IFERROR(IF(Agent10_Loans!B209="","",YEAR(Agent10_Loans!D209)),"")</f>
        <v/>
      </c>
    </row>
    <row r="2000" spans="1:13" ht="18" customHeight="1" x14ac:dyDescent="0.25">
      <c r="A2000" s="37" t="str">
        <f>IF(Agent10_Loans!B210="","",Agent10_Loans!A210)</f>
        <v/>
      </c>
      <c r="B2000" s="37" t="str">
        <f>IF(Agent10_Loans!B210="","",Agent10_Loans!B210)</f>
        <v/>
      </c>
      <c r="C2000" s="37" t="str">
        <f>IF(Agent10_Loans!B210="","",Agent10_Loans!C210)</f>
        <v/>
      </c>
      <c r="D2000" s="38" t="str">
        <f>IF(Agent10_Loans!B210="","",Agent10_Loans!D210)</f>
        <v/>
      </c>
      <c r="E2000" s="40" t="str">
        <f>IF(Agent10_Loans!B210="","",Agent10_Loans!E210)</f>
        <v/>
      </c>
      <c r="F2000" s="37" t="str">
        <f>IF(Agent10_Loans!B210="","",Agent10_Loans!F210)</f>
        <v/>
      </c>
      <c r="G2000" s="37" t="str">
        <f>IF(Agent10_Loans!B210="","",Agent10_Loans!G210)</f>
        <v/>
      </c>
      <c r="H2000" s="37" t="str">
        <f>IF(Agent10_Loans!B210="","",Agent10_Loans!H210)</f>
        <v/>
      </c>
      <c r="I2000" s="40" t="str">
        <f>IF(Agent10_Loans!B210="","",Agent10_Loans!I210)</f>
        <v/>
      </c>
      <c r="J2000" s="40" t="str">
        <f>IF(Agent10_Loans!B210="","",Agent10_Loans!J210)</f>
        <v/>
      </c>
      <c r="K2000" s="37" t="str">
        <f>IF(Agent10_Loans!B210="","",Agent10_Loans!K210)</f>
        <v/>
      </c>
      <c r="L2000" s="37" t="str">
        <f>IF(Agent10_Loans!B210="","",Agent10_Loans!L210)</f>
        <v/>
      </c>
      <c r="M2000" s="37" t="str">
        <f>IFERROR(IF(Agent10_Loans!B210="","",YEAR(Agent10_Loans!D210)),"")</f>
        <v/>
      </c>
    </row>
    <row r="2001" spans="1:13" ht="18" customHeight="1" x14ac:dyDescent="0.25">
      <c r="A2001" s="37" t="str">
        <f>IF(Agent10_Loans!B211="","",Agent10_Loans!A211)</f>
        <v/>
      </c>
      <c r="B2001" s="37" t="str">
        <f>IF(Agent10_Loans!B211="","",Agent10_Loans!B211)</f>
        <v/>
      </c>
      <c r="C2001" s="37" t="str">
        <f>IF(Agent10_Loans!B211="","",Agent10_Loans!C211)</f>
        <v/>
      </c>
      <c r="D2001" s="38" t="str">
        <f>IF(Agent10_Loans!B211="","",Agent10_Loans!D211)</f>
        <v/>
      </c>
      <c r="E2001" s="40" t="str">
        <f>IF(Agent10_Loans!B211="","",Agent10_Loans!E211)</f>
        <v/>
      </c>
      <c r="F2001" s="37" t="str">
        <f>IF(Agent10_Loans!B211="","",Agent10_Loans!F211)</f>
        <v/>
      </c>
      <c r="G2001" s="37" t="str">
        <f>IF(Agent10_Loans!B211="","",Agent10_Loans!G211)</f>
        <v/>
      </c>
      <c r="H2001" s="37" t="str">
        <f>IF(Agent10_Loans!B211="","",Agent10_Loans!H211)</f>
        <v/>
      </c>
      <c r="I2001" s="40" t="str">
        <f>IF(Agent10_Loans!B211="","",Agent10_Loans!I211)</f>
        <v/>
      </c>
      <c r="J2001" s="40" t="str">
        <f>IF(Agent10_Loans!B211="","",Agent10_Loans!J211)</f>
        <v/>
      </c>
      <c r="K2001" s="37" t="str">
        <f>IF(Agent10_Loans!B211="","",Agent10_Loans!K211)</f>
        <v/>
      </c>
      <c r="L2001" s="37" t="str">
        <f>IF(Agent10_Loans!B211="","",Agent10_Loans!L211)</f>
        <v/>
      </c>
      <c r="M2001" s="37" t="str">
        <f>IFERROR(IF(Agent10_Loans!B211="","",YEAR(Agent10_Loans!D211)),"")</f>
        <v/>
      </c>
    </row>
    <row r="2002" spans="1:13" ht="18" customHeight="1" x14ac:dyDescent="0.25">
      <c r="A2002" s="37" t="str">
        <f>IF(Agent10_Loans!B212="","",Agent10_Loans!A212)</f>
        <v/>
      </c>
      <c r="B2002" s="37" t="str">
        <f>IF(Agent10_Loans!B212="","",Agent10_Loans!B212)</f>
        <v/>
      </c>
      <c r="C2002" s="37" t="str">
        <f>IF(Agent10_Loans!B212="","",Agent10_Loans!C212)</f>
        <v/>
      </c>
      <c r="D2002" s="38" t="str">
        <f>IF(Agent10_Loans!B212="","",Agent10_Loans!D212)</f>
        <v/>
      </c>
      <c r="E2002" s="40" t="str">
        <f>IF(Agent10_Loans!B212="","",Agent10_Loans!E212)</f>
        <v/>
      </c>
      <c r="F2002" s="37" t="str">
        <f>IF(Agent10_Loans!B212="","",Agent10_Loans!F212)</f>
        <v/>
      </c>
      <c r="G2002" s="37" t="str">
        <f>IF(Agent10_Loans!B212="","",Agent10_Loans!G212)</f>
        <v/>
      </c>
      <c r="H2002" s="37" t="str">
        <f>IF(Agent10_Loans!B212="","",Agent10_Loans!H212)</f>
        <v/>
      </c>
      <c r="I2002" s="40" t="str">
        <f>IF(Agent10_Loans!B212="","",Agent10_Loans!I212)</f>
        <v/>
      </c>
      <c r="J2002" s="40" t="str">
        <f>IF(Agent10_Loans!B212="","",Agent10_Loans!J212)</f>
        <v/>
      </c>
      <c r="K2002" s="37" t="str">
        <f>IF(Agent10_Loans!B212="","",Agent10_Loans!K212)</f>
        <v/>
      </c>
      <c r="L2002" s="37" t="str">
        <f>IF(Agent10_Loans!B212="","",Agent10_Loans!L212)</f>
        <v/>
      </c>
      <c r="M2002" s="37" t="str">
        <f>IFERROR(IF(Agent10_Loans!B212="","",YEAR(Agent10_Loans!D212)),"")</f>
        <v/>
      </c>
    </row>
    <row r="2003" spans="1:13" ht="18" customHeight="1" x14ac:dyDescent="0.25">
      <c r="A2003" s="37" t="str">
        <f>IF(Agent10_Loans!B213="","",Agent10_Loans!A213)</f>
        <v/>
      </c>
      <c r="B2003" s="37" t="str">
        <f>IF(Agent10_Loans!B213="","",Agent10_Loans!B213)</f>
        <v/>
      </c>
      <c r="C2003" s="37" t="str">
        <f>IF(Agent10_Loans!B213="","",Agent10_Loans!C213)</f>
        <v/>
      </c>
      <c r="D2003" s="38" t="str">
        <f>IF(Agent10_Loans!B213="","",Agent10_Loans!D213)</f>
        <v/>
      </c>
      <c r="E2003" s="40" t="str">
        <f>IF(Agent10_Loans!B213="","",Agent10_Loans!E213)</f>
        <v/>
      </c>
      <c r="F2003" s="37" t="str">
        <f>IF(Agent10_Loans!B213="","",Agent10_Loans!F213)</f>
        <v/>
      </c>
      <c r="G2003" s="37" t="str">
        <f>IF(Agent10_Loans!B213="","",Agent10_Loans!G213)</f>
        <v/>
      </c>
      <c r="H2003" s="37" t="str">
        <f>IF(Agent10_Loans!B213="","",Agent10_Loans!H213)</f>
        <v/>
      </c>
      <c r="I2003" s="40" t="str">
        <f>IF(Agent10_Loans!B213="","",Agent10_Loans!I213)</f>
        <v/>
      </c>
      <c r="J2003" s="40" t="str">
        <f>IF(Agent10_Loans!B213="","",Agent10_Loans!J213)</f>
        <v/>
      </c>
      <c r="K2003" s="37" t="str">
        <f>IF(Agent10_Loans!B213="","",Agent10_Loans!K213)</f>
        <v/>
      </c>
      <c r="L2003" s="37" t="str">
        <f>IF(Agent10_Loans!B213="","",Agent10_Loans!L213)</f>
        <v/>
      </c>
      <c r="M2003" s="37" t="str">
        <f>IFERROR(IF(Agent10_Loans!B213="","",YEAR(Agent10_Loans!D213)),"")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J504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  <col min="2" max="2" width="18" customWidth="1"/>
    <col min="3" max="3" width="26" customWidth="1"/>
    <col min="4" max="4" width="22" customWidth="1"/>
    <col min="5" max="5" width="24" customWidth="1"/>
    <col min="6" max="6" width="16" customWidth="1"/>
    <col min="7" max="9" width="28" customWidth="1"/>
    <col min="10" max="10" width="14" customWidth="1"/>
  </cols>
  <sheetData>
    <row r="1" spans="1:10" ht="33.950000000000003" customHeight="1" x14ac:dyDescent="0.25">
      <c r="A1" s="96" t="s">
        <v>114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21.95" customHeight="1" x14ac:dyDescent="0.25">
      <c r="A2" s="98" t="s">
        <v>115</v>
      </c>
      <c r="B2" s="71"/>
      <c r="C2" s="71"/>
      <c r="D2" s="71"/>
      <c r="E2" s="71"/>
      <c r="F2" s="71"/>
      <c r="G2" s="71"/>
      <c r="H2" s="71"/>
      <c r="I2" s="71"/>
      <c r="J2" s="71"/>
    </row>
    <row r="3" spans="1:10" ht="20.100000000000001" customHeight="1" x14ac:dyDescent="0.25">
      <c r="A3" s="97" t="s">
        <v>116</v>
      </c>
      <c r="B3" s="71"/>
      <c r="C3" s="71"/>
      <c r="D3" s="71"/>
      <c r="E3" s="71"/>
      <c r="F3" s="71"/>
      <c r="G3" s="71"/>
      <c r="H3" s="71"/>
      <c r="I3" s="71"/>
      <c r="J3" s="71"/>
    </row>
    <row r="4" spans="1:10" ht="30" customHeight="1" x14ac:dyDescent="0.25">
      <c r="A4" s="19" t="s">
        <v>117</v>
      </c>
      <c r="B4" s="19" t="s">
        <v>118</v>
      </c>
      <c r="C4" s="19" t="s">
        <v>69</v>
      </c>
      <c r="D4" s="19" t="s">
        <v>119</v>
      </c>
      <c r="E4" s="19" t="s">
        <v>120</v>
      </c>
      <c r="F4" s="19" t="s">
        <v>91</v>
      </c>
      <c r="G4" s="19" t="s">
        <v>121</v>
      </c>
      <c r="H4" s="19" t="s">
        <v>122</v>
      </c>
      <c r="I4" s="19" t="s">
        <v>123</v>
      </c>
      <c r="J4" s="19" t="s">
        <v>45</v>
      </c>
    </row>
    <row r="5" spans="1:10" ht="20.100000000000001" customHeight="1" x14ac:dyDescent="0.25">
      <c r="A5" s="30" t="str">
        <f t="shared" ref="A5:A68" si="0">IF(B5="","","TU"&amp;TEXT(ROW()-4,"0000"))</f>
        <v/>
      </c>
      <c r="B5" s="41"/>
      <c r="C5" s="35" t="str">
        <f>IFERROR(IF(B5="","",VLOOKUP(B5,DB_Customers!$A:$B,2,0)),"")</f>
        <v/>
      </c>
      <c r="D5" s="41"/>
      <c r="E5" s="32"/>
      <c r="F5" s="42" t="str">
        <f t="shared" ref="F5:F68" ca="1" si="1">IF(B5="","",TODAY())</f>
        <v/>
      </c>
      <c r="G5" s="31"/>
      <c r="H5" s="43" t="str">
        <f>IFERROR(IF(OR(B5="",E5=""),"",SUMIF(DB_Loans!$B:$B,B5,DB_Loans!$E:$E)+E5),"")</f>
        <v/>
      </c>
      <c r="I5" s="43" t="str">
        <f>IFERROR(IF(OR(B5="",E5=""),"",SUMIF(DB_Loans!$B:$B,B5,DB_Loans!$J:$J)+(E5*0.025)),"")</f>
        <v/>
      </c>
      <c r="J5" s="31"/>
    </row>
    <row r="6" spans="1:10" ht="20.100000000000001" customHeight="1" x14ac:dyDescent="0.25">
      <c r="A6" s="30" t="str">
        <f t="shared" si="0"/>
        <v/>
      </c>
      <c r="B6" s="41"/>
      <c r="C6" s="35" t="str">
        <f>IFERROR(IF(B6="","",VLOOKUP(B6,DB_Customers!$A:$B,2,0)),"")</f>
        <v/>
      </c>
      <c r="D6" s="41"/>
      <c r="E6" s="32"/>
      <c r="F6" s="42" t="str">
        <f t="shared" ca="1" si="1"/>
        <v/>
      </c>
      <c r="G6" s="31"/>
      <c r="H6" s="43" t="str">
        <f>IFERROR(IF(OR(B6="",E6=""),"",SUMIF(DB_Loans!$B:$B,B6,DB_Loans!$E:$E)+E6),"")</f>
        <v/>
      </c>
      <c r="I6" s="43" t="str">
        <f>IFERROR(IF(OR(B6="",E6=""),"",SUMIF(DB_Loans!$B:$B,B6,DB_Loans!$J:$J)+(E6*0.025)),"")</f>
        <v/>
      </c>
      <c r="J6" s="31"/>
    </row>
    <row r="7" spans="1:10" ht="20.100000000000001" customHeight="1" x14ac:dyDescent="0.25">
      <c r="A7" s="30" t="str">
        <f t="shared" si="0"/>
        <v/>
      </c>
      <c r="B7" s="41"/>
      <c r="C7" s="35" t="str">
        <f>IFERROR(IF(B7="","",VLOOKUP(B7,DB_Customers!$A:$B,2,0)),"")</f>
        <v/>
      </c>
      <c r="D7" s="41"/>
      <c r="E7" s="32"/>
      <c r="F7" s="42" t="str">
        <f t="shared" ca="1" si="1"/>
        <v/>
      </c>
      <c r="G7" s="31"/>
      <c r="H7" s="43" t="str">
        <f>IFERROR(IF(OR(B7="",E7=""),"",SUMIF(DB_Loans!$B:$B,B7,DB_Loans!$E:$E)+E7),"")</f>
        <v/>
      </c>
      <c r="I7" s="43" t="str">
        <f>IFERROR(IF(OR(B7="",E7=""),"",SUMIF(DB_Loans!$B:$B,B7,DB_Loans!$J:$J)+(E7*0.025)),"")</f>
        <v/>
      </c>
      <c r="J7" s="31"/>
    </row>
    <row r="8" spans="1:10" ht="20.100000000000001" customHeight="1" x14ac:dyDescent="0.25">
      <c r="A8" s="30" t="str">
        <f t="shared" si="0"/>
        <v/>
      </c>
      <c r="B8" s="41"/>
      <c r="C8" s="35" t="str">
        <f>IFERROR(IF(B8="","",VLOOKUP(B8,DB_Customers!$A:$B,2,0)),"")</f>
        <v/>
      </c>
      <c r="D8" s="41"/>
      <c r="E8" s="32"/>
      <c r="F8" s="42" t="str">
        <f t="shared" ca="1" si="1"/>
        <v/>
      </c>
      <c r="G8" s="31"/>
      <c r="H8" s="43" t="str">
        <f>IFERROR(IF(OR(B8="",E8=""),"",SUMIF(DB_Loans!$B:$B,B8,DB_Loans!$E:$E)+E8),"")</f>
        <v/>
      </c>
      <c r="I8" s="43" t="str">
        <f>IFERROR(IF(OR(B8="",E8=""),"",SUMIF(DB_Loans!$B:$B,B8,DB_Loans!$J:$J)+(E8*0.025)),"")</f>
        <v/>
      </c>
      <c r="J8" s="31"/>
    </row>
    <row r="9" spans="1:10" ht="20.100000000000001" customHeight="1" x14ac:dyDescent="0.25">
      <c r="A9" s="30" t="str">
        <f t="shared" si="0"/>
        <v/>
      </c>
      <c r="B9" s="41"/>
      <c r="C9" s="35" t="str">
        <f>IFERROR(IF(B9="","",VLOOKUP(B9,DB_Customers!$A:$B,2,0)),"")</f>
        <v/>
      </c>
      <c r="D9" s="41"/>
      <c r="E9" s="32"/>
      <c r="F9" s="42" t="str">
        <f t="shared" ca="1" si="1"/>
        <v/>
      </c>
      <c r="G9" s="31"/>
      <c r="H9" s="43" t="str">
        <f>IFERROR(IF(OR(B9="",E9=""),"",SUMIF(DB_Loans!$B:$B,B9,DB_Loans!$E:$E)+E9),"")</f>
        <v/>
      </c>
      <c r="I9" s="43" t="str">
        <f>IFERROR(IF(OR(B9="",E9=""),"",SUMIF(DB_Loans!$B:$B,B9,DB_Loans!$J:$J)+(E9*0.025)),"")</f>
        <v/>
      </c>
      <c r="J9" s="31"/>
    </row>
    <row r="10" spans="1:10" ht="20.100000000000001" customHeight="1" x14ac:dyDescent="0.25">
      <c r="A10" s="30" t="str">
        <f t="shared" si="0"/>
        <v/>
      </c>
      <c r="B10" s="41"/>
      <c r="C10" s="35" t="str">
        <f>IFERROR(IF(B10="","",VLOOKUP(B10,DB_Customers!$A:$B,2,0)),"")</f>
        <v/>
      </c>
      <c r="D10" s="41"/>
      <c r="E10" s="32"/>
      <c r="F10" s="42" t="str">
        <f t="shared" ca="1" si="1"/>
        <v/>
      </c>
      <c r="G10" s="31"/>
      <c r="H10" s="43" t="str">
        <f>IFERROR(IF(OR(B10="",E10=""),"",SUMIF(DB_Loans!$B:$B,B10,DB_Loans!$E:$E)+E10),"")</f>
        <v/>
      </c>
      <c r="I10" s="43" t="str">
        <f>IFERROR(IF(OR(B10="",E10=""),"",SUMIF(DB_Loans!$B:$B,B10,DB_Loans!$J:$J)+(E10*0.025)),"")</f>
        <v/>
      </c>
      <c r="J10" s="31"/>
    </row>
    <row r="11" spans="1:10" ht="20.100000000000001" customHeight="1" x14ac:dyDescent="0.25">
      <c r="A11" s="30" t="str">
        <f t="shared" si="0"/>
        <v/>
      </c>
      <c r="B11" s="41"/>
      <c r="C11" s="35" t="str">
        <f>IFERROR(IF(B11="","",VLOOKUP(B11,DB_Customers!$A:$B,2,0)),"")</f>
        <v/>
      </c>
      <c r="D11" s="41"/>
      <c r="E11" s="32"/>
      <c r="F11" s="42" t="str">
        <f t="shared" ca="1" si="1"/>
        <v/>
      </c>
      <c r="G11" s="31"/>
      <c r="H11" s="43" t="str">
        <f>IFERROR(IF(OR(B11="",E11=""),"",SUMIF(DB_Loans!$B:$B,B11,DB_Loans!$E:$E)+E11),"")</f>
        <v/>
      </c>
      <c r="I11" s="43" t="str">
        <f>IFERROR(IF(OR(B11="",E11=""),"",SUMIF(DB_Loans!$B:$B,B11,DB_Loans!$J:$J)+(E11*0.025)),"")</f>
        <v/>
      </c>
      <c r="J11" s="31"/>
    </row>
    <row r="12" spans="1:10" ht="20.100000000000001" customHeight="1" x14ac:dyDescent="0.25">
      <c r="A12" s="30" t="str">
        <f t="shared" si="0"/>
        <v/>
      </c>
      <c r="B12" s="41"/>
      <c r="C12" s="35" t="str">
        <f>IFERROR(IF(B12="","",VLOOKUP(B12,DB_Customers!$A:$B,2,0)),"")</f>
        <v/>
      </c>
      <c r="D12" s="41"/>
      <c r="E12" s="32"/>
      <c r="F12" s="42" t="str">
        <f t="shared" ca="1" si="1"/>
        <v/>
      </c>
      <c r="G12" s="31"/>
      <c r="H12" s="43" t="str">
        <f>IFERROR(IF(OR(B12="",E12=""),"",SUMIF(DB_Loans!$B:$B,B12,DB_Loans!$E:$E)+E12),"")</f>
        <v/>
      </c>
      <c r="I12" s="43" t="str">
        <f>IFERROR(IF(OR(B12="",E12=""),"",SUMIF(DB_Loans!$B:$B,B12,DB_Loans!$J:$J)+(E12*0.025)),"")</f>
        <v/>
      </c>
      <c r="J12" s="31"/>
    </row>
    <row r="13" spans="1:10" ht="20.100000000000001" customHeight="1" x14ac:dyDescent="0.25">
      <c r="A13" s="30" t="str">
        <f t="shared" si="0"/>
        <v/>
      </c>
      <c r="B13" s="41"/>
      <c r="C13" s="35" t="str">
        <f>IFERROR(IF(B13="","",VLOOKUP(B13,DB_Customers!$A:$B,2,0)),"")</f>
        <v/>
      </c>
      <c r="D13" s="41"/>
      <c r="E13" s="32"/>
      <c r="F13" s="42" t="str">
        <f t="shared" ca="1" si="1"/>
        <v/>
      </c>
      <c r="G13" s="31"/>
      <c r="H13" s="43" t="str">
        <f>IFERROR(IF(OR(B13="",E13=""),"",SUMIF(DB_Loans!$B:$B,B13,DB_Loans!$E:$E)+E13),"")</f>
        <v/>
      </c>
      <c r="I13" s="43" t="str">
        <f>IFERROR(IF(OR(B13="",E13=""),"",SUMIF(DB_Loans!$B:$B,B13,DB_Loans!$J:$J)+(E13*0.025)),"")</f>
        <v/>
      </c>
      <c r="J13" s="31"/>
    </row>
    <row r="14" spans="1:10" ht="20.100000000000001" customHeight="1" x14ac:dyDescent="0.25">
      <c r="A14" s="30" t="str">
        <f t="shared" si="0"/>
        <v/>
      </c>
      <c r="B14" s="41"/>
      <c r="C14" s="35" t="str">
        <f>IFERROR(IF(B14="","",VLOOKUP(B14,DB_Customers!$A:$B,2,0)),"")</f>
        <v/>
      </c>
      <c r="D14" s="41"/>
      <c r="E14" s="32"/>
      <c r="F14" s="42" t="str">
        <f t="shared" ca="1" si="1"/>
        <v/>
      </c>
      <c r="G14" s="31"/>
      <c r="H14" s="43" t="str">
        <f>IFERROR(IF(OR(B14="",E14=""),"",SUMIF(DB_Loans!$B:$B,B14,DB_Loans!$E:$E)+E14),"")</f>
        <v/>
      </c>
      <c r="I14" s="43" t="str">
        <f>IFERROR(IF(OR(B14="",E14=""),"",SUMIF(DB_Loans!$B:$B,B14,DB_Loans!$J:$J)+(E14*0.025)),"")</f>
        <v/>
      </c>
      <c r="J14" s="31"/>
    </row>
    <row r="15" spans="1:10" ht="20.100000000000001" customHeight="1" x14ac:dyDescent="0.25">
      <c r="A15" s="30" t="str">
        <f t="shared" si="0"/>
        <v/>
      </c>
      <c r="B15" s="41"/>
      <c r="C15" s="35" t="str">
        <f>IFERROR(IF(B15="","",VLOOKUP(B15,DB_Customers!$A:$B,2,0)),"")</f>
        <v/>
      </c>
      <c r="D15" s="41"/>
      <c r="E15" s="32"/>
      <c r="F15" s="42" t="str">
        <f t="shared" ca="1" si="1"/>
        <v/>
      </c>
      <c r="G15" s="31"/>
      <c r="H15" s="43" t="str">
        <f>IFERROR(IF(OR(B15="",E15=""),"",SUMIF(DB_Loans!$B:$B,B15,DB_Loans!$E:$E)+E15),"")</f>
        <v/>
      </c>
      <c r="I15" s="43" t="str">
        <f>IFERROR(IF(OR(B15="",E15=""),"",SUMIF(DB_Loans!$B:$B,B15,DB_Loans!$J:$J)+(E15*0.025)),"")</f>
        <v/>
      </c>
      <c r="J15" s="31"/>
    </row>
    <row r="16" spans="1:10" ht="20.100000000000001" customHeight="1" x14ac:dyDescent="0.25">
      <c r="A16" s="30" t="str">
        <f t="shared" si="0"/>
        <v/>
      </c>
      <c r="B16" s="41"/>
      <c r="C16" s="35" t="str">
        <f>IFERROR(IF(B16="","",VLOOKUP(B16,DB_Customers!$A:$B,2,0)),"")</f>
        <v/>
      </c>
      <c r="D16" s="41"/>
      <c r="E16" s="32"/>
      <c r="F16" s="42" t="str">
        <f t="shared" ca="1" si="1"/>
        <v/>
      </c>
      <c r="G16" s="31"/>
      <c r="H16" s="43" t="str">
        <f>IFERROR(IF(OR(B16="",E16=""),"",SUMIF(DB_Loans!$B:$B,B16,DB_Loans!$E:$E)+E16),"")</f>
        <v/>
      </c>
      <c r="I16" s="43" t="str">
        <f>IFERROR(IF(OR(B16="",E16=""),"",SUMIF(DB_Loans!$B:$B,B16,DB_Loans!$J:$J)+(E16*0.025)),"")</f>
        <v/>
      </c>
      <c r="J16" s="31"/>
    </row>
    <row r="17" spans="1:10" ht="20.100000000000001" customHeight="1" x14ac:dyDescent="0.25">
      <c r="A17" s="30" t="str">
        <f t="shared" si="0"/>
        <v/>
      </c>
      <c r="B17" s="41"/>
      <c r="C17" s="35" t="str">
        <f>IFERROR(IF(B17="","",VLOOKUP(B17,DB_Customers!$A:$B,2,0)),"")</f>
        <v/>
      </c>
      <c r="D17" s="41"/>
      <c r="E17" s="32"/>
      <c r="F17" s="42" t="str">
        <f t="shared" ca="1" si="1"/>
        <v/>
      </c>
      <c r="G17" s="31"/>
      <c r="H17" s="43" t="str">
        <f>IFERROR(IF(OR(B17="",E17=""),"",SUMIF(DB_Loans!$B:$B,B17,DB_Loans!$E:$E)+E17),"")</f>
        <v/>
      </c>
      <c r="I17" s="43" t="str">
        <f>IFERROR(IF(OR(B17="",E17=""),"",SUMIF(DB_Loans!$B:$B,B17,DB_Loans!$J:$J)+(E17*0.025)),"")</f>
        <v/>
      </c>
      <c r="J17" s="31"/>
    </row>
    <row r="18" spans="1:10" ht="20.100000000000001" customHeight="1" x14ac:dyDescent="0.25">
      <c r="A18" s="30" t="str">
        <f t="shared" si="0"/>
        <v/>
      </c>
      <c r="B18" s="41"/>
      <c r="C18" s="35" t="str">
        <f>IFERROR(IF(B18="","",VLOOKUP(B18,DB_Customers!$A:$B,2,0)),"")</f>
        <v/>
      </c>
      <c r="D18" s="41"/>
      <c r="E18" s="32"/>
      <c r="F18" s="42" t="str">
        <f t="shared" ca="1" si="1"/>
        <v/>
      </c>
      <c r="G18" s="31"/>
      <c r="H18" s="43" t="str">
        <f>IFERROR(IF(OR(B18="",E18=""),"",SUMIF(DB_Loans!$B:$B,B18,DB_Loans!$E:$E)+E18),"")</f>
        <v/>
      </c>
      <c r="I18" s="43" t="str">
        <f>IFERROR(IF(OR(B18="",E18=""),"",SUMIF(DB_Loans!$B:$B,B18,DB_Loans!$J:$J)+(E18*0.025)),"")</f>
        <v/>
      </c>
      <c r="J18" s="31"/>
    </row>
    <row r="19" spans="1:10" ht="20.100000000000001" customHeight="1" x14ac:dyDescent="0.25">
      <c r="A19" s="30" t="str">
        <f t="shared" si="0"/>
        <v/>
      </c>
      <c r="B19" s="41"/>
      <c r="C19" s="35" t="str">
        <f>IFERROR(IF(B19="","",VLOOKUP(B19,DB_Customers!$A:$B,2,0)),"")</f>
        <v/>
      </c>
      <c r="D19" s="41"/>
      <c r="E19" s="32"/>
      <c r="F19" s="42" t="str">
        <f t="shared" ca="1" si="1"/>
        <v/>
      </c>
      <c r="G19" s="31"/>
      <c r="H19" s="43" t="str">
        <f>IFERROR(IF(OR(B19="",E19=""),"",SUMIF(DB_Loans!$B:$B,B19,DB_Loans!$E:$E)+E19),"")</f>
        <v/>
      </c>
      <c r="I19" s="43" t="str">
        <f>IFERROR(IF(OR(B19="",E19=""),"",SUMIF(DB_Loans!$B:$B,B19,DB_Loans!$J:$J)+(E19*0.025)),"")</f>
        <v/>
      </c>
      <c r="J19" s="31"/>
    </row>
    <row r="20" spans="1:10" ht="20.100000000000001" customHeight="1" x14ac:dyDescent="0.25">
      <c r="A20" s="30" t="str">
        <f t="shared" si="0"/>
        <v/>
      </c>
      <c r="B20" s="41"/>
      <c r="C20" s="35" t="str">
        <f>IFERROR(IF(B20="","",VLOOKUP(B20,DB_Customers!$A:$B,2,0)),"")</f>
        <v/>
      </c>
      <c r="D20" s="41"/>
      <c r="E20" s="32"/>
      <c r="F20" s="42" t="str">
        <f t="shared" ca="1" si="1"/>
        <v/>
      </c>
      <c r="G20" s="31"/>
      <c r="H20" s="43" t="str">
        <f>IFERROR(IF(OR(B20="",E20=""),"",SUMIF(DB_Loans!$B:$B,B20,DB_Loans!$E:$E)+E20),"")</f>
        <v/>
      </c>
      <c r="I20" s="43" t="str">
        <f>IFERROR(IF(OR(B20="",E20=""),"",SUMIF(DB_Loans!$B:$B,B20,DB_Loans!$J:$J)+(E20*0.025)),"")</f>
        <v/>
      </c>
      <c r="J20" s="31"/>
    </row>
    <row r="21" spans="1:10" ht="20.100000000000001" customHeight="1" x14ac:dyDescent="0.25">
      <c r="A21" s="30" t="str">
        <f t="shared" si="0"/>
        <v/>
      </c>
      <c r="B21" s="41"/>
      <c r="C21" s="35" t="str">
        <f>IFERROR(IF(B21="","",VLOOKUP(B21,DB_Customers!$A:$B,2,0)),"")</f>
        <v/>
      </c>
      <c r="D21" s="41"/>
      <c r="E21" s="32"/>
      <c r="F21" s="42" t="str">
        <f t="shared" ca="1" si="1"/>
        <v/>
      </c>
      <c r="G21" s="31"/>
      <c r="H21" s="43" t="str">
        <f>IFERROR(IF(OR(B21="",E21=""),"",SUMIF(DB_Loans!$B:$B,B21,DB_Loans!$E:$E)+E21),"")</f>
        <v/>
      </c>
      <c r="I21" s="43" t="str">
        <f>IFERROR(IF(OR(B21="",E21=""),"",SUMIF(DB_Loans!$B:$B,B21,DB_Loans!$J:$J)+(E21*0.025)),"")</f>
        <v/>
      </c>
      <c r="J21" s="31"/>
    </row>
    <row r="22" spans="1:10" ht="20.100000000000001" customHeight="1" x14ac:dyDescent="0.25">
      <c r="A22" s="30" t="str">
        <f t="shared" si="0"/>
        <v/>
      </c>
      <c r="B22" s="41"/>
      <c r="C22" s="35" t="str">
        <f>IFERROR(IF(B22="","",VLOOKUP(B22,DB_Customers!$A:$B,2,0)),"")</f>
        <v/>
      </c>
      <c r="D22" s="41"/>
      <c r="E22" s="32"/>
      <c r="F22" s="42" t="str">
        <f t="shared" ca="1" si="1"/>
        <v/>
      </c>
      <c r="G22" s="31"/>
      <c r="H22" s="43" t="str">
        <f>IFERROR(IF(OR(B22="",E22=""),"",SUMIF(DB_Loans!$B:$B,B22,DB_Loans!$E:$E)+E22),"")</f>
        <v/>
      </c>
      <c r="I22" s="43" t="str">
        <f>IFERROR(IF(OR(B22="",E22=""),"",SUMIF(DB_Loans!$B:$B,B22,DB_Loans!$J:$J)+(E22*0.025)),"")</f>
        <v/>
      </c>
      <c r="J22" s="31"/>
    </row>
    <row r="23" spans="1:10" ht="20.100000000000001" customHeight="1" x14ac:dyDescent="0.25">
      <c r="A23" s="30" t="str">
        <f t="shared" si="0"/>
        <v/>
      </c>
      <c r="B23" s="41"/>
      <c r="C23" s="35" t="str">
        <f>IFERROR(IF(B23="","",VLOOKUP(B23,DB_Customers!$A:$B,2,0)),"")</f>
        <v/>
      </c>
      <c r="D23" s="41"/>
      <c r="E23" s="32"/>
      <c r="F23" s="42" t="str">
        <f t="shared" ca="1" si="1"/>
        <v/>
      </c>
      <c r="G23" s="31"/>
      <c r="H23" s="43" t="str">
        <f>IFERROR(IF(OR(B23="",E23=""),"",SUMIF(DB_Loans!$B:$B,B23,DB_Loans!$E:$E)+E23),"")</f>
        <v/>
      </c>
      <c r="I23" s="43" t="str">
        <f>IFERROR(IF(OR(B23="",E23=""),"",SUMIF(DB_Loans!$B:$B,B23,DB_Loans!$J:$J)+(E23*0.025)),"")</f>
        <v/>
      </c>
      <c r="J23" s="31"/>
    </row>
    <row r="24" spans="1:10" ht="20.100000000000001" customHeight="1" x14ac:dyDescent="0.25">
      <c r="A24" s="30" t="str">
        <f t="shared" si="0"/>
        <v/>
      </c>
      <c r="B24" s="41"/>
      <c r="C24" s="35" t="str">
        <f>IFERROR(IF(B24="","",VLOOKUP(B24,DB_Customers!$A:$B,2,0)),"")</f>
        <v/>
      </c>
      <c r="D24" s="41"/>
      <c r="E24" s="32"/>
      <c r="F24" s="42" t="str">
        <f t="shared" ca="1" si="1"/>
        <v/>
      </c>
      <c r="G24" s="31"/>
      <c r="H24" s="43" t="str">
        <f>IFERROR(IF(OR(B24="",E24=""),"",SUMIF(DB_Loans!$B:$B,B24,DB_Loans!$E:$E)+E24),"")</f>
        <v/>
      </c>
      <c r="I24" s="43" t="str">
        <f>IFERROR(IF(OR(B24="",E24=""),"",SUMIF(DB_Loans!$B:$B,B24,DB_Loans!$J:$J)+(E24*0.025)),"")</f>
        <v/>
      </c>
      <c r="J24" s="31"/>
    </row>
    <row r="25" spans="1:10" ht="20.100000000000001" customHeight="1" x14ac:dyDescent="0.25">
      <c r="A25" s="30" t="str">
        <f t="shared" si="0"/>
        <v/>
      </c>
      <c r="B25" s="41"/>
      <c r="C25" s="35" t="str">
        <f>IFERROR(IF(B25="","",VLOOKUP(B25,DB_Customers!$A:$B,2,0)),"")</f>
        <v/>
      </c>
      <c r="D25" s="41"/>
      <c r="E25" s="32"/>
      <c r="F25" s="42" t="str">
        <f t="shared" ca="1" si="1"/>
        <v/>
      </c>
      <c r="G25" s="31"/>
      <c r="H25" s="43" t="str">
        <f>IFERROR(IF(OR(B25="",E25=""),"",SUMIF(DB_Loans!$B:$B,B25,DB_Loans!$E:$E)+E25),"")</f>
        <v/>
      </c>
      <c r="I25" s="43" t="str">
        <f>IFERROR(IF(OR(B25="",E25=""),"",SUMIF(DB_Loans!$B:$B,B25,DB_Loans!$J:$J)+(E25*0.025)),"")</f>
        <v/>
      </c>
      <c r="J25" s="31"/>
    </row>
    <row r="26" spans="1:10" ht="20.100000000000001" customHeight="1" x14ac:dyDescent="0.25">
      <c r="A26" s="30" t="str">
        <f t="shared" si="0"/>
        <v/>
      </c>
      <c r="B26" s="41"/>
      <c r="C26" s="35" t="str">
        <f>IFERROR(IF(B26="","",VLOOKUP(B26,DB_Customers!$A:$B,2,0)),"")</f>
        <v/>
      </c>
      <c r="D26" s="41"/>
      <c r="E26" s="32"/>
      <c r="F26" s="42" t="str">
        <f t="shared" ca="1" si="1"/>
        <v/>
      </c>
      <c r="G26" s="31"/>
      <c r="H26" s="43" t="str">
        <f>IFERROR(IF(OR(B26="",E26=""),"",SUMIF(DB_Loans!$B:$B,B26,DB_Loans!$E:$E)+E26),"")</f>
        <v/>
      </c>
      <c r="I26" s="43" t="str">
        <f>IFERROR(IF(OR(B26="",E26=""),"",SUMIF(DB_Loans!$B:$B,B26,DB_Loans!$J:$J)+(E26*0.025)),"")</f>
        <v/>
      </c>
      <c r="J26" s="31"/>
    </row>
    <row r="27" spans="1:10" ht="20.100000000000001" customHeight="1" x14ac:dyDescent="0.25">
      <c r="A27" s="30" t="str">
        <f t="shared" si="0"/>
        <v/>
      </c>
      <c r="B27" s="41"/>
      <c r="C27" s="35" t="str">
        <f>IFERROR(IF(B27="","",VLOOKUP(B27,DB_Customers!$A:$B,2,0)),"")</f>
        <v/>
      </c>
      <c r="D27" s="41"/>
      <c r="E27" s="32"/>
      <c r="F27" s="42" t="str">
        <f t="shared" ca="1" si="1"/>
        <v/>
      </c>
      <c r="G27" s="31"/>
      <c r="H27" s="43" t="str">
        <f>IFERROR(IF(OR(B27="",E27=""),"",SUMIF(DB_Loans!$B:$B,B27,DB_Loans!$E:$E)+E27),"")</f>
        <v/>
      </c>
      <c r="I27" s="43" t="str">
        <f>IFERROR(IF(OR(B27="",E27=""),"",SUMIF(DB_Loans!$B:$B,B27,DB_Loans!$J:$J)+(E27*0.025)),"")</f>
        <v/>
      </c>
      <c r="J27" s="31"/>
    </row>
    <row r="28" spans="1:10" ht="20.100000000000001" customHeight="1" x14ac:dyDescent="0.25">
      <c r="A28" s="30" t="str">
        <f t="shared" si="0"/>
        <v/>
      </c>
      <c r="B28" s="41"/>
      <c r="C28" s="35" t="str">
        <f>IFERROR(IF(B28="","",VLOOKUP(B28,DB_Customers!$A:$B,2,0)),"")</f>
        <v/>
      </c>
      <c r="D28" s="41"/>
      <c r="E28" s="32"/>
      <c r="F28" s="42" t="str">
        <f t="shared" ca="1" si="1"/>
        <v/>
      </c>
      <c r="G28" s="31"/>
      <c r="H28" s="43" t="str">
        <f>IFERROR(IF(OR(B28="",E28=""),"",SUMIF(DB_Loans!$B:$B,B28,DB_Loans!$E:$E)+E28),"")</f>
        <v/>
      </c>
      <c r="I28" s="43" t="str">
        <f>IFERROR(IF(OR(B28="",E28=""),"",SUMIF(DB_Loans!$B:$B,B28,DB_Loans!$J:$J)+(E28*0.025)),"")</f>
        <v/>
      </c>
      <c r="J28" s="31"/>
    </row>
    <row r="29" spans="1:10" ht="20.100000000000001" customHeight="1" x14ac:dyDescent="0.25">
      <c r="A29" s="30" t="str">
        <f t="shared" si="0"/>
        <v/>
      </c>
      <c r="B29" s="41"/>
      <c r="C29" s="35" t="str">
        <f>IFERROR(IF(B29="","",VLOOKUP(B29,DB_Customers!$A:$B,2,0)),"")</f>
        <v/>
      </c>
      <c r="D29" s="41"/>
      <c r="E29" s="32"/>
      <c r="F29" s="42" t="str">
        <f t="shared" ca="1" si="1"/>
        <v/>
      </c>
      <c r="G29" s="31"/>
      <c r="H29" s="43" t="str">
        <f>IFERROR(IF(OR(B29="",E29=""),"",SUMIF(DB_Loans!$B:$B,B29,DB_Loans!$E:$E)+E29),"")</f>
        <v/>
      </c>
      <c r="I29" s="43" t="str">
        <f>IFERROR(IF(OR(B29="",E29=""),"",SUMIF(DB_Loans!$B:$B,B29,DB_Loans!$J:$J)+(E29*0.025)),"")</f>
        <v/>
      </c>
      <c r="J29" s="31"/>
    </row>
    <row r="30" spans="1:10" ht="20.100000000000001" customHeight="1" x14ac:dyDescent="0.25">
      <c r="A30" s="30" t="str">
        <f t="shared" si="0"/>
        <v/>
      </c>
      <c r="B30" s="41"/>
      <c r="C30" s="35" t="str">
        <f>IFERROR(IF(B30="","",VLOOKUP(B30,DB_Customers!$A:$B,2,0)),"")</f>
        <v/>
      </c>
      <c r="D30" s="41"/>
      <c r="E30" s="32"/>
      <c r="F30" s="42" t="str">
        <f t="shared" ca="1" si="1"/>
        <v/>
      </c>
      <c r="G30" s="31"/>
      <c r="H30" s="43" t="str">
        <f>IFERROR(IF(OR(B30="",E30=""),"",SUMIF(DB_Loans!$B:$B,B30,DB_Loans!$E:$E)+E30),"")</f>
        <v/>
      </c>
      <c r="I30" s="43" t="str">
        <f>IFERROR(IF(OR(B30="",E30=""),"",SUMIF(DB_Loans!$B:$B,B30,DB_Loans!$J:$J)+(E30*0.025)),"")</f>
        <v/>
      </c>
      <c r="J30" s="31"/>
    </row>
    <row r="31" spans="1:10" ht="20.100000000000001" customHeight="1" x14ac:dyDescent="0.25">
      <c r="A31" s="30" t="str">
        <f t="shared" si="0"/>
        <v/>
      </c>
      <c r="B31" s="41"/>
      <c r="C31" s="35" t="str">
        <f>IFERROR(IF(B31="","",VLOOKUP(B31,DB_Customers!$A:$B,2,0)),"")</f>
        <v/>
      </c>
      <c r="D31" s="41"/>
      <c r="E31" s="32"/>
      <c r="F31" s="42" t="str">
        <f t="shared" ca="1" si="1"/>
        <v/>
      </c>
      <c r="G31" s="31"/>
      <c r="H31" s="43" t="str">
        <f>IFERROR(IF(OR(B31="",E31=""),"",SUMIF(DB_Loans!$B:$B,B31,DB_Loans!$E:$E)+E31),"")</f>
        <v/>
      </c>
      <c r="I31" s="43" t="str">
        <f>IFERROR(IF(OR(B31="",E31=""),"",SUMIF(DB_Loans!$B:$B,B31,DB_Loans!$J:$J)+(E31*0.025)),"")</f>
        <v/>
      </c>
      <c r="J31" s="31"/>
    </row>
    <row r="32" spans="1:10" ht="20.100000000000001" customHeight="1" x14ac:dyDescent="0.25">
      <c r="A32" s="30" t="str">
        <f t="shared" si="0"/>
        <v/>
      </c>
      <c r="B32" s="41"/>
      <c r="C32" s="35" t="str">
        <f>IFERROR(IF(B32="","",VLOOKUP(B32,DB_Customers!$A:$B,2,0)),"")</f>
        <v/>
      </c>
      <c r="D32" s="41"/>
      <c r="E32" s="32"/>
      <c r="F32" s="42" t="str">
        <f t="shared" ca="1" si="1"/>
        <v/>
      </c>
      <c r="G32" s="31"/>
      <c r="H32" s="43" t="str">
        <f>IFERROR(IF(OR(B32="",E32=""),"",SUMIF(DB_Loans!$B:$B,B32,DB_Loans!$E:$E)+E32),"")</f>
        <v/>
      </c>
      <c r="I32" s="43" t="str">
        <f>IFERROR(IF(OR(B32="",E32=""),"",SUMIF(DB_Loans!$B:$B,B32,DB_Loans!$J:$J)+(E32*0.025)),"")</f>
        <v/>
      </c>
      <c r="J32" s="31"/>
    </row>
    <row r="33" spans="1:10" ht="20.100000000000001" customHeight="1" x14ac:dyDescent="0.25">
      <c r="A33" s="30" t="str">
        <f t="shared" si="0"/>
        <v/>
      </c>
      <c r="B33" s="41"/>
      <c r="C33" s="35" t="str">
        <f>IFERROR(IF(B33="","",VLOOKUP(B33,DB_Customers!$A:$B,2,0)),"")</f>
        <v/>
      </c>
      <c r="D33" s="41"/>
      <c r="E33" s="32"/>
      <c r="F33" s="42" t="str">
        <f t="shared" ca="1" si="1"/>
        <v/>
      </c>
      <c r="G33" s="31"/>
      <c r="H33" s="43" t="str">
        <f>IFERROR(IF(OR(B33="",E33=""),"",SUMIF(DB_Loans!$B:$B,B33,DB_Loans!$E:$E)+E33),"")</f>
        <v/>
      </c>
      <c r="I33" s="43" t="str">
        <f>IFERROR(IF(OR(B33="",E33=""),"",SUMIF(DB_Loans!$B:$B,B33,DB_Loans!$J:$J)+(E33*0.025)),"")</f>
        <v/>
      </c>
      <c r="J33" s="31"/>
    </row>
    <row r="34" spans="1:10" ht="20.100000000000001" customHeight="1" x14ac:dyDescent="0.25">
      <c r="A34" s="30" t="str">
        <f t="shared" si="0"/>
        <v/>
      </c>
      <c r="B34" s="41"/>
      <c r="C34" s="35" t="str">
        <f>IFERROR(IF(B34="","",VLOOKUP(B34,DB_Customers!$A:$B,2,0)),"")</f>
        <v/>
      </c>
      <c r="D34" s="41"/>
      <c r="E34" s="32"/>
      <c r="F34" s="42" t="str">
        <f t="shared" ca="1" si="1"/>
        <v/>
      </c>
      <c r="G34" s="31"/>
      <c r="H34" s="43" t="str">
        <f>IFERROR(IF(OR(B34="",E34=""),"",SUMIF(DB_Loans!$B:$B,B34,DB_Loans!$E:$E)+E34),"")</f>
        <v/>
      </c>
      <c r="I34" s="43" t="str">
        <f>IFERROR(IF(OR(B34="",E34=""),"",SUMIF(DB_Loans!$B:$B,B34,DB_Loans!$J:$J)+(E34*0.025)),"")</f>
        <v/>
      </c>
      <c r="J34" s="31"/>
    </row>
    <row r="35" spans="1:10" ht="20.100000000000001" customHeight="1" x14ac:dyDescent="0.25">
      <c r="A35" s="30" t="str">
        <f t="shared" si="0"/>
        <v/>
      </c>
      <c r="B35" s="41"/>
      <c r="C35" s="35" t="str">
        <f>IFERROR(IF(B35="","",VLOOKUP(B35,DB_Customers!$A:$B,2,0)),"")</f>
        <v/>
      </c>
      <c r="D35" s="41"/>
      <c r="E35" s="32"/>
      <c r="F35" s="42" t="str">
        <f t="shared" ca="1" si="1"/>
        <v/>
      </c>
      <c r="G35" s="31"/>
      <c r="H35" s="43" t="str">
        <f>IFERROR(IF(OR(B35="",E35=""),"",SUMIF(DB_Loans!$B:$B,B35,DB_Loans!$E:$E)+E35),"")</f>
        <v/>
      </c>
      <c r="I35" s="43" t="str">
        <f>IFERROR(IF(OR(B35="",E35=""),"",SUMIF(DB_Loans!$B:$B,B35,DB_Loans!$J:$J)+(E35*0.025)),"")</f>
        <v/>
      </c>
      <c r="J35" s="31"/>
    </row>
    <row r="36" spans="1:10" ht="20.100000000000001" customHeight="1" x14ac:dyDescent="0.25">
      <c r="A36" s="30" t="str">
        <f t="shared" si="0"/>
        <v/>
      </c>
      <c r="B36" s="41"/>
      <c r="C36" s="35" t="str">
        <f>IFERROR(IF(B36="","",VLOOKUP(B36,DB_Customers!$A:$B,2,0)),"")</f>
        <v/>
      </c>
      <c r="D36" s="41"/>
      <c r="E36" s="32"/>
      <c r="F36" s="42" t="str">
        <f t="shared" ca="1" si="1"/>
        <v/>
      </c>
      <c r="G36" s="31"/>
      <c r="H36" s="43" t="str">
        <f>IFERROR(IF(OR(B36="",E36=""),"",SUMIF(DB_Loans!$B:$B,B36,DB_Loans!$E:$E)+E36),"")</f>
        <v/>
      </c>
      <c r="I36" s="43" t="str">
        <f>IFERROR(IF(OR(B36="",E36=""),"",SUMIF(DB_Loans!$B:$B,B36,DB_Loans!$J:$J)+(E36*0.025)),"")</f>
        <v/>
      </c>
      <c r="J36" s="31"/>
    </row>
    <row r="37" spans="1:10" ht="20.100000000000001" customHeight="1" x14ac:dyDescent="0.25">
      <c r="A37" s="30" t="str">
        <f t="shared" si="0"/>
        <v/>
      </c>
      <c r="B37" s="41"/>
      <c r="C37" s="35" t="str">
        <f>IFERROR(IF(B37="","",VLOOKUP(B37,DB_Customers!$A:$B,2,0)),"")</f>
        <v/>
      </c>
      <c r="D37" s="41"/>
      <c r="E37" s="32"/>
      <c r="F37" s="42" t="str">
        <f t="shared" ca="1" si="1"/>
        <v/>
      </c>
      <c r="G37" s="31"/>
      <c r="H37" s="43" t="str">
        <f>IFERROR(IF(OR(B37="",E37=""),"",SUMIF(DB_Loans!$B:$B,B37,DB_Loans!$E:$E)+E37),"")</f>
        <v/>
      </c>
      <c r="I37" s="43" t="str">
        <f>IFERROR(IF(OR(B37="",E37=""),"",SUMIF(DB_Loans!$B:$B,B37,DB_Loans!$J:$J)+(E37*0.025)),"")</f>
        <v/>
      </c>
      <c r="J37" s="31"/>
    </row>
    <row r="38" spans="1:10" ht="20.100000000000001" customHeight="1" x14ac:dyDescent="0.25">
      <c r="A38" s="30" t="str">
        <f t="shared" si="0"/>
        <v/>
      </c>
      <c r="B38" s="41"/>
      <c r="C38" s="35" t="str">
        <f>IFERROR(IF(B38="","",VLOOKUP(B38,DB_Customers!$A:$B,2,0)),"")</f>
        <v/>
      </c>
      <c r="D38" s="41"/>
      <c r="E38" s="32"/>
      <c r="F38" s="42" t="str">
        <f t="shared" ca="1" si="1"/>
        <v/>
      </c>
      <c r="G38" s="31"/>
      <c r="H38" s="43" t="str">
        <f>IFERROR(IF(OR(B38="",E38=""),"",SUMIF(DB_Loans!$B:$B,B38,DB_Loans!$E:$E)+E38),"")</f>
        <v/>
      </c>
      <c r="I38" s="43" t="str">
        <f>IFERROR(IF(OR(B38="",E38=""),"",SUMIF(DB_Loans!$B:$B,B38,DB_Loans!$J:$J)+(E38*0.025)),"")</f>
        <v/>
      </c>
      <c r="J38" s="31"/>
    </row>
    <row r="39" spans="1:10" ht="20.100000000000001" customHeight="1" x14ac:dyDescent="0.25">
      <c r="A39" s="30" t="str">
        <f t="shared" si="0"/>
        <v/>
      </c>
      <c r="B39" s="41"/>
      <c r="C39" s="35" t="str">
        <f>IFERROR(IF(B39="","",VLOOKUP(B39,DB_Customers!$A:$B,2,0)),"")</f>
        <v/>
      </c>
      <c r="D39" s="41"/>
      <c r="E39" s="32"/>
      <c r="F39" s="42" t="str">
        <f t="shared" ca="1" si="1"/>
        <v/>
      </c>
      <c r="G39" s="31"/>
      <c r="H39" s="43" t="str">
        <f>IFERROR(IF(OR(B39="",E39=""),"",SUMIF(DB_Loans!$B:$B,B39,DB_Loans!$E:$E)+E39),"")</f>
        <v/>
      </c>
      <c r="I39" s="43" t="str">
        <f>IFERROR(IF(OR(B39="",E39=""),"",SUMIF(DB_Loans!$B:$B,B39,DB_Loans!$J:$J)+(E39*0.025)),"")</f>
        <v/>
      </c>
      <c r="J39" s="31"/>
    </row>
    <row r="40" spans="1:10" ht="20.100000000000001" customHeight="1" x14ac:dyDescent="0.25">
      <c r="A40" s="30" t="str">
        <f t="shared" si="0"/>
        <v/>
      </c>
      <c r="B40" s="41"/>
      <c r="C40" s="35" t="str">
        <f>IFERROR(IF(B40="","",VLOOKUP(B40,DB_Customers!$A:$B,2,0)),"")</f>
        <v/>
      </c>
      <c r="D40" s="41"/>
      <c r="E40" s="32"/>
      <c r="F40" s="42" t="str">
        <f t="shared" ca="1" si="1"/>
        <v/>
      </c>
      <c r="G40" s="31"/>
      <c r="H40" s="43" t="str">
        <f>IFERROR(IF(OR(B40="",E40=""),"",SUMIF(DB_Loans!$B:$B,B40,DB_Loans!$E:$E)+E40),"")</f>
        <v/>
      </c>
      <c r="I40" s="43" t="str">
        <f>IFERROR(IF(OR(B40="",E40=""),"",SUMIF(DB_Loans!$B:$B,B40,DB_Loans!$J:$J)+(E40*0.025)),"")</f>
        <v/>
      </c>
      <c r="J40" s="31"/>
    </row>
    <row r="41" spans="1:10" ht="20.100000000000001" customHeight="1" x14ac:dyDescent="0.25">
      <c r="A41" s="30" t="str">
        <f t="shared" si="0"/>
        <v/>
      </c>
      <c r="B41" s="41"/>
      <c r="C41" s="35" t="str">
        <f>IFERROR(IF(B41="","",VLOOKUP(B41,DB_Customers!$A:$B,2,0)),"")</f>
        <v/>
      </c>
      <c r="D41" s="41"/>
      <c r="E41" s="32"/>
      <c r="F41" s="42" t="str">
        <f t="shared" ca="1" si="1"/>
        <v/>
      </c>
      <c r="G41" s="31"/>
      <c r="H41" s="43" t="str">
        <f>IFERROR(IF(OR(B41="",E41=""),"",SUMIF(DB_Loans!$B:$B,B41,DB_Loans!$E:$E)+E41),"")</f>
        <v/>
      </c>
      <c r="I41" s="43" t="str">
        <f>IFERROR(IF(OR(B41="",E41=""),"",SUMIF(DB_Loans!$B:$B,B41,DB_Loans!$J:$J)+(E41*0.025)),"")</f>
        <v/>
      </c>
      <c r="J41" s="31"/>
    </row>
    <row r="42" spans="1:10" ht="20.100000000000001" customHeight="1" x14ac:dyDescent="0.25">
      <c r="A42" s="30" t="str">
        <f t="shared" si="0"/>
        <v/>
      </c>
      <c r="B42" s="41"/>
      <c r="C42" s="35" t="str">
        <f>IFERROR(IF(B42="","",VLOOKUP(B42,DB_Customers!$A:$B,2,0)),"")</f>
        <v/>
      </c>
      <c r="D42" s="41"/>
      <c r="E42" s="32"/>
      <c r="F42" s="42" t="str">
        <f t="shared" ca="1" si="1"/>
        <v/>
      </c>
      <c r="G42" s="31"/>
      <c r="H42" s="43" t="str">
        <f>IFERROR(IF(OR(B42="",E42=""),"",SUMIF(DB_Loans!$B:$B,B42,DB_Loans!$E:$E)+E42),"")</f>
        <v/>
      </c>
      <c r="I42" s="43" t="str">
        <f>IFERROR(IF(OR(B42="",E42=""),"",SUMIF(DB_Loans!$B:$B,B42,DB_Loans!$J:$J)+(E42*0.025)),"")</f>
        <v/>
      </c>
      <c r="J42" s="31"/>
    </row>
    <row r="43" spans="1:10" ht="20.100000000000001" customHeight="1" x14ac:dyDescent="0.25">
      <c r="A43" s="30" t="str">
        <f t="shared" si="0"/>
        <v/>
      </c>
      <c r="B43" s="41"/>
      <c r="C43" s="35" t="str">
        <f>IFERROR(IF(B43="","",VLOOKUP(B43,DB_Customers!$A:$B,2,0)),"")</f>
        <v/>
      </c>
      <c r="D43" s="41"/>
      <c r="E43" s="32"/>
      <c r="F43" s="42" t="str">
        <f t="shared" ca="1" si="1"/>
        <v/>
      </c>
      <c r="G43" s="31"/>
      <c r="H43" s="43" t="str">
        <f>IFERROR(IF(OR(B43="",E43=""),"",SUMIF(DB_Loans!$B:$B,B43,DB_Loans!$E:$E)+E43),"")</f>
        <v/>
      </c>
      <c r="I43" s="43" t="str">
        <f>IFERROR(IF(OR(B43="",E43=""),"",SUMIF(DB_Loans!$B:$B,B43,DB_Loans!$J:$J)+(E43*0.025)),"")</f>
        <v/>
      </c>
      <c r="J43" s="31"/>
    </row>
    <row r="44" spans="1:10" ht="20.100000000000001" customHeight="1" x14ac:dyDescent="0.25">
      <c r="A44" s="30" t="str">
        <f t="shared" si="0"/>
        <v/>
      </c>
      <c r="B44" s="41"/>
      <c r="C44" s="35" t="str">
        <f>IFERROR(IF(B44="","",VLOOKUP(B44,DB_Customers!$A:$B,2,0)),"")</f>
        <v/>
      </c>
      <c r="D44" s="41"/>
      <c r="E44" s="32"/>
      <c r="F44" s="42" t="str">
        <f t="shared" ca="1" si="1"/>
        <v/>
      </c>
      <c r="G44" s="31"/>
      <c r="H44" s="43" t="str">
        <f>IFERROR(IF(OR(B44="",E44=""),"",SUMIF(DB_Loans!$B:$B,B44,DB_Loans!$E:$E)+E44),"")</f>
        <v/>
      </c>
      <c r="I44" s="43" t="str">
        <f>IFERROR(IF(OR(B44="",E44=""),"",SUMIF(DB_Loans!$B:$B,B44,DB_Loans!$J:$J)+(E44*0.025)),"")</f>
        <v/>
      </c>
      <c r="J44" s="31"/>
    </row>
    <row r="45" spans="1:10" ht="20.100000000000001" customHeight="1" x14ac:dyDescent="0.25">
      <c r="A45" s="30" t="str">
        <f t="shared" si="0"/>
        <v/>
      </c>
      <c r="B45" s="41"/>
      <c r="C45" s="35" t="str">
        <f>IFERROR(IF(B45="","",VLOOKUP(B45,DB_Customers!$A:$B,2,0)),"")</f>
        <v/>
      </c>
      <c r="D45" s="41"/>
      <c r="E45" s="32"/>
      <c r="F45" s="42" t="str">
        <f t="shared" ca="1" si="1"/>
        <v/>
      </c>
      <c r="G45" s="31"/>
      <c r="H45" s="43" t="str">
        <f>IFERROR(IF(OR(B45="",E45=""),"",SUMIF(DB_Loans!$B:$B,B45,DB_Loans!$E:$E)+E45),"")</f>
        <v/>
      </c>
      <c r="I45" s="43" t="str">
        <f>IFERROR(IF(OR(B45="",E45=""),"",SUMIF(DB_Loans!$B:$B,B45,DB_Loans!$J:$J)+(E45*0.025)),"")</f>
        <v/>
      </c>
      <c r="J45" s="31"/>
    </row>
    <row r="46" spans="1:10" ht="20.100000000000001" customHeight="1" x14ac:dyDescent="0.25">
      <c r="A46" s="30" t="str">
        <f t="shared" si="0"/>
        <v/>
      </c>
      <c r="B46" s="41"/>
      <c r="C46" s="35" t="str">
        <f>IFERROR(IF(B46="","",VLOOKUP(B46,DB_Customers!$A:$B,2,0)),"")</f>
        <v/>
      </c>
      <c r="D46" s="41"/>
      <c r="E46" s="32"/>
      <c r="F46" s="42" t="str">
        <f t="shared" ca="1" si="1"/>
        <v/>
      </c>
      <c r="G46" s="31"/>
      <c r="H46" s="43" t="str">
        <f>IFERROR(IF(OR(B46="",E46=""),"",SUMIF(DB_Loans!$B:$B,B46,DB_Loans!$E:$E)+E46),"")</f>
        <v/>
      </c>
      <c r="I46" s="43" t="str">
        <f>IFERROR(IF(OR(B46="",E46=""),"",SUMIF(DB_Loans!$B:$B,B46,DB_Loans!$J:$J)+(E46*0.025)),"")</f>
        <v/>
      </c>
      <c r="J46" s="31"/>
    </row>
    <row r="47" spans="1:10" ht="20.100000000000001" customHeight="1" x14ac:dyDescent="0.25">
      <c r="A47" s="30" t="str">
        <f t="shared" si="0"/>
        <v/>
      </c>
      <c r="B47" s="41"/>
      <c r="C47" s="35" t="str">
        <f>IFERROR(IF(B47="","",VLOOKUP(B47,DB_Customers!$A:$B,2,0)),"")</f>
        <v/>
      </c>
      <c r="D47" s="41"/>
      <c r="E47" s="32"/>
      <c r="F47" s="42" t="str">
        <f t="shared" ca="1" si="1"/>
        <v/>
      </c>
      <c r="G47" s="31"/>
      <c r="H47" s="43" t="str">
        <f>IFERROR(IF(OR(B47="",E47=""),"",SUMIF(DB_Loans!$B:$B,B47,DB_Loans!$E:$E)+E47),"")</f>
        <v/>
      </c>
      <c r="I47" s="43" t="str">
        <f>IFERROR(IF(OR(B47="",E47=""),"",SUMIF(DB_Loans!$B:$B,B47,DB_Loans!$J:$J)+(E47*0.025)),"")</f>
        <v/>
      </c>
      <c r="J47" s="31"/>
    </row>
    <row r="48" spans="1:10" ht="20.100000000000001" customHeight="1" x14ac:dyDescent="0.25">
      <c r="A48" s="30" t="str">
        <f t="shared" si="0"/>
        <v/>
      </c>
      <c r="B48" s="41"/>
      <c r="C48" s="35" t="str">
        <f>IFERROR(IF(B48="","",VLOOKUP(B48,DB_Customers!$A:$B,2,0)),"")</f>
        <v/>
      </c>
      <c r="D48" s="41"/>
      <c r="E48" s="32"/>
      <c r="F48" s="42" t="str">
        <f t="shared" ca="1" si="1"/>
        <v/>
      </c>
      <c r="G48" s="31"/>
      <c r="H48" s="43" t="str">
        <f>IFERROR(IF(OR(B48="",E48=""),"",SUMIF(DB_Loans!$B:$B,B48,DB_Loans!$E:$E)+E48),"")</f>
        <v/>
      </c>
      <c r="I48" s="43" t="str">
        <f>IFERROR(IF(OR(B48="",E48=""),"",SUMIF(DB_Loans!$B:$B,B48,DB_Loans!$J:$J)+(E48*0.025)),"")</f>
        <v/>
      </c>
      <c r="J48" s="31"/>
    </row>
    <row r="49" spans="1:10" ht="20.100000000000001" customHeight="1" x14ac:dyDescent="0.25">
      <c r="A49" s="30" t="str">
        <f t="shared" si="0"/>
        <v/>
      </c>
      <c r="B49" s="41"/>
      <c r="C49" s="35" t="str">
        <f>IFERROR(IF(B49="","",VLOOKUP(B49,DB_Customers!$A:$B,2,0)),"")</f>
        <v/>
      </c>
      <c r="D49" s="41"/>
      <c r="E49" s="32"/>
      <c r="F49" s="42" t="str">
        <f t="shared" ca="1" si="1"/>
        <v/>
      </c>
      <c r="G49" s="31"/>
      <c r="H49" s="43" t="str">
        <f>IFERROR(IF(OR(B49="",E49=""),"",SUMIF(DB_Loans!$B:$B,B49,DB_Loans!$E:$E)+E49),"")</f>
        <v/>
      </c>
      <c r="I49" s="43" t="str">
        <f>IFERROR(IF(OR(B49="",E49=""),"",SUMIF(DB_Loans!$B:$B,B49,DB_Loans!$J:$J)+(E49*0.025)),"")</f>
        <v/>
      </c>
      <c r="J49" s="31"/>
    </row>
    <row r="50" spans="1:10" ht="20.100000000000001" customHeight="1" x14ac:dyDescent="0.25">
      <c r="A50" s="30" t="str">
        <f t="shared" si="0"/>
        <v/>
      </c>
      <c r="B50" s="41"/>
      <c r="C50" s="35" t="str">
        <f>IFERROR(IF(B50="","",VLOOKUP(B50,DB_Customers!$A:$B,2,0)),"")</f>
        <v/>
      </c>
      <c r="D50" s="41"/>
      <c r="E50" s="32"/>
      <c r="F50" s="42" t="str">
        <f t="shared" ca="1" si="1"/>
        <v/>
      </c>
      <c r="G50" s="31"/>
      <c r="H50" s="43" t="str">
        <f>IFERROR(IF(OR(B50="",E50=""),"",SUMIF(DB_Loans!$B:$B,B50,DB_Loans!$E:$E)+E50),"")</f>
        <v/>
      </c>
      <c r="I50" s="43" t="str">
        <f>IFERROR(IF(OR(B50="",E50=""),"",SUMIF(DB_Loans!$B:$B,B50,DB_Loans!$J:$J)+(E50*0.025)),"")</f>
        <v/>
      </c>
      <c r="J50" s="31"/>
    </row>
    <row r="51" spans="1:10" ht="20.100000000000001" customHeight="1" x14ac:dyDescent="0.25">
      <c r="A51" s="30" t="str">
        <f t="shared" si="0"/>
        <v/>
      </c>
      <c r="B51" s="41"/>
      <c r="C51" s="35" t="str">
        <f>IFERROR(IF(B51="","",VLOOKUP(B51,DB_Customers!$A:$B,2,0)),"")</f>
        <v/>
      </c>
      <c r="D51" s="41"/>
      <c r="E51" s="32"/>
      <c r="F51" s="42" t="str">
        <f t="shared" ca="1" si="1"/>
        <v/>
      </c>
      <c r="G51" s="31"/>
      <c r="H51" s="43" t="str">
        <f>IFERROR(IF(OR(B51="",E51=""),"",SUMIF(DB_Loans!$B:$B,B51,DB_Loans!$E:$E)+E51),"")</f>
        <v/>
      </c>
      <c r="I51" s="43" t="str">
        <f>IFERROR(IF(OR(B51="",E51=""),"",SUMIF(DB_Loans!$B:$B,B51,DB_Loans!$J:$J)+(E51*0.025)),"")</f>
        <v/>
      </c>
      <c r="J51" s="31"/>
    </row>
    <row r="52" spans="1:10" ht="20.100000000000001" customHeight="1" x14ac:dyDescent="0.25">
      <c r="A52" s="30" t="str">
        <f t="shared" si="0"/>
        <v/>
      </c>
      <c r="B52" s="41"/>
      <c r="C52" s="35" t="str">
        <f>IFERROR(IF(B52="","",VLOOKUP(B52,DB_Customers!$A:$B,2,0)),"")</f>
        <v/>
      </c>
      <c r="D52" s="41"/>
      <c r="E52" s="32"/>
      <c r="F52" s="42" t="str">
        <f t="shared" ca="1" si="1"/>
        <v/>
      </c>
      <c r="G52" s="31"/>
      <c r="H52" s="43" t="str">
        <f>IFERROR(IF(OR(B52="",E52=""),"",SUMIF(DB_Loans!$B:$B,B52,DB_Loans!$E:$E)+E52),"")</f>
        <v/>
      </c>
      <c r="I52" s="43" t="str">
        <f>IFERROR(IF(OR(B52="",E52=""),"",SUMIF(DB_Loans!$B:$B,B52,DB_Loans!$J:$J)+(E52*0.025)),"")</f>
        <v/>
      </c>
      <c r="J52" s="31"/>
    </row>
    <row r="53" spans="1:10" ht="20.100000000000001" customHeight="1" x14ac:dyDescent="0.25">
      <c r="A53" s="30" t="str">
        <f t="shared" si="0"/>
        <v/>
      </c>
      <c r="B53" s="41"/>
      <c r="C53" s="35" t="str">
        <f>IFERROR(IF(B53="","",VLOOKUP(B53,DB_Customers!$A:$B,2,0)),"")</f>
        <v/>
      </c>
      <c r="D53" s="41"/>
      <c r="E53" s="32"/>
      <c r="F53" s="42" t="str">
        <f t="shared" ca="1" si="1"/>
        <v/>
      </c>
      <c r="G53" s="31"/>
      <c r="H53" s="43" t="str">
        <f>IFERROR(IF(OR(B53="",E53=""),"",SUMIF(DB_Loans!$B:$B,B53,DB_Loans!$E:$E)+E53),"")</f>
        <v/>
      </c>
      <c r="I53" s="43" t="str">
        <f>IFERROR(IF(OR(B53="",E53=""),"",SUMIF(DB_Loans!$B:$B,B53,DB_Loans!$J:$J)+(E53*0.025)),"")</f>
        <v/>
      </c>
      <c r="J53" s="31"/>
    </row>
    <row r="54" spans="1:10" ht="20.100000000000001" customHeight="1" x14ac:dyDescent="0.25">
      <c r="A54" s="30" t="str">
        <f t="shared" si="0"/>
        <v/>
      </c>
      <c r="B54" s="41"/>
      <c r="C54" s="35" t="str">
        <f>IFERROR(IF(B54="","",VLOOKUP(B54,DB_Customers!$A:$B,2,0)),"")</f>
        <v/>
      </c>
      <c r="D54" s="41"/>
      <c r="E54" s="32"/>
      <c r="F54" s="42" t="str">
        <f t="shared" ca="1" si="1"/>
        <v/>
      </c>
      <c r="G54" s="31"/>
      <c r="H54" s="43" t="str">
        <f>IFERROR(IF(OR(B54="",E54=""),"",SUMIF(DB_Loans!$B:$B,B54,DB_Loans!$E:$E)+E54),"")</f>
        <v/>
      </c>
      <c r="I54" s="43" t="str">
        <f>IFERROR(IF(OR(B54="",E54=""),"",SUMIF(DB_Loans!$B:$B,B54,DB_Loans!$J:$J)+(E54*0.025)),"")</f>
        <v/>
      </c>
      <c r="J54" s="31"/>
    </row>
    <row r="55" spans="1:10" ht="20.100000000000001" customHeight="1" x14ac:dyDescent="0.25">
      <c r="A55" s="30" t="str">
        <f t="shared" si="0"/>
        <v/>
      </c>
      <c r="B55" s="41"/>
      <c r="C55" s="35" t="str">
        <f>IFERROR(IF(B55="","",VLOOKUP(B55,DB_Customers!$A:$B,2,0)),"")</f>
        <v/>
      </c>
      <c r="D55" s="41"/>
      <c r="E55" s="32"/>
      <c r="F55" s="42" t="str">
        <f t="shared" ca="1" si="1"/>
        <v/>
      </c>
      <c r="G55" s="31"/>
      <c r="H55" s="43" t="str">
        <f>IFERROR(IF(OR(B55="",E55=""),"",SUMIF(DB_Loans!$B:$B,B55,DB_Loans!$E:$E)+E55),"")</f>
        <v/>
      </c>
      <c r="I55" s="43" t="str">
        <f>IFERROR(IF(OR(B55="",E55=""),"",SUMIF(DB_Loans!$B:$B,B55,DB_Loans!$J:$J)+(E55*0.025)),"")</f>
        <v/>
      </c>
      <c r="J55" s="31"/>
    </row>
    <row r="56" spans="1:10" ht="20.100000000000001" customHeight="1" x14ac:dyDescent="0.25">
      <c r="A56" s="30" t="str">
        <f t="shared" si="0"/>
        <v/>
      </c>
      <c r="B56" s="41"/>
      <c r="C56" s="35" t="str">
        <f>IFERROR(IF(B56="","",VLOOKUP(B56,DB_Customers!$A:$B,2,0)),"")</f>
        <v/>
      </c>
      <c r="D56" s="41"/>
      <c r="E56" s="32"/>
      <c r="F56" s="42" t="str">
        <f t="shared" ca="1" si="1"/>
        <v/>
      </c>
      <c r="G56" s="31"/>
      <c r="H56" s="43" t="str">
        <f>IFERROR(IF(OR(B56="",E56=""),"",SUMIF(DB_Loans!$B:$B,B56,DB_Loans!$E:$E)+E56),"")</f>
        <v/>
      </c>
      <c r="I56" s="43" t="str">
        <f>IFERROR(IF(OR(B56="",E56=""),"",SUMIF(DB_Loans!$B:$B,B56,DB_Loans!$J:$J)+(E56*0.025)),"")</f>
        <v/>
      </c>
      <c r="J56" s="31"/>
    </row>
    <row r="57" spans="1:10" ht="20.100000000000001" customHeight="1" x14ac:dyDescent="0.25">
      <c r="A57" s="30" t="str">
        <f t="shared" si="0"/>
        <v/>
      </c>
      <c r="B57" s="41"/>
      <c r="C57" s="35" t="str">
        <f>IFERROR(IF(B57="","",VLOOKUP(B57,DB_Customers!$A:$B,2,0)),"")</f>
        <v/>
      </c>
      <c r="D57" s="41"/>
      <c r="E57" s="32"/>
      <c r="F57" s="42" t="str">
        <f t="shared" ca="1" si="1"/>
        <v/>
      </c>
      <c r="G57" s="31"/>
      <c r="H57" s="43" t="str">
        <f>IFERROR(IF(OR(B57="",E57=""),"",SUMIF(DB_Loans!$B:$B,B57,DB_Loans!$E:$E)+E57),"")</f>
        <v/>
      </c>
      <c r="I57" s="43" t="str">
        <f>IFERROR(IF(OR(B57="",E57=""),"",SUMIF(DB_Loans!$B:$B,B57,DB_Loans!$J:$J)+(E57*0.025)),"")</f>
        <v/>
      </c>
      <c r="J57" s="31"/>
    </row>
    <row r="58" spans="1:10" ht="20.100000000000001" customHeight="1" x14ac:dyDescent="0.25">
      <c r="A58" s="30" t="str">
        <f t="shared" si="0"/>
        <v/>
      </c>
      <c r="B58" s="41"/>
      <c r="C58" s="35" t="str">
        <f>IFERROR(IF(B58="","",VLOOKUP(B58,DB_Customers!$A:$B,2,0)),"")</f>
        <v/>
      </c>
      <c r="D58" s="41"/>
      <c r="E58" s="32"/>
      <c r="F58" s="42" t="str">
        <f t="shared" ca="1" si="1"/>
        <v/>
      </c>
      <c r="G58" s="31"/>
      <c r="H58" s="43" t="str">
        <f>IFERROR(IF(OR(B58="",E58=""),"",SUMIF(DB_Loans!$B:$B,B58,DB_Loans!$E:$E)+E58),"")</f>
        <v/>
      </c>
      <c r="I58" s="43" t="str">
        <f>IFERROR(IF(OR(B58="",E58=""),"",SUMIF(DB_Loans!$B:$B,B58,DB_Loans!$J:$J)+(E58*0.025)),"")</f>
        <v/>
      </c>
      <c r="J58" s="31"/>
    </row>
    <row r="59" spans="1:10" ht="20.100000000000001" customHeight="1" x14ac:dyDescent="0.25">
      <c r="A59" s="30" t="str">
        <f t="shared" si="0"/>
        <v/>
      </c>
      <c r="B59" s="41"/>
      <c r="C59" s="35" t="str">
        <f>IFERROR(IF(B59="","",VLOOKUP(B59,DB_Customers!$A:$B,2,0)),"")</f>
        <v/>
      </c>
      <c r="D59" s="41"/>
      <c r="E59" s="32"/>
      <c r="F59" s="42" t="str">
        <f t="shared" ca="1" si="1"/>
        <v/>
      </c>
      <c r="G59" s="31"/>
      <c r="H59" s="43" t="str">
        <f>IFERROR(IF(OR(B59="",E59=""),"",SUMIF(DB_Loans!$B:$B,B59,DB_Loans!$E:$E)+E59),"")</f>
        <v/>
      </c>
      <c r="I59" s="43" t="str">
        <f>IFERROR(IF(OR(B59="",E59=""),"",SUMIF(DB_Loans!$B:$B,B59,DB_Loans!$J:$J)+(E59*0.025)),"")</f>
        <v/>
      </c>
      <c r="J59" s="31"/>
    </row>
    <row r="60" spans="1:10" ht="20.100000000000001" customHeight="1" x14ac:dyDescent="0.25">
      <c r="A60" s="30" t="str">
        <f t="shared" si="0"/>
        <v/>
      </c>
      <c r="B60" s="41"/>
      <c r="C60" s="35" t="str">
        <f>IFERROR(IF(B60="","",VLOOKUP(B60,DB_Customers!$A:$B,2,0)),"")</f>
        <v/>
      </c>
      <c r="D60" s="41"/>
      <c r="E60" s="32"/>
      <c r="F60" s="42" t="str">
        <f t="shared" ca="1" si="1"/>
        <v/>
      </c>
      <c r="G60" s="31"/>
      <c r="H60" s="43" t="str">
        <f>IFERROR(IF(OR(B60="",E60=""),"",SUMIF(DB_Loans!$B:$B,B60,DB_Loans!$E:$E)+E60),"")</f>
        <v/>
      </c>
      <c r="I60" s="43" t="str">
        <f>IFERROR(IF(OR(B60="",E60=""),"",SUMIF(DB_Loans!$B:$B,B60,DB_Loans!$J:$J)+(E60*0.025)),"")</f>
        <v/>
      </c>
      <c r="J60" s="31"/>
    </row>
    <row r="61" spans="1:10" ht="20.100000000000001" customHeight="1" x14ac:dyDescent="0.25">
      <c r="A61" s="30" t="str">
        <f t="shared" si="0"/>
        <v/>
      </c>
      <c r="B61" s="41"/>
      <c r="C61" s="35" t="str">
        <f>IFERROR(IF(B61="","",VLOOKUP(B61,DB_Customers!$A:$B,2,0)),"")</f>
        <v/>
      </c>
      <c r="D61" s="41"/>
      <c r="E61" s="32"/>
      <c r="F61" s="42" t="str">
        <f t="shared" ca="1" si="1"/>
        <v/>
      </c>
      <c r="G61" s="31"/>
      <c r="H61" s="43" t="str">
        <f>IFERROR(IF(OR(B61="",E61=""),"",SUMIF(DB_Loans!$B:$B,B61,DB_Loans!$E:$E)+E61),"")</f>
        <v/>
      </c>
      <c r="I61" s="43" t="str">
        <f>IFERROR(IF(OR(B61="",E61=""),"",SUMIF(DB_Loans!$B:$B,B61,DB_Loans!$J:$J)+(E61*0.025)),"")</f>
        <v/>
      </c>
      <c r="J61" s="31"/>
    </row>
    <row r="62" spans="1:10" ht="20.100000000000001" customHeight="1" x14ac:dyDescent="0.25">
      <c r="A62" s="30" t="str">
        <f t="shared" si="0"/>
        <v/>
      </c>
      <c r="B62" s="41"/>
      <c r="C62" s="35" t="str">
        <f>IFERROR(IF(B62="","",VLOOKUP(B62,DB_Customers!$A:$B,2,0)),"")</f>
        <v/>
      </c>
      <c r="D62" s="41"/>
      <c r="E62" s="32"/>
      <c r="F62" s="42" t="str">
        <f t="shared" ca="1" si="1"/>
        <v/>
      </c>
      <c r="G62" s="31"/>
      <c r="H62" s="43" t="str">
        <f>IFERROR(IF(OR(B62="",E62=""),"",SUMIF(DB_Loans!$B:$B,B62,DB_Loans!$E:$E)+E62),"")</f>
        <v/>
      </c>
      <c r="I62" s="43" t="str">
        <f>IFERROR(IF(OR(B62="",E62=""),"",SUMIF(DB_Loans!$B:$B,B62,DB_Loans!$J:$J)+(E62*0.025)),"")</f>
        <v/>
      </c>
      <c r="J62" s="31"/>
    </row>
    <row r="63" spans="1:10" ht="20.100000000000001" customHeight="1" x14ac:dyDescent="0.25">
      <c r="A63" s="30" t="str">
        <f t="shared" si="0"/>
        <v/>
      </c>
      <c r="B63" s="41"/>
      <c r="C63" s="35" t="str">
        <f>IFERROR(IF(B63="","",VLOOKUP(B63,DB_Customers!$A:$B,2,0)),"")</f>
        <v/>
      </c>
      <c r="D63" s="41"/>
      <c r="E63" s="32"/>
      <c r="F63" s="42" t="str">
        <f t="shared" ca="1" si="1"/>
        <v/>
      </c>
      <c r="G63" s="31"/>
      <c r="H63" s="43" t="str">
        <f>IFERROR(IF(OR(B63="",E63=""),"",SUMIF(DB_Loans!$B:$B,B63,DB_Loans!$E:$E)+E63),"")</f>
        <v/>
      </c>
      <c r="I63" s="43" t="str">
        <f>IFERROR(IF(OR(B63="",E63=""),"",SUMIF(DB_Loans!$B:$B,B63,DB_Loans!$J:$J)+(E63*0.025)),"")</f>
        <v/>
      </c>
      <c r="J63" s="31"/>
    </row>
    <row r="64" spans="1:10" ht="20.100000000000001" customHeight="1" x14ac:dyDescent="0.25">
      <c r="A64" s="30" t="str">
        <f t="shared" si="0"/>
        <v/>
      </c>
      <c r="B64" s="41"/>
      <c r="C64" s="35" t="str">
        <f>IFERROR(IF(B64="","",VLOOKUP(B64,DB_Customers!$A:$B,2,0)),"")</f>
        <v/>
      </c>
      <c r="D64" s="41"/>
      <c r="E64" s="32"/>
      <c r="F64" s="42" t="str">
        <f t="shared" ca="1" si="1"/>
        <v/>
      </c>
      <c r="G64" s="31"/>
      <c r="H64" s="43" t="str">
        <f>IFERROR(IF(OR(B64="",E64=""),"",SUMIF(DB_Loans!$B:$B,B64,DB_Loans!$E:$E)+E64),"")</f>
        <v/>
      </c>
      <c r="I64" s="43" t="str">
        <f>IFERROR(IF(OR(B64="",E64=""),"",SUMIF(DB_Loans!$B:$B,B64,DB_Loans!$J:$J)+(E64*0.025)),"")</f>
        <v/>
      </c>
      <c r="J64" s="31"/>
    </row>
    <row r="65" spans="1:10" ht="20.100000000000001" customHeight="1" x14ac:dyDescent="0.25">
      <c r="A65" s="30" t="str">
        <f t="shared" si="0"/>
        <v/>
      </c>
      <c r="B65" s="41"/>
      <c r="C65" s="35" t="str">
        <f>IFERROR(IF(B65="","",VLOOKUP(B65,DB_Customers!$A:$B,2,0)),"")</f>
        <v/>
      </c>
      <c r="D65" s="41"/>
      <c r="E65" s="32"/>
      <c r="F65" s="42" t="str">
        <f t="shared" ca="1" si="1"/>
        <v/>
      </c>
      <c r="G65" s="31"/>
      <c r="H65" s="43" t="str">
        <f>IFERROR(IF(OR(B65="",E65=""),"",SUMIF(DB_Loans!$B:$B,B65,DB_Loans!$E:$E)+E65),"")</f>
        <v/>
      </c>
      <c r="I65" s="43" t="str">
        <f>IFERROR(IF(OR(B65="",E65=""),"",SUMIF(DB_Loans!$B:$B,B65,DB_Loans!$J:$J)+(E65*0.025)),"")</f>
        <v/>
      </c>
      <c r="J65" s="31"/>
    </row>
    <row r="66" spans="1:10" ht="20.100000000000001" customHeight="1" x14ac:dyDescent="0.25">
      <c r="A66" s="30" t="str">
        <f t="shared" si="0"/>
        <v/>
      </c>
      <c r="B66" s="41"/>
      <c r="C66" s="35" t="str">
        <f>IFERROR(IF(B66="","",VLOOKUP(B66,DB_Customers!$A:$B,2,0)),"")</f>
        <v/>
      </c>
      <c r="D66" s="41"/>
      <c r="E66" s="32"/>
      <c r="F66" s="42" t="str">
        <f t="shared" ca="1" si="1"/>
        <v/>
      </c>
      <c r="G66" s="31"/>
      <c r="H66" s="43" t="str">
        <f>IFERROR(IF(OR(B66="",E66=""),"",SUMIF(DB_Loans!$B:$B,B66,DB_Loans!$E:$E)+E66),"")</f>
        <v/>
      </c>
      <c r="I66" s="43" t="str">
        <f>IFERROR(IF(OR(B66="",E66=""),"",SUMIF(DB_Loans!$B:$B,B66,DB_Loans!$J:$J)+(E66*0.025)),"")</f>
        <v/>
      </c>
      <c r="J66" s="31"/>
    </row>
    <row r="67" spans="1:10" ht="20.100000000000001" customHeight="1" x14ac:dyDescent="0.25">
      <c r="A67" s="30" t="str">
        <f t="shared" si="0"/>
        <v/>
      </c>
      <c r="B67" s="41"/>
      <c r="C67" s="35" t="str">
        <f>IFERROR(IF(B67="","",VLOOKUP(B67,DB_Customers!$A:$B,2,0)),"")</f>
        <v/>
      </c>
      <c r="D67" s="41"/>
      <c r="E67" s="32"/>
      <c r="F67" s="42" t="str">
        <f t="shared" ca="1" si="1"/>
        <v/>
      </c>
      <c r="G67" s="31"/>
      <c r="H67" s="43" t="str">
        <f>IFERROR(IF(OR(B67="",E67=""),"",SUMIF(DB_Loans!$B:$B,B67,DB_Loans!$E:$E)+E67),"")</f>
        <v/>
      </c>
      <c r="I67" s="43" t="str">
        <f>IFERROR(IF(OR(B67="",E67=""),"",SUMIF(DB_Loans!$B:$B,B67,DB_Loans!$J:$J)+(E67*0.025)),"")</f>
        <v/>
      </c>
      <c r="J67" s="31"/>
    </row>
    <row r="68" spans="1:10" ht="20.100000000000001" customHeight="1" x14ac:dyDescent="0.25">
      <c r="A68" s="30" t="str">
        <f t="shared" si="0"/>
        <v/>
      </c>
      <c r="B68" s="41"/>
      <c r="C68" s="35" t="str">
        <f>IFERROR(IF(B68="","",VLOOKUP(B68,DB_Customers!$A:$B,2,0)),"")</f>
        <v/>
      </c>
      <c r="D68" s="41"/>
      <c r="E68" s="32"/>
      <c r="F68" s="42" t="str">
        <f t="shared" ca="1" si="1"/>
        <v/>
      </c>
      <c r="G68" s="31"/>
      <c r="H68" s="43" t="str">
        <f>IFERROR(IF(OR(B68="",E68=""),"",SUMIF(DB_Loans!$B:$B,B68,DB_Loans!$E:$E)+E68),"")</f>
        <v/>
      </c>
      <c r="I68" s="43" t="str">
        <f>IFERROR(IF(OR(B68="",E68=""),"",SUMIF(DB_Loans!$B:$B,B68,DB_Loans!$J:$J)+(E68*0.025)),"")</f>
        <v/>
      </c>
      <c r="J68" s="31"/>
    </row>
    <row r="69" spans="1:10" ht="20.100000000000001" customHeight="1" x14ac:dyDescent="0.25">
      <c r="A69" s="30" t="str">
        <f t="shared" ref="A69:A132" si="2">IF(B69="","","TU"&amp;TEXT(ROW()-4,"0000"))</f>
        <v/>
      </c>
      <c r="B69" s="41"/>
      <c r="C69" s="35" t="str">
        <f>IFERROR(IF(B69="","",VLOOKUP(B69,DB_Customers!$A:$B,2,0)),"")</f>
        <v/>
      </c>
      <c r="D69" s="41"/>
      <c r="E69" s="32"/>
      <c r="F69" s="42" t="str">
        <f t="shared" ref="F69:F132" ca="1" si="3">IF(B69="","",TODAY())</f>
        <v/>
      </c>
      <c r="G69" s="31"/>
      <c r="H69" s="43" t="str">
        <f>IFERROR(IF(OR(B69="",E69=""),"",SUMIF(DB_Loans!$B:$B,B69,DB_Loans!$E:$E)+E69),"")</f>
        <v/>
      </c>
      <c r="I69" s="43" t="str">
        <f>IFERROR(IF(OR(B69="",E69=""),"",SUMIF(DB_Loans!$B:$B,B69,DB_Loans!$J:$J)+(E69*0.025)),"")</f>
        <v/>
      </c>
      <c r="J69" s="31"/>
    </row>
    <row r="70" spans="1:10" ht="20.100000000000001" customHeight="1" x14ac:dyDescent="0.25">
      <c r="A70" s="30" t="str">
        <f t="shared" si="2"/>
        <v/>
      </c>
      <c r="B70" s="41"/>
      <c r="C70" s="35" t="str">
        <f>IFERROR(IF(B70="","",VLOOKUP(B70,DB_Customers!$A:$B,2,0)),"")</f>
        <v/>
      </c>
      <c r="D70" s="41"/>
      <c r="E70" s="32"/>
      <c r="F70" s="42" t="str">
        <f t="shared" ca="1" si="3"/>
        <v/>
      </c>
      <c r="G70" s="31"/>
      <c r="H70" s="43" t="str">
        <f>IFERROR(IF(OR(B70="",E70=""),"",SUMIF(DB_Loans!$B:$B,B70,DB_Loans!$E:$E)+E70),"")</f>
        <v/>
      </c>
      <c r="I70" s="43" t="str">
        <f>IFERROR(IF(OR(B70="",E70=""),"",SUMIF(DB_Loans!$B:$B,B70,DB_Loans!$J:$J)+(E70*0.025)),"")</f>
        <v/>
      </c>
      <c r="J70" s="31"/>
    </row>
    <row r="71" spans="1:10" ht="20.100000000000001" customHeight="1" x14ac:dyDescent="0.25">
      <c r="A71" s="30" t="str">
        <f t="shared" si="2"/>
        <v/>
      </c>
      <c r="B71" s="41"/>
      <c r="C71" s="35" t="str">
        <f>IFERROR(IF(B71="","",VLOOKUP(B71,DB_Customers!$A:$B,2,0)),"")</f>
        <v/>
      </c>
      <c r="D71" s="41"/>
      <c r="E71" s="32"/>
      <c r="F71" s="42" t="str">
        <f t="shared" ca="1" si="3"/>
        <v/>
      </c>
      <c r="G71" s="31"/>
      <c r="H71" s="43" t="str">
        <f>IFERROR(IF(OR(B71="",E71=""),"",SUMIF(DB_Loans!$B:$B,B71,DB_Loans!$E:$E)+E71),"")</f>
        <v/>
      </c>
      <c r="I71" s="43" t="str">
        <f>IFERROR(IF(OR(B71="",E71=""),"",SUMIF(DB_Loans!$B:$B,B71,DB_Loans!$J:$J)+(E71*0.025)),"")</f>
        <v/>
      </c>
      <c r="J71" s="31"/>
    </row>
    <row r="72" spans="1:10" ht="20.100000000000001" customHeight="1" x14ac:dyDescent="0.25">
      <c r="A72" s="30" t="str">
        <f t="shared" si="2"/>
        <v/>
      </c>
      <c r="B72" s="41"/>
      <c r="C72" s="35" t="str">
        <f>IFERROR(IF(B72="","",VLOOKUP(B72,DB_Customers!$A:$B,2,0)),"")</f>
        <v/>
      </c>
      <c r="D72" s="41"/>
      <c r="E72" s="32"/>
      <c r="F72" s="42" t="str">
        <f t="shared" ca="1" si="3"/>
        <v/>
      </c>
      <c r="G72" s="31"/>
      <c r="H72" s="43" t="str">
        <f>IFERROR(IF(OR(B72="",E72=""),"",SUMIF(DB_Loans!$B:$B,B72,DB_Loans!$E:$E)+E72),"")</f>
        <v/>
      </c>
      <c r="I72" s="43" t="str">
        <f>IFERROR(IF(OR(B72="",E72=""),"",SUMIF(DB_Loans!$B:$B,B72,DB_Loans!$J:$J)+(E72*0.025)),"")</f>
        <v/>
      </c>
      <c r="J72" s="31"/>
    </row>
    <row r="73" spans="1:10" ht="20.100000000000001" customHeight="1" x14ac:dyDescent="0.25">
      <c r="A73" s="30" t="str">
        <f t="shared" si="2"/>
        <v/>
      </c>
      <c r="B73" s="41"/>
      <c r="C73" s="35" t="str">
        <f>IFERROR(IF(B73="","",VLOOKUP(B73,DB_Customers!$A:$B,2,0)),"")</f>
        <v/>
      </c>
      <c r="D73" s="41"/>
      <c r="E73" s="32"/>
      <c r="F73" s="42" t="str">
        <f t="shared" ca="1" si="3"/>
        <v/>
      </c>
      <c r="G73" s="31"/>
      <c r="H73" s="43" t="str">
        <f>IFERROR(IF(OR(B73="",E73=""),"",SUMIF(DB_Loans!$B:$B,B73,DB_Loans!$E:$E)+E73),"")</f>
        <v/>
      </c>
      <c r="I73" s="43" t="str">
        <f>IFERROR(IF(OR(B73="",E73=""),"",SUMIF(DB_Loans!$B:$B,B73,DB_Loans!$J:$J)+(E73*0.025)),"")</f>
        <v/>
      </c>
      <c r="J73" s="31"/>
    </row>
    <row r="74" spans="1:10" ht="20.100000000000001" customHeight="1" x14ac:dyDescent="0.25">
      <c r="A74" s="30" t="str">
        <f t="shared" si="2"/>
        <v/>
      </c>
      <c r="B74" s="41"/>
      <c r="C74" s="35" t="str">
        <f>IFERROR(IF(B74="","",VLOOKUP(B74,DB_Customers!$A:$B,2,0)),"")</f>
        <v/>
      </c>
      <c r="D74" s="41"/>
      <c r="E74" s="32"/>
      <c r="F74" s="42" t="str">
        <f t="shared" ca="1" si="3"/>
        <v/>
      </c>
      <c r="G74" s="31"/>
      <c r="H74" s="43" t="str">
        <f>IFERROR(IF(OR(B74="",E74=""),"",SUMIF(DB_Loans!$B:$B,B74,DB_Loans!$E:$E)+E74),"")</f>
        <v/>
      </c>
      <c r="I74" s="43" t="str">
        <f>IFERROR(IF(OR(B74="",E74=""),"",SUMIF(DB_Loans!$B:$B,B74,DB_Loans!$J:$J)+(E74*0.025)),"")</f>
        <v/>
      </c>
      <c r="J74" s="31"/>
    </row>
    <row r="75" spans="1:10" ht="20.100000000000001" customHeight="1" x14ac:dyDescent="0.25">
      <c r="A75" s="30" t="str">
        <f t="shared" si="2"/>
        <v/>
      </c>
      <c r="B75" s="41"/>
      <c r="C75" s="35" t="str">
        <f>IFERROR(IF(B75="","",VLOOKUP(B75,DB_Customers!$A:$B,2,0)),"")</f>
        <v/>
      </c>
      <c r="D75" s="41"/>
      <c r="E75" s="32"/>
      <c r="F75" s="42" t="str">
        <f t="shared" ca="1" si="3"/>
        <v/>
      </c>
      <c r="G75" s="31"/>
      <c r="H75" s="43" t="str">
        <f>IFERROR(IF(OR(B75="",E75=""),"",SUMIF(DB_Loans!$B:$B,B75,DB_Loans!$E:$E)+E75),"")</f>
        <v/>
      </c>
      <c r="I75" s="43" t="str">
        <f>IFERROR(IF(OR(B75="",E75=""),"",SUMIF(DB_Loans!$B:$B,B75,DB_Loans!$J:$J)+(E75*0.025)),"")</f>
        <v/>
      </c>
      <c r="J75" s="31"/>
    </row>
    <row r="76" spans="1:10" ht="20.100000000000001" customHeight="1" x14ac:dyDescent="0.25">
      <c r="A76" s="30" t="str">
        <f t="shared" si="2"/>
        <v/>
      </c>
      <c r="B76" s="41"/>
      <c r="C76" s="35" t="str">
        <f>IFERROR(IF(B76="","",VLOOKUP(B76,DB_Customers!$A:$B,2,0)),"")</f>
        <v/>
      </c>
      <c r="D76" s="41"/>
      <c r="E76" s="32"/>
      <c r="F76" s="42" t="str">
        <f t="shared" ca="1" si="3"/>
        <v/>
      </c>
      <c r="G76" s="31"/>
      <c r="H76" s="43" t="str">
        <f>IFERROR(IF(OR(B76="",E76=""),"",SUMIF(DB_Loans!$B:$B,B76,DB_Loans!$E:$E)+E76),"")</f>
        <v/>
      </c>
      <c r="I76" s="43" t="str">
        <f>IFERROR(IF(OR(B76="",E76=""),"",SUMIF(DB_Loans!$B:$B,B76,DB_Loans!$J:$J)+(E76*0.025)),"")</f>
        <v/>
      </c>
      <c r="J76" s="31"/>
    </row>
    <row r="77" spans="1:10" ht="20.100000000000001" customHeight="1" x14ac:dyDescent="0.25">
      <c r="A77" s="30" t="str">
        <f t="shared" si="2"/>
        <v/>
      </c>
      <c r="B77" s="41"/>
      <c r="C77" s="35" t="str">
        <f>IFERROR(IF(B77="","",VLOOKUP(B77,DB_Customers!$A:$B,2,0)),"")</f>
        <v/>
      </c>
      <c r="D77" s="41"/>
      <c r="E77" s="32"/>
      <c r="F77" s="42" t="str">
        <f t="shared" ca="1" si="3"/>
        <v/>
      </c>
      <c r="G77" s="31"/>
      <c r="H77" s="43" t="str">
        <f>IFERROR(IF(OR(B77="",E77=""),"",SUMIF(DB_Loans!$B:$B,B77,DB_Loans!$E:$E)+E77),"")</f>
        <v/>
      </c>
      <c r="I77" s="43" t="str">
        <f>IFERROR(IF(OR(B77="",E77=""),"",SUMIF(DB_Loans!$B:$B,B77,DB_Loans!$J:$J)+(E77*0.025)),"")</f>
        <v/>
      </c>
      <c r="J77" s="31"/>
    </row>
    <row r="78" spans="1:10" ht="20.100000000000001" customHeight="1" x14ac:dyDescent="0.25">
      <c r="A78" s="30" t="str">
        <f t="shared" si="2"/>
        <v/>
      </c>
      <c r="B78" s="41"/>
      <c r="C78" s="35" t="str">
        <f>IFERROR(IF(B78="","",VLOOKUP(B78,DB_Customers!$A:$B,2,0)),"")</f>
        <v/>
      </c>
      <c r="D78" s="41"/>
      <c r="E78" s="32"/>
      <c r="F78" s="42" t="str">
        <f t="shared" ca="1" si="3"/>
        <v/>
      </c>
      <c r="G78" s="31"/>
      <c r="H78" s="43" t="str">
        <f>IFERROR(IF(OR(B78="",E78=""),"",SUMIF(DB_Loans!$B:$B,B78,DB_Loans!$E:$E)+E78),"")</f>
        <v/>
      </c>
      <c r="I78" s="43" t="str">
        <f>IFERROR(IF(OR(B78="",E78=""),"",SUMIF(DB_Loans!$B:$B,B78,DB_Loans!$J:$J)+(E78*0.025)),"")</f>
        <v/>
      </c>
      <c r="J78" s="31"/>
    </row>
    <row r="79" spans="1:10" ht="20.100000000000001" customHeight="1" x14ac:dyDescent="0.25">
      <c r="A79" s="30" t="str">
        <f t="shared" si="2"/>
        <v/>
      </c>
      <c r="B79" s="41"/>
      <c r="C79" s="35" t="str">
        <f>IFERROR(IF(B79="","",VLOOKUP(B79,DB_Customers!$A:$B,2,0)),"")</f>
        <v/>
      </c>
      <c r="D79" s="41"/>
      <c r="E79" s="32"/>
      <c r="F79" s="42" t="str">
        <f t="shared" ca="1" si="3"/>
        <v/>
      </c>
      <c r="G79" s="31"/>
      <c r="H79" s="43" t="str">
        <f>IFERROR(IF(OR(B79="",E79=""),"",SUMIF(DB_Loans!$B:$B,B79,DB_Loans!$E:$E)+E79),"")</f>
        <v/>
      </c>
      <c r="I79" s="43" t="str">
        <f>IFERROR(IF(OR(B79="",E79=""),"",SUMIF(DB_Loans!$B:$B,B79,DB_Loans!$J:$J)+(E79*0.025)),"")</f>
        <v/>
      </c>
      <c r="J79" s="31"/>
    </row>
    <row r="80" spans="1:10" ht="20.100000000000001" customHeight="1" x14ac:dyDescent="0.25">
      <c r="A80" s="30" t="str">
        <f t="shared" si="2"/>
        <v/>
      </c>
      <c r="B80" s="41"/>
      <c r="C80" s="35" t="str">
        <f>IFERROR(IF(B80="","",VLOOKUP(B80,DB_Customers!$A:$B,2,0)),"")</f>
        <v/>
      </c>
      <c r="D80" s="41"/>
      <c r="E80" s="32"/>
      <c r="F80" s="42" t="str">
        <f t="shared" ca="1" si="3"/>
        <v/>
      </c>
      <c r="G80" s="31"/>
      <c r="H80" s="43" t="str">
        <f>IFERROR(IF(OR(B80="",E80=""),"",SUMIF(DB_Loans!$B:$B,B80,DB_Loans!$E:$E)+E80),"")</f>
        <v/>
      </c>
      <c r="I80" s="43" t="str">
        <f>IFERROR(IF(OR(B80="",E80=""),"",SUMIF(DB_Loans!$B:$B,B80,DB_Loans!$J:$J)+(E80*0.025)),"")</f>
        <v/>
      </c>
      <c r="J80" s="31"/>
    </row>
    <row r="81" spans="1:10" ht="20.100000000000001" customHeight="1" x14ac:dyDescent="0.25">
      <c r="A81" s="30" t="str">
        <f t="shared" si="2"/>
        <v/>
      </c>
      <c r="B81" s="41"/>
      <c r="C81" s="35" t="str">
        <f>IFERROR(IF(B81="","",VLOOKUP(B81,DB_Customers!$A:$B,2,0)),"")</f>
        <v/>
      </c>
      <c r="D81" s="41"/>
      <c r="E81" s="32"/>
      <c r="F81" s="42" t="str">
        <f t="shared" ca="1" si="3"/>
        <v/>
      </c>
      <c r="G81" s="31"/>
      <c r="H81" s="43" t="str">
        <f>IFERROR(IF(OR(B81="",E81=""),"",SUMIF(DB_Loans!$B:$B,B81,DB_Loans!$E:$E)+E81),"")</f>
        <v/>
      </c>
      <c r="I81" s="43" t="str">
        <f>IFERROR(IF(OR(B81="",E81=""),"",SUMIF(DB_Loans!$B:$B,B81,DB_Loans!$J:$J)+(E81*0.025)),"")</f>
        <v/>
      </c>
      <c r="J81" s="31"/>
    </row>
    <row r="82" spans="1:10" ht="20.100000000000001" customHeight="1" x14ac:dyDescent="0.25">
      <c r="A82" s="30" t="str">
        <f t="shared" si="2"/>
        <v/>
      </c>
      <c r="B82" s="41"/>
      <c r="C82" s="35" t="str">
        <f>IFERROR(IF(B82="","",VLOOKUP(B82,DB_Customers!$A:$B,2,0)),"")</f>
        <v/>
      </c>
      <c r="D82" s="41"/>
      <c r="E82" s="32"/>
      <c r="F82" s="42" t="str">
        <f t="shared" ca="1" si="3"/>
        <v/>
      </c>
      <c r="G82" s="31"/>
      <c r="H82" s="43" t="str">
        <f>IFERROR(IF(OR(B82="",E82=""),"",SUMIF(DB_Loans!$B:$B,B82,DB_Loans!$E:$E)+E82),"")</f>
        <v/>
      </c>
      <c r="I82" s="43" t="str">
        <f>IFERROR(IF(OR(B82="",E82=""),"",SUMIF(DB_Loans!$B:$B,B82,DB_Loans!$J:$J)+(E82*0.025)),"")</f>
        <v/>
      </c>
      <c r="J82" s="31"/>
    </row>
    <row r="83" spans="1:10" ht="20.100000000000001" customHeight="1" x14ac:dyDescent="0.25">
      <c r="A83" s="30" t="str">
        <f t="shared" si="2"/>
        <v/>
      </c>
      <c r="B83" s="41"/>
      <c r="C83" s="35" t="str">
        <f>IFERROR(IF(B83="","",VLOOKUP(B83,DB_Customers!$A:$B,2,0)),"")</f>
        <v/>
      </c>
      <c r="D83" s="41"/>
      <c r="E83" s="32"/>
      <c r="F83" s="42" t="str">
        <f t="shared" ca="1" si="3"/>
        <v/>
      </c>
      <c r="G83" s="31"/>
      <c r="H83" s="43" t="str">
        <f>IFERROR(IF(OR(B83="",E83=""),"",SUMIF(DB_Loans!$B:$B,B83,DB_Loans!$E:$E)+E83),"")</f>
        <v/>
      </c>
      <c r="I83" s="43" t="str">
        <f>IFERROR(IF(OR(B83="",E83=""),"",SUMIF(DB_Loans!$B:$B,B83,DB_Loans!$J:$J)+(E83*0.025)),"")</f>
        <v/>
      </c>
      <c r="J83" s="31"/>
    </row>
    <row r="84" spans="1:10" ht="20.100000000000001" customHeight="1" x14ac:dyDescent="0.25">
      <c r="A84" s="30" t="str">
        <f t="shared" si="2"/>
        <v/>
      </c>
      <c r="B84" s="41"/>
      <c r="C84" s="35" t="str">
        <f>IFERROR(IF(B84="","",VLOOKUP(B84,DB_Customers!$A:$B,2,0)),"")</f>
        <v/>
      </c>
      <c r="D84" s="41"/>
      <c r="E84" s="32"/>
      <c r="F84" s="42" t="str">
        <f t="shared" ca="1" si="3"/>
        <v/>
      </c>
      <c r="G84" s="31"/>
      <c r="H84" s="43" t="str">
        <f>IFERROR(IF(OR(B84="",E84=""),"",SUMIF(DB_Loans!$B:$B,B84,DB_Loans!$E:$E)+E84),"")</f>
        <v/>
      </c>
      <c r="I84" s="43" t="str">
        <f>IFERROR(IF(OR(B84="",E84=""),"",SUMIF(DB_Loans!$B:$B,B84,DB_Loans!$J:$J)+(E84*0.025)),"")</f>
        <v/>
      </c>
      <c r="J84" s="31"/>
    </row>
    <row r="85" spans="1:10" ht="20.100000000000001" customHeight="1" x14ac:dyDescent="0.25">
      <c r="A85" s="30" t="str">
        <f t="shared" si="2"/>
        <v/>
      </c>
      <c r="B85" s="41"/>
      <c r="C85" s="35" t="str">
        <f>IFERROR(IF(B85="","",VLOOKUP(B85,DB_Customers!$A:$B,2,0)),"")</f>
        <v/>
      </c>
      <c r="D85" s="41"/>
      <c r="E85" s="32"/>
      <c r="F85" s="42" t="str">
        <f t="shared" ca="1" si="3"/>
        <v/>
      </c>
      <c r="G85" s="31"/>
      <c r="H85" s="43" t="str">
        <f>IFERROR(IF(OR(B85="",E85=""),"",SUMIF(DB_Loans!$B:$B,B85,DB_Loans!$E:$E)+E85),"")</f>
        <v/>
      </c>
      <c r="I85" s="43" t="str">
        <f>IFERROR(IF(OR(B85="",E85=""),"",SUMIF(DB_Loans!$B:$B,B85,DB_Loans!$J:$J)+(E85*0.025)),"")</f>
        <v/>
      </c>
      <c r="J85" s="31"/>
    </row>
    <row r="86" spans="1:10" ht="20.100000000000001" customHeight="1" x14ac:dyDescent="0.25">
      <c r="A86" s="30" t="str">
        <f t="shared" si="2"/>
        <v/>
      </c>
      <c r="B86" s="41"/>
      <c r="C86" s="35" t="str">
        <f>IFERROR(IF(B86="","",VLOOKUP(B86,DB_Customers!$A:$B,2,0)),"")</f>
        <v/>
      </c>
      <c r="D86" s="41"/>
      <c r="E86" s="32"/>
      <c r="F86" s="42" t="str">
        <f t="shared" ca="1" si="3"/>
        <v/>
      </c>
      <c r="G86" s="31"/>
      <c r="H86" s="43" t="str">
        <f>IFERROR(IF(OR(B86="",E86=""),"",SUMIF(DB_Loans!$B:$B,B86,DB_Loans!$E:$E)+E86),"")</f>
        <v/>
      </c>
      <c r="I86" s="43" t="str">
        <f>IFERROR(IF(OR(B86="",E86=""),"",SUMIF(DB_Loans!$B:$B,B86,DB_Loans!$J:$J)+(E86*0.025)),"")</f>
        <v/>
      </c>
      <c r="J86" s="31"/>
    </row>
    <row r="87" spans="1:10" ht="20.100000000000001" customHeight="1" x14ac:dyDescent="0.25">
      <c r="A87" s="30" t="str">
        <f t="shared" si="2"/>
        <v/>
      </c>
      <c r="B87" s="41"/>
      <c r="C87" s="35" t="str">
        <f>IFERROR(IF(B87="","",VLOOKUP(B87,DB_Customers!$A:$B,2,0)),"")</f>
        <v/>
      </c>
      <c r="D87" s="41"/>
      <c r="E87" s="32"/>
      <c r="F87" s="42" t="str">
        <f t="shared" ca="1" si="3"/>
        <v/>
      </c>
      <c r="G87" s="31"/>
      <c r="H87" s="43" t="str">
        <f>IFERROR(IF(OR(B87="",E87=""),"",SUMIF(DB_Loans!$B:$B,B87,DB_Loans!$E:$E)+E87),"")</f>
        <v/>
      </c>
      <c r="I87" s="43" t="str">
        <f>IFERROR(IF(OR(B87="",E87=""),"",SUMIF(DB_Loans!$B:$B,B87,DB_Loans!$J:$J)+(E87*0.025)),"")</f>
        <v/>
      </c>
      <c r="J87" s="31"/>
    </row>
    <row r="88" spans="1:10" ht="20.100000000000001" customHeight="1" x14ac:dyDescent="0.25">
      <c r="A88" s="30" t="str">
        <f t="shared" si="2"/>
        <v/>
      </c>
      <c r="B88" s="41"/>
      <c r="C88" s="35" t="str">
        <f>IFERROR(IF(B88="","",VLOOKUP(B88,DB_Customers!$A:$B,2,0)),"")</f>
        <v/>
      </c>
      <c r="D88" s="41"/>
      <c r="E88" s="32"/>
      <c r="F88" s="42" t="str">
        <f t="shared" ca="1" si="3"/>
        <v/>
      </c>
      <c r="G88" s="31"/>
      <c r="H88" s="43" t="str">
        <f>IFERROR(IF(OR(B88="",E88=""),"",SUMIF(DB_Loans!$B:$B,B88,DB_Loans!$E:$E)+E88),"")</f>
        <v/>
      </c>
      <c r="I88" s="43" t="str">
        <f>IFERROR(IF(OR(B88="",E88=""),"",SUMIF(DB_Loans!$B:$B,B88,DB_Loans!$J:$J)+(E88*0.025)),"")</f>
        <v/>
      </c>
      <c r="J88" s="31"/>
    </row>
    <row r="89" spans="1:10" ht="20.100000000000001" customHeight="1" x14ac:dyDescent="0.25">
      <c r="A89" s="30" t="str">
        <f t="shared" si="2"/>
        <v/>
      </c>
      <c r="B89" s="41"/>
      <c r="C89" s="35" t="str">
        <f>IFERROR(IF(B89="","",VLOOKUP(B89,DB_Customers!$A:$B,2,0)),"")</f>
        <v/>
      </c>
      <c r="D89" s="41"/>
      <c r="E89" s="32"/>
      <c r="F89" s="42" t="str">
        <f t="shared" ca="1" si="3"/>
        <v/>
      </c>
      <c r="G89" s="31"/>
      <c r="H89" s="43" t="str">
        <f>IFERROR(IF(OR(B89="",E89=""),"",SUMIF(DB_Loans!$B:$B,B89,DB_Loans!$E:$E)+E89),"")</f>
        <v/>
      </c>
      <c r="I89" s="43" t="str">
        <f>IFERROR(IF(OR(B89="",E89=""),"",SUMIF(DB_Loans!$B:$B,B89,DB_Loans!$J:$J)+(E89*0.025)),"")</f>
        <v/>
      </c>
      <c r="J89" s="31"/>
    </row>
    <row r="90" spans="1:10" ht="20.100000000000001" customHeight="1" x14ac:dyDescent="0.25">
      <c r="A90" s="30" t="str">
        <f t="shared" si="2"/>
        <v/>
      </c>
      <c r="B90" s="41"/>
      <c r="C90" s="35" t="str">
        <f>IFERROR(IF(B90="","",VLOOKUP(B90,DB_Customers!$A:$B,2,0)),"")</f>
        <v/>
      </c>
      <c r="D90" s="41"/>
      <c r="E90" s="32"/>
      <c r="F90" s="42" t="str">
        <f t="shared" ca="1" si="3"/>
        <v/>
      </c>
      <c r="G90" s="31"/>
      <c r="H90" s="43" t="str">
        <f>IFERROR(IF(OR(B90="",E90=""),"",SUMIF(DB_Loans!$B:$B,B90,DB_Loans!$E:$E)+E90),"")</f>
        <v/>
      </c>
      <c r="I90" s="43" t="str">
        <f>IFERROR(IF(OR(B90="",E90=""),"",SUMIF(DB_Loans!$B:$B,B90,DB_Loans!$J:$J)+(E90*0.025)),"")</f>
        <v/>
      </c>
      <c r="J90" s="31"/>
    </row>
    <row r="91" spans="1:10" ht="20.100000000000001" customHeight="1" x14ac:dyDescent="0.25">
      <c r="A91" s="30" t="str">
        <f t="shared" si="2"/>
        <v/>
      </c>
      <c r="B91" s="41"/>
      <c r="C91" s="35" t="str">
        <f>IFERROR(IF(B91="","",VLOOKUP(B91,DB_Customers!$A:$B,2,0)),"")</f>
        <v/>
      </c>
      <c r="D91" s="41"/>
      <c r="E91" s="32"/>
      <c r="F91" s="42" t="str">
        <f t="shared" ca="1" si="3"/>
        <v/>
      </c>
      <c r="G91" s="31"/>
      <c r="H91" s="43" t="str">
        <f>IFERROR(IF(OR(B91="",E91=""),"",SUMIF(DB_Loans!$B:$B,B91,DB_Loans!$E:$E)+E91),"")</f>
        <v/>
      </c>
      <c r="I91" s="43" t="str">
        <f>IFERROR(IF(OR(B91="",E91=""),"",SUMIF(DB_Loans!$B:$B,B91,DB_Loans!$J:$J)+(E91*0.025)),"")</f>
        <v/>
      </c>
      <c r="J91" s="31"/>
    </row>
    <row r="92" spans="1:10" ht="20.100000000000001" customHeight="1" x14ac:dyDescent="0.25">
      <c r="A92" s="30" t="str">
        <f t="shared" si="2"/>
        <v/>
      </c>
      <c r="B92" s="41"/>
      <c r="C92" s="35" t="str">
        <f>IFERROR(IF(B92="","",VLOOKUP(B92,DB_Customers!$A:$B,2,0)),"")</f>
        <v/>
      </c>
      <c r="D92" s="41"/>
      <c r="E92" s="32"/>
      <c r="F92" s="42" t="str">
        <f t="shared" ca="1" si="3"/>
        <v/>
      </c>
      <c r="G92" s="31"/>
      <c r="H92" s="43" t="str">
        <f>IFERROR(IF(OR(B92="",E92=""),"",SUMIF(DB_Loans!$B:$B,B92,DB_Loans!$E:$E)+E92),"")</f>
        <v/>
      </c>
      <c r="I92" s="43" t="str">
        <f>IFERROR(IF(OR(B92="",E92=""),"",SUMIF(DB_Loans!$B:$B,B92,DB_Loans!$J:$J)+(E92*0.025)),"")</f>
        <v/>
      </c>
      <c r="J92" s="31"/>
    </row>
    <row r="93" spans="1:10" ht="20.100000000000001" customHeight="1" x14ac:dyDescent="0.25">
      <c r="A93" s="30" t="str">
        <f t="shared" si="2"/>
        <v/>
      </c>
      <c r="B93" s="41"/>
      <c r="C93" s="35" t="str">
        <f>IFERROR(IF(B93="","",VLOOKUP(B93,DB_Customers!$A:$B,2,0)),"")</f>
        <v/>
      </c>
      <c r="D93" s="41"/>
      <c r="E93" s="32"/>
      <c r="F93" s="42" t="str">
        <f t="shared" ca="1" si="3"/>
        <v/>
      </c>
      <c r="G93" s="31"/>
      <c r="H93" s="43" t="str">
        <f>IFERROR(IF(OR(B93="",E93=""),"",SUMIF(DB_Loans!$B:$B,B93,DB_Loans!$E:$E)+E93),"")</f>
        <v/>
      </c>
      <c r="I93" s="43" t="str">
        <f>IFERROR(IF(OR(B93="",E93=""),"",SUMIF(DB_Loans!$B:$B,B93,DB_Loans!$J:$J)+(E93*0.025)),"")</f>
        <v/>
      </c>
      <c r="J93" s="31"/>
    </row>
    <row r="94" spans="1:10" ht="20.100000000000001" customHeight="1" x14ac:dyDescent="0.25">
      <c r="A94" s="30" t="str">
        <f t="shared" si="2"/>
        <v/>
      </c>
      <c r="B94" s="41"/>
      <c r="C94" s="35" t="str">
        <f>IFERROR(IF(B94="","",VLOOKUP(B94,DB_Customers!$A:$B,2,0)),"")</f>
        <v/>
      </c>
      <c r="D94" s="41"/>
      <c r="E94" s="32"/>
      <c r="F94" s="42" t="str">
        <f t="shared" ca="1" si="3"/>
        <v/>
      </c>
      <c r="G94" s="31"/>
      <c r="H94" s="43" t="str">
        <f>IFERROR(IF(OR(B94="",E94=""),"",SUMIF(DB_Loans!$B:$B,B94,DB_Loans!$E:$E)+E94),"")</f>
        <v/>
      </c>
      <c r="I94" s="43" t="str">
        <f>IFERROR(IF(OR(B94="",E94=""),"",SUMIF(DB_Loans!$B:$B,B94,DB_Loans!$J:$J)+(E94*0.025)),"")</f>
        <v/>
      </c>
      <c r="J94" s="31"/>
    </row>
    <row r="95" spans="1:10" ht="20.100000000000001" customHeight="1" x14ac:dyDescent="0.25">
      <c r="A95" s="30" t="str">
        <f t="shared" si="2"/>
        <v/>
      </c>
      <c r="B95" s="41"/>
      <c r="C95" s="35" t="str">
        <f>IFERROR(IF(B95="","",VLOOKUP(B95,DB_Customers!$A:$B,2,0)),"")</f>
        <v/>
      </c>
      <c r="D95" s="41"/>
      <c r="E95" s="32"/>
      <c r="F95" s="42" t="str">
        <f t="shared" ca="1" si="3"/>
        <v/>
      </c>
      <c r="G95" s="31"/>
      <c r="H95" s="43" t="str">
        <f>IFERROR(IF(OR(B95="",E95=""),"",SUMIF(DB_Loans!$B:$B,B95,DB_Loans!$E:$E)+E95),"")</f>
        <v/>
      </c>
      <c r="I95" s="43" t="str">
        <f>IFERROR(IF(OR(B95="",E95=""),"",SUMIF(DB_Loans!$B:$B,B95,DB_Loans!$J:$J)+(E95*0.025)),"")</f>
        <v/>
      </c>
      <c r="J95" s="31"/>
    </row>
    <row r="96" spans="1:10" ht="20.100000000000001" customHeight="1" x14ac:dyDescent="0.25">
      <c r="A96" s="30" t="str">
        <f t="shared" si="2"/>
        <v/>
      </c>
      <c r="B96" s="41"/>
      <c r="C96" s="35" t="str">
        <f>IFERROR(IF(B96="","",VLOOKUP(B96,DB_Customers!$A:$B,2,0)),"")</f>
        <v/>
      </c>
      <c r="D96" s="41"/>
      <c r="E96" s="32"/>
      <c r="F96" s="42" t="str">
        <f t="shared" ca="1" si="3"/>
        <v/>
      </c>
      <c r="G96" s="31"/>
      <c r="H96" s="43" t="str">
        <f>IFERROR(IF(OR(B96="",E96=""),"",SUMIF(DB_Loans!$B:$B,B96,DB_Loans!$E:$E)+E96),"")</f>
        <v/>
      </c>
      <c r="I96" s="43" t="str">
        <f>IFERROR(IF(OR(B96="",E96=""),"",SUMIF(DB_Loans!$B:$B,B96,DB_Loans!$J:$J)+(E96*0.025)),"")</f>
        <v/>
      </c>
      <c r="J96" s="31"/>
    </row>
    <row r="97" spans="1:10" ht="20.100000000000001" customHeight="1" x14ac:dyDescent="0.25">
      <c r="A97" s="30" t="str">
        <f t="shared" si="2"/>
        <v/>
      </c>
      <c r="B97" s="41"/>
      <c r="C97" s="35" t="str">
        <f>IFERROR(IF(B97="","",VLOOKUP(B97,DB_Customers!$A:$B,2,0)),"")</f>
        <v/>
      </c>
      <c r="D97" s="41"/>
      <c r="E97" s="32"/>
      <c r="F97" s="42" t="str">
        <f t="shared" ca="1" si="3"/>
        <v/>
      </c>
      <c r="G97" s="31"/>
      <c r="H97" s="43" t="str">
        <f>IFERROR(IF(OR(B97="",E97=""),"",SUMIF(DB_Loans!$B:$B,B97,DB_Loans!$E:$E)+E97),"")</f>
        <v/>
      </c>
      <c r="I97" s="43" t="str">
        <f>IFERROR(IF(OR(B97="",E97=""),"",SUMIF(DB_Loans!$B:$B,B97,DB_Loans!$J:$J)+(E97*0.025)),"")</f>
        <v/>
      </c>
      <c r="J97" s="31"/>
    </row>
    <row r="98" spans="1:10" ht="20.100000000000001" customHeight="1" x14ac:dyDescent="0.25">
      <c r="A98" s="30" t="str">
        <f t="shared" si="2"/>
        <v/>
      </c>
      <c r="B98" s="41"/>
      <c r="C98" s="35" t="str">
        <f>IFERROR(IF(B98="","",VLOOKUP(B98,DB_Customers!$A:$B,2,0)),"")</f>
        <v/>
      </c>
      <c r="D98" s="41"/>
      <c r="E98" s="32"/>
      <c r="F98" s="42" t="str">
        <f t="shared" ca="1" si="3"/>
        <v/>
      </c>
      <c r="G98" s="31"/>
      <c r="H98" s="43" t="str">
        <f>IFERROR(IF(OR(B98="",E98=""),"",SUMIF(DB_Loans!$B:$B,B98,DB_Loans!$E:$E)+E98),"")</f>
        <v/>
      </c>
      <c r="I98" s="43" t="str">
        <f>IFERROR(IF(OR(B98="",E98=""),"",SUMIF(DB_Loans!$B:$B,B98,DB_Loans!$J:$J)+(E98*0.025)),"")</f>
        <v/>
      </c>
      <c r="J98" s="31"/>
    </row>
    <row r="99" spans="1:10" ht="20.100000000000001" customHeight="1" x14ac:dyDescent="0.25">
      <c r="A99" s="30" t="str">
        <f t="shared" si="2"/>
        <v/>
      </c>
      <c r="B99" s="41"/>
      <c r="C99" s="35" t="str">
        <f>IFERROR(IF(B99="","",VLOOKUP(B99,DB_Customers!$A:$B,2,0)),"")</f>
        <v/>
      </c>
      <c r="D99" s="41"/>
      <c r="E99" s="32"/>
      <c r="F99" s="42" t="str">
        <f t="shared" ca="1" si="3"/>
        <v/>
      </c>
      <c r="G99" s="31"/>
      <c r="H99" s="43" t="str">
        <f>IFERROR(IF(OR(B99="",E99=""),"",SUMIF(DB_Loans!$B:$B,B99,DB_Loans!$E:$E)+E99),"")</f>
        <v/>
      </c>
      <c r="I99" s="43" t="str">
        <f>IFERROR(IF(OR(B99="",E99=""),"",SUMIF(DB_Loans!$B:$B,B99,DB_Loans!$J:$J)+(E99*0.025)),"")</f>
        <v/>
      </c>
      <c r="J99" s="31"/>
    </row>
    <row r="100" spans="1:10" ht="20.100000000000001" customHeight="1" x14ac:dyDescent="0.25">
      <c r="A100" s="30" t="str">
        <f t="shared" si="2"/>
        <v/>
      </c>
      <c r="B100" s="41"/>
      <c r="C100" s="35" t="str">
        <f>IFERROR(IF(B100="","",VLOOKUP(B100,DB_Customers!$A:$B,2,0)),"")</f>
        <v/>
      </c>
      <c r="D100" s="41"/>
      <c r="E100" s="32"/>
      <c r="F100" s="42" t="str">
        <f t="shared" ca="1" si="3"/>
        <v/>
      </c>
      <c r="G100" s="31"/>
      <c r="H100" s="43" t="str">
        <f>IFERROR(IF(OR(B100="",E100=""),"",SUMIF(DB_Loans!$B:$B,B100,DB_Loans!$E:$E)+E100),"")</f>
        <v/>
      </c>
      <c r="I100" s="43" t="str">
        <f>IFERROR(IF(OR(B100="",E100=""),"",SUMIF(DB_Loans!$B:$B,B100,DB_Loans!$J:$J)+(E100*0.025)),"")</f>
        <v/>
      </c>
      <c r="J100" s="31"/>
    </row>
    <row r="101" spans="1:10" ht="20.100000000000001" customHeight="1" x14ac:dyDescent="0.25">
      <c r="A101" s="30" t="str">
        <f t="shared" si="2"/>
        <v/>
      </c>
      <c r="B101" s="41"/>
      <c r="C101" s="35" t="str">
        <f>IFERROR(IF(B101="","",VLOOKUP(B101,DB_Customers!$A:$B,2,0)),"")</f>
        <v/>
      </c>
      <c r="D101" s="41"/>
      <c r="E101" s="32"/>
      <c r="F101" s="42" t="str">
        <f t="shared" ca="1" si="3"/>
        <v/>
      </c>
      <c r="G101" s="31"/>
      <c r="H101" s="43" t="str">
        <f>IFERROR(IF(OR(B101="",E101=""),"",SUMIF(DB_Loans!$B:$B,B101,DB_Loans!$E:$E)+E101),"")</f>
        <v/>
      </c>
      <c r="I101" s="43" t="str">
        <f>IFERROR(IF(OR(B101="",E101=""),"",SUMIF(DB_Loans!$B:$B,B101,DB_Loans!$J:$J)+(E101*0.025)),"")</f>
        <v/>
      </c>
      <c r="J101" s="31"/>
    </row>
    <row r="102" spans="1:10" ht="20.100000000000001" customHeight="1" x14ac:dyDescent="0.25">
      <c r="A102" s="30" t="str">
        <f t="shared" si="2"/>
        <v/>
      </c>
      <c r="B102" s="41"/>
      <c r="C102" s="35" t="str">
        <f>IFERROR(IF(B102="","",VLOOKUP(B102,DB_Customers!$A:$B,2,0)),"")</f>
        <v/>
      </c>
      <c r="D102" s="41"/>
      <c r="E102" s="32"/>
      <c r="F102" s="42" t="str">
        <f t="shared" ca="1" si="3"/>
        <v/>
      </c>
      <c r="G102" s="31"/>
      <c r="H102" s="43" t="str">
        <f>IFERROR(IF(OR(B102="",E102=""),"",SUMIF(DB_Loans!$B:$B,B102,DB_Loans!$E:$E)+E102),"")</f>
        <v/>
      </c>
      <c r="I102" s="43" t="str">
        <f>IFERROR(IF(OR(B102="",E102=""),"",SUMIF(DB_Loans!$B:$B,B102,DB_Loans!$J:$J)+(E102*0.025)),"")</f>
        <v/>
      </c>
      <c r="J102" s="31"/>
    </row>
    <row r="103" spans="1:10" ht="20.100000000000001" customHeight="1" x14ac:dyDescent="0.25">
      <c r="A103" s="30" t="str">
        <f t="shared" si="2"/>
        <v/>
      </c>
      <c r="B103" s="41"/>
      <c r="C103" s="35" t="str">
        <f>IFERROR(IF(B103="","",VLOOKUP(B103,DB_Customers!$A:$B,2,0)),"")</f>
        <v/>
      </c>
      <c r="D103" s="41"/>
      <c r="E103" s="32"/>
      <c r="F103" s="42" t="str">
        <f t="shared" ca="1" si="3"/>
        <v/>
      </c>
      <c r="G103" s="31"/>
      <c r="H103" s="43" t="str">
        <f>IFERROR(IF(OR(B103="",E103=""),"",SUMIF(DB_Loans!$B:$B,B103,DB_Loans!$E:$E)+E103),"")</f>
        <v/>
      </c>
      <c r="I103" s="43" t="str">
        <f>IFERROR(IF(OR(B103="",E103=""),"",SUMIF(DB_Loans!$B:$B,B103,DB_Loans!$J:$J)+(E103*0.025)),"")</f>
        <v/>
      </c>
      <c r="J103" s="31"/>
    </row>
    <row r="104" spans="1:10" ht="20.100000000000001" customHeight="1" x14ac:dyDescent="0.25">
      <c r="A104" s="30" t="str">
        <f t="shared" si="2"/>
        <v/>
      </c>
      <c r="B104" s="41"/>
      <c r="C104" s="35" t="str">
        <f>IFERROR(IF(B104="","",VLOOKUP(B104,DB_Customers!$A:$B,2,0)),"")</f>
        <v/>
      </c>
      <c r="D104" s="41"/>
      <c r="E104" s="32"/>
      <c r="F104" s="42" t="str">
        <f t="shared" ca="1" si="3"/>
        <v/>
      </c>
      <c r="G104" s="31"/>
      <c r="H104" s="43" t="str">
        <f>IFERROR(IF(OR(B104="",E104=""),"",SUMIF(DB_Loans!$B:$B,B104,DB_Loans!$E:$E)+E104),"")</f>
        <v/>
      </c>
      <c r="I104" s="43" t="str">
        <f>IFERROR(IF(OR(B104="",E104=""),"",SUMIF(DB_Loans!$B:$B,B104,DB_Loans!$J:$J)+(E104*0.025)),"")</f>
        <v/>
      </c>
      <c r="J104" s="31"/>
    </row>
    <row r="105" spans="1:10" ht="20.100000000000001" customHeight="1" x14ac:dyDescent="0.25">
      <c r="A105" s="30" t="str">
        <f t="shared" si="2"/>
        <v/>
      </c>
      <c r="B105" s="41"/>
      <c r="C105" s="35" t="str">
        <f>IFERROR(IF(B105="","",VLOOKUP(B105,DB_Customers!$A:$B,2,0)),"")</f>
        <v/>
      </c>
      <c r="D105" s="41"/>
      <c r="E105" s="32"/>
      <c r="F105" s="42" t="str">
        <f t="shared" ca="1" si="3"/>
        <v/>
      </c>
      <c r="G105" s="31"/>
      <c r="H105" s="43" t="str">
        <f>IFERROR(IF(OR(B105="",E105=""),"",SUMIF(DB_Loans!$B:$B,B105,DB_Loans!$E:$E)+E105),"")</f>
        <v/>
      </c>
      <c r="I105" s="43" t="str">
        <f>IFERROR(IF(OR(B105="",E105=""),"",SUMIF(DB_Loans!$B:$B,B105,DB_Loans!$J:$J)+(E105*0.025)),"")</f>
        <v/>
      </c>
      <c r="J105" s="31"/>
    </row>
    <row r="106" spans="1:10" ht="20.100000000000001" customHeight="1" x14ac:dyDescent="0.25">
      <c r="A106" s="30" t="str">
        <f t="shared" si="2"/>
        <v/>
      </c>
      <c r="B106" s="41"/>
      <c r="C106" s="35" t="str">
        <f>IFERROR(IF(B106="","",VLOOKUP(B106,DB_Customers!$A:$B,2,0)),"")</f>
        <v/>
      </c>
      <c r="D106" s="41"/>
      <c r="E106" s="32"/>
      <c r="F106" s="42" t="str">
        <f t="shared" ca="1" si="3"/>
        <v/>
      </c>
      <c r="G106" s="31"/>
      <c r="H106" s="43" t="str">
        <f>IFERROR(IF(OR(B106="",E106=""),"",SUMIF(DB_Loans!$B:$B,B106,DB_Loans!$E:$E)+E106),"")</f>
        <v/>
      </c>
      <c r="I106" s="43" t="str">
        <f>IFERROR(IF(OR(B106="",E106=""),"",SUMIF(DB_Loans!$B:$B,B106,DB_Loans!$J:$J)+(E106*0.025)),"")</f>
        <v/>
      </c>
      <c r="J106" s="31"/>
    </row>
    <row r="107" spans="1:10" ht="20.100000000000001" customHeight="1" x14ac:dyDescent="0.25">
      <c r="A107" s="30" t="str">
        <f t="shared" si="2"/>
        <v/>
      </c>
      <c r="B107" s="41"/>
      <c r="C107" s="35" t="str">
        <f>IFERROR(IF(B107="","",VLOOKUP(B107,DB_Customers!$A:$B,2,0)),"")</f>
        <v/>
      </c>
      <c r="D107" s="41"/>
      <c r="E107" s="32"/>
      <c r="F107" s="42" t="str">
        <f t="shared" ca="1" si="3"/>
        <v/>
      </c>
      <c r="G107" s="31"/>
      <c r="H107" s="43" t="str">
        <f>IFERROR(IF(OR(B107="",E107=""),"",SUMIF(DB_Loans!$B:$B,B107,DB_Loans!$E:$E)+E107),"")</f>
        <v/>
      </c>
      <c r="I107" s="43" t="str">
        <f>IFERROR(IF(OR(B107="",E107=""),"",SUMIF(DB_Loans!$B:$B,B107,DB_Loans!$J:$J)+(E107*0.025)),"")</f>
        <v/>
      </c>
      <c r="J107" s="31"/>
    </row>
    <row r="108" spans="1:10" ht="20.100000000000001" customHeight="1" x14ac:dyDescent="0.25">
      <c r="A108" s="30" t="str">
        <f t="shared" si="2"/>
        <v/>
      </c>
      <c r="B108" s="41"/>
      <c r="C108" s="35" t="str">
        <f>IFERROR(IF(B108="","",VLOOKUP(B108,DB_Customers!$A:$B,2,0)),"")</f>
        <v/>
      </c>
      <c r="D108" s="41"/>
      <c r="E108" s="32"/>
      <c r="F108" s="42" t="str">
        <f t="shared" ca="1" si="3"/>
        <v/>
      </c>
      <c r="G108" s="31"/>
      <c r="H108" s="43" t="str">
        <f>IFERROR(IF(OR(B108="",E108=""),"",SUMIF(DB_Loans!$B:$B,B108,DB_Loans!$E:$E)+E108),"")</f>
        <v/>
      </c>
      <c r="I108" s="43" t="str">
        <f>IFERROR(IF(OR(B108="",E108=""),"",SUMIF(DB_Loans!$B:$B,B108,DB_Loans!$J:$J)+(E108*0.025)),"")</f>
        <v/>
      </c>
      <c r="J108" s="31"/>
    </row>
    <row r="109" spans="1:10" ht="20.100000000000001" customHeight="1" x14ac:dyDescent="0.25">
      <c r="A109" s="30" t="str">
        <f t="shared" si="2"/>
        <v/>
      </c>
      <c r="B109" s="41"/>
      <c r="C109" s="35" t="str">
        <f>IFERROR(IF(B109="","",VLOOKUP(B109,DB_Customers!$A:$B,2,0)),"")</f>
        <v/>
      </c>
      <c r="D109" s="41"/>
      <c r="E109" s="32"/>
      <c r="F109" s="42" t="str">
        <f t="shared" ca="1" si="3"/>
        <v/>
      </c>
      <c r="G109" s="31"/>
      <c r="H109" s="43" t="str">
        <f>IFERROR(IF(OR(B109="",E109=""),"",SUMIF(DB_Loans!$B:$B,B109,DB_Loans!$E:$E)+E109),"")</f>
        <v/>
      </c>
      <c r="I109" s="43" t="str">
        <f>IFERROR(IF(OR(B109="",E109=""),"",SUMIF(DB_Loans!$B:$B,B109,DB_Loans!$J:$J)+(E109*0.025)),"")</f>
        <v/>
      </c>
      <c r="J109" s="31"/>
    </row>
    <row r="110" spans="1:10" ht="20.100000000000001" customHeight="1" x14ac:dyDescent="0.25">
      <c r="A110" s="30" t="str">
        <f t="shared" si="2"/>
        <v/>
      </c>
      <c r="B110" s="41"/>
      <c r="C110" s="35" t="str">
        <f>IFERROR(IF(B110="","",VLOOKUP(B110,DB_Customers!$A:$B,2,0)),"")</f>
        <v/>
      </c>
      <c r="D110" s="41"/>
      <c r="E110" s="32"/>
      <c r="F110" s="42" t="str">
        <f t="shared" ca="1" si="3"/>
        <v/>
      </c>
      <c r="G110" s="31"/>
      <c r="H110" s="43" t="str">
        <f>IFERROR(IF(OR(B110="",E110=""),"",SUMIF(DB_Loans!$B:$B,B110,DB_Loans!$E:$E)+E110),"")</f>
        <v/>
      </c>
      <c r="I110" s="43" t="str">
        <f>IFERROR(IF(OR(B110="",E110=""),"",SUMIF(DB_Loans!$B:$B,B110,DB_Loans!$J:$J)+(E110*0.025)),"")</f>
        <v/>
      </c>
      <c r="J110" s="31"/>
    </row>
    <row r="111" spans="1:10" ht="20.100000000000001" customHeight="1" x14ac:dyDescent="0.25">
      <c r="A111" s="30" t="str">
        <f t="shared" si="2"/>
        <v/>
      </c>
      <c r="B111" s="41"/>
      <c r="C111" s="35" t="str">
        <f>IFERROR(IF(B111="","",VLOOKUP(B111,DB_Customers!$A:$B,2,0)),"")</f>
        <v/>
      </c>
      <c r="D111" s="41"/>
      <c r="E111" s="32"/>
      <c r="F111" s="42" t="str">
        <f t="shared" ca="1" si="3"/>
        <v/>
      </c>
      <c r="G111" s="31"/>
      <c r="H111" s="43" t="str">
        <f>IFERROR(IF(OR(B111="",E111=""),"",SUMIF(DB_Loans!$B:$B,B111,DB_Loans!$E:$E)+E111),"")</f>
        <v/>
      </c>
      <c r="I111" s="43" t="str">
        <f>IFERROR(IF(OR(B111="",E111=""),"",SUMIF(DB_Loans!$B:$B,B111,DB_Loans!$J:$J)+(E111*0.025)),"")</f>
        <v/>
      </c>
      <c r="J111" s="31"/>
    </row>
    <row r="112" spans="1:10" ht="20.100000000000001" customHeight="1" x14ac:dyDescent="0.25">
      <c r="A112" s="30" t="str">
        <f t="shared" si="2"/>
        <v/>
      </c>
      <c r="B112" s="41"/>
      <c r="C112" s="35" t="str">
        <f>IFERROR(IF(B112="","",VLOOKUP(B112,DB_Customers!$A:$B,2,0)),"")</f>
        <v/>
      </c>
      <c r="D112" s="41"/>
      <c r="E112" s="32"/>
      <c r="F112" s="42" t="str">
        <f t="shared" ca="1" si="3"/>
        <v/>
      </c>
      <c r="G112" s="31"/>
      <c r="H112" s="43" t="str">
        <f>IFERROR(IF(OR(B112="",E112=""),"",SUMIF(DB_Loans!$B:$B,B112,DB_Loans!$E:$E)+E112),"")</f>
        <v/>
      </c>
      <c r="I112" s="43" t="str">
        <f>IFERROR(IF(OR(B112="",E112=""),"",SUMIF(DB_Loans!$B:$B,B112,DB_Loans!$J:$J)+(E112*0.025)),"")</f>
        <v/>
      </c>
      <c r="J112" s="31"/>
    </row>
    <row r="113" spans="1:10" ht="20.100000000000001" customHeight="1" x14ac:dyDescent="0.25">
      <c r="A113" s="30" t="str">
        <f t="shared" si="2"/>
        <v/>
      </c>
      <c r="B113" s="41"/>
      <c r="C113" s="35" t="str">
        <f>IFERROR(IF(B113="","",VLOOKUP(B113,DB_Customers!$A:$B,2,0)),"")</f>
        <v/>
      </c>
      <c r="D113" s="41"/>
      <c r="E113" s="32"/>
      <c r="F113" s="42" t="str">
        <f t="shared" ca="1" si="3"/>
        <v/>
      </c>
      <c r="G113" s="31"/>
      <c r="H113" s="43" t="str">
        <f>IFERROR(IF(OR(B113="",E113=""),"",SUMIF(DB_Loans!$B:$B,B113,DB_Loans!$E:$E)+E113),"")</f>
        <v/>
      </c>
      <c r="I113" s="43" t="str">
        <f>IFERROR(IF(OR(B113="",E113=""),"",SUMIF(DB_Loans!$B:$B,B113,DB_Loans!$J:$J)+(E113*0.025)),"")</f>
        <v/>
      </c>
      <c r="J113" s="31"/>
    </row>
    <row r="114" spans="1:10" ht="20.100000000000001" customHeight="1" x14ac:dyDescent="0.25">
      <c r="A114" s="30" t="str">
        <f t="shared" si="2"/>
        <v/>
      </c>
      <c r="B114" s="41"/>
      <c r="C114" s="35" t="str">
        <f>IFERROR(IF(B114="","",VLOOKUP(B114,DB_Customers!$A:$B,2,0)),"")</f>
        <v/>
      </c>
      <c r="D114" s="41"/>
      <c r="E114" s="32"/>
      <c r="F114" s="42" t="str">
        <f t="shared" ca="1" si="3"/>
        <v/>
      </c>
      <c r="G114" s="31"/>
      <c r="H114" s="43" t="str">
        <f>IFERROR(IF(OR(B114="",E114=""),"",SUMIF(DB_Loans!$B:$B,B114,DB_Loans!$E:$E)+E114),"")</f>
        <v/>
      </c>
      <c r="I114" s="43" t="str">
        <f>IFERROR(IF(OR(B114="",E114=""),"",SUMIF(DB_Loans!$B:$B,B114,DB_Loans!$J:$J)+(E114*0.025)),"")</f>
        <v/>
      </c>
      <c r="J114" s="31"/>
    </row>
    <row r="115" spans="1:10" ht="20.100000000000001" customHeight="1" x14ac:dyDescent="0.25">
      <c r="A115" s="30" t="str">
        <f t="shared" si="2"/>
        <v/>
      </c>
      <c r="B115" s="41"/>
      <c r="C115" s="35" t="str">
        <f>IFERROR(IF(B115="","",VLOOKUP(B115,DB_Customers!$A:$B,2,0)),"")</f>
        <v/>
      </c>
      <c r="D115" s="41"/>
      <c r="E115" s="32"/>
      <c r="F115" s="42" t="str">
        <f t="shared" ca="1" si="3"/>
        <v/>
      </c>
      <c r="G115" s="31"/>
      <c r="H115" s="43" t="str">
        <f>IFERROR(IF(OR(B115="",E115=""),"",SUMIF(DB_Loans!$B:$B,B115,DB_Loans!$E:$E)+E115),"")</f>
        <v/>
      </c>
      <c r="I115" s="43" t="str">
        <f>IFERROR(IF(OR(B115="",E115=""),"",SUMIF(DB_Loans!$B:$B,B115,DB_Loans!$J:$J)+(E115*0.025)),"")</f>
        <v/>
      </c>
      <c r="J115" s="31"/>
    </row>
    <row r="116" spans="1:10" ht="20.100000000000001" customHeight="1" x14ac:dyDescent="0.25">
      <c r="A116" s="30" t="str">
        <f t="shared" si="2"/>
        <v/>
      </c>
      <c r="B116" s="41"/>
      <c r="C116" s="35" t="str">
        <f>IFERROR(IF(B116="","",VLOOKUP(B116,DB_Customers!$A:$B,2,0)),"")</f>
        <v/>
      </c>
      <c r="D116" s="41"/>
      <c r="E116" s="32"/>
      <c r="F116" s="42" t="str">
        <f t="shared" ca="1" si="3"/>
        <v/>
      </c>
      <c r="G116" s="31"/>
      <c r="H116" s="43" t="str">
        <f>IFERROR(IF(OR(B116="",E116=""),"",SUMIF(DB_Loans!$B:$B,B116,DB_Loans!$E:$E)+E116),"")</f>
        <v/>
      </c>
      <c r="I116" s="43" t="str">
        <f>IFERROR(IF(OR(B116="",E116=""),"",SUMIF(DB_Loans!$B:$B,B116,DB_Loans!$J:$J)+(E116*0.025)),"")</f>
        <v/>
      </c>
      <c r="J116" s="31"/>
    </row>
    <row r="117" spans="1:10" ht="20.100000000000001" customHeight="1" x14ac:dyDescent="0.25">
      <c r="A117" s="30" t="str">
        <f t="shared" si="2"/>
        <v/>
      </c>
      <c r="B117" s="41"/>
      <c r="C117" s="35" t="str">
        <f>IFERROR(IF(B117="","",VLOOKUP(B117,DB_Customers!$A:$B,2,0)),"")</f>
        <v/>
      </c>
      <c r="D117" s="41"/>
      <c r="E117" s="32"/>
      <c r="F117" s="42" t="str">
        <f t="shared" ca="1" si="3"/>
        <v/>
      </c>
      <c r="G117" s="31"/>
      <c r="H117" s="43" t="str">
        <f>IFERROR(IF(OR(B117="",E117=""),"",SUMIF(DB_Loans!$B:$B,B117,DB_Loans!$E:$E)+E117),"")</f>
        <v/>
      </c>
      <c r="I117" s="43" t="str">
        <f>IFERROR(IF(OR(B117="",E117=""),"",SUMIF(DB_Loans!$B:$B,B117,DB_Loans!$J:$J)+(E117*0.025)),"")</f>
        <v/>
      </c>
      <c r="J117" s="31"/>
    </row>
    <row r="118" spans="1:10" ht="20.100000000000001" customHeight="1" x14ac:dyDescent="0.25">
      <c r="A118" s="30" t="str">
        <f t="shared" si="2"/>
        <v/>
      </c>
      <c r="B118" s="41"/>
      <c r="C118" s="35" t="str">
        <f>IFERROR(IF(B118="","",VLOOKUP(B118,DB_Customers!$A:$B,2,0)),"")</f>
        <v/>
      </c>
      <c r="D118" s="41"/>
      <c r="E118" s="32"/>
      <c r="F118" s="42" t="str">
        <f t="shared" ca="1" si="3"/>
        <v/>
      </c>
      <c r="G118" s="31"/>
      <c r="H118" s="43" t="str">
        <f>IFERROR(IF(OR(B118="",E118=""),"",SUMIF(DB_Loans!$B:$B,B118,DB_Loans!$E:$E)+E118),"")</f>
        <v/>
      </c>
      <c r="I118" s="43" t="str">
        <f>IFERROR(IF(OR(B118="",E118=""),"",SUMIF(DB_Loans!$B:$B,B118,DB_Loans!$J:$J)+(E118*0.025)),"")</f>
        <v/>
      </c>
      <c r="J118" s="31"/>
    </row>
    <row r="119" spans="1:10" ht="20.100000000000001" customHeight="1" x14ac:dyDescent="0.25">
      <c r="A119" s="30" t="str">
        <f t="shared" si="2"/>
        <v/>
      </c>
      <c r="B119" s="41"/>
      <c r="C119" s="35" t="str">
        <f>IFERROR(IF(B119="","",VLOOKUP(B119,DB_Customers!$A:$B,2,0)),"")</f>
        <v/>
      </c>
      <c r="D119" s="41"/>
      <c r="E119" s="32"/>
      <c r="F119" s="42" t="str">
        <f t="shared" ca="1" si="3"/>
        <v/>
      </c>
      <c r="G119" s="31"/>
      <c r="H119" s="43" t="str">
        <f>IFERROR(IF(OR(B119="",E119=""),"",SUMIF(DB_Loans!$B:$B,B119,DB_Loans!$E:$E)+E119),"")</f>
        <v/>
      </c>
      <c r="I119" s="43" t="str">
        <f>IFERROR(IF(OR(B119="",E119=""),"",SUMIF(DB_Loans!$B:$B,B119,DB_Loans!$J:$J)+(E119*0.025)),"")</f>
        <v/>
      </c>
      <c r="J119" s="31"/>
    </row>
    <row r="120" spans="1:10" ht="20.100000000000001" customHeight="1" x14ac:dyDescent="0.25">
      <c r="A120" s="30" t="str">
        <f t="shared" si="2"/>
        <v/>
      </c>
      <c r="B120" s="41"/>
      <c r="C120" s="35" t="str">
        <f>IFERROR(IF(B120="","",VLOOKUP(B120,DB_Customers!$A:$B,2,0)),"")</f>
        <v/>
      </c>
      <c r="D120" s="41"/>
      <c r="E120" s="32"/>
      <c r="F120" s="42" t="str">
        <f t="shared" ca="1" si="3"/>
        <v/>
      </c>
      <c r="G120" s="31"/>
      <c r="H120" s="43" t="str">
        <f>IFERROR(IF(OR(B120="",E120=""),"",SUMIF(DB_Loans!$B:$B,B120,DB_Loans!$E:$E)+E120),"")</f>
        <v/>
      </c>
      <c r="I120" s="43" t="str">
        <f>IFERROR(IF(OR(B120="",E120=""),"",SUMIF(DB_Loans!$B:$B,B120,DB_Loans!$J:$J)+(E120*0.025)),"")</f>
        <v/>
      </c>
      <c r="J120" s="31"/>
    </row>
    <row r="121" spans="1:10" ht="20.100000000000001" customHeight="1" x14ac:dyDescent="0.25">
      <c r="A121" s="30" t="str">
        <f t="shared" si="2"/>
        <v/>
      </c>
      <c r="B121" s="41"/>
      <c r="C121" s="35" t="str">
        <f>IFERROR(IF(B121="","",VLOOKUP(B121,DB_Customers!$A:$B,2,0)),"")</f>
        <v/>
      </c>
      <c r="D121" s="41"/>
      <c r="E121" s="32"/>
      <c r="F121" s="42" t="str">
        <f t="shared" ca="1" si="3"/>
        <v/>
      </c>
      <c r="G121" s="31"/>
      <c r="H121" s="43" t="str">
        <f>IFERROR(IF(OR(B121="",E121=""),"",SUMIF(DB_Loans!$B:$B,B121,DB_Loans!$E:$E)+E121),"")</f>
        <v/>
      </c>
      <c r="I121" s="43" t="str">
        <f>IFERROR(IF(OR(B121="",E121=""),"",SUMIF(DB_Loans!$B:$B,B121,DB_Loans!$J:$J)+(E121*0.025)),"")</f>
        <v/>
      </c>
      <c r="J121" s="31"/>
    </row>
    <row r="122" spans="1:10" ht="20.100000000000001" customHeight="1" x14ac:dyDescent="0.25">
      <c r="A122" s="30" t="str">
        <f t="shared" si="2"/>
        <v/>
      </c>
      <c r="B122" s="41"/>
      <c r="C122" s="35" t="str">
        <f>IFERROR(IF(B122="","",VLOOKUP(B122,DB_Customers!$A:$B,2,0)),"")</f>
        <v/>
      </c>
      <c r="D122" s="41"/>
      <c r="E122" s="32"/>
      <c r="F122" s="42" t="str">
        <f t="shared" ca="1" si="3"/>
        <v/>
      </c>
      <c r="G122" s="31"/>
      <c r="H122" s="43" t="str">
        <f>IFERROR(IF(OR(B122="",E122=""),"",SUMIF(DB_Loans!$B:$B,B122,DB_Loans!$E:$E)+E122),"")</f>
        <v/>
      </c>
      <c r="I122" s="43" t="str">
        <f>IFERROR(IF(OR(B122="",E122=""),"",SUMIF(DB_Loans!$B:$B,B122,DB_Loans!$J:$J)+(E122*0.025)),"")</f>
        <v/>
      </c>
      <c r="J122" s="31"/>
    </row>
    <row r="123" spans="1:10" ht="20.100000000000001" customHeight="1" x14ac:dyDescent="0.25">
      <c r="A123" s="30" t="str">
        <f t="shared" si="2"/>
        <v/>
      </c>
      <c r="B123" s="41"/>
      <c r="C123" s="35" t="str">
        <f>IFERROR(IF(B123="","",VLOOKUP(B123,DB_Customers!$A:$B,2,0)),"")</f>
        <v/>
      </c>
      <c r="D123" s="41"/>
      <c r="E123" s="32"/>
      <c r="F123" s="42" t="str">
        <f t="shared" ca="1" si="3"/>
        <v/>
      </c>
      <c r="G123" s="31"/>
      <c r="H123" s="43" t="str">
        <f>IFERROR(IF(OR(B123="",E123=""),"",SUMIF(DB_Loans!$B:$B,B123,DB_Loans!$E:$E)+E123),"")</f>
        <v/>
      </c>
      <c r="I123" s="43" t="str">
        <f>IFERROR(IF(OR(B123="",E123=""),"",SUMIF(DB_Loans!$B:$B,B123,DB_Loans!$J:$J)+(E123*0.025)),"")</f>
        <v/>
      </c>
      <c r="J123" s="31"/>
    </row>
    <row r="124" spans="1:10" ht="20.100000000000001" customHeight="1" x14ac:dyDescent="0.25">
      <c r="A124" s="30" t="str">
        <f t="shared" si="2"/>
        <v/>
      </c>
      <c r="B124" s="41"/>
      <c r="C124" s="35" t="str">
        <f>IFERROR(IF(B124="","",VLOOKUP(B124,DB_Customers!$A:$B,2,0)),"")</f>
        <v/>
      </c>
      <c r="D124" s="41"/>
      <c r="E124" s="32"/>
      <c r="F124" s="42" t="str">
        <f t="shared" ca="1" si="3"/>
        <v/>
      </c>
      <c r="G124" s="31"/>
      <c r="H124" s="43" t="str">
        <f>IFERROR(IF(OR(B124="",E124=""),"",SUMIF(DB_Loans!$B:$B,B124,DB_Loans!$E:$E)+E124),"")</f>
        <v/>
      </c>
      <c r="I124" s="43" t="str">
        <f>IFERROR(IF(OR(B124="",E124=""),"",SUMIF(DB_Loans!$B:$B,B124,DB_Loans!$J:$J)+(E124*0.025)),"")</f>
        <v/>
      </c>
      <c r="J124" s="31"/>
    </row>
    <row r="125" spans="1:10" ht="20.100000000000001" customHeight="1" x14ac:dyDescent="0.25">
      <c r="A125" s="30" t="str">
        <f t="shared" si="2"/>
        <v/>
      </c>
      <c r="B125" s="41"/>
      <c r="C125" s="35" t="str">
        <f>IFERROR(IF(B125="","",VLOOKUP(B125,DB_Customers!$A:$B,2,0)),"")</f>
        <v/>
      </c>
      <c r="D125" s="41"/>
      <c r="E125" s="32"/>
      <c r="F125" s="42" t="str">
        <f t="shared" ca="1" si="3"/>
        <v/>
      </c>
      <c r="G125" s="31"/>
      <c r="H125" s="43" t="str">
        <f>IFERROR(IF(OR(B125="",E125=""),"",SUMIF(DB_Loans!$B:$B,B125,DB_Loans!$E:$E)+E125),"")</f>
        <v/>
      </c>
      <c r="I125" s="43" t="str">
        <f>IFERROR(IF(OR(B125="",E125=""),"",SUMIF(DB_Loans!$B:$B,B125,DB_Loans!$J:$J)+(E125*0.025)),"")</f>
        <v/>
      </c>
      <c r="J125" s="31"/>
    </row>
    <row r="126" spans="1:10" ht="20.100000000000001" customHeight="1" x14ac:dyDescent="0.25">
      <c r="A126" s="30" t="str">
        <f t="shared" si="2"/>
        <v/>
      </c>
      <c r="B126" s="41"/>
      <c r="C126" s="35" t="str">
        <f>IFERROR(IF(B126="","",VLOOKUP(B126,DB_Customers!$A:$B,2,0)),"")</f>
        <v/>
      </c>
      <c r="D126" s="41"/>
      <c r="E126" s="32"/>
      <c r="F126" s="42" t="str">
        <f t="shared" ca="1" si="3"/>
        <v/>
      </c>
      <c r="G126" s="31"/>
      <c r="H126" s="43" t="str">
        <f>IFERROR(IF(OR(B126="",E126=""),"",SUMIF(DB_Loans!$B:$B,B126,DB_Loans!$E:$E)+E126),"")</f>
        <v/>
      </c>
      <c r="I126" s="43" t="str">
        <f>IFERROR(IF(OR(B126="",E126=""),"",SUMIF(DB_Loans!$B:$B,B126,DB_Loans!$J:$J)+(E126*0.025)),"")</f>
        <v/>
      </c>
      <c r="J126" s="31"/>
    </row>
    <row r="127" spans="1:10" ht="20.100000000000001" customHeight="1" x14ac:dyDescent="0.25">
      <c r="A127" s="30" t="str">
        <f t="shared" si="2"/>
        <v/>
      </c>
      <c r="B127" s="41"/>
      <c r="C127" s="35" t="str">
        <f>IFERROR(IF(B127="","",VLOOKUP(B127,DB_Customers!$A:$B,2,0)),"")</f>
        <v/>
      </c>
      <c r="D127" s="41"/>
      <c r="E127" s="32"/>
      <c r="F127" s="42" t="str">
        <f t="shared" ca="1" si="3"/>
        <v/>
      </c>
      <c r="G127" s="31"/>
      <c r="H127" s="43" t="str">
        <f>IFERROR(IF(OR(B127="",E127=""),"",SUMIF(DB_Loans!$B:$B,B127,DB_Loans!$E:$E)+E127),"")</f>
        <v/>
      </c>
      <c r="I127" s="43" t="str">
        <f>IFERROR(IF(OR(B127="",E127=""),"",SUMIF(DB_Loans!$B:$B,B127,DB_Loans!$J:$J)+(E127*0.025)),"")</f>
        <v/>
      </c>
      <c r="J127" s="31"/>
    </row>
    <row r="128" spans="1:10" ht="20.100000000000001" customHeight="1" x14ac:dyDescent="0.25">
      <c r="A128" s="30" t="str">
        <f t="shared" si="2"/>
        <v/>
      </c>
      <c r="B128" s="41"/>
      <c r="C128" s="35" t="str">
        <f>IFERROR(IF(B128="","",VLOOKUP(B128,DB_Customers!$A:$B,2,0)),"")</f>
        <v/>
      </c>
      <c r="D128" s="41"/>
      <c r="E128" s="32"/>
      <c r="F128" s="42" t="str">
        <f t="shared" ca="1" si="3"/>
        <v/>
      </c>
      <c r="G128" s="31"/>
      <c r="H128" s="43" t="str">
        <f>IFERROR(IF(OR(B128="",E128=""),"",SUMIF(DB_Loans!$B:$B,B128,DB_Loans!$E:$E)+E128),"")</f>
        <v/>
      </c>
      <c r="I128" s="43" t="str">
        <f>IFERROR(IF(OR(B128="",E128=""),"",SUMIF(DB_Loans!$B:$B,B128,DB_Loans!$J:$J)+(E128*0.025)),"")</f>
        <v/>
      </c>
      <c r="J128" s="31"/>
    </row>
    <row r="129" spans="1:10" ht="20.100000000000001" customHeight="1" x14ac:dyDescent="0.25">
      <c r="A129" s="30" t="str">
        <f t="shared" si="2"/>
        <v/>
      </c>
      <c r="B129" s="41"/>
      <c r="C129" s="35" t="str">
        <f>IFERROR(IF(B129="","",VLOOKUP(B129,DB_Customers!$A:$B,2,0)),"")</f>
        <v/>
      </c>
      <c r="D129" s="41"/>
      <c r="E129" s="32"/>
      <c r="F129" s="42" t="str">
        <f t="shared" ca="1" si="3"/>
        <v/>
      </c>
      <c r="G129" s="31"/>
      <c r="H129" s="43" t="str">
        <f>IFERROR(IF(OR(B129="",E129=""),"",SUMIF(DB_Loans!$B:$B,B129,DB_Loans!$E:$E)+E129),"")</f>
        <v/>
      </c>
      <c r="I129" s="43" t="str">
        <f>IFERROR(IF(OR(B129="",E129=""),"",SUMIF(DB_Loans!$B:$B,B129,DB_Loans!$J:$J)+(E129*0.025)),"")</f>
        <v/>
      </c>
      <c r="J129" s="31"/>
    </row>
    <row r="130" spans="1:10" ht="20.100000000000001" customHeight="1" x14ac:dyDescent="0.25">
      <c r="A130" s="30" t="str">
        <f t="shared" si="2"/>
        <v/>
      </c>
      <c r="B130" s="41"/>
      <c r="C130" s="35" t="str">
        <f>IFERROR(IF(B130="","",VLOOKUP(B130,DB_Customers!$A:$B,2,0)),"")</f>
        <v/>
      </c>
      <c r="D130" s="41"/>
      <c r="E130" s="32"/>
      <c r="F130" s="42" t="str">
        <f t="shared" ca="1" si="3"/>
        <v/>
      </c>
      <c r="G130" s="31"/>
      <c r="H130" s="43" t="str">
        <f>IFERROR(IF(OR(B130="",E130=""),"",SUMIF(DB_Loans!$B:$B,B130,DB_Loans!$E:$E)+E130),"")</f>
        <v/>
      </c>
      <c r="I130" s="43" t="str">
        <f>IFERROR(IF(OR(B130="",E130=""),"",SUMIF(DB_Loans!$B:$B,B130,DB_Loans!$J:$J)+(E130*0.025)),"")</f>
        <v/>
      </c>
      <c r="J130" s="31"/>
    </row>
    <row r="131" spans="1:10" ht="20.100000000000001" customHeight="1" x14ac:dyDescent="0.25">
      <c r="A131" s="30" t="str">
        <f t="shared" si="2"/>
        <v/>
      </c>
      <c r="B131" s="41"/>
      <c r="C131" s="35" t="str">
        <f>IFERROR(IF(B131="","",VLOOKUP(B131,DB_Customers!$A:$B,2,0)),"")</f>
        <v/>
      </c>
      <c r="D131" s="41"/>
      <c r="E131" s="32"/>
      <c r="F131" s="42" t="str">
        <f t="shared" ca="1" si="3"/>
        <v/>
      </c>
      <c r="G131" s="31"/>
      <c r="H131" s="43" t="str">
        <f>IFERROR(IF(OR(B131="",E131=""),"",SUMIF(DB_Loans!$B:$B,B131,DB_Loans!$E:$E)+E131),"")</f>
        <v/>
      </c>
      <c r="I131" s="43" t="str">
        <f>IFERROR(IF(OR(B131="",E131=""),"",SUMIF(DB_Loans!$B:$B,B131,DB_Loans!$J:$J)+(E131*0.025)),"")</f>
        <v/>
      </c>
      <c r="J131" s="31"/>
    </row>
    <row r="132" spans="1:10" ht="20.100000000000001" customHeight="1" x14ac:dyDescent="0.25">
      <c r="A132" s="30" t="str">
        <f t="shared" si="2"/>
        <v/>
      </c>
      <c r="B132" s="41"/>
      <c r="C132" s="35" t="str">
        <f>IFERROR(IF(B132="","",VLOOKUP(B132,DB_Customers!$A:$B,2,0)),"")</f>
        <v/>
      </c>
      <c r="D132" s="41"/>
      <c r="E132" s="32"/>
      <c r="F132" s="42" t="str">
        <f t="shared" ca="1" si="3"/>
        <v/>
      </c>
      <c r="G132" s="31"/>
      <c r="H132" s="43" t="str">
        <f>IFERROR(IF(OR(B132="",E132=""),"",SUMIF(DB_Loans!$B:$B,B132,DB_Loans!$E:$E)+E132),"")</f>
        <v/>
      </c>
      <c r="I132" s="43" t="str">
        <f>IFERROR(IF(OR(B132="",E132=""),"",SUMIF(DB_Loans!$B:$B,B132,DB_Loans!$J:$J)+(E132*0.025)),"")</f>
        <v/>
      </c>
      <c r="J132" s="31"/>
    </row>
    <row r="133" spans="1:10" ht="20.100000000000001" customHeight="1" x14ac:dyDescent="0.25">
      <c r="A133" s="30" t="str">
        <f t="shared" ref="A133:A196" si="4">IF(B133="","","TU"&amp;TEXT(ROW()-4,"0000"))</f>
        <v/>
      </c>
      <c r="B133" s="41"/>
      <c r="C133" s="35" t="str">
        <f>IFERROR(IF(B133="","",VLOOKUP(B133,DB_Customers!$A:$B,2,0)),"")</f>
        <v/>
      </c>
      <c r="D133" s="41"/>
      <c r="E133" s="32"/>
      <c r="F133" s="42" t="str">
        <f t="shared" ref="F133:F196" ca="1" si="5">IF(B133="","",TODAY())</f>
        <v/>
      </c>
      <c r="G133" s="31"/>
      <c r="H133" s="43" t="str">
        <f>IFERROR(IF(OR(B133="",E133=""),"",SUMIF(DB_Loans!$B:$B,B133,DB_Loans!$E:$E)+E133),"")</f>
        <v/>
      </c>
      <c r="I133" s="43" t="str">
        <f>IFERROR(IF(OR(B133="",E133=""),"",SUMIF(DB_Loans!$B:$B,B133,DB_Loans!$J:$J)+(E133*0.025)),"")</f>
        <v/>
      </c>
      <c r="J133" s="31"/>
    </row>
    <row r="134" spans="1:10" ht="20.100000000000001" customHeight="1" x14ac:dyDescent="0.25">
      <c r="A134" s="30" t="str">
        <f t="shared" si="4"/>
        <v/>
      </c>
      <c r="B134" s="41"/>
      <c r="C134" s="35" t="str">
        <f>IFERROR(IF(B134="","",VLOOKUP(B134,DB_Customers!$A:$B,2,0)),"")</f>
        <v/>
      </c>
      <c r="D134" s="41"/>
      <c r="E134" s="32"/>
      <c r="F134" s="42" t="str">
        <f t="shared" ca="1" si="5"/>
        <v/>
      </c>
      <c r="G134" s="31"/>
      <c r="H134" s="43" t="str">
        <f>IFERROR(IF(OR(B134="",E134=""),"",SUMIF(DB_Loans!$B:$B,B134,DB_Loans!$E:$E)+E134),"")</f>
        <v/>
      </c>
      <c r="I134" s="43" t="str">
        <f>IFERROR(IF(OR(B134="",E134=""),"",SUMIF(DB_Loans!$B:$B,B134,DB_Loans!$J:$J)+(E134*0.025)),"")</f>
        <v/>
      </c>
      <c r="J134" s="31"/>
    </row>
    <row r="135" spans="1:10" ht="20.100000000000001" customHeight="1" x14ac:dyDescent="0.25">
      <c r="A135" s="30" t="str">
        <f t="shared" si="4"/>
        <v/>
      </c>
      <c r="B135" s="41"/>
      <c r="C135" s="35" t="str">
        <f>IFERROR(IF(B135="","",VLOOKUP(B135,DB_Customers!$A:$B,2,0)),"")</f>
        <v/>
      </c>
      <c r="D135" s="41"/>
      <c r="E135" s="32"/>
      <c r="F135" s="42" t="str">
        <f t="shared" ca="1" si="5"/>
        <v/>
      </c>
      <c r="G135" s="31"/>
      <c r="H135" s="43" t="str">
        <f>IFERROR(IF(OR(B135="",E135=""),"",SUMIF(DB_Loans!$B:$B,B135,DB_Loans!$E:$E)+E135),"")</f>
        <v/>
      </c>
      <c r="I135" s="43" t="str">
        <f>IFERROR(IF(OR(B135="",E135=""),"",SUMIF(DB_Loans!$B:$B,B135,DB_Loans!$J:$J)+(E135*0.025)),"")</f>
        <v/>
      </c>
      <c r="J135" s="31"/>
    </row>
    <row r="136" spans="1:10" ht="20.100000000000001" customHeight="1" x14ac:dyDescent="0.25">
      <c r="A136" s="30" t="str">
        <f t="shared" si="4"/>
        <v/>
      </c>
      <c r="B136" s="41"/>
      <c r="C136" s="35" t="str">
        <f>IFERROR(IF(B136="","",VLOOKUP(B136,DB_Customers!$A:$B,2,0)),"")</f>
        <v/>
      </c>
      <c r="D136" s="41"/>
      <c r="E136" s="32"/>
      <c r="F136" s="42" t="str">
        <f t="shared" ca="1" si="5"/>
        <v/>
      </c>
      <c r="G136" s="31"/>
      <c r="H136" s="43" t="str">
        <f>IFERROR(IF(OR(B136="",E136=""),"",SUMIF(DB_Loans!$B:$B,B136,DB_Loans!$E:$E)+E136),"")</f>
        <v/>
      </c>
      <c r="I136" s="43" t="str">
        <f>IFERROR(IF(OR(B136="",E136=""),"",SUMIF(DB_Loans!$B:$B,B136,DB_Loans!$J:$J)+(E136*0.025)),"")</f>
        <v/>
      </c>
      <c r="J136" s="31"/>
    </row>
    <row r="137" spans="1:10" ht="20.100000000000001" customHeight="1" x14ac:dyDescent="0.25">
      <c r="A137" s="30" t="str">
        <f t="shared" si="4"/>
        <v/>
      </c>
      <c r="B137" s="41"/>
      <c r="C137" s="35" t="str">
        <f>IFERROR(IF(B137="","",VLOOKUP(B137,DB_Customers!$A:$B,2,0)),"")</f>
        <v/>
      </c>
      <c r="D137" s="41"/>
      <c r="E137" s="32"/>
      <c r="F137" s="42" t="str">
        <f t="shared" ca="1" si="5"/>
        <v/>
      </c>
      <c r="G137" s="31"/>
      <c r="H137" s="43" t="str">
        <f>IFERROR(IF(OR(B137="",E137=""),"",SUMIF(DB_Loans!$B:$B,B137,DB_Loans!$E:$E)+E137),"")</f>
        <v/>
      </c>
      <c r="I137" s="43" t="str">
        <f>IFERROR(IF(OR(B137="",E137=""),"",SUMIF(DB_Loans!$B:$B,B137,DB_Loans!$J:$J)+(E137*0.025)),"")</f>
        <v/>
      </c>
      <c r="J137" s="31"/>
    </row>
    <row r="138" spans="1:10" ht="20.100000000000001" customHeight="1" x14ac:dyDescent="0.25">
      <c r="A138" s="30" t="str">
        <f t="shared" si="4"/>
        <v/>
      </c>
      <c r="B138" s="41"/>
      <c r="C138" s="35" t="str">
        <f>IFERROR(IF(B138="","",VLOOKUP(B138,DB_Customers!$A:$B,2,0)),"")</f>
        <v/>
      </c>
      <c r="D138" s="41"/>
      <c r="E138" s="32"/>
      <c r="F138" s="42" t="str">
        <f t="shared" ca="1" si="5"/>
        <v/>
      </c>
      <c r="G138" s="31"/>
      <c r="H138" s="43" t="str">
        <f>IFERROR(IF(OR(B138="",E138=""),"",SUMIF(DB_Loans!$B:$B,B138,DB_Loans!$E:$E)+E138),"")</f>
        <v/>
      </c>
      <c r="I138" s="43" t="str">
        <f>IFERROR(IF(OR(B138="",E138=""),"",SUMIF(DB_Loans!$B:$B,B138,DB_Loans!$J:$J)+(E138*0.025)),"")</f>
        <v/>
      </c>
      <c r="J138" s="31"/>
    </row>
    <row r="139" spans="1:10" ht="20.100000000000001" customHeight="1" x14ac:dyDescent="0.25">
      <c r="A139" s="30" t="str">
        <f t="shared" si="4"/>
        <v/>
      </c>
      <c r="B139" s="41"/>
      <c r="C139" s="35" t="str">
        <f>IFERROR(IF(B139="","",VLOOKUP(B139,DB_Customers!$A:$B,2,0)),"")</f>
        <v/>
      </c>
      <c r="D139" s="41"/>
      <c r="E139" s="32"/>
      <c r="F139" s="42" t="str">
        <f t="shared" ca="1" si="5"/>
        <v/>
      </c>
      <c r="G139" s="31"/>
      <c r="H139" s="43" t="str">
        <f>IFERROR(IF(OR(B139="",E139=""),"",SUMIF(DB_Loans!$B:$B,B139,DB_Loans!$E:$E)+E139),"")</f>
        <v/>
      </c>
      <c r="I139" s="43" t="str">
        <f>IFERROR(IF(OR(B139="",E139=""),"",SUMIF(DB_Loans!$B:$B,B139,DB_Loans!$J:$J)+(E139*0.025)),"")</f>
        <v/>
      </c>
      <c r="J139" s="31"/>
    </row>
    <row r="140" spans="1:10" ht="20.100000000000001" customHeight="1" x14ac:dyDescent="0.25">
      <c r="A140" s="30" t="str">
        <f t="shared" si="4"/>
        <v/>
      </c>
      <c r="B140" s="41"/>
      <c r="C140" s="35" t="str">
        <f>IFERROR(IF(B140="","",VLOOKUP(B140,DB_Customers!$A:$B,2,0)),"")</f>
        <v/>
      </c>
      <c r="D140" s="41"/>
      <c r="E140" s="32"/>
      <c r="F140" s="42" t="str">
        <f t="shared" ca="1" si="5"/>
        <v/>
      </c>
      <c r="G140" s="31"/>
      <c r="H140" s="43" t="str">
        <f>IFERROR(IF(OR(B140="",E140=""),"",SUMIF(DB_Loans!$B:$B,B140,DB_Loans!$E:$E)+E140),"")</f>
        <v/>
      </c>
      <c r="I140" s="43" t="str">
        <f>IFERROR(IF(OR(B140="",E140=""),"",SUMIF(DB_Loans!$B:$B,B140,DB_Loans!$J:$J)+(E140*0.025)),"")</f>
        <v/>
      </c>
      <c r="J140" s="31"/>
    </row>
    <row r="141" spans="1:10" ht="20.100000000000001" customHeight="1" x14ac:dyDescent="0.25">
      <c r="A141" s="30" t="str">
        <f t="shared" si="4"/>
        <v/>
      </c>
      <c r="B141" s="41"/>
      <c r="C141" s="35" t="str">
        <f>IFERROR(IF(B141="","",VLOOKUP(B141,DB_Customers!$A:$B,2,0)),"")</f>
        <v/>
      </c>
      <c r="D141" s="41"/>
      <c r="E141" s="32"/>
      <c r="F141" s="42" t="str">
        <f t="shared" ca="1" si="5"/>
        <v/>
      </c>
      <c r="G141" s="31"/>
      <c r="H141" s="43" t="str">
        <f>IFERROR(IF(OR(B141="",E141=""),"",SUMIF(DB_Loans!$B:$B,B141,DB_Loans!$E:$E)+E141),"")</f>
        <v/>
      </c>
      <c r="I141" s="43" t="str">
        <f>IFERROR(IF(OR(B141="",E141=""),"",SUMIF(DB_Loans!$B:$B,B141,DB_Loans!$J:$J)+(E141*0.025)),"")</f>
        <v/>
      </c>
      <c r="J141" s="31"/>
    </row>
    <row r="142" spans="1:10" ht="20.100000000000001" customHeight="1" x14ac:dyDescent="0.25">
      <c r="A142" s="30" t="str">
        <f t="shared" si="4"/>
        <v/>
      </c>
      <c r="B142" s="41"/>
      <c r="C142" s="35" t="str">
        <f>IFERROR(IF(B142="","",VLOOKUP(B142,DB_Customers!$A:$B,2,0)),"")</f>
        <v/>
      </c>
      <c r="D142" s="41"/>
      <c r="E142" s="32"/>
      <c r="F142" s="42" t="str">
        <f t="shared" ca="1" si="5"/>
        <v/>
      </c>
      <c r="G142" s="31"/>
      <c r="H142" s="43" t="str">
        <f>IFERROR(IF(OR(B142="",E142=""),"",SUMIF(DB_Loans!$B:$B,B142,DB_Loans!$E:$E)+E142),"")</f>
        <v/>
      </c>
      <c r="I142" s="43" t="str">
        <f>IFERROR(IF(OR(B142="",E142=""),"",SUMIF(DB_Loans!$B:$B,B142,DB_Loans!$J:$J)+(E142*0.025)),"")</f>
        <v/>
      </c>
      <c r="J142" s="31"/>
    </row>
    <row r="143" spans="1:10" ht="20.100000000000001" customHeight="1" x14ac:dyDescent="0.25">
      <c r="A143" s="30" t="str">
        <f t="shared" si="4"/>
        <v/>
      </c>
      <c r="B143" s="41"/>
      <c r="C143" s="35" t="str">
        <f>IFERROR(IF(B143="","",VLOOKUP(B143,DB_Customers!$A:$B,2,0)),"")</f>
        <v/>
      </c>
      <c r="D143" s="41"/>
      <c r="E143" s="32"/>
      <c r="F143" s="42" t="str">
        <f t="shared" ca="1" si="5"/>
        <v/>
      </c>
      <c r="G143" s="31"/>
      <c r="H143" s="43" t="str">
        <f>IFERROR(IF(OR(B143="",E143=""),"",SUMIF(DB_Loans!$B:$B,B143,DB_Loans!$E:$E)+E143),"")</f>
        <v/>
      </c>
      <c r="I143" s="43" t="str">
        <f>IFERROR(IF(OR(B143="",E143=""),"",SUMIF(DB_Loans!$B:$B,B143,DB_Loans!$J:$J)+(E143*0.025)),"")</f>
        <v/>
      </c>
      <c r="J143" s="31"/>
    </row>
    <row r="144" spans="1:10" ht="20.100000000000001" customHeight="1" x14ac:dyDescent="0.25">
      <c r="A144" s="30" t="str">
        <f t="shared" si="4"/>
        <v/>
      </c>
      <c r="B144" s="41"/>
      <c r="C144" s="35" t="str">
        <f>IFERROR(IF(B144="","",VLOOKUP(B144,DB_Customers!$A:$B,2,0)),"")</f>
        <v/>
      </c>
      <c r="D144" s="41"/>
      <c r="E144" s="32"/>
      <c r="F144" s="42" t="str">
        <f t="shared" ca="1" si="5"/>
        <v/>
      </c>
      <c r="G144" s="31"/>
      <c r="H144" s="43" t="str">
        <f>IFERROR(IF(OR(B144="",E144=""),"",SUMIF(DB_Loans!$B:$B,B144,DB_Loans!$E:$E)+E144),"")</f>
        <v/>
      </c>
      <c r="I144" s="43" t="str">
        <f>IFERROR(IF(OR(B144="",E144=""),"",SUMIF(DB_Loans!$B:$B,B144,DB_Loans!$J:$J)+(E144*0.025)),"")</f>
        <v/>
      </c>
      <c r="J144" s="31"/>
    </row>
    <row r="145" spans="1:10" ht="20.100000000000001" customHeight="1" x14ac:dyDescent="0.25">
      <c r="A145" s="30" t="str">
        <f t="shared" si="4"/>
        <v/>
      </c>
      <c r="B145" s="41"/>
      <c r="C145" s="35" t="str">
        <f>IFERROR(IF(B145="","",VLOOKUP(B145,DB_Customers!$A:$B,2,0)),"")</f>
        <v/>
      </c>
      <c r="D145" s="41"/>
      <c r="E145" s="32"/>
      <c r="F145" s="42" t="str">
        <f t="shared" ca="1" si="5"/>
        <v/>
      </c>
      <c r="G145" s="31"/>
      <c r="H145" s="43" t="str">
        <f>IFERROR(IF(OR(B145="",E145=""),"",SUMIF(DB_Loans!$B:$B,B145,DB_Loans!$E:$E)+E145),"")</f>
        <v/>
      </c>
      <c r="I145" s="43" t="str">
        <f>IFERROR(IF(OR(B145="",E145=""),"",SUMIF(DB_Loans!$B:$B,B145,DB_Loans!$J:$J)+(E145*0.025)),"")</f>
        <v/>
      </c>
      <c r="J145" s="31"/>
    </row>
    <row r="146" spans="1:10" ht="20.100000000000001" customHeight="1" x14ac:dyDescent="0.25">
      <c r="A146" s="30" t="str">
        <f t="shared" si="4"/>
        <v/>
      </c>
      <c r="B146" s="41"/>
      <c r="C146" s="35" t="str">
        <f>IFERROR(IF(B146="","",VLOOKUP(B146,DB_Customers!$A:$B,2,0)),"")</f>
        <v/>
      </c>
      <c r="D146" s="41"/>
      <c r="E146" s="32"/>
      <c r="F146" s="42" t="str">
        <f t="shared" ca="1" si="5"/>
        <v/>
      </c>
      <c r="G146" s="31"/>
      <c r="H146" s="43" t="str">
        <f>IFERROR(IF(OR(B146="",E146=""),"",SUMIF(DB_Loans!$B:$B,B146,DB_Loans!$E:$E)+E146),"")</f>
        <v/>
      </c>
      <c r="I146" s="43" t="str">
        <f>IFERROR(IF(OR(B146="",E146=""),"",SUMIF(DB_Loans!$B:$B,B146,DB_Loans!$J:$J)+(E146*0.025)),"")</f>
        <v/>
      </c>
      <c r="J146" s="31"/>
    </row>
    <row r="147" spans="1:10" ht="20.100000000000001" customHeight="1" x14ac:dyDescent="0.25">
      <c r="A147" s="30" t="str">
        <f t="shared" si="4"/>
        <v/>
      </c>
      <c r="B147" s="41"/>
      <c r="C147" s="35" t="str">
        <f>IFERROR(IF(B147="","",VLOOKUP(B147,DB_Customers!$A:$B,2,0)),"")</f>
        <v/>
      </c>
      <c r="D147" s="41"/>
      <c r="E147" s="32"/>
      <c r="F147" s="42" t="str">
        <f t="shared" ca="1" si="5"/>
        <v/>
      </c>
      <c r="G147" s="31"/>
      <c r="H147" s="43" t="str">
        <f>IFERROR(IF(OR(B147="",E147=""),"",SUMIF(DB_Loans!$B:$B,B147,DB_Loans!$E:$E)+E147),"")</f>
        <v/>
      </c>
      <c r="I147" s="43" t="str">
        <f>IFERROR(IF(OR(B147="",E147=""),"",SUMIF(DB_Loans!$B:$B,B147,DB_Loans!$J:$J)+(E147*0.025)),"")</f>
        <v/>
      </c>
      <c r="J147" s="31"/>
    </row>
    <row r="148" spans="1:10" ht="20.100000000000001" customHeight="1" x14ac:dyDescent="0.25">
      <c r="A148" s="30" t="str">
        <f t="shared" si="4"/>
        <v/>
      </c>
      <c r="B148" s="41"/>
      <c r="C148" s="35" t="str">
        <f>IFERROR(IF(B148="","",VLOOKUP(B148,DB_Customers!$A:$B,2,0)),"")</f>
        <v/>
      </c>
      <c r="D148" s="41"/>
      <c r="E148" s="32"/>
      <c r="F148" s="42" t="str">
        <f t="shared" ca="1" si="5"/>
        <v/>
      </c>
      <c r="G148" s="31"/>
      <c r="H148" s="43" t="str">
        <f>IFERROR(IF(OR(B148="",E148=""),"",SUMIF(DB_Loans!$B:$B,B148,DB_Loans!$E:$E)+E148),"")</f>
        <v/>
      </c>
      <c r="I148" s="43" t="str">
        <f>IFERROR(IF(OR(B148="",E148=""),"",SUMIF(DB_Loans!$B:$B,B148,DB_Loans!$J:$J)+(E148*0.025)),"")</f>
        <v/>
      </c>
      <c r="J148" s="31"/>
    </row>
    <row r="149" spans="1:10" ht="20.100000000000001" customHeight="1" x14ac:dyDescent="0.25">
      <c r="A149" s="30" t="str">
        <f t="shared" si="4"/>
        <v/>
      </c>
      <c r="B149" s="41"/>
      <c r="C149" s="35" t="str">
        <f>IFERROR(IF(B149="","",VLOOKUP(B149,DB_Customers!$A:$B,2,0)),"")</f>
        <v/>
      </c>
      <c r="D149" s="41"/>
      <c r="E149" s="32"/>
      <c r="F149" s="42" t="str">
        <f t="shared" ca="1" si="5"/>
        <v/>
      </c>
      <c r="G149" s="31"/>
      <c r="H149" s="43" t="str">
        <f>IFERROR(IF(OR(B149="",E149=""),"",SUMIF(DB_Loans!$B:$B,B149,DB_Loans!$E:$E)+E149),"")</f>
        <v/>
      </c>
      <c r="I149" s="43" t="str">
        <f>IFERROR(IF(OR(B149="",E149=""),"",SUMIF(DB_Loans!$B:$B,B149,DB_Loans!$J:$J)+(E149*0.025)),"")</f>
        <v/>
      </c>
      <c r="J149" s="31"/>
    </row>
    <row r="150" spans="1:10" ht="20.100000000000001" customHeight="1" x14ac:dyDescent="0.25">
      <c r="A150" s="30" t="str">
        <f t="shared" si="4"/>
        <v/>
      </c>
      <c r="B150" s="41"/>
      <c r="C150" s="35" t="str">
        <f>IFERROR(IF(B150="","",VLOOKUP(B150,DB_Customers!$A:$B,2,0)),"")</f>
        <v/>
      </c>
      <c r="D150" s="41"/>
      <c r="E150" s="32"/>
      <c r="F150" s="42" t="str">
        <f t="shared" ca="1" si="5"/>
        <v/>
      </c>
      <c r="G150" s="31"/>
      <c r="H150" s="43" t="str">
        <f>IFERROR(IF(OR(B150="",E150=""),"",SUMIF(DB_Loans!$B:$B,B150,DB_Loans!$E:$E)+E150),"")</f>
        <v/>
      </c>
      <c r="I150" s="43" t="str">
        <f>IFERROR(IF(OR(B150="",E150=""),"",SUMIF(DB_Loans!$B:$B,B150,DB_Loans!$J:$J)+(E150*0.025)),"")</f>
        <v/>
      </c>
      <c r="J150" s="31"/>
    </row>
    <row r="151" spans="1:10" ht="20.100000000000001" customHeight="1" x14ac:dyDescent="0.25">
      <c r="A151" s="30" t="str">
        <f t="shared" si="4"/>
        <v/>
      </c>
      <c r="B151" s="41"/>
      <c r="C151" s="35" t="str">
        <f>IFERROR(IF(B151="","",VLOOKUP(B151,DB_Customers!$A:$B,2,0)),"")</f>
        <v/>
      </c>
      <c r="D151" s="41"/>
      <c r="E151" s="32"/>
      <c r="F151" s="42" t="str">
        <f t="shared" ca="1" si="5"/>
        <v/>
      </c>
      <c r="G151" s="31"/>
      <c r="H151" s="43" t="str">
        <f>IFERROR(IF(OR(B151="",E151=""),"",SUMIF(DB_Loans!$B:$B,B151,DB_Loans!$E:$E)+E151),"")</f>
        <v/>
      </c>
      <c r="I151" s="43" t="str">
        <f>IFERROR(IF(OR(B151="",E151=""),"",SUMIF(DB_Loans!$B:$B,B151,DB_Loans!$J:$J)+(E151*0.025)),"")</f>
        <v/>
      </c>
      <c r="J151" s="31"/>
    </row>
    <row r="152" spans="1:10" ht="20.100000000000001" customHeight="1" x14ac:dyDescent="0.25">
      <c r="A152" s="30" t="str">
        <f t="shared" si="4"/>
        <v/>
      </c>
      <c r="B152" s="41"/>
      <c r="C152" s="35" t="str">
        <f>IFERROR(IF(B152="","",VLOOKUP(B152,DB_Customers!$A:$B,2,0)),"")</f>
        <v/>
      </c>
      <c r="D152" s="41"/>
      <c r="E152" s="32"/>
      <c r="F152" s="42" t="str">
        <f t="shared" ca="1" si="5"/>
        <v/>
      </c>
      <c r="G152" s="31"/>
      <c r="H152" s="43" t="str">
        <f>IFERROR(IF(OR(B152="",E152=""),"",SUMIF(DB_Loans!$B:$B,B152,DB_Loans!$E:$E)+E152),"")</f>
        <v/>
      </c>
      <c r="I152" s="43" t="str">
        <f>IFERROR(IF(OR(B152="",E152=""),"",SUMIF(DB_Loans!$B:$B,B152,DB_Loans!$J:$J)+(E152*0.025)),"")</f>
        <v/>
      </c>
      <c r="J152" s="31"/>
    </row>
    <row r="153" spans="1:10" ht="20.100000000000001" customHeight="1" x14ac:dyDescent="0.25">
      <c r="A153" s="30" t="str">
        <f t="shared" si="4"/>
        <v/>
      </c>
      <c r="B153" s="41"/>
      <c r="C153" s="35" t="str">
        <f>IFERROR(IF(B153="","",VLOOKUP(B153,DB_Customers!$A:$B,2,0)),"")</f>
        <v/>
      </c>
      <c r="D153" s="41"/>
      <c r="E153" s="32"/>
      <c r="F153" s="42" t="str">
        <f t="shared" ca="1" si="5"/>
        <v/>
      </c>
      <c r="G153" s="31"/>
      <c r="H153" s="43" t="str">
        <f>IFERROR(IF(OR(B153="",E153=""),"",SUMIF(DB_Loans!$B:$B,B153,DB_Loans!$E:$E)+E153),"")</f>
        <v/>
      </c>
      <c r="I153" s="43" t="str">
        <f>IFERROR(IF(OR(B153="",E153=""),"",SUMIF(DB_Loans!$B:$B,B153,DB_Loans!$J:$J)+(E153*0.025)),"")</f>
        <v/>
      </c>
      <c r="J153" s="31"/>
    </row>
    <row r="154" spans="1:10" ht="20.100000000000001" customHeight="1" x14ac:dyDescent="0.25">
      <c r="A154" s="30" t="str">
        <f t="shared" si="4"/>
        <v/>
      </c>
      <c r="B154" s="41"/>
      <c r="C154" s="35" t="str">
        <f>IFERROR(IF(B154="","",VLOOKUP(B154,DB_Customers!$A:$B,2,0)),"")</f>
        <v/>
      </c>
      <c r="D154" s="41"/>
      <c r="E154" s="32"/>
      <c r="F154" s="42" t="str">
        <f t="shared" ca="1" si="5"/>
        <v/>
      </c>
      <c r="G154" s="31"/>
      <c r="H154" s="43" t="str">
        <f>IFERROR(IF(OR(B154="",E154=""),"",SUMIF(DB_Loans!$B:$B,B154,DB_Loans!$E:$E)+E154),"")</f>
        <v/>
      </c>
      <c r="I154" s="43" t="str">
        <f>IFERROR(IF(OR(B154="",E154=""),"",SUMIF(DB_Loans!$B:$B,B154,DB_Loans!$J:$J)+(E154*0.025)),"")</f>
        <v/>
      </c>
      <c r="J154" s="31"/>
    </row>
    <row r="155" spans="1:10" ht="20.100000000000001" customHeight="1" x14ac:dyDescent="0.25">
      <c r="A155" s="30" t="str">
        <f t="shared" si="4"/>
        <v/>
      </c>
      <c r="B155" s="41"/>
      <c r="C155" s="35" t="str">
        <f>IFERROR(IF(B155="","",VLOOKUP(B155,DB_Customers!$A:$B,2,0)),"")</f>
        <v/>
      </c>
      <c r="D155" s="41"/>
      <c r="E155" s="32"/>
      <c r="F155" s="42" t="str">
        <f t="shared" ca="1" si="5"/>
        <v/>
      </c>
      <c r="G155" s="31"/>
      <c r="H155" s="43" t="str">
        <f>IFERROR(IF(OR(B155="",E155=""),"",SUMIF(DB_Loans!$B:$B,B155,DB_Loans!$E:$E)+E155),"")</f>
        <v/>
      </c>
      <c r="I155" s="43" t="str">
        <f>IFERROR(IF(OR(B155="",E155=""),"",SUMIF(DB_Loans!$B:$B,B155,DB_Loans!$J:$J)+(E155*0.025)),"")</f>
        <v/>
      </c>
      <c r="J155" s="31"/>
    </row>
    <row r="156" spans="1:10" ht="20.100000000000001" customHeight="1" x14ac:dyDescent="0.25">
      <c r="A156" s="30" t="str">
        <f t="shared" si="4"/>
        <v/>
      </c>
      <c r="B156" s="41"/>
      <c r="C156" s="35" t="str">
        <f>IFERROR(IF(B156="","",VLOOKUP(B156,DB_Customers!$A:$B,2,0)),"")</f>
        <v/>
      </c>
      <c r="D156" s="41"/>
      <c r="E156" s="32"/>
      <c r="F156" s="42" t="str">
        <f t="shared" ca="1" si="5"/>
        <v/>
      </c>
      <c r="G156" s="31"/>
      <c r="H156" s="43" t="str">
        <f>IFERROR(IF(OR(B156="",E156=""),"",SUMIF(DB_Loans!$B:$B,B156,DB_Loans!$E:$E)+E156),"")</f>
        <v/>
      </c>
      <c r="I156" s="43" t="str">
        <f>IFERROR(IF(OR(B156="",E156=""),"",SUMIF(DB_Loans!$B:$B,B156,DB_Loans!$J:$J)+(E156*0.025)),"")</f>
        <v/>
      </c>
      <c r="J156" s="31"/>
    </row>
    <row r="157" spans="1:10" ht="20.100000000000001" customHeight="1" x14ac:dyDescent="0.25">
      <c r="A157" s="30" t="str">
        <f t="shared" si="4"/>
        <v/>
      </c>
      <c r="B157" s="41"/>
      <c r="C157" s="35" t="str">
        <f>IFERROR(IF(B157="","",VLOOKUP(B157,DB_Customers!$A:$B,2,0)),"")</f>
        <v/>
      </c>
      <c r="D157" s="41"/>
      <c r="E157" s="32"/>
      <c r="F157" s="42" t="str">
        <f t="shared" ca="1" si="5"/>
        <v/>
      </c>
      <c r="G157" s="31"/>
      <c r="H157" s="43" t="str">
        <f>IFERROR(IF(OR(B157="",E157=""),"",SUMIF(DB_Loans!$B:$B,B157,DB_Loans!$E:$E)+E157),"")</f>
        <v/>
      </c>
      <c r="I157" s="43" t="str">
        <f>IFERROR(IF(OR(B157="",E157=""),"",SUMIF(DB_Loans!$B:$B,B157,DB_Loans!$J:$J)+(E157*0.025)),"")</f>
        <v/>
      </c>
      <c r="J157" s="31"/>
    </row>
    <row r="158" spans="1:10" ht="20.100000000000001" customHeight="1" x14ac:dyDescent="0.25">
      <c r="A158" s="30" t="str">
        <f t="shared" si="4"/>
        <v/>
      </c>
      <c r="B158" s="41"/>
      <c r="C158" s="35" t="str">
        <f>IFERROR(IF(B158="","",VLOOKUP(B158,DB_Customers!$A:$B,2,0)),"")</f>
        <v/>
      </c>
      <c r="D158" s="41"/>
      <c r="E158" s="32"/>
      <c r="F158" s="42" t="str">
        <f t="shared" ca="1" si="5"/>
        <v/>
      </c>
      <c r="G158" s="31"/>
      <c r="H158" s="43" t="str">
        <f>IFERROR(IF(OR(B158="",E158=""),"",SUMIF(DB_Loans!$B:$B,B158,DB_Loans!$E:$E)+E158),"")</f>
        <v/>
      </c>
      <c r="I158" s="43" t="str">
        <f>IFERROR(IF(OR(B158="",E158=""),"",SUMIF(DB_Loans!$B:$B,B158,DB_Loans!$J:$J)+(E158*0.025)),"")</f>
        <v/>
      </c>
      <c r="J158" s="31"/>
    </row>
    <row r="159" spans="1:10" ht="20.100000000000001" customHeight="1" x14ac:dyDescent="0.25">
      <c r="A159" s="30" t="str">
        <f t="shared" si="4"/>
        <v/>
      </c>
      <c r="B159" s="41"/>
      <c r="C159" s="35" t="str">
        <f>IFERROR(IF(B159="","",VLOOKUP(B159,DB_Customers!$A:$B,2,0)),"")</f>
        <v/>
      </c>
      <c r="D159" s="41"/>
      <c r="E159" s="32"/>
      <c r="F159" s="42" t="str">
        <f t="shared" ca="1" si="5"/>
        <v/>
      </c>
      <c r="G159" s="31"/>
      <c r="H159" s="43" t="str">
        <f>IFERROR(IF(OR(B159="",E159=""),"",SUMIF(DB_Loans!$B:$B,B159,DB_Loans!$E:$E)+E159),"")</f>
        <v/>
      </c>
      <c r="I159" s="43" t="str">
        <f>IFERROR(IF(OR(B159="",E159=""),"",SUMIF(DB_Loans!$B:$B,B159,DB_Loans!$J:$J)+(E159*0.025)),"")</f>
        <v/>
      </c>
      <c r="J159" s="31"/>
    </row>
    <row r="160" spans="1:10" ht="20.100000000000001" customHeight="1" x14ac:dyDescent="0.25">
      <c r="A160" s="30" t="str">
        <f t="shared" si="4"/>
        <v/>
      </c>
      <c r="B160" s="41"/>
      <c r="C160" s="35" t="str">
        <f>IFERROR(IF(B160="","",VLOOKUP(B160,DB_Customers!$A:$B,2,0)),"")</f>
        <v/>
      </c>
      <c r="D160" s="41"/>
      <c r="E160" s="32"/>
      <c r="F160" s="42" t="str">
        <f t="shared" ca="1" si="5"/>
        <v/>
      </c>
      <c r="G160" s="31"/>
      <c r="H160" s="43" t="str">
        <f>IFERROR(IF(OR(B160="",E160=""),"",SUMIF(DB_Loans!$B:$B,B160,DB_Loans!$E:$E)+E160),"")</f>
        <v/>
      </c>
      <c r="I160" s="43" t="str">
        <f>IFERROR(IF(OR(B160="",E160=""),"",SUMIF(DB_Loans!$B:$B,B160,DB_Loans!$J:$J)+(E160*0.025)),"")</f>
        <v/>
      </c>
      <c r="J160" s="31"/>
    </row>
    <row r="161" spans="1:10" ht="20.100000000000001" customHeight="1" x14ac:dyDescent="0.25">
      <c r="A161" s="30" t="str">
        <f t="shared" si="4"/>
        <v/>
      </c>
      <c r="B161" s="41"/>
      <c r="C161" s="35" t="str">
        <f>IFERROR(IF(B161="","",VLOOKUP(B161,DB_Customers!$A:$B,2,0)),"")</f>
        <v/>
      </c>
      <c r="D161" s="41"/>
      <c r="E161" s="32"/>
      <c r="F161" s="42" t="str">
        <f t="shared" ca="1" si="5"/>
        <v/>
      </c>
      <c r="G161" s="31"/>
      <c r="H161" s="43" t="str">
        <f>IFERROR(IF(OR(B161="",E161=""),"",SUMIF(DB_Loans!$B:$B,B161,DB_Loans!$E:$E)+E161),"")</f>
        <v/>
      </c>
      <c r="I161" s="43" t="str">
        <f>IFERROR(IF(OR(B161="",E161=""),"",SUMIF(DB_Loans!$B:$B,B161,DB_Loans!$J:$J)+(E161*0.025)),"")</f>
        <v/>
      </c>
      <c r="J161" s="31"/>
    </row>
    <row r="162" spans="1:10" ht="20.100000000000001" customHeight="1" x14ac:dyDescent="0.25">
      <c r="A162" s="30" t="str">
        <f t="shared" si="4"/>
        <v/>
      </c>
      <c r="B162" s="41"/>
      <c r="C162" s="35" t="str">
        <f>IFERROR(IF(B162="","",VLOOKUP(B162,DB_Customers!$A:$B,2,0)),"")</f>
        <v/>
      </c>
      <c r="D162" s="41"/>
      <c r="E162" s="32"/>
      <c r="F162" s="42" t="str">
        <f t="shared" ca="1" si="5"/>
        <v/>
      </c>
      <c r="G162" s="31"/>
      <c r="H162" s="43" t="str">
        <f>IFERROR(IF(OR(B162="",E162=""),"",SUMIF(DB_Loans!$B:$B,B162,DB_Loans!$E:$E)+E162),"")</f>
        <v/>
      </c>
      <c r="I162" s="43" t="str">
        <f>IFERROR(IF(OR(B162="",E162=""),"",SUMIF(DB_Loans!$B:$B,B162,DB_Loans!$J:$J)+(E162*0.025)),"")</f>
        <v/>
      </c>
      <c r="J162" s="31"/>
    </row>
    <row r="163" spans="1:10" ht="20.100000000000001" customHeight="1" x14ac:dyDescent="0.25">
      <c r="A163" s="30" t="str">
        <f t="shared" si="4"/>
        <v/>
      </c>
      <c r="B163" s="41"/>
      <c r="C163" s="35" t="str">
        <f>IFERROR(IF(B163="","",VLOOKUP(B163,DB_Customers!$A:$B,2,0)),"")</f>
        <v/>
      </c>
      <c r="D163" s="41"/>
      <c r="E163" s="32"/>
      <c r="F163" s="42" t="str">
        <f t="shared" ca="1" si="5"/>
        <v/>
      </c>
      <c r="G163" s="31"/>
      <c r="H163" s="43" t="str">
        <f>IFERROR(IF(OR(B163="",E163=""),"",SUMIF(DB_Loans!$B:$B,B163,DB_Loans!$E:$E)+E163),"")</f>
        <v/>
      </c>
      <c r="I163" s="43" t="str">
        <f>IFERROR(IF(OR(B163="",E163=""),"",SUMIF(DB_Loans!$B:$B,B163,DB_Loans!$J:$J)+(E163*0.025)),"")</f>
        <v/>
      </c>
      <c r="J163" s="31"/>
    </row>
    <row r="164" spans="1:10" ht="20.100000000000001" customHeight="1" x14ac:dyDescent="0.25">
      <c r="A164" s="30" t="str">
        <f t="shared" si="4"/>
        <v/>
      </c>
      <c r="B164" s="41"/>
      <c r="C164" s="35" t="str">
        <f>IFERROR(IF(B164="","",VLOOKUP(B164,DB_Customers!$A:$B,2,0)),"")</f>
        <v/>
      </c>
      <c r="D164" s="41"/>
      <c r="E164" s="32"/>
      <c r="F164" s="42" t="str">
        <f t="shared" ca="1" si="5"/>
        <v/>
      </c>
      <c r="G164" s="31"/>
      <c r="H164" s="43" t="str">
        <f>IFERROR(IF(OR(B164="",E164=""),"",SUMIF(DB_Loans!$B:$B,B164,DB_Loans!$E:$E)+E164),"")</f>
        <v/>
      </c>
      <c r="I164" s="43" t="str">
        <f>IFERROR(IF(OR(B164="",E164=""),"",SUMIF(DB_Loans!$B:$B,B164,DB_Loans!$J:$J)+(E164*0.025)),"")</f>
        <v/>
      </c>
      <c r="J164" s="31"/>
    </row>
    <row r="165" spans="1:10" ht="20.100000000000001" customHeight="1" x14ac:dyDescent="0.25">
      <c r="A165" s="30" t="str">
        <f t="shared" si="4"/>
        <v/>
      </c>
      <c r="B165" s="41"/>
      <c r="C165" s="35" t="str">
        <f>IFERROR(IF(B165="","",VLOOKUP(B165,DB_Customers!$A:$B,2,0)),"")</f>
        <v/>
      </c>
      <c r="D165" s="41"/>
      <c r="E165" s="32"/>
      <c r="F165" s="42" t="str">
        <f t="shared" ca="1" si="5"/>
        <v/>
      </c>
      <c r="G165" s="31"/>
      <c r="H165" s="43" t="str">
        <f>IFERROR(IF(OR(B165="",E165=""),"",SUMIF(DB_Loans!$B:$B,B165,DB_Loans!$E:$E)+E165),"")</f>
        <v/>
      </c>
      <c r="I165" s="43" t="str">
        <f>IFERROR(IF(OR(B165="",E165=""),"",SUMIF(DB_Loans!$B:$B,B165,DB_Loans!$J:$J)+(E165*0.025)),"")</f>
        <v/>
      </c>
      <c r="J165" s="31"/>
    </row>
    <row r="166" spans="1:10" ht="20.100000000000001" customHeight="1" x14ac:dyDescent="0.25">
      <c r="A166" s="30" t="str">
        <f t="shared" si="4"/>
        <v/>
      </c>
      <c r="B166" s="41"/>
      <c r="C166" s="35" t="str">
        <f>IFERROR(IF(B166="","",VLOOKUP(B166,DB_Customers!$A:$B,2,0)),"")</f>
        <v/>
      </c>
      <c r="D166" s="41"/>
      <c r="E166" s="32"/>
      <c r="F166" s="42" t="str">
        <f t="shared" ca="1" si="5"/>
        <v/>
      </c>
      <c r="G166" s="31"/>
      <c r="H166" s="43" t="str">
        <f>IFERROR(IF(OR(B166="",E166=""),"",SUMIF(DB_Loans!$B:$B,B166,DB_Loans!$E:$E)+E166),"")</f>
        <v/>
      </c>
      <c r="I166" s="43" t="str">
        <f>IFERROR(IF(OR(B166="",E166=""),"",SUMIF(DB_Loans!$B:$B,B166,DB_Loans!$J:$J)+(E166*0.025)),"")</f>
        <v/>
      </c>
      <c r="J166" s="31"/>
    </row>
    <row r="167" spans="1:10" ht="20.100000000000001" customHeight="1" x14ac:dyDescent="0.25">
      <c r="A167" s="30" t="str">
        <f t="shared" si="4"/>
        <v/>
      </c>
      <c r="B167" s="41"/>
      <c r="C167" s="35" t="str">
        <f>IFERROR(IF(B167="","",VLOOKUP(B167,DB_Customers!$A:$B,2,0)),"")</f>
        <v/>
      </c>
      <c r="D167" s="41"/>
      <c r="E167" s="32"/>
      <c r="F167" s="42" t="str">
        <f t="shared" ca="1" si="5"/>
        <v/>
      </c>
      <c r="G167" s="31"/>
      <c r="H167" s="43" t="str">
        <f>IFERROR(IF(OR(B167="",E167=""),"",SUMIF(DB_Loans!$B:$B,B167,DB_Loans!$E:$E)+E167),"")</f>
        <v/>
      </c>
      <c r="I167" s="43" t="str">
        <f>IFERROR(IF(OR(B167="",E167=""),"",SUMIF(DB_Loans!$B:$B,B167,DB_Loans!$J:$J)+(E167*0.025)),"")</f>
        <v/>
      </c>
      <c r="J167" s="31"/>
    </row>
    <row r="168" spans="1:10" ht="20.100000000000001" customHeight="1" x14ac:dyDescent="0.25">
      <c r="A168" s="30" t="str">
        <f t="shared" si="4"/>
        <v/>
      </c>
      <c r="B168" s="41"/>
      <c r="C168" s="35" t="str">
        <f>IFERROR(IF(B168="","",VLOOKUP(B168,DB_Customers!$A:$B,2,0)),"")</f>
        <v/>
      </c>
      <c r="D168" s="41"/>
      <c r="E168" s="32"/>
      <c r="F168" s="42" t="str">
        <f t="shared" ca="1" si="5"/>
        <v/>
      </c>
      <c r="G168" s="31"/>
      <c r="H168" s="43" t="str">
        <f>IFERROR(IF(OR(B168="",E168=""),"",SUMIF(DB_Loans!$B:$B,B168,DB_Loans!$E:$E)+E168),"")</f>
        <v/>
      </c>
      <c r="I168" s="43" t="str">
        <f>IFERROR(IF(OR(B168="",E168=""),"",SUMIF(DB_Loans!$B:$B,B168,DB_Loans!$J:$J)+(E168*0.025)),"")</f>
        <v/>
      </c>
      <c r="J168" s="31"/>
    </row>
    <row r="169" spans="1:10" ht="20.100000000000001" customHeight="1" x14ac:dyDescent="0.25">
      <c r="A169" s="30" t="str">
        <f t="shared" si="4"/>
        <v/>
      </c>
      <c r="B169" s="41"/>
      <c r="C169" s="35" t="str">
        <f>IFERROR(IF(B169="","",VLOOKUP(B169,DB_Customers!$A:$B,2,0)),"")</f>
        <v/>
      </c>
      <c r="D169" s="41"/>
      <c r="E169" s="32"/>
      <c r="F169" s="42" t="str">
        <f t="shared" ca="1" si="5"/>
        <v/>
      </c>
      <c r="G169" s="31"/>
      <c r="H169" s="43" t="str">
        <f>IFERROR(IF(OR(B169="",E169=""),"",SUMIF(DB_Loans!$B:$B,B169,DB_Loans!$E:$E)+E169),"")</f>
        <v/>
      </c>
      <c r="I169" s="43" t="str">
        <f>IFERROR(IF(OR(B169="",E169=""),"",SUMIF(DB_Loans!$B:$B,B169,DB_Loans!$J:$J)+(E169*0.025)),"")</f>
        <v/>
      </c>
      <c r="J169" s="31"/>
    </row>
    <row r="170" spans="1:10" ht="20.100000000000001" customHeight="1" x14ac:dyDescent="0.25">
      <c r="A170" s="30" t="str">
        <f t="shared" si="4"/>
        <v/>
      </c>
      <c r="B170" s="41"/>
      <c r="C170" s="35" t="str">
        <f>IFERROR(IF(B170="","",VLOOKUP(B170,DB_Customers!$A:$B,2,0)),"")</f>
        <v/>
      </c>
      <c r="D170" s="41"/>
      <c r="E170" s="32"/>
      <c r="F170" s="42" t="str">
        <f t="shared" ca="1" si="5"/>
        <v/>
      </c>
      <c r="G170" s="31"/>
      <c r="H170" s="43" t="str">
        <f>IFERROR(IF(OR(B170="",E170=""),"",SUMIF(DB_Loans!$B:$B,B170,DB_Loans!$E:$E)+E170),"")</f>
        <v/>
      </c>
      <c r="I170" s="43" t="str">
        <f>IFERROR(IF(OR(B170="",E170=""),"",SUMIF(DB_Loans!$B:$B,B170,DB_Loans!$J:$J)+(E170*0.025)),"")</f>
        <v/>
      </c>
      <c r="J170" s="31"/>
    </row>
    <row r="171" spans="1:10" ht="20.100000000000001" customHeight="1" x14ac:dyDescent="0.25">
      <c r="A171" s="30" t="str">
        <f t="shared" si="4"/>
        <v/>
      </c>
      <c r="B171" s="41"/>
      <c r="C171" s="35" t="str">
        <f>IFERROR(IF(B171="","",VLOOKUP(B171,DB_Customers!$A:$B,2,0)),"")</f>
        <v/>
      </c>
      <c r="D171" s="41"/>
      <c r="E171" s="32"/>
      <c r="F171" s="42" t="str">
        <f t="shared" ca="1" si="5"/>
        <v/>
      </c>
      <c r="G171" s="31"/>
      <c r="H171" s="43" t="str">
        <f>IFERROR(IF(OR(B171="",E171=""),"",SUMIF(DB_Loans!$B:$B,B171,DB_Loans!$E:$E)+E171),"")</f>
        <v/>
      </c>
      <c r="I171" s="43" t="str">
        <f>IFERROR(IF(OR(B171="",E171=""),"",SUMIF(DB_Loans!$B:$B,B171,DB_Loans!$J:$J)+(E171*0.025)),"")</f>
        <v/>
      </c>
      <c r="J171" s="31"/>
    </row>
    <row r="172" spans="1:10" ht="20.100000000000001" customHeight="1" x14ac:dyDescent="0.25">
      <c r="A172" s="30" t="str">
        <f t="shared" si="4"/>
        <v/>
      </c>
      <c r="B172" s="41"/>
      <c r="C172" s="35" t="str">
        <f>IFERROR(IF(B172="","",VLOOKUP(B172,DB_Customers!$A:$B,2,0)),"")</f>
        <v/>
      </c>
      <c r="D172" s="41"/>
      <c r="E172" s="32"/>
      <c r="F172" s="42" t="str">
        <f t="shared" ca="1" si="5"/>
        <v/>
      </c>
      <c r="G172" s="31"/>
      <c r="H172" s="43" t="str">
        <f>IFERROR(IF(OR(B172="",E172=""),"",SUMIF(DB_Loans!$B:$B,B172,DB_Loans!$E:$E)+E172),"")</f>
        <v/>
      </c>
      <c r="I172" s="43" t="str">
        <f>IFERROR(IF(OR(B172="",E172=""),"",SUMIF(DB_Loans!$B:$B,B172,DB_Loans!$J:$J)+(E172*0.025)),"")</f>
        <v/>
      </c>
      <c r="J172" s="31"/>
    </row>
    <row r="173" spans="1:10" ht="20.100000000000001" customHeight="1" x14ac:dyDescent="0.25">
      <c r="A173" s="30" t="str">
        <f t="shared" si="4"/>
        <v/>
      </c>
      <c r="B173" s="41"/>
      <c r="C173" s="35" t="str">
        <f>IFERROR(IF(B173="","",VLOOKUP(B173,DB_Customers!$A:$B,2,0)),"")</f>
        <v/>
      </c>
      <c r="D173" s="41"/>
      <c r="E173" s="32"/>
      <c r="F173" s="42" t="str">
        <f t="shared" ca="1" si="5"/>
        <v/>
      </c>
      <c r="G173" s="31"/>
      <c r="H173" s="43" t="str">
        <f>IFERROR(IF(OR(B173="",E173=""),"",SUMIF(DB_Loans!$B:$B,B173,DB_Loans!$E:$E)+E173),"")</f>
        <v/>
      </c>
      <c r="I173" s="43" t="str">
        <f>IFERROR(IF(OR(B173="",E173=""),"",SUMIF(DB_Loans!$B:$B,B173,DB_Loans!$J:$J)+(E173*0.025)),"")</f>
        <v/>
      </c>
      <c r="J173" s="31"/>
    </row>
    <row r="174" spans="1:10" ht="20.100000000000001" customHeight="1" x14ac:dyDescent="0.25">
      <c r="A174" s="30" t="str">
        <f t="shared" si="4"/>
        <v/>
      </c>
      <c r="B174" s="41"/>
      <c r="C174" s="35" t="str">
        <f>IFERROR(IF(B174="","",VLOOKUP(B174,DB_Customers!$A:$B,2,0)),"")</f>
        <v/>
      </c>
      <c r="D174" s="41"/>
      <c r="E174" s="32"/>
      <c r="F174" s="42" t="str">
        <f t="shared" ca="1" si="5"/>
        <v/>
      </c>
      <c r="G174" s="31"/>
      <c r="H174" s="43" t="str">
        <f>IFERROR(IF(OR(B174="",E174=""),"",SUMIF(DB_Loans!$B:$B,B174,DB_Loans!$E:$E)+E174),"")</f>
        <v/>
      </c>
      <c r="I174" s="43" t="str">
        <f>IFERROR(IF(OR(B174="",E174=""),"",SUMIF(DB_Loans!$B:$B,B174,DB_Loans!$J:$J)+(E174*0.025)),"")</f>
        <v/>
      </c>
      <c r="J174" s="31"/>
    </row>
    <row r="175" spans="1:10" ht="20.100000000000001" customHeight="1" x14ac:dyDescent="0.25">
      <c r="A175" s="30" t="str">
        <f t="shared" si="4"/>
        <v/>
      </c>
      <c r="B175" s="41"/>
      <c r="C175" s="35" t="str">
        <f>IFERROR(IF(B175="","",VLOOKUP(B175,DB_Customers!$A:$B,2,0)),"")</f>
        <v/>
      </c>
      <c r="D175" s="41"/>
      <c r="E175" s="32"/>
      <c r="F175" s="42" t="str">
        <f t="shared" ca="1" si="5"/>
        <v/>
      </c>
      <c r="G175" s="31"/>
      <c r="H175" s="43" t="str">
        <f>IFERROR(IF(OR(B175="",E175=""),"",SUMIF(DB_Loans!$B:$B,B175,DB_Loans!$E:$E)+E175),"")</f>
        <v/>
      </c>
      <c r="I175" s="43" t="str">
        <f>IFERROR(IF(OR(B175="",E175=""),"",SUMIF(DB_Loans!$B:$B,B175,DB_Loans!$J:$J)+(E175*0.025)),"")</f>
        <v/>
      </c>
      <c r="J175" s="31"/>
    </row>
    <row r="176" spans="1:10" ht="20.100000000000001" customHeight="1" x14ac:dyDescent="0.25">
      <c r="A176" s="30" t="str">
        <f t="shared" si="4"/>
        <v/>
      </c>
      <c r="B176" s="41"/>
      <c r="C176" s="35" t="str">
        <f>IFERROR(IF(B176="","",VLOOKUP(B176,DB_Customers!$A:$B,2,0)),"")</f>
        <v/>
      </c>
      <c r="D176" s="41"/>
      <c r="E176" s="32"/>
      <c r="F176" s="42" t="str">
        <f t="shared" ca="1" si="5"/>
        <v/>
      </c>
      <c r="G176" s="31"/>
      <c r="H176" s="43" t="str">
        <f>IFERROR(IF(OR(B176="",E176=""),"",SUMIF(DB_Loans!$B:$B,B176,DB_Loans!$E:$E)+E176),"")</f>
        <v/>
      </c>
      <c r="I176" s="43" t="str">
        <f>IFERROR(IF(OR(B176="",E176=""),"",SUMIF(DB_Loans!$B:$B,B176,DB_Loans!$J:$J)+(E176*0.025)),"")</f>
        <v/>
      </c>
      <c r="J176" s="31"/>
    </row>
    <row r="177" spans="1:10" ht="20.100000000000001" customHeight="1" x14ac:dyDescent="0.25">
      <c r="A177" s="30" t="str">
        <f t="shared" si="4"/>
        <v/>
      </c>
      <c r="B177" s="41"/>
      <c r="C177" s="35" t="str">
        <f>IFERROR(IF(B177="","",VLOOKUP(B177,DB_Customers!$A:$B,2,0)),"")</f>
        <v/>
      </c>
      <c r="D177" s="41"/>
      <c r="E177" s="32"/>
      <c r="F177" s="42" t="str">
        <f t="shared" ca="1" si="5"/>
        <v/>
      </c>
      <c r="G177" s="31"/>
      <c r="H177" s="43" t="str">
        <f>IFERROR(IF(OR(B177="",E177=""),"",SUMIF(DB_Loans!$B:$B,B177,DB_Loans!$E:$E)+E177),"")</f>
        <v/>
      </c>
      <c r="I177" s="43" t="str">
        <f>IFERROR(IF(OR(B177="",E177=""),"",SUMIF(DB_Loans!$B:$B,B177,DB_Loans!$J:$J)+(E177*0.025)),"")</f>
        <v/>
      </c>
      <c r="J177" s="31"/>
    </row>
    <row r="178" spans="1:10" ht="20.100000000000001" customHeight="1" x14ac:dyDescent="0.25">
      <c r="A178" s="30" t="str">
        <f t="shared" si="4"/>
        <v/>
      </c>
      <c r="B178" s="41"/>
      <c r="C178" s="35" t="str">
        <f>IFERROR(IF(B178="","",VLOOKUP(B178,DB_Customers!$A:$B,2,0)),"")</f>
        <v/>
      </c>
      <c r="D178" s="41"/>
      <c r="E178" s="32"/>
      <c r="F178" s="42" t="str">
        <f t="shared" ca="1" si="5"/>
        <v/>
      </c>
      <c r="G178" s="31"/>
      <c r="H178" s="43" t="str">
        <f>IFERROR(IF(OR(B178="",E178=""),"",SUMIF(DB_Loans!$B:$B,B178,DB_Loans!$E:$E)+E178),"")</f>
        <v/>
      </c>
      <c r="I178" s="43" t="str">
        <f>IFERROR(IF(OR(B178="",E178=""),"",SUMIF(DB_Loans!$B:$B,B178,DB_Loans!$J:$J)+(E178*0.025)),"")</f>
        <v/>
      </c>
      <c r="J178" s="31"/>
    </row>
    <row r="179" spans="1:10" ht="20.100000000000001" customHeight="1" x14ac:dyDescent="0.25">
      <c r="A179" s="30" t="str">
        <f t="shared" si="4"/>
        <v/>
      </c>
      <c r="B179" s="41"/>
      <c r="C179" s="35" t="str">
        <f>IFERROR(IF(B179="","",VLOOKUP(B179,DB_Customers!$A:$B,2,0)),"")</f>
        <v/>
      </c>
      <c r="D179" s="41"/>
      <c r="E179" s="32"/>
      <c r="F179" s="42" t="str">
        <f t="shared" ca="1" si="5"/>
        <v/>
      </c>
      <c r="G179" s="31"/>
      <c r="H179" s="43" t="str">
        <f>IFERROR(IF(OR(B179="",E179=""),"",SUMIF(DB_Loans!$B:$B,B179,DB_Loans!$E:$E)+E179),"")</f>
        <v/>
      </c>
      <c r="I179" s="43" t="str">
        <f>IFERROR(IF(OR(B179="",E179=""),"",SUMIF(DB_Loans!$B:$B,B179,DB_Loans!$J:$J)+(E179*0.025)),"")</f>
        <v/>
      </c>
      <c r="J179" s="31"/>
    </row>
    <row r="180" spans="1:10" ht="20.100000000000001" customHeight="1" x14ac:dyDescent="0.25">
      <c r="A180" s="30" t="str">
        <f t="shared" si="4"/>
        <v/>
      </c>
      <c r="B180" s="41"/>
      <c r="C180" s="35" t="str">
        <f>IFERROR(IF(B180="","",VLOOKUP(B180,DB_Customers!$A:$B,2,0)),"")</f>
        <v/>
      </c>
      <c r="D180" s="41"/>
      <c r="E180" s="32"/>
      <c r="F180" s="42" t="str">
        <f t="shared" ca="1" si="5"/>
        <v/>
      </c>
      <c r="G180" s="31"/>
      <c r="H180" s="43" t="str">
        <f>IFERROR(IF(OR(B180="",E180=""),"",SUMIF(DB_Loans!$B:$B,B180,DB_Loans!$E:$E)+E180),"")</f>
        <v/>
      </c>
      <c r="I180" s="43" t="str">
        <f>IFERROR(IF(OR(B180="",E180=""),"",SUMIF(DB_Loans!$B:$B,B180,DB_Loans!$J:$J)+(E180*0.025)),"")</f>
        <v/>
      </c>
      <c r="J180" s="31"/>
    </row>
    <row r="181" spans="1:10" ht="20.100000000000001" customHeight="1" x14ac:dyDescent="0.25">
      <c r="A181" s="30" t="str">
        <f t="shared" si="4"/>
        <v/>
      </c>
      <c r="B181" s="41"/>
      <c r="C181" s="35" t="str">
        <f>IFERROR(IF(B181="","",VLOOKUP(B181,DB_Customers!$A:$B,2,0)),"")</f>
        <v/>
      </c>
      <c r="D181" s="41"/>
      <c r="E181" s="32"/>
      <c r="F181" s="42" t="str">
        <f t="shared" ca="1" si="5"/>
        <v/>
      </c>
      <c r="G181" s="31"/>
      <c r="H181" s="43" t="str">
        <f>IFERROR(IF(OR(B181="",E181=""),"",SUMIF(DB_Loans!$B:$B,B181,DB_Loans!$E:$E)+E181),"")</f>
        <v/>
      </c>
      <c r="I181" s="43" t="str">
        <f>IFERROR(IF(OR(B181="",E181=""),"",SUMIF(DB_Loans!$B:$B,B181,DB_Loans!$J:$J)+(E181*0.025)),"")</f>
        <v/>
      </c>
      <c r="J181" s="31"/>
    </row>
    <row r="182" spans="1:10" ht="20.100000000000001" customHeight="1" x14ac:dyDescent="0.25">
      <c r="A182" s="30" t="str">
        <f t="shared" si="4"/>
        <v/>
      </c>
      <c r="B182" s="41"/>
      <c r="C182" s="35" t="str">
        <f>IFERROR(IF(B182="","",VLOOKUP(B182,DB_Customers!$A:$B,2,0)),"")</f>
        <v/>
      </c>
      <c r="D182" s="41"/>
      <c r="E182" s="32"/>
      <c r="F182" s="42" t="str">
        <f t="shared" ca="1" si="5"/>
        <v/>
      </c>
      <c r="G182" s="31"/>
      <c r="H182" s="43" t="str">
        <f>IFERROR(IF(OR(B182="",E182=""),"",SUMIF(DB_Loans!$B:$B,B182,DB_Loans!$E:$E)+E182),"")</f>
        <v/>
      </c>
      <c r="I182" s="43" t="str">
        <f>IFERROR(IF(OR(B182="",E182=""),"",SUMIF(DB_Loans!$B:$B,B182,DB_Loans!$J:$J)+(E182*0.025)),"")</f>
        <v/>
      </c>
      <c r="J182" s="31"/>
    </row>
    <row r="183" spans="1:10" ht="20.100000000000001" customHeight="1" x14ac:dyDescent="0.25">
      <c r="A183" s="30" t="str">
        <f t="shared" si="4"/>
        <v/>
      </c>
      <c r="B183" s="41"/>
      <c r="C183" s="35" t="str">
        <f>IFERROR(IF(B183="","",VLOOKUP(B183,DB_Customers!$A:$B,2,0)),"")</f>
        <v/>
      </c>
      <c r="D183" s="41"/>
      <c r="E183" s="32"/>
      <c r="F183" s="42" t="str">
        <f t="shared" ca="1" si="5"/>
        <v/>
      </c>
      <c r="G183" s="31"/>
      <c r="H183" s="43" t="str">
        <f>IFERROR(IF(OR(B183="",E183=""),"",SUMIF(DB_Loans!$B:$B,B183,DB_Loans!$E:$E)+E183),"")</f>
        <v/>
      </c>
      <c r="I183" s="43" t="str">
        <f>IFERROR(IF(OR(B183="",E183=""),"",SUMIF(DB_Loans!$B:$B,B183,DB_Loans!$J:$J)+(E183*0.025)),"")</f>
        <v/>
      </c>
      <c r="J183" s="31"/>
    </row>
    <row r="184" spans="1:10" ht="20.100000000000001" customHeight="1" x14ac:dyDescent="0.25">
      <c r="A184" s="30" t="str">
        <f t="shared" si="4"/>
        <v/>
      </c>
      <c r="B184" s="41"/>
      <c r="C184" s="35" t="str">
        <f>IFERROR(IF(B184="","",VLOOKUP(B184,DB_Customers!$A:$B,2,0)),"")</f>
        <v/>
      </c>
      <c r="D184" s="41"/>
      <c r="E184" s="32"/>
      <c r="F184" s="42" t="str">
        <f t="shared" ca="1" si="5"/>
        <v/>
      </c>
      <c r="G184" s="31"/>
      <c r="H184" s="43" t="str">
        <f>IFERROR(IF(OR(B184="",E184=""),"",SUMIF(DB_Loans!$B:$B,B184,DB_Loans!$E:$E)+E184),"")</f>
        <v/>
      </c>
      <c r="I184" s="43" t="str">
        <f>IFERROR(IF(OR(B184="",E184=""),"",SUMIF(DB_Loans!$B:$B,B184,DB_Loans!$J:$J)+(E184*0.025)),"")</f>
        <v/>
      </c>
      <c r="J184" s="31"/>
    </row>
    <row r="185" spans="1:10" ht="20.100000000000001" customHeight="1" x14ac:dyDescent="0.25">
      <c r="A185" s="30" t="str">
        <f t="shared" si="4"/>
        <v/>
      </c>
      <c r="B185" s="41"/>
      <c r="C185" s="35" t="str">
        <f>IFERROR(IF(B185="","",VLOOKUP(B185,DB_Customers!$A:$B,2,0)),"")</f>
        <v/>
      </c>
      <c r="D185" s="41"/>
      <c r="E185" s="32"/>
      <c r="F185" s="42" t="str">
        <f t="shared" ca="1" si="5"/>
        <v/>
      </c>
      <c r="G185" s="31"/>
      <c r="H185" s="43" t="str">
        <f>IFERROR(IF(OR(B185="",E185=""),"",SUMIF(DB_Loans!$B:$B,B185,DB_Loans!$E:$E)+E185),"")</f>
        <v/>
      </c>
      <c r="I185" s="43" t="str">
        <f>IFERROR(IF(OR(B185="",E185=""),"",SUMIF(DB_Loans!$B:$B,B185,DB_Loans!$J:$J)+(E185*0.025)),"")</f>
        <v/>
      </c>
      <c r="J185" s="31"/>
    </row>
    <row r="186" spans="1:10" ht="20.100000000000001" customHeight="1" x14ac:dyDescent="0.25">
      <c r="A186" s="30" t="str">
        <f t="shared" si="4"/>
        <v/>
      </c>
      <c r="B186" s="41"/>
      <c r="C186" s="35" t="str">
        <f>IFERROR(IF(B186="","",VLOOKUP(B186,DB_Customers!$A:$B,2,0)),"")</f>
        <v/>
      </c>
      <c r="D186" s="41"/>
      <c r="E186" s="32"/>
      <c r="F186" s="42" t="str">
        <f t="shared" ca="1" si="5"/>
        <v/>
      </c>
      <c r="G186" s="31"/>
      <c r="H186" s="43" t="str">
        <f>IFERROR(IF(OR(B186="",E186=""),"",SUMIF(DB_Loans!$B:$B,B186,DB_Loans!$E:$E)+E186),"")</f>
        <v/>
      </c>
      <c r="I186" s="43" t="str">
        <f>IFERROR(IF(OR(B186="",E186=""),"",SUMIF(DB_Loans!$B:$B,B186,DB_Loans!$J:$J)+(E186*0.025)),"")</f>
        <v/>
      </c>
      <c r="J186" s="31"/>
    </row>
    <row r="187" spans="1:10" ht="20.100000000000001" customHeight="1" x14ac:dyDescent="0.25">
      <c r="A187" s="30" t="str">
        <f t="shared" si="4"/>
        <v/>
      </c>
      <c r="B187" s="41"/>
      <c r="C187" s="35" t="str">
        <f>IFERROR(IF(B187="","",VLOOKUP(B187,DB_Customers!$A:$B,2,0)),"")</f>
        <v/>
      </c>
      <c r="D187" s="41"/>
      <c r="E187" s="32"/>
      <c r="F187" s="42" t="str">
        <f t="shared" ca="1" si="5"/>
        <v/>
      </c>
      <c r="G187" s="31"/>
      <c r="H187" s="43" t="str">
        <f>IFERROR(IF(OR(B187="",E187=""),"",SUMIF(DB_Loans!$B:$B,B187,DB_Loans!$E:$E)+E187),"")</f>
        <v/>
      </c>
      <c r="I187" s="43" t="str">
        <f>IFERROR(IF(OR(B187="",E187=""),"",SUMIF(DB_Loans!$B:$B,B187,DB_Loans!$J:$J)+(E187*0.025)),"")</f>
        <v/>
      </c>
      <c r="J187" s="31"/>
    </row>
    <row r="188" spans="1:10" ht="20.100000000000001" customHeight="1" x14ac:dyDescent="0.25">
      <c r="A188" s="30" t="str">
        <f t="shared" si="4"/>
        <v/>
      </c>
      <c r="B188" s="41"/>
      <c r="C188" s="35" t="str">
        <f>IFERROR(IF(B188="","",VLOOKUP(B188,DB_Customers!$A:$B,2,0)),"")</f>
        <v/>
      </c>
      <c r="D188" s="41"/>
      <c r="E188" s="32"/>
      <c r="F188" s="42" t="str">
        <f t="shared" ca="1" si="5"/>
        <v/>
      </c>
      <c r="G188" s="31"/>
      <c r="H188" s="43" t="str">
        <f>IFERROR(IF(OR(B188="",E188=""),"",SUMIF(DB_Loans!$B:$B,B188,DB_Loans!$E:$E)+E188),"")</f>
        <v/>
      </c>
      <c r="I188" s="43" t="str">
        <f>IFERROR(IF(OR(B188="",E188=""),"",SUMIF(DB_Loans!$B:$B,B188,DB_Loans!$J:$J)+(E188*0.025)),"")</f>
        <v/>
      </c>
      <c r="J188" s="31"/>
    </row>
    <row r="189" spans="1:10" ht="20.100000000000001" customHeight="1" x14ac:dyDescent="0.25">
      <c r="A189" s="30" t="str">
        <f t="shared" si="4"/>
        <v/>
      </c>
      <c r="B189" s="41"/>
      <c r="C189" s="35" t="str">
        <f>IFERROR(IF(B189="","",VLOOKUP(B189,DB_Customers!$A:$B,2,0)),"")</f>
        <v/>
      </c>
      <c r="D189" s="41"/>
      <c r="E189" s="32"/>
      <c r="F189" s="42" t="str">
        <f t="shared" ca="1" si="5"/>
        <v/>
      </c>
      <c r="G189" s="31"/>
      <c r="H189" s="43" t="str">
        <f>IFERROR(IF(OR(B189="",E189=""),"",SUMIF(DB_Loans!$B:$B,B189,DB_Loans!$E:$E)+E189),"")</f>
        <v/>
      </c>
      <c r="I189" s="43" t="str">
        <f>IFERROR(IF(OR(B189="",E189=""),"",SUMIF(DB_Loans!$B:$B,B189,DB_Loans!$J:$J)+(E189*0.025)),"")</f>
        <v/>
      </c>
      <c r="J189" s="31"/>
    </row>
    <row r="190" spans="1:10" ht="20.100000000000001" customHeight="1" x14ac:dyDescent="0.25">
      <c r="A190" s="30" t="str">
        <f t="shared" si="4"/>
        <v/>
      </c>
      <c r="B190" s="41"/>
      <c r="C190" s="35" t="str">
        <f>IFERROR(IF(B190="","",VLOOKUP(B190,DB_Customers!$A:$B,2,0)),"")</f>
        <v/>
      </c>
      <c r="D190" s="41"/>
      <c r="E190" s="32"/>
      <c r="F190" s="42" t="str">
        <f t="shared" ca="1" si="5"/>
        <v/>
      </c>
      <c r="G190" s="31"/>
      <c r="H190" s="43" t="str">
        <f>IFERROR(IF(OR(B190="",E190=""),"",SUMIF(DB_Loans!$B:$B,B190,DB_Loans!$E:$E)+E190),"")</f>
        <v/>
      </c>
      <c r="I190" s="43" t="str">
        <f>IFERROR(IF(OR(B190="",E190=""),"",SUMIF(DB_Loans!$B:$B,B190,DB_Loans!$J:$J)+(E190*0.025)),"")</f>
        <v/>
      </c>
      <c r="J190" s="31"/>
    </row>
    <row r="191" spans="1:10" ht="20.100000000000001" customHeight="1" x14ac:dyDescent="0.25">
      <c r="A191" s="30" t="str">
        <f t="shared" si="4"/>
        <v/>
      </c>
      <c r="B191" s="41"/>
      <c r="C191" s="35" t="str">
        <f>IFERROR(IF(B191="","",VLOOKUP(B191,DB_Customers!$A:$B,2,0)),"")</f>
        <v/>
      </c>
      <c r="D191" s="41"/>
      <c r="E191" s="32"/>
      <c r="F191" s="42" t="str">
        <f t="shared" ca="1" si="5"/>
        <v/>
      </c>
      <c r="G191" s="31"/>
      <c r="H191" s="43" t="str">
        <f>IFERROR(IF(OR(B191="",E191=""),"",SUMIF(DB_Loans!$B:$B,B191,DB_Loans!$E:$E)+E191),"")</f>
        <v/>
      </c>
      <c r="I191" s="43" t="str">
        <f>IFERROR(IF(OR(B191="",E191=""),"",SUMIF(DB_Loans!$B:$B,B191,DB_Loans!$J:$J)+(E191*0.025)),"")</f>
        <v/>
      </c>
      <c r="J191" s="31"/>
    </row>
    <row r="192" spans="1:10" ht="20.100000000000001" customHeight="1" x14ac:dyDescent="0.25">
      <c r="A192" s="30" t="str">
        <f t="shared" si="4"/>
        <v/>
      </c>
      <c r="B192" s="41"/>
      <c r="C192" s="35" t="str">
        <f>IFERROR(IF(B192="","",VLOOKUP(B192,DB_Customers!$A:$B,2,0)),"")</f>
        <v/>
      </c>
      <c r="D192" s="41"/>
      <c r="E192" s="32"/>
      <c r="F192" s="42" t="str">
        <f t="shared" ca="1" si="5"/>
        <v/>
      </c>
      <c r="G192" s="31"/>
      <c r="H192" s="43" t="str">
        <f>IFERROR(IF(OR(B192="",E192=""),"",SUMIF(DB_Loans!$B:$B,B192,DB_Loans!$E:$E)+E192),"")</f>
        <v/>
      </c>
      <c r="I192" s="43" t="str">
        <f>IFERROR(IF(OR(B192="",E192=""),"",SUMIF(DB_Loans!$B:$B,B192,DB_Loans!$J:$J)+(E192*0.025)),"")</f>
        <v/>
      </c>
      <c r="J192" s="31"/>
    </row>
    <row r="193" spans="1:10" ht="20.100000000000001" customHeight="1" x14ac:dyDescent="0.25">
      <c r="A193" s="30" t="str">
        <f t="shared" si="4"/>
        <v/>
      </c>
      <c r="B193" s="41"/>
      <c r="C193" s="35" t="str">
        <f>IFERROR(IF(B193="","",VLOOKUP(B193,DB_Customers!$A:$B,2,0)),"")</f>
        <v/>
      </c>
      <c r="D193" s="41"/>
      <c r="E193" s="32"/>
      <c r="F193" s="42" t="str">
        <f t="shared" ca="1" si="5"/>
        <v/>
      </c>
      <c r="G193" s="31"/>
      <c r="H193" s="43" t="str">
        <f>IFERROR(IF(OR(B193="",E193=""),"",SUMIF(DB_Loans!$B:$B,B193,DB_Loans!$E:$E)+E193),"")</f>
        <v/>
      </c>
      <c r="I193" s="43" t="str">
        <f>IFERROR(IF(OR(B193="",E193=""),"",SUMIF(DB_Loans!$B:$B,B193,DB_Loans!$J:$J)+(E193*0.025)),"")</f>
        <v/>
      </c>
      <c r="J193" s="31"/>
    </row>
    <row r="194" spans="1:10" ht="20.100000000000001" customHeight="1" x14ac:dyDescent="0.25">
      <c r="A194" s="30" t="str">
        <f t="shared" si="4"/>
        <v/>
      </c>
      <c r="B194" s="41"/>
      <c r="C194" s="35" t="str">
        <f>IFERROR(IF(B194="","",VLOOKUP(B194,DB_Customers!$A:$B,2,0)),"")</f>
        <v/>
      </c>
      <c r="D194" s="41"/>
      <c r="E194" s="32"/>
      <c r="F194" s="42" t="str">
        <f t="shared" ca="1" si="5"/>
        <v/>
      </c>
      <c r="G194" s="31"/>
      <c r="H194" s="43" t="str">
        <f>IFERROR(IF(OR(B194="",E194=""),"",SUMIF(DB_Loans!$B:$B,B194,DB_Loans!$E:$E)+E194),"")</f>
        <v/>
      </c>
      <c r="I194" s="43" t="str">
        <f>IFERROR(IF(OR(B194="",E194=""),"",SUMIF(DB_Loans!$B:$B,B194,DB_Loans!$J:$J)+(E194*0.025)),"")</f>
        <v/>
      </c>
      <c r="J194" s="31"/>
    </row>
    <row r="195" spans="1:10" ht="20.100000000000001" customHeight="1" x14ac:dyDescent="0.25">
      <c r="A195" s="30" t="str">
        <f t="shared" si="4"/>
        <v/>
      </c>
      <c r="B195" s="41"/>
      <c r="C195" s="35" t="str">
        <f>IFERROR(IF(B195="","",VLOOKUP(B195,DB_Customers!$A:$B,2,0)),"")</f>
        <v/>
      </c>
      <c r="D195" s="41"/>
      <c r="E195" s="32"/>
      <c r="F195" s="42" t="str">
        <f t="shared" ca="1" si="5"/>
        <v/>
      </c>
      <c r="G195" s="31"/>
      <c r="H195" s="43" t="str">
        <f>IFERROR(IF(OR(B195="",E195=""),"",SUMIF(DB_Loans!$B:$B,B195,DB_Loans!$E:$E)+E195),"")</f>
        <v/>
      </c>
      <c r="I195" s="43" t="str">
        <f>IFERROR(IF(OR(B195="",E195=""),"",SUMIF(DB_Loans!$B:$B,B195,DB_Loans!$J:$J)+(E195*0.025)),"")</f>
        <v/>
      </c>
      <c r="J195" s="31"/>
    </row>
    <row r="196" spans="1:10" ht="20.100000000000001" customHeight="1" x14ac:dyDescent="0.25">
      <c r="A196" s="30" t="str">
        <f t="shared" si="4"/>
        <v/>
      </c>
      <c r="B196" s="41"/>
      <c r="C196" s="35" t="str">
        <f>IFERROR(IF(B196="","",VLOOKUP(B196,DB_Customers!$A:$B,2,0)),"")</f>
        <v/>
      </c>
      <c r="D196" s="41"/>
      <c r="E196" s="32"/>
      <c r="F196" s="42" t="str">
        <f t="shared" ca="1" si="5"/>
        <v/>
      </c>
      <c r="G196" s="31"/>
      <c r="H196" s="43" t="str">
        <f>IFERROR(IF(OR(B196="",E196=""),"",SUMIF(DB_Loans!$B:$B,B196,DB_Loans!$E:$E)+E196),"")</f>
        <v/>
      </c>
      <c r="I196" s="43" t="str">
        <f>IFERROR(IF(OR(B196="",E196=""),"",SUMIF(DB_Loans!$B:$B,B196,DB_Loans!$J:$J)+(E196*0.025)),"")</f>
        <v/>
      </c>
      <c r="J196" s="31"/>
    </row>
    <row r="197" spans="1:10" ht="20.100000000000001" customHeight="1" x14ac:dyDescent="0.25">
      <c r="A197" s="30" t="str">
        <f t="shared" ref="A197:A260" si="6">IF(B197="","","TU"&amp;TEXT(ROW()-4,"0000"))</f>
        <v/>
      </c>
      <c r="B197" s="41"/>
      <c r="C197" s="35" t="str">
        <f>IFERROR(IF(B197="","",VLOOKUP(B197,DB_Customers!$A:$B,2,0)),"")</f>
        <v/>
      </c>
      <c r="D197" s="41"/>
      <c r="E197" s="32"/>
      <c r="F197" s="42" t="str">
        <f t="shared" ref="F197:F260" ca="1" si="7">IF(B197="","",TODAY())</f>
        <v/>
      </c>
      <c r="G197" s="31"/>
      <c r="H197" s="43" t="str">
        <f>IFERROR(IF(OR(B197="",E197=""),"",SUMIF(DB_Loans!$B:$B,B197,DB_Loans!$E:$E)+E197),"")</f>
        <v/>
      </c>
      <c r="I197" s="43" t="str">
        <f>IFERROR(IF(OR(B197="",E197=""),"",SUMIF(DB_Loans!$B:$B,B197,DB_Loans!$J:$J)+(E197*0.025)),"")</f>
        <v/>
      </c>
      <c r="J197" s="31"/>
    </row>
    <row r="198" spans="1:10" ht="20.100000000000001" customHeight="1" x14ac:dyDescent="0.25">
      <c r="A198" s="30" t="str">
        <f t="shared" si="6"/>
        <v/>
      </c>
      <c r="B198" s="41"/>
      <c r="C198" s="35" t="str">
        <f>IFERROR(IF(B198="","",VLOOKUP(B198,DB_Customers!$A:$B,2,0)),"")</f>
        <v/>
      </c>
      <c r="D198" s="41"/>
      <c r="E198" s="32"/>
      <c r="F198" s="42" t="str">
        <f t="shared" ca="1" si="7"/>
        <v/>
      </c>
      <c r="G198" s="31"/>
      <c r="H198" s="43" t="str">
        <f>IFERROR(IF(OR(B198="",E198=""),"",SUMIF(DB_Loans!$B:$B,B198,DB_Loans!$E:$E)+E198),"")</f>
        <v/>
      </c>
      <c r="I198" s="43" t="str">
        <f>IFERROR(IF(OR(B198="",E198=""),"",SUMIF(DB_Loans!$B:$B,B198,DB_Loans!$J:$J)+(E198*0.025)),"")</f>
        <v/>
      </c>
      <c r="J198" s="31"/>
    </row>
    <row r="199" spans="1:10" ht="20.100000000000001" customHeight="1" x14ac:dyDescent="0.25">
      <c r="A199" s="30" t="str">
        <f t="shared" si="6"/>
        <v/>
      </c>
      <c r="B199" s="41"/>
      <c r="C199" s="35" t="str">
        <f>IFERROR(IF(B199="","",VLOOKUP(B199,DB_Customers!$A:$B,2,0)),"")</f>
        <v/>
      </c>
      <c r="D199" s="41"/>
      <c r="E199" s="32"/>
      <c r="F199" s="42" t="str">
        <f t="shared" ca="1" si="7"/>
        <v/>
      </c>
      <c r="G199" s="31"/>
      <c r="H199" s="43" t="str">
        <f>IFERROR(IF(OR(B199="",E199=""),"",SUMIF(DB_Loans!$B:$B,B199,DB_Loans!$E:$E)+E199),"")</f>
        <v/>
      </c>
      <c r="I199" s="43" t="str">
        <f>IFERROR(IF(OR(B199="",E199=""),"",SUMIF(DB_Loans!$B:$B,B199,DB_Loans!$J:$J)+(E199*0.025)),"")</f>
        <v/>
      </c>
      <c r="J199" s="31"/>
    </row>
    <row r="200" spans="1:10" ht="20.100000000000001" customHeight="1" x14ac:dyDescent="0.25">
      <c r="A200" s="30" t="str">
        <f t="shared" si="6"/>
        <v/>
      </c>
      <c r="B200" s="41"/>
      <c r="C200" s="35" t="str">
        <f>IFERROR(IF(B200="","",VLOOKUP(B200,DB_Customers!$A:$B,2,0)),"")</f>
        <v/>
      </c>
      <c r="D200" s="41"/>
      <c r="E200" s="32"/>
      <c r="F200" s="42" t="str">
        <f t="shared" ca="1" si="7"/>
        <v/>
      </c>
      <c r="G200" s="31"/>
      <c r="H200" s="43" t="str">
        <f>IFERROR(IF(OR(B200="",E200=""),"",SUMIF(DB_Loans!$B:$B,B200,DB_Loans!$E:$E)+E200),"")</f>
        <v/>
      </c>
      <c r="I200" s="43" t="str">
        <f>IFERROR(IF(OR(B200="",E200=""),"",SUMIF(DB_Loans!$B:$B,B200,DB_Loans!$J:$J)+(E200*0.025)),"")</f>
        <v/>
      </c>
      <c r="J200" s="31"/>
    </row>
    <row r="201" spans="1:10" ht="20.100000000000001" customHeight="1" x14ac:dyDescent="0.25">
      <c r="A201" s="30" t="str">
        <f t="shared" si="6"/>
        <v/>
      </c>
      <c r="B201" s="41"/>
      <c r="C201" s="35" t="str">
        <f>IFERROR(IF(B201="","",VLOOKUP(B201,DB_Customers!$A:$B,2,0)),"")</f>
        <v/>
      </c>
      <c r="D201" s="41"/>
      <c r="E201" s="32"/>
      <c r="F201" s="42" t="str">
        <f t="shared" ca="1" si="7"/>
        <v/>
      </c>
      <c r="G201" s="31"/>
      <c r="H201" s="43" t="str">
        <f>IFERROR(IF(OR(B201="",E201=""),"",SUMIF(DB_Loans!$B:$B,B201,DB_Loans!$E:$E)+E201),"")</f>
        <v/>
      </c>
      <c r="I201" s="43" t="str">
        <f>IFERROR(IF(OR(B201="",E201=""),"",SUMIF(DB_Loans!$B:$B,B201,DB_Loans!$J:$J)+(E201*0.025)),"")</f>
        <v/>
      </c>
      <c r="J201" s="31"/>
    </row>
    <row r="202" spans="1:10" ht="20.100000000000001" customHeight="1" x14ac:dyDescent="0.25">
      <c r="A202" s="30" t="str">
        <f t="shared" si="6"/>
        <v/>
      </c>
      <c r="B202" s="41"/>
      <c r="C202" s="35" t="str">
        <f>IFERROR(IF(B202="","",VLOOKUP(B202,DB_Customers!$A:$B,2,0)),"")</f>
        <v/>
      </c>
      <c r="D202" s="41"/>
      <c r="E202" s="32"/>
      <c r="F202" s="42" t="str">
        <f t="shared" ca="1" si="7"/>
        <v/>
      </c>
      <c r="G202" s="31"/>
      <c r="H202" s="43" t="str">
        <f>IFERROR(IF(OR(B202="",E202=""),"",SUMIF(DB_Loans!$B:$B,B202,DB_Loans!$E:$E)+E202),"")</f>
        <v/>
      </c>
      <c r="I202" s="43" t="str">
        <f>IFERROR(IF(OR(B202="",E202=""),"",SUMIF(DB_Loans!$B:$B,B202,DB_Loans!$J:$J)+(E202*0.025)),"")</f>
        <v/>
      </c>
      <c r="J202" s="31"/>
    </row>
    <row r="203" spans="1:10" ht="20.100000000000001" customHeight="1" x14ac:dyDescent="0.25">
      <c r="A203" s="30" t="str">
        <f t="shared" si="6"/>
        <v/>
      </c>
      <c r="B203" s="41"/>
      <c r="C203" s="35" t="str">
        <f>IFERROR(IF(B203="","",VLOOKUP(B203,DB_Customers!$A:$B,2,0)),"")</f>
        <v/>
      </c>
      <c r="D203" s="41"/>
      <c r="E203" s="32"/>
      <c r="F203" s="42" t="str">
        <f t="shared" ca="1" si="7"/>
        <v/>
      </c>
      <c r="G203" s="31"/>
      <c r="H203" s="43" t="str">
        <f>IFERROR(IF(OR(B203="",E203=""),"",SUMIF(DB_Loans!$B:$B,B203,DB_Loans!$E:$E)+E203),"")</f>
        <v/>
      </c>
      <c r="I203" s="43" t="str">
        <f>IFERROR(IF(OR(B203="",E203=""),"",SUMIF(DB_Loans!$B:$B,B203,DB_Loans!$J:$J)+(E203*0.025)),"")</f>
        <v/>
      </c>
      <c r="J203" s="31"/>
    </row>
    <row r="204" spans="1:10" ht="20.100000000000001" customHeight="1" x14ac:dyDescent="0.25">
      <c r="A204" s="30" t="str">
        <f t="shared" si="6"/>
        <v/>
      </c>
      <c r="B204" s="41"/>
      <c r="C204" s="35" t="str">
        <f>IFERROR(IF(B204="","",VLOOKUP(B204,DB_Customers!$A:$B,2,0)),"")</f>
        <v/>
      </c>
      <c r="D204" s="41"/>
      <c r="E204" s="32"/>
      <c r="F204" s="42" t="str">
        <f t="shared" ca="1" si="7"/>
        <v/>
      </c>
      <c r="G204" s="31"/>
      <c r="H204" s="43" t="str">
        <f>IFERROR(IF(OR(B204="",E204=""),"",SUMIF(DB_Loans!$B:$B,B204,DB_Loans!$E:$E)+E204),"")</f>
        <v/>
      </c>
      <c r="I204" s="43" t="str">
        <f>IFERROR(IF(OR(B204="",E204=""),"",SUMIF(DB_Loans!$B:$B,B204,DB_Loans!$J:$J)+(E204*0.025)),"")</f>
        <v/>
      </c>
      <c r="J204" s="31"/>
    </row>
    <row r="205" spans="1:10" ht="20.100000000000001" customHeight="1" x14ac:dyDescent="0.25">
      <c r="A205" s="30" t="str">
        <f t="shared" si="6"/>
        <v/>
      </c>
      <c r="B205" s="41"/>
      <c r="C205" s="35" t="str">
        <f>IFERROR(IF(B205="","",VLOOKUP(B205,DB_Customers!$A:$B,2,0)),"")</f>
        <v/>
      </c>
      <c r="D205" s="41"/>
      <c r="E205" s="32"/>
      <c r="F205" s="42" t="str">
        <f t="shared" ca="1" si="7"/>
        <v/>
      </c>
      <c r="G205" s="31"/>
      <c r="H205" s="43" t="str">
        <f>IFERROR(IF(OR(B205="",E205=""),"",SUMIF(DB_Loans!$B:$B,B205,DB_Loans!$E:$E)+E205),"")</f>
        <v/>
      </c>
      <c r="I205" s="43" t="str">
        <f>IFERROR(IF(OR(B205="",E205=""),"",SUMIF(DB_Loans!$B:$B,B205,DB_Loans!$J:$J)+(E205*0.025)),"")</f>
        <v/>
      </c>
      <c r="J205" s="31"/>
    </row>
    <row r="206" spans="1:10" ht="20.100000000000001" customHeight="1" x14ac:dyDescent="0.25">
      <c r="A206" s="30" t="str">
        <f t="shared" si="6"/>
        <v/>
      </c>
      <c r="B206" s="41"/>
      <c r="C206" s="35" t="str">
        <f>IFERROR(IF(B206="","",VLOOKUP(B206,DB_Customers!$A:$B,2,0)),"")</f>
        <v/>
      </c>
      <c r="D206" s="41"/>
      <c r="E206" s="32"/>
      <c r="F206" s="42" t="str">
        <f t="shared" ca="1" si="7"/>
        <v/>
      </c>
      <c r="G206" s="31"/>
      <c r="H206" s="43" t="str">
        <f>IFERROR(IF(OR(B206="",E206=""),"",SUMIF(DB_Loans!$B:$B,B206,DB_Loans!$E:$E)+E206),"")</f>
        <v/>
      </c>
      <c r="I206" s="43" t="str">
        <f>IFERROR(IF(OR(B206="",E206=""),"",SUMIF(DB_Loans!$B:$B,B206,DB_Loans!$J:$J)+(E206*0.025)),"")</f>
        <v/>
      </c>
      <c r="J206" s="31"/>
    </row>
    <row r="207" spans="1:10" ht="20.100000000000001" customHeight="1" x14ac:dyDescent="0.25">
      <c r="A207" s="30" t="str">
        <f t="shared" si="6"/>
        <v/>
      </c>
      <c r="B207" s="41"/>
      <c r="C207" s="35" t="str">
        <f>IFERROR(IF(B207="","",VLOOKUP(B207,DB_Customers!$A:$B,2,0)),"")</f>
        <v/>
      </c>
      <c r="D207" s="41"/>
      <c r="E207" s="32"/>
      <c r="F207" s="42" t="str">
        <f t="shared" ca="1" si="7"/>
        <v/>
      </c>
      <c r="G207" s="31"/>
      <c r="H207" s="43" t="str">
        <f>IFERROR(IF(OR(B207="",E207=""),"",SUMIF(DB_Loans!$B:$B,B207,DB_Loans!$E:$E)+E207),"")</f>
        <v/>
      </c>
      <c r="I207" s="43" t="str">
        <f>IFERROR(IF(OR(B207="",E207=""),"",SUMIF(DB_Loans!$B:$B,B207,DB_Loans!$J:$J)+(E207*0.025)),"")</f>
        <v/>
      </c>
      <c r="J207" s="31"/>
    </row>
    <row r="208" spans="1:10" ht="20.100000000000001" customHeight="1" x14ac:dyDescent="0.25">
      <c r="A208" s="30" t="str">
        <f t="shared" si="6"/>
        <v/>
      </c>
      <c r="B208" s="41"/>
      <c r="C208" s="35" t="str">
        <f>IFERROR(IF(B208="","",VLOOKUP(B208,DB_Customers!$A:$B,2,0)),"")</f>
        <v/>
      </c>
      <c r="D208" s="41"/>
      <c r="E208" s="32"/>
      <c r="F208" s="42" t="str">
        <f t="shared" ca="1" si="7"/>
        <v/>
      </c>
      <c r="G208" s="31"/>
      <c r="H208" s="43" t="str">
        <f>IFERROR(IF(OR(B208="",E208=""),"",SUMIF(DB_Loans!$B:$B,B208,DB_Loans!$E:$E)+E208),"")</f>
        <v/>
      </c>
      <c r="I208" s="43" t="str">
        <f>IFERROR(IF(OR(B208="",E208=""),"",SUMIF(DB_Loans!$B:$B,B208,DB_Loans!$J:$J)+(E208*0.025)),"")</f>
        <v/>
      </c>
      <c r="J208" s="31"/>
    </row>
    <row r="209" spans="1:10" ht="20.100000000000001" customHeight="1" x14ac:dyDescent="0.25">
      <c r="A209" s="30" t="str">
        <f t="shared" si="6"/>
        <v/>
      </c>
      <c r="B209" s="41"/>
      <c r="C209" s="35" t="str">
        <f>IFERROR(IF(B209="","",VLOOKUP(B209,DB_Customers!$A:$B,2,0)),"")</f>
        <v/>
      </c>
      <c r="D209" s="41"/>
      <c r="E209" s="32"/>
      <c r="F209" s="42" t="str">
        <f t="shared" ca="1" si="7"/>
        <v/>
      </c>
      <c r="G209" s="31"/>
      <c r="H209" s="43" t="str">
        <f>IFERROR(IF(OR(B209="",E209=""),"",SUMIF(DB_Loans!$B:$B,B209,DB_Loans!$E:$E)+E209),"")</f>
        <v/>
      </c>
      <c r="I209" s="43" t="str">
        <f>IFERROR(IF(OR(B209="",E209=""),"",SUMIF(DB_Loans!$B:$B,B209,DB_Loans!$J:$J)+(E209*0.025)),"")</f>
        <v/>
      </c>
      <c r="J209" s="31"/>
    </row>
    <row r="210" spans="1:10" ht="20.100000000000001" customHeight="1" x14ac:dyDescent="0.25">
      <c r="A210" s="30" t="str">
        <f t="shared" si="6"/>
        <v/>
      </c>
      <c r="B210" s="41"/>
      <c r="C210" s="35" t="str">
        <f>IFERROR(IF(B210="","",VLOOKUP(B210,DB_Customers!$A:$B,2,0)),"")</f>
        <v/>
      </c>
      <c r="D210" s="41"/>
      <c r="E210" s="32"/>
      <c r="F210" s="42" t="str">
        <f t="shared" ca="1" si="7"/>
        <v/>
      </c>
      <c r="G210" s="31"/>
      <c r="H210" s="43" t="str">
        <f>IFERROR(IF(OR(B210="",E210=""),"",SUMIF(DB_Loans!$B:$B,B210,DB_Loans!$E:$E)+E210),"")</f>
        <v/>
      </c>
      <c r="I210" s="43" t="str">
        <f>IFERROR(IF(OR(B210="",E210=""),"",SUMIF(DB_Loans!$B:$B,B210,DB_Loans!$J:$J)+(E210*0.025)),"")</f>
        <v/>
      </c>
      <c r="J210" s="31"/>
    </row>
    <row r="211" spans="1:10" ht="20.100000000000001" customHeight="1" x14ac:dyDescent="0.25">
      <c r="A211" s="30" t="str">
        <f t="shared" si="6"/>
        <v/>
      </c>
      <c r="B211" s="41"/>
      <c r="C211" s="35" t="str">
        <f>IFERROR(IF(B211="","",VLOOKUP(B211,DB_Customers!$A:$B,2,0)),"")</f>
        <v/>
      </c>
      <c r="D211" s="41"/>
      <c r="E211" s="32"/>
      <c r="F211" s="42" t="str">
        <f t="shared" ca="1" si="7"/>
        <v/>
      </c>
      <c r="G211" s="31"/>
      <c r="H211" s="43" t="str">
        <f>IFERROR(IF(OR(B211="",E211=""),"",SUMIF(DB_Loans!$B:$B,B211,DB_Loans!$E:$E)+E211),"")</f>
        <v/>
      </c>
      <c r="I211" s="43" t="str">
        <f>IFERROR(IF(OR(B211="",E211=""),"",SUMIF(DB_Loans!$B:$B,B211,DB_Loans!$J:$J)+(E211*0.025)),"")</f>
        <v/>
      </c>
      <c r="J211" s="31"/>
    </row>
    <row r="212" spans="1:10" ht="20.100000000000001" customHeight="1" x14ac:dyDescent="0.25">
      <c r="A212" s="30" t="str">
        <f t="shared" si="6"/>
        <v/>
      </c>
      <c r="B212" s="41"/>
      <c r="C212" s="35" t="str">
        <f>IFERROR(IF(B212="","",VLOOKUP(B212,DB_Customers!$A:$B,2,0)),"")</f>
        <v/>
      </c>
      <c r="D212" s="41"/>
      <c r="E212" s="32"/>
      <c r="F212" s="42" t="str">
        <f t="shared" ca="1" si="7"/>
        <v/>
      </c>
      <c r="G212" s="31"/>
      <c r="H212" s="43" t="str">
        <f>IFERROR(IF(OR(B212="",E212=""),"",SUMIF(DB_Loans!$B:$B,B212,DB_Loans!$E:$E)+E212),"")</f>
        <v/>
      </c>
      <c r="I212" s="43" t="str">
        <f>IFERROR(IF(OR(B212="",E212=""),"",SUMIF(DB_Loans!$B:$B,B212,DB_Loans!$J:$J)+(E212*0.025)),"")</f>
        <v/>
      </c>
      <c r="J212" s="31"/>
    </row>
    <row r="213" spans="1:10" ht="20.100000000000001" customHeight="1" x14ac:dyDescent="0.25">
      <c r="A213" s="30" t="str">
        <f t="shared" si="6"/>
        <v/>
      </c>
      <c r="B213" s="41"/>
      <c r="C213" s="35" t="str">
        <f>IFERROR(IF(B213="","",VLOOKUP(B213,DB_Customers!$A:$B,2,0)),"")</f>
        <v/>
      </c>
      <c r="D213" s="41"/>
      <c r="E213" s="32"/>
      <c r="F213" s="42" t="str">
        <f t="shared" ca="1" si="7"/>
        <v/>
      </c>
      <c r="G213" s="31"/>
      <c r="H213" s="43" t="str">
        <f>IFERROR(IF(OR(B213="",E213=""),"",SUMIF(DB_Loans!$B:$B,B213,DB_Loans!$E:$E)+E213),"")</f>
        <v/>
      </c>
      <c r="I213" s="43" t="str">
        <f>IFERROR(IF(OR(B213="",E213=""),"",SUMIF(DB_Loans!$B:$B,B213,DB_Loans!$J:$J)+(E213*0.025)),"")</f>
        <v/>
      </c>
      <c r="J213" s="31"/>
    </row>
    <row r="214" spans="1:10" ht="20.100000000000001" customHeight="1" x14ac:dyDescent="0.25">
      <c r="A214" s="30" t="str">
        <f t="shared" si="6"/>
        <v/>
      </c>
      <c r="B214" s="41"/>
      <c r="C214" s="35" t="str">
        <f>IFERROR(IF(B214="","",VLOOKUP(B214,DB_Customers!$A:$B,2,0)),"")</f>
        <v/>
      </c>
      <c r="D214" s="41"/>
      <c r="E214" s="32"/>
      <c r="F214" s="42" t="str">
        <f t="shared" ca="1" si="7"/>
        <v/>
      </c>
      <c r="G214" s="31"/>
      <c r="H214" s="43" t="str">
        <f>IFERROR(IF(OR(B214="",E214=""),"",SUMIF(DB_Loans!$B:$B,B214,DB_Loans!$E:$E)+E214),"")</f>
        <v/>
      </c>
      <c r="I214" s="43" t="str">
        <f>IFERROR(IF(OR(B214="",E214=""),"",SUMIF(DB_Loans!$B:$B,B214,DB_Loans!$J:$J)+(E214*0.025)),"")</f>
        <v/>
      </c>
      <c r="J214" s="31"/>
    </row>
    <row r="215" spans="1:10" ht="20.100000000000001" customHeight="1" x14ac:dyDescent="0.25">
      <c r="A215" s="30" t="str">
        <f t="shared" si="6"/>
        <v/>
      </c>
      <c r="B215" s="41"/>
      <c r="C215" s="35" t="str">
        <f>IFERROR(IF(B215="","",VLOOKUP(B215,DB_Customers!$A:$B,2,0)),"")</f>
        <v/>
      </c>
      <c r="D215" s="41"/>
      <c r="E215" s="32"/>
      <c r="F215" s="42" t="str">
        <f t="shared" ca="1" si="7"/>
        <v/>
      </c>
      <c r="G215" s="31"/>
      <c r="H215" s="43" t="str">
        <f>IFERROR(IF(OR(B215="",E215=""),"",SUMIF(DB_Loans!$B:$B,B215,DB_Loans!$E:$E)+E215),"")</f>
        <v/>
      </c>
      <c r="I215" s="43" t="str">
        <f>IFERROR(IF(OR(B215="",E215=""),"",SUMIF(DB_Loans!$B:$B,B215,DB_Loans!$J:$J)+(E215*0.025)),"")</f>
        <v/>
      </c>
      <c r="J215" s="31"/>
    </row>
    <row r="216" spans="1:10" ht="20.100000000000001" customHeight="1" x14ac:dyDescent="0.25">
      <c r="A216" s="30" t="str">
        <f t="shared" si="6"/>
        <v/>
      </c>
      <c r="B216" s="41"/>
      <c r="C216" s="35" t="str">
        <f>IFERROR(IF(B216="","",VLOOKUP(B216,DB_Customers!$A:$B,2,0)),"")</f>
        <v/>
      </c>
      <c r="D216" s="41"/>
      <c r="E216" s="32"/>
      <c r="F216" s="42" t="str">
        <f t="shared" ca="1" si="7"/>
        <v/>
      </c>
      <c r="G216" s="31"/>
      <c r="H216" s="43" t="str">
        <f>IFERROR(IF(OR(B216="",E216=""),"",SUMIF(DB_Loans!$B:$B,B216,DB_Loans!$E:$E)+E216),"")</f>
        <v/>
      </c>
      <c r="I216" s="43" t="str">
        <f>IFERROR(IF(OR(B216="",E216=""),"",SUMIF(DB_Loans!$B:$B,B216,DB_Loans!$J:$J)+(E216*0.025)),"")</f>
        <v/>
      </c>
      <c r="J216" s="31"/>
    </row>
    <row r="217" spans="1:10" ht="20.100000000000001" customHeight="1" x14ac:dyDescent="0.25">
      <c r="A217" s="30" t="str">
        <f t="shared" si="6"/>
        <v/>
      </c>
      <c r="B217" s="41"/>
      <c r="C217" s="35" t="str">
        <f>IFERROR(IF(B217="","",VLOOKUP(B217,DB_Customers!$A:$B,2,0)),"")</f>
        <v/>
      </c>
      <c r="D217" s="41"/>
      <c r="E217" s="32"/>
      <c r="F217" s="42" t="str">
        <f t="shared" ca="1" si="7"/>
        <v/>
      </c>
      <c r="G217" s="31"/>
      <c r="H217" s="43" t="str">
        <f>IFERROR(IF(OR(B217="",E217=""),"",SUMIF(DB_Loans!$B:$B,B217,DB_Loans!$E:$E)+E217),"")</f>
        <v/>
      </c>
      <c r="I217" s="43" t="str">
        <f>IFERROR(IF(OR(B217="",E217=""),"",SUMIF(DB_Loans!$B:$B,B217,DB_Loans!$J:$J)+(E217*0.025)),"")</f>
        <v/>
      </c>
      <c r="J217" s="31"/>
    </row>
    <row r="218" spans="1:10" ht="20.100000000000001" customHeight="1" x14ac:dyDescent="0.25">
      <c r="A218" s="30" t="str">
        <f t="shared" si="6"/>
        <v/>
      </c>
      <c r="B218" s="41"/>
      <c r="C218" s="35" t="str">
        <f>IFERROR(IF(B218="","",VLOOKUP(B218,DB_Customers!$A:$B,2,0)),"")</f>
        <v/>
      </c>
      <c r="D218" s="41"/>
      <c r="E218" s="32"/>
      <c r="F218" s="42" t="str">
        <f t="shared" ca="1" si="7"/>
        <v/>
      </c>
      <c r="G218" s="31"/>
      <c r="H218" s="43" t="str">
        <f>IFERROR(IF(OR(B218="",E218=""),"",SUMIF(DB_Loans!$B:$B,B218,DB_Loans!$E:$E)+E218),"")</f>
        <v/>
      </c>
      <c r="I218" s="43" t="str">
        <f>IFERROR(IF(OR(B218="",E218=""),"",SUMIF(DB_Loans!$B:$B,B218,DB_Loans!$J:$J)+(E218*0.025)),"")</f>
        <v/>
      </c>
      <c r="J218" s="31"/>
    </row>
    <row r="219" spans="1:10" ht="20.100000000000001" customHeight="1" x14ac:dyDescent="0.25">
      <c r="A219" s="30" t="str">
        <f t="shared" si="6"/>
        <v/>
      </c>
      <c r="B219" s="41"/>
      <c r="C219" s="35" t="str">
        <f>IFERROR(IF(B219="","",VLOOKUP(B219,DB_Customers!$A:$B,2,0)),"")</f>
        <v/>
      </c>
      <c r="D219" s="41"/>
      <c r="E219" s="32"/>
      <c r="F219" s="42" t="str">
        <f t="shared" ca="1" si="7"/>
        <v/>
      </c>
      <c r="G219" s="31"/>
      <c r="H219" s="43" t="str">
        <f>IFERROR(IF(OR(B219="",E219=""),"",SUMIF(DB_Loans!$B:$B,B219,DB_Loans!$E:$E)+E219),"")</f>
        <v/>
      </c>
      <c r="I219" s="43" t="str">
        <f>IFERROR(IF(OR(B219="",E219=""),"",SUMIF(DB_Loans!$B:$B,B219,DB_Loans!$J:$J)+(E219*0.025)),"")</f>
        <v/>
      </c>
      <c r="J219" s="31"/>
    </row>
    <row r="220" spans="1:10" ht="20.100000000000001" customHeight="1" x14ac:dyDescent="0.25">
      <c r="A220" s="30" t="str">
        <f t="shared" si="6"/>
        <v/>
      </c>
      <c r="B220" s="41"/>
      <c r="C220" s="35" t="str">
        <f>IFERROR(IF(B220="","",VLOOKUP(B220,DB_Customers!$A:$B,2,0)),"")</f>
        <v/>
      </c>
      <c r="D220" s="41"/>
      <c r="E220" s="32"/>
      <c r="F220" s="42" t="str">
        <f t="shared" ca="1" si="7"/>
        <v/>
      </c>
      <c r="G220" s="31"/>
      <c r="H220" s="43" t="str">
        <f>IFERROR(IF(OR(B220="",E220=""),"",SUMIF(DB_Loans!$B:$B,B220,DB_Loans!$E:$E)+E220),"")</f>
        <v/>
      </c>
      <c r="I220" s="43" t="str">
        <f>IFERROR(IF(OR(B220="",E220=""),"",SUMIF(DB_Loans!$B:$B,B220,DB_Loans!$J:$J)+(E220*0.025)),"")</f>
        <v/>
      </c>
      <c r="J220" s="31"/>
    </row>
    <row r="221" spans="1:10" ht="20.100000000000001" customHeight="1" x14ac:dyDescent="0.25">
      <c r="A221" s="30" t="str">
        <f t="shared" si="6"/>
        <v/>
      </c>
      <c r="B221" s="41"/>
      <c r="C221" s="35" t="str">
        <f>IFERROR(IF(B221="","",VLOOKUP(B221,DB_Customers!$A:$B,2,0)),"")</f>
        <v/>
      </c>
      <c r="D221" s="41"/>
      <c r="E221" s="32"/>
      <c r="F221" s="42" t="str">
        <f t="shared" ca="1" si="7"/>
        <v/>
      </c>
      <c r="G221" s="31"/>
      <c r="H221" s="43" t="str">
        <f>IFERROR(IF(OR(B221="",E221=""),"",SUMIF(DB_Loans!$B:$B,B221,DB_Loans!$E:$E)+E221),"")</f>
        <v/>
      </c>
      <c r="I221" s="43" t="str">
        <f>IFERROR(IF(OR(B221="",E221=""),"",SUMIF(DB_Loans!$B:$B,B221,DB_Loans!$J:$J)+(E221*0.025)),"")</f>
        <v/>
      </c>
      <c r="J221" s="31"/>
    </row>
    <row r="222" spans="1:10" ht="20.100000000000001" customHeight="1" x14ac:dyDescent="0.25">
      <c r="A222" s="30" t="str">
        <f t="shared" si="6"/>
        <v/>
      </c>
      <c r="B222" s="41"/>
      <c r="C222" s="35" t="str">
        <f>IFERROR(IF(B222="","",VLOOKUP(B222,DB_Customers!$A:$B,2,0)),"")</f>
        <v/>
      </c>
      <c r="D222" s="41"/>
      <c r="E222" s="32"/>
      <c r="F222" s="42" t="str">
        <f t="shared" ca="1" si="7"/>
        <v/>
      </c>
      <c r="G222" s="31"/>
      <c r="H222" s="43" t="str">
        <f>IFERROR(IF(OR(B222="",E222=""),"",SUMIF(DB_Loans!$B:$B,B222,DB_Loans!$E:$E)+E222),"")</f>
        <v/>
      </c>
      <c r="I222" s="43" t="str">
        <f>IFERROR(IF(OR(B222="",E222=""),"",SUMIF(DB_Loans!$B:$B,B222,DB_Loans!$J:$J)+(E222*0.025)),"")</f>
        <v/>
      </c>
      <c r="J222" s="31"/>
    </row>
    <row r="223" spans="1:10" ht="20.100000000000001" customHeight="1" x14ac:dyDescent="0.25">
      <c r="A223" s="30" t="str">
        <f t="shared" si="6"/>
        <v/>
      </c>
      <c r="B223" s="41"/>
      <c r="C223" s="35" t="str">
        <f>IFERROR(IF(B223="","",VLOOKUP(B223,DB_Customers!$A:$B,2,0)),"")</f>
        <v/>
      </c>
      <c r="D223" s="41"/>
      <c r="E223" s="32"/>
      <c r="F223" s="42" t="str">
        <f t="shared" ca="1" si="7"/>
        <v/>
      </c>
      <c r="G223" s="31"/>
      <c r="H223" s="43" t="str">
        <f>IFERROR(IF(OR(B223="",E223=""),"",SUMIF(DB_Loans!$B:$B,B223,DB_Loans!$E:$E)+E223),"")</f>
        <v/>
      </c>
      <c r="I223" s="43" t="str">
        <f>IFERROR(IF(OR(B223="",E223=""),"",SUMIF(DB_Loans!$B:$B,B223,DB_Loans!$J:$J)+(E223*0.025)),"")</f>
        <v/>
      </c>
      <c r="J223" s="31"/>
    </row>
    <row r="224" spans="1:10" ht="20.100000000000001" customHeight="1" x14ac:dyDescent="0.25">
      <c r="A224" s="30" t="str">
        <f t="shared" si="6"/>
        <v/>
      </c>
      <c r="B224" s="41"/>
      <c r="C224" s="35" t="str">
        <f>IFERROR(IF(B224="","",VLOOKUP(B224,DB_Customers!$A:$B,2,0)),"")</f>
        <v/>
      </c>
      <c r="D224" s="41"/>
      <c r="E224" s="32"/>
      <c r="F224" s="42" t="str">
        <f t="shared" ca="1" si="7"/>
        <v/>
      </c>
      <c r="G224" s="31"/>
      <c r="H224" s="43" t="str">
        <f>IFERROR(IF(OR(B224="",E224=""),"",SUMIF(DB_Loans!$B:$B,B224,DB_Loans!$E:$E)+E224),"")</f>
        <v/>
      </c>
      <c r="I224" s="43" t="str">
        <f>IFERROR(IF(OR(B224="",E224=""),"",SUMIF(DB_Loans!$B:$B,B224,DB_Loans!$J:$J)+(E224*0.025)),"")</f>
        <v/>
      </c>
      <c r="J224" s="31"/>
    </row>
    <row r="225" spans="1:10" ht="20.100000000000001" customHeight="1" x14ac:dyDescent="0.25">
      <c r="A225" s="30" t="str">
        <f t="shared" si="6"/>
        <v/>
      </c>
      <c r="B225" s="41"/>
      <c r="C225" s="35" t="str">
        <f>IFERROR(IF(B225="","",VLOOKUP(B225,DB_Customers!$A:$B,2,0)),"")</f>
        <v/>
      </c>
      <c r="D225" s="41"/>
      <c r="E225" s="32"/>
      <c r="F225" s="42" t="str">
        <f t="shared" ca="1" si="7"/>
        <v/>
      </c>
      <c r="G225" s="31"/>
      <c r="H225" s="43" t="str">
        <f>IFERROR(IF(OR(B225="",E225=""),"",SUMIF(DB_Loans!$B:$B,B225,DB_Loans!$E:$E)+E225),"")</f>
        <v/>
      </c>
      <c r="I225" s="43" t="str">
        <f>IFERROR(IF(OR(B225="",E225=""),"",SUMIF(DB_Loans!$B:$B,B225,DB_Loans!$J:$J)+(E225*0.025)),"")</f>
        <v/>
      </c>
      <c r="J225" s="31"/>
    </row>
    <row r="226" spans="1:10" ht="20.100000000000001" customHeight="1" x14ac:dyDescent="0.25">
      <c r="A226" s="30" t="str">
        <f t="shared" si="6"/>
        <v/>
      </c>
      <c r="B226" s="41"/>
      <c r="C226" s="35" t="str">
        <f>IFERROR(IF(B226="","",VLOOKUP(B226,DB_Customers!$A:$B,2,0)),"")</f>
        <v/>
      </c>
      <c r="D226" s="41"/>
      <c r="E226" s="32"/>
      <c r="F226" s="42" t="str">
        <f t="shared" ca="1" si="7"/>
        <v/>
      </c>
      <c r="G226" s="31"/>
      <c r="H226" s="43" t="str">
        <f>IFERROR(IF(OR(B226="",E226=""),"",SUMIF(DB_Loans!$B:$B,B226,DB_Loans!$E:$E)+E226),"")</f>
        <v/>
      </c>
      <c r="I226" s="43" t="str">
        <f>IFERROR(IF(OR(B226="",E226=""),"",SUMIF(DB_Loans!$B:$B,B226,DB_Loans!$J:$J)+(E226*0.025)),"")</f>
        <v/>
      </c>
      <c r="J226" s="31"/>
    </row>
    <row r="227" spans="1:10" ht="20.100000000000001" customHeight="1" x14ac:dyDescent="0.25">
      <c r="A227" s="30" t="str">
        <f t="shared" si="6"/>
        <v/>
      </c>
      <c r="B227" s="41"/>
      <c r="C227" s="35" t="str">
        <f>IFERROR(IF(B227="","",VLOOKUP(B227,DB_Customers!$A:$B,2,0)),"")</f>
        <v/>
      </c>
      <c r="D227" s="41"/>
      <c r="E227" s="32"/>
      <c r="F227" s="42" t="str">
        <f t="shared" ca="1" si="7"/>
        <v/>
      </c>
      <c r="G227" s="31"/>
      <c r="H227" s="43" t="str">
        <f>IFERROR(IF(OR(B227="",E227=""),"",SUMIF(DB_Loans!$B:$B,B227,DB_Loans!$E:$E)+E227),"")</f>
        <v/>
      </c>
      <c r="I227" s="43" t="str">
        <f>IFERROR(IF(OR(B227="",E227=""),"",SUMIF(DB_Loans!$B:$B,B227,DB_Loans!$J:$J)+(E227*0.025)),"")</f>
        <v/>
      </c>
      <c r="J227" s="31"/>
    </row>
    <row r="228" spans="1:10" ht="20.100000000000001" customHeight="1" x14ac:dyDescent="0.25">
      <c r="A228" s="30" t="str">
        <f t="shared" si="6"/>
        <v/>
      </c>
      <c r="B228" s="41"/>
      <c r="C228" s="35" t="str">
        <f>IFERROR(IF(B228="","",VLOOKUP(B228,DB_Customers!$A:$B,2,0)),"")</f>
        <v/>
      </c>
      <c r="D228" s="41"/>
      <c r="E228" s="32"/>
      <c r="F228" s="42" t="str">
        <f t="shared" ca="1" si="7"/>
        <v/>
      </c>
      <c r="G228" s="31"/>
      <c r="H228" s="43" t="str">
        <f>IFERROR(IF(OR(B228="",E228=""),"",SUMIF(DB_Loans!$B:$B,B228,DB_Loans!$E:$E)+E228),"")</f>
        <v/>
      </c>
      <c r="I228" s="43" t="str">
        <f>IFERROR(IF(OR(B228="",E228=""),"",SUMIF(DB_Loans!$B:$B,B228,DB_Loans!$J:$J)+(E228*0.025)),"")</f>
        <v/>
      </c>
      <c r="J228" s="31"/>
    </row>
    <row r="229" spans="1:10" ht="20.100000000000001" customHeight="1" x14ac:dyDescent="0.25">
      <c r="A229" s="30" t="str">
        <f t="shared" si="6"/>
        <v/>
      </c>
      <c r="B229" s="41"/>
      <c r="C229" s="35" t="str">
        <f>IFERROR(IF(B229="","",VLOOKUP(B229,DB_Customers!$A:$B,2,0)),"")</f>
        <v/>
      </c>
      <c r="D229" s="41"/>
      <c r="E229" s="32"/>
      <c r="F229" s="42" t="str">
        <f t="shared" ca="1" si="7"/>
        <v/>
      </c>
      <c r="G229" s="31"/>
      <c r="H229" s="43" t="str">
        <f>IFERROR(IF(OR(B229="",E229=""),"",SUMIF(DB_Loans!$B:$B,B229,DB_Loans!$E:$E)+E229),"")</f>
        <v/>
      </c>
      <c r="I229" s="43" t="str">
        <f>IFERROR(IF(OR(B229="",E229=""),"",SUMIF(DB_Loans!$B:$B,B229,DB_Loans!$J:$J)+(E229*0.025)),"")</f>
        <v/>
      </c>
      <c r="J229" s="31"/>
    </row>
    <row r="230" spans="1:10" ht="20.100000000000001" customHeight="1" x14ac:dyDescent="0.25">
      <c r="A230" s="30" t="str">
        <f t="shared" si="6"/>
        <v/>
      </c>
      <c r="B230" s="41"/>
      <c r="C230" s="35" t="str">
        <f>IFERROR(IF(B230="","",VLOOKUP(B230,DB_Customers!$A:$B,2,0)),"")</f>
        <v/>
      </c>
      <c r="D230" s="41"/>
      <c r="E230" s="32"/>
      <c r="F230" s="42" t="str">
        <f t="shared" ca="1" si="7"/>
        <v/>
      </c>
      <c r="G230" s="31"/>
      <c r="H230" s="43" t="str">
        <f>IFERROR(IF(OR(B230="",E230=""),"",SUMIF(DB_Loans!$B:$B,B230,DB_Loans!$E:$E)+E230),"")</f>
        <v/>
      </c>
      <c r="I230" s="43" t="str">
        <f>IFERROR(IF(OR(B230="",E230=""),"",SUMIF(DB_Loans!$B:$B,B230,DB_Loans!$J:$J)+(E230*0.025)),"")</f>
        <v/>
      </c>
      <c r="J230" s="31"/>
    </row>
    <row r="231" spans="1:10" ht="20.100000000000001" customHeight="1" x14ac:dyDescent="0.25">
      <c r="A231" s="30" t="str">
        <f t="shared" si="6"/>
        <v/>
      </c>
      <c r="B231" s="41"/>
      <c r="C231" s="35" t="str">
        <f>IFERROR(IF(B231="","",VLOOKUP(B231,DB_Customers!$A:$B,2,0)),"")</f>
        <v/>
      </c>
      <c r="D231" s="41"/>
      <c r="E231" s="32"/>
      <c r="F231" s="42" t="str">
        <f t="shared" ca="1" si="7"/>
        <v/>
      </c>
      <c r="G231" s="31"/>
      <c r="H231" s="43" t="str">
        <f>IFERROR(IF(OR(B231="",E231=""),"",SUMIF(DB_Loans!$B:$B,B231,DB_Loans!$E:$E)+E231),"")</f>
        <v/>
      </c>
      <c r="I231" s="43" t="str">
        <f>IFERROR(IF(OR(B231="",E231=""),"",SUMIF(DB_Loans!$B:$B,B231,DB_Loans!$J:$J)+(E231*0.025)),"")</f>
        <v/>
      </c>
      <c r="J231" s="31"/>
    </row>
    <row r="232" spans="1:10" ht="20.100000000000001" customHeight="1" x14ac:dyDescent="0.25">
      <c r="A232" s="30" t="str">
        <f t="shared" si="6"/>
        <v/>
      </c>
      <c r="B232" s="41"/>
      <c r="C232" s="35" t="str">
        <f>IFERROR(IF(B232="","",VLOOKUP(B232,DB_Customers!$A:$B,2,0)),"")</f>
        <v/>
      </c>
      <c r="D232" s="41"/>
      <c r="E232" s="32"/>
      <c r="F232" s="42" t="str">
        <f t="shared" ca="1" si="7"/>
        <v/>
      </c>
      <c r="G232" s="31"/>
      <c r="H232" s="43" t="str">
        <f>IFERROR(IF(OR(B232="",E232=""),"",SUMIF(DB_Loans!$B:$B,B232,DB_Loans!$E:$E)+E232),"")</f>
        <v/>
      </c>
      <c r="I232" s="43" t="str">
        <f>IFERROR(IF(OR(B232="",E232=""),"",SUMIF(DB_Loans!$B:$B,B232,DB_Loans!$J:$J)+(E232*0.025)),"")</f>
        <v/>
      </c>
      <c r="J232" s="31"/>
    </row>
    <row r="233" spans="1:10" ht="20.100000000000001" customHeight="1" x14ac:dyDescent="0.25">
      <c r="A233" s="30" t="str">
        <f t="shared" si="6"/>
        <v/>
      </c>
      <c r="B233" s="41"/>
      <c r="C233" s="35" t="str">
        <f>IFERROR(IF(B233="","",VLOOKUP(B233,DB_Customers!$A:$B,2,0)),"")</f>
        <v/>
      </c>
      <c r="D233" s="41"/>
      <c r="E233" s="32"/>
      <c r="F233" s="42" t="str">
        <f t="shared" ca="1" si="7"/>
        <v/>
      </c>
      <c r="G233" s="31"/>
      <c r="H233" s="43" t="str">
        <f>IFERROR(IF(OR(B233="",E233=""),"",SUMIF(DB_Loans!$B:$B,B233,DB_Loans!$E:$E)+E233),"")</f>
        <v/>
      </c>
      <c r="I233" s="43" t="str">
        <f>IFERROR(IF(OR(B233="",E233=""),"",SUMIF(DB_Loans!$B:$B,B233,DB_Loans!$J:$J)+(E233*0.025)),"")</f>
        <v/>
      </c>
      <c r="J233" s="31"/>
    </row>
    <row r="234" spans="1:10" ht="20.100000000000001" customHeight="1" x14ac:dyDescent="0.25">
      <c r="A234" s="30" t="str">
        <f t="shared" si="6"/>
        <v/>
      </c>
      <c r="B234" s="41"/>
      <c r="C234" s="35" t="str">
        <f>IFERROR(IF(B234="","",VLOOKUP(B234,DB_Customers!$A:$B,2,0)),"")</f>
        <v/>
      </c>
      <c r="D234" s="41"/>
      <c r="E234" s="32"/>
      <c r="F234" s="42" t="str">
        <f t="shared" ca="1" si="7"/>
        <v/>
      </c>
      <c r="G234" s="31"/>
      <c r="H234" s="43" t="str">
        <f>IFERROR(IF(OR(B234="",E234=""),"",SUMIF(DB_Loans!$B:$B,B234,DB_Loans!$E:$E)+E234),"")</f>
        <v/>
      </c>
      <c r="I234" s="43" t="str">
        <f>IFERROR(IF(OR(B234="",E234=""),"",SUMIF(DB_Loans!$B:$B,B234,DB_Loans!$J:$J)+(E234*0.025)),"")</f>
        <v/>
      </c>
      <c r="J234" s="31"/>
    </row>
    <row r="235" spans="1:10" ht="20.100000000000001" customHeight="1" x14ac:dyDescent="0.25">
      <c r="A235" s="30" t="str">
        <f t="shared" si="6"/>
        <v/>
      </c>
      <c r="B235" s="41"/>
      <c r="C235" s="35" t="str">
        <f>IFERROR(IF(B235="","",VLOOKUP(B235,DB_Customers!$A:$B,2,0)),"")</f>
        <v/>
      </c>
      <c r="D235" s="41"/>
      <c r="E235" s="32"/>
      <c r="F235" s="42" t="str">
        <f t="shared" ca="1" si="7"/>
        <v/>
      </c>
      <c r="G235" s="31"/>
      <c r="H235" s="43" t="str">
        <f>IFERROR(IF(OR(B235="",E235=""),"",SUMIF(DB_Loans!$B:$B,B235,DB_Loans!$E:$E)+E235),"")</f>
        <v/>
      </c>
      <c r="I235" s="43" t="str">
        <f>IFERROR(IF(OR(B235="",E235=""),"",SUMIF(DB_Loans!$B:$B,B235,DB_Loans!$J:$J)+(E235*0.025)),"")</f>
        <v/>
      </c>
      <c r="J235" s="31"/>
    </row>
    <row r="236" spans="1:10" ht="20.100000000000001" customHeight="1" x14ac:dyDescent="0.25">
      <c r="A236" s="30" t="str">
        <f t="shared" si="6"/>
        <v/>
      </c>
      <c r="B236" s="41"/>
      <c r="C236" s="35" t="str">
        <f>IFERROR(IF(B236="","",VLOOKUP(B236,DB_Customers!$A:$B,2,0)),"")</f>
        <v/>
      </c>
      <c r="D236" s="41"/>
      <c r="E236" s="32"/>
      <c r="F236" s="42" t="str">
        <f t="shared" ca="1" si="7"/>
        <v/>
      </c>
      <c r="G236" s="31"/>
      <c r="H236" s="43" t="str">
        <f>IFERROR(IF(OR(B236="",E236=""),"",SUMIF(DB_Loans!$B:$B,B236,DB_Loans!$E:$E)+E236),"")</f>
        <v/>
      </c>
      <c r="I236" s="43" t="str">
        <f>IFERROR(IF(OR(B236="",E236=""),"",SUMIF(DB_Loans!$B:$B,B236,DB_Loans!$J:$J)+(E236*0.025)),"")</f>
        <v/>
      </c>
      <c r="J236" s="31"/>
    </row>
    <row r="237" spans="1:10" ht="20.100000000000001" customHeight="1" x14ac:dyDescent="0.25">
      <c r="A237" s="30" t="str">
        <f t="shared" si="6"/>
        <v/>
      </c>
      <c r="B237" s="41"/>
      <c r="C237" s="35" t="str">
        <f>IFERROR(IF(B237="","",VLOOKUP(B237,DB_Customers!$A:$B,2,0)),"")</f>
        <v/>
      </c>
      <c r="D237" s="41"/>
      <c r="E237" s="32"/>
      <c r="F237" s="42" t="str">
        <f t="shared" ca="1" si="7"/>
        <v/>
      </c>
      <c r="G237" s="31"/>
      <c r="H237" s="43" t="str">
        <f>IFERROR(IF(OR(B237="",E237=""),"",SUMIF(DB_Loans!$B:$B,B237,DB_Loans!$E:$E)+E237),"")</f>
        <v/>
      </c>
      <c r="I237" s="43" t="str">
        <f>IFERROR(IF(OR(B237="",E237=""),"",SUMIF(DB_Loans!$B:$B,B237,DB_Loans!$J:$J)+(E237*0.025)),"")</f>
        <v/>
      </c>
      <c r="J237" s="31"/>
    </row>
    <row r="238" spans="1:10" ht="20.100000000000001" customHeight="1" x14ac:dyDescent="0.25">
      <c r="A238" s="30" t="str">
        <f t="shared" si="6"/>
        <v/>
      </c>
      <c r="B238" s="41"/>
      <c r="C238" s="35" t="str">
        <f>IFERROR(IF(B238="","",VLOOKUP(B238,DB_Customers!$A:$B,2,0)),"")</f>
        <v/>
      </c>
      <c r="D238" s="41"/>
      <c r="E238" s="32"/>
      <c r="F238" s="42" t="str">
        <f t="shared" ca="1" si="7"/>
        <v/>
      </c>
      <c r="G238" s="31"/>
      <c r="H238" s="43" t="str">
        <f>IFERROR(IF(OR(B238="",E238=""),"",SUMIF(DB_Loans!$B:$B,B238,DB_Loans!$E:$E)+E238),"")</f>
        <v/>
      </c>
      <c r="I238" s="43" t="str">
        <f>IFERROR(IF(OR(B238="",E238=""),"",SUMIF(DB_Loans!$B:$B,B238,DB_Loans!$J:$J)+(E238*0.025)),"")</f>
        <v/>
      </c>
      <c r="J238" s="31"/>
    </row>
    <row r="239" spans="1:10" ht="20.100000000000001" customHeight="1" x14ac:dyDescent="0.25">
      <c r="A239" s="30" t="str">
        <f t="shared" si="6"/>
        <v/>
      </c>
      <c r="B239" s="41"/>
      <c r="C239" s="35" t="str">
        <f>IFERROR(IF(B239="","",VLOOKUP(B239,DB_Customers!$A:$B,2,0)),"")</f>
        <v/>
      </c>
      <c r="D239" s="41"/>
      <c r="E239" s="32"/>
      <c r="F239" s="42" t="str">
        <f t="shared" ca="1" si="7"/>
        <v/>
      </c>
      <c r="G239" s="31"/>
      <c r="H239" s="43" t="str">
        <f>IFERROR(IF(OR(B239="",E239=""),"",SUMIF(DB_Loans!$B:$B,B239,DB_Loans!$E:$E)+E239),"")</f>
        <v/>
      </c>
      <c r="I239" s="43" t="str">
        <f>IFERROR(IF(OR(B239="",E239=""),"",SUMIF(DB_Loans!$B:$B,B239,DB_Loans!$J:$J)+(E239*0.025)),"")</f>
        <v/>
      </c>
      <c r="J239" s="31"/>
    </row>
    <row r="240" spans="1:10" ht="20.100000000000001" customHeight="1" x14ac:dyDescent="0.25">
      <c r="A240" s="30" t="str">
        <f t="shared" si="6"/>
        <v/>
      </c>
      <c r="B240" s="41"/>
      <c r="C240" s="35" t="str">
        <f>IFERROR(IF(B240="","",VLOOKUP(B240,DB_Customers!$A:$B,2,0)),"")</f>
        <v/>
      </c>
      <c r="D240" s="41"/>
      <c r="E240" s="32"/>
      <c r="F240" s="42" t="str">
        <f t="shared" ca="1" si="7"/>
        <v/>
      </c>
      <c r="G240" s="31"/>
      <c r="H240" s="43" t="str">
        <f>IFERROR(IF(OR(B240="",E240=""),"",SUMIF(DB_Loans!$B:$B,B240,DB_Loans!$E:$E)+E240),"")</f>
        <v/>
      </c>
      <c r="I240" s="43" t="str">
        <f>IFERROR(IF(OR(B240="",E240=""),"",SUMIF(DB_Loans!$B:$B,B240,DB_Loans!$J:$J)+(E240*0.025)),"")</f>
        <v/>
      </c>
      <c r="J240" s="31"/>
    </row>
    <row r="241" spans="1:10" ht="20.100000000000001" customHeight="1" x14ac:dyDescent="0.25">
      <c r="A241" s="30" t="str">
        <f t="shared" si="6"/>
        <v/>
      </c>
      <c r="B241" s="41"/>
      <c r="C241" s="35" t="str">
        <f>IFERROR(IF(B241="","",VLOOKUP(B241,DB_Customers!$A:$B,2,0)),"")</f>
        <v/>
      </c>
      <c r="D241" s="41"/>
      <c r="E241" s="32"/>
      <c r="F241" s="42" t="str">
        <f t="shared" ca="1" si="7"/>
        <v/>
      </c>
      <c r="G241" s="31"/>
      <c r="H241" s="43" t="str">
        <f>IFERROR(IF(OR(B241="",E241=""),"",SUMIF(DB_Loans!$B:$B,B241,DB_Loans!$E:$E)+E241),"")</f>
        <v/>
      </c>
      <c r="I241" s="43" t="str">
        <f>IFERROR(IF(OR(B241="",E241=""),"",SUMIF(DB_Loans!$B:$B,B241,DB_Loans!$J:$J)+(E241*0.025)),"")</f>
        <v/>
      </c>
      <c r="J241" s="31"/>
    </row>
    <row r="242" spans="1:10" ht="20.100000000000001" customHeight="1" x14ac:dyDescent="0.25">
      <c r="A242" s="30" t="str">
        <f t="shared" si="6"/>
        <v/>
      </c>
      <c r="B242" s="41"/>
      <c r="C242" s="35" t="str">
        <f>IFERROR(IF(B242="","",VLOOKUP(B242,DB_Customers!$A:$B,2,0)),"")</f>
        <v/>
      </c>
      <c r="D242" s="41"/>
      <c r="E242" s="32"/>
      <c r="F242" s="42" t="str">
        <f t="shared" ca="1" si="7"/>
        <v/>
      </c>
      <c r="G242" s="31"/>
      <c r="H242" s="43" t="str">
        <f>IFERROR(IF(OR(B242="",E242=""),"",SUMIF(DB_Loans!$B:$B,B242,DB_Loans!$E:$E)+E242),"")</f>
        <v/>
      </c>
      <c r="I242" s="43" t="str">
        <f>IFERROR(IF(OR(B242="",E242=""),"",SUMIF(DB_Loans!$B:$B,B242,DB_Loans!$J:$J)+(E242*0.025)),"")</f>
        <v/>
      </c>
      <c r="J242" s="31"/>
    </row>
    <row r="243" spans="1:10" ht="20.100000000000001" customHeight="1" x14ac:dyDescent="0.25">
      <c r="A243" s="30" t="str">
        <f t="shared" si="6"/>
        <v/>
      </c>
      <c r="B243" s="41"/>
      <c r="C243" s="35" t="str">
        <f>IFERROR(IF(B243="","",VLOOKUP(B243,DB_Customers!$A:$B,2,0)),"")</f>
        <v/>
      </c>
      <c r="D243" s="41"/>
      <c r="E243" s="32"/>
      <c r="F243" s="42" t="str">
        <f t="shared" ca="1" si="7"/>
        <v/>
      </c>
      <c r="G243" s="31"/>
      <c r="H243" s="43" t="str">
        <f>IFERROR(IF(OR(B243="",E243=""),"",SUMIF(DB_Loans!$B:$B,B243,DB_Loans!$E:$E)+E243),"")</f>
        <v/>
      </c>
      <c r="I243" s="43" t="str">
        <f>IFERROR(IF(OR(B243="",E243=""),"",SUMIF(DB_Loans!$B:$B,B243,DB_Loans!$J:$J)+(E243*0.025)),"")</f>
        <v/>
      </c>
      <c r="J243" s="31"/>
    </row>
    <row r="244" spans="1:10" ht="20.100000000000001" customHeight="1" x14ac:dyDescent="0.25">
      <c r="A244" s="30" t="str">
        <f t="shared" si="6"/>
        <v/>
      </c>
      <c r="B244" s="41"/>
      <c r="C244" s="35" t="str">
        <f>IFERROR(IF(B244="","",VLOOKUP(B244,DB_Customers!$A:$B,2,0)),"")</f>
        <v/>
      </c>
      <c r="D244" s="41"/>
      <c r="E244" s="32"/>
      <c r="F244" s="42" t="str">
        <f t="shared" ca="1" si="7"/>
        <v/>
      </c>
      <c r="G244" s="31"/>
      <c r="H244" s="43" t="str">
        <f>IFERROR(IF(OR(B244="",E244=""),"",SUMIF(DB_Loans!$B:$B,B244,DB_Loans!$E:$E)+E244),"")</f>
        <v/>
      </c>
      <c r="I244" s="43" t="str">
        <f>IFERROR(IF(OR(B244="",E244=""),"",SUMIF(DB_Loans!$B:$B,B244,DB_Loans!$J:$J)+(E244*0.025)),"")</f>
        <v/>
      </c>
      <c r="J244" s="31"/>
    </row>
    <row r="245" spans="1:10" ht="20.100000000000001" customHeight="1" x14ac:dyDescent="0.25">
      <c r="A245" s="30" t="str">
        <f t="shared" si="6"/>
        <v/>
      </c>
      <c r="B245" s="41"/>
      <c r="C245" s="35" t="str">
        <f>IFERROR(IF(B245="","",VLOOKUP(B245,DB_Customers!$A:$B,2,0)),"")</f>
        <v/>
      </c>
      <c r="D245" s="41"/>
      <c r="E245" s="32"/>
      <c r="F245" s="42" t="str">
        <f t="shared" ca="1" si="7"/>
        <v/>
      </c>
      <c r="G245" s="31"/>
      <c r="H245" s="43" t="str">
        <f>IFERROR(IF(OR(B245="",E245=""),"",SUMIF(DB_Loans!$B:$B,B245,DB_Loans!$E:$E)+E245),"")</f>
        <v/>
      </c>
      <c r="I245" s="43" t="str">
        <f>IFERROR(IF(OR(B245="",E245=""),"",SUMIF(DB_Loans!$B:$B,B245,DB_Loans!$J:$J)+(E245*0.025)),"")</f>
        <v/>
      </c>
      <c r="J245" s="31"/>
    </row>
    <row r="246" spans="1:10" ht="20.100000000000001" customHeight="1" x14ac:dyDescent="0.25">
      <c r="A246" s="30" t="str">
        <f t="shared" si="6"/>
        <v/>
      </c>
      <c r="B246" s="41"/>
      <c r="C246" s="35" t="str">
        <f>IFERROR(IF(B246="","",VLOOKUP(B246,DB_Customers!$A:$B,2,0)),"")</f>
        <v/>
      </c>
      <c r="D246" s="41"/>
      <c r="E246" s="32"/>
      <c r="F246" s="42" t="str">
        <f t="shared" ca="1" si="7"/>
        <v/>
      </c>
      <c r="G246" s="31"/>
      <c r="H246" s="43" t="str">
        <f>IFERROR(IF(OR(B246="",E246=""),"",SUMIF(DB_Loans!$B:$B,B246,DB_Loans!$E:$E)+E246),"")</f>
        <v/>
      </c>
      <c r="I246" s="43" t="str">
        <f>IFERROR(IF(OR(B246="",E246=""),"",SUMIF(DB_Loans!$B:$B,B246,DB_Loans!$J:$J)+(E246*0.025)),"")</f>
        <v/>
      </c>
      <c r="J246" s="31"/>
    </row>
    <row r="247" spans="1:10" ht="20.100000000000001" customHeight="1" x14ac:dyDescent="0.25">
      <c r="A247" s="30" t="str">
        <f t="shared" si="6"/>
        <v/>
      </c>
      <c r="B247" s="41"/>
      <c r="C247" s="35" t="str">
        <f>IFERROR(IF(B247="","",VLOOKUP(B247,DB_Customers!$A:$B,2,0)),"")</f>
        <v/>
      </c>
      <c r="D247" s="41"/>
      <c r="E247" s="32"/>
      <c r="F247" s="42" t="str">
        <f t="shared" ca="1" si="7"/>
        <v/>
      </c>
      <c r="G247" s="31"/>
      <c r="H247" s="43" t="str">
        <f>IFERROR(IF(OR(B247="",E247=""),"",SUMIF(DB_Loans!$B:$B,B247,DB_Loans!$E:$E)+E247),"")</f>
        <v/>
      </c>
      <c r="I247" s="43" t="str">
        <f>IFERROR(IF(OR(B247="",E247=""),"",SUMIF(DB_Loans!$B:$B,B247,DB_Loans!$J:$J)+(E247*0.025)),"")</f>
        <v/>
      </c>
      <c r="J247" s="31"/>
    </row>
    <row r="248" spans="1:10" ht="20.100000000000001" customHeight="1" x14ac:dyDescent="0.25">
      <c r="A248" s="30" t="str">
        <f t="shared" si="6"/>
        <v/>
      </c>
      <c r="B248" s="41"/>
      <c r="C248" s="35" t="str">
        <f>IFERROR(IF(B248="","",VLOOKUP(B248,DB_Customers!$A:$B,2,0)),"")</f>
        <v/>
      </c>
      <c r="D248" s="41"/>
      <c r="E248" s="32"/>
      <c r="F248" s="42" t="str">
        <f t="shared" ca="1" si="7"/>
        <v/>
      </c>
      <c r="G248" s="31"/>
      <c r="H248" s="43" t="str">
        <f>IFERROR(IF(OR(B248="",E248=""),"",SUMIF(DB_Loans!$B:$B,B248,DB_Loans!$E:$E)+E248),"")</f>
        <v/>
      </c>
      <c r="I248" s="43" t="str">
        <f>IFERROR(IF(OR(B248="",E248=""),"",SUMIF(DB_Loans!$B:$B,B248,DB_Loans!$J:$J)+(E248*0.025)),"")</f>
        <v/>
      </c>
      <c r="J248" s="31"/>
    </row>
    <row r="249" spans="1:10" ht="20.100000000000001" customHeight="1" x14ac:dyDescent="0.25">
      <c r="A249" s="30" t="str">
        <f t="shared" si="6"/>
        <v/>
      </c>
      <c r="B249" s="41"/>
      <c r="C249" s="35" t="str">
        <f>IFERROR(IF(B249="","",VLOOKUP(B249,DB_Customers!$A:$B,2,0)),"")</f>
        <v/>
      </c>
      <c r="D249" s="41"/>
      <c r="E249" s="32"/>
      <c r="F249" s="42" t="str">
        <f t="shared" ca="1" si="7"/>
        <v/>
      </c>
      <c r="G249" s="31"/>
      <c r="H249" s="43" t="str">
        <f>IFERROR(IF(OR(B249="",E249=""),"",SUMIF(DB_Loans!$B:$B,B249,DB_Loans!$E:$E)+E249),"")</f>
        <v/>
      </c>
      <c r="I249" s="43" t="str">
        <f>IFERROR(IF(OR(B249="",E249=""),"",SUMIF(DB_Loans!$B:$B,B249,DB_Loans!$J:$J)+(E249*0.025)),"")</f>
        <v/>
      </c>
      <c r="J249" s="31"/>
    </row>
    <row r="250" spans="1:10" ht="20.100000000000001" customHeight="1" x14ac:dyDescent="0.25">
      <c r="A250" s="30" t="str">
        <f t="shared" si="6"/>
        <v/>
      </c>
      <c r="B250" s="41"/>
      <c r="C250" s="35" t="str">
        <f>IFERROR(IF(B250="","",VLOOKUP(B250,DB_Customers!$A:$B,2,0)),"")</f>
        <v/>
      </c>
      <c r="D250" s="41"/>
      <c r="E250" s="32"/>
      <c r="F250" s="42" t="str">
        <f t="shared" ca="1" si="7"/>
        <v/>
      </c>
      <c r="G250" s="31"/>
      <c r="H250" s="43" t="str">
        <f>IFERROR(IF(OR(B250="",E250=""),"",SUMIF(DB_Loans!$B:$B,B250,DB_Loans!$E:$E)+E250),"")</f>
        <v/>
      </c>
      <c r="I250" s="43" t="str">
        <f>IFERROR(IF(OR(B250="",E250=""),"",SUMIF(DB_Loans!$B:$B,B250,DB_Loans!$J:$J)+(E250*0.025)),"")</f>
        <v/>
      </c>
      <c r="J250" s="31"/>
    </row>
    <row r="251" spans="1:10" ht="20.100000000000001" customHeight="1" x14ac:dyDescent="0.25">
      <c r="A251" s="30" t="str">
        <f t="shared" si="6"/>
        <v/>
      </c>
      <c r="B251" s="41"/>
      <c r="C251" s="35" t="str">
        <f>IFERROR(IF(B251="","",VLOOKUP(B251,DB_Customers!$A:$B,2,0)),"")</f>
        <v/>
      </c>
      <c r="D251" s="41"/>
      <c r="E251" s="32"/>
      <c r="F251" s="42" t="str">
        <f t="shared" ca="1" si="7"/>
        <v/>
      </c>
      <c r="G251" s="31"/>
      <c r="H251" s="43" t="str">
        <f>IFERROR(IF(OR(B251="",E251=""),"",SUMIF(DB_Loans!$B:$B,B251,DB_Loans!$E:$E)+E251),"")</f>
        <v/>
      </c>
      <c r="I251" s="43" t="str">
        <f>IFERROR(IF(OR(B251="",E251=""),"",SUMIF(DB_Loans!$B:$B,B251,DB_Loans!$J:$J)+(E251*0.025)),"")</f>
        <v/>
      </c>
      <c r="J251" s="31"/>
    </row>
    <row r="252" spans="1:10" ht="20.100000000000001" customHeight="1" x14ac:dyDescent="0.25">
      <c r="A252" s="30" t="str">
        <f t="shared" si="6"/>
        <v/>
      </c>
      <c r="B252" s="41"/>
      <c r="C252" s="35" t="str">
        <f>IFERROR(IF(B252="","",VLOOKUP(B252,DB_Customers!$A:$B,2,0)),"")</f>
        <v/>
      </c>
      <c r="D252" s="41"/>
      <c r="E252" s="32"/>
      <c r="F252" s="42" t="str">
        <f t="shared" ca="1" si="7"/>
        <v/>
      </c>
      <c r="G252" s="31"/>
      <c r="H252" s="43" t="str">
        <f>IFERROR(IF(OR(B252="",E252=""),"",SUMIF(DB_Loans!$B:$B,B252,DB_Loans!$E:$E)+E252),"")</f>
        <v/>
      </c>
      <c r="I252" s="43" t="str">
        <f>IFERROR(IF(OR(B252="",E252=""),"",SUMIF(DB_Loans!$B:$B,B252,DB_Loans!$J:$J)+(E252*0.025)),"")</f>
        <v/>
      </c>
      <c r="J252" s="31"/>
    </row>
    <row r="253" spans="1:10" ht="20.100000000000001" customHeight="1" x14ac:dyDescent="0.25">
      <c r="A253" s="30" t="str">
        <f t="shared" si="6"/>
        <v/>
      </c>
      <c r="B253" s="41"/>
      <c r="C253" s="35" t="str">
        <f>IFERROR(IF(B253="","",VLOOKUP(B253,DB_Customers!$A:$B,2,0)),"")</f>
        <v/>
      </c>
      <c r="D253" s="41"/>
      <c r="E253" s="32"/>
      <c r="F253" s="42" t="str">
        <f t="shared" ca="1" si="7"/>
        <v/>
      </c>
      <c r="G253" s="31"/>
      <c r="H253" s="43" t="str">
        <f>IFERROR(IF(OR(B253="",E253=""),"",SUMIF(DB_Loans!$B:$B,B253,DB_Loans!$E:$E)+E253),"")</f>
        <v/>
      </c>
      <c r="I253" s="43" t="str">
        <f>IFERROR(IF(OR(B253="",E253=""),"",SUMIF(DB_Loans!$B:$B,B253,DB_Loans!$J:$J)+(E253*0.025)),"")</f>
        <v/>
      </c>
      <c r="J253" s="31"/>
    </row>
    <row r="254" spans="1:10" ht="20.100000000000001" customHeight="1" x14ac:dyDescent="0.25">
      <c r="A254" s="30" t="str">
        <f t="shared" si="6"/>
        <v/>
      </c>
      <c r="B254" s="41"/>
      <c r="C254" s="35" t="str">
        <f>IFERROR(IF(B254="","",VLOOKUP(B254,DB_Customers!$A:$B,2,0)),"")</f>
        <v/>
      </c>
      <c r="D254" s="41"/>
      <c r="E254" s="32"/>
      <c r="F254" s="42" t="str">
        <f t="shared" ca="1" si="7"/>
        <v/>
      </c>
      <c r="G254" s="31"/>
      <c r="H254" s="43" t="str">
        <f>IFERROR(IF(OR(B254="",E254=""),"",SUMIF(DB_Loans!$B:$B,B254,DB_Loans!$E:$E)+E254),"")</f>
        <v/>
      </c>
      <c r="I254" s="43" t="str">
        <f>IFERROR(IF(OR(B254="",E254=""),"",SUMIF(DB_Loans!$B:$B,B254,DB_Loans!$J:$J)+(E254*0.025)),"")</f>
        <v/>
      </c>
      <c r="J254" s="31"/>
    </row>
    <row r="255" spans="1:10" ht="20.100000000000001" customHeight="1" x14ac:dyDescent="0.25">
      <c r="A255" s="30" t="str">
        <f t="shared" si="6"/>
        <v/>
      </c>
      <c r="B255" s="41"/>
      <c r="C255" s="35" t="str">
        <f>IFERROR(IF(B255="","",VLOOKUP(B255,DB_Customers!$A:$B,2,0)),"")</f>
        <v/>
      </c>
      <c r="D255" s="41"/>
      <c r="E255" s="32"/>
      <c r="F255" s="42" t="str">
        <f t="shared" ca="1" si="7"/>
        <v/>
      </c>
      <c r="G255" s="31"/>
      <c r="H255" s="43" t="str">
        <f>IFERROR(IF(OR(B255="",E255=""),"",SUMIF(DB_Loans!$B:$B,B255,DB_Loans!$E:$E)+E255),"")</f>
        <v/>
      </c>
      <c r="I255" s="43" t="str">
        <f>IFERROR(IF(OR(B255="",E255=""),"",SUMIF(DB_Loans!$B:$B,B255,DB_Loans!$J:$J)+(E255*0.025)),"")</f>
        <v/>
      </c>
      <c r="J255" s="31"/>
    </row>
    <row r="256" spans="1:10" ht="20.100000000000001" customHeight="1" x14ac:dyDescent="0.25">
      <c r="A256" s="30" t="str">
        <f t="shared" si="6"/>
        <v/>
      </c>
      <c r="B256" s="41"/>
      <c r="C256" s="35" t="str">
        <f>IFERROR(IF(B256="","",VLOOKUP(B256,DB_Customers!$A:$B,2,0)),"")</f>
        <v/>
      </c>
      <c r="D256" s="41"/>
      <c r="E256" s="32"/>
      <c r="F256" s="42" t="str">
        <f t="shared" ca="1" si="7"/>
        <v/>
      </c>
      <c r="G256" s="31"/>
      <c r="H256" s="43" t="str">
        <f>IFERROR(IF(OR(B256="",E256=""),"",SUMIF(DB_Loans!$B:$B,B256,DB_Loans!$E:$E)+E256),"")</f>
        <v/>
      </c>
      <c r="I256" s="43" t="str">
        <f>IFERROR(IF(OR(B256="",E256=""),"",SUMIF(DB_Loans!$B:$B,B256,DB_Loans!$J:$J)+(E256*0.025)),"")</f>
        <v/>
      </c>
      <c r="J256" s="31"/>
    </row>
    <row r="257" spans="1:10" ht="20.100000000000001" customHeight="1" x14ac:dyDescent="0.25">
      <c r="A257" s="30" t="str">
        <f t="shared" si="6"/>
        <v/>
      </c>
      <c r="B257" s="41"/>
      <c r="C257" s="35" t="str">
        <f>IFERROR(IF(B257="","",VLOOKUP(B257,DB_Customers!$A:$B,2,0)),"")</f>
        <v/>
      </c>
      <c r="D257" s="41"/>
      <c r="E257" s="32"/>
      <c r="F257" s="42" t="str">
        <f t="shared" ca="1" si="7"/>
        <v/>
      </c>
      <c r="G257" s="31"/>
      <c r="H257" s="43" t="str">
        <f>IFERROR(IF(OR(B257="",E257=""),"",SUMIF(DB_Loans!$B:$B,B257,DB_Loans!$E:$E)+E257),"")</f>
        <v/>
      </c>
      <c r="I257" s="43" t="str">
        <f>IFERROR(IF(OR(B257="",E257=""),"",SUMIF(DB_Loans!$B:$B,B257,DB_Loans!$J:$J)+(E257*0.025)),"")</f>
        <v/>
      </c>
      <c r="J257" s="31"/>
    </row>
    <row r="258" spans="1:10" ht="20.100000000000001" customHeight="1" x14ac:dyDescent="0.25">
      <c r="A258" s="30" t="str">
        <f t="shared" si="6"/>
        <v/>
      </c>
      <c r="B258" s="41"/>
      <c r="C258" s="35" t="str">
        <f>IFERROR(IF(B258="","",VLOOKUP(B258,DB_Customers!$A:$B,2,0)),"")</f>
        <v/>
      </c>
      <c r="D258" s="41"/>
      <c r="E258" s="32"/>
      <c r="F258" s="42" t="str">
        <f t="shared" ca="1" si="7"/>
        <v/>
      </c>
      <c r="G258" s="31"/>
      <c r="H258" s="43" t="str">
        <f>IFERROR(IF(OR(B258="",E258=""),"",SUMIF(DB_Loans!$B:$B,B258,DB_Loans!$E:$E)+E258),"")</f>
        <v/>
      </c>
      <c r="I258" s="43" t="str">
        <f>IFERROR(IF(OR(B258="",E258=""),"",SUMIF(DB_Loans!$B:$B,B258,DB_Loans!$J:$J)+(E258*0.025)),"")</f>
        <v/>
      </c>
      <c r="J258" s="31"/>
    </row>
    <row r="259" spans="1:10" ht="20.100000000000001" customHeight="1" x14ac:dyDescent="0.25">
      <c r="A259" s="30" t="str">
        <f t="shared" si="6"/>
        <v/>
      </c>
      <c r="B259" s="41"/>
      <c r="C259" s="35" t="str">
        <f>IFERROR(IF(B259="","",VLOOKUP(B259,DB_Customers!$A:$B,2,0)),"")</f>
        <v/>
      </c>
      <c r="D259" s="41"/>
      <c r="E259" s="32"/>
      <c r="F259" s="42" t="str">
        <f t="shared" ca="1" si="7"/>
        <v/>
      </c>
      <c r="G259" s="31"/>
      <c r="H259" s="43" t="str">
        <f>IFERROR(IF(OR(B259="",E259=""),"",SUMIF(DB_Loans!$B:$B,B259,DB_Loans!$E:$E)+E259),"")</f>
        <v/>
      </c>
      <c r="I259" s="43" t="str">
        <f>IFERROR(IF(OR(B259="",E259=""),"",SUMIF(DB_Loans!$B:$B,B259,DB_Loans!$J:$J)+(E259*0.025)),"")</f>
        <v/>
      </c>
      <c r="J259" s="31"/>
    </row>
    <row r="260" spans="1:10" ht="20.100000000000001" customHeight="1" x14ac:dyDescent="0.25">
      <c r="A260" s="30" t="str">
        <f t="shared" si="6"/>
        <v/>
      </c>
      <c r="B260" s="41"/>
      <c r="C260" s="35" t="str">
        <f>IFERROR(IF(B260="","",VLOOKUP(B260,DB_Customers!$A:$B,2,0)),"")</f>
        <v/>
      </c>
      <c r="D260" s="41"/>
      <c r="E260" s="32"/>
      <c r="F260" s="42" t="str">
        <f t="shared" ca="1" si="7"/>
        <v/>
      </c>
      <c r="G260" s="31"/>
      <c r="H260" s="43" t="str">
        <f>IFERROR(IF(OR(B260="",E260=""),"",SUMIF(DB_Loans!$B:$B,B260,DB_Loans!$E:$E)+E260),"")</f>
        <v/>
      </c>
      <c r="I260" s="43" t="str">
        <f>IFERROR(IF(OR(B260="",E260=""),"",SUMIF(DB_Loans!$B:$B,B260,DB_Loans!$J:$J)+(E260*0.025)),"")</f>
        <v/>
      </c>
      <c r="J260" s="31"/>
    </row>
    <row r="261" spans="1:10" ht="20.100000000000001" customHeight="1" x14ac:dyDescent="0.25">
      <c r="A261" s="30" t="str">
        <f t="shared" ref="A261:A324" si="8">IF(B261="","","TU"&amp;TEXT(ROW()-4,"0000"))</f>
        <v/>
      </c>
      <c r="B261" s="41"/>
      <c r="C261" s="35" t="str">
        <f>IFERROR(IF(B261="","",VLOOKUP(B261,DB_Customers!$A:$B,2,0)),"")</f>
        <v/>
      </c>
      <c r="D261" s="41"/>
      <c r="E261" s="32"/>
      <c r="F261" s="42" t="str">
        <f t="shared" ref="F261:F324" ca="1" si="9">IF(B261="","",TODAY())</f>
        <v/>
      </c>
      <c r="G261" s="31"/>
      <c r="H261" s="43" t="str">
        <f>IFERROR(IF(OR(B261="",E261=""),"",SUMIF(DB_Loans!$B:$B,B261,DB_Loans!$E:$E)+E261),"")</f>
        <v/>
      </c>
      <c r="I261" s="43" t="str">
        <f>IFERROR(IF(OR(B261="",E261=""),"",SUMIF(DB_Loans!$B:$B,B261,DB_Loans!$J:$J)+(E261*0.025)),"")</f>
        <v/>
      </c>
      <c r="J261" s="31"/>
    </row>
    <row r="262" spans="1:10" ht="20.100000000000001" customHeight="1" x14ac:dyDescent="0.25">
      <c r="A262" s="30" t="str">
        <f t="shared" si="8"/>
        <v/>
      </c>
      <c r="B262" s="41"/>
      <c r="C262" s="35" t="str">
        <f>IFERROR(IF(B262="","",VLOOKUP(B262,DB_Customers!$A:$B,2,0)),"")</f>
        <v/>
      </c>
      <c r="D262" s="41"/>
      <c r="E262" s="32"/>
      <c r="F262" s="42" t="str">
        <f t="shared" ca="1" si="9"/>
        <v/>
      </c>
      <c r="G262" s="31"/>
      <c r="H262" s="43" t="str">
        <f>IFERROR(IF(OR(B262="",E262=""),"",SUMIF(DB_Loans!$B:$B,B262,DB_Loans!$E:$E)+E262),"")</f>
        <v/>
      </c>
      <c r="I262" s="43" t="str">
        <f>IFERROR(IF(OR(B262="",E262=""),"",SUMIF(DB_Loans!$B:$B,B262,DB_Loans!$J:$J)+(E262*0.025)),"")</f>
        <v/>
      </c>
      <c r="J262" s="31"/>
    </row>
    <row r="263" spans="1:10" ht="20.100000000000001" customHeight="1" x14ac:dyDescent="0.25">
      <c r="A263" s="30" t="str">
        <f t="shared" si="8"/>
        <v/>
      </c>
      <c r="B263" s="41"/>
      <c r="C263" s="35" t="str">
        <f>IFERROR(IF(B263="","",VLOOKUP(B263,DB_Customers!$A:$B,2,0)),"")</f>
        <v/>
      </c>
      <c r="D263" s="41"/>
      <c r="E263" s="32"/>
      <c r="F263" s="42" t="str">
        <f t="shared" ca="1" si="9"/>
        <v/>
      </c>
      <c r="G263" s="31"/>
      <c r="H263" s="43" t="str">
        <f>IFERROR(IF(OR(B263="",E263=""),"",SUMIF(DB_Loans!$B:$B,B263,DB_Loans!$E:$E)+E263),"")</f>
        <v/>
      </c>
      <c r="I263" s="43" t="str">
        <f>IFERROR(IF(OR(B263="",E263=""),"",SUMIF(DB_Loans!$B:$B,B263,DB_Loans!$J:$J)+(E263*0.025)),"")</f>
        <v/>
      </c>
      <c r="J263" s="31"/>
    </row>
    <row r="264" spans="1:10" ht="20.100000000000001" customHeight="1" x14ac:dyDescent="0.25">
      <c r="A264" s="30" t="str">
        <f t="shared" si="8"/>
        <v/>
      </c>
      <c r="B264" s="41"/>
      <c r="C264" s="35" t="str">
        <f>IFERROR(IF(B264="","",VLOOKUP(B264,DB_Customers!$A:$B,2,0)),"")</f>
        <v/>
      </c>
      <c r="D264" s="41"/>
      <c r="E264" s="32"/>
      <c r="F264" s="42" t="str">
        <f t="shared" ca="1" si="9"/>
        <v/>
      </c>
      <c r="G264" s="31"/>
      <c r="H264" s="43" t="str">
        <f>IFERROR(IF(OR(B264="",E264=""),"",SUMIF(DB_Loans!$B:$B,B264,DB_Loans!$E:$E)+E264),"")</f>
        <v/>
      </c>
      <c r="I264" s="43" t="str">
        <f>IFERROR(IF(OR(B264="",E264=""),"",SUMIF(DB_Loans!$B:$B,B264,DB_Loans!$J:$J)+(E264*0.025)),"")</f>
        <v/>
      </c>
      <c r="J264" s="31"/>
    </row>
    <row r="265" spans="1:10" ht="20.100000000000001" customHeight="1" x14ac:dyDescent="0.25">
      <c r="A265" s="30" t="str">
        <f t="shared" si="8"/>
        <v/>
      </c>
      <c r="B265" s="41"/>
      <c r="C265" s="35" t="str">
        <f>IFERROR(IF(B265="","",VLOOKUP(B265,DB_Customers!$A:$B,2,0)),"")</f>
        <v/>
      </c>
      <c r="D265" s="41"/>
      <c r="E265" s="32"/>
      <c r="F265" s="42" t="str">
        <f t="shared" ca="1" si="9"/>
        <v/>
      </c>
      <c r="G265" s="31"/>
      <c r="H265" s="43" t="str">
        <f>IFERROR(IF(OR(B265="",E265=""),"",SUMIF(DB_Loans!$B:$B,B265,DB_Loans!$E:$E)+E265),"")</f>
        <v/>
      </c>
      <c r="I265" s="43" t="str">
        <f>IFERROR(IF(OR(B265="",E265=""),"",SUMIF(DB_Loans!$B:$B,B265,DB_Loans!$J:$J)+(E265*0.025)),"")</f>
        <v/>
      </c>
      <c r="J265" s="31"/>
    </row>
    <row r="266" spans="1:10" ht="20.100000000000001" customHeight="1" x14ac:dyDescent="0.25">
      <c r="A266" s="30" t="str">
        <f t="shared" si="8"/>
        <v/>
      </c>
      <c r="B266" s="41"/>
      <c r="C266" s="35" t="str">
        <f>IFERROR(IF(B266="","",VLOOKUP(B266,DB_Customers!$A:$B,2,0)),"")</f>
        <v/>
      </c>
      <c r="D266" s="41"/>
      <c r="E266" s="32"/>
      <c r="F266" s="42" t="str">
        <f t="shared" ca="1" si="9"/>
        <v/>
      </c>
      <c r="G266" s="31"/>
      <c r="H266" s="43" t="str">
        <f>IFERROR(IF(OR(B266="",E266=""),"",SUMIF(DB_Loans!$B:$B,B266,DB_Loans!$E:$E)+E266),"")</f>
        <v/>
      </c>
      <c r="I266" s="43" t="str">
        <f>IFERROR(IF(OR(B266="",E266=""),"",SUMIF(DB_Loans!$B:$B,B266,DB_Loans!$J:$J)+(E266*0.025)),"")</f>
        <v/>
      </c>
      <c r="J266" s="31"/>
    </row>
    <row r="267" spans="1:10" ht="20.100000000000001" customHeight="1" x14ac:dyDescent="0.25">
      <c r="A267" s="30" t="str">
        <f t="shared" si="8"/>
        <v/>
      </c>
      <c r="B267" s="41"/>
      <c r="C267" s="35" t="str">
        <f>IFERROR(IF(B267="","",VLOOKUP(B267,DB_Customers!$A:$B,2,0)),"")</f>
        <v/>
      </c>
      <c r="D267" s="41"/>
      <c r="E267" s="32"/>
      <c r="F267" s="42" t="str">
        <f t="shared" ca="1" si="9"/>
        <v/>
      </c>
      <c r="G267" s="31"/>
      <c r="H267" s="43" t="str">
        <f>IFERROR(IF(OR(B267="",E267=""),"",SUMIF(DB_Loans!$B:$B,B267,DB_Loans!$E:$E)+E267),"")</f>
        <v/>
      </c>
      <c r="I267" s="43" t="str">
        <f>IFERROR(IF(OR(B267="",E267=""),"",SUMIF(DB_Loans!$B:$B,B267,DB_Loans!$J:$J)+(E267*0.025)),"")</f>
        <v/>
      </c>
      <c r="J267" s="31"/>
    </row>
    <row r="268" spans="1:10" ht="20.100000000000001" customHeight="1" x14ac:dyDescent="0.25">
      <c r="A268" s="30" t="str">
        <f t="shared" si="8"/>
        <v/>
      </c>
      <c r="B268" s="41"/>
      <c r="C268" s="35" t="str">
        <f>IFERROR(IF(B268="","",VLOOKUP(B268,DB_Customers!$A:$B,2,0)),"")</f>
        <v/>
      </c>
      <c r="D268" s="41"/>
      <c r="E268" s="32"/>
      <c r="F268" s="42" t="str">
        <f t="shared" ca="1" si="9"/>
        <v/>
      </c>
      <c r="G268" s="31"/>
      <c r="H268" s="43" t="str">
        <f>IFERROR(IF(OR(B268="",E268=""),"",SUMIF(DB_Loans!$B:$B,B268,DB_Loans!$E:$E)+E268),"")</f>
        <v/>
      </c>
      <c r="I268" s="43" t="str">
        <f>IFERROR(IF(OR(B268="",E268=""),"",SUMIF(DB_Loans!$B:$B,B268,DB_Loans!$J:$J)+(E268*0.025)),"")</f>
        <v/>
      </c>
      <c r="J268" s="31"/>
    </row>
    <row r="269" spans="1:10" ht="20.100000000000001" customHeight="1" x14ac:dyDescent="0.25">
      <c r="A269" s="30" t="str">
        <f t="shared" si="8"/>
        <v/>
      </c>
      <c r="B269" s="41"/>
      <c r="C269" s="35" t="str">
        <f>IFERROR(IF(B269="","",VLOOKUP(B269,DB_Customers!$A:$B,2,0)),"")</f>
        <v/>
      </c>
      <c r="D269" s="41"/>
      <c r="E269" s="32"/>
      <c r="F269" s="42" t="str">
        <f t="shared" ca="1" si="9"/>
        <v/>
      </c>
      <c r="G269" s="31"/>
      <c r="H269" s="43" t="str">
        <f>IFERROR(IF(OR(B269="",E269=""),"",SUMIF(DB_Loans!$B:$B,B269,DB_Loans!$E:$E)+E269),"")</f>
        <v/>
      </c>
      <c r="I269" s="43" t="str">
        <f>IFERROR(IF(OR(B269="",E269=""),"",SUMIF(DB_Loans!$B:$B,B269,DB_Loans!$J:$J)+(E269*0.025)),"")</f>
        <v/>
      </c>
      <c r="J269" s="31"/>
    </row>
    <row r="270" spans="1:10" ht="20.100000000000001" customHeight="1" x14ac:dyDescent="0.25">
      <c r="A270" s="30" t="str">
        <f t="shared" si="8"/>
        <v/>
      </c>
      <c r="B270" s="41"/>
      <c r="C270" s="35" t="str">
        <f>IFERROR(IF(B270="","",VLOOKUP(B270,DB_Customers!$A:$B,2,0)),"")</f>
        <v/>
      </c>
      <c r="D270" s="41"/>
      <c r="E270" s="32"/>
      <c r="F270" s="42" t="str">
        <f t="shared" ca="1" si="9"/>
        <v/>
      </c>
      <c r="G270" s="31"/>
      <c r="H270" s="43" t="str">
        <f>IFERROR(IF(OR(B270="",E270=""),"",SUMIF(DB_Loans!$B:$B,B270,DB_Loans!$E:$E)+E270),"")</f>
        <v/>
      </c>
      <c r="I270" s="43" t="str">
        <f>IFERROR(IF(OR(B270="",E270=""),"",SUMIF(DB_Loans!$B:$B,B270,DB_Loans!$J:$J)+(E270*0.025)),"")</f>
        <v/>
      </c>
      <c r="J270" s="31"/>
    </row>
    <row r="271" spans="1:10" ht="20.100000000000001" customHeight="1" x14ac:dyDescent="0.25">
      <c r="A271" s="30" t="str">
        <f t="shared" si="8"/>
        <v/>
      </c>
      <c r="B271" s="41"/>
      <c r="C271" s="35" t="str">
        <f>IFERROR(IF(B271="","",VLOOKUP(B271,DB_Customers!$A:$B,2,0)),"")</f>
        <v/>
      </c>
      <c r="D271" s="41"/>
      <c r="E271" s="32"/>
      <c r="F271" s="42" t="str">
        <f t="shared" ca="1" si="9"/>
        <v/>
      </c>
      <c r="G271" s="31"/>
      <c r="H271" s="43" t="str">
        <f>IFERROR(IF(OR(B271="",E271=""),"",SUMIF(DB_Loans!$B:$B,B271,DB_Loans!$E:$E)+E271),"")</f>
        <v/>
      </c>
      <c r="I271" s="43" t="str">
        <f>IFERROR(IF(OR(B271="",E271=""),"",SUMIF(DB_Loans!$B:$B,B271,DB_Loans!$J:$J)+(E271*0.025)),"")</f>
        <v/>
      </c>
      <c r="J271" s="31"/>
    </row>
    <row r="272" spans="1:10" ht="20.100000000000001" customHeight="1" x14ac:dyDescent="0.25">
      <c r="A272" s="30" t="str">
        <f t="shared" si="8"/>
        <v/>
      </c>
      <c r="B272" s="41"/>
      <c r="C272" s="35" t="str">
        <f>IFERROR(IF(B272="","",VLOOKUP(B272,DB_Customers!$A:$B,2,0)),"")</f>
        <v/>
      </c>
      <c r="D272" s="41"/>
      <c r="E272" s="32"/>
      <c r="F272" s="42" t="str">
        <f t="shared" ca="1" si="9"/>
        <v/>
      </c>
      <c r="G272" s="31"/>
      <c r="H272" s="43" t="str">
        <f>IFERROR(IF(OR(B272="",E272=""),"",SUMIF(DB_Loans!$B:$B,B272,DB_Loans!$E:$E)+E272),"")</f>
        <v/>
      </c>
      <c r="I272" s="43" t="str">
        <f>IFERROR(IF(OR(B272="",E272=""),"",SUMIF(DB_Loans!$B:$B,B272,DB_Loans!$J:$J)+(E272*0.025)),"")</f>
        <v/>
      </c>
      <c r="J272" s="31"/>
    </row>
    <row r="273" spans="1:10" ht="20.100000000000001" customHeight="1" x14ac:dyDescent="0.25">
      <c r="A273" s="30" t="str">
        <f t="shared" si="8"/>
        <v/>
      </c>
      <c r="B273" s="41"/>
      <c r="C273" s="35" t="str">
        <f>IFERROR(IF(B273="","",VLOOKUP(B273,DB_Customers!$A:$B,2,0)),"")</f>
        <v/>
      </c>
      <c r="D273" s="41"/>
      <c r="E273" s="32"/>
      <c r="F273" s="42" t="str">
        <f t="shared" ca="1" si="9"/>
        <v/>
      </c>
      <c r="G273" s="31"/>
      <c r="H273" s="43" t="str">
        <f>IFERROR(IF(OR(B273="",E273=""),"",SUMIF(DB_Loans!$B:$B,B273,DB_Loans!$E:$E)+E273),"")</f>
        <v/>
      </c>
      <c r="I273" s="43" t="str">
        <f>IFERROR(IF(OR(B273="",E273=""),"",SUMIF(DB_Loans!$B:$B,B273,DB_Loans!$J:$J)+(E273*0.025)),"")</f>
        <v/>
      </c>
      <c r="J273" s="31"/>
    </row>
    <row r="274" spans="1:10" ht="20.100000000000001" customHeight="1" x14ac:dyDescent="0.25">
      <c r="A274" s="30" t="str">
        <f t="shared" si="8"/>
        <v/>
      </c>
      <c r="B274" s="41"/>
      <c r="C274" s="35" t="str">
        <f>IFERROR(IF(B274="","",VLOOKUP(B274,DB_Customers!$A:$B,2,0)),"")</f>
        <v/>
      </c>
      <c r="D274" s="41"/>
      <c r="E274" s="32"/>
      <c r="F274" s="42" t="str">
        <f t="shared" ca="1" si="9"/>
        <v/>
      </c>
      <c r="G274" s="31"/>
      <c r="H274" s="43" t="str">
        <f>IFERROR(IF(OR(B274="",E274=""),"",SUMIF(DB_Loans!$B:$B,B274,DB_Loans!$E:$E)+E274),"")</f>
        <v/>
      </c>
      <c r="I274" s="43" t="str">
        <f>IFERROR(IF(OR(B274="",E274=""),"",SUMIF(DB_Loans!$B:$B,B274,DB_Loans!$J:$J)+(E274*0.025)),"")</f>
        <v/>
      </c>
      <c r="J274" s="31"/>
    </row>
    <row r="275" spans="1:10" ht="20.100000000000001" customHeight="1" x14ac:dyDescent="0.25">
      <c r="A275" s="30" t="str">
        <f t="shared" si="8"/>
        <v/>
      </c>
      <c r="B275" s="41"/>
      <c r="C275" s="35" t="str">
        <f>IFERROR(IF(B275="","",VLOOKUP(B275,DB_Customers!$A:$B,2,0)),"")</f>
        <v/>
      </c>
      <c r="D275" s="41"/>
      <c r="E275" s="32"/>
      <c r="F275" s="42" t="str">
        <f t="shared" ca="1" si="9"/>
        <v/>
      </c>
      <c r="G275" s="31"/>
      <c r="H275" s="43" t="str">
        <f>IFERROR(IF(OR(B275="",E275=""),"",SUMIF(DB_Loans!$B:$B,B275,DB_Loans!$E:$E)+E275),"")</f>
        <v/>
      </c>
      <c r="I275" s="43" t="str">
        <f>IFERROR(IF(OR(B275="",E275=""),"",SUMIF(DB_Loans!$B:$B,B275,DB_Loans!$J:$J)+(E275*0.025)),"")</f>
        <v/>
      </c>
      <c r="J275" s="31"/>
    </row>
    <row r="276" spans="1:10" ht="20.100000000000001" customHeight="1" x14ac:dyDescent="0.25">
      <c r="A276" s="30" t="str">
        <f t="shared" si="8"/>
        <v/>
      </c>
      <c r="B276" s="41"/>
      <c r="C276" s="35" t="str">
        <f>IFERROR(IF(B276="","",VLOOKUP(B276,DB_Customers!$A:$B,2,0)),"")</f>
        <v/>
      </c>
      <c r="D276" s="41"/>
      <c r="E276" s="32"/>
      <c r="F276" s="42" t="str">
        <f t="shared" ca="1" si="9"/>
        <v/>
      </c>
      <c r="G276" s="31"/>
      <c r="H276" s="43" t="str">
        <f>IFERROR(IF(OR(B276="",E276=""),"",SUMIF(DB_Loans!$B:$B,B276,DB_Loans!$E:$E)+E276),"")</f>
        <v/>
      </c>
      <c r="I276" s="43" t="str">
        <f>IFERROR(IF(OR(B276="",E276=""),"",SUMIF(DB_Loans!$B:$B,B276,DB_Loans!$J:$J)+(E276*0.025)),"")</f>
        <v/>
      </c>
      <c r="J276" s="31"/>
    </row>
    <row r="277" spans="1:10" ht="20.100000000000001" customHeight="1" x14ac:dyDescent="0.25">
      <c r="A277" s="30" t="str">
        <f t="shared" si="8"/>
        <v/>
      </c>
      <c r="B277" s="41"/>
      <c r="C277" s="35" t="str">
        <f>IFERROR(IF(B277="","",VLOOKUP(B277,DB_Customers!$A:$B,2,0)),"")</f>
        <v/>
      </c>
      <c r="D277" s="41"/>
      <c r="E277" s="32"/>
      <c r="F277" s="42" t="str">
        <f t="shared" ca="1" si="9"/>
        <v/>
      </c>
      <c r="G277" s="31"/>
      <c r="H277" s="43" t="str">
        <f>IFERROR(IF(OR(B277="",E277=""),"",SUMIF(DB_Loans!$B:$B,B277,DB_Loans!$E:$E)+E277),"")</f>
        <v/>
      </c>
      <c r="I277" s="43" t="str">
        <f>IFERROR(IF(OR(B277="",E277=""),"",SUMIF(DB_Loans!$B:$B,B277,DB_Loans!$J:$J)+(E277*0.025)),"")</f>
        <v/>
      </c>
      <c r="J277" s="31"/>
    </row>
    <row r="278" spans="1:10" ht="20.100000000000001" customHeight="1" x14ac:dyDescent="0.25">
      <c r="A278" s="30" t="str">
        <f t="shared" si="8"/>
        <v/>
      </c>
      <c r="B278" s="41"/>
      <c r="C278" s="35" t="str">
        <f>IFERROR(IF(B278="","",VLOOKUP(B278,DB_Customers!$A:$B,2,0)),"")</f>
        <v/>
      </c>
      <c r="D278" s="41"/>
      <c r="E278" s="32"/>
      <c r="F278" s="42" t="str">
        <f t="shared" ca="1" si="9"/>
        <v/>
      </c>
      <c r="G278" s="31"/>
      <c r="H278" s="43" t="str">
        <f>IFERROR(IF(OR(B278="",E278=""),"",SUMIF(DB_Loans!$B:$B,B278,DB_Loans!$E:$E)+E278),"")</f>
        <v/>
      </c>
      <c r="I278" s="43" t="str">
        <f>IFERROR(IF(OR(B278="",E278=""),"",SUMIF(DB_Loans!$B:$B,B278,DB_Loans!$J:$J)+(E278*0.025)),"")</f>
        <v/>
      </c>
      <c r="J278" s="31"/>
    </row>
    <row r="279" spans="1:10" ht="20.100000000000001" customHeight="1" x14ac:dyDescent="0.25">
      <c r="A279" s="30" t="str">
        <f t="shared" si="8"/>
        <v/>
      </c>
      <c r="B279" s="41"/>
      <c r="C279" s="35" t="str">
        <f>IFERROR(IF(B279="","",VLOOKUP(B279,DB_Customers!$A:$B,2,0)),"")</f>
        <v/>
      </c>
      <c r="D279" s="41"/>
      <c r="E279" s="32"/>
      <c r="F279" s="42" t="str">
        <f t="shared" ca="1" si="9"/>
        <v/>
      </c>
      <c r="G279" s="31"/>
      <c r="H279" s="43" t="str">
        <f>IFERROR(IF(OR(B279="",E279=""),"",SUMIF(DB_Loans!$B:$B,B279,DB_Loans!$E:$E)+E279),"")</f>
        <v/>
      </c>
      <c r="I279" s="43" t="str">
        <f>IFERROR(IF(OR(B279="",E279=""),"",SUMIF(DB_Loans!$B:$B,B279,DB_Loans!$J:$J)+(E279*0.025)),"")</f>
        <v/>
      </c>
      <c r="J279" s="31"/>
    </row>
    <row r="280" spans="1:10" ht="20.100000000000001" customHeight="1" x14ac:dyDescent="0.25">
      <c r="A280" s="30" t="str">
        <f t="shared" si="8"/>
        <v/>
      </c>
      <c r="B280" s="41"/>
      <c r="C280" s="35" t="str">
        <f>IFERROR(IF(B280="","",VLOOKUP(B280,DB_Customers!$A:$B,2,0)),"")</f>
        <v/>
      </c>
      <c r="D280" s="41"/>
      <c r="E280" s="32"/>
      <c r="F280" s="42" t="str">
        <f t="shared" ca="1" si="9"/>
        <v/>
      </c>
      <c r="G280" s="31"/>
      <c r="H280" s="43" t="str">
        <f>IFERROR(IF(OR(B280="",E280=""),"",SUMIF(DB_Loans!$B:$B,B280,DB_Loans!$E:$E)+E280),"")</f>
        <v/>
      </c>
      <c r="I280" s="43" t="str">
        <f>IFERROR(IF(OR(B280="",E280=""),"",SUMIF(DB_Loans!$B:$B,B280,DB_Loans!$J:$J)+(E280*0.025)),"")</f>
        <v/>
      </c>
      <c r="J280" s="31"/>
    </row>
    <row r="281" spans="1:10" ht="20.100000000000001" customHeight="1" x14ac:dyDescent="0.25">
      <c r="A281" s="30" t="str">
        <f t="shared" si="8"/>
        <v/>
      </c>
      <c r="B281" s="41"/>
      <c r="C281" s="35" t="str">
        <f>IFERROR(IF(B281="","",VLOOKUP(B281,DB_Customers!$A:$B,2,0)),"")</f>
        <v/>
      </c>
      <c r="D281" s="41"/>
      <c r="E281" s="32"/>
      <c r="F281" s="42" t="str">
        <f t="shared" ca="1" si="9"/>
        <v/>
      </c>
      <c r="G281" s="31"/>
      <c r="H281" s="43" t="str">
        <f>IFERROR(IF(OR(B281="",E281=""),"",SUMIF(DB_Loans!$B:$B,B281,DB_Loans!$E:$E)+E281),"")</f>
        <v/>
      </c>
      <c r="I281" s="43" t="str">
        <f>IFERROR(IF(OR(B281="",E281=""),"",SUMIF(DB_Loans!$B:$B,B281,DB_Loans!$J:$J)+(E281*0.025)),"")</f>
        <v/>
      </c>
      <c r="J281" s="31"/>
    </row>
    <row r="282" spans="1:10" ht="20.100000000000001" customHeight="1" x14ac:dyDescent="0.25">
      <c r="A282" s="30" t="str">
        <f t="shared" si="8"/>
        <v/>
      </c>
      <c r="B282" s="41"/>
      <c r="C282" s="35" t="str">
        <f>IFERROR(IF(B282="","",VLOOKUP(B282,DB_Customers!$A:$B,2,0)),"")</f>
        <v/>
      </c>
      <c r="D282" s="41"/>
      <c r="E282" s="32"/>
      <c r="F282" s="42" t="str">
        <f t="shared" ca="1" si="9"/>
        <v/>
      </c>
      <c r="G282" s="31"/>
      <c r="H282" s="43" t="str">
        <f>IFERROR(IF(OR(B282="",E282=""),"",SUMIF(DB_Loans!$B:$B,B282,DB_Loans!$E:$E)+E282),"")</f>
        <v/>
      </c>
      <c r="I282" s="43" t="str">
        <f>IFERROR(IF(OR(B282="",E282=""),"",SUMIF(DB_Loans!$B:$B,B282,DB_Loans!$J:$J)+(E282*0.025)),"")</f>
        <v/>
      </c>
      <c r="J282" s="31"/>
    </row>
    <row r="283" spans="1:10" ht="20.100000000000001" customHeight="1" x14ac:dyDescent="0.25">
      <c r="A283" s="30" t="str">
        <f t="shared" si="8"/>
        <v/>
      </c>
      <c r="B283" s="41"/>
      <c r="C283" s="35" t="str">
        <f>IFERROR(IF(B283="","",VLOOKUP(B283,DB_Customers!$A:$B,2,0)),"")</f>
        <v/>
      </c>
      <c r="D283" s="41"/>
      <c r="E283" s="32"/>
      <c r="F283" s="42" t="str">
        <f t="shared" ca="1" si="9"/>
        <v/>
      </c>
      <c r="G283" s="31"/>
      <c r="H283" s="43" t="str">
        <f>IFERROR(IF(OR(B283="",E283=""),"",SUMIF(DB_Loans!$B:$B,B283,DB_Loans!$E:$E)+E283),"")</f>
        <v/>
      </c>
      <c r="I283" s="43" t="str">
        <f>IFERROR(IF(OR(B283="",E283=""),"",SUMIF(DB_Loans!$B:$B,B283,DB_Loans!$J:$J)+(E283*0.025)),"")</f>
        <v/>
      </c>
      <c r="J283" s="31"/>
    </row>
    <row r="284" spans="1:10" ht="20.100000000000001" customHeight="1" x14ac:dyDescent="0.25">
      <c r="A284" s="30" t="str">
        <f t="shared" si="8"/>
        <v/>
      </c>
      <c r="B284" s="41"/>
      <c r="C284" s="35" t="str">
        <f>IFERROR(IF(B284="","",VLOOKUP(B284,DB_Customers!$A:$B,2,0)),"")</f>
        <v/>
      </c>
      <c r="D284" s="41"/>
      <c r="E284" s="32"/>
      <c r="F284" s="42" t="str">
        <f t="shared" ca="1" si="9"/>
        <v/>
      </c>
      <c r="G284" s="31"/>
      <c r="H284" s="43" t="str">
        <f>IFERROR(IF(OR(B284="",E284=""),"",SUMIF(DB_Loans!$B:$B,B284,DB_Loans!$E:$E)+E284),"")</f>
        <v/>
      </c>
      <c r="I284" s="43" t="str">
        <f>IFERROR(IF(OR(B284="",E284=""),"",SUMIF(DB_Loans!$B:$B,B284,DB_Loans!$J:$J)+(E284*0.025)),"")</f>
        <v/>
      </c>
      <c r="J284" s="31"/>
    </row>
    <row r="285" spans="1:10" ht="20.100000000000001" customHeight="1" x14ac:dyDescent="0.25">
      <c r="A285" s="30" t="str">
        <f t="shared" si="8"/>
        <v/>
      </c>
      <c r="B285" s="41"/>
      <c r="C285" s="35" t="str">
        <f>IFERROR(IF(B285="","",VLOOKUP(B285,DB_Customers!$A:$B,2,0)),"")</f>
        <v/>
      </c>
      <c r="D285" s="41"/>
      <c r="E285" s="32"/>
      <c r="F285" s="42" t="str">
        <f t="shared" ca="1" si="9"/>
        <v/>
      </c>
      <c r="G285" s="31"/>
      <c r="H285" s="43" t="str">
        <f>IFERROR(IF(OR(B285="",E285=""),"",SUMIF(DB_Loans!$B:$B,B285,DB_Loans!$E:$E)+E285),"")</f>
        <v/>
      </c>
      <c r="I285" s="43" t="str">
        <f>IFERROR(IF(OR(B285="",E285=""),"",SUMIF(DB_Loans!$B:$B,B285,DB_Loans!$J:$J)+(E285*0.025)),"")</f>
        <v/>
      </c>
      <c r="J285" s="31"/>
    </row>
    <row r="286" spans="1:10" ht="20.100000000000001" customHeight="1" x14ac:dyDescent="0.25">
      <c r="A286" s="30" t="str">
        <f t="shared" si="8"/>
        <v/>
      </c>
      <c r="B286" s="41"/>
      <c r="C286" s="35" t="str">
        <f>IFERROR(IF(B286="","",VLOOKUP(B286,DB_Customers!$A:$B,2,0)),"")</f>
        <v/>
      </c>
      <c r="D286" s="41"/>
      <c r="E286" s="32"/>
      <c r="F286" s="42" t="str">
        <f t="shared" ca="1" si="9"/>
        <v/>
      </c>
      <c r="G286" s="31"/>
      <c r="H286" s="43" t="str">
        <f>IFERROR(IF(OR(B286="",E286=""),"",SUMIF(DB_Loans!$B:$B,B286,DB_Loans!$E:$E)+E286),"")</f>
        <v/>
      </c>
      <c r="I286" s="43" t="str">
        <f>IFERROR(IF(OR(B286="",E286=""),"",SUMIF(DB_Loans!$B:$B,B286,DB_Loans!$J:$J)+(E286*0.025)),"")</f>
        <v/>
      </c>
      <c r="J286" s="31"/>
    </row>
    <row r="287" spans="1:10" ht="20.100000000000001" customHeight="1" x14ac:dyDescent="0.25">
      <c r="A287" s="30" t="str">
        <f t="shared" si="8"/>
        <v/>
      </c>
      <c r="B287" s="41"/>
      <c r="C287" s="35" t="str">
        <f>IFERROR(IF(B287="","",VLOOKUP(B287,DB_Customers!$A:$B,2,0)),"")</f>
        <v/>
      </c>
      <c r="D287" s="41"/>
      <c r="E287" s="32"/>
      <c r="F287" s="42" t="str">
        <f t="shared" ca="1" si="9"/>
        <v/>
      </c>
      <c r="G287" s="31"/>
      <c r="H287" s="43" t="str">
        <f>IFERROR(IF(OR(B287="",E287=""),"",SUMIF(DB_Loans!$B:$B,B287,DB_Loans!$E:$E)+E287),"")</f>
        <v/>
      </c>
      <c r="I287" s="43" t="str">
        <f>IFERROR(IF(OR(B287="",E287=""),"",SUMIF(DB_Loans!$B:$B,B287,DB_Loans!$J:$J)+(E287*0.025)),"")</f>
        <v/>
      </c>
      <c r="J287" s="31"/>
    </row>
    <row r="288" spans="1:10" ht="20.100000000000001" customHeight="1" x14ac:dyDescent="0.25">
      <c r="A288" s="30" t="str">
        <f t="shared" si="8"/>
        <v/>
      </c>
      <c r="B288" s="41"/>
      <c r="C288" s="35" t="str">
        <f>IFERROR(IF(B288="","",VLOOKUP(B288,DB_Customers!$A:$B,2,0)),"")</f>
        <v/>
      </c>
      <c r="D288" s="41"/>
      <c r="E288" s="32"/>
      <c r="F288" s="42" t="str">
        <f t="shared" ca="1" si="9"/>
        <v/>
      </c>
      <c r="G288" s="31"/>
      <c r="H288" s="43" t="str">
        <f>IFERROR(IF(OR(B288="",E288=""),"",SUMIF(DB_Loans!$B:$B,B288,DB_Loans!$E:$E)+E288),"")</f>
        <v/>
      </c>
      <c r="I288" s="43" t="str">
        <f>IFERROR(IF(OR(B288="",E288=""),"",SUMIF(DB_Loans!$B:$B,B288,DB_Loans!$J:$J)+(E288*0.025)),"")</f>
        <v/>
      </c>
      <c r="J288" s="31"/>
    </row>
    <row r="289" spans="1:10" ht="20.100000000000001" customHeight="1" x14ac:dyDescent="0.25">
      <c r="A289" s="30" t="str">
        <f t="shared" si="8"/>
        <v/>
      </c>
      <c r="B289" s="41"/>
      <c r="C289" s="35" t="str">
        <f>IFERROR(IF(B289="","",VLOOKUP(B289,DB_Customers!$A:$B,2,0)),"")</f>
        <v/>
      </c>
      <c r="D289" s="41"/>
      <c r="E289" s="32"/>
      <c r="F289" s="42" t="str">
        <f t="shared" ca="1" si="9"/>
        <v/>
      </c>
      <c r="G289" s="31"/>
      <c r="H289" s="43" t="str">
        <f>IFERROR(IF(OR(B289="",E289=""),"",SUMIF(DB_Loans!$B:$B,B289,DB_Loans!$E:$E)+E289),"")</f>
        <v/>
      </c>
      <c r="I289" s="43" t="str">
        <f>IFERROR(IF(OR(B289="",E289=""),"",SUMIF(DB_Loans!$B:$B,B289,DB_Loans!$J:$J)+(E289*0.025)),"")</f>
        <v/>
      </c>
      <c r="J289" s="31"/>
    </row>
    <row r="290" spans="1:10" ht="20.100000000000001" customHeight="1" x14ac:dyDescent="0.25">
      <c r="A290" s="30" t="str">
        <f t="shared" si="8"/>
        <v/>
      </c>
      <c r="B290" s="41"/>
      <c r="C290" s="35" t="str">
        <f>IFERROR(IF(B290="","",VLOOKUP(B290,DB_Customers!$A:$B,2,0)),"")</f>
        <v/>
      </c>
      <c r="D290" s="41"/>
      <c r="E290" s="32"/>
      <c r="F290" s="42" t="str">
        <f t="shared" ca="1" si="9"/>
        <v/>
      </c>
      <c r="G290" s="31"/>
      <c r="H290" s="43" t="str">
        <f>IFERROR(IF(OR(B290="",E290=""),"",SUMIF(DB_Loans!$B:$B,B290,DB_Loans!$E:$E)+E290),"")</f>
        <v/>
      </c>
      <c r="I290" s="43" t="str">
        <f>IFERROR(IF(OR(B290="",E290=""),"",SUMIF(DB_Loans!$B:$B,B290,DB_Loans!$J:$J)+(E290*0.025)),"")</f>
        <v/>
      </c>
      <c r="J290" s="31"/>
    </row>
    <row r="291" spans="1:10" ht="20.100000000000001" customHeight="1" x14ac:dyDescent="0.25">
      <c r="A291" s="30" t="str">
        <f t="shared" si="8"/>
        <v/>
      </c>
      <c r="B291" s="41"/>
      <c r="C291" s="35" t="str">
        <f>IFERROR(IF(B291="","",VLOOKUP(B291,DB_Customers!$A:$B,2,0)),"")</f>
        <v/>
      </c>
      <c r="D291" s="41"/>
      <c r="E291" s="32"/>
      <c r="F291" s="42" t="str">
        <f t="shared" ca="1" si="9"/>
        <v/>
      </c>
      <c r="G291" s="31"/>
      <c r="H291" s="43" t="str">
        <f>IFERROR(IF(OR(B291="",E291=""),"",SUMIF(DB_Loans!$B:$B,B291,DB_Loans!$E:$E)+E291),"")</f>
        <v/>
      </c>
      <c r="I291" s="43" t="str">
        <f>IFERROR(IF(OR(B291="",E291=""),"",SUMIF(DB_Loans!$B:$B,B291,DB_Loans!$J:$J)+(E291*0.025)),"")</f>
        <v/>
      </c>
      <c r="J291" s="31"/>
    </row>
    <row r="292" spans="1:10" ht="20.100000000000001" customHeight="1" x14ac:dyDescent="0.25">
      <c r="A292" s="30" t="str">
        <f t="shared" si="8"/>
        <v/>
      </c>
      <c r="B292" s="41"/>
      <c r="C292" s="35" t="str">
        <f>IFERROR(IF(B292="","",VLOOKUP(B292,DB_Customers!$A:$B,2,0)),"")</f>
        <v/>
      </c>
      <c r="D292" s="41"/>
      <c r="E292" s="32"/>
      <c r="F292" s="42" t="str">
        <f t="shared" ca="1" si="9"/>
        <v/>
      </c>
      <c r="G292" s="31"/>
      <c r="H292" s="43" t="str">
        <f>IFERROR(IF(OR(B292="",E292=""),"",SUMIF(DB_Loans!$B:$B,B292,DB_Loans!$E:$E)+E292),"")</f>
        <v/>
      </c>
      <c r="I292" s="43" t="str">
        <f>IFERROR(IF(OR(B292="",E292=""),"",SUMIF(DB_Loans!$B:$B,B292,DB_Loans!$J:$J)+(E292*0.025)),"")</f>
        <v/>
      </c>
      <c r="J292" s="31"/>
    </row>
    <row r="293" spans="1:10" ht="20.100000000000001" customHeight="1" x14ac:dyDescent="0.25">
      <c r="A293" s="30" t="str">
        <f t="shared" si="8"/>
        <v/>
      </c>
      <c r="B293" s="41"/>
      <c r="C293" s="35" t="str">
        <f>IFERROR(IF(B293="","",VLOOKUP(B293,DB_Customers!$A:$B,2,0)),"")</f>
        <v/>
      </c>
      <c r="D293" s="41"/>
      <c r="E293" s="32"/>
      <c r="F293" s="42" t="str">
        <f t="shared" ca="1" si="9"/>
        <v/>
      </c>
      <c r="G293" s="31"/>
      <c r="H293" s="43" t="str">
        <f>IFERROR(IF(OR(B293="",E293=""),"",SUMIF(DB_Loans!$B:$B,B293,DB_Loans!$E:$E)+E293),"")</f>
        <v/>
      </c>
      <c r="I293" s="43" t="str">
        <f>IFERROR(IF(OR(B293="",E293=""),"",SUMIF(DB_Loans!$B:$B,B293,DB_Loans!$J:$J)+(E293*0.025)),"")</f>
        <v/>
      </c>
      <c r="J293" s="31"/>
    </row>
    <row r="294" spans="1:10" ht="20.100000000000001" customHeight="1" x14ac:dyDescent="0.25">
      <c r="A294" s="30" t="str">
        <f t="shared" si="8"/>
        <v/>
      </c>
      <c r="B294" s="41"/>
      <c r="C294" s="35" t="str">
        <f>IFERROR(IF(B294="","",VLOOKUP(B294,DB_Customers!$A:$B,2,0)),"")</f>
        <v/>
      </c>
      <c r="D294" s="41"/>
      <c r="E294" s="32"/>
      <c r="F294" s="42" t="str">
        <f t="shared" ca="1" si="9"/>
        <v/>
      </c>
      <c r="G294" s="31"/>
      <c r="H294" s="43" t="str">
        <f>IFERROR(IF(OR(B294="",E294=""),"",SUMIF(DB_Loans!$B:$B,B294,DB_Loans!$E:$E)+E294),"")</f>
        <v/>
      </c>
      <c r="I294" s="43" t="str">
        <f>IFERROR(IF(OR(B294="",E294=""),"",SUMIF(DB_Loans!$B:$B,B294,DB_Loans!$J:$J)+(E294*0.025)),"")</f>
        <v/>
      </c>
      <c r="J294" s="31"/>
    </row>
    <row r="295" spans="1:10" ht="20.100000000000001" customHeight="1" x14ac:dyDescent="0.25">
      <c r="A295" s="30" t="str">
        <f t="shared" si="8"/>
        <v/>
      </c>
      <c r="B295" s="41"/>
      <c r="C295" s="35" t="str">
        <f>IFERROR(IF(B295="","",VLOOKUP(B295,DB_Customers!$A:$B,2,0)),"")</f>
        <v/>
      </c>
      <c r="D295" s="41"/>
      <c r="E295" s="32"/>
      <c r="F295" s="42" t="str">
        <f t="shared" ca="1" si="9"/>
        <v/>
      </c>
      <c r="G295" s="31"/>
      <c r="H295" s="43" t="str">
        <f>IFERROR(IF(OR(B295="",E295=""),"",SUMIF(DB_Loans!$B:$B,B295,DB_Loans!$E:$E)+E295),"")</f>
        <v/>
      </c>
      <c r="I295" s="43" t="str">
        <f>IFERROR(IF(OR(B295="",E295=""),"",SUMIF(DB_Loans!$B:$B,B295,DB_Loans!$J:$J)+(E295*0.025)),"")</f>
        <v/>
      </c>
      <c r="J295" s="31"/>
    </row>
    <row r="296" spans="1:10" ht="20.100000000000001" customHeight="1" x14ac:dyDescent="0.25">
      <c r="A296" s="30" t="str">
        <f t="shared" si="8"/>
        <v/>
      </c>
      <c r="B296" s="41"/>
      <c r="C296" s="35" t="str">
        <f>IFERROR(IF(B296="","",VLOOKUP(B296,DB_Customers!$A:$B,2,0)),"")</f>
        <v/>
      </c>
      <c r="D296" s="41"/>
      <c r="E296" s="32"/>
      <c r="F296" s="42" t="str">
        <f t="shared" ca="1" si="9"/>
        <v/>
      </c>
      <c r="G296" s="31"/>
      <c r="H296" s="43" t="str">
        <f>IFERROR(IF(OR(B296="",E296=""),"",SUMIF(DB_Loans!$B:$B,B296,DB_Loans!$E:$E)+E296),"")</f>
        <v/>
      </c>
      <c r="I296" s="43" t="str">
        <f>IFERROR(IF(OR(B296="",E296=""),"",SUMIF(DB_Loans!$B:$B,B296,DB_Loans!$J:$J)+(E296*0.025)),"")</f>
        <v/>
      </c>
      <c r="J296" s="31"/>
    </row>
    <row r="297" spans="1:10" ht="20.100000000000001" customHeight="1" x14ac:dyDescent="0.25">
      <c r="A297" s="30" t="str">
        <f t="shared" si="8"/>
        <v/>
      </c>
      <c r="B297" s="41"/>
      <c r="C297" s="35" t="str">
        <f>IFERROR(IF(B297="","",VLOOKUP(B297,DB_Customers!$A:$B,2,0)),"")</f>
        <v/>
      </c>
      <c r="D297" s="41"/>
      <c r="E297" s="32"/>
      <c r="F297" s="42" t="str">
        <f t="shared" ca="1" si="9"/>
        <v/>
      </c>
      <c r="G297" s="31"/>
      <c r="H297" s="43" t="str">
        <f>IFERROR(IF(OR(B297="",E297=""),"",SUMIF(DB_Loans!$B:$B,B297,DB_Loans!$E:$E)+E297),"")</f>
        <v/>
      </c>
      <c r="I297" s="43" t="str">
        <f>IFERROR(IF(OR(B297="",E297=""),"",SUMIF(DB_Loans!$B:$B,B297,DB_Loans!$J:$J)+(E297*0.025)),"")</f>
        <v/>
      </c>
      <c r="J297" s="31"/>
    </row>
    <row r="298" spans="1:10" ht="20.100000000000001" customHeight="1" x14ac:dyDescent="0.25">
      <c r="A298" s="30" t="str">
        <f t="shared" si="8"/>
        <v/>
      </c>
      <c r="B298" s="41"/>
      <c r="C298" s="35" t="str">
        <f>IFERROR(IF(B298="","",VLOOKUP(B298,DB_Customers!$A:$B,2,0)),"")</f>
        <v/>
      </c>
      <c r="D298" s="41"/>
      <c r="E298" s="32"/>
      <c r="F298" s="42" t="str">
        <f t="shared" ca="1" si="9"/>
        <v/>
      </c>
      <c r="G298" s="31"/>
      <c r="H298" s="43" t="str">
        <f>IFERROR(IF(OR(B298="",E298=""),"",SUMIF(DB_Loans!$B:$B,B298,DB_Loans!$E:$E)+E298),"")</f>
        <v/>
      </c>
      <c r="I298" s="43" t="str">
        <f>IFERROR(IF(OR(B298="",E298=""),"",SUMIF(DB_Loans!$B:$B,B298,DB_Loans!$J:$J)+(E298*0.025)),"")</f>
        <v/>
      </c>
      <c r="J298" s="31"/>
    </row>
    <row r="299" spans="1:10" ht="20.100000000000001" customHeight="1" x14ac:dyDescent="0.25">
      <c r="A299" s="30" t="str">
        <f t="shared" si="8"/>
        <v/>
      </c>
      <c r="B299" s="41"/>
      <c r="C299" s="35" t="str">
        <f>IFERROR(IF(B299="","",VLOOKUP(B299,DB_Customers!$A:$B,2,0)),"")</f>
        <v/>
      </c>
      <c r="D299" s="41"/>
      <c r="E299" s="32"/>
      <c r="F299" s="42" t="str">
        <f t="shared" ca="1" si="9"/>
        <v/>
      </c>
      <c r="G299" s="31"/>
      <c r="H299" s="43" t="str">
        <f>IFERROR(IF(OR(B299="",E299=""),"",SUMIF(DB_Loans!$B:$B,B299,DB_Loans!$E:$E)+E299),"")</f>
        <v/>
      </c>
      <c r="I299" s="43" t="str">
        <f>IFERROR(IF(OR(B299="",E299=""),"",SUMIF(DB_Loans!$B:$B,B299,DB_Loans!$J:$J)+(E299*0.025)),"")</f>
        <v/>
      </c>
      <c r="J299" s="31"/>
    </row>
    <row r="300" spans="1:10" ht="20.100000000000001" customHeight="1" x14ac:dyDescent="0.25">
      <c r="A300" s="30" t="str">
        <f t="shared" si="8"/>
        <v/>
      </c>
      <c r="B300" s="41"/>
      <c r="C300" s="35" t="str">
        <f>IFERROR(IF(B300="","",VLOOKUP(B300,DB_Customers!$A:$B,2,0)),"")</f>
        <v/>
      </c>
      <c r="D300" s="41"/>
      <c r="E300" s="32"/>
      <c r="F300" s="42" t="str">
        <f t="shared" ca="1" si="9"/>
        <v/>
      </c>
      <c r="G300" s="31"/>
      <c r="H300" s="43" t="str">
        <f>IFERROR(IF(OR(B300="",E300=""),"",SUMIF(DB_Loans!$B:$B,B300,DB_Loans!$E:$E)+E300),"")</f>
        <v/>
      </c>
      <c r="I300" s="43" t="str">
        <f>IFERROR(IF(OR(B300="",E300=""),"",SUMIF(DB_Loans!$B:$B,B300,DB_Loans!$J:$J)+(E300*0.025)),"")</f>
        <v/>
      </c>
      <c r="J300" s="31"/>
    </row>
    <row r="301" spans="1:10" ht="20.100000000000001" customHeight="1" x14ac:dyDescent="0.25">
      <c r="A301" s="30" t="str">
        <f t="shared" si="8"/>
        <v/>
      </c>
      <c r="B301" s="41"/>
      <c r="C301" s="35" t="str">
        <f>IFERROR(IF(B301="","",VLOOKUP(B301,DB_Customers!$A:$B,2,0)),"")</f>
        <v/>
      </c>
      <c r="D301" s="41"/>
      <c r="E301" s="32"/>
      <c r="F301" s="42" t="str">
        <f t="shared" ca="1" si="9"/>
        <v/>
      </c>
      <c r="G301" s="31"/>
      <c r="H301" s="43" t="str">
        <f>IFERROR(IF(OR(B301="",E301=""),"",SUMIF(DB_Loans!$B:$B,B301,DB_Loans!$E:$E)+E301),"")</f>
        <v/>
      </c>
      <c r="I301" s="43" t="str">
        <f>IFERROR(IF(OR(B301="",E301=""),"",SUMIF(DB_Loans!$B:$B,B301,DB_Loans!$J:$J)+(E301*0.025)),"")</f>
        <v/>
      </c>
      <c r="J301" s="31"/>
    </row>
    <row r="302" spans="1:10" ht="20.100000000000001" customHeight="1" x14ac:dyDescent="0.25">
      <c r="A302" s="30" t="str">
        <f t="shared" si="8"/>
        <v/>
      </c>
      <c r="B302" s="41"/>
      <c r="C302" s="35" t="str">
        <f>IFERROR(IF(B302="","",VLOOKUP(B302,DB_Customers!$A:$B,2,0)),"")</f>
        <v/>
      </c>
      <c r="D302" s="41"/>
      <c r="E302" s="32"/>
      <c r="F302" s="42" t="str">
        <f t="shared" ca="1" si="9"/>
        <v/>
      </c>
      <c r="G302" s="31"/>
      <c r="H302" s="43" t="str">
        <f>IFERROR(IF(OR(B302="",E302=""),"",SUMIF(DB_Loans!$B:$B,B302,DB_Loans!$E:$E)+E302),"")</f>
        <v/>
      </c>
      <c r="I302" s="43" t="str">
        <f>IFERROR(IF(OR(B302="",E302=""),"",SUMIF(DB_Loans!$B:$B,B302,DB_Loans!$J:$J)+(E302*0.025)),"")</f>
        <v/>
      </c>
      <c r="J302" s="31"/>
    </row>
    <row r="303" spans="1:10" ht="20.100000000000001" customHeight="1" x14ac:dyDescent="0.25">
      <c r="A303" s="30" t="str">
        <f t="shared" si="8"/>
        <v/>
      </c>
      <c r="B303" s="41"/>
      <c r="C303" s="35" t="str">
        <f>IFERROR(IF(B303="","",VLOOKUP(B303,DB_Customers!$A:$B,2,0)),"")</f>
        <v/>
      </c>
      <c r="D303" s="41"/>
      <c r="E303" s="32"/>
      <c r="F303" s="42" t="str">
        <f t="shared" ca="1" si="9"/>
        <v/>
      </c>
      <c r="G303" s="31"/>
      <c r="H303" s="43" t="str">
        <f>IFERROR(IF(OR(B303="",E303=""),"",SUMIF(DB_Loans!$B:$B,B303,DB_Loans!$E:$E)+E303),"")</f>
        <v/>
      </c>
      <c r="I303" s="43" t="str">
        <f>IFERROR(IF(OR(B303="",E303=""),"",SUMIF(DB_Loans!$B:$B,B303,DB_Loans!$J:$J)+(E303*0.025)),"")</f>
        <v/>
      </c>
      <c r="J303" s="31"/>
    </row>
    <row r="304" spans="1:10" ht="20.100000000000001" customHeight="1" x14ac:dyDescent="0.25">
      <c r="A304" s="30" t="str">
        <f t="shared" si="8"/>
        <v/>
      </c>
      <c r="B304" s="41"/>
      <c r="C304" s="35" t="str">
        <f>IFERROR(IF(B304="","",VLOOKUP(B304,DB_Customers!$A:$B,2,0)),"")</f>
        <v/>
      </c>
      <c r="D304" s="41"/>
      <c r="E304" s="32"/>
      <c r="F304" s="42" t="str">
        <f t="shared" ca="1" si="9"/>
        <v/>
      </c>
      <c r="G304" s="31"/>
      <c r="H304" s="43" t="str">
        <f>IFERROR(IF(OR(B304="",E304=""),"",SUMIF(DB_Loans!$B:$B,B304,DB_Loans!$E:$E)+E304),"")</f>
        <v/>
      </c>
      <c r="I304" s="43" t="str">
        <f>IFERROR(IF(OR(B304="",E304=""),"",SUMIF(DB_Loans!$B:$B,B304,DB_Loans!$J:$J)+(E304*0.025)),"")</f>
        <v/>
      </c>
      <c r="J304" s="31"/>
    </row>
    <row r="305" spans="1:10" ht="20.100000000000001" customHeight="1" x14ac:dyDescent="0.25">
      <c r="A305" s="30" t="str">
        <f t="shared" si="8"/>
        <v/>
      </c>
      <c r="B305" s="41"/>
      <c r="C305" s="35" t="str">
        <f>IFERROR(IF(B305="","",VLOOKUP(B305,DB_Customers!$A:$B,2,0)),"")</f>
        <v/>
      </c>
      <c r="D305" s="41"/>
      <c r="E305" s="32"/>
      <c r="F305" s="42" t="str">
        <f t="shared" ca="1" si="9"/>
        <v/>
      </c>
      <c r="G305" s="31"/>
      <c r="H305" s="43" t="str">
        <f>IFERROR(IF(OR(B305="",E305=""),"",SUMIF(DB_Loans!$B:$B,B305,DB_Loans!$E:$E)+E305),"")</f>
        <v/>
      </c>
      <c r="I305" s="43" t="str">
        <f>IFERROR(IF(OR(B305="",E305=""),"",SUMIF(DB_Loans!$B:$B,B305,DB_Loans!$J:$J)+(E305*0.025)),"")</f>
        <v/>
      </c>
      <c r="J305" s="31"/>
    </row>
    <row r="306" spans="1:10" ht="20.100000000000001" customHeight="1" x14ac:dyDescent="0.25">
      <c r="A306" s="30" t="str">
        <f t="shared" si="8"/>
        <v/>
      </c>
      <c r="B306" s="41"/>
      <c r="C306" s="35" t="str">
        <f>IFERROR(IF(B306="","",VLOOKUP(B306,DB_Customers!$A:$B,2,0)),"")</f>
        <v/>
      </c>
      <c r="D306" s="41"/>
      <c r="E306" s="32"/>
      <c r="F306" s="42" t="str">
        <f t="shared" ca="1" si="9"/>
        <v/>
      </c>
      <c r="G306" s="31"/>
      <c r="H306" s="43" t="str">
        <f>IFERROR(IF(OR(B306="",E306=""),"",SUMIF(DB_Loans!$B:$B,B306,DB_Loans!$E:$E)+E306),"")</f>
        <v/>
      </c>
      <c r="I306" s="43" t="str">
        <f>IFERROR(IF(OR(B306="",E306=""),"",SUMIF(DB_Loans!$B:$B,B306,DB_Loans!$J:$J)+(E306*0.025)),"")</f>
        <v/>
      </c>
      <c r="J306" s="31"/>
    </row>
    <row r="307" spans="1:10" ht="20.100000000000001" customHeight="1" x14ac:dyDescent="0.25">
      <c r="A307" s="30" t="str">
        <f t="shared" si="8"/>
        <v/>
      </c>
      <c r="B307" s="41"/>
      <c r="C307" s="35" t="str">
        <f>IFERROR(IF(B307="","",VLOOKUP(B307,DB_Customers!$A:$B,2,0)),"")</f>
        <v/>
      </c>
      <c r="D307" s="41"/>
      <c r="E307" s="32"/>
      <c r="F307" s="42" t="str">
        <f t="shared" ca="1" si="9"/>
        <v/>
      </c>
      <c r="G307" s="31"/>
      <c r="H307" s="43" t="str">
        <f>IFERROR(IF(OR(B307="",E307=""),"",SUMIF(DB_Loans!$B:$B,B307,DB_Loans!$E:$E)+E307),"")</f>
        <v/>
      </c>
      <c r="I307" s="43" t="str">
        <f>IFERROR(IF(OR(B307="",E307=""),"",SUMIF(DB_Loans!$B:$B,B307,DB_Loans!$J:$J)+(E307*0.025)),"")</f>
        <v/>
      </c>
      <c r="J307" s="31"/>
    </row>
    <row r="308" spans="1:10" ht="20.100000000000001" customHeight="1" x14ac:dyDescent="0.25">
      <c r="A308" s="30" t="str">
        <f t="shared" si="8"/>
        <v/>
      </c>
      <c r="B308" s="41"/>
      <c r="C308" s="35" t="str">
        <f>IFERROR(IF(B308="","",VLOOKUP(B308,DB_Customers!$A:$B,2,0)),"")</f>
        <v/>
      </c>
      <c r="D308" s="41"/>
      <c r="E308" s="32"/>
      <c r="F308" s="42" t="str">
        <f t="shared" ca="1" si="9"/>
        <v/>
      </c>
      <c r="G308" s="31"/>
      <c r="H308" s="43" t="str">
        <f>IFERROR(IF(OR(B308="",E308=""),"",SUMIF(DB_Loans!$B:$B,B308,DB_Loans!$E:$E)+E308),"")</f>
        <v/>
      </c>
      <c r="I308" s="43" t="str">
        <f>IFERROR(IF(OR(B308="",E308=""),"",SUMIF(DB_Loans!$B:$B,B308,DB_Loans!$J:$J)+(E308*0.025)),"")</f>
        <v/>
      </c>
      <c r="J308" s="31"/>
    </row>
    <row r="309" spans="1:10" ht="20.100000000000001" customHeight="1" x14ac:dyDescent="0.25">
      <c r="A309" s="30" t="str">
        <f t="shared" si="8"/>
        <v/>
      </c>
      <c r="B309" s="41"/>
      <c r="C309" s="35" t="str">
        <f>IFERROR(IF(B309="","",VLOOKUP(B309,DB_Customers!$A:$B,2,0)),"")</f>
        <v/>
      </c>
      <c r="D309" s="41"/>
      <c r="E309" s="32"/>
      <c r="F309" s="42" t="str">
        <f t="shared" ca="1" si="9"/>
        <v/>
      </c>
      <c r="G309" s="31"/>
      <c r="H309" s="43" t="str">
        <f>IFERROR(IF(OR(B309="",E309=""),"",SUMIF(DB_Loans!$B:$B,B309,DB_Loans!$E:$E)+E309),"")</f>
        <v/>
      </c>
      <c r="I309" s="43" t="str">
        <f>IFERROR(IF(OR(B309="",E309=""),"",SUMIF(DB_Loans!$B:$B,B309,DB_Loans!$J:$J)+(E309*0.025)),"")</f>
        <v/>
      </c>
      <c r="J309" s="31"/>
    </row>
    <row r="310" spans="1:10" ht="20.100000000000001" customHeight="1" x14ac:dyDescent="0.25">
      <c r="A310" s="30" t="str">
        <f t="shared" si="8"/>
        <v/>
      </c>
      <c r="B310" s="41"/>
      <c r="C310" s="35" t="str">
        <f>IFERROR(IF(B310="","",VLOOKUP(B310,DB_Customers!$A:$B,2,0)),"")</f>
        <v/>
      </c>
      <c r="D310" s="41"/>
      <c r="E310" s="32"/>
      <c r="F310" s="42" t="str">
        <f t="shared" ca="1" si="9"/>
        <v/>
      </c>
      <c r="G310" s="31"/>
      <c r="H310" s="43" t="str">
        <f>IFERROR(IF(OR(B310="",E310=""),"",SUMIF(DB_Loans!$B:$B,B310,DB_Loans!$E:$E)+E310),"")</f>
        <v/>
      </c>
      <c r="I310" s="43" t="str">
        <f>IFERROR(IF(OR(B310="",E310=""),"",SUMIF(DB_Loans!$B:$B,B310,DB_Loans!$J:$J)+(E310*0.025)),"")</f>
        <v/>
      </c>
      <c r="J310" s="31"/>
    </row>
    <row r="311" spans="1:10" ht="20.100000000000001" customHeight="1" x14ac:dyDescent="0.25">
      <c r="A311" s="30" t="str">
        <f t="shared" si="8"/>
        <v/>
      </c>
      <c r="B311" s="41"/>
      <c r="C311" s="35" t="str">
        <f>IFERROR(IF(B311="","",VLOOKUP(B311,DB_Customers!$A:$B,2,0)),"")</f>
        <v/>
      </c>
      <c r="D311" s="41"/>
      <c r="E311" s="32"/>
      <c r="F311" s="42" t="str">
        <f t="shared" ca="1" si="9"/>
        <v/>
      </c>
      <c r="G311" s="31"/>
      <c r="H311" s="43" t="str">
        <f>IFERROR(IF(OR(B311="",E311=""),"",SUMIF(DB_Loans!$B:$B,B311,DB_Loans!$E:$E)+E311),"")</f>
        <v/>
      </c>
      <c r="I311" s="43" t="str">
        <f>IFERROR(IF(OR(B311="",E311=""),"",SUMIF(DB_Loans!$B:$B,B311,DB_Loans!$J:$J)+(E311*0.025)),"")</f>
        <v/>
      </c>
      <c r="J311" s="31"/>
    </row>
    <row r="312" spans="1:10" ht="20.100000000000001" customHeight="1" x14ac:dyDescent="0.25">
      <c r="A312" s="30" t="str">
        <f t="shared" si="8"/>
        <v/>
      </c>
      <c r="B312" s="41"/>
      <c r="C312" s="35" t="str">
        <f>IFERROR(IF(B312="","",VLOOKUP(B312,DB_Customers!$A:$B,2,0)),"")</f>
        <v/>
      </c>
      <c r="D312" s="41"/>
      <c r="E312" s="32"/>
      <c r="F312" s="42" t="str">
        <f t="shared" ca="1" si="9"/>
        <v/>
      </c>
      <c r="G312" s="31"/>
      <c r="H312" s="43" t="str">
        <f>IFERROR(IF(OR(B312="",E312=""),"",SUMIF(DB_Loans!$B:$B,B312,DB_Loans!$E:$E)+E312),"")</f>
        <v/>
      </c>
      <c r="I312" s="43" t="str">
        <f>IFERROR(IF(OR(B312="",E312=""),"",SUMIF(DB_Loans!$B:$B,B312,DB_Loans!$J:$J)+(E312*0.025)),"")</f>
        <v/>
      </c>
      <c r="J312" s="31"/>
    </row>
    <row r="313" spans="1:10" ht="20.100000000000001" customHeight="1" x14ac:dyDescent="0.25">
      <c r="A313" s="30" t="str">
        <f t="shared" si="8"/>
        <v/>
      </c>
      <c r="B313" s="41"/>
      <c r="C313" s="35" t="str">
        <f>IFERROR(IF(B313="","",VLOOKUP(B313,DB_Customers!$A:$B,2,0)),"")</f>
        <v/>
      </c>
      <c r="D313" s="41"/>
      <c r="E313" s="32"/>
      <c r="F313" s="42" t="str">
        <f t="shared" ca="1" si="9"/>
        <v/>
      </c>
      <c r="G313" s="31"/>
      <c r="H313" s="43" t="str">
        <f>IFERROR(IF(OR(B313="",E313=""),"",SUMIF(DB_Loans!$B:$B,B313,DB_Loans!$E:$E)+E313),"")</f>
        <v/>
      </c>
      <c r="I313" s="43" t="str">
        <f>IFERROR(IF(OR(B313="",E313=""),"",SUMIF(DB_Loans!$B:$B,B313,DB_Loans!$J:$J)+(E313*0.025)),"")</f>
        <v/>
      </c>
      <c r="J313" s="31"/>
    </row>
    <row r="314" spans="1:10" ht="20.100000000000001" customHeight="1" x14ac:dyDescent="0.25">
      <c r="A314" s="30" t="str">
        <f t="shared" si="8"/>
        <v/>
      </c>
      <c r="B314" s="41"/>
      <c r="C314" s="35" t="str">
        <f>IFERROR(IF(B314="","",VLOOKUP(B314,DB_Customers!$A:$B,2,0)),"")</f>
        <v/>
      </c>
      <c r="D314" s="41"/>
      <c r="E314" s="32"/>
      <c r="F314" s="42" t="str">
        <f t="shared" ca="1" si="9"/>
        <v/>
      </c>
      <c r="G314" s="31"/>
      <c r="H314" s="43" t="str">
        <f>IFERROR(IF(OR(B314="",E314=""),"",SUMIF(DB_Loans!$B:$B,B314,DB_Loans!$E:$E)+E314),"")</f>
        <v/>
      </c>
      <c r="I314" s="43" t="str">
        <f>IFERROR(IF(OR(B314="",E314=""),"",SUMIF(DB_Loans!$B:$B,B314,DB_Loans!$J:$J)+(E314*0.025)),"")</f>
        <v/>
      </c>
      <c r="J314" s="31"/>
    </row>
    <row r="315" spans="1:10" ht="20.100000000000001" customHeight="1" x14ac:dyDescent="0.25">
      <c r="A315" s="30" t="str">
        <f t="shared" si="8"/>
        <v/>
      </c>
      <c r="B315" s="41"/>
      <c r="C315" s="35" t="str">
        <f>IFERROR(IF(B315="","",VLOOKUP(B315,DB_Customers!$A:$B,2,0)),"")</f>
        <v/>
      </c>
      <c r="D315" s="41"/>
      <c r="E315" s="32"/>
      <c r="F315" s="42" t="str">
        <f t="shared" ca="1" si="9"/>
        <v/>
      </c>
      <c r="G315" s="31"/>
      <c r="H315" s="43" t="str">
        <f>IFERROR(IF(OR(B315="",E315=""),"",SUMIF(DB_Loans!$B:$B,B315,DB_Loans!$E:$E)+E315),"")</f>
        <v/>
      </c>
      <c r="I315" s="43" t="str">
        <f>IFERROR(IF(OR(B315="",E315=""),"",SUMIF(DB_Loans!$B:$B,B315,DB_Loans!$J:$J)+(E315*0.025)),"")</f>
        <v/>
      </c>
      <c r="J315" s="31"/>
    </row>
    <row r="316" spans="1:10" ht="20.100000000000001" customHeight="1" x14ac:dyDescent="0.25">
      <c r="A316" s="30" t="str">
        <f t="shared" si="8"/>
        <v/>
      </c>
      <c r="B316" s="41"/>
      <c r="C316" s="35" t="str">
        <f>IFERROR(IF(B316="","",VLOOKUP(B316,DB_Customers!$A:$B,2,0)),"")</f>
        <v/>
      </c>
      <c r="D316" s="41"/>
      <c r="E316" s="32"/>
      <c r="F316" s="42" t="str">
        <f t="shared" ca="1" si="9"/>
        <v/>
      </c>
      <c r="G316" s="31"/>
      <c r="H316" s="43" t="str">
        <f>IFERROR(IF(OR(B316="",E316=""),"",SUMIF(DB_Loans!$B:$B,B316,DB_Loans!$E:$E)+E316),"")</f>
        <v/>
      </c>
      <c r="I316" s="43" t="str">
        <f>IFERROR(IF(OR(B316="",E316=""),"",SUMIF(DB_Loans!$B:$B,B316,DB_Loans!$J:$J)+(E316*0.025)),"")</f>
        <v/>
      </c>
      <c r="J316" s="31"/>
    </row>
    <row r="317" spans="1:10" ht="20.100000000000001" customHeight="1" x14ac:dyDescent="0.25">
      <c r="A317" s="30" t="str">
        <f t="shared" si="8"/>
        <v/>
      </c>
      <c r="B317" s="41"/>
      <c r="C317" s="35" t="str">
        <f>IFERROR(IF(B317="","",VLOOKUP(B317,DB_Customers!$A:$B,2,0)),"")</f>
        <v/>
      </c>
      <c r="D317" s="41"/>
      <c r="E317" s="32"/>
      <c r="F317" s="42" t="str">
        <f t="shared" ca="1" si="9"/>
        <v/>
      </c>
      <c r="G317" s="31"/>
      <c r="H317" s="43" t="str">
        <f>IFERROR(IF(OR(B317="",E317=""),"",SUMIF(DB_Loans!$B:$B,B317,DB_Loans!$E:$E)+E317),"")</f>
        <v/>
      </c>
      <c r="I317" s="43" t="str">
        <f>IFERROR(IF(OR(B317="",E317=""),"",SUMIF(DB_Loans!$B:$B,B317,DB_Loans!$J:$J)+(E317*0.025)),"")</f>
        <v/>
      </c>
      <c r="J317" s="31"/>
    </row>
    <row r="318" spans="1:10" ht="20.100000000000001" customHeight="1" x14ac:dyDescent="0.25">
      <c r="A318" s="30" t="str">
        <f t="shared" si="8"/>
        <v/>
      </c>
      <c r="B318" s="41"/>
      <c r="C318" s="35" t="str">
        <f>IFERROR(IF(B318="","",VLOOKUP(B318,DB_Customers!$A:$B,2,0)),"")</f>
        <v/>
      </c>
      <c r="D318" s="41"/>
      <c r="E318" s="32"/>
      <c r="F318" s="42" t="str">
        <f t="shared" ca="1" si="9"/>
        <v/>
      </c>
      <c r="G318" s="31"/>
      <c r="H318" s="43" t="str">
        <f>IFERROR(IF(OR(B318="",E318=""),"",SUMIF(DB_Loans!$B:$B,B318,DB_Loans!$E:$E)+E318),"")</f>
        <v/>
      </c>
      <c r="I318" s="43" t="str">
        <f>IFERROR(IF(OR(B318="",E318=""),"",SUMIF(DB_Loans!$B:$B,B318,DB_Loans!$J:$J)+(E318*0.025)),"")</f>
        <v/>
      </c>
      <c r="J318" s="31"/>
    </row>
    <row r="319" spans="1:10" ht="20.100000000000001" customHeight="1" x14ac:dyDescent="0.25">
      <c r="A319" s="30" t="str">
        <f t="shared" si="8"/>
        <v/>
      </c>
      <c r="B319" s="41"/>
      <c r="C319" s="35" t="str">
        <f>IFERROR(IF(B319="","",VLOOKUP(B319,DB_Customers!$A:$B,2,0)),"")</f>
        <v/>
      </c>
      <c r="D319" s="41"/>
      <c r="E319" s="32"/>
      <c r="F319" s="42" t="str">
        <f t="shared" ca="1" si="9"/>
        <v/>
      </c>
      <c r="G319" s="31"/>
      <c r="H319" s="43" t="str">
        <f>IFERROR(IF(OR(B319="",E319=""),"",SUMIF(DB_Loans!$B:$B,B319,DB_Loans!$E:$E)+E319),"")</f>
        <v/>
      </c>
      <c r="I319" s="43" t="str">
        <f>IFERROR(IF(OR(B319="",E319=""),"",SUMIF(DB_Loans!$B:$B,B319,DB_Loans!$J:$J)+(E319*0.025)),"")</f>
        <v/>
      </c>
      <c r="J319" s="31"/>
    </row>
    <row r="320" spans="1:10" ht="20.100000000000001" customHeight="1" x14ac:dyDescent="0.25">
      <c r="A320" s="30" t="str">
        <f t="shared" si="8"/>
        <v/>
      </c>
      <c r="B320" s="41"/>
      <c r="C320" s="35" t="str">
        <f>IFERROR(IF(B320="","",VLOOKUP(B320,DB_Customers!$A:$B,2,0)),"")</f>
        <v/>
      </c>
      <c r="D320" s="41"/>
      <c r="E320" s="32"/>
      <c r="F320" s="42" t="str">
        <f t="shared" ca="1" si="9"/>
        <v/>
      </c>
      <c r="G320" s="31"/>
      <c r="H320" s="43" t="str">
        <f>IFERROR(IF(OR(B320="",E320=""),"",SUMIF(DB_Loans!$B:$B,B320,DB_Loans!$E:$E)+E320),"")</f>
        <v/>
      </c>
      <c r="I320" s="43" t="str">
        <f>IFERROR(IF(OR(B320="",E320=""),"",SUMIF(DB_Loans!$B:$B,B320,DB_Loans!$J:$J)+(E320*0.025)),"")</f>
        <v/>
      </c>
      <c r="J320" s="31"/>
    </row>
    <row r="321" spans="1:10" ht="20.100000000000001" customHeight="1" x14ac:dyDescent="0.25">
      <c r="A321" s="30" t="str">
        <f t="shared" si="8"/>
        <v/>
      </c>
      <c r="B321" s="41"/>
      <c r="C321" s="35" t="str">
        <f>IFERROR(IF(B321="","",VLOOKUP(B321,DB_Customers!$A:$B,2,0)),"")</f>
        <v/>
      </c>
      <c r="D321" s="41"/>
      <c r="E321" s="32"/>
      <c r="F321" s="42" t="str">
        <f t="shared" ca="1" si="9"/>
        <v/>
      </c>
      <c r="G321" s="31"/>
      <c r="H321" s="43" t="str">
        <f>IFERROR(IF(OR(B321="",E321=""),"",SUMIF(DB_Loans!$B:$B,B321,DB_Loans!$E:$E)+E321),"")</f>
        <v/>
      </c>
      <c r="I321" s="43" t="str">
        <f>IFERROR(IF(OR(B321="",E321=""),"",SUMIF(DB_Loans!$B:$B,B321,DB_Loans!$J:$J)+(E321*0.025)),"")</f>
        <v/>
      </c>
      <c r="J321" s="31"/>
    </row>
    <row r="322" spans="1:10" ht="20.100000000000001" customHeight="1" x14ac:dyDescent="0.25">
      <c r="A322" s="30" t="str">
        <f t="shared" si="8"/>
        <v/>
      </c>
      <c r="B322" s="41"/>
      <c r="C322" s="35" t="str">
        <f>IFERROR(IF(B322="","",VLOOKUP(B322,DB_Customers!$A:$B,2,0)),"")</f>
        <v/>
      </c>
      <c r="D322" s="41"/>
      <c r="E322" s="32"/>
      <c r="F322" s="42" t="str">
        <f t="shared" ca="1" si="9"/>
        <v/>
      </c>
      <c r="G322" s="31"/>
      <c r="H322" s="43" t="str">
        <f>IFERROR(IF(OR(B322="",E322=""),"",SUMIF(DB_Loans!$B:$B,B322,DB_Loans!$E:$E)+E322),"")</f>
        <v/>
      </c>
      <c r="I322" s="43" t="str">
        <f>IFERROR(IF(OR(B322="",E322=""),"",SUMIF(DB_Loans!$B:$B,B322,DB_Loans!$J:$J)+(E322*0.025)),"")</f>
        <v/>
      </c>
      <c r="J322" s="31"/>
    </row>
    <row r="323" spans="1:10" ht="20.100000000000001" customHeight="1" x14ac:dyDescent="0.25">
      <c r="A323" s="30" t="str">
        <f t="shared" si="8"/>
        <v/>
      </c>
      <c r="B323" s="41"/>
      <c r="C323" s="35" t="str">
        <f>IFERROR(IF(B323="","",VLOOKUP(B323,DB_Customers!$A:$B,2,0)),"")</f>
        <v/>
      </c>
      <c r="D323" s="41"/>
      <c r="E323" s="32"/>
      <c r="F323" s="42" t="str">
        <f t="shared" ca="1" si="9"/>
        <v/>
      </c>
      <c r="G323" s="31"/>
      <c r="H323" s="43" t="str">
        <f>IFERROR(IF(OR(B323="",E323=""),"",SUMIF(DB_Loans!$B:$B,B323,DB_Loans!$E:$E)+E323),"")</f>
        <v/>
      </c>
      <c r="I323" s="43" t="str">
        <f>IFERROR(IF(OR(B323="",E323=""),"",SUMIF(DB_Loans!$B:$B,B323,DB_Loans!$J:$J)+(E323*0.025)),"")</f>
        <v/>
      </c>
      <c r="J323" s="31"/>
    </row>
    <row r="324" spans="1:10" ht="20.100000000000001" customHeight="1" x14ac:dyDescent="0.25">
      <c r="A324" s="30" t="str">
        <f t="shared" si="8"/>
        <v/>
      </c>
      <c r="B324" s="41"/>
      <c r="C324" s="35" t="str">
        <f>IFERROR(IF(B324="","",VLOOKUP(B324,DB_Customers!$A:$B,2,0)),"")</f>
        <v/>
      </c>
      <c r="D324" s="41"/>
      <c r="E324" s="32"/>
      <c r="F324" s="42" t="str">
        <f t="shared" ca="1" si="9"/>
        <v/>
      </c>
      <c r="G324" s="31"/>
      <c r="H324" s="43" t="str">
        <f>IFERROR(IF(OR(B324="",E324=""),"",SUMIF(DB_Loans!$B:$B,B324,DB_Loans!$E:$E)+E324),"")</f>
        <v/>
      </c>
      <c r="I324" s="43" t="str">
        <f>IFERROR(IF(OR(B324="",E324=""),"",SUMIF(DB_Loans!$B:$B,B324,DB_Loans!$J:$J)+(E324*0.025)),"")</f>
        <v/>
      </c>
      <c r="J324" s="31"/>
    </row>
    <row r="325" spans="1:10" ht="20.100000000000001" customHeight="1" x14ac:dyDescent="0.25">
      <c r="A325" s="30" t="str">
        <f t="shared" ref="A325:A388" si="10">IF(B325="","","TU"&amp;TEXT(ROW()-4,"0000"))</f>
        <v/>
      </c>
      <c r="B325" s="41"/>
      <c r="C325" s="35" t="str">
        <f>IFERROR(IF(B325="","",VLOOKUP(B325,DB_Customers!$A:$B,2,0)),"")</f>
        <v/>
      </c>
      <c r="D325" s="41"/>
      <c r="E325" s="32"/>
      <c r="F325" s="42" t="str">
        <f t="shared" ref="F325:F388" ca="1" si="11">IF(B325="","",TODAY())</f>
        <v/>
      </c>
      <c r="G325" s="31"/>
      <c r="H325" s="43" t="str">
        <f>IFERROR(IF(OR(B325="",E325=""),"",SUMIF(DB_Loans!$B:$B,B325,DB_Loans!$E:$E)+E325),"")</f>
        <v/>
      </c>
      <c r="I325" s="43" t="str">
        <f>IFERROR(IF(OR(B325="",E325=""),"",SUMIF(DB_Loans!$B:$B,B325,DB_Loans!$J:$J)+(E325*0.025)),"")</f>
        <v/>
      </c>
      <c r="J325" s="31"/>
    </row>
    <row r="326" spans="1:10" ht="20.100000000000001" customHeight="1" x14ac:dyDescent="0.25">
      <c r="A326" s="30" t="str">
        <f t="shared" si="10"/>
        <v/>
      </c>
      <c r="B326" s="41"/>
      <c r="C326" s="35" t="str">
        <f>IFERROR(IF(B326="","",VLOOKUP(B326,DB_Customers!$A:$B,2,0)),"")</f>
        <v/>
      </c>
      <c r="D326" s="41"/>
      <c r="E326" s="32"/>
      <c r="F326" s="42" t="str">
        <f t="shared" ca="1" si="11"/>
        <v/>
      </c>
      <c r="G326" s="31"/>
      <c r="H326" s="43" t="str">
        <f>IFERROR(IF(OR(B326="",E326=""),"",SUMIF(DB_Loans!$B:$B,B326,DB_Loans!$E:$E)+E326),"")</f>
        <v/>
      </c>
      <c r="I326" s="43" t="str">
        <f>IFERROR(IF(OR(B326="",E326=""),"",SUMIF(DB_Loans!$B:$B,B326,DB_Loans!$J:$J)+(E326*0.025)),"")</f>
        <v/>
      </c>
      <c r="J326" s="31"/>
    </row>
    <row r="327" spans="1:10" ht="20.100000000000001" customHeight="1" x14ac:dyDescent="0.25">
      <c r="A327" s="30" t="str">
        <f t="shared" si="10"/>
        <v/>
      </c>
      <c r="B327" s="41"/>
      <c r="C327" s="35" t="str">
        <f>IFERROR(IF(B327="","",VLOOKUP(B327,DB_Customers!$A:$B,2,0)),"")</f>
        <v/>
      </c>
      <c r="D327" s="41"/>
      <c r="E327" s="32"/>
      <c r="F327" s="42" t="str">
        <f t="shared" ca="1" si="11"/>
        <v/>
      </c>
      <c r="G327" s="31"/>
      <c r="H327" s="43" t="str">
        <f>IFERROR(IF(OR(B327="",E327=""),"",SUMIF(DB_Loans!$B:$B,B327,DB_Loans!$E:$E)+E327),"")</f>
        <v/>
      </c>
      <c r="I327" s="43" t="str">
        <f>IFERROR(IF(OR(B327="",E327=""),"",SUMIF(DB_Loans!$B:$B,B327,DB_Loans!$J:$J)+(E327*0.025)),"")</f>
        <v/>
      </c>
      <c r="J327" s="31"/>
    </row>
    <row r="328" spans="1:10" ht="20.100000000000001" customHeight="1" x14ac:dyDescent="0.25">
      <c r="A328" s="30" t="str">
        <f t="shared" si="10"/>
        <v/>
      </c>
      <c r="B328" s="41"/>
      <c r="C328" s="35" t="str">
        <f>IFERROR(IF(B328="","",VLOOKUP(B328,DB_Customers!$A:$B,2,0)),"")</f>
        <v/>
      </c>
      <c r="D328" s="41"/>
      <c r="E328" s="32"/>
      <c r="F328" s="42" t="str">
        <f t="shared" ca="1" si="11"/>
        <v/>
      </c>
      <c r="G328" s="31"/>
      <c r="H328" s="43" t="str">
        <f>IFERROR(IF(OR(B328="",E328=""),"",SUMIF(DB_Loans!$B:$B,B328,DB_Loans!$E:$E)+E328),"")</f>
        <v/>
      </c>
      <c r="I328" s="43" t="str">
        <f>IFERROR(IF(OR(B328="",E328=""),"",SUMIF(DB_Loans!$B:$B,B328,DB_Loans!$J:$J)+(E328*0.025)),"")</f>
        <v/>
      </c>
      <c r="J328" s="31"/>
    </row>
    <row r="329" spans="1:10" ht="20.100000000000001" customHeight="1" x14ac:dyDescent="0.25">
      <c r="A329" s="30" t="str">
        <f t="shared" si="10"/>
        <v/>
      </c>
      <c r="B329" s="41"/>
      <c r="C329" s="35" t="str">
        <f>IFERROR(IF(B329="","",VLOOKUP(B329,DB_Customers!$A:$B,2,0)),"")</f>
        <v/>
      </c>
      <c r="D329" s="41"/>
      <c r="E329" s="32"/>
      <c r="F329" s="42" t="str">
        <f t="shared" ca="1" si="11"/>
        <v/>
      </c>
      <c r="G329" s="31"/>
      <c r="H329" s="43" t="str">
        <f>IFERROR(IF(OR(B329="",E329=""),"",SUMIF(DB_Loans!$B:$B,B329,DB_Loans!$E:$E)+E329),"")</f>
        <v/>
      </c>
      <c r="I329" s="43" t="str">
        <f>IFERROR(IF(OR(B329="",E329=""),"",SUMIF(DB_Loans!$B:$B,B329,DB_Loans!$J:$J)+(E329*0.025)),"")</f>
        <v/>
      </c>
      <c r="J329" s="31"/>
    </row>
    <row r="330" spans="1:10" ht="20.100000000000001" customHeight="1" x14ac:dyDescent="0.25">
      <c r="A330" s="30" t="str">
        <f t="shared" si="10"/>
        <v/>
      </c>
      <c r="B330" s="41"/>
      <c r="C330" s="35" t="str">
        <f>IFERROR(IF(B330="","",VLOOKUP(B330,DB_Customers!$A:$B,2,0)),"")</f>
        <v/>
      </c>
      <c r="D330" s="41"/>
      <c r="E330" s="32"/>
      <c r="F330" s="42" t="str">
        <f t="shared" ca="1" si="11"/>
        <v/>
      </c>
      <c r="G330" s="31"/>
      <c r="H330" s="43" t="str">
        <f>IFERROR(IF(OR(B330="",E330=""),"",SUMIF(DB_Loans!$B:$B,B330,DB_Loans!$E:$E)+E330),"")</f>
        <v/>
      </c>
      <c r="I330" s="43" t="str">
        <f>IFERROR(IF(OR(B330="",E330=""),"",SUMIF(DB_Loans!$B:$B,B330,DB_Loans!$J:$J)+(E330*0.025)),"")</f>
        <v/>
      </c>
      <c r="J330" s="31"/>
    </row>
    <row r="331" spans="1:10" ht="20.100000000000001" customHeight="1" x14ac:dyDescent="0.25">
      <c r="A331" s="30" t="str">
        <f t="shared" si="10"/>
        <v/>
      </c>
      <c r="B331" s="41"/>
      <c r="C331" s="35" t="str">
        <f>IFERROR(IF(B331="","",VLOOKUP(B331,DB_Customers!$A:$B,2,0)),"")</f>
        <v/>
      </c>
      <c r="D331" s="41"/>
      <c r="E331" s="32"/>
      <c r="F331" s="42" t="str">
        <f t="shared" ca="1" si="11"/>
        <v/>
      </c>
      <c r="G331" s="31"/>
      <c r="H331" s="43" t="str">
        <f>IFERROR(IF(OR(B331="",E331=""),"",SUMIF(DB_Loans!$B:$B,B331,DB_Loans!$E:$E)+E331),"")</f>
        <v/>
      </c>
      <c r="I331" s="43" t="str">
        <f>IFERROR(IF(OR(B331="",E331=""),"",SUMIF(DB_Loans!$B:$B,B331,DB_Loans!$J:$J)+(E331*0.025)),"")</f>
        <v/>
      </c>
      <c r="J331" s="31"/>
    </row>
    <row r="332" spans="1:10" ht="20.100000000000001" customHeight="1" x14ac:dyDescent="0.25">
      <c r="A332" s="30" t="str">
        <f t="shared" si="10"/>
        <v/>
      </c>
      <c r="B332" s="41"/>
      <c r="C332" s="35" t="str">
        <f>IFERROR(IF(B332="","",VLOOKUP(B332,DB_Customers!$A:$B,2,0)),"")</f>
        <v/>
      </c>
      <c r="D332" s="41"/>
      <c r="E332" s="32"/>
      <c r="F332" s="42" t="str">
        <f t="shared" ca="1" si="11"/>
        <v/>
      </c>
      <c r="G332" s="31"/>
      <c r="H332" s="43" t="str">
        <f>IFERROR(IF(OR(B332="",E332=""),"",SUMIF(DB_Loans!$B:$B,B332,DB_Loans!$E:$E)+E332),"")</f>
        <v/>
      </c>
      <c r="I332" s="43" t="str">
        <f>IFERROR(IF(OR(B332="",E332=""),"",SUMIF(DB_Loans!$B:$B,B332,DB_Loans!$J:$J)+(E332*0.025)),"")</f>
        <v/>
      </c>
      <c r="J332" s="31"/>
    </row>
    <row r="333" spans="1:10" ht="20.100000000000001" customHeight="1" x14ac:dyDescent="0.25">
      <c r="A333" s="30" t="str">
        <f t="shared" si="10"/>
        <v/>
      </c>
      <c r="B333" s="41"/>
      <c r="C333" s="35" t="str">
        <f>IFERROR(IF(B333="","",VLOOKUP(B333,DB_Customers!$A:$B,2,0)),"")</f>
        <v/>
      </c>
      <c r="D333" s="41"/>
      <c r="E333" s="32"/>
      <c r="F333" s="42" t="str">
        <f t="shared" ca="1" si="11"/>
        <v/>
      </c>
      <c r="G333" s="31"/>
      <c r="H333" s="43" t="str">
        <f>IFERROR(IF(OR(B333="",E333=""),"",SUMIF(DB_Loans!$B:$B,B333,DB_Loans!$E:$E)+E333),"")</f>
        <v/>
      </c>
      <c r="I333" s="43" t="str">
        <f>IFERROR(IF(OR(B333="",E333=""),"",SUMIF(DB_Loans!$B:$B,B333,DB_Loans!$J:$J)+(E333*0.025)),"")</f>
        <v/>
      </c>
      <c r="J333" s="31"/>
    </row>
    <row r="334" spans="1:10" ht="20.100000000000001" customHeight="1" x14ac:dyDescent="0.25">
      <c r="A334" s="30" t="str">
        <f t="shared" si="10"/>
        <v/>
      </c>
      <c r="B334" s="41"/>
      <c r="C334" s="35" t="str">
        <f>IFERROR(IF(B334="","",VLOOKUP(B334,DB_Customers!$A:$B,2,0)),"")</f>
        <v/>
      </c>
      <c r="D334" s="41"/>
      <c r="E334" s="32"/>
      <c r="F334" s="42" t="str">
        <f t="shared" ca="1" si="11"/>
        <v/>
      </c>
      <c r="G334" s="31"/>
      <c r="H334" s="43" t="str">
        <f>IFERROR(IF(OR(B334="",E334=""),"",SUMIF(DB_Loans!$B:$B,B334,DB_Loans!$E:$E)+E334),"")</f>
        <v/>
      </c>
      <c r="I334" s="43" t="str">
        <f>IFERROR(IF(OR(B334="",E334=""),"",SUMIF(DB_Loans!$B:$B,B334,DB_Loans!$J:$J)+(E334*0.025)),"")</f>
        <v/>
      </c>
      <c r="J334" s="31"/>
    </row>
    <row r="335" spans="1:10" ht="20.100000000000001" customHeight="1" x14ac:dyDescent="0.25">
      <c r="A335" s="30" t="str">
        <f t="shared" si="10"/>
        <v/>
      </c>
      <c r="B335" s="41"/>
      <c r="C335" s="35" t="str">
        <f>IFERROR(IF(B335="","",VLOOKUP(B335,DB_Customers!$A:$B,2,0)),"")</f>
        <v/>
      </c>
      <c r="D335" s="41"/>
      <c r="E335" s="32"/>
      <c r="F335" s="42" t="str">
        <f t="shared" ca="1" si="11"/>
        <v/>
      </c>
      <c r="G335" s="31"/>
      <c r="H335" s="43" t="str">
        <f>IFERROR(IF(OR(B335="",E335=""),"",SUMIF(DB_Loans!$B:$B,B335,DB_Loans!$E:$E)+E335),"")</f>
        <v/>
      </c>
      <c r="I335" s="43" t="str">
        <f>IFERROR(IF(OR(B335="",E335=""),"",SUMIF(DB_Loans!$B:$B,B335,DB_Loans!$J:$J)+(E335*0.025)),"")</f>
        <v/>
      </c>
      <c r="J335" s="31"/>
    </row>
    <row r="336" spans="1:10" ht="20.100000000000001" customHeight="1" x14ac:dyDescent="0.25">
      <c r="A336" s="30" t="str">
        <f t="shared" si="10"/>
        <v/>
      </c>
      <c r="B336" s="41"/>
      <c r="C336" s="35" t="str">
        <f>IFERROR(IF(B336="","",VLOOKUP(B336,DB_Customers!$A:$B,2,0)),"")</f>
        <v/>
      </c>
      <c r="D336" s="41"/>
      <c r="E336" s="32"/>
      <c r="F336" s="42" t="str">
        <f t="shared" ca="1" si="11"/>
        <v/>
      </c>
      <c r="G336" s="31"/>
      <c r="H336" s="43" t="str">
        <f>IFERROR(IF(OR(B336="",E336=""),"",SUMIF(DB_Loans!$B:$B,B336,DB_Loans!$E:$E)+E336),"")</f>
        <v/>
      </c>
      <c r="I336" s="43" t="str">
        <f>IFERROR(IF(OR(B336="",E336=""),"",SUMIF(DB_Loans!$B:$B,B336,DB_Loans!$J:$J)+(E336*0.025)),"")</f>
        <v/>
      </c>
      <c r="J336" s="31"/>
    </row>
    <row r="337" spans="1:10" ht="20.100000000000001" customHeight="1" x14ac:dyDescent="0.25">
      <c r="A337" s="30" t="str">
        <f t="shared" si="10"/>
        <v/>
      </c>
      <c r="B337" s="41"/>
      <c r="C337" s="35" t="str">
        <f>IFERROR(IF(B337="","",VLOOKUP(B337,DB_Customers!$A:$B,2,0)),"")</f>
        <v/>
      </c>
      <c r="D337" s="41"/>
      <c r="E337" s="32"/>
      <c r="F337" s="42" t="str">
        <f t="shared" ca="1" si="11"/>
        <v/>
      </c>
      <c r="G337" s="31"/>
      <c r="H337" s="43" t="str">
        <f>IFERROR(IF(OR(B337="",E337=""),"",SUMIF(DB_Loans!$B:$B,B337,DB_Loans!$E:$E)+E337),"")</f>
        <v/>
      </c>
      <c r="I337" s="43" t="str">
        <f>IFERROR(IF(OR(B337="",E337=""),"",SUMIF(DB_Loans!$B:$B,B337,DB_Loans!$J:$J)+(E337*0.025)),"")</f>
        <v/>
      </c>
      <c r="J337" s="31"/>
    </row>
    <row r="338" spans="1:10" ht="20.100000000000001" customHeight="1" x14ac:dyDescent="0.25">
      <c r="A338" s="30" t="str">
        <f t="shared" si="10"/>
        <v/>
      </c>
      <c r="B338" s="41"/>
      <c r="C338" s="35" t="str">
        <f>IFERROR(IF(B338="","",VLOOKUP(B338,DB_Customers!$A:$B,2,0)),"")</f>
        <v/>
      </c>
      <c r="D338" s="41"/>
      <c r="E338" s="32"/>
      <c r="F338" s="42" t="str">
        <f t="shared" ca="1" si="11"/>
        <v/>
      </c>
      <c r="G338" s="31"/>
      <c r="H338" s="43" t="str">
        <f>IFERROR(IF(OR(B338="",E338=""),"",SUMIF(DB_Loans!$B:$B,B338,DB_Loans!$E:$E)+E338),"")</f>
        <v/>
      </c>
      <c r="I338" s="43" t="str">
        <f>IFERROR(IF(OR(B338="",E338=""),"",SUMIF(DB_Loans!$B:$B,B338,DB_Loans!$J:$J)+(E338*0.025)),"")</f>
        <v/>
      </c>
      <c r="J338" s="31"/>
    </row>
    <row r="339" spans="1:10" ht="20.100000000000001" customHeight="1" x14ac:dyDescent="0.25">
      <c r="A339" s="30" t="str">
        <f t="shared" si="10"/>
        <v/>
      </c>
      <c r="B339" s="41"/>
      <c r="C339" s="35" t="str">
        <f>IFERROR(IF(B339="","",VLOOKUP(B339,DB_Customers!$A:$B,2,0)),"")</f>
        <v/>
      </c>
      <c r="D339" s="41"/>
      <c r="E339" s="32"/>
      <c r="F339" s="42" t="str">
        <f t="shared" ca="1" si="11"/>
        <v/>
      </c>
      <c r="G339" s="31"/>
      <c r="H339" s="43" t="str">
        <f>IFERROR(IF(OR(B339="",E339=""),"",SUMIF(DB_Loans!$B:$B,B339,DB_Loans!$E:$E)+E339),"")</f>
        <v/>
      </c>
      <c r="I339" s="43" t="str">
        <f>IFERROR(IF(OR(B339="",E339=""),"",SUMIF(DB_Loans!$B:$B,B339,DB_Loans!$J:$J)+(E339*0.025)),"")</f>
        <v/>
      </c>
      <c r="J339" s="31"/>
    </row>
    <row r="340" spans="1:10" ht="20.100000000000001" customHeight="1" x14ac:dyDescent="0.25">
      <c r="A340" s="30" t="str">
        <f t="shared" si="10"/>
        <v/>
      </c>
      <c r="B340" s="41"/>
      <c r="C340" s="35" t="str">
        <f>IFERROR(IF(B340="","",VLOOKUP(B340,DB_Customers!$A:$B,2,0)),"")</f>
        <v/>
      </c>
      <c r="D340" s="41"/>
      <c r="E340" s="32"/>
      <c r="F340" s="42" t="str">
        <f t="shared" ca="1" si="11"/>
        <v/>
      </c>
      <c r="G340" s="31"/>
      <c r="H340" s="43" t="str">
        <f>IFERROR(IF(OR(B340="",E340=""),"",SUMIF(DB_Loans!$B:$B,B340,DB_Loans!$E:$E)+E340),"")</f>
        <v/>
      </c>
      <c r="I340" s="43" t="str">
        <f>IFERROR(IF(OR(B340="",E340=""),"",SUMIF(DB_Loans!$B:$B,B340,DB_Loans!$J:$J)+(E340*0.025)),"")</f>
        <v/>
      </c>
      <c r="J340" s="31"/>
    </row>
    <row r="341" spans="1:10" ht="20.100000000000001" customHeight="1" x14ac:dyDescent="0.25">
      <c r="A341" s="30" t="str">
        <f t="shared" si="10"/>
        <v/>
      </c>
      <c r="B341" s="41"/>
      <c r="C341" s="35" t="str">
        <f>IFERROR(IF(B341="","",VLOOKUP(B341,DB_Customers!$A:$B,2,0)),"")</f>
        <v/>
      </c>
      <c r="D341" s="41"/>
      <c r="E341" s="32"/>
      <c r="F341" s="42" t="str">
        <f t="shared" ca="1" si="11"/>
        <v/>
      </c>
      <c r="G341" s="31"/>
      <c r="H341" s="43" t="str">
        <f>IFERROR(IF(OR(B341="",E341=""),"",SUMIF(DB_Loans!$B:$B,B341,DB_Loans!$E:$E)+E341),"")</f>
        <v/>
      </c>
      <c r="I341" s="43" t="str">
        <f>IFERROR(IF(OR(B341="",E341=""),"",SUMIF(DB_Loans!$B:$B,B341,DB_Loans!$J:$J)+(E341*0.025)),"")</f>
        <v/>
      </c>
      <c r="J341" s="31"/>
    </row>
    <row r="342" spans="1:10" ht="20.100000000000001" customHeight="1" x14ac:dyDescent="0.25">
      <c r="A342" s="30" t="str">
        <f t="shared" si="10"/>
        <v/>
      </c>
      <c r="B342" s="41"/>
      <c r="C342" s="35" t="str">
        <f>IFERROR(IF(B342="","",VLOOKUP(B342,DB_Customers!$A:$B,2,0)),"")</f>
        <v/>
      </c>
      <c r="D342" s="41"/>
      <c r="E342" s="32"/>
      <c r="F342" s="42" t="str">
        <f t="shared" ca="1" si="11"/>
        <v/>
      </c>
      <c r="G342" s="31"/>
      <c r="H342" s="43" t="str">
        <f>IFERROR(IF(OR(B342="",E342=""),"",SUMIF(DB_Loans!$B:$B,B342,DB_Loans!$E:$E)+E342),"")</f>
        <v/>
      </c>
      <c r="I342" s="43" t="str">
        <f>IFERROR(IF(OR(B342="",E342=""),"",SUMIF(DB_Loans!$B:$B,B342,DB_Loans!$J:$J)+(E342*0.025)),"")</f>
        <v/>
      </c>
      <c r="J342" s="31"/>
    </row>
    <row r="343" spans="1:10" ht="20.100000000000001" customHeight="1" x14ac:dyDescent="0.25">
      <c r="A343" s="30" t="str">
        <f t="shared" si="10"/>
        <v/>
      </c>
      <c r="B343" s="41"/>
      <c r="C343" s="35" t="str">
        <f>IFERROR(IF(B343="","",VLOOKUP(B343,DB_Customers!$A:$B,2,0)),"")</f>
        <v/>
      </c>
      <c r="D343" s="41"/>
      <c r="E343" s="32"/>
      <c r="F343" s="42" t="str">
        <f t="shared" ca="1" si="11"/>
        <v/>
      </c>
      <c r="G343" s="31"/>
      <c r="H343" s="43" t="str">
        <f>IFERROR(IF(OR(B343="",E343=""),"",SUMIF(DB_Loans!$B:$B,B343,DB_Loans!$E:$E)+E343),"")</f>
        <v/>
      </c>
      <c r="I343" s="43" t="str">
        <f>IFERROR(IF(OR(B343="",E343=""),"",SUMIF(DB_Loans!$B:$B,B343,DB_Loans!$J:$J)+(E343*0.025)),"")</f>
        <v/>
      </c>
      <c r="J343" s="31"/>
    </row>
    <row r="344" spans="1:10" ht="20.100000000000001" customHeight="1" x14ac:dyDescent="0.25">
      <c r="A344" s="30" t="str">
        <f t="shared" si="10"/>
        <v/>
      </c>
      <c r="B344" s="41"/>
      <c r="C344" s="35" t="str">
        <f>IFERROR(IF(B344="","",VLOOKUP(B344,DB_Customers!$A:$B,2,0)),"")</f>
        <v/>
      </c>
      <c r="D344" s="41"/>
      <c r="E344" s="32"/>
      <c r="F344" s="42" t="str">
        <f t="shared" ca="1" si="11"/>
        <v/>
      </c>
      <c r="G344" s="31"/>
      <c r="H344" s="43" t="str">
        <f>IFERROR(IF(OR(B344="",E344=""),"",SUMIF(DB_Loans!$B:$B,B344,DB_Loans!$E:$E)+E344),"")</f>
        <v/>
      </c>
      <c r="I344" s="43" t="str">
        <f>IFERROR(IF(OR(B344="",E344=""),"",SUMIF(DB_Loans!$B:$B,B344,DB_Loans!$J:$J)+(E344*0.025)),"")</f>
        <v/>
      </c>
      <c r="J344" s="31"/>
    </row>
    <row r="345" spans="1:10" ht="20.100000000000001" customHeight="1" x14ac:dyDescent="0.25">
      <c r="A345" s="30" t="str">
        <f t="shared" si="10"/>
        <v/>
      </c>
      <c r="B345" s="41"/>
      <c r="C345" s="35" t="str">
        <f>IFERROR(IF(B345="","",VLOOKUP(B345,DB_Customers!$A:$B,2,0)),"")</f>
        <v/>
      </c>
      <c r="D345" s="41"/>
      <c r="E345" s="32"/>
      <c r="F345" s="42" t="str">
        <f t="shared" ca="1" si="11"/>
        <v/>
      </c>
      <c r="G345" s="31"/>
      <c r="H345" s="43" t="str">
        <f>IFERROR(IF(OR(B345="",E345=""),"",SUMIF(DB_Loans!$B:$B,B345,DB_Loans!$E:$E)+E345),"")</f>
        <v/>
      </c>
      <c r="I345" s="43" t="str">
        <f>IFERROR(IF(OR(B345="",E345=""),"",SUMIF(DB_Loans!$B:$B,B345,DB_Loans!$J:$J)+(E345*0.025)),"")</f>
        <v/>
      </c>
      <c r="J345" s="31"/>
    </row>
    <row r="346" spans="1:10" ht="20.100000000000001" customHeight="1" x14ac:dyDescent="0.25">
      <c r="A346" s="30" t="str">
        <f t="shared" si="10"/>
        <v/>
      </c>
      <c r="B346" s="41"/>
      <c r="C346" s="35" t="str">
        <f>IFERROR(IF(B346="","",VLOOKUP(B346,DB_Customers!$A:$B,2,0)),"")</f>
        <v/>
      </c>
      <c r="D346" s="41"/>
      <c r="E346" s="32"/>
      <c r="F346" s="42" t="str">
        <f t="shared" ca="1" si="11"/>
        <v/>
      </c>
      <c r="G346" s="31"/>
      <c r="H346" s="43" t="str">
        <f>IFERROR(IF(OR(B346="",E346=""),"",SUMIF(DB_Loans!$B:$B,B346,DB_Loans!$E:$E)+E346),"")</f>
        <v/>
      </c>
      <c r="I346" s="43" t="str">
        <f>IFERROR(IF(OR(B346="",E346=""),"",SUMIF(DB_Loans!$B:$B,B346,DB_Loans!$J:$J)+(E346*0.025)),"")</f>
        <v/>
      </c>
      <c r="J346" s="31"/>
    </row>
    <row r="347" spans="1:10" ht="20.100000000000001" customHeight="1" x14ac:dyDescent="0.25">
      <c r="A347" s="30" t="str">
        <f t="shared" si="10"/>
        <v/>
      </c>
      <c r="B347" s="41"/>
      <c r="C347" s="35" t="str">
        <f>IFERROR(IF(B347="","",VLOOKUP(B347,DB_Customers!$A:$B,2,0)),"")</f>
        <v/>
      </c>
      <c r="D347" s="41"/>
      <c r="E347" s="32"/>
      <c r="F347" s="42" t="str">
        <f t="shared" ca="1" si="11"/>
        <v/>
      </c>
      <c r="G347" s="31"/>
      <c r="H347" s="43" t="str">
        <f>IFERROR(IF(OR(B347="",E347=""),"",SUMIF(DB_Loans!$B:$B,B347,DB_Loans!$E:$E)+E347),"")</f>
        <v/>
      </c>
      <c r="I347" s="43" t="str">
        <f>IFERROR(IF(OR(B347="",E347=""),"",SUMIF(DB_Loans!$B:$B,B347,DB_Loans!$J:$J)+(E347*0.025)),"")</f>
        <v/>
      </c>
      <c r="J347" s="31"/>
    </row>
    <row r="348" spans="1:10" ht="20.100000000000001" customHeight="1" x14ac:dyDescent="0.25">
      <c r="A348" s="30" t="str">
        <f t="shared" si="10"/>
        <v/>
      </c>
      <c r="B348" s="41"/>
      <c r="C348" s="35" t="str">
        <f>IFERROR(IF(B348="","",VLOOKUP(B348,DB_Customers!$A:$B,2,0)),"")</f>
        <v/>
      </c>
      <c r="D348" s="41"/>
      <c r="E348" s="32"/>
      <c r="F348" s="42" t="str">
        <f t="shared" ca="1" si="11"/>
        <v/>
      </c>
      <c r="G348" s="31"/>
      <c r="H348" s="43" t="str">
        <f>IFERROR(IF(OR(B348="",E348=""),"",SUMIF(DB_Loans!$B:$B,B348,DB_Loans!$E:$E)+E348),"")</f>
        <v/>
      </c>
      <c r="I348" s="43" t="str">
        <f>IFERROR(IF(OR(B348="",E348=""),"",SUMIF(DB_Loans!$B:$B,B348,DB_Loans!$J:$J)+(E348*0.025)),"")</f>
        <v/>
      </c>
      <c r="J348" s="31"/>
    </row>
    <row r="349" spans="1:10" ht="20.100000000000001" customHeight="1" x14ac:dyDescent="0.25">
      <c r="A349" s="30" t="str">
        <f t="shared" si="10"/>
        <v/>
      </c>
      <c r="B349" s="41"/>
      <c r="C349" s="35" t="str">
        <f>IFERROR(IF(B349="","",VLOOKUP(B349,DB_Customers!$A:$B,2,0)),"")</f>
        <v/>
      </c>
      <c r="D349" s="41"/>
      <c r="E349" s="32"/>
      <c r="F349" s="42" t="str">
        <f t="shared" ca="1" si="11"/>
        <v/>
      </c>
      <c r="G349" s="31"/>
      <c r="H349" s="43" t="str">
        <f>IFERROR(IF(OR(B349="",E349=""),"",SUMIF(DB_Loans!$B:$B,B349,DB_Loans!$E:$E)+E349),"")</f>
        <v/>
      </c>
      <c r="I349" s="43" t="str">
        <f>IFERROR(IF(OR(B349="",E349=""),"",SUMIF(DB_Loans!$B:$B,B349,DB_Loans!$J:$J)+(E349*0.025)),"")</f>
        <v/>
      </c>
      <c r="J349" s="31"/>
    </row>
    <row r="350" spans="1:10" ht="20.100000000000001" customHeight="1" x14ac:dyDescent="0.25">
      <c r="A350" s="30" t="str">
        <f t="shared" si="10"/>
        <v/>
      </c>
      <c r="B350" s="41"/>
      <c r="C350" s="35" t="str">
        <f>IFERROR(IF(B350="","",VLOOKUP(B350,DB_Customers!$A:$B,2,0)),"")</f>
        <v/>
      </c>
      <c r="D350" s="41"/>
      <c r="E350" s="32"/>
      <c r="F350" s="42" t="str">
        <f t="shared" ca="1" si="11"/>
        <v/>
      </c>
      <c r="G350" s="31"/>
      <c r="H350" s="43" t="str">
        <f>IFERROR(IF(OR(B350="",E350=""),"",SUMIF(DB_Loans!$B:$B,B350,DB_Loans!$E:$E)+E350),"")</f>
        <v/>
      </c>
      <c r="I350" s="43" t="str">
        <f>IFERROR(IF(OR(B350="",E350=""),"",SUMIF(DB_Loans!$B:$B,B350,DB_Loans!$J:$J)+(E350*0.025)),"")</f>
        <v/>
      </c>
      <c r="J350" s="31"/>
    </row>
    <row r="351" spans="1:10" ht="20.100000000000001" customHeight="1" x14ac:dyDescent="0.25">
      <c r="A351" s="30" t="str">
        <f t="shared" si="10"/>
        <v/>
      </c>
      <c r="B351" s="41"/>
      <c r="C351" s="35" t="str">
        <f>IFERROR(IF(B351="","",VLOOKUP(B351,DB_Customers!$A:$B,2,0)),"")</f>
        <v/>
      </c>
      <c r="D351" s="41"/>
      <c r="E351" s="32"/>
      <c r="F351" s="42" t="str">
        <f t="shared" ca="1" si="11"/>
        <v/>
      </c>
      <c r="G351" s="31"/>
      <c r="H351" s="43" t="str">
        <f>IFERROR(IF(OR(B351="",E351=""),"",SUMIF(DB_Loans!$B:$B,B351,DB_Loans!$E:$E)+E351),"")</f>
        <v/>
      </c>
      <c r="I351" s="43" t="str">
        <f>IFERROR(IF(OR(B351="",E351=""),"",SUMIF(DB_Loans!$B:$B,B351,DB_Loans!$J:$J)+(E351*0.025)),"")</f>
        <v/>
      </c>
      <c r="J351" s="31"/>
    </row>
    <row r="352" spans="1:10" ht="20.100000000000001" customHeight="1" x14ac:dyDescent="0.25">
      <c r="A352" s="30" t="str">
        <f t="shared" si="10"/>
        <v/>
      </c>
      <c r="B352" s="41"/>
      <c r="C352" s="35" t="str">
        <f>IFERROR(IF(B352="","",VLOOKUP(B352,DB_Customers!$A:$B,2,0)),"")</f>
        <v/>
      </c>
      <c r="D352" s="41"/>
      <c r="E352" s="32"/>
      <c r="F352" s="42" t="str">
        <f t="shared" ca="1" si="11"/>
        <v/>
      </c>
      <c r="G352" s="31"/>
      <c r="H352" s="43" t="str">
        <f>IFERROR(IF(OR(B352="",E352=""),"",SUMIF(DB_Loans!$B:$B,B352,DB_Loans!$E:$E)+E352),"")</f>
        <v/>
      </c>
      <c r="I352" s="43" t="str">
        <f>IFERROR(IF(OR(B352="",E352=""),"",SUMIF(DB_Loans!$B:$B,B352,DB_Loans!$J:$J)+(E352*0.025)),"")</f>
        <v/>
      </c>
      <c r="J352" s="31"/>
    </row>
    <row r="353" spans="1:10" ht="20.100000000000001" customHeight="1" x14ac:dyDescent="0.25">
      <c r="A353" s="30" t="str">
        <f t="shared" si="10"/>
        <v/>
      </c>
      <c r="B353" s="41"/>
      <c r="C353" s="35" t="str">
        <f>IFERROR(IF(B353="","",VLOOKUP(B353,DB_Customers!$A:$B,2,0)),"")</f>
        <v/>
      </c>
      <c r="D353" s="41"/>
      <c r="E353" s="32"/>
      <c r="F353" s="42" t="str">
        <f t="shared" ca="1" si="11"/>
        <v/>
      </c>
      <c r="G353" s="31"/>
      <c r="H353" s="43" t="str">
        <f>IFERROR(IF(OR(B353="",E353=""),"",SUMIF(DB_Loans!$B:$B,B353,DB_Loans!$E:$E)+E353),"")</f>
        <v/>
      </c>
      <c r="I353" s="43" t="str">
        <f>IFERROR(IF(OR(B353="",E353=""),"",SUMIF(DB_Loans!$B:$B,B353,DB_Loans!$J:$J)+(E353*0.025)),"")</f>
        <v/>
      </c>
      <c r="J353" s="31"/>
    </row>
    <row r="354" spans="1:10" ht="20.100000000000001" customHeight="1" x14ac:dyDescent="0.25">
      <c r="A354" s="30" t="str">
        <f t="shared" si="10"/>
        <v/>
      </c>
      <c r="B354" s="41"/>
      <c r="C354" s="35" t="str">
        <f>IFERROR(IF(B354="","",VLOOKUP(B354,DB_Customers!$A:$B,2,0)),"")</f>
        <v/>
      </c>
      <c r="D354" s="41"/>
      <c r="E354" s="32"/>
      <c r="F354" s="42" t="str">
        <f t="shared" ca="1" si="11"/>
        <v/>
      </c>
      <c r="G354" s="31"/>
      <c r="H354" s="43" t="str">
        <f>IFERROR(IF(OR(B354="",E354=""),"",SUMIF(DB_Loans!$B:$B,B354,DB_Loans!$E:$E)+E354),"")</f>
        <v/>
      </c>
      <c r="I354" s="43" t="str">
        <f>IFERROR(IF(OR(B354="",E354=""),"",SUMIF(DB_Loans!$B:$B,B354,DB_Loans!$J:$J)+(E354*0.025)),"")</f>
        <v/>
      </c>
      <c r="J354" s="31"/>
    </row>
    <row r="355" spans="1:10" ht="20.100000000000001" customHeight="1" x14ac:dyDescent="0.25">
      <c r="A355" s="30" t="str">
        <f t="shared" si="10"/>
        <v/>
      </c>
      <c r="B355" s="41"/>
      <c r="C355" s="35" t="str">
        <f>IFERROR(IF(B355="","",VLOOKUP(B355,DB_Customers!$A:$B,2,0)),"")</f>
        <v/>
      </c>
      <c r="D355" s="41"/>
      <c r="E355" s="32"/>
      <c r="F355" s="42" t="str">
        <f t="shared" ca="1" si="11"/>
        <v/>
      </c>
      <c r="G355" s="31"/>
      <c r="H355" s="43" t="str">
        <f>IFERROR(IF(OR(B355="",E355=""),"",SUMIF(DB_Loans!$B:$B,B355,DB_Loans!$E:$E)+E355),"")</f>
        <v/>
      </c>
      <c r="I355" s="43" t="str">
        <f>IFERROR(IF(OR(B355="",E355=""),"",SUMIF(DB_Loans!$B:$B,B355,DB_Loans!$J:$J)+(E355*0.025)),"")</f>
        <v/>
      </c>
      <c r="J355" s="31"/>
    </row>
    <row r="356" spans="1:10" ht="20.100000000000001" customHeight="1" x14ac:dyDescent="0.25">
      <c r="A356" s="30" t="str">
        <f t="shared" si="10"/>
        <v/>
      </c>
      <c r="B356" s="41"/>
      <c r="C356" s="35" t="str">
        <f>IFERROR(IF(B356="","",VLOOKUP(B356,DB_Customers!$A:$B,2,0)),"")</f>
        <v/>
      </c>
      <c r="D356" s="41"/>
      <c r="E356" s="32"/>
      <c r="F356" s="42" t="str">
        <f t="shared" ca="1" si="11"/>
        <v/>
      </c>
      <c r="G356" s="31"/>
      <c r="H356" s="43" t="str">
        <f>IFERROR(IF(OR(B356="",E356=""),"",SUMIF(DB_Loans!$B:$B,B356,DB_Loans!$E:$E)+E356),"")</f>
        <v/>
      </c>
      <c r="I356" s="43" t="str">
        <f>IFERROR(IF(OR(B356="",E356=""),"",SUMIF(DB_Loans!$B:$B,B356,DB_Loans!$J:$J)+(E356*0.025)),"")</f>
        <v/>
      </c>
      <c r="J356" s="31"/>
    </row>
    <row r="357" spans="1:10" ht="20.100000000000001" customHeight="1" x14ac:dyDescent="0.25">
      <c r="A357" s="30" t="str">
        <f t="shared" si="10"/>
        <v/>
      </c>
      <c r="B357" s="41"/>
      <c r="C357" s="35" t="str">
        <f>IFERROR(IF(B357="","",VLOOKUP(B357,DB_Customers!$A:$B,2,0)),"")</f>
        <v/>
      </c>
      <c r="D357" s="41"/>
      <c r="E357" s="32"/>
      <c r="F357" s="42" t="str">
        <f t="shared" ca="1" si="11"/>
        <v/>
      </c>
      <c r="G357" s="31"/>
      <c r="H357" s="43" t="str">
        <f>IFERROR(IF(OR(B357="",E357=""),"",SUMIF(DB_Loans!$B:$B,B357,DB_Loans!$E:$E)+E357),"")</f>
        <v/>
      </c>
      <c r="I357" s="43" t="str">
        <f>IFERROR(IF(OR(B357="",E357=""),"",SUMIF(DB_Loans!$B:$B,B357,DB_Loans!$J:$J)+(E357*0.025)),"")</f>
        <v/>
      </c>
      <c r="J357" s="31"/>
    </row>
    <row r="358" spans="1:10" ht="20.100000000000001" customHeight="1" x14ac:dyDescent="0.25">
      <c r="A358" s="30" t="str">
        <f t="shared" si="10"/>
        <v/>
      </c>
      <c r="B358" s="41"/>
      <c r="C358" s="35" t="str">
        <f>IFERROR(IF(B358="","",VLOOKUP(B358,DB_Customers!$A:$B,2,0)),"")</f>
        <v/>
      </c>
      <c r="D358" s="41"/>
      <c r="E358" s="32"/>
      <c r="F358" s="42" t="str">
        <f t="shared" ca="1" si="11"/>
        <v/>
      </c>
      <c r="G358" s="31"/>
      <c r="H358" s="43" t="str">
        <f>IFERROR(IF(OR(B358="",E358=""),"",SUMIF(DB_Loans!$B:$B,B358,DB_Loans!$E:$E)+E358),"")</f>
        <v/>
      </c>
      <c r="I358" s="43" t="str">
        <f>IFERROR(IF(OR(B358="",E358=""),"",SUMIF(DB_Loans!$B:$B,B358,DB_Loans!$J:$J)+(E358*0.025)),"")</f>
        <v/>
      </c>
      <c r="J358" s="31"/>
    </row>
    <row r="359" spans="1:10" ht="20.100000000000001" customHeight="1" x14ac:dyDescent="0.25">
      <c r="A359" s="30" t="str">
        <f t="shared" si="10"/>
        <v/>
      </c>
      <c r="B359" s="41"/>
      <c r="C359" s="35" t="str">
        <f>IFERROR(IF(B359="","",VLOOKUP(B359,DB_Customers!$A:$B,2,0)),"")</f>
        <v/>
      </c>
      <c r="D359" s="41"/>
      <c r="E359" s="32"/>
      <c r="F359" s="42" t="str">
        <f t="shared" ca="1" si="11"/>
        <v/>
      </c>
      <c r="G359" s="31"/>
      <c r="H359" s="43" t="str">
        <f>IFERROR(IF(OR(B359="",E359=""),"",SUMIF(DB_Loans!$B:$B,B359,DB_Loans!$E:$E)+E359),"")</f>
        <v/>
      </c>
      <c r="I359" s="43" t="str">
        <f>IFERROR(IF(OR(B359="",E359=""),"",SUMIF(DB_Loans!$B:$B,B359,DB_Loans!$J:$J)+(E359*0.025)),"")</f>
        <v/>
      </c>
      <c r="J359" s="31"/>
    </row>
    <row r="360" spans="1:10" ht="20.100000000000001" customHeight="1" x14ac:dyDescent="0.25">
      <c r="A360" s="30" t="str">
        <f t="shared" si="10"/>
        <v/>
      </c>
      <c r="B360" s="41"/>
      <c r="C360" s="35" t="str">
        <f>IFERROR(IF(B360="","",VLOOKUP(B360,DB_Customers!$A:$B,2,0)),"")</f>
        <v/>
      </c>
      <c r="D360" s="41"/>
      <c r="E360" s="32"/>
      <c r="F360" s="42" t="str">
        <f t="shared" ca="1" si="11"/>
        <v/>
      </c>
      <c r="G360" s="31"/>
      <c r="H360" s="43" t="str">
        <f>IFERROR(IF(OR(B360="",E360=""),"",SUMIF(DB_Loans!$B:$B,B360,DB_Loans!$E:$E)+E360),"")</f>
        <v/>
      </c>
      <c r="I360" s="43" t="str">
        <f>IFERROR(IF(OR(B360="",E360=""),"",SUMIF(DB_Loans!$B:$B,B360,DB_Loans!$J:$J)+(E360*0.025)),"")</f>
        <v/>
      </c>
      <c r="J360" s="31"/>
    </row>
    <row r="361" spans="1:10" ht="20.100000000000001" customHeight="1" x14ac:dyDescent="0.25">
      <c r="A361" s="30" t="str">
        <f t="shared" si="10"/>
        <v/>
      </c>
      <c r="B361" s="41"/>
      <c r="C361" s="35" t="str">
        <f>IFERROR(IF(B361="","",VLOOKUP(B361,DB_Customers!$A:$B,2,0)),"")</f>
        <v/>
      </c>
      <c r="D361" s="41"/>
      <c r="E361" s="32"/>
      <c r="F361" s="42" t="str">
        <f t="shared" ca="1" si="11"/>
        <v/>
      </c>
      <c r="G361" s="31"/>
      <c r="H361" s="43" t="str">
        <f>IFERROR(IF(OR(B361="",E361=""),"",SUMIF(DB_Loans!$B:$B,B361,DB_Loans!$E:$E)+E361),"")</f>
        <v/>
      </c>
      <c r="I361" s="43" t="str">
        <f>IFERROR(IF(OR(B361="",E361=""),"",SUMIF(DB_Loans!$B:$B,B361,DB_Loans!$J:$J)+(E361*0.025)),"")</f>
        <v/>
      </c>
      <c r="J361" s="31"/>
    </row>
    <row r="362" spans="1:10" ht="20.100000000000001" customHeight="1" x14ac:dyDescent="0.25">
      <c r="A362" s="30" t="str">
        <f t="shared" si="10"/>
        <v/>
      </c>
      <c r="B362" s="41"/>
      <c r="C362" s="35" t="str">
        <f>IFERROR(IF(B362="","",VLOOKUP(B362,DB_Customers!$A:$B,2,0)),"")</f>
        <v/>
      </c>
      <c r="D362" s="41"/>
      <c r="E362" s="32"/>
      <c r="F362" s="42" t="str">
        <f t="shared" ca="1" si="11"/>
        <v/>
      </c>
      <c r="G362" s="31"/>
      <c r="H362" s="43" t="str">
        <f>IFERROR(IF(OR(B362="",E362=""),"",SUMIF(DB_Loans!$B:$B,B362,DB_Loans!$E:$E)+E362),"")</f>
        <v/>
      </c>
      <c r="I362" s="43" t="str">
        <f>IFERROR(IF(OR(B362="",E362=""),"",SUMIF(DB_Loans!$B:$B,B362,DB_Loans!$J:$J)+(E362*0.025)),"")</f>
        <v/>
      </c>
      <c r="J362" s="31"/>
    </row>
    <row r="363" spans="1:10" ht="20.100000000000001" customHeight="1" x14ac:dyDescent="0.25">
      <c r="A363" s="30" t="str">
        <f t="shared" si="10"/>
        <v/>
      </c>
      <c r="B363" s="41"/>
      <c r="C363" s="35" t="str">
        <f>IFERROR(IF(B363="","",VLOOKUP(B363,DB_Customers!$A:$B,2,0)),"")</f>
        <v/>
      </c>
      <c r="D363" s="41"/>
      <c r="E363" s="32"/>
      <c r="F363" s="42" t="str">
        <f t="shared" ca="1" si="11"/>
        <v/>
      </c>
      <c r="G363" s="31"/>
      <c r="H363" s="43" t="str">
        <f>IFERROR(IF(OR(B363="",E363=""),"",SUMIF(DB_Loans!$B:$B,B363,DB_Loans!$E:$E)+E363),"")</f>
        <v/>
      </c>
      <c r="I363" s="43" t="str">
        <f>IFERROR(IF(OR(B363="",E363=""),"",SUMIF(DB_Loans!$B:$B,B363,DB_Loans!$J:$J)+(E363*0.025)),"")</f>
        <v/>
      </c>
      <c r="J363" s="31"/>
    </row>
    <row r="364" spans="1:10" ht="20.100000000000001" customHeight="1" x14ac:dyDescent="0.25">
      <c r="A364" s="30" t="str">
        <f t="shared" si="10"/>
        <v/>
      </c>
      <c r="B364" s="41"/>
      <c r="C364" s="35" t="str">
        <f>IFERROR(IF(B364="","",VLOOKUP(B364,DB_Customers!$A:$B,2,0)),"")</f>
        <v/>
      </c>
      <c r="D364" s="41"/>
      <c r="E364" s="32"/>
      <c r="F364" s="42" t="str">
        <f t="shared" ca="1" si="11"/>
        <v/>
      </c>
      <c r="G364" s="31"/>
      <c r="H364" s="43" t="str">
        <f>IFERROR(IF(OR(B364="",E364=""),"",SUMIF(DB_Loans!$B:$B,B364,DB_Loans!$E:$E)+E364),"")</f>
        <v/>
      </c>
      <c r="I364" s="43" t="str">
        <f>IFERROR(IF(OR(B364="",E364=""),"",SUMIF(DB_Loans!$B:$B,B364,DB_Loans!$J:$J)+(E364*0.025)),"")</f>
        <v/>
      </c>
      <c r="J364" s="31"/>
    </row>
    <row r="365" spans="1:10" ht="20.100000000000001" customHeight="1" x14ac:dyDescent="0.25">
      <c r="A365" s="30" t="str">
        <f t="shared" si="10"/>
        <v/>
      </c>
      <c r="B365" s="41"/>
      <c r="C365" s="35" t="str">
        <f>IFERROR(IF(B365="","",VLOOKUP(B365,DB_Customers!$A:$B,2,0)),"")</f>
        <v/>
      </c>
      <c r="D365" s="41"/>
      <c r="E365" s="32"/>
      <c r="F365" s="42" t="str">
        <f t="shared" ca="1" si="11"/>
        <v/>
      </c>
      <c r="G365" s="31"/>
      <c r="H365" s="43" t="str">
        <f>IFERROR(IF(OR(B365="",E365=""),"",SUMIF(DB_Loans!$B:$B,B365,DB_Loans!$E:$E)+E365),"")</f>
        <v/>
      </c>
      <c r="I365" s="43" t="str">
        <f>IFERROR(IF(OR(B365="",E365=""),"",SUMIF(DB_Loans!$B:$B,B365,DB_Loans!$J:$J)+(E365*0.025)),"")</f>
        <v/>
      </c>
      <c r="J365" s="31"/>
    </row>
    <row r="366" spans="1:10" ht="20.100000000000001" customHeight="1" x14ac:dyDescent="0.25">
      <c r="A366" s="30" t="str">
        <f t="shared" si="10"/>
        <v/>
      </c>
      <c r="B366" s="41"/>
      <c r="C366" s="35" t="str">
        <f>IFERROR(IF(B366="","",VLOOKUP(B366,DB_Customers!$A:$B,2,0)),"")</f>
        <v/>
      </c>
      <c r="D366" s="41"/>
      <c r="E366" s="32"/>
      <c r="F366" s="42" t="str">
        <f t="shared" ca="1" si="11"/>
        <v/>
      </c>
      <c r="G366" s="31"/>
      <c r="H366" s="43" t="str">
        <f>IFERROR(IF(OR(B366="",E366=""),"",SUMIF(DB_Loans!$B:$B,B366,DB_Loans!$E:$E)+E366),"")</f>
        <v/>
      </c>
      <c r="I366" s="43" t="str">
        <f>IFERROR(IF(OR(B366="",E366=""),"",SUMIF(DB_Loans!$B:$B,B366,DB_Loans!$J:$J)+(E366*0.025)),"")</f>
        <v/>
      </c>
      <c r="J366" s="31"/>
    </row>
    <row r="367" spans="1:10" ht="20.100000000000001" customHeight="1" x14ac:dyDescent="0.25">
      <c r="A367" s="30" t="str">
        <f t="shared" si="10"/>
        <v/>
      </c>
      <c r="B367" s="41"/>
      <c r="C367" s="35" t="str">
        <f>IFERROR(IF(B367="","",VLOOKUP(B367,DB_Customers!$A:$B,2,0)),"")</f>
        <v/>
      </c>
      <c r="D367" s="41"/>
      <c r="E367" s="32"/>
      <c r="F367" s="42" t="str">
        <f t="shared" ca="1" si="11"/>
        <v/>
      </c>
      <c r="G367" s="31"/>
      <c r="H367" s="43" t="str">
        <f>IFERROR(IF(OR(B367="",E367=""),"",SUMIF(DB_Loans!$B:$B,B367,DB_Loans!$E:$E)+E367),"")</f>
        <v/>
      </c>
      <c r="I367" s="43" t="str">
        <f>IFERROR(IF(OR(B367="",E367=""),"",SUMIF(DB_Loans!$B:$B,B367,DB_Loans!$J:$J)+(E367*0.025)),"")</f>
        <v/>
      </c>
      <c r="J367" s="31"/>
    </row>
    <row r="368" spans="1:10" ht="20.100000000000001" customHeight="1" x14ac:dyDescent="0.25">
      <c r="A368" s="30" t="str">
        <f t="shared" si="10"/>
        <v/>
      </c>
      <c r="B368" s="41"/>
      <c r="C368" s="35" t="str">
        <f>IFERROR(IF(B368="","",VLOOKUP(B368,DB_Customers!$A:$B,2,0)),"")</f>
        <v/>
      </c>
      <c r="D368" s="41"/>
      <c r="E368" s="32"/>
      <c r="F368" s="42" t="str">
        <f t="shared" ca="1" si="11"/>
        <v/>
      </c>
      <c r="G368" s="31"/>
      <c r="H368" s="43" t="str">
        <f>IFERROR(IF(OR(B368="",E368=""),"",SUMIF(DB_Loans!$B:$B,B368,DB_Loans!$E:$E)+E368),"")</f>
        <v/>
      </c>
      <c r="I368" s="43" t="str">
        <f>IFERROR(IF(OR(B368="",E368=""),"",SUMIF(DB_Loans!$B:$B,B368,DB_Loans!$J:$J)+(E368*0.025)),"")</f>
        <v/>
      </c>
      <c r="J368" s="31"/>
    </row>
    <row r="369" spans="1:10" ht="20.100000000000001" customHeight="1" x14ac:dyDescent="0.25">
      <c r="A369" s="30" t="str">
        <f t="shared" si="10"/>
        <v/>
      </c>
      <c r="B369" s="41"/>
      <c r="C369" s="35" t="str">
        <f>IFERROR(IF(B369="","",VLOOKUP(B369,DB_Customers!$A:$B,2,0)),"")</f>
        <v/>
      </c>
      <c r="D369" s="41"/>
      <c r="E369" s="32"/>
      <c r="F369" s="42" t="str">
        <f t="shared" ca="1" si="11"/>
        <v/>
      </c>
      <c r="G369" s="31"/>
      <c r="H369" s="43" t="str">
        <f>IFERROR(IF(OR(B369="",E369=""),"",SUMIF(DB_Loans!$B:$B,B369,DB_Loans!$E:$E)+E369),"")</f>
        <v/>
      </c>
      <c r="I369" s="43" t="str">
        <f>IFERROR(IF(OR(B369="",E369=""),"",SUMIF(DB_Loans!$B:$B,B369,DB_Loans!$J:$J)+(E369*0.025)),"")</f>
        <v/>
      </c>
      <c r="J369" s="31"/>
    </row>
    <row r="370" spans="1:10" ht="20.100000000000001" customHeight="1" x14ac:dyDescent="0.25">
      <c r="A370" s="30" t="str">
        <f t="shared" si="10"/>
        <v/>
      </c>
      <c r="B370" s="41"/>
      <c r="C370" s="35" t="str">
        <f>IFERROR(IF(B370="","",VLOOKUP(B370,DB_Customers!$A:$B,2,0)),"")</f>
        <v/>
      </c>
      <c r="D370" s="41"/>
      <c r="E370" s="32"/>
      <c r="F370" s="42" t="str">
        <f t="shared" ca="1" si="11"/>
        <v/>
      </c>
      <c r="G370" s="31"/>
      <c r="H370" s="43" t="str">
        <f>IFERROR(IF(OR(B370="",E370=""),"",SUMIF(DB_Loans!$B:$B,B370,DB_Loans!$E:$E)+E370),"")</f>
        <v/>
      </c>
      <c r="I370" s="43" t="str">
        <f>IFERROR(IF(OR(B370="",E370=""),"",SUMIF(DB_Loans!$B:$B,B370,DB_Loans!$J:$J)+(E370*0.025)),"")</f>
        <v/>
      </c>
      <c r="J370" s="31"/>
    </row>
    <row r="371" spans="1:10" ht="20.100000000000001" customHeight="1" x14ac:dyDescent="0.25">
      <c r="A371" s="30" t="str">
        <f t="shared" si="10"/>
        <v/>
      </c>
      <c r="B371" s="41"/>
      <c r="C371" s="35" t="str">
        <f>IFERROR(IF(B371="","",VLOOKUP(B371,DB_Customers!$A:$B,2,0)),"")</f>
        <v/>
      </c>
      <c r="D371" s="41"/>
      <c r="E371" s="32"/>
      <c r="F371" s="42" t="str">
        <f t="shared" ca="1" si="11"/>
        <v/>
      </c>
      <c r="G371" s="31"/>
      <c r="H371" s="43" t="str">
        <f>IFERROR(IF(OR(B371="",E371=""),"",SUMIF(DB_Loans!$B:$B,B371,DB_Loans!$E:$E)+E371),"")</f>
        <v/>
      </c>
      <c r="I371" s="43" t="str">
        <f>IFERROR(IF(OR(B371="",E371=""),"",SUMIF(DB_Loans!$B:$B,B371,DB_Loans!$J:$J)+(E371*0.025)),"")</f>
        <v/>
      </c>
      <c r="J371" s="31"/>
    </row>
    <row r="372" spans="1:10" ht="20.100000000000001" customHeight="1" x14ac:dyDescent="0.25">
      <c r="A372" s="30" t="str">
        <f t="shared" si="10"/>
        <v/>
      </c>
      <c r="B372" s="41"/>
      <c r="C372" s="35" t="str">
        <f>IFERROR(IF(B372="","",VLOOKUP(B372,DB_Customers!$A:$B,2,0)),"")</f>
        <v/>
      </c>
      <c r="D372" s="41"/>
      <c r="E372" s="32"/>
      <c r="F372" s="42" t="str">
        <f t="shared" ca="1" si="11"/>
        <v/>
      </c>
      <c r="G372" s="31"/>
      <c r="H372" s="43" t="str">
        <f>IFERROR(IF(OR(B372="",E372=""),"",SUMIF(DB_Loans!$B:$B,B372,DB_Loans!$E:$E)+E372),"")</f>
        <v/>
      </c>
      <c r="I372" s="43" t="str">
        <f>IFERROR(IF(OR(B372="",E372=""),"",SUMIF(DB_Loans!$B:$B,B372,DB_Loans!$J:$J)+(E372*0.025)),"")</f>
        <v/>
      </c>
      <c r="J372" s="31"/>
    </row>
    <row r="373" spans="1:10" ht="20.100000000000001" customHeight="1" x14ac:dyDescent="0.25">
      <c r="A373" s="30" t="str">
        <f t="shared" si="10"/>
        <v/>
      </c>
      <c r="B373" s="41"/>
      <c r="C373" s="35" t="str">
        <f>IFERROR(IF(B373="","",VLOOKUP(B373,DB_Customers!$A:$B,2,0)),"")</f>
        <v/>
      </c>
      <c r="D373" s="41"/>
      <c r="E373" s="32"/>
      <c r="F373" s="42" t="str">
        <f t="shared" ca="1" si="11"/>
        <v/>
      </c>
      <c r="G373" s="31"/>
      <c r="H373" s="43" t="str">
        <f>IFERROR(IF(OR(B373="",E373=""),"",SUMIF(DB_Loans!$B:$B,B373,DB_Loans!$E:$E)+E373),"")</f>
        <v/>
      </c>
      <c r="I373" s="43" t="str">
        <f>IFERROR(IF(OR(B373="",E373=""),"",SUMIF(DB_Loans!$B:$B,B373,DB_Loans!$J:$J)+(E373*0.025)),"")</f>
        <v/>
      </c>
      <c r="J373" s="31"/>
    </row>
    <row r="374" spans="1:10" ht="20.100000000000001" customHeight="1" x14ac:dyDescent="0.25">
      <c r="A374" s="30" t="str">
        <f t="shared" si="10"/>
        <v/>
      </c>
      <c r="B374" s="41"/>
      <c r="C374" s="35" t="str">
        <f>IFERROR(IF(B374="","",VLOOKUP(B374,DB_Customers!$A:$B,2,0)),"")</f>
        <v/>
      </c>
      <c r="D374" s="41"/>
      <c r="E374" s="32"/>
      <c r="F374" s="42" t="str">
        <f t="shared" ca="1" si="11"/>
        <v/>
      </c>
      <c r="G374" s="31"/>
      <c r="H374" s="43" t="str">
        <f>IFERROR(IF(OR(B374="",E374=""),"",SUMIF(DB_Loans!$B:$B,B374,DB_Loans!$E:$E)+E374),"")</f>
        <v/>
      </c>
      <c r="I374" s="43" t="str">
        <f>IFERROR(IF(OR(B374="",E374=""),"",SUMIF(DB_Loans!$B:$B,B374,DB_Loans!$J:$J)+(E374*0.025)),"")</f>
        <v/>
      </c>
      <c r="J374" s="31"/>
    </row>
    <row r="375" spans="1:10" ht="20.100000000000001" customHeight="1" x14ac:dyDescent="0.25">
      <c r="A375" s="30" t="str">
        <f t="shared" si="10"/>
        <v/>
      </c>
      <c r="B375" s="41"/>
      <c r="C375" s="35" t="str">
        <f>IFERROR(IF(B375="","",VLOOKUP(B375,DB_Customers!$A:$B,2,0)),"")</f>
        <v/>
      </c>
      <c r="D375" s="41"/>
      <c r="E375" s="32"/>
      <c r="F375" s="42" t="str">
        <f t="shared" ca="1" si="11"/>
        <v/>
      </c>
      <c r="G375" s="31"/>
      <c r="H375" s="43" t="str">
        <f>IFERROR(IF(OR(B375="",E375=""),"",SUMIF(DB_Loans!$B:$B,B375,DB_Loans!$E:$E)+E375),"")</f>
        <v/>
      </c>
      <c r="I375" s="43" t="str">
        <f>IFERROR(IF(OR(B375="",E375=""),"",SUMIF(DB_Loans!$B:$B,B375,DB_Loans!$J:$J)+(E375*0.025)),"")</f>
        <v/>
      </c>
      <c r="J375" s="31"/>
    </row>
    <row r="376" spans="1:10" ht="20.100000000000001" customHeight="1" x14ac:dyDescent="0.25">
      <c r="A376" s="30" t="str">
        <f t="shared" si="10"/>
        <v/>
      </c>
      <c r="B376" s="41"/>
      <c r="C376" s="35" t="str">
        <f>IFERROR(IF(B376="","",VLOOKUP(B376,DB_Customers!$A:$B,2,0)),"")</f>
        <v/>
      </c>
      <c r="D376" s="41"/>
      <c r="E376" s="32"/>
      <c r="F376" s="42" t="str">
        <f t="shared" ca="1" si="11"/>
        <v/>
      </c>
      <c r="G376" s="31"/>
      <c r="H376" s="43" t="str">
        <f>IFERROR(IF(OR(B376="",E376=""),"",SUMIF(DB_Loans!$B:$B,B376,DB_Loans!$E:$E)+E376),"")</f>
        <v/>
      </c>
      <c r="I376" s="43" t="str">
        <f>IFERROR(IF(OR(B376="",E376=""),"",SUMIF(DB_Loans!$B:$B,B376,DB_Loans!$J:$J)+(E376*0.025)),"")</f>
        <v/>
      </c>
      <c r="J376" s="31"/>
    </row>
    <row r="377" spans="1:10" ht="20.100000000000001" customHeight="1" x14ac:dyDescent="0.25">
      <c r="A377" s="30" t="str">
        <f t="shared" si="10"/>
        <v/>
      </c>
      <c r="B377" s="41"/>
      <c r="C377" s="35" t="str">
        <f>IFERROR(IF(B377="","",VLOOKUP(B377,DB_Customers!$A:$B,2,0)),"")</f>
        <v/>
      </c>
      <c r="D377" s="41"/>
      <c r="E377" s="32"/>
      <c r="F377" s="42" t="str">
        <f t="shared" ca="1" si="11"/>
        <v/>
      </c>
      <c r="G377" s="31"/>
      <c r="H377" s="43" t="str">
        <f>IFERROR(IF(OR(B377="",E377=""),"",SUMIF(DB_Loans!$B:$B,B377,DB_Loans!$E:$E)+E377),"")</f>
        <v/>
      </c>
      <c r="I377" s="43" t="str">
        <f>IFERROR(IF(OR(B377="",E377=""),"",SUMIF(DB_Loans!$B:$B,B377,DB_Loans!$J:$J)+(E377*0.025)),"")</f>
        <v/>
      </c>
      <c r="J377" s="31"/>
    </row>
    <row r="378" spans="1:10" ht="20.100000000000001" customHeight="1" x14ac:dyDescent="0.25">
      <c r="A378" s="30" t="str">
        <f t="shared" si="10"/>
        <v/>
      </c>
      <c r="B378" s="41"/>
      <c r="C378" s="35" t="str">
        <f>IFERROR(IF(B378="","",VLOOKUP(B378,DB_Customers!$A:$B,2,0)),"")</f>
        <v/>
      </c>
      <c r="D378" s="41"/>
      <c r="E378" s="32"/>
      <c r="F378" s="42" t="str">
        <f t="shared" ca="1" si="11"/>
        <v/>
      </c>
      <c r="G378" s="31"/>
      <c r="H378" s="43" t="str">
        <f>IFERROR(IF(OR(B378="",E378=""),"",SUMIF(DB_Loans!$B:$B,B378,DB_Loans!$E:$E)+E378),"")</f>
        <v/>
      </c>
      <c r="I378" s="43" t="str">
        <f>IFERROR(IF(OR(B378="",E378=""),"",SUMIF(DB_Loans!$B:$B,B378,DB_Loans!$J:$J)+(E378*0.025)),"")</f>
        <v/>
      </c>
      <c r="J378" s="31"/>
    </row>
    <row r="379" spans="1:10" ht="20.100000000000001" customHeight="1" x14ac:dyDescent="0.25">
      <c r="A379" s="30" t="str">
        <f t="shared" si="10"/>
        <v/>
      </c>
      <c r="B379" s="41"/>
      <c r="C379" s="35" t="str">
        <f>IFERROR(IF(B379="","",VLOOKUP(B379,DB_Customers!$A:$B,2,0)),"")</f>
        <v/>
      </c>
      <c r="D379" s="41"/>
      <c r="E379" s="32"/>
      <c r="F379" s="42" t="str">
        <f t="shared" ca="1" si="11"/>
        <v/>
      </c>
      <c r="G379" s="31"/>
      <c r="H379" s="43" t="str">
        <f>IFERROR(IF(OR(B379="",E379=""),"",SUMIF(DB_Loans!$B:$B,B379,DB_Loans!$E:$E)+E379),"")</f>
        <v/>
      </c>
      <c r="I379" s="43" t="str">
        <f>IFERROR(IF(OR(B379="",E379=""),"",SUMIF(DB_Loans!$B:$B,B379,DB_Loans!$J:$J)+(E379*0.025)),"")</f>
        <v/>
      </c>
      <c r="J379" s="31"/>
    </row>
    <row r="380" spans="1:10" ht="20.100000000000001" customHeight="1" x14ac:dyDescent="0.25">
      <c r="A380" s="30" t="str">
        <f t="shared" si="10"/>
        <v/>
      </c>
      <c r="B380" s="41"/>
      <c r="C380" s="35" t="str">
        <f>IFERROR(IF(B380="","",VLOOKUP(B380,DB_Customers!$A:$B,2,0)),"")</f>
        <v/>
      </c>
      <c r="D380" s="41"/>
      <c r="E380" s="32"/>
      <c r="F380" s="42" t="str">
        <f t="shared" ca="1" si="11"/>
        <v/>
      </c>
      <c r="G380" s="31"/>
      <c r="H380" s="43" t="str">
        <f>IFERROR(IF(OR(B380="",E380=""),"",SUMIF(DB_Loans!$B:$B,B380,DB_Loans!$E:$E)+E380),"")</f>
        <v/>
      </c>
      <c r="I380" s="43" t="str">
        <f>IFERROR(IF(OR(B380="",E380=""),"",SUMIF(DB_Loans!$B:$B,B380,DB_Loans!$J:$J)+(E380*0.025)),"")</f>
        <v/>
      </c>
      <c r="J380" s="31"/>
    </row>
    <row r="381" spans="1:10" ht="20.100000000000001" customHeight="1" x14ac:dyDescent="0.25">
      <c r="A381" s="30" t="str">
        <f t="shared" si="10"/>
        <v/>
      </c>
      <c r="B381" s="41"/>
      <c r="C381" s="35" t="str">
        <f>IFERROR(IF(B381="","",VLOOKUP(B381,DB_Customers!$A:$B,2,0)),"")</f>
        <v/>
      </c>
      <c r="D381" s="41"/>
      <c r="E381" s="32"/>
      <c r="F381" s="42" t="str">
        <f t="shared" ca="1" si="11"/>
        <v/>
      </c>
      <c r="G381" s="31"/>
      <c r="H381" s="43" t="str">
        <f>IFERROR(IF(OR(B381="",E381=""),"",SUMIF(DB_Loans!$B:$B,B381,DB_Loans!$E:$E)+E381),"")</f>
        <v/>
      </c>
      <c r="I381" s="43" t="str">
        <f>IFERROR(IF(OR(B381="",E381=""),"",SUMIF(DB_Loans!$B:$B,B381,DB_Loans!$J:$J)+(E381*0.025)),"")</f>
        <v/>
      </c>
      <c r="J381" s="31"/>
    </row>
    <row r="382" spans="1:10" ht="20.100000000000001" customHeight="1" x14ac:dyDescent="0.25">
      <c r="A382" s="30" t="str">
        <f t="shared" si="10"/>
        <v/>
      </c>
      <c r="B382" s="41"/>
      <c r="C382" s="35" t="str">
        <f>IFERROR(IF(B382="","",VLOOKUP(B382,DB_Customers!$A:$B,2,0)),"")</f>
        <v/>
      </c>
      <c r="D382" s="41"/>
      <c r="E382" s="32"/>
      <c r="F382" s="42" t="str">
        <f t="shared" ca="1" si="11"/>
        <v/>
      </c>
      <c r="G382" s="31"/>
      <c r="H382" s="43" t="str">
        <f>IFERROR(IF(OR(B382="",E382=""),"",SUMIF(DB_Loans!$B:$B,B382,DB_Loans!$E:$E)+E382),"")</f>
        <v/>
      </c>
      <c r="I382" s="43" t="str">
        <f>IFERROR(IF(OR(B382="",E382=""),"",SUMIF(DB_Loans!$B:$B,B382,DB_Loans!$J:$J)+(E382*0.025)),"")</f>
        <v/>
      </c>
      <c r="J382" s="31"/>
    </row>
    <row r="383" spans="1:10" ht="20.100000000000001" customHeight="1" x14ac:dyDescent="0.25">
      <c r="A383" s="30" t="str">
        <f t="shared" si="10"/>
        <v/>
      </c>
      <c r="B383" s="41"/>
      <c r="C383" s="35" t="str">
        <f>IFERROR(IF(B383="","",VLOOKUP(B383,DB_Customers!$A:$B,2,0)),"")</f>
        <v/>
      </c>
      <c r="D383" s="41"/>
      <c r="E383" s="32"/>
      <c r="F383" s="42" t="str">
        <f t="shared" ca="1" si="11"/>
        <v/>
      </c>
      <c r="G383" s="31"/>
      <c r="H383" s="43" t="str">
        <f>IFERROR(IF(OR(B383="",E383=""),"",SUMIF(DB_Loans!$B:$B,B383,DB_Loans!$E:$E)+E383),"")</f>
        <v/>
      </c>
      <c r="I383" s="43" t="str">
        <f>IFERROR(IF(OR(B383="",E383=""),"",SUMIF(DB_Loans!$B:$B,B383,DB_Loans!$J:$J)+(E383*0.025)),"")</f>
        <v/>
      </c>
      <c r="J383" s="31"/>
    </row>
    <row r="384" spans="1:10" ht="20.100000000000001" customHeight="1" x14ac:dyDescent="0.25">
      <c r="A384" s="30" t="str">
        <f t="shared" si="10"/>
        <v/>
      </c>
      <c r="B384" s="41"/>
      <c r="C384" s="35" t="str">
        <f>IFERROR(IF(B384="","",VLOOKUP(B384,DB_Customers!$A:$B,2,0)),"")</f>
        <v/>
      </c>
      <c r="D384" s="41"/>
      <c r="E384" s="32"/>
      <c r="F384" s="42" t="str">
        <f t="shared" ca="1" si="11"/>
        <v/>
      </c>
      <c r="G384" s="31"/>
      <c r="H384" s="43" t="str">
        <f>IFERROR(IF(OR(B384="",E384=""),"",SUMIF(DB_Loans!$B:$B,B384,DB_Loans!$E:$E)+E384),"")</f>
        <v/>
      </c>
      <c r="I384" s="43" t="str">
        <f>IFERROR(IF(OR(B384="",E384=""),"",SUMIF(DB_Loans!$B:$B,B384,DB_Loans!$J:$J)+(E384*0.025)),"")</f>
        <v/>
      </c>
      <c r="J384" s="31"/>
    </row>
    <row r="385" spans="1:10" ht="20.100000000000001" customHeight="1" x14ac:dyDescent="0.25">
      <c r="A385" s="30" t="str">
        <f t="shared" si="10"/>
        <v/>
      </c>
      <c r="B385" s="41"/>
      <c r="C385" s="35" t="str">
        <f>IFERROR(IF(B385="","",VLOOKUP(B385,DB_Customers!$A:$B,2,0)),"")</f>
        <v/>
      </c>
      <c r="D385" s="41"/>
      <c r="E385" s="32"/>
      <c r="F385" s="42" t="str">
        <f t="shared" ca="1" si="11"/>
        <v/>
      </c>
      <c r="G385" s="31"/>
      <c r="H385" s="43" t="str">
        <f>IFERROR(IF(OR(B385="",E385=""),"",SUMIF(DB_Loans!$B:$B,B385,DB_Loans!$E:$E)+E385),"")</f>
        <v/>
      </c>
      <c r="I385" s="43" t="str">
        <f>IFERROR(IF(OR(B385="",E385=""),"",SUMIF(DB_Loans!$B:$B,B385,DB_Loans!$J:$J)+(E385*0.025)),"")</f>
        <v/>
      </c>
      <c r="J385" s="31"/>
    </row>
    <row r="386" spans="1:10" ht="20.100000000000001" customHeight="1" x14ac:dyDescent="0.25">
      <c r="A386" s="30" t="str">
        <f t="shared" si="10"/>
        <v/>
      </c>
      <c r="B386" s="41"/>
      <c r="C386" s="35" t="str">
        <f>IFERROR(IF(B386="","",VLOOKUP(B386,DB_Customers!$A:$B,2,0)),"")</f>
        <v/>
      </c>
      <c r="D386" s="41"/>
      <c r="E386" s="32"/>
      <c r="F386" s="42" t="str">
        <f t="shared" ca="1" si="11"/>
        <v/>
      </c>
      <c r="G386" s="31"/>
      <c r="H386" s="43" t="str">
        <f>IFERROR(IF(OR(B386="",E386=""),"",SUMIF(DB_Loans!$B:$B,B386,DB_Loans!$E:$E)+E386),"")</f>
        <v/>
      </c>
      <c r="I386" s="43" t="str">
        <f>IFERROR(IF(OR(B386="",E386=""),"",SUMIF(DB_Loans!$B:$B,B386,DB_Loans!$J:$J)+(E386*0.025)),"")</f>
        <v/>
      </c>
      <c r="J386" s="31"/>
    </row>
    <row r="387" spans="1:10" ht="20.100000000000001" customHeight="1" x14ac:dyDescent="0.25">
      <c r="A387" s="30" t="str">
        <f t="shared" si="10"/>
        <v/>
      </c>
      <c r="B387" s="41"/>
      <c r="C387" s="35" t="str">
        <f>IFERROR(IF(B387="","",VLOOKUP(B387,DB_Customers!$A:$B,2,0)),"")</f>
        <v/>
      </c>
      <c r="D387" s="41"/>
      <c r="E387" s="32"/>
      <c r="F387" s="42" t="str">
        <f t="shared" ca="1" si="11"/>
        <v/>
      </c>
      <c r="G387" s="31"/>
      <c r="H387" s="43" t="str">
        <f>IFERROR(IF(OR(B387="",E387=""),"",SUMIF(DB_Loans!$B:$B,B387,DB_Loans!$E:$E)+E387),"")</f>
        <v/>
      </c>
      <c r="I387" s="43" t="str">
        <f>IFERROR(IF(OR(B387="",E387=""),"",SUMIF(DB_Loans!$B:$B,B387,DB_Loans!$J:$J)+(E387*0.025)),"")</f>
        <v/>
      </c>
      <c r="J387" s="31"/>
    </row>
    <row r="388" spans="1:10" ht="20.100000000000001" customHeight="1" x14ac:dyDescent="0.25">
      <c r="A388" s="30" t="str">
        <f t="shared" si="10"/>
        <v/>
      </c>
      <c r="B388" s="41"/>
      <c r="C388" s="35" t="str">
        <f>IFERROR(IF(B388="","",VLOOKUP(B388,DB_Customers!$A:$B,2,0)),"")</f>
        <v/>
      </c>
      <c r="D388" s="41"/>
      <c r="E388" s="32"/>
      <c r="F388" s="42" t="str">
        <f t="shared" ca="1" si="11"/>
        <v/>
      </c>
      <c r="G388" s="31"/>
      <c r="H388" s="43" t="str">
        <f>IFERROR(IF(OR(B388="",E388=""),"",SUMIF(DB_Loans!$B:$B,B388,DB_Loans!$E:$E)+E388),"")</f>
        <v/>
      </c>
      <c r="I388" s="43" t="str">
        <f>IFERROR(IF(OR(B388="",E388=""),"",SUMIF(DB_Loans!$B:$B,B388,DB_Loans!$J:$J)+(E388*0.025)),"")</f>
        <v/>
      </c>
      <c r="J388" s="31"/>
    </row>
    <row r="389" spans="1:10" ht="20.100000000000001" customHeight="1" x14ac:dyDescent="0.25">
      <c r="A389" s="30" t="str">
        <f t="shared" ref="A389:A452" si="12">IF(B389="","","TU"&amp;TEXT(ROW()-4,"0000"))</f>
        <v/>
      </c>
      <c r="B389" s="41"/>
      <c r="C389" s="35" t="str">
        <f>IFERROR(IF(B389="","",VLOOKUP(B389,DB_Customers!$A:$B,2,0)),"")</f>
        <v/>
      </c>
      <c r="D389" s="41"/>
      <c r="E389" s="32"/>
      <c r="F389" s="42" t="str">
        <f t="shared" ref="F389:F452" ca="1" si="13">IF(B389="","",TODAY())</f>
        <v/>
      </c>
      <c r="G389" s="31"/>
      <c r="H389" s="43" t="str">
        <f>IFERROR(IF(OR(B389="",E389=""),"",SUMIF(DB_Loans!$B:$B,B389,DB_Loans!$E:$E)+E389),"")</f>
        <v/>
      </c>
      <c r="I389" s="43" t="str">
        <f>IFERROR(IF(OR(B389="",E389=""),"",SUMIF(DB_Loans!$B:$B,B389,DB_Loans!$J:$J)+(E389*0.025)),"")</f>
        <v/>
      </c>
      <c r="J389" s="31"/>
    </row>
    <row r="390" spans="1:10" ht="20.100000000000001" customHeight="1" x14ac:dyDescent="0.25">
      <c r="A390" s="30" t="str">
        <f t="shared" si="12"/>
        <v/>
      </c>
      <c r="B390" s="41"/>
      <c r="C390" s="35" t="str">
        <f>IFERROR(IF(B390="","",VLOOKUP(B390,DB_Customers!$A:$B,2,0)),"")</f>
        <v/>
      </c>
      <c r="D390" s="41"/>
      <c r="E390" s="32"/>
      <c r="F390" s="42" t="str">
        <f t="shared" ca="1" si="13"/>
        <v/>
      </c>
      <c r="G390" s="31"/>
      <c r="H390" s="43" t="str">
        <f>IFERROR(IF(OR(B390="",E390=""),"",SUMIF(DB_Loans!$B:$B,B390,DB_Loans!$E:$E)+E390),"")</f>
        <v/>
      </c>
      <c r="I390" s="43" t="str">
        <f>IFERROR(IF(OR(B390="",E390=""),"",SUMIF(DB_Loans!$B:$B,B390,DB_Loans!$J:$J)+(E390*0.025)),"")</f>
        <v/>
      </c>
      <c r="J390" s="31"/>
    </row>
    <row r="391" spans="1:10" ht="20.100000000000001" customHeight="1" x14ac:dyDescent="0.25">
      <c r="A391" s="30" t="str">
        <f t="shared" si="12"/>
        <v/>
      </c>
      <c r="B391" s="41"/>
      <c r="C391" s="35" t="str">
        <f>IFERROR(IF(B391="","",VLOOKUP(B391,DB_Customers!$A:$B,2,0)),"")</f>
        <v/>
      </c>
      <c r="D391" s="41"/>
      <c r="E391" s="32"/>
      <c r="F391" s="42" t="str">
        <f t="shared" ca="1" si="13"/>
        <v/>
      </c>
      <c r="G391" s="31"/>
      <c r="H391" s="43" t="str">
        <f>IFERROR(IF(OR(B391="",E391=""),"",SUMIF(DB_Loans!$B:$B,B391,DB_Loans!$E:$E)+E391),"")</f>
        <v/>
      </c>
      <c r="I391" s="43" t="str">
        <f>IFERROR(IF(OR(B391="",E391=""),"",SUMIF(DB_Loans!$B:$B,B391,DB_Loans!$J:$J)+(E391*0.025)),"")</f>
        <v/>
      </c>
      <c r="J391" s="31"/>
    </row>
    <row r="392" spans="1:10" ht="20.100000000000001" customHeight="1" x14ac:dyDescent="0.25">
      <c r="A392" s="30" t="str">
        <f t="shared" si="12"/>
        <v/>
      </c>
      <c r="B392" s="41"/>
      <c r="C392" s="35" t="str">
        <f>IFERROR(IF(B392="","",VLOOKUP(B392,DB_Customers!$A:$B,2,0)),"")</f>
        <v/>
      </c>
      <c r="D392" s="41"/>
      <c r="E392" s="32"/>
      <c r="F392" s="42" t="str">
        <f t="shared" ca="1" si="13"/>
        <v/>
      </c>
      <c r="G392" s="31"/>
      <c r="H392" s="43" t="str">
        <f>IFERROR(IF(OR(B392="",E392=""),"",SUMIF(DB_Loans!$B:$B,B392,DB_Loans!$E:$E)+E392),"")</f>
        <v/>
      </c>
      <c r="I392" s="43" t="str">
        <f>IFERROR(IF(OR(B392="",E392=""),"",SUMIF(DB_Loans!$B:$B,B392,DB_Loans!$J:$J)+(E392*0.025)),"")</f>
        <v/>
      </c>
      <c r="J392" s="31"/>
    </row>
    <row r="393" spans="1:10" ht="20.100000000000001" customHeight="1" x14ac:dyDescent="0.25">
      <c r="A393" s="30" t="str">
        <f t="shared" si="12"/>
        <v/>
      </c>
      <c r="B393" s="41"/>
      <c r="C393" s="35" t="str">
        <f>IFERROR(IF(B393="","",VLOOKUP(B393,DB_Customers!$A:$B,2,0)),"")</f>
        <v/>
      </c>
      <c r="D393" s="41"/>
      <c r="E393" s="32"/>
      <c r="F393" s="42" t="str">
        <f t="shared" ca="1" si="13"/>
        <v/>
      </c>
      <c r="G393" s="31"/>
      <c r="H393" s="43" t="str">
        <f>IFERROR(IF(OR(B393="",E393=""),"",SUMIF(DB_Loans!$B:$B,B393,DB_Loans!$E:$E)+E393),"")</f>
        <v/>
      </c>
      <c r="I393" s="43" t="str">
        <f>IFERROR(IF(OR(B393="",E393=""),"",SUMIF(DB_Loans!$B:$B,B393,DB_Loans!$J:$J)+(E393*0.025)),"")</f>
        <v/>
      </c>
      <c r="J393" s="31"/>
    </row>
    <row r="394" spans="1:10" ht="20.100000000000001" customHeight="1" x14ac:dyDescent="0.25">
      <c r="A394" s="30" t="str">
        <f t="shared" si="12"/>
        <v/>
      </c>
      <c r="B394" s="41"/>
      <c r="C394" s="35" t="str">
        <f>IFERROR(IF(B394="","",VLOOKUP(B394,DB_Customers!$A:$B,2,0)),"")</f>
        <v/>
      </c>
      <c r="D394" s="41"/>
      <c r="E394" s="32"/>
      <c r="F394" s="42" t="str">
        <f t="shared" ca="1" si="13"/>
        <v/>
      </c>
      <c r="G394" s="31"/>
      <c r="H394" s="43" t="str">
        <f>IFERROR(IF(OR(B394="",E394=""),"",SUMIF(DB_Loans!$B:$B,B394,DB_Loans!$E:$E)+E394),"")</f>
        <v/>
      </c>
      <c r="I394" s="43" t="str">
        <f>IFERROR(IF(OR(B394="",E394=""),"",SUMIF(DB_Loans!$B:$B,B394,DB_Loans!$J:$J)+(E394*0.025)),"")</f>
        <v/>
      </c>
      <c r="J394" s="31"/>
    </row>
    <row r="395" spans="1:10" ht="20.100000000000001" customHeight="1" x14ac:dyDescent="0.25">
      <c r="A395" s="30" t="str">
        <f t="shared" si="12"/>
        <v/>
      </c>
      <c r="B395" s="41"/>
      <c r="C395" s="35" t="str">
        <f>IFERROR(IF(B395="","",VLOOKUP(B395,DB_Customers!$A:$B,2,0)),"")</f>
        <v/>
      </c>
      <c r="D395" s="41"/>
      <c r="E395" s="32"/>
      <c r="F395" s="42" t="str">
        <f t="shared" ca="1" si="13"/>
        <v/>
      </c>
      <c r="G395" s="31"/>
      <c r="H395" s="43" t="str">
        <f>IFERROR(IF(OR(B395="",E395=""),"",SUMIF(DB_Loans!$B:$B,B395,DB_Loans!$E:$E)+E395),"")</f>
        <v/>
      </c>
      <c r="I395" s="43" t="str">
        <f>IFERROR(IF(OR(B395="",E395=""),"",SUMIF(DB_Loans!$B:$B,B395,DB_Loans!$J:$J)+(E395*0.025)),"")</f>
        <v/>
      </c>
      <c r="J395" s="31"/>
    </row>
    <row r="396" spans="1:10" ht="20.100000000000001" customHeight="1" x14ac:dyDescent="0.25">
      <c r="A396" s="30" t="str">
        <f t="shared" si="12"/>
        <v/>
      </c>
      <c r="B396" s="41"/>
      <c r="C396" s="35" t="str">
        <f>IFERROR(IF(B396="","",VLOOKUP(B396,DB_Customers!$A:$B,2,0)),"")</f>
        <v/>
      </c>
      <c r="D396" s="41"/>
      <c r="E396" s="32"/>
      <c r="F396" s="42" t="str">
        <f t="shared" ca="1" si="13"/>
        <v/>
      </c>
      <c r="G396" s="31"/>
      <c r="H396" s="43" t="str">
        <f>IFERROR(IF(OR(B396="",E396=""),"",SUMIF(DB_Loans!$B:$B,B396,DB_Loans!$E:$E)+E396),"")</f>
        <v/>
      </c>
      <c r="I396" s="43" t="str">
        <f>IFERROR(IF(OR(B396="",E396=""),"",SUMIF(DB_Loans!$B:$B,B396,DB_Loans!$J:$J)+(E396*0.025)),"")</f>
        <v/>
      </c>
      <c r="J396" s="31"/>
    </row>
    <row r="397" spans="1:10" ht="20.100000000000001" customHeight="1" x14ac:dyDescent="0.25">
      <c r="A397" s="30" t="str">
        <f t="shared" si="12"/>
        <v/>
      </c>
      <c r="B397" s="41"/>
      <c r="C397" s="35" t="str">
        <f>IFERROR(IF(B397="","",VLOOKUP(B397,DB_Customers!$A:$B,2,0)),"")</f>
        <v/>
      </c>
      <c r="D397" s="41"/>
      <c r="E397" s="32"/>
      <c r="F397" s="42" t="str">
        <f t="shared" ca="1" si="13"/>
        <v/>
      </c>
      <c r="G397" s="31"/>
      <c r="H397" s="43" t="str">
        <f>IFERROR(IF(OR(B397="",E397=""),"",SUMIF(DB_Loans!$B:$B,B397,DB_Loans!$E:$E)+E397),"")</f>
        <v/>
      </c>
      <c r="I397" s="43" t="str">
        <f>IFERROR(IF(OR(B397="",E397=""),"",SUMIF(DB_Loans!$B:$B,B397,DB_Loans!$J:$J)+(E397*0.025)),"")</f>
        <v/>
      </c>
      <c r="J397" s="31"/>
    </row>
    <row r="398" spans="1:10" ht="20.100000000000001" customHeight="1" x14ac:dyDescent="0.25">
      <c r="A398" s="30" t="str">
        <f t="shared" si="12"/>
        <v/>
      </c>
      <c r="B398" s="41"/>
      <c r="C398" s="35" t="str">
        <f>IFERROR(IF(B398="","",VLOOKUP(B398,DB_Customers!$A:$B,2,0)),"")</f>
        <v/>
      </c>
      <c r="D398" s="41"/>
      <c r="E398" s="32"/>
      <c r="F398" s="42" t="str">
        <f t="shared" ca="1" si="13"/>
        <v/>
      </c>
      <c r="G398" s="31"/>
      <c r="H398" s="43" t="str">
        <f>IFERROR(IF(OR(B398="",E398=""),"",SUMIF(DB_Loans!$B:$B,B398,DB_Loans!$E:$E)+E398),"")</f>
        <v/>
      </c>
      <c r="I398" s="43" t="str">
        <f>IFERROR(IF(OR(B398="",E398=""),"",SUMIF(DB_Loans!$B:$B,B398,DB_Loans!$J:$J)+(E398*0.025)),"")</f>
        <v/>
      </c>
      <c r="J398" s="31"/>
    </row>
    <row r="399" spans="1:10" ht="20.100000000000001" customHeight="1" x14ac:dyDescent="0.25">
      <c r="A399" s="30" t="str">
        <f t="shared" si="12"/>
        <v/>
      </c>
      <c r="B399" s="41"/>
      <c r="C399" s="35" t="str">
        <f>IFERROR(IF(B399="","",VLOOKUP(B399,DB_Customers!$A:$B,2,0)),"")</f>
        <v/>
      </c>
      <c r="D399" s="41"/>
      <c r="E399" s="32"/>
      <c r="F399" s="42" t="str">
        <f t="shared" ca="1" si="13"/>
        <v/>
      </c>
      <c r="G399" s="31"/>
      <c r="H399" s="43" t="str">
        <f>IFERROR(IF(OR(B399="",E399=""),"",SUMIF(DB_Loans!$B:$B,B399,DB_Loans!$E:$E)+E399),"")</f>
        <v/>
      </c>
      <c r="I399" s="43" t="str">
        <f>IFERROR(IF(OR(B399="",E399=""),"",SUMIF(DB_Loans!$B:$B,B399,DB_Loans!$J:$J)+(E399*0.025)),"")</f>
        <v/>
      </c>
      <c r="J399" s="31"/>
    </row>
    <row r="400" spans="1:10" ht="20.100000000000001" customHeight="1" x14ac:dyDescent="0.25">
      <c r="A400" s="30" t="str">
        <f t="shared" si="12"/>
        <v/>
      </c>
      <c r="B400" s="41"/>
      <c r="C400" s="35" t="str">
        <f>IFERROR(IF(B400="","",VLOOKUP(B400,DB_Customers!$A:$B,2,0)),"")</f>
        <v/>
      </c>
      <c r="D400" s="41"/>
      <c r="E400" s="32"/>
      <c r="F400" s="42" t="str">
        <f t="shared" ca="1" si="13"/>
        <v/>
      </c>
      <c r="G400" s="31"/>
      <c r="H400" s="43" t="str">
        <f>IFERROR(IF(OR(B400="",E400=""),"",SUMIF(DB_Loans!$B:$B,B400,DB_Loans!$E:$E)+E400),"")</f>
        <v/>
      </c>
      <c r="I400" s="43" t="str">
        <f>IFERROR(IF(OR(B400="",E400=""),"",SUMIF(DB_Loans!$B:$B,B400,DB_Loans!$J:$J)+(E400*0.025)),"")</f>
        <v/>
      </c>
      <c r="J400" s="31"/>
    </row>
    <row r="401" spans="1:10" ht="20.100000000000001" customHeight="1" x14ac:dyDescent="0.25">
      <c r="A401" s="30" t="str">
        <f t="shared" si="12"/>
        <v/>
      </c>
      <c r="B401" s="41"/>
      <c r="C401" s="35" t="str">
        <f>IFERROR(IF(B401="","",VLOOKUP(B401,DB_Customers!$A:$B,2,0)),"")</f>
        <v/>
      </c>
      <c r="D401" s="41"/>
      <c r="E401" s="32"/>
      <c r="F401" s="42" t="str">
        <f t="shared" ca="1" si="13"/>
        <v/>
      </c>
      <c r="G401" s="31"/>
      <c r="H401" s="43" t="str">
        <f>IFERROR(IF(OR(B401="",E401=""),"",SUMIF(DB_Loans!$B:$B,B401,DB_Loans!$E:$E)+E401),"")</f>
        <v/>
      </c>
      <c r="I401" s="43" t="str">
        <f>IFERROR(IF(OR(B401="",E401=""),"",SUMIF(DB_Loans!$B:$B,B401,DB_Loans!$J:$J)+(E401*0.025)),"")</f>
        <v/>
      </c>
      <c r="J401" s="31"/>
    </row>
    <row r="402" spans="1:10" ht="20.100000000000001" customHeight="1" x14ac:dyDescent="0.25">
      <c r="A402" s="30" t="str">
        <f t="shared" si="12"/>
        <v/>
      </c>
      <c r="B402" s="41"/>
      <c r="C402" s="35" t="str">
        <f>IFERROR(IF(B402="","",VLOOKUP(B402,DB_Customers!$A:$B,2,0)),"")</f>
        <v/>
      </c>
      <c r="D402" s="41"/>
      <c r="E402" s="32"/>
      <c r="F402" s="42" t="str">
        <f t="shared" ca="1" si="13"/>
        <v/>
      </c>
      <c r="G402" s="31"/>
      <c r="H402" s="43" t="str">
        <f>IFERROR(IF(OR(B402="",E402=""),"",SUMIF(DB_Loans!$B:$B,B402,DB_Loans!$E:$E)+E402),"")</f>
        <v/>
      </c>
      <c r="I402" s="43" t="str">
        <f>IFERROR(IF(OR(B402="",E402=""),"",SUMIF(DB_Loans!$B:$B,B402,DB_Loans!$J:$J)+(E402*0.025)),"")</f>
        <v/>
      </c>
      <c r="J402" s="31"/>
    </row>
    <row r="403" spans="1:10" ht="20.100000000000001" customHeight="1" x14ac:dyDescent="0.25">
      <c r="A403" s="30" t="str">
        <f t="shared" si="12"/>
        <v/>
      </c>
      <c r="B403" s="41"/>
      <c r="C403" s="35" t="str">
        <f>IFERROR(IF(B403="","",VLOOKUP(B403,DB_Customers!$A:$B,2,0)),"")</f>
        <v/>
      </c>
      <c r="D403" s="41"/>
      <c r="E403" s="32"/>
      <c r="F403" s="42" t="str">
        <f t="shared" ca="1" si="13"/>
        <v/>
      </c>
      <c r="G403" s="31"/>
      <c r="H403" s="43" t="str">
        <f>IFERROR(IF(OR(B403="",E403=""),"",SUMIF(DB_Loans!$B:$B,B403,DB_Loans!$E:$E)+E403),"")</f>
        <v/>
      </c>
      <c r="I403" s="43" t="str">
        <f>IFERROR(IF(OR(B403="",E403=""),"",SUMIF(DB_Loans!$B:$B,B403,DB_Loans!$J:$J)+(E403*0.025)),"")</f>
        <v/>
      </c>
      <c r="J403" s="31"/>
    </row>
    <row r="404" spans="1:10" ht="20.100000000000001" customHeight="1" x14ac:dyDescent="0.25">
      <c r="A404" s="30" t="str">
        <f t="shared" si="12"/>
        <v/>
      </c>
      <c r="B404" s="41"/>
      <c r="C404" s="35" t="str">
        <f>IFERROR(IF(B404="","",VLOOKUP(B404,DB_Customers!$A:$B,2,0)),"")</f>
        <v/>
      </c>
      <c r="D404" s="41"/>
      <c r="E404" s="32"/>
      <c r="F404" s="42" t="str">
        <f t="shared" ca="1" si="13"/>
        <v/>
      </c>
      <c r="G404" s="31"/>
      <c r="H404" s="43" t="str">
        <f>IFERROR(IF(OR(B404="",E404=""),"",SUMIF(DB_Loans!$B:$B,B404,DB_Loans!$E:$E)+E404),"")</f>
        <v/>
      </c>
      <c r="I404" s="43" t="str">
        <f>IFERROR(IF(OR(B404="",E404=""),"",SUMIF(DB_Loans!$B:$B,B404,DB_Loans!$J:$J)+(E404*0.025)),"")</f>
        <v/>
      </c>
      <c r="J404" s="31"/>
    </row>
    <row r="405" spans="1:10" ht="20.100000000000001" customHeight="1" x14ac:dyDescent="0.25">
      <c r="A405" s="30" t="str">
        <f t="shared" si="12"/>
        <v/>
      </c>
      <c r="B405" s="41"/>
      <c r="C405" s="35" t="str">
        <f>IFERROR(IF(B405="","",VLOOKUP(B405,DB_Customers!$A:$B,2,0)),"")</f>
        <v/>
      </c>
      <c r="D405" s="41"/>
      <c r="E405" s="32"/>
      <c r="F405" s="42" t="str">
        <f t="shared" ca="1" si="13"/>
        <v/>
      </c>
      <c r="G405" s="31"/>
      <c r="H405" s="43" t="str">
        <f>IFERROR(IF(OR(B405="",E405=""),"",SUMIF(DB_Loans!$B:$B,B405,DB_Loans!$E:$E)+E405),"")</f>
        <v/>
      </c>
      <c r="I405" s="43" t="str">
        <f>IFERROR(IF(OR(B405="",E405=""),"",SUMIF(DB_Loans!$B:$B,B405,DB_Loans!$J:$J)+(E405*0.025)),"")</f>
        <v/>
      </c>
      <c r="J405" s="31"/>
    </row>
    <row r="406" spans="1:10" ht="20.100000000000001" customHeight="1" x14ac:dyDescent="0.25">
      <c r="A406" s="30" t="str">
        <f t="shared" si="12"/>
        <v/>
      </c>
      <c r="B406" s="41"/>
      <c r="C406" s="35" t="str">
        <f>IFERROR(IF(B406="","",VLOOKUP(B406,DB_Customers!$A:$B,2,0)),"")</f>
        <v/>
      </c>
      <c r="D406" s="41"/>
      <c r="E406" s="32"/>
      <c r="F406" s="42" t="str">
        <f t="shared" ca="1" si="13"/>
        <v/>
      </c>
      <c r="G406" s="31"/>
      <c r="H406" s="43" t="str">
        <f>IFERROR(IF(OR(B406="",E406=""),"",SUMIF(DB_Loans!$B:$B,B406,DB_Loans!$E:$E)+E406),"")</f>
        <v/>
      </c>
      <c r="I406" s="43" t="str">
        <f>IFERROR(IF(OR(B406="",E406=""),"",SUMIF(DB_Loans!$B:$B,B406,DB_Loans!$J:$J)+(E406*0.025)),"")</f>
        <v/>
      </c>
      <c r="J406" s="31"/>
    </row>
    <row r="407" spans="1:10" ht="20.100000000000001" customHeight="1" x14ac:dyDescent="0.25">
      <c r="A407" s="30" t="str">
        <f t="shared" si="12"/>
        <v/>
      </c>
      <c r="B407" s="41"/>
      <c r="C407" s="35" t="str">
        <f>IFERROR(IF(B407="","",VLOOKUP(B407,DB_Customers!$A:$B,2,0)),"")</f>
        <v/>
      </c>
      <c r="D407" s="41"/>
      <c r="E407" s="32"/>
      <c r="F407" s="42" t="str">
        <f t="shared" ca="1" si="13"/>
        <v/>
      </c>
      <c r="G407" s="31"/>
      <c r="H407" s="43" t="str">
        <f>IFERROR(IF(OR(B407="",E407=""),"",SUMIF(DB_Loans!$B:$B,B407,DB_Loans!$E:$E)+E407),"")</f>
        <v/>
      </c>
      <c r="I407" s="43" t="str">
        <f>IFERROR(IF(OR(B407="",E407=""),"",SUMIF(DB_Loans!$B:$B,B407,DB_Loans!$J:$J)+(E407*0.025)),"")</f>
        <v/>
      </c>
      <c r="J407" s="31"/>
    </row>
    <row r="408" spans="1:10" ht="20.100000000000001" customHeight="1" x14ac:dyDescent="0.25">
      <c r="A408" s="30" t="str">
        <f t="shared" si="12"/>
        <v/>
      </c>
      <c r="B408" s="41"/>
      <c r="C408" s="35" t="str">
        <f>IFERROR(IF(B408="","",VLOOKUP(B408,DB_Customers!$A:$B,2,0)),"")</f>
        <v/>
      </c>
      <c r="D408" s="41"/>
      <c r="E408" s="32"/>
      <c r="F408" s="42" t="str">
        <f t="shared" ca="1" si="13"/>
        <v/>
      </c>
      <c r="G408" s="31"/>
      <c r="H408" s="43" t="str">
        <f>IFERROR(IF(OR(B408="",E408=""),"",SUMIF(DB_Loans!$B:$B,B408,DB_Loans!$E:$E)+E408),"")</f>
        <v/>
      </c>
      <c r="I408" s="43" t="str">
        <f>IFERROR(IF(OR(B408="",E408=""),"",SUMIF(DB_Loans!$B:$B,B408,DB_Loans!$J:$J)+(E408*0.025)),"")</f>
        <v/>
      </c>
      <c r="J408" s="31"/>
    </row>
    <row r="409" spans="1:10" ht="20.100000000000001" customHeight="1" x14ac:dyDescent="0.25">
      <c r="A409" s="30" t="str">
        <f t="shared" si="12"/>
        <v/>
      </c>
      <c r="B409" s="41"/>
      <c r="C409" s="35" t="str">
        <f>IFERROR(IF(B409="","",VLOOKUP(B409,DB_Customers!$A:$B,2,0)),"")</f>
        <v/>
      </c>
      <c r="D409" s="41"/>
      <c r="E409" s="32"/>
      <c r="F409" s="42" t="str">
        <f t="shared" ca="1" si="13"/>
        <v/>
      </c>
      <c r="G409" s="31"/>
      <c r="H409" s="43" t="str">
        <f>IFERROR(IF(OR(B409="",E409=""),"",SUMIF(DB_Loans!$B:$B,B409,DB_Loans!$E:$E)+E409),"")</f>
        <v/>
      </c>
      <c r="I409" s="43" t="str">
        <f>IFERROR(IF(OR(B409="",E409=""),"",SUMIF(DB_Loans!$B:$B,B409,DB_Loans!$J:$J)+(E409*0.025)),"")</f>
        <v/>
      </c>
      <c r="J409" s="31"/>
    </row>
    <row r="410" spans="1:10" ht="20.100000000000001" customHeight="1" x14ac:dyDescent="0.25">
      <c r="A410" s="30" t="str">
        <f t="shared" si="12"/>
        <v/>
      </c>
      <c r="B410" s="41"/>
      <c r="C410" s="35" t="str">
        <f>IFERROR(IF(B410="","",VLOOKUP(B410,DB_Customers!$A:$B,2,0)),"")</f>
        <v/>
      </c>
      <c r="D410" s="41"/>
      <c r="E410" s="32"/>
      <c r="F410" s="42" t="str">
        <f t="shared" ca="1" si="13"/>
        <v/>
      </c>
      <c r="G410" s="31"/>
      <c r="H410" s="43" t="str">
        <f>IFERROR(IF(OR(B410="",E410=""),"",SUMIF(DB_Loans!$B:$B,B410,DB_Loans!$E:$E)+E410),"")</f>
        <v/>
      </c>
      <c r="I410" s="43" t="str">
        <f>IFERROR(IF(OR(B410="",E410=""),"",SUMIF(DB_Loans!$B:$B,B410,DB_Loans!$J:$J)+(E410*0.025)),"")</f>
        <v/>
      </c>
      <c r="J410" s="31"/>
    </row>
    <row r="411" spans="1:10" ht="20.100000000000001" customHeight="1" x14ac:dyDescent="0.25">
      <c r="A411" s="30" t="str">
        <f t="shared" si="12"/>
        <v/>
      </c>
      <c r="B411" s="41"/>
      <c r="C411" s="35" t="str">
        <f>IFERROR(IF(B411="","",VLOOKUP(B411,DB_Customers!$A:$B,2,0)),"")</f>
        <v/>
      </c>
      <c r="D411" s="41"/>
      <c r="E411" s="32"/>
      <c r="F411" s="42" t="str">
        <f t="shared" ca="1" si="13"/>
        <v/>
      </c>
      <c r="G411" s="31"/>
      <c r="H411" s="43" t="str">
        <f>IFERROR(IF(OR(B411="",E411=""),"",SUMIF(DB_Loans!$B:$B,B411,DB_Loans!$E:$E)+E411),"")</f>
        <v/>
      </c>
      <c r="I411" s="43" t="str">
        <f>IFERROR(IF(OR(B411="",E411=""),"",SUMIF(DB_Loans!$B:$B,B411,DB_Loans!$J:$J)+(E411*0.025)),"")</f>
        <v/>
      </c>
      <c r="J411" s="31"/>
    </row>
    <row r="412" spans="1:10" ht="20.100000000000001" customHeight="1" x14ac:dyDescent="0.25">
      <c r="A412" s="30" t="str">
        <f t="shared" si="12"/>
        <v/>
      </c>
      <c r="B412" s="41"/>
      <c r="C412" s="35" t="str">
        <f>IFERROR(IF(B412="","",VLOOKUP(B412,DB_Customers!$A:$B,2,0)),"")</f>
        <v/>
      </c>
      <c r="D412" s="41"/>
      <c r="E412" s="32"/>
      <c r="F412" s="42" t="str">
        <f t="shared" ca="1" si="13"/>
        <v/>
      </c>
      <c r="G412" s="31"/>
      <c r="H412" s="43" t="str">
        <f>IFERROR(IF(OR(B412="",E412=""),"",SUMIF(DB_Loans!$B:$B,B412,DB_Loans!$E:$E)+E412),"")</f>
        <v/>
      </c>
      <c r="I412" s="43" t="str">
        <f>IFERROR(IF(OR(B412="",E412=""),"",SUMIF(DB_Loans!$B:$B,B412,DB_Loans!$J:$J)+(E412*0.025)),"")</f>
        <v/>
      </c>
      <c r="J412" s="31"/>
    </row>
    <row r="413" spans="1:10" ht="20.100000000000001" customHeight="1" x14ac:dyDescent="0.25">
      <c r="A413" s="30" t="str">
        <f t="shared" si="12"/>
        <v/>
      </c>
      <c r="B413" s="41"/>
      <c r="C413" s="35" t="str">
        <f>IFERROR(IF(B413="","",VLOOKUP(B413,DB_Customers!$A:$B,2,0)),"")</f>
        <v/>
      </c>
      <c r="D413" s="41"/>
      <c r="E413" s="32"/>
      <c r="F413" s="42" t="str">
        <f t="shared" ca="1" si="13"/>
        <v/>
      </c>
      <c r="G413" s="31"/>
      <c r="H413" s="43" t="str">
        <f>IFERROR(IF(OR(B413="",E413=""),"",SUMIF(DB_Loans!$B:$B,B413,DB_Loans!$E:$E)+E413),"")</f>
        <v/>
      </c>
      <c r="I413" s="43" t="str">
        <f>IFERROR(IF(OR(B413="",E413=""),"",SUMIF(DB_Loans!$B:$B,B413,DB_Loans!$J:$J)+(E413*0.025)),"")</f>
        <v/>
      </c>
      <c r="J413" s="31"/>
    </row>
    <row r="414" spans="1:10" ht="20.100000000000001" customHeight="1" x14ac:dyDescent="0.25">
      <c r="A414" s="30" t="str">
        <f t="shared" si="12"/>
        <v/>
      </c>
      <c r="B414" s="41"/>
      <c r="C414" s="35" t="str">
        <f>IFERROR(IF(B414="","",VLOOKUP(B414,DB_Customers!$A:$B,2,0)),"")</f>
        <v/>
      </c>
      <c r="D414" s="41"/>
      <c r="E414" s="32"/>
      <c r="F414" s="42" t="str">
        <f t="shared" ca="1" si="13"/>
        <v/>
      </c>
      <c r="G414" s="31"/>
      <c r="H414" s="43" t="str">
        <f>IFERROR(IF(OR(B414="",E414=""),"",SUMIF(DB_Loans!$B:$B,B414,DB_Loans!$E:$E)+E414),"")</f>
        <v/>
      </c>
      <c r="I414" s="43" t="str">
        <f>IFERROR(IF(OR(B414="",E414=""),"",SUMIF(DB_Loans!$B:$B,B414,DB_Loans!$J:$J)+(E414*0.025)),"")</f>
        <v/>
      </c>
      <c r="J414" s="31"/>
    </row>
    <row r="415" spans="1:10" ht="20.100000000000001" customHeight="1" x14ac:dyDescent="0.25">
      <c r="A415" s="30" t="str">
        <f t="shared" si="12"/>
        <v/>
      </c>
      <c r="B415" s="41"/>
      <c r="C415" s="35" t="str">
        <f>IFERROR(IF(B415="","",VLOOKUP(B415,DB_Customers!$A:$B,2,0)),"")</f>
        <v/>
      </c>
      <c r="D415" s="41"/>
      <c r="E415" s="32"/>
      <c r="F415" s="42" t="str">
        <f t="shared" ca="1" si="13"/>
        <v/>
      </c>
      <c r="G415" s="31"/>
      <c r="H415" s="43" t="str">
        <f>IFERROR(IF(OR(B415="",E415=""),"",SUMIF(DB_Loans!$B:$B,B415,DB_Loans!$E:$E)+E415),"")</f>
        <v/>
      </c>
      <c r="I415" s="43" t="str">
        <f>IFERROR(IF(OR(B415="",E415=""),"",SUMIF(DB_Loans!$B:$B,B415,DB_Loans!$J:$J)+(E415*0.025)),"")</f>
        <v/>
      </c>
      <c r="J415" s="31"/>
    </row>
    <row r="416" spans="1:10" ht="20.100000000000001" customHeight="1" x14ac:dyDescent="0.25">
      <c r="A416" s="30" t="str">
        <f t="shared" si="12"/>
        <v/>
      </c>
      <c r="B416" s="41"/>
      <c r="C416" s="35" t="str">
        <f>IFERROR(IF(B416="","",VLOOKUP(B416,DB_Customers!$A:$B,2,0)),"")</f>
        <v/>
      </c>
      <c r="D416" s="41"/>
      <c r="E416" s="32"/>
      <c r="F416" s="42" t="str">
        <f t="shared" ca="1" si="13"/>
        <v/>
      </c>
      <c r="G416" s="31"/>
      <c r="H416" s="43" t="str">
        <f>IFERROR(IF(OR(B416="",E416=""),"",SUMIF(DB_Loans!$B:$B,B416,DB_Loans!$E:$E)+E416),"")</f>
        <v/>
      </c>
      <c r="I416" s="43" t="str">
        <f>IFERROR(IF(OR(B416="",E416=""),"",SUMIF(DB_Loans!$B:$B,B416,DB_Loans!$J:$J)+(E416*0.025)),"")</f>
        <v/>
      </c>
      <c r="J416" s="31"/>
    </row>
    <row r="417" spans="1:10" ht="20.100000000000001" customHeight="1" x14ac:dyDescent="0.25">
      <c r="A417" s="30" t="str">
        <f t="shared" si="12"/>
        <v/>
      </c>
      <c r="B417" s="41"/>
      <c r="C417" s="35" t="str">
        <f>IFERROR(IF(B417="","",VLOOKUP(B417,DB_Customers!$A:$B,2,0)),"")</f>
        <v/>
      </c>
      <c r="D417" s="41"/>
      <c r="E417" s="32"/>
      <c r="F417" s="42" t="str">
        <f t="shared" ca="1" si="13"/>
        <v/>
      </c>
      <c r="G417" s="31"/>
      <c r="H417" s="43" t="str">
        <f>IFERROR(IF(OR(B417="",E417=""),"",SUMIF(DB_Loans!$B:$B,B417,DB_Loans!$E:$E)+E417),"")</f>
        <v/>
      </c>
      <c r="I417" s="43" t="str">
        <f>IFERROR(IF(OR(B417="",E417=""),"",SUMIF(DB_Loans!$B:$B,B417,DB_Loans!$J:$J)+(E417*0.025)),"")</f>
        <v/>
      </c>
      <c r="J417" s="31"/>
    </row>
    <row r="418" spans="1:10" ht="20.100000000000001" customHeight="1" x14ac:dyDescent="0.25">
      <c r="A418" s="30" t="str">
        <f t="shared" si="12"/>
        <v/>
      </c>
      <c r="B418" s="41"/>
      <c r="C418" s="35" t="str">
        <f>IFERROR(IF(B418="","",VLOOKUP(B418,DB_Customers!$A:$B,2,0)),"")</f>
        <v/>
      </c>
      <c r="D418" s="41"/>
      <c r="E418" s="32"/>
      <c r="F418" s="42" t="str">
        <f t="shared" ca="1" si="13"/>
        <v/>
      </c>
      <c r="G418" s="31"/>
      <c r="H418" s="43" t="str">
        <f>IFERROR(IF(OR(B418="",E418=""),"",SUMIF(DB_Loans!$B:$B,B418,DB_Loans!$E:$E)+E418),"")</f>
        <v/>
      </c>
      <c r="I418" s="43" t="str">
        <f>IFERROR(IF(OR(B418="",E418=""),"",SUMIF(DB_Loans!$B:$B,B418,DB_Loans!$J:$J)+(E418*0.025)),"")</f>
        <v/>
      </c>
      <c r="J418" s="31"/>
    </row>
    <row r="419" spans="1:10" ht="20.100000000000001" customHeight="1" x14ac:dyDescent="0.25">
      <c r="A419" s="30" t="str">
        <f t="shared" si="12"/>
        <v/>
      </c>
      <c r="B419" s="41"/>
      <c r="C419" s="35" t="str">
        <f>IFERROR(IF(B419="","",VLOOKUP(B419,DB_Customers!$A:$B,2,0)),"")</f>
        <v/>
      </c>
      <c r="D419" s="41"/>
      <c r="E419" s="32"/>
      <c r="F419" s="42" t="str">
        <f t="shared" ca="1" si="13"/>
        <v/>
      </c>
      <c r="G419" s="31"/>
      <c r="H419" s="43" t="str">
        <f>IFERROR(IF(OR(B419="",E419=""),"",SUMIF(DB_Loans!$B:$B,B419,DB_Loans!$E:$E)+E419),"")</f>
        <v/>
      </c>
      <c r="I419" s="43" t="str">
        <f>IFERROR(IF(OR(B419="",E419=""),"",SUMIF(DB_Loans!$B:$B,B419,DB_Loans!$J:$J)+(E419*0.025)),"")</f>
        <v/>
      </c>
      <c r="J419" s="31"/>
    </row>
    <row r="420" spans="1:10" ht="20.100000000000001" customHeight="1" x14ac:dyDescent="0.25">
      <c r="A420" s="30" t="str">
        <f t="shared" si="12"/>
        <v/>
      </c>
      <c r="B420" s="41"/>
      <c r="C420" s="35" t="str">
        <f>IFERROR(IF(B420="","",VLOOKUP(B420,DB_Customers!$A:$B,2,0)),"")</f>
        <v/>
      </c>
      <c r="D420" s="41"/>
      <c r="E420" s="32"/>
      <c r="F420" s="42" t="str">
        <f t="shared" ca="1" si="13"/>
        <v/>
      </c>
      <c r="G420" s="31"/>
      <c r="H420" s="43" t="str">
        <f>IFERROR(IF(OR(B420="",E420=""),"",SUMIF(DB_Loans!$B:$B,B420,DB_Loans!$E:$E)+E420),"")</f>
        <v/>
      </c>
      <c r="I420" s="43" t="str">
        <f>IFERROR(IF(OR(B420="",E420=""),"",SUMIF(DB_Loans!$B:$B,B420,DB_Loans!$J:$J)+(E420*0.025)),"")</f>
        <v/>
      </c>
      <c r="J420" s="31"/>
    </row>
    <row r="421" spans="1:10" ht="20.100000000000001" customHeight="1" x14ac:dyDescent="0.25">
      <c r="A421" s="30" t="str">
        <f t="shared" si="12"/>
        <v/>
      </c>
      <c r="B421" s="41"/>
      <c r="C421" s="35" t="str">
        <f>IFERROR(IF(B421="","",VLOOKUP(B421,DB_Customers!$A:$B,2,0)),"")</f>
        <v/>
      </c>
      <c r="D421" s="41"/>
      <c r="E421" s="32"/>
      <c r="F421" s="42" t="str">
        <f t="shared" ca="1" si="13"/>
        <v/>
      </c>
      <c r="G421" s="31"/>
      <c r="H421" s="43" t="str">
        <f>IFERROR(IF(OR(B421="",E421=""),"",SUMIF(DB_Loans!$B:$B,B421,DB_Loans!$E:$E)+E421),"")</f>
        <v/>
      </c>
      <c r="I421" s="43" t="str">
        <f>IFERROR(IF(OR(B421="",E421=""),"",SUMIF(DB_Loans!$B:$B,B421,DB_Loans!$J:$J)+(E421*0.025)),"")</f>
        <v/>
      </c>
      <c r="J421" s="31"/>
    </row>
    <row r="422" spans="1:10" ht="20.100000000000001" customHeight="1" x14ac:dyDescent="0.25">
      <c r="A422" s="30" t="str">
        <f t="shared" si="12"/>
        <v/>
      </c>
      <c r="B422" s="41"/>
      <c r="C422" s="35" t="str">
        <f>IFERROR(IF(B422="","",VLOOKUP(B422,DB_Customers!$A:$B,2,0)),"")</f>
        <v/>
      </c>
      <c r="D422" s="41"/>
      <c r="E422" s="32"/>
      <c r="F422" s="42" t="str">
        <f t="shared" ca="1" si="13"/>
        <v/>
      </c>
      <c r="G422" s="31"/>
      <c r="H422" s="43" t="str">
        <f>IFERROR(IF(OR(B422="",E422=""),"",SUMIF(DB_Loans!$B:$B,B422,DB_Loans!$E:$E)+E422),"")</f>
        <v/>
      </c>
      <c r="I422" s="43" t="str">
        <f>IFERROR(IF(OR(B422="",E422=""),"",SUMIF(DB_Loans!$B:$B,B422,DB_Loans!$J:$J)+(E422*0.025)),"")</f>
        <v/>
      </c>
      <c r="J422" s="31"/>
    </row>
    <row r="423" spans="1:10" ht="20.100000000000001" customHeight="1" x14ac:dyDescent="0.25">
      <c r="A423" s="30" t="str">
        <f t="shared" si="12"/>
        <v/>
      </c>
      <c r="B423" s="41"/>
      <c r="C423" s="35" t="str">
        <f>IFERROR(IF(B423="","",VLOOKUP(B423,DB_Customers!$A:$B,2,0)),"")</f>
        <v/>
      </c>
      <c r="D423" s="41"/>
      <c r="E423" s="32"/>
      <c r="F423" s="42" t="str">
        <f t="shared" ca="1" si="13"/>
        <v/>
      </c>
      <c r="G423" s="31"/>
      <c r="H423" s="43" t="str">
        <f>IFERROR(IF(OR(B423="",E423=""),"",SUMIF(DB_Loans!$B:$B,B423,DB_Loans!$E:$E)+E423),"")</f>
        <v/>
      </c>
      <c r="I423" s="43" t="str">
        <f>IFERROR(IF(OR(B423="",E423=""),"",SUMIF(DB_Loans!$B:$B,B423,DB_Loans!$J:$J)+(E423*0.025)),"")</f>
        <v/>
      </c>
      <c r="J423" s="31"/>
    </row>
    <row r="424" spans="1:10" ht="20.100000000000001" customHeight="1" x14ac:dyDescent="0.25">
      <c r="A424" s="30" t="str">
        <f t="shared" si="12"/>
        <v/>
      </c>
      <c r="B424" s="41"/>
      <c r="C424" s="35" t="str">
        <f>IFERROR(IF(B424="","",VLOOKUP(B424,DB_Customers!$A:$B,2,0)),"")</f>
        <v/>
      </c>
      <c r="D424" s="41"/>
      <c r="E424" s="32"/>
      <c r="F424" s="42" t="str">
        <f t="shared" ca="1" si="13"/>
        <v/>
      </c>
      <c r="G424" s="31"/>
      <c r="H424" s="43" t="str">
        <f>IFERROR(IF(OR(B424="",E424=""),"",SUMIF(DB_Loans!$B:$B,B424,DB_Loans!$E:$E)+E424),"")</f>
        <v/>
      </c>
      <c r="I424" s="43" t="str">
        <f>IFERROR(IF(OR(B424="",E424=""),"",SUMIF(DB_Loans!$B:$B,B424,DB_Loans!$J:$J)+(E424*0.025)),"")</f>
        <v/>
      </c>
      <c r="J424" s="31"/>
    </row>
    <row r="425" spans="1:10" ht="20.100000000000001" customHeight="1" x14ac:dyDescent="0.25">
      <c r="A425" s="30" t="str">
        <f t="shared" si="12"/>
        <v/>
      </c>
      <c r="B425" s="41"/>
      <c r="C425" s="35" t="str">
        <f>IFERROR(IF(B425="","",VLOOKUP(B425,DB_Customers!$A:$B,2,0)),"")</f>
        <v/>
      </c>
      <c r="D425" s="41"/>
      <c r="E425" s="32"/>
      <c r="F425" s="42" t="str">
        <f t="shared" ca="1" si="13"/>
        <v/>
      </c>
      <c r="G425" s="31"/>
      <c r="H425" s="43" t="str">
        <f>IFERROR(IF(OR(B425="",E425=""),"",SUMIF(DB_Loans!$B:$B,B425,DB_Loans!$E:$E)+E425),"")</f>
        <v/>
      </c>
      <c r="I425" s="43" t="str">
        <f>IFERROR(IF(OR(B425="",E425=""),"",SUMIF(DB_Loans!$B:$B,B425,DB_Loans!$J:$J)+(E425*0.025)),"")</f>
        <v/>
      </c>
      <c r="J425" s="31"/>
    </row>
    <row r="426" spans="1:10" ht="20.100000000000001" customHeight="1" x14ac:dyDescent="0.25">
      <c r="A426" s="30" t="str">
        <f t="shared" si="12"/>
        <v/>
      </c>
      <c r="B426" s="41"/>
      <c r="C426" s="35" t="str">
        <f>IFERROR(IF(B426="","",VLOOKUP(B426,DB_Customers!$A:$B,2,0)),"")</f>
        <v/>
      </c>
      <c r="D426" s="41"/>
      <c r="E426" s="32"/>
      <c r="F426" s="42" t="str">
        <f t="shared" ca="1" si="13"/>
        <v/>
      </c>
      <c r="G426" s="31"/>
      <c r="H426" s="43" t="str">
        <f>IFERROR(IF(OR(B426="",E426=""),"",SUMIF(DB_Loans!$B:$B,B426,DB_Loans!$E:$E)+E426),"")</f>
        <v/>
      </c>
      <c r="I426" s="43" t="str">
        <f>IFERROR(IF(OR(B426="",E426=""),"",SUMIF(DB_Loans!$B:$B,B426,DB_Loans!$J:$J)+(E426*0.025)),"")</f>
        <v/>
      </c>
      <c r="J426" s="31"/>
    </row>
    <row r="427" spans="1:10" ht="20.100000000000001" customHeight="1" x14ac:dyDescent="0.25">
      <c r="A427" s="30" t="str">
        <f t="shared" si="12"/>
        <v/>
      </c>
      <c r="B427" s="41"/>
      <c r="C427" s="35" t="str">
        <f>IFERROR(IF(B427="","",VLOOKUP(B427,DB_Customers!$A:$B,2,0)),"")</f>
        <v/>
      </c>
      <c r="D427" s="41"/>
      <c r="E427" s="32"/>
      <c r="F427" s="42" t="str">
        <f t="shared" ca="1" si="13"/>
        <v/>
      </c>
      <c r="G427" s="31"/>
      <c r="H427" s="43" t="str">
        <f>IFERROR(IF(OR(B427="",E427=""),"",SUMIF(DB_Loans!$B:$B,B427,DB_Loans!$E:$E)+E427),"")</f>
        <v/>
      </c>
      <c r="I427" s="43" t="str">
        <f>IFERROR(IF(OR(B427="",E427=""),"",SUMIF(DB_Loans!$B:$B,B427,DB_Loans!$J:$J)+(E427*0.025)),"")</f>
        <v/>
      </c>
      <c r="J427" s="31"/>
    </row>
    <row r="428" spans="1:10" ht="20.100000000000001" customHeight="1" x14ac:dyDescent="0.25">
      <c r="A428" s="30" t="str">
        <f t="shared" si="12"/>
        <v/>
      </c>
      <c r="B428" s="41"/>
      <c r="C428" s="35" t="str">
        <f>IFERROR(IF(B428="","",VLOOKUP(B428,DB_Customers!$A:$B,2,0)),"")</f>
        <v/>
      </c>
      <c r="D428" s="41"/>
      <c r="E428" s="32"/>
      <c r="F428" s="42" t="str">
        <f t="shared" ca="1" si="13"/>
        <v/>
      </c>
      <c r="G428" s="31"/>
      <c r="H428" s="43" t="str">
        <f>IFERROR(IF(OR(B428="",E428=""),"",SUMIF(DB_Loans!$B:$B,B428,DB_Loans!$E:$E)+E428),"")</f>
        <v/>
      </c>
      <c r="I428" s="43" t="str">
        <f>IFERROR(IF(OR(B428="",E428=""),"",SUMIF(DB_Loans!$B:$B,B428,DB_Loans!$J:$J)+(E428*0.025)),"")</f>
        <v/>
      </c>
      <c r="J428" s="31"/>
    </row>
    <row r="429" spans="1:10" ht="20.100000000000001" customHeight="1" x14ac:dyDescent="0.25">
      <c r="A429" s="30" t="str">
        <f t="shared" si="12"/>
        <v/>
      </c>
      <c r="B429" s="41"/>
      <c r="C429" s="35" t="str">
        <f>IFERROR(IF(B429="","",VLOOKUP(B429,DB_Customers!$A:$B,2,0)),"")</f>
        <v/>
      </c>
      <c r="D429" s="41"/>
      <c r="E429" s="32"/>
      <c r="F429" s="42" t="str">
        <f t="shared" ca="1" si="13"/>
        <v/>
      </c>
      <c r="G429" s="31"/>
      <c r="H429" s="43" t="str">
        <f>IFERROR(IF(OR(B429="",E429=""),"",SUMIF(DB_Loans!$B:$B,B429,DB_Loans!$E:$E)+E429),"")</f>
        <v/>
      </c>
      <c r="I429" s="43" t="str">
        <f>IFERROR(IF(OR(B429="",E429=""),"",SUMIF(DB_Loans!$B:$B,B429,DB_Loans!$J:$J)+(E429*0.025)),"")</f>
        <v/>
      </c>
      <c r="J429" s="31"/>
    </row>
    <row r="430" spans="1:10" ht="20.100000000000001" customHeight="1" x14ac:dyDescent="0.25">
      <c r="A430" s="30" t="str">
        <f t="shared" si="12"/>
        <v/>
      </c>
      <c r="B430" s="41"/>
      <c r="C430" s="35" t="str">
        <f>IFERROR(IF(B430="","",VLOOKUP(B430,DB_Customers!$A:$B,2,0)),"")</f>
        <v/>
      </c>
      <c r="D430" s="41"/>
      <c r="E430" s="32"/>
      <c r="F430" s="42" t="str">
        <f t="shared" ca="1" si="13"/>
        <v/>
      </c>
      <c r="G430" s="31"/>
      <c r="H430" s="43" t="str">
        <f>IFERROR(IF(OR(B430="",E430=""),"",SUMIF(DB_Loans!$B:$B,B430,DB_Loans!$E:$E)+E430),"")</f>
        <v/>
      </c>
      <c r="I430" s="43" t="str">
        <f>IFERROR(IF(OR(B430="",E430=""),"",SUMIF(DB_Loans!$B:$B,B430,DB_Loans!$J:$J)+(E430*0.025)),"")</f>
        <v/>
      </c>
      <c r="J430" s="31"/>
    </row>
    <row r="431" spans="1:10" ht="20.100000000000001" customHeight="1" x14ac:dyDescent="0.25">
      <c r="A431" s="30" t="str">
        <f t="shared" si="12"/>
        <v/>
      </c>
      <c r="B431" s="41"/>
      <c r="C431" s="35" t="str">
        <f>IFERROR(IF(B431="","",VLOOKUP(B431,DB_Customers!$A:$B,2,0)),"")</f>
        <v/>
      </c>
      <c r="D431" s="41"/>
      <c r="E431" s="32"/>
      <c r="F431" s="42" t="str">
        <f t="shared" ca="1" si="13"/>
        <v/>
      </c>
      <c r="G431" s="31"/>
      <c r="H431" s="43" t="str">
        <f>IFERROR(IF(OR(B431="",E431=""),"",SUMIF(DB_Loans!$B:$B,B431,DB_Loans!$E:$E)+E431),"")</f>
        <v/>
      </c>
      <c r="I431" s="43" t="str">
        <f>IFERROR(IF(OR(B431="",E431=""),"",SUMIF(DB_Loans!$B:$B,B431,DB_Loans!$J:$J)+(E431*0.025)),"")</f>
        <v/>
      </c>
      <c r="J431" s="31"/>
    </row>
    <row r="432" spans="1:10" ht="20.100000000000001" customHeight="1" x14ac:dyDescent="0.25">
      <c r="A432" s="30" t="str">
        <f t="shared" si="12"/>
        <v/>
      </c>
      <c r="B432" s="41"/>
      <c r="C432" s="35" t="str">
        <f>IFERROR(IF(B432="","",VLOOKUP(B432,DB_Customers!$A:$B,2,0)),"")</f>
        <v/>
      </c>
      <c r="D432" s="41"/>
      <c r="E432" s="32"/>
      <c r="F432" s="42" t="str">
        <f t="shared" ca="1" si="13"/>
        <v/>
      </c>
      <c r="G432" s="31"/>
      <c r="H432" s="43" t="str">
        <f>IFERROR(IF(OR(B432="",E432=""),"",SUMIF(DB_Loans!$B:$B,B432,DB_Loans!$E:$E)+E432),"")</f>
        <v/>
      </c>
      <c r="I432" s="43" t="str">
        <f>IFERROR(IF(OR(B432="",E432=""),"",SUMIF(DB_Loans!$B:$B,B432,DB_Loans!$J:$J)+(E432*0.025)),"")</f>
        <v/>
      </c>
      <c r="J432" s="31"/>
    </row>
    <row r="433" spans="1:10" ht="20.100000000000001" customHeight="1" x14ac:dyDescent="0.25">
      <c r="A433" s="30" t="str">
        <f t="shared" si="12"/>
        <v/>
      </c>
      <c r="B433" s="41"/>
      <c r="C433" s="35" t="str">
        <f>IFERROR(IF(B433="","",VLOOKUP(B433,DB_Customers!$A:$B,2,0)),"")</f>
        <v/>
      </c>
      <c r="D433" s="41"/>
      <c r="E433" s="32"/>
      <c r="F433" s="42" t="str">
        <f t="shared" ca="1" si="13"/>
        <v/>
      </c>
      <c r="G433" s="31"/>
      <c r="H433" s="43" t="str">
        <f>IFERROR(IF(OR(B433="",E433=""),"",SUMIF(DB_Loans!$B:$B,B433,DB_Loans!$E:$E)+E433),"")</f>
        <v/>
      </c>
      <c r="I433" s="43" t="str">
        <f>IFERROR(IF(OR(B433="",E433=""),"",SUMIF(DB_Loans!$B:$B,B433,DB_Loans!$J:$J)+(E433*0.025)),"")</f>
        <v/>
      </c>
      <c r="J433" s="31"/>
    </row>
    <row r="434" spans="1:10" ht="20.100000000000001" customHeight="1" x14ac:dyDescent="0.25">
      <c r="A434" s="30" t="str">
        <f t="shared" si="12"/>
        <v/>
      </c>
      <c r="B434" s="41"/>
      <c r="C434" s="35" t="str">
        <f>IFERROR(IF(B434="","",VLOOKUP(B434,DB_Customers!$A:$B,2,0)),"")</f>
        <v/>
      </c>
      <c r="D434" s="41"/>
      <c r="E434" s="32"/>
      <c r="F434" s="42" t="str">
        <f t="shared" ca="1" si="13"/>
        <v/>
      </c>
      <c r="G434" s="31"/>
      <c r="H434" s="43" t="str">
        <f>IFERROR(IF(OR(B434="",E434=""),"",SUMIF(DB_Loans!$B:$B,B434,DB_Loans!$E:$E)+E434),"")</f>
        <v/>
      </c>
      <c r="I434" s="43" t="str">
        <f>IFERROR(IF(OR(B434="",E434=""),"",SUMIF(DB_Loans!$B:$B,B434,DB_Loans!$J:$J)+(E434*0.025)),"")</f>
        <v/>
      </c>
      <c r="J434" s="31"/>
    </row>
    <row r="435" spans="1:10" ht="20.100000000000001" customHeight="1" x14ac:dyDescent="0.25">
      <c r="A435" s="30" t="str">
        <f t="shared" si="12"/>
        <v/>
      </c>
      <c r="B435" s="41"/>
      <c r="C435" s="35" t="str">
        <f>IFERROR(IF(B435="","",VLOOKUP(B435,DB_Customers!$A:$B,2,0)),"")</f>
        <v/>
      </c>
      <c r="D435" s="41"/>
      <c r="E435" s="32"/>
      <c r="F435" s="42" t="str">
        <f t="shared" ca="1" si="13"/>
        <v/>
      </c>
      <c r="G435" s="31"/>
      <c r="H435" s="43" t="str">
        <f>IFERROR(IF(OR(B435="",E435=""),"",SUMIF(DB_Loans!$B:$B,B435,DB_Loans!$E:$E)+E435),"")</f>
        <v/>
      </c>
      <c r="I435" s="43" t="str">
        <f>IFERROR(IF(OR(B435="",E435=""),"",SUMIF(DB_Loans!$B:$B,B435,DB_Loans!$J:$J)+(E435*0.025)),"")</f>
        <v/>
      </c>
      <c r="J435" s="31"/>
    </row>
    <row r="436" spans="1:10" ht="20.100000000000001" customHeight="1" x14ac:dyDescent="0.25">
      <c r="A436" s="30" t="str">
        <f t="shared" si="12"/>
        <v/>
      </c>
      <c r="B436" s="41"/>
      <c r="C436" s="35" t="str">
        <f>IFERROR(IF(B436="","",VLOOKUP(B436,DB_Customers!$A:$B,2,0)),"")</f>
        <v/>
      </c>
      <c r="D436" s="41"/>
      <c r="E436" s="32"/>
      <c r="F436" s="42" t="str">
        <f t="shared" ca="1" si="13"/>
        <v/>
      </c>
      <c r="G436" s="31"/>
      <c r="H436" s="43" t="str">
        <f>IFERROR(IF(OR(B436="",E436=""),"",SUMIF(DB_Loans!$B:$B,B436,DB_Loans!$E:$E)+E436),"")</f>
        <v/>
      </c>
      <c r="I436" s="43" t="str">
        <f>IFERROR(IF(OR(B436="",E436=""),"",SUMIF(DB_Loans!$B:$B,B436,DB_Loans!$J:$J)+(E436*0.025)),"")</f>
        <v/>
      </c>
      <c r="J436" s="31"/>
    </row>
    <row r="437" spans="1:10" ht="20.100000000000001" customHeight="1" x14ac:dyDescent="0.25">
      <c r="A437" s="30" t="str">
        <f t="shared" si="12"/>
        <v/>
      </c>
      <c r="B437" s="41"/>
      <c r="C437" s="35" t="str">
        <f>IFERROR(IF(B437="","",VLOOKUP(B437,DB_Customers!$A:$B,2,0)),"")</f>
        <v/>
      </c>
      <c r="D437" s="41"/>
      <c r="E437" s="32"/>
      <c r="F437" s="42" t="str">
        <f t="shared" ca="1" si="13"/>
        <v/>
      </c>
      <c r="G437" s="31"/>
      <c r="H437" s="43" t="str">
        <f>IFERROR(IF(OR(B437="",E437=""),"",SUMIF(DB_Loans!$B:$B,B437,DB_Loans!$E:$E)+E437),"")</f>
        <v/>
      </c>
      <c r="I437" s="43" t="str">
        <f>IFERROR(IF(OR(B437="",E437=""),"",SUMIF(DB_Loans!$B:$B,B437,DB_Loans!$J:$J)+(E437*0.025)),"")</f>
        <v/>
      </c>
      <c r="J437" s="31"/>
    </row>
    <row r="438" spans="1:10" ht="20.100000000000001" customHeight="1" x14ac:dyDescent="0.25">
      <c r="A438" s="30" t="str">
        <f t="shared" si="12"/>
        <v/>
      </c>
      <c r="B438" s="41"/>
      <c r="C438" s="35" t="str">
        <f>IFERROR(IF(B438="","",VLOOKUP(B438,DB_Customers!$A:$B,2,0)),"")</f>
        <v/>
      </c>
      <c r="D438" s="41"/>
      <c r="E438" s="32"/>
      <c r="F438" s="42" t="str">
        <f t="shared" ca="1" si="13"/>
        <v/>
      </c>
      <c r="G438" s="31"/>
      <c r="H438" s="43" t="str">
        <f>IFERROR(IF(OR(B438="",E438=""),"",SUMIF(DB_Loans!$B:$B,B438,DB_Loans!$E:$E)+E438),"")</f>
        <v/>
      </c>
      <c r="I438" s="43" t="str">
        <f>IFERROR(IF(OR(B438="",E438=""),"",SUMIF(DB_Loans!$B:$B,B438,DB_Loans!$J:$J)+(E438*0.025)),"")</f>
        <v/>
      </c>
      <c r="J438" s="31"/>
    </row>
    <row r="439" spans="1:10" ht="20.100000000000001" customHeight="1" x14ac:dyDescent="0.25">
      <c r="A439" s="30" t="str">
        <f t="shared" si="12"/>
        <v/>
      </c>
      <c r="B439" s="41"/>
      <c r="C439" s="35" t="str">
        <f>IFERROR(IF(B439="","",VLOOKUP(B439,DB_Customers!$A:$B,2,0)),"")</f>
        <v/>
      </c>
      <c r="D439" s="41"/>
      <c r="E439" s="32"/>
      <c r="F439" s="42" t="str">
        <f t="shared" ca="1" si="13"/>
        <v/>
      </c>
      <c r="G439" s="31"/>
      <c r="H439" s="43" t="str">
        <f>IFERROR(IF(OR(B439="",E439=""),"",SUMIF(DB_Loans!$B:$B,B439,DB_Loans!$E:$E)+E439),"")</f>
        <v/>
      </c>
      <c r="I439" s="43" t="str">
        <f>IFERROR(IF(OR(B439="",E439=""),"",SUMIF(DB_Loans!$B:$B,B439,DB_Loans!$J:$J)+(E439*0.025)),"")</f>
        <v/>
      </c>
      <c r="J439" s="31"/>
    </row>
    <row r="440" spans="1:10" ht="20.100000000000001" customHeight="1" x14ac:dyDescent="0.25">
      <c r="A440" s="30" t="str">
        <f t="shared" si="12"/>
        <v/>
      </c>
      <c r="B440" s="41"/>
      <c r="C440" s="35" t="str">
        <f>IFERROR(IF(B440="","",VLOOKUP(B440,DB_Customers!$A:$B,2,0)),"")</f>
        <v/>
      </c>
      <c r="D440" s="41"/>
      <c r="E440" s="32"/>
      <c r="F440" s="42" t="str">
        <f t="shared" ca="1" si="13"/>
        <v/>
      </c>
      <c r="G440" s="31"/>
      <c r="H440" s="43" t="str">
        <f>IFERROR(IF(OR(B440="",E440=""),"",SUMIF(DB_Loans!$B:$B,B440,DB_Loans!$E:$E)+E440),"")</f>
        <v/>
      </c>
      <c r="I440" s="43" t="str">
        <f>IFERROR(IF(OR(B440="",E440=""),"",SUMIF(DB_Loans!$B:$B,B440,DB_Loans!$J:$J)+(E440*0.025)),"")</f>
        <v/>
      </c>
      <c r="J440" s="31"/>
    </row>
    <row r="441" spans="1:10" ht="20.100000000000001" customHeight="1" x14ac:dyDescent="0.25">
      <c r="A441" s="30" t="str">
        <f t="shared" si="12"/>
        <v/>
      </c>
      <c r="B441" s="41"/>
      <c r="C441" s="35" t="str">
        <f>IFERROR(IF(B441="","",VLOOKUP(B441,DB_Customers!$A:$B,2,0)),"")</f>
        <v/>
      </c>
      <c r="D441" s="41"/>
      <c r="E441" s="32"/>
      <c r="F441" s="42" t="str">
        <f t="shared" ca="1" si="13"/>
        <v/>
      </c>
      <c r="G441" s="31"/>
      <c r="H441" s="43" t="str">
        <f>IFERROR(IF(OR(B441="",E441=""),"",SUMIF(DB_Loans!$B:$B,B441,DB_Loans!$E:$E)+E441),"")</f>
        <v/>
      </c>
      <c r="I441" s="43" t="str">
        <f>IFERROR(IF(OR(B441="",E441=""),"",SUMIF(DB_Loans!$B:$B,B441,DB_Loans!$J:$J)+(E441*0.025)),"")</f>
        <v/>
      </c>
      <c r="J441" s="31"/>
    </row>
    <row r="442" spans="1:10" ht="20.100000000000001" customHeight="1" x14ac:dyDescent="0.25">
      <c r="A442" s="30" t="str">
        <f t="shared" si="12"/>
        <v/>
      </c>
      <c r="B442" s="41"/>
      <c r="C442" s="35" t="str">
        <f>IFERROR(IF(B442="","",VLOOKUP(B442,DB_Customers!$A:$B,2,0)),"")</f>
        <v/>
      </c>
      <c r="D442" s="41"/>
      <c r="E442" s="32"/>
      <c r="F442" s="42" t="str">
        <f t="shared" ca="1" si="13"/>
        <v/>
      </c>
      <c r="G442" s="31"/>
      <c r="H442" s="43" t="str">
        <f>IFERROR(IF(OR(B442="",E442=""),"",SUMIF(DB_Loans!$B:$B,B442,DB_Loans!$E:$E)+E442),"")</f>
        <v/>
      </c>
      <c r="I442" s="43" t="str">
        <f>IFERROR(IF(OR(B442="",E442=""),"",SUMIF(DB_Loans!$B:$B,B442,DB_Loans!$J:$J)+(E442*0.025)),"")</f>
        <v/>
      </c>
      <c r="J442" s="31"/>
    </row>
    <row r="443" spans="1:10" ht="20.100000000000001" customHeight="1" x14ac:dyDescent="0.25">
      <c r="A443" s="30" t="str">
        <f t="shared" si="12"/>
        <v/>
      </c>
      <c r="B443" s="41"/>
      <c r="C443" s="35" t="str">
        <f>IFERROR(IF(B443="","",VLOOKUP(B443,DB_Customers!$A:$B,2,0)),"")</f>
        <v/>
      </c>
      <c r="D443" s="41"/>
      <c r="E443" s="32"/>
      <c r="F443" s="42" t="str">
        <f t="shared" ca="1" si="13"/>
        <v/>
      </c>
      <c r="G443" s="31"/>
      <c r="H443" s="43" t="str">
        <f>IFERROR(IF(OR(B443="",E443=""),"",SUMIF(DB_Loans!$B:$B,B443,DB_Loans!$E:$E)+E443),"")</f>
        <v/>
      </c>
      <c r="I443" s="43" t="str">
        <f>IFERROR(IF(OR(B443="",E443=""),"",SUMIF(DB_Loans!$B:$B,B443,DB_Loans!$J:$J)+(E443*0.025)),"")</f>
        <v/>
      </c>
      <c r="J443" s="31"/>
    </row>
    <row r="444" spans="1:10" ht="20.100000000000001" customHeight="1" x14ac:dyDescent="0.25">
      <c r="A444" s="30" t="str">
        <f t="shared" si="12"/>
        <v/>
      </c>
      <c r="B444" s="41"/>
      <c r="C444" s="35" t="str">
        <f>IFERROR(IF(B444="","",VLOOKUP(B444,DB_Customers!$A:$B,2,0)),"")</f>
        <v/>
      </c>
      <c r="D444" s="41"/>
      <c r="E444" s="32"/>
      <c r="F444" s="42" t="str">
        <f t="shared" ca="1" si="13"/>
        <v/>
      </c>
      <c r="G444" s="31"/>
      <c r="H444" s="43" t="str">
        <f>IFERROR(IF(OR(B444="",E444=""),"",SUMIF(DB_Loans!$B:$B,B444,DB_Loans!$E:$E)+E444),"")</f>
        <v/>
      </c>
      <c r="I444" s="43" t="str">
        <f>IFERROR(IF(OR(B444="",E444=""),"",SUMIF(DB_Loans!$B:$B,B444,DB_Loans!$J:$J)+(E444*0.025)),"")</f>
        <v/>
      </c>
      <c r="J444" s="31"/>
    </row>
    <row r="445" spans="1:10" ht="20.100000000000001" customHeight="1" x14ac:dyDescent="0.25">
      <c r="A445" s="30" t="str">
        <f t="shared" si="12"/>
        <v/>
      </c>
      <c r="B445" s="41"/>
      <c r="C445" s="35" t="str">
        <f>IFERROR(IF(B445="","",VLOOKUP(B445,DB_Customers!$A:$B,2,0)),"")</f>
        <v/>
      </c>
      <c r="D445" s="41"/>
      <c r="E445" s="32"/>
      <c r="F445" s="42" t="str">
        <f t="shared" ca="1" si="13"/>
        <v/>
      </c>
      <c r="G445" s="31"/>
      <c r="H445" s="43" t="str">
        <f>IFERROR(IF(OR(B445="",E445=""),"",SUMIF(DB_Loans!$B:$B,B445,DB_Loans!$E:$E)+E445),"")</f>
        <v/>
      </c>
      <c r="I445" s="43" t="str">
        <f>IFERROR(IF(OR(B445="",E445=""),"",SUMIF(DB_Loans!$B:$B,B445,DB_Loans!$J:$J)+(E445*0.025)),"")</f>
        <v/>
      </c>
      <c r="J445" s="31"/>
    </row>
    <row r="446" spans="1:10" ht="20.100000000000001" customHeight="1" x14ac:dyDescent="0.25">
      <c r="A446" s="30" t="str">
        <f t="shared" si="12"/>
        <v/>
      </c>
      <c r="B446" s="41"/>
      <c r="C446" s="35" t="str">
        <f>IFERROR(IF(B446="","",VLOOKUP(B446,DB_Customers!$A:$B,2,0)),"")</f>
        <v/>
      </c>
      <c r="D446" s="41"/>
      <c r="E446" s="32"/>
      <c r="F446" s="42" t="str">
        <f t="shared" ca="1" si="13"/>
        <v/>
      </c>
      <c r="G446" s="31"/>
      <c r="H446" s="43" t="str">
        <f>IFERROR(IF(OR(B446="",E446=""),"",SUMIF(DB_Loans!$B:$B,B446,DB_Loans!$E:$E)+E446),"")</f>
        <v/>
      </c>
      <c r="I446" s="43" t="str">
        <f>IFERROR(IF(OR(B446="",E446=""),"",SUMIF(DB_Loans!$B:$B,B446,DB_Loans!$J:$J)+(E446*0.025)),"")</f>
        <v/>
      </c>
      <c r="J446" s="31"/>
    </row>
    <row r="447" spans="1:10" ht="20.100000000000001" customHeight="1" x14ac:dyDescent="0.25">
      <c r="A447" s="30" t="str">
        <f t="shared" si="12"/>
        <v/>
      </c>
      <c r="B447" s="41"/>
      <c r="C447" s="35" t="str">
        <f>IFERROR(IF(B447="","",VLOOKUP(B447,DB_Customers!$A:$B,2,0)),"")</f>
        <v/>
      </c>
      <c r="D447" s="41"/>
      <c r="E447" s="32"/>
      <c r="F447" s="42" t="str">
        <f t="shared" ca="1" si="13"/>
        <v/>
      </c>
      <c r="G447" s="31"/>
      <c r="H447" s="43" t="str">
        <f>IFERROR(IF(OR(B447="",E447=""),"",SUMIF(DB_Loans!$B:$B,B447,DB_Loans!$E:$E)+E447),"")</f>
        <v/>
      </c>
      <c r="I447" s="43" t="str">
        <f>IFERROR(IF(OR(B447="",E447=""),"",SUMIF(DB_Loans!$B:$B,B447,DB_Loans!$J:$J)+(E447*0.025)),"")</f>
        <v/>
      </c>
      <c r="J447" s="31"/>
    </row>
    <row r="448" spans="1:10" ht="20.100000000000001" customHeight="1" x14ac:dyDescent="0.25">
      <c r="A448" s="30" t="str">
        <f t="shared" si="12"/>
        <v/>
      </c>
      <c r="B448" s="41"/>
      <c r="C448" s="35" t="str">
        <f>IFERROR(IF(B448="","",VLOOKUP(B448,DB_Customers!$A:$B,2,0)),"")</f>
        <v/>
      </c>
      <c r="D448" s="41"/>
      <c r="E448" s="32"/>
      <c r="F448" s="42" t="str">
        <f t="shared" ca="1" si="13"/>
        <v/>
      </c>
      <c r="G448" s="31"/>
      <c r="H448" s="43" t="str">
        <f>IFERROR(IF(OR(B448="",E448=""),"",SUMIF(DB_Loans!$B:$B,B448,DB_Loans!$E:$E)+E448),"")</f>
        <v/>
      </c>
      <c r="I448" s="43" t="str">
        <f>IFERROR(IF(OR(B448="",E448=""),"",SUMIF(DB_Loans!$B:$B,B448,DB_Loans!$J:$J)+(E448*0.025)),"")</f>
        <v/>
      </c>
      <c r="J448" s="31"/>
    </row>
    <row r="449" spans="1:10" ht="20.100000000000001" customHeight="1" x14ac:dyDescent="0.25">
      <c r="A449" s="30" t="str">
        <f t="shared" si="12"/>
        <v/>
      </c>
      <c r="B449" s="41"/>
      <c r="C449" s="35" t="str">
        <f>IFERROR(IF(B449="","",VLOOKUP(B449,DB_Customers!$A:$B,2,0)),"")</f>
        <v/>
      </c>
      <c r="D449" s="41"/>
      <c r="E449" s="32"/>
      <c r="F449" s="42" t="str">
        <f t="shared" ca="1" si="13"/>
        <v/>
      </c>
      <c r="G449" s="31"/>
      <c r="H449" s="43" t="str">
        <f>IFERROR(IF(OR(B449="",E449=""),"",SUMIF(DB_Loans!$B:$B,B449,DB_Loans!$E:$E)+E449),"")</f>
        <v/>
      </c>
      <c r="I449" s="43" t="str">
        <f>IFERROR(IF(OR(B449="",E449=""),"",SUMIF(DB_Loans!$B:$B,B449,DB_Loans!$J:$J)+(E449*0.025)),"")</f>
        <v/>
      </c>
      <c r="J449" s="31"/>
    </row>
    <row r="450" spans="1:10" ht="20.100000000000001" customHeight="1" x14ac:dyDescent="0.25">
      <c r="A450" s="30" t="str">
        <f t="shared" si="12"/>
        <v/>
      </c>
      <c r="B450" s="41"/>
      <c r="C450" s="35" t="str">
        <f>IFERROR(IF(B450="","",VLOOKUP(B450,DB_Customers!$A:$B,2,0)),"")</f>
        <v/>
      </c>
      <c r="D450" s="41"/>
      <c r="E450" s="32"/>
      <c r="F450" s="42" t="str">
        <f t="shared" ca="1" si="13"/>
        <v/>
      </c>
      <c r="G450" s="31"/>
      <c r="H450" s="43" t="str">
        <f>IFERROR(IF(OR(B450="",E450=""),"",SUMIF(DB_Loans!$B:$B,B450,DB_Loans!$E:$E)+E450),"")</f>
        <v/>
      </c>
      <c r="I450" s="43" t="str">
        <f>IFERROR(IF(OR(B450="",E450=""),"",SUMIF(DB_Loans!$B:$B,B450,DB_Loans!$J:$J)+(E450*0.025)),"")</f>
        <v/>
      </c>
      <c r="J450" s="31"/>
    </row>
    <row r="451" spans="1:10" ht="20.100000000000001" customHeight="1" x14ac:dyDescent="0.25">
      <c r="A451" s="30" t="str">
        <f t="shared" si="12"/>
        <v/>
      </c>
      <c r="B451" s="41"/>
      <c r="C451" s="35" t="str">
        <f>IFERROR(IF(B451="","",VLOOKUP(B451,DB_Customers!$A:$B,2,0)),"")</f>
        <v/>
      </c>
      <c r="D451" s="41"/>
      <c r="E451" s="32"/>
      <c r="F451" s="42" t="str">
        <f t="shared" ca="1" si="13"/>
        <v/>
      </c>
      <c r="G451" s="31"/>
      <c r="H451" s="43" t="str">
        <f>IFERROR(IF(OR(B451="",E451=""),"",SUMIF(DB_Loans!$B:$B,B451,DB_Loans!$E:$E)+E451),"")</f>
        <v/>
      </c>
      <c r="I451" s="43" t="str">
        <f>IFERROR(IF(OR(B451="",E451=""),"",SUMIF(DB_Loans!$B:$B,B451,DB_Loans!$J:$J)+(E451*0.025)),"")</f>
        <v/>
      </c>
      <c r="J451" s="31"/>
    </row>
    <row r="452" spans="1:10" ht="20.100000000000001" customHeight="1" x14ac:dyDescent="0.25">
      <c r="A452" s="30" t="str">
        <f t="shared" si="12"/>
        <v/>
      </c>
      <c r="B452" s="41"/>
      <c r="C452" s="35" t="str">
        <f>IFERROR(IF(B452="","",VLOOKUP(B452,DB_Customers!$A:$B,2,0)),"")</f>
        <v/>
      </c>
      <c r="D452" s="41"/>
      <c r="E452" s="32"/>
      <c r="F452" s="42" t="str">
        <f t="shared" ca="1" si="13"/>
        <v/>
      </c>
      <c r="G452" s="31"/>
      <c r="H452" s="43" t="str">
        <f>IFERROR(IF(OR(B452="",E452=""),"",SUMIF(DB_Loans!$B:$B,B452,DB_Loans!$E:$E)+E452),"")</f>
        <v/>
      </c>
      <c r="I452" s="43" t="str">
        <f>IFERROR(IF(OR(B452="",E452=""),"",SUMIF(DB_Loans!$B:$B,B452,DB_Loans!$J:$J)+(E452*0.025)),"")</f>
        <v/>
      </c>
      <c r="J452" s="31"/>
    </row>
    <row r="453" spans="1:10" ht="20.100000000000001" customHeight="1" x14ac:dyDescent="0.25">
      <c r="A453" s="30" t="str">
        <f t="shared" ref="A453:A516" si="14">IF(B453="","","TU"&amp;TEXT(ROW()-4,"0000"))</f>
        <v/>
      </c>
      <c r="B453" s="41"/>
      <c r="C453" s="35" t="str">
        <f>IFERROR(IF(B453="","",VLOOKUP(B453,DB_Customers!$A:$B,2,0)),"")</f>
        <v/>
      </c>
      <c r="D453" s="41"/>
      <c r="E453" s="32"/>
      <c r="F453" s="42" t="str">
        <f t="shared" ref="F453:F504" ca="1" si="15">IF(B453="","",TODAY())</f>
        <v/>
      </c>
      <c r="G453" s="31"/>
      <c r="H453" s="43" t="str">
        <f>IFERROR(IF(OR(B453="",E453=""),"",SUMIF(DB_Loans!$B:$B,B453,DB_Loans!$E:$E)+E453),"")</f>
        <v/>
      </c>
      <c r="I453" s="43" t="str">
        <f>IFERROR(IF(OR(B453="",E453=""),"",SUMIF(DB_Loans!$B:$B,B453,DB_Loans!$J:$J)+(E453*0.025)),"")</f>
        <v/>
      </c>
      <c r="J453" s="31"/>
    </row>
    <row r="454" spans="1:10" ht="20.100000000000001" customHeight="1" x14ac:dyDescent="0.25">
      <c r="A454" s="30" t="str">
        <f t="shared" si="14"/>
        <v/>
      </c>
      <c r="B454" s="41"/>
      <c r="C454" s="35" t="str">
        <f>IFERROR(IF(B454="","",VLOOKUP(B454,DB_Customers!$A:$B,2,0)),"")</f>
        <v/>
      </c>
      <c r="D454" s="41"/>
      <c r="E454" s="32"/>
      <c r="F454" s="42" t="str">
        <f t="shared" ca="1" si="15"/>
        <v/>
      </c>
      <c r="G454" s="31"/>
      <c r="H454" s="43" t="str">
        <f>IFERROR(IF(OR(B454="",E454=""),"",SUMIF(DB_Loans!$B:$B,B454,DB_Loans!$E:$E)+E454),"")</f>
        <v/>
      </c>
      <c r="I454" s="43" t="str">
        <f>IFERROR(IF(OR(B454="",E454=""),"",SUMIF(DB_Loans!$B:$B,B454,DB_Loans!$J:$J)+(E454*0.025)),"")</f>
        <v/>
      </c>
      <c r="J454" s="31"/>
    </row>
    <row r="455" spans="1:10" ht="20.100000000000001" customHeight="1" x14ac:dyDescent="0.25">
      <c r="A455" s="30" t="str">
        <f t="shared" si="14"/>
        <v/>
      </c>
      <c r="B455" s="41"/>
      <c r="C455" s="35" t="str">
        <f>IFERROR(IF(B455="","",VLOOKUP(B455,DB_Customers!$A:$B,2,0)),"")</f>
        <v/>
      </c>
      <c r="D455" s="41"/>
      <c r="E455" s="32"/>
      <c r="F455" s="42" t="str">
        <f t="shared" ca="1" si="15"/>
        <v/>
      </c>
      <c r="G455" s="31"/>
      <c r="H455" s="43" t="str">
        <f>IFERROR(IF(OR(B455="",E455=""),"",SUMIF(DB_Loans!$B:$B,B455,DB_Loans!$E:$E)+E455),"")</f>
        <v/>
      </c>
      <c r="I455" s="43" t="str">
        <f>IFERROR(IF(OR(B455="",E455=""),"",SUMIF(DB_Loans!$B:$B,B455,DB_Loans!$J:$J)+(E455*0.025)),"")</f>
        <v/>
      </c>
      <c r="J455" s="31"/>
    </row>
    <row r="456" spans="1:10" ht="20.100000000000001" customHeight="1" x14ac:dyDescent="0.25">
      <c r="A456" s="30" t="str">
        <f t="shared" si="14"/>
        <v/>
      </c>
      <c r="B456" s="41"/>
      <c r="C456" s="35" t="str">
        <f>IFERROR(IF(B456="","",VLOOKUP(B456,DB_Customers!$A:$B,2,0)),"")</f>
        <v/>
      </c>
      <c r="D456" s="41"/>
      <c r="E456" s="32"/>
      <c r="F456" s="42" t="str">
        <f t="shared" ca="1" si="15"/>
        <v/>
      </c>
      <c r="G456" s="31"/>
      <c r="H456" s="43" t="str">
        <f>IFERROR(IF(OR(B456="",E456=""),"",SUMIF(DB_Loans!$B:$B,B456,DB_Loans!$E:$E)+E456),"")</f>
        <v/>
      </c>
      <c r="I456" s="43" t="str">
        <f>IFERROR(IF(OR(B456="",E456=""),"",SUMIF(DB_Loans!$B:$B,B456,DB_Loans!$J:$J)+(E456*0.025)),"")</f>
        <v/>
      </c>
      <c r="J456" s="31"/>
    </row>
    <row r="457" spans="1:10" ht="20.100000000000001" customHeight="1" x14ac:dyDescent="0.25">
      <c r="A457" s="30" t="str">
        <f t="shared" si="14"/>
        <v/>
      </c>
      <c r="B457" s="41"/>
      <c r="C457" s="35" t="str">
        <f>IFERROR(IF(B457="","",VLOOKUP(B457,DB_Customers!$A:$B,2,0)),"")</f>
        <v/>
      </c>
      <c r="D457" s="41"/>
      <c r="E457" s="32"/>
      <c r="F457" s="42" t="str">
        <f t="shared" ca="1" si="15"/>
        <v/>
      </c>
      <c r="G457" s="31"/>
      <c r="H457" s="43" t="str">
        <f>IFERROR(IF(OR(B457="",E457=""),"",SUMIF(DB_Loans!$B:$B,B457,DB_Loans!$E:$E)+E457),"")</f>
        <v/>
      </c>
      <c r="I457" s="43" t="str">
        <f>IFERROR(IF(OR(B457="",E457=""),"",SUMIF(DB_Loans!$B:$B,B457,DB_Loans!$J:$J)+(E457*0.025)),"")</f>
        <v/>
      </c>
      <c r="J457" s="31"/>
    </row>
    <row r="458" spans="1:10" ht="20.100000000000001" customHeight="1" x14ac:dyDescent="0.25">
      <c r="A458" s="30" t="str">
        <f t="shared" si="14"/>
        <v/>
      </c>
      <c r="B458" s="41"/>
      <c r="C458" s="35" t="str">
        <f>IFERROR(IF(B458="","",VLOOKUP(B458,DB_Customers!$A:$B,2,0)),"")</f>
        <v/>
      </c>
      <c r="D458" s="41"/>
      <c r="E458" s="32"/>
      <c r="F458" s="42" t="str">
        <f t="shared" ca="1" si="15"/>
        <v/>
      </c>
      <c r="G458" s="31"/>
      <c r="H458" s="43" t="str">
        <f>IFERROR(IF(OR(B458="",E458=""),"",SUMIF(DB_Loans!$B:$B,B458,DB_Loans!$E:$E)+E458),"")</f>
        <v/>
      </c>
      <c r="I458" s="43" t="str">
        <f>IFERROR(IF(OR(B458="",E458=""),"",SUMIF(DB_Loans!$B:$B,B458,DB_Loans!$J:$J)+(E458*0.025)),"")</f>
        <v/>
      </c>
      <c r="J458" s="31"/>
    </row>
    <row r="459" spans="1:10" ht="20.100000000000001" customHeight="1" x14ac:dyDescent="0.25">
      <c r="A459" s="30" t="str">
        <f t="shared" si="14"/>
        <v/>
      </c>
      <c r="B459" s="41"/>
      <c r="C459" s="35" t="str">
        <f>IFERROR(IF(B459="","",VLOOKUP(B459,DB_Customers!$A:$B,2,0)),"")</f>
        <v/>
      </c>
      <c r="D459" s="41"/>
      <c r="E459" s="32"/>
      <c r="F459" s="42" t="str">
        <f t="shared" ca="1" si="15"/>
        <v/>
      </c>
      <c r="G459" s="31"/>
      <c r="H459" s="43" t="str">
        <f>IFERROR(IF(OR(B459="",E459=""),"",SUMIF(DB_Loans!$B:$B,B459,DB_Loans!$E:$E)+E459),"")</f>
        <v/>
      </c>
      <c r="I459" s="43" t="str">
        <f>IFERROR(IF(OR(B459="",E459=""),"",SUMIF(DB_Loans!$B:$B,B459,DB_Loans!$J:$J)+(E459*0.025)),"")</f>
        <v/>
      </c>
      <c r="J459" s="31"/>
    </row>
    <row r="460" spans="1:10" ht="20.100000000000001" customHeight="1" x14ac:dyDescent="0.25">
      <c r="A460" s="30" t="str">
        <f t="shared" si="14"/>
        <v/>
      </c>
      <c r="B460" s="41"/>
      <c r="C460" s="35" t="str">
        <f>IFERROR(IF(B460="","",VLOOKUP(B460,DB_Customers!$A:$B,2,0)),"")</f>
        <v/>
      </c>
      <c r="D460" s="41"/>
      <c r="E460" s="32"/>
      <c r="F460" s="42" t="str">
        <f t="shared" ca="1" si="15"/>
        <v/>
      </c>
      <c r="G460" s="31"/>
      <c r="H460" s="43" t="str">
        <f>IFERROR(IF(OR(B460="",E460=""),"",SUMIF(DB_Loans!$B:$B,B460,DB_Loans!$E:$E)+E460),"")</f>
        <v/>
      </c>
      <c r="I460" s="43" t="str">
        <f>IFERROR(IF(OR(B460="",E460=""),"",SUMIF(DB_Loans!$B:$B,B460,DB_Loans!$J:$J)+(E460*0.025)),"")</f>
        <v/>
      </c>
      <c r="J460" s="31"/>
    </row>
    <row r="461" spans="1:10" ht="20.100000000000001" customHeight="1" x14ac:dyDescent="0.25">
      <c r="A461" s="30" t="str">
        <f t="shared" si="14"/>
        <v/>
      </c>
      <c r="B461" s="41"/>
      <c r="C461" s="35" t="str">
        <f>IFERROR(IF(B461="","",VLOOKUP(B461,DB_Customers!$A:$B,2,0)),"")</f>
        <v/>
      </c>
      <c r="D461" s="41"/>
      <c r="E461" s="32"/>
      <c r="F461" s="42" t="str">
        <f t="shared" ca="1" si="15"/>
        <v/>
      </c>
      <c r="G461" s="31"/>
      <c r="H461" s="43" t="str">
        <f>IFERROR(IF(OR(B461="",E461=""),"",SUMIF(DB_Loans!$B:$B,B461,DB_Loans!$E:$E)+E461),"")</f>
        <v/>
      </c>
      <c r="I461" s="43" t="str">
        <f>IFERROR(IF(OR(B461="",E461=""),"",SUMIF(DB_Loans!$B:$B,B461,DB_Loans!$J:$J)+(E461*0.025)),"")</f>
        <v/>
      </c>
      <c r="J461" s="31"/>
    </row>
    <row r="462" spans="1:10" ht="20.100000000000001" customHeight="1" x14ac:dyDescent="0.25">
      <c r="A462" s="30" t="str">
        <f t="shared" si="14"/>
        <v/>
      </c>
      <c r="B462" s="41"/>
      <c r="C462" s="35" t="str">
        <f>IFERROR(IF(B462="","",VLOOKUP(B462,DB_Customers!$A:$B,2,0)),"")</f>
        <v/>
      </c>
      <c r="D462" s="41"/>
      <c r="E462" s="32"/>
      <c r="F462" s="42" t="str">
        <f t="shared" ca="1" si="15"/>
        <v/>
      </c>
      <c r="G462" s="31"/>
      <c r="H462" s="43" t="str">
        <f>IFERROR(IF(OR(B462="",E462=""),"",SUMIF(DB_Loans!$B:$B,B462,DB_Loans!$E:$E)+E462),"")</f>
        <v/>
      </c>
      <c r="I462" s="43" t="str">
        <f>IFERROR(IF(OR(B462="",E462=""),"",SUMIF(DB_Loans!$B:$B,B462,DB_Loans!$J:$J)+(E462*0.025)),"")</f>
        <v/>
      </c>
      <c r="J462" s="31"/>
    </row>
    <row r="463" spans="1:10" ht="20.100000000000001" customHeight="1" x14ac:dyDescent="0.25">
      <c r="A463" s="30" t="str">
        <f t="shared" si="14"/>
        <v/>
      </c>
      <c r="B463" s="41"/>
      <c r="C463" s="35" t="str">
        <f>IFERROR(IF(B463="","",VLOOKUP(B463,DB_Customers!$A:$B,2,0)),"")</f>
        <v/>
      </c>
      <c r="D463" s="41"/>
      <c r="E463" s="32"/>
      <c r="F463" s="42" t="str">
        <f t="shared" ca="1" si="15"/>
        <v/>
      </c>
      <c r="G463" s="31"/>
      <c r="H463" s="43" t="str">
        <f>IFERROR(IF(OR(B463="",E463=""),"",SUMIF(DB_Loans!$B:$B,B463,DB_Loans!$E:$E)+E463),"")</f>
        <v/>
      </c>
      <c r="I463" s="43" t="str">
        <f>IFERROR(IF(OR(B463="",E463=""),"",SUMIF(DB_Loans!$B:$B,B463,DB_Loans!$J:$J)+(E463*0.025)),"")</f>
        <v/>
      </c>
      <c r="J463" s="31"/>
    </row>
    <row r="464" spans="1:10" ht="20.100000000000001" customHeight="1" x14ac:dyDescent="0.25">
      <c r="A464" s="30" t="str">
        <f t="shared" si="14"/>
        <v/>
      </c>
      <c r="B464" s="41"/>
      <c r="C464" s="35" t="str">
        <f>IFERROR(IF(B464="","",VLOOKUP(B464,DB_Customers!$A:$B,2,0)),"")</f>
        <v/>
      </c>
      <c r="D464" s="41"/>
      <c r="E464" s="32"/>
      <c r="F464" s="42" t="str">
        <f t="shared" ca="1" si="15"/>
        <v/>
      </c>
      <c r="G464" s="31"/>
      <c r="H464" s="43" t="str">
        <f>IFERROR(IF(OR(B464="",E464=""),"",SUMIF(DB_Loans!$B:$B,B464,DB_Loans!$E:$E)+E464),"")</f>
        <v/>
      </c>
      <c r="I464" s="43" t="str">
        <f>IFERROR(IF(OR(B464="",E464=""),"",SUMIF(DB_Loans!$B:$B,B464,DB_Loans!$J:$J)+(E464*0.025)),"")</f>
        <v/>
      </c>
      <c r="J464" s="31"/>
    </row>
    <row r="465" spans="1:10" ht="20.100000000000001" customHeight="1" x14ac:dyDescent="0.25">
      <c r="A465" s="30" t="str">
        <f t="shared" si="14"/>
        <v/>
      </c>
      <c r="B465" s="41"/>
      <c r="C465" s="35" t="str">
        <f>IFERROR(IF(B465="","",VLOOKUP(B465,DB_Customers!$A:$B,2,0)),"")</f>
        <v/>
      </c>
      <c r="D465" s="41"/>
      <c r="E465" s="32"/>
      <c r="F465" s="42" t="str">
        <f t="shared" ca="1" si="15"/>
        <v/>
      </c>
      <c r="G465" s="31"/>
      <c r="H465" s="43" t="str">
        <f>IFERROR(IF(OR(B465="",E465=""),"",SUMIF(DB_Loans!$B:$B,B465,DB_Loans!$E:$E)+E465),"")</f>
        <v/>
      </c>
      <c r="I465" s="43" t="str">
        <f>IFERROR(IF(OR(B465="",E465=""),"",SUMIF(DB_Loans!$B:$B,B465,DB_Loans!$J:$J)+(E465*0.025)),"")</f>
        <v/>
      </c>
      <c r="J465" s="31"/>
    </row>
    <row r="466" spans="1:10" ht="20.100000000000001" customHeight="1" x14ac:dyDescent="0.25">
      <c r="A466" s="30" t="str">
        <f t="shared" si="14"/>
        <v/>
      </c>
      <c r="B466" s="41"/>
      <c r="C466" s="35" t="str">
        <f>IFERROR(IF(B466="","",VLOOKUP(B466,DB_Customers!$A:$B,2,0)),"")</f>
        <v/>
      </c>
      <c r="D466" s="41"/>
      <c r="E466" s="32"/>
      <c r="F466" s="42" t="str">
        <f t="shared" ca="1" si="15"/>
        <v/>
      </c>
      <c r="G466" s="31"/>
      <c r="H466" s="43" t="str">
        <f>IFERROR(IF(OR(B466="",E466=""),"",SUMIF(DB_Loans!$B:$B,B466,DB_Loans!$E:$E)+E466),"")</f>
        <v/>
      </c>
      <c r="I466" s="43" t="str">
        <f>IFERROR(IF(OR(B466="",E466=""),"",SUMIF(DB_Loans!$B:$B,B466,DB_Loans!$J:$J)+(E466*0.025)),"")</f>
        <v/>
      </c>
      <c r="J466" s="31"/>
    </row>
    <row r="467" spans="1:10" ht="20.100000000000001" customHeight="1" x14ac:dyDescent="0.25">
      <c r="A467" s="30" t="str">
        <f t="shared" si="14"/>
        <v/>
      </c>
      <c r="B467" s="41"/>
      <c r="C467" s="35" t="str">
        <f>IFERROR(IF(B467="","",VLOOKUP(B467,DB_Customers!$A:$B,2,0)),"")</f>
        <v/>
      </c>
      <c r="D467" s="41"/>
      <c r="E467" s="32"/>
      <c r="F467" s="42" t="str">
        <f t="shared" ca="1" si="15"/>
        <v/>
      </c>
      <c r="G467" s="31"/>
      <c r="H467" s="43" t="str">
        <f>IFERROR(IF(OR(B467="",E467=""),"",SUMIF(DB_Loans!$B:$B,B467,DB_Loans!$E:$E)+E467),"")</f>
        <v/>
      </c>
      <c r="I467" s="43" t="str">
        <f>IFERROR(IF(OR(B467="",E467=""),"",SUMIF(DB_Loans!$B:$B,B467,DB_Loans!$J:$J)+(E467*0.025)),"")</f>
        <v/>
      </c>
      <c r="J467" s="31"/>
    </row>
    <row r="468" spans="1:10" ht="20.100000000000001" customHeight="1" x14ac:dyDescent="0.25">
      <c r="A468" s="30" t="str">
        <f t="shared" si="14"/>
        <v/>
      </c>
      <c r="B468" s="41"/>
      <c r="C468" s="35" t="str">
        <f>IFERROR(IF(B468="","",VLOOKUP(B468,DB_Customers!$A:$B,2,0)),"")</f>
        <v/>
      </c>
      <c r="D468" s="41"/>
      <c r="E468" s="32"/>
      <c r="F468" s="42" t="str">
        <f t="shared" ca="1" si="15"/>
        <v/>
      </c>
      <c r="G468" s="31"/>
      <c r="H468" s="43" t="str">
        <f>IFERROR(IF(OR(B468="",E468=""),"",SUMIF(DB_Loans!$B:$B,B468,DB_Loans!$E:$E)+E468),"")</f>
        <v/>
      </c>
      <c r="I468" s="43" t="str">
        <f>IFERROR(IF(OR(B468="",E468=""),"",SUMIF(DB_Loans!$B:$B,B468,DB_Loans!$J:$J)+(E468*0.025)),"")</f>
        <v/>
      </c>
      <c r="J468" s="31"/>
    </row>
    <row r="469" spans="1:10" ht="20.100000000000001" customHeight="1" x14ac:dyDescent="0.25">
      <c r="A469" s="30" t="str">
        <f t="shared" si="14"/>
        <v/>
      </c>
      <c r="B469" s="41"/>
      <c r="C469" s="35" t="str">
        <f>IFERROR(IF(B469="","",VLOOKUP(B469,DB_Customers!$A:$B,2,0)),"")</f>
        <v/>
      </c>
      <c r="D469" s="41"/>
      <c r="E469" s="32"/>
      <c r="F469" s="42" t="str">
        <f t="shared" ca="1" si="15"/>
        <v/>
      </c>
      <c r="G469" s="31"/>
      <c r="H469" s="43" t="str">
        <f>IFERROR(IF(OR(B469="",E469=""),"",SUMIF(DB_Loans!$B:$B,B469,DB_Loans!$E:$E)+E469),"")</f>
        <v/>
      </c>
      <c r="I469" s="43" t="str">
        <f>IFERROR(IF(OR(B469="",E469=""),"",SUMIF(DB_Loans!$B:$B,B469,DB_Loans!$J:$J)+(E469*0.025)),"")</f>
        <v/>
      </c>
      <c r="J469" s="31"/>
    </row>
    <row r="470" spans="1:10" ht="20.100000000000001" customHeight="1" x14ac:dyDescent="0.25">
      <c r="A470" s="30" t="str">
        <f t="shared" si="14"/>
        <v/>
      </c>
      <c r="B470" s="41"/>
      <c r="C470" s="35" t="str">
        <f>IFERROR(IF(B470="","",VLOOKUP(B470,DB_Customers!$A:$B,2,0)),"")</f>
        <v/>
      </c>
      <c r="D470" s="41"/>
      <c r="E470" s="32"/>
      <c r="F470" s="42" t="str">
        <f t="shared" ca="1" si="15"/>
        <v/>
      </c>
      <c r="G470" s="31"/>
      <c r="H470" s="43" t="str">
        <f>IFERROR(IF(OR(B470="",E470=""),"",SUMIF(DB_Loans!$B:$B,B470,DB_Loans!$E:$E)+E470),"")</f>
        <v/>
      </c>
      <c r="I470" s="43" t="str">
        <f>IFERROR(IF(OR(B470="",E470=""),"",SUMIF(DB_Loans!$B:$B,B470,DB_Loans!$J:$J)+(E470*0.025)),"")</f>
        <v/>
      </c>
      <c r="J470" s="31"/>
    </row>
    <row r="471" spans="1:10" ht="20.100000000000001" customHeight="1" x14ac:dyDescent="0.25">
      <c r="A471" s="30" t="str">
        <f t="shared" si="14"/>
        <v/>
      </c>
      <c r="B471" s="41"/>
      <c r="C471" s="35" t="str">
        <f>IFERROR(IF(B471="","",VLOOKUP(B471,DB_Customers!$A:$B,2,0)),"")</f>
        <v/>
      </c>
      <c r="D471" s="41"/>
      <c r="E471" s="32"/>
      <c r="F471" s="42" t="str">
        <f t="shared" ca="1" si="15"/>
        <v/>
      </c>
      <c r="G471" s="31"/>
      <c r="H471" s="43" t="str">
        <f>IFERROR(IF(OR(B471="",E471=""),"",SUMIF(DB_Loans!$B:$B,B471,DB_Loans!$E:$E)+E471),"")</f>
        <v/>
      </c>
      <c r="I471" s="43" t="str">
        <f>IFERROR(IF(OR(B471="",E471=""),"",SUMIF(DB_Loans!$B:$B,B471,DB_Loans!$J:$J)+(E471*0.025)),"")</f>
        <v/>
      </c>
      <c r="J471" s="31"/>
    </row>
    <row r="472" spans="1:10" ht="20.100000000000001" customHeight="1" x14ac:dyDescent="0.25">
      <c r="A472" s="30" t="str">
        <f t="shared" si="14"/>
        <v/>
      </c>
      <c r="B472" s="41"/>
      <c r="C472" s="35" t="str">
        <f>IFERROR(IF(B472="","",VLOOKUP(B472,DB_Customers!$A:$B,2,0)),"")</f>
        <v/>
      </c>
      <c r="D472" s="41"/>
      <c r="E472" s="32"/>
      <c r="F472" s="42" t="str">
        <f t="shared" ca="1" si="15"/>
        <v/>
      </c>
      <c r="G472" s="31"/>
      <c r="H472" s="43" t="str">
        <f>IFERROR(IF(OR(B472="",E472=""),"",SUMIF(DB_Loans!$B:$B,B472,DB_Loans!$E:$E)+E472),"")</f>
        <v/>
      </c>
      <c r="I472" s="43" t="str">
        <f>IFERROR(IF(OR(B472="",E472=""),"",SUMIF(DB_Loans!$B:$B,B472,DB_Loans!$J:$J)+(E472*0.025)),"")</f>
        <v/>
      </c>
      <c r="J472" s="31"/>
    </row>
    <row r="473" spans="1:10" ht="20.100000000000001" customHeight="1" x14ac:dyDescent="0.25">
      <c r="A473" s="30" t="str">
        <f t="shared" si="14"/>
        <v/>
      </c>
      <c r="B473" s="41"/>
      <c r="C473" s="35" t="str">
        <f>IFERROR(IF(B473="","",VLOOKUP(B473,DB_Customers!$A:$B,2,0)),"")</f>
        <v/>
      </c>
      <c r="D473" s="41"/>
      <c r="E473" s="32"/>
      <c r="F473" s="42" t="str">
        <f t="shared" ca="1" si="15"/>
        <v/>
      </c>
      <c r="G473" s="31"/>
      <c r="H473" s="43" t="str">
        <f>IFERROR(IF(OR(B473="",E473=""),"",SUMIF(DB_Loans!$B:$B,B473,DB_Loans!$E:$E)+E473),"")</f>
        <v/>
      </c>
      <c r="I473" s="43" t="str">
        <f>IFERROR(IF(OR(B473="",E473=""),"",SUMIF(DB_Loans!$B:$B,B473,DB_Loans!$J:$J)+(E473*0.025)),"")</f>
        <v/>
      </c>
      <c r="J473" s="31"/>
    </row>
    <row r="474" spans="1:10" ht="20.100000000000001" customHeight="1" x14ac:dyDescent="0.25">
      <c r="A474" s="30" t="str">
        <f t="shared" si="14"/>
        <v/>
      </c>
      <c r="B474" s="41"/>
      <c r="C474" s="35" t="str">
        <f>IFERROR(IF(B474="","",VLOOKUP(B474,DB_Customers!$A:$B,2,0)),"")</f>
        <v/>
      </c>
      <c r="D474" s="41"/>
      <c r="E474" s="32"/>
      <c r="F474" s="42" t="str">
        <f t="shared" ca="1" si="15"/>
        <v/>
      </c>
      <c r="G474" s="31"/>
      <c r="H474" s="43" t="str">
        <f>IFERROR(IF(OR(B474="",E474=""),"",SUMIF(DB_Loans!$B:$B,B474,DB_Loans!$E:$E)+E474),"")</f>
        <v/>
      </c>
      <c r="I474" s="43" t="str">
        <f>IFERROR(IF(OR(B474="",E474=""),"",SUMIF(DB_Loans!$B:$B,B474,DB_Loans!$J:$J)+(E474*0.025)),"")</f>
        <v/>
      </c>
      <c r="J474" s="31"/>
    </row>
    <row r="475" spans="1:10" ht="20.100000000000001" customHeight="1" x14ac:dyDescent="0.25">
      <c r="A475" s="30" t="str">
        <f t="shared" si="14"/>
        <v/>
      </c>
      <c r="B475" s="41"/>
      <c r="C475" s="35" t="str">
        <f>IFERROR(IF(B475="","",VLOOKUP(B475,DB_Customers!$A:$B,2,0)),"")</f>
        <v/>
      </c>
      <c r="D475" s="41"/>
      <c r="E475" s="32"/>
      <c r="F475" s="42" t="str">
        <f t="shared" ca="1" si="15"/>
        <v/>
      </c>
      <c r="G475" s="31"/>
      <c r="H475" s="43" t="str">
        <f>IFERROR(IF(OR(B475="",E475=""),"",SUMIF(DB_Loans!$B:$B,B475,DB_Loans!$E:$E)+E475),"")</f>
        <v/>
      </c>
      <c r="I475" s="43" t="str">
        <f>IFERROR(IF(OR(B475="",E475=""),"",SUMIF(DB_Loans!$B:$B,B475,DB_Loans!$J:$J)+(E475*0.025)),"")</f>
        <v/>
      </c>
      <c r="J475" s="31"/>
    </row>
    <row r="476" spans="1:10" ht="20.100000000000001" customHeight="1" x14ac:dyDescent="0.25">
      <c r="A476" s="30" t="str">
        <f t="shared" si="14"/>
        <v/>
      </c>
      <c r="B476" s="41"/>
      <c r="C476" s="35" t="str">
        <f>IFERROR(IF(B476="","",VLOOKUP(B476,DB_Customers!$A:$B,2,0)),"")</f>
        <v/>
      </c>
      <c r="D476" s="41"/>
      <c r="E476" s="32"/>
      <c r="F476" s="42" t="str">
        <f t="shared" ca="1" si="15"/>
        <v/>
      </c>
      <c r="G476" s="31"/>
      <c r="H476" s="43" t="str">
        <f>IFERROR(IF(OR(B476="",E476=""),"",SUMIF(DB_Loans!$B:$B,B476,DB_Loans!$E:$E)+E476),"")</f>
        <v/>
      </c>
      <c r="I476" s="43" t="str">
        <f>IFERROR(IF(OR(B476="",E476=""),"",SUMIF(DB_Loans!$B:$B,B476,DB_Loans!$J:$J)+(E476*0.025)),"")</f>
        <v/>
      </c>
      <c r="J476" s="31"/>
    </row>
    <row r="477" spans="1:10" ht="20.100000000000001" customHeight="1" x14ac:dyDescent="0.25">
      <c r="A477" s="30" t="str">
        <f t="shared" si="14"/>
        <v/>
      </c>
      <c r="B477" s="41"/>
      <c r="C477" s="35" t="str">
        <f>IFERROR(IF(B477="","",VLOOKUP(B477,DB_Customers!$A:$B,2,0)),"")</f>
        <v/>
      </c>
      <c r="D477" s="41"/>
      <c r="E477" s="32"/>
      <c r="F477" s="42" t="str">
        <f t="shared" ca="1" si="15"/>
        <v/>
      </c>
      <c r="G477" s="31"/>
      <c r="H477" s="43" t="str">
        <f>IFERROR(IF(OR(B477="",E477=""),"",SUMIF(DB_Loans!$B:$B,B477,DB_Loans!$E:$E)+E477),"")</f>
        <v/>
      </c>
      <c r="I477" s="43" t="str">
        <f>IFERROR(IF(OR(B477="",E477=""),"",SUMIF(DB_Loans!$B:$B,B477,DB_Loans!$J:$J)+(E477*0.025)),"")</f>
        <v/>
      </c>
      <c r="J477" s="31"/>
    </row>
    <row r="478" spans="1:10" ht="20.100000000000001" customHeight="1" x14ac:dyDescent="0.25">
      <c r="A478" s="30" t="str">
        <f t="shared" si="14"/>
        <v/>
      </c>
      <c r="B478" s="41"/>
      <c r="C478" s="35" t="str">
        <f>IFERROR(IF(B478="","",VLOOKUP(B478,DB_Customers!$A:$B,2,0)),"")</f>
        <v/>
      </c>
      <c r="D478" s="41"/>
      <c r="E478" s="32"/>
      <c r="F478" s="42" t="str">
        <f t="shared" ca="1" si="15"/>
        <v/>
      </c>
      <c r="G478" s="31"/>
      <c r="H478" s="43" t="str">
        <f>IFERROR(IF(OR(B478="",E478=""),"",SUMIF(DB_Loans!$B:$B,B478,DB_Loans!$E:$E)+E478),"")</f>
        <v/>
      </c>
      <c r="I478" s="43" t="str">
        <f>IFERROR(IF(OR(B478="",E478=""),"",SUMIF(DB_Loans!$B:$B,B478,DB_Loans!$J:$J)+(E478*0.025)),"")</f>
        <v/>
      </c>
      <c r="J478" s="31"/>
    </row>
    <row r="479" spans="1:10" ht="20.100000000000001" customHeight="1" x14ac:dyDescent="0.25">
      <c r="A479" s="30" t="str">
        <f t="shared" si="14"/>
        <v/>
      </c>
      <c r="B479" s="41"/>
      <c r="C479" s="35" t="str">
        <f>IFERROR(IF(B479="","",VLOOKUP(B479,DB_Customers!$A:$B,2,0)),"")</f>
        <v/>
      </c>
      <c r="D479" s="41"/>
      <c r="E479" s="32"/>
      <c r="F479" s="42" t="str">
        <f t="shared" ca="1" si="15"/>
        <v/>
      </c>
      <c r="G479" s="31"/>
      <c r="H479" s="43" t="str">
        <f>IFERROR(IF(OR(B479="",E479=""),"",SUMIF(DB_Loans!$B:$B,B479,DB_Loans!$E:$E)+E479),"")</f>
        <v/>
      </c>
      <c r="I479" s="43" t="str">
        <f>IFERROR(IF(OR(B479="",E479=""),"",SUMIF(DB_Loans!$B:$B,B479,DB_Loans!$J:$J)+(E479*0.025)),"")</f>
        <v/>
      </c>
      <c r="J479" s="31"/>
    </row>
    <row r="480" spans="1:10" ht="20.100000000000001" customHeight="1" x14ac:dyDescent="0.25">
      <c r="A480" s="30" t="str">
        <f t="shared" si="14"/>
        <v/>
      </c>
      <c r="B480" s="41"/>
      <c r="C480" s="35" t="str">
        <f>IFERROR(IF(B480="","",VLOOKUP(B480,DB_Customers!$A:$B,2,0)),"")</f>
        <v/>
      </c>
      <c r="D480" s="41"/>
      <c r="E480" s="32"/>
      <c r="F480" s="42" t="str">
        <f t="shared" ca="1" si="15"/>
        <v/>
      </c>
      <c r="G480" s="31"/>
      <c r="H480" s="43" t="str">
        <f>IFERROR(IF(OR(B480="",E480=""),"",SUMIF(DB_Loans!$B:$B,B480,DB_Loans!$E:$E)+E480),"")</f>
        <v/>
      </c>
      <c r="I480" s="43" t="str">
        <f>IFERROR(IF(OR(B480="",E480=""),"",SUMIF(DB_Loans!$B:$B,B480,DB_Loans!$J:$J)+(E480*0.025)),"")</f>
        <v/>
      </c>
      <c r="J480" s="31"/>
    </row>
    <row r="481" spans="1:10" ht="20.100000000000001" customHeight="1" x14ac:dyDescent="0.25">
      <c r="A481" s="30" t="str">
        <f t="shared" si="14"/>
        <v/>
      </c>
      <c r="B481" s="41"/>
      <c r="C481" s="35" t="str">
        <f>IFERROR(IF(B481="","",VLOOKUP(B481,DB_Customers!$A:$B,2,0)),"")</f>
        <v/>
      </c>
      <c r="D481" s="41"/>
      <c r="E481" s="32"/>
      <c r="F481" s="42" t="str">
        <f t="shared" ca="1" si="15"/>
        <v/>
      </c>
      <c r="G481" s="31"/>
      <c r="H481" s="43" t="str">
        <f>IFERROR(IF(OR(B481="",E481=""),"",SUMIF(DB_Loans!$B:$B,B481,DB_Loans!$E:$E)+E481),"")</f>
        <v/>
      </c>
      <c r="I481" s="43" t="str">
        <f>IFERROR(IF(OR(B481="",E481=""),"",SUMIF(DB_Loans!$B:$B,B481,DB_Loans!$J:$J)+(E481*0.025)),"")</f>
        <v/>
      </c>
      <c r="J481" s="31"/>
    </row>
    <row r="482" spans="1:10" ht="20.100000000000001" customHeight="1" x14ac:dyDescent="0.25">
      <c r="A482" s="30" t="str">
        <f t="shared" si="14"/>
        <v/>
      </c>
      <c r="B482" s="41"/>
      <c r="C482" s="35" t="str">
        <f>IFERROR(IF(B482="","",VLOOKUP(B482,DB_Customers!$A:$B,2,0)),"")</f>
        <v/>
      </c>
      <c r="D482" s="41"/>
      <c r="E482" s="32"/>
      <c r="F482" s="42" t="str">
        <f t="shared" ca="1" si="15"/>
        <v/>
      </c>
      <c r="G482" s="31"/>
      <c r="H482" s="43" t="str">
        <f>IFERROR(IF(OR(B482="",E482=""),"",SUMIF(DB_Loans!$B:$B,B482,DB_Loans!$E:$E)+E482),"")</f>
        <v/>
      </c>
      <c r="I482" s="43" t="str">
        <f>IFERROR(IF(OR(B482="",E482=""),"",SUMIF(DB_Loans!$B:$B,B482,DB_Loans!$J:$J)+(E482*0.025)),"")</f>
        <v/>
      </c>
      <c r="J482" s="31"/>
    </row>
    <row r="483" spans="1:10" ht="20.100000000000001" customHeight="1" x14ac:dyDescent="0.25">
      <c r="A483" s="30" t="str">
        <f t="shared" si="14"/>
        <v/>
      </c>
      <c r="B483" s="41"/>
      <c r="C483" s="35" t="str">
        <f>IFERROR(IF(B483="","",VLOOKUP(B483,DB_Customers!$A:$B,2,0)),"")</f>
        <v/>
      </c>
      <c r="D483" s="41"/>
      <c r="E483" s="32"/>
      <c r="F483" s="42" t="str">
        <f t="shared" ca="1" si="15"/>
        <v/>
      </c>
      <c r="G483" s="31"/>
      <c r="H483" s="43" t="str">
        <f>IFERROR(IF(OR(B483="",E483=""),"",SUMIF(DB_Loans!$B:$B,B483,DB_Loans!$E:$E)+E483),"")</f>
        <v/>
      </c>
      <c r="I483" s="43" t="str">
        <f>IFERROR(IF(OR(B483="",E483=""),"",SUMIF(DB_Loans!$B:$B,B483,DB_Loans!$J:$J)+(E483*0.025)),"")</f>
        <v/>
      </c>
      <c r="J483" s="31"/>
    </row>
    <row r="484" spans="1:10" ht="20.100000000000001" customHeight="1" x14ac:dyDescent="0.25">
      <c r="A484" s="30" t="str">
        <f t="shared" si="14"/>
        <v/>
      </c>
      <c r="B484" s="41"/>
      <c r="C484" s="35" t="str">
        <f>IFERROR(IF(B484="","",VLOOKUP(B484,DB_Customers!$A:$B,2,0)),"")</f>
        <v/>
      </c>
      <c r="D484" s="41"/>
      <c r="E484" s="32"/>
      <c r="F484" s="42" t="str">
        <f t="shared" ca="1" si="15"/>
        <v/>
      </c>
      <c r="G484" s="31"/>
      <c r="H484" s="43" t="str">
        <f>IFERROR(IF(OR(B484="",E484=""),"",SUMIF(DB_Loans!$B:$B,B484,DB_Loans!$E:$E)+E484),"")</f>
        <v/>
      </c>
      <c r="I484" s="43" t="str">
        <f>IFERROR(IF(OR(B484="",E484=""),"",SUMIF(DB_Loans!$B:$B,B484,DB_Loans!$J:$J)+(E484*0.025)),"")</f>
        <v/>
      </c>
      <c r="J484" s="31"/>
    </row>
    <row r="485" spans="1:10" ht="20.100000000000001" customHeight="1" x14ac:dyDescent="0.25">
      <c r="A485" s="30" t="str">
        <f t="shared" si="14"/>
        <v/>
      </c>
      <c r="B485" s="41"/>
      <c r="C485" s="35" t="str">
        <f>IFERROR(IF(B485="","",VLOOKUP(B485,DB_Customers!$A:$B,2,0)),"")</f>
        <v/>
      </c>
      <c r="D485" s="41"/>
      <c r="E485" s="32"/>
      <c r="F485" s="42" t="str">
        <f t="shared" ca="1" si="15"/>
        <v/>
      </c>
      <c r="G485" s="31"/>
      <c r="H485" s="43" t="str">
        <f>IFERROR(IF(OR(B485="",E485=""),"",SUMIF(DB_Loans!$B:$B,B485,DB_Loans!$E:$E)+E485),"")</f>
        <v/>
      </c>
      <c r="I485" s="43" t="str">
        <f>IFERROR(IF(OR(B485="",E485=""),"",SUMIF(DB_Loans!$B:$B,B485,DB_Loans!$J:$J)+(E485*0.025)),"")</f>
        <v/>
      </c>
      <c r="J485" s="31"/>
    </row>
    <row r="486" spans="1:10" ht="20.100000000000001" customHeight="1" x14ac:dyDescent="0.25">
      <c r="A486" s="30" t="str">
        <f t="shared" si="14"/>
        <v/>
      </c>
      <c r="B486" s="41"/>
      <c r="C486" s="35" t="str">
        <f>IFERROR(IF(B486="","",VLOOKUP(B486,DB_Customers!$A:$B,2,0)),"")</f>
        <v/>
      </c>
      <c r="D486" s="41"/>
      <c r="E486" s="32"/>
      <c r="F486" s="42" t="str">
        <f t="shared" ca="1" si="15"/>
        <v/>
      </c>
      <c r="G486" s="31"/>
      <c r="H486" s="43" t="str">
        <f>IFERROR(IF(OR(B486="",E486=""),"",SUMIF(DB_Loans!$B:$B,B486,DB_Loans!$E:$E)+E486),"")</f>
        <v/>
      </c>
      <c r="I486" s="43" t="str">
        <f>IFERROR(IF(OR(B486="",E486=""),"",SUMIF(DB_Loans!$B:$B,B486,DB_Loans!$J:$J)+(E486*0.025)),"")</f>
        <v/>
      </c>
      <c r="J486" s="31"/>
    </row>
    <row r="487" spans="1:10" ht="20.100000000000001" customHeight="1" x14ac:dyDescent="0.25">
      <c r="A487" s="30" t="str">
        <f t="shared" si="14"/>
        <v/>
      </c>
      <c r="B487" s="41"/>
      <c r="C487" s="35" t="str">
        <f>IFERROR(IF(B487="","",VLOOKUP(B487,DB_Customers!$A:$B,2,0)),"")</f>
        <v/>
      </c>
      <c r="D487" s="41"/>
      <c r="E487" s="32"/>
      <c r="F487" s="42" t="str">
        <f t="shared" ca="1" si="15"/>
        <v/>
      </c>
      <c r="G487" s="31"/>
      <c r="H487" s="43" t="str">
        <f>IFERROR(IF(OR(B487="",E487=""),"",SUMIF(DB_Loans!$B:$B,B487,DB_Loans!$E:$E)+E487),"")</f>
        <v/>
      </c>
      <c r="I487" s="43" t="str">
        <f>IFERROR(IF(OR(B487="",E487=""),"",SUMIF(DB_Loans!$B:$B,B487,DB_Loans!$J:$J)+(E487*0.025)),"")</f>
        <v/>
      </c>
      <c r="J487" s="31"/>
    </row>
    <row r="488" spans="1:10" ht="20.100000000000001" customHeight="1" x14ac:dyDescent="0.25">
      <c r="A488" s="30" t="str">
        <f t="shared" si="14"/>
        <v/>
      </c>
      <c r="B488" s="41"/>
      <c r="C488" s="35" t="str">
        <f>IFERROR(IF(B488="","",VLOOKUP(B488,DB_Customers!$A:$B,2,0)),"")</f>
        <v/>
      </c>
      <c r="D488" s="41"/>
      <c r="E488" s="32"/>
      <c r="F488" s="42" t="str">
        <f t="shared" ca="1" si="15"/>
        <v/>
      </c>
      <c r="G488" s="31"/>
      <c r="H488" s="43" t="str">
        <f>IFERROR(IF(OR(B488="",E488=""),"",SUMIF(DB_Loans!$B:$B,B488,DB_Loans!$E:$E)+E488),"")</f>
        <v/>
      </c>
      <c r="I488" s="43" t="str">
        <f>IFERROR(IF(OR(B488="",E488=""),"",SUMIF(DB_Loans!$B:$B,B488,DB_Loans!$J:$J)+(E488*0.025)),"")</f>
        <v/>
      </c>
      <c r="J488" s="31"/>
    </row>
    <row r="489" spans="1:10" ht="20.100000000000001" customHeight="1" x14ac:dyDescent="0.25">
      <c r="A489" s="30" t="str">
        <f t="shared" si="14"/>
        <v/>
      </c>
      <c r="B489" s="41"/>
      <c r="C489" s="35" t="str">
        <f>IFERROR(IF(B489="","",VLOOKUP(B489,DB_Customers!$A:$B,2,0)),"")</f>
        <v/>
      </c>
      <c r="D489" s="41"/>
      <c r="E489" s="32"/>
      <c r="F489" s="42" t="str">
        <f t="shared" ca="1" si="15"/>
        <v/>
      </c>
      <c r="G489" s="31"/>
      <c r="H489" s="43" t="str">
        <f>IFERROR(IF(OR(B489="",E489=""),"",SUMIF(DB_Loans!$B:$B,B489,DB_Loans!$E:$E)+E489),"")</f>
        <v/>
      </c>
      <c r="I489" s="43" t="str">
        <f>IFERROR(IF(OR(B489="",E489=""),"",SUMIF(DB_Loans!$B:$B,B489,DB_Loans!$J:$J)+(E489*0.025)),"")</f>
        <v/>
      </c>
      <c r="J489" s="31"/>
    </row>
    <row r="490" spans="1:10" ht="20.100000000000001" customHeight="1" x14ac:dyDescent="0.25">
      <c r="A490" s="30" t="str">
        <f t="shared" si="14"/>
        <v/>
      </c>
      <c r="B490" s="41"/>
      <c r="C490" s="35" t="str">
        <f>IFERROR(IF(B490="","",VLOOKUP(B490,DB_Customers!$A:$B,2,0)),"")</f>
        <v/>
      </c>
      <c r="D490" s="41"/>
      <c r="E490" s="32"/>
      <c r="F490" s="42" t="str">
        <f t="shared" ca="1" si="15"/>
        <v/>
      </c>
      <c r="G490" s="31"/>
      <c r="H490" s="43" t="str">
        <f>IFERROR(IF(OR(B490="",E490=""),"",SUMIF(DB_Loans!$B:$B,B490,DB_Loans!$E:$E)+E490),"")</f>
        <v/>
      </c>
      <c r="I490" s="43" t="str">
        <f>IFERROR(IF(OR(B490="",E490=""),"",SUMIF(DB_Loans!$B:$B,B490,DB_Loans!$J:$J)+(E490*0.025)),"")</f>
        <v/>
      </c>
      <c r="J490" s="31"/>
    </row>
    <row r="491" spans="1:10" ht="20.100000000000001" customHeight="1" x14ac:dyDescent="0.25">
      <c r="A491" s="30" t="str">
        <f t="shared" si="14"/>
        <v/>
      </c>
      <c r="B491" s="41"/>
      <c r="C491" s="35" t="str">
        <f>IFERROR(IF(B491="","",VLOOKUP(B491,DB_Customers!$A:$B,2,0)),"")</f>
        <v/>
      </c>
      <c r="D491" s="41"/>
      <c r="E491" s="32"/>
      <c r="F491" s="42" t="str">
        <f t="shared" ca="1" si="15"/>
        <v/>
      </c>
      <c r="G491" s="31"/>
      <c r="H491" s="43" t="str">
        <f>IFERROR(IF(OR(B491="",E491=""),"",SUMIF(DB_Loans!$B:$B,B491,DB_Loans!$E:$E)+E491),"")</f>
        <v/>
      </c>
      <c r="I491" s="43" t="str">
        <f>IFERROR(IF(OR(B491="",E491=""),"",SUMIF(DB_Loans!$B:$B,B491,DB_Loans!$J:$J)+(E491*0.025)),"")</f>
        <v/>
      </c>
      <c r="J491" s="31"/>
    </row>
    <row r="492" spans="1:10" ht="20.100000000000001" customHeight="1" x14ac:dyDescent="0.25">
      <c r="A492" s="30" t="str">
        <f t="shared" si="14"/>
        <v/>
      </c>
      <c r="B492" s="41"/>
      <c r="C492" s="35" t="str">
        <f>IFERROR(IF(B492="","",VLOOKUP(B492,DB_Customers!$A:$B,2,0)),"")</f>
        <v/>
      </c>
      <c r="D492" s="41"/>
      <c r="E492" s="32"/>
      <c r="F492" s="42" t="str">
        <f t="shared" ca="1" si="15"/>
        <v/>
      </c>
      <c r="G492" s="31"/>
      <c r="H492" s="43" t="str">
        <f>IFERROR(IF(OR(B492="",E492=""),"",SUMIF(DB_Loans!$B:$B,B492,DB_Loans!$E:$E)+E492),"")</f>
        <v/>
      </c>
      <c r="I492" s="43" t="str">
        <f>IFERROR(IF(OR(B492="",E492=""),"",SUMIF(DB_Loans!$B:$B,B492,DB_Loans!$J:$J)+(E492*0.025)),"")</f>
        <v/>
      </c>
      <c r="J492" s="31"/>
    </row>
    <row r="493" spans="1:10" ht="20.100000000000001" customHeight="1" x14ac:dyDescent="0.25">
      <c r="A493" s="30" t="str">
        <f t="shared" si="14"/>
        <v/>
      </c>
      <c r="B493" s="41"/>
      <c r="C493" s="35" t="str">
        <f>IFERROR(IF(B493="","",VLOOKUP(B493,DB_Customers!$A:$B,2,0)),"")</f>
        <v/>
      </c>
      <c r="D493" s="41"/>
      <c r="E493" s="32"/>
      <c r="F493" s="42" t="str">
        <f t="shared" ca="1" si="15"/>
        <v/>
      </c>
      <c r="G493" s="31"/>
      <c r="H493" s="43" t="str">
        <f>IFERROR(IF(OR(B493="",E493=""),"",SUMIF(DB_Loans!$B:$B,B493,DB_Loans!$E:$E)+E493),"")</f>
        <v/>
      </c>
      <c r="I493" s="43" t="str">
        <f>IFERROR(IF(OR(B493="",E493=""),"",SUMIF(DB_Loans!$B:$B,B493,DB_Loans!$J:$J)+(E493*0.025)),"")</f>
        <v/>
      </c>
      <c r="J493" s="31"/>
    </row>
    <row r="494" spans="1:10" ht="20.100000000000001" customHeight="1" x14ac:dyDescent="0.25">
      <c r="A494" s="30" t="str">
        <f t="shared" si="14"/>
        <v/>
      </c>
      <c r="B494" s="41"/>
      <c r="C494" s="35" t="str">
        <f>IFERROR(IF(B494="","",VLOOKUP(B494,DB_Customers!$A:$B,2,0)),"")</f>
        <v/>
      </c>
      <c r="D494" s="41"/>
      <c r="E494" s="32"/>
      <c r="F494" s="42" t="str">
        <f t="shared" ca="1" si="15"/>
        <v/>
      </c>
      <c r="G494" s="31"/>
      <c r="H494" s="43" t="str">
        <f>IFERROR(IF(OR(B494="",E494=""),"",SUMIF(DB_Loans!$B:$B,B494,DB_Loans!$E:$E)+E494),"")</f>
        <v/>
      </c>
      <c r="I494" s="43" t="str">
        <f>IFERROR(IF(OR(B494="",E494=""),"",SUMIF(DB_Loans!$B:$B,B494,DB_Loans!$J:$J)+(E494*0.025)),"")</f>
        <v/>
      </c>
      <c r="J494" s="31"/>
    </row>
    <row r="495" spans="1:10" ht="20.100000000000001" customHeight="1" x14ac:dyDescent="0.25">
      <c r="A495" s="30" t="str">
        <f t="shared" si="14"/>
        <v/>
      </c>
      <c r="B495" s="41"/>
      <c r="C495" s="35" t="str">
        <f>IFERROR(IF(B495="","",VLOOKUP(B495,DB_Customers!$A:$B,2,0)),"")</f>
        <v/>
      </c>
      <c r="D495" s="41"/>
      <c r="E495" s="32"/>
      <c r="F495" s="42" t="str">
        <f t="shared" ca="1" si="15"/>
        <v/>
      </c>
      <c r="G495" s="31"/>
      <c r="H495" s="43" t="str">
        <f>IFERROR(IF(OR(B495="",E495=""),"",SUMIF(DB_Loans!$B:$B,B495,DB_Loans!$E:$E)+E495),"")</f>
        <v/>
      </c>
      <c r="I495" s="43" t="str">
        <f>IFERROR(IF(OR(B495="",E495=""),"",SUMIF(DB_Loans!$B:$B,B495,DB_Loans!$J:$J)+(E495*0.025)),"")</f>
        <v/>
      </c>
      <c r="J495" s="31"/>
    </row>
    <row r="496" spans="1:10" ht="20.100000000000001" customHeight="1" x14ac:dyDescent="0.25">
      <c r="A496" s="30" t="str">
        <f t="shared" si="14"/>
        <v/>
      </c>
      <c r="B496" s="41"/>
      <c r="C496" s="35" t="str">
        <f>IFERROR(IF(B496="","",VLOOKUP(B496,DB_Customers!$A:$B,2,0)),"")</f>
        <v/>
      </c>
      <c r="D496" s="41"/>
      <c r="E496" s="32"/>
      <c r="F496" s="42" t="str">
        <f t="shared" ca="1" si="15"/>
        <v/>
      </c>
      <c r="G496" s="31"/>
      <c r="H496" s="43" t="str">
        <f>IFERROR(IF(OR(B496="",E496=""),"",SUMIF(DB_Loans!$B:$B,B496,DB_Loans!$E:$E)+E496),"")</f>
        <v/>
      </c>
      <c r="I496" s="43" t="str">
        <f>IFERROR(IF(OR(B496="",E496=""),"",SUMIF(DB_Loans!$B:$B,B496,DB_Loans!$J:$J)+(E496*0.025)),"")</f>
        <v/>
      </c>
      <c r="J496" s="31"/>
    </row>
    <row r="497" spans="1:10" ht="20.100000000000001" customHeight="1" x14ac:dyDescent="0.25">
      <c r="A497" s="30" t="str">
        <f t="shared" si="14"/>
        <v/>
      </c>
      <c r="B497" s="41"/>
      <c r="C497" s="35" t="str">
        <f>IFERROR(IF(B497="","",VLOOKUP(B497,DB_Customers!$A:$B,2,0)),"")</f>
        <v/>
      </c>
      <c r="D497" s="41"/>
      <c r="E497" s="32"/>
      <c r="F497" s="42" t="str">
        <f t="shared" ca="1" si="15"/>
        <v/>
      </c>
      <c r="G497" s="31"/>
      <c r="H497" s="43" t="str">
        <f>IFERROR(IF(OR(B497="",E497=""),"",SUMIF(DB_Loans!$B:$B,B497,DB_Loans!$E:$E)+E497),"")</f>
        <v/>
      </c>
      <c r="I497" s="43" t="str">
        <f>IFERROR(IF(OR(B497="",E497=""),"",SUMIF(DB_Loans!$B:$B,B497,DB_Loans!$J:$J)+(E497*0.025)),"")</f>
        <v/>
      </c>
      <c r="J497" s="31"/>
    </row>
    <row r="498" spans="1:10" ht="20.100000000000001" customHeight="1" x14ac:dyDescent="0.25">
      <c r="A498" s="30" t="str">
        <f t="shared" si="14"/>
        <v/>
      </c>
      <c r="B498" s="41"/>
      <c r="C498" s="35" t="str">
        <f>IFERROR(IF(B498="","",VLOOKUP(B498,DB_Customers!$A:$B,2,0)),"")</f>
        <v/>
      </c>
      <c r="D498" s="41"/>
      <c r="E498" s="32"/>
      <c r="F498" s="42" t="str">
        <f t="shared" ca="1" si="15"/>
        <v/>
      </c>
      <c r="G498" s="31"/>
      <c r="H498" s="43" t="str">
        <f>IFERROR(IF(OR(B498="",E498=""),"",SUMIF(DB_Loans!$B:$B,B498,DB_Loans!$E:$E)+E498),"")</f>
        <v/>
      </c>
      <c r="I498" s="43" t="str">
        <f>IFERROR(IF(OR(B498="",E498=""),"",SUMIF(DB_Loans!$B:$B,B498,DB_Loans!$J:$J)+(E498*0.025)),"")</f>
        <v/>
      </c>
      <c r="J498" s="31"/>
    </row>
    <row r="499" spans="1:10" ht="20.100000000000001" customHeight="1" x14ac:dyDescent="0.25">
      <c r="A499" s="30" t="str">
        <f t="shared" si="14"/>
        <v/>
      </c>
      <c r="B499" s="41"/>
      <c r="C499" s="35" t="str">
        <f>IFERROR(IF(B499="","",VLOOKUP(B499,DB_Customers!$A:$B,2,0)),"")</f>
        <v/>
      </c>
      <c r="D499" s="41"/>
      <c r="E499" s="32"/>
      <c r="F499" s="42" t="str">
        <f t="shared" ca="1" si="15"/>
        <v/>
      </c>
      <c r="G499" s="31"/>
      <c r="H499" s="43" t="str">
        <f>IFERROR(IF(OR(B499="",E499=""),"",SUMIF(DB_Loans!$B:$B,B499,DB_Loans!$E:$E)+E499),"")</f>
        <v/>
      </c>
      <c r="I499" s="43" t="str">
        <f>IFERROR(IF(OR(B499="",E499=""),"",SUMIF(DB_Loans!$B:$B,B499,DB_Loans!$J:$J)+(E499*0.025)),"")</f>
        <v/>
      </c>
      <c r="J499" s="31"/>
    </row>
    <row r="500" spans="1:10" ht="20.100000000000001" customHeight="1" x14ac:dyDescent="0.25">
      <c r="A500" s="30" t="str">
        <f t="shared" si="14"/>
        <v/>
      </c>
      <c r="B500" s="41"/>
      <c r="C500" s="35" t="str">
        <f>IFERROR(IF(B500="","",VLOOKUP(B500,DB_Customers!$A:$B,2,0)),"")</f>
        <v/>
      </c>
      <c r="D500" s="41"/>
      <c r="E500" s="32"/>
      <c r="F500" s="42" t="str">
        <f t="shared" ca="1" si="15"/>
        <v/>
      </c>
      <c r="G500" s="31"/>
      <c r="H500" s="43" t="str">
        <f>IFERROR(IF(OR(B500="",E500=""),"",SUMIF(DB_Loans!$B:$B,B500,DB_Loans!$E:$E)+E500),"")</f>
        <v/>
      </c>
      <c r="I500" s="43" t="str">
        <f>IFERROR(IF(OR(B500="",E500=""),"",SUMIF(DB_Loans!$B:$B,B500,DB_Loans!$J:$J)+(E500*0.025)),"")</f>
        <v/>
      </c>
      <c r="J500" s="31"/>
    </row>
    <row r="501" spans="1:10" ht="20.100000000000001" customHeight="1" x14ac:dyDescent="0.25">
      <c r="A501" s="30" t="str">
        <f t="shared" si="14"/>
        <v/>
      </c>
      <c r="B501" s="41"/>
      <c r="C501" s="35" t="str">
        <f>IFERROR(IF(B501="","",VLOOKUP(B501,DB_Customers!$A:$B,2,0)),"")</f>
        <v/>
      </c>
      <c r="D501" s="41"/>
      <c r="E501" s="32"/>
      <c r="F501" s="42" t="str">
        <f t="shared" ca="1" si="15"/>
        <v/>
      </c>
      <c r="G501" s="31"/>
      <c r="H501" s="43" t="str">
        <f>IFERROR(IF(OR(B501="",E501=""),"",SUMIF(DB_Loans!$B:$B,B501,DB_Loans!$E:$E)+E501),"")</f>
        <v/>
      </c>
      <c r="I501" s="43" t="str">
        <f>IFERROR(IF(OR(B501="",E501=""),"",SUMIF(DB_Loans!$B:$B,B501,DB_Loans!$J:$J)+(E501*0.025)),"")</f>
        <v/>
      </c>
      <c r="J501" s="31"/>
    </row>
    <row r="502" spans="1:10" ht="20.100000000000001" customHeight="1" x14ac:dyDescent="0.25">
      <c r="A502" s="30" t="str">
        <f t="shared" si="14"/>
        <v/>
      </c>
      <c r="B502" s="41"/>
      <c r="C502" s="35" t="str">
        <f>IFERROR(IF(B502="","",VLOOKUP(B502,DB_Customers!$A:$B,2,0)),"")</f>
        <v/>
      </c>
      <c r="D502" s="41"/>
      <c r="E502" s="32"/>
      <c r="F502" s="42" t="str">
        <f t="shared" ca="1" si="15"/>
        <v/>
      </c>
      <c r="G502" s="31"/>
      <c r="H502" s="43" t="str">
        <f>IFERROR(IF(OR(B502="",E502=""),"",SUMIF(DB_Loans!$B:$B,B502,DB_Loans!$E:$E)+E502),"")</f>
        <v/>
      </c>
      <c r="I502" s="43" t="str">
        <f>IFERROR(IF(OR(B502="",E502=""),"",SUMIF(DB_Loans!$B:$B,B502,DB_Loans!$J:$J)+(E502*0.025)),"")</f>
        <v/>
      </c>
      <c r="J502" s="31"/>
    </row>
    <row r="503" spans="1:10" ht="20.100000000000001" customHeight="1" x14ac:dyDescent="0.25">
      <c r="A503" s="30" t="str">
        <f t="shared" si="14"/>
        <v/>
      </c>
      <c r="B503" s="41"/>
      <c r="C503" s="35" t="str">
        <f>IFERROR(IF(B503="","",VLOOKUP(B503,DB_Customers!$A:$B,2,0)),"")</f>
        <v/>
      </c>
      <c r="D503" s="41"/>
      <c r="E503" s="32"/>
      <c r="F503" s="42" t="str">
        <f t="shared" ca="1" si="15"/>
        <v/>
      </c>
      <c r="G503" s="31"/>
      <c r="H503" s="43" t="str">
        <f>IFERROR(IF(OR(B503="",E503=""),"",SUMIF(DB_Loans!$B:$B,B503,DB_Loans!$E:$E)+E503),"")</f>
        <v/>
      </c>
      <c r="I503" s="43" t="str">
        <f>IFERROR(IF(OR(B503="",E503=""),"",SUMIF(DB_Loans!$B:$B,B503,DB_Loans!$J:$J)+(E503*0.025)),"")</f>
        <v/>
      </c>
      <c r="J503" s="31"/>
    </row>
    <row r="504" spans="1:10" ht="20.100000000000001" customHeight="1" x14ac:dyDescent="0.25">
      <c r="A504" s="30" t="str">
        <f t="shared" si="14"/>
        <v/>
      </c>
      <c r="B504" s="41"/>
      <c r="C504" s="35" t="str">
        <f>IFERROR(IF(B504="","",VLOOKUP(B504,DB_Customers!$A:$B,2,0)),"")</f>
        <v/>
      </c>
      <c r="D504" s="41"/>
      <c r="E504" s="32"/>
      <c r="F504" s="42" t="str">
        <f t="shared" ca="1" si="15"/>
        <v/>
      </c>
      <c r="G504" s="31"/>
      <c r="H504" s="43" t="str">
        <f>IFERROR(IF(OR(B504="",E504=""),"",SUMIF(DB_Loans!$B:$B,B504,DB_Loans!$E:$E)+E504),"")</f>
        <v/>
      </c>
      <c r="I504" s="43" t="str">
        <f>IFERROR(IF(OR(B504="",E504=""),"",SUMIF(DB_Loans!$B:$B,B504,DB_Loans!$J:$J)+(E504*0.025)),"")</f>
        <v/>
      </c>
      <c r="J504" s="31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2.1" customHeight="1" x14ac:dyDescent="0.25">
      <c r="A1" s="93" t="s">
        <v>124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1.95" customHeight="1" x14ac:dyDescent="0.25">
      <c r="A2" s="97" t="s">
        <v>125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20.100000000000001" customHeight="1" x14ac:dyDescent="0.25">
      <c r="A3" s="44" t="s">
        <v>126</v>
      </c>
      <c r="D3" s="44" t="s">
        <v>127</v>
      </c>
      <c r="G3" s="44" t="s">
        <v>128</v>
      </c>
    </row>
    <row r="4" spans="1:11" ht="24" customHeight="1" x14ac:dyDescent="0.25">
      <c r="A4" s="45">
        <f ca="1">IFERROR(SUMIFS(DB_Savings!$F:$F,DB_Savings!$D:$D,"Agent 01",DB_Savings!$E:$E,TODAY()),0)</f>
        <v>0</v>
      </c>
      <c r="D4" s="45">
        <f ca="1">IFERROR(COUNTIFS(DB_Savings!$D:$D,"Agent 01",DB_Savings!$E:$E,TODAY()),0)</f>
        <v>0</v>
      </c>
      <c r="G4" s="45" t="str">
        <f ca="1">TEXT(TODAY(),"DDDD, DD MMMM YYYY")</f>
        <v>Saturday, 25 April 2026</v>
      </c>
    </row>
    <row r="6" spans="1:11" ht="26.1" customHeight="1" x14ac:dyDescent="0.25">
      <c r="A6" s="97" t="s">
        <v>129</v>
      </c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ht="21.95" customHeight="1" x14ac:dyDescent="0.25">
      <c r="A7" s="90" t="s">
        <v>130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spans="1:11" ht="30" customHeight="1" x14ac:dyDescent="0.25">
      <c r="A8" s="19" t="s">
        <v>131</v>
      </c>
      <c r="B8" s="19" t="s">
        <v>69</v>
      </c>
      <c r="C8" s="19" t="s">
        <v>84</v>
      </c>
      <c r="D8" s="19" t="s">
        <v>91</v>
      </c>
      <c r="E8" s="19" t="s">
        <v>132</v>
      </c>
      <c r="F8" s="19" t="s">
        <v>133</v>
      </c>
      <c r="G8" s="19" t="s">
        <v>45</v>
      </c>
      <c r="H8" s="19" t="s">
        <v>134</v>
      </c>
      <c r="I8" s="19" t="s">
        <v>77</v>
      </c>
      <c r="J8" s="19" t="s">
        <v>135</v>
      </c>
      <c r="K8" s="19" t="s">
        <v>95</v>
      </c>
    </row>
    <row r="9" spans="1:11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IF(A9="","",IFERROR(VLOOKUP(A9,DB_Customers!$A:$M,13,0),""))</f>
        <v/>
      </c>
      <c r="D9" s="42" t="str">
        <f t="shared" ref="D9:D40" ca="1" si="0">IF(A9="","",TODAY())</f>
        <v/>
      </c>
      <c r="E9" s="32"/>
      <c r="F9" s="43" t="str">
        <f t="shared" ref="F9:F40" si="1">IFERROR(IF(OR(A9="",E9=""),"",C9+E9),"")</f>
        <v/>
      </c>
      <c r="G9" s="30" t="s">
        <v>54</v>
      </c>
      <c r="H9" s="41"/>
      <c r="I9" s="33" t="str">
        <f>IF(A9="","",IF(H9="","⚠️ Enter Agent Code",IF(IFERROR(VLOOKUP(G9,DB_Agents!$B:$F,4,0),"")=TEXT(H9,"0"),IF(AND(A9&lt;&gt;"",E9&lt;&gt;""),"✅ Saved","Pending"),"🔒 WRONG CODE")))</f>
        <v/>
      </c>
      <c r="J9" s="33" t="str">
        <f t="shared" ref="J9:J40" ca="1" si="2">IF(I9="✅ Saved",TEXT(TODAY(),"YYYY-MM-DD")&amp;" Auto","—")</f>
        <v>—</v>
      </c>
      <c r="K9" s="22"/>
    </row>
    <row r="10" spans="1:11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IF(A10="","",IFERROR(VLOOKUP(A10,DB_Customers!$A:$M,13,0),""))</f>
        <v/>
      </c>
      <c r="D10" s="42" t="str">
        <f t="shared" ca="1" si="0"/>
        <v/>
      </c>
      <c r="E10" s="32"/>
      <c r="F10" s="43" t="str">
        <f t="shared" si="1"/>
        <v/>
      </c>
      <c r="G10" s="30" t="s">
        <v>54</v>
      </c>
      <c r="H10" s="41"/>
      <c r="I10" s="33" t="str">
        <f>IF(A10="","",IF(H10="","⚠️ Enter Agent Code",IF(IFERROR(VLOOKUP(G10,DB_Agents!$B:$F,4,0),"")=TEXT(H10,"0"),IF(AND(A10&lt;&gt;"",E10&lt;&gt;""),"✅ Saved","Pending"),"🔒 WRONG CODE")))</f>
        <v/>
      </c>
      <c r="J10" s="33" t="str">
        <f t="shared" ca="1" si="2"/>
        <v>—</v>
      </c>
      <c r="K10" s="46"/>
    </row>
    <row r="11" spans="1:11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IF(A11="","",IFERROR(VLOOKUP(A11,DB_Customers!$A:$M,13,0),""))</f>
        <v/>
      </c>
      <c r="D11" s="42" t="str">
        <f t="shared" ca="1" si="0"/>
        <v/>
      </c>
      <c r="E11" s="32"/>
      <c r="F11" s="43" t="str">
        <f t="shared" si="1"/>
        <v/>
      </c>
      <c r="G11" s="30" t="s">
        <v>54</v>
      </c>
      <c r="H11" s="41"/>
      <c r="I11" s="33" t="str">
        <f>IF(A11="","",IF(H11="","⚠️ Enter Agent Code",IF(IFERROR(VLOOKUP(G11,DB_Agents!$B:$F,4,0),"")=TEXT(H11,"0"),IF(AND(A11&lt;&gt;"",E11&lt;&gt;""),"✅ Saved","Pending"),"🔒 WRONG CODE")))</f>
        <v/>
      </c>
      <c r="J11" s="33" t="str">
        <f t="shared" ca="1" si="2"/>
        <v>—</v>
      </c>
      <c r="K11" s="22"/>
    </row>
    <row r="12" spans="1:11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IF(A12="","",IFERROR(VLOOKUP(A12,DB_Customers!$A:$M,13,0),""))</f>
        <v/>
      </c>
      <c r="D12" s="42" t="str">
        <f t="shared" ca="1" si="0"/>
        <v/>
      </c>
      <c r="E12" s="32"/>
      <c r="F12" s="43" t="str">
        <f t="shared" si="1"/>
        <v/>
      </c>
      <c r="G12" s="30" t="s">
        <v>54</v>
      </c>
      <c r="H12" s="41"/>
      <c r="I12" s="33" t="str">
        <f>IF(A12="","",IF(H12="","⚠️ Enter Agent Code",IF(IFERROR(VLOOKUP(G12,DB_Agents!$B:$F,4,0),"")=TEXT(H12,"0"),IF(AND(A12&lt;&gt;"",E12&lt;&gt;""),"✅ Saved","Pending"),"🔒 WRONG CODE")))</f>
        <v/>
      </c>
      <c r="J12" s="33" t="str">
        <f t="shared" ca="1" si="2"/>
        <v>—</v>
      </c>
      <c r="K12" s="46"/>
    </row>
    <row r="13" spans="1:11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IF(A13="","",IFERROR(VLOOKUP(A13,DB_Customers!$A:$M,13,0),""))</f>
        <v/>
      </c>
      <c r="D13" s="42" t="str">
        <f t="shared" ca="1" si="0"/>
        <v/>
      </c>
      <c r="E13" s="32"/>
      <c r="F13" s="43" t="str">
        <f t="shared" si="1"/>
        <v/>
      </c>
      <c r="G13" s="30" t="s">
        <v>54</v>
      </c>
      <c r="H13" s="41"/>
      <c r="I13" s="33" t="str">
        <f>IF(A13="","",IF(H13="","⚠️ Enter Agent Code",IF(IFERROR(VLOOKUP(G13,DB_Agents!$B:$F,4,0),"")=TEXT(H13,"0"),IF(AND(A13&lt;&gt;"",E13&lt;&gt;""),"✅ Saved","Pending"),"🔒 WRONG CODE")))</f>
        <v/>
      </c>
      <c r="J13" s="33" t="str">
        <f t="shared" ca="1" si="2"/>
        <v>—</v>
      </c>
      <c r="K13" s="22"/>
    </row>
    <row r="14" spans="1:11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IF(A14="","",IFERROR(VLOOKUP(A14,DB_Customers!$A:$M,13,0),""))</f>
        <v/>
      </c>
      <c r="D14" s="42" t="str">
        <f t="shared" ca="1" si="0"/>
        <v/>
      </c>
      <c r="E14" s="32"/>
      <c r="F14" s="43" t="str">
        <f t="shared" si="1"/>
        <v/>
      </c>
      <c r="G14" s="30" t="s">
        <v>54</v>
      </c>
      <c r="H14" s="41"/>
      <c r="I14" s="33" t="str">
        <f>IF(A14="","",IF(H14="","⚠️ Enter Agent Code",IF(IFERROR(VLOOKUP(G14,DB_Agents!$B:$F,4,0),"")=TEXT(H14,"0"),IF(AND(A14&lt;&gt;"",E14&lt;&gt;""),"✅ Saved","Pending"),"🔒 WRONG CODE")))</f>
        <v/>
      </c>
      <c r="J14" s="33" t="str">
        <f t="shared" ca="1" si="2"/>
        <v>—</v>
      </c>
      <c r="K14" s="46"/>
    </row>
    <row r="15" spans="1:11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IF(A15="","",IFERROR(VLOOKUP(A15,DB_Customers!$A:$M,13,0),""))</f>
        <v/>
      </c>
      <c r="D15" s="42" t="str">
        <f t="shared" ca="1" si="0"/>
        <v/>
      </c>
      <c r="E15" s="32"/>
      <c r="F15" s="43" t="str">
        <f t="shared" si="1"/>
        <v/>
      </c>
      <c r="G15" s="30" t="s">
        <v>54</v>
      </c>
      <c r="H15" s="41"/>
      <c r="I15" s="33" t="str">
        <f>IF(A15="","",IF(H15="","⚠️ Enter Agent Code",IF(IFERROR(VLOOKUP(G15,DB_Agents!$B:$F,4,0),"")=TEXT(H15,"0"),IF(AND(A15&lt;&gt;"",E15&lt;&gt;""),"✅ Saved","Pending"),"🔒 WRONG CODE")))</f>
        <v/>
      </c>
      <c r="J15" s="33" t="str">
        <f t="shared" ca="1" si="2"/>
        <v>—</v>
      </c>
      <c r="K15" s="22"/>
    </row>
    <row r="16" spans="1:11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IF(A16="","",IFERROR(VLOOKUP(A16,DB_Customers!$A:$M,13,0),""))</f>
        <v/>
      </c>
      <c r="D16" s="42" t="str">
        <f t="shared" ca="1" si="0"/>
        <v/>
      </c>
      <c r="E16" s="32"/>
      <c r="F16" s="43" t="str">
        <f t="shared" si="1"/>
        <v/>
      </c>
      <c r="G16" s="30" t="s">
        <v>54</v>
      </c>
      <c r="H16" s="41"/>
      <c r="I16" s="33" t="str">
        <f>IF(A16="","",IF(H16="","⚠️ Enter Agent Code",IF(IFERROR(VLOOKUP(G16,DB_Agents!$B:$F,4,0),"")=TEXT(H16,"0"),IF(AND(A16&lt;&gt;"",E16&lt;&gt;""),"✅ Saved","Pending"),"🔒 WRONG CODE")))</f>
        <v/>
      </c>
      <c r="J16" s="33" t="str">
        <f t="shared" ca="1" si="2"/>
        <v>—</v>
      </c>
      <c r="K16" s="46"/>
    </row>
    <row r="17" spans="1:11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IF(A17="","",IFERROR(VLOOKUP(A17,DB_Customers!$A:$M,13,0),""))</f>
        <v/>
      </c>
      <c r="D17" s="42" t="str">
        <f t="shared" ca="1" si="0"/>
        <v/>
      </c>
      <c r="E17" s="32"/>
      <c r="F17" s="43" t="str">
        <f t="shared" si="1"/>
        <v/>
      </c>
      <c r="G17" s="30" t="s">
        <v>54</v>
      </c>
      <c r="H17" s="41"/>
      <c r="I17" s="33" t="str">
        <f>IF(A17="","",IF(H17="","⚠️ Enter Agent Code",IF(IFERROR(VLOOKUP(G17,DB_Agents!$B:$F,4,0),"")=TEXT(H17,"0"),IF(AND(A17&lt;&gt;"",E17&lt;&gt;""),"✅ Saved","Pending"),"🔒 WRONG CODE")))</f>
        <v/>
      </c>
      <c r="J17" s="33" t="str">
        <f t="shared" ca="1" si="2"/>
        <v>—</v>
      </c>
      <c r="K17" s="22"/>
    </row>
    <row r="18" spans="1:11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IF(A18="","",IFERROR(VLOOKUP(A18,DB_Customers!$A:$M,13,0),""))</f>
        <v/>
      </c>
      <c r="D18" s="42" t="str">
        <f t="shared" ca="1" si="0"/>
        <v/>
      </c>
      <c r="E18" s="32"/>
      <c r="F18" s="43" t="str">
        <f t="shared" si="1"/>
        <v/>
      </c>
      <c r="G18" s="30" t="s">
        <v>54</v>
      </c>
      <c r="H18" s="41"/>
      <c r="I18" s="33" t="str">
        <f>IF(A18="","",IF(H18="","⚠️ Enter Agent Code",IF(IFERROR(VLOOKUP(G18,DB_Agents!$B:$F,4,0),"")=TEXT(H18,"0"),IF(AND(A18&lt;&gt;"",E18&lt;&gt;""),"✅ Saved","Pending"),"🔒 WRONG CODE")))</f>
        <v/>
      </c>
      <c r="J18" s="33" t="str">
        <f t="shared" ca="1" si="2"/>
        <v>—</v>
      </c>
      <c r="K18" s="46"/>
    </row>
    <row r="19" spans="1:11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IF(A19="","",IFERROR(VLOOKUP(A19,DB_Customers!$A:$M,13,0),""))</f>
        <v/>
      </c>
      <c r="D19" s="42" t="str">
        <f t="shared" ca="1" si="0"/>
        <v/>
      </c>
      <c r="E19" s="32"/>
      <c r="F19" s="43" t="str">
        <f t="shared" si="1"/>
        <v/>
      </c>
      <c r="G19" s="30" t="s">
        <v>54</v>
      </c>
      <c r="H19" s="41"/>
      <c r="I19" s="33" t="str">
        <f>IF(A19="","",IF(H19="","⚠️ Enter Agent Code",IF(IFERROR(VLOOKUP(G19,DB_Agents!$B:$F,4,0),"")=TEXT(H19,"0"),IF(AND(A19&lt;&gt;"",E19&lt;&gt;""),"✅ Saved","Pending"),"🔒 WRONG CODE")))</f>
        <v/>
      </c>
      <c r="J19" s="33" t="str">
        <f t="shared" ca="1" si="2"/>
        <v>—</v>
      </c>
      <c r="K19" s="22"/>
    </row>
    <row r="20" spans="1:11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IF(A20="","",IFERROR(VLOOKUP(A20,DB_Customers!$A:$M,13,0),""))</f>
        <v/>
      </c>
      <c r="D20" s="42" t="str">
        <f t="shared" ca="1" si="0"/>
        <v/>
      </c>
      <c r="E20" s="32"/>
      <c r="F20" s="43" t="str">
        <f t="shared" si="1"/>
        <v/>
      </c>
      <c r="G20" s="30" t="s">
        <v>54</v>
      </c>
      <c r="H20" s="41"/>
      <c r="I20" s="33" t="str">
        <f>IF(A20="","",IF(H20="","⚠️ Enter Agent Code",IF(IFERROR(VLOOKUP(G20,DB_Agents!$B:$F,4,0),"")=TEXT(H20,"0"),IF(AND(A20&lt;&gt;"",E20&lt;&gt;""),"✅ Saved","Pending"),"🔒 WRONG CODE")))</f>
        <v/>
      </c>
      <c r="J20" s="33" t="str">
        <f t="shared" ca="1" si="2"/>
        <v>—</v>
      </c>
      <c r="K20" s="46"/>
    </row>
    <row r="21" spans="1:11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IF(A21="","",IFERROR(VLOOKUP(A21,DB_Customers!$A:$M,13,0),""))</f>
        <v/>
      </c>
      <c r="D21" s="42" t="str">
        <f t="shared" ca="1" si="0"/>
        <v/>
      </c>
      <c r="E21" s="32"/>
      <c r="F21" s="43" t="str">
        <f t="shared" si="1"/>
        <v/>
      </c>
      <c r="G21" s="30" t="s">
        <v>54</v>
      </c>
      <c r="H21" s="41"/>
      <c r="I21" s="33" t="str">
        <f>IF(A21="","",IF(H21="","⚠️ Enter Agent Code",IF(IFERROR(VLOOKUP(G21,DB_Agents!$B:$F,4,0),"")=TEXT(H21,"0"),IF(AND(A21&lt;&gt;"",E21&lt;&gt;""),"✅ Saved","Pending"),"🔒 WRONG CODE")))</f>
        <v/>
      </c>
      <c r="J21" s="33" t="str">
        <f t="shared" ca="1" si="2"/>
        <v>—</v>
      </c>
      <c r="K21" s="22"/>
    </row>
    <row r="22" spans="1:11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IF(A22="","",IFERROR(VLOOKUP(A22,DB_Customers!$A:$M,13,0),""))</f>
        <v/>
      </c>
      <c r="D22" s="42" t="str">
        <f t="shared" ca="1" si="0"/>
        <v/>
      </c>
      <c r="E22" s="32"/>
      <c r="F22" s="43" t="str">
        <f t="shared" si="1"/>
        <v/>
      </c>
      <c r="G22" s="30" t="s">
        <v>54</v>
      </c>
      <c r="H22" s="41"/>
      <c r="I22" s="33" t="str">
        <f>IF(A22="","",IF(H22="","⚠️ Enter Agent Code",IF(IFERROR(VLOOKUP(G22,DB_Agents!$B:$F,4,0),"")=TEXT(H22,"0"),IF(AND(A22&lt;&gt;"",E22&lt;&gt;""),"✅ Saved","Pending"),"🔒 WRONG CODE")))</f>
        <v/>
      </c>
      <c r="J22" s="33" t="str">
        <f t="shared" ca="1" si="2"/>
        <v>—</v>
      </c>
      <c r="K22" s="46"/>
    </row>
    <row r="23" spans="1:11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IF(A23="","",IFERROR(VLOOKUP(A23,DB_Customers!$A:$M,13,0),""))</f>
        <v/>
      </c>
      <c r="D23" s="42" t="str">
        <f t="shared" ca="1" si="0"/>
        <v/>
      </c>
      <c r="E23" s="32"/>
      <c r="F23" s="43" t="str">
        <f t="shared" si="1"/>
        <v/>
      </c>
      <c r="G23" s="30" t="s">
        <v>54</v>
      </c>
      <c r="H23" s="41"/>
      <c r="I23" s="33" t="str">
        <f>IF(A23="","",IF(H23="","⚠️ Enter Agent Code",IF(IFERROR(VLOOKUP(G23,DB_Agents!$B:$F,4,0),"")=TEXT(H23,"0"),IF(AND(A23&lt;&gt;"",E23&lt;&gt;""),"✅ Saved","Pending"),"🔒 WRONG CODE")))</f>
        <v/>
      </c>
      <c r="J23" s="33" t="str">
        <f t="shared" ca="1" si="2"/>
        <v>—</v>
      </c>
      <c r="K23" s="22"/>
    </row>
    <row r="24" spans="1:11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IF(A24="","",IFERROR(VLOOKUP(A24,DB_Customers!$A:$M,13,0),""))</f>
        <v/>
      </c>
      <c r="D24" s="42" t="str">
        <f t="shared" ca="1" si="0"/>
        <v/>
      </c>
      <c r="E24" s="32"/>
      <c r="F24" s="43" t="str">
        <f t="shared" si="1"/>
        <v/>
      </c>
      <c r="G24" s="30" t="s">
        <v>54</v>
      </c>
      <c r="H24" s="41"/>
      <c r="I24" s="33" t="str">
        <f>IF(A24="","",IF(H24="","⚠️ Enter Agent Code",IF(IFERROR(VLOOKUP(G24,DB_Agents!$B:$F,4,0),"")=TEXT(H24,"0"),IF(AND(A24&lt;&gt;"",E24&lt;&gt;""),"✅ Saved","Pending"),"🔒 WRONG CODE")))</f>
        <v/>
      </c>
      <c r="J24" s="33" t="str">
        <f t="shared" ca="1" si="2"/>
        <v>—</v>
      </c>
      <c r="K24" s="46"/>
    </row>
    <row r="25" spans="1:11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IF(A25="","",IFERROR(VLOOKUP(A25,DB_Customers!$A:$M,13,0),""))</f>
        <v/>
      </c>
      <c r="D25" s="42" t="str">
        <f t="shared" ca="1" si="0"/>
        <v/>
      </c>
      <c r="E25" s="32"/>
      <c r="F25" s="43" t="str">
        <f t="shared" si="1"/>
        <v/>
      </c>
      <c r="G25" s="30" t="s">
        <v>54</v>
      </c>
      <c r="H25" s="41"/>
      <c r="I25" s="33" t="str">
        <f>IF(A25="","",IF(H25="","⚠️ Enter Agent Code",IF(IFERROR(VLOOKUP(G25,DB_Agents!$B:$F,4,0),"")=TEXT(H25,"0"),IF(AND(A25&lt;&gt;"",E25&lt;&gt;""),"✅ Saved","Pending"),"🔒 WRONG CODE")))</f>
        <v/>
      </c>
      <c r="J25" s="33" t="str">
        <f t="shared" ca="1" si="2"/>
        <v>—</v>
      </c>
      <c r="K25" s="22"/>
    </row>
    <row r="26" spans="1:11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IF(A26="","",IFERROR(VLOOKUP(A26,DB_Customers!$A:$M,13,0),""))</f>
        <v/>
      </c>
      <c r="D26" s="42" t="str">
        <f t="shared" ca="1" si="0"/>
        <v/>
      </c>
      <c r="E26" s="32"/>
      <c r="F26" s="43" t="str">
        <f t="shared" si="1"/>
        <v/>
      </c>
      <c r="G26" s="30" t="s">
        <v>54</v>
      </c>
      <c r="H26" s="41"/>
      <c r="I26" s="33" t="str">
        <f>IF(A26="","",IF(H26="","⚠️ Enter Agent Code",IF(IFERROR(VLOOKUP(G26,DB_Agents!$B:$F,4,0),"")=TEXT(H26,"0"),IF(AND(A26&lt;&gt;"",E26&lt;&gt;""),"✅ Saved","Pending"),"🔒 WRONG CODE")))</f>
        <v/>
      </c>
      <c r="J26" s="33" t="str">
        <f t="shared" ca="1" si="2"/>
        <v>—</v>
      </c>
      <c r="K26" s="46"/>
    </row>
    <row r="27" spans="1:11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IF(A27="","",IFERROR(VLOOKUP(A27,DB_Customers!$A:$M,13,0),""))</f>
        <v/>
      </c>
      <c r="D27" s="42" t="str">
        <f t="shared" ca="1" si="0"/>
        <v/>
      </c>
      <c r="E27" s="32"/>
      <c r="F27" s="43" t="str">
        <f t="shared" si="1"/>
        <v/>
      </c>
      <c r="G27" s="30" t="s">
        <v>54</v>
      </c>
      <c r="H27" s="41"/>
      <c r="I27" s="33" t="str">
        <f>IF(A27="","",IF(H27="","⚠️ Enter Agent Code",IF(IFERROR(VLOOKUP(G27,DB_Agents!$B:$F,4,0),"")=TEXT(H27,"0"),IF(AND(A27&lt;&gt;"",E27&lt;&gt;""),"✅ Saved","Pending"),"🔒 WRONG CODE")))</f>
        <v/>
      </c>
      <c r="J27" s="33" t="str">
        <f t="shared" ca="1" si="2"/>
        <v>—</v>
      </c>
      <c r="K27" s="22"/>
    </row>
    <row r="28" spans="1:11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IF(A28="","",IFERROR(VLOOKUP(A28,DB_Customers!$A:$M,13,0),""))</f>
        <v/>
      </c>
      <c r="D28" s="42" t="str">
        <f t="shared" ca="1" si="0"/>
        <v/>
      </c>
      <c r="E28" s="32"/>
      <c r="F28" s="43" t="str">
        <f t="shared" si="1"/>
        <v/>
      </c>
      <c r="G28" s="30" t="s">
        <v>54</v>
      </c>
      <c r="H28" s="41"/>
      <c r="I28" s="33" t="str">
        <f>IF(A28="","",IF(H28="","⚠️ Enter Agent Code",IF(IFERROR(VLOOKUP(G28,DB_Agents!$B:$F,4,0),"")=TEXT(H28,"0"),IF(AND(A28&lt;&gt;"",E28&lt;&gt;""),"✅ Saved","Pending"),"🔒 WRONG CODE")))</f>
        <v/>
      </c>
      <c r="J28" s="33" t="str">
        <f t="shared" ca="1" si="2"/>
        <v>—</v>
      </c>
      <c r="K28" s="46"/>
    </row>
    <row r="29" spans="1:11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IF(A29="","",IFERROR(VLOOKUP(A29,DB_Customers!$A:$M,13,0),""))</f>
        <v/>
      </c>
      <c r="D29" s="42" t="str">
        <f t="shared" ca="1" si="0"/>
        <v/>
      </c>
      <c r="E29" s="32"/>
      <c r="F29" s="43" t="str">
        <f t="shared" si="1"/>
        <v/>
      </c>
      <c r="G29" s="30" t="s">
        <v>54</v>
      </c>
      <c r="H29" s="41"/>
      <c r="I29" s="33" t="str">
        <f>IF(A29="","",IF(H29="","⚠️ Enter Agent Code",IF(IFERROR(VLOOKUP(G29,DB_Agents!$B:$F,4,0),"")=TEXT(H29,"0"),IF(AND(A29&lt;&gt;"",E29&lt;&gt;""),"✅ Saved","Pending"),"🔒 WRONG CODE")))</f>
        <v/>
      </c>
      <c r="J29" s="33" t="str">
        <f t="shared" ca="1" si="2"/>
        <v>—</v>
      </c>
      <c r="K29" s="22"/>
    </row>
    <row r="30" spans="1:11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IF(A30="","",IFERROR(VLOOKUP(A30,DB_Customers!$A:$M,13,0),""))</f>
        <v/>
      </c>
      <c r="D30" s="42" t="str">
        <f t="shared" ca="1" si="0"/>
        <v/>
      </c>
      <c r="E30" s="32"/>
      <c r="F30" s="43" t="str">
        <f t="shared" si="1"/>
        <v/>
      </c>
      <c r="G30" s="30" t="s">
        <v>54</v>
      </c>
      <c r="H30" s="41"/>
      <c r="I30" s="33" t="str">
        <f>IF(A30="","",IF(H30="","⚠️ Enter Agent Code",IF(IFERROR(VLOOKUP(G30,DB_Agents!$B:$F,4,0),"")=TEXT(H30,"0"),IF(AND(A30&lt;&gt;"",E30&lt;&gt;""),"✅ Saved","Pending"),"🔒 WRONG CODE")))</f>
        <v/>
      </c>
      <c r="J30" s="33" t="str">
        <f t="shared" ca="1" si="2"/>
        <v>—</v>
      </c>
      <c r="K30" s="46"/>
    </row>
    <row r="31" spans="1:11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IF(A31="","",IFERROR(VLOOKUP(A31,DB_Customers!$A:$M,13,0),""))</f>
        <v/>
      </c>
      <c r="D31" s="42" t="str">
        <f t="shared" ca="1" si="0"/>
        <v/>
      </c>
      <c r="E31" s="32"/>
      <c r="F31" s="43" t="str">
        <f t="shared" si="1"/>
        <v/>
      </c>
      <c r="G31" s="30" t="s">
        <v>54</v>
      </c>
      <c r="H31" s="41"/>
      <c r="I31" s="33" t="str">
        <f>IF(A31="","",IF(H31="","⚠️ Enter Agent Code",IF(IFERROR(VLOOKUP(G31,DB_Agents!$B:$F,4,0),"")=TEXT(H31,"0"),IF(AND(A31&lt;&gt;"",E31&lt;&gt;""),"✅ Saved","Pending"),"🔒 WRONG CODE")))</f>
        <v/>
      </c>
      <c r="J31" s="33" t="str">
        <f t="shared" ca="1" si="2"/>
        <v>—</v>
      </c>
      <c r="K31" s="22"/>
    </row>
    <row r="32" spans="1:11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IF(A32="","",IFERROR(VLOOKUP(A32,DB_Customers!$A:$M,13,0),""))</f>
        <v/>
      </c>
      <c r="D32" s="42" t="str">
        <f t="shared" ca="1" si="0"/>
        <v/>
      </c>
      <c r="E32" s="32"/>
      <c r="F32" s="43" t="str">
        <f t="shared" si="1"/>
        <v/>
      </c>
      <c r="G32" s="30" t="s">
        <v>54</v>
      </c>
      <c r="H32" s="41"/>
      <c r="I32" s="33" t="str">
        <f>IF(A32="","",IF(H32="","⚠️ Enter Agent Code",IF(IFERROR(VLOOKUP(G32,DB_Agents!$B:$F,4,0),"")=TEXT(H32,"0"),IF(AND(A32&lt;&gt;"",E32&lt;&gt;""),"✅ Saved","Pending"),"🔒 WRONG CODE")))</f>
        <v/>
      </c>
      <c r="J32" s="33" t="str">
        <f t="shared" ca="1" si="2"/>
        <v>—</v>
      </c>
      <c r="K32" s="46"/>
    </row>
    <row r="33" spans="1:11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IF(A33="","",IFERROR(VLOOKUP(A33,DB_Customers!$A:$M,13,0),""))</f>
        <v/>
      </c>
      <c r="D33" s="42" t="str">
        <f t="shared" ca="1" si="0"/>
        <v/>
      </c>
      <c r="E33" s="32"/>
      <c r="F33" s="43" t="str">
        <f t="shared" si="1"/>
        <v/>
      </c>
      <c r="G33" s="30" t="s">
        <v>54</v>
      </c>
      <c r="H33" s="41"/>
      <c r="I33" s="33" t="str">
        <f>IF(A33="","",IF(H33="","⚠️ Enter Agent Code",IF(IFERROR(VLOOKUP(G33,DB_Agents!$B:$F,4,0),"")=TEXT(H33,"0"),IF(AND(A33&lt;&gt;"",E33&lt;&gt;""),"✅ Saved","Pending"),"🔒 WRONG CODE")))</f>
        <v/>
      </c>
      <c r="J33" s="33" t="str">
        <f t="shared" ca="1" si="2"/>
        <v>—</v>
      </c>
      <c r="K33" s="22"/>
    </row>
    <row r="34" spans="1:11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IF(A34="","",IFERROR(VLOOKUP(A34,DB_Customers!$A:$M,13,0),""))</f>
        <v/>
      </c>
      <c r="D34" s="42" t="str">
        <f t="shared" ca="1" si="0"/>
        <v/>
      </c>
      <c r="E34" s="32"/>
      <c r="F34" s="43" t="str">
        <f t="shared" si="1"/>
        <v/>
      </c>
      <c r="G34" s="30" t="s">
        <v>54</v>
      </c>
      <c r="H34" s="41"/>
      <c r="I34" s="33" t="str">
        <f>IF(A34="","",IF(H34="","⚠️ Enter Agent Code",IF(IFERROR(VLOOKUP(G34,DB_Agents!$B:$F,4,0),"")=TEXT(H34,"0"),IF(AND(A34&lt;&gt;"",E34&lt;&gt;""),"✅ Saved","Pending"),"🔒 WRONG CODE")))</f>
        <v/>
      </c>
      <c r="J34" s="33" t="str">
        <f t="shared" ca="1" si="2"/>
        <v>—</v>
      </c>
      <c r="K34" s="46"/>
    </row>
    <row r="35" spans="1:11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IF(A35="","",IFERROR(VLOOKUP(A35,DB_Customers!$A:$M,13,0),""))</f>
        <v/>
      </c>
      <c r="D35" s="42" t="str">
        <f t="shared" ca="1" si="0"/>
        <v/>
      </c>
      <c r="E35" s="32"/>
      <c r="F35" s="43" t="str">
        <f t="shared" si="1"/>
        <v/>
      </c>
      <c r="G35" s="30" t="s">
        <v>54</v>
      </c>
      <c r="H35" s="41"/>
      <c r="I35" s="33" t="str">
        <f>IF(A35="","",IF(H35="","⚠️ Enter Agent Code",IF(IFERROR(VLOOKUP(G35,DB_Agents!$B:$F,4,0),"")=TEXT(H35,"0"),IF(AND(A35&lt;&gt;"",E35&lt;&gt;""),"✅ Saved","Pending"),"🔒 WRONG CODE")))</f>
        <v/>
      </c>
      <c r="J35" s="33" t="str">
        <f t="shared" ca="1" si="2"/>
        <v>—</v>
      </c>
      <c r="K35" s="22"/>
    </row>
    <row r="36" spans="1:11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IF(A36="","",IFERROR(VLOOKUP(A36,DB_Customers!$A:$M,13,0),""))</f>
        <v/>
      </c>
      <c r="D36" s="42" t="str">
        <f t="shared" ca="1" si="0"/>
        <v/>
      </c>
      <c r="E36" s="32"/>
      <c r="F36" s="43" t="str">
        <f t="shared" si="1"/>
        <v/>
      </c>
      <c r="G36" s="30" t="s">
        <v>54</v>
      </c>
      <c r="H36" s="41"/>
      <c r="I36" s="33" t="str">
        <f>IF(A36="","",IF(H36="","⚠️ Enter Agent Code",IF(IFERROR(VLOOKUP(G36,DB_Agents!$B:$F,4,0),"")=TEXT(H36,"0"),IF(AND(A36&lt;&gt;"",E36&lt;&gt;""),"✅ Saved","Pending"),"🔒 WRONG CODE")))</f>
        <v/>
      </c>
      <c r="J36" s="33" t="str">
        <f t="shared" ca="1" si="2"/>
        <v>—</v>
      </c>
      <c r="K36" s="46"/>
    </row>
    <row r="37" spans="1:11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IF(A37="","",IFERROR(VLOOKUP(A37,DB_Customers!$A:$M,13,0),""))</f>
        <v/>
      </c>
      <c r="D37" s="42" t="str">
        <f t="shared" ca="1" si="0"/>
        <v/>
      </c>
      <c r="E37" s="32"/>
      <c r="F37" s="43" t="str">
        <f t="shared" si="1"/>
        <v/>
      </c>
      <c r="G37" s="30" t="s">
        <v>54</v>
      </c>
      <c r="H37" s="41"/>
      <c r="I37" s="33" t="str">
        <f>IF(A37="","",IF(H37="","⚠️ Enter Agent Code",IF(IFERROR(VLOOKUP(G37,DB_Agents!$B:$F,4,0),"")=TEXT(H37,"0"),IF(AND(A37&lt;&gt;"",E37&lt;&gt;""),"✅ Saved","Pending"),"🔒 WRONG CODE")))</f>
        <v/>
      </c>
      <c r="J37" s="33" t="str">
        <f t="shared" ca="1" si="2"/>
        <v>—</v>
      </c>
      <c r="K37" s="22"/>
    </row>
    <row r="38" spans="1:11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IF(A38="","",IFERROR(VLOOKUP(A38,DB_Customers!$A:$M,13,0),""))</f>
        <v/>
      </c>
      <c r="D38" s="42" t="str">
        <f t="shared" ca="1" si="0"/>
        <v/>
      </c>
      <c r="E38" s="32"/>
      <c r="F38" s="43" t="str">
        <f t="shared" si="1"/>
        <v/>
      </c>
      <c r="G38" s="30" t="s">
        <v>54</v>
      </c>
      <c r="H38" s="41"/>
      <c r="I38" s="33" t="str">
        <f>IF(A38="","",IF(H38="","⚠️ Enter Agent Code",IF(IFERROR(VLOOKUP(G38,DB_Agents!$B:$F,4,0),"")=TEXT(H38,"0"),IF(AND(A38&lt;&gt;"",E38&lt;&gt;""),"✅ Saved","Pending"),"🔒 WRONG CODE")))</f>
        <v/>
      </c>
      <c r="J38" s="33" t="str">
        <f t="shared" ca="1" si="2"/>
        <v>—</v>
      </c>
      <c r="K38" s="46"/>
    </row>
    <row r="39" spans="1:11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IF(A39="","",IFERROR(VLOOKUP(A39,DB_Customers!$A:$M,13,0),""))</f>
        <v/>
      </c>
      <c r="D39" s="42" t="str">
        <f t="shared" ca="1" si="0"/>
        <v/>
      </c>
      <c r="E39" s="32"/>
      <c r="F39" s="43" t="str">
        <f t="shared" si="1"/>
        <v/>
      </c>
      <c r="G39" s="30" t="s">
        <v>54</v>
      </c>
      <c r="H39" s="41"/>
      <c r="I39" s="33" t="str">
        <f>IF(A39="","",IF(H39="","⚠️ Enter Agent Code",IF(IFERROR(VLOOKUP(G39,DB_Agents!$B:$F,4,0),"")=TEXT(H39,"0"),IF(AND(A39&lt;&gt;"",E39&lt;&gt;""),"✅ Saved","Pending"),"🔒 WRONG CODE")))</f>
        <v/>
      </c>
      <c r="J39" s="33" t="str">
        <f t="shared" ca="1" si="2"/>
        <v>—</v>
      </c>
      <c r="K39" s="22"/>
    </row>
    <row r="40" spans="1:11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IF(A40="","",IFERROR(VLOOKUP(A40,DB_Customers!$A:$M,13,0),""))</f>
        <v/>
      </c>
      <c r="D40" s="42" t="str">
        <f t="shared" ca="1" si="0"/>
        <v/>
      </c>
      <c r="E40" s="32"/>
      <c r="F40" s="43" t="str">
        <f t="shared" si="1"/>
        <v/>
      </c>
      <c r="G40" s="30" t="s">
        <v>54</v>
      </c>
      <c r="H40" s="41"/>
      <c r="I40" s="33" t="str">
        <f>IF(A40="","",IF(H40="","⚠️ Enter Agent Code",IF(IFERROR(VLOOKUP(G40,DB_Agents!$B:$F,4,0),"")=TEXT(H40,"0"),IF(AND(A40&lt;&gt;"",E40&lt;&gt;""),"✅ Saved","Pending"),"🔒 WRONG CODE")))</f>
        <v/>
      </c>
      <c r="J40" s="33" t="str">
        <f t="shared" ca="1" si="2"/>
        <v>—</v>
      </c>
      <c r="K40" s="46"/>
    </row>
    <row r="41" spans="1:11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IF(A41="","",IFERROR(VLOOKUP(A41,DB_Customers!$A:$M,13,0),""))</f>
        <v/>
      </c>
      <c r="D41" s="42" t="str">
        <f t="shared" ref="D41:D72" ca="1" si="3">IF(A41="","",TODAY())</f>
        <v/>
      </c>
      <c r="E41" s="32"/>
      <c r="F41" s="43" t="str">
        <f t="shared" ref="F41:F72" si="4">IFERROR(IF(OR(A41="",E41=""),"",C41+E41),"")</f>
        <v/>
      </c>
      <c r="G41" s="30" t="s">
        <v>54</v>
      </c>
      <c r="H41" s="41"/>
      <c r="I41" s="33" t="str">
        <f>IF(A41="","",IF(H41="","⚠️ Enter Agent Code",IF(IFERROR(VLOOKUP(G41,DB_Agents!$B:$F,4,0),"")=TEXT(H41,"0"),IF(AND(A41&lt;&gt;"",E41&lt;&gt;""),"✅ Saved","Pending"),"🔒 WRONG CODE")))</f>
        <v/>
      </c>
      <c r="J41" s="33" t="str">
        <f t="shared" ref="J41:J72" ca="1" si="5">IF(I41="✅ Saved",TEXT(TODAY(),"YYYY-MM-DD")&amp;" Auto","—")</f>
        <v>—</v>
      </c>
      <c r="K41" s="22"/>
    </row>
    <row r="42" spans="1:11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IF(A42="","",IFERROR(VLOOKUP(A42,DB_Customers!$A:$M,13,0),""))</f>
        <v/>
      </c>
      <c r="D42" s="42" t="str">
        <f t="shared" ca="1" si="3"/>
        <v/>
      </c>
      <c r="E42" s="32"/>
      <c r="F42" s="43" t="str">
        <f t="shared" si="4"/>
        <v/>
      </c>
      <c r="G42" s="30" t="s">
        <v>54</v>
      </c>
      <c r="H42" s="41"/>
      <c r="I42" s="33" t="str">
        <f>IF(A42="","",IF(H42="","⚠️ Enter Agent Code",IF(IFERROR(VLOOKUP(G42,DB_Agents!$B:$F,4,0),"")=TEXT(H42,"0"),IF(AND(A42&lt;&gt;"",E42&lt;&gt;""),"✅ Saved","Pending"),"🔒 WRONG CODE")))</f>
        <v/>
      </c>
      <c r="J42" s="33" t="str">
        <f t="shared" ca="1" si="5"/>
        <v>—</v>
      </c>
      <c r="K42" s="46"/>
    </row>
    <row r="43" spans="1:11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IF(A43="","",IFERROR(VLOOKUP(A43,DB_Customers!$A:$M,13,0),""))</f>
        <v/>
      </c>
      <c r="D43" s="42" t="str">
        <f t="shared" ca="1" si="3"/>
        <v/>
      </c>
      <c r="E43" s="32"/>
      <c r="F43" s="43" t="str">
        <f t="shared" si="4"/>
        <v/>
      </c>
      <c r="G43" s="30" t="s">
        <v>54</v>
      </c>
      <c r="H43" s="41"/>
      <c r="I43" s="33" t="str">
        <f>IF(A43="","",IF(H43="","⚠️ Enter Agent Code",IF(IFERROR(VLOOKUP(G43,DB_Agents!$B:$F,4,0),"")=TEXT(H43,"0"),IF(AND(A43&lt;&gt;"",E43&lt;&gt;""),"✅ Saved","Pending"),"🔒 WRONG CODE")))</f>
        <v/>
      </c>
      <c r="J43" s="33" t="str">
        <f t="shared" ca="1" si="5"/>
        <v>—</v>
      </c>
      <c r="K43" s="22"/>
    </row>
    <row r="44" spans="1:11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IF(A44="","",IFERROR(VLOOKUP(A44,DB_Customers!$A:$M,13,0),""))</f>
        <v/>
      </c>
      <c r="D44" s="42" t="str">
        <f t="shared" ca="1" si="3"/>
        <v/>
      </c>
      <c r="E44" s="32"/>
      <c r="F44" s="43" t="str">
        <f t="shared" si="4"/>
        <v/>
      </c>
      <c r="G44" s="30" t="s">
        <v>54</v>
      </c>
      <c r="H44" s="41"/>
      <c r="I44" s="33" t="str">
        <f>IF(A44="","",IF(H44="","⚠️ Enter Agent Code",IF(IFERROR(VLOOKUP(G44,DB_Agents!$B:$F,4,0),"")=TEXT(H44,"0"),IF(AND(A44&lt;&gt;"",E44&lt;&gt;""),"✅ Saved","Pending"),"🔒 WRONG CODE")))</f>
        <v/>
      </c>
      <c r="J44" s="33" t="str">
        <f t="shared" ca="1" si="5"/>
        <v>—</v>
      </c>
      <c r="K44" s="46"/>
    </row>
    <row r="45" spans="1:11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IF(A45="","",IFERROR(VLOOKUP(A45,DB_Customers!$A:$M,13,0),""))</f>
        <v/>
      </c>
      <c r="D45" s="42" t="str">
        <f t="shared" ca="1" si="3"/>
        <v/>
      </c>
      <c r="E45" s="32"/>
      <c r="F45" s="43" t="str">
        <f t="shared" si="4"/>
        <v/>
      </c>
      <c r="G45" s="30" t="s">
        <v>54</v>
      </c>
      <c r="H45" s="41"/>
      <c r="I45" s="33" t="str">
        <f>IF(A45="","",IF(H45="","⚠️ Enter Agent Code",IF(IFERROR(VLOOKUP(G45,DB_Agents!$B:$F,4,0),"")=TEXT(H45,"0"),IF(AND(A45&lt;&gt;"",E45&lt;&gt;""),"✅ Saved","Pending"),"🔒 WRONG CODE")))</f>
        <v/>
      </c>
      <c r="J45" s="33" t="str">
        <f t="shared" ca="1" si="5"/>
        <v>—</v>
      </c>
      <c r="K45" s="22"/>
    </row>
    <row r="46" spans="1:11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IF(A46="","",IFERROR(VLOOKUP(A46,DB_Customers!$A:$M,13,0),""))</f>
        <v/>
      </c>
      <c r="D46" s="42" t="str">
        <f t="shared" ca="1" si="3"/>
        <v/>
      </c>
      <c r="E46" s="32"/>
      <c r="F46" s="43" t="str">
        <f t="shared" si="4"/>
        <v/>
      </c>
      <c r="G46" s="30" t="s">
        <v>54</v>
      </c>
      <c r="H46" s="41"/>
      <c r="I46" s="33" t="str">
        <f>IF(A46="","",IF(H46="","⚠️ Enter Agent Code",IF(IFERROR(VLOOKUP(G46,DB_Agents!$B:$F,4,0),"")=TEXT(H46,"0"),IF(AND(A46&lt;&gt;"",E46&lt;&gt;""),"✅ Saved","Pending"),"🔒 WRONG CODE")))</f>
        <v/>
      </c>
      <c r="J46" s="33" t="str">
        <f t="shared" ca="1" si="5"/>
        <v>—</v>
      </c>
      <c r="K46" s="46"/>
    </row>
    <row r="47" spans="1:11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IF(A47="","",IFERROR(VLOOKUP(A47,DB_Customers!$A:$M,13,0),""))</f>
        <v/>
      </c>
      <c r="D47" s="42" t="str">
        <f t="shared" ca="1" si="3"/>
        <v/>
      </c>
      <c r="E47" s="32"/>
      <c r="F47" s="43" t="str">
        <f t="shared" si="4"/>
        <v/>
      </c>
      <c r="G47" s="30" t="s">
        <v>54</v>
      </c>
      <c r="H47" s="41"/>
      <c r="I47" s="33" t="str">
        <f>IF(A47="","",IF(H47="","⚠️ Enter Agent Code",IF(IFERROR(VLOOKUP(G47,DB_Agents!$B:$F,4,0),"")=TEXT(H47,"0"),IF(AND(A47&lt;&gt;"",E47&lt;&gt;""),"✅ Saved","Pending"),"🔒 WRONG CODE")))</f>
        <v/>
      </c>
      <c r="J47" s="33" t="str">
        <f t="shared" ca="1" si="5"/>
        <v>—</v>
      </c>
      <c r="K47" s="22"/>
    </row>
    <row r="48" spans="1:11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IF(A48="","",IFERROR(VLOOKUP(A48,DB_Customers!$A:$M,13,0),""))</f>
        <v/>
      </c>
      <c r="D48" s="42" t="str">
        <f t="shared" ca="1" si="3"/>
        <v/>
      </c>
      <c r="E48" s="32"/>
      <c r="F48" s="43" t="str">
        <f t="shared" si="4"/>
        <v/>
      </c>
      <c r="G48" s="30" t="s">
        <v>54</v>
      </c>
      <c r="H48" s="41"/>
      <c r="I48" s="33" t="str">
        <f>IF(A48="","",IF(H48="","⚠️ Enter Agent Code",IF(IFERROR(VLOOKUP(G48,DB_Agents!$B:$F,4,0),"")=TEXT(H48,"0"),IF(AND(A48&lt;&gt;"",E48&lt;&gt;""),"✅ Saved","Pending"),"🔒 WRONG CODE")))</f>
        <v/>
      </c>
      <c r="J48" s="33" t="str">
        <f t="shared" ca="1" si="5"/>
        <v>—</v>
      </c>
      <c r="K48" s="46"/>
    </row>
    <row r="49" spans="1:11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IF(A49="","",IFERROR(VLOOKUP(A49,DB_Customers!$A:$M,13,0),""))</f>
        <v/>
      </c>
      <c r="D49" s="42" t="str">
        <f t="shared" ca="1" si="3"/>
        <v/>
      </c>
      <c r="E49" s="32"/>
      <c r="F49" s="43" t="str">
        <f t="shared" si="4"/>
        <v/>
      </c>
      <c r="G49" s="30" t="s">
        <v>54</v>
      </c>
      <c r="H49" s="41"/>
      <c r="I49" s="33" t="str">
        <f>IF(A49="","",IF(H49="","⚠️ Enter Agent Code",IF(IFERROR(VLOOKUP(G49,DB_Agents!$B:$F,4,0),"")=TEXT(H49,"0"),IF(AND(A49&lt;&gt;"",E49&lt;&gt;""),"✅ Saved","Pending"),"🔒 WRONG CODE")))</f>
        <v/>
      </c>
      <c r="J49" s="33" t="str">
        <f t="shared" ca="1" si="5"/>
        <v>—</v>
      </c>
      <c r="K49" s="22"/>
    </row>
    <row r="50" spans="1:11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IF(A50="","",IFERROR(VLOOKUP(A50,DB_Customers!$A:$M,13,0),""))</f>
        <v/>
      </c>
      <c r="D50" s="42" t="str">
        <f t="shared" ca="1" si="3"/>
        <v/>
      </c>
      <c r="E50" s="32"/>
      <c r="F50" s="43" t="str">
        <f t="shared" si="4"/>
        <v/>
      </c>
      <c r="G50" s="30" t="s">
        <v>54</v>
      </c>
      <c r="H50" s="41"/>
      <c r="I50" s="33" t="str">
        <f>IF(A50="","",IF(H50="","⚠️ Enter Agent Code",IF(IFERROR(VLOOKUP(G50,DB_Agents!$B:$F,4,0),"")=TEXT(H50,"0"),IF(AND(A50&lt;&gt;"",E50&lt;&gt;""),"✅ Saved","Pending"),"🔒 WRONG CODE")))</f>
        <v/>
      </c>
      <c r="J50" s="33" t="str">
        <f t="shared" ca="1" si="5"/>
        <v>—</v>
      </c>
      <c r="K50" s="46"/>
    </row>
    <row r="51" spans="1:11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IF(A51="","",IFERROR(VLOOKUP(A51,DB_Customers!$A:$M,13,0),""))</f>
        <v/>
      </c>
      <c r="D51" s="42" t="str">
        <f t="shared" ca="1" si="3"/>
        <v/>
      </c>
      <c r="E51" s="32"/>
      <c r="F51" s="43" t="str">
        <f t="shared" si="4"/>
        <v/>
      </c>
      <c r="G51" s="30" t="s">
        <v>54</v>
      </c>
      <c r="H51" s="41"/>
      <c r="I51" s="33" t="str">
        <f>IF(A51="","",IF(H51="","⚠️ Enter Agent Code",IF(IFERROR(VLOOKUP(G51,DB_Agents!$B:$F,4,0),"")=TEXT(H51,"0"),IF(AND(A51&lt;&gt;"",E51&lt;&gt;""),"✅ Saved","Pending"),"🔒 WRONG CODE")))</f>
        <v/>
      </c>
      <c r="J51" s="33" t="str">
        <f t="shared" ca="1" si="5"/>
        <v>—</v>
      </c>
      <c r="K51" s="22"/>
    </row>
    <row r="52" spans="1:11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IF(A52="","",IFERROR(VLOOKUP(A52,DB_Customers!$A:$M,13,0),""))</f>
        <v/>
      </c>
      <c r="D52" s="42" t="str">
        <f t="shared" ca="1" si="3"/>
        <v/>
      </c>
      <c r="E52" s="32"/>
      <c r="F52" s="43" t="str">
        <f t="shared" si="4"/>
        <v/>
      </c>
      <c r="G52" s="30" t="s">
        <v>54</v>
      </c>
      <c r="H52" s="41"/>
      <c r="I52" s="33" t="str">
        <f>IF(A52="","",IF(H52="","⚠️ Enter Agent Code",IF(IFERROR(VLOOKUP(G52,DB_Agents!$B:$F,4,0),"")=TEXT(H52,"0"),IF(AND(A52&lt;&gt;"",E52&lt;&gt;""),"✅ Saved","Pending"),"🔒 WRONG CODE")))</f>
        <v/>
      </c>
      <c r="J52" s="33" t="str">
        <f t="shared" ca="1" si="5"/>
        <v>—</v>
      </c>
      <c r="K52" s="46"/>
    </row>
    <row r="53" spans="1:11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IF(A53="","",IFERROR(VLOOKUP(A53,DB_Customers!$A:$M,13,0),""))</f>
        <v/>
      </c>
      <c r="D53" s="42" t="str">
        <f t="shared" ca="1" si="3"/>
        <v/>
      </c>
      <c r="E53" s="32"/>
      <c r="F53" s="43" t="str">
        <f t="shared" si="4"/>
        <v/>
      </c>
      <c r="G53" s="30" t="s">
        <v>54</v>
      </c>
      <c r="H53" s="41"/>
      <c r="I53" s="33" t="str">
        <f>IF(A53="","",IF(H53="","⚠️ Enter Agent Code",IF(IFERROR(VLOOKUP(G53,DB_Agents!$B:$F,4,0),"")=TEXT(H53,"0"),IF(AND(A53&lt;&gt;"",E53&lt;&gt;""),"✅ Saved","Pending"),"🔒 WRONG CODE")))</f>
        <v/>
      </c>
      <c r="J53" s="33" t="str">
        <f t="shared" ca="1" si="5"/>
        <v>—</v>
      </c>
      <c r="K53" s="22"/>
    </row>
    <row r="54" spans="1:11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IF(A54="","",IFERROR(VLOOKUP(A54,DB_Customers!$A:$M,13,0),""))</f>
        <v/>
      </c>
      <c r="D54" s="42" t="str">
        <f t="shared" ca="1" si="3"/>
        <v/>
      </c>
      <c r="E54" s="32"/>
      <c r="F54" s="43" t="str">
        <f t="shared" si="4"/>
        <v/>
      </c>
      <c r="G54" s="30" t="s">
        <v>54</v>
      </c>
      <c r="H54" s="41"/>
      <c r="I54" s="33" t="str">
        <f>IF(A54="","",IF(H54="","⚠️ Enter Agent Code",IF(IFERROR(VLOOKUP(G54,DB_Agents!$B:$F,4,0),"")=TEXT(H54,"0"),IF(AND(A54&lt;&gt;"",E54&lt;&gt;""),"✅ Saved","Pending"),"🔒 WRONG CODE")))</f>
        <v/>
      </c>
      <c r="J54" s="33" t="str">
        <f t="shared" ca="1" si="5"/>
        <v>—</v>
      </c>
      <c r="K54" s="46"/>
    </row>
    <row r="55" spans="1:11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IF(A55="","",IFERROR(VLOOKUP(A55,DB_Customers!$A:$M,13,0),""))</f>
        <v/>
      </c>
      <c r="D55" s="42" t="str">
        <f t="shared" ca="1" si="3"/>
        <v/>
      </c>
      <c r="E55" s="32"/>
      <c r="F55" s="43" t="str">
        <f t="shared" si="4"/>
        <v/>
      </c>
      <c r="G55" s="30" t="s">
        <v>54</v>
      </c>
      <c r="H55" s="41"/>
      <c r="I55" s="33" t="str">
        <f>IF(A55="","",IF(H55="","⚠️ Enter Agent Code",IF(IFERROR(VLOOKUP(G55,DB_Agents!$B:$F,4,0),"")=TEXT(H55,"0"),IF(AND(A55&lt;&gt;"",E55&lt;&gt;""),"✅ Saved","Pending"),"🔒 WRONG CODE")))</f>
        <v/>
      </c>
      <c r="J55" s="33" t="str">
        <f t="shared" ca="1" si="5"/>
        <v>—</v>
      </c>
      <c r="K55" s="22"/>
    </row>
    <row r="56" spans="1:11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IF(A56="","",IFERROR(VLOOKUP(A56,DB_Customers!$A:$M,13,0),""))</f>
        <v/>
      </c>
      <c r="D56" s="42" t="str">
        <f t="shared" ca="1" si="3"/>
        <v/>
      </c>
      <c r="E56" s="32"/>
      <c r="F56" s="43" t="str">
        <f t="shared" si="4"/>
        <v/>
      </c>
      <c r="G56" s="30" t="s">
        <v>54</v>
      </c>
      <c r="H56" s="41"/>
      <c r="I56" s="33" t="str">
        <f>IF(A56="","",IF(H56="","⚠️ Enter Agent Code",IF(IFERROR(VLOOKUP(G56,DB_Agents!$B:$F,4,0),"")=TEXT(H56,"0"),IF(AND(A56&lt;&gt;"",E56&lt;&gt;""),"✅ Saved","Pending"),"🔒 WRONG CODE")))</f>
        <v/>
      </c>
      <c r="J56" s="33" t="str">
        <f t="shared" ca="1" si="5"/>
        <v>—</v>
      </c>
      <c r="K56" s="46"/>
    </row>
    <row r="57" spans="1:11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IF(A57="","",IFERROR(VLOOKUP(A57,DB_Customers!$A:$M,13,0),""))</f>
        <v/>
      </c>
      <c r="D57" s="42" t="str">
        <f t="shared" ca="1" si="3"/>
        <v/>
      </c>
      <c r="E57" s="32"/>
      <c r="F57" s="43" t="str">
        <f t="shared" si="4"/>
        <v/>
      </c>
      <c r="G57" s="30" t="s">
        <v>54</v>
      </c>
      <c r="H57" s="41"/>
      <c r="I57" s="33" t="str">
        <f>IF(A57="","",IF(H57="","⚠️ Enter Agent Code",IF(IFERROR(VLOOKUP(G57,DB_Agents!$B:$F,4,0),"")=TEXT(H57,"0"),IF(AND(A57&lt;&gt;"",E57&lt;&gt;""),"✅ Saved","Pending"),"🔒 WRONG CODE")))</f>
        <v/>
      </c>
      <c r="J57" s="33" t="str">
        <f t="shared" ca="1" si="5"/>
        <v>—</v>
      </c>
      <c r="K57" s="22"/>
    </row>
    <row r="58" spans="1:11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IF(A58="","",IFERROR(VLOOKUP(A58,DB_Customers!$A:$M,13,0),""))</f>
        <v/>
      </c>
      <c r="D58" s="42" t="str">
        <f t="shared" ca="1" si="3"/>
        <v/>
      </c>
      <c r="E58" s="32"/>
      <c r="F58" s="43" t="str">
        <f t="shared" si="4"/>
        <v/>
      </c>
      <c r="G58" s="30" t="s">
        <v>54</v>
      </c>
      <c r="H58" s="41"/>
      <c r="I58" s="33" t="str">
        <f>IF(A58="","",IF(H58="","⚠️ Enter Agent Code",IF(IFERROR(VLOOKUP(G58,DB_Agents!$B:$F,4,0),"")=TEXT(H58,"0"),IF(AND(A58&lt;&gt;"",E58&lt;&gt;""),"✅ Saved","Pending"),"🔒 WRONG CODE")))</f>
        <v/>
      </c>
      <c r="J58" s="33" t="str">
        <f t="shared" ca="1" si="5"/>
        <v>—</v>
      </c>
      <c r="K58" s="46"/>
    </row>
    <row r="59" spans="1:11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IF(A59="","",IFERROR(VLOOKUP(A59,DB_Customers!$A:$M,13,0),""))</f>
        <v/>
      </c>
      <c r="D59" s="42" t="str">
        <f t="shared" ca="1" si="3"/>
        <v/>
      </c>
      <c r="E59" s="32"/>
      <c r="F59" s="43" t="str">
        <f t="shared" si="4"/>
        <v/>
      </c>
      <c r="G59" s="30" t="s">
        <v>54</v>
      </c>
      <c r="H59" s="41"/>
      <c r="I59" s="33" t="str">
        <f>IF(A59="","",IF(H59="","⚠️ Enter Agent Code",IF(IFERROR(VLOOKUP(G59,DB_Agents!$B:$F,4,0),"")=TEXT(H59,"0"),IF(AND(A59&lt;&gt;"",E59&lt;&gt;""),"✅ Saved","Pending"),"🔒 WRONG CODE")))</f>
        <v/>
      </c>
      <c r="J59" s="33" t="str">
        <f t="shared" ca="1" si="5"/>
        <v>—</v>
      </c>
      <c r="K59" s="22"/>
    </row>
    <row r="60" spans="1:11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IF(A60="","",IFERROR(VLOOKUP(A60,DB_Customers!$A:$M,13,0),""))</f>
        <v/>
      </c>
      <c r="D60" s="42" t="str">
        <f t="shared" ca="1" si="3"/>
        <v/>
      </c>
      <c r="E60" s="32"/>
      <c r="F60" s="43" t="str">
        <f t="shared" si="4"/>
        <v/>
      </c>
      <c r="G60" s="30" t="s">
        <v>54</v>
      </c>
      <c r="H60" s="41"/>
      <c r="I60" s="33" t="str">
        <f>IF(A60="","",IF(H60="","⚠️ Enter Agent Code",IF(IFERROR(VLOOKUP(G60,DB_Agents!$B:$F,4,0),"")=TEXT(H60,"0"),IF(AND(A60&lt;&gt;"",E60&lt;&gt;""),"✅ Saved","Pending"),"🔒 WRONG CODE")))</f>
        <v/>
      </c>
      <c r="J60" s="33" t="str">
        <f t="shared" ca="1" si="5"/>
        <v>—</v>
      </c>
      <c r="K60" s="46"/>
    </row>
    <row r="61" spans="1:11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IF(A61="","",IFERROR(VLOOKUP(A61,DB_Customers!$A:$M,13,0),""))</f>
        <v/>
      </c>
      <c r="D61" s="42" t="str">
        <f t="shared" ca="1" si="3"/>
        <v/>
      </c>
      <c r="E61" s="32"/>
      <c r="F61" s="43" t="str">
        <f t="shared" si="4"/>
        <v/>
      </c>
      <c r="G61" s="30" t="s">
        <v>54</v>
      </c>
      <c r="H61" s="41"/>
      <c r="I61" s="33" t="str">
        <f>IF(A61="","",IF(H61="","⚠️ Enter Agent Code",IF(IFERROR(VLOOKUP(G61,DB_Agents!$B:$F,4,0),"")=TEXT(H61,"0"),IF(AND(A61&lt;&gt;"",E61&lt;&gt;""),"✅ Saved","Pending"),"🔒 WRONG CODE")))</f>
        <v/>
      </c>
      <c r="J61" s="33" t="str">
        <f t="shared" ca="1" si="5"/>
        <v>—</v>
      </c>
      <c r="K61" s="22"/>
    </row>
    <row r="62" spans="1:11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IF(A62="","",IFERROR(VLOOKUP(A62,DB_Customers!$A:$M,13,0),""))</f>
        <v/>
      </c>
      <c r="D62" s="42" t="str">
        <f t="shared" ca="1" si="3"/>
        <v/>
      </c>
      <c r="E62" s="32"/>
      <c r="F62" s="43" t="str">
        <f t="shared" si="4"/>
        <v/>
      </c>
      <c r="G62" s="30" t="s">
        <v>54</v>
      </c>
      <c r="H62" s="41"/>
      <c r="I62" s="33" t="str">
        <f>IF(A62="","",IF(H62="","⚠️ Enter Agent Code",IF(IFERROR(VLOOKUP(G62,DB_Agents!$B:$F,4,0),"")=TEXT(H62,"0"),IF(AND(A62&lt;&gt;"",E62&lt;&gt;""),"✅ Saved","Pending"),"🔒 WRONG CODE")))</f>
        <v/>
      </c>
      <c r="J62" s="33" t="str">
        <f t="shared" ca="1" si="5"/>
        <v>—</v>
      </c>
      <c r="K62" s="46"/>
    </row>
    <row r="63" spans="1:11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IF(A63="","",IFERROR(VLOOKUP(A63,DB_Customers!$A:$M,13,0),""))</f>
        <v/>
      </c>
      <c r="D63" s="42" t="str">
        <f t="shared" ca="1" si="3"/>
        <v/>
      </c>
      <c r="E63" s="32"/>
      <c r="F63" s="43" t="str">
        <f t="shared" si="4"/>
        <v/>
      </c>
      <c r="G63" s="30" t="s">
        <v>54</v>
      </c>
      <c r="H63" s="41"/>
      <c r="I63" s="33" t="str">
        <f>IF(A63="","",IF(H63="","⚠️ Enter Agent Code",IF(IFERROR(VLOOKUP(G63,DB_Agents!$B:$F,4,0),"")=TEXT(H63,"0"),IF(AND(A63&lt;&gt;"",E63&lt;&gt;""),"✅ Saved","Pending"),"🔒 WRONG CODE")))</f>
        <v/>
      </c>
      <c r="J63" s="33" t="str">
        <f t="shared" ca="1" si="5"/>
        <v>—</v>
      </c>
      <c r="K63" s="22"/>
    </row>
    <row r="64" spans="1:11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IF(A64="","",IFERROR(VLOOKUP(A64,DB_Customers!$A:$M,13,0),""))</f>
        <v/>
      </c>
      <c r="D64" s="42" t="str">
        <f t="shared" ca="1" si="3"/>
        <v/>
      </c>
      <c r="E64" s="32"/>
      <c r="F64" s="43" t="str">
        <f t="shared" si="4"/>
        <v/>
      </c>
      <c r="G64" s="30" t="s">
        <v>54</v>
      </c>
      <c r="H64" s="41"/>
      <c r="I64" s="33" t="str">
        <f>IF(A64="","",IF(H64="","⚠️ Enter Agent Code",IF(IFERROR(VLOOKUP(G64,DB_Agents!$B:$F,4,0),"")=TEXT(H64,"0"),IF(AND(A64&lt;&gt;"",E64&lt;&gt;""),"✅ Saved","Pending"),"🔒 WRONG CODE")))</f>
        <v/>
      </c>
      <c r="J64" s="33" t="str">
        <f t="shared" ca="1" si="5"/>
        <v>—</v>
      </c>
      <c r="K64" s="46"/>
    </row>
    <row r="65" spans="1:11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IF(A65="","",IFERROR(VLOOKUP(A65,DB_Customers!$A:$M,13,0),""))</f>
        <v/>
      </c>
      <c r="D65" s="42" t="str">
        <f t="shared" ca="1" si="3"/>
        <v/>
      </c>
      <c r="E65" s="32"/>
      <c r="F65" s="43" t="str">
        <f t="shared" si="4"/>
        <v/>
      </c>
      <c r="G65" s="30" t="s">
        <v>54</v>
      </c>
      <c r="H65" s="41"/>
      <c r="I65" s="33" t="str">
        <f>IF(A65="","",IF(H65="","⚠️ Enter Agent Code",IF(IFERROR(VLOOKUP(G65,DB_Agents!$B:$F,4,0),"")=TEXT(H65,"0"),IF(AND(A65&lt;&gt;"",E65&lt;&gt;""),"✅ Saved","Pending"),"🔒 WRONG CODE")))</f>
        <v/>
      </c>
      <c r="J65" s="33" t="str">
        <f t="shared" ca="1" si="5"/>
        <v>—</v>
      </c>
      <c r="K65" s="22"/>
    </row>
    <row r="66" spans="1:11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IF(A66="","",IFERROR(VLOOKUP(A66,DB_Customers!$A:$M,13,0),""))</f>
        <v/>
      </c>
      <c r="D66" s="42" t="str">
        <f t="shared" ca="1" si="3"/>
        <v/>
      </c>
      <c r="E66" s="32"/>
      <c r="F66" s="43" t="str">
        <f t="shared" si="4"/>
        <v/>
      </c>
      <c r="G66" s="30" t="s">
        <v>54</v>
      </c>
      <c r="H66" s="41"/>
      <c r="I66" s="33" t="str">
        <f>IF(A66="","",IF(H66="","⚠️ Enter Agent Code",IF(IFERROR(VLOOKUP(G66,DB_Agents!$B:$F,4,0),"")=TEXT(H66,"0"),IF(AND(A66&lt;&gt;"",E66&lt;&gt;""),"✅ Saved","Pending"),"🔒 WRONG CODE")))</f>
        <v/>
      </c>
      <c r="J66" s="33" t="str">
        <f t="shared" ca="1" si="5"/>
        <v>—</v>
      </c>
      <c r="K66" s="46"/>
    </row>
    <row r="67" spans="1:11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IF(A67="","",IFERROR(VLOOKUP(A67,DB_Customers!$A:$M,13,0),""))</f>
        <v/>
      </c>
      <c r="D67" s="42" t="str">
        <f t="shared" ca="1" si="3"/>
        <v/>
      </c>
      <c r="E67" s="32"/>
      <c r="F67" s="43" t="str">
        <f t="shared" si="4"/>
        <v/>
      </c>
      <c r="G67" s="30" t="s">
        <v>54</v>
      </c>
      <c r="H67" s="41"/>
      <c r="I67" s="33" t="str">
        <f>IF(A67="","",IF(H67="","⚠️ Enter Agent Code",IF(IFERROR(VLOOKUP(G67,DB_Agents!$B:$F,4,0),"")=TEXT(H67,"0"),IF(AND(A67&lt;&gt;"",E67&lt;&gt;""),"✅ Saved","Pending"),"🔒 WRONG CODE")))</f>
        <v/>
      </c>
      <c r="J67" s="33" t="str">
        <f t="shared" ca="1" si="5"/>
        <v>—</v>
      </c>
      <c r="K67" s="22"/>
    </row>
    <row r="68" spans="1:11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IF(A68="","",IFERROR(VLOOKUP(A68,DB_Customers!$A:$M,13,0),""))</f>
        <v/>
      </c>
      <c r="D68" s="42" t="str">
        <f t="shared" ca="1" si="3"/>
        <v/>
      </c>
      <c r="E68" s="32"/>
      <c r="F68" s="43" t="str">
        <f t="shared" si="4"/>
        <v/>
      </c>
      <c r="G68" s="30" t="s">
        <v>54</v>
      </c>
      <c r="H68" s="41"/>
      <c r="I68" s="33" t="str">
        <f>IF(A68="","",IF(H68="","⚠️ Enter Agent Code",IF(IFERROR(VLOOKUP(G68,DB_Agents!$B:$F,4,0),"")=TEXT(H68,"0"),IF(AND(A68&lt;&gt;"",E68&lt;&gt;""),"✅ Saved","Pending"),"🔒 WRONG CODE")))</f>
        <v/>
      </c>
      <c r="J68" s="33" t="str">
        <f t="shared" ca="1" si="5"/>
        <v>—</v>
      </c>
      <c r="K68" s="46"/>
    </row>
    <row r="69" spans="1:11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IF(A69="","",IFERROR(VLOOKUP(A69,DB_Customers!$A:$M,13,0),""))</f>
        <v/>
      </c>
      <c r="D69" s="42" t="str">
        <f t="shared" ca="1" si="3"/>
        <v/>
      </c>
      <c r="E69" s="32"/>
      <c r="F69" s="43" t="str">
        <f t="shared" si="4"/>
        <v/>
      </c>
      <c r="G69" s="30" t="s">
        <v>54</v>
      </c>
      <c r="H69" s="41"/>
      <c r="I69" s="33" t="str">
        <f>IF(A69="","",IF(H69="","⚠️ Enter Agent Code",IF(IFERROR(VLOOKUP(G69,DB_Agents!$B:$F,4,0),"")=TEXT(H69,"0"),IF(AND(A69&lt;&gt;"",E69&lt;&gt;""),"✅ Saved","Pending"),"🔒 WRONG CODE")))</f>
        <v/>
      </c>
      <c r="J69" s="33" t="str">
        <f t="shared" ca="1" si="5"/>
        <v>—</v>
      </c>
      <c r="K69" s="22"/>
    </row>
    <row r="70" spans="1:11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IF(A70="","",IFERROR(VLOOKUP(A70,DB_Customers!$A:$M,13,0),""))</f>
        <v/>
      </c>
      <c r="D70" s="42" t="str">
        <f t="shared" ca="1" si="3"/>
        <v/>
      </c>
      <c r="E70" s="32"/>
      <c r="F70" s="43" t="str">
        <f t="shared" si="4"/>
        <v/>
      </c>
      <c r="G70" s="30" t="s">
        <v>54</v>
      </c>
      <c r="H70" s="41"/>
      <c r="I70" s="33" t="str">
        <f>IF(A70="","",IF(H70="","⚠️ Enter Agent Code",IF(IFERROR(VLOOKUP(G70,DB_Agents!$B:$F,4,0),"")=TEXT(H70,"0"),IF(AND(A70&lt;&gt;"",E70&lt;&gt;""),"✅ Saved","Pending"),"🔒 WRONG CODE")))</f>
        <v/>
      </c>
      <c r="J70" s="33" t="str">
        <f t="shared" ca="1" si="5"/>
        <v>—</v>
      </c>
      <c r="K70" s="46"/>
    </row>
    <row r="71" spans="1:11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IF(A71="","",IFERROR(VLOOKUP(A71,DB_Customers!$A:$M,13,0),""))</f>
        <v/>
      </c>
      <c r="D71" s="42" t="str">
        <f t="shared" ca="1" si="3"/>
        <v/>
      </c>
      <c r="E71" s="32"/>
      <c r="F71" s="43" t="str">
        <f t="shared" si="4"/>
        <v/>
      </c>
      <c r="G71" s="30" t="s">
        <v>54</v>
      </c>
      <c r="H71" s="41"/>
      <c r="I71" s="33" t="str">
        <f>IF(A71="","",IF(H71="","⚠️ Enter Agent Code",IF(IFERROR(VLOOKUP(G71,DB_Agents!$B:$F,4,0),"")=TEXT(H71,"0"),IF(AND(A71&lt;&gt;"",E71&lt;&gt;""),"✅ Saved","Pending"),"🔒 WRONG CODE")))</f>
        <v/>
      </c>
      <c r="J71" s="33" t="str">
        <f t="shared" ca="1" si="5"/>
        <v>—</v>
      </c>
      <c r="K71" s="22"/>
    </row>
    <row r="72" spans="1:11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IF(A72="","",IFERROR(VLOOKUP(A72,DB_Customers!$A:$M,13,0),""))</f>
        <v/>
      </c>
      <c r="D72" s="42" t="str">
        <f t="shared" ca="1" si="3"/>
        <v/>
      </c>
      <c r="E72" s="32"/>
      <c r="F72" s="43" t="str">
        <f t="shared" si="4"/>
        <v/>
      </c>
      <c r="G72" s="30" t="s">
        <v>54</v>
      </c>
      <c r="H72" s="41"/>
      <c r="I72" s="33" t="str">
        <f>IF(A72="","",IF(H72="","⚠️ Enter Agent Code",IF(IFERROR(VLOOKUP(G72,DB_Agents!$B:$F,4,0),"")=TEXT(H72,"0"),IF(AND(A72&lt;&gt;"",E72&lt;&gt;""),"✅ Saved","Pending"),"🔒 WRONG CODE")))</f>
        <v/>
      </c>
      <c r="J72" s="33" t="str">
        <f t="shared" ca="1" si="5"/>
        <v>—</v>
      </c>
      <c r="K72" s="46"/>
    </row>
    <row r="73" spans="1:11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IF(A73="","",IFERROR(VLOOKUP(A73,DB_Customers!$A:$M,13,0),""))</f>
        <v/>
      </c>
      <c r="D73" s="42" t="str">
        <f t="shared" ref="D73:D104" ca="1" si="6">IF(A73="","",TODAY())</f>
        <v/>
      </c>
      <c r="E73" s="32"/>
      <c r="F73" s="43" t="str">
        <f t="shared" ref="F73:F104" si="7">IFERROR(IF(OR(A73="",E73=""),"",C73+E73),"")</f>
        <v/>
      </c>
      <c r="G73" s="30" t="s">
        <v>54</v>
      </c>
      <c r="H73" s="41"/>
      <c r="I73" s="33" t="str">
        <f>IF(A73="","",IF(H73="","⚠️ Enter Agent Code",IF(IFERROR(VLOOKUP(G73,DB_Agents!$B:$F,4,0),"")=TEXT(H73,"0"),IF(AND(A73&lt;&gt;"",E73&lt;&gt;""),"✅ Saved","Pending"),"🔒 WRONG CODE")))</f>
        <v/>
      </c>
      <c r="J73" s="33" t="str">
        <f t="shared" ref="J73:J104" ca="1" si="8">IF(I73="✅ Saved",TEXT(TODAY(),"YYYY-MM-DD")&amp;" Auto","—")</f>
        <v>—</v>
      </c>
      <c r="K73" s="22"/>
    </row>
    <row r="74" spans="1:11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IF(A74="","",IFERROR(VLOOKUP(A74,DB_Customers!$A:$M,13,0),""))</f>
        <v/>
      </c>
      <c r="D74" s="42" t="str">
        <f t="shared" ca="1" si="6"/>
        <v/>
      </c>
      <c r="E74" s="32"/>
      <c r="F74" s="43" t="str">
        <f t="shared" si="7"/>
        <v/>
      </c>
      <c r="G74" s="30" t="s">
        <v>54</v>
      </c>
      <c r="H74" s="41"/>
      <c r="I74" s="33" t="str">
        <f>IF(A74="","",IF(H74="","⚠️ Enter Agent Code",IF(IFERROR(VLOOKUP(G74,DB_Agents!$B:$F,4,0),"")=TEXT(H74,"0"),IF(AND(A74&lt;&gt;"",E74&lt;&gt;""),"✅ Saved","Pending"),"🔒 WRONG CODE")))</f>
        <v/>
      </c>
      <c r="J74" s="33" t="str">
        <f t="shared" ca="1" si="8"/>
        <v>—</v>
      </c>
      <c r="K74" s="46"/>
    </row>
    <row r="75" spans="1:11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IF(A75="","",IFERROR(VLOOKUP(A75,DB_Customers!$A:$M,13,0),""))</f>
        <v/>
      </c>
      <c r="D75" s="42" t="str">
        <f t="shared" ca="1" si="6"/>
        <v/>
      </c>
      <c r="E75" s="32"/>
      <c r="F75" s="43" t="str">
        <f t="shared" si="7"/>
        <v/>
      </c>
      <c r="G75" s="30" t="s">
        <v>54</v>
      </c>
      <c r="H75" s="41"/>
      <c r="I75" s="33" t="str">
        <f>IF(A75="","",IF(H75="","⚠️ Enter Agent Code",IF(IFERROR(VLOOKUP(G75,DB_Agents!$B:$F,4,0),"")=TEXT(H75,"0"),IF(AND(A75&lt;&gt;"",E75&lt;&gt;""),"✅ Saved","Pending"),"🔒 WRONG CODE")))</f>
        <v/>
      </c>
      <c r="J75" s="33" t="str">
        <f t="shared" ca="1" si="8"/>
        <v>—</v>
      </c>
      <c r="K75" s="22"/>
    </row>
    <row r="76" spans="1:11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IF(A76="","",IFERROR(VLOOKUP(A76,DB_Customers!$A:$M,13,0),""))</f>
        <v/>
      </c>
      <c r="D76" s="42" t="str">
        <f t="shared" ca="1" si="6"/>
        <v/>
      </c>
      <c r="E76" s="32"/>
      <c r="F76" s="43" t="str">
        <f t="shared" si="7"/>
        <v/>
      </c>
      <c r="G76" s="30" t="s">
        <v>54</v>
      </c>
      <c r="H76" s="41"/>
      <c r="I76" s="33" t="str">
        <f>IF(A76="","",IF(H76="","⚠️ Enter Agent Code",IF(IFERROR(VLOOKUP(G76,DB_Agents!$B:$F,4,0),"")=TEXT(H76,"0"),IF(AND(A76&lt;&gt;"",E76&lt;&gt;""),"✅ Saved","Pending"),"🔒 WRONG CODE")))</f>
        <v/>
      </c>
      <c r="J76" s="33" t="str">
        <f t="shared" ca="1" si="8"/>
        <v>—</v>
      </c>
      <c r="K76" s="46"/>
    </row>
    <row r="77" spans="1:11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IF(A77="","",IFERROR(VLOOKUP(A77,DB_Customers!$A:$M,13,0),""))</f>
        <v/>
      </c>
      <c r="D77" s="42" t="str">
        <f t="shared" ca="1" si="6"/>
        <v/>
      </c>
      <c r="E77" s="32"/>
      <c r="F77" s="43" t="str">
        <f t="shared" si="7"/>
        <v/>
      </c>
      <c r="G77" s="30" t="s">
        <v>54</v>
      </c>
      <c r="H77" s="41"/>
      <c r="I77" s="33" t="str">
        <f>IF(A77="","",IF(H77="","⚠️ Enter Agent Code",IF(IFERROR(VLOOKUP(G77,DB_Agents!$B:$F,4,0),"")=TEXT(H77,"0"),IF(AND(A77&lt;&gt;"",E77&lt;&gt;""),"✅ Saved","Pending"),"🔒 WRONG CODE")))</f>
        <v/>
      </c>
      <c r="J77" s="33" t="str">
        <f t="shared" ca="1" si="8"/>
        <v>—</v>
      </c>
      <c r="K77" s="22"/>
    </row>
    <row r="78" spans="1:11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IF(A78="","",IFERROR(VLOOKUP(A78,DB_Customers!$A:$M,13,0),""))</f>
        <v/>
      </c>
      <c r="D78" s="42" t="str">
        <f t="shared" ca="1" si="6"/>
        <v/>
      </c>
      <c r="E78" s="32"/>
      <c r="F78" s="43" t="str">
        <f t="shared" si="7"/>
        <v/>
      </c>
      <c r="G78" s="30" t="s">
        <v>54</v>
      </c>
      <c r="H78" s="41"/>
      <c r="I78" s="33" t="str">
        <f>IF(A78="","",IF(H78="","⚠️ Enter Agent Code",IF(IFERROR(VLOOKUP(G78,DB_Agents!$B:$F,4,0),"")=TEXT(H78,"0"),IF(AND(A78&lt;&gt;"",E78&lt;&gt;""),"✅ Saved","Pending"),"🔒 WRONG CODE")))</f>
        <v/>
      </c>
      <c r="J78" s="33" t="str">
        <f t="shared" ca="1" si="8"/>
        <v>—</v>
      </c>
      <c r="K78" s="46"/>
    </row>
    <row r="79" spans="1:11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IF(A79="","",IFERROR(VLOOKUP(A79,DB_Customers!$A:$M,13,0),""))</f>
        <v/>
      </c>
      <c r="D79" s="42" t="str">
        <f t="shared" ca="1" si="6"/>
        <v/>
      </c>
      <c r="E79" s="32"/>
      <c r="F79" s="43" t="str">
        <f t="shared" si="7"/>
        <v/>
      </c>
      <c r="G79" s="30" t="s">
        <v>54</v>
      </c>
      <c r="H79" s="41"/>
      <c r="I79" s="33" t="str">
        <f>IF(A79="","",IF(H79="","⚠️ Enter Agent Code",IF(IFERROR(VLOOKUP(G79,DB_Agents!$B:$F,4,0),"")=TEXT(H79,"0"),IF(AND(A79&lt;&gt;"",E79&lt;&gt;""),"✅ Saved","Pending"),"🔒 WRONG CODE")))</f>
        <v/>
      </c>
      <c r="J79" s="33" t="str">
        <f t="shared" ca="1" si="8"/>
        <v>—</v>
      </c>
      <c r="K79" s="22"/>
    </row>
    <row r="80" spans="1:11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IF(A80="","",IFERROR(VLOOKUP(A80,DB_Customers!$A:$M,13,0),""))</f>
        <v/>
      </c>
      <c r="D80" s="42" t="str">
        <f t="shared" ca="1" si="6"/>
        <v/>
      </c>
      <c r="E80" s="32"/>
      <c r="F80" s="43" t="str">
        <f t="shared" si="7"/>
        <v/>
      </c>
      <c r="G80" s="30" t="s">
        <v>54</v>
      </c>
      <c r="H80" s="41"/>
      <c r="I80" s="33" t="str">
        <f>IF(A80="","",IF(H80="","⚠️ Enter Agent Code",IF(IFERROR(VLOOKUP(G80,DB_Agents!$B:$F,4,0),"")=TEXT(H80,"0"),IF(AND(A80&lt;&gt;"",E80&lt;&gt;""),"✅ Saved","Pending"),"🔒 WRONG CODE")))</f>
        <v/>
      </c>
      <c r="J80" s="33" t="str">
        <f t="shared" ca="1" si="8"/>
        <v>—</v>
      </c>
      <c r="K80" s="46"/>
    </row>
    <row r="81" spans="1:11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IF(A81="","",IFERROR(VLOOKUP(A81,DB_Customers!$A:$M,13,0),""))</f>
        <v/>
      </c>
      <c r="D81" s="42" t="str">
        <f t="shared" ca="1" si="6"/>
        <v/>
      </c>
      <c r="E81" s="32"/>
      <c r="F81" s="43" t="str">
        <f t="shared" si="7"/>
        <v/>
      </c>
      <c r="G81" s="30" t="s">
        <v>54</v>
      </c>
      <c r="H81" s="41"/>
      <c r="I81" s="33" t="str">
        <f>IF(A81="","",IF(H81="","⚠️ Enter Agent Code",IF(IFERROR(VLOOKUP(G81,DB_Agents!$B:$F,4,0),"")=TEXT(H81,"0"),IF(AND(A81&lt;&gt;"",E81&lt;&gt;""),"✅ Saved","Pending"),"🔒 WRONG CODE")))</f>
        <v/>
      </c>
      <c r="J81" s="33" t="str">
        <f t="shared" ca="1" si="8"/>
        <v>—</v>
      </c>
      <c r="K81" s="22"/>
    </row>
    <row r="82" spans="1:11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IF(A82="","",IFERROR(VLOOKUP(A82,DB_Customers!$A:$M,13,0),""))</f>
        <v/>
      </c>
      <c r="D82" s="42" t="str">
        <f t="shared" ca="1" si="6"/>
        <v/>
      </c>
      <c r="E82" s="32"/>
      <c r="F82" s="43" t="str">
        <f t="shared" si="7"/>
        <v/>
      </c>
      <c r="G82" s="30" t="s">
        <v>54</v>
      </c>
      <c r="H82" s="41"/>
      <c r="I82" s="33" t="str">
        <f>IF(A82="","",IF(H82="","⚠️ Enter Agent Code",IF(IFERROR(VLOOKUP(G82,DB_Agents!$B:$F,4,0),"")=TEXT(H82,"0"),IF(AND(A82&lt;&gt;"",E82&lt;&gt;""),"✅ Saved","Pending"),"🔒 WRONG CODE")))</f>
        <v/>
      </c>
      <c r="J82" s="33" t="str">
        <f t="shared" ca="1" si="8"/>
        <v>—</v>
      </c>
      <c r="K82" s="46"/>
    </row>
    <row r="83" spans="1:11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IF(A83="","",IFERROR(VLOOKUP(A83,DB_Customers!$A:$M,13,0),""))</f>
        <v/>
      </c>
      <c r="D83" s="42" t="str">
        <f t="shared" ca="1" si="6"/>
        <v/>
      </c>
      <c r="E83" s="32"/>
      <c r="F83" s="43" t="str">
        <f t="shared" si="7"/>
        <v/>
      </c>
      <c r="G83" s="30" t="s">
        <v>54</v>
      </c>
      <c r="H83" s="41"/>
      <c r="I83" s="33" t="str">
        <f>IF(A83="","",IF(H83="","⚠️ Enter Agent Code",IF(IFERROR(VLOOKUP(G83,DB_Agents!$B:$F,4,0),"")=TEXT(H83,"0"),IF(AND(A83&lt;&gt;"",E83&lt;&gt;""),"✅ Saved","Pending"),"🔒 WRONG CODE")))</f>
        <v/>
      </c>
      <c r="J83" s="33" t="str">
        <f t="shared" ca="1" si="8"/>
        <v>—</v>
      </c>
      <c r="K83" s="22"/>
    </row>
    <row r="84" spans="1:11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IF(A84="","",IFERROR(VLOOKUP(A84,DB_Customers!$A:$M,13,0),""))</f>
        <v/>
      </c>
      <c r="D84" s="42" t="str">
        <f t="shared" ca="1" si="6"/>
        <v/>
      </c>
      <c r="E84" s="32"/>
      <c r="F84" s="43" t="str">
        <f t="shared" si="7"/>
        <v/>
      </c>
      <c r="G84" s="30" t="s">
        <v>54</v>
      </c>
      <c r="H84" s="41"/>
      <c r="I84" s="33" t="str">
        <f>IF(A84="","",IF(H84="","⚠️ Enter Agent Code",IF(IFERROR(VLOOKUP(G84,DB_Agents!$B:$F,4,0),"")=TEXT(H84,"0"),IF(AND(A84&lt;&gt;"",E84&lt;&gt;""),"✅ Saved","Pending"),"🔒 WRONG CODE")))</f>
        <v/>
      </c>
      <c r="J84" s="33" t="str">
        <f t="shared" ca="1" si="8"/>
        <v>—</v>
      </c>
      <c r="K84" s="46"/>
    </row>
    <row r="85" spans="1:11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IF(A85="","",IFERROR(VLOOKUP(A85,DB_Customers!$A:$M,13,0),""))</f>
        <v/>
      </c>
      <c r="D85" s="42" t="str">
        <f t="shared" ca="1" si="6"/>
        <v/>
      </c>
      <c r="E85" s="32"/>
      <c r="F85" s="43" t="str">
        <f t="shared" si="7"/>
        <v/>
      </c>
      <c r="G85" s="30" t="s">
        <v>54</v>
      </c>
      <c r="H85" s="41"/>
      <c r="I85" s="33" t="str">
        <f>IF(A85="","",IF(H85="","⚠️ Enter Agent Code",IF(IFERROR(VLOOKUP(G85,DB_Agents!$B:$F,4,0),"")=TEXT(H85,"0"),IF(AND(A85&lt;&gt;"",E85&lt;&gt;""),"✅ Saved","Pending"),"🔒 WRONG CODE")))</f>
        <v/>
      </c>
      <c r="J85" s="33" t="str">
        <f t="shared" ca="1" si="8"/>
        <v>—</v>
      </c>
      <c r="K85" s="22"/>
    </row>
    <row r="86" spans="1:11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IF(A86="","",IFERROR(VLOOKUP(A86,DB_Customers!$A:$M,13,0),""))</f>
        <v/>
      </c>
      <c r="D86" s="42" t="str">
        <f t="shared" ca="1" si="6"/>
        <v/>
      </c>
      <c r="E86" s="32"/>
      <c r="F86" s="43" t="str">
        <f t="shared" si="7"/>
        <v/>
      </c>
      <c r="G86" s="30" t="s">
        <v>54</v>
      </c>
      <c r="H86" s="41"/>
      <c r="I86" s="33" t="str">
        <f>IF(A86="","",IF(H86="","⚠️ Enter Agent Code",IF(IFERROR(VLOOKUP(G86,DB_Agents!$B:$F,4,0),"")=TEXT(H86,"0"),IF(AND(A86&lt;&gt;"",E86&lt;&gt;""),"✅ Saved","Pending"),"🔒 WRONG CODE")))</f>
        <v/>
      </c>
      <c r="J86" s="33" t="str">
        <f t="shared" ca="1" si="8"/>
        <v>—</v>
      </c>
      <c r="K86" s="46"/>
    </row>
    <row r="87" spans="1:11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IF(A87="","",IFERROR(VLOOKUP(A87,DB_Customers!$A:$M,13,0),""))</f>
        <v/>
      </c>
      <c r="D87" s="42" t="str">
        <f t="shared" ca="1" si="6"/>
        <v/>
      </c>
      <c r="E87" s="32"/>
      <c r="F87" s="43" t="str">
        <f t="shared" si="7"/>
        <v/>
      </c>
      <c r="G87" s="30" t="s">
        <v>54</v>
      </c>
      <c r="H87" s="41"/>
      <c r="I87" s="33" t="str">
        <f>IF(A87="","",IF(H87="","⚠️ Enter Agent Code",IF(IFERROR(VLOOKUP(G87,DB_Agents!$B:$F,4,0),"")=TEXT(H87,"0"),IF(AND(A87&lt;&gt;"",E87&lt;&gt;""),"✅ Saved","Pending"),"🔒 WRONG CODE")))</f>
        <v/>
      </c>
      <c r="J87" s="33" t="str">
        <f t="shared" ca="1" si="8"/>
        <v>—</v>
      </c>
      <c r="K87" s="22"/>
    </row>
    <row r="88" spans="1:11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IF(A88="","",IFERROR(VLOOKUP(A88,DB_Customers!$A:$M,13,0),""))</f>
        <v/>
      </c>
      <c r="D88" s="42" t="str">
        <f t="shared" ca="1" si="6"/>
        <v/>
      </c>
      <c r="E88" s="32"/>
      <c r="F88" s="43" t="str">
        <f t="shared" si="7"/>
        <v/>
      </c>
      <c r="G88" s="30" t="s">
        <v>54</v>
      </c>
      <c r="H88" s="41"/>
      <c r="I88" s="33" t="str">
        <f>IF(A88="","",IF(H88="","⚠️ Enter Agent Code",IF(IFERROR(VLOOKUP(G88,DB_Agents!$B:$F,4,0),"")=TEXT(H88,"0"),IF(AND(A88&lt;&gt;"",E88&lt;&gt;""),"✅ Saved","Pending"),"🔒 WRONG CODE")))</f>
        <v/>
      </c>
      <c r="J88" s="33" t="str">
        <f t="shared" ca="1" si="8"/>
        <v>—</v>
      </c>
      <c r="K88" s="46"/>
    </row>
    <row r="89" spans="1:11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IF(A89="","",IFERROR(VLOOKUP(A89,DB_Customers!$A:$M,13,0),""))</f>
        <v/>
      </c>
      <c r="D89" s="42" t="str">
        <f t="shared" ca="1" si="6"/>
        <v/>
      </c>
      <c r="E89" s="32"/>
      <c r="F89" s="43" t="str">
        <f t="shared" si="7"/>
        <v/>
      </c>
      <c r="G89" s="30" t="s">
        <v>54</v>
      </c>
      <c r="H89" s="41"/>
      <c r="I89" s="33" t="str">
        <f>IF(A89="","",IF(H89="","⚠️ Enter Agent Code",IF(IFERROR(VLOOKUP(G89,DB_Agents!$B:$F,4,0),"")=TEXT(H89,"0"),IF(AND(A89&lt;&gt;"",E89&lt;&gt;""),"✅ Saved","Pending"),"🔒 WRONG CODE")))</f>
        <v/>
      </c>
      <c r="J89" s="33" t="str">
        <f t="shared" ca="1" si="8"/>
        <v>—</v>
      </c>
      <c r="K89" s="22"/>
    </row>
    <row r="90" spans="1:11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IF(A90="","",IFERROR(VLOOKUP(A90,DB_Customers!$A:$M,13,0),""))</f>
        <v/>
      </c>
      <c r="D90" s="42" t="str">
        <f t="shared" ca="1" si="6"/>
        <v/>
      </c>
      <c r="E90" s="32"/>
      <c r="F90" s="43" t="str">
        <f t="shared" si="7"/>
        <v/>
      </c>
      <c r="G90" s="30" t="s">
        <v>54</v>
      </c>
      <c r="H90" s="41"/>
      <c r="I90" s="33" t="str">
        <f>IF(A90="","",IF(H90="","⚠️ Enter Agent Code",IF(IFERROR(VLOOKUP(G90,DB_Agents!$B:$F,4,0),"")=TEXT(H90,"0"),IF(AND(A90&lt;&gt;"",E90&lt;&gt;""),"✅ Saved","Pending"),"🔒 WRONG CODE")))</f>
        <v/>
      </c>
      <c r="J90" s="33" t="str">
        <f t="shared" ca="1" si="8"/>
        <v>—</v>
      </c>
      <c r="K90" s="46"/>
    </row>
    <row r="91" spans="1:11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IF(A91="","",IFERROR(VLOOKUP(A91,DB_Customers!$A:$M,13,0),""))</f>
        <v/>
      </c>
      <c r="D91" s="42" t="str">
        <f t="shared" ca="1" si="6"/>
        <v/>
      </c>
      <c r="E91" s="32"/>
      <c r="F91" s="43" t="str">
        <f t="shared" si="7"/>
        <v/>
      </c>
      <c r="G91" s="30" t="s">
        <v>54</v>
      </c>
      <c r="H91" s="41"/>
      <c r="I91" s="33" t="str">
        <f>IF(A91="","",IF(H91="","⚠️ Enter Agent Code",IF(IFERROR(VLOOKUP(G91,DB_Agents!$B:$F,4,0),"")=TEXT(H91,"0"),IF(AND(A91&lt;&gt;"",E91&lt;&gt;""),"✅ Saved","Pending"),"🔒 WRONG CODE")))</f>
        <v/>
      </c>
      <c r="J91" s="33" t="str">
        <f t="shared" ca="1" si="8"/>
        <v>—</v>
      </c>
      <c r="K91" s="22"/>
    </row>
    <row r="92" spans="1:11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IF(A92="","",IFERROR(VLOOKUP(A92,DB_Customers!$A:$M,13,0),""))</f>
        <v/>
      </c>
      <c r="D92" s="42" t="str">
        <f t="shared" ca="1" si="6"/>
        <v/>
      </c>
      <c r="E92" s="32"/>
      <c r="F92" s="43" t="str">
        <f t="shared" si="7"/>
        <v/>
      </c>
      <c r="G92" s="30" t="s">
        <v>54</v>
      </c>
      <c r="H92" s="41"/>
      <c r="I92" s="33" t="str">
        <f>IF(A92="","",IF(H92="","⚠️ Enter Agent Code",IF(IFERROR(VLOOKUP(G92,DB_Agents!$B:$F,4,0),"")=TEXT(H92,"0"),IF(AND(A92&lt;&gt;"",E92&lt;&gt;""),"✅ Saved","Pending"),"🔒 WRONG CODE")))</f>
        <v/>
      </c>
      <c r="J92" s="33" t="str">
        <f t="shared" ca="1" si="8"/>
        <v>—</v>
      </c>
      <c r="K92" s="46"/>
    </row>
    <row r="93" spans="1:11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IF(A93="","",IFERROR(VLOOKUP(A93,DB_Customers!$A:$M,13,0),""))</f>
        <v/>
      </c>
      <c r="D93" s="42" t="str">
        <f t="shared" ca="1" si="6"/>
        <v/>
      </c>
      <c r="E93" s="32"/>
      <c r="F93" s="43" t="str">
        <f t="shared" si="7"/>
        <v/>
      </c>
      <c r="G93" s="30" t="s">
        <v>54</v>
      </c>
      <c r="H93" s="41"/>
      <c r="I93" s="33" t="str">
        <f>IF(A93="","",IF(H93="","⚠️ Enter Agent Code",IF(IFERROR(VLOOKUP(G93,DB_Agents!$B:$F,4,0),"")=TEXT(H93,"0"),IF(AND(A93&lt;&gt;"",E93&lt;&gt;""),"✅ Saved","Pending"),"🔒 WRONG CODE")))</f>
        <v/>
      </c>
      <c r="J93" s="33" t="str">
        <f t="shared" ca="1" si="8"/>
        <v>—</v>
      </c>
      <c r="K93" s="22"/>
    </row>
    <row r="94" spans="1:11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IF(A94="","",IFERROR(VLOOKUP(A94,DB_Customers!$A:$M,13,0),""))</f>
        <v/>
      </c>
      <c r="D94" s="42" t="str">
        <f t="shared" ca="1" si="6"/>
        <v/>
      </c>
      <c r="E94" s="32"/>
      <c r="F94" s="43" t="str">
        <f t="shared" si="7"/>
        <v/>
      </c>
      <c r="G94" s="30" t="s">
        <v>54</v>
      </c>
      <c r="H94" s="41"/>
      <c r="I94" s="33" t="str">
        <f>IF(A94="","",IF(H94="","⚠️ Enter Agent Code",IF(IFERROR(VLOOKUP(G94,DB_Agents!$B:$F,4,0),"")=TEXT(H94,"0"),IF(AND(A94&lt;&gt;"",E94&lt;&gt;""),"✅ Saved","Pending"),"🔒 WRONG CODE")))</f>
        <v/>
      </c>
      <c r="J94" s="33" t="str">
        <f t="shared" ca="1" si="8"/>
        <v>—</v>
      </c>
      <c r="K94" s="46"/>
    </row>
    <row r="95" spans="1:11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IF(A95="","",IFERROR(VLOOKUP(A95,DB_Customers!$A:$M,13,0),""))</f>
        <v/>
      </c>
      <c r="D95" s="42" t="str">
        <f t="shared" ca="1" si="6"/>
        <v/>
      </c>
      <c r="E95" s="32"/>
      <c r="F95" s="43" t="str">
        <f t="shared" si="7"/>
        <v/>
      </c>
      <c r="G95" s="30" t="s">
        <v>54</v>
      </c>
      <c r="H95" s="41"/>
      <c r="I95" s="33" t="str">
        <f>IF(A95="","",IF(H95="","⚠️ Enter Agent Code",IF(IFERROR(VLOOKUP(G95,DB_Agents!$B:$F,4,0),"")=TEXT(H95,"0"),IF(AND(A95&lt;&gt;"",E95&lt;&gt;""),"✅ Saved","Pending"),"🔒 WRONG CODE")))</f>
        <v/>
      </c>
      <c r="J95" s="33" t="str">
        <f t="shared" ca="1" si="8"/>
        <v>—</v>
      </c>
      <c r="K95" s="22"/>
    </row>
    <row r="96" spans="1:11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IF(A96="","",IFERROR(VLOOKUP(A96,DB_Customers!$A:$M,13,0),""))</f>
        <v/>
      </c>
      <c r="D96" s="42" t="str">
        <f t="shared" ca="1" si="6"/>
        <v/>
      </c>
      <c r="E96" s="32"/>
      <c r="F96" s="43" t="str">
        <f t="shared" si="7"/>
        <v/>
      </c>
      <c r="G96" s="30" t="s">
        <v>54</v>
      </c>
      <c r="H96" s="41"/>
      <c r="I96" s="33" t="str">
        <f>IF(A96="","",IF(H96="","⚠️ Enter Agent Code",IF(IFERROR(VLOOKUP(G96,DB_Agents!$B:$F,4,0),"")=TEXT(H96,"0"),IF(AND(A96&lt;&gt;"",E96&lt;&gt;""),"✅ Saved","Pending"),"🔒 WRONG CODE")))</f>
        <v/>
      </c>
      <c r="J96" s="33" t="str">
        <f t="shared" ca="1" si="8"/>
        <v>—</v>
      </c>
      <c r="K96" s="46"/>
    </row>
    <row r="97" spans="1:11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IF(A97="","",IFERROR(VLOOKUP(A97,DB_Customers!$A:$M,13,0),""))</f>
        <v/>
      </c>
      <c r="D97" s="42" t="str">
        <f t="shared" ca="1" si="6"/>
        <v/>
      </c>
      <c r="E97" s="32"/>
      <c r="F97" s="43" t="str">
        <f t="shared" si="7"/>
        <v/>
      </c>
      <c r="G97" s="30" t="s">
        <v>54</v>
      </c>
      <c r="H97" s="41"/>
      <c r="I97" s="33" t="str">
        <f>IF(A97="","",IF(H97="","⚠️ Enter Agent Code",IF(IFERROR(VLOOKUP(G97,DB_Agents!$B:$F,4,0),"")=TEXT(H97,"0"),IF(AND(A97&lt;&gt;"",E97&lt;&gt;""),"✅ Saved","Pending"),"🔒 WRONG CODE")))</f>
        <v/>
      </c>
      <c r="J97" s="33" t="str">
        <f t="shared" ca="1" si="8"/>
        <v>—</v>
      </c>
      <c r="K97" s="22"/>
    </row>
    <row r="98" spans="1:11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IF(A98="","",IFERROR(VLOOKUP(A98,DB_Customers!$A:$M,13,0),""))</f>
        <v/>
      </c>
      <c r="D98" s="42" t="str">
        <f t="shared" ca="1" si="6"/>
        <v/>
      </c>
      <c r="E98" s="32"/>
      <c r="F98" s="43" t="str">
        <f t="shared" si="7"/>
        <v/>
      </c>
      <c r="G98" s="30" t="s">
        <v>54</v>
      </c>
      <c r="H98" s="41"/>
      <c r="I98" s="33" t="str">
        <f>IF(A98="","",IF(H98="","⚠️ Enter Agent Code",IF(IFERROR(VLOOKUP(G98,DB_Agents!$B:$F,4,0),"")=TEXT(H98,"0"),IF(AND(A98&lt;&gt;"",E98&lt;&gt;""),"✅ Saved","Pending"),"🔒 WRONG CODE")))</f>
        <v/>
      </c>
      <c r="J98" s="33" t="str">
        <f t="shared" ca="1" si="8"/>
        <v>—</v>
      </c>
      <c r="K98" s="46"/>
    </row>
    <row r="99" spans="1:11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IF(A99="","",IFERROR(VLOOKUP(A99,DB_Customers!$A:$M,13,0),""))</f>
        <v/>
      </c>
      <c r="D99" s="42" t="str">
        <f t="shared" ca="1" si="6"/>
        <v/>
      </c>
      <c r="E99" s="32"/>
      <c r="F99" s="43" t="str">
        <f t="shared" si="7"/>
        <v/>
      </c>
      <c r="G99" s="30" t="s">
        <v>54</v>
      </c>
      <c r="H99" s="41"/>
      <c r="I99" s="33" t="str">
        <f>IF(A99="","",IF(H99="","⚠️ Enter Agent Code",IF(IFERROR(VLOOKUP(G99,DB_Agents!$B:$F,4,0),"")=TEXT(H99,"0"),IF(AND(A99&lt;&gt;"",E99&lt;&gt;""),"✅ Saved","Pending"),"🔒 WRONG CODE")))</f>
        <v/>
      </c>
      <c r="J99" s="33" t="str">
        <f t="shared" ca="1" si="8"/>
        <v>—</v>
      </c>
      <c r="K99" s="22"/>
    </row>
    <row r="100" spans="1:11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IF(A100="","",IFERROR(VLOOKUP(A100,DB_Customers!$A:$M,13,0),""))</f>
        <v/>
      </c>
      <c r="D100" s="42" t="str">
        <f t="shared" ca="1" si="6"/>
        <v/>
      </c>
      <c r="E100" s="32"/>
      <c r="F100" s="43" t="str">
        <f t="shared" si="7"/>
        <v/>
      </c>
      <c r="G100" s="30" t="s">
        <v>54</v>
      </c>
      <c r="H100" s="41"/>
      <c r="I100" s="33" t="str">
        <f>IF(A100="","",IF(H100="","⚠️ Enter Agent Code",IF(IFERROR(VLOOKUP(G100,DB_Agents!$B:$F,4,0),"")=TEXT(H100,"0"),IF(AND(A100&lt;&gt;"",E100&lt;&gt;""),"✅ Saved","Pending"),"🔒 WRONG CODE")))</f>
        <v/>
      </c>
      <c r="J100" s="33" t="str">
        <f t="shared" ca="1" si="8"/>
        <v>—</v>
      </c>
      <c r="K100" s="46"/>
    </row>
    <row r="101" spans="1:11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IF(A101="","",IFERROR(VLOOKUP(A101,DB_Customers!$A:$M,13,0),""))</f>
        <v/>
      </c>
      <c r="D101" s="42" t="str">
        <f t="shared" ca="1" si="6"/>
        <v/>
      </c>
      <c r="E101" s="32"/>
      <c r="F101" s="43" t="str">
        <f t="shared" si="7"/>
        <v/>
      </c>
      <c r="G101" s="30" t="s">
        <v>54</v>
      </c>
      <c r="H101" s="41"/>
      <c r="I101" s="33" t="str">
        <f>IF(A101="","",IF(H101="","⚠️ Enter Agent Code",IF(IFERROR(VLOOKUP(G101,DB_Agents!$B:$F,4,0),"")=TEXT(H101,"0"),IF(AND(A101&lt;&gt;"",E101&lt;&gt;""),"✅ Saved","Pending"),"🔒 WRONG CODE")))</f>
        <v/>
      </c>
      <c r="J101" s="33" t="str">
        <f t="shared" ca="1" si="8"/>
        <v>—</v>
      </c>
      <c r="K101" s="22"/>
    </row>
    <row r="102" spans="1:11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IF(A102="","",IFERROR(VLOOKUP(A102,DB_Customers!$A:$M,13,0),""))</f>
        <v/>
      </c>
      <c r="D102" s="42" t="str">
        <f t="shared" ca="1" si="6"/>
        <v/>
      </c>
      <c r="E102" s="32"/>
      <c r="F102" s="43" t="str">
        <f t="shared" si="7"/>
        <v/>
      </c>
      <c r="G102" s="30" t="s">
        <v>54</v>
      </c>
      <c r="H102" s="41"/>
      <c r="I102" s="33" t="str">
        <f>IF(A102="","",IF(H102="","⚠️ Enter Agent Code",IF(IFERROR(VLOOKUP(G102,DB_Agents!$B:$F,4,0),"")=TEXT(H102,"0"),IF(AND(A102&lt;&gt;"",E102&lt;&gt;""),"✅ Saved","Pending"),"🔒 WRONG CODE")))</f>
        <v/>
      </c>
      <c r="J102" s="33" t="str">
        <f t="shared" ca="1" si="8"/>
        <v>—</v>
      </c>
      <c r="K102" s="46"/>
    </row>
    <row r="103" spans="1:11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IF(A103="","",IFERROR(VLOOKUP(A103,DB_Customers!$A:$M,13,0),""))</f>
        <v/>
      </c>
      <c r="D103" s="42" t="str">
        <f t="shared" ca="1" si="6"/>
        <v/>
      </c>
      <c r="E103" s="32"/>
      <c r="F103" s="43" t="str">
        <f t="shared" si="7"/>
        <v/>
      </c>
      <c r="G103" s="30" t="s">
        <v>54</v>
      </c>
      <c r="H103" s="41"/>
      <c r="I103" s="33" t="str">
        <f>IF(A103="","",IF(H103="","⚠️ Enter Agent Code",IF(IFERROR(VLOOKUP(G103,DB_Agents!$B:$F,4,0),"")=TEXT(H103,"0"),IF(AND(A103&lt;&gt;"",E103&lt;&gt;""),"✅ Saved","Pending"),"🔒 WRONG CODE")))</f>
        <v/>
      </c>
      <c r="J103" s="33" t="str">
        <f t="shared" ca="1" si="8"/>
        <v>—</v>
      </c>
      <c r="K103" s="22"/>
    </row>
    <row r="104" spans="1:11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IF(A104="","",IFERROR(VLOOKUP(A104,DB_Customers!$A:$M,13,0),""))</f>
        <v/>
      </c>
      <c r="D104" s="42" t="str">
        <f t="shared" ca="1" si="6"/>
        <v/>
      </c>
      <c r="E104" s="32"/>
      <c r="F104" s="43" t="str">
        <f t="shared" si="7"/>
        <v/>
      </c>
      <c r="G104" s="30" t="s">
        <v>54</v>
      </c>
      <c r="H104" s="41"/>
      <c r="I104" s="33" t="str">
        <f>IF(A104="","",IF(H104="","⚠️ Enter Agent Code",IF(IFERROR(VLOOKUP(G104,DB_Agents!$B:$F,4,0),"")=TEXT(H104,"0"),IF(AND(A104&lt;&gt;"",E104&lt;&gt;""),"✅ Saved","Pending"),"🔒 WRONG CODE")))</f>
        <v/>
      </c>
      <c r="J104" s="33" t="str">
        <f t="shared" ca="1" si="8"/>
        <v>—</v>
      </c>
      <c r="K104" s="46"/>
    </row>
    <row r="105" spans="1:11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IF(A105="","",IFERROR(VLOOKUP(A105,DB_Customers!$A:$M,13,0),""))</f>
        <v/>
      </c>
      <c r="D105" s="42" t="str">
        <f t="shared" ref="D105:D136" ca="1" si="9">IF(A105="","",TODAY())</f>
        <v/>
      </c>
      <c r="E105" s="32"/>
      <c r="F105" s="43" t="str">
        <f t="shared" ref="F105:F136" si="10">IFERROR(IF(OR(A105="",E105=""),"",C105+E105),"")</f>
        <v/>
      </c>
      <c r="G105" s="30" t="s">
        <v>54</v>
      </c>
      <c r="H105" s="41"/>
      <c r="I105" s="33" t="str">
        <f>IF(A105="","",IF(H105="","⚠️ Enter Agent Code",IF(IFERROR(VLOOKUP(G105,DB_Agents!$B:$F,4,0),"")=TEXT(H105,"0"),IF(AND(A105&lt;&gt;"",E105&lt;&gt;""),"✅ Saved","Pending"),"🔒 WRONG CODE")))</f>
        <v/>
      </c>
      <c r="J105" s="33" t="str">
        <f t="shared" ref="J105:J136" ca="1" si="11">IF(I105="✅ Saved",TEXT(TODAY(),"YYYY-MM-DD")&amp;" Auto","—")</f>
        <v>—</v>
      </c>
      <c r="K105" s="22"/>
    </row>
    <row r="106" spans="1:11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IF(A106="","",IFERROR(VLOOKUP(A106,DB_Customers!$A:$M,13,0),""))</f>
        <v/>
      </c>
      <c r="D106" s="42" t="str">
        <f t="shared" ca="1" si="9"/>
        <v/>
      </c>
      <c r="E106" s="32"/>
      <c r="F106" s="43" t="str">
        <f t="shared" si="10"/>
        <v/>
      </c>
      <c r="G106" s="30" t="s">
        <v>54</v>
      </c>
      <c r="H106" s="41"/>
      <c r="I106" s="33" t="str">
        <f>IF(A106="","",IF(H106="","⚠️ Enter Agent Code",IF(IFERROR(VLOOKUP(G106,DB_Agents!$B:$F,4,0),"")=TEXT(H106,"0"),IF(AND(A106&lt;&gt;"",E106&lt;&gt;""),"✅ Saved","Pending"),"🔒 WRONG CODE")))</f>
        <v/>
      </c>
      <c r="J106" s="33" t="str">
        <f t="shared" ca="1" si="11"/>
        <v>—</v>
      </c>
      <c r="K106" s="46"/>
    </row>
    <row r="107" spans="1:11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IF(A107="","",IFERROR(VLOOKUP(A107,DB_Customers!$A:$M,13,0),""))</f>
        <v/>
      </c>
      <c r="D107" s="42" t="str">
        <f t="shared" ca="1" si="9"/>
        <v/>
      </c>
      <c r="E107" s="32"/>
      <c r="F107" s="43" t="str">
        <f t="shared" si="10"/>
        <v/>
      </c>
      <c r="G107" s="30" t="s">
        <v>54</v>
      </c>
      <c r="H107" s="41"/>
      <c r="I107" s="33" t="str">
        <f>IF(A107="","",IF(H107="","⚠️ Enter Agent Code",IF(IFERROR(VLOOKUP(G107,DB_Agents!$B:$F,4,0),"")=TEXT(H107,"0"),IF(AND(A107&lt;&gt;"",E107&lt;&gt;""),"✅ Saved","Pending"),"🔒 WRONG CODE")))</f>
        <v/>
      </c>
      <c r="J107" s="33" t="str">
        <f t="shared" ca="1" si="11"/>
        <v>—</v>
      </c>
      <c r="K107" s="22"/>
    </row>
    <row r="108" spans="1:11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IF(A108="","",IFERROR(VLOOKUP(A108,DB_Customers!$A:$M,13,0),""))</f>
        <v/>
      </c>
      <c r="D108" s="42" t="str">
        <f t="shared" ca="1" si="9"/>
        <v/>
      </c>
      <c r="E108" s="32"/>
      <c r="F108" s="43" t="str">
        <f t="shared" si="10"/>
        <v/>
      </c>
      <c r="G108" s="30" t="s">
        <v>54</v>
      </c>
      <c r="H108" s="41"/>
      <c r="I108" s="33" t="str">
        <f>IF(A108="","",IF(H108="","⚠️ Enter Agent Code",IF(IFERROR(VLOOKUP(G108,DB_Agents!$B:$F,4,0),"")=TEXT(H108,"0"),IF(AND(A108&lt;&gt;"",E108&lt;&gt;""),"✅ Saved","Pending"),"🔒 WRONG CODE")))</f>
        <v/>
      </c>
      <c r="J108" s="33" t="str">
        <f t="shared" ca="1" si="11"/>
        <v>—</v>
      </c>
      <c r="K108" s="46"/>
    </row>
    <row r="109" spans="1:11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IF(A109="","",IFERROR(VLOOKUP(A109,DB_Customers!$A:$M,13,0),""))</f>
        <v/>
      </c>
      <c r="D109" s="42" t="str">
        <f t="shared" ca="1" si="9"/>
        <v/>
      </c>
      <c r="E109" s="32"/>
      <c r="F109" s="43" t="str">
        <f t="shared" si="10"/>
        <v/>
      </c>
      <c r="G109" s="30" t="s">
        <v>54</v>
      </c>
      <c r="H109" s="41"/>
      <c r="I109" s="33" t="str">
        <f>IF(A109="","",IF(H109="","⚠️ Enter Agent Code",IF(IFERROR(VLOOKUP(G109,DB_Agents!$B:$F,4,0),"")=TEXT(H109,"0"),IF(AND(A109&lt;&gt;"",E109&lt;&gt;""),"✅ Saved","Pending"),"🔒 WRONG CODE")))</f>
        <v/>
      </c>
      <c r="J109" s="33" t="str">
        <f t="shared" ca="1" si="11"/>
        <v>—</v>
      </c>
      <c r="K109" s="22"/>
    </row>
    <row r="110" spans="1:11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IF(A110="","",IFERROR(VLOOKUP(A110,DB_Customers!$A:$M,13,0),""))</f>
        <v/>
      </c>
      <c r="D110" s="42" t="str">
        <f t="shared" ca="1" si="9"/>
        <v/>
      </c>
      <c r="E110" s="32"/>
      <c r="F110" s="43" t="str">
        <f t="shared" si="10"/>
        <v/>
      </c>
      <c r="G110" s="30" t="s">
        <v>54</v>
      </c>
      <c r="H110" s="41"/>
      <c r="I110" s="33" t="str">
        <f>IF(A110="","",IF(H110="","⚠️ Enter Agent Code",IF(IFERROR(VLOOKUP(G110,DB_Agents!$B:$F,4,0),"")=TEXT(H110,"0"),IF(AND(A110&lt;&gt;"",E110&lt;&gt;""),"✅ Saved","Pending"),"🔒 WRONG CODE")))</f>
        <v/>
      </c>
      <c r="J110" s="33" t="str">
        <f t="shared" ca="1" si="11"/>
        <v>—</v>
      </c>
      <c r="K110" s="46"/>
    </row>
    <row r="111" spans="1:11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IF(A111="","",IFERROR(VLOOKUP(A111,DB_Customers!$A:$M,13,0),""))</f>
        <v/>
      </c>
      <c r="D111" s="42" t="str">
        <f t="shared" ca="1" si="9"/>
        <v/>
      </c>
      <c r="E111" s="32"/>
      <c r="F111" s="43" t="str">
        <f t="shared" si="10"/>
        <v/>
      </c>
      <c r="G111" s="30" t="s">
        <v>54</v>
      </c>
      <c r="H111" s="41"/>
      <c r="I111" s="33" t="str">
        <f>IF(A111="","",IF(H111="","⚠️ Enter Agent Code",IF(IFERROR(VLOOKUP(G111,DB_Agents!$B:$F,4,0),"")=TEXT(H111,"0"),IF(AND(A111&lt;&gt;"",E111&lt;&gt;""),"✅ Saved","Pending"),"🔒 WRONG CODE")))</f>
        <v/>
      </c>
      <c r="J111" s="33" t="str">
        <f t="shared" ca="1" si="11"/>
        <v>—</v>
      </c>
      <c r="K111" s="22"/>
    </row>
    <row r="112" spans="1:11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IF(A112="","",IFERROR(VLOOKUP(A112,DB_Customers!$A:$M,13,0),""))</f>
        <v/>
      </c>
      <c r="D112" s="42" t="str">
        <f t="shared" ca="1" si="9"/>
        <v/>
      </c>
      <c r="E112" s="32"/>
      <c r="F112" s="43" t="str">
        <f t="shared" si="10"/>
        <v/>
      </c>
      <c r="G112" s="30" t="s">
        <v>54</v>
      </c>
      <c r="H112" s="41"/>
      <c r="I112" s="33" t="str">
        <f>IF(A112="","",IF(H112="","⚠️ Enter Agent Code",IF(IFERROR(VLOOKUP(G112,DB_Agents!$B:$F,4,0),"")=TEXT(H112,"0"),IF(AND(A112&lt;&gt;"",E112&lt;&gt;""),"✅ Saved","Pending"),"🔒 WRONG CODE")))</f>
        <v/>
      </c>
      <c r="J112" s="33" t="str">
        <f t="shared" ca="1" si="11"/>
        <v>—</v>
      </c>
      <c r="K112" s="46"/>
    </row>
    <row r="113" spans="1:11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IF(A113="","",IFERROR(VLOOKUP(A113,DB_Customers!$A:$M,13,0),""))</f>
        <v/>
      </c>
      <c r="D113" s="42" t="str">
        <f t="shared" ca="1" si="9"/>
        <v/>
      </c>
      <c r="E113" s="32"/>
      <c r="F113" s="43" t="str">
        <f t="shared" si="10"/>
        <v/>
      </c>
      <c r="G113" s="30" t="s">
        <v>54</v>
      </c>
      <c r="H113" s="41"/>
      <c r="I113" s="33" t="str">
        <f>IF(A113="","",IF(H113="","⚠️ Enter Agent Code",IF(IFERROR(VLOOKUP(G113,DB_Agents!$B:$F,4,0),"")=TEXT(H113,"0"),IF(AND(A113&lt;&gt;"",E113&lt;&gt;""),"✅ Saved","Pending"),"🔒 WRONG CODE")))</f>
        <v/>
      </c>
      <c r="J113" s="33" t="str">
        <f t="shared" ca="1" si="11"/>
        <v>—</v>
      </c>
      <c r="K113" s="22"/>
    </row>
    <row r="114" spans="1:11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IF(A114="","",IFERROR(VLOOKUP(A114,DB_Customers!$A:$M,13,0),""))</f>
        <v/>
      </c>
      <c r="D114" s="42" t="str">
        <f t="shared" ca="1" si="9"/>
        <v/>
      </c>
      <c r="E114" s="32"/>
      <c r="F114" s="43" t="str">
        <f t="shared" si="10"/>
        <v/>
      </c>
      <c r="G114" s="30" t="s">
        <v>54</v>
      </c>
      <c r="H114" s="41"/>
      <c r="I114" s="33" t="str">
        <f>IF(A114="","",IF(H114="","⚠️ Enter Agent Code",IF(IFERROR(VLOOKUP(G114,DB_Agents!$B:$F,4,0),"")=TEXT(H114,"0"),IF(AND(A114&lt;&gt;"",E114&lt;&gt;""),"✅ Saved","Pending"),"🔒 WRONG CODE")))</f>
        <v/>
      </c>
      <c r="J114" s="33" t="str">
        <f t="shared" ca="1" si="11"/>
        <v>—</v>
      </c>
      <c r="K114" s="46"/>
    </row>
    <row r="115" spans="1:11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IF(A115="","",IFERROR(VLOOKUP(A115,DB_Customers!$A:$M,13,0),""))</f>
        <v/>
      </c>
      <c r="D115" s="42" t="str">
        <f t="shared" ca="1" si="9"/>
        <v/>
      </c>
      <c r="E115" s="32"/>
      <c r="F115" s="43" t="str">
        <f t="shared" si="10"/>
        <v/>
      </c>
      <c r="G115" s="30" t="s">
        <v>54</v>
      </c>
      <c r="H115" s="41"/>
      <c r="I115" s="33" t="str">
        <f>IF(A115="","",IF(H115="","⚠️ Enter Agent Code",IF(IFERROR(VLOOKUP(G115,DB_Agents!$B:$F,4,0),"")=TEXT(H115,"0"),IF(AND(A115&lt;&gt;"",E115&lt;&gt;""),"✅ Saved","Pending"),"🔒 WRONG CODE")))</f>
        <v/>
      </c>
      <c r="J115" s="33" t="str">
        <f t="shared" ca="1" si="11"/>
        <v>—</v>
      </c>
      <c r="K115" s="22"/>
    </row>
    <row r="116" spans="1:11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IF(A116="","",IFERROR(VLOOKUP(A116,DB_Customers!$A:$M,13,0),""))</f>
        <v/>
      </c>
      <c r="D116" s="42" t="str">
        <f t="shared" ca="1" si="9"/>
        <v/>
      </c>
      <c r="E116" s="32"/>
      <c r="F116" s="43" t="str">
        <f t="shared" si="10"/>
        <v/>
      </c>
      <c r="G116" s="30" t="s">
        <v>54</v>
      </c>
      <c r="H116" s="41"/>
      <c r="I116" s="33" t="str">
        <f>IF(A116="","",IF(H116="","⚠️ Enter Agent Code",IF(IFERROR(VLOOKUP(G116,DB_Agents!$B:$F,4,0),"")=TEXT(H116,"0"),IF(AND(A116&lt;&gt;"",E116&lt;&gt;""),"✅ Saved","Pending"),"🔒 WRONG CODE")))</f>
        <v/>
      </c>
      <c r="J116" s="33" t="str">
        <f t="shared" ca="1" si="11"/>
        <v>—</v>
      </c>
      <c r="K116" s="46"/>
    </row>
    <row r="117" spans="1:11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IF(A117="","",IFERROR(VLOOKUP(A117,DB_Customers!$A:$M,13,0),""))</f>
        <v/>
      </c>
      <c r="D117" s="42" t="str">
        <f t="shared" ca="1" si="9"/>
        <v/>
      </c>
      <c r="E117" s="32"/>
      <c r="F117" s="43" t="str">
        <f t="shared" si="10"/>
        <v/>
      </c>
      <c r="G117" s="30" t="s">
        <v>54</v>
      </c>
      <c r="H117" s="41"/>
      <c r="I117" s="33" t="str">
        <f>IF(A117="","",IF(H117="","⚠️ Enter Agent Code",IF(IFERROR(VLOOKUP(G117,DB_Agents!$B:$F,4,0),"")=TEXT(H117,"0"),IF(AND(A117&lt;&gt;"",E117&lt;&gt;""),"✅ Saved","Pending"),"🔒 WRONG CODE")))</f>
        <v/>
      </c>
      <c r="J117" s="33" t="str">
        <f t="shared" ca="1" si="11"/>
        <v>—</v>
      </c>
      <c r="K117" s="22"/>
    </row>
    <row r="118" spans="1:11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IF(A118="","",IFERROR(VLOOKUP(A118,DB_Customers!$A:$M,13,0),""))</f>
        <v/>
      </c>
      <c r="D118" s="42" t="str">
        <f t="shared" ca="1" si="9"/>
        <v/>
      </c>
      <c r="E118" s="32"/>
      <c r="F118" s="43" t="str">
        <f t="shared" si="10"/>
        <v/>
      </c>
      <c r="G118" s="30" t="s">
        <v>54</v>
      </c>
      <c r="H118" s="41"/>
      <c r="I118" s="33" t="str">
        <f>IF(A118="","",IF(H118="","⚠️ Enter Agent Code",IF(IFERROR(VLOOKUP(G118,DB_Agents!$B:$F,4,0),"")=TEXT(H118,"0"),IF(AND(A118&lt;&gt;"",E118&lt;&gt;""),"✅ Saved","Pending"),"🔒 WRONG CODE")))</f>
        <v/>
      </c>
      <c r="J118" s="33" t="str">
        <f t="shared" ca="1" si="11"/>
        <v>—</v>
      </c>
      <c r="K118" s="46"/>
    </row>
    <row r="119" spans="1:11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IF(A119="","",IFERROR(VLOOKUP(A119,DB_Customers!$A:$M,13,0),""))</f>
        <v/>
      </c>
      <c r="D119" s="42" t="str">
        <f t="shared" ca="1" si="9"/>
        <v/>
      </c>
      <c r="E119" s="32"/>
      <c r="F119" s="43" t="str">
        <f t="shared" si="10"/>
        <v/>
      </c>
      <c r="G119" s="30" t="s">
        <v>54</v>
      </c>
      <c r="H119" s="41"/>
      <c r="I119" s="33" t="str">
        <f>IF(A119="","",IF(H119="","⚠️ Enter Agent Code",IF(IFERROR(VLOOKUP(G119,DB_Agents!$B:$F,4,0),"")=TEXT(H119,"0"),IF(AND(A119&lt;&gt;"",E119&lt;&gt;""),"✅ Saved","Pending"),"🔒 WRONG CODE")))</f>
        <v/>
      </c>
      <c r="J119" s="33" t="str">
        <f t="shared" ca="1" si="11"/>
        <v>—</v>
      </c>
      <c r="K119" s="22"/>
    </row>
    <row r="120" spans="1:11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IF(A120="","",IFERROR(VLOOKUP(A120,DB_Customers!$A:$M,13,0),""))</f>
        <v/>
      </c>
      <c r="D120" s="42" t="str">
        <f t="shared" ca="1" si="9"/>
        <v/>
      </c>
      <c r="E120" s="32"/>
      <c r="F120" s="43" t="str">
        <f t="shared" si="10"/>
        <v/>
      </c>
      <c r="G120" s="30" t="s">
        <v>54</v>
      </c>
      <c r="H120" s="41"/>
      <c r="I120" s="33" t="str">
        <f>IF(A120="","",IF(H120="","⚠️ Enter Agent Code",IF(IFERROR(VLOOKUP(G120,DB_Agents!$B:$F,4,0),"")=TEXT(H120,"0"),IF(AND(A120&lt;&gt;"",E120&lt;&gt;""),"✅ Saved","Pending"),"🔒 WRONG CODE")))</f>
        <v/>
      </c>
      <c r="J120" s="33" t="str">
        <f t="shared" ca="1" si="11"/>
        <v>—</v>
      </c>
      <c r="K120" s="46"/>
    </row>
    <row r="121" spans="1:11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IF(A121="","",IFERROR(VLOOKUP(A121,DB_Customers!$A:$M,13,0),""))</f>
        <v/>
      </c>
      <c r="D121" s="42" t="str">
        <f t="shared" ca="1" si="9"/>
        <v/>
      </c>
      <c r="E121" s="32"/>
      <c r="F121" s="43" t="str">
        <f t="shared" si="10"/>
        <v/>
      </c>
      <c r="G121" s="30" t="s">
        <v>54</v>
      </c>
      <c r="H121" s="41"/>
      <c r="I121" s="33" t="str">
        <f>IF(A121="","",IF(H121="","⚠️ Enter Agent Code",IF(IFERROR(VLOOKUP(G121,DB_Agents!$B:$F,4,0),"")=TEXT(H121,"0"),IF(AND(A121&lt;&gt;"",E121&lt;&gt;""),"✅ Saved","Pending"),"🔒 WRONG CODE")))</f>
        <v/>
      </c>
      <c r="J121" s="33" t="str">
        <f t="shared" ca="1" si="11"/>
        <v>—</v>
      </c>
      <c r="K121" s="22"/>
    </row>
    <row r="122" spans="1:11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IF(A122="","",IFERROR(VLOOKUP(A122,DB_Customers!$A:$M,13,0),""))</f>
        <v/>
      </c>
      <c r="D122" s="42" t="str">
        <f t="shared" ca="1" si="9"/>
        <v/>
      </c>
      <c r="E122" s="32"/>
      <c r="F122" s="43" t="str">
        <f t="shared" si="10"/>
        <v/>
      </c>
      <c r="G122" s="30" t="s">
        <v>54</v>
      </c>
      <c r="H122" s="41"/>
      <c r="I122" s="33" t="str">
        <f>IF(A122="","",IF(H122="","⚠️ Enter Agent Code",IF(IFERROR(VLOOKUP(G122,DB_Agents!$B:$F,4,0),"")=TEXT(H122,"0"),IF(AND(A122&lt;&gt;"",E122&lt;&gt;""),"✅ Saved","Pending"),"🔒 WRONG CODE")))</f>
        <v/>
      </c>
      <c r="J122" s="33" t="str">
        <f t="shared" ca="1" si="11"/>
        <v>—</v>
      </c>
      <c r="K122" s="46"/>
    </row>
    <row r="123" spans="1:11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IF(A123="","",IFERROR(VLOOKUP(A123,DB_Customers!$A:$M,13,0),""))</f>
        <v/>
      </c>
      <c r="D123" s="42" t="str">
        <f t="shared" ca="1" si="9"/>
        <v/>
      </c>
      <c r="E123" s="32"/>
      <c r="F123" s="43" t="str">
        <f t="shared" si="10"/>
        <v/>
      </c>
      <c r="G123" s="30" t="s">
        <v>54</v>
      </c>
      <c r="H123" s="41"/>
      <c r="I123" s="33" t="str">
        <f>IF(A123="","",IF(H123="","⚠️ Enter Agent Code",IF(IFERROR(VLOOKUP(G123,DB_Agents!$B:$F,4,0),"")=TEXT(H123,"0"),IF(AND(A123&lt;&gt;"",E123&lt;&gt;""),"✅ Saved","Pending"),"🔒 WRONG CODE")))</f>
        <v/>
      </c>
      <c r="J123" s="33" t="str">
        <f t="shared" ca="1" si="11"/>
        <v>—</v>
      </c>
      <c r="K123" s="22"/>
    </row>
    <row r="124" spans="1:11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IF(A124="","",IFERROR(VLOOKUP(A124,DB_Customers!$A:$M,13,0),""))</f>
        <v/>
      </c>
      <c r="D124" s="42" t="str">
        <f t="shared" ca="1" si="9"/>
        <v/>
      </c>
      <c r="E124" s="32"/>
      <c r="F124" s="43" t="str">
        <f t="shared" si="10"/>
        <v/>
      </c>
      <c r="G124" s="30" t="s">
        <v>54</v>
      </c>
      <c r="H124" s="41"/>
      <c r="I124" s="33" t="str">
        <f>IF(A124="","",IF(H124="","⚠️ Enter Agent Code",IF(IFERROR(VLOOKUP(G124,DB_Agents!$B:$F,4,0),"")=TEXT(H124,"0"),IF(AND(A124&lt;&gt;"",E124&lt;&gt;""),"✅ Saved","Pending"),"🔒 WRONG CODE")))</f>
        <v/>
      </c>
      <c r="J124" s="33" t="str">
        <f t="shared" ca="1" si="11"/>
        <v>—</v>
      </c>
      <c r="K124" s="46"/>
    </row>
    <row r="125" spans="1:11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IF(A125="","",IFERROR(VLOOKUP(A125,DB_Customers!$A:$M,13,0),""))</f>
        <v/>
      </c>
      <c r="D125" s="42" t="str">
        <f t="shared" ca="1" si="9"/>
        <v/>
      </c>
      <c r="E125" s="32"/>
      <c r="F125" s="43" t="str">
        <f t="shared" si="10"/>
        <v/>
      </c>
      <c r="G125" s="30" t="s">
        <v>54</v>
      </c>
      <c r="H125" s="41"/>
      <c r="I125" s="33" t="str">
        <f>IF(A125="","",IF(H125="","⚠️ Enter Agent Code",IF(IFERROR(VLOOKUP(G125,DB_Agents!$B:$F,4,0),"")=TEXT(H125,"0"),IF(AND(A125&lt;&gt;"",E125&lt;&gt;""),"✅ Saved","Pending"),"🔒 WRONG CODE")))</f>
        <v/>
      </c>
      <c r="J125" s="33" t="str">
        <f t="shared" ca="1" si="11"/>
        <v>—</v>
      </c>
      <c r="K125" s="22"/>
    </row>
    <row r="126" spans="1:11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IF(A126="","",IFERROR(VLOOKUP(A126,DB_Customers!$A:$M,13,0),""))</f>
        <v/>
      </c>
      <c r="D126" s="42" t="str">
        <f t="shared" ca="1" si="9"/>
        <v/>
      </c>
      <c r="E126" s="32"/>
      <c r="F126" s="43" t="str">
        <f t="shared" si="10"/>
        <v/>
      </c>
      <c r="G126" s="30" t="s">
        <v>54</v>
      </c>
      <c r="H126" s="41"/>
      <c r="I126" s="33" t="str">
        <f>IF(A126="","",IF(H126="","⚠️ Enter Agent Code",IF(IFERROR(VLOOKUP(G126,DB_Agents!$B:$F,4,0),"")=TEXT(H126,"0"),IF(AND(A126&lt;&gt;"",E126&lt;&gt;""),"✅ Saved","Pending"),"🔒 WRONG CODE")))</f>
        <v/>
      </c>
      <c r="J126" s="33" t="str">
        <f t="shared" ca="1" si="11"/>
        <v>—</v>
      </c>
      <c r="K126" s="46"/>
    </row>
    <row r="127" spans="1:11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IF(A127="","",IFERROR(VLOOKUP(A127,DB_Customers!$A:$M,13,0),""))</f>
        <v/>
      </c>
      <c r="D127" s="42" t="str">
        <f t="shared" ca="1" si="9"/>
        <v/>
      </c>
      <c r="E127" s="32"/>
      <c r="F127" s="43" t="str">
        <f t="shared" si="10"/>
        <v/>
      </c>
      <c r="G127" s="30" t="s">
        <v>54</v>
      </c>
      <c r="H127" s="41"/>
      <c r="I127" s="33" t="str">
        <f>IF(A127="","",IF(H127="","⚠️ Enter Agent Code",IF(IFERROR(VLOOKUP(G127,DB_Agents!$B:$F,4,0),"")=TEXT(H127,"0"),IF(AND(A127&lt;&gt;"",E127&lt;&gt;""),"✅ Saved","Pending"),"🔒 WRONG CODE")))</f>
        <v/>
      </c>
      <c r="J127" s="33" t="str">
        <f t="shared" ca="1" si="11"/>
        <v>—</v>
      </c>
      <c r="K127" s="22"/>
    </row>
    <row r="128" spans="1:11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IF(A128="","",IFERROR(VLOOKUP(A128,DB_Customers!$A:$M,13,0),""))</f>
        <v/>
      </c>
      <c r="D128" s="42" t="str">
        <f t="shared" ca="1" si="9"/>
        <v/>
      </c>
      <c r="E128" s="32"/>
      <c r="F128" s="43" t="str">
        <f t="shared" si="10"/>
        <v/>
      </c>
      <c r="G128" s="30" t="s">
        <v>54</v>
      </c>
      <c r="H128" s="41"/>
      <c r="I128" s="33" t="str">
        <f>IF(A128="","",IF(H128="","⚠️ Enter Agent Code",IF(IFERROR(VLOOKUP(G128,DB_Agents!$B:$F,4,0),"")=TEXT(H128,"0"),IF(AND(A128&lt;&gt;"",E128&lt;&gt;""),"✅ Saved","Pending"),"🔒 WRONG CODE")))</f>
        <v/>
      </c>
      <c r="J128" s="33" t="str">
        <f t="shared" ca="1" si="11"/>
        <v>—</v>
      </c>
      <c r="K128" s="46"/>
    </row>
    <row r="129" spans="1:11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IF(A129="","",IFERROR(VLOOKUP(A129,DB_Customers!$A:$M,13,0),""))</f>
        <v/>
      </c>
      <c r="D129" s="42" t="str">
        <f t="shared" ca="1" si="9"/>
        <v/>
      </c>
      <c r="E129" s="32"/>
      <c r="F129" s="43" t="str">
        <f t="shared" si="10"/>
        <v/>
      </c>
      <c r="G129" s="30" t="s">
        <v>54</v>
      </c>
      <c r="H129" s="41"/>
      <c r="I129" s="33" t="str">
        <f>IF(A129="","",IF(H129="","⚠️ Enter Agent Code",IF(IFERROR(VLOOKUP(G129,DB_Agents!$B:$F,4,0),"")=TEXT(H129,"0"),IF(AND(A129&lt;&gt;"",E129&lt;&gt;""),"✅ Saved","Pending"),"🔒 WRONG CODE")))</f>
        <v/>
      </c>
      <c r="J129" s="33" t="str">
        <f t="shared" ca="1" si="11"/>
        <v>—</v>
      </c>
      <c r="K129" s="22"/>
    </row>
    <row r="130" spans="1:11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IF(A130="","",IFERROR(VLOOKUP(A130,DB_Customers!$A:$M,13,0),""))</f>
        <v/>
      </c>
      <c r="D130" s="42" t="str">
        <f t="shared" ca="1" si="9"/>
        <v/>
      </c>
      <c r="E130" s="32"/>
      <c r="F130" s="43" t="str">
        <f t="shared" si="10"/>
        <v/>
      </c>
      <c r="G130" s="30" t="s">
        <v>54</v>
      </c>
      <c r="H130" s="41"/>
      <c r="I130" s="33" t="str">
        <f>IF(A130="","",IF(H130="","⚠️ Enter Agent Code",IF(IFERROR(VLOOKUP(G130,DB_Agents!$B:$F,4,0),"")=TEXT(H130,"0"),IF(AND(A130&lt;&gt;"",E130&lt;&gt;""),"✅ Saved","Pending"),"🔒 WRONG CODE")))</f>
        <v/>
      </c>
      <c r="J130" s="33" t="str">
        <f t="shared" ca="1" si="11"/>
        <v>—</v>
      </c>
      <c r="K130" s="46"/>
    </row>
    <row r="131" spans="1:11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IF(A131="","",IFERROR(VLOOKUP(A131,DB_Customers!$A:$M,13,0),""))</f>
        <v/>
      </c>
      <c r="D131" s="42" t="str">
        <f t="shared" ca="1" si="9"/>
        <v/>
      </c>
      <c r="E131" s="32"/>
      <c r="F131" s="43" t="str">
        <f t="shared" si="10"/>
        <v/>
      </c>
      <c r="G131" s="30" t="s">
        <v>54</v>
      </c>
      <c r="H131" s="41"/>
      <c r="I131" s="33" t="str">
        <f>IF(A131="","",IF(H131="","⚠️ Enter Agent Code",IF(IFERROR(VLOOKUP(G131,DB_Agents!$B:$F,4,0),"")=TEXT(H131,"0"),IF(AND(A131&lt;&gt;"",E131&lt;&gt;""),"✅ Saved","Pending"),"🔒 WRONG CODE")))</f>
        <v/>
      </c>
      <c r="J131" s="33" t="str">
        <f t="shared" ca="1" si="11"/>
        <v>—</v>
      </c>
      <c r="K131" s="22"/>
    </row>
    <row r="132" spans="1:11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IF(A132="","",IFERROR(VLOOKUP(A132,DB_Customers!$A:$M,13,0),""))</f>
        <v/>
      </c>
      <c r="D132" s="42" t="str">
        <f t="shared" ca="1" si="9"/>
        <v/>
      </c>
      <c r="E132" s="32"/>
      <c r="F132" s="43" t="str">
        <f t="shared" si="10"/>
        <v/>
      </c>
      <c r="G132" s="30" t="s">
        <v>54</v>
      </c>
      <c r="H132" s="41"/>
      <c r="I132" s="33" t="str">
        <f>IF(A132="","",IF(H132="","⚠️ Enter Agent Code",IF(IFERROR(VLOOKUP(G132,DB_Agents!$B:$F,4,0),"")=TEXT(H132,"0"),IF(AND(A132&lt;&gt;"",E132&lt;&gt;""),"✅ Saved","Pending"),"🔒 WRONG CODE")))</f>
        <v/>
      </c>
      <c r="J132" s="33" t="str">
        <f t="shared" ca="1" si="11"/>
        <v>—</v>
      </c>
      <c r="K132" s="46"/>
    </row>
    <row r="133" spans="1:11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IF(A133="","",IFERROR(VLOOKUP(A133,DB_Customers!$A:$M,13,0),""))</f>
        <v/>
      </c>
      <c r="D133" s="42" t="str">
        <f t="shared" ca="1" si="9"/>
        <v/>
      </c>
      <c r="E133" s="32"/>
      <c r="F133" s="43" t="str">
        <f t="shared" si="10"/>
        <v/>
      </c>
      <c r="G133" s="30" t="s">
        <v>54</v>
      </c>
      <c r="H133" s="41"/>
      <c r="I133" s="33" t="str">
        <f>IF(A133="","",IF(H133="","⚠️ Enter Agent Code",IF(IFERROR(VLOOKUP(G133,DB_Agents!$B:$F,4,0),"")=TEXT(H133,"0"),IF(AND(A133&lt;&gt;"",E133&lt;&gt;""),"✅ Saved","Pending"),"🔒 WRONG CODE")))</f>
        <v/>
      </c>
      <c r="J133" s="33" t="str">
        <f t="shared" ca="1" si="11"/>
        <v>—</v>
      </c>
      <c r="K133" s="22"/>
    </row>
    <row r="134" spans="1:11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IF(A134="","",IFERROR(VLOOKUP(A134,DB_Customers!$A:$M,13,0),""))</f>
        <v/>
      </c>
      <c r="D134" s="42" t="str">
        <f t="shared" ca="1" si="9"/>
        <v/>
      </c>
      <c r="E134" s="32"/>
      <c r="F134" s="43" t="str">
        <f t="shared" si="10"/>
        <v/>
      </c>
      <c r="G134" s="30" t="s">
        <v>54</v>
      </c>
      <c r="H134" s="41"/>
      <c r="I134" s="33" t="str">
        <f>IF(A134="","",IF(H134="","⚠️ Enter Agent Code",IF(IFERROR(VLOOKUP(G134,DB_Agents!$B:$F,4,0),"")=TEXT(H134,"0"),IF(AND(A134&lt;&gt;"",E134&lt;&gt;""),"✅ Saved","Pending"),"🔒 WRONG CODE")))</f>
        <v/>
      </c>
      <c r="J134" s="33" t="str">
        <f t="shared" ca="1" si="11"/>
        <v>—</v>
      </c>
      <c r="K134" s="46"/>
    </row>
    <row r="135" spans="1:11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IF(A135="","",IFERROR(VLOOKUP(A135,DB_Customers!$A:$M,13,0),""))</f>
        <v/>
      </c>
      <c r="D135" s="42" t="str">
        <f t="shared" ca="1" si="9"/>
        <v/>
      </c>
      <c r="E135" s="32"/>
      <c r="F135" s="43" t="str">
        <f t="shared" si="10"/>
        <v/>
      </c>
      <c r="G135" s="30" t="s">
        <v>54</v>
      </c>
      <c r="H135" s="41"/>
      <c r="I135" s="33" t="str">
        <f>IF(A135="","",IF(H135="","⚠️ Enter Agent Code",IF(IFERROR(VLOOKUP(G135,DB_Agents!$B:$F,4,0),"")=TEXT(H135,"0"),IF(AND(A135&lt;&gt;"",E135&lt;&gt;""),"✅ Saved","Pending"),"🔒 WRONG CODE")))</f>
        <v/>
      </c>
      <c r="J135" s="33" t="str">
        <f t="shared" ca="1" si="11"/>
        <v>—</v>
      </c>
      <c r="K135" s="22"/>
    </row>
    <row r="136" spans="1:11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IF(A136="","",IFERROR(VLOOKUP(A136,DB_Customers!$A:$M,13,0),""))</f>
        <v/>
      </c>
      <c r="D136" s="42" t="str">
        <f t="shared" ca="1" si="9"/>
        <v/>
      </c>
      <c r="E136" s="32"/>
      <c r="F136" s="43" t="str">
        <f t="shared" si="10"/>
        <v/>
      </c>
      <c r="G136" s="30" t="s">
        <v>54</v>
      </c>
      <c r="H136" s="41"/>
      <c r="I136" s="33" t="str">
        <f>IF(A136="","",IF(H136="","⚠️ Enter Agent Code",IF(IFERROR(VLOOKUP(G136,DB_Agents!$B:$F,4,0),"")=TEXT(H136,"0"),IF(AND(A136&lt;&gt;"",E136&lt;&gt;""),"✅ Saved","Pending"),"🔒 WRONG CODE")))</f>
        <v/>
      </c>
      <c r="J136" s="33" t="str">
        <f t="shared" ca="1" si="11"/>
        <v>—</v>
      </c>
      <c r="K136" s="46"/>
    </row>
    <row r="137" spans="1:11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IF(A137="","",IFERROR(VLOOKUP(A137,DB_Customers!$A:$M,13,0),""))</f>
        <v/>
      </c>
      <c r="D137" s="42" t="str">
        <f t="shared" ref="D137:D168" ca="1" si="12">IF(A137="","",TODAY())</f>
        <v/>
      </c>
      <c r="E137" s="32"/>
      <c r="F137" s="43" t="str">
        <f t="shared" ref="F137:F168" si="13">IFERROR(IF(OR(A137="",E137=""),"",C137+E137),"")</f>
        <v/>
      </c>
      <c r="G137" s="30" t="s">
        <v>54</v>
      </c>
      <c r="H137" s="41"/>
      <c r="I137" s="33" t="str">
        <f>IF(A137="","",IF(H137="","⚠️ Enter Agent Code",IF(IFERROR(VLOOKUP(G137,DB_Agents!$B:$F,4,0),"")=TEXT(H137,"0"),IF(AND(A137&lt;&gt;"",E137&lt;&gt;""),"✅ Saved","Pending"),"🔒 WRONG CODE")))</f>
        <v/>
      </c>
      <c r="J137" s="33" t="str">
        <f t="shared" ref="J137:J168" ca="1" si="14">IF(I137="✅ Saved",TEXT(TODAY(),"YYYY-MM-DD")&amp;" Auto","—")</f>
        <v>—</v>
      </c>
      <c r="K137" s="22"/>
    </row>
    <row r="138" spans="1:11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IF(A138="","",IFERROR(VLOOKUP(A138,DB_Customers!$A:$M,13,0),""))</f>
        <v/>
      </c>
      <c r="D138" s="42" t="str">
        <f t="shared" ca="1" si="12"/>
        <v/>
      </c>
      <c r="E138" s="32"/>
      <c r="F138" s="43" t="str">
        <f t="shared" si="13"/>
        <v/>
      </c>
      <c r="G138" s="30" t="s">
        <v>54</v>
      </c>
      <c r="H138" s="41"/>
      <c r="I138" s="33" t="str">
        <f>IF(A138="","",IF(H138="","⚠️ Enter Agent Code",IF(IFERROR(VLOOKUP(G138,DB_Agents!$B:$F,4,0),"")=TEXT(H138,"0"),IF(AND(A138&lt;&gt;"",E138&lt;&gt;""),"✅ Saved","Pending"),"🔒 WRONG CODE")))</f>
        <v/>
      </c>
      <c r="J138" s="33" t="str">
        <f t="shared" ca="1" si="14"/>
        <v>—</v>
      </c>
      <c r="K138" s="46"/>
    </row>
    <row r="139" spans="1:11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IF(A139="","",IFERROR(VLOOKUP(A139,DB_Customers!$A:$M,13,0),""))</f>
        <v/>
      </c>
      <c r="D139" s="42" t="str">
        <f t="shared" ca="1" si="12"/>
        <v/>
      </c>
      <c r="E139" s="32"/>
      <c r="F139" s="43" t="str">
        <f t="shared" si="13"/>
        <v/>
      </c>
      <c r="G139" s="30" t="s">
        <v>54</v>
      </c>
      <c r="H139" s="41"/>
      <c r="I139" s="33" t="str">
        <f>IF(A139="","",IF(H139="","⚠️ Enter Agent Code",IF(IFERROR(VLOOKUP(G139,DB_Agents!$B:$F,4,0),"")=TEXT(H139,"0"),IF(AND(A139&lt;&gt;"",E139&lt;&gt;""),"✅ Saved","Pending"),"🔒 WRONG CODE")))</f>
        <v/>
      </c>
      <c r="J139" s="33" t="str">
        <f t="shared" ca="1" si="14"/>
        <v>—</v>
      </c>
      <c r="K139" s="22"/>
    </row>
    <row r="140" spans="1:11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IF(A140="","",IFERROR(VLOOKUP(A140,DB_Customers!$A:$M,13,0),""))</f>
        <v/>
      </c>
      <c r="D140" s="42" t="str">
        <f t="shared" ca="1" si="12"/>
        <v/>
      </c>
      <c r="E140" s="32"/>
      <c r="F140" s="43" t="str">
        <f t="shared" si="13"/>
        <v/>
      </c>
      <c r="G140" s="30" t="s">
        <v>54</v>
      </c>
      <c r="H140" s="41"/>
      <c r="I140" s="33" t="str">
        <f>IF(A140="","",IF(H140="","⚠️ Enter Agent Code",IF(IFERROR(VLOOKUP(G140,DB_Agents!$B:$F,4,0),"")=TEXT(H140,"0"),IF(AND(A140&lt;&gt;"",E140&lt;&gt;""),"✅ Saved","Pending"),"🔒 WRONG CODE")))</f>
        <v/>
      </c>
      <c r="J140" s="33" t="str">
        <f t="shared" ca="1" si="14"/>
        <v>—</v>
      </c>
      <c r="K140" s="46"/>
    </row>
    <row r="141" spans="1:11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IF(A141="","",IFERROR(VLOOKUP(A141,DB_Customers!$A:$M,13,0),""))</f>
        <v/>
      </c>
      <c r="D141" s="42" t="str">
        <f t="shared" ca="1" si="12"/>
        <v/>
      </c>
      <c r="E141" s="32"/>
      <c r="F141" s="43" t="str">
        <f t="shared" si="13"/>
        <v/>
      </c>
      <c r="G141" s="30" t="s">
        <v>54</v>
      </c>
      <c r="H141" s="41"/>
      <c r="I141" s="33" t="str">
        <f>IF(A141="","",IF(H141="","⚠️ Enter Agent Code",IF(IFERROR(VLOOKUP(G141,DB_Agents!$B:$F,4,0),"")=TEXT(H141,"0"),IF(AND(A141&lt;&gt;"",E141&lt;&gt;""),"✅ Saved","Pending"),"🔒 WRONG CODE")))</f>
        <v/>
      </c>
      <c r="J141" s="33" t="str">
        <f t="shared" ca="1" si="14"/>
        <v>—</v>
      </c>
      <c r="K141" s="22"/>
    </row>
    <row r="142" spans="1:11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IF(A142="","",IFERROR(VLOOKUP(A142,DB_Customers!$A:$M,13,0),""))</f>
        <v/>
      </c>
      <c r="D142" s="42" t="str">
        <f t="shared" ca="1" si="12"/>
        <v/>
      </c>
      <c r="E142" s="32"/>
      <c r="F142" s="43" t="str">
        <f t="shared" si="13"/>
        <v/>
      </c>
      <c r="G142" s="30" t="s">
        <v>54</v>
      </c>
      <c r="H142" s="41"/>
      <c r="I142" s="33" t="str">
        <f>IF(A142="","",IF(H142="","⚠️ Enter Agent Code",IF(IFERROR(VLOOKUP(G142,DB_Agents!$B:$F,4,0),"")=TEXT(H142,"0"),IF(AND(A142&lt;&gt;"",E142&lt;&gt;""),"✅ Saved","Pending"),"🔒 WRONG CODE")))</f>
        <v/>
      </c>
      <c r="J142" s="33" t="str">
        <f t="shared" ca="1" si="14"/>
        <v>—</v>
      </c>
      <c r="K142" s="46"/>
    </row>
    <row r="143" spans="1:11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IF(A143="","",IFERROR(VLOOKUP(A143,DB_Customers!$A:$M,13,0),""))</f>
        <v/>
      </c>
      <c r="D143" s="42" t="str">
        <f t="shared" ca="1" si="12"/>
        <v/>
      </c>
      <c r="E143" s="32"/>
      <c r="F143" s="43" t="str">
        <f t="shared" si="13"/>
        <v/>
      </c>
      <c r="G143" s="30" t="s">
        <v>54</v>
      </c>
      <c r="H143" s="41"/>
      <c r="I143" s="33" t="str">
        <f>IF(A143="","",IF(H143="","⚠️ Enter Agent Code",IF(IFERROR(VLOOKUP(G143,DB_Agents!$B:$F,4,0),"")=TEXT(H143,"0"),IF(AND(A143&lt;&gt;"",E143&lt;&gt;""),"✅ Saved","Pending"),"🔒 WRONG CODE")))</f>
        <v/>
      </c>
      <c r="J143" s="33" t="str">
        <f t="shared" ca="1" si="14"/>
        <v>—</v>
      </c>
      <c r="K143" s="22"/>
    </row>
    <row r="144" spans="1:11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IF(A144="","",IFERROR(VLOOKUP(A144,DB_Customers!$A:$M,13,0),""))</f>
        <v/>
      </c>
      <c r="D144" s="42" t="str">
        <f t="shared" ca="1" si="12"/>
        <v/>
      </c>
      <c r="E144" s="32"/>
      <c r="F144" s="43" t="str">
        <f t="shared" si="13"/>
        <v/>
      </c>
      <c r="G144" s="30" t="s">
        <v>54</v>
      </c>
      <c r="H144" s="41"/>
      <c r="I144" s="33" t="str">
        <f>IF(A144="","",IF(H144="","⚠️ Enter Agent Code",IF(IFERROR(VLOOKUP(G144,DB_Agents!$B:$F,4,0),"")=TEXT(H144,"0"),IF(AND(A144&lt;&gt;"",E144&lt;&gt;""),"✅ Saved","Pending"),"🔒 WRONG CODE")))</f>
        <v/>
      </c>
      <c r="J144" s="33" t="str">
        <f t="shared" ca="1" si="14"/>
        <v>—</v>
      </c>
      <c r="K144" s="46"/>
    </row>
    <row r="145" spans="1:11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IF(A145="","",IFERROR(VLOOKUP(A145,DB_Customers!$A:$M,13,0),""))</f>
        <v/>
      </c>
      <c r="D145" s="42" t="str">
        <f t="shared" ca="1" si="12"/>
        <v/>
      </c>
      <c r="E145" s="32"/>
      <c r="F145" s="43" t="str">
        <f t="shared" si="13"/>
        <v/>
      </c>
      <c r="G145" s="30" t="s">
        <v>54</v>
      </c>
      <c r="H145" s="41"/>
      <c r="I145" s="33" t="str">
        <f>IF(A145="","",IF(H145="","⚠️ Enter Agent Code",IF(IFERROR(VLOOKUP(G145,DB_Agents!$B:$F,4,0),"")=TEXT(H145,"0"),IF(AND(A145&lt;&gt;"",E145&lt;&gt;""),"✅ Saved","Pending"),"🔒 WRONG CODE")))</f>
        <v/>
      </c>
      <c r="J145" s="33" t="str">
        <f t="shared" ca="1" si="14"/>
        <v>—</v>
      </c>
      <c r="K145" s="22"/>
    </row>
    <row r="146" spans="1:11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IF(A146="","",IFERROR(VLOOKUP(A146,DB_Customers!$A:$M,13,0),""))</f>
        <v/>
      </c>
      <c r="D146" s="42" t="str">
        <f t="shared" ca="1" si="12"/>
        <v/>
      </c>
      <c r="E146" s="32"/>
      <c r="F146" s="43" t="str">
        <f t="shared" si="13"/>
        <v/>
      </c>
      <c r="G146" s="30" t="s">
        <v>54</v>
      </c>
      <c r="H146" s="41"/>
      <c r="I146" s="33" t="str">
        <f>IF(A146="","",IF(H146="","⚠️ Enter Agent Code",IF(IFERROR(VLOOKUP(G146,DB_Agents!$B:$F,4,0),"")=TEXT(H146,"0"),IF(AND(A146&lt;&gt;"",E146&lt;&gt;""),"✅ Saved","Pending"),"🔒 WRONG CODE")))</f>
        <v/>
      </c>
      <c r="J146" s="33" t="str">
        <f t="shared" ca="1" si="14"/>
        <v>—</v>
      </c>
      <c r="K146" s="46"/>
    </row>
    <row r="147" spans="1:11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IF(A147="","",IFERROR(VLOOKUP(A147,DB_Customers!$A:$M,13,0),""))</f>
        <v/>
      </c>
      <c r="D147" s="42" t="str">
        <f t="shared" ca="1" si="12"/>
        <v/>
      </c>
      <c r="E147" s="32"/>
      <c r="F147" s="43" t="str">
        <f t="shared" si="13"/>
        <v/>
      </c>
      <c r="G147" s="30" t="s">
        <v>54</v>
      </c>
      <c r="H147" s="41"/>
      <c r="I147" s="33" t="str">
        <f>IF(A147="","",IF(H147="","⚠️ Enter Agent Code",IF(IFERROR(VLOOKUP(G147,DB_Agents!$B:$F,4,0),"")=TEXT(H147,"0"),IF(AND(A147&lt;&gt;"",E147&lt;&gt;""),"✅ Saved","Pending"),"🔒 WRONG CODE")))</f>
        <v/>
      </c>
      <c r="J147" s="33" t="str">
        <f t="shared" ca="1" si="14"/>
        <v>—</v>
      </c>
      <c r="K147" s="22"/>
    </row>
    <row r="148" spans="1:11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IF(A148="","",IFERROR(VLOOKUP(A148,DB_Customers!$A:$M,13,0),""))</f>
        <v/>
      </c>
      <c r="D148" s="42" t="str">
        <f t="shared" ca="1" si="12"/>
        <v/>
      </c>
      <c r="E148" s="32"/>
      <c r="F148" s="43" t="str">
        <f t="shared" si="13"/>
        <v/>
      </c>
      <c r="G148" s="30" t="s">
        <v>54</v>
      </c>
      <c r="H148" s="41"/>
      <c r="I148" s="33" t="str">
        <f>IF(A148="","",IF(H148="","⚠️ Enter Agent Code",IF(IFERROR(VLOOKUP(G148,DB_Agents!$B:$F,4,0),"")=TEXT(H148,"0"),IF(AND(A148&lt;&gt;"",E148&lt;&gt;""),"✅ Saved","Pending"),"🔒 WRONG CODE")))</f>
        <v/>
      </c>
      <c r="J148" s="33" t="str">
        <f t="shared" ca="1" si="14"/>
        <v>—</v>
      </c>
      <c r="K148" s="46"/>
    </row>
    <row r="149" spans="1:11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IF(A149="","",IFERROR(VLOOKUP(A149,DB_Customers!$A:$M,13,0),""))</f>
        <v/>
      </c>
      <c r="D149" s="42" t="str">
        <f t="shared" ca="1" si="12"/>
        <v/>
      </c>
      <c r="E149" s="32"/>
      <c r="F149" s="43" t="str">
        <f t="shared" si="13"/>
        <v/>
      </c>
      <c r="G149" s="30" t="s">
        <v>54</v>
      </c>
      <c r="H149" s="41"/>
      <c r="I149" s="33" t="str">
        <f>IF(A149="","",IF(H149="","⚠️ Enter Agent Code",IF(IFERROR(VLOOKUP(G149,DB_Agents!$B:$F,4,0),"")=TEXT(H149,"0"),IF(AND(A149&lt;&gt;"",E149&lt;&gt;""),"✅ Saved","Pending"),"🔒 WRONG CODE")))</f>
        <v/>
      </c>
      <c r="J149" s="33" t="str">
        <f t="shared" ca="1" si="14"/>
        <v>—</v>
      </c>
      <c r="K149" s="22"/>
    </row>
    <row r="150" spans="1:11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IF(A150="","",IFERROR(VLOOKUP(A150,DB_Customers!$A:$M,13,0),""))</f>
        <v/>
      </c>
      <c r="D150" s="42" t="str">
        <f t="shared" ca="1" si="12"/>
        <v/>
      </c>
      <c r="E150" s="32"/>
      <c r="F150" s="43" t="str">
        <f t="shared" si="13"/>
        <v/>
      </c>
      <c r="G150" s="30" t="s">
        <v>54</v>
      </c>
      <c r="H150" s="41"/>
      <c r="I150" s="33" t="str">
        <f>IF(A150="","",IF(H150="","⚠️ Enter Agent Code",IF(IFERROR(VLOOKUP(G150,DB_Agents!$B:$F,4,0),"")=TEXT(H150,"0"),IF(AND(A150&lt;&gt;"",E150&lt;&gt;""),"✅ Saved","Pending"),"🔒 WRONG CODE")))</f>
        <v/>
      </c>
      <c r="J150" s="33" t="str">
        <f t="shared" ca="1" si="14"/>
        <v>—</v>
      </c>
      <c r="K150" s="46"/>
    </row>
    <row r="151" spans="1:11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IF(A151="","",IFERROR(VLOOKUP(A151,DB_Customers!$A:$M,13,0),""))</f>
        <v/>
      </c>
      <c r="D151" s="42" t="str">
        <f t="shared" ca="1" si="12"/>
        <v/>
      </c>
      <c r="E151" s="32"/>
      <c r="F151" s="43" t="str">
        <f t="shared" si="13"/>
        <v/>
      </c>
      <c r="G151" s="30" t="s">
        <v>54</v>
      </c>
      <c r="H151" s="41"/>
      <c r="I151" s="33" t="str">
        <f>IF(A151="","",IF(H151="","⚠️ Enter Agent Code",IF(IFERROR(VLOOKUP(G151,DB_Agents!$B:$F,4,0),"")=TEXT(H151,"0"),IF(AND(A151&lt;&gt;"",E151&lt;&gt;""),"✅ Saved","Pending"),"🔒 WRONG CODE")))</f>
        <v/>
      </c>
      <c r="J151" s="33" t="str">
        <f t="shared" ca="1" si="14"/>
        <v>—</v>
      </c>
      <c r="K151" s="22"/>
    </row>
    <row r="152" spans="1:11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IF(A152="","",IFERROR(VLOOKUP(A152,DB_Customers!$A:$M,13,0),""))</f>
        <v/>
      </c>
      <c r="D152" s="42" t="str">
        <f t="shared" ca="1" si="12"/>
        <v/>
      </c>
      <c r="E152" s="32"/>
      <c r="F152" s="43" t="str">
        <f t="shared" si="13"/>
        <v/>
      </c>
      <c r="G152" s="30" t="s">
        <v>54</v>
      </c>
      <c r="H152" s="41"/>
      <c r="I152" s="33" t="str">
        <f>IF(A152="","",IF(H152="","⚠️ Enter Agent Code",IF(IFERROR(VLOOKUP(G152,DB_Agents!$B:$F,4,0),"")=TEXT(H152,"0"),IF(AND(A152&lt;&gt;"",E152&lt;&gt;""),"✅ Saved","Pending"),"🔒 WRONG CODE")))</f>
        <v/>
      </c>
      <c r="J152" s="33" t="str">
        <f t="shared" ca="1" si="14"/>
        <v>—</v>
      </c>
      <c r="K152" s="46"/>
    </row>
    <row r="153" spans="1:11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IF(A153="","",IFERROR(VLOOKUP(A153,DB_Customers!$A:$M,13,0),""))</f>
        <v/>
      </c>
      <c r="D153" s="42" t="str">
        <f t="shared" ca="1" si="12"/>
        <v/>
      </c>
      <c r="E153" s="32"/>
      <c r="F153" s="43" t="str">
        <f t="shared" si="13"/>
        <v/>
      </c>
      <c r="G153" s="30" t="s">
        <v>54</v>
      </c>
      <c r="H153" s="41"/>
      <c r="I153" s="33" t="str">
        <f>IF(A153="","",IF(H153="","⚠️ Enter Agent Code",IF(IFERROR(VLOOKUP(G153,DB_Agents!$B:$F,4,0),"")=TEXT(H153,"0"),IF(AND(A153&lt;&gt;"",E153&lt;&gt;""),"✅ Saved","Pending"),"🔒 WRONG CODE")))</f>
        <v/>
      </c>
      <c r="J153" s="33" t="str">
        <f t="shared" ca="1" si="14"/>
        <v>—</v>
      </c>
      <c r="K153" s="22"/>
    </row>
    <row r="154" spans="1:11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IF(A154="","",IFERROR(VLOOKUP(A154,DB_Customers!$A:$M,13,0),""))</f>
        <v/>
      </c>
      <c r="D154" s="42" t="str">
        <f t="shared" ca="1" si="12"/>
        <v/>
      </c>
      <c r="E154" s="32"/>
      <c r="F154" s="43" t="str">
        <f t="shared" si="13"/>
        <v/>
      </c>
      <c r="G154" s="30" t="s">
        <v>54</v>
      </c>
      <c r="H154" s="41"/>
      <c r="I154" s="33" t="str">
        <f>IF(A154="","",IF(H154="","⚠️ Enter Agent Code",IF(IFERROR(VLOOKUP(G154,DB_Agents!$B:$F,4,0),"")=TEXT(H154,"0"),IF(AND(A154&lt;&gt;"",E154&lt;&gt;""),"✅ Saved","Pending"),"🔒 WRONG CODE")))</f>
        <v/>
      </c>
      <c r="J154" s="33" t="str">
        <f t="shared" ca="1" si="14"/>
        <v>—</v>
      </c>
      <c r="K154" s="46"/>
    </row>
    <row r="155" spans="1:11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IF(A155="","",IFERROR(VLOOKUP(A155,DB_Customers!$A:$M,13,0),""))</f>
        <v/>
      </c>
      <c r="D155" s="42" t="str">
        <f t="shared" ca="1" si="12"/>
        <v/>
      </c>
      <c r="E155" s="32"/>
      <c r="F155" s="43" t="str">
        <f t="shared" si="13"/>
        <v/>
      </c>
      <c r="G155" s="30" t="s">
        <v>54</v>
      </c>
      <c r="H155" s="41"/>
      <c r="I155" s="33" t="str">
        <f>IF(A155="","",IF(H155="","⚠️ Enter Agent Code",IF(IFERROR(VLOOKUP(G155,DB_Agents!$B:$F,4,0),"")=TEXT(H155,"0"),IF(AND(A155&lt;&gt;"",E155&lt;&gt;""),"✅ Saved","Pending"),"🔒 WRONG CODE")))</f>
        <v/>
      </c>
      <c r="J155" s="33" t="str">
        <f t="shared" ca="1" si="14"/>
        <v>—</v>
      </c>
      <c r="K155" s="22"/>
    </row>
    <row r="156" spans="1:11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IF(A156="","",IFERROR(VLOOKUP(A156,DB_Customers!$A:$M,13,0),""))</f>
        <v/>
      </c>
      <c r="D156" s="42" t="str">
        <f t="shared" ca="1" si="12"/>
        <v/>
      </c>
      <c r="E156" s="32"/>
      <c r="F156" s="43" t="str">
        <f t="shared" si="13"/>
        <v/>
      </c>
      <c r="G156" s="30" t="s">
        <v>54</v>
      </c>
      <c r="H156" s="41"/>
      <c r="I156" s="33" t="str">
        <f>IF(A156="","",IF(H156="","⚠️ Enter Agent Code",IF(IFERROR(VLOOKUP(G156,DB_Agents!$B:$F,4,0),"")=TEXT(H156,"0"),IF(AND(A156&lt;&gt;"",E156&lt;&gt;""),"✅ Saved","Pending"),"🔒 WRONG CODE")))</f>
        <v/>
      </c>
      <c r="J156" s="33" t="str">
        <f t="shared" ca="1" si="14"/>
        <v>—</v>
      </c>
      <c r="K156" s="46"/>
    </row>
    <row r="157" spans="1:11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IF(A157="","",IFERROR(VLOOKUP(A157,DB_Customers!$A:$M,13,0),""))</f>
        <v/>
      </c>
      <c r="D157" s="42" t="str">
        <f t="shared" ca="1" si="12"/>
        <v/>
      </c>
      <c r="E157" s="32"/>
      <c r="F157" s="43" t="str">
        <f t="shared" si="13"/>
        <v/>
      </c>
      <c r="G157" s="30" t="s">
        <v>54</v>
      </c>
      <c r="H157" s="41"/>
      <c r="I157" s="33" t="str">
        <f>IF(A157="","",IF(H157="","⚠️ Enter Agent Code",IF(IFERROR(VLOOKUP(G157,DB_Agents!$B:$F,4,0),"")=TEXT(H157,"0"),IF(AND(A157&lt;&gt;"",E157&lt;&gt;""),"✅ Saved","Pending"),"🔒 WRONG CODE")))</f>
        <v/>
      </c>
      <c r="J157" s="33" t="str">
        <f t="shared" ca="1" si="14"/>
        <v>—</v>
      </c>
      <c r="K157" s="22"/>
    </row>
    <row r="158" spans="1:11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IF(A158="","",IFERROR(VLOOKUP(A158,DB_Customers!$A:$M,13,0),""))</f>
        <v/>
      </c>
      <c r="D158" s="42" t="str">
        <f t="shared" ca="1" si="12"/>
        <v/>
      </c>
      <c r="E158" s="32"/>
      <c r="F158" s="43" t="str">
        <f t="shared" si="13"/>
        <v/>
      </c>
      <c r="G158" s="30" t="s">
        <v>54</v>
      </c>
      <c r="H158" s="41"/>
      <c r="I158" s="33" t="str">
        <f>IF(A158="","",IF(H158="","⚠️ Enter Agent Code",IF(IFERROR(VLOOKUP(G158,DB_Agents!$B:$F,4,0),"")=TEXT(H158,"0"),IF(AND(A158&lt;&gt;"",E158&lt;&gt;""),"✅ Saved","Pending"),"🔒 WRONG CODE")))</f>
        <v/>
      </c>
      <c r="J158" s="33" t="str">
        <f t="shared" ca="1" si="14"/>
        <v>—</v>
      </c>
      <c r="K158" s="46"/>
    </row>
    <row r="159" spans="1:11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IF(A159="","",IFERROR(VLOOKUP(A159,DB_Customers!$A:$M,13,0),""))</f>
        <v/>
      </c>
      <c r="D159" s="42" t="str">
        <f t="shared" ca="1" si="12"/>
        <v/>
      </c>
      <c r="E159" s="32"/>
      <c r="F159" s="43" t="str">
        <f t="shared" si="13"/>
        <v/>
      </c>
      <c r="G159" s="30" t="s">
        <v>54</v>
      </c>
      <c r="H159" s="41"/>
      <c r="I159" s="33" t="str">
        <f>IF(A159="","",IF(H159="","⚠️ Enter Agent Code",IF(IFERROR(VLOOKUP(G159,DB_Agents!$B:$F,4,0),"")=TEXT(H159,"0"),IF(AND(A159&lt;&gt;"",E159&lt;&gt;""),"✅ Saved","Pending"),"🔒 WRONG CODE")))</f>
        <v/>
      </c>
      <c r="J159" s="33" t="str">
        <f t="shared" ca="1" si="14"/>
        <v>—</v>
      </c>
      <c r="K159" s="22"/>
    </row>
    <row r="160" spans="1:11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IF(A160="","",IFERROR(VLOOKUP(A160,DB_Customers!$A:$M,13,0),""))</f>
        <v/>
      </c>
      <c r="D160" s="42" t="str">
        <f t="shared" ca="1" si="12"/>
        <v/>
      </c>
      <c r="E160" s="32"/>
      <c r="F160" s="43" t="str">
        <f t="shared" si="13"/>
        <v/>
      </c>
      <c r="G160" s="30" t="s">
        <v>54</v>
      </c>
      <c r="H160" s="41"/>
      <c r="I160" s="33" t="str">
        <f>IF(A160="","",IF(H160="","⚠️ Enter Agent Code",IF(IFERROR(VLOOKUP(G160,DB_Agents!$B:$F,4,0),"")=TEXT(H160,"0"),IF(AND(A160&lt;&gt;"",E160&lt;&gt;""),"✅ Saved","Pending"),"🔒 WRONG CODE")))</f>
        <v/>
      </c>
      <c r="J160" s="33" t="str">
        <f t="shared" ca="1" si="14"/>
        <v>—</v>
      </c>
      <c r="K160" s="46"/>
    </row>
    <row r="161" spans="1:11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IF(A161="","",IFERROR(VLOOKUP(A161,DB_Customers!$A:$M,13,0),""))</f>
        <v/>
      </c>
      <c r="D161" s="42" t="str">
        <f t="shared" ca="1" si="12"/>
        <v/>
      </c>
      <c r="E161" s="32"/>
      <c r="F161" s="43" t="str">
        <f t="shared" si="13"/>
        <v/>
      </c>
      <c r="G161" s="30" t="s">
        <v>54</v>
      </c>
      <c r="H161" s="41"/>
      <c r="I161" s="33" t="str">
        <f>IF(A161="","",IF(H161="","⚠️ Enter Agent Code",IF(IFERROR(VLOOKUP(G161,DB_Agents!$B:$F,4,0),"")=TEXT(H161,"0"),IF(AND(A161&lt;&gt;"",E161&lt;&gt;""),"✅ Saved","Pending"),"🔒 WRONG CODE")))</f>
        <v/>
      </c>
      <c r="J161" s="33" t="str">
        <f t="shared" ca="1" si="14"/>
        <v>—</v>
      </c>
      <c r="K161" s="22"/>
    </row>
    <row r="162" spans="1:11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IF(A162="","",IFERROR(VLOOKUP(A162,DB_Customers!$A:$M,13,0),""))</f>
        <v/>
      </c>
      <c r="D162" s="42" t="str">
        <f t="shared" ca="1" si="12"/>
        <v/>
      </c>
      <c r="E162" s="32"/>
      <c r="F162" s="43" t="str">
        <f t="shared" si="13"/>
        <v/>
      </c>
      <c r="G162" s="30" t="s">
        <v>54</v>
      </c>
      <c r="H162" s="41"/>
      <c r="I162" s="33" t="str">
        <f>IF(A162="","",IF(H162="","⚠️ Enter Agent Code",IF(IFERROR(VLOOKUP(G162,DB_Agents!$B:$F,4,0),"")=TEXT(H162,"0"),IF(AND(A162&lt;&gt;"",E162&lt;&gt;""),"✅ Saved","Pending"),"🔒 WRONG CODE")))</f>
        <v/>
      </c>
      <c r="J162" s="33" t="str">
        <f t="shared" ca="1" si="14"/>
        <v>—</v>
      </c>
      <c r="K162" s="46"/>
    </row>
    <row r="163" spans="1:11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IF(A163="","",IFERROR(VLOOKUP(A163,DB_Customers!$A:$M,13,0),""))</f>
        <v/>
      </c>
      <c r="D163" s="42" t="str">
        <f t="shared" ca="1" si="12"/>
        <v/>
      </c>
      <c r="E163" s="32"/>
      <c r="F163" s="43" t="str">
        <f t="shared" si="13"/>
        <v/>
      </c>
      <c r="G163" s="30" t="s">
        <v>54</v>
      </c>
      <c r="H163" s="41"/>
      <c r="I163" s="33" t="str">
        <f>IF(A163="","",IF(H163="","⚠️ Enter Agent Code",IF(IFERROR(VLOOKUP(G163,DB_Agents!$B:$F,4,0),"")=TEXT(H163,"0"),IF(AND(A163&lt;&gt;"",E163&lt;&gt;""),"✅ Saved","Pending"),"🔒 WRONG CODE")))</f>
        <v/>
      </c>
      <c r="J163" s="33" t="str">
        <f t="shared" ca="1" si="14"/>
        <v>—</v>
      </c>
      <c r="K163" s="22"/>
    </row>
    <row r="164" spans="1:11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IF(A164="","",IFERROR(VLOOKUP(A164,DB_Customers!$A:$M,13,0),""))</f>
        <v/>
      </c>
      <c r="D164" s="42" t="str">
        <f t="shared" ca="1" si="12"/>
        <v/>
      </c>
      <c r="E164" s="32"/>
      <c r="F164" s="43" t="str">
        <f t="shared" si="13"/>
        <v/>
      </c>
      <c r="G164" s="30" t="s">
        <v>54</v>
      </c>
      <c r="H164" s="41"/>
      <c r="I164" s="33" t="str">
        <f>IF(A164="","",IF(H164="","⚠️ Enter Agent Code",IF(IFERROR(VLOOKUP(G164,DB_Agents!$B:$F,4,0),"")=TEXT(H164,"0"),IF(AND(A164&lt;&gt;"",E164&lt;&gt;""),"✅ Saved","Pending"),"🔒 WRONG CODE")))</f>
        <v/>
      </c>
      <c r="J164" s="33" t="str">
        <f t="shared" ca="1" si="14"/>
        <v>—</v>
      </c>
      <c r="K164" s="46"/>
    </row>
    <row r="165" spans="1:11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IF(A165="","",IFERROR(VLOOKUP(A165,DB_Customers!$A:$M,13,0),""))</f>
        <v/>
      </c>
      <c r="D165" s="42" t="str">
        <f t="shared" ca="1" si="12"/>
        <v/>
      </c>
      <c r="E165" s="32"/>
      <c r="F165" s="43" t="str">
        <f t="shared" si="13"/>
        <v/>
      </c>
      <c r="G165" s="30" t="s">
        <v>54</v>
      </c>
      <c r="H165" s="41"/>
      <c r="I165" s="33" t="str">
        <f>IF(A165="","",IF(H165="","⚠️ Enter Agent Code",IF(IFERROR(VLOOKUP(G165,DB_Agents!$B:$F,4,0),"")=TEXT(H165,"0"),IF(AND(A165&lt;&gt;"",E165&lt;&gt;""),"✅ Saved","Pending"),"🔒 WRONG CODE")))</f>
        <v/>
      </c>
      <c r="J165" s="33" t="str">
        <f t="shared" ca="1" si="14"/>
        <v>—</v>
      </c>
      <c r="K165" s="22"/>
    </row>
    <row r="166" spans="1:11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IF(A166="","",IFERROR(VLOOKUP(A166,DB_Customers!$A:$M,13,0),""))</f>
        <v/>
      </c>
      <c r="D166" s="42" t="str">
        <f t="shared" ca="1" si="12"/>
        <v/>
      </c>
      <c r="E166" s="32"/>
      <c r="F166" s="43" t="str">
        <f t="shared" si="13"/>
        <v/>
      </c>
      <c r="G166" s="30" t="s">
        <v>54</v>
      </c>
      <c r="H166" s="41"/>
      <c r="I166" s="33" t="str">
        <f>IF(A166="","",IF(H166="","⚠️ Enter Agent Code",IF(IFERROR(VLOOKUP(G166,DB_Agents!$B:$F,4,0),"")=TEXT(H166,"0"),IF(AND(A166&lt;&gt;"",E166&lt;&gt;""),"✅ Saved","Pending"),"🔒 WRONG CODE")))</f>
        <v/>
      </c>
      <c r="J166" s="33" t="str">
        <f t="shared" ca="1" si="14"/>
        <v>—</v>
      </c>
      <c r="K166" s="46"/>
    </row>
    <row r="167" spans="1:11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IF(A167="","",IFERROR(VLOOKUP(A167,DB_Customers!$A:$M,13,0),""))</f>
        <v/>
      </c>
      <c r="D167" s="42" t="str">
        <f t="shared" ca="1" si="12"/>
        <v/>
      </c>
      <c r="E167" s="32"/>
      <c r="F167" s="43" t="str">
        <f t="shared" si="13"/>
        <v/>
      </c>
      <c r="G167" s="30" t="s">
        <v>54</v>
      </c>
      <c r="H167" s="41"/>
      <c r="I167" s="33" t="str">
        <f>IF(A167="","",IF(H167="","⚠️ Enter Agent Code",IF(IFERROR(VLOOKUP(G167,DB_Agents!$B:$F,4,0),"")=TEXT(H167,"0"),IF(AND(A167&lt;&gt;"",E167&lt;&gt;""),"✅ Saved","Pending"),"🔒 WRONG CODE")))</f>
        <v/>
      </c>
      <c r="J167" s="33" t="str">
        <f t="shared" ca="1" si="14"/>
        <v>—</v>
      </c>
      <c r="K167" s="22"/>
    </row>
    <row r="168" spans="1:11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IF(A168="","",IFERROR(VLOOKUP(A168,DB_Customers!$A:$M,13,0),""))</f>
        <v/>
      </c>
      <c r="D168" s="42" t="str">
        <f t="shared" ca="1" si="12"/>
        <v/>
      </c>
      <c r="E168" s="32"/>
      <c r="F168" s="43" t="str">
        <f t="shared" si="13"/>
        <v/>
      </c>
      <c r="G168" s="30" t="s">
        <v>54</v>
      </c>
      <c r="H168" s="41"/>
      <c r="I168" s="33" t="str">
        <f>IF(A168="","",IF(H168="","⚠️ Enter Agent Code",IF(IFERROR(VLOOKUP(G168,DB_Agents!$B:$F,4,0),"")=TEXT(H168,"0"),IF(AND(A168&lt;&gt;"",E168&lt;&gt;""),"✅ Saved","Pending"),"🔒 WRONG CODE")))</f>
        <v/>
      </c>
      <c r="J168" s="33" t="str">
        <f t="shared" ca="1" si="14"/>
        <v>—</v>
      </c>
      <c r="K168" s="46"/>
    </row>
    <row r="169" spans="1:11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IF(A169="","",IFERROR(VLOOKUP(A169,DB_Customers!$A:$M,13,0),""))</f>
        <v/>
      </c>
      <c r="D169" s="42" t="str">
        <f t="shared" ref="D169:D200" ca="1" si="15">IF(A169="","",TODAY())</f>
        <v/>
      </c>
      <c r="E169" s="32"/>
      <c r="F169" s="43" t="str">
        <f t="shared" ref="F169:F200" si="16">IFERROR(IF(OR(A169="",E169=""),"",C169+E169),"")</f>
        <v/>
      </c>
      <c r="G169" s="30" t="s">
        <v>54</v>
      </c>
      <c r="H169" s="41"/>
      <c r="I169" s="33" t="str">
        <f>IF(A169="","",IF(H169="","⚠️ Enter Agent Code",IF(IFERROR(VLOOKUP(G169,DB_Agents!$B:$F,4,0),"")=TEXT(H169,"0"),IF(AND(A169&lt;&gt;"",E169&lt;&gt;""),"✅ Saved","Pending"),"🔒 WRONG CODE")))</f>
        <v/>
      </c>
      <c r="J169" s="33" t="str">
        <f t="shared" ref="J169:J200" ca="1" si="17">IF(I169="✅ Saved",TEXT(TODAY(),"YYYY-MM-DD")&amp;" Auto","—")</f>
        <v>—</v>
      </c>
      <c r="K169" s="22"/>
    </row>
    <row r="170" spans="1:11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IF(A170="","",IFERROR(VLOOKUP(A170,DB_Customers!$A:$M,13,0),""))</f>
        <v/>
      </c>
      <c r="D170" s="42" t="str">
        <f t="shared" ca="1" si="15"/>
        <v/>
      </c>
      <c r="E170" s="32"/>
      <c r="F170" s="43" t="str">
        <f t="shared" si="16"/>
        <v/>
      </c>
      <c r="G170" s="30" t="s">
        <v>54</v>
      </c>
      <c r="H170" s="41"/>
      <c r="I170" s="33" t="str">
        <f>IF(A170="","",IF(H170="","⚠️ Enter Agent Code",IF(IFERROR(VLOOKUP(G170,DB_Agents!$B:$F,4,0),"")=TEXT(H170,"0"),IF(AND(A170&lt;&gt;"",E170&lt;&gt;""),"✅ Saved","Pending"),"🔒 WRONG CODE")))</f>
        <v/>
      </c>
      <c r="J170" s="33" t="str">
        <f t="shared" ca="1" si="17"/>
        <v>—</v>
      </c>
      <c r="K170" s="46"/>
    </row>
    <row r="171" spans="1:11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IF(A171="","",IFERROR(VLOOKUP(A171,DB_Customers!$A:$M,13,0),""))</f>
        <v/>
      </c>
      <c r="D171" s="42" t="str">
        <f t="shared" ca="1" si="15"/>
        <v/>
      </c>
      <c r="E171" s="32"/>
      <c r="F171" s="43" t="str">
        <f t="shared" si="16"/>
        <v/>
      </c>
      <c r="G171" s="30" t="s">
        <v>54</v>
      </c>
      <c r="H171" s="41"/>
      <c r="I171" s="33" t="str">
        <f>IF(A171="","",IF(H171="","⚠️ Enter Agent Code",IF(IFERROR(VLOOKUP(G171,DB_Agents!$B:$F,4,0),"")=TEXT(H171,"0"),IF(AND(A171&lt;&gt;"",E171&lt;&gt;""),"✅ Saved","Pending"),"🔒 WRONG CODE")))</f>
        <v/>
      </c>
      <c r="J171" s="33" t="str">
        <f t="shared" ca="1" si="17"/>
        <v>—</v>
      </c>
      <c r="K171" s="22"/>
    </row>
    <row r="172" spans="1:11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IF(A172="","",IFERROR(VLOOKUP(A172,DB_Customers!$A:$M,13,0),""))</f>
        <v/>
      </c>
      <c r="D172" s="42" t="str">
        <f t="shared" ca="1" si="15"/>
        <v/>
      </c>
      <c r="E172" s="32"/>
      <c r="F172" s="43" t="str">
        <f t="shared" si="16"/>
        <v/>
      </c>
      <c r="G172" s="30" t="s">
        <v>54</v>
      </c>
      <c r="H172" s="41"/>
      <c r="I172" s="33" t="str">
        <f>IF(A172="","",IF(H172="","⚠️ Enter Agent Code",IF(IFERROR(VLOOKUP(G172,DB_Agents!$B:$F,4,0),"")=TEXT(H172,"0"),IF(AND(A172&lt;&gt;"",E172&lt;&gt;""),"✅ Saved","Pending"),"🔒 WRONG CODE")))</f>
        <v/>
      </c>
      <c r="J172" s="33" t="str">
        <f t="shared" ca="1" si="17"/>
        <v>—</v>
      </c>
      <c r="K172" s="46"/>
    </row>
    <row r="173" spans="1:11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IF(A173="","",IFERROR(VLOOKUP(A173,DB_Customers!$A:$M,13,0),""))</f>
        <v/>
      </c>
      <c r="D173" s="42" t="str">
        <f t="shared" ca="1" si="15"/>
        <v/>
      </c>
      <c r="E173" s="32"/>
      <c r="F173" s="43" t="str">
        <f t="shared" si="16"/>
        <v/>
      </c>
      <c r="G173" s="30" t="s">
        <v>54</v>
      </c>
      <c r="H173" s="41"/>
      <c r="I173" s="33" t="str">
        <f>IF(A173="","",IF(H173="","⚠️ Enter Agent Code",IF(IFERROR(VLOOKUP(G173,DB_Agents!$B:$F,4,0),"")=TEXT(H173,"0"),IF(AND(A173&lt;&gt;"",E173&lt;&gt;""),"✅ Saved","Pending"),"🔒 WRONG CODE")))</f>
        <v/>
      </c>
      <c r="J173" s="33" t="str">
        <f t="shared" ca="1" si="17"/>
        <v>—</v>
      </c>
      <c r="K173" s="22"/>
    </row>
    <row r="174" spans="1:11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IF(A174="","",IFERROR(VLOOKUP(A174,DB_Customers!$A:$M,13,0),""))</f>
        <v/>
      </c>
      <c r="D174" s="42" t="str">
        <f t="shared" ca="1" si="15"/>
        <v/>
      </c>
      <c r="E174" s="32"/>
      <c r="F174" s="43" t="str">
        <f t="shared" si="16"/>
        <v/>
      </c>
      <c r="G174" s="30" t="s">
        <v>54</v>
      </c>
      <c r="H174" s="41"/>
      <c r="I174" s="33" t="str">
        <f>IF(A174="","",IF(H174="","⚠️ Enter Agent Code",IF(IFERROR(VLOOKUP(G174,DB_Agents!$B:$F,4,0),"")=TEXT(H174,"0"),IF(AND(A174&lt;&gt;"",E174&lt;&gt;""),"✅ Saved","Pending"),"🔒 WRONG CODE")))</f>
        <v/>
      </c>
      <c r="J174" s="33" t="str">
        <f t="shared" ca="1" si="17"/>
        <v>—</v>
      </c>
      <c r="K174" s="46"/>
    </row>
    <row r="175" spans="1:11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IF(A175="","",IFERROR(VLOOKUP(A175,DB_Customers!$A:$M,13,0),""))</f>
        <v/>
      </c>
      <c r="D175" s="42" t="str">
        <f t="shared" ca="1" si="15"/>
        <v/>
      </c>
      <c r="E175" s="32"/>
      <c r="F175" s="43" t="str">
        <f t="shared" si="16"/>
        <v/>
      </c>
      <c r="G175" s="30" t="s">
        <v>54</v>
      </c>
      <c r="H175" s="41"/>
      <c r="I175" s="33" t="str">
        <f>IF(A175="","",IF(H175="","⚠️ Enter Agent Code",IF(IFERROR(VLOOKUP(G175,DB_Agents!$B:$F,4,0),"")=TEXT(H175,"0"),IF(AND(A175&lt;&gt;"",E175&lt;&gt;""),"✅ Saved","Pending"),"🔒 WRONG CODE")))</f>
        <v/>
      </c>
      <c r="J175" s="33" t="str">
        <f t="shared" ca="1" si="17"/>
        <v>—</v>
      </c>
      <c r="K175" s="22"/>
    </row>
    <row r="176" spans="1:11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IF(A176="","",IFERROR(VLOOKUP(A176,DB_Customers!$A:$M,13,0),""))</f>
        <v/>
      </c>
      <c r="D176" s="42" t="str">
        <f t="shared" ca="1" si="15"/>
        <v/>
      </c>
      <c r="E176" s="32"/>
      <c r="F176" s="43" t="str">
        <f t="shared" si="16"/>
        <v/>
      </c>
      <c r="G176" s="30" t="s">
        <v>54</v>
      </c>
      <c r="H176" s="41"/>
      <c r="I176" s="33" t="str">
        <f>IF(A176="","",IF(H176="","⚠️ Enter Agent Code",IF(IFERROR(VLOOKUP(G176,DB_Agents!$B:$F,4,0),"")=TEXT(H176,"0"),IF(AND(A176&lt;&gt;"",E176&lt;&gt;""),"✅ Saved","Pending"),"🔒 WRONG CODE")))</f>
        <v/>
      </c>
      <c r="J176" s="33" t="str">
        <f t="shared" ca="1" si="17"/>
        <v>—</v>
      </c>
      <c r="K176" s="46"/>
    </row>
    <row r="177" spans="1:11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IF(A177="","",IFERROR(VLOOKUP(A177,DB_Customers!$A:$M,13,0),""))</f>
        <v/>
      </c>
      <c r="D177" s="42" t="str">
        <f t="shared" ca="1" si="15"/>
        <v/>
      </c>
      <c r="E177" s="32"/>
      <c r="F177" s="43" t="str">
        <f t="shared" si="16"/>
        <v/>
      </c>
      <c r="G177" s="30" t="s">
        <v>54</v>
      </c>
      <c r="H177" s="41"/>
      <c r="I177" s="33" t="str">
        <f>IF(A177="","",IF(H177="","⚠️ Enter Agent Code",IF(IFERROR(VLOOKUP(G177,DB_Agents!$B:$F,4,0),"")=TEXT(H177,"0"),IF(AND(A177&lt;&gt;"",E177&lt;&gt;""),"✅ Saved","Pending"),"🔒 WRONG CODE")))</f>
        <v/>
      </c>
      <c r="J177" s="33" t="str">
        <f t="shared" ca="1" si="17"/>
        <v>—</v>
      </c>
      <c r="K177" s="22"/>
    </row>
    <row r="178" spans="1:11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IF(A178="","",IFERROR(VLOOKUP(A178,DB_Customers!$A:$M,13,0),""))</f>
        <v/>
      </c>
      <c r="D178" s="42" t="str">
        <f t="shared" ca="1" si="15"/>
        <v/>
      </c>
      <c r="E178" s="32"/>
      <c r="F178" s="43" t="str">
        <f t="shared" si="16"/>
        <v/>
      </c>
      <c r="G178" s="30" t="s">
        <v>54</v>
      </c>
      <c r="H178" s="41"/>
      <c r="I178" s="33" t="str">
        <f>IF(A178="","",IF(H178="","⚠️ Enter Agent Code",IF(IFERROR(VLOOKUP(G178,DB_Agents!$B:$F,4,0),"")=TEXT(H178,"0"),IF(AND(A178&lt;&gt;"",E178&lt;&gt;""),"✅ Saved","Pending"),"🔒 WRONG CODE")))</f>
        <v/>
      </c>
      <c r="J178" s="33" t="str">
        <f t="shared" ca="1" si="17"/>
        <v>—</v>
      </c>
      <c r="K178" s="46"/>
    </row>
    <row r="179" spans="1:11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IF(A179="","",IFERROR(VLOOKUP(A179,DB_Customers!$A:$M,13,0),""))</f>
        <v/>
      </c>
      <c r="D179" s="42" t="str">
        <f t="shared" ca="1" si="15"/>
        <v/>
      </c>
      <c r="E179" s="32"/>
      <c r="F179" s="43" t="str">
        <f t="shared" si="16"/>
        <v/>
      </c>
      <c r="G179" s="30" t="s">
        <v>54</v>
      </c>
      <c r="H179" s="41"/>
      <c r="I179" s="33" t="str">
        <f>IF(A179="","",IF(H179="","⚠️ Enter Agent Code",IF(IFERROR(VLOOKUP(G179,DB_Agents!$B:$F,4,0),"")=TEXT(H179,"0"),IF(AND(A179&lt;&gt;"",E179&lt;&gt;""),"✅ Saved","Pending"),"🔒 WRONG CODE")))</f>
        <v/>
      </c>
      <c r="J179" s="33" t="str">
        <f t="shared" ca="1" si="17"/>
        <v>—</v>
      </c>
      <c r="K179" s="22"/>
    </row>
    <row r="180" spans="1:11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IF(A180="","",IFERROR(VLOOKUP(A180,DB_Customers!$A:$M,13,0),""))</f>
        <v/>
      </c>
      <c r="D180" s="42" t="str">
        <f t="shared" ca="1" si="15"/>
        <v/>
      </c>
      <c r="E180" s="32"/>
      <c r="F180" s="43" t="str">
        <f t="shared" si="16"/>
        <v/>
      </c>
      <c r="G180" s="30" t="s">
        <v>54</v>
      </c>
      <c r="H180" s="41"/>
      <c r="I180" s="33" t="str">
        <f>IF(A180="","",IF(H180="","⚠️ Enter Agent Code",IF(IFERROR(VLOOKUP(G180,DB_Agents!$B:$F,4,0),"")=TEXT(H180,"0"),IF(AND(A180&lt;&gt;"",E180&lt;&gt;""),"✅ Saved","Pending"),"🔒 WRONG CODE")))</f>
        <v/>
      </c>
      <c r="J180" s="33" t="str">
        <f t="shared" ca="1" si="17"/>
        <v>—</v>
      </c>
      <c r="K180" s="46"/>
    </row>
    <row r="181" spans="1:11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IF(A181="","",IFERROR(VLOOKUP(A181,DB_Customers!$A:$M,13,0),""))</f>
        <v/>
      </c>
      <c r="D181" s="42" t="str">
        <f t="shared" ca="1" si="15"/>
        <v/>
      </c>
      <c r="E181" s="32"/>
      <c r="F181" s="43" t="str">
        <f t="shared" si="16"/>
        <v/>
      </c>
      <c r="G181" s="30" t="s">
        <v>54</v>
      </c>
      <c r="H181" s="41"/>
      <c r="I181" s="33" t="str">
        <f>IF(A181="","",IF(H181="","⚠️ Enter Agent Code",IF(IFERROR(VLOOKUP(G181,DB_Agents!$B:$F,4,0),"")=TEXT(H181,"0"),IF(AND(A181&lt;&gt;"",E181&lt;&gt;""),"✅ Saved","Pending"),"🔒 WRONG CODE")))</f>
        <v/>
      </c>
      <c r="J181" s="33" t="str">
        <f t="shared" ca="1" si="17"/>
        <v>—</v>
      </c>
      <c r="K181" s="22"/>
    </row>
    <row r="182" spans="1:11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IF(A182="","",IFERROR(VLOOKUP(A182,DB_Customers!$A:$M,13,0),""))</f>
        <v/>
      </c>
      <c r="D182" s="42" t="str">
        <f t="shared" ca="1" si="15"/>
        <v/>
      </c>
      <c r="E182" s="32"/>
      <c r="F182" s="43" t="str">
        <f t="shared" si="16"/>
        <v/>
      </c>
      <c r="G182" s="30" t="s">
        <v>54</v>
      </c>
      <c r="H182" s="41"/>
      <c r="I182" s="33" t="str">
        <f>IF(A182="","",IF(H182="","⚠️ Enter Agent Code",IF(IFERROR(VLOOKUP(G182,DB_Agents!$B:$F,4,0),"")=TEXT(H182,"0"),IF(AND(A182&lt;&gt;"",E182&lt;&gt;""),"✅ Saved","Pending"),"🔒 WRONG CODE")))</f>
        <v/>
      </c>
      <c r="J182" s="33" t="str">
        <f t="shared" ca="1" si="17"/>
        <v>—</v>
      </c>
      <c r="K182" s="46"/>
    </row>
    <row r="183" spans="1:11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IF(A183="","",IFERROR(VLOOKUP(A183,DB_Customers!$A:$M,13,0),""))</f>
        <v/>
      </c>
      <c r="D183" s="42" t="str">
        <f t="shared" ca="1" si="15"/>
        <v/>
      </c>
      <c r="E183" s="32"/>
      <c r="F183" s="43" t="str">
        <f t="shared" si="16"/>
        <v/>
      </c>
      <c r="G183" s="30" t="s">
        <v>54</v>
      </c>
      <c r="H183" s="41"/>
      <c r="I183" s="33" t="str">
        <f>IF(A183="","",IF(H183="","⚠️ Enter Agent Code",IF(IFERROR(VLOOKUP(G183,DB_Agents!$B:$F,4,0),"")=TEXT(H183,"0"),IF(AND(A183&lt;&gt;"",E183&lt;&gt;""),"✅ Saved","Pending"),"🔒 WRONG CODE")))</f>
        <v/>
      </c>
      <c r="J183" s="33" t="str">
        <f t="shared" ca="1" si="17"/>
        <v>—</v>
      </c>
      <c r="K183" s="22"/>
    </row>
    <row r="184" spans="1:11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IF(A184="","",IFERROR(VLOOKUP(A184,DB_Customers!$A:$M,13,0),""))</f>
        <v/>
      </c>
      <c r="D184" s="42" t="str">
        <f t="shared" ca="1" si="15"/>
        <v/>
      </c>
      <c r="E184" s="32"/>
      <c r="F184" s="43" t="str">
        <f t="shared" si="16"/>
        <v/>
      </c>
      <c r="G184" s="30" t="s">
        <v>54</v>
      </c>
      <c r="H184" s="41"/>
      <c r="I184" s="33" t="str">
        <f>IF(A184="","",IF(H184="","⚠️ Enter Agent Code",IF(IFERROR(VLOOKUP(G184,DB_Agents!$B:$F,4,0),"")=TEXT(H184,"0"),IF(AND(A184&lt;&gt;"",E184&lt;&gt;""),"✅ Saved","Pending"),"🔒 WRONG CODE")))</f>
        <v/>
      </c>
      <c r="J184" s="33" t="str">
        <f t="shared" ca="1" si="17"/>
        <v>—</v>
      </c>
      <c r="K184" s="46"/>
    </row>
    <row r="185" spans="1:11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IF(A185="","",IFERROR(VLOOKUP(A185,DB_Customers!$A:$M,13,0),""))</f>
        <v/>
      </c>
      <c r="D185" s="42" t="str">
        <f t="shared" ca="1" si="15"/>
        <v/>
      </c>
      <c r="E185" s="32"/>
      <c r="F185" s="43" t="str">
        <f t="shared" si="16"/>
        <v/>
      </c>
      <c r="G185" s="30" t="s">
        <v>54</v>
      </c>
      <c r="H185" s="41"/>
      <c r="I185" s="33" t="str">
        <f>IF(A185="","",IF(H185="","⚠️ Enter Agent Code",IF(IFERROR(VLOOKUP(G185,DB_Agents!$B:$F,4,0),"")=TEXT(H185,"0"),IF(AND(A185&lt;&gt;"",E185&lt;&gt;""),"✅ Saved","Pending"),"🔒 WRONG CODE")))</f>
        <v/>
      </c>
      <c r="J185" s="33" t="str">
        <f t="shared" ca="1" si="17"/>
        <v>—</v>
      </c>
      <c r="K185" s="22"/>
    </row>
    <row r="186" spans="1:11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IF(A186="","",IFERROR(VLOOKUP(A186,DB_Customers!$A:$M,13,0),""))</f>
        <v/>
      </c>
      <c r="D186" s="42" t="str">
        <f t="shared" ca="1" si="15"/>
        <v/>
      </c>
      <c r="E186" s="32"/>
      <c r="F186" s="43" t="str">
        <f t="shared" si="16"/>
        <v/>
      </c>
      <c r="G186" s="30" t="s">
        <v>54</v>
      </c>
      <c r="H186" s="41"/>
      <c r="I186" s="33" t="str">
        <f>IF(A186="","",IF(H186="","⚠️ Enter Agent Code",IF(IFERROR(VLOOKUP(G186,DB_Agents!$B:$F,4,0),"")=TEXT(H186,"0"),IF(AND(A186&lt;&gt;"",E186&lt;&gt;""),"✅ Saved","Pending"),"🔒 WRONG CODE")))</f>
        <v/>
      </c>
      <c r="J186" s="33" t="str">
        <f t="shared" ca="1" si="17"/>
        <v>—</v>
      </c>
      <c r="K186" s="46"/>
    </row>
    <row r="187" spans="1:11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IF(A187="","",IFERROR(VLOOKUP(A187,DB_Customers!$A:$M,13,0),""))</f>
        <v/>
      </c>
      <c r="D187" s="42" t="str">
        <f t="shared" ca="1" si="15"/>
        <v/>
      </c>
      <c r="E187" s="32"/>
      <c r="F187" s="43" t="str">
        <f t="shared" si="16"/>
        <v/>
      </c>
      <c r="G187" s="30" t="s">
        <v>54</v>
      </c>
      <c r="H187" s="41"/>
      <c r="I187" s="33" t="str">
        <f>IF(A187="","",IF(H187="","⚠️ Enter Agent Code",IF(IFERROR(VLOOKUP(G187,DB_Agents!$B:$F,4,0),"")=TEXT(H187,"0"),IF(AND(A187&lt;&gt;"",E187&lt;&gt;""),"✅ Saved","Pending"),"🔒 WRONG CODE")))</f>
        <v/>
      </c>
      <c r="J187" s="33" t="str">
        <f t="shared" ca="1" si="17"/>
        <v>—</v>
      </c>
      <c r="K187" s="22"/>
    </row>
    <row r="188" spans="1:11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IF(A188="","",IFERROR(VLOOKUP(A188,DB_Customers!$A:$M,13,0),""))</f>
        <v/>
      </c>
      <c r="D188" s="42" t="str">
        <f t="shared" ca="1" si="15"/>
        <v/>
      </c>
      <c r="E188" s="32"/>
      <c r="F188" s="43" t="str">
        <f t="shared" si="16"/>
        <v/>
      </c>
      <c r="G188" s="30" t="s">
        <v>54</v>
      </c>
      <c r="H188" s="41"/>
      <c r="I188" s="33" t="str">
        <f>IF(A188="","",IF(H188="","⚠️ Enter Agent Code",IF(IFERROR(VLOOKUP(G188,DB_Agents!$B:$F,4,0),"")=TEXT(H188,"0"),IF(AND(A188&lt;&gt;"",E188&lt;&gt;""),"✅ Saved","Pending"),"🔒 WRONG CODE")))</f>
        <v/>
      </c>
      <c r="J188" s="33" t="str">
        <f t="shared" ca="1" si="17"/>
        <v>—</v>
      </c>
      <c r="K188" s="46"/>
    </row>
    <row r="189" spans="1:11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IF(A189="","",IFERROR(VLOOKUP(A189,DB_Customers!$A:$M,13,0),""))</f>
        <v/>
      </c>
      <c r="D189" s="42" t="str">
        <f t="shared" ca="1" si="15"/>
        <v/>
      </c>
      <c r="E189" s="32"/>
      <c r="F189" s="43" t="str">
        <f t="shared" si="16"/>
        <v/>
      </c>
      <c r="G189" s="30" t="s">
        <v>54</v>
      </c>
      <c r="H189" s="41"/>
      <c r="I189" s="33" t="str">
        <f>IF(A189="","",IF(H189="","⚠️ Enter Agent Code",IF(IFERROR(VLOOKUP(G189,DB_Agents!$B:$F,4,0),"")=TEXT(H189,"0"),IF(AND(A189&lt;&gt;"",E189&lt;&gt;""),"✅ Saved","Pending"),"🔒 WRONG CODE")))</f>
        <v/>
      </c>
      <c r="J189" s="33" t="str">
        <f t="shared" ca="1" si="17"/>
        <v>—</v>
      </c>
      <c r="K189" s="22"/>
    </row>
    <row r="190" spans="1:11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IF(A190="","",IFERROR(VLOOKUP(A190,DB_Customers!$A:$M,13,0),""))</f>
        <v/>
      </c>
      <c r="D190" s="42" t="str">
        <f t="shared" ca="1" si="15"/>
        <v/>
      </c>
      <c r="E190" s="32"/>
      <c r="F190" s="43" t="str">
        <f t="shared" si="16"/>
        <v/>
      </c>
      <c r="G190" s="30" t="s">
        <v>54</v>
      </c>
      <c r="H190" s="41"/>
      <c r="I190" s="33" t="str">
        <f>IF(A190="","",IF(H190="","⚠️ Enter Agent Code",IF(IFERROR(VLOOKUP(G190,DB_Agents!$B:$F,4,0),"")=TEXT(H190,"0"),IF(AND(A190&lt;&gt;"",E190&lt;&gt;""),"✅ Saved","Pending"),"🔒 WRONG CODE")))</f>
        <v/>
      </c>
      <c r="J190" s="33" t="str">
        <f t="shared" ca="1" si="17"/>
        <v>—</v>
      </c>
      <c r="K190" s="46"/>
    </row>
    <row r="191" spans="1:11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IF(A191="","",IFERROR(VLOOKUP(A191,DB_Customers!$A:$M,13,0),""))</f>
        <v/>
      </c>
      <c r="D191" s="42" t="str">
        <f t="shared" ca="1" si="15"/>
        <v/>
      </c>
      <c r="E191" s="32"/>
      <c r="F191" s="43" t="str">
        <f t="shared" si="16"/>
        <v/>
      </c>
      <c r="G191" s="30" t="s">
        <v>54</v>
      </c>
      <c r="H191" s="41"/>
      <c r="I191" s="33" t="str">
        <f>IF(A191="","",IF(H191="","⚠️ Enter Agent Code",IF(IFERROR(VLOOKUP(G191,DB_Agents!$B:$F,4,0),"")=TEXT(H191,"0"),IF(AND(A191&lt;&gt;"",E191&lt;&gt;""),"✅ Saved","Pending"),"🔒 WRONG CODE")))</f>
        <v/>
      </c>
      <c r="J191" s="33" t="str">
        <f t="shared" ca="1" si="17"/>
        <v>—</v>
      </c>
      <c r="K191" s="22"/>
    </row>
    <row r="192" spans="1:11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IF(A192="","",IFERROR(VLOOKUP(A192,DB_Customers!$A:$M,13,0),""))</f>
        <v/>
      </c>
      <c r="D192" s="42" t="str">
        <f t="shared" ca="1" si="15"/>
        <v/>
      </c>
      <c r="E192" s="32"/>
      <c r="F192" s="43" t="str">
        <f t="shared" si="16"/>
        <v/>
      </c>
      <c r="G192" s="30" t="s">
        <v>54</v>
      </c>
      <c r="H192" s="41"/>
      <c r="I192" s="33" t="str">
        <f>IF(A192="","",IF(H192="","⚠️ Enter Agent Code",IF(IFERROR(VLOOKUP(G192,DB_Agents!$B:$F,4,0),"")=TEXT(H192,"0"),IF(AND(A192&lt;&gt;"",E192&lt;&gt;""),"✅ Saved","Pending"),"🔒 WRONG CODE")))</f>
        <v/>
      </c>
      <c r="J192" s="33" t="str">
        <f t="shared" ca="1" si="17"/>
        <v>—</v>
      </c>
      <c r="K192" s="46"/>
    </row>
    <row r="193" spans="1:11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IF(A193="","",IFERROR(VLOOKUP(A193,DB_Customers!$A:$M,13,0),""))</f>
        <v/>
      </c>
      <c r="D193" s="42" t="str">
        <f t="shared" ca="1" si="15"/>
        <v/>
      </c>
      <c r="E193" s="32"/>
      <c r="F193" s="43" t="str">
        <f t="shared" si="16"/>
        <v/>
      </c>
      <c r="G193" s="30" t="s">
        <v>54</v>
      </c>
      <c r="H193" s="41"/>
      <c r="I193" s="33" t="str">
        <f>IF(A193="","",IF(H193="","⚠️ Enter Agent Code",IF(IFERROR(VLOOKUP(G193,DB_Agents!$B:$F,4,0),"")=TEXT(H193,"0"),IF(AND(A193&lt;&gt;"",E193&lt;&gt;""),"✅ Saved","Pending"),"🔒 WRONG CODE")))</f>
        <v/>
      </c>
      <c r="J193" s="33" t="str">
        <f t="shared" ca="1" si="17"/>
        <v>—</v>
      </c>
      <c r="K193" s="22"/>
    </row>
    <row r="194" spans="1:11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IF(A194="","",IFERROR(VLOOKUP(A194,DB_Customers!$A:$M,13,0),""))</f>
        <v/>
      </c>
      <c r="D194" s="42" t="str">
        <f t="shared" ca="1" si="15"/>
        <v/>
      </c>
      <c r="E194" s="32"/>
      <c r="F194" s="43" t="str">
        <f t="shared" si="16"/>
        <v/>
      </c>
      <c r="G194" s="30" t="s">
        <v>54</v>
      </c>
      <c r="H194" s="41"/>
      <c r="I194" s="33" t="str">
        <f>IF(A194="","",IF(H194="","⚠️ Enter Agent Code",IF(IFERROR(VLOOKUP(G194,DB_Agents!$B:$F,4,0),"")=TEXT(H194,"0"),IF(AND(A194&lt;&gt;"",E194&lt;&gt;""),"✅ Saved","Pending"),"🔒 WRONG CODE")))</f>
        <v/>
      </c>
      <c r="J194" s="33" t="str">
        <f t="shared" ca="1" si="17"/>
        <v>—</v>
      </c>
      <c r="K194" s="46"/>
    </row>
    <row r="195" spans="1:11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IF(A195="","",IFERROR(VLOOKUP(A195,DB_Customers!$A:$M,13,0),""))</f>
        <v/>
      </c>
      <c r="D195" s="42" t="str">
        <f t="shared" ca="1" si="15"/>
        <v/>
      </c>
      <c r="E195" s="32"/>
      <c r="F195" s="43" t="str">
        <f t="shared" si="16"/>
        <v/>
      </c>
      <c r="G195" s="30" t="s">
        <v>54</v>
      </c>
      <c r="H195" s="41"/>
      <c r="I195" s="33" t="str">
        <f>IF(A195="","",IF(H195="","⚠️ Enter Agent Code",IF(IFERROR(VLOOKUP(G195,DB_Agents!$B:$F,4,0),"")=TEXT(H195,"0"),IF(AND(A195&lt;&gt;"",E195&lt;&gt;""),"✅ Saved","Pending"),"🔒 WRONG CODE")))</f>
        <v/>
      </c>
      <c r="J195" s="33" t="str">
        <f t="shared" ca="1" si="17"/>
        <v>—</v>
      </c>
      <c r="K195" s="22"/>
    </row>
    <row r="196" spans="1:11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IF(A196="","",IFERROR(VLOOKUP(A196,DB_Customers!$A:$M,13,0),""))</f>
        <v/>
      </c>
      <c r="D196" s="42" t="str">
        <f t="shared" ca="1" si="15"/>
        <v/>
      </c>
      <c r="E196" s="32"/>
      <c r="F196" s="43" t="str">
        <f t="shared" si="16"/>
        <v/>
      </c>
      <c r="G196" s="30" t="s">
        <v>54</v>
      </c>
      <c r="H196" s="41"/>
      <c r="I196" s="33" t="str">
        <f>IF(A196="","",IF(H196="","⚠️ Enter Agent Code",IF(IFERROR(VLOOKUP(G196,DB_Agents!$B:$F,4,0),"")=TEXT(H196,"0"),IF(AND(A196&lt;&gt;"",E196&lt;&gt;""),"✅ Saved","Pending"),"🔒 WRONG CODE")))</f>
        <v/>
      </c>
      <c r="J196" s="33" t="str">
        <f t="shared" ca="1" si="17"/>
        <v>—</v>
      </c>
      <c r="K196" s="46"/>
    </row>
    <row r="197" spans="1:11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IF(A197="","",IFERROR(VLOOKUP(A197,DB_Customers!$A:$M,13,0),""))</f>
        <v/>
      </c>
      <c r="D197" s="42" t="str">
        <f t="shared" ca="1" si="15"/>
        <v/>
      </c>
      <c r="E197" s="32"/>
      <c r="F197" s="43" t="str">
        <f t="shared" si="16"/>
        <v/>
      </c>
      <c r="G197" s="30" t="s">
        <v>54</v>
      </c>
      <c r="H197" s="41"/>
      <c r="I197" s="33" t="str">
        <f>IF(A197="","",IF(H197="","⚠️ Enter Agent Code",IF(IFERROR(VLOOKUP(G197,DB_Agents!$B:$F,4,0),"")=TEXT(H197,"0"),IF(AND(A197&lt;&gt;"",E197&lt;&gt;""),"✅ Saved","Pending"),"🔒 WRONG CODE")))</f>
        <v/>
      </c>
      <c r="J197" s="33" t="str">
        <f t="shared" ca="1" si="17"/>
        <v>—</v>
      </c>
      <c r="K197" s="22"/>
    </row>
    <row r="198" spans="1:11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IF(A198="","",IFERROR(VLOOKUP(A198,DB_Customers!$A:$M,13,0),""))</f>
        <v/>
      </c>
      <c r="D198" s="42" t="str">
        <f t="shared" ca="1" si="15"/>
        <v/>
      </c>
      <c r="E198" s="32"/>
      <c r="F198" s="43" t="str">
        <f t="shared" si="16"/>
        <v/>
      </c>
      <c r="G198" s="30" t="s">
        <v>54</v>
      </c>
      <c r="H198" s="41"/>
      <c r="I198" s="33" t="str">
        <f>IF(A198="","",IF(H198="","⚠️ Enter Agent Code",IF(IFERROR(VLOOKUP(G198,DB_Agents!$B:$F,4,0),"")=TEXT(H198,"0"),IF(AND(A198&lt;&gt;"",E198&lt;&gt;""),"✅ Saved","Pending"),"🔒 WRONG CODE")))</f>
        <v/>
      </c>
      <c r="J198" s="33" t="str">
        <f t="shared" ca="1" si="17"/>
        <v>—</v>
      </c>
      <c r="K198" s="46"/>
    </row>
    <row r="199" spans="1:11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IF(A199="","",IFERROR(VLOOKUP(A199,DB_Customers!$A:$M,13,0),""))</f>
        <v/>
      </c>
      <c r="D199" s="42" t="str">
        <f t="shared" ca="1" si="15"/>
        <v/>
      </c>
      <c r="E199" s="32"/>
      <c r="F199" s="43" t="str">
        <f t="shared" si="16"/>
        <v/>
      </c>
      <c r="G199" s="30" t="s">
        <v>54</v>
      </c>
      <c r="H199" s="41"/>
      <c r="I199" s="33" t="str">
        <f>IF(A199="","",IF(H199="","⚠️ Enter Agent Code",IF(IFERROR(VLOOKUP(G199,DB_Agents!$B:$F,4,0),"")=TEXT(H199,"0"),IF(AND(A199&lt;&gt;"",E199&lt;&gt;""),"✅ Saved","Pending"),"🔒 WRONG CODE")))</f>
        <v/>
      </c>
      <c r="J199" s="33" t="str">
        <f t="shared" ca="1" si="17"/>
        <v>—</v>
      </c>
      <c r="K199" s="22"/>
    </row>
    <row r="200" spans="1:11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IF(A200="","",IFERROR(VLOOKUP(A200,DB_Customers!$A:$M,13,0),""))</f>
        <v/>
      </c>
      <c r="D200" s="42" t="str">
        <f t="shared" ca="1" si="15"/>
        <v/>
      </c>
      <c r="E200" s="32"/>
      <c r="F200" s="43" t="str">
        <f t="shared" si="16"/>
        <v/>
      </c>
      <c r="G200" s="30" t="s">
        <v>54</v>
      </c>
      <c r="H200" s="41"/>
      <c r="I200" s="33" t="str">
        <f>IF(A200="","",IF(H200="","⚠️ Enter Agent Code",IF(IFERROR(VLOOKUP(G200,DB_Agents!$B:$F,4,0),"")=TEXT(H200,"0"),IF(AND(A200&lt;&gt;"",E200&lt;&gt;""),"✅ Saved","Pending"),"🔒 WRONG CODE")))</f>
        <v/>
      </c>
      <c r="J200" s="33" t="str">
        <f t="shared" ca="1" si="17"/>
        <v>—</v>
      </c>
      <c r="K200" s="46"/>
    </row>
    <row r="201" spans="1:11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IF(A201="","",IFERROR(VLOOKUP(A201,DB_Customers!$A:$M,13,0),""))</f>
        <v/>
      </c>
      <c r="D201" s="42" t="str">
        <f t="shared" ref="D201:D208" ca="1" si="18">IF(A201="","",TODAY())</f>
        <v/>
      </c>
      <c r="E201" s="32"/>
      <c r="F201" s="43" t="str">
        <f t="shared" ref="F201:F232" si="19">IFERROR(IF(OR(A201="",E201=""),"",C201+E201),"")</f>
        <v/>
      </c>
      <c r="G201" s="30" t="s">
        <v>54</v>
      </c>
      <c r="H201" s="41"/>
      <c r="I201" s="33" t="str">
        <f>IF(A201="","",IF(H201="","⚠️ Enter Agent Code",IF(IFERROR(VLOOKUP(G201,DB_Agents!$B:$F,4,0),"")=TEXT(H201,"0"),IF(AND(A201&lt;&gt;"",E201&lt;&gt;""),"✅ Saved","Pending"),"🔒 WRONG CODE")))</f>
        <v/>
      </c>
      <c r="J201" s="33" t="str">
        <f t="shared" ref="J201:J232" ca="1" si="20">IF(I201="✅ Saved",TEXT(TODAY(),"YYYY-MM-DD")&amp;" Auto","—")</f>
        <v>—</v>
      </c>
      <c r="K201" s="22"/>
    </row>
    <row r="202" spans="1:11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IF(A202="","",IFERROR(VLOOKUP(A202,DB_Customers!$A:$M,13,0),""))</f>
        <v/>
      </c>
      <c r="D202" s="42" t="str">
        <f t="shared" ca="1" si="18"/>
        <v/>
      </c>
      <c r="E202" s="32"/>
      <c r="F202" s="43" t="str">
        <f t="shared" si="19"/>
        <v/>
      </c>
      <c r="G202" s="30" t="s">
        <v>54</v>
      </c>
      <c r="H202" s="41"/>
      <c r="I202" s="33" t="str">
        <f>IF(A202="","",IF(H202="","⚠️ Enter Agent Code",IF(IFERROR(VLOOKUP(G202,DB_Agents!$B:$F,4,0),"")=TEXT(H202,"0"),IF(AND(A202&lt;&gt;"",E202&lt;&gt;""),"✅ Saved","Pending"),"🔒 WRONG CODE")))</f>
        <v/>
      </c>
      <c r="J202" s="33" t="str">
        <f t="shared" ca="1" si="20"/>
        <v>—</v>
      </c>
      <c r="K202" s="46"/>
    </row>
    <row r="203" spans="1:11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IF(A203="","",IFERROR(VLOOKUP(A203,DB_Customers!$A:$M,13,0),""))</f>
        <v/>
      </c>
      <c r="D203" s="42" t="str">
        <f t="shared" ca="1" si="18"/>
        <v/>
      </c>
      <c r="E203" s="32"/>
      <c r="F203" s="43" t="str">
        <f t="shared" si="19"/>
        <v/>
      </c>
      <c r="G203" s="30" t="s">
        <v>54</v>
      </c>
      <c r="H203" s="41"/>
      <c r="I203" s="33" t="str">
        <f>IF(A203="","",IF(H203="","⚠️ Enter Agent Code",IF(IFERROR(VLOOKUP(G203,DB_Agents!$B:$F,4,0),"")=TEXT(H203,"0"),IF(AND(A203&lt;&gt;"",E203&lt;&gt;""),"✅ Saved","Pending"),"🔒 WRONG CODE")))</f>
        <v/>
      </c>
      <c r="J203" s="33" t="str">
        <f t="shared" ca="1" si="20"/>
        <v>—</v>
      </c>
      <c r="K203" s="22"/>
    </row>
    <row r="204" spans="1:11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IF(A204="","",IFERROR(VLOOKUP(A204,DB_Customers!$A:$M,13,0),""))</f>
        <v/>
      </c>
      <c r="D204" s="42" t="str">
        <f t="shared" ca="1" si="18"/>
        <v/>
      </c>
      <c r="E204" s="32"/>
      <c r="F204" s="43" t="str">
        <f t="shared" si="19"/>
        <v/>
      </c>
      <c r="G204" s="30" t="s">
        <v>54</v>
      </c>
      <c r="H204" s="41"/>
      <c r="I204" s="33" t="str">
        <f>IF(A204="","",IF(H204="","⚠️ Enter Agent Code",IF(IFERROR(VLOOKUP(G204,DB_Agents!$B:$F,4,0),"")=TEXT(H204,"0"),IF(AND(A204&lt;&gt;"",E204&lt;&gt;""),"✅ Saved","Pending"),"🔒 WRONG CODE")))</f>
        <v/>
      </c>
      <c r="J204" s="33" t="str">
        <f t="shared" ca="1" si="20"/>
        <v>—</v>
      </c>
      <c r="K204" s="46"/>
    </row>
    <row r="205" spans="1:11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IF(A205="","",IFERROR(VLOOKUP(A205,DB_Customers!$A:$M,13,0),""))</f>
        <v/>
      </c>
      <c r="D205" s="42" t="str">
        <f t="shared" ca="1" si="18"/>
        <v/>
      </c>
      <c r="E205" s="32"/>
      <c r="F205" s="43" t="str">
        <f t="shared" si="19"/>
        <v/>
      </c>
      <c r="G205" s="30" t="s">
        <v>54</v>
      </c>
      <c r="H205" s="41"/>
      <c r="I205" s="33" t="str">
        <f>IF(A205="","",IF(H205="","⚠️ Enter Agent Code",IF(IFERROR(VLOOKUP(G205,DB_Agents!$B:$F,4,0),"")=TEXT(H205,"0"),IF(AND(A205&lt;&gt;"",E205&lt;&gt;""),"✅ Saved","Pending"),"🔒 WRONG CODE")))</f>
        <v/>
      </c>
      <c r="J205" s="33" t="str">
        <f t="shared" ca="1" si="20"/>
        <v>—</v>
      </c>
      <c r="K205" s="22"/>
    </row>
    <row r="206" spans="1:11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IF(A206="","",IFERROR(VLOOKUP(A206,DB_Customers!$A:$M,13,0),""))</f>
        <v/>
      </c>
      <c r="D206" s="42" t="str">
        <f t="shared" ca="1" si="18"/>
        <v/>
      </c>
      <c r="E206" s="32"/>
      <c r="F206" s="43" t="str">
        <f t="shared" si="19"/>
        <v/>
      </c>
      <c r="G206" s="30" t="s">
        <v>54</v>
      </c>
      <c r="H206" s="41"/>
      <c r="I206" s="33" t="str">
        <f>IF(A206="","",IF(H206="","⚠️ Enter Agent Code",IF(IFERROR(VLOOKUP(G206,DB_Agents!$B:$F,4,0),"")=TEXT(H206,"0"),IF(AND(A206&lt;&gt;"",E206&lt;&gt;""),"✅ Saved","Pending"),"🔒 WRONG CODE")))</f>
        <v/>
      </c>
      <c r="J206" s="33" t="str">
        <f t="shared" ca="1" si="20"/>
        <v>—</v>
      </c>
      <c r="K206" s="46"/>
    </row>
    <row r="207" spans="1:11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IF(A207="","",IFERROR(VLOOKUP(A207,DB_Customers!$A:$M,13,0),""))</f>
        <v/>
      </c>
      <c r="D207" s="42" t="str">
        <f t="shared" ca="1" si="18"/>
        <v/>
      </c>
      <c r="E207" s="32"/>
      <c r="F207" s="43" t="str">
        <f t="shared" si="19"/>
        <v/>
      </c>
      <c r="G207" s="30" t="s">
        <v>54</v>
      </c>
      <c r="H207" s="41"/>
      <c r="I207" s="33" t="str">
        <f>IF(A207="","",IF(H207="","⚠️ Enter Agent Code",IF(IFERROR(VLOOKUP(G207,DB_Agents!$B:$F,4,0),"")=TEXT(H207,"0"),IF(AND(A207&lt;&gt;"",E207&lt;&gt;""),"✅ Saved","Pending"),"🔒 WRONG CODE")))</f>
        <v/>
      </c>
      <c r="J207" s="33" t="str">
        <f t="shared" ca="1" si="20"/>
        <v>—</v>
      </c>
      <c r="K207" s="22"/>
    </row>
    <row r="208" spans="1:11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IF(A208="","",IFERROR(VLOOKUP(A208,DB_Customers!$A:$M,13,0),""))</f>
        <v/>
      </c>
      <c r="D208" s="42" t="str">
        <f t="shared" ca="1" si="18"/>
        <v/>
      </c>
      <c r="E208" s="32"/>
      <c r="F208" s="43" t="str">
        <f t="shared" si="19"/>
        <v/>
      </c>
      <c r="G208" s="30" t="s">
        <v>54</v>
      </c>
      <c r="H208" s="41"/>
      <c r="I208" s="33" t="str">
        <f>IF(A208="","",IF(H208="","⚠️ Enter Agent Code",IF(IFERROR(VLOOKUP(G208,DB_Agents!$B:$F,4,0),"")=TEXT(H208,"0"),IF(AND(A208&lt;&gt;"",E208&lt;&gt;""),"✅ Saved","Pending"),"🔒 WRONG CODE")))</f>
        <v/>
      </c>
      <c r="J208" s="33" t="str">
        <f t="shared" ca="1" si="20"/>
        <v>—</v>
      </c>
      <c r="K208" s="46"/>
    </row>
  </sheetData>
  <mergeCells count="4">
    <mergeCell ref="A2:K2"/>
    <mergeCell ref="A6:K6"/>
    <mergeCell ref="A1:K1"/>
    <mergeCell ref="A7:K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2.1" customHeight="1" x14ac:dyDescent="0.25">
      <c r="A1" s="94" t="s">
        <v>136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26.1" customHeight="1" x14ac:dyDescent="0.25">
      <c r="A2" s="97" t="s">
        <v>137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20.100000000000001" customHeight="1" x14ac:dyDescent="0.25">
      <c r="A3" s="47" t="s">
        <v>138</v>
      </c>
      <c r="D3" s="44" t="s">
        <v>139</v>
      </c>
      <c r="G3" s="48" t="s">
        <v>140</v>
      </c>
      <c r="J3" s="47" t="s">
        <v>128</v>
      </c>
    </row>
    <row r="4" spans="1:12" ht="24" customHeight="1" x14ac:dyDescent="0.25">
      <c r="A4" s="49">
        <f ca="1">IFERROR(SUMIFS(DB_Withdrawals!$G:$G,DB_Withdrawals!$I:$I,"Agent 01",DB_Withdrawals!$E:$E,TODAY()),0)</f>
        <v>0</v>
      </c>
      <c r="D4" s="49">
        <f ca="1">IFERROR(COUNTIFS(DB_Withdrawals!$I:$I,"Agent 01",DB_Withdrawals!$J:$J,"✅ Successful",DB_Withdrawals!$E:$E,TODAY()),0)</f>
        <v>0</v>
      </c>
      <c r="G4" s="49">
        <f ca="1">IFERROR(COUNTIFS(DB_Withdrawals!$I:$I,"Agent 01",DB_Withdrawals!$J:$J,"❌ Insufficient Funds",DB_Withdrawals!$E:$E,TODAY()),0)</f>
        <v>0</v>
      </c>
      <c r="J4" s="49" t="str">
        <f ca="1">TEXT(TODAY(),"DD MMM YYYY")</f>
        <v>25 Apr 2026</v>
      </c>
    </row>
    <row r="6" spans="1:12" ht="26.1" customHeight="1" x14ac:dyDescent="0.25">
      <c r="A6" s="90" t="s">
        <v>141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</row>
    <row r="8" spans="1:12" ht="30" customHeight="1" x14ac:dyDescent="0.25">
      <c r="A8" s="19" t="s">
        <v>131</v>
      </c>
      <c r="B8" s="19" t="s">
        <v>69</v>
      </c>
      <c r="C8" s="19" t="s">
        <v>85</v>
      </c>
      <c r="D8" s="19" t="s">
        <v>91</v>
      </c>
      <c r="E8" s="19" t="s">
        <v>142</v>
      </c>
      <c r="F8" s="19" t="s">
        <v>143</v>
      </c>
      <c r="G8" s="19" t="s">
        <v>133</v>
      </c>
      <c r="H8" s="19" t="s">
        <v>45</v>
      </c>
      <c r="I8" s="19" t="s">
        <v>134</v>
      </c>
      <c r="J8" s="19" t="s">
        <v>77</v>
      </c>
      <c r="K8" s="19" t="s">
        <v>135</v>
      </c>
      <c r="L8" s="19" t="s">
        <v>95</v>
      </c>
    </row>
    <row r="9" spans="1:12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IF(A9="","",IFERROR(VLOOKUP(A9,DB_Customers!$A:$N,14,0),""))</f>
        <v/>
      </c>
      <c r="D9" s="42" t="str">
        <f t="shared" ref="D9:D40" ca="1" si="0">IF(A9="","",TODAY())</f>
        <v/>
      </c>
      <c r="E9" s="32"/>
      <c r="F9" s="31"/>
      <c r="G9" s="43" t="str">
        <f t="shared" ref="G9:G40" si="1">IFERROR(IF(OR(A9="",E9=""),"",C9-E9),"")</f>
        <v/>
      </c>
      <c r="H9" s="30" t="s">
        <v>54</v>
      </c>
      <c r="I9" s="41"/>
      <c r="J9" s="33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9" s="33" t="str">
        <f t="shared" ref="K9:K40" ca="1" si="2">IF(J9="✅ Successful",TEXT(TODAY(),"YYYY-MM-DD")&amp;" Auto","—")</f>
        <v>—</v>
      </c>
      <c r="L9" s="22"/>
    </row>
    <row r="10" spans="1:12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IF(A10="","",IFERROR(VLOOKUP(A10,DB_Customers!$A:$N,14,0),""))</f>
        <v/>
      </c>
      <c r="D10" s="42" t="str">
        <f t="shared" ca="1" si="0"/>
        <v/>
      </c>
      <c r="E10" s="32"/>
      <c r="F10" s="31"/>
      <c r="G10" s="43" t="str">
        <f t="shared" si="1"/>
        <v/>
      </c>
      <c r="H10" s="30" t="s">
        <v>54</v>
      </c>
      <c r="I10" s="41"/>
      <c r="J10" s="33" t="str">
        <f>IF(AND(A10&lt;&gt;"",E10&lt;&gt;""),IF(I10="","⚠️ Enter Code",IF(IFERROR(VLOOKUP(H10,DB_Agents!$B:$F,4,0),"")=TEXT(I10,"0"),IF(C10&gt;=E10,"✅ Successful","❌ Insufficient Funds"),"🔒 WRONG CODE")),"Pending")</f>
        <v>Pending</v>
      </c>
      <c r="K10" s="33" t="str">
        <f t="shared" ca="1" si="2"/>
        <v>—</v>
      </c>
      <c r="L10" s="50"/>
    </row>
    <row r="11" spans="1:12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IF(A11="","",IFERROR(VLOOKUP(A11,DB_Customers!$A:$N,14,0),""))</f>
        <v/>
      </c>
      <c r="D11" s="42" t="str">
        <f t="shared" ca="1" si="0"/>
        <v/>
      </c>
      <c r="E11" s="32"/>
      <c r="F11" s="31"/>
      <c r="G11" s="43" t="str">
        <f t="shared" si="1"/>
        <v/>
      </c>
      <c r="H11" s="30" t="s">
        <v>54</v>
      </c>
      <c r="I11" s="41"/>
      <c r="J11" s="33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1" s="33" t="str">
        <f t="shared" ca="1" si="2"/>
        <v>—</v>
      </c>
      <c r="L11" s="22"/>
    </row>
    <row r="12" spans="1:12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IF(A12="","",IFERROR(VLOOKUP(A12,DB_Customers!$A:$N,14,0),""))</f>
        <v/>
      </c>
      <c r="D12" s="42" t="str">
        <f t="shared" ca="1" si="0"/>
        <v/>
      </c>
      <c r="E12" s="32"/>
      <c r="F12" s="31"/>
      <c r="G12" s="43" t="str">
        <f t="shared" si="1"/>
        <v/>
      </c>
      <c r="H12" s="30" t="s">
        <v>54</v>
      </c>
      <c r="I12" s="41"/>
      <c r="J12" s="33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2" s="33" t="str">
        <f t="shared" ca="1" si="2"/>
        <v>—</v>
      </c>
      <c r="L12" s="50"/>
    </row>
    <row r="13" spans="1:12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IF(A13="","",IFERROR(VLOOKUP(A13,DB_Customers!$A:$N,14,0),""))</f>
        <v/>
      </c>
      <c r="D13" s="42" t="str">
        <f t="shared" ca="1" si="0"/>
        <v/>
      </c>
      <c r="E13" s="32"/>
      <c r="F13" s="31"/>
      <c r="G13" s="43" t="str">
        <f t="shared" si="1"/>
        <v/>
      </c>
      <c r="H13" s="30" t="s">
        <v>54</v>
      </c>
      <c r="I13" s="41"/>
      <c r="J13" s="33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3" s="33" t="str">
        <f t="shared" ca="1" si="2"/>
        <v>—</v>
      </c>
      <c r="L13" s="22"/>
    </row>
    <row r="14" spans="1:12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IF(A14="","",IFERROR(VLOOKUP(A14,DB_Customers!$A:$N,14,0),""))</f>
        <v/>
      </c>
      <c r="D14" s="42" t="str">
        <f t="shared" ca="1" si="0"/>
        <v/>
      </c>
      <c r="E14" s="32"/>
      <c r="F14" s="31"/>
      <c r="G14" s="43" t="str">
        <f t="shared" si="1"/>
        <v/>
      </c>
      <c r="H14" s="30" t="s">
        <v>54</v>
      </c>
      <c r="I14" s="41"/>
      <c r="J14" s="33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4" s="33" t="str">
        <f t="shared" ca="1" si="2"/>
        <v>—</v>
      </c>
      <c r="L14" s="50"/>
    </row>
    <row r="15" spans="1:12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IF(A15="","",IFERROR(VLOOKUP(A15,DB_Customers!$A:$N,14,0),""))</f>
        <v/>
      </c>
      <c r="D15" s="42" t="str">
        <f t="shared" ca="1" si="0"/>
        <v/>
      </c>
      <c r="E15" s="32"/>
      <c r="F15" s="31"/>
      <c r="G15" s="43" t="str">
        <f t="shared" si="1"/>
        <v/>
      </c>
      <c r="H15" s="30" t="s">
        <v>54</v>
      </c>
      <c r="I15" s="41"/>
      <c r="J15" s="33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5" s="33" t="str">
        <f t="shared" ca="1" si="2"/>
        <v>—</v>
      </c>
      <c r="L15" s="22"/>
    </row>
    <row r="16" spans="1:12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IF(A16="","",IFERROR(VLOOKUP(A16,DB_Customers!$A:$N,14,0),""))</f>
        <v/>
      </c>
      <c r="D16" s="42" t="str">
        <f t="shared" ca="1" si="0"/>
        <v/>
      </c>
      <c r="E16" s="32"/>
      <c r="F16" s="31"/>
      <c r="G16" s="43" t="str">
        <f t="shared" si="1"/>
        <v/>
      </c>
      <c r="H16" s="30" t="s">
        <v>54</v>
      </c>
      <c r="I16" s="41"/>
      <c r="J16" s="33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6" s="33" t="str">
        <f t="shared" ca="1" si="2"/>
        <v>—</v>
      </c>
      <c r="L16" s="50"/>
    </row>
    <row r="17" spans="1:12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IF(A17="","",IFERROR(VLOOKUP(A17,DB_Customers!$A:$N,14,0),""))</f>
        <v/>
      </c>
      <c r="D17" s="42" t="str">
        <f t="shared" ca="1" si="0"/>
        <v/>
      </c>
      <c r="E17" s="32"/>
      <c r="F17" s="31"/>
      <c r="G17" s="43" t="str">
        <f t="shared" si="1"/>
        <v/>
      </c>
      <c r="H17" s="30" t="s">
        <v>54</v>
      </c>
      <c r="I17" s="41"/>
      <c r="J17" s="33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7" s="33" t="str">
        <f t="shared" ca="1" si="2"/>
        <v>—</v>
      </c>
      <c r="L17" s="22"/>
    </row>
    <row r="18" spans="1:12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IF(A18="","",IFERROR(VLOOKUP(A18,DB_Customers!$A:$N,14,0),""))</f>
        <v/>
      </c>
      <c r="D18" s="42" t="str">
        <f t="shared" ca="1" si="0"/>
        <v/>
      </c>
      <c r="E18" s="32"/>
      <c r="F18" s="31"/>
      <c r="G18" s="43" t="str">
        <f t="shared" si="1"/>
        <v/>
      </c>
      <c r="H18" s="30" t="s">
        <v>54</v>
      </c>
      <c r="I18" s="41"/>
      <c r="J18" s="33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18" s="33" t="str">
        <f t="shared" ca="1" si="2"/>
        <v>—</v>
      </c>
      <c r="L18" s="50"/>
    </row>
    <row r="19" spans="1:12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IF(A19="","",IFERROR(VLOOKUP(A19,DB_Customers!$A:$N,14,0),""))</f>
        <v/>
      </c>
      <c r="D19" s="42" t="str">
        <f t="shared" ca="1" si="0"/>
        <v/>
      </c>
      <c r="E19" s="32"/>
      <c r="F19" s="31"/>
      <c r="G19" s="43" t="str">
        <f t="shared" si="1"/>
        <v/>
      </c>
      <c r="H19" s="30" t="s">
        <v>54</v>
      </c>
      <c r="I19" s="41"/>
      <c r="J19" s="33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19" s="33" t="str">
        <f t="shared" ca="1" si="2"/>
        <v>—</v>
      </c>
      <c r="L19" s="22"/>
    </row>
    <row r="20" spans="1:12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IF(A20="","",IFERROR(VLOOKUP(A20,DB_Customers!$A:$N,14,0),""))</f>
        <v/>
      </c>
      <c r="D20" s="42" t="str">
        <f t="shared" ca="1" si="0"/>
        <v/>
      </c>
      <c r="E20" s="32"/>
      <c r="F20" s="31"/>
      <c r="G20" s="43" t="str">
        <f t="shared" si="1"/>
        <v/>
      </c>
      <c r="H20" s="30" t="s">
        <v>54</v>
      </c>
      <c r="I20" s="41"/>
      <c r="J20" s="33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0" s="33" t="str">
        <f t="shared" ca="1" si="2"/>
        <v>—</v>
      </c>
      <c r="L20" s="50"/>
    </row>
    <row r="21" spans="1:12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IF(A21="","",IFERROR(VLOOKUP(A21,DB_Customers!$A:$N,14,0),""))</f>
        <v/>
      </c>
      <c r="D21" s="42" t="str">
        <f t="shared" ca="1" si="0"/>
        <v/>
      </c>
      <c r="E21" s="32"/>
      <c r="F21" s="31"/>
      <c r="G21" s="43" t="str">
        <f t="shared" si="1"/>
        <v/>
      </c>
      <c r="H21" s="30" t="s">
        <v>54</v>
      </c>
      <c r="I21" s="41"/>
      <c r="J21" s="33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1" s="33" t="str">
        <f t="shared" ca="1" si="2"/>
        <v>—</v>
      </c>
      <c r="L21" s="22"/>
    </row>
    <row r="22" spans="1:12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IF(A22="","",IFERROR(VLOOKUP(A22,DB_Customers!$A:$N,14,0),""))</f>
        <v/>
      </c>
      <c r="D22" s="42" t="str">
        <f t="shared" ca="1" si="0"/>
        <v/>
      </c>
      <c r="E22" s="32"/>
      <c r="F22" s="31"/>
      <c r="G22" s="43" t="str">
        <f t="shared" si="1"/>
        <v/>
      </c>
      <c r="H22" s="30" t="s">
        <v>54</v>
      </c>
      <c r="I22" s="41"/>
      <c r="J22" s="33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2" s="33" t="str">
        <f t="shared" ca="1" si="2"/>
        <v>—</v>
      </c>
      <c r="L22" s="50"/>
    </row>
    <row r="23" spans="1:12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IF(A23="","",IFERROR(VLOOKUP(A23,DB_Customers!$A:$N,14,0),""))</f>
        <v/>
      </c>
      <c r="D23" s="42" t="str">
        <f t="shared" ca="1" si="0"/>
        <v/>
      </c>
      <c r="E23" s="32"/>
      <c r="F23" s="31"/>
      <c r="G23" s="43" t="str">
        <f t="shared" si="1"/>
        <v/>
      </c>
      <c r="H23" s="30" t="s">
        <v>54</v>
      </c>
      <c r="I23" s="41"/>
      <c r="J23" s="33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3" s="33" t="str">
        <f t="shared" ca="1" si="2"/>
        <v>—</v>
      </c>
      <c r="L23" s="22"/>
    </row>
    <row r="24" spans="1:12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IF(A24="","",IFERROR(VLOOKUP(A24,DB_Customers!$A:$N,14,0),""))</f>
        <v/>
      </c>
      <c r="D24" s="42" t="str">
        <f t="shared" ca="1" si="0"/>
        <v/>
      </c>
      <c r="E24" s="32"/>
      <c r="F24" s="31"/>
      <c r="G24" s="43" t="str">
        <f t="shared" si="1"/>
        <v/>
      </c>
      <c r="H24" s="30" t="s">
        <v>54</v>
      </c>
      <c r="I24" s="41"/>
      <c r="J24" s="33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4" s="33" t="str">
        <f t="shared" ca="1" si="2"/>
        <v>—</v>
      </c>
      <c r="L24" s="50"/>
    </row>
    <row r="25" spans="1:12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IF(A25="","",IFERROR(VLOOKUP(A25,DB_Customers!$A:$N,14,0),""))</f>
        <v/>
      </c>
      <c r="D25" s="42" t="str">
        <f t="shared" ca="1" si="0"/>
        <v/>
      </c>
      <c r="E25" s="32"/>
      <c r="F25" s="31"/>
      <c r="G25" s="43" t="str">
        <f t="shared" si="1"/>
        <v/>
      </c>
      <c r="H25" s="30" t="s">
        <v>54</v>
      </c>
      <c r="I25" s="41"/>
      <c r="J25" s="33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5" s="33" t="str">
        <f t="shared" ca="1" si="2"/>
        <v>—</v>
      </c>
      <c r="L25" s="22"/>
    </row>
    <row r="26" spans="1:12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IF(A26="","",IFERROR(VLOOKUP(A26,DB_Customers!$A:$N,14,0),""))</f>
        <v/>
      </c>
      <c r="D26" s="42" t="str">
        <f t="shared" ca="1" si="0"/>
        <v/>
      </c>
      <c r="E26" s="32"/>
      <c r="F26" s="31"/>
      <c r="G26" s="43" t="str">
        <f t="shared" si="1"/>
        <v/>
      </c>
      <c r="H26" s="30" t="s">
        <v>54</v>
      </c>
      <c r="I26" s="41"/>
      <c r="J26" s="33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6" s="33" t="str">
        <f t="shared" ca="1" si="2"/>
        <v>—</v>
      </c>
      <c r="L26" s="50"/>
    </row>
    <row r="27" spans="1:12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IF(A27="","",IFERROR(VLOOKUP(A27,DB_Customers!$A:$N,14,0),""))</f>
        <v/>
      </c>
      <c r="D27" s="42" t="str">
        <f t="shared" ca="1" si="0"/>
        <v/>
      </c>
      <c r="E27" s="32"/>
      <c r="F27" s="31"/>
      <c r="G27" s="43" t="str">
        <f t="shared" si="1"/>
        <v/>
      </c>
      <c r="H27" s="30" t="s">
        <v>54</v>
      </c>
      <c r="I27" s="41"/>
      <c r="J27" s="33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7" s="33" t="str">
        <f t="shared" ca="1" si="2"/>
        <v>—</v>
      </c>
      <c r="L27" s="22"/>
    </row>
    <row r="28" spans="1:12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IF(A28="","",IFERROR(VLOOKUP(A28,DB_Customers!$A:$N,14,0),""))</f>
        <v/>
      </c>
      <c r="D28" s="42" t="str">
        <f t="shared" ca="1" si="0"/>
        <v/>
      </c>
      <c r="E28" s="32"/>
      <c r="F28" s="31"/>
      <c r="G28" s="43" t="str">
        <f t="shared" si="1"/>
        <v/>
      </c>
      <c r="H28" s="30" t="s">
        <v>54</v>
      </c>
      <c r="I28" s="41"/>
      <c r="J28" s="33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28" s="33" t="str">
        <f t="shared" ca="1" si="2"/>
        <v>—</v>
      </c>
      <c r="L28" s="50"/>
    </row>
    <row r="29" spans="1:12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IF(A29="","",IFERROR(VLOOKUP(A29,DB_Customers!$A:$N,14,0),""))</f>
        <v/>
      </c>
      <c r="D29" s="42" t="str">
        <f t="shared" ca="1" si="0"/>
        <v/>
      </c>
      <c r="E29" s="32"/>
      <c r="F29" s="31"/>
      <c r="G29" s="43" t="str">
        <f t="shared" si="1"/>
        <v/>
      </c>
      <c r="H29" s="30" t="s">
        <v>54</v>
      </c>
      <c r="I29" s="41"/>
      <c r="J29" s="33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29" s="33" t="str">
        <f t="shared" ca="1" si="2"/>
        <v>—</v>
      </c>
      <c r="L29" s="22"/>
    </row>
    <row r="30" spans="1:12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IF(A30="","",IFERROR(VLOOKUP(A30,DB_Customers!$A:$N,14,0),""))</f>
        <v/>
      </c>
      <c r="D30" s="42" t="str">
        <f t="shared" ca="1" si="0"/>
        <v/>
      </c>
      <c r="E30" s="32"/>
      <c r="F30" s="31"/>
      <c r="G30" s="43" t="str">
        <f t="shared" si="1"/>
        <v/>
      </c>
      <c r="H30" s="30" t="s">
        <v>54</v>
      </c>
      <c r="I30" s="41"/>
      <c r="J30" s="33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0" s="33" t="str">
        <f t="shared" ca="1" si="2"/>
        <v>—</v>
      </c>
      <c r="L30" s="50"/>
    </row>
    <row r="31" spans="1:12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IF(A31="","",IFERROR(VLOOKUP(A31,DB_Customers!$A:$N,14,0),""))</f>
        <v/>
      </c>
      <c r="D31" s="42" t="str">
        <f t="shared" ca="1" si="0"/>
        <v/>
      </c>
      <c r="E31" s="32"/>
      <c r="F31" s="31"/>
      <c r="G31" s="43" t="str">
        <f t="shared" si="1"/>
        <v/>
      </c>
      <c r="H31" s="30" t="s">
        <v>54</v>
      </c>
      <c r="I31" s="41"/>
      <c r="J31" s="33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1" s="33" t="str">
        <f t="shared" ca="1" si="2"/>
        <v>—</v>
      </c>
      <c r="L31" s="22"/>
    </row>
    <row r="32" spans="1:12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IF(A32="","",IFERROR(VLOOKUP(A32,DB_Customers!$A:$N,14,0),""))</f>
        <v/>
      </c>
      <c r="D32" s="42" t="str">
        <f t="shared" ca="1" si="0"/>
        <v/>
      </c>
      <c r="E32" s="32"/>
      <c r="F32" s="31"/>
      <c r="G32" s="43" t="str">
        <f t="shared" si="1"/>
        <v/>
      </c>
      <c r="H32" s="30" t="s">
        <v>54</v>
      </c>
      <c r="I32" s="41"/>
      <c r="J32" s="33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2" s="33" t="str">
        <f t="shared" ca="1" si="2"/>
        <v>—</v>
      </c>
      <c r="L32" s="50"/>
    </row>
    <row r="33" spans="1:12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IF(A33="","",IFERROR(VLOOKUP(A33,DB_Customers!$A:$N,14,0),""))</f>
        <v/>
      </c>
      <c r="D33" s="42" t="str">
        <f t="shared" ca="1" si="0"/>
        <v/>
      </c>
      <c r="E33" s="32"/>
      <c r="F33" s="31"/>
      <c r="G33" s="43" t="str">
        <f t="shared" si="1"/>
        <v/>
      </c>
      <c r="H33" s="30" t="s">
        <v>54</v>
      </c>
      <c r="I33" s="41"/>
      <c r="J33" s="33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3" s="33" t="str">
        <f t="shared" ca="1" si="2"/>
        <v>—</v>
      </c>
      <c r="L33" s="22"/>
    </row>
    <row r="34" spans="1:12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IF(A34="","",IFERROR(VLOOKUP(A34,DB_Customers!$A:$N,14,0),""))</f>
        <v/>
      </c>
      <c r="D34" s="42" t="str">
        <f t="shared" ca="1" si="0"/>
        <v/>
      </c>
      <c r="E34" s="32"/>
      <c r="F34" s="31"/>
      <c r="G34" s="43" t="str">
        <f t="shared" si="1"/>
        <v/>
      </c>
      <c r="H34" s="30" t="s">
        <v>54</v>
      </c>
      <c r="I34" s="41"/>
      <c r="J34" s="33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4" s="33" t="str">
        <f t="shared" ca="1" si="2"/>
        <v>—</v>
      </c>
      <c r="L34" s="50"/>
    </row>
    <row r="35" spans="1:12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IF(A35="","",IFERROR(VLOOKUP(A35,DB_Customers!$A:$N,14,0),""))</f>
        <v/>
      </c>
      <c r="D35" s="42" t="str">
        <f t="shared" ca="1" si="0"/>
        <v/>
      </c>
      <c r="E35" s="32"/>
      <c r="F35" s="31"/>
      <c r="G35" s="43" t="str">
        <f t="shared" si="1"/>
        <v/>
      </c>
      <c r="H35" s="30" t="s">
        <v>54</v>
      </c>
      <c r="I35" s="41"/>
      <c r="J35" s="33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5" s="33" t="str">
        <f t="shared" ca="1" si="2"/>
        <v>—</v>
      </c>
      <c r="L35" s="22"/>
    </row>
    <row r="36" spans="1:12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IF(A36="","",IFERROR(VLOOKUP(A36,DB_Customers!$A:$N,14,0),""))</f>
        <v/>
      </c>
      <c r="D36" s="42" t="str">
        <f t="shared" ca="1" si="0"/>
        <v/>
      </c>
      <c r="E36" s="32"/>
      <c r="F36" s="31"/>
      <c r="G36" s="43" t="str">
        <f t="shared" si="1"/>
        <v/>
      </c>
      <c r="H36" s="30" t="s">
        <v>54</v>
      </c>
      <c r="I36" s="41"/>
      <c r="J36" s="33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6" s="33" t="str">
        <f t="shared" ca="1" si="2"/>
        <v>—</v>
      </c>
      <c r="L36" s="50"/>
    </row>
    <row r="37" spans="1:12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IF(A37="","",IFERROR(VLOOKUP(A37,DB_Customers!$A:$N,14,0),""))</f>
        <v/>
      </c>
      <c r="D37" s="42" t="str">
        <f t="shared" ca="1" si="0"/>
        <v/>
      </c>
      <c r="E37" s="32"/>
      <c r="F37" s="31"/>
      <c r="G37" s="43" t="str">
        <f t="shared" si="1"/>
        <v/>
      </c>
      <c r="H37" s="30" t="s">
        <v>54</v>
      </c>
      <c r="I37" s="41"/>
      <c r="J37" s="33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7" s="33" t="str">
        <f t="shared" ca="1" si="2"/>
        <v>—</v>
      </c>
      <c r="L37" s="22"/>
    </row>
    <row r="38" spans="1:12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IF(A38="","",IFERROR(VLOOKUP(A38,DB_Customers!$A:$N,14,0),""))</f>
        <v/>
      </c>
      <c r="D38" s="42" t="str">
        <f t="shared" ca="1" si="0"/>
        <v/>
      </c>
      <c r="E38" s="32"/>
      <c r="F38" s="31"/>
      <c r="G38" s="43" t="str">
        <f t="shared" si="1"/>
        <v/>
      </c>
      <c r="H38" s="30" t="s">
        <v>54</v>
      </c>
      <c r="I38" s="41"/>
      <c r="J38" s="33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38" s="33" t="str">
        <f t="shared" ca="1" si="2"/>
        <v>—</v>
      </c>
      <c r="L38" s="50"/>
    </row>
    <row r="39" spans="1:12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IF(A39="","",IFERROR(VLOOKUP(A39,DB_Customers!$A:$N,14,0),""))</f>
        <v/>
      </c>
      <c r="D39" s="42" t="str">
        <f t="shared" ca="1" si="0"/>
        <v/>
      </c>
      <c r="E39" s="32"/>
      <c r="F39" s="31"/>
      <c r="G39" s="43" t="str">
        <f t="shared" si="1"/>
        <v/>
      </c>
      <c r="H39" s="30" t="s">
        <v>54</v>
      </c>
      <c r="I39" s="41"/>
      <c r="J39" s="33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39" s="33" t="str">
        <f t="shared" ca="1" si="2"/>
        <v>—</v>
      </c>
      <c r="L39" s="22"/>
    </row>
    <row r="40" spans="1:12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IF(A40="","",IFERROR(VLOOKUP(A40,DB_Customers!$A:$N,14,0),""))</f>
        <v/>
      </c>
      <c r="D40" s="42" t="str">
        <f t="shared" ca="1" si="0"/>
        <v/>
      </c>
      <c r="E40" s="32"/>
      <c r="F40" s="31"/>
      <c r="G40" s="43" t="str">
        <f t="shared" si="1"/>
        <v/>
      </c>
      <c r="H40" s="30" t="s">
        <v>54</v>
      </c>
      <c r="I40" s="41"/>
      <c r="J40" s="33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0" s="33" t="str">
        <f t="shared" ca="1" si="2"/>
        <v>—</v>
      </c>
      <c r="L40" s="50"/>
    </row>
    <row r="41" spans="1:12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IF(A41="","",IFERROR(VLOOKUP(A41,DB_Customers!$A:$N,14,0),""))</f>
        <v/>
      </c>
      <c r="D41" s="42" t="str">
        <f t="shared" ref="D41:D72" ca="1" si="3">IF(A41="","",TODAY())</f>
        <v/>
      </c>
      <c r="E41" s="32"/>
      <c r="F41" s="31"/>
      <c r="G41" s="43" t="str">
        <f t="shared" ref="G41:G72" si="4">IFERROR(IF(OR(A41="",E41=""),"",C41-E41),"")</f>
        <v/>
      </c>
      <c r="H41" s="30" t="s">
        <v>54</v>
      </c>
      <c r="I41" s="41"/>
      <c r="J41" s="33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1" s="33" t="str">
        <f t="shared" ref="K41:K72" ca="1" si="5">IF(J41="✅ Successful",TEXT(TODAY(),"YYYY-MM-DD")&amp;" Auto","—")</f>
        <v>—</v>
      </c>
      <c r="L41" s="22"/>
    </row>
    <row r="42" spans="1:12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IF(A42="","",IFERROR(VLOOKUP(A42,DB_Customers!$A:$N,14,0),""))</f>
        <v/>
      </c>
      <c r="D42" s="42" t="str">
        <f t="shared" ca="1" si="3"/>
        <v/>
      </c>
      <c r="E42" s="32"/>
      <c r="F42" s="31"/>
      <c r="G42" s="43" t="str">
        <f t="shared" si="4"/>
        <v/>
      </c>
      <c r="H42" s="30" t="s">
        <v>54</v>
      </c>
      <c r="I42" s="41"/>
      <c r="J42" s="33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2" s="33" t="str">
        <f t="shared" ca="1" si="5"/>
        <v>—</v>
      </c>
      <c r="L42" s="50"/>
    </row>
    <row r="43" spans="1:12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IF(A43="","",IFERROR(VLOOKUP(A43,DB_Customers!$A:$N,14,0),""))</f>
        <v/>
      </c>
      <c r="D43" s="42" t="str">
        <f t="shared" ca="1" si="3"/>
        <v/>
      </c>
      <c r="E43" s="32"/>
      <c r="F43" s="31"/>
      <c r="G43" s="43" t="str">
        <f t="shared" si="4"/>
        <v/>
      </c>
      <c r="H43" s="30" t="s">
        <v>54</v>
      </c>
      <c r="I43" s="41"/>
      <c r="J43" s="33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3" s="33" t="str">
        <f t="shared" ca="1" si="5"/>
        <v>—</v>
      </c>
      <c r="L43" s="22"/>
    </row>
    <row r="44" spans="1:12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IF(A44="","",IFERROR(VLOOKUP(A44,DB_Customers!$A:$N,14,0),""))</f>
        <v/>
      </c>
      <c r="D44" s="42" t="str">
        <f t="shared" ca="1" si="3"/>
        <v/>
      </c>
      <c r="E44" s="32"/>
      <c r="F44" s="31"/>
      <c r="G44" s="43" t="str">
        <f t="shared" si="4"/>
        <v/>
      </c>
      <c r="H44" s="30" t="s">
        <v>54</v>
      </c>
      <c r="I44" s="41"/>
      <c r="J44" s="33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4" s="33" t="str">
        <f t="shared" ca="1" si="5"/>
        <v>—</v>
      </c>
      <c r="L44" s="50"/>
    </row>
    <row r="45" spans="1:12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IF(A45="","",IFERROR(VLOOKUP(A45,DB_Customers!$A:$N,14,0),""))</f>
        <v/>
      </c>
      <c r="D45" s="42" t="str">
        <f t="shared" ca="1" si="3"/>
        <v/>
      </c>
      <c r="E45" s="32"/>
      <c r="F45" s="31"/>
      <c r="G45" s="43" t="str">
        <f t="shared" si="4"/>
        <v/>
      </c>
      <c r="H45" s="30" t="s">
        <v>54</v>
      </c>
      <c r="I45" s="41"/>
      <c r="J45" s="33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5" s="33" t="str">
        <f t="shared" ca="1" si="5"/>
        <v>—</v>
      </c>
      <c r="L45" s="22"/>
    </row>
    <row r="46" spans="1:12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IF(A46="","",IFERROR(VLOOKUP(A46,DB_Customers!$A:$N,14,0),""))</f>
        <v/>
      </c>
      <c r="D46" s="42" t="str">
        <f t="shared" ca="1" si="3"/>
        <v/>
      </c>
      <c r="E46" s="32"/>
      <c r="F46" s="31"/>
      <c r="G46" s="43" t="str">
        <f t="shared" si="4"/>
        <v/>
      </c>
      <c r="H46" s="30" t="s">
        <v>54</v>
      </c>
      <c r="I46" s="41"/>
      <c r="J46" s="33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6" s="33" t="str">
        <f t="shared" ca="1" si="5"/>
        <v>—</v>
      </c>
      <c r="L46" s="50"/>
    </row>
    <row r="47" spans="1:12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IF(A47="","",IFERROR(VLOOKUP(A47,DB_Customers!$A:$N,14,0),""))</f>
        <v/>
      </c>
      <c r="D47" s="42" t="str">
        <f t="shared" ca="1" si="3"/>
        <v/>
      </c>
      <c r="E47" s="32"/>
      <c r="F47" s="31"/>
      <c r="G47" s="43" t="str">
        <f t="shared" si="4"/>
        <v/>
      </c>
      <c r="H47" s="30" t="s">
        <v>54</v>
      </c>
      <c r="I47" s="41"/>
      <c r="J47" s="33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7" s="33" t="str">
        <f t="shared" ca="1" si="5"/>
        <v>—</v>
      </c>
      <c r="L47" s="22"/>
    </row>
    <row r="48" spans="1:12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IF(A48="","",IFERROR(VLOOKUP(A48,DB_Customers!$A:$N,14,0),""))</f>
        <v/>
      </c>
      <c r="D48" s="42" t="str">
        <f t="shared" ca="1" si="3"/>
        <v/>
      </c>
      <c r="E48" s="32"/>
      <c r="F48" s="31"/>
      <c r="G48" s="43" t="str">
        <f t="shared" si="4"/>
        <v/>
      </c>
      <c r="H48" s="30" t="s">
        <v>54</v>
      </c>
      <c r="I48" s="41"/>
      <c r="J48" s="33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48" s="33" t="str">
        <f t="shared" ca="1" si="5"/>
        <v>—</v>
      </c>
      <c r="L48" s="50"/>
    </row>
    <row r="49" spans="1:12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IF(A49="","",IFERROR(VLOOKUP(A49,DB_Customers!$A:$N,14,0),""))</f>
        <v/>
      </c>
      <c r="D49" s="42" t="str">
        <f t="shared" ca="1" si="3"/>
        <v/>
      </c>
      <c r="E49" s="32"/>
      <c r="F49" s="31"/>
      <c r="G49" s="43" t="str">
        <f t="shared" si="4"/>
        <v/>
      </c>
      <c r="H49" s="30" t="s">
        <v>54</v>
      </c>
      <c r="I49" s="41"/>
      <c r="J49" s="33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49" s="33" t="str">
        <f t="shared" ca="1" si="5"/>
        <v>—</v>
      </c>
      <c r="L49" s="22"/>
    </row>
    <row r="50" spans="1:12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IF(A50="","",IFERROR(VLOOKUP(A50,DB_Customers!$A:$N,14,0),""))</f>
        <v/>
      </c>
      <c r="D50" s="42" t="str">
        <f t="shared" ca="1" si="3"/>
        <v/>
      </c>
      <c r="E50" s="32"/>
      <c r="F50" s="31"/>
      <c r="G50" s="43" t="str">
        <f t="shared" si="4"/>
        <v/>
      </c>
      <c r="H50" s="30" t="s">
        <v>54</v>
      </c>
      <c r="I50" s="41"/>
      <c r="J50" s="33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0" s="33" t="str">
        <f t="shared" ca="1" si="5"/>
        <v>—</v>
      </c>
      <c r="L50" s="50"/>
    </row>
    <row r="51" spans="1:12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IF(A51="","",IFERROR(VLOOKUP(A51,DB_Customers!$A:$N,14,0),""))</f>
        <v/>
      </c>
      <c r="D51" s="42" t="str">
        <f t="shared" ca="1" si="3"/>
        <v/>
      </c>
      <c r="E51" s="32"/>
      <c r="F51" s="31"/>
      <c r="G51" s="43" t="str">
        <f t="shared" si="4"/>
        <v/>
      </c>
      <c r="H51" s="30" t="s">
        <v>54</v>
      </c>
      <c r="I51" s="41"/>
      <c r="J51" s="33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1" s="33" t="str">
        <f t="shared" ca="1" si="5"/>
        <v>—</v>
      </c>
      <c r="L51" s="22"/>
    </row>
    <row r="52" spans="1:12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IF(A52="","",IFERROR(VLOOKUP(A52,DB_Customers!$A:$N,14,0),""))</f>
        <v/>
      </c>
      <c r="D52" s="42" t="str">
        <f t="shared" ca="1" si="3"/>
        <v/>
      </c>
      <c r="E52" s="32"/>
      <c r="F52" s="31"/>
      <c r="G52" s="43" t="str">
        <f t="shared" si="4"/>
        <v/>
      </c>
      <c r="H52" s="30" t="s">
        <v>54</v>
      </c>
      <c r="I52" s="41"/>
      <c r="J52" s="33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2" s="33" t="str">
        <f t="shared" ca="1" si="5"/>
        <v>—</v>
      </c>
      <c r="L52" s="50"/>
    </row>
    <row r="53" spans="1:12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IF(A53="","",IFERROR(VLOOKUP(A53,DB_Customers!$A:$N,14,0),""))</f>
        <v/>
      </c>
      <c r="D53" s="42" t="str">
        <f t="shared" ca="1" si="3"/>
        <v/>
      </c>
      <c r="E53" s="32"/>
      <c r="F53" s="31"/>
      <c r="G53" s="43" t="str">
        <f t="shared" si="4"/>
        <v/>
      </c>
      <c r="H53" s="30" t="s">
        <v>54</v>
      </c>
      <c r="I53" s="41"/>
      <c r="J53" s="33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3" s="33" t="str">
        <f t="shared" ca="1" si="5"/>
        <v>—</v>
      </c>
      <c r="L53" s="22"/>
    </row>
    <row r="54" spans="1:12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IF(A54="","",IFERROR(VLOOKUP(A54,DB_Customers!$A:$N,14,0),""))</f>
        <v/>
      </c>
      <c r="D54" s="42" t="str">
        <f t="shared" ca="1" si="3"/>
        <v/>
      </c>
      <c r="E54" s="32"/>
      <c r="F54" s="31"/>
      <c r="G54" s="43" t="str">
        <f t="shared" si="4"/>
        <v/>
      </c>
      <c r="H54" s="30" t="s">
        <v>54</v>
      </c>
      <c r="I54" s="41"/>
      <c r="J54" s="33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4" s="33" t="str">
        <f t="shared" ca="1" si="5"/>
        <v>—</v>
      </c>
      <c r="L54" s="50"/>
    </row>
    <row r="55" spans="1:12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IF(A55="","",IFERROR(VLOOKUP(A55,DB_Customers!$A:$N,14,0),""))</f>
        <v/>
      </c>
      <c r="D55" s="42" t="str">
        <f t="shared" ca="1" si="3"/>
        <v/>
      </c>
      <c r="E55" s="32"/>
      <c r="F55" s="31"/>
      <c r="G55" s="43" t="str">
        <f t="shared" si="4"/>
        <v/>
      </c>
      <c r="H55" s="30" t="s">
        <v>54</v>
      </c>
      <c r="I55" s="41"/>
      <c r="J55" s="33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5" s="33" t="str">
        <f t="shared" ca="1" si="5"/>
        <v>—</v>
      </c>
      <c r="L55" s="22"/>
    </row>
    <row r="56" spans="1:12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IF(A56="","",IFERROR(VLOOKUP(A56,DB_Customers!$A:$N,14,0),""))</f>
        <v/>
      </c>
      <c r="D56" s="42" t="str">
        <f t="shared" ca="1" si="3"/>
        <v/>
      </c>
      <c r="E56" s="32"/>
      <c r="F56" s="31"/>
      <c r="G56" s="43" t="str">
        <f t="shared" si="4"/>
        <v/>
      </c>
      <c r="H56" s="30" t="s">
        <v>54</v>
      </c>
      <c r="I56" s="41"/>
      <c r="J56" s="33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6" s="33" t="str">
        <f t="shared" ca="1" si="5"/>
        <v>—</v>
      </c>
      <c r="L56" s="50"/>
    </row>
    <row r="57" spans="1:12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IF(A57="","",IFERROR(VLOOKUP(A57,DB_Customers!$A:$N,14,0),""))</f>
        <v/>
      </c>
      <c r="D57" s="42" t="str">
        <f t="shared" ca="1" si="3"/>
        <v/>
      </c>
      <c r="E57" s="32"/>
      <c r="F57" s="31"/>
      <c r="G57" s="43" t="str">
        <f t="shared" si="4"/>
        <v/>
      </c>
      <c r="H57" s="30" t="s">
        <v>54</v>
      </c>
      <c r="I57" s="41"/>
      <c r="J57" s="33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7" s="33" t="str">
        <f t="shared" ca="1" si="5"/>
        <v>—</v>
      </c>
      <c r="L57" s="22"/>
    </row>
    <row r="58" spans="1:12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IF(A58="","",IFERROR(VLOOKUP(A58,DB_Customers!$A:$N,14,0),""))</f>
        <v/>
      </c>
      <c r="D58" s="42" t="str">
        <f t="shared" ca="1" si="3"/>
        <v/>
      </c>
      <c r="E58" s="32"/>
      <c r="F58" s="31"/>
      <c r="G58" s="43" t="str">
        <f t="shared" si="4"/>
        <v/>
      </c>
      <c r="H58" s="30" t="s">
        <v>54</v>
      </c>
      <c r="I58" s="41"/>
      <c r="J58" s="33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58" s="33" t="str">
        <f t="shared" ca="1" si="5"/>
        <v>—</v>
      </c>
      <c r="L58" s="50"/>
    </row>
    <row r="59" spans="1:12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IF(A59="","",IFERROR(VLOOKUP(A59,DB_Customers!$A:$N,14,0),""))</f>
        <v/>
      </c>
      <c r="D59" s="42" t="str">
        <f t="shared" ca="1" si="3"/>
        <v/>
      </c>
      <c r="E59" s="32"/>
      <c r="F59" s="31"/>
      <c r="G59" s="43" t="str">
        <f t="shared" si="4"/>
        <v/>
      </c>
      <c r="H59" s="30" t="s">
        <v>54</v>
      </c>
      <c r="I59" s="41"/>
      <c r="J59" s="33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59" s="33" t="str">
        <f t="shared" ca="1" si="5"/>
        <v>—</v>
      </c>
      <c r="L59" s="22"/>
    </row>
    <row r="60" spans="1:12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IF(A60="","",IFERROR(VLOOKUP(A60,DB_Customers!$A:$N,14,0),""))</f>
        <v/>
      </c>
      <c r="D60" s="42" t="str">
        <f t="shared" ca="1" si="3"/>
        <v/>
      </c>
      <c r="E60" s="32"/>
      <c r="F60" s="31"/>
      <c r="G60" s="43" t="str">
        <f t="shared" si="4"/>
        <v/>
      </c>
      <c r="H60" s="30" t="s">
        <v>54</v>
      </c>
      <c r="I60" s="41"/>
      <c r="J60" s="33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0" s="33" t="str">
        <f t="shared" ca="1" si="5"/>
        <v>—</v>
      </c>
      <c r="L60" s="50"/>
    </row>
    <row r="61" spans="1:12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IF(A61="","",IFERROR(VLOOKUP(A61,DB_Customers!$A:$N,14,0),""))</f>
        <v/>
      </c>
      <c r="D61" s="42" t="str">
        <f t="shared" ca="1" si="3"/>
        <v/>
      </c>
      <c r="E61" s="32"/>
      <c r="F61" s="31"/>
      <c r="G61" s="43" t="str">
        <f t="shared" si="4"/>
        <v/>
      </c>
      <c r="H61" s="30" t="s">
        <v>54</v>
      </c>
      <c r="I61" s="41"/>
      <c r="J61" s="33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1" s="33" t="str">
        <f t="shared" ca="1" si="5"/>
        <v>—</v>
      </c>
      <c r="L61" s="22"/>
    </row>
    <row r="62" spans="1:12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IF(A62="","",IFERROR(VLOOKUP(A62,DB_Customers!$A:$N,14,0),""))</f>
        <v/>
      </c>
      <c r="D62" s="42" t="str">
        <f t="shared" ca="1" si="3"/>
        <v/>
      </c>
      <c r="E62" s="32"/>
      <c r="F62" s="31"/>
      <c r="G62" s="43" t="str">
        <f t="shared" si="4"/>
        <v/>
      </c>
      <c r="H62" s="30" t="s">
        <v>54</v>
      </c>
      <c r="I62" s="41"/>
      <c r="J62" s="33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2" s="33" t="str">
        <f t="shared" ca="1" si="5"/>
        <v>—</v>
      </c>
      <c r="L62" s="50"/>
    </row>
    <row r="63" spans="1:12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IF(A63="","",IFERROR(VLOOKUP(A63,DB_Customers!$A:$N,14,0),""))</f>
        <v/>
      </c>
      <c r="D63" s="42" t="str">
        <f t="shared" ca="1" si="3"/>
        <v/>
      </c>
      <c r="E63" s="32"/>
      <c r="F63" s="31"/>
      <c r="G63" s="43" t="str">
        <f t="shared" si="4"/>
        <v/>
      </c>
      <c r="H63" s="30" t="s">
        <v>54</v>
      </c>
      <c r="I63" s="41"/>
      <c r="J63" s="33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3" s="33" t="str">
        <f t="shared" ca="1" si="5"/>
        <v>—</v>
      </c>
      <c r="L63" s="22"/>
    </row>
    <row r="64" spans="1:12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IF(A64="","",IFERROR(VLOOKUP(A64,DB_Customers!$A:$N,14,0),""))</f>
        <v/>
      </c>
      <c r="D64" s="42" t="str">
        <f t="shared" ca="1" si="3"/>
        <v/>
      </c>
      <c r="E64" s="32"/>
      <c r="F64" s="31"/>
      <c r="G64" s="43" t="str">
        <f t="shared" si="4"/>
        <v/>
      </c>
      <c r="H64" s="30" t="s">
        <v>54</v>
      </c>
      <c r="I64" s="41"/>
      <c r="J64" s="33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4" s="33" t="str">
        <f t="shared" ca="1" si="5"/>
        <v>—</v>
      </c>
      <c r="L64" s="50"/>
    </row>
    <row r="65" spans="1:12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IF(A65="","",IFERROR(VLOOKUP(A65,DB_Customers!$A:$N,14,0),""))</f>
        <v/>
      </c>
      <c r="D65" s="42" t="str">
        <f t="shared" ca="1" si="3"/>
        <v/>
      </c>
      <c r="E65" s="32"/>
      <c r="F65" s="31"/>
      <c r="G65" s="43" t="str">
        <f t="shared" si="4"/>
        <v/>
      </c>
      <c r="H65" s="30" t="s">
        <v>54</v>
      </c>
      <c r="I65" s="41"/>
      <c r="J65" s="33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5" s="33" t="str">
        <f t="shared" ca="1" si="5"/>
        <v>—</v>
      </c>
      <c r="L65" s="22"/>
    </row>
    <row r="66" spans="1:12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IF(A66="","",IFERROR(VLOOKUP(A66,DB_Customers!$A:$N,14,0),""))</f>
        <v/>
      </c>
      <c r="D66" s="42" t="str">
        <f t="shared" ca="1" si="3"/>
        <v/>
      </c>
      <c r="E66" s="32"/>
      <c r="F66" s="31"/>
      <c r="G66" s="43" t="str">
        <f t="shared" si="4"/>
        <v/>
      </c>
      <c r="H66" s="30" t="s">
        <v>54</v>
      </c>
      <c r="I66" s="41"/>
      <c r="J66" s="33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6" s="33" t="str">
        <f t="shared" ca="1" si="5"/>
        <v>—</v>
      </c>
      <c r="L66" s="50"/>
    </row>
    <row r="67" spans="1:12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IF(A67="","",IFERROR(VLOOKUP(A67,DB_Customers!$A:$N,14,0),""))</f>
        <v/>
      </c>
      <c r="D67" s="42" t="str">
        <f t="shared" ca="1" si="3"/>
        <v/>
      </c>
      <c r="E67" s="32"/>
      <c r="F67" s="31"/>
      <c r="G67" s="43" t="str">
        <f t="shared" si="4"/>
        <v/>
      </c>
      <c r="H67" s="30" t="s">
        <v>54</v>
      </c>
      <c r="I67" s="41"/>
      <c r="J67" s="33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7" s="33" t="str">
        <f t="shared" ca="1" si="5"/>
        <v>—</v>
      </c>
      <c r="L67" s="22"/>
    </row>
    <row r="68" spans="1:12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IF(A68="","",IFERROR(VLOOKUP(A68,DB_Customers!$A:$N,14,0),""))</f>
        <v/>
      </c>
      <c r="D68" s="42" t="str">
        <f t="shared" ca="1" si="3"/>
        <v/>
      </c>
      <c r="E68" s="32"/>
      <c r="F68" s="31"/>
      <c r="G68" s="43" t="str">
        <f t="shared" si="4"/>
        <v/>
      </c>
      <c r="H68" s="30" t="s">
        <v>54</v>
      </c>
      <c r="I68" s="41"/>
      <c r="J68" s="33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68" s="33" t="str">
        <f t="shared" ca="1" si="5"/>
        <v>—</v>
      </c>
      <c r="L68" s="50"/>
    </row>
    <row r="69" spans="1:12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IF(A69="","",IFERROR(VLOOKUP(A69,DB_Customers!$A:$N,14,0),""))</f>
        <v/>
      </c>
      <c r="D69" s="42" t="str">
        <f t="shared" ca="1" si="3"/>
        <v/>
      </c>
      <c r="E69" s="32"/>
      <c r="F69" s="31"/>
      <c r="G69" s="43" t="str">
        <f t="shared" si="4"/>
        <v/>
      </c>
      <c r="H69" s="30" t="s">
        <v>54</v>
      </c>
      <c r="I69" s="41"/>
      <c r="J69" s="33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69" s="33" t="str">
        <f t="shared" ca="1" si="5"/>
        <v>—</v>
      </c>
      <c r="L69" s="22"/>
    </row>
    <row r="70" spans="1:12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IF(A70="","",IFERROR(VLOOKUP(A70,DB_Customers!$A:$N,14,0),""))</f>
        <v/>
      </c>
      <c r="D70" s="42" t="str">
        <f t="shared" ca="1" si="3"/>
        <v/>
      </c>
      <c r="E70" s="32"/>
      <c r="F70" s="31"/>
      <c r="G70" s="43" t="str">
        <f t="shared" si="4"/>
        <v/>
      </c>
      <c r="H70" s="30" t="s">
        <v>54</v>
      </c>
      <c r="I70" s="41"/>
      <c r="J70" s="33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0" s="33" t="str">
        <f t="shared" ca="1" si="5"/>
        <v>—</v>
      </c>
      <c r="L70" s="50"/>
    </row>
    <row r="71" spans="1:12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IF(A71="","",IFERROR(VLOOKUP(A71,DB_Customers!$A:$N,14,0),""))</f>
        <v/>
      </c>
      <c r="D71" s="42" t="str">
        <f t="shared" ca="1" si="3"/>
        <v/>
      </c>
      <c r="E71" s="32"/>
      <c r="F71" s="31"/>
      <c r="G71" s="43" t="str">
        <f t="shared" si="4"/>
        <v/>
      </c>
      <c r="H71" s="30" t="s">
        <v>54</v>
      </c>
      <c r="I71" s="41"/>
      <c r="J71" s="33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1" s="33" t="str">
        <f t="shared" ca="1" si="5"/>
        <v>—</v>
      </c>
      <c r="L71" s="22"/>
    </row>
    <row r="72" spans="1:12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IF(A72="","",IFERROR(VLOOKUP(A72,DB_Customers!$A:$N,14,0),""))</f>
        <v/>
      </c>
      <c r="D72" s="42" t="str">
        <f t="shared" ca="1" si="3"/>
        <v/>
      </c>
      <c r="E72" s="32"/>
      <c r="F72" s="31"/>
      <c r="G72" s="43" t="str">
        <f t="shared" si="4"/>
        <v/>
      </c>
      <c r="H72" s="30" t="s">
        <v>54</v>
      </c>
      <c r="I72" s="41"/>
      <c r="J72" s="33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2" s="33" t="str">
        <f t="shared" ca="1" si="5"/>
        <v>—</v>
      </c>
      <c r="L72" s="50"/>
    </row>
    <row r="73" spans="1:12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IF(A73="","",IFERROR(VLOOKUP(A73,DB_Customers!$A:$N,14,0),""))</f>
        <v/>
      </c>
      <c r="D73" s="42" t="str">
        <f t="shared" ref="D73:D104" ca="1" si="6">IF(A73="","",TODAY())</f>
        <v/>
      </c>
      <c r="E73" s="32"/>
      <c r="F73" s="31"/>
      <c r="G73" s="43" t="str">
        <f t="shared" ref="G73:G104" si="7">IFERROR(IF(OR(A73="",E73=""),"",C73-E73),"")</f>
        <v/>
      </c>
      <c r="H73" s="30" t="s">
        <v>54</v>
      </c>
      <c r="I73" s="41"/>
      <c r="J73" s="33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3" s="33" t="str">
        <f t="shared" ref="K73:K104" ca="1" si="8">IF(J73="✅ Successful",TEXT(TODAY(),"YYYY-MM-DD")&amp;" Auto","—")</f>
        <v>—</v>
      </c>
      <c r="L73" s="22"/>
    </row>
    <row r="74" spans="1:12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IF(A74="","",IFERROR(VLOOKUP(A74,DB_Customers!$A:$N,14,0),""))</f>
        <v/>
      </c>
      <c r="D74" s="42" t="str">
        <f t="shared" ca="1" si="6"/>
        <v/>
      </c>
      <c r="E74" s="32"/>
      <c r="F74" s="31"/>
      <c r="G74" s="43" t="str">
        <f t="shared" si="7"/>
        <v/>
      </c>
      <c r="H74" s="30" t="s">
        <v>54</v>
      </c>
      <c r="I74" s="41"/>
      <c r="J74" s="33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4" s="33" t="str">
        <f t="shared" ca="1" si="8"/>
        <v>—</v>
      </c>
      <c r="L74" s="50"/>
    </row>
    <row r="75" spans="1:12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IF(A75="","",IFERROR(VLOOKUP(A75,DB_Customers!$A:$N,14,0),""))</f>
        <v/>
      </c>
      <c r="D75" s="42" t="str">
        <f t="shared" ca="1" si="6"/>
        <v/>
      </c>
      <c r="E75" s="32"/>
      <c r="F75" s="31"/>
      <c r="G75" s="43" t="str">
        <f t="shared" si="7"/>
        <v/>
      </c>
      <c r="H75" s="30" t="s">
        <v>54</v>
      </c>
      <c r="I75" s="41"/>
      <c r="J75" s="33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5" s="33" t="str">
        <f t="shared" ca="1" si="8"/>
        <v>—</v>
      </c>
      <c r="L75" s="22"/>
    </row>
    <row r="76" spans="1:12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IF(A76="","",IFERROR(VLOOKUP(A76,DB_Customers!$A:$N,14,0),""))</f>
        <v/>
      </c>
      <c r="D76" s="42" t="str">
        <f t="shared" ca="1" si="6"/>
        <v/>
      </c>
      <c r="E76" s="32"/>
      <c r="F76" s="31"/>
      <c r="G76" s="43" t="str">
        <f t="shared" si="7"/>
        <v/>
      </c>
      <c r="H76" s="30" t="s">
        <v>54</v>
      </c>
      <c r="I76" s="41"/>
      <c r="J76" s="33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6" s="33" t="str">
        <f t="shared" ca="1" si="8"/>
        <v>—</v>
      </c>
      <c r="L76" s="50"/>
    </row>
    <row r="77" spans="1:12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IF(A77="","",IFERROR(VLOOKUP(A77,DB_Customers!$A:$N,14,0),""))</f>
        <v/>
      </c>
      <c r="D77" s="42" t="str">
        <f t="shared" ca="1" si="6"/>
        <v/>
      </c>
      <c r="E77" s="32"/>
      <c r="F77" s="31"/>
      <c r="G77" s="43" t="str">
        <f t="shared" si="7"/>
        <v/>
      </c>
      <c r="H77" s="30" t="s">
        <v>54</v>
      </c>
      <c r="I77" s="41"/>
      <c r="J77" s="33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7" s="33" t="str">
        <f t="shared" ca="1" si="8"/>
        <v>—</v>
      </c>
      <c r="L77" s="22"/>
    </row>
    <row r="78" spans="1:12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IF(A78="","",IFERROR(VLOOKUP(A78,DB_Customers!$A:$N,14,0),""))</f>
        <v/>
      </c>
      <c r="D78" s="42" t="str">
        <f t="shared" ca="1" si="6"/>
        <v/>
      </c>
      <c r="E78" s="32"/>
      <c r="F78" s="31"/>
      <c r="G78" s="43" t="str">
        <f t="shared" si="7"/>
        <v/>
      </c>
      <c r="H78" s="30" t="s">
        <v>54</v>
      </c>
      <c r="I78" s="41"/>
      <c r="J78" s="33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78" s="33" t="str">
        <f t="shared" ca="1" si="8"/>
        <v>—</v>
      </c>
      <c r="L78" s="50"/>
    </row>
    <row r="79" spans="1:12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IF(A79="","",IFERROR(VLOOKUP(A79,DB_Customers!$A:$N,14,0),""))</f>
        <v/>
      </c>
      <c r="D79" s="42" t="str">
        <f t="shared" ca="1" si="6"/>
        <v/>
      </c>
      <c r="E79" s="32"/>
      <c r="F79" s="31"/>
      <c r="G79" s="43" t="str">
        <f t="shared" si="7"/>
        <v/>
      </c>
      <c r="H79" s="30" t="s">
        <v>54</v>
      </c>
      <c r="I79" s="41"/>
      <c r="J79" s="33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79" s="33" t="str">
        <f t="shared" ca="1" si="8"/>
        <v>—</v>
      </c>
      <c r="L79" s="22"/>
    </row>
    <row r="80" spans="1:12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IF(A80="","",IFERROR(VLOOKUP(A80,DB_Customers!$A:$N,14,0),""))</f>
        <v/>
      </c>
      <c r="D80" s="42" t="str">
        <f t="shared" ca="1" si="6"/>
        <v/>
      </c>
      <c r="E80" s="32"/>
      <c r="F80" s="31"/>
      <c r="G80" s="43" t="str">
        <f t="shared" si="7"/>
        <v/>
      </c>
      <c r="H80" s="30" t="s">
        <v>54</v>
      </c>
      <c r="I80" s="41"/>
      <c r="J80" s="33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0" s="33" t="str">
        <f t="shared" ca="1" si="8"/>
        <v>—</v>
      </c>
      <c r="L80" s="50"/>
    </row>
    <row r="81" spans="1:12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IF(A81="","",IFERROR(VLOOKUP(A81,DB_Customers!$A:$N,14,0),""))</f>
        <v/>
      </c>
      <c r="D81" s="42" t="str">
        <f t="shared" ca="1" si="6"/>
        <v/>
      </c>
      <c r="E81" s="32"/>
      <c r="F81" s="31"/>
      <c r="G81" s="43" t="str">
        <f t="shared" si="7"/>
        <v/>
      </c>
      <c r="H81" s="30" t="s">
        <v>54</v>
      </c>
      <c r="I81" s="41"/>
      <c r="J81" s="33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1" s="33" t="str">
        <f t="shared" ca="1" si="8"/>
        <v>—</v>
      </c>
      <c r="L81" s="22"/>
    </row>
    <row r="82" spans="1:12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IF(A82="","",IFERROR(VLOOKUP(A82,DB_Customers!$A:$N,14,0),""))</f>
        <v/>
      </c>
      <c r="D82" s="42" t="str">
        <f t="shared" ca="1" si="6"/>
        <v/>
      </c>
      <c r="E82" s="32"/>
      <c r="F82" s="31"/>
      <c r="G82" s="43" t="str">
        <f t="shared" si="7"/>
        <v/>
      </c>
      <c r="H82" s="30" t="s">
        <v>54</v>
      </c>
      <c r="I82" s="41"/>
      <c r="J82" s="33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2" s="33" t="str">
        <f t="shared" ca="1" si="8"/>
        <v>—</v>
      </c>
      <c r="L82" s="50"/>
    </row>
    <row r="83" spans="1:12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IF(A83="","",IFERROR(VLOOKUP(A83,DB_Customers!$A:$N,14,0),""))</f>
        <v/>
      </c>
      <c r="D83" s="42" t="str">
        <f t="shared" ca="1" si="6"/>
        <v/>
      </c>
      <c r="E83" s="32"/>
      <c r="F83" s="31"/>
      <c r="G83" s="43" t="str">
        <f t="shared" si="7"/>
        <v/>
      </c>
      <c r="H83" s="30" t="s">
        <v>54</v>
      </c>
      <c r="I83" s="41"/>
      <c r="J83" s="33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3" s="33" t="str">
        <f t="shared" ca="1" si="8"/>
        <v>—</v>
      </c>
      <c r="L83" s="22"/>
    </row>
    <row r="84" spans="1:12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IF(A84="","",IFERROR(VLOOKUP(A84,DB_Customers!$A:$N,14,0),""))</f>
        <v/>
      </c>
      <c r="D84" s="42" t="str">
        <f t="shared" ca="1" si="6"/>
        <v/>
      </c>
      <c r="E84" s="32"/>
      <c r="F84" s="31"/>
      <c r="G84" s="43" t="str">
        <f t="shared" si="7"/>
        <v/>
      </c>
      <c r="H84" s="30" t="s">
        <v>54</v>
      </c>
      <c r="I84" s="41"/>
      <c r="J84" s="33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4" s="33" t="str">
        <f t="shared" ca="1" si="8"/>
        <v>—</v>
      </c>
      <c r="L84" s="50"/>
    </row>
    <row r="85" spans="1:12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IF(A85="","",IFERROR(VLOOKUP(A85,DB_Customers!$A:$N,14,0),""))</f>
        <v/>
      </c>
      <c r="D85" s="42" t="str">
        <f t="shared" ca="1" si="6"/>
        <v/>
      </c>
      <c r="E85" s="32"/>
      <c r="F85" s="31"/>
      <c r="G85" s="43" t="str">
        <f t="shared" si="7"/>
        <v/>
      </c>
      <c r="H85" s="30" t="s">
        <v>54</v>
      </c>
      <c r="I85" s="41"/>
      <c r="J85" s="33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5" s="33" t="str">
        <f t="shared" ca="1" si="8"/>
        <v>—</v>
      </c>
      <c r="L85" s="22"/>
    </row>
    <row r="86" spans="1:12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IF(A86="","",IFERROR(VLOOKUP(A86,DB_Customers!$A:$N,14,0),""))</f>
        <v/>
      </c>
      <c r="D86" s="42" t="str">
        <f t="shared" ca="1" si="6"/>
        <v/>
      </c>
      <c r="E86" s="32"/>
      <c r="F86" s="31"/>
      <c r="G86" s="43" t="str">
        <f t="shared" si="7"/>
        <v/>
      </c>
      <c r="H86" s="30" t="s">
        <v>54</v>
      </c>
      <c r="I86" s="41"/>
      <c r="J86" s="33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6" s="33" t="str">
        <f t="shared" ca="1" si="8"/>
        <v>—</v>
      </c>
      <c r="L86" s="50"/>
    </row>
    <row r="87" spans="1:12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IF(A87="","",IFERROR(VLOOKUP(A87,DB_Customers!$A:$N,14,0),""))</f>
        <v/>
      </c>
      <c r="D87" s="42" t="str">
        <f t="shared" ca="1" si="6"/>
        <v/>
      </c>
      <c r="E87" s="32"/>
      <c r="F87" s="31"/>
      <c r="G87" s="43" t="str">
        <f t="shared" si="7"/>
        <v/>
      </c>
      <c r="H87" s="30" t="s">
        <v>54</v>
      </c>
      <c r="I87" s="41"/>
      <c r="J87" s="33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7" s="33" t="str">
        <f t="shared" ca="1" si="8"/>
        <v>—</v>
      </c>
      <c r="L87" s="22"/>
    </row>
    <row r="88" spans="1:12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IF(A88="","",IFERROR(VLOOKUP(A88,DB_Customers!$A:$N,14,0),""))</f>
        <v/>
      </c>
      <c r="D88" s="42" t="str">
        <f t="shared" ca="1" si="6"/>
        <v/>
      </c>
      <c r="E88" s="32"/>
      <c r="F88" s="31"/>
      <c r="G88" s="43" t="str">
        <f t="shared" si="7"/>
        <v/>
      </c>
      <c r="H88" s="30" t="s">
        <v>54</v>
      </c>
      <c r="I88" s="41"/>
      <c r="J88" s="33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88" s="33" t="str">
        <f t="shared" ca="1" si="8"/>
        <v>—</v>
      </c>
      <c r="L88" s="50"/>
    </row>
    <row r="89" spans="1:12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IF(A89="","",IFERROR(VLOOKUP(A89,DB_Customers!$A:$N,14,0),""))</f>
        <v/>
      </c>
      <c r="D89" s="42" t="str">
        <f t="shared" ca="1" si="6"/>
        <v/>
      </c>
      <c r="E89" s="32"/>
      <c r="F89" s="31"/>
      <c r="G89" s="43" t="str">
        <f t="shared" si="7"/>
        <v/>
      </c>
      <c r="H89" s="30" t="s">
        <v>54</v>
      </c>
      <c r="I89" s="41"/>
      <c r="J89" s="33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89" s="33" t="str">
        <f t="shared" ca="1" si="8"/>
        <v>—</v>
      </c>
      <c r="L89" s="22"/>
    </row>
    <row r="90" spans="1:12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IF(A90="","",IFERROR(VLOOKUP(A90,DB_Customers!$A:$N,14,0),""))</f>
        <v/>
      </c>
      <c r="D90" s="42" t="str">
        <f t="shared" ca="1" si="6"/>
        <v/>
      </c>
      <c r="E90" s="32"/>
      <c r="F90" s="31"/>
      <c r="G90" s="43" t="str">
        <f t="shared" si="7"/>
        <v/>
      </c>
      <c r="H90" s="30" t="s">
        <v>54</v>
      </c>
      <c r="I90" s="41"/>
      <c r="J90" s="33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0" s="33" t="str">
        <f t="shared" ca="1" si="8"/>
        <v>—</v>
      </c>
      <c r="L90" s="50"/>
    </row>
    <row r="91" spans="1:12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IF(A91="","",IFERROR(VLOOKUP(A91,DB_Customers!$A:$N,14,0),""))</f>
        <v/>
      </c>
      <c r="D91" s="42" t="str">
        <f t="shared" ca="1" si="6"/>
        <v/>
      </c>
      <c r="E91" s="32"/>
      <c r="F91" s="31"/>
      <c r="G91" s="43" t="str">
        <f t="shared" si="7"/>
        <v/>
      </c>
      <c r="H91" s="30" t="s">
        <v>54</v>
      </c>
      <c r="I91" s="41"/>
      <c r="J91" s="33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1" s="33" t="str">
        <f t="shared" ca="1" si="8"/>
        <v>—</v>
      </c>
      <c r="L91" s="22"/>
    </row>
    <row r="92" spans="1:12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IF(A92="","",IFERROR(VLOOKUP(A92,DB_Customers!$A:$N,14,0),""))</f>
        <v/>
      </c>
      <c r="D92" s="42" t="str">
        <f t="shared" ca="1" si="6"/>
        <v/>
      </c>
      <c r="E92" s="32"/>
      <c r="F92" s="31"/>
      <c r="G92" s="43" t="str">
        <f t="shared" si="7"/>
        <v/>
      </c>
      <c r="H92" s="30" t="s">
        <v>54</v>
      </c>
      <c r="I92" s="41"/>
      <c r="J92" s="33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2" s="33" t="str">
        <f t="shared" ca="1" si="8"/>
        <v>—</v>
      </c>
      <c r="L92" s="50"/>
    </row>
    <row r="93" spans="1:12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IF(A93="","",IFERROR(VLOOKUP(A93,DB_Customers!$A:$N,14,0),""))</f>
        <v/>
      </c>
      <c r="D93" s="42" t="str">
        <f t="shared" ca="1" si="6"/>
        <v/>
      </c>
      <c r="E93" s="32"/>
      <c r="F93" s="31"/>
      <c r="G93" s="43" t="str">
        <f t="shared" si="7"/>
        <v/>
      </c>
      <c r="H93" s="30" t="s">
        <v>54</v>
      </c>
      <c r="I93" s="41"/>
      <c r="J93" s="33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3" s="33" t="str">
        <f t="shared" ca="1" si="8"/>
        <v>—</v>
      </c>
      <c r="L93" s="22"/>
    </row>
    <row r="94" spans="1:12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IF(A94="","",IFERROR(VLOOKUP(A94,DB_Customers!$A:$N,14,0),""))</f>
        <v/>
      </c>
      <c r="D94" s="42" t="str">
        <f t="shared" ca="1" si="6"/>
        <v/>
      </c>
      <c r="E94" s="32"/>
      <c r="F94" s="31"/>
      <c r="G94" s="43" t="str">
        <f t="shared" si="7"/>
        <v/>
      </c>
      <c r="H94" s="30" t="s">
        <v>54</v>
      </c>
      <c r="I94" s="41"/>
      <c r="J94" s="33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4" s="33" t="str">
        <f t="shared" ca="1" si="8"/>
        <v>—</v>
      </c>
      <c r="L94" s="50"/>
    </row>
    <row r="95" spans="1:12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IF(A95="","",IFERROR(VLOOKUP(A95,DB_Customers!$A:$N,14,0),""))</f>
        <v/>
      </c>
      <c r="D95" s="42" t="str">
        <f t="shared" ca="1" si="6"/>
        <v/>
      </c>
      <c r="E95" s="32"/>
      <c r="F95" s="31"/>
      <c r="G95" s="43" t="str">
        <f t="shared" si="7"/>
        <v/>
      </c>
      <c r="H95" s="30" t="s">
        <v>54</v>
      </c>
      <c r="I95" s="41"/>
      <c r="J95" s="33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5" s="33" t="str">
        <f t="shared" ca="1" si="8"/>
        <v>—</v>
      </c>
      <c r="L95" s="22"/>
    </row>
    <row r="96" spans="1:12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IF(A96="","",IFERROR(VLOOKUP(A96,DB_Customers!$A:$N,14,0),""))</f>
        <v/>
      </c>
      <c r="D96" s="42" t="str">
        <f t="shared" ca="1" si="6"/>
        <v/>
      </c>
      <c r="E96" s="32"/>
      <c r="F96" s="31"/>
      <c r="G96" s="43" t="str">
        <f t="shared" si="7"/>
        <v/>
      </c>
      <c r="H96" s="30" t="s">
        <v>54</v>
      </c>
      <c r="I96" s="41"/>
      <c r="J96" s="33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6" s="33" t="str">
        <f t="shared" ca="1" si="8"/>
        <v>—</v>
      </c>
      <c r="L96" s="50"/>
    </row>
    <row r="97" spans="1:12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IF(A97="","",IFERROR(VLOOKUP(A97,DB_Customers!$A:$N,14,0),""))</f>
        <v/>
      </c>
      <c r="D97" s="42" t="str">
        <f t="shared" ca="1" si="6"/>
        <v/>
      </c>
      <c r="E97" s="32"/>
      <c r="F97" s="31"/>
      <c r="G97" s="43" t="str">
        <f t="shared" si="7"/>
        <v/>
      </c>
      <c r="H97" s="30" t="s">
        <v>54</v>
      </c>
      <c r="I97" s="41"/>
      <c r="J97" s="33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7" s="33" t="str">
        <f t="shared" ca="1" si="8"/>
        <v>—</v>
      </c>
      <c r="L97" s="22"/>
    </row>
    <row r="98" spans="1:12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IF(A98="","",IFERROR(VLOOKUP(A98,DB_Customers!$A:$N,14,0),""))</f>
        <v/>
      </c>
      <c r="D98" s="42" t="str">
        <f t="shared" ca="1" si="6"/>
        <v/>
      </c>
      <c r="E98" s="32"/>
      <c r="F98" s="31"/>
      <c r="G98" s="43" t="str">
        <f t="shared" si="7"/>
        <v/>
      </c>
      <c r="H98" s="30" t="s">
        <v>54</v>
      </c>
      <c r="I98" s="41"/>
      <c r="J98" s="33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98" s="33" t="str">
        <f t="shared" ca="1" si="8"/>
        <v>—</v>
      </c>
      <c r="L98" s="50"/>
    </row>
    <row r="99" spans="1:12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IF(A99="","",IFERROR(VLOOKUP(A99,DB_Customers!$A:$N,14,0),""))</f>
        <v/>
      </c>
      <c r="D99" s="42" t="str">
        <f t="shared" ca="1" si="6"/>
        <v/>
      </c>
      <c r="E99" s="32"/>
      <c r="F99" s="31"/>
      <c r="G99" s="43" t="str">
        <f t="shared" si="7"/>
        <v/>
      </c>
      <c r="H99" s="30" t="s">
        <v>54</v>
      </c>
      <c r="I99" s="41"/>
      <c r="J99" s="33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99" s="33" t="str">
        <f t="shared" ca="1" si="8"/>
        <v>—</v>
      </c>
      <c r="L99" s="22"/>
    </row>
    <row r="100" spans="1:12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IF(A100="","",IFERROR(VLOOKUP(A100,DB_Customers!$A:$N,14,0),""))</f>
        <v/>
      </c>
      <c r="D100" s="42" t="str">
        <f t="shared" ca="1" si="6"/>
        <v/>
      </c>
      <c r="E100" s="32"/>
      <c r="F100" s="31"/>
      <c r="G100" s="43" t="str">
        <f t="shared" si="7"/>
        <v/>
      </c>
      <c r="H100" s="30" t="s">
        <v>54</v>
      </c>
      <c r="I100" s="41"/>
      <c r="J100" s="33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0" s="33" t="str">
        <f t="shared" ca="1" si="8"/>
        <v>—</v>
      </c>
      <c r="L100" s="50"/>
    </row>
    <row r="101" spans="1:12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IF(A101="","",IFERROR(VLOOKUP(A101,DB_Customers!$A:$N,14,0),""))</f>
        <v/>
      </c>
      <c r="D101" s="42" t="str">
        <f t="shared" ca="1" si="6"/>
        <v/>
      </c>
      <c r="E101" s="32"/>
      <c r="F101" s="31"/>
      <c r="G101" s="43" t="str">
        <f t="shared" si="7"/>
        <v/>
      </c>
      <c r="H101" s="30" t="s">
        <v>54</v>
      </c>
      <c r="I101" s="41"/>
      <c r="J101" s="33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1" s="33" t="str">
        <f t="shared" ca="1" si="8"/>
        <v>—</v>
      </c>
      <c r="L101" s="22"/>
    </row>
    <row r="102" spans="1:12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IF(A102="","",IFERROR(VLOOKUP(A102,DB_Customers!$A:$N,14,0),""))</f>
        <v/>
      </c>
      <c r="D102" s="42" t="str">
        <f t="shared" ca="1" si="6"/>
        <v/>
      </c>
      <c r="E102" s="32"/>
      <c r="F102" s="31"/>
      <c r="G102" s="43" t="str">
        <f t="shared" si="7"/>
        <v/>
      </c>
      <c r="H102" s="30" t="s">
        <v>54</v>
      </c>
      <c r="I102" s="41"/>
      <c r="J102" s="33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2" s="33" t="str">
        <f t="shared" ca="1" si="8"/>
        <v>—</v>
      </c>
      <c r="L102" s="50"/>
    </row>
    <row r="103" spans="1:12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IF(A103="","",IFERROR(VLOOKUP(A103,DB_Customers!$A:$N,14,0),""))</f>
        <v/>
      </c>
      <c r="D103" s="42" t="str">
        <f t="shared" ca="1" si="6"/>
        <v/>
      </c>
      <c r="E103" s="32"/>
      <c r="F103" s="31"/>
      <c r="G103" s="43" t="str">
        <f t="shared" si="7"/>
        <v/>
      </c>
      <c r="H103" s="30" t="s">
        <v>54</v>
      </c>
      <c r="I103" s="41"/>
      <c r="J103" s="33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3" s="33" t="str">
        <f t="shared" ca="1" si="8"/>
        <v>—</v>
      </c>
      <c r="L103" s="22"/>
    </row>
    <row r="104" spans="1:12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IF(A104="","",IFERROR(VLOOKUP(A104,DB_Customers!$A:$N,14,0),""))</f>
        <v/>
      </c>
      <c r="D104" s="42" t="str">
        <f t="shared" ca="1" si="6"/>
        <v/>
      </c>
      <c r="E104" s="32"/>
      <c r="F104" s="31"/>
      <c r="G104" s="43" t="str">
        <f t="shared" si="7"/>
        <v/>
      </c>
      <c r="H104" s="30" t="s">
        <v>54</v>
      </c>
      <c r="I104" s="41"/>
      <c r="J104" s="33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4" s="33" t="str">
        <f t="shared" ca="1" si="8"/>
        <v>—</v>
      </c>
      <c r="L104" s="50"/>
    </row>
    <row r="105" spans="1:12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IF(A105="","",IFERROR(VLOOKUP(A105,DB_Customers!$A:$N,14,0),""))</f>
        <v/>
      </c>
      <c r="D105" s="42" t="str">
        <f t="shared" ref="D105:D136" ca="1" si="9">IF(A105="","",TODAY())</f>
        <v/>
      </c>
      <c r="E105" s="32"/>
      <c r="F105" s="31"/>
      <c r="G105" s="43" t="str">
        <f t="shared" ref="G105:G136" si="10">IFERROR(IF(OR(A105="",E105=""),"",C105-E105),"")</f>
        <v/>
      </c>
      <c r="H105" s="30" t="s">
        <v>54</v>
      </c>
      <c r="I105" s="41"/>
      <c r="J105" s="33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5" s="33" t="str">
        <f t="shared" ref="K105:K136" ca="1" si="11">IF(J105="✅ Successful",TEXT(TODAY(),"YYYY-MM-DD")&amp;" Auto","—")</f>
        <v>—</v>
      </c>
      <c r="L105" s="22"/>
    </row>
    <row r="106" spans="1:12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IF(A106="","",IFERROR(VLOOKUP(A106,DB_Customers!$A:$N,14,0),""))</f>
        <v/>
      </c>
      <c r="D106" s="42" t="str">
        <f t="shared" ca="1" si="9"/>
        <v/>
      </c>
      <c r="E106" s="32"/>
      <c r="F106" s="31"/>
      <c r="G106" s="43" t="str">
        <f t="shared" si="10"/>
        <v/>
      </c>
      <c r="H106" s="30" t="s">
        <v>54</v>
      </c>
      <c r="I106" s="41"/>
      <c r="J106" s="33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6" s="33" t="str">
        <f t="shared" ca="1" si="11"/>
        <v>—</v>
      </c>
      <c r="L106" s="50"/>
    </row>
    <row r="107" spans="1:12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IF(A107="","",IFERROR(VLOOKUP(A107,DB_Customers!$A:$N,14,0),""))</f>
        <v/>
      </c>
      <c r="D107" s="42" t="str">
        <f t="shared" ca="1" si="9"/>
        <v/>
      </c>
      <c r="E107" s="32"/>
      <c r="F107" s="31"/>
      <c r="G107" s="43" t="str">
        <f t="shared" si="10"/>
        <v/>
      </c>
      <c r="H107" s="30" t="s">
        <v>54</v>
      </c>
      <c r="I107" s="41"/>
      <c r="J107" s="33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7" s="33" t="str">
        <f t="shared" ca="1" si="11"/>
        <v>—</v>
      </c>
      <c r="L107" s="22"/>
    </row>
    <row r="108" spans="1:12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IF(A108="","",IFERROR(VLOOKUP(A108,DB_Customers!$A:$N,14,0),""))</f>
        <v/>
      </c>
      <c r="D108" s="42" t="str">
        <f t="shared" ca="1" si="9"/>
        <v/>
      </c>
      <c r="E108" s="32"/>
      <c r="F108" s="31"/>
      <c r="G108" s="43" t="str">
        <f t="shared" si="10"/>
        <v/>
      </c>
      <c r="H108" s="30" t="s">
        <v>54</v>
      </c>
      <c r="I108" s="41"/>
      <c r="J108" s="33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08" s="33" t="str">
        <f t="shared" ca="1" si="11"/>
        <v>—</v>
      </c>
      <c r="L108" s="50"/>
    </row>
    <row r="109" spans="1:12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IF(A109="","",IFERROR(VLOOKUP(A109,DB_Customers!$A:$N,14,0),""))</f>
        <v/>
      </c>
      <c r="D109" s="42" t="str">
        <f t="shared" ca="1" si="9"/>
        <v/>
      </c>
      <c r="E109" s="32"/>
      <c r="F109" s="31"/>
      <c r="G109" s="43" t="str">
        <f t="shared" si="10"/>
        <v/>
      </c>
      <c r="H109" s="30" t="s">
        <v>54</v>
      </c>
      <c r="I109" s="41"/>
      <c r="J109" s="33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09" s="33" t="str">
        <f t="shared" ca="1" si="11"/>
        <v>—</v>
      </c>
      <c r="L109" s="22"/>
    </row>
    <row r="110" spans="1:12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IF(A110="","",IFERROR(VLOOKUP(A110,DB_Customers!$A:$N,14,0),""))</f>
        <v/>
      </c>
      <c r="D110" s="42" t="str">
        <f t="shared" ca="1" si="9"/>
        <v/>
      </c>
      <c r="E110" s="32"/>
      <c r="F110" s="31"/>
      <c r="G110" s="43" t="str">
        <f t="shared" si="10"/>
        <v/>
      </c>
      <c r="H110" s="30" t="s">
        <v>54</v>
      </c>
      <c r="I110" s="41"/>
      <c r="J110" s="33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0" s="33" t="str">
        <f t="shared" ca="1" si="11"/>
        <v>—</v>
      </c>
      <c r="L110" s="50"/>
    </row>
    <row r="111" spans="1:12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IF(A111="","",IFERROR(VLOOKUP(A111,DB_Customers!$A:$N,14,0),""))</f>
        <v/>
      </c>
      <c r="D111" s="42" t="str">
        <f t="shared" ca="1" si="9"/>
        <v/>
      </c>
      <c r="E111" s="32"/>
      <c r="F111" s="31"/>
      <c r="G111" s="43" t="str">
        <f t="shared" si="10"/>
        <v/>
      </c>
      <c r="H111" s="30" t="s">
        <v>54</v>
      </c>
      <c r="I111" s="41"/>
      <c r="J111" s="33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1" s="33" t="str">
        <f t="shared" ca="1" si="11"/>
        <v>—</v>
      </c>
      <c r="L111" s="22"/>
    </row>
    <row r="112" spans="1:12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IF(A112="","",IFERROR(VLOOKUP(A112,DB_Customers!$A:$N,14,0),""))</f>
        <v/>
      </c>
      <c r="D112" s="42" t="str">
        <f t="shared" ca="1" si="9"/>
        <v/>
      </c>
      <c r="E112" s="32"/>
      <c r="F112" s="31"/>
      <c r="G112" s="43" t="str">
        <f t="shared" si="10"/>
        <v/>
      </c>
      <c r="H112" s="30" t="s">
        <v>54</v>
      </c>
      <c r="I112" s="41"/>
      <c r="J112" s="33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2" s="33" t="str">
        <f t="shared" ca="1" si="11"/>
        <v>—</v>
      </c>
      <c r="L112" s="50"/>
    </row>
    <row r="113" spans="1:12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IF(A113="","",IFERROR(VLOOKUP(A113,DB_Customers!$A:$N,14,0),""))</f>
        <v/>
      </c>
      <c r="D113" s="42" t="str">
        <f t="shared" ca="1" si="9"/>
        <v/>
      </c>
      <c r="E113" s="32"/>
      <c r="F113" s="31"/>
      <c r="G113" s="43" t="str">
        <f t="shared" si="10"/>
        <v/>
      </c>
      <c r="H113" s="30" t="s">
        <v>54</v>
      </c>
      <c r="I113" s="41"/>
      <c r="J113" s="33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3" s="33" t="str">
        <f t="shared" ca="1" si="11"/>
        <v>—</v>
      </c>
      <c r="L113" s="22"/>
    </row>
    <row r="114" spans="1:12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IF(A114="","",IFERROR(VLOOKUP(A114,DB_Customers!$A:$N,14,0),""))</f>
        <v/>
      </c>
      <c r="D114" s="42" t="str">
        <f t="shared" ca="1" si="9"/>
        <v/>
      </c>
      <c r="E114" s="32"/>
      <c r="F114" s="31"/>
      <c r="G114" s="43" t="str">
        <f t="shared" si="10"/>
        <v/>
      </c>
      <c r="H114" s="30" t="s">
        <v>54</v>
      </c>
      <c r="I114" s="41"/>
      <c r="J114" s="33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4" s="33" t="str">
        <f t="shared" ca="1" si="11"/>
        <v>—</v>
      </c>
      <c r="L114" s="50"/>
    </row>
    <row r="115" spans="1:12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IF(A115="","",IFERROR(VLOOKUP(A115,DB_Customers!$A:$N,14,0),""))</f>
        <v/>
      </c>
      <c r="D115" s="42" t="str">
        <f t="shared" ca="1" si="9"/>
        <v/>
      </c>
      <c r="E115" s="32"/>
      <c r="F115" s="31"/>
      <c r="G115" s="43" t="str">
        <f t="shared" si="10"/>
        <v/>
      </c>
      <c r="H115" s="30" t="s">
        <v>54</v>
      </c>
      <c r="I115" s="41"/>
      <c r="J115" s="33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5" s="33" t="str">
        <f t="shared" ca="1" si="11"/>
        <v>—</v>
      </c>
      <c r="L115" s="22"/>
    </row>
    <row r="116" spans="1:12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IF(A116="","",IFERROR(VLOOKUP(A116,DB_Customers!$A:$N,14,0),""))</f>
        <v/>
      </c>
      <c r="D116" s="42" t="str">
        <f t="shared" ca="1" si="9"/>
        <v/>
      </c>
      <c r="E116" s="32"/>
      <c r="F116" s="31"/>
      <c r="G116" s="43" t="str">
        <f t="shared" si="10"/>
        <v/>
      </c>
      <c r="H116" s="30" t="s">
        <v>54</v>
      </c>
      <c r="I116" s="41"/>
      <c r="J116" s="33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6" s="33" t="str">
        <f t="shared" ca="1" si="11"/>
        <v>—</v>
      </c>
      <c r="L116" s="50"/>
    </row>
    <row r="117" spans="1:12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IF(A117="","",IFERROR(VLOOKUP(A117,DB_Customers!$A:$N,14,0),""))</f>
        <v/>
      </c>
      <c r="D117" s="42" t="str">
        <f t="shared" ca="1" si="9"/>
        <v/>
      </c>
      <c r="E117" s="32"/>
      <c r="F117" s="31"/>
      <c r="G117" s="43" t="str">
        <f t="shared" si="10"/>
        <v/>
      </c>
      <c r="H117" s="30" t="s">
        <v>54</v>
      </c>
      <c r="I117" s="41"/>
      <c r="J117" s="33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7" s="33" t="str">
        <f t="shared" ca="1" si="11"/>
        <v>—</v>
      </c>
      <c r="L117" s="22"/>
    </row>
    <row r="118" spans="1:12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IF(A118="","",IFERROR(VLOOKUP(A118,DB_Customers!$A:$N,14,0),""))</f>
        <v/>
      </c>
      <c r="D118" s="42" t="str">
        <f t="shared" ca="1" si="9"/>
        <v/>
      </c>
      <c r="E118" s="32"/>
      <c r="F118" s="31"/>
      <c r="G118" s="43" t="str">
        <f t="shared" si="10"/>
        <v/>
      </c>
      <c r="H118" s="30" t="s">
        <v>54</v>
      </c>
      <c r="I118" s="41"/>
      <c r="J118" s="33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18" s="33" t="str">
        <f t="shared" ca="1" si="11"/>
        <v>—</v>
      </c>
      <c r="L118" s="50"/>
    </row>
    <row r="119" spans="1:12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IF(A119="","",IFERROR(VLOOKUP(A119,DB_Customers!$A:$N,14,0),""))</f>
        <v/>
      </c>
      <c r="D119" s="42" t="str">
        <f t="shared" ca="1" si="9"/>
        <v/>
      </c>
      <c r="E119" s="32"/>
      <c r="F119" s="31"/>
      <c r="G119" s="43" t="str">
        <f t="shared" si="10"/>
        <v/>
      </c>
      <c r="H119" s="30" t="s">
        <v>54</v>
      </c>
      <c r="I119" s="41"/>
      <c r="J119" s="33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19" s="33" t="str">
        <f t="shared" ca="1" si="11"/>
        <v>—</v>
      </c>
      <c r="L119" s="22"/>
    </row>
    <row r="120" spans="1:12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IF(A120="","",IFERROR(VLOOKUP(A120,DB_Customers!$A:$N,14,0),""))</f>
        <v/>
      </c>
      <c r="D120" s="42" t="str">
        <f t="shared" ca="1" si="9"/>
        <v/>
      </c>
      <c r="E120" s="32"/>
      <c r="F120" s="31"/>
      <c r="G120" s="43" t="str">
        <f t="shared" si="10"/>
        <v/>
      </c>
      <c r="H120" s="30" t="s">
        <v>54</v>
      </c>
      <c r="I120" s="41"/>
      <c r="J120" s="33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0" s="33" t="str">
        <f t="shared" ca="1" si="11"/>
        <v>—</v>
      </c>
      <c r="L120" s="50"/>
    </row>
    <row r="121" spans="1:12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IF(A121="","",IFERROR(VLOOKUP(A121,DB_Customers!$A:$N,14,0),""))</f>
        <v/>
      </c>
      <c r="D121" s="42" t="str">
        <f t="shared" ca="1" si="9"/>
        <v/>
      </c>
      <c r="E121" s="32"/>
      <c r="F121" s="31"/>
      <c r="G121" s="43" t="str">
        <f t="shared" si="10"/>
        <v/>
      </c>
      <c r="H121" s="30" t="s">
        <v>54</v>
      </c>
      <c r="I121" s="41"/>
      <c r="J121" s="33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1" s="33" t="str">
        <f t="shared" ca="1" si="11"/>
        <v>—</v>
      </c>
      <c r="L121" s="22"/>
    </row>
    <row r="122" spans="1:12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IF(A122="","",IFERROR(VLOOKUP(A122,DB_Customers!$A:$N,14,0),""))</f>
        <v/>
      </c>
      <c r="D122" s="42" t="str">
        <f t="shared" ca="1" si="9"/>
        <v/>
      </c>
      <c r="E122" s="32"/>
      <c r="F122" s="31"/>
      <c r="G122" s="43" t="str">
        <f t="shared" si="10"/>
        <v/>
      </c>
      <c r="H122" s="30" t="s">
        <v>54</v>
      </c>
      <c r="I122" s="41"/>
      <c r="J122" s="33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2" s="33" t="str">
        <f t="shared" ca="1" si="11"/>
        <v>—</v>
      </c>
      <c r="L122" s="50"/>
    </row>
    <row r="123" spans="1:12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IF(A123="","",IFERROR(VLOOKUP(A123,DB_Customers!$A:$N,14,0),""))</f>
        <v/>
      </c>
      <c r="D123" s="42" t="str">
        <f t="shared" ca="1" si="9"/>
        <v/>
      </c>
      <c r="E123" s="32"/>
      <c r="F123" s="31"/>
      <c r="G123" s="43" t="str">
        <f t="shared" si="10"/>
        <v/>
      </c>
      <c r="H123" s="30" t="s">
        <v>54</v>
      </c>
      <c r="I123" s="41"/>
      <c r="J123" s="33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3" s="33" t="str">
        <f t="shared" ca="1" si="11"/>
        <v>—</v>
      </c>
      <c r="L123" s="22"/>
    </row>
    <row r="124" spans="1:12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IF(A124="","",IFERROR(VLOOKUP(A124,DB_Customers!$A:$N,14,0),""))</f>
        <v/>
      </c>
      <c r="D124" s="42" t="str">
        <f t="shared" ca="1" si="9"/>
        <v/>
      </c>
      <c r="E124" s="32"/>
      <c r="F124" s="31"/>
      <c r="G124" s="43" t="str">
        <f t="shared" si="10"/>
        <v/>
      </c>
      <c r="H124" s="30" t="s">
        <v>54</v>
      </c>
      <c r="I124" s="41"/>
      <c r="J124" s="33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4" s="33" t="str">
        <f t="shared" ca="1" si="11"/>
        <v>—</v>
      </c>
      <c r="L124" s="50"/>
    </row>
    <row r="125" spans="1:12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IF(A125="","",IFERROR(VLOOKUP(A125,DB_Customers!$A:$N,14,0),""))</f>
        <v/>
      </c>
      <c r="D125" s="42" t="str">
        <f t="shared" ca="1" si="9"/>
        <v/>
      </c>
      <c r="E125" s="32"/>
      <c r="F125" s="31"/>
      <c r="G125" s="43" t="str">
        <f t="shared" si="10"/>
        <v/>
      </c>
      <c r="H125" s="30" t="s">
        <v>54</v>
      </c>
      <c r="I125" s="41"/>
      <c r="J125" s="33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5" s="33" t="str">
        <f t="shared" ca="1" si="11"/>
        <v>—</v>
      </c>
      <c r="L125" s="22"/>
    </row>
    <row r="126" spans="1:12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IF(A126="","",IFERROR(VLOOKUP(A126,DB_Customers!$A:$N,14,0),""))</f>
        <v/>
      </c>
      <c r="D126" s="42" t="str">
        <f t="shared" ca="1" si="9"/>
        <v/>
      </c>
      <c r="E126" s="32"/>
      <c r="F126" s="31"/>
      <c r="G126" s="43" t="str">
        <f t="shared" si="10"/>
        <v/>
      </c>
      <c r="H126" s="30" t="s">
        <v>54</v>
      </c>
      <c r="I126" s="41"/>
      <c r="J126" s="33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6" s="33" t="str">
        <f t="shared" ca="1" si="11"/>
        <v>—</v>
      </c>
      <c r="L126" s="50"/>
    </row>
    <row r="127" spans="1:12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IF(A127="","",IFERROR(VLOOKUP(A127,DB_Customers!$A:$N,14,0),""))</f>
        <v/>
      </c>
      <c r="D127" s="42" t="str">
        <f t="shared" ca="1" si="9"/>
        <v/>
      </c>
      <c r="E127" s="32"/>
      <c r="F127" s="31"/>
      <c r="G127" s="43" t="str">
        <f t="shared" si="10"/>
        <v/>
      </c>
      <c r="H127" s="30" t="s">
        <v>54</v>
      </c>
      <c r="I127" s="41"/>
      <c r="J127" s="33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7" s="33" t="str">
        <f t="shared" ca="1" si="11"/>
        <v>—</v>
      </c>
      <c r="L127" s="22"/>
    </row>
    <row r="128" spans="1:12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IF(A128="","",IFERROR(VLOOKUP(A128,DB_Customers!$A:$N,14,0),""))</f>
        <v/>
      </c>
      <c r="D128" s="42" t="str">
        <f t="shared" ca="1" si="9"/>
        <v/>
      </c>
      <c r="E128" s="32"/>
      <c r="F128" s="31"/>
      <c r="G128" s="43" t="str">
        <f t="shared" si="10"/>
        <v/>
      </c>
      <c r="H128" s="30" t="s">
        <v>54</v>
      </c>
      <c r="I128" s="41"/>
      <c r="J128" s="33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28" s="33" t="str">
        <f t="shared" ca="1" si="11"/>
        <v>—</v>
      </c>
      <c r="L128" s="50"/>
    </row>
    <row r="129" spans="1:12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IF(A129="","",IFERROR(VLOOKUP(A129,DB_Customers!$A:$N,14,0),""))</f>
        <v/>
      </c>
      <c r="D129" s="42" t="str">
        <f t="shared" ca="1" si="9"/>
        <v/>
      </c>
      <c r="E129" s="32"/>
      <c r="F129" s="31"/>
      <c r="G129" s="43" t="str">
        <f t="shared" si="10"/>
        <v/>
      </c>
      <c r="H129" s="30" t="s">
        <v>54</v>
      </c>
      <c r="I129" s="41"/>
      <c r="J129" s="33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29" s="33" t="str">
        <f t="shared" ca="1" si="11"/>
        <v>—</v>
      </c>
      <c r="L129" s="22"/>
    </row>
    <row r="130" spans="1:12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IF(A130="","",IFERROR(VLOOKUP(A130,DB_Customers!$A:$N,14,0),""))</f>
        <v/>
      </c>
      <c r="D130" s="42" t="str">
        <f t="shared" ca="1" si="9"/>
        <v/>
      </c>
      <c r="E130" s="32"/>
      <c r="F130" s="31"/>
      <c r="G130" s="43" t="str">
        <f t="shared" si="10"/>
        <v/>
      </c>
      <c r="H130" s="30" t="s">
        <v>54</v>
      </c>
      <c r="I130" s="41"/>
      <c r="J130" s="33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0" s="33" t="str">
        <f t="shared" ca="1" si="11"/>
        <v>—</v>
      </c>
      <c r="L130" s="50"/>
    </row>
    <row r="131" spans="1:12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IF(A131="","",IFERROR(VLOOKUP(A131,DB_Customers!$A:$N,14,0),""))</f>
        <v/>
      </c>
      <c r="D131" s="42" t="str">
        <f t="shared" ca="1" si="9"/>
        <v/>
      </c>
      <c r="E131" s="32"/>
      <c r="F131" s="31"/>
      <c r="G131" s="43" t="str">
        <f t="shared" si="10"/>
        <v/>
      </c>
      <c r="H131" s="30" t="s">
        <v>54</v>
      </c>
      <c r="I131" s="41"/>
      <c r="J131" s="33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1" s="33" t="str">
        <f t="shared" ca="1" si="11"/>
        <v>—</v>
      </c>
      <c r="L131" s="22"/>
    </row>
    <row r="132" spans="1:12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IF(A132="","",IFERROR(VLOOKUP(A132,DB_Customers!$A:$N,14,0),""))</f>
        <v/>
      </c>
      <c r="D132" s="42" t="str">
        <f t="shared" ca="1" si="9"/>
        <v/>
      </c>
      <c r="E132" s="32"/>
      <c r="F132" s="31"/>
      <c r="G132" s="43" t="str">
        <f t="shared" si="10"/>
        <v/>
      </c>
      <c r="H132" s="30" t="s">
        <v>54</v>
      </c>
      <c r="I132" s="41"/>
      <c r="J132" s="33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2" s="33" t="str">
        <f t="shared" ca="1" si="11"/>
        <v>—</v>
      </c>
      <c r="L132" s="50"/>
    </row>
    <row r="133" spans="1:12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IF(A133="","",IFERROR(VLOOKUP(A133,DB_Customers!$A:$N,14,0),""))</f>
        <v/>
      </c>
      <c r="D133" s="42" t="str">
        <f t="shared" ca="1" si="9"/>
        <v/>
      </c>
      <c r="E133" s="32"/>
      <c r="F133" s="31"/>
      <c r="G133" s="43" t="str">
        <f t="shared" si="10"/>
        <v/>
      </c>
      <c r="H133" s="30" t="s">
        <v>54</v>
      </c>
      <c r="I133" s="41"/>
      <c r="J133" s="33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3" s="33" t="str">
        <f t="shared" ca="1" si="11"/>
        <v>—</v>
      </c>
      <c r="L133" s="22"/>
    </row>
    <row r="134" spans="1:12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IF(A134="","",IFERROR(VLOOKUP(A134,DB_Customers!$A:$N,14,0),""))</f>
        <v/>
      </c>
      <c r="D134" s="42" t="str">
        <f t="shared" ca="1" si="9"/>
        <v/>
      </c>
      <c r="E134" s="32"/>
      <c r="F134" s="31"/>
      <c r="G134" s="43" t="str">
        <f t="shared" si="10"/>
        <v/>
      </c>
      <c r="H134" s="30" t="s">
        <v>54</v>
      </c>
      <c r="I134" s="41"/>
      <c r="J134" s="33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4" s="33" t="str">
        <f t="shared" ca="1" si="11"/>
        <v>—</v>
      </c>
      <c r="L134" s="50"/>
    </row>
    <row r="135" spans="1:12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IF(A135="","",IFERROR(VLOOKUP(A135,DB_Customers!$A:$N,14,0),""))</f>
        <v/>
      </c>
      <c r="D135" s="42" t="str">
        <f t="shared" ca="1" si="9"/>
        <v/>
      </c>
      <c r="E135" s="32"/>
      <c r="F135" s="31"/>
      <c r="G135" s="43" t="str">
        <f t="shared" si="10"/>
        <v/>
      </c>
      <c r="H135" s="30" t="s">
        <v>54</v>
      </c>
      <c r="I135" s="41"/>
      <c r="J135" s="33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5" s="33" t="str">
        <f t="shared" ca="1" si="11"/>
        <v>—</v>
      </c>
      <c r="L135" s="22"/>
    </row>
    <row r="136" spans="1:12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IF(A136="","",IFERROR(VLOOKUP(A136,DB_Customers!$A:$N,14,0),""))</f>
        <v/>
      </c>
      <c r="D136" s="42" t="str">
        <f t="shared" ca="1" si="9"/>
        <v/>
      </c>
      <c r="E136" s="32"/>
      <c r="F136" s="31"/>
      <c r="G136" s="43" t="str">
        <f t="shared" si="10"/>
        <v/>
      </c>
      <c r="H136" s="30" t="s">
        <v>54</v>
      </c>
      <c r="I136" s="41"/>
      <c r="J136" s="33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6" s="33" t="str">
        <f t="shared" ca="1" si="11"/>
        <v>—</v>
      </c>
      <c r="L136" s="50"/>
    </row>
    <row r="137" spans="1:12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IF(A137="","",IFERROR(VLOOKUP(A137,DB_Customers!$A:$N,14,0),""))</f>
        <v/>
      </c>
      <c r="D137" s="42" t="str">
        <f t="shared" ref="D137:D168" ca="1" si="12">IF(A137="","",TODAY())</f>
        <v/>
      </c>
      <c r="E137" s="32"/>
      <c r="F137" s="31"/>
      <c r="G137" s="43" t="str">
        <f t="shared" ref="G137:G168" si="13">IFERROR(IF(OR(A137="",E137=""),"",C137-E137),"")</f>
        <v/>
      </c>
      <c r="H137" s="30" t="s">
        <v>54</v>
      </c>
      <c r="I137" s="41"/>
      <c r="J137" s="33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7" s="33" t="str">
        <f t="shared" ref="K137:K168" ca="1" si="14">IF(J137="✅ Successful",TEXT(TODAY(),"YYYY-MM-DD")&amp;" Auto","—")</f>
        <v>—</v>
      </c>
      <c r="L137" s="22"/>
    </row>
    <row r="138" spans="1:12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IF(A138="","",IFERROR(VLOOKUP(A138,DB_Customers!$A:$N,14,0),""))</f>
        <v/>
      </c>
      <c r="D138" s="42" t="str">
        <f t="shared" ca="1" si="12"/>
        <v/>
      </c>
      <c r="E138" s="32"/>
      <c r="F138" s="31"/>
      <c r="G138" s="43" t="str">
        <f t="shared" si="13"/>
        <v/>
      </c>
      <c r="H138" s="30" t="s">
        <v>54</v>
      </c>
      <c r="I138" s="41"/>
      <c r="J138" s="33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38" s="33" t="str">
        <f t="shared" ca="1" si="14"/>
        <v>—</v>
      </c>
      <c r="L138" s="50"/>
    </row>
    <row r="139" spans="1:12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IF(A139="","",IFERROR(VLOOKUP(A139,DB_Customers!$A:$N,14,0),""))</f>
        <v/>
      </c>
      <c r="D139" s="42" t="str">
        <f t="shared" ca="1" si="12"/>
        <v/>
      </c>
      <c r="E139" s="32"/>
      <c r="F139" s="31"/>
      <c r="G139" s="43" t="str">
        <f t="shared" si="13"/>
        <v/>
      </c>
      <c r="H139" s="30" t="s">
        <v>54</v>
      </c>
      <c r="I139" s="41"/>
      <c r="J139" s="33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39" s="33" t="str">
        <f t="shared" ca="1" si="14"/>
        <v>—</v>
      </c>
      <c r="L139" s="22"/>
    </row>
    <row r="140" spans="1:12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IF(A140="","",IFERROR(VLOOKUP(A140,DB_Customers!$A:$N,14,0),""))</f>
        <v/>
      </c>
      <c r="D140" s="42" t="str">
        <f t="shared" ca="1" si="12"/>
        <v/>
      </c>
      <c r="E140" s="32"/>
      <c r="F140" s="31"/>
      <c r="G140" s="43" t="str">
        <f t="shared" si="13"/>
        <v/>
      </c>
      <c r="H140" s="30" t="s">
        <v>54</v>
      </c>
      <c r="I140" s="41"/>
      <c r="J140" s="33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0" s="33" t="str">
        <f t="shared" ca="1" si="14"/>
        <v>—</v>
      </c>
      <c r="L140" s="50"/>
    </row>
    <row r="141" spans="1:12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IF(A141="","",IFERROR(VLOOKUP(A141,DB_Customers!$A:$N,14,0),""))</f>
        <v/>
      </c>
      <c r="D141" s="42" t="str">
        <f t="shared" ca="1" si="12"/>
        <v/>
      </c>
      <c r="E141" s="32"/>
      <c r="F141" s="31"/>
      <c r="G141" s="43" t="str">
        <f t="shared" si="13"/>
        <v/>
      </c>
      <c r="H141" s="30" t="s">
        <v>54</v>
      </c>
      <c r="I141" s="41"/>
      <c r="J141" s="33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1" s="33" t="str">
        <f t="shared" ca="1" si="14"/>
        <v>—</v>
      </c>
      <c r="L141" s="22"/>
    </row>
    <row r="142" spans="1:12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IF(A142="","",IFERROR(VLOOKUP(A142,DB_Customers!$A:$N,14,0),""))</f>
        <v/>
      </c>
      <c r="D142" s="42" t="str">
        <f t="shared" ca="1" si="12"/>
        <v/>
      </c>
      <c r="E142" s="32"/>
      <c r="F142" s="31"/>
      <c r="G142" s="43" t="str">
        <f t="shared" si="13"/>
        <v/>
      </c>
      <c r="H142" s="30" t="s">
        <v>54</v>
      </c>
      <c r="I142" s="41"/>
      <c r="J142" s="33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2" s="33" t="str">
        <f t="shared" ca="1" si="14"/>
        <v>—</v>
      </c>
      <c r="L142" s="50"/>
    </row>
    <row r="143" spans="1:12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IF(A143="","",IFERROR(VLOOKUP(A143,DB_Customers!$A:$N,14,0),""))</f>
        <v/>
      </c>
      <c r="D143" s="42" t="str">
        <f t="shared" ca="1" si="12"/>
        <v/>
      </c>
      <c r="E143" s="32"/>
      <c r="F143" s="31"/>
      <c r="G143" s="43" t="str">
        <f t="shared" si="13"/>
        <v/>
      </c>
      <c r="H143" s="30" t="s">
        <v>54</v>
      </c>
      <c r="I143" s="41"/>
      <c r="J143" s="33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3" s="33" t="str">
        <f t="shared" ca="1" si="14"/>
        <v>—</v>
      </c>
      <c r="L143" s="22"/>
    </row>
    <row r="144" spans="1:12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IF(A144="","",IFERROR(VLOOKUP(A144,DB_Customers!$A:$N,14,0),""))</f>
        <v/>
      </c>
      <c r="D144" s="42" t="str">
        <f t="shared" ca="1" si="12"/>
        <v/>
      </c>
      <c r="E144" s="32"/>
      <c r="F144" s="31"/>
      <c r="G144" s="43" t="str">
        <f t="shared" si="13"/>
        <v/>
      </c>
      <c r="H144" s="30" t="s">
        <v>54</v>
      </c>
      <c r="I144" s="41"/>
      <c r="J144" s="33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4" s="33" t="str">
        <f t="shared" ca="1" si="14"/>
        <v>—</v>
      </c>
      <c r="L144" s="50"/>
    </row>
    <row r="145" spans="1:12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IF(A145="","",IFERROR(VLOOKUP(A145,DB_Customers!$A:$N,14,0),""))</f>
        <v/>
      </c>
      <c r="D145" s="42" t="str">
        <f t="shared" ca="1" si="12"/>
        <v/>
      </c>
      <c r="E145" s="32"/>
      <c r="F145" s="31"/>
      <c r="G145" s="43" t="str">
        <f t="shared" si="13"/>
        <v/>
      </c>
      <c r="H145" s="30" t="s">
        <v>54</v>
      </c>
      <c r="I145" s="41"/>
      <c r="J145" s="33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5" s="33" t="str">
        <f t="shared" ca="1" si="14"/>
        <v>—</v>
      </c>
      <c r="L145" s="22"/>
    </row>
    <row r="146" spans="1:12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IF(A146="","",IFERROR(VLOOKUP(A146,DB_Customers!$A:$N,14,0),""))</f>
        <v/>
      </c>
      <c r="D146" s="42" t="str">
        <f t="shared" ca="1" si="12"/>
        <v/>
      </c>
      <c r="E146" s="32"/>
      <c r="F146" s="31"/>
      <c r="G146" s="43" t="str">
        <f t="shared" si="13"/>
        <v/>
      </c>
      <c r="H146" s="30" t="s">
        <v>54</v>
      </c>
      <c r="I146" s="41"/>
      <c r="J146" s="33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6" s="33" t="str">
        <f t="shared" ca="1" si="14"/>
        <v>—</v>
      </c>
      <c r="L146" s="50"/>
    </row>
    <row r="147" spans="1:12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IF(A147="","",IFERROR(VLOOKUP(A147,DB_Customers!$A:$N,14,0),""))</f>
        <v/>
      </c>
      <c r="D147" s="42" t="str">
        <f t="shared" ca="1" si="12"/>
        <v/>
      </c>
      <c r="E147" s="32"/>
      <c r="F147" s="31"/>
      <c r="G147" s="43" t="str">
        <f t="shared" si="13"/>
        <v/>
      </c>
      <c r="H147" s="30" t="s">
        <v>54</v>
      </c>
      <c r="I147" s="41"/>
      <c r="J147" s="33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7" s="33" t="str">
        <f t="shared" ca="1" si="14"/>
        <v>—</v>
      </c>
      <c r="L147" s="22"/>
    </row>
    <row r="148" spans="1:12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IF(A148="","",IFERROR(VLOOKUP(A148,DB_Customers!$A:$N,14,0),""))</f>
        <v/>
      </c>
      <c r="D148" s="42" t="str">
        <f t="shared" ca="1" si="12"/>
        <v/>
      </c>
      <c r="E148" s="32"/>
      <c r="F148" s="31"/>
      <c r="G148" s="43" t="str">
        <f t="shared" si="13"/>
        <v/>
      </c>
      <c r="H148" s="30" t="s">
        <v>54</v>
      </c>
      <c r="I148" s="41"/>
      <c r="J148" s="33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48" s="33" t="str">
        <f t="shared" ca="1" si="14"/>
        <v>—</v>
      </c>
      <c r="L148" s="50"/>
    </row>
    <row r="149" spans="1:12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IF(A149="","",IFERROR(VLOOKUP(A149,DB_Customers!$A:$N,14,0),""))</f>
        <v/>
      </c>
      <c r="D149" s="42" t="str">
        <f t="shared" ca="1" si="12"/>
        <v/>
      </c>
      <c r="E149" s="32"/>
      <c r="F149" s="31"/>
      <c r="G149" s="43" t="str">
        <f t="shared" si="13"/>
        <v/>
      </c>
      <c r="H149" s="30" t="s">
        <v>54</v>
      </c>
      <c r="I149" s="41"/>
      <c r="J149" s="33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49" s="33" t="str">
        <f t="shared" ca="1" si="14"/>
        <v>—</v>
      </c>
      <c r="L149" s="22"/>
    </row>
    <row r="150" spans="1:12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IF(A150="","",IFERROR(VLOOKUP(A150,DB_Customers!$A:$N,14,0),""))</f>
        <v/>
      </c>
      <c r="D150" s="42" t="str">
        <f t="shared" ca="1" si="12"/>
        <v/>
      </c>
      <c r="E150" s="32"/>
      <c r="F150" s="31"/>
      <c r="G150" s="43" t="str">
        <f t="shared" si="13"/>
        <v/>
      </c>
      <c r="H150" s="30" t="s">
        <v>54</v>
      </c>
      <c r="I150" s="41"/>
      <c r="J150" s="33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0" s="33" t="str">
        <f t="shared" ca="1" si="14"/>
        <v>—</v>
      </c>
      <c r="L150" s="50"/>
    </row>
    <row r="151" spans="1:12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IF(A151="","",IFERROR(VLOOKUP(A151,DB_Customers!$A:$N,14,0),""))</f>
        <v/>
      </c>
      <c r="D151" s="42" t="str">
        <f t="shared" ca="1" si="12"/>
        <v/>
      </c>
      <c r="E151" s="32"/>
      <c r="F151" s="31"/>
      <c r="G151" s="43" t="str">
        <f t="shared" si="13"/>
        <v/>
      </c>
      <c r="H151" s="30" t="s">
        <v>54</v>
      </c>
      <c r="I151" s="41"/>
      <c r="J151" s="33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1" s="33" t="str">
        <f t="shared" ca="1" si="14"/>
        <v>—</v>
      </c>
      <c r="L151" s="22"/>
    </row>
    <row r="152" spans="1:12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IF(A152="","",IFERROR(VLOOKUP(A152,DB_Customers!$A:$N,14,0),""))</f>
        <v/>
      </c>
      <c r="D152" s="42" t="str">
        <f t="shared" ca="1" si="12"/>
        <v/>
      </c>
      <c r="E152" s="32"/>
      <c r="F152" s="31"/>
      <c r="G152" s="43" t="str">
        <f t="shared" si="13"/>
        <v/>
      </c>
      <c r="H152" s="30" t="s">
        <v>54</v>
      </c>
      <c r="I152" s="41"/>
      <c r="J152" s="33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2" s="33" t="str">
        <f t="shared" ca="1" si="14"/>
        <v>—</v>
      </c>
      <c r="L152" s="50"/>
    </row>
    <row r="153" spans="1:12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IF(A153="","",IFERROR(VLOOKUP(A153,DB_Customers!$A:$N,14,0),""))</f>
        <v/>
      </c>
      <c r="D153" s="42" t="str">
        <f t="shared" ca="1" si="12"/>
        <v/>
      </c>
      <c r="E153" s="32"/>
      <c r="F153" s="31"/>
      <c r="G153" s="43" t="str">
        <f t="shared" si="13"/>
        <v/>
      </c>
      <c r="H153" s="30" t="s">
        <v>54</v>
      </c>
      <c r="I153" s="41"/>
      <c r="J153" s="33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3" s="33" t="str">
        <f t="shared" ca="1" si="14"/>
        <v>—</v>
      </c>
      <c r="L153" s="22"/>
    </row>
    <row r="154" spans="1:12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IF(A154="","",IFERROR(VLOOKUP(A154,DB_Customers!$A:$N,14,0),""))</f>
        <v/>
      </c>
      <c r="D154" s="42" t="str">
        <f t="shared" ca="1" si="12"/>
        <v/>
      </c>
      <c r="E154" s="32"/>
      <c r="F154" s="31"/>
      <c r="G154" s="43" t="str">
        <f t="shared" si="13"/>
        <v/>
      </c>
      <c r="H154" s="30" t="s">
        <v>54</v>
      </c>
      <c r="I154" s="41"/>
      <c r="J154" s="33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4" s="33" t="str">
        <f t="shared" ca="1" si="14"/>
        <v>—</v>
      </c>
      <c r="L154" s="50"/>
    </row>
    <row r="155" spans="1:12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IF(A155="","",IFERROR(VLOOKUP(A155,DB_Customers!$A:$N,14,0),""))</f>
        <v/>
      </c>
      <c r="D155" s="42" t="str">
        <f t="shared" ca="1" si="12"/>
        <v/>
      </c>
      <c r="E155" s="32"/>
      <c r="F155" s="31"/>
      <c r="G155" s="43" t="str">
        <f t="shared" si="13"/>
        <v/>
      </c>
      <c r="H155" s="30" t="s">
        <v>54</v>
      </c>
      <c r="I155" s="41"/>
      <c r="J155" s="33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5" s="33" t="str">
        <f t="shared" ca="1" si="14"/>
        <v>—</v>
      </c>
      <c r="L155" s="22"/>
    </row>
    <row r="156" spans="1:12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IF(A156="","",IFERROR(VLOOKUP(A156,DB_Customers!$A:$N,14,0),""))</f>
        <v/>
      </c>
      <c r="D156" s="42" t="str">
        <f t="shared" ca="1" si="12"/>
        <v/>
      </c>
      <c r="E156" s="32"/>
      <c r="F156" s="31"/>
      <c r="G156" s="43" t="str">
        <f t="shared" si="13"/>
        <v/>
      </c>
      <c r="H156" s="30" t="s">
        <v>54</v>
      </c>
      <c r="I156" s="41"/>
      <c r="J156" s="33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6" s="33" t="str">
        <f t="shared" ca="1" si="14"/>
        <v>—</v>
      </c>
      <c r="L156" s="50"/>
    </row>
    <row r="157" spans="1:12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IF(A157="","",IFERROR(VLOOKUP(A157,DB_Customers!$A:$N,14,0),""))</f>
        <v/>
      </c>
      <c r="D157" s="42" t="str">
        <f t="shared" ca="1" si="12"/>
        <v/>
      </c>
      <c r="E157" s="32"/>
      <c r="F157" s="31"/>
      <c r="G157" s="43" t="str">
        <f t="shared" si="13"/>
        <v/>
      </c>
      <c r="H157" s="30" t="s">
        <v>54</v>
      </c>
      <c r="I157" s="41"/>
      <c r="J157" s="33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7" s="33" t="str">
        <f t="shared" ca="1" si="14"/>
        <v>—</v>
      </c>
      <c r="L157" s="22"/>
    </row>
    <row r="158" spans="1:12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IF(A158="","",IFERROR(VLOOKUP(A158,DB_Customers!$A:$N,14,0),""))</f>
        <v/>
      </c>
      <c r="D158" s="42" t="str">
        <f t="shared" ca="1" si="12"/>
        <v/>
      </c>
      <c r="E158" s="32"/>
      <c r="F158" s="31"/>
      <c r="G158" s="43" t="str">
        <f t="shared" si="13"/>
        <v/>
      </c>
      <c r="H158" s="30" t="s">
        <v>54</v>
      </c>
      <c r="I158" s="41"/>
      <c r="J158" s="33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58" s="33" t="str">
        <f t="shared" ca="1" si="14"/>
        <v>—</v>
      </c>
      <c r="L158" s="50"/>
    </row>
    <row r="159" spans="1:12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IF(A159="","",IFERROR(VLOOKUP(A159,DB_Customers!$A:$N,14,0),""))</f>
        <v/>
      </c>
      <c r="D159" s="42" t="str">
        <f t="shared" ca="1" si="12"/>
        <v/>
      </c>
      <c r="E159" s="32"/>
      <c r="F159" s="31"/>
      <c r="G159" s="43" t="str">
        <f t="shared" si="13"/>
        <v/>
      </c>
      <c r="H159" s="30" t="s">
        <v>54</v>
      </c>
      <c r="I159" s="41"/>
      <c r="J159" s="33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59" s="33" t="str">
        <f t="shared" ca="1" si="14"/>
        <v>—</v>
      </c>
      <c r="L159" s="22"/>
    </row>
    <row r="160" spans="1:12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IF(A160="","",IFERROR(VLOOKUP(A160,DB_Customers!$A:$N,14,0),""))</f>
        <v/>
      </c>
      <c r="D160" s="42" t="str">
        <f t="shared" ca="1" si="12"/>
        <v/>
      </c>
      <c r="E160" s="32"/>
      <c r="F160" s="31"/>
      <c r="G160" s="43" t="str">
        <f t="shared" si="13"/>
        <v/>
      </c>
      <c r="H160" s="30" t="s">
        <v>54</v>
      </c>
      <c r="I160" s="41"/>
      <c r="J160" s="33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0" s="33" t="str">
        <f t="shared" ca="1" si="14"/>
        <v>—</v>
      </c>
      <c r="L160" s="50"/>
    </row>
    <row r="161" spans="1:12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IF(A161="","",IFERROR(VLOOKUP(A161,DB_Customers!$A:$N,14,0),""))</f>
        <v/>
      </c>
      <c r="D161" s="42" t="str">
        <f t="shared" ca="1" si="12"/>
        <v/>
      </c>
      <c r="E161" s="32"/>
      <c r="F161" s="31"/>
      <c r="G161" s="43" t="str">
        <f t="shared" si="13"/>
        <v/>
      </c>
      <c r="H161" s="30" t="s">
        <v>54</v>
      </c>
      <c r="I161" s="41"/>
      <c r="J161" s="33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1" s="33" t="str">
        <f t="shared" ca="1" si="14"/>
        <v>—</v>
      </c>
      <c r="L161" s="22"/>
    </row>
    <row r="162" spans="1:12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IF(A162="","",IFERROR(VLOOKUP(A162,DB_Customers!$A:$N,14,0),""))</f>
        <v/>
      </c>
      <c r="D162" s="42" t="str">
        <f t="shared" ca="1" si="12"/>
        <v/>
      </c>
      <c r="E162" s="32"/>
      <c r="F162" s="31"/>
      <c r="G162" s="43" t="str">
        <f t="shared" si="13"/>
        <v/>
      </c>
      <c r="H162" s="30" t="s">
        <v>54</v>
      </c>
      <c r="I162" s="41"/>
      <c r="J162" s="33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2" s="33" t="str">
        <f t="shared" ca="1" si="14"/>
        <v>—</v>
      </c>
      <c r="L162" s="50"/>
    </row>
    <row r="163" spans="1:12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IF(A163="","",IFERROR(VLOOKUP(A163,DB_Customers!$A:$N,14,0),""))</f>
        <v/>
      </c>
      <c r="D163" s="42" t="str">
        <f t="shared" ca="1" si="12"/>
        <v/>
      </c>
      <c r="E163" s="32"/>
      <c r="F163" s="31"/>
      <c r="G163" s="43" t="str">
        <f t="shared" si="13"/>
        <v/>
      </c>
      <c r="H163" s="30" t="s">
        <v>54</v>
      </c>
      <c r="I163" s="41"/>
      <c r="J163" s="33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3" s="33" t="str">
        <f t="shared" ca="1" si="14"/>
        <v>—</v>
      </c>
      <c r="L163" s="22"/>
    </row>
    <row r="164" spans="1:12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IF(A164="","",IFERROR(VLOOKUP(A164,DB_Customers!$A:$N,14,0),""))</f>
        <v/>
      </c>
      <c r="D164" s="42" t="str">
        <f t="shared" ca="1" si="12"/>
        <v/>
      </c>
      <c r="E164" s="32"/>
      <c r="F164" s="31"/>
      <c r="G164" s="43" t="str">
        <f t="shared" si="13"/>
        <v/>
      </c>
      <c r="H164" s="30" t="s">
        <v>54</v>
      </c>
      <c r="I164" s="41"/>
      <c r="J164" s="33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4" s="33" t="str">
        <f t="shared" ca="1" si="14"/>
        <v>—</v>
      </c>
      <c r="L164" s="50"/>
    </row>
    <row r="165" spans="1:12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IF(A165="","",IFERROR(VLOOKUP(A165,DB_Customers!$A:$N,14,0),""))</f>
        <v/>
      </c>
      <c r="D165" s="42" t="str">
        <f t="shared" ca="1" si="12"/>
        <v/>
      </c>
      <c r="E165" s="32"/>
      <c r="F165" s="31"/>
      <c r="G165" s="43" t="str">
        <f t="shared" si="13"/>
        <v/>
      </c>
      <c r="H165" s="30" t="s">
        <v>54</v>
      </c>
      <c r="I165" s="41"/>
      <c r="J165" s="33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5" s="33" t="str">
        <f t="shared" ca="1" si="14"/>
        <v>—</v>
      </c>
      <c r="L165" s="22"/>
    </row>
    <row r="166" spans="1:12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IF(A166="","",IFERROR(VLOOKUP(A166,DB_Customers!$A:$N,14,0),""))</f>
        <v/>
      </c>
      <c r="D166" s="42" t="str">
        <f t="shared" ca="1" si="12"/>
        <v/>
      </c>
      <c r="E166" s="32"/>
      <c r="F166" s="31"/>
      <c r="G166" s="43" t="str">
        <f t="shared" si="13"/>
        <v/>
      </c>
      <c r="H166" s="30" t="s">
        <v>54</v>
      </c>
      <c r="I166" s="41"/>
      <c r="J166" s="33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6" s="33" t="str">
        <f t="shared" ca="1" si="14"/>
        <v>—</v>
      </c>
      <c r="L166" s="50"/>
    </row>
    <row r="167" spans="1:12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IF(A167="","",IFERROR(VLOOKUP(A167,DB_Customers!$A:$N,14,0),""))</f>
        <v/>
      </c>
      <c r="D167" s="42" t="str">
        <f t="shared" ca="1" si="12"/>
        <v/>
      </c>
      <c r="E167" s="32"/>
      <c r="F167" s="31"/>
      <c r="G167" s="43" t="str">
        <f t="shared" si="13"/>
        <v/>
      </c>
      <c r="H167" s="30" t="s">
        <v>54</v>
      </c>
      <c r="I167" s="41"/>
      <c r="J167" s="33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7" s="33" t="str">
        <f t="shared" ca="1" si="14"/>
        <v>—</v>
      </c>
      <c r="L167" s="22"/>
    </row>
    <row r="168" spans="1:12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IF(A168="","",IFERROR(VLOOKUP(A168,DB_Customers!$A:$N,14,0),""))</f>
        <v/>
      </c>
      <c r="D168" s="42" t="str">
        <f t="shared" ca="1" si="12"/>
        <v/>
      </c>
      <c r="E168" s="32"/>
      <c r="F168" s="31"/>
      <c r="G168" s="43" t="str">
        <f t="shared" si="13"/>
        <v/>
      </c>
      <c r="H168" s="30" t="s">
        <v>54</v>
      </c>
      <c r="I168" s="41"/>
      <c r="J168" s="33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68" s="33" t="str">
        <f t="shared" ca="1" si="14"/>
        <v>—</v>
      </c>
      <c r="L168" s="50"/>
    </row>
    <row r="169" spans="1:12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IF(A169="","",IFERROR(VLOOKUP(A169,DB_Customers!$A:$N,14,0),""))</f>
        <v/>
      </c>
      <c r="D169" s="42" t="str">
        <f t="shared" ref="D169:D200" ca="1" si="15">IF(A169="","",TODAY())</f>
        <v/>
      </c>
      <c r="E169" s="32"/>
      <c r="F169" s="31"/>
      <c r="G169" s="43" t="str">
        <f t="shared" ref="G169:G200" si="16">IFERROR(IF(OR(A169="",E169=""),"",C169-E169),"")</f>
        <v/>
      </c>
      <c r="H169" s="30" t="s">
        <v>54</v>
      </c>
      <c r="I169" s="41"/>
      <c r="J169" s="33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69" s="33" t="str">
        <f t="shared" ref="K169:K200" ca="1" si="17">IF(J169="✅ Successful",TEXT(TODAY(),"YYYY-MM-DD")&amp;" Auto","—")</f>
        <v>—</v>
      </c>
      <c r="L169" s="22"/>
    </row>
    <row r="170" spans="1:12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IF(A170="","",IFERROR(VLOOKUP(A170,DB_Customers!$A:$N,14,0),""))</f>
        <v/>
      </c>
      <c r="D170" s="42" t="str">
        <f t="shared" ca="1" si="15"/>
        <v/>
      </c>
      <c r="E170" s="32"/>
      <c r="F170" s="31"/>
      <c r="G170" s="43" t="str">
        <f t="shared" si="16"/>
        <v/>
      </c>
      <c r="H170" s="30" t="s">
        <v>54</v>
      </c>
      <c r="I170" s="41"/>
      <c r="J170" s="33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0" s="33" t="str">
        <f t="shared" ca="1" si="17"/>
        <v>—</v>
      </c>
      <c r="L170" s="50"/>
    </row>
    <row r="171" spans="1:12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IF(A171="","",IFERROR(VLOOKUP(A171,DB_Customers!$A:$N,14,0),""))</f>
        <v/>
      </c>
      <c r="D171" s="42" t="str">
        <f t="shared" ca="1" si="15"/>
        <v/>
      </c>
      <c r="E171" s="32"/>
      <c r="F171" s="31"/>
      <c r="G171" s="43" t="str">
        <f t="shared" si="16"/>
        <v/>
      </c>
      <c r="H171" s="30" t="s">
        <v>54</v>
      </c>
      <c r="I171" s="41"/>
      <c r="J171" s="33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1" s="33" t="str">
        <f t="shared" ca="1" si="17"/>
        <v>—</v>
      </c>
      <c r="L171" s="22"/>
    </row>
    <row r="172" spans="1:12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IF(A172="","",IFERROR(VLOOKUP(A172,DB_Customers!$A:$N,14,0),""))</f>
        <v/>
      </c>
      <c r="D172" s="42" t="str">
        <f t="shared" ca="1" si="15"/>
        <v/>
      </c>
      <c r="E172" s="32"/>
      <c r="F172" s="31"/>
      <c r="G172" s="43" t="str">
        <f t="shared" si="16"/>
        <v/>
      </c>
      <c r="H172" s="30" t="s">
        <v>54</v>
      </c>
      <c r="I172" s="41"/>
      <c r="J172" s="33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2" s="33" t="str">
        <f t="shared" ca="1" si="17"/>
        <v>—</v>
      </c>
      <c r="L172" s="50"/>
    </row>
    <row r="173" spans="1:12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IF(A173="","",IFERROR(VLOOKUP(A173,DB_Customers!$A:$N,14,0),""))</f>
        <v/>
      </c>
      <c r="D173" s="42" t="str">
        <f t="shared" ca="1" si="15"/>
        <v/>
      </c>
      <c r="E173" s="32"/>
      <c r="F173" s="31"/>
      <c r="G173" s="43" t="str">
        <f t="shared" si="16"/>
        <v/>
      </c>
      <c r="H173" s="30" t="s">
        <v>54</v>
      </c>
      <c r="I173" s="41"/>
      <c r="J173" s="33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3" s="33" t="str">
        <f t="shared" ca="1" si="17"/>
        <v>—</v>
      </c>
      <c r="L173" s="22"/>
    </row>
    <row r="174" spans="1:12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IF(A174="","",IFERROR(VLOOKUP(A174,DB_Customers!$A:$N,14,0),""))</f>
        <v/>
      </c>
      <c r="D174" s="42" t="str">
        <f t="shared" ca="1" si="15"/>
        <v/>
      </c>
      <c r="E174" s="32"/>
      <c r="F174" s="31"/>
      <c r="G174" s="43" t="str">
        <f t="shared" si="16"/>
        <v/>
      </c>
      <c r="H174" s="30" t="s">
        <v>54</v>
      </c>
      <c r="I174" s="41"/>
      <c r="J174" s="33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4" s="33" t="str">
        <f t="shared" ca="1" si="17"/>
        <v>—</v>
      </c>
      <c r="L174" s="50"/>
    </row>
    <row r="175" spans="1:12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IF(A175="","",IFERROR(VLOOKUP(A175,DB_Customers!$A:$N,14,0),""))</f>
        <v/>
      </c>
      <c r="D175" s="42" t="str">
        <f t="shared" ca="1" si="15"/>
        <v/>
      </c>
      <c r="E175" s="32"/>
      <c r="F175" s="31"/>
      <c r="G175" s="43" t="str">
        <f t="shared" si="16"/>
        <v/>
      </c>
      <c r="H175" s="30" t="s">
        <v>54</v>
      </c>
      <c r="I175" s="41"/>
      <c r="J175" s="33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5" s="33" t="str">
        <f t="shared" ca="1" si="17"/>
        <v>—</v>
      </c>
      <c r="L175" s="22"/>
    </row>
    <row r="176" spans="1:12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IF(A176="","",IFERROR(VLOOKUP(A176,DB_Customers!$A:$N,14,0),""))</f>
        <v/>
      </c>
      <c r="D176" s="42" t="str">
        <f t="shared" ca="1" si="15"/>
        <v/>
      </c>
      <c r="E176" s="32"/>
      <c r="F176" s="31"/>
      <c r="G176" s="43" t="str">
        <f t="shared" si="16"/>
        <v/>
      </c>
      <c r="H176" s="30" t="s">
        <v>54</v>
      </c>
      <c r="I176" s="41"/>
      <c r="J176" s="33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6" s="33" t="str">
        <f t="shared" ca="1" si="17"/>
        <v>—</v>
      </c>
      <c r="L176" s="50"/>
    </row>
    <row r="177" spans="1:12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IF(A177="","",IFERROR(VLOOKUP(A177,DB_Customers!$A:$N,14,0),""))</f>
        <v/>
      </c>
      <c r="D177" s="42" t="str">
        <f t="shared" ca="1" si="15"/>
        <v/>
      </c>
      <c r="E177" s="32"/>
      <c r="F177" s="31"/>
      <c r="G177" s="43" t="str">
        <f t="shared" si="16"/>
        <v/>
      </c>
      <c r="H177" s="30" t="s">
        <v>54</v>
      </c>
      <c r="I177" s="41"/>
      <c r="J177" s="33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7" s="33" t="str">
        <f t="shared" ca="1" si="17"/>
        <v>—</v>
      </c>
      <c r="L177" s="22"/>
    </row>
    <row r="178" spans="1:12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IF(A178="","",IFERROR(VLOOKUP(A178,DB_Customers!$A:$N,14,0),""))</f>
        <v/>
      </c>
      <c r="D178" s="42" t="str">
        <f t="shared" ca="1" si="15"/>
        <v/>
      </c>
      <c r="E178" s="32"/>
      <c r="F178" s="31"/>
      <c r="G178" s="43" t="str">
        <f t="shared" si="16"/>
        <v/>
      </c>
      <c r="H178" s="30" t="s">
        <v>54</v>
      </c>
      <c r="I178" s="41"/>
      <c r="J178" s="33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78" s="33" t="str">
        <f t="shared" ca="1" si="17"/>
        <v>—</v>
      </c>
      <c r="L178" s="50"/>
    </row>
    <row r="179" spans="1:12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IF(A179="","",IFERROR(VLOOKUP(A179,DB_Customers!$A:$N,14,0),""))</f>
        <v/>
      </c>
      <c r="D179" s="42" t="str">
        <f t="shared" ca="1" si="15"/>
        <v/>
      </c>
      <c r="E179" s="32"/>
      <c r="F179" s="31"/>
      <c r="G179" s="43" t="str">
        <f t="shared" si="16"/>
        <v/>
      </c>
      <c r="H179" s="30" t="s">
        <v>54</v>
      </c>
      <c r="I179" s="41"/>
      <c r="J179" s="33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79" s="33" t="str">
        <f t="shared" ca="1" si="17"/>
        <v>—</v>
      </c>
      <c r="L179" s="22"/>
    </row>
    <row r="180" spans="1:12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IF(A180="","",IFERROR(VLOOKUP(A180,DB_Customers!$A:$N,14,0),""))</f>
        <v/>
      </c>
      <c r="D180" s="42" t="str">
        <f t="shared" ca="1" si="15"/>
        <v/>
      </c>
      <c r="E180" s="32"/>
      <c r="F180" s="31"/>
      <c r="G180" s="43" t="str">
        <f t="shared" si="16"/>
        <v/>
      </c>
      <c r="H180" s="30" t="s">
        <v>54</v>
      </c>
      <c r="I180" s="41"/>
      <c r="J180" s="33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0" s="33" t="str">
        <f t="shared" ca="1" si="17"/>
        <v>—</v>
      </c>
      <c r="L180" s="50"/>
    </row>
    <row r="181" spans="1:12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IF(A181="","",IFERROR(VLOOKUP(A181,DB_Customers!$A:$N,14,0),""))</f>
        <v/>
      </c>
      <c r="D181" s="42" t="str">
        <f t="shared" ca="1" si="15"/>
        <v/>
      </c>
      <c r="E181" s="32"/>
      <c r="F181" s="31"/>
      <c r="G181" s="43" t="str">
        <f t="shared" si="16"/>
        <v/>
      </c>
      <c r="H181" s="30" t="s">
        <v>54</v>
      </c>
      <c r="I181" s="41"/>
      <c r="J181" s="33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1" s="33" t="str">
        <f t="shared" ca="1" si="17"/>
        <v>—</v>
      </c>
      <c r="L181" s="22"/>
    </row>
    <row r="182" spans="1:12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IF(A182="","",IFERROR(VLOOKUP(A182,DB_Customers!$A:$N,14,0),""))</f>
        <v/>
      </c>
      <c r="D182" s="42" t="str">
        <f t="shared" ca="1" si="15"/>
        <v/>
      </c>
      <c r="E182" s="32"/>
      <c r="F182" s="31"/>
      <c r="G182" s="43" t="str">
        <f t="shared" si="16"/>
        <v/>
      </c>
      <c r="H182" s="30" t="s">
        <v>54</v>
      </c>
      <c r="I182" s="41"/>
      <c r="J182" s="33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2" s="33" t="str">
        <f t="shared" ca="1" si="17"/>
        <v>—</v>
      </c>
      <c r="L182" s="50"/>
    </row>
    <row r="183" spans="1:12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IF(A183="","",IFERROR(VLOOKUP(A183,DB_Customers!$A:$N,14,0),""))</f>
        <v/>
      </c>
      <c r="D183" s="42" t="str">
        <f t="shared" ca="1" si="15"/>
        <v/>
      </c>
      <c r="E183" s="32"/>
      <c r="F183" s="31"/>
      <c r="G183" s="43" t="str">
        <f t="shared" si="16"/>
        <v/>
      </c>
      <c r="H183" s="30" t="s">
        <v>54</v>
      </c>
      <c r="I183" s="41"/>
      <c r="J183" s="33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3" s="33" t="str">
        <f t="shared" ca="1" si="17"/>
        <v>—</v>
      </c>
      <c r="L183" s="22"/>
    </row>
    <row r="184" spans="1:12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IF(A184="","",IFERROR(VLOOKUP(A184,DB_Customers!$A:$N,14,0),""))</f>
        <v/>
      </c>
      <c r="D184" s="42" t="str">
        <f t="shared" ca="1" si="15"/>
        <v/>
      </c>
      <c r="E184" s="32"/>
      <c r="F184" s="31"/>
      <c r="G184" s="43" t="str">
        <f t="shared" si="16"/>
        <v/>
      </c>
      <c r="H184" s="30" t="s">
        <v>54</v>
      </c>
      <c r="I184" s="41"/>
      <c r="J184" s="33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4" s="33" t="str">
        <f t="shared" ca="1" si="17"/>
        <v>—</v>
      </c>
      <c r="L184" s="50"/>
    </row>
    <row r="185" spans="1:12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IF(A185="","",IFERROR(VLOOKUP(A185,DB_Customers!$A:$N,14,0),""))</f>
        <v/>
      </c>
      <c r="D185" s="42" t="str">
        <f t="shared" ca="1" si="15"/>
        <v/>
      </c>
      <c r="E185" s="32"/>
      <c r="F185" s="31"/>
      <c r="G185" s="43" t="str">
        <f t="shared" si="16"/>
        <v/>
      </c>
      <c r="H185" s="30" t="s">
        <v>54</v>
      </c>
      <c r="I185" s="41"/>
      <c r="J185" s="33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5" s="33" t="str">
        <f t="shared" ca="1" si="17"/>
        <v>—</v>
      </c>
      <c r="L185" s="22"/>
    </row>
    <row r="186" spans="1:12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IF(A186="","",IFERROR(VLOOKUP(A186,DB_Customers!$A:$N,14,0),""))</f>
        <v/>
      </c>
      <c r="D186" s="42" t="str">
        <f t="shared" ca="1" si="15"/>
        <v/>
      </c>
      <c r="E186" s="32"/>
      <c r="F186" s="31"/>
      <c r="G186" s="43" t="str">
        <f t="shared" si="16"/>
        <v/>
      </c>
      <c r="H186" s="30" t="s">
        <v>54</v>
      </c>
      <c r="I186" s="41"/>
      <c r="J186" s="33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6" s="33" t="str">
        <f t="shared" ca="1" si="17"/>
        <v>—</v>
      </c>
      <c r="L186" s="50"/>
    </row>
    <row r="187" spans="1:12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IF(A187="","",IFERROR(VLOOKUP(A187,DB_Customers!$A:$N,14,0),""))</f>
        <v/>
      </c>
      <c r="D187" s="42" t="str">
        <f t="shared" ca="1" si="15"/>
        <v/>
      </c>
      <c r="E187" s="32"/>
      <c r="F187" s="31"/>
      <c r="G187" s="43" t="str">
        <f t="shared" si="16"/>
        <v/>
      </c>
      <c r="H187" s="30" t="s">
        <v>54</v>
      </c>
      <c r="I187" s="41"/>
      <c r="J187" s="33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7" s="33" t="str">
        <f t="shared" ca="1" si="17"/>
        <v>—</v>
      </c>
      <c r="L187" s="22"/>
    </row>
    <row r="188" spans="1:12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IF(A188="","",IFERROR(VLOOKUP(A188,DB_Customers!$A:$N,14,0),""))</f>
        <v/>
      </c>
      <c r="D188" s="42" t="str">
        <f t="shared" ca="1" si="15"/>
        <v/>
      </c>
      <c r="E188" s="32"/>
      <c r="F188" s="31"/>
      <c r="G188" s="43" t="str">
        <f t="shared" si="16"/>
        <v/>
      </c>
      <c r="H188" s="30" t="s">
        <v>54</v>
      </c>
      <c r="I188" s="41"/>
      <c r="J188" s="33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88" s="33" t="str">
        <f t="shared" ca="1" si="17"/>
        <v>—</v>
      </c>
      <c r="L188" s="50"/>
    </row>
    <row r="189" spans="1:12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IF(A189="","",IFERROR(VLOOKUP(A189,DB_Customers!$A:$N,14,0),""))</f>
        <v/>
      </c>
      <c r="D189" s="42" t="str">
        <f t="shared" ca="1" si="15"/>
        <v/>
      </c>
      <c r="E189" s="32"/>
      <c r="F189" s="31"/>
      <c r="G189" s="43" t="str">
        <f t="shared" si="16"/>
        <v/>
      </c>
      <c r="H189" s="30" t="s">
        <v>54</v>
      </c>
      <c r="I189" s="41"/>
      <c r="J189" s="33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89" s="33" t="str">
        <f t="shared" ca="1" si="17"/>
        <v>—</v>
      </c>
      <c r="L189" s="22"/>
    </row>
    <row r="190" spans="1:12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IF(A190="","",IFERROR(VLOOKUP(A190,DB_Customers!$A:$N,14,0),""))</f>
        <v/>
      </c>
      <c r="D190" s="42" t="str">
        <f t="shared" ca="1" si="15"/>
        <v/>
      </c>
      <c r="E190" s="32"/>
      <c r="F190" s="31"/>
      <c r="G190" s="43" t="str">
        <f t="shared" si="16"/>
        <v/>
      </c>
      <c r="H190" s="30" t="s">
        <v>54</v>
      </c>
      <c r="I190" s="41"/>
      <c r="J190" s="33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0" s="33" t="str">
        <f t="shared" ca="1" si="17"/>
        <v>—</v>
      </c>
      <c r="L190" s="50"/>
    </row>
    <row r="191" spans="1:12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IF(A191="","",IFERROR(VLOOKUP(A191,DB_Customers!$A:$N,14,0),""))</f>
        <v/>
      </c>
      <c r="D191" s="42" t="str">
        <f t="shared" ca="1" si="15"/>
        <v/>
      </c>
      <c r="E191" s="32"/>
      <c r="F191" s="31"/>
      <c r="G191" s="43" t="str">
        <f t="shared" si="16"/>
        <v/>
      </c>
      <c r="H191" s="30" t="s">
        <v>54</v>
      </c>
      <c r="I191" s="41"/>
      <c r="J191" s="33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1" s="33" t="str">
        <f t="shared" ca="1" si="17"/>
        <v>—</v>
      </c>
      <c r="L191" s="22"/>
    </row>
    <row r="192" spans="1:12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IF(A192="","",IFERROR(VLOOKUP(A192,DB_Customers!$A:$N,14,0),""))</f>
        <v/>
      </c>
      <c r="D192" s="42" t="str">
        <f t="shared" ca="1" si="15"/>
        <v/>
      </c>
      <c r="E192" s="32"/>
      <c r="F192" s="31"/>
      <c r="G192" s="43" t="str">
        <f t="shared" si="16"/>
        <v/>
      </c>
      <c r="H192" s="30" t="s">
        <v>54</v>
      </c>
      <c r="I192" s="41"/>
      <c r="J192" s="33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2" s="33" t="str">
        <f t="shared" ca="1" si="17"/>
        <v>—</v>
      </c>
      <c r="L192" s="50"/>
    </row>
    <row r="193" spans="1:12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IF(A193="","",IFERROR(VLOOKUP(A193,DB_Customers!$A:$N,14,0),""))</f>
        <v/>
      </c>
      <c r="D193" s="42" t="str">
        <f t="shared" ca="1" si="15"/>
        <v/>
      </c>
      <c r="E193" s="32"/>
      <c r="F193" s="31"/>
      <c r="G193" s="43" t="str">
        <f t="shared" si="16"/>
        <v/>
      </c>
      <c r="H193" s="30" t="s">
        <v>54</v>
      </c>
      <c r="I193" s="41"/>
      <c r="J193" s="33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3" s="33" t="str">
        <f t="shared" ca="1" si="17"/>
        <v>—</v>
      </c>
      <c r="L193" s="22"/>
    </row>
    <row r="194" spans="1:12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IF(A194="","",IFERROR(VLOOKUP(A194,DB_Customers!$A:$N,14,0),""))</f>
        <v/>
      </c>
      <c r="D194" s="42" t="str">
        <f t="shared" ca="1" si="15"/>
        <v/>
      </c>
      <c r="E194" s="32"/>
      <c r="F194" s="31"/>
      <c r="G194" s="43" t="str">
        <f t="shared" si="16"/>
        <v/>
      </c>
      <c r="H194" s="30" t="s">
        <v>54</v>
      </c>
      <c r="I194" s="41"/>
      <c r="J194" s="33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4" s="33" t="str">
        <f t="shared" ca="1" si="17"/>
        <v>—</v>
      </c>
      <c r="L194" s="50"/>
    </row>
    <row r="195" spans="1:12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IF(A195="","",IFERROR(VLOOKUP(A195,DB_Customers!$A:$N,14,0),""))</f>
        <v/>
      </c>
      <c r="D195" s="42" t="str">
        <f t="shared" ca="1" si="15"/>
        <v/>
      </c>
      <c r="E195" s="32"/>
      <c r="F195" s="31"/>
      <c r="G195" s="43" t="str">
        <f t="shared" si="16"/>
        <v/>
      </c>
      <c r="H195" s="30" t="s">
        <v>54</v>
      </c>
      <c r="I195" s="41"/>
      <c r="J195" s="33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5" s="33" t="str">
        <f t="shared" ca="1" si="17"/>
        <v>—</v>
      </c>
      <c r="L195" s="22"/>
    </row>
    <row r="196" spans="1:12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IF(A196="","",IFERROR(VLOOKUP(A196,DB_Customers!$A:$N,14,0),""))</f>
        <v/>
      </c>
      <c r="D196" s="42" t="str">
        <f t="shared" ca="1" si="15"/>
        <v/>
      </c>
      <c r="E196" s="32"/>
      <c r="F196" s="31"/>
      <c r="G196" s="43" t="str">
        <f t="shared" si="16"/>
        <v/>
      </c>
      <c r="H196" s="30" t="s">
        <v>54</v>
      </c>
      <c r="I196" s="41"/>
      <c r="J196" s="33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6" s="33" t="str">
        <f t="shared" ca="1" si="17"/>
        <v>—</v>
      </c>
      <c r="L196" s="50"/>
    </row>
    <row r="197" spans="1:12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IF(A197="","",IFERROR(VLOOKUP(A197,DB_Customers!$A:$N,14,0),""))</f>
        <v/>
      </c>
      <c r="D197" s="42" t="str">
        <f t="shared" ca="1" si="15"/>
        <v/>
      </c>
      <c r="E197" s="32"/>
      <c r="F197" s="31"/>
      <c r="G197" s="43" t="str">
        <f t="shared" si="16"/>
        <v/>
      </c>
      <c r="H197" s="30" t="s">
        <v>54</v>
      </c>
      <c r="I197" s="41"/>
      <c r="J197" s="33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7" s="33" t="str">
        <f t="shared" ca="1" si="17"/>
        <v>—</v>
      </c>
      <c r="L197" s="22"/>
    </row>
    <row r="198" spans="1:12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IF(A198="","",IFERROR(VLOOKUP(A198,DB_Customers!$A:$N,14,0),""))</f>
        <v/>
      </c>
      <c r="D198" s="42" t="str">
        <f t="shared" ca="1" si="15"/>
        <v/>
      </c>
      <c r="E198" s="32"/>
      <c r="F198" s="31"/>
      <c r="G198" s="43" t="str">
        <f t="shared" si="16"/>
        <v/>
      </c>
      <c r="H198" s="30" t="s">
        <v>54</v>
      </c>
      <c r="I198" s="41"/>
      <c r="J198" s="33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198" s="33" t="str">
        <f t="shared" ca="1" si="17"/>
        <v>—</v>
      </c>
      <c r="L198" s="50"/>
    </row>
    <row r="199" spans="1:12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IF(A199="","",IFERROR(VLOOKUP(A199,DB_Customers!$A:$N,14,0),""))</f>
        <v/>
      </c>
      <c r="D199" s="42" t="str">
        <f t="shared" ca="1" si="15"/>
        <v/>
      </c>
      <c r="E199" s="32"/>
      <c r="F199" s="31"/>
      <c r="G199" s="43" t="str">
        <f t="shared" si="16"/>
        <v/>
      </c>
      <c r="H199" s="30" t="s">
        <v>54</v>
      </c>
      <c r="I199" s="41"/>
      <c r="J199" s="33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199" s="33" t="str">
        <f t="shared" ca="1" si="17"/>
        <v>—</v>
      </c>
      <c r="L199" s="22"/>
    </row>
    <row r="200" spans="1:12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IF(A200="","",IFERROR(VLOOKUP(A200,DB_Customers!$A:$N,14,0),""))</f>
        <v/>
      </c>
      <c r="D200" s="42" t="str">
        <f t="shared" ca="1" si="15"/>
        <v/>
      </c>
      <c r="E200" s="32"/>
      <c r="F200" s="31"/>
      <c r="G200" s="43" t="str">
        <f t="shared" si="16"/>
        <v/>
      </c>
      <c r="H200" s="30" t="s">
        <v>54</v>
      </c>
      <c r="I200" s="41"/>
      <c r="J200" s="33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0" s="33" t="str">
        <f t="shared" ca="1" si="17"/>
        <v>—</v>
      </c>
      <c r="L200" s="50"/>
    </row>
    <row r="201" spans="1:12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IF(A201="","",IFERROR(VLOOKUP(A201,DB_Customers!$A:$N,14,0),""))</f>
        <v/>
      </c>
      <c r="D201" s="42" t="str">
        <f t="shared" ref="D201:D208" ca="1" si="18">IF(A201="","",TODAY())</f>
        <v/>
      </c>
      <c r="E201" s="32"/>
      <c r="F201" s="31"/>
      <c r="G201" s="43" t="str">
        <f t="shared" ref="G201:G208" si="19">IFERROR(IF(OR(A201="",E201=""),"",C201-E201),"")</f>
        <v/>
      </c>
      <c r="H201" s="30" t="s">
        <v>54</v>
      </c>
      <c r="I201" s="41"/>
      <c r="J201" s="33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1" s="33" t="str">
        <f t="shared" ref="K201:K232" ca="1" si="20">IF(J201="✅ Successful",TEXT(TODAY(),"YYYY-MM-DD")&amp;" Auto","—")</f>
        <v>—</v>
      </c>
      <c r="L201" s="22"/>
    </row>
    <row r="202" spans="1:12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IF(A202="","",IFERROR(VLOOKUP(A202,DB_Customers!$A:$N,14,0),""))</f>
        <v/>
      </c>
      <c r="D202" s="42" t="str">
        <f t="shared" ca="1" si="18"/>
        <v/>
      </c>
      <c r="E202" s="32"/>
      <c r="F202" s="31"/>
      <c r="G202" s="43" t="str">
        <f t="shared" si="19"/>
        <v/>
      </c>
      <c r="H202" s="30" t="s">
        <v>54</v>
      </c>
      <c r="I202" s="41"/>
      <c r="J202" s="33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2" s="33" t="str">
        <f t="shared" ca="1" si="20"/>
        <v>—</v>
      </c>
      <c r="L202" s="50"/>
    </row>
    <row r="203" spans="1:12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IF(A203="","",IFERROR(VLOOKUP(A203,DB_Customers!$A:$N,14,0),""))</f>
        <v/>
      </c>
      <c r="D203" s="42" t="str">
        <f t="shared" ca="1" si="18"/>
        <v/>
      </c>
      <c r="E203" s="32"/>
      <c r="F203" s="31"/>
      <c r="G203" s="43" t="str">
        <f t="shared" si="19"/>
        <v/>
      </c>
      <c r="H203" s="30" t="s">
        <v>54</v>
      </c>
      <c r="I203" s="41"/>
      <c r="J203" s="33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3" s="33" t="str">
        <f t="shared" ca="1" si="20"/>
        <v>—</v>
      </c>
      <c r="L203" s="22"/>
    </row>
    <row r="204" spans="1:12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IF(A204="","",IFERROR(VLOOKUP(A204,DB_Customers!$A:$N,14,0),""))</f>
        <v/>
      </c>
      <c r="D204" s="42" t="str">
        <f t="shared" ca="1" si="18"/>
        <v/>
      </c>
      <c r="E204" s="32"/>
      <c r="F204" s="31"/>
      <c r="G204" s="43" t="str">
        <f t="shared" si="19"/>
        <v/>
      </c>
      <c r="H204" s="30" t="s">
        <v>54</v>
      </c>
      <c r="I204" s="41"/>
      <c r="J204" s="33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4" s="33" t="str">
        <f t="shared" ca="1" si="20"/>
        <v>—</v>
      </c>
      <c r="L204" s="50"/>
    </row>
    <row r="205" spans="1:12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IF(A205="","",IFERROR(VLOOKUP(A205,DB_Customers!$A:$N,14,0),""))</f>
        <v/>
      </c>
      <c r="D205" s="42" t="str">
        <f t="shared" ca="1" si="18"/>
        <v/>
      </c>
      <c r="E205" s="32"/>
      <c r="F205" s="31"/>
      <c r="G205" s="43" t="str">
        <f t="shared" si="19"/>
        <v/>
      </c>
      <c r="H205" s="30" t="s">
        <v>54</v>
      </c>
      <c r="I205" s="41"/>
      <c r="J205" s="33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5" s="33" t="str">
        <f t="shared" ca="1" si="20"/>
        <v>—</v>
      </c>
      <c r="L205" s="22"/>
    </row>
    <row r="206" spans="1:12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IF(A206="","",IFERROR(VLOOKUP(A206,DB_Customers!$A:$N,14,0),""))</f>
        <v/>
      </c>
      <c r="D206" s="42" t="str">
        <f t="shared" ca="1" si="18"/>
        <v/>
      </c>
      <c r="E206" s="32"/>
      <c r="F206" s="31"/>
      <c r="G206" s="43" t="str">
        <f t="shared" si="19"/>
        <v/>
      </c>
      <c r="H206" s="30" t="s">
        <v>54</v>
      </c>
      <c r="I206" s="41"/>
      <c r="J206" s="33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6" s="33" t="str">
        <f t="shared" ca="1" si="20"/>
        <v>—</v>
      </c>
      <c r="L206" s="50"/>
    </row>
    <row r="207" spans="1:12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IF(A207="","",IFERROR(VLOOKUP(A207,DB_Customers!$A:$N,14,0),""))</f>
        <v/>
      </c>
      <c r="D207" s="42" t="str">
        <f t="shared" ca="1" si="18"/>
        <v/>
      </c>
      <c r="E207" s="32"/>
      <c r="F207" s="31"/>
      <c r="G207" s="43" t="str">
        <f t="shared" si="19"/>
        <v/>
      </c>
      <c r="H207" s="30" t="s">
        <v>54</v>
      </c>
      <c r="I207" s="41"/>
      <c r="J207" s="33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7" s="33" t="str">
        <f t="shared" ca="1" si="20"/>
        <v>—</v>
      </c>
      <c r="L207" s="22"/>
    </row>
    <row r="208" spans="1:12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IF(A208="","",IFERROR(VLOOKUP(A208,DB_Customers!$A:$N,14,0),""))</f>
        <v/>
      </c>
      <c r="D208" s="42" t="str">
        <f t="shared" ca="1" si="18"/>
        <v/>
      </c>
      <c r="E208" s="32"/>
      <c r="F208" s="31"/>
      <c r="G208" s="43" t="str">
        <f t="shared" si="19"/>
        <v/>
      </c>
      <c r="H208" s="30" t="s">
        <v>54</v>
      </c>
      <c r="I208" s="41"/>
      <c r="J208" s="33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08" s="33" t="str">
        <f t="shared" ca="1" si="20"/>
        <v>—</v>
      </c>
      <c r="L208" s="50"/>
    </row>
  </sheetData>
  <mergeCells count="3">
    <mergeCell ref="A2:L2"/>
    <mergeCell ref="A6:L6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5" t="s">
        <v>144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21.95" customHeight="1" x14ac:dyDescent="0.25">
      <c r="A2" s="97" t="s">
        <v>145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4" spans="1:14" x14ac:dyDescent="0.25">
      <c r="A4" s="51" t="s">
        <v>146</v>
      </c>
    </row>
    <row r="5" spans="1:14" x14ac:dyDescent="0.25">
      <c r="A5" s="52" t="s">
        <v>147</v>
      </c>
      <c r="B5" s="32"/>
    </row>
    <row r="6" spans="1:14" x14ac:dyDescent="0.25">
      <c r="A6" s="52" t="s">
        <v>148</v>
      </c>
      <c r="B6" s="53"/>
    </row>
    <row r="7" spans="1:14" x14ac:dyDescent="0.25">
      <c r="A7" s="52" t="s">
        <v>149</v>
      </c>
      <c r="B7" s="54">
        <v>2.5</v>
      </c>
    </row>
    <row r="8" spans="1:14" x14ac:dyDescent="0.25">
      <c r="A8" s="55" t="s">
        <v>150</v>
      </c>
      <c r="B8" s="43" t="str">
        <f>IF(B5="","",B5*B7/100*B6)</f>
        <v/>
      </c>
    </row>
    <row r="9" spans="1:14" x14ac:dyDescent="0.25">
      <c r="A9" s="55" t="s">
        <v>151</v>
      </c>
      <c r="B9" s="43" t="str">
        <f>IF(B5="","",B5+(B5*B7/100*B6))</f>
        <v/>
      </c>
    </row>
    <row r="10" spans="1:14" x14ac:dyDescent="0.25">
      <c r="A10" s="55" t="s">
        <v>152</v>
      </c>
      <c r="B10" s="43" t="str">
        <f>IFERROR(B9/B6,"")</f>
        <v/>
      </c>
    </row>
    <row r="12" spans="1:14" ht="21.95" customHeight="1" x14ac:dyDescent="0.25">
      <c r="A12" s="97" t="s">
        <v>153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</row>
    <row r="13" spans="1:14" ht="30" customHeight="1" x14ac:dyDescent="0.25">
      <c r="A13" s="19" t="s">
        <v>154</v>
      </c>
      <c r="B13" s="19" t="s">
        <v>131</v>
      </c>
      <c r="C13" s="19" t="s">
        <v>69</v>
      </c>
      <c r="D13" s="19" t="s">
        <v>155</v>
      </c>
      <c r="E13" s="19" t="s">
        <v>156</v>
      </c>
      <c r="F13" s="19" t="s">
        <v>109</v>
      </c>
      <c r="G13" s="19" t="s">
        <v>110</v>
      </c>
      <c r="H13" s="19" t="s">
        <v>157</v>
      </c>
      <c r="I13" s="19" t="s">
        <v>158</v>
      </c>
      <c r="J13" s="19" t="s">
        <v>159</v>
      </c>
      <c r="K13" s="19" t="s">
        <v>77</v>
      </c>
      <c r="L13" s="19" t="s">
        <v>45</v>
      </c>
      <c r="M13" s="19" t="s">
        <v>134</v>
      </c>
      <c r="N13" s="19" t="s">
        <v>95</v>
      </c>
    </row>
    <row r="14" spans="1:14" ht="20.100000000000001" customHeight="1" x14ac:dyDescent="0.25">
      <c r="A14" s="30" t="str">
        <f t="shared" ref="A14:A45" si="0">IF(B14="","",IF(C14="❌ Account Not Found","INVALID","LN"&amp;TEXT(D14,"YYYYMMDD")&amp;TEXT(ROW()-13,"0000")))</f>
        <v/>
      </c>
      <c r="B14" s="41"/>
      <c r="C14" s="35" t="str">
        <f>IF(B14="","",IFERROR(VLOOKUP(B14,DB_Customers!$A:$B,2,0),"❌ Account Not Found"))</f>
        <v/>
      </c>
      <c r="D14" s="42" t="str">
        <f t="shared" ref="D14:D45" ca="1" si="1">IF(B14="","",TODAY())</f>
        <v/>
      </c>
      <c r="E14" s="32"/>
      <c r="F14" s="31"/>
      <c r="G14" s="41"/>
      <c r="H14" s="56">
        <v>2.5</v>
      </c>
      <c r="I14" s="43" t="str">
        <f t="shared" ref="I14:I45" si="2">IF(E14="","",E14+(E14*H14/100*G14))</f>
        <v/>
      </c>
      <c r="J14" s="43" t="str">
        <f t="shared" ref="J14:J45" si="3">IFERROR(I14/G14,"")</f>
        <v/>
      </c>
      <c r="K14" s="33" t="str">
        <f>IF(B14="","Pending",IF(M14="","⚠️ Enter Code",IF(IFERROR(VLOOKUP(L14,DB_Agents!$B:$F,4,0),"")=TEXT(M14,"0"),"Pending Approval","🔒 WRONG CODE")))</f>
        <v>Pending</v>
      </c>
      <c r="L14" s="30" t="s">
        <v>54</v>
      </c>
      <c r="M14" s="41"/>
      <c r="N14" s="57"/>
    </row>
    <row r="15" spans="1:14" ht="20.100000000000001" customHeight="1" x14ac:dyDescent="0.25">
      <c r="A15" s="30" t="str">
        <f t="shared" si="0"/>
        <v/>
      </c>
      <c r="B15" s="41"/>
      <c r="C15" s="35" t="str">
        <f>IF(B15="","",IFERROR(VLOOKUP(B15,DB_Customers!$A:$B,2,0),"❌ Account Not Found"))</f>
        <v/>
      </c>
      <c r="D15" s="42" t="str">
        <f t="shared" ca="1" si="1"/>
        <v/>
      </c>
      <c r="E15" s="32"/>
      <c r="F15" s="31"/>
      <c r="G15" s="41"/>
      <c r="H15" s="56">
        <v>2.5</v>
      </c>
      <c r="I15" s="43" t="str">
        <f t="shared" si="2"/>
        <v/>
      </c>
      <c r="J15" s="43" t="str">
        <f t="shared" si="3"/>
        <v/>
      </c>
      <c r="K15" s="33" t="str">
        <f>IF(B15="","Pending",IF(M15="","⚠️ Enter Code",IF(IFERROR(VLOOKUP(L15,DB_Agents!$B:$F,4,0),"")=TEXT(M15,"0"),"Pending Approval","🔒 WRONG CODE")))</f>
        <v>Pending</v>
      </c>
      <c r="L15" s="30" t="s">
        <v>54</v>
      </c>
      <c r="M15" s="41"/>
      <c r="N15" s="22"/>
    </row>
    <row r="16" spans="1:14" ht="20.100000000000001" customHeight="1" x14ac:dyDescent="0.25">
      <c r="A16" s="30" t="str">
        <f t="shared" si="0"/>
        <v/>
      </c>
      <c r="B16" s="41"/>
      <c r="C16" s="35" t="str">
        <f>IF(B16="","",IFERROR(VLOOKUP(B16,DB_Customers!$A:$B,2,0),"❌ Account Not Found"))</f>
        <v/>
      </c>
      <c r="D16" s="42" t="str">
        <f t="shared" ca="1" si="1"/>
        <v/>
      </c>
      <c r="E16" s="32"/>
      <c r="F16" s="31"/>
      <c r="G16" s="41"/>
      <c r="H16" s="56">
        <v>2.5</v>
      </c>
      <c r="I16" s="43" t="str">
        <f t="shared" si="2"/>
        <v/>
      </c>
      <c r="J16" s="43" t="str">
        <f t="shared" si="3"/>
        <v/>
      </c>
      <c r="K16" s="33" t="str">
        <f>IF(B16="","Pending",IF(M16="","⚠️ Enter Code",IF(IFERROR(VLOOKUP(L16,DB_Agents!$B:$F,4,0),"")=TEXT(M16,"0"),"Pending Approval","🔒 WRONG CODE")))</f>
        <v>Pending</v>
      </c>
      <c r="L16" s="30" t="s">
        <v>54</v>
      </c>
      <c r="M16" s="41"/>
      <c r="N16" s="57"/>
    </row>
    <row r="17" spans="1:14" ht="20.100000000000001" customHeight="1" x14ac:dyDescent="0.25">
      <c r="A17" s="30" t="str">
        <f t="shared" si="0"/>
        <v/>
      </c>
      <c r="B17" s="41"/>
      <c r="C17" s="35" t="str">
        <f>IF(B17="","",IFERROR(VLOOKUP(B17,DB_Customers!$A:$B,2,0),"❌ Account Not Found"))</f>
        <v/>
      </c>
      <c r="D17" s="42" t="str">
        <f t="shared" ca="1" si="1"/>
        <v/>
      </c>
      <c r="E17" s="32"/>
      <c r="F17" s="31"/>
      <c r="G17" s="41"/>
      <c r="H17" s="56">
        <v>2.5</v>
      </c>
      <c r="I17" s="43" t="str">
        <f t="shared" si="2"/>
        <v/>
      </c>
      <c r="J17" s="43" t="str">
        <f t="shared" si="3"/>
        <v/>
      </c>
      <c r="K17" s="33" t="str">
        <f>IF(B17="","Pending",IF(M17="","⚠️ Enter Code",IF(IFERROR(VLOOKUP(L17,DB_Agents!$B:$F,4,0),"")=TEXT(M17,"0"),"Pending Approval","🔒 WRONG CODE")))</f>
        <v>Pending</v>
      </c>
      <c r="L17" s="30" t="s">
        <v>54</v>
      </c>
      <c r="M17" s="41"/>
      <c r="N17" s="22"/>
    </row>
    <row r="18" spans="1:14" ht="20.100000000000001" customHeight="1" x14ac:dyDescent="0.25">
      <c r="A18" s="30" t="str">
        <f t="shared" si="0"/>
        <v/>
      </c>
      <c r="B18" s="41"/>
      <c r="C18" s="35" t="str">
        <f>IF(B18="","",IFERROR(VLOOKUP(B18,DB_Customers!$A:$B,2,0),"❌ Account Not Found"))</f>
        <v/>
      </c>
      <c r="D18" s="42" t="str">
        <f t="shared" ca="1" si="1"/>
        <v/>
      </c>
      <c r="E18" s="32"/>
      <c r="F18" s="31"/>
      <c r="G18" s="41"/>
      <c r="H18" s="56">
        <v>2.5</v>
      </c>
      <c r="I18" s="43" t="str">
        <f t="shared" si="2"/>
        <v/>
      </c>
      <c r="J18" s="43" t="str">
        <f t="shared" si="3"/>
        <v/>
      </c>
      <c r="K18" s="33" t="str">
        <f>IF(B18="","Pending",IF(M18="","⚠️ Enter Code",IF(IFERROR(VLOOKUP(L18,DB_Agents!$B:$F,4,0),"")=TEXT(M18,"0"),"Pending Approval","🔒 WRONG CODE")))</f>
        <v>Pending</v>
      </c>
      <c r="L18" s="30" t="s">
        <v>54</v>
      </c>
      <c r="M18" s="41"/>
      <c r="N18" s="57"/>
    </row>
    <row r="19" spans="1:14" ht="20.100000000000001" customHeight="1" x14ac:dyDescent="0.25">
      <c r="A19" s="30" t="str">
        <f t="shared" si="0"/>
        <v/>
      </c>
      <c r="B19" s="41"/>
      <c r="C19" s="35" t="str">
        <f>IF(B19="","",IFERROR(VLOOKUP(B19,DB_Customers!$A:$B,2,0),"❌ Account Not Found"))</f>
        <v/>
      </c>
      <c r="D19" s="42" t="str">
        <f t="shared" ca="1" si="1"/>
        <v/>
      </c>
      <c r="E19" s="32"/>
      <c r="F19" s="31"/>
      <c r="G19" s="41"/>
      <c r="H19" s="56">
        <v>2.5</v>
      </c>
      <c r="I19" s="43" t="str">
        <f t="shared" si="2"/>
        <v/>
      </c>
      <c r="J19" s="43" t="str">
        <f t="shared" si="3"/>
        <v/>
      </c>
      <c r="K19" s="33" t="str">
        <f>IF(B19="","Pending",IF(M19="","⚠️ Enter Code",IF(IFERROR(VLOOKUP(L19,DB_Agents!$B:$F,4,0),"")=TEXT(M19,"0"),"Pending Approval","🔒 WRONG CODE")))</f>
        <v>Pending</v>
      </c>
      <c r="L19" s="30" t="s">
        <v>54</v>
      </c>
      <c r="M19" s="41"/>
      <c r="N19" s="22"/>
    </row>
    <row r="20" spans="1:14" ht="20.100000000000001" customHeight="1" x14ac:dyDescent="0.25">
      <c r="A20" s="30" t="str">
        <f t="shared" si="0"/>
        <v/>
      </c>
      <c r="B20" s="41"/>
      <c r="C20" s="35" t="str">
        <f>IF(B20="","",IFERROR(VLOOKUP(B20,DB_Customers!$A:$B,2,0),"❌ Account Not Found"))</f>
        <v/>
      </c>
      <c r="D20" s="42" t="str">
        <f t="shared" ca="1" si="1"/>
        <v/>
      </c>
      <c r="E20" s="32"/>
      <c r="F20" s="31"/>
      <c r="G20" s="41"/>
      <c r="H20" s="56">
        <v>2.5</v>
      </c>
      <c r="I20" s="43" t="str">
        <f t="shared" si="2"/>
        <v/>
      </c>
      <c r="J20" s="43" t="str">
        <f t="shared" si="3"/>
        <v/>
      </c>
      <c r="K20" s="33" t="str">
        <f>IF(B20="","Pending",IF(M20="","⚠️ Enter Code",IF(IFERROR(VLOOKUP(L20,DB_Agents!$B:$F,4,0),"")=TEXT(M20,"0"),"Pending Approval","🔒 WRONG CODE")))</f>
        <v>Pending</v>
      </c>
      <c r="L20" s="30" t="s">
        <v>54</v>
      </c>
      <c r="M20" s="41"/>
      <c r="N20" s="57"/>
    </row>
    <row r="21" spans="1:14" ht="20.100000000000001" customHeight="1" x14ac:dyDescent="0.25">
      <c r="A21" s="30" t="str">
        <f t="shared" si="0"/>
        <v/>
      </c>
      <c r="B21" s="41"/>
      <c r="C21" s="35" t="str">
        <f>IF(B21="","",IFERROR(VLOOKUP(B21,DB_Customers!$A:$B,2,0),"❌ Account Not Found"))</f>
        <v/>
      </c>
      <c r="D21" s="42" t="str">
        <f t="shared" ca="1" si="1"/>
        <v/>
      </c>
      <c r="E21" s="32"/>
      <c r="F21" s="31"/>
      <c r="G21" s="41"/>
      <c r="H21" s="56">
        <v>2.5</v>
      </c>
      <c r="I21" s="43" t="str">
        <f t="shared" si="2"/>
        <v/>
      </c>
      <c r="J21" s="43" t="str">
        <f t="shared" si="3"/>
        <v/>
      </c>
      <c r="K21" s="33" t="str">
        <f>IF(B21="","Pending",IF(M21="","⚠️ Enter Code",IF(IFERROR(VLOOKUP(L21,DB_Agents!$B:$F,4,0),"")=TEXT(M21,"0"),"Pending Approval","🔒 WRONG CODE")))</f>
        <v>Pending</v>
      </c>
      <c r="L21" s="30" t="s">
        <v>54</v>
      </c>
      <c r="M21" s="41"/>
      <c r="N21" s="22"/>
    </row>
    <row r="22" spans="1:14" ht="20.100000000000001" customHeight="1" x14ac:dyDescent="0.25">
      <c r="A22" s="30" t="str">
        <f t="shared" si="0"/>
        <v/>
      </c>
      <c r="B22" s="41"/>
      <c r="C22" s="35" t="str">
        <f>IF(B22="","",IFERROR(VLOOKUP(B22,DB_Customers!$A:$B,2,0),"❌ Account Not Found"))</f>
        <v/>
      </c>
      <c r="D22" s="42" t="str">
        <f t="shared" ca="1" si="1"/>
        <v/>
      </c>
      <c r="E22" s="32"/>
      <c r="F22" s="31"/>
      <c r="G22" s="41"/>
      <c r="H22" s="56">
        <v>2.5</v>
      </c>
      <c r="I22" s="43" t="str">
        <f t="shared" si="2"/>
        <v/>
      </c>
      <c r="J22" s="43" t="str">
        <f t="shared" si="3"/>
        <v/>
      </c>
      <c r="K22" s="33" t="str">
        <f>IF(B22="","Pending",IF(M22="","⚠️ Enter Code",IF(IFERROR(VLOOKUP(L22,DB_Agents!$B:$F,4,0),"")=TEXT(M22,"0"),"Pending Approval","🔒 WRONG CODE")))</f>
        <v>Pending</v>
      </c>
      <c r="L22" s="30" t="s">
        <v>54</v>
      </c>
      <c r="M22" s="41"/>
      <c r="N22" s="57"/>
    </row>
    <row r="23" spans="1:14" ht="20.100000000000001" customHeight="1" x14ac:dyDescent="0.25">
      <c r="A23" s="30" t="str">
        <f t="shared" si="0"/>
        <v/>
      </c>
      <c r="B23" s="41"/>
      <c r="C23" s="35" t="str">
        <f>IF(B23="","",IFERROR(VLOOKUP(B23,DB_Customers!$A:$B,2,0),"❌ Account Not Found"))</f>
        <v/>
      </c>
      <c r="D23" s="42" t="str">
        <f t="shared" ca="1" si="1"/>
        <v/>
      </c>
      <c r="E23" s="32"/>
      <c r="F23" s="31"/>
      <c r="G23" s="41"/>
      <c r="H23" s="56">
        <v>2.5</v>
      </c>
      <c r="I23" s="43" t="str">
        <f t="shared" si="2"/>
        <v/>
      </c>
      <c r="J23" s="43" t="str">
        <f t="shared" si="3"/>
        <v/>
      </c>
      <c r="K23" s="33" t="str">
        <f>IF(B23="","Pending",IF(M23="","⚠️ Enter Code",IF(IFERROR(VLOOKUP(L23,DB_Agents!$B:$F,4,0),"")=TEXT(M23,"0"),"Pending Approval","🔒 WRONG CODE")))</f>
        <v>Pending</v>
      </c>
      <c r="L23" s="30" t="s">
        <v>54</v>
      </c>
      <c r="M23" s="41"/>
      <c r="N23" s="22"/>
    </row>
    <row r="24" spans="1:14" ht="20.100000000000001" customHeight="1" x14ac:dyDescent="0.25">
      <c r="A24" s="30" t="str">
        <f t="shared" si="0"/>
        <v/>
      </c>
      <c r="B24" s="41"/>
      <c r="C24" s="35" t="str">
        <f>IF(B24="","",IFERROR(VLOOKUP(B24,DB_Customers!$A:$B,2,0),"❌ Account Not Found"))</f>
        <v/>
      </c>
      <c r="D24" s="42" t="str">
        <f t="shared" ca="1" si="1"/>
        <v/>
      </c>
      <c r="E24" s="32"/>
      <c r="F24" s="31"/>
      <c r="G24" s="41"/>
      <c r="H24" s="56">
        <v>2.5</v>
      </c>
      <c r="I24" s="43" t="str">
        <f t="shared" si="2"/>
        <v/>
      </c>
      <c r="J24" s="43" t="str">
        <f t="shared" si="3"/>
        <v/>
      </c>
      <c r="K24" s="33" t="str">
        <f>IF(B24="","Pending",IF(M24="","⚠️ Enter Code",IF(IFERROR(VLOOKUP(L24,DB_Agents!$B:$F,4,0),"")=TEXT(M24,"0"),"Pending Approval","🔒 WRONG CODE")))</f>
        <v>Pending</v>
      </c>
      <c r="L24" s="30" t="s">
        <v>54</v>
      </c>
      <c r="M24" s="41"/>
      <c r="N24" s="57"/>
    </row>
    <row r="25" spans="1:14" ht="20.100000000000001" customHeight="1" x14ac:dyDescent="0.25">
      <c r="A25" s="30" t="str">
        <f t="shared" si="0"/>
        <v/>
      </c>
      <c r="B25" s="41"/>
      <c r="C25" s="35" t="str">
        <f>IF(B25="","",IFERROR(VLOOKUP(B25,DB_Customers!$A:$B,2,0),"❌ Account Not Found"))</f>
        <v/>
      </c>
      <c r="D25" s="42" t="str">
        <f t="shared" ca="1" si="1"/>
        <v/>
      </c>
      <c r="E25" s="32"/>
      <c r="F25" s="31"/>
      <c r="G25" s="41"/>
      <c r="H25" s="56">
        <v>2.5</v>
      </c>
      <c r="I25" s="43" t="str">
        <f t="shared" si="2"/>
        <v/>
      </c>
      <c r="J25" s="43" t="str">
        <f t="shared" si="3"/>
        <v/>
      </c>
      <c r="K25" s="33" t="str">
        <f>IF(B25="","Pending",IF(M25="","⚠️ Enter Code",IF(IFERROR(VLOOKUP(L25,DB_Agents!$B:$F,4,0),"")=TEXT(M25,"0"),"Pending Approval","🔒 WRONG CODE")))</f>
        <v>Pending</v>
      </c>
      <c r="L25" s="30" t="s">
        <v>54</v>
      </c>
      <c r="M25" s="41"/>
      <c r="N25" s="22"/>
    </row>
    <row r="26" spans="1:14" ht="20.100000000000001" customHeight="1" x14ac:dyDescent="0.25">
      <c r="A26" s="30" t="str">
        <f t="shared" si="0"/>
        <v/>
      </c>
      <c r="B26" s="41"/>
      <c r="C26" s="35" t="str">
        <f>IF(B26="","",IFERROR(VLOOKUP(B26,DB_Customers!$A:$B,2,0),"❌ Account Not Found"))</f>
        <v/>
      </c>
      <c r="D26" s="42" t="str">
        <f t="shared" ca="1" si="1"/>
        <v/>
      </c>
      <c r="E26" s="32"/>
      <c r="F26" s="31"/>
      <c r="G26" s="41"/>
      <c r="H26" s="56">
        <v>2.5</v>
      </c>
      <c r="I26" s="43" t="str">
        <f t="shared" si="2"/>
        <v/>
      </c>
      <c r="J26" s="43" t="str">
        <f t="shared" si="3"/>
        <v/>
      </c>
      <c r="K26" s="33" t="str">
        <f>IF(B26="","Pending",IF(M26="","⚠️ Enter Code",IF(IFERROR(VLOOKUP(L26,DB_Agents!$B:$F,4,0),"")=TEXT(M26,"0"),"Pending Approval","🔒 WRONG CODE")))</f>
        <v>Pending</v>
      </c>
      <c r="L26" s="30" t="s">
        <v>54</v>
      </c>
      <c r="M26" s="41"/>
      <c r="N26" s="57"/>
    </row>
    <row r="27" spans="1:14" ht="20.100000000000001" customHeight="1" x14ac:dyDescent="0.25">
      <c r="A27" s="30" t="str">
        <f t="shared" si="0"/>
        <v/>
      </c>
      <c r="B27" s="41"/>
      <c r="C27" s="35" t="str">
        <f>IF(B27="","",IFERROR(VLOOKUP(B27,DB_Customers!$A:$B,2,0),"❌ Account Not Found"))</f>
        <v/>
      </c>
      <c r="D27" s="42" t="str">
        <f t="shared" ca="1" si="1"/>
        <v/>
      </c>
      <c r="E27" s="32"/>
      <c r="F27" s="31"/>
      <c r="G27" s="41"/>
      <c r="H27" s="56">
        <v>2.5</v>
      </c>
      <c r="I27" s="43" t="str">
        <f t="shared" si="2"/>
        <v/>
      </c>
      <c r="J27" s="43" t="str">
        <f t="shared" si="3"/>
        <v/>
      </c>
      <c r="K27" s="33" t="str">
        <f>IF(B27="","Pending",IF(M27="","⚠️ Enter Code",IF(IFERROR(VLOOKUP(L27,DB_Agents!$B:$F,4,0),"")=TEXT(M27,"0"),"Pending Approval","🔒 WRONG CODE")))</f>
        <v>Pending</v>
      </c>
      <c r="L27" s="30" t="s">
        <v>54</v>
      </c>
      <c r="M27" s="41"/>
      <c r="N27" s="22"/>
    </row>
    <row r="28" spans="1:14" ht="20.100000000000001" customHeight="1" x14ac:dyDescent="0.25">
      <c r="A28" s="30" t="str">
        <f t="shared" si="0"/>
        <v/>
      </c>
      <c r="B28" s="41"/>
      <c r="C28" s="35" t="str">
        <f>IF(B28="","",IFERROR(VLOOKUP(B28,DB_Customers!$A:$B,2,0),"❌ Account Not Found"))</f>
        <v/>
      </c>
      <c r="D28" s="42" t="str">
        <f t="shared" ca="1" si="1"/>
        <v/>
      </c>
      <c r="E28" s="32"/>
      <c r="F28" s="31"/>
      <c r="G28" s="41"/>
      <c r="H28" s="56">
        <v>2.5</v>
      </c>
      <c r="I28" s="43" t="str">
        <f t="shared" si="2"/>
        <v/>
      </c>
      <c r="J28" s="43" t="str">
        <f t="shared" si="3"/>
        <v/>
      </c>
      <c r="K28" s="33" t="str">
        <f>IF(B28="","Pending",IF(M28="","⚠️ Enter Code",IF(IFERROR(VLOOKUP(L28,DB_Agents!$B:$F,4,0),"")=TEXT(M28,"0"),"Pending Approval","🔒 WRONG CODE")))</f>
        <v>Pending</v>
      </c>
      <c r="L28" s="30" t="s">
        <v>54</v>
      </c>
      <c r="M28" s="41"/>
      <c r="N28" s="57"/>
    </row>
    <row r="29" spans="1:14" ht="20.100000000000001" customHeight="1" x14ac:dyDescent="0.25">
      <c r="A29" s="30" t="str">
        <f t="shared" si="0"/>
        <v/>
      </c>
      <c r="B29" s="41"/>
      <c r="C29" s="35" t="str">
        <f>IF(B29="","",IFERROR(VLOOKUP(B29,DB_Customers!$A:$B,2,0),"❌ Account Not Found"))</f>
        <v/>
      </c>
      <c r="D29" s="42" t="str">
        <f t="shared" ca="1" si="1"/>
        <v/>
      </c>
      <c r="E29" s="32"/>
      <c r="F29" s="31"/>
      <c r="G29" s="41"/>
      <c r="H29" s="56">
        <v>2.5</v>
      </c>
      <c r="I29" s="43" t="str">
        <f t="shared" si="2"/>
        <v/>
      </c>
      <c r="J29" s="43" t="str">
        <f t="shared" si="3"/>
        <v/>
      </c>
      <c r="K29" s="33" t="str">
        <f>IF(B29="","Pending",IF(M29="","⚠️ Enter Code",IF(IFERROR(VLOOKUP(L29,DB_Agents!$B:$F,4,0),"")=TEXT(M29,"0"),"Pending Approval","🔒 WRONG CODE")))</f>
        <v>Pending</v>
      </c>
      <c r="L29" s="30" t="s">
        <v>54</v>
      </c>
      <c r="M29" s="41"/>
      <c r="N29" s="22"/>
    </row>
    <row r="30" spans="1:14" ht="20.100000000000001" customHeight="1" x14ac:dyDescent="0.25">
      <c r="A30" s="30" t="str">
        <f t="shared" si="0"/>
        <v/>
      </c>
      <c r="B30" s="41"/>
      <c r="C30" s="35" t="str">
        <f>IF(B30="","",IFERROR(VLOOKUP(B30,DB_Customers!$A:$B,2,0),"❌ Account Not Found"))</f>
        <v/>
      </c>
      <c r="D30" s="42" t="str">
        <f t="shared" ca="1" si="1"/>
        <v/>
      </c>
      <c r="E30" s="32"/>
      <c r="F30" s="31"/>
      <c r="G30" s="41"/>
      <c r="H30" s="56">
        <v>2.5</v>
      </c>
      <c r="I30" s="43" t="str">
        <f t="shared" si="2"/>
        <v/>
      </c>
      <c r="J30" s="43" t="str">
        <f t="shared" si="3"/>
        <v/>
      </c>
      <c r="K30" s="33" t="str">
        <f>IF(B30="","Pending",IF(M30="","⚠️ Enter Code",IF(IFERROR(VLOOKUP(L30,DB_Agents!$B:$F,4,0),"")=TEXT(M30,"0"),"Pending Approval","🔒 WRONG CODE")))</f>
        <v>Pending</v>
      </c>
      <c r="L30" s="30" t="s">
        <v>54</v>
      </c>
      <c r="M30" s="41"/>
      <c r="N30" s="57"/>
    </row>
    <row r="31" spans="1:14" ht="20.100000000000001" customHeight="1" x14ac:dyDescent="0.25">
      <c r="A31" s="30" t="str">
        <f t="shared" si="0"/>
        <v/>
      </c>
      <c r="B31" s="41"/>
      <c r="C31" s="35" t="str">
        <f>IF(B31="","",IFERROR(VLOOKUP(B31,DB_Customers!$A:$B,2,0),"❌ Account Not Found"))</f>
        <v/>
      </c>
      <c r="D31" s="42" t="str">
        <f t="shared" ca="1" si="1"/>
        <v/>
      </c>
      <c r="E31" s="32"/>
      <c r="F31" s="31"/>
      <c r="G31" s="41"/>
      <c r="H31" s="56">
        <v>2.5</v>
      </c>
      <c r="I31" s="43" t="str">
        <f t="shared" si="2"/>
        <v/>
      </c>
      <c r="J31" s="43" t="str">
        <f t="shared" si="3"/>
        <v/>
      </c>
      <c r="K31" s="33" t="str">
        <f>IF(B31="","Pending",IF(M31="","⚠️ Enter Code",IF(IFERROR(VLOOKUP(L31,DB_Agents!$B:$F,4,0),"")=TEXT(M31,"0"),"Pending Approval","🔒 WRONG CODE")))</f>
        <v>Pending</v>
      </c>
      <c r="L31" s="30" t="s">
        <v>54</v>
      </c>
      <c r="M31" s="41"/>
      <c r="N31" s="22"/>
    </row>
    <row r="32" spans="1:14" ht="20.100000000000001" customHeight="1" x14ac:dyDescent="0.25">
      <c r="A32" s="30" t="str">
        <f t="shared" si="0"/>
        <v/>
      </c>
      <c r="B32" s="41"/>
      <c r="C32" s="35" t="str">
        <f>IF(B32="","",IFERROR(VLOOKUP(B32,DB_Customers!$A:$B,2,0),"❌ Account Not Found"))</f>
        <v/>
      </c>
      <c r="D32" s="42" t="str">
        <f t="shared" ca="1" si="1"/>
        <v/>
      </c>
      <c r="E32" s="32"/>
      <c r="F32" s="31"/>
      <c r="G32" s="41"/>
      <c r="H32" s="56">
        <v>2.5</v>
      </c>
      <c r="I32" s="43" t="str">
        <f t="shared" si="2"/>
        <v/>
      </c>
      <c r="J32" s="43" t="str">
        <f t="shared" si="3"/>
        <v/>
      </c>
      <c r="K32" s="33" t="str">
        <f>IF(B32="","Pending",IF(M32="","⚠️ Enter Code",IF(IFERROR(VLOOKUP(L32,DB_Agents!$B:$F,4,0),"")=TEXT(M32,"0"),"Pending Approval","🔒 WRONG CODE")))</f>
        <v>Pending</v>
      </c>
      <c r="L32" s="30" t="s">
        <v>54</v>
      </c>
      <c r="M32" s="41"/>
      <c r="N32" s="57"/>
    </row>
    <row r="33" spans="1:14" ht="20.100000000000001" customHeight="1" x14ac:dyDescent="0.25">
      <c r="A33" s="30" t="str">
        <f t="shared" si="0"/>
        <v/>
      </c>
      <c r="B33" s="41"/>
      <c r="C33" s="35" t="str">
        <f>IF(B33="","",IFERROR(VLOOKUP(B33,DB_Customers!$A:$B,2,0),"❌ Account Not Found"))</f>
        <v/>
      </c>
      <c r="D33" s="42" t="str">
        <f t="shared" ca="1" si="1"/>
        <v/>
      </c>
      <c r="E33" s="32"/>
      <c r="F33" s="31"/>
      <c r="G33" s="41"/>
      <c r="H33" s="56">
        <v>2.5</v>
      </c>
      <c r="I33" s="43" t="str">
        <f t="shared" si="2"/>
        <v/>
      </c>
      <c r="J33" s="43" t="str">
        <f t="shared" si="3"/>
        <v/>
      </c>
      <c r="K33" s="33" t="str">
        <f>IF(B33="","Pending",IF(M33="","⚠️ Enter Code",IF(IFERROR(VLOOKUP(L33,DB_Agents!$B:$F,4,0),"")=TEXT(M33,"0"),"Pending Approval","🔒 WRONG CODE")))</f>
        <v>Pending</v>
      </c>
      <c r="L33" s="30" t="s">
        <v>54</v>
      </c>
      <c r="M33" s="41"/>
      <c r="N33" s="22"/>
    </row>
    <row r="34" spans="1:14" ht="20.100000000000001" customHeight="1" x14ac:dyDescent="0.25">
      <c r="A34" s="30" t="str">
        <f t="shared" si="0"/>
        <v/>
      </c>
      <c r="B34" s="41"/>
      <c r="C34" s="35" t="str">
        <f>IF(B34="","",IFERROR(VLOOKUP(B34,DB_Customers!$A:$B,2,0),"❌ Account Not Found"))</f>
        <v/>
      </c>
      <c r="D34" s="42" t="str">
        <f t="shared" ca="1" si="1"/>
        <v/>
      </c>
      <c r="E34" s="32"/>
      <c r="F34" s="31"/>
      <c r="G34" s="41"/>
      <c r="H34" s="56">
        <v>2.5</v>
      </c>
      <c r="I34" s="43" t="str">
        <f t="shared" si="2"/>
        <v/>
      </c>
      <c r="J34" s="43" t="str">
        <f t="shared" si="3"/>
        <v/>
      </c>
      <c r="K34" s="33" t="str">
        <f>IF(B34="","Pending",IF(M34="","⚠️ Enter Code",IF(IFERROR(VLOOKUP(L34,DB_Agents!$B:$F,4,0),"")=TEXT(M34,"0"),"Pending Approval","🔒 WRONG CODE")))</f>
        <v>Pending</v>
      </c>
      <c r="L34" s="30" t="s">
        <v>54</v>
      </c>
      <c r="M34" s="41"/>
      <c r="N34" s="57"/>
    </row>
    <row r="35" spans="1:14" ht="20.100000000000001" customHeight="1" x14ac:dyDescent="0.25">
      <c r="A35" s="30" t="str">
        <f t="shared" si="0"/>
        <v/>
      </c>
      <c r="B35" s="41"/>
      <c r="C35" s="35" t="str">
        <f>IF(B35="","",IFERROR(VLOOKUP(B35,DB_Customers!$A:$B,2,0),"❌ Account Not Found"))</f>
        <v/>
      </c>
      <c r="D35" s="42" t="str">
        <f t="shared" ca="1" si="1"/>
        <v/>
      </c>
      <c r="E35" s="32"/>
      <c r="F35" s="31"/>
      <c r="G35" s="41"/>
      <c r="H35" s="56">
        <v>2.5</v>
      </c>
      <c r="I35" s="43" t="str">
        <f t="shared" si="2"/>
        <v/>
      </c>
      <c r="J35" s="43" t="str">
        <f t="shared" si="3"/>
        <v/>
      </c>
      <c r="K35" s="33" t="str">
        <f>IF(B35="","Pending",IF(M35="","⚠️ Enter Code",IF(IFERROR(VLOOKUP(L35,DB_Agents!$B:$F,4,0),"")=TEXT(M35,"0"),"Pending Approval","🔒 WRONG CODE")))</f>
        <v>Pending</v>
      </c>
      <c r="L35" s="30" t="s">
        <v>54</v>
      </c>
      <c r="M35" s="41"/>
      <c r="N35" s="22"/>
    </row>
    <row r="36" spans="1:14" ht="20.100000000000001" customHeight="1" x14ac:dyDescent="0.25">
      <c r="A36" s="30" t="str">
        <f t="shared" si="0"/>
        <v/>
      </c>
      <c r="B36" s="41"/>
      <c r="C36" s="35" t="str">
        <f>IF(B36="","",IFERROR(VLOOKUP(B36,DB_Customers!$A:$B,2,0),"❌ Account Not Found"))</f>
        <v/>
      </c>
      <c r="D36" s="42" t="str">
        <f t="shared" ca="1" si="1"/>
        <v/>
      </c>
      <c r="E36" s="32"/>
      <c r="F36" s="31"/>
      <c r="G36" s="41"/>
      <c r="H36" s="56">
        <v>2.5</v>
      </c>
      <c r="I36" s="43" t="str">
        <f t="shared" si="2"/>
        <v/>
      </c>
      <c r="J36" s="43" t="str">
        <f t="shared" si="3"/>
        <v/>
      </c>
      <c r="K36" s="33" t="str">
        <f>IF(B36="","Pending",IF(M36="","⚠️ Enter Code",IF(IFERROR(VLOOKUP(L36,DB_Agents!$B:$F,4,0),"")=TEXT(M36,"0"),"Pending Approval","🔒 WRONG CODE")))</f>
        <v>Pending</v>
      </c>
      <c r="L36" s="30" t="s">
        <v>54</v>
      </c>
      <c r="M36" s="41"/>
      <c r="N36" s="57"/>
    </row>
    <row r="37" spans="1:14" ht="20.100000000000001" customHeight="1" x14ac:dyDescent="0.25">
      <c r="A37" s="30" t="str">
        <f t="shared" si="0"/>
        <v/>
      </c>
      <c r="B37" s="41"/>
      <c r="C37" s="35" t="str">
        <f>IF(B37="","",IFERROR(VLOOKUP(B37,DB_Customers!$A:$B,2,0),"❌ Account Not Found"))</f>
        <v/>
      </c>
      <c r="D37" s="42" t="str">
        <f t="shared" ca="1" si="1"/>
        <v/>
      </c>
      <c r="E37" s="32"/>
      <c r="F37" s="31"/>
      <c r="G37" s="41"/>
      <c r="H37" s="56">
        <v>2.5</v>
      </c>
      <c r="I37" s="43" t="str">
        <f t="shared" si="2"/>
        <v/>
      </c>
      <c r="J37" s="43" t="str">
        <f t="shared" si="3"/>
        <v/>
      </c>
      <c r="K37" s="33" t="str">
        <f>IF(B37="","Pending",IF(M37="","⚠️ Enter Code",IF(IFERROR(VLOOKUP(L37,DB_Agents!$B:$F,4,0),"")=TEXT(M37,"0"),"Pending Approval","🔒 WRONG CODE")))</f>
        <v>Pending</v>
      </c>
      <c r="L37" s="30" t="s">
        <v>54</v>
      </c>
      <c r="M37" s="41"/>
      <c r="N37" s="22"/>
    </row>
    <row r="38" spans="1:14" ht="20.100000000000001" customHeight="1" x14ac:dyDescent="0.25">
      <c r="A38" s="30" t="str">
        <f t="shared" si="0"/>
        <v/>
      </c>
      <c r="B38" s="41"/>
      <c r="C38" s="35" t="str">
        <f>IF(B38="","",IFERROR(VLOOKUP(B38,DB_Customers!$A:$B,2,0),"❌ Account Not Found"))</f>
        <v/>
      </c>
      <c r="D38" s="42" t="str">
        <f t="shared" ca="1" si="1"/>
        <v/>
      </c>
      <c r="E38" s="32"/>
      <c r="F38" s="31"/>
      <c r="G38" s="41"/>
      <c r="H38" s="56">
        <v>2.5</v>
      </c>
      <c r="I38" s="43" t="str">
        <f t="shared" si="2"/>
        <v/>
      </c>
      <c r="J38" s="43" t="str">
        <f t="shared" si="3"/>
        <v/>
      </c>
      <c r="K38" s="33" t="str">
        <f>IF(B38="","Pending",IF(M38="","⚠️ Enter Code",IF(IFERROR(VLOOKUP(L38,DB_Agents!$B:$F,4,0),"")=TEXT(M38,"0"),"Pending Approval","🔒 WRONG CODE")))</f>
        <v>Pending</v>
      </c>
      <c r="L38" s="30" t="s">
        <v>54</v>
      </c>
      <c r="M38" s="41"/>
      <c r="N38" s="57"/>
    </row>
    <row r="39" spans="1:14" ht="20.100000000000001" customHeight="1" x14ac:dyDescent="0.25">
      <c r="A39" s="30" t="str">
        <f t="shared" si="0"/>
        <v/>
      </c>
      <c r="B39" s="41"/>
      <c r="C39" s="35" t="str">
        <f>IF(B39="","",IFERROR(VLOOKUP(B39,DB_Customers!$A:$B,2,0),"❌ Account Not Found"))</f>
        <v/>
      </c>
      <c r="D39" s="42" t="str">
        <f t="shared" ca="1" si="1"/>
        <v/>
      </c>
      <c r="E39" s="32"/>
      <c r="F39" s="31"/>
      <c r="G39" s="41"/>
      <c r="H39" s="56">
        <v>2.5</v>
      </c>
      <c r="I39" s="43" t="str">
        <f t="shared" si="2"/>
        <v/>
      </c>
      <c r="J39" s="43" t="str">
        <f t="shared" si="3"/>
        <v/>
      </c>
      <c r="K39" s="33" t="str">
        <f>IF(B39="","Pending",IF(M39="","⚠️ Enter Code",IF(IFERROR(VLOOKUP(L39,DB_Agents!$B:$F,4,0),"")=TEXT(M39,"0"),"Pending Approval","🔒 WRONG CODE")))</f>
        <v>Pending</v>
      </c>
      <c r="L39" s="30" t="s">
        <v>54</v>
      </c>
      <c r="M39" s="41"/>
      <c r="N39" s="22"/>
    </row>
    <row r="40" spans="1:14" ht="20.100000000000001" customHeight="1" x14ac:dyDescent="0.25">
      <c r="A40" s="30" t="str">
        <f t="shared" si="0"/>
        <v/>
      </c>
      <c r="B40" s="41"/>
      <c r="C40" s="35" t="str">
        <f>IF(B40="","",IFERROR(VLOOKUP(B40,DB_Customers!$A:$B,2,0),"❌ Account Not Found"))</f>
        <v/>
      </c>
      <c r="D40" s="42" t="str">
        <f t="shared" ca="1" si="1"/>
        <v/>
      </c>
      <c r="E40" s="32"/>
      <c r="F40" s="31"/>
      <c r="G40" s="41"/>
      <c r="H40" s="56">
        <v>2.5</v>
      </c>
      <c r="I40" s="43" t="str">
        <f t="shared" si="2"/>
        <v/>
      </c>
      <c r="J40" s="43" t="str">
        <f t="shared" si="3"/>
        <v/>
      </c>
      <c r="K40" s="33" t="str">
        <f>IF(B40="","Pending",IF(M40="","⚠️ Enter Code",IF(IFERROR(VLOOKUP(L40,DB_Agents!$B:$F,4,0),"")=TEXT(M40,"0"),"Pending Approval","🔒 WRONG CODE")))</f>
        <v>Pending</v>
      </c>
      <c r="L40" s="30" t="s">
        <v>54</v>
      </c>
      <c r="M40" s="41"/>
      <c r="N40" s="57"/>
    </row>
    <row r="41" spans="1:14" ht="20.100000000000001" customHeight="1" x14ac:dyDescent="0.25">
      <c r="A41" s="30" t="str">
        <f t="shared" si="0"/>
        <v/>
      </c>
      <c r="B41" s="41"/>
      <c r="C41" s="35" t="str">
        <f>IF(B41="","",IFERROR(VLOOKUP(B41,DB_Customers!$A:$B,2,0),"❌ Account Not Found"))</f>
        <v/>
      </c>
      <c r="D41" s="42" t="str">
        <f t="shared" ca="1" si="1"/>
        <v/>
      </c>
      <c r="E41" s="32"/>
      <c r="F41" s="31"/>
      <c r="G41" s="41"/>
      <c r="H41" s="56">
        <v>2.5</v>
      </c>
      <c r="I41" s="43" t="str">
        <f t="shared" si="2"/>
        <v/>
      </c>
      <c r="J41" s="43" t="str">
        <f t="shared" si="3"/>
        <v/>
      </c>
      <c r="K41" s="33" t="str">
        <f>IF(B41="","Pending",IF(M41="","⚠️ Enter Code",IF(IFERROR(VLOOKUP(L41,DB_Agents!$B:$F,4,0),"")=TEXT(M41,"0"),"Pending Approval","🔒 WRONG CODE")))</f>
        <v>Pending</v>
      </c>
      <c r="L41" s="30" t="s">
        <v>54</v>
      </c>
      <c r="M41" s="41"/>
      <c r="N41" s="22"/>
    </row>
    <row r="42" spans="1:14" ht="20.100000000000001" customHeight="1" x14ac:dyDescent="0.25">
      <c r="A42" s="30" t="str">
        <f t="shared" si="0"/>
        <v/>
      </c>
      <c r="B42" s="41"/>
      <c r="C42" s="35" t="str">
        <f>IF(B42="","",IFERROR(VLOOKUP(B42,DB_Customers!$A:$B,2,0),"❌ Account Not Found"))</f>
        <v/>
      </c>
      <c r="D42" s="42" t="str">
        <f t="shared" ca="1" si="1"/>
        <v/>
      </c>
      <c r="E42" s="32"/>
      <c r="F42" s="31"/>
      <c r="G42" s="41"/>
      <c r="H42" s="56">
        <v>2.5</v>
      </c>
      <c r="I42" s="43" t="str">
        <f t="shared" si="2"/>
        <v/>
      </c>
      <c r="J42" s="43" t="str">
        <f t="shared" si="3"/>
        <v/>
      </c>
      <c r="K42" s="33" t="str">
        <f>IF(B42="","Pending",IF(M42="","⚠️ Enter Code",IF(IFERROR(VLOOKUP(L42,DB_Agents!$B:$F,4,0),"")=TEXT(M42,"0"),"Pending Approval","🔒 WRONG CODE")))</f>
        <v>Pending</v>
      </c>
      <c r="L42" s="30" t="s">
        <v>54</v>
      </c>
      <c r="M42" s="41"/>
      <c r="N42" s="57"/>
    </row>
    <row r="43" spans="1:14" ht="20.100000000000001" customHeight="1" x14ac:dyDescent="0.25">
      <c r="A43" s="30" t="str">
        <f t="shared" si="0"/>
        <v/>
      </c>
      <c r="B43" s="41"/>
      <c r="C43" s="35" t="str">
        <f>IF(B43="","",IFERROR(VLOOKUP(B43,DB_Customers!$A:$B,2,0),"❌ Account Not Found"))</f>
        <v/>
      </c>
      <c r="D43" s="42" t="str">
        <f t="shared" ca="1" si="1"/>
        <v/>
      </c>
      <c r="E43" s="32"/>
      <c r="F43" s="31"/>
      <c r="G43" s="41"/>
      <c r="H43" s="56">
        <v>2.5</v>
      </c>
      <c r="I43" s="43" t="str">
        <f t="shared" si="2"/>
        <v/>
      </c>
      <c r="J43" s="43" t="str">
        <f t="shared" si="3"/>
        <v/>
      </c>
      <c r="K43" s="33" t="str">
        <f>IF(B43="","Pending",IF(M43="","⚠️ Enter Code",IF(IFERROR(VLOOKUP(L43,DB_Agents!$B:$F,4,0),"")=TEXT(M43,"0"),"Pending Approval","🔒 WRONG CODE")))</f>
        <v>Pending</v>
      </c>
      <c r="L43" s="30" t="s">
        <v>54</v>
      </c>
      <c r="M43" s="41"/>
      <c r="N43" s="22"/>
    </row>
    <row r="44" spans="1:14" ht="20.100000000000001" customHeight="1" x14ac:dyDescent="0.25">
      <c r="A44" s="30" t="str">
        <f t="shared" si="0"/>
        <v/>
      </c>
      <c r="B44" s="41"/>
      <c r="C44" s="35" t="str">
        <f>IF(B44="","",IFERROR(VLOOKUP(B44,DB_Customers!$A:$B,2,0),"❌ Account Not Found"))</f>
        <v/>
      </c>
      <c r="D44" s="42" t="str">
        <f t="shared" ca="1" si="1"/>
        <v/>
      </c>
      <c r="E44" s="32"/>
      <c r="F44" s="31"/>
      <c r="G44" s="41"/>
      <c r="H44" s="56">
        <v>2.5</v>
      </c>
      <c r="I44" s="43" t="str">
        <f t="shared" si="2"/>
        <v/>
      </c>
      <c r="J44" s="43" t="str">
        <f t="shared" si="3"/>
        <v/>
      </c>
      <c r="K44" s="33" t="str">
        <f>IF(B44="","Pending",IF(M44="","⚠️ Enter Code",IF(IFERROR(VLOOKUP(L44,DB_Agents!$B:$F,4,0),"")=TEXT(M44,"0"),"Pending Approval","🔒 WRONG CODE")))</f>
        <v>Pending</v>
      </c>
      <c r="L44" s="30" t="s">
        <v>54</v>
      </c>
      <c r="M44" s="41"/>
      <c r="N44" s="57"/>
    </row>
    <row r="45" spans="1:14" ht="20.100000000000001" customHeight="1" x14ac:dyDescent="0.25">
      <c r="A45" s="30" t="str">
        <f t="shared" si="0"/>
        <v/>
      </c>
      <c r="B45" s="41"/>
      <c r="C45" s="35" t="str">
        <f>IF(B45="","",IFERROR(VLOOKUP(B45,DB_Customers!$A:$B,2,0),"❌ Account Not Found"))</f>
        <v/>
      </c>
      <c r="D45" s="42" t="str">
        <f t="shared" ca="1" si="1"/>
        <v/>
      </c>
      <c r="E45" s="32"/>
      <c r="F45" s="31"/>
      <c r="G45" s="41"/>
      <c r="H45" s="56">
        <v>2.5</v>
      </c>
      <c r="I45" s="43" t="str">
        <f t="shared" si="2"/>
        <v/>
      </c>
      <c r="J45" s="43" t="str">
        <f t="shared" si="3"/>
        <v/>
      </c>
      <c r="K45" s="33" t="str">
        <f>IF(B45="","Pending",IF(M45="","⚠️ Enter Code",IF(IFERROR(VLOOKUP(L45,DB_Agents!$B:$F,4,0),"")=TEXT(M45,"0"),"Pending Approval","🔒 WRONG CODE")))</f>
        <v>Pending</v>
      </c>
      <c r="L45" s="30" t="s">
        <v>54</v>
      </c>
      <c r="M45" s="41"/>
      <c r="N45" s="22"/>
    </row>
    <row r="46" spans="1:14" ht="20.100000000000001" customHeight="1" x14ac:dyDescent="0.25">
      <c r="A46" s="30" t="str">
        <f t="shared" ref="A46:A77" si="4">IF(B46="","",IF(C46="❌ Account Not Found","INVALID","LN"&amp;TEXT(D46,"YYYYMMDD")&amp;TEXT(ROW()-13,"0000")))</f>
        <v/>
      </c>
      <c r="B46" s="41"/>
      <c r="C46" s="35" t="str">
        <f>IF(B46="","",IFERROR(VLOOKUP(B46,DB_Customers!$A:$B,2,0),"❌ Account Not Found"))</f>
        <v/>
      </c>
      <c r="D46" s="42" t="str">
        <f t="shared" ref="D46:D77" ca="1" si="5">IF(B46="","",TODAY())</f>
        <v/>
      </c>
      <c r="E46" s="32"/>
      <c r="F46" s="31"/>
      <c r="G46" s="41"/>
      <c r="H46" s="56">
        <v>2.5</v>
      </c>
      <c r="I46" s="43" t="str">
        <f t="shared" ref="I46:I77" si="6">IF(E46="","",E46+(E46*H46/100*G46))</f>
        <v/>
      </c>
      <c r="J46" s="43" t="str">
        <f t="shared" ref="J46:J77" si="7">IFERROR(I46/G46,"")</f>
        <v/>
      </c>
      <c r="K46" s="33" t="str">
        <f>IF(B46="","Pending",IF(M46="","⚠️ Enter Code",IF(IFERROR(VLOOKUP(L46,DB_Agents!$B:$F,4,0),"")=TEXT(M46,"0"),"Pending Approval","🔒 WRONG CODE")))</f>
        <v>Pending</v>
      </c>
      <c r="L46" s="30" t="s">
        <v>54</v>
      </c>
      <c r="M46" s="41"/>
      <c r="N46" s="57"/>
    </row>
    <row r="47" spans="1:14" ht="20.100000000000001" customHeight="1" x14ac:dyDescent="0.25">
      <c r="A47" s="30" t="str">
        <f t="shared" si="4"/>
        <v/>
      </c>
      <c r="B47" s="41"/>
      <c r="C47" s="35" t="str">
        <f>IF(B47="","",IFERROR(VLOOKUP(B47,DB_Customers!$A:$B,2,0),"❌ Account Not Found"))</f>
        <v/>
      </c>
      <c r="D47" s="42" t="str">
        <f t="shared" ca="1" si="5"/>
        <v/>
      </c>
      <c r="E47" s="32"/>
      <c r="F47" s="31"/>
      <c r="G47" s="41"/>
      <c r="H47" s="56">
        <v>2.5</v>
      </c>
      <c r="I47" s="43" t="str">
        <f t="shared" si="6"/>
        <v/>
      </c>
      <c r="J47" s="43" t="str">
        <f t="shared" si="7"/>
        <v/>
      </c>
      <c r="K47" s="33" t="str">
        <f>IF(B47="","Pending",IF(M47="","⚠️ Enter Code",IF(IFERROR(VLOOKUP(L47,DB_Agents!$B:$F,4,0),"")=TEXT(M47,"0"),"Pending Approval","🔒 WRONG CODE")))</f>
        <v>Pending</v>
      </c>
      <c r="L47" s="30" t="s">
        <v>54</v>
      </c>
      <c r="M47" s="41"/>
      <c r="N47" s="22"/>
    </row>
    <row r="48" spans="1:14" ht="20.100000000000001" customHeight="1" x14ac:dyDescent="0.25">
      <c r="A48" s="30" t="str">
        <f t="shared" si="4"/>
        <v/>
      </c>
      <c r="B48" s="41"/>
      <c r="C48" s="35" t="str">
        <f>IF(B48="","",IFERROR(VLOOKUP(B48,DB_Customers!$A:$B,2,0),"❌ Account Not Found"))</f>
        <v/>
      </c>
      <c r="D48" s="42" t="str">
        <f t="shared" ca="1" si="5"/>
        <v/>
      </c>
      <c r="E48" s="32"/>
      <c r="F48" s="31"/>
      <c r="G48" s="41"/>
      <c r="H48" s="56">
        <v>2.5</v>
      </c>
      <c r="I48" s="43" t="str">
        <f t="shared" si="6"/>
        <v/>
      </c>
      <c r="J48" s="43" t="str">
        <f t="shared" si="7"/>
        <v/>
      </c>
      <c r="K48" s="33" t="str">
        <f>IF(B48="","Pending",IF(M48="","⚠️ Enter Code",IF(IFERROR(VLOOKUP(L48,DB_Agents!$B:$F,4,0),"")=TEXT(M48,"0"),"Pending Approval","🔒 WRONG CODE")))</f>
        <v>Pending</v>
      </c>
      <c r="L48" s="30" t="s">
        <v>54</v>
      </c>
      <c r="M48" s="41"/>
      <c r="N48" s="57"/>
    </row>
    <row r="49" spans="1:14" ht="20.100000000000001" customHeight="1" x14ac:dyDescent="0.25">
      <c r="A49" s="30" t="str">
        <f t="shared" si="4"/>
        <v/>
      </c>
      <c r="B49" s="41"/>
      <c r="C49" s="35" t="str">
        <f>IF(B49="","",IFERROR(VLOOKUP(B49,DB_Customers!$A:$B,2,0),"❌ Account Not Found"))</f>
        <v/>
      </c>
      <c r="D49" s="42" t="str">
        <f t="shared" ca="1" si="5"/>
        <v/>
      </c>
      <c r="E49" s="32"/>
      <c r="F49" s="31"/>
      <c r="G49" s="41"/>
      <c r="H49" s="56">
        <v>2.5</v>
      </c>
      <c r="I49" s="43" t="str">
        <f t="shared" si="6"/>
        <v/>
      </c>
      <c r="J49" s="43" t="str">
        <f t="shared" si="7"/>
        <v/>
      </c>
      <c r="K49" s="33" t="str">
        <f>IF(B49="","Pending",IF(M49="","⚠️ Enter Code",IF(IFERROR(VLOOKUP(L49,DB_Agents!$B:$F,4,0),"")=TEXT(M49,"0"),"Pending Approval","🔒 WRONG CODE")))</f>
        <v>Pending</v>
      </c>
      <c r="L49" s="30" t="s">
        <v>54</v>
      </c>
      <c r="M49" s="41"/>
      <c r="N49" s="22"/>
    </row>
    <row r="50" spans="1:14" ht="20.100000000000001" customHeight="1" x14ac:dyDescent="0.25">
      <c r="A50" s="30" t="str">
        <f t="shared" si="4"/>
        <v/>
      </c>
      <c r="B50" s="41"/>
      <c r="C50" s="35" t="str">
        <f>IF(B50="","",IFERROR(VLOOKUP(B50,DB_Customers!$A:$B,2,0),"❌ Account Not Found"))</f>
        <v/>
      </c>
      <c r="D50" s="42" t="str">
        <f t="shared" ca="1" si="5"/>
        <v/>
      </c>
      <c r="E50" s="32"/>
      <c r="F50" s="31"/>
      <c r="G50" s="41"/>
      <c r="H50" s="56">
        <v>2.5</v>
      </c>
      <c r="I50" s="43" t="str">
        <f t="shared" si="6"/>
        <v/>
      </c>
      <c r="J50" s="43" t="str">
        <f t="shared" si="7"/>
        <v/>
      </c>
      <c r="K50" s="33" t="str">
        <f>IF(B50="","Pending",IF(M50="","⚠️ Enter Code",IF(IFERROR(VLOOKUP(L50,DB_Agents!$B:$F,4,0),"")=TEXT(M50,"0"),"Pending Approval","🔒 WRONG CODE")))</f>
        <v>Pending</v>
      </c>
      <c r="L50" s="30" t="s">
        <v>54</v>
      </c>
      <c r="M50" s="41"/>
      <c r="N50" s="57"/>
    </row>
    <row r="51" spans="1:14" ht="20.100000000000001" customHeight="1" x14ac:dyDescent="0.25">
      <c r="A51" s="30" t="str">
        <f t="shared" si="4"/>
        <v/>
      </c>
      <c r="B51" s="41"/>
      <c r="C51" s="35" t="str">
        <f>IF(B51="","",IFERROR(VLOOKUP(B51,DB_Customers!$A:$B,2,0),"❌ Account Not Found"))</f>
        <v/>
      </c>
      <c r="D51" s="42" t="str">
        <f t="shared" ca="1" si="5"/>
        <v/>
      </c>
      <c r="E51" s="32"/>
      <c r="F51" s="31"/>
      <c r="G51" s="41"/>
      <c r="H51" s="56">
        <v>2.5</v>
      </c>
      <c r="I51" s="43" t="str">
        <f t="shared" si="6"/>
        <v/>
      </c>
      <c r="J51" s="43" t="str">
        <f t="shared" si="7"/>
        <v/>
      </c>
      <c r="K51" s="33" t="str">
        <f>IF(B51="","Pending",IF(M51="","⚠️ Enter Code",IF(IFERROR(VLOOKUP(L51,DB_Agents!$B:$F,4,0),"")=TEXT(M51,"0"),"Pending Approval","🔒 WRONG CODE")))</f>
        <v>Pending</v>
      </c>
      <c r="L51" s="30" t="s">
        <v>54</v>
      </c>
      <c r="M51" s="41"/>
      <c r="N51" s="22"/>
    </row>
    <row r="52" spans="1:14" ht="20.100000000000001" customHeight="1" x14ac:dyDescent="0.25">
      <c r="A52" s="30" t="str">
        <f t="shared" si="4"/>
        <v/>
      </c>
      <c r="B52" s="41"/>
      <c r="C52" s="35" t="str">
        <f>IF(B52="","",IFERROR(VLOOKUP(B52,DB_Customers!$A:$B,2,0),"❌ Account Not Found"))</f>
        <v/>
      </c>
      <c r="D52" s="42" t="str">
        <f t="shared" ca="1" si="5"/>
        <v/>
      </c>
      <c r="E52" s="32"/>
      <c r="F52" s="31"/>
      <c r="G52" s="41"/>
      <c r="H52" s="56">
        <v>2.5</v>
      </c>
      <c r="I52" s="43" t="str">
        <f t="shared" si="6"/>
        <v/>
      </c>
      <c r="J52" s="43" t="str">
        <f t="shared" si="7"/>
        <v/>
      </c>
      <c r="K52" s="33" t="str">
        <f>IF(B52="","Pending",IF(M52="","⚠️ Enter Code",IF(IFERROR(VLOOKUP(L52,DB_Agents!$B:$F,4,0),"")=TEXT(M52,"0"),"Pending Approval","🔒 WRONG CODE")))</f>
        <v>Pending</v>
      </c>
      <c r="L52" s="30" t="s">
        <v>54</v>
      </c>
      <c r="M52" s="41"/>
      <c r="N52" s="57"/>
    </row>
    <row r="53" spans="1:14" ht="20.100000000000001" customHeight="1" x14ac:dyDescent="0.25">
      <c r="A53" s="30" t="str">
        <f t="shared" si="4"/>
        <v/>
      </c>
      <c r="B53" s="41"/>
      <c r="C53" s="35" t="str">
        <f>IF(B53="","",IFERROR(VLOOKUP(B53,DB_Customers!$A:$B,2,0),"❌ Account Not Found"))</f>
        <v/>
      </c>
      <c r="D53" s="42" t="str">
        <f t="shared" ca="1" si="5"/>
        <v/>
      </c>
      <c r="E53" s="32"/>
      <c r="F53" s="31"/>
      <c r="G53" s="41"/>
      <c r="H53" s="56">
        <v>2.5</v>
      </c>
      <c r="I53" s="43" t="str">
        <f t="shared" si="6"/>
        <v/>
      </c>
      <c r="J53" s="43" t="str">
        <f t="shared" si="7"/>
        <v/>
      </c>
      <c r="K53" s="33" t="str">
        <f>IF(B53="","Pending",IF(M53="","⚠️ Enter Code",IF(IFERROR(VLOOKUP(L53,DB_Agents!$B:$F,4,0),"")=TEXT(M53,"0"),"Pending Approval","🔒 WRONG CODE")))</f>
        <v>Pending</v>
      </c>
      <c r="L53" s="30" t="s">
        <v>54</v>
      </c>
      <c r="M53" s="41"/>
      <c r="N53" s="22"/>
    </row>
    <row r="54" spans="1:14" ht="20.100000000000001" customHeight="1" x14ac:dyDescent="0.25">
      <c r="A54" s="30" t="str">
        <f t="shared" si="4"/>
        <v/>
      </c>
      <c r="B54" s="41"/>
      <c r="C54" s="35" t="str">
        <f>IF(B54="","",IFERROR(VLOOKUP(B54,DB_Customers!$A:$B,2,0),"❌ Account Not Found"))</f>
        <v/>
      </c>
      <c r="D54" s="42" t="str">
        <f t="shared" ca="1" si="5"/>
        <v/>
      </c>
      <c r="E54" s="32"/>
      <c r="F54" s="31"/>
      <c r="G54" s="41"/>
      <c r="H54" s="56">
        <v>2.5</v>
      </c>
      <c r="I54" s="43" t="str">
        <f t="shared" si="6"/>
        <v/>
      </c>
      <c r="J54" s="43" t="str">
        <f t="shared" si="7"/>
        <v/>
      </c>
      <c r="K54" s="33" t="str">
        <f>IF(B54="","Pending",IF(M54="","⚠️ Enter Code",IF(IFERROR(VLOOKUP(L54,DB_Agents!$B:$F,4,0),"")=TEXT(M54,"0"),"Pending Approval","🔒 WRONG CODE")))</f>
        <v>Pending</v>
      </c>
      <c r="L54" s="30" t="s">
        <v>54</v>
      </c>
      <c r="M54" s="41"/>
      <c r="N54" s="57"/>
    </row>
    <row r="55" spans="1:14" ht="20.100000000000001" customHeight="1" x14ac:dyDescent="0.25">
      <c r="A55" s="30" t="str">
        <f t="shared" si="4"/>
        <v/>
      </c>
      <c r="B55" s="41"/>
      <c r="C55" s="35" t="str">
        <f>IF(B55="","",IFERROR(VLOOKUP(B55,DB_Customers!$A:$B,2,0),"❌ Account Not Found"))</f>
        <v/>
      </c>
      <c r="D55" s="42" t="str">
        <f t="shared" ca="1" si="5"/>
        <v/>
      </c>
      <c r="E55" s="32"/>
      <c r="F55" s="31"/>
      <c r="G55" s="41"/>
      <c r="H55" s="56">
        <v>2.5</v>
      </c>
      <c r="I55" s="43" t="str">
        <f t="shared" si="6"/>
        <v/>
      </c>
      <c r="J55" s="43" t="str">
        <f t="shared" si="7"/>
        <v/>
      </c>
      <c r="K55" s="33" t="str">
        <f>IF(B55="","Pending",IF(M55="","⚠️ Enter Code",IF(IFERROR(VLOOKUP(L55,DB_Agents!$B:$F,4,0),"")=TEXT(M55,"0"),"Pending Approval","🔒 WRONG CODE")))</f>
        <v>Pending</v>
      </c>
      <c r="L55" s="30" t="s">
        <v>54</v>
      </c>
      <c r="M55" s="41"/>
      <c r="N55" s="22"/>
    </row>
    <row r="56" spans="1:14" ht="20.100000000000001" customHeight="1" x14ac:dyDescent="0.25">
      <c r="A56" s="30" t="str">
        <f t="shared" si="4"/>
        <v/>
      </c>
      <c r="B56" s="41"/>
      <c r="C56" s="35" t="str">
        <f>IF(B56="","",IFERROR(VLOOKUP(B56,DB_Customers!$A:$B,2,0),"❌ Account Not Found"))</f>
        <v/>
      </c>
      <c r="D56" s="42" t="str">
        <f t="shared" ca="1" si="5"/>
        <v/>
      </c>
      <c r="E56" s="32"/>
      <c r="F56" s="31"/>
      <c r="G56" s="41"/>
      <c r="H56" s="56">
        <v>2.5</v>
      </c>
      <c r="I56" s="43" t="str">
        <f t="shared" si="6"/>
        <v/>
      </c>
      <c r="J56" s="43" t="str">
        <f t="shared" si="7"/>
        <v/>
      </c>
      <c r="K56" s="33" t="str">
        <f>IF(B56="","Pending",IF(M56="","⚠️ Enter Code",IF(IFERROR(VLOOKUP(L56,DB_Agents!$B:$F,4,0),"")=TEXT(M56,"0"),"Pending Approval","🔒 WRONG CODE")))</f>
        <v>Pending</v>
      </c>
      <c r="L56" s="30" t="s">
        <v>54</v>
      </c>
      <c r="M56" s="41"/>
      <c r="N56" s="57"/>
    </row>
    <row r="57" spans="1:14" ht="20.100000000000001" customHeight="1" x14ac:dyDescent="0.25">
      <c r="A57" s="30" t="str">
        <f t="shared" si="4"/>
        <v/>
      </c>
      <c r="B57" s="41"/>
      <c r="C57" s="35" t="str">
        <f>IF(B57="","",IFERROR(VLOOKUP(B57,DB_Customers!$A:$B,2,0),"❌ Account Not Found"))</f>
        <v/>
      </c>
      <c r="D57" s="42" t="str">
        <f t="shared" ca="1" si="5"/>
        <v/>
      </c>
      <c r="E57" s="32"/>
      <c r="F57" s="31"/>
      <c r="G57" s="41"/>
      <c r="H57" s="56">
        <v>2.5</v>
      </c>
      <c r="I57" s="43" t="str">
        <f t="shared" si="6"/>
        <v/>
      </c>
      <c r="J57" s="43" t="str">
        <f t="shared" si="7"/>
        <v/>
      </c>
      <c r="K57" s="33" t="str">
        <f>IF(B57="","Pending",IF(M57="","⚠️ Enter Code",IF(IFERROR(VLOOKUP(L57,DB_Agents!$B:$F,4,0),"")=TEXT(M57,"0"),"Pending Approval","🔒 WRONG CODE")))</f>
        <v>Pending</v>
      </c>
      <c r="L57" s="30" t="s">
        <v>54</v>
      </c>
      <c r="M57" s="41"/>
      <c r="N57" s="22"/>
    </row>
    <row r="58" spans="1:14" ht="20.100000000000001" customHeight="1" x14ac:dyDescent="0.25">
      <c r="A58" s="30" t="str">
        <f t="shared" si="4"/>
        <v/>
      </c>
      <c r="B58" s="41"/>
      <c r="C58" s="35" t="str">
        <f>IF(B58="","",IFERROR(VLOOKUP(B58,DB_Customers!$A:$B,2,0),"❌ Account Not Found"))</f>
        <v/>
      </c>
      <c r="D58" s="42" t="str">
        <f t="shared" ca="1" si="5"/>
        <v/>
      </c>
      <c r="E58" s="32"/>
      <c r="F58" s="31"/>
      <c r="G58" s="41"/>
      <c r="H58" s="56">
        <v>2.5</v>
      </c>
      <c r="I58" s="43" t="str">
        <f t="shared" si="6"/>
        <v/>
      </c>
      <c r="J58" s="43" t="str">
        <f t="shared" si="7"/>
        <v/>
      </c>
      <c r="K58" s="33" t="str">
        <f>IF(B58="","Pending",IF(M58="","⚠️ Enter Code",IF(IFERROR(VLOOKUP(L58,DB_Agents!$B:$F,4,0),"")=TEXT(M58,"0"),"Pending Approval","🔒 WRONG CODE")))</f>
        <v>Pending</v>
      </c>
      <c r="L58" s="30" t="s">
        <v>54</v>
      </c>
      <c r="M58" s="41"/>
      <c r="N58" s="57"/>
    </row>
    <row r="59" spans="1:14" ht="20.100000000000001" customHeight="1" x14ac:dyDescent="0.25">
      <c r="A59" s="30" t="str">
        <f t="shared" si="4"/>
        <v/>
      </c>
      <c r="B59" s="41"/>
      <c r="C59" s="35" t="str">
        <f>IF(B59="","",IFERROR(VLOOKUP(B59,DB_Customers!$A:$B,2,0),"❌ Account Not Found"))</f>
        <v/>
      </c>
      <c r="D59" s="42" t="str">
        <f t="shared" ca="1" si="5"/>
        <v/>
      </c>
      <c r="E59" s="32"/>
      <c r="F59" s="31"/>
      <c r="G59" s="41"/>
      <c r="H59" s="56">
        <v>2.5</v>
      </c>
      <c r="I59" s="43" t="str">
        <f t="shared" si="6"/>
        <v/>
      </c>
      <c r="J59" s="43" t="str">
        <f t="shared" si="7"/>
        <v/>
      </c>
      <c r="K59" s="33" t="str">
        <f>IF(B59="","Pending",IF(M59="","⚠️ Enter Code",IF(IFERROR(VLOOKUP(L59,DB_Agents!$B:$F,4,0),"")=TEXT(M59,"0"),"Pending Approval","🔒 WRONG CODE")))</f>
        <v>Pending</v>
      </c>
      <c r="L59" s="30" t="s">
        <v>54</v>
      </c>
      <c r="M59" s="41"/>
      <c r="N59" s="22"/>
    </row>
    <row r="60" spans="1:14" ht="20.100000000000001" customHeight="1" x14ac:dyDescent="0.25">
      <c r="A60" s="30" t="str">
        <f t="shared" si="4"/>
        <v/>
      </c>
      <c r="B60" s="41"/>
      <c r="C60" s="35" t="str">
        <f>IF(B60="","",IFERROR(VLOOKUP(B60,DB_Customers!$A:$B,2,0),"❌ Account Not Found"))</f>
        <v/>
      </c>
      <c r="D60" s="42" t="str">
        <f t="shared" ca="1" si="5"/>
        <v/>
      </c>
      <c r="E60" s="32"/>
      <c r="F60" s="31"/>
      <c r="G60" s="41"/>
      <c r="H60" s="56">
        <v>2.5</v>
      </c>
      <c r="I60" s="43" t="str">
        <f t="shared" si="6"/>
        <v/>
      </c>
      <c r="J60" s="43" t="str">
        <f t="shared" si="7"/>
        <v/>
      </c>
      <c r="K60" s="33" t="str">
        <f>IF(B60="","Pending",IF(M60="","⚠️ Enter Code",IF(IFERROR(VLOOKUP(L60,DB_Agents!$B:$F,4,0),"")=TEXT(M60,"0"),"Pending Approval","🔒 WRONG CODE")))</f>
        <v>Pending</v>
      </c>
      <c r="L60" s="30" t="s">
        <v>54</v>
      </c>
      <c r="M60" s="41"/>
      <c r="N60" s="57"/>
    </row>
    <row r="61" spans="1:14" ht="20.100000000000001" customHeight="1" x14ac:dyDescent="0.25">
      <c r="A61" s="30" t="str">
        <f t="shared" si="4"/>
        <v/>
      </c>
      <c r="B61" s="41"/>
      <c r="C61" s="35" t="str">
        <f>IF(B61="","",IFERROR(VLOOKUP(B61,DB_Customers!$A:$B,2,0),"❌ Account Not Found"))</f>
        <v/>
      </c>
      <c r="D61" s="42" t="str">
        <f t="shared" ca="1" si="5"/>
        <v/>
      </c>
      <c r="E61" s="32"/>
      <c r="F61" s="31"/>
      <c r="G61" s="41"/>
      <c r="H61" s="56">
        <v>2.5</v>
      </c>
      <c r="I61" s="43" t="str">
        <f t="shared" si="6"/>
        <v/>
      </c>
      <c r="J61" s="43" t="str">
        <f t="shared" si="7"/>
        <v/>
      </c>
      <c r="K61" s="33" t="str">
        <f>IF(B61="","Pending",IF(M61="","⚠️ Enter Code",IF(IFERROR(VLOOKUP(L61,DB_Agents!$B:$F,4,0),"")=TEXT(M61,"0"),"Pending Approval","🔒 WRONG CODE")))</f>
        <v>Pending</v>
      </c>
      <c r="L61" s="30" t="s">
        <v>54</v>
      </c>
      <c r="M61" s="41"/>
      <c r="N61" s="22"/>
    </row>
    <row r="62" spans="1:14" ht="20.100000000000001" customHeight="1" x14ac:dyDescent="0.25">
      <c r="A62" s="30" t="str">
        <f t="shared" si="4"/>
        <v/>
      </c>
      <c r="B62" s="41"/>
      <c r="C62" s="35" t="str">
        <f>IF(B62="","",IFERROR(VLOOKUP(B62,DB_Customers!$A:$B,2,0),"❌ Account Not Found"))</f>
        <v/>
      </c>
      <c r="D62" s="42" t="str">
        <f t="shared" ca="1" si="5"/>
        <v/>
      </c>
      <c r="E62" s="32"/>
      <c r="F62" s="31"/>
      <c r="G62" s="41"/>
      <c r="H62" s="56">
        <v>2.5</v>
      </c>
      <c r="I62" s="43" t="str">
        <f t="shared" si="6"/>
        <v/>
      </c>
      <c r="J62" s="43" t="str">
        <f t="shared" si="7"/>
        <v/>
      </c>
      <c r="K62" s="33" t="str">
        <f>IF(B62="","Pending",IF(M62="","⚠️ Enter Code",IF(IFERROR(VLOOKUP(L62,DB_Agents!$B:$F,4,0),"")=TEXT(M62,"0"),"Pending Approval","🔒 WRONG CODE")))</f>
        <v>Pending</v>
      </c>
      <c r="L62" s="30" t="s">
        <v>54</v>
      </c>
      <c r="M62" s="41"/>
      <c r="N62" s="57"/>
    </row>
    <row r="63" spans="1:14" ht="20.100000000000001" customHeight="1" x14ac:dyDescent="0.25">
      <c r="A63" s="30" t="str">
        <f t="shared" si="4"/>
        <v/>
      </c>
      <c r="B63" s="41"/>
      <c r="C63" s="35" t="str">
        <f>IF(B63="","",IFERROR(VLOOKUP(B63,DB_Customers!$A:$B,2,0),"❌ Account Not Found"))</f>
        <v/>
      </c>
      <c r="D63" s="42" t="str">
        <f t="shared" ca="1" si="5"/>
        <v/>
      </c>
      <c r="E63" s="32"/>
      <c r="F63" s="31"/>
      <c r="G63" s="41"/>
      <c r="H63" s="56">
        <v>2.5</v>
      </c>
      <c r="I63" s="43" t="str">
        <f t="shared" si="6"/>
        <v/>
      </c>
      <c r="J63" s="43" t="str">
        <f t="shared" si="7"/>
        <v/>
      </c>
      <c r="K63" s="33" t="str">
        <f>IF(B63="","Pending",IF(M63="","⚠️ Enter Code",IF(IFERROR(VLOOKUP(L63,DB_Agents!$B:$F,4,0),"")=TEXT(M63,"0"),"Pending Approval","🔒 WRONG CODE")))</f>
        <v>Pending</v>
      </c>
      <c r="L63" s="30" t="s">
        <v>54</v>
      </c>
      <c r="M63" s="41"/>
      <c r="N63" s="22"/>
    </row>
    <row r="64" spans="1:14" ht="20.100000000000001" customHeight="1" x14ac:dyDescent="0.25">
      <c r="A64" s="30" t="str">
        <f t="shared" si="4"/>
        <v/>
      </c>
      <c r="B64" s="41"/>
      <c r="C64" s="35" t="str">
        <f>IF(B64="","",IFERROR(VLOOKUP(B64,DB_Customers!$A:$B,2,0),"❌ Account Not Found"))</f>
        <v/>
      </c>
      <c r="D64" s="42" t="str">
        <f t="shared" ca="1" si="5"/>
        <v/>
      </c>
      <c r="E64" s="32"/>
      <c r="F64" s="31"/>
      <c r="G64" s="41"/>
      <c r="H64" s="56">
        <v>2.5</v>
      </c>
      <c r="I64" s="43" t="str">
        <f t="shared" si="6"/>
        <v/>
      </c>
      <c r="J64" s="43" t="str">
        <f t="shared" si="7"/>
        <v/>
      </c>
      <c r="K64" s="33" t="str">
        <f>IF(B64="","Pending",IF(M64="","⚠️ Enter Code",IF(IFERROR(VLOOKUP(L64,DB_Agents!$B:$F,4,0),"")=TEXT(M64,"0"),"Pending Approval","🔒 WRONG CODE")))</f>
        <v>Pending</v>
      </c>
      <c r="L64" s="30" t="s">
        <v>54</v>
      </c>
      <c r="M64" s="41"/>
      <c r="N64" s="57"/>
    </row>
    <row r="65" spans="1:14" ht="20.100000000000001" customHeight="1" x14ac:dyDescent="0.25">
      <c r="A65" s="30" t="str">
        <f t="shared" si="4"/>
        <v/>
      </c>
      <c r="B65" s="41"/>
      <c r="C65" s="35" t="str">
        <f>IF(B65="","",IFERROR(VLOOKUP(B65,DB_Customers!$A:$B,2,0),"❌ Account Not Found"))</f>
        <v/>
      </c>
      <c r="D65" s="42" t="str">
        <f t="shared" ca="1" si="5"/>
        <v/>
      </c>
      <c r="E65" s="32"/>
      <c r="F65" s="31"/>
      <c r="G65" s="41"/>
      <c r="H65" s="56">
        <v>2.5</v>
      </c>
      <c r="I65" s="43" t="str">
        <f t="shared" si="6"/>
        <v/>
      </c>
      <c r="J65" s="43" t="str">
        <f t="shared" si="7"/>
        <v/>
      </c>
      <c r="K65" s="33" t="str">
        <f>IF(B65="","Pending",IF(M65="","⚠️ Enter Code",IF(IFERROR(VLOOKUP(L65,DB_Agents!$B:$F,4,0),"")=TEXT(M65,"0"),"Pending Approval","🔒 WRONG CODE")))</f>
        <v>Pending</v>
      </c>
      <c r="L65" s="30" t="s">
        <v>54</v>
      </c>
      <c r="M65" s="41"/>
      <c r="N65" s="22"/>
    </row>
    <row r="66" spans="1:14" ht="20.100000000000001" customHeight="1" x14ac:dyDescent="0.25">
      <c r="A66" s="30" t="str">
        <f t="shared" si="4"/>
        <v/>
      </c>
      <c r="B66" s="41"/>
      <c r="C66" s="35" t="str">
        <f>IF(B66="","",IFERROR(VLOOKUP(B66,DB_Customers!$A:$B,2,0),"❌ Account Not Found"))</f>
        <v/>
      </c>
      <c r="D66" s="42" t="str">
        <f t="shared" ca="1" si="5"/>
        <v/>
      </c>
      <c r="E66" s="32"/>
      <c r="F66" s="31"/>
      <c r="G66" s="41"/>
      <c r="H66" s="56">
        <v>2.5</v>
      </c>
      <c r="I66" s="43" t="str">
        <f t="shared" si="6"/>
        <v/>
      </c>
      <c r="J66" s="43" t="str">
        <f t="shared" si="7"/>
        <v/>
      </c>
      <c r="K66" s="33" t="str">
        <f>IF(B66="","Pending",IF(M66="","⚠️ Enter Code",IF(IFERROR(VLOOKUP(L66,DB_Agents!$B:$F,4,0),"")=TEXT(M66,"0"),"Pending Approval","🔒 WRONG CODE")))</f>
        <v>Pending</v>
      </c>
      <c r="L66" s="30" t="s">
        <v>54</v>
      </c>
      <c r="M66" s="41"/>
      <c r="N66" s="57"/>
    </row>
    <row r="67" spans="1:14" ht="20.100000000000001" customHeight="1" x14ac:dyDescent="0.25">
      <c r="A67" s="30" t="str">
        <f t="shared" si="4"/>
        <v/>
      </c>
      <c r="B67" s="41"/>
      <c r="C67" s="35" t="str">
        <f>IF(B67="","",IFERROR(VLOOKUP(B67,DB_Customers!$A:$B,2,0),"❌ Account Not Found"))</f>
        <v/>
      </c>
      <c r="D67" s="42" t="str">
        <f t="shared" ca="1" si="5"/>
        <v/>
      </c>
      <c r="E67" s="32"/>
      <c r="F67" s="31"/>
      <c r="G67" s="41"/>
      <c r="H67" s="56">
        <v>2.5</v>
      </c>
      <c r="I67" s="43" t="str">
        <f t="shared" si="6"/>
        <v/>
      </c>
      <c r="J67" s="43" t="str">
        <f t="shared" si="7"/>
        <v/>
      </c>
      <c r="K67" s="33" t="str">
        <f>IF(B67="","Pending",IF(M67="","⚠️ Enter Code",IF(IFERROR(VLOOKUP(L67,DB_Agents!$B:$F,4,0),"")=TEXT(M67,"0"),"Pending Approval","🔒 WRONG CODE")))</f>
        <v>Pending</v>
      </c>
      <c r="L67" s="30" t="s">
        <v>54</v>
      </c>
      <c r="M67" s="41"/>
      <c r="N67" s="22"/>
    </row>
    <row r="68" spans="1:14" ht="20.100000000000001" customHeight="1" x14ac:dyDescent="0.25">
      <c r="A68" s="30" t="str">
        <f t="shared" si="4"/>
        <v/>
      </c>
      <c r="B68" s="41"/>
      <c r="C68" s="35" t="str">
        <f>IF(B68="","",IFERROR(VLOOKUP(B68,DB_Customers!$A:$B,2,0),"❌ Account Not Found"))</f>
        <v/>
      </c>
      <c r="D68" s="42" t="str">
        <f t="shared" ca="1" si="5"/>
        <v/>
      </c>
      <c r="E68" s="32"/>
      <c r="F68" s="31"/>
      <c r="G68" s="41"/>
      <c r="H68" s="56">
        <v>2.5</v>
      </c>
      <c r="I68" s="43" t="str">
        <f t="shared" si="6"/>
        <v/>
      </c>
      <c r="J68" s="43" t="str">
        <f t="shared" si="7"/>
        <v/>
      </c>
      <c r="K68" s="33" t="str">
        <f>IF(B68="","Pending",IF(M68="","⚠️ Enter Code",IF(IFERROR(VLOOKUP(L68,DB_Agents!$B:$F,4,0),"")=TEXT(M68,"0"),"Pending Approval","🔒 WRONG CODE")))</f>
        <v>Pending</v>
      </c>
      <c r="L68" s="30" t="s">
        <v>54</v>
      </c>
      <c r="M68" s="41"/>
      <c r="N68" s="57"/>
    </row>
    <row r="69" spans="1:14" ht="20.100000000000001" customHeight="1" x14ac:dyDescent="0.25">
      <c r="A69" s="30" t="str">
        <f t="shared" si="4"/>
        <v/>
      </c>
      <c r="B69" s="41"/>
      <c r="C69" s="35" t="str">
        <f>IF(B69="","",IFERROR(VLOOKUP(B69,DB_Customers!$A:$B,2,0),"❌ Account Not Found"))</f>
        <v/>
      </c>
      <c r="D69" s="42" t="str">
        <f t="shared" ca="1" si="5"/>
        <v/>
      </c>
      <c r="E69" s="32"/>
      <c r="F69" s="31"/>
      <c r="G69" s="41"/>
      <c r="H69" s="56">
        <v>2.5</v>
      </c>
      <c r="I69" s="43" t="str">
        <f t="shared" si="6"/>
        <v/>
      </c>
      <c r="J69" s="43" t="str">
        <f t="shared" si="7"/>
        <v/>
      </c>
      <c r="K69" s="33" t="str">
        <f>IF(B69="","Pending",IF(M69="","⚠️ Enter Code",IF(IFERROR(VLOOKUP(L69,DB_Agents!$B:$F,4,0),"")=TEXT(M69,"0"),"Pending Approval","🔒 WRONG CODE")))</f>
        <v>Pending</v>
      </c>
      <c r="L69" s="30" t="s">
        <v>54</v>
      </c>
      <c r="M69" s="41"/>
      <c r="N69" s="22"/>
    </row>
    <row r="70" spans="1:14" ht="20.100000000000001" customHeight="1" x14ac:dyDescent="0.25">
      <c r="A70" s="30" t="str">
        <f t="shared" si="4"/>
        <v/>
      </c>
      <c r="B70" s="41"/>
      <c r="C70" s="35" t="str">
        <f>IF(B70="","",IFERROR(VLOOKUP(B70,DB_Customers!$A:$B,2,0),"❌ Account Not Found"))</f>
        <v/>
      </c>
      <c r="D70" s="42" t="str">
        <f t="shared" ca="1" si="5"/>
        <v/>
      </c>
      <c r="E70" s="32"/>
      <c r="F70" s="31"/>
      <c r="G70" s="41"/>
      <c r="H70" s="56">
        <v>2.5</v>
      </c>
      <c r="I70" s="43" t="str">
        <f t="shared" si="6"/>
        <v/>
      </c>
      <c r="J70" s="43" t="str">
        <f t="shared" si="7"/>
        <v/>
      </c>
      <c r="K70" s="33" t="str">
        <f>IF(B70="","Pending",IF(M70="","⚠️ Enter Code",IF(IFERROR(VLOOKUP(L70,DB_Agents!$B:$F,4,0),"")=TEXT(M70,"0"),"Pending Approval","🔒 WRONG CODE")))</f>
        <v>Pending</v>
      </c>
      <c r="L70" s="30" t="s">
        <v>54</v>
      </c>
      <c r="M70" s="41"/>
      <c r="N70" s="57"/>
    </row>
    <row r="71" spans="1:14" ht="20.100000000000001" customHeight="1" x14ac:dyDescent="0.25">
      <c r="A71" s="30" t="str">
        <f t="shared" si="4"/>
        <v/>
      </c>
      <c r="B71" s="41"/>
      <c r="C71" s="35" t="str">
        <f>IF(B71="","",IFERROR(VLOOKUP(B71,DB_Customers!$A:$B,2,0),"❌ Account Not Found"))</f>
        <v/>
      </c>
      <c r="D71" s="42" t="str">
        <f t="shared" ca="1" si="5"/>
        <v/>
      </c>
      <c r="E71" s="32"/>
      <c r="F71" s="31"/>
      <c r="G71" s="41"/>
      <c r="H71" s="56">
        <v>2.5</v>
      </c>
      <c r="I71" s="43" t="str">
        <f t="shared" si="6"/>
        <v/>
      </c>
      <c r="J71" s="43" t="str">
        <f t="shared" si="7"/>
        <v/>
      </c>
      <c r="K71" s="33" t="str">
        <f>IF(B71="","Pending",IF(M71="","⚠️ Enter Code",IF(IFERROR(VLOOKUP(L71,DB_Agents!$B:$F,4,0),"")=TEXT(M71,"0"),"Pending Approval","🔒 WRONG CODE")))</f>
        <v>Pending</v>
      </c>
      <c r="L71" s="30" t="s">
        <v>54</v>
      </c>
      <c r="M71" s="41"/>
      <c r="N71" s="22"/>
    </row>
    <row r="72" spans="1:14" ht="20.100000000000001" customHeight="1" x14ac:dyDescent="0.25">
      <c r="A72" s="30" t="str">
        <f t="shared" si="4"/>
        <v/>
      </c>
      <c r="B72" s="41"/>
      <c r="C72" s="35" t="str">
        <f>IF(B72="","",IFERROR(VLOOKUP(B72,DB_Customers!$A:$B,2,0),"❌ Account Not Found"))</f>
        <v/>
      </c>
      <c r="D72" s="42" t="str">
        <f t="shared" ca="1" si="5"/>
        <v/>
      </c>
      <c r="E72" s="32"/>
      <c r="F72" s="31"/>
      <c r="G72" s="41"/>
      <c r="H72" s="56">
        <v>2.5</v>
      </c>
      <c r="I72" s="43" t="str">
        <f t="shared" si="6"/>
        <v/>
      </c>
      <c r="J72" s="43" t="str">
        <f t="shared" si="7"/>
        <v/>
      </c>
      <c r="K72" s="33" t="str">
        <f>IF(B72="","Pending",IF(M72="","⚠️ Enter Code",IF(IFERROR(VLOOKUP(L72,DB_Agents!$B:$F,4,0),"")=TEXT(M72,"0"),"Pending Approval","🔒 WRONG CODE")))</f>
        <v>Pending</v>
      </c>
      <c r="L72" s="30" t="s">
        <v>54</v>
      </c>
      <c r="M72" s="41"/>
      <c r="N72" s="57"/>
    </row>
    <row r="73" spans="1:14" ht="20.100000000000001" customHeight="1" x14ac:dyDescent="0.25">
      <c r="A73" s="30" t="str">
        <f t="shared" si="4"/>
        <v/>
      </c>
      <c r="B73" s="41"/>
      <c r="C73" s="35" t="str">
        <f>IF(B73="","",IFERROR(VLOOKUP(B73,DB_Customers!$A:$B,2,0),"❌ Account Not Found"))</f>
        <v/>
      </c>
      <c r="D73" s="42" t="str">
        <f t="shared" ca="1" si="5"/>
        <v/>
      </c>
      <c r="E73" s="32"/>
      <c r="F73" s="31"/>
      <c r="G73" s="41"/>
      <c r="H73" s="56">
        <v>2.5</v>
      </c>
      <c r="I73" s="43" t="str">
        <f t="shared" si="6"/>
        <v/>
      </c>
      <c r="J73" s="43" t="str">
        <f t="shared" si="7"/>
        <v/>
      </c>
      <c r="K73" s="33" t="str">
        <f>IF(B73="","Pending",IF(M73="","⚠️ Enter Code",IF(IFERROR(VLOOKUP(L73,DB_Agents!$B:$F,4,0),"")=TEXT(M73,"0"),"Pending Approval","🔒 WRONG CODE")))</f>
        <v>Pending</v>
      </c>
      <c r="L73" s="30" t="s">
        <v>54</v>
      </c>
      <c r="M73" s="41"/>
      <c r="N73" s="22"/>
    </row>
    <row r="74" spans="1:14" ht="20.100000000000001" customHeight="1" x14ac:dyDescent="0.25">
      <c r="A74" s="30" t="str">
        <f t="shared" si="4"/>
        <v/>
      </c>
      <c r="B74" s="41"/>
      <c r="C74" s="35" t="str">
        <f>IF(B74="","",IFERROR(VLOOKUP(B74,DB_Customers!$A:$B,2,0),"❌ Account Not Found"))</f>
        <v/>
      </c>
      <c r="D74" s="42" t="str">
        <f t="shared" ca="1" si="5"/>
        <v/>
      </c>
      <c r="E74" s="32"/>
      <c r="F74" s="31"/>
      <c r="G74" s="41"/>
      <c r="H74" s="56">
        <v>2.5</v>
      </c>
      <c r="I74" s="43" t="str">
        <f t="shared" si="6"/>
        <v/>
      </c>
      <c r="J74" s="43" t="str">
        <f t="shared" si="7"/>
        <v/>
      </c>
      <c r="K74" s="33" t="str">
        <f>IF(B74="","Pending",IF(M74="","⚠️ Enter Code",IF(IFERROR(VLOOKUP(L74,DB_Agents!$B:$F,4,0),"")=TEXT(M74,"0"),"Pending Approval","🔒 WRONG CODE")))</f>
        <v>Pending</v>
      </c>
      <c r="L74" s="30" t="s">
        <v>54</v>
      </c>
      <c r="M74" s="41"/>
      <c r="N74" s="57"/>
    </row>
    <row r="75" spans="1:14" ht="20.100000000000001" customHeight="1" x14ac:dyDescent="0.25">
      <c r="A75" s="30" t="str">
        <f t="shared" si="4"/>
        <v/>
      </c>
      <c r="B75" s="41"/>
      <c r="C75" s="35" t="str">
        <f>IF(B75="","",IFERROR(VLOOKUP(B75,DB_Customers!$A:$B,2,0),"❌ Account Not Found"))</f>
        <v/>
      </c>
      <c r="D75" s="42" t="str">
        <f t="shared" ca="1" si="5"/>
        <v/>
      </c>
      <c r="E75" s="32"/>
      <c r="F75" s="31"/>
      <c r="G75" s="41"/>
      <c r="H75" s="56">
        <v>2.5</v>
      </c>
      <c r="I75" s="43" t="str">
        <f t="shared" si="6"/>
        <v/>
      </c>
      <c r="J75" s="43" t="str">
        <f t="shared" si="7"/>
        <v/>
      </c>
      <c r="K75" s="33" t="str">
        <f>IF(B75="","Pending",IF(M75="","⚠️ Enter Code",IF(IFERROR(VLOOKUP(L75,DB_Agents!$B:$F,4,0),"")=TEXT(M75,"0"),"Pending Approval","🔒 WRONG CODE")))</f>
        <v>Pending</v>
      </c>
      <c r="L75" s="30" t="s">
        <v>54</v>
      </c>
      <c r="M75" s="41"/>
      <c r="N75" s="22"/>
    </row>
    <row r="76" spans="1:14" ht="20.100000000000001" customHeight="1" x14ac:dyDescent="0.25">
      <c r="A76" s="30" t="str">
        <f t="shared" si="4"/>
        <v/>
      </c>
      <c r="B76" s="41"/>
      <c r="C76" s="35" t="str">
        <f>IF(B76="","",IFERROR(VLOOKUP(B76,DB_Customers!$A:$B,2,0),"❌ Account Not Found"))</f>
        <v/>
      </c>
      <c r="D76" s="42" t="str">
        <f t="shared" ca="1" si="5"/>
        <v/>
      </c>
      <c r="E76" s="32"/>
      <c r="F76" s="31"/>
      <c r="G76" s="41"/>
      <c r="H76" s="56">
        <v>2.5</v>
      </c>
      <c r="I76" s="43" t="str">
        <f t="shared" si="6"/>
        <v/>
      </c>
      <c r="J76" s="43" t="str">
        <f t="shared" si="7"/>
        <v/>
      </c>
      <c r="K76" s="33" t="str">
        <f>IF(B76="","Pending",IF(M76="","⚠️ Enter Code",IF(IFERROR(VLOOKUP(L76,DB_Agents!$B:$F,4,0),"")=TEXT(M76,"0"),"Pending Approval","🔒 WRONG CODE")))</f>
        <v>Pending</v>
      </c>
      <c r="L76" s="30" t="s">
        <v>54</v>
      </c>
      <c r="M76" s="41"/>
      <c r="N76" s="57"/>
    </row>
    <row r="77" spans="1:14" ht="20.100000000000001" customHeight="1" x14ac:dyDescent="0.25">
      <c r="A77" s="30" t="str">
        <f t="shared" si="4"/>
        <v/>
      </c>
      <c r="B77" s="41"/>
      <c r="C77" s="35" t="str">
        <f>IF(B77="","",IFERROR(VLOOKUP(B77,DB_Customers!$A:$B,2,0),"❌ Account Not Found"))</f>
        <v/>
      </c>
      <c r="D77" s="42" t="str">
        <f t="shared" ca="1" si="5"/>
        <v/>
      </c>
      <c r="E77" s="32"/>
      <c r="F77" s="31"/>
      <c r="G77" s="41"/>
      <c r="H77" s="56">
        <v>2.5</v>
      </c>
      <c r="I77" s="43" t="str">
        <f t="shared" si="6"/>
        <v/>
      </c>
      <c r="J77" s="43" t="str">
        <f t="shared" si="7"/>
        <v/>
      </c>
      <c r="K77" s="33" t="str">
        <f>IF(B77="","Pending",IF(M77="","⚠️ Enter Code",IF(IFERROR(VLOOKUP(L77,DB_Agents!$B:$F,4,0),"")=TEXT(M77,"0"),"Pending Approval","🔒 WRONG CODE")))</f>
        <v>Pending</v>
      </c>
      <c r="L77" s="30" t="s">
        <v>54</v>
      </c>
      <c r="M77" s="41"/>
      <c r="N77" s="22"/>
    </row>
    <row r="78" spans="1:14" ht="20.100000000000001" customHeight="1" x14ac:dyDescent="0.25">
      <c r="A78" s="30" t="str">
        <f t="shared" ref="A78:A109" si="8">IF(B78="","",IF(C78="❌ Account Not Found","INVALID","LN"&amp;TEXT(D78,"YYYYMMDD")&amp;TEXT(ROW()-13,"0000")))</f>
        <v/>
      </c>
      <c r="B78" s="41"/>
      <c r="C78" s="35" t="str">
        <f>IF(B78="","",IFERROR(VLOOKUP(B78,DB_Customers!$A:$B,2,0),"❌ Account Not Found"))</f>
        <v/>
      </c>
      <c r="D78" s="42" t="str">
        <f t="shared" ref="D78:D109" ca="1" si="9">IF(B78="","",TODAY())</f>
        <v/>
      </c>
      <c r="E78" s="32"/>
      <c r="F78" s="31"/>
      <c r="G78" s="41"/>
      <c r="H78" s="56">
        <v>2.5</v>
      </c>
      <c r="I78" s="43" t="str">
        <f t="shared" ref="I78:I109" si="10">IF(E78="","",E78+(E78*H78/100*G78))</f>
        <v/>
      </c>
      <c r="J78" s="43" t="str">
        <f t="shared" ref="J78:J109" si="11">IFERROR(I78/G78,"")</f>
        <v/>
      </c>
      <c r="K78" s="33" t="str">
        <f>IF(B78="","Pending",IF(M78="","⚠️ Enter Code",IF(IFERROR(VLOOKUP(L78,DB_Agents!$B:$F,4,0),"")=TEXT(M78,"0"),"Pending Approval","🔒 WRONG CODE")))</f>
        <v>Pending</v>
      </c>
      <c r="L78" s="30" t="s">
        <v>54</v>
      </c>
      <c r="M78" s="41"/>
      <c r="N78" s="57"/>
    </row>
    <row r="79" spans="1:14" ht="20.100000000000001" customHeight="1" x14ac:dyDescent="0.25">
      <c r="A79" s="30" t="str">
        <f t="shared" si="8"/>
        <v/>
      </c>
      <c r="B79" s="41"/>
      <c r="C79" s="35" t="str">
        <f>IF(B79="","",IFERROR(VLOOKUP(B79,DB_Customers!$A:$B,2,0),"❌ Account Not Found"))</f>
        <v/>
      </c>
      <c r="D79" s="42" t="str">
        <f t="shared" ca="1" si="9"/>
        <v/>
      </c>
      <c r="E79" s="32"/>
      <c r="F79" s="31"/>
      <c r="G79" s="41"/>
      <c r="H79" s="56">
        <v>2.5</v>
      </c>
      <c r="I79" s="43" t="str">
        <f t="shared" si="10"/>
        <v/>
      </c>
      <c r="J79" s="43" t="str">
        <f t="shared" si="11"/>
        <v/>
      </c>
      <c r="K79" s="33" t="str">
        <f>IF(B79="","Pending",IF(M79="","⚠️ Enter Code",IF(IFERROR(VLOOKUP(L79,DB_Agents!$B:$F,4,0),"")=TEXT(M79,"0"),"Pending Approval","🔒 WRONG CODE")))</f>
        <v>Pending</v>
      </c>
      <c r="L79" s="30" t="s">
        <v>54</v>
      </c>
      <c r="M79" s="41"/>
      <c r="N79" s="22"/>
    </row>
    <row r="80" spans="1:14" ht="20.100000000000001" customHeight="1" x14ac:dyDescent="0.25">
      <c r="A80" s="30" t="str">
        <f t="shared" si="8"/>
        <v/>
      </c>
      <c r="B80" s="41"/>
      <c r="C80" s="35" t="str">
        <f>IF(B80="","",IFERROR(VLOOKUP(B80,DB_Customers!$A:$B,2,0),"❌ Account Not Found"))</f>
        <v/>
      </c>
      <c r="D80" s="42" t="str">
        <f t="shared" ca="1" si="9"/>
        <v/>
      </c>
      <c r="E80" s="32"/>
      <c r="F80" s="31"/>
      <c r="G80" s="41"/>
      <c r="H80" s="56">
        <v>2.5</v>
      </c>
      <c r="I80" s="43" t="str">
        <f t="shared" si="10"/>
        <v/>
      </c>
      <c r="J80" s="43" t="str">
        <f t="shared" si="11"/>
        <v/>
      </c>
      <c r="K80" s="33" t="str">
        <f>IF(B80="","Pending",IF(M80="","⚠️ Enter Code",IF(IFERROR(VLOOKUP(L80,DB_Agents!$B:$F,4,0),"")=TEXT(M80,"0"),"Pending Approval","🔒 WRONG CODE")))</f>
        <v>Pending</v>
      </c>
      <c r="L80" s="30" t="s">
        <v>54</v>
      </c>
      <c r="M80" s="41"/>
      <c r="N80" s="57"/>
    </row>
    <row r="81" spans="1:14" ht="20.100000000000001" customHeight="1" x14ac:dyDescent="0.25">
      <c r="A81" s="30" t="str">
        <f t="shared" si="8"/>
        <v/>
      </c>
      <c r="B81" s="41"/>
      <c r="C81" s="35" t="str">
        <f>IF(B81="","",IFERROR(VLOOKUP(B81,DB_Customers!$A:$B,2,0),"❌ Account Not Found"))</f>
        <v/>
      </c>
      <c r="D81" s="42" t="str">
        <f t="shared" ca="1" si="9"/>
        <v/>
      </c>
      <c r="E81" s="32"/>
      <c r="F81" s="31"/>
      <c r="G81" s="41"/>
      <c r="H81" s="56">
        <v>2.5</v>
      </c>
      <c r="I81" s="43" t="str">
        <f t="shared" si="10"/>
        <v/>
      </c>
      <c r="J81" s="43" t="str">
        <f t="shared" si="11"/>
        <v/>
      </c>
      <c r="K81" s="33" t="str">
        <f>IF(B81="","Pending",IF(M81="","⚠️ Enter Code",IF(IFERROR(VLOOKUP(L81,DB_Agents!$B:$F,4,0),"")=TEXT(M81,"0"),"Pending Approval","🔒 WRONG CODE")))</f>
        <v>Pending</v>
      </c>
      <c r="L81" s="30" t="s">
        <v>54</v>
      </c>
      <c r="M81" s="41"/>
      <c r="N81" s="22"/>
    </row>
    <row r="82" spans="1:14" ht="20.100000000000001" customHeight="1" x14ac:dyDescent="0.25">
      <c r="A82" s="30" t="str">
        <f t="shared" si="8"/>
        <v/>
      </c>
      <c r="B82" s="41"/>
      <c r="C82" s="35" t="str">
        <f>IF(B82="","",IFERROR(VLOOKUP(B82,DB_Customers!$A:$B,2,0),"❌ Account Not Found"))</f>
        <v/>
      </c>
      <c r="D82" s="42" t="str">
        <f t="shared" ca="1" si="9"/>
        <v/>
      </c>
      <c r="E82" s="32"/>
      <c r="F82" s="31"/>
      <c r="G82" s="41"/>
      <c r="H82" s="56">
        <v>2.5</v>
      </c>
      <c r="I82" s="43" t="str">
        <f t="shared" si="10"/>
        <v/>
      </c>
      <c r="J82" s="43" t="str">
        <f t="shared" si="11"/>
        <v/>
      </c>
      <c r="K82" s="33" t="str">
        <f>IF(B82="","Pending",IF(M82="","⚠️ Enter Code",IF(IFERROR(VLOOKUP(L82,DB_Agents!$B:$F,4,0),"")=TEXT(M82,"0"),"Pending Approval","🔒 WRONG CODE")))</f>
        <v>Pending</v>
      </c>
      <c r="L82" s="30" t="s">
        <v>54</v>
      </c>
      <c r="M82" s="41"/>
      <c r="N82" s="57"/>
    </row>
    <row r="83" spans="1:14" ht="20.100000000000001" customHeight="1" x14ac:dyDescent="0.25">
      <c r="A83" s="30" t="str">
        <f t="shared" si="8"/>
        <v/>
      </c>
      <c r="B83" s="41"/>
      <c r="C83" s="35" t="str">
        <f>IF(B83="","",IFERROR(VLOOKUP(B83,DB_Customers!$A:$B,2,0),"❌ Account Not Found"))</f>
        <v/>
      </c>
      <c r="D83" s="42" t="str">
        <f t="shared" ca="1" si="9"/>
        <v/>
      </c>
      <c r="E83" s="32"/>
      <c r="F83" s="31"/>
      <c r="G83" s="41"/>
      <c r="H83" s="56">
        <v>2.5</v>
      </c>
      <c r="I83" s="43" t="str">
        <f t="shared" si="10"/>
        <v/>
      </c>
      <c r="J83" s="43" t="str">
        <f t="shared" si="11"/>
        <v/>
      </c>
      <c r="K83" s="33" t="str">
        <f>IF(B83="","Pending",IF(M83="","⚠️ Enter Code",IF(IFERROR(VLOOKUP(L83,DB_Agents!$B:$F,4,0),"")=TEXT(M83,"0"),"Pending Approval","🔒 WRONG CODE")))</f>
        <v>Pending</v>
      </c>
      <c r="L83" s="30" t="s">
        <v>54</v>
      </c>
      <c r="M83" s="41"/>
      <c r="N83" s="22"/>
    </row>
    <row r="84" spans="1:14" ht="20.100000000000001" customHeight="1" x14ac:dyDescent="0.25">
      <c r="A84" s="30" t="str">
        <f t="shared" si="8"/>
        <v/>
      </c>
      <c r="B84" s="41"/>
      <c r="C84" s="35" t="str">
        <f>IF(B84="","",IFERROR(VLOOKUP(B84,DB_Customers!$A:$B,2,0),"❌ Account Not Found"))</f>
        <v/>
      </c>
      <c r="D84" s="42" t="str">
        <f t="shared" ca="1" si="9"/>
        <v/>
      </c>
      <c r="E84" s="32"/>
      <c r="F84" s="31"/>
      <c r="G84" s="41"/>
      <c r="H84" s="56">
        <v>2.5</v>
      </c>
      <c r="I84" s="43" t="str">
        <f t="shared" si="10"/>
        <v/>
      </c>
      <c r="J84" s="43" t="str">
        <f t="shared" si="11"/>
        <v/>
      </c>
      <c r="K84" s="33" t="str">
        <f>IF(B84="","Pending",IF(M84="","⚠️ Enter Code",IF(IFERROR(VLOOKUP(L84,DB_Agents!$B:$F,4,0),"")=TEXT(M84,"0"),"Pending Approval","🔒 WRONG CODE")))</f>
        <v>Pending</v>
      </c>
      <c r="L84" s="30" t="s">
        <v>54</v>
      </c>
      <c r="M84" s="41"/>
      <c r="N84" s="57"/>
    </row>
    <row r="85" spans="1:14" ht="20.100000000000001" customHeight="1" x14ac:dyDescent="0.25">
      <c r="A85" s="30" t="str">
        <f t="shared" si="8"/>
        <v/>
      </c>
      <c r="B85" s="41"/>
      <c r="C85" s="35" t="str">
        <f>IF(B85="","",IFERROR(VLOOKUP(B85,DB_Customers!$A:$B,2,0),"❌ Account Not Found"))</f>
        <v/>
      </c>
      <c r="D85" s="42" t="str">
        <f t="shared" ca="1" si="9"/>
        <v/>
      </c>
      <c r="E85" s="32"/>
      <c r="F85" s="31"/>
      <c r="G85" s="41"/>
      <c r="H85" s="56">
        <v>2.5</v>
      </c>
      <c r="I85" s="43" t="str">
        <f t="shared" si="10"/>
        <v/>
      </c>
      <c r="J85" s="43" t="str">
        <f t="shared" si="11"/>
        <v/>
      </c>
      <c r="K85" s="33" t="str">
        <f>IF(B85="","Pending",IF(M85="","⚠️ Enter Code",IF(IFERROR(VLOOKUP(L85,DB_Agents!$B:$F,4,0),"")=TEXT(M85,"0"),"Pending Approval","🔒 WRONG CODE")))</f>
        <v>Pending</v>
      </c>
      <c r="L85" s="30" t="s">
        <v>54</v>
      </c>
      <c r="M85" s="41"/>
      <c r="N85" s="22"/>
    </row>
    <row r="86" spans="1:14" ht="20.100000000000001" customHeight="1" x14ac:dyDescent="0.25">
      <c r="A86" s="30" t="str">
        <f t="shared" si="8"/>
        <v/>
      </c>
      <c r="B86" s="41"/>
      <c r="C86" s="35" t="str">
        <f>IF(B86="","",IFERROR(VLOOKUP(B86,DB_Customers!$A:$B,2,0),"❌ Account Not Found"))</f>
        <v/>
      </c>
      <c r="D86" s="42" t="str">
        <f t="shared" ca="1" si="9"/>
        <v/>
      </c>
      <c r="E86" s="32"/>
      <c r="F86" s="31"/>
      <c r="G86" s="41"/>
      <c r="H86" s="56">
        <v>2.5</v>
      </c>
      <c r="I86" s="43" t="str">
        <f t="shared" si="10"/>
        <v/>
      </c>
      <c r="J86" s="43" t="str">
        <f t="shared" si="11"/>
        <v/>
      </c>
      <c r="K86" s="33" t="str">
        <f>IF(B86="","Pending",IF(M86="","⚠️ Enter Code",IF(IFERROR(VLOOKUP(L86,DB_Agents!$B:$F,4,0),"")=TEXT(M86,"0"),"Pending Approval","🔒 WRONG CODE")))</f>
        <v>Pending</v>
      </c>
      <c r="L86" s="30" t="s">
        <v>54</v>
      </c>
      <c r="M86" s="41"/>
      <c r="N86" s="57"/>
    </row>
    <row r="87" spans="1:14" ht="20.100000000000001" customHeight="1" x14ac:dyDescent="0.25">
      <c r="A87" s="30" t="str">
        <f t="shared" si="8"/>
        <v/>
      </c>
      <c r="B87" s="41"/>
      <c r="C87" s="35" t="str">
        <f>IF(B87="","",IFERROR(VLOOKUP(B87,DB_Customers!$A:$B,2,0),"❌ Account Not Found"))</f>
        <v/>
      </c>
      <c r="D87" s="42" t="str">
        <f t="shared" ca="1" si="9"/>
        <v/>
      </c>
      <c r="E87" s="32"/>
      <c r="F87" s="31"/>
      <c r="G87" s="41"/>
      <c r="H87" s="56">
        <v>2.5</v>
      </c>
      <c r="I87" s="43" t="str">
        <f t="shared" si="10"/>
        <v/>
      </c>
      <c r="J87" s="43" t="str">
        <f t="shared" si="11"/>
        <v/>
      </c>
      <c r="K87" s="33" t="str">
        <f>IF(B87="","Pending",IF(M87="","⚠️ Enter Code",IF(IFERROR(VLOOKUP(L87,DB_Agents!$B:$F,4,0),"")=TEXT(M87,"0"),"Pending Approval","🔒 WRONG CODE")))</f>
        <v>Pending</v>
      </c>
      <c r="L87" s="30" t="s">
        <v>54</v>
      </c>
      <c r="M87" s="41"/>
      <c r="N87" s="22"/>
    </row>
    <row r="88" spans="1:14" ht="20.100000000000001" customHeight="1" x14ac:dyDescent="0.25">
      <c r="A88" s="30" t="str">
        <f t="shared" si="8"/>
        <v/>
      </c>
      <c r="B88" s="41"/>
      <c r="C88" s="35" t="str">
        <f>IF(B88="","",IFERROR(VLOOKUP(B88,DB_Customers!$A:$B,2,0),"❌ Account Not Found"))</f>
        <v/>
      </c>
      <c r="D88" s="42" t="str">
        <f t="shared" ca="1" si="9"/>
        <v/>
      </c>
      <c r="E88" s="32"/>
      <c r="F88" s="31"/>
      <c r="G88" s="41"/>
      <c r="H88" s="56">
        <v>2.5</v>
      </c>
      <c r="I88" s="43" t="str">
        <f t="shared" si="10"/>
        <v/>
      </c>
      <c r="J88" s="43" t="str">
        <f t="shared" si="11"/>
        <v/>
      </c>
      <c r="K88" s="33" t="str">
        <f>IF(B88="","Pending",IF(M88="","⚠️ Enter Code",IF(IFERROR(VLOOKUP(L88,DB_Agents!$B:$F,4,0),"")=TEXT(M88,"0"),"Pending Approval","🔒 WRONG CODE")))</f>
        <v>Pending</v>
      </c>
      <c r="L88" s="30" t="s">
        <v>54</v>
      </c>
      <c r="M88" s="41"/>
      <c r="N88" s="57"/>
    </row>
    <row r="89" spans="1:14" ht="20.100000000000001" customHeight="1" x14ac:dyDescent="0.25">
      <c r="A89" s="30" t="str">
        <f t="shared" si="8"/>
        <v/>
      </c>
      <c r="B89" s="41"/>
      <c r="C89" s="35" t="str">
        <f>IF(B89="","",IFERROR(VLOOKUP(B89,DB_Customers!$A:$B,2,0),"❌ Account Not Found"))</f>
        <v/>
      </c>
      <c r="D89" s="42" t="str">
        <f t="shared" ca="1" si="9"/>
        <v/>
      </c>
      <c r="E89" s="32"/>
      <c r="F89" s="31"/>
      <c r="G89" s="41"/>
      <c r="H89" s="56">
        <v>2.5</v>
      </c>
      <c r="I89" s="43" t="str">
        <f t="shared" si="10"/>
        <v/>
      </c>
      <c r="J89" s="43" t="str">
        <f t="shared" si="11"/>
        <v/>
      </c>
      <c r="K89" s="33" t="str">
        <f>IF(B89="","Pending",IF(M89="","⚠️ Enter Code",IF(IFERROR(VLOOKUP(L89,DB_Agents!$B:$F,4,0),"")=TEXT(M89,"0"),"Pending Approval","🔒 WRONG CODE")))</f>
        <v>Pending</v>
      </c>
      <c r="L89" s="30" t="s">
        <v>54</v>
      </c>
      <c r="M89" s="41"/>
      <c r="N89" s="22"/>
    </row>
    <row r="90" spans="1:14" ht="20.100000000000001" customHeight="1" x14ac:dyDescent="0.25">
      <c r="A90" s="30" t="str">
        <f t="shared" si="8"/>
        <v/>
      </c>
      <c r="B90" s="41"/>
      <c r="C90" s="35" t="str">
        <f>IF(B90="","",IFERROR(VLOOKUP(B90,DB_Customers!$A:$B,2,0),"❌ Account Not Found"))</f>
        <v/>
      </c>
      <c r="D90" s="42" t="str">
        <f t="shared" ca="1" si="9"/>
        <v/>
      </c>
      <c r="E90" s="32"/>
      <c r="F90" s="31"/>
      <c r="G90" s="41"/>
      <c r="H90" s="56">
        <v>2.5</v>
      </c>
      <c r="I90" s="43" t="str">
        <f t="shared" si="10"/>
        <v/>
      </c>
      <c r="J90" s="43" t="str">
        <f t="shared" si="11"/>
        <v/>
      </c>
      <c r="K90" s="33" t="str">
        <f>IF(B90="","Pending",IF(M90="","⚠️ Enter Code",IF(IFERROR(VLOOKUP(L90,DB_Agents!$B:$F,4,0),"")=TEXT(M90,"0"),"Pending Approval","🔒 WRONG CODE")))</f>
        <v>Pending</v>
      </c>
      <c r="L90" s="30" t="s">
        <v>54</v>
      </c>
      <c r="M90" s="41"/>
      <c r="N90" s="57"/>
    </row>
    <row r="91" spans="1:14" ht="20.100000000000001" customHeight="1" x14ac:dyDescent="0.25">
      <c r="A91" s="30" t="str">
        <f t="shared" si="8"/>
        <v/>
      </c>
      <c r="B91" s="41"/>
      <c r="C91" s="35" t="str">
        <f>IF(B91="","",IFERROR(VLOOKUP(B91,DB_Customers!$A:$B,2,0),"❌ Account Not Found"))</f>
        <v/>
      </c>
      <c r="D91" s="42" t="str">
        <f t="shared" ca="1" si="9"/>
        <v/>
      </c>
      <c r="E91" s="32"/>
      <c r="F91" s="31"/>
      <c r="G91" s="41"/>
      <c r="H91" s="56">
        <v>2.5</v>
      </c>
      <c r="I91" s="43" t="str">
        <f t="shared" si="10"/>
        <v/>
      </c>
      <c r="J91" s="43" t="str">
        <f t="shared" si="11"/>
        <v/>
      </c>
      <c r="K91" s="33" t="str">
        <f>IF(B91="","Pending",IF(M91="","⚠️ Enter Code",IF(IFERROR(VLOOKUP(L91,DB_Agents!$B:$F,4,0),"")=TEXT(M91,"0"),"Pending Approval","🔒 WRONG CODE")))</f>
        <v>Pending</v>
      </c>
      <c r="L91" s="30" t="s">
        <v>54</v>
      </c>
      <c r="M91" s="41"/>
      <c r="N91" s="22"/>
    </row>
    <row r="92" spans="1:14" ht="20.100000000000001" customHeight="1" x14ac:dyDescent="0.25">
      <c r="A92" s="30" t="str">
        <f t="shared" si="8"/>
        <v/>
      </c>
      <c r="B92" s="41"/>
      <c r="C92" s="35" t="str">
        <f>IF(B92="","",IFERROR(VLOOKUP(B92,DB_Customers!$A:$B,2,0),"❌ Account Not Found"))</f>
        <v/>
      </c>
      <c r="D92" s="42" t="str">
        <f t="shared" ca="1" si="9"/>
        <v/>
      </c>
      <c r="E92" s="32"/>
      <c r="F92" s="31"/>
      <c r="G92" s="41"/>
      <c r="H92" s="56">
        <v>2.5</v>
      </c>
      <c r="I92" s="43" t="str">
        <f t="shared" si="10"/>
        <v/>
      </c>
      <c r="J92" s="43" t="str">
        <f t="shared" si="11"/>
        <v/>
      </c>
      <c r="K92" s="33" t="str">
        <f>IF(B92="","Pending",IF(M92="","⚠️ Enter Code",IF(IFERROR(VLOOKUP(L92,DB_Agents!$B:$F,4,0),"")=TEXT(M92,"0"),"Pending Approval","🔒 WRONG CODE")))</f>
        <v>Pending</v>
      </c>
      <c r="L92" s="30" t="s">
        <v>54</v>
      </c>
      <c r="M92" s="41"/>
      <c r="N92" s="57"/>
    </row>
    <row r="93" spans="1:14" ht="20.100000000000001" customHeight="1" x14ac:dyDescent="0.25">
      <c r="A93" s="30" t="str">
        <f t="shared" si="8"/>
        <v/>
      </c>
      <c r="B93" s="41"/>
      <c r="C93" s="35" t="str">
        <f>IF(B93="","",IFERROR(VLOOKUP(B93,DB_Customers!$A:$B,2,0),"❌ Account Not Found"))</f>
        <v/>
      </c>
      <c r="D93" s="42" t="str">
        <f t="shared" ca="1" si="9"/>
        <v/>
      </c>
      <c r="E93" s="32"/>
      <c r="F93" s="31"/>
      <c r="G93" s="41"/>
      <c r="H93" s="56">
        <v>2.5</v>
      </c>
      <c r="I93" s="43" t="str">
        <f t="shared" si="10"/>
        <v/>
      </c>
      <c r="J93" s="43" t="str">
        <f t="shared" si="11"/>
        <v/>
      </c>
      <c r="K93" s="33" t="str">
        <f>IF(B93="","Pending",IF(M93="","⚠️ Enter Code",IF(IFERROR(VLOOKUP(L93,DB_Agents!$B:$F,4,0),"")=TEXT(M93,"0"),"Pending Approval","🔒 WRONG CODE")))</f>
        <v>Pending</v>
      </c>
      <c r="L93" s="30" t="s">
        <v>54</v>
      </c>
      <c r="M93" s="41"/>
      <c r="N93" s="22"/>
    </row>
    <row r="94" spans="1:14" ht="20.100000000000001" customHeight="1" x14ac:dyDescent="0.25">
      <c r="A94" s="30" t="str">
        <f t="shared" si="8"/>
        <v/>
      </c>
      <c r="B94" s="41"/>
      <c r="C94" s="35" t="str">
        <f>IF(B94="","",IFERROR(VLOOKUP(B94,DB_Customers!$A:$B,2,0),"❌ Account Not Found"))</f>
        <v/>
      </c>
      <c r="D94" s="42" t="str">
        <f t="shared" ca="1" si="9"/>
        <v/>
      </c>
      <c r="E94" s="32"/>
      <c r="F94" s="31"/>
      <c r="G94" s="41"/>
      <c r="H94" s="56">
        <v>2.5</v>
      </c>
      <c r="I94" s="43" t="str">
        <f t="shared" si="10"/>
        <v/>
      </c>
      <c r="J94" s="43" t="str">
        <f t="shared" si="11"/>
        <v/>
      </c>
      <c r="K94" s="33" t="str">
        <f>IF(B94="","Pending",IF(M94="","⚠️ Enter Code",IF(IFERROR(VLOOKUP(L94,DB_Agents!$B:$F,4,0),"")=TEXT(M94,"0"),"Pending Approval","🔒 WRONG CODE")))</f>
        <v>Pending</v>
      </c>
      <c r="L94" s="30" t="s">
        <v>54</v>
      </c>
      <c r="M94" s="41"/>
      <c r="N94" s="57"/>
    </row>
    <row r="95" spans="1:14" ht="20.100000000000001" customHeight="1" x14ac:dyDescent="0.25">
      <c r="A95" s="30" t="str">
        <f t="shared" si="8"/>
        <v/>
      </c>
      <c r="B95" s="41"/>
      <c r="C95" s="35" t="str">
        <f>IF(B95="","",IFERROR(VLOOKUP(B95,DB_Customers!$A:$B,2,0),"❌ Account Not Found"))</f>
        <v/>
      </c>
      <c r="D95" s="42" t="str">
        <f t="shared" ca="1" si="9"/>
        <v/>
      </c>
      <c r="E95" s="32"/>
      <c r="F95" s="31"/>
      <c r="G95" s="41"/>
      <c r="H95" s="56">
        <v>2.5</v>
      </c>
      <c r="I95" s="43" t="str">
        <f t="shared" si="10"/>
        <v/>
      </c>
      <c r="J95" s="43" t="str">
        <f t="shared" si="11"/>
        <v/>
      </c>
      <c r="K95" s="33" t="str">
        <f>IF(B95="","Pending",IF(M95="","⚠️ Enter Code",IF(IFERROR(VLOOKUP(L95,DB_Agents!$B:$F,4,0),"")=TEXT(M95,"0"),"Pending Approval","🔒 WRONG CODE")))</f>
        <v>Pending</v>
      </c>
      <c r="L95" s="30" t="s">
        <v>54</v>
      </c>
      <c r="M95" s="41"/>
      <c r="N95" s="22"/>
    </row>
    <row r="96" spans="1:14" ht="20.100000000000001" customHeight="1" x14ac:dyDescent="0.25">
      <c r="A96" s="30" t="str">
        <f t="shared" si="8"/>
        <v/>
      </c>
      <c r="B96" s="41"/>
      <c r="C96" s="35" t="str">
        <f>IF(B96="","",IFERROR(VLOOKUP(B96,DB_Customers!$A:$B,2,0),"❌ Account Not Found"))</f>
        <v/>
      </c>
      <c r="D96" s="42" t="str">
        <f t="shared" ca="1" si="9"/>
        <v/>
      </c>
      <c r="E96" s="32"/>
      <c r="F96" s="31"/>
      <c r="G96" s="41"/>
      <c r="H96" s="56">
        <v>2.5</v>
      </c>
      <c r="I96" s="43" t="str">
        <f t="shared" si="10"/>
        <v/>
      </c>
      <c r="J96" s="43" t="str">
        <f t="shared" si="11"/>
        <v/>
      </c>
      <c r="K96" s="33" t="str">
        <f>IF(B96="","Pending",IF(M96="","⚠️ Enter Code",IF(IFERROR(VLOOKUP(L96,DB_Agents!$B:$F,4,0),"")=TEXT(M96,"0"),"Pending Approval","🔒 WRONG CODE")))</f>
        <v>Pending</v>
      </c>
      <c r="L96" s="30" t="s">
        <v>54</v>
      </c>
      <c r="M96" s="41"/>
      <c r="N96" s="57"/>
    </row>
    <row r="97" spans="1:14" ht="20.100000000000001" customHeight="1" x14ac:dyDescent="0.25">
      <c r="A97" s="30" t="str">
        <f t="shared" si="8"/>
        <v/>
      </c>
      <c r="B97" s="41"/>
      <c r="C97" s="35" t="str">
        <f>IF(B97="","",IFERROR(VLOOKUP(B97,DB_Customers!$A:$B,2,0),"❌ Account Not Found"))</f>
        <v/>
      </c>
      <c r="D97" s="42" t="str">
        <f t="shared" ca="1" si="9"/>
        <v/>
      </c>
      <c r="E97" s="32"/>
      <c r="F97" s="31"/>
      <c r="G97" s="41"/>
      <c r="H97" s="56">
        <v>2.5</v>
      </c>
      <c r="I97" s="43" t="str">
        <f t="shared" si="10"/>
        <v/>
      </c>
      <c r="J97" s="43" t="str">
        <f t="shared" si="11"/>
        <v/>
      </c>
      <c r="K97" s="33" t="str">
        <f>IF(B97="","Pending",IF(M97="","⚠️ Enter Code",IF(IFERROR(VLOOKUP(L97,DB_Agents!$B:$F,4,0),"")=TEXT(M97,"0"),"Pending Approval","🔒 WRONG CODE")))</f>
        <v>Pending</v>
      </c>
      <c r="L97" s="30" t="s">
        <v>54</v>
      </c>
      <c r="M97" s="41"/>
      <c r="N97" s="22"/>
    </row>
    <row r="98" spans="1:14" ht="20.100000000000001" customHeight="1" x14ac:dyDescent="0.25">
      <c r="A98" s="30" t="str">
        <f t="shared" si="8"/>
        <v/>
      </c>
      <c r="B98" s="41"/>
      <c r="C98" s="35" t="str">
        <f>IF(B98="","",IFERROR(VLOOKUP(B98,DB_Customers!$A:$B,2,0),"❌ Account Not Found"))</f>
        <v/>
      </c>
      <c r="D98" s="42" t="str">
        <f t="shared" ca="1" si="9"/>
        <v/>
      </c>
      <c r="E98" s="32"/>
      <c r="F98" s="31"/>
      <c r="G98" s="41"/>
      <c r="H98" s="56">
        <v>2.5</v>
      </c>
      <c r="I98" s="43" t="str">
        <f t="shared" si="10"/>
        <v/>
      </c>
      <c r="J98" s="43" t="str">
        <f t="shared" si="11"/>
        <v/>
      </c>
      <c r="K98" s="33" t="str">
        <f>IF(B98="","Pending",IF(M98="","⚠️ Enter Code",IF(IFERROR(VLOOKUP(L98,DB_Agents!$B:$F,4,0),"")=TEXT(M98,"0"),"Pending Approval","🔒 WRONG CODE")))</f>
        <v>Pending</v>
      </c>
      <c r="L98" s="30" t="s">
        <v>54</v>
      </c>
      <c r="M98" s="41"/>
      <c r="N98" s="57"/>
    </row>
    <row r="99" spans="1:14" ht="20.100000000000001" customHeight="1" x14ac:dyDescent="0.25">
      <c r="A99" s="30" t="str">
        <f t="shared" si="8"/>
        <v/>
      </c>
      <c r="B99" s="41"/>
      <c r="C99" s="35" t="str">
        <f>IF(B99="","",IFERROR(VLOOKUP(B99,DB_Customers!$A:$B,2,0),"❌ Account Not Found"))</f>
        <v/>
      </c>
      <c r="D99" s="42" t="str">
        <f t="shared" ca="1" si="9"/>
        <v/>
      </c>
      <c r="E99" s="32"/>
      <c r="F99" s="31"/>
      <c r="G99" s="41"/>
      <c r="H99" s="56">
        <v>2.5</v>
      </c>
      <c r="I99" s="43" t="str">
        <f t="shared" si="10"/>
        <v/>
      </c>
      <c r="J99" s="43" t="str">
        <f t="shared" si="11"/>
        <v/>
      </c>
      <c r="K99" s="33" t="str">
        <f>IF(B99="","Pending",IF(M99="","⚠️ Enter Code",IF(IFERROR(VLOOKUP(L99,DB_Agents!$B:$F,4,0),"")=TEXT(M99,"0"),"Pending Approval","🔒 WRONG CODE")))</f>
        <v>Pending</v>
      </c>
      <c r="L99" s="30" t="s">
        <v>54</v>
      </c>
      <c r="M99" s="41"/>
      <c r="N99" s="22"/>
    </row>
    <row r="100" spans="1:14" ht="20.100000000000001" customHeight="1" x14ac:dyDescent="0.25">
      <c r="A100" s="30" t="str">
        <f t="shared" si="8"/>
        <v/>
      </c>
      <c r="B100" s="41"/>
      <c r="C100" s="35" t="str">
        <f>IF(B100="","",IFERROR(VLOOKUP(B100,DB_Customers!$A:$B,2,0),"❌ Account Not Found"))</f>
        <v/>
      </c>
      <c r="D100" s="42" t="str">
        <f t="shared" ca="1" si="9"/>
        <v/>
      </c>
      <c r="E100" s="32"/>
      <c r="F100" s="31"/>
      <c r="G100" s="41"/>
      <c r="H100" s="56">
        <v>2.5</v>
      </c>
      <c r="I100" s="43" t="str">
        <f t="shared" si="10"/>
        <v/>
      </c>
      <c r="J100" s="43" t="str">
        <f t="shared" si="11"/>
        <v/>
      </c>
      <c r="K100" s="33" t="str">
        <f>IF(B100="","Pending",IF(M100="","⚠️ Enter Code",IF(IFERROR(VLOOKUP(L100,DB_Agents!$B:$F,4,0),"")=TEXT(M100,"0"),"Pending Approval","🔒 WRONG CODE")))</f>
        <v>Pending</v>
      </c>
      <c r="L100" s="30" t="s">
        <v>54</v>
      </c>
      <c r="M100" s="41"/>
      <c r="N100" s="57"/>
    </row>
    <row r="101" spans="1:14" ht="20.100000000000001" customHeight="1" x14ac:dyDescent="0.25">
      <c r="A101" s="30" t="str">
        <f t="shared" si="8"/>
        <v/>
      </c>
      <c r="B101" s="41"/>
      <c r="C101" s="35" t="str">
        <f>IF(B101="","",IFERROR(VLOOKUP(B101,DB_Customers!$A:$B,2,0),"❌ Account Not Found"))</f>
        <v/>
      </c>
      <c r="D101" s="42" t="str">
        <f t="shared" ca="1" si="9"/>
        <v/>
      </c>
      <c r="E101" s="32"/>
      <c r="F101" s="31"/>
      <c r="G101" s="41"/>
      <c r="H101" s="56">
        <v>2.5</v>
      </c>
      <c r="I101" s="43" t="str">
        <f t="shared" si="10"/>
        <v/>
      </c>
      <c r="J101" s="43" t="str">
        <f t="shared" si="11"/>
        <v/>
      </c>
      <c r="K101" s="33" t="str">
        <f>IF(B101="","Pending",IF(M101="","⚠️ Enter Code",IF(IFERROR(VLOOKUP(L101,DB_Agents!$B:$F,4,0),"")=TEXT(M101,"0"),"Pending Approval","🔒 WRONG CODE")))</f>
        <v>Pending</v>
      </c>
      <c r="L101" s="30" t="s">
        <v>54</v>
      </c>
      <c r="M101" s="41"/>
      <c r="N101" s="22"/>
    </row>
    <row r="102" spans="1:14" ht="20.100000000000001" customHeight="1" x14ac:dyDescent="0.25">
      <c r="A102" s="30" t="str">
        <f t="shared" si="8"/>
        <v/>
      </c>
      <c r="B102" s="41"/>
      <c r="C102" s="35" t="str">
        <f>IF(B102="","",IFERROR(VLOOKUP(B102,DB_Customers!$A:$B,2,0),"❌ Account Not Found"))</f>
        <v/>
      </c>
      <c r="D102" s="42" t="str">
        <f t="shared" ca="1" si="9"/>
        <v/>
      </c>
      <c r="E102" s="32"/>
      <c r="F102" s="31"/>
      <c r="G102" s="41"/>
      <c r="H102" s="56">
        <v>2.5</v>
      </c>
      <c r="I102" s="43" t="str">
        <f t="shared" si="10"/>
        <v/>
      </c>
      <c r="J102" s="43" t="str">
        <f t="shared" si="11"/>
        <v/>
      </c>
      <c r="K102" s="33" t="str">
        <f>IF(B102="","Pending",IF(M102="","⚠️ Enter Code",IF(IFERROR(VLOOKUP(L102,DB_Agents!$B:$F,4,0),"")=TEXT(M102,"0"),"Pending Approval","🔒 WRONG CODE")))</f>
        <v>Pending</v>
      </c>
      <c r="L102" s="30" t="s">
        <v>54</v>
      </c>
      <c r="M102" s="41"/>
      <c r="N102" s="57"/>
    </row>
    <row r="103" spans="1:14" ht="20.100000000000001" customHeight="1" x14ac:dyDescent="0.25">
      <c r="A103" s="30" t="str">
        <f t="shared" si="8"/>
        <v/>
      </c>
      <c r="B103" s="41"/>
      <c r="C103" s="35" t="str">
        <f>IF(B103="","",IFERROR(VLOOKUP(B103,DB_Customers!$A:$B,2,0),"❌ Account Not Found"))</f>
        <v/>
      </c>
      <c r="D103" s="42" t="str">
        <f t="shared" ca="1" si="9"/>
        <v/>
      </c>
      <c r="E103" s="32"/>
      <c r="F103" s="31"/>
      <c r="G103" s="41"/>
      <c r="H103" s="56">
        <v>2.5</v>
      </c>
      <c r="I103" s="43" t="str">
        <f t="shared" si="10"/>
        <v/>
      </c>
      <c r="J103" s="43" t="str">
        <f t="shared" si="11"/>
        <v/>
      </c>
      <c r="K103" s="33" t="str">
        <f>IF(B103="","Pending",IF(M103="","⚠️ Enter Code",IF(IFERROR(VLOOKUP(L103,DB_Agents!$B:$F,4,0),"")=TEXT(M103,"0"),"Pending Approval","🔒 WRONG CODE")))</f>
        <v>Pending</v>
      </c>
      <c r="L103" s="30" t="s">
        <v>54</v>
      </c>
      <c r="M103" s="41"/>
      <c r="N103" s="22"/>
    </row>
    <row r="104" spans="1:14" ht="20.100000000000001" customHeight="1" x14ac:dyDescent="0.25">
      <c r="A104" s="30" t="str">
        <f t="shared" si="8"/>
        <v/>
      </c>
      <c r="B104" s="41"/>
      <c r="C104" s="35" t="str">
        <f>IF(B104="","",IFERROR(VLOOKUP(B104,DB_Customers!$A:$B,2,0),"❌ Account Not Found"))</f>
        <v/>
      </c>
      <c r="D104" s="42" t="str">
        <f t="shared" ca="1" si="9"/>
        <v/>
      </c>
      <c r="E104" s="32"/>
      <c r="F104" s="31"/>
      <c r="G104" s="41"/>
      <c r="H104" s="56">
        <v>2.5</v>
      </c>
      <c r="I104" s="43" t="str">
        <f t="shared" si="10"/>
        <v/>
      </c>
      <c r="J104" s="43" t="str">
        <f t="shared" si="11"/>
        <v/>
      </c>
      <c r="K104" s="33" t="str">
        <f>IF(B104="","Pending",IF(M104="","⚠️ Enter Code",IF(IFERROR(VLOOKUP(L104,DB_Agents!$B:$F,4,0),"")=TEXT(M104,"0"),"Pending Approval","🔒 WRONG CODE")))</f>
        <v>Pending</v>
      </c>
      <c r="L104" s="30" t="s">
        <v>54</v>
      </c>
      <c r="M104" s="41"/>
      <c r="N104" s="57"/>
    </row>
    <row r="105" spans="1:14" ht="20.100000000000001" customHeight="1" x14ac:dyDescent="0.25">
      <c r="A105" s="30" t="str">
        <f t="shared" si="8"/>
        <v/>
      </c>
      <c r="B105" s="41"/>
      <c r="C105" s="35" t="str">
        <f>IF(B105="","",IFERROR(VLOOKUP(B105,DB_Customers!$A:$B,2,0),"❌ Account Not Found"))</f>
        <v/>
      </c>
      <c r="D105" s="42" t="str">
        <f t="shared" ca="1" si="9"/>
        <v/>
      </c>
      <c r="E105" s="32"/>
      <c r="F105" s="31"/>
      <c r="G105" s="41"/>
      <c r="H105" s="56">
        <v>2.5</v>
      </c>
      <c r="I105" s="43" t="str">
        <f t="shared" si="10"/>
        <v/>
      </c>
      <c r="J105" s="43" t="str">
        <f t="shared" si="11"/>
        <v/>
      </c>
      <c r="K105" s="33" t="str">
        <f>IF(B105="","Pending",IF(M105="","⚠️ Enter Code",IF(IFERROR(VLOOKUP(L105,DB_Agents!$B:$F,4,0),"")=TEXT(M105,"0"),"Pending Approval","🔒 WRONG CODE")))</f>
        <v>Pending</v>
      </c>
      <c r="L105" s="30" t="s">
        <v>54</v>
      </c>
      <c r="M105" s="41"/>
      <c r="N105" s="22"/>
    </row>
    <row r="106" spans="1:14" ht="20.100000000000001" customHeight="1" x14ac:dyDescent="0.25">
      <c r="A106" s="30" t="str">
        <f t="shared" si="8"/>
        <v/>
      </c>
      <c r="B106" s="41"/>
      <c r="C106" s="35" t="str">
        <f>IF(B106="","",IFERROR(VLOOKUP(B106,DB_Customers!$A:$B,2,0),"❌ Account Not Found"))</f>
        <v/>
      </c>
      <c r="D106" s="42" t="str">
        <f t="shared" ca="1" si="9"/>
        <v/>
      </c>
      <c r="E106" s="32"/>
      <c r="F106" s="31"/>
      <c r="G106" s="41"/>
      <c r="H106" s="56">
        <v>2.5</v>
      </c>
      <c r="I106" s="43" t="str">
        <f t="shared" si="10"/>
        <v/>
      </c>
      <c r="J106" s="43" t="str">
        <f t="shared" si="11"/>
        <v/>
      </c>
      <c r="K106" s="33" t="str">
        <f>IF(B106="","Pending",IF(M106="","⚠️ Enter Code",IF(IFERROR(VLOOKUP(L106,DB_Agents!$B:$F,4,0),"")=TEXT(M106,"0"),"Pending Approval","🔒 WRONG CODE")))</f>
        <v>Pending</v>
      </c>
      <c r="L106" s="30" t="s">
        <v>54</v>
      </c>
      <c r="M106" s="41"/>
      <c r="N106" s="57"/>
    </row>
    <row r="107" spans="1:14" ht="20.100000000000001" customHeight="1" x14ac:dyDescent="0.25">
      <c r="A107" s="30" t="str">
        <f t="shared" si="8"/>
        <v/>
      </c>
      <c r="B107" s="41"/>
      <c r="C107" s="35" t="str">
        <f>IF(B107="","",IFERROR(VLOOKUP(B107,DB_Customers!$A:$B,2,0),"❌ Account Not Found"))</f>
        <v/>
      </c>
      <c r="D107" s="42" t="str">
        <f t="shared" ca="1" si="9"/>
        <v/>
      </c>
      <c r="E107" s="32"/>
      <c r="F107" s="31"/>
      <c r="G107" s="41"/>
      <c r="H107" s="56">
        <v>2.5</v>
      </c>
      <c r="I107" s="43" t="str">
        <f t="shared" si="10"/>
        <v/>
      </c>
      <c r="J107" s="43" t="str">
        <f t="shared" si="11"/>
        <v/>
      </c>
      <c r="K107" s="33" t="str">
        <f>IF(B107="","Pending",IF(M107="","⚠️ Enter Code",IF(IFERROR(VLOOKUP(L107,DB_Agents!$B:$F,4,0),"")=TEXT(M107,"0"),"Pending Approval","🔒 WRONG CODE")))</f>
        <v>Pending</v>
      </c>
      <c r="L107" s="30" t="s">
        <v>54</v>
      </c>
      <c r="M107" s="41"/>
      <c r="N107" s="22"/>
    </row>
    <row r="108" spans="1:14" ht="20.100000000000001" customHeight="1" x14ac:dyDescent="0.25">
      <c r="A108" s="30" t="str">
        <f t="shared" si="8"/>
        <v/>
      </c>
      <c r="B108" s="41"/>
      <c r="C108" s="35" t="str">
        <f>IF(B108="","",IFERROR(VLOOKUP(B108,DB_Customers!$A:$B,2,0),"❌ Account Not Found"))</f>
        <v/>
      </c>
      <c r="D108" s="42" t="str">
        <f t="shared" ca="1" si="9"/>
        <v/>
      </c>
      <c r="E108" s="32"/>
      <c r="F108" s="31"/>
      <c r="G108" s="41"/>
      <c r="H108" s="56">
        <v>2.5</v>
      </c>
      <c r="I108" s="43" t="str">
        <f t="shared" si="10"/>
        <v/>
      </c>
      <c r="J108" s="43" t="str">
        <f t="shared" si="11"/>
        <v/>
      </c>
      <c r="K108" s="33" t="str">
        <f>IF(B108="","Pending",IF(M108="","⚠️ Enter Code",IF(IFERROR(VLOOKUP(L108,DB_Agents!$B:$F,4,0),"")=TEXT(M108,"0"),"Pending Approval","🔒 WRONG CODE")))</f>
        <v>Pending</v>
      </c>
      <c r="L108" s="30" t="s">
        <v>54</v>
      </c>
      <c r="M108" s="41"/>
      <c r="N108" s="57"/>
    </row>
    <row r="109" spans="1:14" ht="20.100000000000001" customHeight="1" x14ac:dyDescent="0.25">
      <c r="A109" s="30" t="str">
        <f t="shared" si="8"/>
        <v/>
      </c>
      <c r="B109" s="41"/>
      <c r="C109" s="35" t="str">
        <f>IF(B109="","",IFERROR(VLOOKUP(B109,DB_Customers!$A:$B,2,0),"❌ Account Not Found"))</f>
        <v/>
      </c>
      <c r="D109" s="42" t="str">
        <f t="shared" ca="1" si="9"/>
        <v/>
      </c>
      <c r="E109" s="32"/>
      <c r="F109" s="31"/>
      <c r="G109" s="41"/>
      <c r="H109" s="56">
        <v>2.5</v>
      </c>
      <c r="I109" s="43" t="str">
        <f t="shared" si="10"/>
        <v/>
      </c>
      <c r="J109" s="43" t="str">
        <f t="shared" si="11"/>
        <v/>
      </c>
      <c r="K109" s="33" t="str">
        <f>IF(B109="","Pending",IF(M109="","⚠️ Enter Code",IF(IFERROR(VLOOKUP(L109,DB_Agents!$B:$F,4,0),"")=TEXT(M109,"0"),"Pending Approval","🔒 WRONG CODE")))</f>
        <v>Pending</v>
      </c>
      <c r="L109" s="30" t="s">
        <v>54</v>
      </c>
      <c r="M109" s="41"/>
      <c r="N109" s="22"/>
    </row>
    <row r="110" spans="1:14" ht="20.100000000000001" customHeight="1" x14ac:dyDescent="0.25">
      <c r="A110" s="30" t="str">
        <f t="shared" ref="A110:A141" si="12">IF(B110="","",IF(C110="❌ Account Not Found","INVALID","LN"&amp;TEXT(D110,"YYYYMMDD")&amp;TEXT(ROW()-13,"0000")))</f>
        <v/>
      </c>
      <c r="B110" s="41"/>
      <c r="C110" s="35" t="str">
        <f>IF(B110="","",IFERROR(VLOOKUP(B110,DB_Customers!$A:$B,2,0),"❌ Account Not Found"))</f>
        <v/>
      </c>
      <c r="D110" s="42" t="str">
        <f t="shared" ref="D110:D141" ca="1" si="13">IF(B110="","",TODAY())</f>
        <v/>
      </c>
      <c r="E110" s="32"/>
      <c r="F110" s="31"/>
      <c r="G110" s="41"/>
      <c r="H110" s="56">
        <v>2.5</v>
      </c>
      <c r="I110" s="43" t="str">
        <f t="shared" ref="I110:I141" si="14">IF(E110="","",E110+(E110*H110/100*G110))</f>
        <v/>
      </c>
      <c r="J110" s="43" t="str">
        <f t="shared" ref="J110:J141" si="15">IFERROR(I110/G110,"")</f>
        <v/>
      </c>
      <c r="K110" s="33" t="str">
        <f>IF(B110="","Pending",IF(M110="","⚠️ Enter Code",IF(IFERROR(VLOOKUP(L110,DB_Agents!$B:$F,4,0),"")=TEXT(M110,"0"),"Pending Approval","🔒 WRONG CODE")))</f>
        <v>Pending</v>
      </c>
      <c r="L110" s="30" t="s">
        <v>54</v>
      </c>
      <c r="M110" s="41"/>
      <c r="N110" s="57"/>
    </row>
    <row r="111" spans="1:14" ht="20.100000000000001" customHeight="1" x14ac:dyDescent="0.25">
      <c r="A111" s="30" t="str">
        <f t="shared" si="12"/>
        <v/>
      </c>
      <c r="B111" s="41"/>
      <c r="C111" s="35" t="str">
        <f>IF(B111="","",IFERROR(VLOOKUP(B111,DB_Customers!$A:$B,2,0),"❌ Account Not Found"))</f>
        <v/>
      </c>
      <c r="D111" s="42" t="str">
        <f t="shared" ca="1" si="13"/>
        <v/>
      </c>
      <c r="E111" s="32"/>
      <c r="F111" s="31"/>
      <c r="G111" s="41"/>
      <c r="H111" s="56">
        <v>2.5</v>
      </c>
      <c r="I111" s="43" t="str">
        <f t="shared" si="14"/>
        <v/>
      </c>
      <c r="J111" s="43" t="str">
        <f t="shared" si="15"/>
        <v/>
      </c>
      <c r="K111" s="33" t="str">
        <f>IF(B111="","Pending",IF(M111="","⚠️ Enter Code",IF(IFERROR(VLOOKUP(L111,DB_Agents!$B:$F,4,0),"")=TEXT(M111,"0"),"Pending Approval","🔒 WRONG CODE")))</f>
        <v>Pending</v>
      </c>
      <c r="L111" s="30" t="s">
        <v>54</v>
      </c>
      <c r="M111" s="41"/>
      <c r="N111" s="22"/>
    </row>
    <row r="112" spans="1:14" ht="20.100000000000001" customHeight="1" x14ac:dyDescent="0.25">
      <c r="A112" s="30" t="str">
        <f t="shared" si="12"/>
        <v/>
      </c>
      <c r="B112" s="41"/>
      <c r="C112" s="35" t="str">
        <f>IF(B112="","",IFERROR(VLOOKUP(B112,DB_Customers!$A:$B,2,0),"❌ Account Not Found"))</f>
        <v/>
      </c>
      <c r="D112" s="42" t="str">
        <f t="shared" ca="1" si="13"/>
        <v/>
      </c>
      <c r="E112" s="32"/>
      <c r="F112" s="31"/>
      <c r="G112" s="41"/>
      <c r="H112" s="56">
        <v>2.5</v>
      </c>
      <c r="I112" s="43" t="str">
        <f t="shared" si="14"/>
        <v/>
      </c>
      <c r="J112" s="43" t="str">
        <f t="shared" si="15"/>
        <v/>
      </c>
      <c r="K112" s="33" t="str">
        <f>IF(B112="","Pending",IF(M112="","⚠️ Enter Code",IF(IFERROR(VLOOKUP(L112,DB_Agents!$B:$F,4,0),"")=TEXT(M112,"0"),"Pending Approval","🔒 WRONG CODE")))</f>
        <v>Pending</v>
      </c>
      <c r="L112" s="30" t="s">
        <v>54</v>
      </c>
      <c r="M112" s="41"/>
      <c r="N112" s="57"/>
    </row>
    <row r="113" spans="1:14" ht="20.100000000000001" customHeight="1" x14ac:dyDescent="0.25">
      <c r="A113" s="30" t="str">
        <f t="shared" si="12"/>
        <v/>
      </c>
      <c r="B113" s="41"/>
      <c r="C113" s="35" t="str">
        <f>IF(B113="","",IFERROR(VLOOKUP(B113,DB_Customers!$A:$B,2,0),"❌ Account Not Found"))</f>
        <v/>
      </c>
      <c r="D113" s="42" t="str">
        <f t="shared" ca="1" si="13"/>
        <v/>
      </c>
      <c r="E113" s="32"/>
      <c r="F113" s="31"/>
      <c r="G113" s="41"/>
      <c r="H113" s="56">
        <v>2.5</v>
      </c>
      <c r="I113" s="43" t="str">
        <f t="shared" si="14"/>
        <v/>
      </c>
      <c r="J113" s="43" t="str">
        <f t="shared" si="15"/>
        <v/>
      </c>
      <c r="K113" s="33" t="str">
        <f>IF(B113="","Pending",IF(M113="","⚠️ Enter Code",IF(IFERROR(VLOOKUP(L113,DB_Agents!$B:$F,4,0),"")=TEXT(M113,"0"),"Pending Approval","🔒 WRONG CODE")))</f>
        <v>Pending</v>
      </c>
      <c r="L113" s="30" t="s">
        <v>54</v>
      </c>
      <c r="M113" s="41"/>
      <c r="N113" s="22"/>
    </row>
    <row r="114" spans="1:14" ht="20.100000000000001" customHeight="1" x14ac:dyDescent="0.25">
      <c r="A114" s="30" t="str">
        <f t="shared" si="12"/>
        <v/>
      </c>
      <c r="B114" s="41"/>
      <c r="C114" s="35" t="str">
        <f>IF(B114="","",IFERROR(VLOOKUP(B114,DB_Customers!$A:$B,2,0),"❌ Account Not Found"))</f>
        <v/>
      </c>
      <c r="D114" s="42" t="str">
        <f t="shared" ca="1" si="13"/>
        <v/>
      </c>
      <c r="E114" s="32"/>
      <c r="F114" s="31"/>
      <c r="G114" s="41"/>
      <c r="H114" s="56">
        <v>2.5</v>
      </c>
      <c r="I114" s="43" t="str">
        <f t="shared" si="14"/>
        <v/>
      </c>
      <c r="J114" s="43" t="str">
        <f t="shared" si="15"/>
        <v/>
      </c>
      <c r="K114" s="33" t="str">
        <f>IF(B114="","Pending",IF(M114="","⚠️ Enter Code",IF(IFERROR(VLOOKUP(L114,DB_Agents!$B:$F,4,0),"")=TEXT(M114,"0"),"Pending Approval","🔒 WRONG CODE")))</f>
        <v>Pending</v>
      </c>
      <c r="L114" s="30" t="s">
        <v>54</v>
      </c>
      <c r="M114" s="41"/>
      <c r="N114" s="57"/>
    </row>
    <row r="115" spans="1:14" ht="20.100000000000001" customHeight="1" x14ac:dyDescent="0.25">
      <c r="A115" s="30" t="str">
        <f t="shared" si="12"/>
        <v/>
      </c>
      <c r="B115" s="41"/>
      <c r="C115" s="35" t="str">
        <f>IF(B115="","",IFERROR(VLOOKUP(B115,DB_Customers!$A:$B,2,0),"❌ Account Not Found"))</f>
        <v/>
      </c>
      <c r="D115" s="42" t="str">
        <f t="shared" ca="1" si="13"/>
        <v/>
      </c>
      <c r="E115" s="32"/>
      <c r="F115" s="31"/>
      <c r="G115" s="41"/>
      <c r="H115" s="56">
        <v>2.5</v>
      </c>
      <c r="I115" s="43" t="str">
        <f t="shared" si="14"/>
        <v/>
      </c>
      <c r="J115" s="43" t="str">
        <f t="shared" si="15"/>
        <v/>
      </c>
      <c r="K115" s="33" t="str">
        <f>IF(B115="","Pending",IF(M115="","⚠️ Enter Code",IF(IFERROR(VLOOKUP(L115,DB_Agents!$B:$F,4,0),"")=TEXT(M115,"0"),"Pending Approval","🔒 WRONG CODE")))</f>
        <v>Pending</v>
      </c>
      <c r="L115" s="30" t="s">
        <v>54</v>
      </c>
      <c r="M115" s="41"/>
      <c r="N115" s="22"/>
    </row>
    <row r="116" spans="1:14" ht="20.100000000000001" customHeight="1" x14ac:dyDescent="0.25">
      <c r="A116" s="30" t="str">
        <f t="shared" si="12"/>
        <v/>
      </c>
      <c r="B116" s="41"/>
      <c r="C116" s="35" t="str">
        <f>IF(B116="","",IFERROR(VLOOKUP(B116,DB_Customers!$A:$B,2,0),"❌ Account Not Found"))</f>
        <v/>
      </c>
      <c r="D116" s="42" t="str">
        <f t="shared" ca="1" si="13"/>
        <v/>
      </c>
      <c r="E116" s="32"/>
      <c r="F116" s="31"/>
      <c r="G116" s="41"/>
      <c r="H116" s="56">
        <v>2.5</v>
      </c>
      <c r="I116" s="43" t="str">
        <f t="shared" si="14"/>
        <v/>
      </c>
      <c r="J116" s="43" t="str">
        <f t="shared" si="15"/>
        <v/>
      </c>
      <c r="K116" s="33" t="str">
        <f>IF(B116="","Pending",IF(M116="","⚠️ Enter Code",IF(IFERROR(VLOOKUP(L116,DB_Agents!$B:$F,4,0),"")=TEXT(M116,"0"),"Pending Approval","🔒 WRONG CODE")))</f>
        <v>Pending</v>
      </c>
      <c r="L116" s="30" t="s">
        <v>54</v>
      </c>
      <c r="M116" s="41"/>
      <c r="N116" s="57"/>
    </row>
    <row r="117" spans="1:14" ht="20.100000000000001" customHeight="1" x14ac:dyDescent="0.25">
      <c r="A117" s="30" t="str">
        <f t="shared" si="12"/>
        <v/>
      </c>
      <c r="B117" s="41"/>
      <c r="C117" s="35" t="str">
        <f>IF(B117="","",IFERROR(VLOOKUP(B117,DB_Customers!$A:$B,2,0),"❌ Account Not Found"))</f>
        <v/>
      </c>
      <c r="D117" s="42" t="str">
        <f t="shared" ca="1" si="13"/>
        <v/>
      </c>
      <c r="E117" s="32"/>
      <c r="F117" s="31"/>
      <c r="G117" s="41"/>
      <c r="H117" s="56">
        <v>2.5</v>
      </c>
      <c r="I117" s="43" t="str">
        <f t="shared" si="14"/>
        <v/>
      </c>
      <c r="J117" s="43" t="str">
        <f t="shared" si="15"/>
        <v/>
      </c>
      <c r="K117" s="33" t="str">
        <f>IF(B117="","Pending",IF(M117="","⚠️ Enter Code",IF(IFERROR(VLOOKUP(L117,DB_Agents!$B:$F,4,0),"")=TEXT(M117,"0"),"Pending Approval","🔒 WRONG CODE")))</f>
        <v>Pending</v>
      </c>
      <c r="L117" s="30" t="s">
        <v>54</v>
      </c>
      <c r="M117" s="41"/>
      <c r="N117" s="22"/>
    </row>
    <row r="118" spans="1:14" ht="20.100000000000001" customHeight="1" x14ac:dyDescent="0.25">
      <c r="A118" s="30" t="str">
        <f t="shared" si="12"/>
        <v/>
      </c>
      <c r="B118" s="41"/>
      <c r="C118" s="35" t="str">
        <f>IF(B118="","",IFERROR(VLOOKUP(B118,DB_Customers!$A:$B,2,0),"❌ Account Not Found"))</f>
        <v/>
      </c>
      <c r="D118" s="42" t="str">
        <f t="shared" ca="1" si="13"/>
        <v/>
      </c>
      <c r="E118" s="32"/>
      <c r="F118" s="31"/>
      <c r="G118" s="41"/>
      <c r="H118" s="56">
        <v>2.5</v>
      </c>
      <c r="I118" s="43" t="str">
        <f t="shared" si="14"/>
        <v/>
      </c>
      <c r="J118" s="43" t="str">
        <f t="shared" si="15"/>
        <v/>
      </c>
      <c r="K118" s="33" t="str">
        <f>IF(B118="","Pending",IF(M118="","⚠️ Enter Code",IF(IFERROR(VLOOKUP(L118,DB_Agents!$B:$F,4,0),"")=TEXT(M118,"0"),"Pending Approval","🔒 WRONG CODE")))</f>
        <v>Pending</v>
      </c>
      <c r="L118" s="30" t="s">
        <v>54</v>
      </c>
      <c r="M118" s="41"/>
      <c r="N118" s="57"/>
    </row>
    <row r="119" spans="1:14" ht="20.100000000000001" customHeight="1" x14ac:dyDescent="0.25">
      <c r="A119" s="30" t="str">
        <f t="shared" si="12"/>
        <v/>
      </c>
      <c r="B119" s="41"/>
      <c r="C119" s="35" t="str">
        <f>IF(B119="","",IFERROR(VLOOKUP(B119,DB_Customers!$A:$B,2,0),"❌ Account Not Found"))</f>
        <v/>
      </c>
      <c r="D119" s="42" t="str">
        <f t="shared" ca="1" si="13"/>
        <v/>
      </c>
      <c r="E119" s="32"/>
      <c r="F119" s="31"/>
      <c r="G119" s="41"/>
      <c r="H119" s="56">
        <v>2.5</v>
      </c>
      <c r="I119" s="43" t="str">
        <f t="shared" si="14"/>
        <v/>
      </c>
      <c r="J119" s="43" t="str">
        <f t="shared" si="15"/>
        <v/>
      </c>
      <c r="K119" s="33" t="str">
        <f>IF(B119="","Pending",IF(M119="","⚠️ Enter Code",IF(IFERROR(VLOOKUP(L119,DB_Agents!$B:$F,4,0),"")=TEXT(M119,"0"),"Pending Approval","🔒 WRONG CODE")))</f>
        <v>Pending</v>
      </c>
      <c r="L119" s="30" t="s">
        <v>54</v>
      </c>
      <c r="M119" s="41"/>
      <c r="N119" s="22"/>
    </row>
    <row r="120" spans="1:14" ht="20.100000000000001" customHeight="1" x14ac:dyDescent="0.25">
      <c r="A120" s="30" t="str">
        <f t="shared" si="12"/>
        <v/>
      </c>
      <c r="B120" s="41"/>
      <c r="C120" s="35" t="str">
        <f>IF(B120="","",IFERROR(VLOOKUP(B120,DB_Customers!$A:$B,2,0),"❌ Account Not Found"))</f>
        <v/>
      </c>
      <c r="D120" s="42" t="str">
        <f t="shared" ca="1" si="13"/>
        <v/>
      </c>
      <c r="E120" s="32"/>
      <c r="F120" s="31"/>
      <c r="G120" s="41"/>
      <c r="H120" s="56">
        <v>2.5</v>
      </c>
      <c r="I120" s="43" t="str">
        <f t="shared" si="14"/>
        <v/>
      </c>
      <c r="J120" s="43" t="str">
        <f t="shared" si="15"/>
        <v/>
      </c>
      <c r="K120" s="33" t="str">
        <f>IF(B120="","Pending",IF(M120="","⚠️ Enter Code",IF(IFERROR(VLOOKUP(L120,DB_Agents!$B:$F,4,0),"")=TEXT(M120,"0"),"Pending Approval","🔒 WRONG CODE")))</f>
        <v>Pending</v>
      </c>
      <c r="L120" s="30" t="s">
        <v>54</v>
      </c>
      <c r="M120" s="41"/>
      <c r="N120" s="57"/>
    </row>
    <row r="121" spans="1:14" ht="20.100000000000001" customHeight="1" x14ac:dyDescent="0.25">
      <c r="A121" s="30" t="str">
        <f t="shared" si="12"/>
        <v/>
      </c>
      <c r="B121" s="41"/>
      <c r="C121" s="35" t="str">
        <f>IF(B121="","",IFERROR(VLOOKUP(B121,DB_Customers!$A:$B,2,0),"❌ Account Not Found"))</f>
        <v/>
      </c>
      <c r="D121" s="42" t="str">
        <f t="shared" ca="1" si="13"/>
        <v/>
      </c>
      <c r="E121" s="32"/>
      <c r="F121" s="31"/>
      <c r="G121" s="41"/>
      <c r="H121" s="56">
        <v>2.5</v>
      </c>
      <c r="I121" s="43" t="str">
        <f t="shared" si="14"/>
        <v/>
      </c>
      <c r="J121" s="43" t="str">
        <f t="shared" si="15"/>
        <v/>
      </c>
      <c r="K121" s="33" t="str">
        <f>IF(B121="","Pending",IF(M121="","⚠️ Enter Code",IF(IFERROR(VLOOKUP(L121,DB_Agents!$B:$F,4,0),"")=TEXT(M121,"0"),"Pending Approval","🔒 WRONG CODE")))</f>
        <v>Pending</v>
      </c>
      <c r="L121" s="30" t="s">
        <v>54</v>
      </c>
      <c r="M121" s="41"/>
      <c r="N121" s="22"/>
    </row>
    <row r="122" spans="1:14" ht="20.100000000000001" customHeight="1" x14ac:dyDescent="0.25">
      <c r="A122" s="30" t="str">
        <f t="shared" si="12"/>
        <v/>
      </c>
      <c r="B122" s="41"/>
      <c r="C122" s="35" t="str">
        <f>IF(B122="","",IFERROR(VLOOKUP(B122,DB_Customers!$A:$B,2,0),"❌ Account Not Found"))</f>
        <v/>
      </c>
      <c r="D122" s="42" t="str">
        <f t="shared" ca="1" si="13"/>
        <v/>
      </c>
      <c r="E122" s="32"/>
      <c r="F122" s="31"/>
      <c r="G122" s="41"/>
      <c r="H122" s="56">
        <v>2.5</v>
      </c>
      <c r="I122" s="43" t="str">
        <f t="shared" si="14"/>
        <v/>
      </c>
      <c r="J122" s="43" t="str">
        <f t="shared" si="15"/>
        <v/>
      </c>
      <c r="K122" s="33" t="str">
        <f>IF(B122="","Pending",IF(M122="","⚠️ Enter Code",IF(IFERROR(VLOOKUP(L122,DB_Agents!$B:$F,4,0),"")=TEXT(M122,"0"),"Pending Approval","🔒 WRONG CODE")))</f>
        <v>Pending</v>
      </c>
      <c r="L122" s="30" t="s">
        <v>54</v>
      </c>
      <c r="M122" s="41"/>
      <c r="N122" s="57"/>
    </row>
    <row r="123" spans="1:14" ht="20.100000000000001" customHeight="1" x14ac:dyDescent="0.25">
      <c r="A123" s="30" t="str">
        <f t="shared" si="12"/>
        <v/>
      </c>
      <c r="B123" s="41"/>
      <c r="C123" s="35" t="str">
        <f>IF(B123="","",IFERROR(VLOOKUP(B123,DB_Customers!$A:$B,2,0),"❌ Account Not Found"))</f>
        <v/>
      </c>
      <c r="D123" s="42" t="str">
        <f t="shared" ca="1" si="13"/>
        <v/>
      </c>
      <c r="E123" s="32"/>
      <c r="F123" s="31"/>
      <c r="G123" s="41"/>
      <c r="H123" s="56">
        <v>2.5</v>
      </c>
      <c r="I123" s="43" t="str">
        <f t="shared" si="14"/>
        <v/>
      </c>
      <c r="J123" s="43" t="str">
        <f t="shared" si="15"/>
        <v/>
      </c>
      <c r="K123" s="33" t="str">
        <f>IF(B123="","Pending",IF(M123="","⚠️ Enter Code",IF(IFERROR(VLOOKUP(L123,DB_Agents!$B:$F,4,0),"")=TEXT(M123,"0"),"Pending Approval","🔒 WRONG CODE")))</f>
        <v>Pending</v>
      </c>
      <c r="L123" s="30" t="s">
        <v>54</v>
      </c>
      <c r="M123" s="41"/>
      <c r="N123" s="22"/>
    </row>
    <row r="124" spans="1:14" ht="20.100000000000001" customHeight="1" x14ac:dyDescent="0.25">
      <c r="A124" s="30" t="str">
        <f t="shared" si="12"/>
        <v/>
      </c>
      <c r="B124" s="41"/>
      <c r="C124" s="35" t="str">
        <f>IF(B124="","",IFERROR(VLOOKUP(B124,DB_Customers!$A:$B,2,0),"❌ Account Not Found"))</f>
        <v/>
      </c>
      <c r="D124" s="42" t="str">
        <f t="shared" ca="1" si="13"/>
        <v/>
      </c>
      <c r="E124" s="32"/>
      <c r="F124" s="31"/>
      <c r="G124" s="41"/>
      <c r="H124" s="56">
        <v>2.5</v>
      </c>
      <c r="I124" s="43" t="str">
        <f t="shared" si="14"/>
        <v/>
      </c>
      <c r="J124" s="43" t="str">
        <f t="shared" si="15"/>
        <v/>
      </c>
      <c r="K124" s="33" t="str">
        <f>IF(B124="","Pending",IF(M124="","⚠️ Enter Code",IF(IFERROR(VLOOKUP(L124,DB_Agents!$B:$F,4,0),"")=TEXT(M124,"0"),"Pending Approval","🔒 WRONG CODE")))</f>
        <v>Pending</v>
      </c>
      <c r="L124" s="30" t="s">
        <v>54</v>
      </c>
      <c r="M124" s="41"/>
      <c r="N124" s="57"/>
    </row>
    <row r="125" spans="1:14" ht="20.100000000000001" customHeight="1" x14ac:dyDescent="0.25">
      <c r="A125" s="30" t="str">
        <f t="shared" si="12"/>
        <v/>
      </c>
      <c r="B125" s="41"/>
      <c r="C125" s="35" t="str">
        <f>IF(B125="","",IFERROR(VLOOKUP(B125,DB_Customers!$A:$B,2,0),"❌ Account Not Found"))</f>
        <v/>
      </c>
      <c r="D125" s="42" t="str">
        <f t="shared" ca="1" si="13"/>
        <v/>
      </c>
      <c r="E125" s="32"/>
      <c r="F125" s="31"/>
      <c r="G125" s="41"/>
      <c r="H125" s="56">
        <v>2.5</v>
      </c>
      <c r="I125" s="43" t="str">
        <f t="shared" si="14"/>
        <v/>
      </c>
      <c r="J125" s="43" t="str">
        <f t="shared" si="15"/>
        <v/>
      </c>
      <c r="K125" s="33" t="str">
        <f>IF(B125="","Pending",IF(M125="","⚠️ Enter Code",IF(IFERROR(VLOOKUP(L125,DB_Agents!$B:$F,4,0),"")=TEXT(M125,"0"),"Pending Approval","🔒 WRONG CODE")))</f>
        <v>Pending</v>
      </c>
      <c r="L125" s="30" t="s">
        <v>54</v>
      </c>
      <c r="M125" s="41"/>
      <c r="N125" s="22"/>
    </row>
    <row r="126" spans="1:14" ht="20.100000000000001" customHeight="1" x14ac:dyDescent="0.25">
      <c r="A126" s="30" t="str">
        <f t="shared" si="12"/>
        <v/>
      </c>
      <c r="B126" s="41"/>
      <c r="C126" s="35" t="str">
        <f>IF(B126="","",IFERROR(VLOOKUP(B126,DB_Customers!$A:$B,2,0),"❌ Account Not Found"))</f>
        <v/>
      </c>
      <c r="D126" s="42" t="str">
        <f t="shared" ca="1" si="13"/>
        <v/>
      </c>
      <c r="E126" s="32"/>
      <c r="F126" s="31"/>
      <c r="G126" s="41"/>
      <c r="H126" s="56">
        <v>2.5</v>
      </c>
      <c r="I126" s="43" t="str">
        <f t="shared" si="14"/>
        <v/>
      </c>
      <c r="J126" s="43" t="str">
        <f t="shared" si="15"/>
        <v/>
      </c>
      <c r="K126" s="33" t="str">
        <f>IF(B126="","Pending",IF(M126="","⚠️ Enter Code",IF(IFERROR(VLOOKUP(L126,DB_Agents!$B:$F,4,0),"")=TEXT(M126,"0"),"Pending Approval","🔒 WRONG CODE")))</f>
        <v>Pending</v>
      </c>
      <c r="L126" s="30" t="s">
        <v>54</v>
      </c>
      <c r="M126" s="41"/>
      <c r="N126" s="57"/>
    </row>
    <row r="127" spans="1:14" ht="20.100000000000001" customHeight="1" x14ac:dyDescent="0.25">
      <c r="A127" s="30" t="str">
        <f t="shared" si="12"/>
        <v/>
      </c>
      <c r="B127" s="41"/>
      <c r="C127" s="35" t="str">
        <f>IF(B127="","",IFERROR(VLOOKUP(B127,DB_Customers!$A:$B,2,0),"❌ Account Not Found"))</f>
        <v/>
      </c>
      <c r="D127" s="42" t="str">
        <f t="shared" ca="1" si="13"/>
        <v/>
      </c>
      <c r="E127" s="32"/>
      <c r="F127" s="31"/>
      <c r="G127" s="41"/>
      <c r="H127" s="56">
        <v>2.5</v>
      </c>
      <c r="I127" s="43" t="str">
        <f t="shared" si="14"/>
        <v/>
      </c>
      <c r="J127" s="43" t="str">
        <f t="shared" si="15"/>
        <v/>
      </c>
      <c r="K127" s="33" t="str">
        <f>IF(B127="","Pending",IF(M127="","⚠️ Enter Code",IF(IFERROR(VLOOKUP(L127,DB_Agents!$B:$F,4,0),"")=TEXT(M127,"0"),"Pending Approval","🔒 WRONG CODE")))</f>
        <v>Pending</v>
      </c>
      <c r="L127" s="30" t="s">
        <v>54</v>
      </c>
      <c r="M127" s="41"/>
      <c r="N127" s="22"/>
    </row>
    <row r="128" spans="1:14" ht="20.100000000000001" customHeight="1" x14ac:dyDescent="0.25">
      <c r="A128" s="30" t="str">
        <f t="shared" si="12"/>
        <v/>
      </c>
      <c r="B128" s="41"/>
      <c r="C128" s="35" t="str">
        <f>IF(B128="","",IFERROR(VLOOKUP(B128,DB_Customers!$A:$B,2,0),"❌ Account Not Found"))</f>
        <v/>
      </c>
      <c r="D128" s="42" t="str">
        <f t="shared" ca="1" si="13"/>
        <v/>
      </c>
      <c r="E128" s="32"/>
      <c r="F128" s="31"/>
      <c r="G128" s="41"/>
      <c r="H128" s="56">
        <v>2.5</v>
      </c>
      <c r="I128" s="43" t="str">
        <f t="shared" si="14"/>
        <v/>
      </c>
      <c r="J128" s="43" t="str">
        <f t="shared" si="15"/>
        <v/>
      </c>
      <c r="K128" s="33" t="str">
        <f>IF(B128="","Pending",IF(M128="","⚠️ Enter Code",IF(IFERROR(VLOOKUP(L128,DB_Agents!$B:$F,4,0),"")=TEXT(M128,"0"),"Pending Approval","🔒 WRONG CODE")))</f>
        <v>Pending</v>
      </c>
      <c r="L128" s="30" t="s">
        <v>54</v>
      </c>
      <c r="M128" s="41"/>
      <c r="N128" s="57"/>
    </row>
    <row r="129" spans="1:14" ht="20.100000000000001" customHeight="1" x14ac:dyDescent="0.25">
      <c r="A129" s="30" t="str">
        <f t="shared" si="12"/>
        <v/>
      </c>
      <c r="B129" s="41"/>
      <c r="C129" s="35" t="str">
        <f>IF(B129="","",IFERROR(VLOOKUP(B129,DB_Customers!$A:$B,2,0),"❌ Account Not Found"))</f>
        <v/>
      </c>
      <c r="D129" s="42" t="str">
        <f t="shared" ca="1" si="13"/>
        <v/>
      </c>
      <c r="E129" s="32"/>
      <c r="F129" s="31"/>
      <c r="G129" s="41"/>
      <c r="H129" s="56">
        <v>2.5</v>
      </c>
      <c r="I129" s="43" t="str">
        <f t="shared" si="14"/>
        <v/>
      </c>
      <c r="J129" s="43" t="str">
        <f t="shared" si="15"/>
        <v/>
      </c>
      <c r="K129" s="33" t="str">
        <f>IF(B129="","Pending",IF(M129="","⚠️ Enter Code",IF(IFERROR(VLOOKUP(L129,DB_Agents!$B:$F,4,0),"")=TEXT(M129,"0"),"Pending Approval","🔒 WRONG CODE")))</f>
        <v>Pending</v>
      </c>
      <c r="L129" s="30" t="s">
        <v>54</v>
      </c>
      <c r="M129" s="41"/>
      <c r="N129" s="22"/>
    </row>
    <row r="130" spans="1:14" ht="20.100000000000001" customHeight="1" x14ac:dyDescent="0.25">
      <c r="A130" s="30" t="str">
        <f t="shared" si="12"/>
        <v/>
      </c>
      <c r="B130" s="41"/>
      <c r="C130" s="35" t="str">
        <f>IF(B130="","",IFERROR(VLOOKUP(B130,DB_Customers!$A:$B,2,0),"❌ Account Not Found"))</f>
        <v/>
      </c>
      <c r="D130" s="42" t="str">
        <f t="shared" ca="1" si="13"/>
        <v/>
      </c>
      <c r="E130" s="32"/>
      <c r="F130" s="31"/>
      <c r="G130" s="41"/>
      <c r="H130" s="56">
        <v>2.5</v>
      </c>
      <c r="I130" s="43" t="str">
        <f t="shared" si="14"/>
        <v/>
      </c>
      <c r="J130" s="43" t="str">
        <f t="shared" si="15"/>
        <v/>
      </c>
      <c r="K130" s="33" t="str">
        <f>IF(B130="","Pending",IF(M130="","⚠️ Enter Code",IF(IFERROR(VLOOKUP(L130,DB_Agents!$B:$F,4,0),"")=TEXT(M130,"0"),"Pending Approval","🔒 WRONG CODE")))</f>
        <v>Pending</v>
      </c>
      <c r="L130" s="30" t="s">
        <v>54</v>
      </c>
      <c r="M130" s="41"/>
      <c r="N130" s="57"/>
    </row>
    <row r="131" spans="1:14" ht="20.100000000000001" customHeight="1" x14ac:dyDescent="0.25">
      <c r="A131" s="30" t="str">
        <f t="shared" si="12"/>
        <v/>
      </c>
      <c r="B131" s="41"/>
      <c r="C131" s="35" t="str">
        <f>IF(B131="","",IFERROR(VLOOKUP(B131,DB_Customers!$A:$B,2,0),"❌ Account Not Found"))</f>
        <v/>
      </c>
      <c r="D131" s="42" t="str">
        <f t="shared" ca="1" si="13"/>
        <v/>
      </c>
      <c r="E131" s="32"/>
      <c r="F131" s="31"/>
      <c r="G131" s="41"/>
      <c r="H131" s="56">
        <v>2.5</v>
      </c>
      <c r="I131" s="43" t="str">
        <f t="shared" si="14"/>
        <v/>
      </c>
      <c r="J131" s="43" t="str">
        <f t="shared" si="15"/>
        <v/>
      </c>
      <c r="K131" s="33" t="str">
        <f>IF(B131="","Pending",IF(M131="","⚠️ Enter Code",IF(IFERROR(VLOOKUP(L131,DB_Agents!$B:$F,4,0),"")=TEXT(M131,"0"),"Pending Approval","🔒 WRONG CODE")))</f>
        <v>Pending</v>
      </c>
      <c r="L131" s="30" t="s">
        <v>54</v>
      </c>
      <c r="M131" s="41"/>
      <c r="N131" s="22"/>
    </row>
    <row r="132" spans="1:14" ht="20.100000000000001" customHeight="1" x14ac:dyDescent="0.25">
      <c r="A132" s="30" t="str">
        <f t="shared" si="12"/>
        <v/>
      </c>
      <c r="B132" s="41"/>
      <c r="C132" s="35" t="str">
        <f>IF(B132="","",IFERROR(VLOOKUP(B132,DB_Customers!$A:$B,2,0),"❌ Account Not Found"))</f>
        <v/>
      </c>
      <c r="D132" s="42" t="str">
        <f t="shared" ca="1" si="13"/>
        <v/>
      </c>
      <c r="E132" s="32"/>
      <c r="F132" s="31"/>
      <c r="G132" s="41"/>
      <c r="H132" s="56">
        <v>2.5</v>
      </c>
      <c r="I132" s="43" t="str">
        <f t="shared" si="14"/>
        <v/>
      </c>
      <c r="J132" s="43" t="str">
        <f t="shared" si="15"/>
        <v/>
      </c>
      <c r="K132" s="33" t="str">
        <f>IF(B132="","Pending",IF(M132="","⚠️ Enter Code",IF(IFERROR(VLOOKUP(L132,DB_Agents!$B:$F,4,0),"")=TEXT(M132,"0"),"Pending Approval","🔒 WRONG CODE")))</f>
        <v>Pending</v>
      </c>
      <c r="L132" s="30" t="s">
        <v>54</v>
      </c>
      <c r="M132" s="41"/>
      <c r="N132" s="57"/>
    </row>
    <row r="133" spans="1:14" ht="20.100000000000001" customHeight="1" x14ac:dyDescent="0.25">
      <c r="A133" s="30" t="str">
        <f t="shared" si="12"/>
        <v/>
      </c>
      <c r="B133" s="41"/>
      <c r="C133" s="35" t="str">
        <f>IF(B133="","",IFERROR(VLOOKUP(B133,DB_Customers!$A:$B,2,0),"❌ Account Not Found"))</f>
        <v/>
      </c>
      <c r="D133" s="42" t="str">
        <f t="shared" ca="1" si="13"/>
        <v/>
      </c>
      <c r="E133" s="32"/>
      <c r="F133" s="31"/>
      <c r="G133" s="41"/>
      <c r="H133" s="56">
        <v>2.5</v>
      </c>
      <c r="I133" s="43" t="str">
        <f t="shared" si="14"/>
        <v/>
      </c>
      <c r="J133" s="43" t="str">
        <f t="shared" si="15"/>
        <v/>
      </c>
      <c r="K133" s="33" t="str">
        <f>IF(B133="","Pending",IF(M133="","⚠️ Enter Code",IF(IFERROR(VLOOKUP(L133,DB_Agents!$B:$F,4,0),"")=TEXT(M133,"0"),"Pending Approval","🔒 WRONG CODE")))</f>
        <v>Pending</v>
      </c>
      <c r="L133" s="30" t="s">
        <v>54</v>
      </c>
      <c r="M133" s="41"/>
      <c r="N133" s="22"/>
    </row>
    <row r="134" spans="1:14" ht="20.100000000000001" customHeight="1" x14ac:dyDescent="0.25">
      <c r="A134" s="30" t="str">
        <f t="shared" si="12"/>
        <v/>
      </c>
      <c r="B134" s="41"/>
      <c r="C134" s="35" t="str">
        <f>IF(B134="","",IFERROR(VLOOKUP(B134,DB_Customers!$A:$B,2,0),"❌ Account Not Found"))</f>
        <v/>
      </c>
      <c r="D134" s="42" t="str">
        <f t="shared" ca="1" si="13"/>
        <v/>
      </c>
      <c r="E134" s="32"/>
      <c r="F134" s="31"/>
      <c r="G134" s="41"/>
      <c r="H134" s="56">
        <v>2.5</v>
      </c>
      <c r="I134" s="43" t="str">
        <f t="shared" si="14"/>
        <v/>
      </c>
      <c r="J134" s="43" t="str">
        <f t="shared" si="15"/>
        <v/>
      </c>
      <c r="K134" s="33" t="str">
        <f>IF(B134="","Pending",IF(M134="","⚠️ Enter Code",IF(IFERROR(VLOOKUP(L134,DB_Agents!$B:$F,4,0),"")=TEXT(M134,"0"),"Pending Approval","🔒 WRONG CODE")))</f>
        <v>Pending</v>
      </c>
      <c r="L134" s="30" t="s">
        <v>54</v>
      </c>
      <c r="M134" s="41"/>
      <c r="N134" s="57"/>
    </row>
    <row r="135" spans="1:14" ht="20.100000000000001" customHeight="1" x14ac:dyDescent="0.25">
      <c r="A135" s="30" t="str">
        <f t="shared" si="12"/>
        <v/>
      </c>
      <c r="B135" s="41"/>
      <c r="C135" s="35" t="str">
        <f>IF(B135="","",IFERROR(VLOOKUP(B135,DB_Customers!$A:$B,2,0),"❌ Account Not Found"))</f>
        <v/>
      </c>
      <c r="D135" s="42" t="str">
        <f t="shared" ca="1" si="13"/>
        <v/>
      </c>
      <c r="E135" s="32"/>
      <c r="F135" s="31"/>
      <c r="G135" s="41"/>
      <c r="H135" s="56">
        <v>2.5</v>
      </c>
      <c r="I135" s="43" t="str">
        <f t="shared" si="14"/>
        <v/>
      </c>
      <c r="J135" s="43" t="str">
        <f t="shared" si="15"/>
        <v/>
      </c>
      <c r="K135" s="33" t="str">
        <f>IF(B135="","Pending",IF(M135="","⚠️ Enter Code",IF(IFERROR(VLOOKUP(L135,DB_Agents!$B:$F,4,0),"")=TEXT(M135,"0"),"Pending Approval","🔒 WRONG CODE")))</f>
        <v>Pending</v>
      </c>
      <c r="L135" s="30" t="s">
        <v>54</v>
      </c>
      <c r="M135" s="41"/>
      <c r="N135" s="22"/>
    </row>
    <row r="136" spans="1:14" ht="20.100000000000001" customHeight="1" x14ac:dyDescent="0.25">
      <c r="A136" s="30" t="str">
        <f t="shared" si="12"/>
        <v/>
      </c>
      <c r="B136" s="41"/>
      <c r="C136" s="35" t="str">
        <f>IF(B136="","",IFERROR(VLOOKUP(B136,DB_Customers!$A:$B,2,0),"❌ Account Not Found"))</f>
        <v/>
      </c>
      <c r="D136" s="42" t="str">
        <f t="shared" ca="1" si="13"/>
        <v/>
      </c>
      <c r="E136" s="32"/>
      <c r="F136" s="31"/>
      <c r="G136" s="41"/>
      <c r="H136" s="56">
        <v>2.5</v>
      </c>
      <c r="I136" s="43" t="str">
        <f t="shared" si="14"/>
        <v/>
      </c>
      <c r="J136" s="43" t="str">
        <f t="shared" si="15"/>
        <v/>
      </c>
      <c r="K136" s="33" t="str">
        <f>IF(B136="","Pending",IF(M136="","⚠️ Enter Code",IF(IFERROR(VLOOKUP(L136,DB_Agents!$B:$F,4,0),"")=TEXT(M136,"0"),"Pending Approval","🔒 WRONG CODE")))</f>
        <v>Pending</v>
      </c>
      <c r="L136" s="30" t="s">
        <v>54</v>
      </c>
      <c r="M136" s="41"/>
      <c r="N136" s="57"/>
    </row>
    <row r="137" spans="1:14" ht="20.100000000000001" customHeight="1" x14ac:dyDescent="0.25">
      <c r="A137" s="30" t="str">
        <f t="shared" si="12"/>
        <v/>
      </c>
      <c r="B137" s="41"/>
      <c r="C137" s="35" t="str">
        <f>IF(B137="","",IFERROR(VLOOKUP(B137,DB_Customers!$A:$B,2,0),"❌ Account Not Found"))</f>
        <v/>
      </c>
      <c r="D137" s="42" t="str">
        <f t="shared" ca="1" si="13"/>
        <v/>
      </c>
      <c r="E137" s="32"/>
      <c r="F137" s="31"/>
      <c r="G137" s="41"/>
      <c r="H137" s="56">
        <v>2.5</v>
      </c>
      <c r="I137" s="43" t="str">
        <f t="shared" si="14"/>
        <v/>
      </c>
      <c r="J137" s="43" t="str">
        <f t="shared" si="15"/>
        <v/>
      </c>
      <c r="K137" s="33" t="str">
        <f>IF(B137="","Pending",IF(M137="","⚠️ Enter Code",IF(IFERROR(VLOOKUP(L137,DB_Agents!$B:$F,4,0),"")=TEXT(M137,"0"),"Pending Approval","🔒 WRONG CODE")))</f>
        <v>Pending</v>
      </c>
      <c r="L137" s="30" t="s">
        <v>54</v>
      </c>
      <c r="M137" s="41"/>
      <c r="N137" s="22"/>
    </row>
    <row r="138" spans="1:14" ht="20.100000000000001" customHeight="1" x14ac:dyDescent="0.25">
      <c r="A138" s="30" t="str">
        <f t="shared" si="12"/>
        <v/>
      </c>
      <c r="B138" s="41"/>
      <c r="C138" s="35" t="str">
        <f>IF(B138="","",IFERROR(VLOOKUP(B138,DB_Customers!$A:$B,2,0),"❌ Account Not Found"))</f>
        <v/>
      </c>
      <c r="D138" s="42" t="str">
        <f t="shared" ca="1" si="13"/>
        <v/>
      </c>
      <c r="E138" s="32"/>
      <c r="F138" s="31"/>
      <c r="G138" s="41"/>
      <c r="H138" s="56">
        <v>2.5</v>
      </c>
      <c r="I138" s="43" t="str">
        <f t="shared" si="14"/>
        <v/>
      </c>
      <c r="J138" s="43" t="str">
        <f t="shared" si="15"/>
        <v/>
      </c>
      <c r="K138" s="33" t="str">
        <f>IF(B138="","Pending",IF(M138="","⚠️ Enter Code",IF(IFERROR(VLOOKUP(L138,DB_Agents!$B:$F,4,0),"")=TEXT(M138,"0"),"Pending Approval","🔒 WRONG CODE")))</f>
        <v>Pending</v>
      </c>
      <c r="L138" s="30" t="s">
        <v>54</v>
      </c>
      <c r="M138" s="41"/>
      <c r="N138" s="57"/>
    </row>
    <row r="139" spans="1:14" ht="20.100000000000001" customHeight="1" x14ac:dyDescent="0.25">
      <c r="A139" s="30" t="str">
        <f t="shared" si="12"/>
        <v/>
      </c>
      <c r="B139" s="41"/>
      <c r="C139" s="35" t="str">
        <f>IF(B139="","",IFERROR(VLOOKUP(B139,DB_Customers!$A:$B,2,0),"❌ Account Not Found"))</f>
        <v/>
      </c>
      <c r="D139" s="42" t="str">
        <f t="shared" ca="1" si="13"/>
        <v/>
      </c>
      <c r="E139" s="32"/>
      <c r="F139" s="31"/>
      <c r="G139" s="41"/>
      <c r="H139" s="56">
        <v>2.5</v>
      </c>
      <c r="I139" s="43" t="str">
        <f t="shared" si="14"/>
        <v/>
      </c>
      <c r="J139" s="43" t="str">
        <f t="shared" si="15"/>
        <v/>
      </c>
      <c r="K139" s="33" t="str">
        <f>IF(B139="","Pending",IF(M139="","⚠️ Enter Code",IF(IFERROR(VLOOKUP(L139,DB_Agents!$B:$F,4,0),"")=TEXT(M139,"0"),"Pending Approval","🔒 WRONG CODE")))</f>
        <v>Pending</v>
      </c>
      <c r="L139" s="30" t="s">
        <v>54</v>
      </c>
      <c r="M139" s="41"/>
      <c r="N139" s="22"/>
    </row>
    <row r="140" spans="1:14" ht="20.100000000000001" customHeight="1" x14ac:dyDescent="0.25">
      <c r="A140" s="30" t="str">
        <f t="shared" si="12"/>
        <v/>
      </c>
      <c r="B140" s="41"/>
      <c r="C140" s="35" t="str">
        <f>IF(B140="","",IFERROR(VLOOKUP(B140,DB_Customers!$A:$B,2,0),"❌ Account Not Found"))</f>
        <v/>
      </c>
      <c r="D140" s="42" t="str">
        <f t="shared" ca="1" si="13"/>
        <v/>
      </c>
      <c r="E140" s="32"/>
      <c r="F140" s="31"/>
      <c r="G140" s="41"/>
      <c r="H140" s="56">
        <v>2.5</v>
      </c>
      <c r="I140" s="43" t="str">
        <f t="shared" si="14"/>
        <v/>
      </c>
      <c r="J140" s="43" t="str">
        <f t="shared" si="15"/>
        <v/>
      </c>
      <c r="K140" s="33" t="str">
        <f>IF(B140="","Pending",IF(M140="","⚠️ Enter Code",IF(IFERROR(VLOOKUP(L140,DB_Agents!$B:$F,4,0),"")=TEXT(M140,"0"),"Pending Approval","🔒 WRONG CODE")))</f>
        <v>Pending</v>
      </c>
      <c r="L140" s="30" t="s">
        <v>54</v>
      </c>
      <c r="M140" s="41"/>
      <c r="N140" s="57"/>
    </row>
    <row r="141" spans="1:14" ht="20.100000000000001" customHeight="1" x14ac:dyDescent="0.25">
      <c r="A141" s="30" t="str">
        <f t="shared" si="12"/>
        <v/>
      </c>
      <c r="B141" s="41"/>
      <c r="C141" s="35" t="str">
        <f>IF(B141="","",IFERROR(VLOOKUP(B141,DB_Customers!$A:$B,2,0),"❌ Account Not Found"))</f>
        <v/>
      </c>
      <c r="D141" s="42" t="str">
        <f t="shared" ca="1" si="13"/>
        <v/>
      </c>
      <c r="E141" s="32"/>
      <c r="F141" s="31"/>
      <c r="G141" s="41"/>
      <c r="H141" s="56">
        <v>2.5</v>
      </c>
      <c r="I141" s="43" t="str">
        <f t="shared" si="14"/>
        <v/>
      </c>
      <c r="J141" s="43" t="str">
        <f t="shared" si="15"/>
        <v/>
      </c>
      <c r="K141" s="33" t="str">
        <f>IF(B141="","Pending",IF(M141="","⚠️ Enter Code",IF(IFERROR(VLOOKUP(L141,DB_Agents!$B:$F,4,0),"")=TEXT(M141,"0"),"Pending Approval","🔒 WRONG CODE")))</f>
        <v>Pending</v>
      </c>
      <c r="L141" s="30" t="s">
        <v>54</v>
      </c>
      <c r="M141" s="41"/>
      <c r="N141" s="22"/>
    </row>
    <row r="142" spans="1:14" ht="20.100000000000001" customHeight="1" x14ac:dyDescent="0.25">
      <c r="A142" s="30" t="str">
        <f t="shared" ref="A142:A173" si="16">IF(B142="","",IF(C142="❌ Account Not Found","INVALID","LN"&amp;TEXT(D142,"YYYYMMDD")&amp;TEXT(ROW()-13,"0000")))</f>
        <v/>
      </c>
      <c r="B142" s="41"/>
      <c r="C142" s="35" t="str">
        <f>IF(B142="","",IFERROR(VLOOKUP(B142,DB_Customers!$A:$B,2,0),"❌ Account Not Found"))</f>
        <v/>
      </c>
      <c r="D142" s="42" t="str">
        <f t="shared" ref="D142:D173" ca="1" si="17">IF(B142="","",TODAY())</f>
        <v/>
      </c>
      <c r="E142" s="32"/>
      <c r="F142" s="31"/>
      <c r="G142" s="41"/>
      <c r="H142" s="56">
        <v>2.5</v>
      </c>
      <c r="I142" s="43" t="str">
        <f t="shared" ref="I142:I173" si="18">IF(E142="","",E142+(E142*H142/100*G142))</f>
        <v/>
      </c>
      <c r="J142" s="43" t="str">
        <f t="shared" ref="J142:J173" si="19">IFERROR(I142/G142,"")</f>
        <v/>
      </c>
      <c r="K142" s="33" t="str">
        <f>IF(B142="","Pending",IF(M142="","⚠️ Enter Code",IF(IFERROR(VLOOKUP(L142,DB_Agents!$B:$F,4,0),"")=TEXT(M142,"0"),"Pending Approval","🔒 WRONG CODE")))</f>
        <v>Pending</v>
      </c>
      <c r="L142" s="30" t="s">
        <v>54</v>
      </c>
      <c r="M142" s="41"/>
      <c r="N142" s="57"/>
    </row>
    <row r="143" spans="1:14" ht="20.100000000000001" customHeight="1" x14ac:dyDescent="0.25">
      <c r="A143" s="30" t="str">
        <f t="shared" si="16"/>
        <v/>
      </c>
      <c r="B143" s="41"/>
      <c r="C143" s="35" t="str">
        <f>IF(B143="","",IFERROR(VLOOKUP(B143,DB_Customers!$A:$B,2,0),"❌ Account Not Found"))</f>
        <v/>
      </c>
      <c r="D143" s="42" t="str">
        <f t="shared" ca="1" si="17"/>
        <v/>
      </c>
      <c r="E143" s="32"/>
      <c r="F143" s="31"/>
      <c r="G143" s="41"/>
      <c r="H143" s="56">
        <v>2.5</v>
      </c>
      <c r="I143" s="43" t="str">
        <f t="shared" si="18"/>
        <v/>
      </c>
      <c r="J143" s="43" t="str">
        <f t="shared" si="19"/>
        <v/>
      </c>
      <c r="K143" s="33" t="str">
        <f>IF(B143="","Pending",IF(M143="","⚠️ Enter Code",IF(IFERROR(VLOOKUP(L143,DB_Agents!$B:$F,4,0),"")=TEXT(M143,"0"),"Pending Approval","🔒 WRONG CODE")))</f>
        <v>Pending</v>
      </c>
      <c r="L143" s="30" t="s">
        <v>54</v>
      </c>
      <c r="M143" s="41"/>
      <c r="N143" s="22"/>
    </row>
    <row r="144" spans="1:14" ht="20.100000000000001" customHeight="1" x14ac:dyDescent="0.25">
      <c r="A144" s="30" t="str">
        <f t="shared" si="16"/>
        <v/>
      </c>
      <c r="B144" s="41"/>
      <c r="C144" s="35" t="str">
        <f>IF(B144="","",IFERROR(VLOOKUP(B144,DB_Customers!$A:$B,2,0),"❌ Account Not Found"))</f>
        <v/>
      </c>
      <c r="D144" s="42" t="str">
        <f t="shared" ca="1" si="17"/>
        <v/>
      </c>
      <c r="E144" s="32"/>
      <c r="F144" s="31"/>
      <c r="G144" s="41"/>
      <c r="H144" s="56">
        <v>2.5</v>
      </c>
      <c r="I144" s="43" t="str">
        <f t="shared" si="18"/>
        <v/>
      </c>
      <c r="J144" s="43" t="str">
        <f t="shared" si="19"/>
        <v/>
      </c>
      <c r="K144" s="33" t="str">
        <f>IF(B144="","Pending",IF(M144="","⚠️ Enter Code",IF(IFERROR(VLOOKUP(L144,DB_Agents!$B:$F,4,0),"")=TEXT(M144,"0"),"Pending Approval","🔒 WRONG CODE")))</f>
        <v>Pending</v>
      </c>
      <c r="L144" s="30" t="s">
        <v>54</v>
      </c>
      <c r="M144" s="41"/>
      <c r="N144" s="57"/>
    </row>
    <row r="145" spans="1:14" ht="20.100000000000001" customHeight="1" x14ac:dyDescent="0.25">
      <c r="A145" s="30" t="str">
        <f t="shared" si="16"/>
        <v/>
      </c>
      <c r="B145" s="41"/>
      <c r="C145" s="35" t="str">
        <f>IF(B145="","",IFERROR(VLOOKUP(B145,DB_Customers!$A:$B,2,0),"❌ Account Not Found"))</f>
        <v/>
      </c>
      <c r="D145" s="42" t="str">
        <f t="shared" ca="1" si="17"/>
        <v/>
      </c>
      <c r="E145" s="32"/>
      <c r="F145" s="31"/>
      <c r="G145" s="41"/>
      <c r="H145" s="56">
        <v>2.5</v>
      </c>
      <c r="I145" s="43" t="str">
        <f t="shared" si="18"/>
        <v/>
      </c>
      <c r="J145" s="43" t="str">
        <f t="shared" si="19"/>
        <v/>
      </c>
      <c r="K145" s="33" t="str">
        <f>IF(B145="","Pending",IF(M145="","⚠️ Enter Code",IF(IFERROR(VLOOKUP(L145,DB_Agents!$B:$F,4,0),"")=TEXT(M145,"0"),"Pending Approval","🔒 WRONG CODE")))</f>
        <v>Pending</v>
      </c>
      <c r="L145" s="30" t="s">
        <v>54</v>
      </c>
      <c r="M145" s="41"/>
      <c r="N145" s="22"/>
    </row>
    <row r="146" spans="1:14" ht="20.100000000000001" customHeight="1" x14ac:dyDescent="0.25">
      <c r="A146" s="30" t="str">
        <f t="shared" si="16"/>
        <v/>
      </c>
      <c r="B146" s="41"/>
      <c r="C146" s="35" t="str">
        <f>IF(B146="","",IFERROR(VLOOKUP(B146,DB_Customers!$A:$B,2,0),"❌ Account Not Found"))</f>
        <v/>
      </c>
      <c r="D146" s="42" t="str">
        <f t="shared" ca="1" si="17"/>
        <v/>
      </c>
      <c r="E146" s="32"/>
      <c r="F146" s="31"/>
      <c r="G146" s="41"/>
      <c r="H146" s="56">
        <v>2.5</v>
      </c>
      <c r="I146" s="43" t="str">
        <f t="shared" si="18"/>
        <v/>
      </c>
      <c r="J146" s="43" t="str">
        <f t="shared" si="19"/>
        <v/>
      </c>
      <c r="K146" s="33" t="str">
        <f>IF(B146="","Pending",IF(M146="","⚠️ Enter Code",IF(IFERROR(VLOOKUP(L146,DB_Agents!$B:$F,4,0),"")=TEXT(M146,"0"),"Pending Approval","🔒 WRONG CODE")))</f>
        <v>Pending</v>
      </c>
      <c r="L146" s="30" t="s">
        <v>54</v>
      </c>
      <c r="M146" s="41"/>
      <c r="N146" s="57"/>
    </row>
    <row r="147" spans="1:14" ht="20.100000000000001" customHeight="1" x14ac:dyDescent="0.25">
      <c r="A147" s="30" t="str">
        <f t="shared" si="16"/>
        <v/>
      </c>
      <c r="B147" s="41"/>
      <c r="C147" s="35" t="str">
        <f>IF(B147="","",IFERROR(VLOOKUP(B147,DB_Customers!$A:$B,2,0),"❌ Account Not Found"))</f>
        <v/>
      </c>
      <c r="D147" s="42" t="str">
        <f t="shared" ca="1" si="17"/>
        <v/>
      </c>
      <c r="E147" s="32"/>
      <c r="F147" s="31"/>
      <c r="G147" s="41"/>
      <c r="H147" s="56">
        <v>2.5</v>
      </c>
      <c r="I147" s="43" t="str">
        <f t="shared" si="18"/>
        <v/>
      </c>
      <c r="J147" s="43" t="str">
        <f t="shared" si="19"/>
        <v/>
      </c>
      <c r="K147" s="33" t="str">
        <f>IF(B147="","Pending",IF(M147="","⚠️ Enter Code",IF(IFERROR(VLOOKUP(L147,DB_Agents!$B:$F,4,0),"")=TEXT(M147,"0"),"Pending Approval","🔒 WRONG CODE")))</f>
        <v>Pending</v>
      </c>
      <c r="L147" s="30" t="s">
        <v>54</v>
      </c>
      <c r="M147" s="41"/>
      <c r="N147" s="22"/>
    </row>
    <row r="148" spans="1:14" ht="20.100000000000001" customHeight="1" x14ac:dyDescent="0.25">
      <c r="A148" s="30" t="str">
        <f t="shared" si="16"/>
        <v/>
      </c>
      <c r="B148" s="41"/>
      <c r="C148" s="35" t="str">
        <f>IF(B148="","",IFERROR(VLOOKUP(B148,DB_Customers!$A:$B,2,0),"❌ Account Not Found"))</f>
        <v/>
      </c>
      <c r="D148" s="42" t="str">
        <f t="shared" ca="1" si="17"/>
        <v/>
      </c>
      <c r="E148" s="32"/>
      <c r="F148" s="31"/>
      <c r="G148" s="41"/>
      <c r="H148" s="56">
        <v>2.5</v>
      </c>
      <c r="I148" s="43" t="str">
        <f t="shared" si="18"/>
        <v/>
      </c>
      <c r="J148" s="43" t="str">
        <f t="shared" si="19"/>
        <v/>
      </c>
      <c r="K148" s="33" t="str">
        <f>IF(B148="","Pending",IF(M148="","⚠️ Enter Code",IF(IFERROR(VLOOKUP(L148,DB_Agents!$B:$F,4,0),"")=TEXT(M148,"0"),"Pending Approval","🔒 WRONG CODE")))</f>
        <v>Pending</v>
      </c>
      <c r="L148" s="30" t="s">
        <v>54</v>
      </c>
      <c r="M148" s="41"/>
      <c r="N148" s="57"/>
    </row>
    <row r="149" spans="1:14" ht="20.100000000000001" customHeight="1" x14ac:dyDescent="0.25">
      <c r="A149" s="30" t="str">
        <f t="shared" si="16"/>
        <v/>
      </c>
      <c r="B149" s="41"/>
      <c r="C149" s="35" t="str">
        <f>IF(B149="","",IFERROR(VLOOKUP(B149,DB_Customers!$A:$B,2,0),"❌ Account Not Found"))</f>
        <v/>
      </c>
      <c r="D149" s="42" t="str">
        <f t="shared" ca="1" si="17"/>
        <v/>
      </c>
      <c r="E149" s="32"/>
      <c r="F149" s="31"/>
      <c r="G149" s="41"/>
      <c r="H149" s="56">
        <v>2.5</v>
      </c>
      <c r="I149" s="43" t="str">
        <f t="shared" si="18"/>
        <v/>
      </c>
      <c r="J149" s="43" t="str">
        <f t="shared" si="19"/>
        <v/>
      </c>
      <c r="K149" s="33" t="str">
        <f>IF(B149="","Pending",IF(M149="","⚠️ Enter Code",IF(IFERROR(VLOOKUP(L149,DB_Agents!$B:$F,4,0),"")=TEXT(M149,"0"),"Pending Approval","🔒 WRONG CODE")))</f>
        <v>Pending</v>
      </c>
      <c r="L149" s="30" t="s">
        <v>54</v>
      </c>
      <c r="M149" s="41"/>
      <c r="N149" s="22"/>
    </row>
    <row r="150" spans="1:14" ht="20.100000000000001" customHeight="1" x14ac:dyDescent="0.25">
      <c r="A150" s="30" t="str">
        <f t="shared" si="16"/>
        <v/>
      </c>
      <c r="B150" s="41"/>
      <c r="C150" s="35" t="str">
        <f>IF(B150="","",IFERROR(VLOOKUP(B150,DB_Customers!$A:$B,2,0),"❌ Account Not Found"))</f>
        <v/>
      </c>
      <c r="D150" s="42" t="str">
        <f t="shared" ca="1" si="17"/>
        <v/>
      </c>
      <c r="E150" s="32"/>
      <c r="F150" s="31"/>
      <c r="G150" s="41"/>
      <c r="H150" s="56">
        <v>2.5</v>
      </c>
      <c r="I150" s="43" t="str">
        <f t="shared" si="18"/>
        <v/>
      </c>
      <c r="J150" s="43" t="str">
        <f t="shared" si="19"/>
        <v/>
      </c>
      <c r="K150" s="33" t="str">
        <f>IF(B150="","Pending",IF(M150="","⚠️ Enter Code",IF(IFERROR(VLOOKUP(L150,DB_Agents!$B:$F,4,0),"")=TEXT(M150,"0"),"Pending Approval","🔒 WRONG CODE")))</f>
        <v>Pending</v>
      </c>
      <c r="L150" s="30" t="s">
        <v>54</v>
      </c>
      <c r="M150" s="41"/>
      <c r="N150" s="57"/>
    </row>
    <row r="151" spans="1:14" ht="20.100000000000001" customHeight="1" x14ac:dyDescent="0.25">
      <c r="A151" s="30" t="str">
        <f t="shared" si="16"/>
        <v/>
      </c>
      <c r="B151" s="41"/>
      <c r="C151" s="35" t="str">
        <f>IF(B151="","",IFERROR(VLOOKUP(B151,DB_Customers!$A:$B,2,0),"❌ Account Not Found"))</f>
        <v/>
      </c>
      <c r="D151" s="42" t="str">
        <f t="shared" ca="1" si="17"/>
        <v/>
      </c>
      <c r="E151" s="32"/>
      <c r="F151" s="31"/>
      <c r="G151" s="41"/>
      <c r="H151" s="56">
        <v>2.5</v>
      </c>
      <c r="I151" s="43" t="str">
        <f t="shared" si="18"/>
        <v/>
      </c>
      <c r="J151" s="43" t="str">
        <f t="shared" si="19"/>
        <v/>
      </c>
      <c r="K151" s="33" t="str">
        <f>IF(B151="","Pending",IF(M151="","⚠️ Enter Code",IF(IFERROR(VLOOKUP(L151,DB_Agents!$B:$F,4,0),"")=TEXT(M151,"0"),"Pending Approval","🔒 WRONG CODE")))</f>
        <v>Pending</v>
      </c>
      <c r="L151" s="30" t="s">
        <v>54</v>
      </c>
      <c r="M151" s="41"/>
      <c r="N151" s="22"/>
    </row>
    <row r="152" spans="1:14" ht="20.100000000000001" customHeight="1" x14ac:dyDescent="0.25">
      <c r="A152" s="30" t="str">
        <f t="shared" si="16"/>
        <v/>
      </c>
      <c r="B152" s="41"/>
      <c r="C152" s="35" t="str">
        <f>IF(B152="","",IFERROR(VLOOKUP(B152,DB_Customers!$A:$B,2,0),"❌ Account Not Found"))</f>
        <v/>
      </c>
      <c r="D152" s="42" t="str">
        <f t="shared" ca="1" si="17"/>
        <v/>
      </c>
      <c r="E152" s="32"/>
      <c r="F152" s="31"/>
      <c r="G152" s="41"/>
      <c r="H152" s="56">
        <v>2.5</v>
      </c>
      <c r="I152" s="43" t="str">
        <f t="shared" si="18"/>
        <v/>
      </c>
      <c r="J152" s="43" t="str">
        <f t="shared" si="19"/>
        <v/>
      </c>
      <c r="K152" s="33" t="str">
        <f>IF(B152="","Pending",IF(M152="","⚠️ Enter Code",IF(IFERROR(VLOOKUP(L152,DB_Agents!$B:$F,4,0),"")=TEXT(M152,"0"),"Pending Approval","🔒 WRONG CODE")))</f>
        <v>Pending</v>
      </c>
      <c r="L152" s="30" t="s">
        <v>54</v>
      </c>
      <c r="M152" s="41"/>
      <c r="N152" s="57"/>
    </row>
    <row r="153" spans="1:14" ht="20.100000000000001" customHeight="1" x14ac:dyDescent="0.25">
      <c r="A153" s="30" t="str">
        <f t="shared" si="16"/>
        <v/>
      </c>
      <c r="B153" s="41"/>
      <c r="C153" s="35" t="str">
        <f>IF(B153="","",IFERROR(VLOOKUP(B153,DB_Customers!$A:$B,2,0),"❌ Account Not Found"))</f>
        <v/>
      </c>
      <c r="D153" s="42" t="str">
        <f t="shared" ca="1" si="17"/>
        <v/>
      </c>
      <c r="E153" s="32"/>
      <c r="F153" s="31"/>
      <c r="G153" s="41"/>
      <c r="H153" s="56">
        <v>2.5</v>
      </c>
      <c r="I153" s="43" t="str">
        <f t="shared" si="18"/>
        <v/>
      </c>
      <c r="J153" s="43" t="str">
        <f t="shared" si="19"/>
        <v/>
      </c>
      <c r="K153" s="33" t="str">
        <f>IF(B153="","Pending",IF(M153="","⚠️ Enter Code",IF(IFERROR(VLOOKUP(L153,DB_Agents!$B:$F,4,0),"")=TEXT(M153,"0"),"Pending Approval","🔒 WRONG CODE")))</f>
        <v>Pending</v>
      </c>
      <c r="L153" s="30" t="s">
        <v>54</v>
      </c>
      <c r="M153" s="41"/>
      <c r="N153" s="22"/>
    </row>
    <row r="154" spans="1:14" ht="20.100000000000001" customHeight="1" x14ac:dyDescent="0.25">
      <c r="A154" s="30" t="str">
        <f t="shared" si="16"/>
        <v/>
      </c>
      <c r="B154" s="41"/>
      <c r="C154" s="35" t="str">
        <f>IF(B154="","",IFERROR(VLOOKUP(B154,DB_Customers!$A:$B,2,0),"❌ Account Not Found"))</f>
        <v/>
      </c>
      <c r="D154" s="42" t="str">
        <f t="shared" ca="1" si="17"/>
        <v/>
      </c>
      <c r="E154" s="32"/>
      <c r="F154" s="31"/>
      <c r="G154" s="41"/>
      <c r="H154" s="56">
        <v>2.5</v>
      </c>
      <c r="I154" s="43" t="str">
        <f t="shared" si="18"/>
        <v/>
      </c>
      <c r="J154" s="43" t="str">
        <f t="shared" si="19"/>
        <v/>
      </c>
      <c r="K154" s="33" t="str">
        <f>IF(B154="","Pending",IF(M154="","⚠️ Enter Code",IF(IFERROR(VLOOKUP(L154,DB_Agents!$B:$F,4,0),"")=TEXT(M154,"0"),"Pending Approval","🔒 WRONG CODE")))</f>
        <v>Pending</v>
      </c>
      <c r="L154" s="30" t="s">
        <v>54</v>
      </c>
      <c r="M154" s="41"/>
      <c r="N154" s="57"/>
    </row>
    <row r="155" spans="1:14" ht="20.100000000000001" customHeight="1" x14ac:dyDescent="0.25">
      <c r="A155" s="30" t="str">
        <f t="shared" si="16"/>
        <v/>
      </c>
      <c r="B155" s="41"/>
      <c r="C155" s="35" t="str">
        <f>IF(B155="","",IFERROR(VLOOKUP(B155,DB_Customers!$A:$B,2,0),"❌ Account Not Found"))</f>
        <v/>
      </c>
      <c r="D155" s="42" t="str">
        <f t="shared" ca="1" si="17"/>
        <v/>
      </c>
      <c r="E155" s="32"/>
      <c r="F155" s="31"/>
      <c r="G155" s="41"/>
      <c r="H155" s="56">
        <v>2.5</v>
      </c>
      <c r="I155" s="43" t="str">
        <f t="shared" si="18"/>
        <v/>
      </c>
      <c r="J155" s="43" t="str">
        <f t="shared" si="19"/>
        <v/>
      </c>
      <c r="K155" s="33" t="str">
        <f>IF(B155="","Pending",IF(M155="","⚠️ Enter Code",IF(IFERROR(VLOOKUP(L155,DB_Agents!$B:$F,4,0),"")=TEXT(M155,"0"),"Pending Approval","🔒 WRONG CODE")))</f>
        <v>Pending</v>
      </c>
      <c r="L155" s="30" t="s">
        <v>54</v>
      </c>
      <c r="M155" s="41"/>
      <c r="N155" s="22"/>
    </row>
    <row r="156" spans="1:14" ht="20.100000000000001" customHeight="1" x14ac:dyDescent="0.25">
      <c r="A156" s="30" t="str">
        <f t="shared" si="16"/>
        <v/>
      </c>
      <c r="B156" s="41"/>
      <c r="C156" s="35" t="str">
        <f>IF(B156="","",IFERROR(VLOOKUP(B156,DB_Customers!$A:$B,2,0),"❌ Account Not Found"))</f>
        <v/>
      </c>
      <c r="D156" s="42" t="str">
        <f t="shared" ca="1" si="17"/>
        <v/>
      </c>
      <c r="E156" s="32"/>
      <c r="F156" s="31"/>
      <c r="G156" s="41"/>
      <c r="H156" s="56">
        <v>2.5</v>
      </c>
      <c r="I156" s="43" t="str">
        <f t="shared" si="18"/>
        <v/>
      </c>
      <c r="J156" s="43" t="str">
        <f t="shared" si="19"/>
        <v/>
      </c>
      <c r="K156" s="33" t="str">
        <f>IF(B156="","Pending",IF(M156="","⚠️ Enter Code",IF(IFERROR(VLOOKUP(L156,DB_Agents!$B:$F,4,0),"")=TEXT(M156,"0"),"Pending Approval","🔒 WRONG CODE")))</f>
        <v>Pending</v>
      </c>
      <c r="L156" s="30" t="s">
        <v>54</v>
      </c>
      <c r="M156" s="41"/>
      <c r="N156" s="57"/>
    </row>
    <row r="157" spans="1:14" ht="20.100000000000001" customHeight="1" x14ac:dyDescent="0.25">
      <c r="A157" s="30" t="str">
        <f t="shared" si="16"/>
        <v/>
      </c>
      <c r="B157" s="41"/>
      <c r="C157" s="35" t="str">
        <f>IF(B157="","",IFERROR(VLOOKUP(B157,DB_Customers!$A:$B,2,0),"❌ Account Not Found"))</f>
        <v/>
      </c>
      <c r="D157" s="42" t="str">
        <f t="shared" ca="1" si="17"/>
        <v/>
      </c>
      <c r="E157" s="32"/>
      <c r="F157" s="31"/>
      <c r="G157" s="41"/>
      <c r="H157" s="56">
        <v>2.5</v>
      </c>
      <c r="I157" s="43" t="str">
        <f t="shared" si="18"/>
        <v/>
      </c>
      <c r="J157" s="43" t="str">
        <f t="shared" si="19"/>
        <v/>
      </c>
      <c r="K157" s="33" t="str">
        <f>IF(B157="","Pending",IF(M157="","⚠️ Enter Code",IF(IFERROR(VLOOKUP(L157,DB_Agents!$B:$F,4,0),"")=TEXT(M157,"0"),"Pending Approval","🔒 WRONG CODE")))</f>
        <v>Pending</v>
      </c>
      <c r="L157" s="30" t="s">
        <v>54</v>
      </c>
      <c r="M157" s="41"/>
      <c r="N157" s="22"/>
    </row>
    <row r="158" spans="1:14" ht="20.100000000000001" customHeight="1" x14ac:dyDescent="0.25">
      <c r="A158" s="30" t="str">
        <f t="shared" si="16"/>
        <v/>
      </c>
      <c r="B158" s="41"/>
      <c r="C158" s="35" t="str">
        <f>IF(B158="","",IFERROR(VLOOKUP(B158,DB_Customers!$A:$B,2,0),"❌ Account Not Found"))</f>
        <v/>
      </c>
      <c r="D158" s="42" t="str">
        <f t="shared" ca="1" si="17"/>
        <v/>
      </c>
      <c r="E158" s="32"/>
      <c r="F158" s="31"/>
      <c r="G158" s="41"/>
      <c r="H158" s="56">
        <v>2.5</v>
      </c>
      <c r="I158" s="43" t="str">
        <f t="shared" si="18"/>
        <v/>
      </c>
      <c r="J158" s="43" t="str">
        <f t="shared" si="19"/>
        <v/>
      </c>
      <c r="K158" s="33" t="str">
        <f>IF(B158="","Pending",IF(M158="","⚠️ Enter Code",IF(IFERROR(VLOOKUP(L158,DB_Agents!$B:$F,4,0),"")=TEXT(M158,"0"),"Pending Approval","🔒 WRONG CODE")))</f>
        <v>Pending</v>
      </c>
      <c r="L158" s="30" t="s">
        <v>54</v>
      </c>
      <c r="M158" s="41"/>
      <c r="N158" s="57"/>
    </row>
    <row r="159" spans="1:14" ht="20.100000000000001" customHeight="1" x14ac:dyDescent="0.25">
      <c r="A159" s="30" t="str">
        <f t="shared" si="16"/>
        <v/>
      </c>
      <c r="B159" s="41"/>
      <c r="C159" s="35" t="str">
        <f>IF(B159="","",IFERROR(VLOOKUP(B159,DB_Customers!$A:$B,2,0),"❌ Account Not Found"))</f>
        <v/>
      </c>
      <c r="D159" s="42" t="str">
        <f t="shared" ca="1" si="17"/>
        <v/>
      </c>
      <c r="E159" s="32"/>
      <c r="F159" s="31"/>
      <c r="G159" s="41"/>
      <c r="H159" s="56">
        <v>2.5</v>
      </c>
      <c r="I159" s="43" t="str">
        <f t="shared" si="18"/>
        <v/>
      </c>
      <c r="J159" s="43" t="str">
        <f t="shared" si="19"/>
        <v/>
      </c>
      <c r="K159" s="33" t="str">
        <f>IF(B159="","Pending",IF(M159="","⚠️ Enter Code",IF(IFERROR(VLOOKUP(L159,DB_Agents!$B:$F,4,0),"")=TEXT(M159,"0"),"Pending Approval","🔒 WRONG CODE")))</f>
        <v>Pending</v>
      </c>
      <c r="L159" s="30" t="s">
        <v>54</v>
      </c>
      <c r="M159" s="41"/>
      <c r="N159" s="22"/>
    </row>
    <row r="160" spans="1:14" ht="20.100000000000001" customHeight="1" x14ac:dyDescent="0.25">
      <c r="A160" s="30" t="str">
        <f t="shared" si="16"/>
        <v/>
      </c>
      <c r="B160" s="41"/>
      <c r="C160" s="35" t="str">
        <f>IF(B160="","",IFERROR(VLOOKUP(B160,DB_Customers!$A:$B,2,0),"❌ Account Not Found"))</f>
        <v/>
      </c>
      <c r="D160" s="42" t="str">
        <f t="shared" ca="1" si="17"/>
        <v/>
      </c>
      <c r="E160" s="32"/>
      <c r="F160" s="31"/>
      <c r="G160" s="41"/>
      <c r="H160" s="56">
        <v>2.5</v>
      </c>
      <c r="I160" s="43" t="str">
        <f t="shared" si="18"/>
        <v/>
      </c>
      <c r="J160" s="43" t="str">
        <f t="shared" si="19"/>
        <v/>
      </c>
      <c r="K160" s="33" t="str">
        <f>IF(B160="","Pending",IF(M160="","⚠️ Enter Code",IF(IFERROR(VLOOKUP(L160,DB_Agents!$B:$F,4,0),"")=TEXT(M160,"0"),"Pending Approval","🔒 WRONG CODE")))</f>
        <v>Pending</v>
      </c>
      <c r="L160" s="30" t="s">
        <v>54</v>
      </c>
      <c r="M160" s="41"/>
      <c r="N160" s="57"/>
    </row>
    <row r="161" spans="1:14" ht="20.100000000000001" customHeight="1" x14ac:dyDescent="0.25">
      <c r="A161" s="30" t="str">
        <f t="shared" si="16"/>
        <v/>
      </c>
      <c r="B161" s="41"/>
      <c r="C161" s="35" t="str">
        <f>IF(B161="","",IFERROR(VLOOKUP(B161,DB_Customers!$A:$B,2,0),"❌ Account Not Found"))</f>
        <v/>
      </c>
      <c r="D161" s="42" t="str">
        <f t="shared" ca="1" si="17"/>
        <v/>
      </c>
      <c r="E161" s="32"/>
      <c r="F161" s="31"/>
      <c r="G161" s="41"/>
      <c r="H161" s="56">
        <v>2.5</v>
      </c>
      <c r="I161" s="43" t="str">
        <f t="shared" si="18"/>
        <v/>
      </c>
      <c r="J161" s="43" t="str">
        <f t="shared" si="19"/>
        <v/>
      </c>
      <c r="K161" s="33" t="str">
        <f>IF(B161="","Pending",IF(M161="","⚠️ Enter Code",IF(IFERROR(VLOOKUP(L161,DB_Agents!$B:$F,4,0),"")=TEXT(M161,"0"),"Pending Approval","🔒 WRONG CODE")))</f>
        <v>Pending</v>
      </c>
      <c r="L161" s="30" t="s">
        <v>54</v>
      </c>
      <c r="M161" s="41"/>
      <c r="N161" s="22"/>
    </row>
    <row r="162" spans="1:14" ht="20.100000000000001" customHeight="1" x14ac:dyDescent="0.25">
      <c r="A162" s="30" t="str">
        <f t="shared" si="16"/>
        <v/>
      </c>
      <c r="B162" s="41"/>
      <c r="C162" s="35" t="str">
        <f>IF(B162="","",IFERROR(VLOOKUP(B162,DB_Customers!$A:$B,2,0),"❌ Account Not Found"))</f>
        <v/>
      </c>
      <c r="D162" s="42" t="str">
        <f t="shared" ca="1" si="17"/>
        <v/>
      </c>
      <c r="E162" s="32"/>
      <c r="F162" s="31"/>
      <c r="G162" s="41"/>
      <c r="H162" s="56">
        <v>2.5</v>
      </c>
      <c r="I162" s="43" t="str">
        <f t="shared" si="18"/>
        <v/>
      </c>
      <c r="J162" s="43" t="str">
        <f t="shared" si="19"/>
        <v/>
      </c>
      <c r="K162" s="33" t="str">
        <f>IF(B162="","Pending",IF(M162="","⚠️ Enter Code",IF(IFERROR(VLOOKUP(L162,DB_Agents!$B:$F,4,0),"")=TEXT(M162,"0"),"Pending Approval","🔒 WRONG CODE")))</f>
        <v>Pending</v>
      </c>
      <c r="L162" s="30" t="s">
        <v>54</v>
      </c>
      <c r="M162" s="41"/>
      <c r="N162" s="57"/>
    </row>
    <row r="163" spans="1:14" ht="20.100000000000001" customHeight="1" x14ac:dyDescent="0.25">
      <c r="A163" s="30" t="str">
        <f t="shared" si="16"/>
        <v/>
      </c>
      <c r="B163" s="41"/>
      <c r="C163" s="35" t="str">
        <f>IF(B163="","",IFERROR(VLOOKUP(B163,DB_Customers!$A:$B,2,0),"❌ Account Not Found"))</f>
        <v/>
      </c>
      <c r="D163" s="42" t="str">
        <f t="shared" ca="1" si="17"/>
        <v/>
      </c>
      <c r="E163" s="32"/>
      <c r="F163" s="31"/>
      <c r="G163" s="41"/>
      <c r="H163" s="56">
        <v>2.5</v>
      </c>
      <c r="I163" s="43" t="str">
        <f t="shared" si="18"/>
        <v/>
      </c>
      <c r="J163" s="43" t="str">
        <f t="shared" si="19"/>
        <v/>
      </c>
      <c r="K163" s="33" t="str">
        <f>IF(B163="","Pending",IF(M163="","⚠️ Enter Code",IF(IFERROR(VLOOKUP(L163,DB_Agents!$B:$F,4,0),"")=TEXT(M163,"0"),"Pending Approval","🔒 WRONG CODE")))</f>
        <v>Pending</v>
      </c>
      <c r="L163" s="30" t="s">
        <v>54</v>
      </c>
      <c r="M163" s="41"/>
      <c r="N163" s="22"/>
    </row>
    <row r="164" spans="1:14" ht="20.100000000000001" customHeight="1" x14ac:dyDescent="0.25">
      <c r="A164" s="30" t="str">
        <f t="shared" si="16"/>
        <v/>
      </c>
      <c r="B164" s="41"/>
      <c r="C164" s="35" t="str">
        <f>IF(B164="","",IFERROR(VLOOKUP(B164,DB_Customers!$A:$B,2,0),"❌ Account Not Found"))</f>
        <v/>
      </c>
      <c r="D164" s="42" t="str">
        <f t="shared" ca="1" si="17"/>
        <v/>
      </c>
      <c r="E164" s="32"/>
      <c r="F164" s="31"/>
      <c r="G164" s="41"/>
      <c r="H164" s="56">
        <v>2.5</v>
      </c>
      <c r="I164" s="43" t="str">
        <f t="shared" si="18"/>
        <v/>
      </c>
      <c r="J164" s="43" t="str">
        <f t="shared" si="19"/>
        <v/>
      </c>
      <c r="K164" s="33" t="str">
        <f>IF(B164="","Pending",IF(M164="","⚠️ Enter Code",IF(IFERROR(VLOOKUP(L164,DB_Agents!$B:$F,4,0),"")=TEXT(M164,"0"),"Pending Approval","🔒 WRONG CODE")))</f>
        <v>Pending</v>
      </c>
      <c r="L164" s="30" t="s">
        <v>54</v>
      </c>
      <c r="M164" s="41"/>
      <c r="N164" s="57"/>
    </row>
    <row r="165" spans="1:14" ht="20.100000000000001" customHeight="1" x14ac:dyDescent="0.25">
      <c r="A165" s="30" t="str">
        <f t="shared" si="16"/>
        <v/>
      </c>
      <c r="B165" s="41"/>
      <c r="C165" s="35" t="str">
        <f>IF(B165="","",IFERROR(VLOOKUP(B165,DB_Customers!$A:$B,2,0),"❌ Account Not Found"))</f>
        <v/>
      </c>
      <c r="D165" s="42" t="str">
        <f t="shared" ca="1" si="17"/>
        <v/>
      </c>
      <c r="E165" s="32"/>
      <c r="F165" s="31"/>
      <c r="G165" s="41"/>
      <c r="H165" s="56">
        <v>2.5</v>
      </c>
      <c r="I165" s="43" t="str">
        <f t="shared" si="18"/>
        <v/>
      </c>
      <c r="J165" s="43" t="str">
        <f t="shared" si="19"/>
        <v/>
      </c>
      <c r="K165" s="33" t="str">
        <f>IF(B165="","Pending",IF(M165="","⚠️ Enter Code",IF(IFERROR(VLOOKUP(L165,DB_Agents!$B:$F,4,0),"")=TEXT(M165,"0"),"Pending Approval","🔒 WRONG CODE")))</f>
        <v>Pending</v>
      </c>
      <c r="L165" s="30" t="s">
        <v>54</v>
      </c>
      <c r="M165" s="41"/>
      <c r="N165" s="22"/>
    </row>
    <row r="166" spans="1:14" ht="20.100000000000001" customHeight="1" x14ac:dyDescent="0.25">
      <c r="A166" s="30" t="str">
        <f t="shared" si="16"/>
        <v/>
      </c>
      <c r="B166" s="41"/>
      <c r="C166" s="35" t="str">
        <f>IF(B166="","",IFERROR(VLOOKUP(B166,DB_Customers!$A:$B,2,0),"❌ Account Not Found"))</f>
        <v/>
      </c>
      <c r="D166" s="42" t="str">
        <f t="shared" ca="1" si="17"/>
        <v/>
      </c>
      <c r="E166" s="32"/>
      <c r="F166" s="31"/>
      <c r="G166" s="41"/>
      <c r="H166" s="56">
        <v>2.5</v>
      </c>
      <c r="I166" s="43" t="str">
        <f t="shared" si="18"/>
        <v/>
      </c>
      <c r="J166" s="43" t="str">
        <f t="shared" si="19"/>
        <v/>
      </c>
      <c r="K166" s="33" t="str">
        <f>IF(B166="","Pending",IF(M166="","⚠️ Enter Code",IF(IFERROR(VLOOKUP(L166,DB_Agents!$B:$F,4,0),"")=TEXT(M166,"0"),"Pending Approval","🔒 WRONG CODE")))</f>
        <v>Pending</v>
      </c>
      <c r="L166" s="30" t="s">
        <v>54</v>
      </c>
      <c r="M166" s="41"/>
      <c r="N166" s="57"/>
    </row>
    <row r="167" spans="1:14" ht="20.100000000000001" customHeight="1" x14ac:dyDescent="0.25">
      <c r="A167" s="30" t="str">
        <f t="shared" si="16"/>
        <v/>
      </c>
      <c r="B167" s="41"/>
      <c r="C167" s="35" t="str">
        <f>IF(B167="","",IFERROR(VLOOKUP(B167,DB_Customers!$A:$B,2,0),"❌ Account Not Found"))</f>
        <v/>
      </c>
      <c r="D167" s="42" t="str">
        <f t="shared" ca="1" si="17"/>
        <v/>
      </c>
      <c r="E167" s="32"/>
      <c r="F167" s="31"/>
      <c r="G167" s="41"/>
      <c r="H167" s="56">
        <v>2.5</v>
      </c>
      <c r="I167" s="43" t="str">
        <f t="shared" si="18"/>
        <v/>
      </c>
      <c r="J167" s="43" t="str">
        <f t="shared" si="19"/>
        <v/>
      </c>
      <c r="K167" s="33" t="str">
        <f>IF(B167="","Pending",IF(M167="","⚠️ Enter Code",IF(IFERROR(VLOOKUP(L167,DB_Agents!$B:$F,4,0),"")=TEXT(M167,"0"),"Pending Approval","🔒 WRONG CODE")))</f>
        <v>Pending</v>
      </c>
      <c r="L167" s="30" t="s">
        <v>54</v>
      </c>
      <c r="M167" s="41"/>
      <c r="N167" s="22"/>
    </row>
    <row r="168" spans="1:14" ht="20.100000000000001" customHeight="1" x14ac:dyDescent="0.25">
      <c r="A168" s="30" t="str">
        <f t="shared" si="16"/>
        <v/>
      </c>
      <c r="B168" s="41"/>
      <c r="C168" s="35" t="str">
        <f>IF(B168="","",IFERROR(VLOOKUP(B168,DB_Customers!$A:$B,2,0),"❌ Account Not Found"))</f>
        <v/>
      </c>
      <c r="D168" s="42" t="str">
        <f t="shared" ca="1" si="17"/>
        <v/>
      </c>
      <c r="E168" s="32"/>
      <c r="F168" s="31"/>
      <c r="G168" s="41"/>
      <c r="H168" s="56">
        <v>2.5</v>
      </c>
      <c r="I168" s="43" t="str">
        <f t="shared" si="18"/>
        <v/>
      </c>
      <c r="J168" s="43" t="str">
        <f t="shared" si="19"/>
        <v/>
      </c>
      <c r="K168" s="33" t="str">
        <f>IF(B168="","Pending",IF(M168="","⚠️ Enter Code",IF(IFERROR(VLOOKUP(L168,DB_Agents!$B:$F,4,0),"")=TEXT(M168,"0"),"Pending Approval","🔒 WRONG CODE")))</f>
        <v>Pending</v>
      </c>
      <c r="L168" s="30" t="s">
        <v>54</v>
      </c>
      <c r="M168" s="41"/>
      <c r="N168" s="57"/>
    </row>
    <row r="169" spans="1:14" ht="20.100000000000001" customHeight="1" x14ac:dyDescent="0.25">
      <c r="A169" s="30" t="str">
        <f t="shared" si="16"/>
        <v/>
      </c>
      <c r="B169" s="41"/>
      <c r="C169" s="35" t="str">
        <f>IF(B169="","",IFERROR(VLOOKUP(B169,DB_Customers!$A:$B,2,0),"❌ Account Not Found"))</f>
        <v/>
      </c>
      <c r="D169" s="42" t="str">
        <f t="shared" ca="1" si="17"/>
        <v/>
      </c>
      <c r="E169" s="32"/>
      <c r="F169" s="31"/>
      <c r="G169" s="41"/>
      <c r="H169" s="56">
        <v>2.5</v>
      </c>
      <c r="I169" s="43" t="str">
        <f t="shared" si="18"/>
        <v/>
      </c>
      <c r="J169" s="43" t="str">
        <f t="shared" si="19"/>
        <v/>
      </c>
      <c r="K169" s="33" t="str">
        <f>IF(B169="","Pending",IF(M169="","⚠️ Enter Code",IF(IFERROR(VLOOKUP(L169,DB_Agents!$B:$F,4,0),"")=TEXT(M169,"0"),"Pending Approval","🔒 WRONG CODE")))</f>
        <v>Pending</v>
      </c>
      <c r="L169" s="30" t="s">
        <v>54</v>
      </c>
      <c r="M169" s="41"/>
      <c r="N169" s="22"/>
    </row>
    <row r="170" spans="1:14" ht="20.100000000000001" customHeight="1" x14ac:dyDescent="0.25">
      <c r="A170" s="30" t="str">
        <f t="shared" si="16"/>
        <v/>
      </c>
      <c r="B170" s="41"/>
      <c r="C170" s="35" t="str">
        <f>IF(B170="","",IFERROR(VLOOKUP(B170,DB_Customers!$A:$B,2,0),"❌ Account Not Found"))</f>
        <v/>
      </c>
      <c r="D170" s="42" t="str">
        <f t="shared" ca="1" si="17"/>
        <v/>
      </c>
      <c r="E170" s="32"/>
      <c r="F170" s="31"/>
      <c r="G170" s="41"/>
      <c r="H170" s="56">
        <v>2.5</v>
      </c>
      <c r="I170" s="43" t="str">
        <f t="shared" si="18"/>
        <v/>
      </c>
      <c r="J170" s="43" t="str">
        <f t="shared" si="19"/>
        <v/>
      </c>
      <c r="K170" s="33" t="str">
        <f>IF(B170="","Pending",IF(M170="","⚠️ Enter Code",IF(IFERROR(VLOOKUP(L170,DB_Agents!$B:$F,4,0),"")=TEXT(M170,"0"),"Pending Approval","🔒 WRONG CODE")))</f>
        <v>Pending</v>
      </c>
      <c r="L170" s="30" t="s">
        <v>54</v>
      </c>
      <c r="M170" s="41"/>
      <c r="N170" s="57"/>
    </row>
    <row r="171" spans="1:14" ht="20.100000000000001" customHeight="1" x14ac:dyDescent="0.25">
      <c r="A171" s="30" t="str">
        <f t="shared" si="16"/>
        <v/>
      </c>
      <c r="B171" s="41"/>
      <c r="C171" s="35" t="str">
        <f>IF(B171="","",IFERROR(VLOOKUP(B171,DB_Customers!$A:$B,2,0),"❌ Account Not Found"))</f>
        <v/>
      </c>
      <c r="D171" s="42" t="str">
        <f t="shared" ca="1" si="17"/>
        <v/>
      </c>
      <c r="E171" s="32"/>
      <c r="F171" s="31"/>
      <c r="G171" s="41"/>
      <c r="H171" s="56">
        <v>2.5</v>
      </c>
      <c r="I171" s="43" t="str">
        <f t="shared" si="18"/>
        <v/>
      </c>
      <c r="J171" s="43" t="str">
        <f t="shared" si="19"/>
        <v/>
      </c>
      <c r="K171" s="33" t="str">
        <f>IF(B171="","Pending",IF(M171="","⚠️ Enter Code",IF(IFERROR(VLOOKUP(L171,DB_Agents!$B:$F,4,0),"")=TEXT(M171,"0"),"Pending Approval","🔒 WRONG CODE")))</f>
        <v>Pending</v>
      </c>
      <c r="L171" s="30" t="s">
        <v>54</v>
      </c>
      <c r="M171" s="41"/>
      <c r="N171" s="22"/>
    </row>
    <row r="172" spans="1:14" ht="20.100000000000001" customHeight="1" x14ac:dyDescent="0.25">
      <c r="A172" s="30" t="str">
        <f t="shared" si="16"/>
        <v/>
      </c>
      <c r="B172" s="41"/>
      <c r="C172" s="35" t="str">
        <f>IF(B172="","",IFERROR(VLOOKUP(B172,DB_Customers!$A:$B,2,0),"❌ Account Not Found"))</f>
        <v/>
      </c>
      <c r="D172" s="42" t="str">
        <f t="shared" ca="1" si="17"/>
        <v/>
      </c>
      <c r="E172" s="32"/>
      <c r="F172" s="31"/>
      <c r="G172" s="41"/>
      <c r="H172" s="56">
        <v>2.5</v>
      </c>
      <c r="I172" s="43" t="str">
        <f t="shared" si="18"/>
        <v/>
      </c>
      <c r="J172" s="43" t="str">
        <f t="shared" si="19"/>
        <v/>
      </c>
      <c r="K172" s="33" t="str">
        <f>IF(B172="","Pending",IF(M172="","⚠️ Enter Code",IF(IFERROR(VLOOKUP(L172,DB_Agents!$B:$F,4,0),"")=TEXT(M172,"0"),"Pending Approval","🔒 WRONG CODE")))</f>
        <v>Pending</v>
      </c>
      <c r="L172" s="30" t="s">
        <v>54</v>
      </c>
      <c r="M172" s="41"/>
      <c r="N172" s="57"/>
    </row>
    <row r="173" spans="1:14" ht="20.100000000000001" customHeight="1" x14ac:dyDescent="0.25">
      <c r="A173" s="30" t="str">
        <f t="shared" si="16"/>
        <v/>
      </c>
      <c r="B173" s="41"/>
      <c r="C173" s="35" t="str">
        <f>IF(B173="","",IFERROR(VLOOKUP(B173,DB_Customers!$A:$B,2,0),"❌ Account Not Found"))</f>
        <v/>
      </c>
      <c r="D173" s="42" t="str">
        <f t="shared" ca="1" si="17"/>
        <v/>
      </c>
      <c r="E173" s="32"/>
      <c r="F173" s="31"/>
      <c r="G173" s="41"/>
      <c r="H173" s="56">
        <v>2.5</v>
      </c>
      <c r="I173" s="43" t="str">
        <f t="shared" si="18"/>
        <v/>
      </c>
      <c r="J173" s="43" t="str">
        <f t="shared" si="19"/>
        <v/>
      </c>
      <c r="K173" s="33" t="str">
        <f>IF(B173="","Pending",IF(M173="","⚠️ Enter Code",IF(IFERROR(VLOOKUP(L173,DB_Agents!$B:$F,4,0),"")=TEXT(M173,"0"),"Pending Approval","🔒 WRONG CODE")))</f>
        <v>Pending</v>
      </c>
      <c r="L173" s="30" t="s">
        <v>54</v>
      </c>
      <c r="M173" s="41"/>
      <c r="N173" s="22"/>
    </row>
    <row r="174" spans="1:14" ht="20.100000000000001" customHeight="1" x14ac:dyDescent="0.25">
      <c r="A174" s="30" t="str">
        <f t="shared" ref="A174:A205" si="20">IF(B174="","",IF(C174="❌ Account Not Found","INVALID","LN"&amp;TEXT(D174,"YYYYMMDD")&amp;TEXT(ROW()-13,"0000")))</f>
        <v/>
      </c>
      <c r="B174" s="41"/>
      <c r="C174" s="35" t="str">
        <f>IF(B174="","",IFERROR(VLOOKUP(B174,DB_Customers!$A:$B,2,0),"❌ Account Not Found"))</f>
        <v/>
      </c>
      <c r="D174" s="42" t="str">
        <f t="shared" ref="D174:D205" ca="1" si="21">IF(B174="","",TODAY())</f>
        <v/>
      </c>
      <c r="E174" s="32"/>
      <c r="F174" s="31"/>
      <c r="G174" s="41"/>
      <c r="H174" s="56">
        <v>2.5</v>
      </c>
      <c r="I174" s="43" t="str">
        <f t="shared" ref="I174:I205" si="22">IF(E174="","",E174+(E174*H174/100*G174))</f>
        <v/>
      </c>
      <c r="J174" s="43" t="str">
        <f t="shared" ref="J174:J205" si="23">IFERROR(I174/G174,"")</f>
        <v/>
      </c>
      <c r="K174" s="33" t="str">
        <f>IF(B174="","Pending",IF(M174="","⚠️ Enter Code",IF(IFERROR(VLOOKUP(L174,DB_Agents!$B:$F,4,0),"")=TEXT(M174,"0"),"Pending Approval","🔒 WRONG CODE")))</f>
        <v>Pending</v>
      </c>
      <c r="L174" s="30" t="s">
        <v>54</v>
      </c>
      <c r="M174" s="41"/>
      <c r="N174" s="57"/>
    </row>
    <row r="175" spans="1:14" ht="20.100000000000001" customHeight="1" x14ac:dyDescent="0.25">
      <c r="A175" s="30" t="str">
        <f t="shared" si="20"/>
        <v/>
      </c>
      <c r="B175" s="41"/>
      <c r="C175" s="35" t="str">
        <f>IF(B175="","",IFERROR(VLOOKUP(B175,DB_Customers!$A:$B,2,0),"❌ Account Not Found"))</f>
        <v/>
      </c>
      <c r="D175" s="42" t="str">
        <f t="shared" ca="1" si="21"/>
        <v/>
      </c>
      <c r="E175" s="32"/>
      <c r="F175" s="31"/>
      <c r="G175" s="41"/>
      <c r="H175" s="56">
        <v>2.5</v>
      </c>
      <c r="I175" s="43" t="str">
        <f t="shared" si="22"/>
        <v/>
      </c>
      <c r="J175" s="43" t="str">
        <f t="shared" si="23"/>
        <v/>
      </c>
      <c r="K175" s="33" t="str">
        <f>IF(B175="","Pending",IF(M175="","⚠️ Enter Code",IF(IFERROR(VLOOKUP(L175,DB_Agents!$B:$F,4,0),"")=TEXT(M175,"0"),"Pending Approval","🔒 WRONG CODE")))</f>
        <v>Pending</v>
      </c>
      <c r="L175" s="30" t="s">
        <v>54</v>
      </c>
      <c r="M175" s="41"/>
      <c r="N175" s="22"/>
    </row>
    <row r="176" spans="1:14" ht="20.100000000000001" customHeight="1" x14ac:dyDescent="0.25">
      <c r="A176" s="30" t="str">
        <f t="shared" si="20"/>
        <v/>
      </c>
      <c r="B176" s="41"/>
      <c r="C176" s="35" t="str">
        <f>IF(B176="","",IFERROR(VLOOKUP(B176,DB_Customers!$A:$B,2,0),"❌ Account Not Found"))</f>
        <v/>
      </c>
      <c r="D176" s="42" t="str">
        <f t="shared" ca="1" si="21"/>
        <v/>
      </c>
      <c r="E176" s="32"/>
      <c r="F176" s="31"/>
      <c r="G176" s="41"/>
      <c r="H176" s="56">
        <v>2.5</v>
      </c>
      <c r="I176" s="43" t="str">
        <f t="shared" si="22"/>
        <v/>
      </c>
      <c r="J176" s="43" t="str">
        <f t="shared" si="23"/>
        <v/>
      </c>
      <c r="K176" s="33" t="str">
        <f>IF(B176="","Pending",IF(M176="","⚠️ Enter Code",IF(IFERROR(VLOOKUP(L176,DB_Agents!$B:$F,4,0),"")=TEXT(M176,"0"),"Pending Approval","🔒 WRONG CODE")))</f>
        <v>Pending</v>
      </c>
      <c r="L176" s="30" t="s">
        <v>54</v>
      </c>
      <c r="M176" s="41"/>
      <c r="N176" s="57"/>
    </row>
    <row r="177" spans="1:14" ht="20.100000000000001" customHeight="1" x14ac:dyDescent="0.25">
      <c r="A177" s="30" t="str">
        <f t="shared" si="20"/>
        <v/>
      </c>
      <c r="B177" s="41"/>
      <c r="C177" s="35" t="str">
        <f>IF(B177="","",IFERROR(VLOOKUP(B177,DB_Customers!$A:$B,2,0),"❌ Account Not Found"))</f>
        <v/>
      </c>
      <c r="D177" s="42" t="str">
        <f t="shared" ca="1" si="21"/>
        <v/>
      </c>
      <c r="E177" s="32"/>
      <c r="F177" s="31"/>
      <c r="G177" s="41"/>
      <c r="H177" s="56">
        <v>2.5</v>
      </c>
      <c r="I177" s="43" t="str">
        <f t="shared" si="22"/>
        <v/>
      </c>
      <c r="J177" s="43" t="str">
        <f t="shared" si="23"/>
        <v/>
      </c>
      <c r="K177" s="33" t="str">
        <f>IF(B177="","Pending",IF(M177="","⚠️ Enter Code",IF(IFERROR(VLOOKUP(L177,DB_Agents!$B:$F,4,0),"")=TEXT(M177,"0"),"Pending Approval","🔒 WRONG CODE")))</f>
        <v>Pending</v>
      </c>
      <c r="L177" s="30" t="s">
        <v>54</v>
      </c>
      <c r="M177" s="41"/>
      <c r="N177" s="22"/>
    </row>
    <row r="178" spans="1:14" ht="20.100000000000001" customHeight="1" x14ac:dyDescent="0.25">
      <c r="A178" s="30" t="str">
        <f t="shared" si="20"/>
        <v/>
      </c>
      <c r="B178" s="41"/>
      <c r="C178" s="35" t="str">
        <f>IF(B178="","",IFERROR(VLOOKUP(B178,DB_Customers!$A:$B,2,0),"❌ Account Not Found"))</f>
        <v/>
      </c>
      <c r="D178" s="42" t="str">
        <f t="shared" ca="1" si="21"/>
        <v/>
      </c>
      <c r="E178" s="32"/>
      <c r="F178" s="31"/>
      <c r="G178" s="41"/>
      <c r="H178" s="56">
        <v>2.5</v>
      </c>
      <c r="I178" s="43" t="str">
        <f t="shared" si="22"/>
        <v/>
      </c>
      <c r="J178" s="43" t="str">
        <f t="shared" si="23"/>
        <v/>
      </c>
      <c r="K178" s="33" t="str">
        <f>IF(B178="","Pending",IF(M178="","⚠️ Enter Code",IF(IFERROR(VLOOKUP(L178,DB_Agents!$B:$F,4,0),"")=TEXT(M178,"0"),"Pending Approval","🔒 WRONG CODE")))</f>
        <v>Pending</v>
      </c>
      <c r="L178" s="30" t="s">
        <v>54</v>
      </c>
      <c r="M178" s="41"/>
      <c r="N178" s="57"/>
    </row>
    <row r="179" spans="1:14" ht="20.100000000000001" customHeight="1" x14ac:dyDescent="0.25">
      <c r="A179" s="30" t="str">
        <f t="shared" si="20"/>
        <v/>
      </c>
      <c r="B179" s="41"/>
      <c r="C179" s="35" t="str">
        <f>IF(B179="","",IFERROR(VLOOKUP(B179,DB_Customers!$A:$B,2,0),"❌ Account Not Found"))</f>
        <v/>
      </c>
      <c r="D179" s="42" t="str">
        <f t="shared" ca="1" si="21"/>
        <v/>
      </c>
      <c r="E179" s="32"/>
      <c r="F179" s="31"/>
      <c r="G179" s="41"/>
      <c r="H179" s="56">
        <v>2.5</v>
      </c>
      <c r="I179" s="43" t="str">
        <f t="shared" si="22"/>
        <v/>
      </c>
      <c r="J179" s="43" t="str">
        <f t="shared" si="23"/>
        <v/>
      </c>
      <c r="K179" s="33" t="str">
        <f>IF(B179="","Pending",IF(M179="","⚠️ Enter Code",IF(IFERROR(VLOOKUP(L179,DB_Agents!$B:$F,4,0),"")=TEXT(M179,"0"),"Pending Approval","🔒 WRONG CODE")))</f>
        <v>Pending</v>
      </c>
      <c r="L179" s="30" t="s">
        <v>54</v>
      </c>
      <c r="M179" s="41"/>
      <c r="N179" s="22"/>
    </row>
    <row r="180" spans="1:14" ht="20.100000000000001" customHeight="1" x14ac:dyDescent="0.25">
      <c r="A180" s="30" t="str">
        <f t="shared" si="20"/>
        <v/>
      </c>
      <c r="B180" s="41"/>
      <c r="C180" s="35" t="str">
        <f>IF(B180="","",IFERROR(VLOOKUP(B180,DB_Customers!$A:$B,2,0),"❌ Account Not Found"))</f>
        <v/>
      </c>
      <c r="D180" s="42" t="str">
        <f t="shared" ca="1" si="21"/>
        <v/>
      </c>
      <c r="E180" s="32"/>
      <c r="F180" s="31"/>
      <c r="G180" s="41"/>
      <c r="H180" s="56">
        <v>2.5</v>
      </c>
      <c r="I180" s="43" t="str">
        <f t="shared" si="22"/>
        <v/>
      </c>
      <c r="J180" s="43" t="str">
        <f t="shared" si="23"/>
        <v/>
      </c>
      <c r="K180" s="33" t="str">
        <f>IF(B180="","Pending",IF(M180="","⚠️ Enter Code",IF(IFERROR(VLOOKUP(L180,DB_Agents!$B:$F,4,0),"")=TEXT(M180,"0"),"Pending Approval","🔒 WRONG CODE")))</f>
        <v>Pending</v>
      </c>
      <c r="L180" s="30" t="s">
        <v>54</v>
      </c>
      <c r="M180" s="41"/>
      <c r="N180" s="57"/>
    </row>
    <row r="181" spans="1:14" ht="20.100000000000001" customHeight="1" x14ac:dyDescent="0.25">
      <c r="A181" s="30" t="str">
        <f t="shared" si="20"/>
        <v/>
      </c>
      <c r="B181" s="41"/>
      <c r="C181" s="35" t="str">
        <f>IF(B181="","",IFERROR(VLOOKUP(B181,DB_Customers!$A:$B,2,0),"❌ Account Not Found"))</f>
        <v/>
      </c>
      <c r="D181" s="42" t="str">
        <f t="shared" ca="1" si="21"/>
        <v/>
      </c>
      <c r="E181" s="32"/>
      <c r="F181" s="31"/>
      <c r="G181" s="41"/>
      <c r="H181" s="56">
        <v>2.5</v>
      </c>
      <c r="I181" s="43" t="str">
        <f t="shared" si="22"/>
        <v/>
      </c>
      <c r="J181" s="43" t="str">
        <f t="shared" si="23"/>
        <v/>
      </c>
      <c r="K181" s="33" t="str">
        <f>IF(B181="","Pending",IF(M181="","⚠️ Enter Code",IF(IFERROR(VLOOKUP(L181,DB_Agents!$B:$F,4,0),"")=TEXT(M181,"0"),"Pending Approval","🔒 WRONG CODE")))</f>
        <v>Pending</v>
      </c>
      <c r="L181" s="30" t="s">
        <v>54</v>
      </c>
      <c r="M181" s="41"/>
      <c r="N181" s="22"/>
    </row>
    <row r="182" spans="1:14" ht="20.100000000000001" customHeight="1" x14ac:dyDescent="0.25">
      <c r="A182" s="30" t="str">
        <f t="shared" si="20"/>
        <v/>
      </c>
      <c r="B182" s="41"/>
      <c r="C182" s="35" t="str">
        <f>IF(B182="","",IFERROR(VLOOKUP(B182,DB_Customers!$A:$B,2,0),"❌ Account Not Found"))</f>
        <v/>
      </c>
      <c r="D182" s="42" t="str">
        <f t="shared" ca="1" si="21"/>
        <v/>
      </c>
      <c r="E182" s="32"/>
      <c r="F182" s="31"/>
      <c r="G182" s="41"/>
      <c r="H182" s="56">
        <v>2.5</v>
      </c>
      <c r="I182" s="43" t="str">
        <f t="shared" si="22"/>
        <v/>
      </c>
      <c r="J182" s="43" t="str">
        <f t="shared" si="23"/>
        <v/>
      </c>
      <c r="K182" s="33" t="str">
        <f>IF(B182="","Pending",IF(M182="","⚠️ Enter Code",IF(IFERROR(VLOOKUP(L182,DB_Agents!$B:$F,4,0),"")=TEXT(M182,"0"),"Pending Approval","🔒 WRONG CODE")))</f>
        <v>Pending</v>
      </c>
      <c r="L182" s="30" t="s">
        <v>54</v>
      </c>
      <c r="M182" s="41"/>
      <c r="N182" s="57"/>
    </row>
    <row r="183" spans="1:14" ht="20.100000000000001" customHeight="1" x14ac:dyDescent="0.25">
      <c r="A183" s="30" t="str">
        <f t="shared" si="20"/>
        <v/>
      </c>
      <c r="B183" s="41"/>
      <c r="C183" s="35" t="str">
        <f>IF(B183="","",IFERROR(VLOOKUP(B183,DB_Customers!$A:$B,2,0),"❌ Account Not Found"))</f>
        <v/>
      </c>
      <c r="D183" s="42" t="str">
        <f t="shared" ca="1" si="21"/>
        <v/>
      </c>
      <c r="E183" s="32"/>
      <c r="F183" s="31"/>
      <c r="G183" s="41"/>
      <c r="H183" s="56">
        <v>2.5</v>
      </c>
      <c r="I183" s="43" t="str">
        <f t="shared" si="22"/>
        <v/>
      </c>
      <c r="J183" s="43" t="str">
        <f t="shared" si="23"/>
        <v/>
      </c>
      <c r="K183" s="33" t="str">
        <f>IF(B183="","Pending",IF(M183="","⚠️ Enter Code",IF(IFERROR(VLOOKUP(L183,DB_Agents!$B:$F,4,0),"")=TEXT(M183,"0"),"Pending Approval","🔒 WRONG CODE")))</f>
        <v>Pending</v>
      </c>
      <c r="L183" s="30" t="s">
        <v>54</v>
      </c>
      <c r="M183" s="41"/>
      <c r="N183" s="22"/>
    </row>
    <row r="184" spans="1:14" ht="20.100000000000001" customHeight="1" x14ac:dyDescent="0.25">
      <c r="A184" s="30" t="str">
        <f t="shared" si="20"/>
        <v/>
      </c>
      <c r="B184" s="41"/>
      <c r="C184" s="35" t="str">
        <f>IF(B184="","",IFERROR(VLOOKUP(B184,DB_Customers!$A:$B,2,0),"❌ Account Not Found"))</f>
        <v/>
      </c>
      <c r="D184" s="42" t="str">
        <f t="shared" ca="1" si="21"/>
        <v/>
      </c>
      <c r="E184" s="32"/>
      <c r="F184" s="31"/>
      <c r="G184" s="41"/>
      <c r="H184" s="56">
        <v>2.5</v>
      </c>
      <c r="I184" s="43" t="str">
        <f t="shared" si="22"/>
        <v/>
      </c>
      <c r="J184" s="43" t="str">
        <f t="shared" si="23"/>
        <v/>
      </c>
      <c r="K184" s="33" t="str">
        <f>IF(B184="","Pending",IF(M184="","⚠️ Enter Code",IF(IFERROR(VLOOKUP(L184,DB_Agents!$B:$F,4,0),"")=TEXT(M184,"0"),"Pending Approval","🔒 WRONG CODE")))</f>
        <v>Pending</v>
      </c>
      <c r="L184" s="30" t="s">
        <v>54</v>
      </c>
      <c r="M184" s="41"/>
      <c r="N184" s="57"/>
    </row>
    <row r="185" spans="1:14" ht="20.100000000000001" customHeight="1" x14ac:dyDescent="0.25">
      <c r="A185" s="30" t="str">
        <f t="shared" si="20"/>
        <v/>
      </c>
      <c r="B185" s="41"/>
      <c r="C185" s="35" t="str">
        <f>IF(B185="","",IFERROR(VLOOKUP(B185,DB_Customers!$A:$B,2,0),"❌ Account Not Found"))</f>
        <v/>
      </c>
      <c r="D185" s="42" t="str">
        <f t="shared" ca="1" si="21"/>
        <v/>
      </c>
      <c r="E185" s="32"/>
      <c r="F185" s="31"/>
      <c r="G185" s="41"/>
      <c r="H185" s="56">
        <v>2.5</v>
      </c>
      <c r="I185" s="43" t="str">
        <f t="shared" si="22"/>
        <v/>
      </c>
      <c r="J185" s="43" t="str">
        <f t="shared" si="23"/>
        <v/>
      </c>
      <c r="K185" s="33" t="str">
        <f>IF(B185="","Pending",IF(M185="","⚠️ Enter Code",IF(IFERROR(VLOOKUP(L185,DB_Agents!$B:$F,4,0),"")=TEXT(M185,"0"),"Pending Approval","🔒 WRONG CODE")))</f>
        <v>Pending</v>
      </c>
      <c r="L185" s="30" t="s">
        <v>54</v>
      </c>
      <c r="M185" s="41"/>
      <c r="N185" s="22"/>
    </row>
    <row r="186" spans="1:14" ht="20.100000000000001" customHeight="1" x14ac:dyDescent="0.25">
      <c r="A186" s="30" t="str">
        <f t="shared" si="20"/>
        <v/>
      </c>
      <c r="B186" s="41"/>
      <c r="C186" s="35" t="str">
        <f>IF(B186="","",IFERROR(VLOOKUP(B186,DB_Customers!$A:$B,2,0),"❌ Account Not Found"))</f>
        <v/>
      </c>
      <c r="D186" s="42" t="str">
        <f t="shared" ca="1" si="21"/>
        <v/>
      </c>
      <c r="E186" s="32"/>
      <c r="F186" s="31"/>
      <c r="G186" s="41"/>
      <c r="H186" s="56">
        <v>2.5</v>
      </c>
      <c r="I186" s="43" t="str">
        <f t="shared" si="22"/>
        <v/>
      </c>
      <c r="J186" s="43" t="str">
        <f t="shared" si="23"/>
        <v/>
      </c>
      <c r="K186" s="33" t="str">
        <f>IF(B186="","Pending",IF(M186="","⚠️ Enter Code",IF(IFERROR(VLOOKUP(L186,DB_Agents!$B:$F,4,0),"")=TEXT(M186,"0"),"Pending Approval","🔒 WRONG CODE")))</f>
        <v>Pending</v>
      </c>
      <c r="L186" s="30" t="s">
        <v>54</v>
      </c>
      <c r="M186" s="41"/>
      <c r="N186" s="57"/>
    </row>
    <row r="187" spans="1:14" ht="20.100000000000001" customHeight="1" x14ac:dyDescent="0.25">
      <c r="A187" s="30" t="str">
        <f t="shared" si="20"/>
        <v/>
      </c>
      <c r="B187" s="41"/>
      <c r="C187" s="35" t="str">
        <f>IF(B187="","",IFERROR(VLOOKUP(B187,DB_Customers!$A:$B,2,0),"❌ Account Not Found"))</f>
        <v/>
      </c>
      <c r="D187" s="42" t="str">
        <f t="shared" ca="1" si="21"/>
        <v/>
      </c>
      <c r="E187" s="32"/>
      <c r="F187" s="31"/>
      <c r="G187" s="41"/>
      <c r="H187" s="56">
        <v>2.5</v>
      </c>
      <c r="I187" s="43" t="str">
        <f t="shared" si="22"/>
        <v/>
      </c>
      <c r="J187" s="43" t="str">
        <f t="shared" si="23"/>
        <v/>
      </c>
      <c r="K187" s="33" t="str">
        <f>IF(B187="","Pending",IF(M187="","⚠️ Enter Code",IF(IFERROR(VLOOKUP(L187,DB_Agents!$B:$F,4,0),"")=TEXT(M187,"0"),"Pending Approval","🔒 WRONG CODE")))</f>
        <v>Pending</v>
      </c>
      <c r="L187" s="30" t="s">
        <v>54</v>
      </c>
      <c r="M187" s="41"/>
      <c r="N187" s="22"/>
    </row>
    <row r="188" spans="1:14" ht="20.100000000000001" customHeight="1" x14ac:dyDescent="0.25">
      <c r="A188" s="30" t="str">
        <f t="shared" si="20"/>
        <v/>
      </c>
      <c r="B188" s="41"/>
      <c r="C188" s="35" t="str">
        <f>IF(B188="","",IFERROR(VLOOKUP(B188,DB_Customers!$A:$B,2,0),"❌ Account Not Found"))</f>
        <v/>
      </c>
      <c r="D188" s="42" t="str">
        <f t="shared" ca="1" si="21"/>
        <v/>
      </c>
      <c r="E188" s="32"/>
      <c r="F188" s="31"/>
      <c r="G188" s="41"/>
      <c r="H188" s="56">
        <v>2.5</v>
      </c>
      <c r="I188" s="43" t="str">
        <f t="shared" si="22"/>
        <v/>
      </c>
      <c r="J188" s="43" t="str">
        <f t="shared" si="23"/>
        <v/>
      </c>
      <c r="K188" s="33" t="str">
        <f>IF(B188="","Pending",IF(M188="","⚠️ Enter Code",IF(IFERROR(VLOOKUP(L188,DB_Agents!$B:$F,4,0),"")=TEXT(M188,"0"),"Pending Approval","🔒 WRONG CODE")))</f>
        <v>Pending</v>
      </c>
      <c r="L188" s="30" t="s">
        <v>54</v>
      </c>
      <c r="M188" s="41"/>
      <c r="N188" s="57"/>
    </row>
    <row r="189" spans="1:14" ht="20.100000000000001" customHeight="1" x14ac:dyDescent="0.25">
      <c r="A189" s="30" t="str">
        <f t="shared" si="20"/>
        <v/>
      </c>
      <c r="B189" s="41"/>
      <c r="C189" s="35" t="str">
        <f>IF(B189="","",IFERROR(VLOOKUP(B189,DB_Customers!$A:$B,2,0),"❌ Account Not Found"))</f>
        <v/>
      </c>
      <c r="D189" s="42" t="str">
        <f t="shared" ca="1" si="21"/>
        <v/>
      </c>
      <c r="E189" s="32"/>
      <c r="F189" s="31"/>
      <c r="G189" s="41"/>
      <c r="H189" s="56">
        <v>2.5</v>
      </c>
      <c r="I189" s="43" t="str">
        <f t="shared" si="22"/>
        <v/>
      </c>
      <c r="J189" s="43" t="str">
        <f t="shared" si="23"/>
        <v/>
      </c>
      <c r="K189" s="33" t="str">
        <f>IF(B189="","Pending",IF(M189="","⚠️ Enter Code",IF(IFERROR(VLOOKUP(L189,DB_Agents!$B:$F,4,0),"")=TEXT(M189,"0"),"Pending Approval","🔒 WRONG CODE")))</f>
        <v>Pending</v>
      </c>
      <c r="L189" s="30" t="s">
        <v>54</v>
      </c>
      <c r="M189" s="41"/>
      <c r="N189" s="22"/>
    </row>
    <row r="190" spans="1:14" ht="20.100000000000001" customHeight="1" x14ac:dyDescent="0.25">
      <c r="A190" s="30" t="str">
        <f t="shared" si="20"/>
        <v/>
      </c>
      <c r="B190" s="41"/>
      <c r="C190" s="35" t="str">
        <f>IF(B190="","",IFERROR(VLOOKUP(B190,DB_Customers!$A:$B,2,0),"❌ Account Not Found"))</f>
        <v/>
      </c>
      <c r="D190" s="42" t="str">
        <f t="shared" ca="1" si="21"/>
        <v/>
      </c>
      <c r="E190" s="32"/>
      <c r="F190" s="31"/>
      <c r="G190" s="41"/>
      <c r="H190" s="56">
        <v>2.5</v>
      </c>
      <c r="I190" s="43" t="str">
        <f t="shared" si="22"/>
        <v/>
      </c>
      <c r="J190" s="43" t="str">
        <f t="shared" si="23"/>
        <v/>
      </c>
      <c r="K190" s="33" t="str">
        <f>IF(B190="","Pending",IF(M190="","⚠️ Enter Code",IF(IFERROR(VLOOKUP(L190,DB_Agents!$B:$F,4,0),"")=TEXT(M190,"0"),"Pending Approval","🔒 WRONG CODE")))</f>
        <v>Pending</v>
      </c>
      <c r="L190" s="30" t="s">
        <v>54</v>
      </c>
      <c r="M190" s="41"/>
      <c r="N190" s="57"/>
    </row>
    <row r="191" spans="1:14" ht="20.100000000000001" customHeight="1" x14ac:dyDescent="0.25">
      <c r="A191" s="30" t="str">
        <f t="shared" si="20"/>
        <v/>
      </c>
      <c r="B191" s="41"/>
      <c r="C191" s="35" t="str">
        <f>IF(B191="","",IFERROR(VLOOKUP(B191,DB_Customers!$A:$B,2,0),"❌ Account Not Found"))</f>
        <v/>
      </c>
      <c r="D191" s="42" t="str">
        <f t="shared" ca="1" si="21"/>
        <v/>
      </c>
      <c r="E191" s="32"/>
      <c r="F191" s="31"/>
      <c r="G191" s="41"/>
      <c r="H191" s="56">
        <v>2.5</v>
      </c>
      <c r="I191" s="43" t="str">
        <f t="shared" si="22"/>
        <v/>
      </c>
      <c r="J191" s="43" t="str">
        <f t="shared" si="23"/>
        <v/>
      </c>
      <c r="K191" s="33" t="str">
        <f>IF(B191="","Pending",IF(M191="","⚠️ Enter Code",IF(IFERROR(VLOOKUP(L191,DB_Agents!$B:$F,4,0),"")=TEXT(M191,"0"),"Pending Approval","🔒 WRONG CODE")))</f>
        <v>Pending</v>
      </c>
      <c r="L191" s="30" t="s">
        <v>54</v>
      </c>
      <c r="M191" s="41"/>
      <c r="N191" s="22"/>
    </row>
    <row r="192" spans="1:14" ht="20.100000000000001" customHeight="1" x14ac:dyDescent="0.25">
      <c r="A192" s="30" t="str">
        <f t="shared" si="20"/>
        <v/>
      </c>
      <c r="B192" s="41"/>
      <c r="C192" s="35" t="str">
        <f>IF(B192="","",IFERROR(VLOOKUP(B192,DB_Customers!$A:$B,2,0),"❌ Account Not Found"))</f>
        <v/>
      </c>
      <c r="D192" s="42" t="str">
        <f t="shared" ca="1" si="21"/>
        <v/>
      </c>
      <c r="E192" s="32"/>
      <c r="F192" s="31"/>
      <c r="G192" s="41"/>
      <c r="H192" s="56">
        <v>2.5</v>
      </c>
      <c r="I192" s="43" t="str">
        <f t="shared" si="22"/>
        <v/>
      </c>
      <c r="J192" s="43" t="str">
        <f t="shared" si="23"/>
        <v/>
      </c>
      <c r="K192" s="33" t="str">
        <f>IF(B192="","Pending",IF(M192="","⚠️ Enter Code",IF(IFERROR(VLOOKUP(L192,DB_Agents!$B:$F,4,0),"")=TEXT(M192,"0"),"Pending Approval","🔒 WRONG CODE")))</f>
        <v>Pending</v>
      </c>
      <c r="L192" s="30" t="s">
        <v>54</v>
      </c>
      <c r="M192" s="41"/>
      <c r="N192" s="57"/>
    </row>
    <row r="193" spans="1:14" ht="20.100000000000001" customHeight="1" x14ac:dyDescent="0.25">
      <c r="A193" s="30" t="str">
        <f t="shared" si="20"/>
        <v/>
      </c>
      <c r="B193" s="41"/>
      <c r="C193" s="35" t="str">
        <f>IF(B193="","",IFERROR(VLOOKUP(B193,DB_Customers!$A:$B,2,0),"❌ Account Not Found"))</f>
        <v/>
      </c>
      <c r="D193" s="42" t="str">
        <f t="shared" ca="1" si="21"/>
        <v/>
      </c>
      <c r="E193" s="32"/>
      <c r="F193" s="31"/>
      <c r="G193" s="41"/>
      <c r="H193" s="56">
        <v>2.5</v>
      </c>
      <c r="I193" s="43" t="str">
        <f t="shared" si="22"/>
        <v/>
      </c>
      <c r="J193" s="43" t="str">
        <f t="shared" si="23"/>
        <v/>
      </c>
      <c r="K193" s="33" t="str">
        <f>IF(B193="","Pending",IF(M193="","⚠️ Enter Code",IF(IFERROR(VLOOKUP(L193,DB_Agents!$B:$F,4,0),"")=TEXT(M193,"0"),"Pending Approval","🔒 WRONG CODE")))</f>
        <v>Pending</v>
      </c>
      <c r="L193" s="30" t="s">
        <v>54</v>
      </c>
      <c r="M193" s="41"/>
      <c r="N193" s="22"/>
    </row>
    <row r="194" spans="1:14" ht="20.100000000000001" customHeight="1" x14ac:dyDescent="0.25">
      <c r="A194" s="30" t="str">
        <f t="shared" si="20"/>
        <v/>
      </c>
      <c r="B194" s="41"/>
      <c r="C194" s="35" t="str">
        <f>IF(B194="","",IFERROR(VLOOKUP(B194,DB_Customers!$A:$B,2,0),"❌ Account Not Found"))</f>
        <v/>
      </c>
      <c r="D194" s="42" t="str">
        <f t="shared" ca="1" si="21"/>
        <v/>
      </c>
      <c r="E194" s="32"/>
      <c r="F194" s="31"/>
      <c r="G194" s="41"/>
      <c r="H194" s="56">
        <v>2.5</v>
      </c>
      <c r="I194" s="43" t="str">
        <f t="shared" si="22"/>
        <v/>
      </c>
      <c r="J194" s="43" t="str">
        <f t="shared" si="23"/>
        <v/>
      </c>
      <c r="K194" s="33" t="str">
        <f>IF(B194="","Pending",IF(M194="","⚠️ Enter Code",IF(IFERROR(VLOOKUP(L194,DB_Agents!$B:$F,4,0),"")=TEXT(M194,"0"),"Pending Approval","🔒 WRONG CODE")))</f>
        <v>Pending</v>
      </c>
      <c r="L194" s="30" t="s">
        <v>54</v>
      </c>
      <c r="M194" s="41"/>
      <c r="N194" s="57"/>
    </row>
    <row r="195" spans="1:14" ht="20.100000000000001" customHeight="1" x14ac:dyDescent="0.25">
      <c r="A195" s="30" t="str">
        <f t="shared" si="20"/>
        <v/>
      </c>
      <c r="B195" s="41"/>
      <c r="C195" s="35" t="str">
        <f>IF(B195="","",IFERROR(VLOOKUP(B195,DB_Customers!$A:$B,2,0),"❌ Account Not Found"))</f>
        <v/>
      </c>
      <c r="D195" s="42" t="str">
        <f t="shared" ca="1" si="21"/>
        <v/>
      </c>
      <c r="E195" s="32"/>
      <c r="F195" s="31"/>
      <c r="G195" s="41"/>
      <c r="H195" s="56">
        <v>2.5</v>
      </c>
      <c r="I195" s="43" t="str">
        <f t="shared" si="22"/>
        <v/>
      </c>
      <c r="J195" s="43" t="str">
        <f t="shared" si="23"/>
        <v/>
      </c>
      <c r="K195" s="33" t="str">
        <f>IF(B195="","Pending",IF(M195="","⚠️ Enter Code",IF(IFERROR(VLOOKUP(L195,DB_Agents!$B:$F,4,0),"")=TEXT(M195,"0"),"Pending Approval","🔒 WRONG CODE")))</f>
        <v>Pending</v>
      </c>
      <c r="L195" s="30" t="s">
        <v>54</v>
      </c>
      <c r="M195" s="41"/>
      <c r="N195" s="22"/>
    </row>
    <row r="196" spans="1:14" ht="20.100000000000001" customHeight="1" x14ac:dyDescent="0.25">
      <c r="A196" s="30" t="str">
        <f t="shared" si="20"/>
        <v/>
      </c>
      <c r="B196" s="41"/>
      <c r="C196" s="35" t="str">
        <f>IF(B196="","",IFERROR(VLOOKUP(B196,DB_Customers!$A:$B,2,0),"❌ Account Not Found"))</f>
        <v/>
      </c>
      <c r="D196" s="42" t="str">
        <f t="shared" ca="1" si="21"/>
        <v/>
      </c>
      <c r="E196" s="32"/>
      <c r="F196" s="31"/>
      <c r="G196" s="41"/>
      <c r="H196" s="56">
        <v>2.5</v>
      </c>
      <c r="I196" s="43" t="str">
        <f t="shared" si="22"/>
        <v/>
      </c>
      <c r="J196" s="43" t="str">
        <f t="shared" si="23"/>
        <v/>
      </c>
      <c r="K196" s="33" t="str">
        <f>IF(B196="","Pending",IF(M196="","⚠️ Enter Code",IF(IFERROR(VLOOKUP(L196,DB_Agents!$B:$F,4,0),"")=TEXT(M196,"0"),"Pending Approval","🔒 WRONG CODE")))</f>
        <v>Pending</v>
      </c>
      <c r="L196" s="30" t="s">
        <v>54</v>
      </c>
      <c r="M196" s="41"/>
      <c r="N196" s="57"/>
    </row>
    <row r="197" spans="1:14" ht="20.100000000000001" customHeight="1" x14ac:dyDescent="0.25">
      <c r="A197" s="30" t="str">
        <f t="shared" si="20"/>
        <v/>
      </c>
      <c r="B197" s="41"/>
      <c r="C197" s="35" t="str">
        <f>IF(B197="","",IFERROR(VLOOKUP(B197,DB_Customers!$A:$B,2,0),"❌ Account Not Found"))</f>
        <v/>
      </c>
      <c r="D197" s="42" t="str">
        <f t="shared" ca="1" si="21"/>
        <v/>
      </c>
      <c r="E197" s="32"/>
      <c r="F197" s="31"/>
      <c r="G197" s="41"/>
      <c r="H197" s="56">
        <v>2.5</v>
      </c>
      <c r="I197" s="43" t="str">
        <f t="shared" si="22"/>
        <v/>
      </c>
      <c r="J197" s="43" t="str">
        <f t="shared" si="23"/>
        <v/>
      </c>
      <c r="K197" s="33" t="str">
        <f>IF(B197="","Pending",IF(M197="","⚠️ Enter Code",IF(IFERROR(VLOOKUP(L197,DB_Agents!$B:$F,4,0),"")=TEXT(M197,"0"),"Pending Approval","🔒 WRONG CODE")))</f>
        <v>Pending</v>
      </c>
      <c r="L197" s="30" t="s">
        <v>54</v>
      </c>
      <c r="M197" s="41"/>
      <c r="N197" s="22"/>
    </row>
    <row r="198" spans="1:14" ht="20.100000000000001" customHeight="1" x14ac:dyDescent="0.25">
      <c r="A198" s="30" t="str">
        <f t="shared" si="20"/>
        <v/>
      </c>
      <c r="B198" s="41"/>
      <c r="C198" s="35" t="str">
        <f>IF(B198="","",IFERROR(VLOOKUP(B198,DB_Customers!$A:$B,2,0),"❌ Account Not Found"))</f>
        <v/>
      </c>
      <c r="D198" s="42" t="str">
        <f t="shared" ca="1" si="21"/>
        <v/>
      </c>
      <c r="E198" s="32"/>
      <c r="F198" s="31"/>
      <c r="G198" s="41"/>
      <c r="H198" s="56">
        <v>2.5</v>
      </c>
      <c r="I198" s="43" t="str">
        <f t="shared" si="22"/>
        <v/>
      </c>
      <c r="J198" s="43" t="str">
        <f t="shared" si="23"/>
        <v/>
      </c>
      <c r="K198" s="33" t="str">
        <f>IF(B198="","Pending",IF(M198="","⚠️ Enter Code",IF(IFERROR(VLOOKUP(L198,DB_Agents!$B:$F,4,0),"")=TEXT(M198,"0"),"Pending Approval","🔒 WRONG CODE")))</f>
        <v>Pending</v>
      </c>
      <c r="L198" s="30" t="s">
        <v>54</v>
      </c>
      <c r="M198" s="41"/>
      <c r="N198" s="57"/>
    </row>
    <row r="199" spans="1:14" ht="20.100000000000001" customHeight="1" x14ac:dyDescent="0.25">
      <c r="A199" s="30" t="str">
        <f t="shared" si="20"/>
        <v/>
      </c>
      <c r="B199" s="41"/>
      <c r="C199" s="35" t="str">
        <f>IF(B199="","",IFERROR(VLOOKUP(B199,DB_Customers!$A:$B,2,0),"❌ Account Not Found"))</f>
        <v/>
      </c>
      <c r="D199" s="42" t="str">
        <f t="shared" ca="1" si="21"/>
        <v/>
      </c>
      <c r="E199" s="32"/>
      <c r="F199" s="31"/>
      <c r="G199" s="41"/>
      <c r="H199" s="56">
        <v>2.5</v>
      </c>
      <c r="I199" s="43" t="str">
        <f t="shared" si="22"/>
        <v/>
      </c>
      <c r="J199" s="43" t="str">
        <f t="shared" si="23"/>
        <v/>
      </c>
      <c r="K199" s="33" t="str">
        <f>IF(B199="","Pending",IF(M199="","⚠️ Enter Code",IF(IFERROR(VLOOKUP(L199,DB_Agents!$B:$F,4,0),"")=TEXT(M199,"0"),"Pending Approval","🔒 WRONG CODE")))</f>
        <v>Pending</v>
      </c>
      <c r="L199" s="30" t="s">
        <v>54</v>
      </c>
      <c r="M199" s="41"/>
      <c r="N199" s="22"/>
    </row>
    <row r="200" spans="1:14" ht="20.100000000000001" customHeight="1" x14ac:dyDescent="0.25">
      <c r="A200" s="30" t="str">
        <f t="shared" si="20"/>
        <v/>
      </c>
      <c r="B200" s="41"/>
      <c r="C200" s="35" t="str">
        <f>IF(B200="","",IFERROR(VLOOKUP(B200,DB_Customers!$A:$B,2,0),"❌ Account Not Found"))</f>
        <v/>
      </c>
      <c r="D200" s="42" t="str">
        <f t="shared" ca="1" si="21"/>
        <v/>
      </c>
      <c r="E200" s="32"/>
      <c r="F200" s="31"/>
      <c r="G200" s="41"/>
      <c r="H200" s="56">
        <v>2.5</v>
      </c>
      <c r="I200" s="43" t="str">
        <f t="shared" si="22"/>
        <v/>
      </c>
      <c r="J200" s="43" t="str">
        <f t="shared" si="23"/>
        <v/>
      </c>
      <c r="K200" s="33" t="str">
        <f>IF(B200="","Pending",IF(M200="","⚠️ Enter Code",IF(IFERROR(VLOOKUP(L200,DB_Agents!$B:$F,4,0),"")=TEXT(M200,"0"),"Pending Approval","🔒 WRONG CODE")))</f>
        <v>Pending</v>
      </c>
      <c r="L200" s="30" t="s">
        <v>54</v>
      </c>
      <c r="M200" s="41"/>
      <c r="N200" s="57"/>
    </row>
    <row r="201" spans="1:14" ht="20.100000000000001" customHeight="1" x14ac:dyDescent="0.25">
      <c r="A201" s="30" t="str">
        <f t="shared" si="20"/>
        <v/>
      </c>
      <c r="B201" s="41"/>
      <c r="C201" s="35" t="str">
        <f>IF(B201="","",IFERROR(VLOOKUP(B201,DB_Customers!$A:$B,2,0),"❌ Account Not Found"))</f>
        <v/>
      </c>
      <c r="D201" s="42" t="str">
        <f t="shared" ca="1" si="21"/>
        <v/>
      </c>
      <c r="E201" s="32"/>
      <c r="F201" s="31"/>
      <c r="G201" s="41"/>
      <c r="H201" s="56">
        <v>2.5</v>
      </c>
      <c r="I201" s="43" t="str">
        <f t="shared" si="22"/>
        <v/>
      </c>
      <c r="J201" s="43" t="str">
        <f t="shared" si="23"/>
        <v/>
      </c>
      <c r="K201" s="33" t="str">
        <f>IF(B201="","Pending",IF(M201="","⚠️ Enter Code",IF(IFERROR(VLOOKUP(L201,DB_Agents!$B:$F,4,0),"")=TEXT(M201,"0"),"Pending Approval","🔒 WRONG CODE")))</f>
        <v>Pending</v>
      </c>
      <c r="L201" s="30" t="s">
        <v>54</v>
      </c>
      <c r="M201" s="41"/>
      <c r="N201" s="22"/>
    </row>
    <row r="202" spans="1:14" ht="20.100000000000001" customHeight="1" x14ac:dyDescent="0.25">
      <c r="A202" s="30" t="str">
        <f t="shared" si="20"/>
        <v/>
      </c>
      <c r="B202" s="41"/>
      <c r="C202" s="35" t="str">
        <f>IF(B202="","",IFERROR(VLOOKUP(B202,DB_Customers!$A:$B,2,0),"❌ Account Not Found"))</f>
        <v/>
      </c>
      <c r="D202" s="42" t="str">
        <f t="shared" ca="1" si="21"/>
        <v/>
      </c>
      <c r="E202" s="32"/>
      <c r="F202" s="31"/>
      <c r="G202" s="41"/>
      <c r="H202" s="56">
        <v>2.5</v>
      </c>
      <c r="I202" s="43" t="str">
        <f t="shared" si="22"/>
        <v/>
      </c>
      <c r="J202" s="43" t="str">
        <f t="shared" si="23"/>
        <v/>
      </c>
      <c r="K202" s="33" t="str">
        <f>IF(B202="","Pending",IF(M202="","⚠️ Enter Code",IF(IFERROR(VLOOKUP(L202,DB_Agents!$B:$F,4,0),"")=TEXT(M202,"0"),"Pending Approval","🔒 WRONG CODE")))</f>
        <v>Pending</v>
      </c>
      <c r="L202" s="30" t="s">
        <v>54</v>
      </c>
      <c r="M202" s="41"/>
      <c r="N202" s="57"/>
    </row>
    <row r="203" spans="1:14" ht="20.100000000000001" customHeight="1" x14ac:dyDescent="0.25">
      <c r="A203" s="30" t="str">
        <f t="shared" si="20"/>
        <v/>
      </c>
      <c r="B203" s="41"/>
      <c r="C203" s="35" t="str">
        <f>IF(B203="","",IFERROR(VLOOKUP(B203,DB_Customers!$A:$B,2,0),"❌ Account Not Found"))</f>
        <v/>
      </c>
      <c r="D203" s="42" t="str">
        <f t="shared" ca="1" si="21"/>
        <v/>
      </c>
      <c r="E203" s="32"/>
      <c r="F203" s="31"/>
      <c r="G203" s="41"/>
      <c r="H203" s="56">
        <v>2.5</v>
      </c>
      <c r="I203" s="43" t="str">
        <f t="shared" si="22"/>
        <v/>
      </c>
      <c r="J203" s="43" t="str">
        <f t="shared" si="23"/>
        <v/>
      </c>
      <c r="K203" s="33" t="str">
        <f>IF(B203="","Pending",IF(M203="","⚠️ Enter Code",IF(IFERROR(VLOOKUP(L203,DB_Agents!$B:$F,4,0),"")=TEXT(M203,"0"),"Pending Approval","🔒 WRONG CODE")))</f>
        <v>Pending</v>
      </c>
      <c r="L203" s="30" t="s">
        <v>54</v>
      </c>
      <c r="M203" s="41"/>
      <c r="N203" s="22"/>
    </row>
    <row r="204" spans="1:14" ht="20.100000000000001" customHeight="1" x14ac:dyDescent="0.25">
      <c r="A204" s="30" t="str">
        <f t="shared" si="20"/>
        <v/>
      </c>
      <c r="B204" s="41"/>
      <c r="C204" s="35" t="str">
        <f>IF(B204="","",IFERROR(VLOOKUP(B204,DB_Customers!$A:$B,2,0),"❌ Account Not Found"))</f>
        <v/>
      </c>
      <c r="D204" s="42" t="str">
        <f t="shared" ca="1" si="21"/>
        <v/>
      </c>
      <c r="E204" s="32"/>
      <c r="F204" s="31"/>
      <c r="G204" s="41"/>
      <c r="H204" s="56">
        <v>2.5</v>
      </c>
      <c r="I204" s="43" t="str">
        <f t="shared" si="22"/>
        <v/>
      </c>
      <c r="J204" s="43" t="str">
        <f t="shared" si="23"/>
        <v/>
      </c>
      <c r="K204" s="33" t="str">
        <f>IF(B204="","Pending",IF(M204="","⚠️ Enter Code",IF(IFERROR(VLOOKUP(L204,DB_Agents!$B:$F,4,0),"")=TEXT(M204,"0"),"Pending Approval","🔒 WRONG CODE")))</f>
        <v>Pending</v>
      </c>
      <c r="L204" s="30" t="s">
        <v>54</v>
      </c>
      <c r="M204" s="41"/>
      <c r="N204" s="57"/>
    </row>
    <row r="205" spans="1:14" ht="20.100000000000001" customHeight="1" x14ac:dyDescent="0.25">
      <c r="A205" s="30" t="str">
        <f t="shared" si="20"/>
        <v/>
      </c>
      <c r="B205" s="41"/>
      <c r="C205" s="35" t="str">
        <f>IF(B205="","",IFERROR(VLOOKUP(B205,DB_Customers!$A:$B,2,0),"❌ Account Not Found"))</f>
        <v/>
      </c>
      <c r="D205" s="42" t="str">
        <f t="shared" ca="1" si="21"/>
        <v/>
      </c>
      <c r="E205" s="32"/>
      <c r="F205" s="31"/>
      <c r="G205" s="41"/>
      <c r="H205" s="56">
        <v>2.5</v>
      </c>
      <c r="I205" s="43" t="str">
        <f t="shared" si="22"/>
        <v/>
      </c>
      <c r="J205" s="43" t="str">
        <f t="shared" si="23"/>
        <v/>
      </c>
      <c r="K205" s="33" t="str">
        <f>IF(B205="","Pending",IF(M205="","⚠️ Enter Code",IF(IFERROR(VLOOKUP(L205,DB_Agents!$B:$F,4,0),"")=TEXT(M205,"0"),"Pending Approval","🔒 WRONG CODE")))</f>
        <v>Pending</v>
      </c>
      <c r="L205" s="30" t="s">
        <v>54</v>
      </c>
      <c r="M205" s="41"/>
      <c r="N205" s="22"/>
    </row>
    <row r="206" spans="1:14" ht="20.100000000000001" customHeight="1" x14ac:dyDescent="0.25">
      <c r="A206" s="30" t="str">
        <f t="shared" ref="A206:A237" si="24">IF(B206="","",IF(C206="❌ Account Not Found","INVALID","LN"&amp;TEXT(D206,"YYYYMMDD")&amp;TEXT(ROW()-13,"0000")))</f>
        <v/>
      </c>
      <c r="B206" s="41"/>
      <c r="C206" s="35" t="str">
        <f>IF(B206="","",IFERROR(VLOOKUP(B206,DB_Customers!$A:$B,2,0),"❌ Account Not Found"))</f>
        <v/>
      </c>
      <c r="D206" s="42" t="str">
        <f t="shared" ref="D206:D213" ca="1" si="25">IF(B206="","",TODAY())</f>
        <v/>
      </c>
      <c r="E206" s="32"/>
      <c r="F206" s="31"/>
      <c r="G206" s="41"/>
      <c r="H206" s="56">
        <v>2.5</v>
      </c>
      <c r="I206" s="43" t="str">
        <f t="shared" ref="I206:I237" si="26">IF(E206="","",E206+(E206*H206/100*G206))</f>
        <v/>
      </c>
      <c r="J206" s="43" t="str">
        <f t="shared" ref="J206:J237" si="27">IFERROR(I206/G206,"")</f>
        <v/>
      </c>
      <c r="K206" s="33" t="str">
        <f>IF(B206="","Pending",IF(M206="","⚠️ Enter Code",IF(IFERROR(VLOOKUP(L206,DB_Agents!$B:$F,4,0),"")=TEXT(M206,"0"),"Pending Approval","🔒 WRONG CODE")))</f>
        <v>Pending</v>
      </c>
      <c r="L206" s="30" t="s">
        <v>54</v>
      </c>
      <c r="M206" s="41"/>
      <c r="N206" s="57"/>
    </row>
    <row r="207" spans="1:14" ht="20.100000000000001" customHeight="1" x14ac:dyDescent="0.25">
      <c r="A207" s="30" t="str">
        <f t="shared" si="24"/>
        <v/>
      </c>
      <c r="B207" s="41"/>
      <c r="C207" s="35" t="str">
        <f>IF(B207="","",IFERROR(VLOOKUP(B207,DB_Customers!$A:$B,2,0),"❌ Account Not Found"))</f>
        <v/>
      </c>
      <c r="D207" s="42" t="str">
        <f t="shared" ca="1" si="25"/>
        <v/>
      </c>
      <c r="E207" s="32"/>
      <c r="F207" s="31"/>
      <c r="G207" s="41"/>
      <c r="H207" s="56">
        <v>2.5</v>
      </c>
      <c r="I207" s="43" t="str">
        <f t="shared" si="26"/>
        <v/>
      </c>
      <c r="J207" s="43" t="str">
        <f t="shared" si="27"/>
        <v/>
      </c>
      <c r="K207" s="33" t="str">
        <f>IF(B207="","Pending",IF(M207="","⚠️ Enter Code",IF(IFERROR(VLOOKUP(L207,DB_Agents!$B:$F,4,0),"")=TEXT(M207,"0"),"Pending Approval","🔒 WRONG CODE")))</f>
        <v>Pending</v>
      </c>
      <c r="L207" s="30" t="s">
        <v>54</v>
      </c>
      <c r="M207" s="41"/>
      <c r="N207" s="22"/>
    </row>
    <row r="208" spans="1:14" ht="20.100000000000001" customHeight="1" x14ac:dyDescent="0.25">
      <c r="A208" s="30" t="str">
        <f t="shared" si="24"/>
        <v/>
      </c>
      <c r="B208" s="41"/>
      <c r="C208" s="35" t="str">
        <f>IF(B208="","",IFERROR(VLOOKUP(B208,DB_Customers!$A:$B,2,0),"❌ Account Not Found"))</f>
        <v/>
      </c>
      <c r="D208" s="42" t="str">
        <f t="shared" ca="1" si="25"/>
        <v/>
      </c>
      <c r="E208" s="32"/>
      <c r="F208" s="31"/>
      <c r="G208" s="41"/>
      <c r="H208" s="56">
        <v>2.5</v>
      </c>
      <c r="I208" s="43" t="str">
        <f t="shared" si="26"/>
        <v/>
      </c>
      <c r="J208" s="43" t="str">
        <f t="shared" si="27"/>
        <v/>
      </c>
      <c r="K208" s="33" t="str">
        <f>IF(B208="","Pending",IF(M208="","⚠️ Enter Code",IF(IFERROR(VLOOKUP(L208,DB_Agents!$B:$F,4,0),"")=TEXT(M208,"0"),"Pending Approval","🔒 WRONG CODE")))</f>
        <v>Pending</v>
      </c>
      <c r="L208" s="30" t="s">
        <v>54</v>
      </c>
      <c r="M208" s="41"/>
      <c r="N208" s="57"/>
    </row>
    <row r="209" spans="1:14" ht="20.100000000000001" customHeight="1" x14ac:dyDescent="0.25">
      <c r="A209" s="30" t="str">
        <f t="shared" si="24"/>
        <v/>
      </c>
      <c r="B209" s="41"/>
      <c r="C209" s="35" t="str">
        <f>IF(B209="","",IFERROR(VLOOKUP(B209,DB_Customers!$A:$B,2,0),"❌ Account Not Found"))</f>
        <v/>
      </c>
      <c r="D209" s="42" t="str">
        <f t="shared" ca="1" si="25"/>
        <v/>
      </c>
      <c r="E209" s="32"/>
      <c r="F209" s="31"/>
      <c r="G209" s="41"/>
      <c r="H209" s="56">
        <v>2.5</v>
      </c>
      <c r="I209" s="43" t="str">
        <f t="shared" si="26"/>
        <v/>
      </c>
      <c r="J209" s="43" t="str">
        <f t="shared" si="27"/>
        <v/>
      </c>
      <c r="K209" s="33" t="str">
        <f>IF(B209="","Pending",IF(M209="","⚠️ Enter Code",IF(IFERROR(VLOOKUP(L209,DB_Agents!$B:$F,4,0),"")=TEXT(M209,"0"),"Pending Approval","🔒 WRONG CODE")))</f>
        <v>Pending</v>
      </c>
      <c r="L209" s="30" t="s">
        <v>54</v>
      </c>
      <c r="M209" s="41"/>
      <c r="N209" s="22"/>
    </row>
    <row r="210" spans="1:14" ht="20.100000000000001" customHeight="1" x14ac:dyDescent="0.25">
      <c r="A210" s="30" t="str">
        <f t="shared" si="24"/>
        <v/>
      </c>
      <c r="B210" s="41"/>
      <c r="C210" s="35" t="str">
        <f>IF(B210="","",IFERROR(VLOOKUP(B210,DB_Customers!$A:$B,2,0),"❌ Account Not Found"))</f>
        <v/>
      </c>
      <c r="D210" s="42" t="str">
        <f t="shared" ca="1" si="25"/>
        <v/>
      </c>
      <c r="E210" s="32"/>
      <c r="F210" s="31"/>
      <c r="G210" s="41"/>
      <c r="H210" s="56">
        <v>2.5</v>
      </c>
      <c r="I210" s="43" t="str">
        <f t="shared" si="26"/>
        <v/>
      </c>
      <c r="J210" s="43" t="str">
        <f t="shared" si="27"/>
        <v/>
      </c>
      <c r="K210" s="33" t="str">
        <f>IF(B210="","Pending",IF(M210="","⚠️ Enter Code",IF(IFERROR(VLOOKUP(L210,DB_Agents!$B:$F,4,0),"")=TEXT(M210,"0"),"Pending Approval","🔒 WRONG CODE")))</f>
        <v>Pending</v>
      </c>
      <c r="L210" s="30" t="s">
        <v>54</v>
      </c>
      <c r="M210" s="41"/>
      <c r="N210" s="57"/>
    </row>
    <row r="211" spans="1:14" ht="20.100000000000001" customHeight="1" x14ac:dyDescent="0.25">
      <c r="A211" s="30" t="str">
        <f t="shared" si="24"/>
        <v/>
      </c>
      <c r="B211" s="41"/>
      <c r="C211" s="35" t="str">
        <f>IF(B211="","",IFERROR(VLOOKUP(B211,DB_Customers!$A:$B,2,0),"❌ Account Not Found"))</f>
        <v/>
      </c>
      <c r="D211" s="42" t="str">
        <f t="shared" ca="1" si="25"/>
        <v/>
      </c>
      <c r="E211" s="32"/>
      <c r="F211" s="31"/>
      <c r="G211" s="41"/>
      <c r="H211" s="56">
        <v>2.5</v>
      </c>
      <c r="I211" s="43" t="str">
        <f t="shared" si="26"/>
        <v/>
      </c>
      <c r="J211" s="43" t="str">
        <f t="shared" si="27"/>
        <v/>
      </c>
      <c r="K211" s="33" t="str">
        <f>IF(B211="","Pending",IF(M211="","⚠️ Enter Code",IF(IFERROR(VLOOKUP(L211,DB_Agents!$B:$F,4,0),"")=TEXT(M211,"0"),"Pending Approval","🔒 WRONG CODE")))</f>
        <v>Pending</v>
      </c>
      <c r="L211" s="30" t="s">
        <v>54</v>
      </c>
      <c r="M211" s="41"/>
      <c r="N211" s="22"/>
    </row>
    <row r="212" spans="1:14" ht="20.100000000000001" customHeight="1" x14ac:dyDescent="0.25">
      <c r="A212" s="30" t="str">
        <f t="shared" si="24"/>
        <v/>
      </c>
      <c r="B212" s="41"/>
      <c r="C212" s="35" t="str">
        <f>IF(B212="","",IFERROR(VLOOKUP(B212,DB_Customers!$A:$B,2,0),"❌ Account Not Found"))</f>
        <v/>
      </c>
      <c r="D212" s="42" t="str">
        <f t="shared" ca="1" si="25"/>
        <v/>
      </c>
      <c r="E212" s="32"/>
      <c r="F212" s="31"/>
      <c r="G212" s="41"/>
      <c r="H212" s="56">
        <v>2.5</v>
      </c>
      <c r="I212" s="43" t="str">
        <f t="shared" si="26"/>
        <v/>
      </c>
      <c r="J212" s="43" t="str">
        <f t="shared" si="27"/>
        <v/>
      </c>
      <c r="K212" s="33" t="str">
        <f>IF(B212="","Pending",IF(M212="","⚠️ Enter Code",IF(IFERROR(VLOOKUP(L212,DB_Agents!$B:$F,4,0),"")=TEXT(M212,"0"),"Pending Approval","🔒 WRONG CODE")))</f>
        <v>Pending</v>
      </c>
      <c r="L212" s="30" t="s">
        <v>54</v>
      </c>
      <c r="M212" s="41"/>
      <c r="N212" s="57"/>
    </row>
    <row r="213" spans="1:14" ht="20.100000000000001" customHeight="1" x14ac:dyDescent="0.25">
      <c r="A213" s="30" t="str">
        <f t="shared" si="24"/>
        <v/>
      </c>
      <c r="B213" s="41"/>
      <c r="C213" s="35" t="str">
        <f>IF(B213="","",IFERROR(VLOOKUP(B213,DB_Customers!$A:$B,2,0),"❌ Account Not Found"))</f>
        <v/>
      </c>
      <c r="D213" s="42" t="str">
        <f t="shared" ca="1" si="25"/>
        <v/>
      </c>
      <c r="E213" s="32"/>
      <c r="F213" s="31"/>
      <c r="G213" s="41"/>
      <c r="H213" s="56">
        <v>2.5</v>
      </c>
      <c r="I213" s="43" t="str">
        <f t="shared" si="26"/>
        <v/>
      </c>
      <c r="J213" s="43" t="str">
        <f t="shared" si="27"/>
        <v/>
      </c>
      <c r="K213" s="33" t="str">
        <f>IF(B213="","Pending",IF(M213="","⚠️ Enter Code",IF(IFERROR(VLOOKUP(L213,DB_Agents!$B:$F,4,0),"")=TEXT(M213,"0"),"Pending Approval","🔒 WRONG CODE")))</f>
        <v>Pending</v>
      </c>
      <c r="L213" s="30" t="s">
        <v>54</v>
      </c>
      <c r="M213" s="41"/>
      <c r="N213" s="22"/>
    </row>
  </sheetData>
  <mergeCells count="3">
    <mergeCell ref="A12:N12"/>
    <mergeCell ref="A2:N2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2.1" customHeight="1" x14ac:dyDescent="0.25">
      <c r="A1" s="93" t="s">
        <v>160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1.95" customHeight="1" x14ac:dyDescent="0.25">
      <c r="A2" s="97" t="s">
        <v>161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20.100000000000001" customHeight="1" x14ac:dyDescent="0.25">
      <c r="A3" s="44" t="s">
        <v>126</v>
      </c>
      <c r="D3" s="44" t="s">
        <v>127</v>
      </c>
      <c r="G3" s="44" t="s">
        <v>128</v>
      </c>
    </row>
    <row r="4" spans="1:11" ht="24" customHeight="1" x14ac:dyDescent="0.25">
      <c r="A4" s="45">
        <f ca="1">IFERROR(SUMIFS(DB_Savings!$F:$F,DB_Savings!$D:$D,"Agent 02",DB_Savings!$E:$E,TODAY()),0)</f>
        <v>0</v>
      </c>
      <c r="D4" s="45">
        <f ca="1">IFERROR(COUNTIFS(DB_Savings!$D:$D,"Agent 02",DB_Savings!$E:$E,TODAY()),0)</f>
        <v>0</v>
      </c>
      <c r="G4" s="45" t="str">
        <f ca="1">TEXT(TODAY(),"DDDD, DD MMMM YYYY")</f>
        <v>Saturday, 25 April 2026</v>
      </c>
    </row>
    <row r="6" spans="1:11" ht="26.1" customHeight="1" x14ac:dyDescent="0.25">
      <c r="A6" s="97" t="s">
        <v>129</v>
      </c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ht="21.95" customHeight="1" x14ac:dyDescent="0.25">
      <c r="A7" s="90" t="s">
        <v>162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spans="1:11" ht="30" customHeight="1" x14ac:dyDescent="0.25">
      <c r="A8" s="19" t="s">
        <v>131</v>
      </c>
      <c r="B8" s="19" t="s">
        <v>69</v>
      </c>
      <c r="C8" s="19" t="s">
        <v>84</v>
      </c>
      <c r="D8" s="19" t="s">
        <v>91</v>
      </c>
      <c r="E8" s="19" t="s">
        <v>132</v>
      </c>
      <c r="F8" s="19" t="s">
        <v>133</v>
      </c>
      <c r="G8" s="19" t="s">
        <v>45</v>
      </c>
      <c r="H8" s="19" t="s">
        <v>134</v>
      </c>
      <c r="I8" s="19" t="s">
        <v>77</v>
      </c>
      <c r="J8" s="19" t="s">
        <v>135</v>
      </c>
      <c r="K8" s="19" t="s">
        <v>95</v>
      </c>
    </row>
    <row r="9" spans="1:11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IF(A9="","",IFERROR(VLOOKUP(A9,DB_Customers!$A:$M,13,0),""))</f>
        <v/>
      </c>
      <c r="D9" s="42" t="str">
        <f t="shared" ref="D9:D40" ca="1" si="0">IF(A9="","",TODAY())</f>
        <v/>
      </c>
      <c r="E9" s="32"/>
      <c r="F9" s="43" t="str">
        <f t="shared" ref="F9:F40" si="1">IFERROR(IF(OR(A9="",E9=""),"",C9+E9),"")</f>
        <v/>
      </c>
      <c r="G9" s="30" t="s">
        <v>55</v>
      </c>
      <c r="H9" s="41"/>
      <c r="I9" s="33" t="str">
        <f>IF(A9="","",IF(H9="","⚠️ Enter Agent Code",IF(IFERROR(VLOOKUP(G9,DB_Agents!$B:$F,4,0),"")=TEXT(H9,"0"),IF(AND(A9&lt;&gt;"",E9&lt;&gt;""),"✅ Saved","Pending"),"🔒 WRONG CODE")))</f>
        <v/>
      </c>
      <c r="J9" s="33" t="str">
        <f t="shared" ref="J9:J40" ca="1" si="2">IF(I9="✅ Saved",TEXT(TODAY(),"YYYY-MM-DD")&amp;" Auto","—")</f>
        <v>—</v>
      </c>
      <c r="K9" s="22"/>
    </row>
    <row r="10" spans="1:11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IF(A10="","",IFERROR(VLOOKUP(A10,DB_Customers!$A:$M,13,0),""))</f>
        <v/>
      </c>
      <c r="D10" s="42" t="str">
        <f t="shared" ca="1" si="0"/>
        <v/>
      </c>
      <c r="E10" s="32"/>
      <c r="F10" s="43" t="str">
        <f t="shared" si="1"/>
        <v/>
      </c>
      <c r="G10" s="30" t="s">
        <v>55</v>
      </c>
      <c r="H10" s="41"/>
      <c r="I10" s="33" t="str">
        <f>IF(A10="","",IF(H10="","⚠️ Enter Agent Code",IF(IFERROR(VLOOKUP(G10,DB_Agents!$B:$F,4,0),"")=TEXT(H10,"0"),IF(AND(A10&lt;&gt;"",E10&lt;&gt;""),"✅ Saved","Pending"),"🔒 WRONG CODE")))</f>
        <v/>
      </c>
      <c r="J10" s="33" t="str">
        <f t="shared" ca="1" si="2"/>
        <v>—</v>
      </c>
      <c r="K10" s="46"/>
    </row>
    <row r="11" spans="1:11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IF(A11="","",IFERROR(VLOOKUP(A11,DB_Customers!$A:$M,13,0),""))</f>
        <v/>
      </c>
      <c r="D11" s="42" t="str">
        <f t="shared" ca="1" si="0"/>
        <v/>
      </c>
      <c r="E11" s="32"/>
      <c r="F11" s="43" t="str">
        <f t="shared" si="1"/>
        <v/>
      </c>
      <c r="G11" s="30" t="s">
        <v>55</v>
      </c>
      <c r="H11" s="41"/>
      <c r="I11" s="33" t="str">
        <f>IF(A11="","",IF(H11="","⚠️ Enter Agent Code",IF(IFERROR(VLOOKUP(G11,DB_Agents!$B:$F,4,0),"")=TEXT(H11,"0"),IF(AND(A11&lt;&gt;"",E11&lt;&gt;""),"✅ Saved","Pending"),"🔒 WRONG CODE")))</f>
        <v/>
      </c>
      <c r="J11" s="33" t="str">
        <f t="shared" ca="1" si="2"/>
        <v>—</v>
      </c>
      <c r="K11" s="22"/>
    </row>
    <row r="12" spans="1:11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IF(A12="","",IFERROR(VLOOKUP(A12,DB_Customers!$A:$M,13,0),""))</f>
        <v/>
      </c>
      <c r="D12" s="42" t="str">
        <f t="shared" ca="1" si="0"/>
        <v/>
      </c>
      <c r="E12" s="32"/>
      <c r="F12" s="43" t="str">
        <f t="shared" si="1"/>
        <v/>
      </c>
      <c r="G12" s="30" t="s">
        <v>55</v>
      </c>
      <c r="H12" s="41"/>
      <c r="I12" s="33" t="str">
        <f>IF(A12="","",IF(H12="","⚠️ Enter Agent Code",IF(IFERROR(VLOOKUP(G12,DB_Agents!$B:$F,4,0),"")=TEXT(H12,"0"),IF(AND(A12&lt;&gt;"",E12&lt;&gt;""),"✅ Saved","Pending"),"🔒 WRONG CODE")))</f>
        <v/>
      </c>
      <c r="J12" s="33" t="str">
        <f t="shared" ca="1" si="2"/>
        <v>—</v>
      </c>
      <c r="K12" s="46"/>
    </row>
    <row r="13" spans="1:11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IF(A13="","",IFERROR(VLOOKUP(A13,DB_Customers!$A:$M,13,0),""))</f>
        <v/>
      </c>
      <c r="D13" s="42" t="str">
        <f t="shared" ca="1" si="0"/>
        <v/>
      </c>
      <c r="E13" s="32"/>
      <c r="F13" s="43" t="str">
        <f t="shared" si="1"/>
        <v/>
      </c>
      <c r="G13" s="30" t="s">
        <v>55</v>
      </c>
      <c r="H13" s="41"/>
      <c r="I13" s="33" t="str">
        <f>IF(A13="","",IF(H13="","⚠️ Enter Agent Code",IF(IFERROR(VLOOKUP(G13,DB_Agents!$B:$F,4,0),"")=TEXT(H13,"0"),IF(AND(A13&lt;&gt;"",E13&lt;&gt;""),"✅ Saved","Pending"),"🔒 WRONG CODE")))</f>
        <v/>
      </c>
      <c r="J13" s="33" t="str">
        <f t="shared" ca="1" si="2"/>
        <v>—</v>
      </c>
      <c r="K13" s="22"/>
    </row>
    <row r="14" spans="1:11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IF(A14="","",IFERROR(VLOOKUP(A14,DB_Customers!$A:$M,13,0),""))</f>
        <v/>
      </c>
      <c r="D14" s="42" t="str">
        <f t="shared" ca="1" si="0"/>
        <v/>
      </c>
      <c r="E14" s="32"/>
      <c r="F14" s="43" t="str">
        <f t="shared" si="1"/>
        <v/>
      </c>
      <c r="G14" s="30" t="s">
        <v>55</v>
      </c>
      <c r="H14" s="41"/>
      <c r="I14" s="33" t="str">
        <f>IF(A14="","",IF(H14="","⚠️ Enter Agent Code",IF(IFERROR(VLOOKUP(G14,DB_Agents!$B:$F,4,0),"")=TEXT(H14,"0"),IF(AND(A14&lt;&gt;"",E14&lt;&gt;""),"✅ Saved","Pending"),"🔒 WRONG CODE")))</f>
        <v/>
      </c>
      <c r="J14" s="33" t="str">
        <f t="shared" ca="1" si="2"/>
        <v>—</v>
      </c>
      <c r="K14" s="46"/>
    </row>
    <row r="15" spans="1:11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IF(A15="","",IFERROR(VLOOKUP(A15,DB_Customers!$A:$M,13,0),""))</f>
        <v/>
      </c>
      <c r="D15" s="42" t="str">
        <f t="shared" ca="1" si="0"/>
        <v/>
      </c>
      <c r="E15" s="32"/>
      <c r="F15" s="43" t="str">
        <f t="shared" si="1"/>
        <v/>
      </c>
      <c r="G15" s="30" t="s">
        <v>55</v>
      </c>
      <c r="H15" s="41"/>
      <c r="I15" s="33" t="str">
        <f>IF(A15="","",IF(H15="","⚠️ Enter Agent Code",IF(IFERROR(VLOOKUP(G15,DB_Agents!$B:$F,4,0),"")=TEXT(H15,"0"),IF(AND(A15&lt;&gt;"",E15&lt;&gt;""),"✅ Saved","Pending"),"🔒 WRONG CODE")))</f>
        <v/>
      </c>
      <c r="J15" s="33" t="str">
        <f t="shared" ca="1" si="2"/>
        <v>—</v>
      </c>
      <c r="K15" s="22"/>
    </row>
    <row r="16" spans="1:11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IF(A16="","",IFERROR(VLOOKUP(A16,DB_Customers!$A:$M,13,0),""))</f>
        <v/>
      </c>
      <c r="D16" s="42" t="str">
        <f t="shared" ca="1" si="0"/>
        <v/>
      </c>
      <c r="E16" s="32"/>
      <c r="F16" s="43" t="str">
        <f t="shared" si="1"/>
        <v/>
      </c>
      <c r="G16" s="30" t="s">
        <v>55</v>
      </c>
      <c r="H16" s="41"/>
      <c r="I16" s="33" t="str">
        <f>IF(A16="","",IF(H16="","⚠️ Enter Agent Code",IF(IFERROR(VLOOKUP(G16,DB_Agents!$B:$F,4,0),"")=TEXT(H16,"0"),IF(AND(A16&lt;&gt;"",E16&lt;&gt;""),"✅ Saved","Pending"),"🔒 WRONG CODE")))</f>
        <v/>
      </c>
      <c r="J16" s="33" t="str">
        <f t="shared" ca="1" si="2"/>
        <v>—</v>
      </c>
      <c r="K16" s="46"/>
    </row>
    <row r="17" spans="1:11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IF(A17="","",IFERROR(VLOOKUP(A17,DB_Customers!$A:$M,13,0),""))</f>
        <v/>
      </c>
      <c r="D17" s="42" t="str">
        <f t="shared" ca="1" si="0"/>
        <v/>
      </c>
      <c r="E17" s="32"/>
      <c r="F17" s="43" t="str">
        <f t="shared" si="1"/>
        <v/>
      </c>
      <c r="G17" s="30" t="s">
        <v>55</v>
      </c>
      <c r="H17" s="41"/>
      <c r="I17" s="33" t="str">
        <f>IF(A17="","",IF(H17="","⚠️ Enter Agent Code",IF(IFERROR(VLOOKUP(G17,DB_Agents!$B:$F,4,0),"")=TEXT(H17,"0"),IF(AND(A17&lt;&gt;"",E17&lt;&gt;""),"✅ Saved","Pending"),"🔒 WRONG CODE")))</f>
        <v/>
      </c>
      <c r="J17" s="33" t="str">
        <f t="shared" ca="1" si="2"/>
        <v>—</v>
      </c>
      <c r="K17" s="22"/>
    </row>
    <row r="18" spans="1:11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IF(A18="","",IFERROR(VLOOKUP(A18,DB_Customers!$A:$M,13,0),""))</f>
        <v/>
      </c>
      <c r="D18" s="42" t="str">
        <f t="shared" ca="1" si="0"/>
        <v/>
      </c>
      <c r="E18" s="32"/>
      <c r="F18" s="43" t="str">
        <f t="shared" si="1"/>
        <v/>
      </c>
      <c r="G18" s="30" t="s">
        <v>55</v>
      </c>
      <c r="H18" s="41"/>
      <c r="I18" s="33" t="str">
        <f>IF(A18="","",IF(H18="","⚠️ Enter Agent Code",IF(IFERROR(VLOOKUP(G18,DB_Agents!$B:$F,4,0),"")=TEXT(H18,"0"),IF(AND(A18&lt;&gt;"",E18&lt;&gt;""),"✅ Saved","Pending"),"🔒 WRONG CODE")))</f>
        <v/>
      </c>
      <c r="J18" s="33" t="str">
        <f t="shared" ca="1" si="2"/>
        <v>—</v>
      </c>
      <c r="K18" s="46"/>
    </row>
    <row r="19" spans="1:11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IF(A19="","",IFERROR(VLOOKUP(A19,DB_Customers!$A:$M,13,0),""))</f>
        <v/>
      </c>
      <c r="D19" s="42" t="str">
        <f t="shared" ca="1" si="0"/>
        <v/>
      </c>
      <c r="E19" s="32"/>
      <c r="F19" s="43" t="str">
        <f t="shared" si="1"/>
        <v/>
      </c>
      <c r="G19" s="30" t="s">
        <v>55</v>
      </c>
      <c r="H19" s="41"/>
      <c r="I19" s="33" t="str">
        <f>IF(A19="","",IF(H19="","⚠️ Enter Agent Code",IF(IFERROR(VLOOKUP(G19,DB_Agents!$B:$F,4,0),"")=TEXT(H19,"0"),IF(AND(A19&lt;&gt;"",E19&lt;&gt;""),"✅ Saved","Pending"),"🔒 WRONG CODE")))</f>
        <v/>
      </c>
      <c r="J19" s="33" t="str">
        <f t="shared" ca="1" si="2"/>
        <v>—</v>
      </c>
      <c r="K19" s="22"/>
    </row>
    <row r="20" spans="1:11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IF(A20="","",IFERROR(VLOOKUP(A20,DB_Customers!$A:$M,13,0),""))</f>
        <v/>
      </c>
      <c r="D20" s="42" t="str">
        <f t="shared" ca="1" si="0"/>
        <v/>
      </c>
      <c r="E20" s="32"/>
      <c r="F20" s="43" t="str">
        <f t="shared" si="1"/>
        <v/>
      </c>
      <c r="G20" s="30" t="s">
        <v>55</v>
      </c>
      <c r="H20" s="41"/>
      <c r="I20" s="33" t="str">
        <f>IF(A20="","",IF(H20="","⚠️ Enter Agent Code",IF(IFERROR(VLOOKUP(G20,DB_Agents!$B:$F,4,0),"")=TEXT(H20,"0"),IF(AND(A20&lt;&gt;"",E20&lt;&gt;""),"✅ Saved","Pending"),"🔒 WRONG CODE")))</f>
        <v/>
      </c>
      <c r="J20" s="33" t="str">
        <f t="shared" ca="1" si="2"/>
        <v>—</v>
      </c>
      <c r="K20" s="46"/>
    </row>
    <row r="21" spans="1:11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IF(A21="","",IFERROR(VLOOKUP(A21,DB_Customers!$A:$M,13,0),""))</f>
        <v/>
      </c>
      <c r="D21" s="42" t="str">
        <f t="shared" ca="1" si="0"/>
        <v/>
      </c>
      <c r="E21" s="32"/>
      <c r="F21" s="43" t="str">
        <f t="shared" si="1"/>
        <v/>
      </c>
      <c r="G21" s="30" t="s">
        <v>55</v>
      </c>
      <c r="H21" s="41"/>
      <c r="I21" s="33" t="str">
        <f>IF(A21="","",IF(H21="","⚠️ Enter Agent Code",IF(IFERROR(VLOOKUP(G21,DB_Agents!$B:$F,4,0),"")=TEXT(H21,"0"),IF(AND(A21&lt;&gt;"",E21&lt;&gt;""),"✅ Saved","Pending"),"🔒 WRONG CODE")))</f>
        <v/>
      </c>
      <c r="J21" s="33" t="str">
        <f t="shared" ca="1" si="2"/>
        <v>—</v>
      </c>
      <c r="K21" s="22"/>
    </row>
    <row r="22" spans="1:11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IF(A22="","",IFERROR(VLOOKUP(A22,DB_Customers!$A:$M,13,0),""))</f>
        <v/>
      </c>
      <c r="D22" s="42" t="str">
        <f t="shared" ca="1" si="0"/>
        <v/>
      </c>
      <c r="E22" s="32"/>
      <c r="F22" s="43" t="str">
        <f t="shared" si="1"/>
        <v/>
      </c>
      <c r="G22" s="30" t="s">
        <v>55</v>
      </c>
      <c r="H22" s="41"/>
      <c r="I22" s="33" t="str">
        <f>IF(A22="","",IF(H22="","⚠️ Enter Agent Code",IF(IFERROR(VLOOKUP(G22,DB_Agents!$B:$F,4,0),"")=TEXT(H22,"0"),IF(AND(A22&lt;&gt;"",E22&lt;&gt;""),"✅ Saved","Pending"),"🔒 WRONG CODE")))</f>
        <v/>
      </c>
      <c r="J22" s="33" t="str">
        <f t="shared" ca="1" si="2"/>
        <v>—</v>
      </c>
      <c r="K22" s="46"/>
    </row>
    <row r="23" spans="1:11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IF(A23="","",IFERROR(VLOOKUP(A23,DB_Customers!$A:$M,13,0),""))</f>
        <v/>
      </c>
      <c r="D23" s="42" t="str">
        <f t="shared" ca="1" si="0"/>
        <v/>
      </c>
      <c r="E23" s="32"/>
      <c r="F23" s="43" t="str">
        <f t="shared" si="1"/>
        <v/>
      </c>
      <c r="G23" s="30" t="s">
        <v>55</v>
      </c>
      <c r="H23" s="41"/>
      <c r="I23" s="33" t="str">
        <f>IF(A23="","",IF(H23="","⚠️ Enter Agent Code",IF(IFERROR(VLOOKUP(G23,DB_Agents!$B:$F,4,0),"")=TEXT(H23,"0"),IF(AND(A23&lt;&gt;"",E23&lt;&gt;""),"✅ Saved","Pending"),"🔒 WRONG CODE")))</f>
        <v/>
      </c>
      <c r="J23" s="33" t="str">
        <f t="shared" ca="1" si="2"/>
        <v>—</v>
      </c>
      <c r="K23" s="22"/>
    </row>
    <row r="24" spans="1:11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IF(A24="","",IFERROR(VLOOKUP(A24,DB_Customers!$A:$M,13,0),""))</f>
        <v/>
      </c>
      <c r="D24" s="42" t="str">
        <f t="shared" ca="1" si="0"/>
        <v/>
      </c>
      <c r="E24" s="32"/>
      <c r="F24" s="43" t="str">
        <f t="shared" si="1"/>
        <v/>
      </c>
      <c r="G24" s="30" t="s">
        <v>55</v>
      </c>
      <c r="H24" s="41"/>
      <c r="I24" s="33" t="str">
        <f>IF(A24="","",IF(H24="","⚠️ Enter Agent Code",IF(IFERROR(VLOOKUP(G24,DB_Agents!$B:$F,4,0),"")=TEXT(H24,"0"),IF(AND(A24&lt;&gt;"",E24&lt;&gt;""),"✅ Saved","Pending"),"🔒 WRONG CODE")))</f>
        <v/>
      </c>
      <c r="J24" s="33" t="str">
        <f t="shared" ca="1" si="2"/>
        <v>—</v>
      </c>
      <c r="K24" s="46"/>
    </row>
    <row r="25" spans="1:11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IF(A25="","",IFERROR(VLOOKUP(A25,DB_Customers!$A:$M,13,0),""))</f>
        <v/>
      </c>
      <c r="D25" s="42" t="str">
        <f t="shared" ca="1" si="0"/>
        <v/>
      </c>
      <c r="E25" s="32"/>
      <c r="F25" s="43" t="str">
        <f t="shared" si="1"/>
        <v/>
      </c>
      <c r="G25" s="30" t="s">
        <v>55</v>
      </c>
      <c r="H25" s="41"/>
      <c r="I25" s="33" t="str">
        <f>IF(A25="","",IF(H25="","⚠️ Enter Agent Code",IF(IFERROR(VLOOKUP(G25,DB_Agents!$B:$F,4,0),"")=TEXT(H25,"0"),IF(AND(A25&lt;&gt;"",E25&lt;&gt;""),"✅ Saved","Pending"),"🔒 WRONG CODE")))</f>
        <v/>
      </c>
      <c r="J25" s="33" t="str">
        <f t="shared" ca="1" si="2"/>
        <v>—</v>
      </c>
      <c r="K25" s="22"/>
    </row>
    <row r="26" spans="1:11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IF(A26="","",IFERROR(VLOOKUP(A26,DB_Customers!$A:$M,13,0),""))</f>
        <v/>
      </c>
      <c r="D26" s="42" t="str">
        <f t="shared" ca="1" si="0"/>
        <v/>
      </c>
      <c r="E26" s="32"/>
      <c r="F26" s="43" t="str">
        <f t="shared" si="1"/>
        <v/>
      </c>
      <c r="G26" s="30" t="s">
        <v>55</v>
      </c>
      <c r="H26" s="41"/>
      <c r="I26" s="33" t="str">
        <f>IF(A26="","",IF(H26="","⚠️ Enter Agent Code",IF(IFERROR(VLOOKUP(G26,DB_Agents!$B:$F,4,0),"")=TEXT(H26,"0"),IF(AND(A26&lt;&gt;"",E26&lt;&gt;""),"✅ Saved","Pending"),"🔒 WRONG CODE")))</f>
        <v/>
      </c>
      <c r="J26" s="33" t="str">
        <f t="shared" ca="1" si="2"/>
        <v>—</v>
      </c>
      <c r="K26" s="46"/>
    </row>
    <row r="27" spans="1:11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IF(A27="","",IFERROR(VLOOKUP(A27,DB_Customers!$A:$M,13,0),""))</f>
        <v/>
      </c>
      <c r="D27" s="42" t="str">
        <f t="shared" ca="1" si="0"/>
        <v/>
      </c>
      <c r="E27" s="32"/>
      <c r="F27" s="43" t="str">
        <f t="shared" si="1"/>
        <v/>
      </c>
      <c r="G27" s="30" t="s">
        <v>55</v>
      </c>
      <c r="H27" s="41"/>
      <c r="I27" s="33" t="str">
        <f>IF(A27="","",IF(H27="","⚠️ Enter Agent Code",IF(IFERROR(VLOOKUP(G27,DB_Agents!$B:$F,4,0),"")=TEXT(H27,"0"),IF(AND(A27&lt;&gt;"",E27&lt;&gt;""),"✅ Saved","Pending"),"🔒 WRONG CODE")))</f>
        <v/>
      </c>
      <c r="J27" s="33" t="str">
        <f t="shared" ca="1" si="2"/>
        <v>—</v>
      </c>
      <c r="K27" s="22"/>
    </row>
    <row r="28" spans="1:11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IF(A28="","",IFERROR(VLOOKUP(A28,DB_Customers!$A:$M,13,0),""))</f>
        <v/>
      </c>
      <c r="D28" s="42" t="str">
        <f t="shared" ca="1" si="0"/>
        <v/>
      </c>
      <c r="E28" s="32"/>
      <c r="F28" s="43" t="str">
        <f t="shared" si="1"/>
        <v/>
      </c>
      <c r="G28" s="30" t="s">
        <v>55</v>
      </c>
      <c r="H28" s="41"/>
      <c r="I28" s="33" t="str">
        <f>IF(A28="","",IF(H28="","⚠️ Enter Agent Code",IF(IFERROR(VLOOKUP(G28,DB_Agents!$B:$F,4,0),"")=TEXT(H28,"0"),IF(AND(A28&lt;&gt;"",E28&lt;&gt;""),"✅ Saved","Pending"),"🔒 WRONG CODE")))</f>
        <v/>
      </c>
      <c r="J28" s="33" t="str">
        <f t="shared" ca="1" si="2"/>
        <v>—</v>
      </c>
      <c r="K28" s="46"/>
    </row>
    <row r="29" spans="1:11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IF(A29="","",IFERROR(VLOOKUP(A29,DB_Customers!$A:$M,13,0),""))</f>
        <v/>
      </c>
      <c r="D29" s="42" t="str">
        <f t="shared" ca="1" si="0"/>
        <v/>
      </c>
      <c r="E29" s="32"/>
      <c r="F29" s="43" t="str">
        <f t="shared" si="1"/>
        <v/>
      </c>
      <c r="G29" s="30" t="s">
        <v>55</v>
      </c>
      <c r="H29" s="41"/>
      <c r="I29" s="33" t="str">
        <f>IF(A29="","",IF(H29="","⚠️ Enter Agent Code",IF(IFERROR(VLOOKUP(G29,DB_Agents!$B:$F,4,0),"")=TEXT(H29,"0"),IF(AND(A29&lt;&gt;"",E29&lt;&gt;""),"✅ Saved","Pending"),"🔒 WRONG CODE")))</f>
        <v/>
      </c>
      <c r="J29" s="33" t="str">
        <f t="shared" ca="1" si="2"/>
        <v>—</v>
      </c>
      <c r="K29" s="22"/>
    </row>
    <row r="30" spans="1:11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IF(A30="","",IFERROR(VLOOKUP(A30,DB_Customers!$A:$M,13,0),""))</f>
        <v/>
      </c>
      <c r="D30" s="42" t="str">
        <f t="shared" ca="1" si="0"/>
        <v/>
      </c>
      <c r="E30" s="32"/>
      <c r="F30" s="43" t="str">
        <f t="shared" si="1"/>
        <v/>
      </c>
      <c r="G30" s="30" t="s">
        <v>55</v>
      </c>
      <c r="H30" s="41"/>
      <c r="I30" s="33" t="str">
        <f>IF(A30="","",IF(H30="","⚠️ Enter Agent Code",IF(IFERROR(VLOOKUP(G30,DB_Agents!$B:$F,4,0),"")=TEXT(H30,"0"),IF(AND(A30&lt;&gt;"",E30&lt;&gt;""),"✅ Saved","Pending"),"🔒 WRONG CODE")))</f>
        <v/>
      </c>
      <c r="J30" s="33" t="str">
        <f t="shared" ca="1" si="2"/>
        <v>—</v>
      </c>
      <c r="K30" s="46"/>
    </row>
    <row r="31" spans="1:11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IF(A31="","",IFERROR(VLOOKUP(A31,DB_Customers!$A:$M,13,0),""))</f>
        <v/>
      </c>
      <c r="D31" s="42" t="str">
        <f t="shared" ca="1" si="0"/>
        <v/>
      </c>
      <c r="E31" s="32"/>
      <c r="F31" s="43" t="str">
        <f t="shared" si="1"/>
        <v/>
      </c>
      <c r="G31" s="30" t="s">
        <v>55</v>
      </c>
      <c r="H31" s="41"/>
      <c r="I31" s="33" t="str">
        <f>IF(A31="","",IF(H31="","⚠️ Enter Agent Code",IF(IFERROR(VLOOKUP(G31,DB_Agents!$B:$F,4,0),"")=TEXT(H31,"0"),IF(AND(A31&lt;&gt;"",E31&lt;&gt;""),"✅ Saved","Pending"),"🔒 WRONG CODE")))</f>
        <v/>
      </c>
      <c r="J31" s="33" t="str">
        <f t="shared" ca="1" si="2"/>
        <v>—</v>
      </c>
      <c r="K31" s="22"/>
    </row>
    <row r="32" spans="1:11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IF(A32="","",IFERROR(VLOOKUP(A32,DB_Customers!$A:$M,13,0),""))</f>
        <v/>
      </c>
      <c r="D32" s="42" t="str">
        <f t="shared" ca="1" si="0"/>
        <v/>
      </c>
      <c r="E32" s="32"/>
      <c r="F32" s="43" t="str">
        <f t="shared" si="1"/>
        <v/>
      </c>
      <c r="G32" s="30" t="s">
        <v>55</v>
      </c>
      <c r="H32" s="41"/>
      <c r="I32" s="33" t="str">
        <f>IF(A32="","",IF(H32="","⚠️ Enter Agent Code",IF(IFERROR(VLOOKUP(G32,DB_Agents!$B:$F,4,0),"")=TEXT(H32,"0"),IF(AND(A32&lt;&gt;"",E32&lt;&gt;""),"✅ Saved","Pending"),"🔒 WRONG CODE")))</f>
        <v/>
      </c>
      <c r="J32" s="33" t="str">
        <f t="shared" ca="1" si="2"/>
        <v>—</v>
      </c>
      <c r="K32" s="46"/>
    </row>
    <row r="33" spans="1:11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IF(A33="","",IFERROR(VLOOKUP(A33,DB_Customers!$A:$M,13,0),""))</f>
        <v/>
      </c>
      <c r="D33" s="42" t="str">
        <f t="shared" ca="1" si="0"/>
        <v/>
      </c>
      <c r="E33" s="32"/>
      <c r="F33" s="43" t="str">
        <f t="shared" si="1"/>
        <v/>
      </c>
      <c r="G33" s="30" t="s">
        <v>55</v>
      </c>
      <c r="H33" s="41"/>
      <c r="I33" s="33" t="str">
        <f>IF(A33="","",IF(H33="","⚠️ Enter Agent Code",IF(IFERROR(VLOOKUP(G33,DB_Agents!$B:$F,4,0),"")=TEXT(H33,"0"),IF(AND(A33&lt;&gt;"",E33&lt;&gt;""),"✅ Saved","Pending"),"🔒 WRONG CODE")))</f>
        <v/>
      </c>
      <c r="J33" s="33" t="str">
        <f t="shared" ca="1" si="2"/>
        <v>—</v>
      </c>
      <c r="K33" s="22"/>
    </row>
    <row r="34" spans="1:11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IF(A34="","",IFERROR(VLOOKUP(A34,DB_Customers!$A:$M,13,0),""))</f>
        <v/>
      </c>
      <c r="D34" s="42" t="str">
        <f t="shared" ca="1" si="0"/>
        <v/>
      </c>
      <c r="E34" s="32"/>
      <c r="F34" s="43" t="str">
        <f t="shared" si="1"/>
        <v/>
      </c>
      <c r="G34" s="30" t="s">
        <v>55</v>
      </c>
      <c r="H34" s="41"/>
      <c r="I34" s="33" t="str">
        <f>IF(A34="","",IF(H34="","⚠️ Enter Agent Code",IF(IFERROR(VLOOKUP(G34,DB_Agents!$B:$F,4,0),"")=TEXT(H34,"0"),IF(AND(A34&lt;&gt;"",E34&lt;&gt;""),"✅ Saved","Pending"),"🔒 WRONG CODE")))</f>
        <v/>
      </c>
      <c r="J34" s="33" t="str">
        <f t="shared" ca="1" si="2"/>
        <v>—</v>
      </c>
      <c r="K34" s="46"/>
    </row>
    <row r="35" spans="1:11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IF(A35="","",IFERROR(VLOOKUP(A35,DB_Customers!$A:$M,13,0),""))</f>
        <v/>
      </c>
      <c r="D35" s="42" t="str">
        <f t="shared" ca="1" si="0"/>
        <v/>
      </c>
      <c r="E35" s="32"/>
      <c r="F35" s="43" t="str">
        <f t="shared" si="1"/>
        <v/>
      </c>
      <c r="G35" s="30" t="s">
        <v>55</v>
      </c>
      <c r="H35" s="41"/>
      <c r="I35" s="33" t="str">
        <f>IF(A35="","",IF(H35="","⚠️ Enter Agent Code",IF(IFERROR(VLOOKUP(G35,DB_Agents!$B:$F,4,0),"")=TEXT(H35,"0"),IF(AND(A35&lt;&gt;"",E35&lt;&gt;""),"✅ Saved","Pending"),"🔒 WRONG CODE")))</f>
        <v/>
      </c>
      <c r="J35" s="33" t="str">
        <f t="shared" ca="1" si="2"/>
        <v>—</v>
      </c>
      <c r="K35" s="22"/>
    </row>
    <row r="36" spans="1:11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IF(A36="","",IFERROR(VLOOKUP(A36,DB_Customers!$A:$M,13,0),""))</f>
        <v/>
      </c>
      <c r="D36" s="42" t="str">
        <f t="shared" ca="1" si="0"/>
        <v/>
      </c>
      <c r="E36" s="32"/>
      <c r="F36" s="43" t="str">
        <f t="shared" si="1"/>
        <v/>
      </c>
      <c r="G36" s="30" t="s">
        <v>55</v>
      </c>
      <c r="H36" s="41"/>
      <c r="I36" s="33" t="str">
        <f>IF(A36="","",IF(H36="","⚠️ Enter Agent Code",IF(IFERROR(VLOOKUP(G36,DB_Agents!$B:$F,4,0),"")=TEXT(H36,"0"),IF(AND(A36&lt;&gt;"",E36&lt;&gt;""),"✅ Saved","Pending"),"🔒 WRONG CODE")))</f>
        <v/>
      </c>
      <c r="J36" s="33" t="str">
        <f t="shared" ca="1" si="2"/>
        <v>—</v>
      </c>
      <c r="K36" s="46"/>
    </row>
    <row r="37" spans="1:11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IF(A37="","",IFERROR(VLOOKUP(A37,DB_Customers!$A:$M,13,0),""))</f>
        <v/>
      </c>
      <c r="D37" s="42" t="str">
        <f t="shared" ca="1" si="0"/>
        <v/>
      </c>
      <c r="E37" s="32"/>
      <c r="F37" s="43" t="str">
        <f t="shared" si="1"/>
        <v/>
      </c>
      <c r="G37" s="30" t="s">
        <v>55</v>
      </c>
      <c r="H37" s="41"/>
      <c r="I37" s="33" t="str">
        <f>IF(A37="","",IF(H37="","⚠️ Enter Agent Code",IF(IFERROR(VLOOKUP(G37,DB_Agents!$B:$F,4,0),"")=TEXT(H37,"0"),IF(AND(A37&lt;&gt;"",E37&lt;&gt;""),"✅ Saved","Pending"),"🔒 WRONG CODE")))</f>
        <v/>
      </c>
      <c r="J37" s="33" t="str">
        <f t="shared" ca="1" si="2"/>
        <v>—</v>
      </c>
      <c r="K37" s="22"/>
    </row>
    <row r="38" spans="1:11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IF(A38="","",IFERROR(VLOOKUP(A38,DB_Customers!$A:$M,13,0),""))</f>
        <v/>
      </c>
      <c r="D38" s="42" t="str">
        <f t="shared" ca="1" si="0"/>
        <v/>
      </c>
      <c r="E38" s="32"/>
      <c r="F38" s="43" t="str">
        <f t="shared" si="1"/>
        <v/>
      </c>
      <c r="G38" s="30" t="s">
        <v>55</v>
      </c>
      <c r="H38" s="41"/>
      <c r="I38" s="33" t="str">
        <f>IF(A38="","",IF(H38="","⚠️ Enter Agent Code",IF(IFERROR(VLOOKUP(G38,DB_Agents!$B:$F,4,0),"")=TEXT(H38,"0"),IF(AND(A38&lt;&gt;"",E38&lt;&gt;""),"✅ Saved","Pending"),"🔒 WRONG CODE")))</f>
        <v/>
      </c>
      <c r="J38" s="33" t="str">
        <f t="shared" ca="1" si="2"/>
        <v>—</v>
      </c>
      <c r="K38" s="46"/>
    </row>
    <row r="39" spans="1:11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IF(A39="","",IFERROR(VLOOKUP(A39,DB_Customers!$A:$M,13,0),""))</f>
        <v/>
      </c>
      <c r="D39" s="42" t="str">
        <f t="shared" ca="1" si="0"/>
        <v/>
      </c>
      <c r="E39" s="32"/>
      <c r="F39" s="43" t="str">
        <f t="shared" si="1"/>
        <v/>
      </c>
      <c r="G39" s="30" t="s">
        <v>55</v>
      </c>
      <c r="H39" s="41"/>
      <c r="I39" s="33" t="str">
        <f>IF(A39="","",IF(H39="","⚠️ Enter Agent Code",IF(IFERROR(VLOOKUP(G39,DB_Agents!$B:$F,4,0),"")=TEXT(H39,"0"),IF(AND(A39&lt;&gt;"",E39&lt;&gt;""),"✅ Saved","Pending"),"🔒 WRONG CODE")))</f>
        <v/>
      </c>
      <c r="J39" s="33" t="str">
        <f t="shared" ca="1" si="2"/>
        <v>—</v>
      </c>
      <c r="K39" s="22"/>
    </row>
    <row r="40" spans="1:11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IF(A40="","",IFERROR(VLOOKUP(A40,DB_Customers!$A:$M,13,0),""))</f>
        <v/>
      </c>
      <c r="D40" s="42" t="str">
        <f t="shared" ca="1" si="0"/>
        <v/>
      </c>
      <c r="E40" s="32"/>
      <c r="F40" s="43" t="str">
        <f t="shared" si="1"/>
        <v/>
      </c>
      <c r="G40" s="30" t="s">
        <v>55</v>
      </c>
      <c r="H40" s="41"/>
      <c r="I40" s="33" t="str">
        <f>IF(A40="","",IF(H40="","⚠️ Enter Agent Code",IF(IFERROR(VLOOKUP(G40,DB_Agents!$B:$F,4,0),"")=TEXT(H40,"0"),IF(AND(A40&lt;&gt;"",E40&lt;&gt;""),"✅ Saved","Pending"),"🔒 WRONG CODE")))</f>
        <v/>
      </c>
      <c r="J40" s="33" t="str">
        <f t="shared" ca="1" si="2"/>
        <v>—</v>
      </c>
      <c r="K40" s="46"/>
    </row>
    <row r="41" spans="1:11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IF(A41="","",IFERROR(VLOOKUP(A41,DB_Customers!$A:$M,13,0),""))</f>
        <v/>
      </c>
      <c r="D41" s="42" t="str">
        <f t="shared" ref="D41:D72" ca="1" si="3">IF(A41="","",TODAY())</f>
        <v/>
      </c>
      <c r="E41" s="32"/>
      <c r="F41" s="43" t="str">
        <f t="shared" ref="F41:F72" si="4">IFERROR(IF(OR(A41="",E41=""),"",C41+E41),"")</f>
        <v/>
      </c>
      <c r="G41" s="30" t="s">
        <v>55</v>
      </c>
      <c r="H41" s="41"/>
      <c r="I41" s="33" t="str">
        <f>IF(A41="","",IF(H41="","⚠️ Enter Agent Code",IF(IFERROR(VLOOKUP(G41,DB_Agents!$B:$F,4,0),"")=TEXT(H41,"0"),IF(AND(A41&lt;&gt;"",E41&lt;&gt;""),"✅ Saved","Pending"),"🔒 WRONG CODE")))</f>
        <v/>
      </c>
      <c r="J41" s="33" t="str">
        <f t="shared" ref="J41:J72" ca="1" si="5">IF(I41="✅ Saved",TEXT(TODAY(),"YYYY-MM-DD")&amp;" Auto","—")</f>
        <v>—</v>
      </c>
      <c r="K41" s="22"/>
    </row>
    <row r="42" spans="1:11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IF(A42="","",IFERROR(VLOOKUP(A42,DB_Customers!$A:$M,13,0),""))</f>
        <v/>
      </c>
      <c r="D42" s="42" t="str">
        <f t="shared" ca="1" si="3"/>
        <v/>
      </c>
      <c r="E42" s="32"/>
      <c r="F42" s="43" t="str">
        <f t="shared" si="4"/>
        <v/>
      </c>
      <c r="G42" s="30" t="s">
        <v>55</v>
      </c>
      <c r="H42" s="41"/>
      <c r="I42" s="33" t="str">
        <f>IF(A42="","",IF(H42="","⚠️ Enter Agent Code",IF(IFERROR(VLOOKUP(G42,DB_Agents!$B:$F,4,0),"")=TEXT(H42,"0"),IF(AND(A42&lt;&gt;"",E42&lt;&gt;""),"✅ Saved","Pending"),"🔒 WRONG CODE")))</f>
        <v/>
      </c>
      <c r="J42" s="33" t="str">
        <f t="shared" ca="1" si="5"/>
        <v>—</v>
      </c>
      <c r="K42" s="46"/>
    </row>
    <row r="43" spans="1:11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IF(A43="","",IFERROR(VLOOKUP(A43,DB_Customers!$A:$M,13,0),""))</f>
        <v/>
      </c>
      <c r="D43" s="42" t="str">
        <f t="shared" ca="1" si="3"/>
        <v/>
      </c>
      <c r="E43" s="32"/>
      <c r="F43" s="43" t="str">
        <f t="shared" si="4"/>
        <v/>
      </c>
      <c r="G43" s="30" t="s">
        <v>55</v>
      </c>
      <c r="H43" s="41"/>
      <c r="I43" s="33" t="str">
        <f>IF(A43="","",IF(H43="","⚠️ Enter Agent Code",IF(IFERROR(VLOOKUP(G43,DB_Agents!$B:$F,4,0),"")=TEXT(H43,"0"),IF(AND(A43&lt;&gt;"",E43&lt;&gt;""),"✅ Saved","Pending"),"🔒 WRONG CODE")))</f>
        <v/>
      </c>
      <c r="J43" s="33" t="str">
        <f t="shared" ca="1" si="5"/>
        <v>—</v>
      </c>
      <c r="K43" s="22"/>
    </row>
    <row r="44" spans="1:11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IF(A44="","",IFERROR(VLOOKUP(A44,DB_Customers!$A:$M,13,0),""))</f>
        <v/>
      </c>
      <c r="D44" s="42" t="str">
        <f t="shared" ca="1" si="3"/>
        <v/>
      </c>
      <c r="E44" s="32"/>
      <c r="F44" s="43" t="str">
        <f t="shared" si="4"/>
        <v/>
      </c>
      <c r="G44" s="30" t="s">
        <v>55</v>
      </c>
      <c r="H44" s="41"/>
      <c r="I44" s="33" t="str">
        <f>IF(A44="","",IF(H44="","⚠️ Enter Agent Code",IF(IFERROR(VLOOKUP(G44,DB_Agents!$B:$F,4,0),"")=TEXT(H44,"0"),IF(AND(A44&lt;&gt;"",E44&lt;&gt;""),"✅ Saved","Pending"),"🔒 WRONG CODE")))</f>
        <v/>
      </c>
      <c r="J44" s="33" t="str">
        <f t="shared" ca="1" si="5"/>
        <v>—</v>
      </c>
      <c r="K44" s="46"/>
    </row>
    <row r="45" spans="1:11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IF(A45="","",IFERROR(VLOOKUP(A45,DB_Customers!$A:$M,13,0),""))</f>
        <v/>
      </c>
      <c r="D45" s="42" t="str">
        <f t="shared" ca="1" si="3"/>
        <v/>
      </c>
      <c r="E45" s="32"/>
      <c r="F45" s="43" t="str">
        <f t="shared" si="4"/>
        <v/>
      </c>
      <c r="G45" s="30" t="s">
        <v>55</v>
      </c>
      <c r="H45" s="41"/>
      <c r="I45" s="33" t="str">
        <f>IF(A45="","",IF(H45="","⚠️ Enter Agent Code",IF(IFERROR(VLOOKUP(G45,DB_Agents!$B:$F,4,0),"")=TEXT(H45,"0"),IF(AND(A45&lt;&gt;"",E45&lt;&gt;""),"✅ Saved","Pending"),"🔒 WRONG CODE")))</f>
        <v/>
      </c>
      <c r="J45" s="33" t="str">
        <f t="shared" ca="1" si="5"/>
        <v>—</v>
      </c>
      <c r="K45" s="22"/>
    </row>
    <row r="46" spans="1:11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IF(A46="","",IFERROR(VLOOKUP(A46,DB_Customers!$A:$M,13,0),""))</f>
        <v/>
      </c>
      <c r="D46" s="42" t="str">
        <f t="shared" ca="1" si="3"/>
        <v/>
      </c>
      <c r="E46" s="32"/>
      <c r="F46" s="43" t="str">
        <f t="shared" si="4"/>
        <v/>
      </c>
      <c r="G46" s="30" t="s">
        <v>55</v>
      </c>
      <c r="H46" s="41"/>
      <c r="I46" s="33" t="str">
        <f>IF(A46="","",IF(H46="","⚠️ Enter Agent Code",IF(IFERROR(VLOOKUP(G46,DB_Agents!$B:$F,4,0),"")=TEXT(H46,"0"),IF(AND(A46&lt;&gt;"",E46&lt;&gt;""),"✅ Saved","Pending"),"🔒 WRONG CODE")))</f>
        <v/>
      </c>
      <c r="J46" s="33" t="str">
        <f t="shared" ca="1" si="5"/>
        <v>—</v>
      </c>
      <c r="K46" s="46"/>
    </row>
    <row r="47" spans="1:11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IF(A47="","",IFERROR(VLOOKUP(A47,DB_Customers!$A:$M,13,0),""))</f>
        <v/>
      </c>
      <c r="D47" s="42" t="str">
        <f t="shared" ca="1" si="3"/>
        <v/>
      </c>
      <c r="E47" s="32"/>
      <c r="F47" s="43" t="str">
        <f t="shared" si="4"/>
        <v/>
      </c>
      <c r="G47" s="30" t="s">
        <v>55</v>
      </c>
      <c r="H47" s="41"/>
      <c r="I47" s="33" t="str">
        <f>IF(A47="","",IF(H47="","⚠️ Enter Agent Code",IF(IFERROR(VLOOKUP(G47,DB_Agents!$B:$F,4,0),"")=TEXT(H47,"0"),IF(AND(A47&lt;&gt;"",E47&lt;&gt;""),"✅ Saved","Pending"),"🔒 WRONG CODE")))</f>
        <v/>
      </c>
      <c r="J47" s="33" t="str">
        <f t="shared" ca="1" si="5"/>
        <v>—</v>
      </c>
      <c r="K47" s="22"/>
    </row>
    <row r="48" spans="1:11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IF(A48="","",IFERROR(VLOOKUP(A48,DB_Customers!$A:$M,13,0),""))</f>
        <v/>
      </c>
      <c r="D48" s="42" t="str">
        <f t="shared" ca="1" si="3"/>
        <v/>
      </c>
      <c r="E48" s="32"/>
      <c r="F48" s="43" t="str">
        <f t="shared" si="4"/>
        <v/>
      </c>
      <c r="G48" s="30" t="s">
        <v>55</v>
      </c>
      <c r="H48" s="41"/>
      <c r="I48" s="33" t="str">
        <f>IF(A48="","",IF(H48="","⚠️ Enter Agent Code",IF(IFERROR(VLOOKUP(G48,DB_Agents!$B:$F,4,0),"")=TEXT(H48,"0"),IF(AND(A48&lt;&gt;"",E48&lt;&gt;""),"✅ Saved","Pending"),"🔒 WRONG CODE")))</f>
        <v/>
      </c>
      <c r="J48" s="33" t="str">
        <f t="shared" ca="1" si="5"/>
        <v>—</v>
      </c>
      <c r="K48" s="46"/>
    </row>
    <row r="49" spans="1:11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IF(A49="","",IFERROR(VLOOKUP(A49,DB_Customers!$A:$M,13,0),""))</f>
        <v/>
      </c>
      <c r="D49" s="42" t="str">
        <f t="shared" ca="1" si="3"/>
        <v/>
      </c>
      <c r="E49" s="32"/>
      <c r="F49" s="43" t="str">
        <f t="shared" si="4"/>
        <v/>
      </c>
      <c r="G49" s="30" t="s">
        <v>55</v>
      </c>
      <c r="H49" s="41"/>
      <c r="I49" s="33" t="str">
        <f>IF(A49="","",IF(H49="","⚠️ Enter Agent Code",IF(IFERROR(VLOOKUP(G49,DB_Agents!$B:$F,4,0),"")=TEXT(H49,"0"),IF(AND(A49&lt;&gt;"",E49&lt;&gt;""),"✅ Saved","Pending"),"🔒 WRONG CODE")))</f>
        <v/>
      </c>
      <c r="J49" s="33" t="str">
        <f t="shared" ca="1" si="5"/>
        <v>—</v>
      </c>
      <c r="K49" s="22"/>
    </row>
    <row r="50" spans="1:11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IF(A50="","",IFERROR(VLOOKUP(A50,DB_Customers!$A:$M,13,0),""))</f>
        <v/>
      </c>
      <c r="D50" s="42" t="str">
        <f t="shared" ca="1" si="3"/>
        <v/>
      </c>
      <c r="E50" s="32"/>
      <c r="F50" s="43" t="str">
        <f t="shared" si="4"/>
        <v/>
      </c>
      <c r="G50" s="30" t="s">
        <v>55</v>
      </c>
      <c r="H50" s="41"/>
      <c r="I50" s="33" t="str">
        <f>IF(A50="","",IF(H50="","⚠️ Enter Agent Code",IF(IFERROR(VLOOKUP(G50,DB_Agents!$B:$F,4,0),"")=TEXT(H50,"0"),IF(AND(A50&lt;&gt;"",E50&lt;&gt;""),"✅ Saved","Pending"),"🔒 WRONG CODE")))</f>
        <v/>
      </c>
      <c r="J50" s="33" t="str">
        <f t="shared" ca="1" si="5"/>
        <v>—</v>
      </c>
      <c r="K50" s="46"/>
    </row>
    <row r="51" spans="1:11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IF(A51="","",IFERROR(VLOOKUP(A51,DB_Customers!$A:$M,13,0),""))</f>
        <v/>
      </c>
      <c r="D51" s="42" t="str">
        <f t="shared" ca="1" si="3"/>
        <v/>
      </c>
      <c r="E51" s="32"/>
      <c r="F51" s="43" t="str">
        <f t="shared" si="4"/>
        <v/>
      </c>
      <c r="G51" s="30" t="s">
        <v>55</v>
      </c>
      <c r="H51" s="41"/>
      <c r="I51" s="33" t="str">
        <f>IF(A51="","",IF(H51="","⚠️ Enter Agent Code",IF(IFERROR(VLOOKUP(G51,DB_Agents!$B:$F,4,0),"")=TEXT(H51,"0"),IF(AND(A51&lt;&gt;"",E51&lt;&gt;""),"✅ Saved","Pending"),"🔒 WRONG CODE")))</f>
        <v/>
      </c>
      <c r="J51" s="33" t="str">
        <f t="shared" ca="1" si="5"/>
        <v>—</v>
      </c>
      <c r="K51" s="22"/>
    </row>
    <row r="52" spans="1:11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IF(A52="","",IFERROR(VLOOKUP(A52,DB_Customers!$A:$M,13,0),""))</f>
        <v/>
      </c>
      <c r="D52" s="42" t="str">
        <f t="shared" ca="1" si="3"/>
        <v/>
      </c>
      <c r="E52" s="32"/>
      <c r="F52" s="43" t="str">
        <f t="shared" si="4"/>
        <v/>
      </c>
      <c r="G52" s="30" t="s">
        <v>55</v>
      </c>
      <c r="H52" s="41"/>
      <c r="I52" s="33" t="str">
        <f>IF(A52="","",IF(H52="","⚠️ Enter Agent Code",IF(IFERROR(VLOOKUP(G52,DB_Agents!$B:$F,4,0),"")=TEXT(H52,"0"),IF(AND(A52&lt;&gt;"",E52&lt;&gt;""),"✅ Saved","Pending"),"🔒 WRONG CODE")))</f>
        <v/>
      </c>
      <c r="J52" s="33" t="str">
        <f t="shared" ca="1" si="5"/>
        <v>—</v>
      </c>
      <c r="K52" s="46"/>
    </row>
    <row r="53" spans="1:11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IF(A53="","",IFERROR(VLOOKUP(A53,DB_Customers!$A:$M,13,0),""))</f>
        <v/>
      </c>
      <c r="D53" s="42" t="str">
        <f t="shared" ca="1" si="3"/>
        <v/>
      </c>
      <c r="E53" s="32"/>
      <c r="F53" s="43" t="str">
        <f t="shared" si="4"/>
        <v/>
      </c>
      <c r="G53" s="30" t="s">
        <v>55</v>
      </c>
      <c r="H53" s="41"/>
      <c r="I53" s="33" t="str">
        <f>IF(A53="","",IF(H53="","⚠️ Enter Agent Code",IF(IFERROR(VLOOKUP(G53,DB_Agents!$B:$F,4,0),"")=TEXT(H53,"0"),IF(AND(A53&lt;&gt;"",E53&lt;&gt;""),"✅ Saved","Pending"),"🔒 WRONG CODE")))</f>
        <v/>
      </c>
      <c r="J53" s="33" t="str">
        <f t="shared" ca="1" si="5"/>
        <v>—</v>
      </c>
      <c r="K53" s="22"/>
    </row>
    <row r="54" spans="1:11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IF(A54="","",IFERROR(VLOOKUP(A54,DB_Customers!$A:$M,13,0),""))</f>
        <v/>
      </c>
      <c r="D54" s="42" t="str">
        <f t="shared" ca="1" si="3"/>
        <v/>
      </c>
      <c r="E54" s="32"/>
      <c r="F54" s="43" t="str">
        <f t="shared" si="4"/>
        <v/>
      </c>
      <c r="G54" s="30" t="s">
        <v>55</v>
      </c>
      <c r="H54" s="41"/>
      <c r="I54" s="33" t="str">
        <f>IF(A54="","",IF(H54="","⚠️ Enter Agent Code",IF(IFERROR(VLOOKUP(G54,DB_Agents!$B:$F,4,0),"")=TEXT(H54,"0"),IF(AND(A54&lt;&gt;"",E54&lt;&gt;""),"✅ Saved","Pending"),"🔒 WRONG CODE")))</f>
        <v/>
      </c>
      <c r="J54" s="33" t="str">
        <f t="shared" ca="1" si="5"/>
        <v>—</v>
      </c>
      <c r="K54" s="46"/>
    </row>
    <row r="55" spans="1:11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IF(A55="","",IFERROR(VLOOKUP(A55,DB_Customers!$A:$M,13,0),""))</f>
        <v/>
      </c>
      <c r="D55" s="42" t="str">
        <f t="shared" ca="1" si="3"/>
        <v/>
      </c>
      <c r="E55" s="32"/>
      <c r="F55" s="43" t="str">
        <f t="shared" si="4"/>
        <v/>
      </c>
      <c r="G55" s="30" t="s">
        <v>55</v>
      </c>
      <c r="H55" s="41"/>
      <c r="I55" s="33" t="str">
        <f>IF(A55="","",IF(H55="","⚠️ Enter Agent Code",IF(IFERROR(VLOOKUP(G55,DB_Agents!$B:$F,4,0),"")=TEXT(H55,"0"),IF(AND(A55&lt;&gt;"",E55&lt;&gt;""),"✅ Saved","Pending"),"🔒 WRONG CODE")))</f>
        <v/>
      </c>
      <c r="J55" s="33" t="str">
        <f t="shared" ca="1" si="5"/>
        <v>—</v>
      </c>
      <c r="K55" s="22"/>
    </row>
    <row r="56" spans="1:11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IF(A56="","",IFERROR(VLOOKUP(A56,DB_Customers!$A:$M,13,0),""))</f>
        <v/>
      </c>
      <c r="D56" s="42" t="str">
        <f t="shared" ca="1" si="3"/>
        <v/>
      </c>
      <c r="E56" s="32"/>
      <c r="F56" s="43" t="str">
        <f t="shared" si="4"/>
        <v/>
      </c>
      <c r="G56" s="30" t="s">
        <v>55</v>
      </c>
      <c r="H56" s="41"/>
      <c r="I56" s="33" t="str">
        <f>IF(A56="","",IF(H56="","⚠️ Enter Agent Code",IF(IFERROR(VLOOKUP(G56,DB_Agents!$B:$F,4,0),"")=TEXT(H56,"0"),IF(AND(A56&lt;&gt;"",E56&lt;&gt;""),"✅ Saved","Pending"),"🔒 WRONG CODE")))</f>
        <v/>
      </c>
      <c r="J56" s="33" t="str">
        <f t="shared" ca="1" si="5"/>
        <v>—</v>
      </c>
      <c r="K56" s="46"/>
    </row>
    <row r="57" spans="1:11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IF(A57="","",IFERROR(VLOOKUP(A57,DB_Customers!$A:$M,13,0),""))</f>
        <v/>
      </c>
      <c r="D57" s="42" t="str">
        <f t="shared" ca="1" si="3"/>
        <v/>
      </c>
      <c r="E57" s="32"/>
      <c r="F57" s="43" t="str">
        <f t="shared" si="4"/>
        <v/>
      </c>
      <c r="G57" s="30" t="s">
        <v>55</v>
      </c>
      <c r="H57" s="41"/>
      <c r="I57" s="33" t="str">
        <f>IF(A57="","",IF(H57="","⚠️ Enter Agent Code",IF(IFERROR(VLOOKUP(G57,DB_Agents!$B:$F,4,0),"")=TEXT(H57,"0"),IF(AND(A57&lt;&gt;"",E57&lt;&gt;""),"✅ Saved","Pending"),"🔒 WRONG CODE")))</f>
        <v/>
      </c>
      <c r="J57" s="33" t="str">
        <f t="shared" ca="1" si="5"/>
        <v>—</v>
      </c>
      <c r="K57" s="22"/>
    </row>
    <row r="58" spans="1:11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IF(A58="","",IFERROR(VLOOKUP(A58,DB_Customers!$A:$M,13,0),""))</f>
        <v/>
      </c>
      <c r="D58" s="42" t="str">
        <f t="shared" ca="1" si="3"/>
        <v/>
      </c>
      <c r="E58" s="32"/>
      <c r="F58" s="43" t="str">
        <f t="shared" si="4"/>
        <v/>
      </c>
      <c r="G58" s="30" t="s">
        <v>55</v>
      </c>
      <c r="H58" s="41"/>
      <c r="I58" s="33" t="str">
        <f>IF(A58="","",IF(H58="","⚠️ Enter Agent Code",IF(IFERROR(VLOOKUP(G58,DB_Agents!$B:$F,4,0),"")=TEXT(H58,"0"),IF(AND(A58&lt;&gt;"",E58&lt;&gt;""),"✅ Saved","Pending"),"🔒 WRONG CODE")))</f>
        <v/>
      </c>
      <c r="J58" s="33" t="str">
        <f t="shared" ca="1" si="5"/>
        <v>—</v>
      </c>
      <c r="K58" s="46"/>
    </row>
    <row r="59" spans="1:11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IF(A59="","",IFERROR(VLOOKUP(A59,DB_Customers!$A:$M,13,0),""))</f>
        <v/>
      </c>
      <c r="D59" s="42" t="str">
        <f t="shared" ca="1" si="3"/>
        <v/>
      </c>
      <c r="E59" s="32"/>
      <c r="F59" s="43" t="str">
        <f t="shared" si="4"/>
        <v/>
      </c>
      <c r="G59" s="30" t="s">
        <v>55</v>
      </c>
      <c r="H59" s="41"/>
      <c r="I59" s="33" t="str">
        <f>IF(A59="","",IF(H59="","⚠️ Enter Agent Code",IF(IFERROR(VLOOKUP(G59,DB_Agents!$B:$F,4,0),"")=TEXT(H59,"0"),IF(AND(A59&lt;&gt;"",E59&lt;&gt;""),"✅ Saved","Pending"),"🔒 WRONG CODE")))</f>
        <v/>
      </c>
      <c r="J59" s="33" t="str">
        <f t="shared" ca="1" si="5"/>
        <v>—</v>
      </c>
      <c r="K59" s="22"/>
    </row>
    <row r="60" spans="1:11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IF(A60="","",IFERROR(VLOOKUP(A60,DB_Customers!$A:$M,13,0),""))</f>
        <v/>
      </c>
      <c r="D60" s="42" t="str">
        <f t="shared" ca="1" si="3"/>
        <v/>
      </c>
      <c r="E60" s="32"/>
      <c r="F60" s="43" t="str">
        <f t="shared" si="4"/>
        <v/>
      </c>
      <c r="G60" s="30" t="s">
        <v>55</v>
      </c>
      <c r="H60" s="41"/>
      <c r="I60" s="33" t="str">
        <f>IF(A60="","",IF(H60="","⚠️ Enter Agent Code",IF(IFERROR(VLOOKUP(G60,DB_Agents!$B:$F,4,0),"")=TEXT(H60,"0"),IF(AND(A60&lt;&gt;"",E60&lt;&gt;""),"✅ Saved","Pending"),"🔒 WRONG CODE")))</f>
        <v/>
      </c>
      <c r="J60" s="33" t="str">
        <f t="shared" ca="1" si="5"/>
        <v>—</v>
      </c>
      <c r="K60" s="46"/>
    </row>
    <row r="61" spans="1:11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IF(A61="","",IFERROR(VLOOKUP(A61,DB_Customers!$A:$M,13,0),""))</f>
        <v/>
      </c>
      <c r="D61" s="42" t="str">
        <f t="shared" ca="1" si="3"/>
        <v/>
      </c>
      <c r="E61" s="32"/>
      <c r="F61" s="43" t="str">
        <f t="shared" si="4"/>
        <v/>
      </c>
      <c r="G61" s="30" t="s">
        <v>55</v>
      </c>
      <c r="H61" s="41"/>
      <c r="I61" s="33" t="str">
        <f>IF(A61="","",IF(H61="","⚠️ Enter Agent Code",IF(IFERROR(VLOOKUP(G61,DB_Agents!$B:$F,4,0),"")=TEXT(H61,"0"),IF(AND(A61&lt;&gt;"",E61&lt;&gt;""),"✅ Saved","Pending"),"🔒 WRONG CODE")))</f>
        <v/>
      </c>
      <c r="J61" s="33" t="str">
        <f t="shared" ca="1" si="5"/>
        <v>—</v>
      </c>
      <c r="K61" s="22"/>
    </row>
    <row r="62" spans="1:11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IF(A62="","",IFERROR(VLOOKUP(A62,DB_Customers!$A:$M,13,0),""))</f>
        <v/>
      </c>
      <c r="D62" s="42" t="str">
        <f t="shared" ca="1" si="3"/>
        <v/>
      </c>
      <c r="E62" s="32"/>
      <c r="F62" s="43" t="str">
        <f t="shared" si="4"/>
        <v/>
      </c>
      <c r="G62" s="30" t="s">
        <v>55</v>
      </c>
      <c r="H62" s="41"/>
      <c r="I62" s="33" t="str">
        <f>IF(A62="","",IF(H62="","⚠️ Enter Agent Code",IF(IFERROR(VLOOKUP(G62,DB_Agents!$B:$F,4,0),"")=TEXT(H62,"0"),IF(AND(A62&lt;&gt;"",E62&lt;&gt;""),"✅ Saved","Pending"),"🔒 WRONG CODE")))</f>
        <v/>
      </c>
      <c r="J62" s="33" t="str">
        <f t="shared" ca="1" si="5"/>
        <v>—</v>
      </c>
      <c r="K62" s="46"/>
    </row>
    <row r="63" spans="1:11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IF(A63="","",IFERROR(VLOOKUP(A63,DB_Customers!$A:$M,13,0),""))</f>
        <v/>
      </c>
      <c r="D63" s="42" t="str">
        <f t="shared" ca="1" si="3"/>
        <v/>
      </c>
      <c r="E63" s="32"/>
      <c r="F63" s="43" t="str">
        <f t="shared" si="4"/>
        <v/>
      </c>
      <c r="G63" s="30" t="s">
        <v>55</v>
      </c>
      <c r="H63" s="41"/>
      <c r="I63" s="33" t="str">
        <f>IF(A63="","",IF(H63="","⚠️ Enter Agent Code",IF(IFERROR(VLOOKUP(G63,DB_Agents!$B:$F,4,0),"")=TEXT(H63,"0"),IF(AND(A63&lt;&gt;"",E63&lt;&gt;""),"✅ Saved","Pending"),"🔒 WRONG CODE")))</f>
        <v/>
      </c>
      <c r="J63" s="33" t="str">
        <f t="shared" ca="1" si="5"/>
        <v>—</v>
      </c>
      <c r="K63" s="22"/>
    </row>
    <row r="64" spans="1:11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IF(A64="","",IFERROR(VLOOKUP(A64,DB_Customers!$A:$M,13,0),""))</f>
        <v/>
      </c>
      <c r="D64" s="42" t="str">
        <f t="shared" ca="1" si="3"/>
        <v/>
      </c>
      <c r="E64" s="32"/>
      <c r="F64" s="43" t="str">
        <f t="shared" si="4"/>
        <v/>
      </c>
      <c r="G64" s="30" t="s">
        <v>55</v>
      </c>
      <c r="H64" s="41"/>
      <c r="I64" s="33" t="str">
        <f>IF(A64="","",IF(H64="","⚠️ Enter Agent Code",IF(IFERROR(VLOOKUP(G64,DB_Agents!$B:$F,4,0),"")=TEXT(H64,"0"),IF(AND(A64&lt;&gt;"",E64&lt;&gt;""),"✅ Saved","Pending"),"🔒 WRONG CODE")))</f>
        <v/>
      </c>
      <c r="J64" s="33" t="str">
        <f t="shared" ca="1" si="5"/>
        <v>—</v>
      </c>
      <c r="K64" s="46"/>
    </row>
    <row r="65" spans="1:11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IF(A65="","",IFERROR(VLOOKUP(A65,DB_Customers!$A:$M,13,0),""))</f>
        <v/>
      </c>
      <c r="D65" s="42" t="str">
        <f t="shared" ca="1" si="3"/>
        <v/>
      </c>
      <c r="E65" s="32"/>
      <c r="F65" s="43" t="str">
        <f t="shared" si="4"/>
        <v/>
      </c>
      <c r="G65" s="30" t="s">
        <v>55</v>
      </c>
      <c r="H65" s="41"/>
      <c r="I65" s="33" t="str">
        <f>IF(A65="","",IF(H65="","⚠️ Enter Agent Code",IF(IFERROR(VLOOKUP(G65,DB_Agents!$B:$F,4,0),"")=TEXT(H65,"0"),IF(AND(A65&lt;&gt;"",E65&lt;&gt;""),"✅ Saved","Pending"),"🔒 WRONG CODE")))</f>
        <v/>
      </c>
      <c r="J65" s="33" t="str">
        <f t="shared" ca="1" si="5"/>
        <v>—</v>
      </c>
      <c r="K65" s="22"/>
    </row>
    <row r="66" spans="1:11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IF(A66="","",IFERROR(VLOOKUP(A66,DB_Customers!$A:$M,13,0),""))</f>
        <v/>
      </c>
      <c r="D66" s="42" t="str">
        <f t="shared" ca="1" si="3"/>
        <v/>
      </c>
      <c r="E66" s="32"/>
      <c r="F66" s="43" t="str">
        <f t="shared" si="4"/>
        <v/>
      </c>
      <c r="G66" s="30" t="s">
        <v>55</v>
      </c>
      <c r="H66" s="41"/>
      <c r="I66" s="33" t="str">
        <f>IF(A66="","",IF(H66="","⚠️ Enter Agent Code",IF(IFERROR(VLOOKUP(G66,DB_Agents!$B:$F,4,0),"")=TEXT(H66,"0"),IF(AND(A66&lt;&gt;"",E66&lt;&gt;""),"✅ Saved","Pending"),"🔒 WRONG CODE")))</f>
        <v/>
      </c>
      <c r="J66" s="33" t="str">
        <f t="shared" ca="1" si="5"/>
        <v>—</v>
      </c>
      <c r="K66" s="46"/>
    </row>
    <row r="67" spans="1:11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IF(A67="","",IFERROR(VLOOKUP(A67,DB_Customers!$A:$M,13,0),""))</f>
        <v/>
      </c>
      <c r="D67" s="42" t="str">
        <f t="shared" ca="1" si="3"/>
        <v/>
      </c>
      <c r="E67" s="32"/>
      <c r="F67" s="43" t="str">
        <f t="shared" si="4"/>
        <v/>
      </c>
      <c r="G67" s="30" t="s">
        <v>55</v>
      </c>
      <c r="H67" s="41"/>
      <c r="I67" s="33" t="str">
        <f>IF(A67="","",IF(H67="","⚠️ Enter Agent Code",IF(IFERROR(VLOOKUP(G67,DB_Agents!$B:$F,4,0),"")=TEXT(H67,"0"),IF(AND(A67&lt;&gt;"",E67&lt;&gt;""),"✅ Saved","Pending"),"🔒 WRONG CODE")))</f>
        <v/>
      </c>
      <c r="J67" s="33" t="str">
        <f t="shared" ca="1" si="5"/>
        <v>—</v>
      </c>
      <c r="K67" s="22"/>
    </row>
    <row r="68" spans="1:11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IF(A68="","",IFERROR(VLOOKUP(A68,DB_Customers!$A:$M,13,0),""))</f>
        <v/>
      </c>
      <c r="D68" s="42" t="str">
        <f t="shared" ca="1" si="3"/>
        <v/>
      </c>
      <c r="E68" s="32"/>
      <c r="F68" s="43" t="str">
        <f t="shared" si="4"/>
        <v/>
      </c>
      <c r="G68" s="30" t="s">
        <v>55</v>
      </c>
      <c r="H68" s="41"/>
      <c r="I68" s="33" t="str">
        <f>IF(A68="","",IF(H68="","⚠️ Enter Agent Code",IF(IFERROR(VLOOKUP(G68,DB_Agents!$B:$F,4,0),"")=TEXT(H68,"0"),IF(AND(A68&lt;&gt;"",E68&lt;&gt;""),"✅ Saved","Pending"),"🔒 WRONG CODE")))</f>
        <v/>
      </c>
      <c r="J68" s="33" t="str">
        <f t="shared" ca="1" si="5"/>
        <v>—</v>
      </c>
      <c r="K68" s="46"/>
    </row>
    <row r="69" spans="1:11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IF(A69="","",IFERROR(VLOOKUP(A69,DB_Customers!$A:$M,13,0),""))</f>
        <v/>
      </c>
      <c r="D69" s="42" t="str">
        <f t="shared" ca="1" si="3"/>
        <v/>
      </c>
      <c r="E69" s="32"/>
      <c r="F69" s="43" t="str">
        <f t="shared" si="4"/>
        <v/>
      </c>
      <c r="G69" s="30" t="s">
        <v>55</v>
      </c>
      <c r="H69" s="41"/>
      <c r="I69" s="33" t="str">
        <f>IF(A69="","",IF(H69="","⚠️ Enter Agent Code",IF(IFERROR(VLOOKUP(G69,DB_Agents!$B:$F,4,0),"")=TEXT(H69,"0"),IF(AND(A69&lt;&gt;"",E69&lt;&gt;""),"✅ Saved","Pending"),"🔒 WRONG CODE")))</f>
        <v/>
      </c>
      <c r="J69" s="33" t="str">
        <f t="shared" ca="1" si="5"/>
        <v>—</v>
      </c>
      <c r="K69" s="22"/>
    </row>
    <row r="70" spans="1:11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IF(A70="","",IFERROR(VLOOKUP(A70,DB_Customers!$A:$M,13,0),""))</f>
        <v/>
      </c>
      <c r="D70" s="42" t="str">
        <f t="shared" ca="1" si="3"/>
        <v/>
      </c>
      <c r="E70" s="32"/>
      <c r="F70" s="43" t="str">
        <f t="shared" si="4"/>
        <v/>
      </c>
      <c r="G70" s="30" t="s">
        <v>55</v>
      </c>
      <c r="H70" s="41"/>
      <c r="I70" s="33" t="str">
        <f>IF(A70="","",IF(H70="","⚠️ Enter Agent Code",IF(IFERROR(VLOOKUP(G70,DB_Agents!$B:$F,4,0),"")=TEXT(H70,"0"),IF(AND(A70&lt;&gt;"",E70&lt;&gt;""),"✅ Saved","Pending"),"🔒 WRONG CODE")))</f>
        <v/>
      </c>
      <c r="J70" s="33" t="str">
        <f t="shared" ca="1" si="5"/>
        <v>—</v>
      </c>
      <c r="K70" s="46"/>
    </row>
    <row r="71" spans="1:11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IF(A71="","",IFERROR(VLOOKUP(A71,DB_Customers!$A:$M,13,0),""))</f>
        <v/>
      </c>
      <c r="D71" s="42" t="str">
        <f t="shared" ca="1" si="3"/>
        <v/>
      </c>
      <c r="E71" s="32"/>
      <c r="F71" s="43" t="str">
        <f t="shared" si="4"/>
        <v/>
      </c>
      <c r="G71" s="30" t="s">
        <v>55</v>
      </c>
      <c r="H71" s="41"/>
      <c r="I71" s="33" t="str">
        <f>IF(A71="","",IF(H71="","⚠️ Enter Agent Code",IF(IFERROR(VLOOKUP(G71,DB_Agents!$B:$F,4,0),"")=TEXT(H71,"0"),IF(AND(A71&lt;&gt;"",E71&lt;&gt;""),"✅ Saved","Pending"),"🔒 WRONG CODE")))</f>
        <v/>
      </c>
      <c r="J71" s="33" t="str">
        <f t="shared" ca="1" si="5"/>
        <v>—</v>
      </c>
      <c r="K71" s="22"/>
    </row>
    <row r="72" spans="1:11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IF(A72="","",IFERROR(VLOOKUP(A72,DB_Customers!$A:$M,13,0),""))</f>
        <v/>
      </c>
      <c r="D72" s="42" t="str">
        <f t="shared" ca="1" si="3"/>
        <v/>
      </c>
      <c r="E72" s="32"/>
      <c r="F72" s="43" t="str">
        <f t="shared" si="4"/>
        <v/>
      </c>
      <c r="G72" s="30" t="s">
        <v>55</v>
      </c>
      <c r="H72" s="41"/>
      <c r="I72" s="33" t="str">
        <f>IF(A72="","",IF(H72="","⚠️ Enter Agent Code",IF(IFERROR(VLOOKUP(G72,DB_Agents!$B:$F,4,0),"")=TEXT(H72,"0"),IF(AND(A72&lt;&gt;"",E72&lt;&gt;""),"✅ Saved","Pending"),"🔒 WRONG CODE")))</f>
        <v/>
      </c>
      <c r="J72" s="33" t="str">
        <f t="shared" ca="1" si="5"/>
        <v>—</v>
      </c>
      <c r="K72" s="46"/>
    </row>
    <row r="73" spans="1:11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IF(A73="","",IFERROR(VLOOKUP(A73,DB_Customers!$A:$M,13,0),""))</f>
        <v/>
      </c>
      <c r="D73" s="42" t="str">
        <f t="shared" ref="D73:D104" ca="1" si="6">IF(A73="","",TODAY())</f>
        <v/>
      </c>
      <c r="E73" s="32"/>
      <c r="F73" s="43" t="str">
        <f t="shared" ref="F73:F104" si="7">IFERROR(IF(OR(A73="",E73=""),"",C73+E73),"")</f>
        <v/>
      </c>
      <c r="G73" s="30" t="s">
        <v>55</v>
      </c>
      <c r="H73" s="41"/>
      <c r="I73" s="33" t="str">
        <f>IF(A73="","",IF(H73="","⚠️ Enter Agent Code",IF(IFERROR(VLOOKUP(G73,DB_Agents!$B:$F,4,0),"")=TEXT(H73,"0"),IF(AND(A73&lt;&gt;"",E73&lt;&gt;""),"✅ Saved","Pending"),"🔒 WRONG CODE")))</f>
        <v/>
      </c>
      <c r="J73" s="33" t="str">
        <f t="shared" ref="J73:J104" ca="1" si="8">IF(I73="✅ Saved",TEXT(TODAY(),"YYYY-MM-DD")&amp;" Auto","—")</f>
        <v>—</v>
      </c>
      <c r="K73" s="22"/>
    </row>
    <row r="74" spans="1:11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IF(A74="","",IFERROR(VLOOKUP(A74,DB_Customers!$A:$M,13,0),""))</f>
        <v/>
      </c>
      <c r="D74" s="42" t="str">
        <f t="shared" ca="1" si="6"/>
        <v/>
      </c>
      <c r="E74" s="32"/>
      <c r="F74" s="43" t="str">
        <f t="shared" si="7"/>
        <v/>
      </c>
      <c r="G74" s="30" t="s">
        <v>55</v>
      </c>
      <c r="H74" s="41"/>
      <c r="I74" s="33" t="str">
        <f>IF(A74="","",IF(H74="","⚠️ Enter Agent Code",IF(IFERROR(VLOOKUP(G74,DB_Agents!$B:$F,4,0),"")=TEXT(H74,"0"),IF(AND(A74&lt;&gt;"",E74&lt;&gt;""),"✅ Saved","Pending"),"🔒 WRONG CODE")))</f>
        <v/>
      </c>
      <c r="J74" s="33" t="str">
        <f t="shared" ca="1" si="8"/>
        <v>—</v>
      </c>
      <c r="K74" s="46"/>
    </row>
    <row r="75" spans="1:11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IF(A75="","",IFERROR(VLOOKUP(A75,DB_Customers!$A:$M,13,0),""))</f>
        <v/>
      </c>
      <c r="D75" s="42" t="str">
        <f t="shared" ca="1" si="6"/>
        <v/>
      </c>
      <c r="E75" s="32"/>
      <c r="F75" s="43" t="str">
        <f t="shared" si="7"/>
        <v/>
      </c>
      <c r="G75" s="30" t="s">
        <v>55</v>
      </c>
      <c r="H75" s="41"/>
      <c r="I75" s="33" t="str">
        <f>IF(A75="","",IF(H75="","⚠️ Enter Agent Code",IF(IFERROR(VLOOKUP(G75,DB_Agents!$B:$F,4,0),"")=TEXT(H75,"0"),IF(AND(A75&lt;&gt;"",E75&lt;&gt;""),"✅ Saved","Pending"),"🔒 WRONG CODE")))</f>
        <v/>
      </c>
      <c r="J75" s="33" t="str">
        <f t="shared" ca="1" si="8"/>
        <v>—</v>
      </c>
      <c r="K75" s="22"/>
    </row>
    <row r="76" spans="1:11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IF(A76="","",IFERROR(VLOOKUP(A76,DB_Customers!$A:$M,13,0),""))</f>
        <v/>
      </c>
      <c r="D76" s="42" t="str">
        <f t="shared" ca="1" si="6"/>
        <v/>
      </c>
      <c r="E76" s="32"/>
      <c r="F76" s="43" t="str">
        <f t="shared" si="7"/>
        <v/>
      </c>
      <c r="G76" s="30" t="s">
        <v>55</v>
      </c>
      <c r="H76" s="41"/>
      <c r="I76" s="33" t="str">
        <f>IF(A76="","",IF(H76="","⚠️ Enter Agent Code",IF(IFERROR(VLOOKUP(G76,DB_Agents!$B:$F,4,0),"")=TEXT(H76,"0"),IF(AND(A76&lt;&gt;"",E76&lt;&gt;""),"✅ Saved","Pending"),"🔒 WRONG CODE")))</f>
        <v/>
      </c>
      <c r="J76" s="33" t="str">
        <f t="shared" ca="1" si="8"/>
        <v>—</v>
      </c>
      <c r="K76" s="46"/>
    </row>
    <row r="77" spans="1:11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IF(A77="","",IFERROR(VLOOKUP(A77,DB_Customers!$A:$M,13,0),""))</f>
        <v/>
      </c>
      <c r="D77" s="42" t="str">
        <f t="shared" ca="1" si="6"/>
        <v/>
      </c>
      <c r="E77" s="32"/>
      <c r="F77" s="43" t="str">
        <f t="shared" si="7"/>
        <v/>
      </c>
      <c r="G77" s="30" t="s">
        <v>55</v>
      </c>
      <c r="H77" s="41"/>
      <c r="I77" s="33" t="str">
        <f>IF(A77="","",IF(H77="","⚠️ Enter Agent Code",IF(IFERROR(VLOOKUP(G77,DB_Agents!$B:$F,4,0),"")=TEXT(H77,"0"),IF(AND(A77&lt;&gt;"",E77&lt;&gt;""),"✅ Saved","Pending"),"🔒 WRONG CODE")))</f>
        <v/>
      </c>
      <c r="J77" s="33" t="str">
        <f t="shared" ca="1" si="8"/>
        <v>—</v>
      </c>
      <c r="K77" s="22"/>
    </row>
    <row r="78" spans="1:11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IF(A78="","",IFERROR(VLOOKUP(A78,DB_Customers!$A:$M,13,0),""))</f>
        <v/>
      </c>
      <c r="D78" s="42" t="str">
        <f t="shared" ca="1" si="6"/>
        <v/>
      </c>
      <c r="E78" s="32"/>
      <c r="F78" s="43" t="str">
        <f t="shared" si="7"/>
        <v/>
      </c>
      <c r="G78" s="30" t="s">
        <v>55</v>
      </c>
      <c r="H78" s="41"/>
      <c r="I78" s="33" t="str">
        <f>IF(A78="","",IF(H78="","⚠️ Enter Agent Code",IF(IFERROR(VLOOKUP(G78,DB_Agents!$B:$F,4,0),"")=TEXT(H78,"0"),IF(AND(A78&lt;&gt;"",E78&lt;&gt;""),"✅ Saved","Pending"),"🔒 WRONG CODE")))</f>
        <v/>
      </c>
      <c r="J78" s="33" t="str">
        <f t="shared" ca="1" si="8"/>
        <v>—</v>
      </c>
      <c r="K78" s="46"/>
    </row>
    <row r="79" spans="1:11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IF(A79="","",IFERROR(VLOOKUP(A79,DB_Customers!$A:$M,13,0),""))</f>
        <v/>
      </c>
      <c r="D79" s="42" t="str">
        <f t="shared" ca="1" si="6"/>
        <v/>
      </c>
      <c r="E79" s="32"/>
      <c r="F79" s="43" t="str">
        <f t="shared" si="7"/>
        <v/>
      </c>
      <c r="G79" s="30" t="s">
        <v>55</v>
      </c>
      <c r="H79" s="41"/>
      <c r="I79" s="33" t="str">
        <f>IF(A79="","",IF(H79="","⚠️ Enter Agent Code",IF(IFERROR(VLOOKUP(G79,DB_Agents!$B:$F,4,0),"")=TEXT(H79,"0"),IF(AND(A79&lt;&gt;"",E79&lt;&gt;""),"✅ Saved","Pending"),"🔒 WRONG CODE")))</f>
        <v/>
      </c>
      <c r="J79" s="33" t="str">
        <f t="shared" ca="1" si="8"/>
        <v>—</v>
      </c>
      <c r="K79" s="22"/>
    </row>
    <row r="80" spans="1:11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IF(A80="","",IFERROR(VLOOKUP(A80,DB_Customers!$A:$M,13,0),""))</f>
        <v/>
      </c>
      <c r="D80" s="42" t="str">
        <f t="shared" ca="1" si="6"/>
        <v/>
      </c>
      <c r="E80" s="32"/>
      <c r="F80" s="43" t="str">
        <f t="shared" si="7"/>
        <v/>
      </c>
      <c r="G80" s="30" t="s">
        <v>55</v>
      </c>
      <c r="H80" s="41"/>
      <c r="I80" s="33" t="str">
        <f>IF(A80="","",IF(H80="","⚠️ Enter Agent Code",IF(IFERROR(VLOOKUP(G80,DB_Agents!$B:$F,4,0),"")=TEXT(H80,"0"),IF(AND(A80&lt;&gt;"",E80&lt;&gt;""),"✅ Saved","Pending"),"🔒 WRONG CODE")))</f>
        <v/>
      </c>
      <c r="J80" s="33" t="str">
        <f t="shared" ca="1" si="8"/>
        <v>—</v>
      </c>
      <c r="K80" s="46"/>
    </row>
    <row r="81" spans="1:11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IF(A81="","",IFERROR(VLOOKUP(A81,DB_Customers!$A:$M,13,0),""))</f>
        <v/>
      </c>
      <c r="D81" s="42" t="str">
        <f t="shared" ca="1" si="6"/>
        <v/>
      </c>
      <c r="E81" s="32"/>
      <c r="F81" s="43" t="str">
        <f t="shared" si="7"/>
        <v/>
      </c>
      <c r="G81" s="30" t="s">
        <v>55</v>
      </c>
      <c r="H81" s="41"/>
      <c r="I81" s="33" t="str">
        <f>IF(A81="","",IF(H81="","⚠️ Enter Agent Code",IF(IFERROR(VLOOKUP(G81,DB_Agents!$B:$F,4,0),"")=TEXT(H81,"0"),IF(AND(A81&lt;&gt;"",E81&lt;&gt;""),"✅ Saved","Pending"),"🔒 WRONG CODE")))</f>
        <v/>
      </c>
      <c r="J81" s="33" t="str">
        <f t="shared" ca="1" si="8"/>
        <v>—</v>
      </c>
      <c r="K81" s="22"/>
    </row>
    <row r="82" spans="1:11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IF(A82="","",IFERROR(VLOOKUP(A82,DB_Customers!$A:$M,13,0),""))</f>
        <v/>
      </c>
      <c r="D82" s="42" t="str">
        <f t="shared" ca="1" si="6"/>
        <v/>
      </c>
      <c r="E82" s="32"/>
      <c r="F82" s="43" t="str">
        <f t="shared" si="7"/>
        <v/>
      </c>
      <c r="G82" s="30" t="s">
        <v>55</v>
      </c>
      <c r="H82" s="41"/>
      <c r="I82" s="33" t="str">
        <f>IF(A82="","",IF(H82="","⚠️ Enter Agent Code",IF(IFERROR(VLOOKUP(G82,DB_Agents!$B:$F,4,0),"")=TEXT(H82,"0"),IF(AND(A82&lt;&gt;"",E82&lt;&gt;""),"✅ Saved","Pending"),"🔒 WRONG CODE")))</f>
        <v/>
      </c>
      <c r="J82" s="33" t="str">
        <f t="shared" ca="1" si="8"/>
        <v>—</v>
      </c>
      <c r="K82" s="46"/>
    </row>
    <row r="83" spans="1:11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IF(A83="","",IFERROR(VLOOKUP(A83,DB_Customers!$A:$M,13,0),""))</f>
        <v/>
      </c>
      <c r="D83" s="42" t="str">
        <f t="shared" ca="1" si="6"/>
        <v/>
      </c>
      <c r="E83" s="32"/>
      <c r="F83" s="43" t="str">
        <f t="shared" si="7"/>
        <v/>
      </c>
      <c r="G83" s="30" t="s">
        <v>55</v>
      </c>
      <c r="H83" s="41"/>
      <c r="I83" s="33" t="str">
        <f>IF(A83="","",IF(H83="","⚠️ Enter Agent Code",IF(IFERROR(VLOOKUP(G83,DB_Agents!$B:$F,4,0),"")=TEXT(H83,"0"),IF(AND(A83&lt;&gt;"",E83&lt;&gt;""),"✅ Saved","Pending"),"🔒 WRONG CODE")))</f>
        <v/>
      </c>
      <c r="J83" s="33" t="str">
        <f t="shared" ca="1" si="8"/>
        <v>—</v>
      </c>
      <c r="K83" s="22"/>
    </row>
    <row r="84" spans="1:11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IF(A84="","",IFERROR(VLOOKUP(A84,DB_Customers!$A:$M,13,0),""))</f>
        <v/>
      </c>
      <c r="D84" s="42" t="str">
        <f t="shared" ca="1" si="6"/>
        <v/>
      </c>
      <c r="E84" s="32"/>
      <c r="F84" s="43" t="str">
        <f t="shared" si="7"/>
        <v/>
      </c>
      <c r="G84" s="30" t="s">
        <v>55</v>
      </c>
      <c r="H84" s="41"/>
      <c r="I84" s="33" t="str">
        <f>IF(A84="","",IF(H84="","⚠️ Enter Agent Code",IF(IFERROR(VLOOKUP(G84,DB_Agents!$B:$F,4,0),"")=TEXT(H84,"0"),IF(AND(A84&lt;&gt;"",E84&lt;&gt;""),"✅ Saved","Pending"),"🔒 WRONG CODE")))</f>
        <v/>
      </c>
      <c r="J84" s="33" t="str">
        <f t="shared" ca="1" si="8"/>
        <v>—</v>
      </c>
      <c r="K84" s="46"/>
    </row>
    <row r="85" spans="1:11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IF(A85="","",IFERROR(VLOOKUP(A85,DB_Customers!$A:$M,13,0),""))</f>
        <v/>
      </c>
      <c r="D85" s="42" t="str">
        <f t="shared" ca="1" si="6"/>
        <v/>
      </c>
      <c r="E85" s="32"/>
      <c r="F85" s="43" t="str">
        <f t="shared" si="7"/>
        <v/>
      </c>
      <c r="G85" s="30" t="s">
        <v>55</v>
      </c>
      <c r="H85" s="41"/>
      <c r="I85" s="33" t="str">
        <f>IF(A85="","",IF(H85="","⚠️ Enter Agent Code",IF(IFERROR(VLOOKUP(G85,DB_Agents!$B:$F,4,0),"")=TEXT(H85,"0"),IF(AND(A85&lt;&gt;"",E85&lt;&gt;""),"✅ Saved","Pending"),"🔒 WRONG CODE")))</f>
        <v/>
      </c>
      <c r="J85" s="33" t="str">
        <f t="shared" ca="1" si="8"/>
        <v>—</v>
      </c>
      <c r="K85" s="22"/>
    </row>
    <row r="86" spans="1:11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IF(A86="","",IFERROR(VLOOKUP(A86,DB_Customers!$A:$M,13,0),""))</f>
        <v/>
      </c>
      <c r="D86" s="42" t="str">
        <f t="shared" ca="1" si="6"/>
        <v/>
      </c>
      <c r="E86" s="32"/>
      <c r="F86" s="43" t="str">
        <f t="shared" si="7"/>
        <v/>
      </c>
      <c r="G86" s="30" t="s">
        <v>55</v>
      </c>
      <c r="H86" s="41"/>
      <c r="I86" s="33" t="str">
        <f>IF(A86="","",IF(H86="","⚠️ Enter Agent Code",IF(IFERROR(VLOOKUP(G86,DB_Agents!$B:$F,4,0),"")=TEXT(H86,"0"),IF(AND(A86&lt;&gt;"",E86&lt;&gt;""),"✅ Saved","Pending"),"🔒 WRONG CODE")))</f>
        <v/>
      </c>
      <c r="J86" s="33" t="str">
        <f t="shared" ca="1" si="8"/>
        <v>—</v>
      </c>
      <c r="K86" s="46"/>
    </row>
    <row r="87" spans="1:11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IF(A87="","",IFERROR(VLOOKUP(A87,DB_Customers!$A:$M,13,0),""))</f>
        <v/>
      </c>
      <c r="D87" s="42" t="str">
        <f t="shared" ca="1" si="6"/>
        <v/>
      </c>
      <c r="E87" s="32"/>
      <c r="F87" s="43" t="str">
        <f t="shared" si="7"/>
        <v/>
      </c>
      <c r="G87" s="30" t="s">
        <v>55</v>
      </c>
      <c r="H87" s="41"/>
      <c r="I87" s="33" t="str">
        <f>IF(A87="","",IF(H87="","⚠️ Enter Agent Code",IF(IFERROR(VLOOKUP(G87,DB_Agents!$B:$F,4,0),"")=TEXT(H87,"0"),IF(AND(A87&lt;&gt;"",E87&lt;&gt;""),"✅ Saved","Pending"),"🔒 WRONG CODE")))</f>
        <v/>
      </c>
      <c r="J87" s="33" t="str">
        <f t="shared" ca="1" si="8"/>
        <v>—</v>
      </c>
      <c r="K87" s="22"/>
    </row>
    <row r="88" spans="1:11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IF(A88="","",IFERROR(VLOOKUP(A88,DB_Customers!$A:$M,13,0),""))</f>
        <v/>
      </c>
      <c r="D88" s="42" t="str">
        <f t="shared" ca="1" si="6"/>
        <v/>
      </c>
      <c r="E88" s="32"/>
      <c r="F88" s="43" t="str">
        <f t="shared" si="7"/>
        <v/>
      </c>
      <c r="G88" s="30" t="s">
        <v>55</v>
      </c>
      <c r="H88" s="41"/>
      <c r="I88" s="33" t="str">
        <f>IF(A88="","",IF(H88="","⚠️ Enter Agent Code",IF(IFERROR(VLOOKUP(G88,DB_Agents!$B:$F,4,0),"")=TEXT(H88,"0"),IF(AND(A88&lt;&gt;"",E88&lt;&gt;""),"✅ Saved","Pending"),"🔒 WRONG CODE")))</f>
        <v/>
      </c>
      <c r="J88" s="33" t="str">
        <f t="shared" ca="1" si="8"/>
        <v>—</v>
      </c>
      <c r="K88" s="46"/>
    </row>
    <row r="89" spans="1:11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IF(A89="","",IFERROR(VLOOKUP(A89,DB_Customers!$A:$M,13,0),""))</f>
        <v/>
      </c>
      <c r="D89" s="42" t="str">
        <f t="shared" ca="1" si="6"/>
        <v/>
      </c>
      <c r="E89" s="32"/>
      <c r="F89" s="43" t="str">
        <f t="shared" si="7"/>
        <v/>
      </c>
      <c r="G89" s="30" t="s">
        <v>55</v>
      </c>
      <c r="H89" s="41"/>
      <c r="I89" s="33" t="str">
        <f>IF(A89="","",IF(H89="","⚠️ Enter Agent Code",IF(IFERROR(VLOOKUP(G89,DB_Agents!$B:$F,4,0),"")=TEXT(H89,"0"),IF(AND(A89&lt;&gt;"",E89&lt;&gt;""),"✅ Saved","Pending"),"🔒 WRONG CODE")))</f>
        <v/>
      </c>
      <c r="J89" s="33" t="str">
        <f t="shared" ca="1" si="8"/>
        <v>—</v>
      </c>
      <c r="K89" s="22"/>
    </row>
    <row r="90" spans="1:11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IF(A90="","",IFERROR(VLOOKUP(A90,DB_Customers!$A:$M,13,0),""))</f>
        <v/>
      </c>
      <c r="D90" s="42" t="str">
        <f t="shared" ca="1" si="6"/>
        <v/>
      </c>
      <c r="E90" s="32"/>
      <c r="F90" s="43" t="str">
        <f t="shared" si="7"/>
        <v/>
      </c>
      <c r="G90" s="30" t="s">
        <v>55</v>
      </c>
      <c r="H90" s="41"/>
      <c r="I90" s="33" t="str">
        <f>IF(A90="","",IF(H90="","⚠️ Enter Agent Code",IF(IFERROR(VLOOKUP(G90,DB_Agents!$B:$F,4,0),"")=TEXT(H90,"0"),IF(AND(A90&lt;&gt;"",E90&lt;&gt;""),"✅ Saved","Pending"),"🔒 WRONG CODE")))</f>
        <v/>
      </c>
      <c r="J90" s="33" t="str">
        <f t="shared" ca="1" si="8"/>
        <v>—</v>
      </c>
      <c r="K90" s="46"/>
    </row>
    <row r="91" spans="1:11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IF(A91="","",IFERROR(VLOOKUP(A91,DB_Customers!$A:$M,13,0),""))</f>
        <v/>
      </c>
      <c r="D91" s="42" t="str">
        <f t="shared" ca="1" si="6"/>
        <v/>
      </c>
      <c r="E91" s="32"/>
      <c r="F91" s="43" t="str">
        <f t="shared" si="7"/>
        <v/>
      </c>
      <c r="G91" s="30" t="s">
        <v>55</v>
      </c>
      <c r="H91" s="41"/>
      <c r="I91" s="33" t="str">
        <f>IF(A91="","",IF(H91="","⚠️ Enter Agent Code",IF(IFERROR(VLOOKUP(G91,DB_Agents!$B:$F,4,0),"")=TEXT(H91,"0"),IF(AND(A91&lt;&gt;"",E91&lt;&gt;""),"✅ Saved","Pending"),"🔒 WRONG CODE")))</f>
        <v/>
      </c>
      <c r="J91" s="33" t="str">
        <f t="shared" ca="1" si="8"/>
        <v>—</v>
      </c>
      <c r="K91" s="22"/>
    </row>
    <row r="92" spans="1:11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IF(A92="","",IFERROR(VLOOKUP(A92,DB_Customers!$A:$M,13,0),""))</f>
        <v/>
      </c>
      <c r="D92" s="42" t="str">
        <f t="shared" ca="1" si="6"/>
        <v/>
      </c>
      <c r="E92" s="32"/>
      <c r="F92" s="43" t="str">
        <f t="shared" si="7"/>
        <v/>
      </c>
      <c r="G92" s="30" t="s">
        <v>55</v>
      </c>
      <c r="H92" s="41"/>
      <c r="I92" s="33" t="str">
        <f>IF(A92="","",IF(H92="","⚠️ Enter Agent Code",IF(IFERROR(VLOOKUP(G92,DB_Agents!$B:$F,4,0),"")=TEXT(H92,"0"),IF(AND(A92&lt;&gt;"",E92&lt;&gt;""),"✅ Saved","Pending"),"🔒 WRONG CODE")))</f>
        <v/>
      </c>
      <c r="J92" s="33" t="str">
        <f t="shared" ca="1" si="8"/>
        <v>—</v>
      </c>
      <c r="K92" s="46"/>
    </row>
    <row r="93" spans="1:11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IF(A93="","",IFERROR(VLOOKUP(A93,DB_Customers!$A:$M,13,0),""))</f>
        <v/>
      </c>
      <c r="D93" s="42" t="str">
        <f t="shared" ca="1" si="6"/>
        <v/>
      </c>
      <c r="E93" s="32"/>
      <c r="F93" s="43" t="str">
        <f t="shared" si="7"/>
        <v/>
      </c>
      <c r="G93" s="30" t="s">
        <v>55</v>
      </c>
      <c r="H93" s="41"/>
      <c r="I93" s="33" t="str">
        <f>IF(A93="","",IF(H93="","⚠️ Enter Agent Code",IF(IFERROR(VLOOKUP(G93,DB_Agents!$B:$F,4,0),"")=TEXT(H93,"0"),IF(AND(A93&lt;&gt;"",E93&lt;&gt;""),"✅ Saved","Pending"),"🔒 WRONG CODE")))</f>
        <v/>
      </c>
      <c r="J93" s="33" t="str">
        <f t="shared" ca="1" si="8"/>
        <v>—</v>
      </c>
      <c r="K93" s="22"/>
    </row>
    <row r="94" spans="1:11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IF(A94="","",IFERROR(VLOOKUP(A94,DB_Customers!$A:$M,13,0),""))</f>
        <v/>
      </c>
      <c r="D94" s="42" t="str">
        <f t="shared" ca="1" si="6"/>
        <v/>
      </c>
      <c r="E94" s="32"/>
      <c r="F94" s="43" t="str">
        <f t="shared" si="7"/>
        <v/>
      </c>
      <c r="G94" s="30" t="s">
        <v>55</v>
      </c>
      <c r="H94" s="41"/>
      <c r="I94" s="33" t="str">
        <f>IF(A94="","",IF(H94="","⚠️ Enter Agent Code",IF(IFERROR(VLOOKUP(G94,DB_Agents!$B:$F,4,0),"")=TEXT(H94,"0"),IF(AND(A94&lt;&gt;"",E94&lt;&gt;""),"✅ Saved","Pending"),"🔒 WRONG CODE")))</f>
        <v/>
      </c>
      <c r="J94" s="33" t="str">
        <f t="shared" ca="1" si="8"/>
        <v>—</v>
      </c>
      <c r="K94" s="46"/>
    </row>
    <row r="95" spans="1:11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IF(A95="","",IFERROR(VLOOKUP(A95,DB_Customers!$A:$M,13,0),""))</f>
        <v/>
      </c>
      <c r="D95" s="42" t="str">
        <f t="shared" ca="1" si="6"/>
        <v/>
      </c>
      <c r="E95" s="32"/>
      <c r="F95" s="43" t="str">
        <f t="shared" si="7"/>
        <v/>
      </c>
      <c r="G95" s="30" t="s">
        <v>55</v>
      </c>
      <c r="H95" s="41"/>
      <c r="I95" s="33" t="str">
        <f>IF(A95="","",IF(H95="","⚠️ Enter Agent Code",IF(IFERROR(VLOOKUP(G95,DB_Agents!$B:$F,4,0),"")=TEXT(H95,"0"),IF(AND(A95&lt;&gt;"",E95&lt;&gt;""),"✅ Saved","Pending"),"🔒 WRONG CODE")))</f>
        <v/>
      </c>
      <c r="J95" s="33" t="str">
        <f t="shared" ca="1" si="8"/>
        <v>—</v>
      </c>
      <c r="K95" s="22"/>
    </row>
    <row r="96" spans="1:11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IF(A96="","",IFERROR(VLOOKUP(A96,DB_Customers!$A:$M,13,0),""))</f>
        <v/>
      </c>
      <c r="D96" s="42" t="str">
        <f t="shared" ca="1" si="6"/>
        <v/>
      </c>
      <c r="E96" s="32"/>
      <c r="F96" s="43" t="str">
        <f t="shared" si="7"/>
        <v/>
      </c>
      <c r="G96" s="30" t="s">
        <v>55</v>
      </c>
      <c r="H96" s="41"/>
      <c r="I96" s="33" t="str">
        <f>IF(A96="","",IF(H96="","⚠️ Enter Agent Code",IF(IFERROR(VLOOKUP(G96,DB_Agents!$B:$F,4,0),"")=TEXT(H96,"0"),IF(AND(A96&lt;&gt;"",E96&lt;&gt;""),"✅ Saved","Pending"),"🔒 WRONG CODE")))</f>
        <v/>
      </c>
      <c r="J96" s="33" t="str">
        <f t="shared" ca="1" si="8"/>
        <v>—</v>
      </c>
      <c r="K96" s="46"/>
    </row>
    <row r="97" spans="1:11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IF(A97="","",IFERROR(VLOOKUP(A97,DB_Customers!$A:$M,13,0),""))</f>
        <v/>
      </c>
      <c r="D97" s="42" t="str">
        <f t="shared" ca="1" si="6"/>
        <v/>
      </c>
      <c r="E97" s="32"/>
      <c r="F97" s="43" t="str">
        <f t="shared" si="7"/>
        <v/>
      </c>
      <c r="G97" s="30" t="s">
        <v>55</v>
      </c>
      <c r="H97" s="41"/>
      <c r="I97" s="33" t="str">
        <f>IF(A97="","",IF(H97="","⚠️ Enter Agent Code",IF(IFERROR(VLOOKUP(G97,DB_Agents!$B:$F,4,0),"")=TEXT(H97,"0"),IF(AND(A97&lt;&gt;"",E97&lt;&gt;""),"✅ Saved","Pending"),"🔒 WRONG CODE")))</f>
        <v/>
      </c>
      <c r="J97" s="33" t="str">
        <f t="shared" ca="1" si="8"/>
        <v>—</v>
      </c>
      <c r="K97" s="22"/>
    </row>
    <row r="98" spans="1:11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IF(A98="","",IFERROR(VLOOKUP(A98,DB_Customers!$A:$M,13,0),""))</f>
        <v/>
      </c>
      <c r="D98" s="42" t="str">
        <f t="shared" ca="1" si="6"/>
        <v/>
      </c>
      <c r="E98" s="32"/>
      <c r="F98" s="43" t="str">
        <f t="shared" si="7"/>
        <v/>
      </c>
      <c r="G98" s="30" t="s">
        <v>55</v>
      </c>
      <c r="H98" s="41"/>
      <c r="I98" s="33" t="str">
        <f>IF(A98="","",IF(H98="","⚠️ Enter Agent Code",IF(IFERROR(VLOOKUP(G98,DB_Agents!$B:$F,4,0),"")=TEXT(H98,"0"),IF(AND(A98&lt;&gt;"",E98&lt;&gt;""),"✅ Saved","Pending"),"🔒 WRONG CODE")))</f>
        <v/>
      </c>
      <c r="J98" s="33" t="str">
        <f t="shared" ca="1" si="8"/>
        <v>—</v>
      </c>
      <c r="K98" s="46"/>
    </row>
    <row r="99" spans="1:11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IF(A99="","",IFERROR(VLOOKUP(A99,DB_Customers!$A:$M,13,0),""))</f>
        <v/>
      </c>
      <c r="D99" s="42" t="str">
        <f t="shared" ca="1" si="6"/>
        <v/>
      </c>
      <c r="E99" s="32"/>
      <c r="F99" s="43" t="str">
        <f t="shared" si="7"/>
        <v/>
      </c>
      <c r="G99" s="30" t="s">
        <v>55</v>
      </c>
      <c r="H99" s="41"/>
      <c r="I99" s="33" t="str">
        <f>IF(A99="","",IF(H99="","⚠️ Enter Agent Code",IF(IFERROR(VLOOKUP(G99,DB_Agents!$B:$F,4,0),"")=TEXT(H99,"0"),IF(AND(A99&lt;&gt;"",E99&lt;&gt;""),"✅ Saved","Pending"),"🔒 WRONG CODE")))</f>
        <v/>
      </c>
      <c r="J99" s="33" t="str">
        <f t="shared" ca="1" si="8"/>
        <v>—</v>
      </c>
      <c r="K99" s="22"/>
    </row>
    <row r="100" spans="1:11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IF(A100="","",IFERROR(VLOOKUP(A100,DB_Customers!$A:$M,13,0),""))</f>
        <v/>
      </c>
      <c r="D100" s="42" t="str">
        <f t="shared" ca="1" si="6"/>
        <v/>
      </c>
      <c r="E100" s="32"/>
      <c r="F100" s="43" t="str">
        <f t="shared" si="7"/>
        <v/>
      </c>
      <c r="G100" s="30" t="s">
        <v>55</v>
      </c>
      <c r="H100" s="41"/>
      <c r="I100" s="33" t="str">
        <f>IF(A100="","",IF(H100="","⚠️ Enter Agent Code",IF(IFERROR(VLOOKUP(G100,DB_Agents!$B:$F,4,0),"")=TEXT(H100,"0"),IF(AND(A100&lt;&gt;"",E100&lt;&gt;""),"✅ Saved","Pending"),"🔒 WRONG CODE")))</f>
        <v/>
      </c>
      <c r="J100" s="33" t="str">
        <f t="shared" ca="1" si="8"/>
        <v>—</v>
      </c>
      <c r="K100" s="46"/>
    </row>
    <row r="101" spans="1:11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IF(A101="","",IFERROR(VLOOKUP(A101,DB_Customers!$A:$M,13,0),""))</f>
        <v/>
      </c>
      <c r="D101" s="42" t="str">
        <f t="shared" ca="1" si="6"/>
        <v/>
      </c>
      <c r="E101" s="32"/>
      <c r="F101" s="43" t="str">
        <f t="shared" si="7"/>
        <v/>
      </c>
      <c r="G101" s="30" t="s">
        <v>55</v>
      </c>
      <c r="H101" s="41"/>
      <c r="I101" s="33" t="str">
        <f>IF(A101="","",IF(H101="","⚠️ Enter Agent Code",IF(IFERROR(VLOOKUP(G101,DB_Agents!$B:$F,4,0),"")=TEXT(H101,"0"),IF(AND(A101&lt;&gt;"",E101&lt;&gt;""),"✅ Saved","Pending"),"🔒 WRONG CODE")))</f>
        <v/>
      </c>
      <c r="J101" s="33" t="str">
        <f t="shared" ca="1" si="8"/>
        <v>—</v>
      </c>
      <c r="K101" s="22"/>
    </row>
    <row r="102" spans="1:11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IF(A102="","",IFERROR(VLOOKUP(A102,DB_Customers!$A:$M,13,0),""))</f>
        <v/>
      </c>
      <c r="D102" s="42" t="str">
        <f t="shared" ca="1" si="6"/>
        <v/>
      </c>
      <c r="E102" s="32"/>
      <c r="F102" s="43" t="str">
        <f t="shared" si="7"/>
        <v/>
      </c>
      <c r="G102" s="30" t="s">
        <v>55</v>
      </c>
      <c r="H102" s="41"/>
      <c r="I102" s="33" t="str">
        <f>IF(A102="","",IF(H102="","⚠️ Enter Agent Code",IF(IFERROR(VLOOKUP(G102,DB_Agents!$B:$F,4,0),"")=TEXT(H102,"0"),IF(AND(A102&lt;&gt;"",E102&lt;&gt;""),"✅ Saved","Pending"),"🔒 WRONG CODE")))</f>
        <v/>
      </c>
      <c r="J102" s="33" t="str">
        <f t="shared" ca="1" si="8"/>
        <v>—</v>
      </c>
      <c r="K102" s="46"/>
    </row>
    <row r="103" spans="1:11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IF(A103="","",IFERROR(VLOOKUP(A103,DB_Customers!$A:$M,13,0),""))</f>
        <v/>
      </c>
      <c r="D103" s="42" t="str">
        <f t="shared" ca="1" si="6"/>
        <v/>
      </c>
      <c r="E103" s="32"/>
      <c r="F103" s="43" t="str">
        <f t="shared" si="7"/>
        <v/>
      </c>
      <c r="G103" s="30" t="s">
        <v>55</v>
      </c>
      <c r="H103" s="41"/>
      <c r="I103" s="33" t="str">
        <f>IF(A103="","",IF(H103="","⚠️ Enter Agent Code",IF(IFERROR(VLOOKUP(G103,DB_Agents!$B:$F,4,0),"")=TEXT(H103,"0"),IF(AND(A103&lt;&gt;"",E103&lt;&gt;""),"✅ Saved","Pending"),"🔒 WRONG CODE")))</f>
        <v/>
      </c>
      <c r="J103" s="33" t="str">
        <f t="shared" ca="1" si="8"/>
        <v>—</v>
      </c>
      <c r="K103" s="22"/>
    </row>
    <row r="104" spans="1:11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IF(A104="","",IFERROR(VLOOKUP(A104,DB_Customers!$A:$M,13,0),""))</f>
        <v/>
      </c>
      <c r="D104" s="42" t="str">
        <f t="shared" ca="1" si="6"/>
        <v/>
      </c>
      <c r="E104" s="32"/>
      <c r="F104" s="43" t="str">
        <f t="shared" si="7"/>
        <v/>
      </c>
      <c r="G104" s="30" t="s">
        <v>55</v>
      </c>
      <c r="H104" s="41"/>
      <c r="I104" s="33" t="str">
        <f>IF(A104="","",IF(H104="","⚠️ Enter Agent Code",IF(IFERROR(VLOOKUP(G104,DB_Agents!$B:$F,4,0),"")=TEXT(H104,"0"),IF(AND(A104&lt;&gt;"",E104&lt;&gt;""),"✅ Saved","Pending"),"🔒 WRONG CODE")))</f>
        <v/>
      </c>
      <c r="J104" s="33" t="str">
        <f t="shared" ca="1" si="8"/>
        <v>—</v>
      </c>
      <c r="K104" s="46"/>
    </row>
    <row r="105" spans="1:11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IF(A105="","",IFERROR(VLOOKUP(A105,DB_Customers!$A:$M,13,0),""))</f>
        <v/>
      </c>
      <c r="D105" s="42" t="str">
        <f t="shared" ref="D105:D136" ca="1" si="9">IF(A105="","",TODAY())</f>
        <v/>
      </c>
      <c r="E105" s="32"/>
      <c r="F105" s="43" t="str">
        <f t="shared" ref="F105:F136" si="10">IFERROR(IF(OR(A105="",E105=""),"",C105+E105),"")</f>
        <v/>
      </c>
      <c r="G105" s="30" t="s">
        <v>55</v>
      </c>
      <c r="H105" s="41"/>
      <c r="I105" s="33" t="str">
        <f>IF(A105="","",IF(H105="","⚠️ Enter Agent Code",IF(IFERROR(VLOOKUP(G105,DB_Agents!$B:$F,4,0),"")=TEXT(H105,"0"),IF(AND(A105&lt;&gt;"",E105&lt;&gt;""),"✅ Saved","Pending"),"🔒 WRONG CODE")))</f>
        <v/>
      </c>
      <c r="J105" s="33" t="str">
        <f t="shared" ref="J105:J136" ca="1" si="11">IF(I105="✅ Saved",TEXT(TODAY(),"YYYY-MM-DD")&amp;" Auto","—")</f>
        <v>—</v>
      </c>
      <c r="K105" s="22"/>
    </row>
    <row r="106" spans="1:11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IF(A106="","",IFERROR(VLOOKUP(A106,DB_Customers!$A:$M,13,0),""))</f>
        <v/>
      </c>
      <c r="D106" s="42" t="str">
        <f t="shared" ca="1" si="9"/>
        <v/>
      </c>
      <c r="E106" s="32"/>
      <c r="F106" s="43" t="str">
        <f t="shared" si="10"/>
        <v/>
      </c>
      <c r="G106" s="30" t="s">
        <v>55</v>
      </c>
      <c r="H106" s="41"/>
      <c r="I106" s="33" t="str">
        <f>IF(A106="","",IF(H106="","⚠️ Enter Agent Code",IF(IFERROR(VLOOKUP(G106,DB_Agents!$B:$F,4,0),"")=TEXT(H106,"0"),IF(AND(A106&lt;&gt;"",E106&lt;&gt;""),"✅ Saved","Pending"),"🔒 WRONG CODE")))</f>
        <v/>
      </c>
      <c r="J106" s="33" t="str">
        <f t="shared" ca="1" si="11"/>
        <v>—</v>
      </c>
      <c r="K106" s="46"/>
    </row>
    <row r="107" spans="1:11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IF(A107="","",IFERROR(VLOOKUP(A107,DB_Customers!$A:$M,13,0),""))</f>
        <v/>
      </c>
      <c r="D107" s="42" t="str">
        <f t="shared" ca="1" si="9"/>
        <v/>
      </c>
      <c r="E107" s="32"/>
      <c r="F107" s="43" t="str">
        <f t="shared" si="10"/>
        <v/>
      </c>
      <c r="G107" s="30" t="s">
        <v>55</v>
      </c>
      <c r="H107" s="41"/>
      <c r="I107" s="33" t="str">
        <f>IF(A107="","",IF(H107="","⚠️ Enter Agent Code",IF(IFERROR(VLOOKUP(G107,DB_Agents!$B:$F,4,0),"")=TEXT(H107,"0"),IF(AND(A107&lt;&gt;"",E107&lt;&gt;""),"✅ Saved","Pending"),"🔒 WRONG CODE")))</f>
        <v/>
      </c>
      <c r="J107" s="33" t="str">
        <f t="shared" ca="1" si="11"/>
        <v>—</v>
      </c>
      <c r="K107" s="22"/>
    </row>
    <row r="108" spans="1:11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IF(A108="","",IFERROR(VLOOKUP(A108,DB_Customers!$A:$M,13,0),""))</f>
        <v/>
      </c>
      <c r="D108" s="42" t="str">
        <f t="shared" ca="1" si="9"/>
        <v/>
      </c>
      <c r="E108" s="32"/>
      <c r="F108" s="43" t="str">
        <f t="shared" si="10"/>
        <v/>
      </c>
      <c r="G108" s="30" t="s">
        <v>55</v>
      </c>
      <c r="H108" s="41"/>
      <c r="I108" s="33" t="str">
        <f>IF(A108="","",IF(H108="","⚠️ Enter Agent Code",IF(IFERROR(VLOOKUP(G108,DB_Agents!$B:$F,4,0),"")=TEXT(H108,"0"),IF(AND(A108&lt;&gt;"",E108&lt;&gt;""),"✅ Saved","Pending"),"🔒 WRONG CODE")))</f>
        <v/>
      </c>
      <c r="J108" s="33" t="str">
        <f t="shared" ca="1" si="11"/>
        <v>—</v>
      </c>
      <c r="K108" s="46"/>
    </row>
    <row r="109" spans="1:11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IF(A109="","",IFERROR(VLOOKUP(A109,DB_Customers!$A:$M,13,0),""))</f>
        <v/>
      </c>
      <c r="D109" s="42" t="str">
        <f t="shared" ca="1" si="9"/>
        <v/>
      </c>
      <c r="E109" s="32"/>
      <c r="F109" s="43" t="str">
        <f t="shared" si="10"/>
        <v/>
      </c>
      <c r="G109" s="30" t="s">
        <v>55</v>
      </c>
      <c r="H109" s="41"/>
      <c r="I109" s="33" t="str">
        <f>IF(A109="","",IF(H109="","⚠️ Enter Agent Code",IF(IFERROR(VLOOKUP(G109,DB_Agents!$B:$F,4,0),"")=TEXT(H109,"0"),IF(AND(A109&lt;&gt;"",E109&lt;&gt;""),"✅ Saved","Pending"),"🔒 WRONG CODE")))</f>
        <v/>
      </c>
      <c r="J109" s="33" t="str">
        <f t="shared" ca="1" si="11"/>
        <v>—</v>
      </c>
      <c r="K109" s="22"/>
    </row>
    <row r="110" spans="1:11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IF(A110="","",IFERROR(VLOOKUP(A110,DB_Customers!$A:$M,13,0),""))</f>
        <v/>
      </c>
      <c r="D110" s="42" t="str">
        <f t="shared" ca="1" si="9"/>
        <v/>
      </c>
      <c r="E110" s="32"/>
      <c r="F110" s="43" t="str">
        <f t="shared" si="10"/>
        <v/>
      </c>
      <c r="G110" s="30" t="s">
        <v>55</v>
      </c>
      <c r="H110" s="41"/>
      <c r="I110" s="33" t="str">
        <f>IF(A110="","",IF(H110="","⚠️ Enter Agent Code",IF(IFERROR(VLOOKUP(G110,DB_Agents!$B:$F,4,0),"")=TEXT(H110,"0"),IF(AND(A110&lt;&gt;"",E110&lt;&gt;""),"✅ Saved","Pending"),"🔒 WRONG CODE")))</f>
        <v/>
      </c>
      <c r="J110" s="33" t="str">
        <f t="shared" ca="1" si="11"/>
        <v>—</v>
      </c>
      <c r="K110" s="46"/>
    </row>
    <row r="111" spans="1:11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IF(A111="","",IFERROR(VLOOKUP(A111,DB_Customers!$A:$M,13,0),""))</f>
        <v/>
      </c>
      <c r="D111" s="42" t="str">
        <f t="shared" ca="1" si="9"/>
        <v/>
      </c>
      <c r="E111" s="32"/>
      <c r="F111" s="43" t="str">
        <f t="shared" si="10"/>
        <v/>
      </c>
      <c r="G111" s="30" t="s">
        <v>55</v>
      </c>
      <c r="H111" s="41"/>
      <c r="I111" s="33" t="str">
        <f>IF(A111="","",IF(H111="","⚠️ Enter Agent Code",IF(IFERROR(VLOOKUP(G111,DB_Agents!$B:$F,4,0),"")=TEXT(H111,"0"),IF(AND(A111&lt;&gt;"",E111&lt;&gt;""),"✅ Saved","Pending"),"🔒 WRONG CODE")))</f>
        <v/>
      </c>
      <c r="J111" s="33" t="str">
        <f t="shared" ca="1" si="11"/>
        <v>—</v>
      </c>
      <c r="K111" s="22"/>
    </row>
    <row r="112" spans="1:11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IF(A112="","",IFERROR(VLOOKUP(A112,DB_Customers!$A:$M,13,0),""))</f>
        <v/>
      </c>
      <c r="D112" s="42" t="str">
        <f t="shared" ca="1" si="9"/>
        <v/>
      </c>
      <c r="E112" s="32"/>
      <c r="F112" s="43" t="str">
        <f t="shared" si="10"/>
        <v/>
      </c>
      <c r="G112" s="30" t="s">
        <v>55</v>
      </c>
      <c r="H112" s="41"/>
      <c r="I112" s="33" t="str">
        <f>IF(A112="","",IF(H112="","⚠️ Enter Agent Code",IF(IFERROR(VLOOKUP(G112,DB_Agents!$B:$F,4,0),"")=TEXT(H112,"0"),IF(AND(A112&lt;&gt;"",E112&lt;&gt;""),"✅ Saved","Pending"),"🔒 WRONG CODE")))</f>
        <v/>
      </c>
      <c r="J112" s="33" t="str">
        <f t="shared" ca="1" si="11"/>
        <v>—</v>
      </c>
      <c r="K112" s="46"/>
    </row>
    <row r="113" spans="1:11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IF(A113="","",IFERROR(VLOOKUP(A113,DB_Customers!$A:$M,13,0),""))</f>
        <v/>
      </c>
      <c r="D113" s="42" t="str">
        <f t="shared" ca="1" si="9"/>
        <v/>
      </c>
      <c r="E113" s="32"/>
      <c r="F113" s="43" t="str">
        <f t="shared" si="10"/>
        <v/>
      </c>
      <c r="G113" s="30" t="s">
        <v>55</v>
      </c>
      <c r="H113" s="41"/>
      <c r="I113" s="33" t="str">
        <f>IF(A113="","",IF(H113="","⚠️ Enter Agent Code",IF(IFERROR(VLOOKUP(G113,DB_Agents!$B:$F,4,0),"")=TEXT(H113,"0"),IF(AND(A113&lt;&gt;"",E113&lt;&gt;""),"✅ Saved","Pending"),"🔒 WRONG CODE")))</f>
        <v/>
      </c>
      <c r="J113" s="33" t="str">
        <f t="shared" ca="1" si="11"/>
        <v>—</v>
      </c>
      <c r="K113" s="22"/>
    </row>
    <row r="114" spans="1:11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IF(A114="","",IFERROR(VLOOKUP(A114,DB_Customers!$A:$M,13,0),""))</f>
        <v/>
      </c>
      <c r="D114" s="42" t="str">
        <f t="shared" ca="1" si="9"/>
        <v/>
      </c>
      <c r="E114" s="32"/>
      <c r="F114" s="43" t="str">
        <f t="shared" si="10"/>
        <v/>
      </c>
      <c r="G114" s="30" t="s">
        <v>55</v>
      </c>
      <c r="H114" s="41"/>
      <c r="I114" s="33" t="str">
        <f>IF(A114="","",IF(H114="","⚠️ Enter Agent Code",IF(IFERROR(VLOOKUP(G114,DB_Agents!$B:$F,4,0),"")=TEXT(H114,"0"),IF(AND(A114&lt;&gt;"",E114&lt;&gt;""),"✅ Saved","Pending"),"🔒 WRONG CODE")))</f>
        <v/>
      </c>
      <c r="J114" s="33" t="str">
        <f t="shared" ca="1" si="11"/>
        <v>—</v>
      </c>
      <c r="K114" s="46"/>
    </row>
    <row r="115" spans="1:11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IF(A115="","",IFERROR(VLOOKUP(A115,DB_Customers!$A:$M,13,0),""))</f>
        <v/>
      </c>
      <c r="D115" s="42" t="str">
        <f t="shared" ca="1" si="9"/>
        <v/>
      </c>
      <c r="E115" s="32"/>
      <c r="F115" s="43" t="str">
        <f t="shared" si="10"/>
        <v/>
      </c>
      <c r="G115" s="30" t="s">
        <v>55</v>
      </c>
      <c r="H115" s="41"/>
      <c r="I115" s="33" t="str">
        <f>IF(A115="","",IF(H115="","⚠️ Enter Agent Code",IF(IFERROR(VLOOKUP(G115,DB_Agents!$B:$F,4,0),"")=TEXT(H115,"0"),IF(AND(A115&lt;&gt;"",E115&lt;&gt;""),"✅ Saved","Pending"),"🔒 WRONG CODE")))</f>
        <v/>
      </c>
      <c r="J115" s="33" t="str">
        <f t="shared" ca="1" si="11"/>
        <v>—</v>
      </c>
      <c r="K115" s="22"/>
    </row>
    <row r="116" spans="1:11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IF(A116="","",IFERROR(VLOOKUP(A116,DB_Customers!$A:$M,13,0),""))</f>
        <v/>
      </c>
      <c r="D116" s="42" t="str">
        <f t="shared" ca="1" si="9"/>
        <v/>
      </c>
      <c r="E116" s="32"/>
      <c r="F116" s="43" t="str">
        <f t="shared" si="10"/>
        <v/>
      </c>
      <c r="G116" s="30" t="s">
        <v>55</v>
      </c>
      <c r="H116" s="41"/>
      <c r="I116" s="33" t="str">
        <f>IF(A116="","",IF(H116="","⚠️ Enter Agent Code",IF(IFERROR(VLOOKUP(G116,DB_Agents!$B:$F,4,0),"")=TEXT(H116,"0"),IF(AND(A116&lt;&gt;"",E116&lt;&gt;""),"✅ Saved","Pending"),"🔒 WRONG CODE")))</f>
        <v/>
      </c>
      <c r="J116" s="33" t="str">
        <f t="shared" ca="1" si="11"/>
        <v>—</v>
      </c>
      <c r="K116" s="46"/>
    </row>
    <row r="117" spans="1:11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IF(A117="","",IFERROR(VLOOKUP(A117,DB_Customers!$A:$M,13,0),""))</f>
        <v/>
      </c>
      <c r="D117" s="42" t="str">
        <f t="shared" ca="1" si="9"/>
        <v/>
      </c>
      <c r="E117" s="32"/>
      <c r="F117" s="43" t="str">
        <f t="shared" si="10"/>
        <v/>
      </c>
      <c r="G117" s="30" t="s">
        <v>55</v>
      </c>
      <c r="H117" s="41"/>
      <c r="I117" s="33" t="str">
        <f>IF(A117="","",IF(H117="","⚠️ Enter Agent Code",IF(IFERROR(VLOOKUP(G117,DB_Agents!$B:$F,4,0),"")=TEXT(H117,"0"),IF(AND(A117&lt;&gt;"",E117&lt;&gt;""),"✅ Saved","Pending"),"🔒 WRONG CODE")))</f>
        <v/>
      </c>
      <c r="J117" s="33" t="str">
        <f t="shared" ca="1" si="11"/>
        <v>—</v>
      </c>
      <c r="K117" s="22"/>
    </row>
    <row r="118" spans="1:11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IF(A118="","",IFERROR(VLOOKUP(A118,DB_Customers!$A:$M,13,0),""))</f>
        <v/>
      </c>
      <c r="D118" s="42" t="str">
        <f t="shared" ca="1" si="9"/>
        <v/>
      </c>
      <c r="E118" s="32"/>
      <c r="F118" s="43" t="str">
        <f t="shared" si="10"/>
        <v/>
      </c>
      <c r="G118" s="30" t="s">
        <v>55</v>
      </c>
      <c r="H118" s="41"/>
      <c r="I118" s="33" t="str">
        <f>IF(A118="","",IF(H118="","⚠️ Enter Agent Code",IF(IFERROR(VLOOKUP(G118,DB_Agents!$B:$F,4,0),"")=TEXT(H118,"0"),IF(AND(A118&lt;&gt;"",E118&lt;&gt;""),"✅ Saved","Pending"),"🔒 WRONG CODE")))</f>
        <v/>
      </c>
      <c r="J118" s="33" t="str">
        <f t="shared" ca="1" si="11"/>
        <v>—</v>
      </c>
      <c r="K118" s="46"/>
    </row>
    <row r="119" spans="1:11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IF(A119="","",IFERROR(VLOOKUP(A119,DB_Customers!$A:$M,13,0),""))</f>
        <v/>
      </c>
      <c r="D119" s="42" t="str">
        <f t="shared" ca="1" si="9"/>
        <v/>
      </c>
      <c r="E119" s="32"/>
      <c r="F119" s="43" t="str">
        <f t="shared" si="10"/>
        <v/>
      </c>
      <c r="G119" s="30" t="s">
        <v>55</v>
      </c>
      <c r="H119" s="41"/>
      <c r="I119" s="33" t="str">
        <f>IF(A119="","",IF(H119="","⚠️ Enter Agent Code",IF(IFERROR(VLOOKUP(G119,DB_Agents!$B:$F,4,0),"")=TEXT(H119,"0"),IF(AND(A119&lt;&gt;"",E119&lt;&gt;""),"✅ Saved","Pending"),"🔒 WRONG CODE")))</f>
        <v/>
      </c>
      <c r="J119" s="33" t="str">
        <f t="shared" ca="1" si="11"/>
        <v>—</v>
      </c>
      <c r="K119" s="22"/>
    </row>
    <row r="120" spans="1:11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IF(A120="","",IFERROR(VLOOKUP(A120,DB_Customers!$A:$M,13,0),""))</f>
        <v/>
      </c>
      <c r="D120" s="42" t="str">
        <f t="shared" ca="1" si="9"/>
        <v/>
      </c>
      <c r="E120" s="32"/>
      <c r="F120" s="43" t="str">
        <f t="shared" si="10"/>
        <v/>
      </c>
      <c r="G120" s="30" t="s">
        <v>55</v>
      </c>
      <c r="H120" s="41"/>
      <c r="I120" s="33" t="str">
        <f>IF(A120="","",IF(H120="","⚠️ Enter Agent Code",IF(IFERROR(VLOOKUP(G120,DB_Agents!$B:$F,4,0),"")=TEXT(H120,"0"),IF(AND(A120&lt;&gt;"",E120&lt;&gt;""),"✅ Saved","Pending"),"🔒 WRONG CODE")))</f>
        <v/>
      </c>
      <c r="J120" s="33" t="str">
        <f t="shared" ca="1" si="11"/>
        <v>—</v>
      </c>
      <c r="K120" s="46"/>
    </row>
    <row r="121" spans="1:11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IF(A121="","",IFERROR(VLOOKUP(A121,DB_Customers!$A:$M,13,0),""))</f>
        <v/>
      </c>
      <c r="D121" s="42" t="str">
        <f t="shared" ca="1" si="9"/>
        <v/>
      </c>
      <c r="E121" s="32"/>
      <c r="F121" s="43" t="str">
        <f t="shared" si="10"/>
        <v/>
      </c>
      <c r="G121" s="30" t="s">
        <v>55</v>
      </c>
      <c r="H121" s="41"/>
      <c r="I121" s="33" t="str">
        <f>IF(A121="","",IF(H121="","⚠️ Enter Agent Code",IF(IFERROR(VLOOKUP(G121,DB_Agents!$B:$F,4,0),"")=TEXT(H121,"0"),IF(AND(A121&lt;&gt;"",E121&lt;&gt;""),"✅ Saved","Pending"),"🔒 WRONG CODE")))</f>
        <v/>
      </c>
      <c r="J121" s="33" t="str">
        <f t="shared" ca="1" si="11"/>
        <v>—</v>
      </c>
      <c r="K121" s="22"/>
    </row>
    <row r="122" spans="1:11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IF(A122="","",IFERROR(VLOOKUP(A122,DB_Customers!$A:$M,13,0),""))</f>
        <v/>
      </c>
      <c r="D122" s="42" t="str">
        <f t="shared" ca="1" si="9"/>
        <v/>
      </c>
      <c r="E122" s="32"/>
      <c r="F122" s="43" t="str">
        <f t="shared" si="10"/>
        <v/>
      </c>
      <c r="G122" s="30" t="s">
        <v>55</v>
      </c>
      <c r="H122" s="41"/>
      <c r="I122" s="33" t="str">
        <f>IF(A122="","",IF(H122="","⚠️ Enter Agent Code",IF(IFERROR(VLOOKUP(G122,DB_Agents!$B:$F,4,0),"")=TEXT(H122,"0"),IF(AND(A122&lt;&gt;"",E122&lt;&gt;""),"✅ Saved","Pending"),"🔒 WRONG CODE")))</f>
        <v/>
      </c>
      <c r="J122" s="33" t="str">
        <f t="shared" ca="1" si="11"/>
        <v>—</v>
      </c>
      <c r="K122" s="46"/>
    </row>
    <row r="123" spans="1:11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IF(A123="","",IFERROR(VLOOKUP(A123,DB_Customers!$A:$M,13,0),""))</f>
        <v/>
      </c>
      <c r="D123" s="42" t="str">
        <f t="shared" ca="1" si="9"/>
        <v/>
      </c>
      <c r="E123" s="32"/>
      <c r="F123" s="43" t="str">
        <f t="shared" si="10"/>
        <v/>
      </c>
      <c r="G123" s="30" t="s">
        <v>55</v>
      </c>
      <c r="H123" s="41"/>
      <c r="I123" s="33" t="str">
        <f>IF(A123="","",IF(H123="","⚠️ Enter Agent Code",IF(IFERROR(VLOOKUP(G123,DB_Agents!$B:$F,4,0),"")=TEXT(H123,"0"),IF(AND(A123&lt;&gt;"",E123&lt;&gt;""),"✅ Saved","Pending"),"🔒 WRONG CODE")))</f>
        <v/>
      </c>
      <c r="J123" s="33" t="str">
        <f t="shared" ca="1" si="11"/>
        <v>—</v>
      </c>
      <c r="K123" s="22"/>
    </row>
    <row r="124" spans="1:11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IF(A124="","",IFERROR(VLOOKUP(A124,DB_Customers!$A:$M,13,0),""))</f>
        <v/>
      </c>
      <c r="D124" s="42" t="str">
        <f t="shared" ca="1" si="9"/>
        <v/>
      </c>
      <c r="E124" s="32"/>
      <c r="F124" s="43" t="str">
        <f t="shared" si="10"/>
        <v/>
      </c>
      <c r="G124" s="30" t="s">
        <v>55</v>
      </c>
      <c r="H124" s="41"/>
      <c r="I124" s="33" t="str">
        <f>IF(A124="","",IF(H124="","⚠️ Enter Agent Code",IF(IFERROR(VLOOKUP(G124,DB_Agents!$B:$F,4,0),"")=TEXT(H124,"0"),IF(AND(A124&lt;&gt;"",E124&lt;&gt;""),"✅ Saved","Pending"),"🔒 WRONG CODE")))</f>
        <v/>
      </c>
      <c r="J124" s="33" t="str">
        <f t="shared" ca="1" si="11"/>
        <v>—</v>
      </c>
      <c r="K124" s="46"/>
    </row>
    <row r="125" spans="1:11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IF(A125="","",IFERROR(VLOOKUP(A125,DB_Customers!$A:$M,13,0),""))</f>
        <v/>
      </c>
      <c r="D125" s="42" t="str">
        <f t="shared" ca="1" si="9"/>
        <v/>
      </c>
      <c r="E125" s="32"/>
      <c r="F125" s="43" t="str">
        <f t="shared" si="10"/>
        <v/>
      </c>
      <c r="G125" s="30" t="s">
        <v>55</v>
      </c>
      <c r="H125" s="41"/>
      <c r="I125" s="33" t="str">
        <f>IF(A125="","",IF(H125="","⚠️ Enter Agent Code",IF(IFERROR(VLOOKUP(G125,DB_Agents!$B:$F,4,0),"")=TEXT(H125,"0"),IF(AND(A125&lt;&gt;"",E125&lt;&gt;""),"✅ Saved","Pending"),"🔒 WRONG CODE")))</f>
        <v/>
      </c>
      <c r="J125" s="33" t="str">
        <f t="shared" ca="1" si="11"/>
        <v>—</v>
      </c>
      <c r="K125" s="22"/>
    </row>
    <row r="126" spans="1:11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IF(A126="","",IFERROR(VLOOKUP(A126,DB_Customers!$A:$M,13,0),""))</f>
        <v/>
      </c>
      <c r="D126" s="42" t="str">
        <f t="shared" ca="1" si="9"/>
        <v/>
      </c>
      <c r="E126" s="32"/>
      <c r="F126" s="43" t="str">
        <f t="shared" si="10"/>
        <v/>
      </c>
      <c r="G126" s="30" t="s">
        <v>55</v>
      </c>
      <c r="H126" s="41"/>
      <c r="I126" s="33" t="str">
        <f>IF(A126="","",IF(H126="","⚠️ Enter Agent Code",IF(IFERROR(VLOOKUP(G126,DB_Agents!$B:$F,4,0),"")=TEXT(H126,"0"),IF(AND(A126&lt;&gt;"",E126&lt;&gt;""),"✅ Saved","Pending"),"🔒 WRONG CODE")))</f>
        <v/>
      </c>
      <c r="J126" s="33" t="str">
        <f t="shared" ca="1" si="11"/>
        <v>—</v>
      </c>
      <c r="K126" s="46"/>
    </row>
    <row r="127" spans="1:11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IF(A127="","",IFERROR(VLOOKUP(A127,DB_Customers!$A:$M,13,0),""))</f>
        <v/>
      </c>
      <c r="D127" s="42" t="str">
        <f t="shared" ca="1" si="9"/>
        <v/>
      </c>
      <c r="E127" s="32"/>
      <c r="F127" s="43" t="str">
        <f t="shared" si="10"/>
        <v/>
      </c>
      <c r="G127" s="30" t="s">
        <v>55</v>
      </c>
      <c r="H127" s="41"/>
      <c r="I127" s="33" t="str">
        <f>IF(A127="","",IF(H127="","⚠️ Enter Agent Code",IF(IFERROR(VLOOKUP(G127,DB_Agents!$B:$F,4,0),"")=TEXT(H127,"0"),IF(AND(A127&lt;&gt;"",E127&lt;&gt;""),"✅ Saved","Pending"),"🔒 WRONG CODE")))</f>
        <v/>
      </c>
      <c r="J127" s="33" t="str">
        <f t="shared" ca="1" si="11"/>
        <v>—</v>
      </c>
      <c r="K127" s="22"/>
    </row>
    <row r="128" spans="1:11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IF(A128="","",IFERROR(VLOOKUP(A128,DB_Customers!$A:$M,13,0),""))</f>
        <v/>
      </c>
      <c r="D128" s="42" t="str">
        <f t="shared" ca="1" si="9"/>
        <v/>
      </c>
      <c r="E128" s="32"/>
      <c r="F128" s="43" t="str">
        <f t="shared" si="10"/>
        <v/>
      </c>
      <c r="G128" s="30" t="s">
        <v>55</v>
      </c>
      <c r="H128" s="41"/>
      <c r="I128" s="33" t="str">
        <f>IF(A128="","",IF(H128="","⚠️ Enter Agent Code",IF(IFERROR(VLOOKUP(G128,DB_Agents!$B:$F,4,0),"")=TEXT(H128,"0"),IF(AND(A128&lt;&gt;"",E128&lt;&gt;""),"✅ Saved","Pending"),"🔒 WRONG CODE")))</f>
        <v/>
      </c>
      <c r="J128" s="33" t="str">
        <f t="shared" ca="1" si="11"/>
        <v>—</v>
      </c>
      <c r="K128" s="46"/>
    </row>
    <row r="129" spans="1:11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IF(A129="","",IFERROR(VLOOKUP(A129,DB_Customers!$A:$M,13,0),""))</f>
        <v/>
      </c>
      <c r="D129" s="42" t="str">
        <f t="shared" ca="1" si="9"/>
        <v/>
      </c>
      <c r="E129" s="32"/>
      <c r="F129" s="43" t="str">
        <f t="shared" si="10"/>
        <v/>
      </c>
      <c r="G129" s="30" t="s">
        <v>55</v>
      </c>
      <c r="H129" s="41"/>
      <c r="I129" s="33" t="str">
        <f>IF(A129="","",IF(H129="","⚠️ Enter Agent Code",IF(IFERROR(VLOOKUP(G129,DB_Agents!$B:$F,4,0),"")=TEXT(H129,"0"),IF(AND(A129&lt;&gt;"",E129&lt;&gt;""),"✅ Saved","Pending"),"🔒 WRONG CODE")))</f>
        <v/>
      </c>
      <c r="J129" s="33" t="str">
        <f t="shared" ca="1" si="11"/>
        <v>—</v>
      </c>
      <c r="K129" s="22"/>
    </row>
    <row r="130" spans="1:11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IF(A130="","",IFERROR(VLOOKUP(A130,DB_Customers!$A:$M,13,0),""))</f>
        <v/>
      </c>
      <c r="D130" s="42" t="str">
        <f t="shared" ca="1" si="9"/>
        <v/>
      </c>
      <c r="E130" s="32"/>
      <c r="F130" s="43" t="str">
        <f t="shared" si="10"/>
        <v/>
      </c>
      <c r="G130" s="30" t="s">
        <v>55</v>
      </c>
      <c r="H130" s="41"/>
      <c r="I130" s="33" t="str">
        <f>IF(A130="","",IF(H130="","⚠️ Enter Agent Code",IF(IFERROR(VLOOKUP(G130,DB_Agents!$B:$F,4,0),"")=TEXT(H130,"0"),IF(AND(A130&lt;&gt;"",E130&lt;&gt;""),"✅ Saved","Pending"),"🔒 WRONG CODE")))</f>
        <v/>
      </c>
      <c r="J130" s="33" t="str">
        <f t="shared" ca="1" si="11"/>
        <v>—</v>
      </c>
      <c r="K130" s="46"/>
    </row>
    <row r="131" spans="1:11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IF(A131="","",IFERROR(VLOOKUP(A131,DB_Customers!$A:$M,13,0),""))</f>
        <v/>
      </c>
      <c r="D131" s="42" t="str">
        <f t="shared" ca="1" si="9"/>
        <v/>
      </c>
      <c r="E131" s="32"/>
      <c r="F131" s="43" t="str">
        <f t="shared" si="10"/>
        <v/>
      </c>
      <c r="G131" s="30" t="s">
        <v>55</v>
      </c>
      <c r="H131" s="41"/>
      <c r="I131" s="33" t="str">
        <f>IF(A131="","",IF(H131="","⚠️ Enter Agent Code",IF(IFERROR(VLOOKUP(G131,DB_Agents!$B:$F,4,0),"")=TEXT(H131,"0"),IF(AND(A131&lt;&gt;"",E131&lt;&gt;""),"✅ Saved","Pending"),"🔒 WRONG CODE")))</f>
        <v/>
      </c>
      <c r="J131" s="33" t="str">
        <f t="shared" ca="1" si="11"/>
        <v>—</v>
      </c>
      <c r="K131" s="22"/>
    </row>
    <row r="132" spans="1:11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IF(A132="","",IFERROR(VLOOKUP(A132,DB_Customers!$A:$M,13,0),""))</f>
        <v/>
      </c>
      <c r="D132" s="42" t="str">
        <f t="shared" ca="1" si="9"/>
        <v/>
      </c>
      <c r="E132" s="32"/>
      <c r="F132" s="43" t="str">
        <f t="shared" si="10"/>
        <v/>
      </c>
      <c r="G132" s="30" t="s">
        <v>55</v>
      </c>
      <c r="H132" s="41"/>
      <c r="I132" s="33" t="str">
        <f>IF(A132="","",IF(H132="","⚠️ Enter Agent Code",IF(IFERROR(VLOOKUP(G132,DB_Agents!$B:$F,4,0),"")=TEXT(H132,"0"),IF(AND(A132&lt;&gt;"",E132&lt;&gt;""),"✅ Saved","Pending"),"🔒 WRONG CODE")))</f>
        <v/>
      </c>
      <c r="J132" s="33" t="str">
        <f t="shared" ca="1" si="11"/>
        <v>—</v>
      </c>
      <c r="K132" s="46"/>
    </row>
    <row r="133" spans="1:11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IF(A133="","",IFERROR(VLOOKUP(A133,DB_Customers!$A:$M,13,0),""))</f>
        <v/>
      </c>
      <c r="D133" s="42" t="str">
        <f t="shared" ca="1" si="9"/>
        <v/>
      </c>
      <c r="E133" s="32"/>
      <c r="F133" s="43" t="str">
        <f t="shared" si="10"/>
        <v/>
      </c>
      <c r="G133" s="30" t="s">
        <v>55</v>
      </c>
      <c r="H133" s="41"/>
      <c r="I133" s="33" t="str">
        <f>IF(A133="","",IF(H133="","⚠️ Enter Agent Code",IF(IFERROR(VLOOKUP(G133,DB_Agents!$B:$F,4,0),"")=TEXT(H133,"0"),IF(AND(A133&lt;&gt;"",E133&lt;&gt;""),"✅ Saved","Pending"),"🔒 WRONG CODE")))</f>
        <v/>
      </c>
      <c r="J133" s="33" t="str">
        <f t="shared" ca="1" si="11"/>
        <v>—</v>
      </c>
      <c r="K133" s="22"/>
    </row>
    <row r="134" spans="1:11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IF(A134="","",IFERROR(VLOOKUP(A134,DB_Customers!$A:$M,13,0),""))</f>
        <v/>
      </c>
      <c r="D134" s="42" t="str">
        <f t="shared" ca="1" si="9"/>
        <v/>
      </c>
      <c r="E134" s="32"/>
      <c r="F134" s="43" t="str">
        <f t="shared" si="10"/>
        <v/>
      </c>
      <c r="G134" s="30" t="s">
        <v>55</v>
      </c>
      <c r="H134" s="41"/>
      <c r="I134" s="33" t="str">
        <f>IF(A134="","",IF(H134="","⚠️ Enter Agent Code",IF(IFERROR(VLOOKUP(G134,DB_Agents!$B:$F,4,0),"")=TEXT(H134,"0"),IF(AND(A134&lt;&gt;"",E134&lt;&gt;""),"✅ Saved","Pending"),"🔒 WRONG CODE")))</f>
        <v/>
      </c>
      <c r="J134" s="33" t="str">
        <f t="shared" ca="1" si="11"/>
        <v>—</v>
      </c>
      <c r="K134" s="46"/>
    </row>
    <row r="135" spans="1:11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IF(A135="","",IFERROR(VLOOKUP(A135,DB_Customers!$A:$M,13,0),""))</f>
        <v/>
      </c>
      <c r="D135" s="42" t="str">
        <f t="shared" ca="1" si="9"/>
        <v/>
      </c>
      <c r="E135" s="32"/>
      <c r="F135" s="43" t="str">
        <f t="shared" si="10"/>
        <v/>
      </c>
      <c r="G135" s="30" t="s">
        <v>55</v>
      </c>
      <c r="H135" s="41"/>
      <c r="I135" s="33" t="str">
        <f>IF(A135="","",IF(H135="","⚠️ Enter Agent Code",IF(IFERROR(VLOOKUP(G135,DB_Agents!$B:$F,4,0),"")=TEXT(H135,"0"),IF(AND(A135&lt;&gt;"",E135&lt;&gt;""),"✅ Saved","Pending"),"🔒 WRONG CODE")))</f>
        <v/>
      </c>
      <c r="J135" s="33" t="str">
        <f t="shared" ca="1" si="11"/>
        <v>—</v>
      </c>
      <c r="K135" s="22"/>
    </row>
    <row r="136" spans="1:11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IF(A136="","",IFERROR(VLOOKUP(A136,DB_Customers!$A:$M,13,0),""))</f>
        <v/>
      </c>
      <c r="D136" s="42" t="str">
        <f t="shared" ca="1" si="9"/>
        <v/>
      </c>
      <c r="E136" s="32"/>
      <c r="F136" s="43" t="str">
        <f t="shared" si="10"/>
        <v/>
      </c>
      <c r="G136" s="30" t="s">
        <v>55</v>
      </c>
      <c r="H136" s="41"/>
      <c r="I136" s="33" t="str">
        <f>IF(A136="","",IF(H136="","⚠️ Enter Agent Code",IF(IFERROR(VLOOKUP(G136,DB_Agents!$B:$F,4,0),"")=TEXT(H136,"0"),IF(AND(A136&lt;&gt;"",E136&lt;&gt;""),"✅ Saved","Pending"),"🔒 WRONG CODE")))</f>
        <v/>
      </c>
      <c r="J136" s="33" t="str">
        <f t="shared" ca="1" si="11"/>
        <v>—</v>
      </c>
      <c r="K136" s="46"/>
    </row>
    <row r="137" spans="1:11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IF(A137="","",IFERROR(VLOOKUP(A137,DB_Customers!$A:$M,13,0),""))</f>
        <v/>
      </c>
      <c r="D137" s="42" t="str">
        <f t="shared" ref="D137:D168" ca="1" si="12">IF(A137="","",TODAY())</f>
        <v/>
      </c>
      <c r="E137" s="32"/>
      <c r="F137" s="43" t="str">
        <f t="shared" ref="F137:F168" si="13">IFERROR(IF(OR(A137="",E137=""),"",C137+E137),"")</f>
        <v/>
      </c>
      <c r="G137" s="30" t="s">
        <v>55</v>
      </c>
      <c r="H137" s="41"/>
      <c r="I137" s="33" t="str">
        <f>IF(A137="","",IF(H137="","⚠️ Enter Agent Code",IF(IFERROR(VLOOKUP(G137,DB_Agents!$B:$F,4,0),"")=TEXT(H137,"0"),IF(AND(A137&lt;&gt;"",E137&lt;&gt;""),"✅ Saved","Pending"),"🔒 WRONG CODE")))</f>
        <v/>
      </c>
      <c r="J137" s="33" t="str">
        <f t="shared" ref="J137:J168" ca="1" si="14">IF(I137="✅ Saved",TEXT(TODAY(),"YYYY-MM-DD")&amp;" Auto","—")</f>
        <v>—</v>
      </c>
      <c r="K137" s="22"/>
    </row>
    <row r="138" spans="1:11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IF(A138="","",IFERROR(VLOOKUP(A138,DB_Customers!$A:$M,13,0),""))</f>
        <v/>
      </c>
      <c r="D138" s="42" t="str">
        <f t="shared" ca="1" si="12"/>
        <v/>
      </c>
      <c r="E138" s="32"/>
      <c r="F138" s="43" t="str">
        <f t="shared" si="13"/>
        <v/>
      </c>
      <c r="G138" s="30" t="s">
        <v>55</v>
      </c>
      <c r="H138" s="41"/>
      <c r="I138" s="33" t="str">
        <f>IF(A138="","",IF(H138="","⚠️ Enter Agent Code",IF(IFERROR(VLOOKUP(G138,DB_Agents!$B:$F,4,0),"")=TEXT(H138,"0"),IF(AND(A138&lt;&gt;"",E138&lt;&gt;""),"✅ Saved","Pending"),"🔒 WRONG CODE")))</f>
        <v/>
      </c>
      <c r="J138" s="33" t="str">
        <f t="shared" ca="1" si="14"/>
        <v>—</v>
      </c>
      <c r="K138" s="46"/>
    </row>
    <row r="139" spans="1:11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IF(A139="","",IFERROR(VLOOKUP(A139,DB_Customers!$A:$M,13,0),""))</f>
        <v/>
      </c>
      <c r="D139" s="42" t="str">
        <f t="shared" ca="1" si="12"/>
        <v/>
      </c>
      <c r="E139" s="32"/>
      <c r="F139" s="43" t="str">
        <f t="shared" si="13"/>
        <v/>
      </c>
      <c r="G139" s="30" t="s">
        <v>55</v>
      </c>
      <c r="H139" s="41"/>
      <c r="I139" s="33" t="str">
        <f>IF(A139="","",IF(H139="","⚠️ Enter Agent Code",IF(IFERROR(VLOOKUP(G139,DB_Agents!$B:$F,4,0),"")=TEXT(H139,"0"),IF(AND(A139&lt;&gt;"",E139&lt;&gt;""),"✅ Saved","Pending"),"🔒 WRONG CODE")))</f>
        <v/>
      </c>
      <c r="J139" s="33" t="str">
        <f t="shared" ca="1" si="14"/>
        <v>—</v>
      </c>
      <c r="K139" s="22"/>
    </row>
    <row r="140" spans="1:11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IF(A140="","",IFERROR(VLOOKUP(A140,DB_Customers!$A:$M,13,0),""))</f>
        <v/>
      </c>
      <c r="D140" s="42" t="str">
        <f t="shared" ca="1" si="12"/>
        <v/>
      </c>
      <c r="E140" s="32"/>
      <c r="F140" s="43" t="str">
        <f t="shared" si="13"/>
        <v/>
      </c>
      <c r="G140" s="30" t="s">
        <v>55</v>
      </c>
      <c r="H140" s="41"/>
      <c r="I140" s="33" t="str">
        <f>IF(A140="","",IF(H140="","⚠️ Enter Agent Code",IF(IFERROR(VLOOKUP(G140,DB_Agents!$B:$F,4,0),"")=TEXT(H140,"0"),IF(AND(A140&lt;&gt;"",E140&lt;&gt;""),"✅ Saved","Pending"),"🔒 WRONG CODE")))</f>
        <v/>
      </c>
      <c r="J140" s="33" t="str">
        <f t="shared" ca="1" si="14"/>
        <v>—</v>
      </c>
      <c r="K140" s="46"/>
    </row>
    <row r="141" spans="1:11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IF(A141="","",IFERROR(VLOOKUP(A141,DB_Customers!$A:$M,13,0),""))</f>
        <v/>
      </c>
      <c r="D141" s="42" t="str">
        <f t="shared" ca="1" si="12"/>
        <v/>
      </c>
      <c r="E141" s="32"/>
      <c r="F141" s="43" t="str">
        <f t="shared" si="13"/>
        <v/>
      </c>
      <c r="G141" s="30" t="s">
        <v>55</v>
      </c>
      <c r="H141" s="41"/>
      <c r="I141" s="33" t="str">
        <f>IF(A141="","",IF(H141="","⚠️ Enter Agent Code",IF(IFERROR(VLOOKUP(G141,DB_Agents!$B:$F,4,0),"")=TEXT(H141,"0"),IF(AND(A141&lt;&gt;"",E141&lt;&gt;""),"✅ Saved","Pending"),"🔒 WRONG CODE")))</f>
        <v/>
      </c>
      <c r="J141" s="33" t="str">
        <f t="shared" ca="1" si="14"/>
        <v>—</v>
      </c>
      <c r="K141" s="22"/>
    </row>
    <row r="142" spans="1:11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IF(A142="","",IFERROR(VLOOKUP(A142,DB_Customers!$A:$M,13,0),""))</f>
        <v/>
      </c>
      <c r="D142" s="42" t="str">
        <f t="shared" ca="1" si="12"/>
        <v/>
      </c>
      <c r="E142" s="32"/>
      <c r="F142" s="43" t="str">
        <f t="shared" si="13"/>
        <v/>
      </c>
      <c r="G142" s="30" t="s">
        <v>55</v>
      </c>
      <c r="H142" s="41"/>
      <c r="I142" s="33" t="str">
        <f>IF(A142="","",IF(H142="","⚠️ Enter Agent Code",IF(IFERROR(VLOOKUP(G142,DB_Agents!$B:$F,4,0),"")=TEXT(H142,"0"),IF(AND(A142&lt;&gt;"",E142&lt;&gt;""),"✅ Saved","Pending"),"🔒 WRONG CODE")))</f>
        <v/>
      </c>
      <c r="J142" s="33" t="str">
        <f t="shared" ca="1" si="14"/>
        <v>—</v>
      </c>
      <c r="K142" s="46"/>
    </row>
    <row r="143" spans="1:11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IF(A143="","",IFERROR(VLOOKUP(A143,DB_Customers!$A:$M,13,0),""))</f>
        <v/>
      </c>
      <c r="D143" s="42" t="str">
        <f t="shared" ca="1" si="12"/>
        <v/>
      </c>
      <c r="E143" s="32"/>
      <c r="F143" s="43" t="str">
        <f t="shared" si="13"/>
        <v/>
      </c>
      <c r="G143" s="30" t="s">
        <v>55</v>
      </c>
      <c r="H143" s="41"/>
      <c r="I143" s="33" t="str">
        <f>IF(A143="","",IF(H143="","⚠️ Enter Agent Code",IF(IFERROR(VLOOKUP(G143,DB_Agents!$B:$F,4,0),"")=TEXT(H143,"0"),IF(AND(A143&lt;&gt;"",E143&lt;&gt;""),"✅ Saved","Pending"),"🔒 WRONG CODE")))</f>
        <v/>
      </c>
      <c r="J143" s="33" t="str">
        <f t="shared" ca="1" si="14"/>
        <v>—</v>
      </c>
      <c r="K143" s="22"/>
    </row>
    <row r="144" spans="1:11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IF(A144="","",IFERROR(VLOOKUP(A144,DB_Customers!$A:$M,13,0),""))</f>
        <v/>
      </c>
      <c r="D144" s="42" t="str">
        <f t="shared" ca="1" si="12"/>
        <v/>
      </c>
      <c r="E144" s="32"/>
      <c r="F144" s="43" t="str">
        <f t="shared" si="13"/>
        <v/>
      </c>
      <c r="G144" s="30" t="s">
        <v>55</v>
      </c>
      <c r="H144" s="41"/>
      <c r="I144" s="33" t="str">
        <f>IF(A144="","",IF(H144="","⚠️ Enter Agent Code",IF(IFERROR(VLOOKUP(G144,DB_Agents!$B:$F,4,0),"")=TEXT(H144,"0"),IF(AND(A144&lt;&gt;"",E144&lt;&gt;""),"✅ Saved","Pending"),"🔒 WRONG CODE")))</f>
        <v/>
      </c>
      <c r="J144" s="33" t="str">
        <f t="shared" ca="1" si="14"/>
        <v>—</v>
      </c>
      <c r="K144" s="46"/>
    </row>
    <row r="145" spans="1:11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IF(A145="","",IFERROR(VLOOKUP(A145,DB_Customers!$A:$M,13,0),""))</f>
        <v/>
      </c>
      <c r="D145" s="42" t="str">
        <f t="shared" ca="1" si="12"/>
        <v/>
      </c>
      <c r="E145" s="32"/>
      <c r="F145" s="43" t="str">
        <f t="shared" si="13"/>
        <v/>
      </c>
      <c r="G145" s="30" t="s">
        <v>55</v>
      </c>
      <c r="H145" s="41"/>
      <c r="I145" s="33" t="str">
        <f>IF(A145="","",IF(H145="","⚠️ Enter Agent Code",IF(IFERROR(VLOOKUP(G145,DB_Agents!$B:$F,4,0),"")=TEXT(H145,"0"),IF(AND(A145&lt;&gt;"",E145&lt;&gt;""),"✅ Saved","Pending"),"🔒 WRONG CODE")))</f>
        <v/>
      </c>
      <c r="J145" s="33" t="str">
        <f t="shared" ca="1" si="14"/>
        <v>—</v>
      </c>
      <c r="K145" s="22"/>
    </row>
    <row r="146" spans="1:11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IF(A146="","",IFERROR(VLOOKUP(A146,DB_Customers!$A:$M,13,0),""))</f>
        <v/>
      </c>
      <c r="D146" s="42" t="str">
        <f t="shared" ca="1" si="12"/>
        <v/>
      </c>
      <c r="E146" s="32"/>
      <c r="F146" s="43" t="str">
        <f t="shared" si="13"/>
        <v/>
      </c>
      <c r="G146" s="30" t="s">
        <v>55</v>
      </c>
      <c r="H146" s="41"/>
      <c r="I146" s="33" t="str">
        <f>IF(A146="","",IF(H146="","⚠️ Enter Agent Code",IF(IFERROR(VLOOKUP(G146,DB_Agents!$B:$F,4,0),"")=TEXT(H146,"0"),IF(AND(A146&lt;&gt;"",E146&lt;&gt;""),"✅ Saved","Pending"),"🔒 WRONG CODE")))</f>
        <v/>
      </c>
      <c r="J146" s="33" t="str">
        <f t="shared" ca="1" si="14"/>
        <v>—</v>
      </c>
      <c r="K146" s="46"/>
    </row>
    <row r="147" spans="1:11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IF(A147="","",IFERROR(VLOOKUP(A147,DB_Customers!$A:$M,13,0),""))</f>
        <v/>
      </c>
      <c r="D147" s="42" t="str">
        <f t="shared" ca="1" si="12"/>
        <v/>
      </c>
      <c r="E147" s="32"/>
      <c r="F147" s="43" t="str">
        <f t="shared" si="13"/>
        <v/>
      </c>
      <c r="G147" s="30" t="s">
        <v>55</v>
      </c>
      <c r="H147" s="41"/>
      <c r="I147" s="33" t="str">
        <f>IF(A147="","",IF(H147="","⚠️ Enter Agent Code",IF(IFERROR(VLOOKUP(G147,DB_Agents!$B:$F,4,0),"")=TEXT(H147,"0"),IF(AND(A147&lt;&gt;"",E147&lt;&gt;""),"✅ Saved","Pending"),"🔒 WRONG CODE")))</f>
        <v/>
      </c>
      <c r="J147" s="33" t="str">
        <f t="shared" ca="1" si="14"/>
        <v>—</v>
      </c>
      <c r="K147" s="22"/>
    </row>
    <row r="148" spans="1:11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IF(A148="","",IFERROR(VLOOKUP(A148,DB_Customers!$A:$M,13,0),""))</f>
        <v/>
      </c>
      <c r="D148" s="42" t="str">
        <f t="shared" ca="1" si="12"/>
        <v/>
      </c>
      <c r="E148" s="32"/>
      <c r="F148" s="43" t="str">
        <f t="shared" si="13"/>
        <v/>
      </c>
      <c r="G148" s="30" t="s">
        <v>55</v>
      </c>
      <c r="H148" s="41"/>
      <c r="I148" s="33" t="str">
        <f>IF(A148="","",IF(H148="","⚠️ Enter Agent Code",IF(IFERROR(VLOOKUP(G148,DB_Agents!$B:$F,4,0),"")=TEXT(H148,"0"),IF(AND(A148&lt;&gt;"",E148&lt;&gt;""),"✅ Saved","Pending"),"🔒 WRONG CODE")))</f>
        <v/>
      </c>
      <c r="J148" s="33" t="str">
        <f t="shared" ca="1" si="14"/>
        <v>—</v>
      </c>
      <c r="K148" s="46"/>
    </row>
    <row r="149" spans="1:11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IF(A149="","",IFERROR(VLOOKUP(A149,DB_Customers!$A:$M,13,0),""))</f>
        <v/>
      </c>
      <c r="D149" s="42" t="str">
        <f t="shared" ca="1" si="12"/>
        <v/>
      </c>
      <c r="E149" s="32"/>
      <c r="F149" s="43" t="str">
        <f t="shared" si="13"/>
        <v/>
      </c>
      <c r="G149" s="30" t="s">
        <v>55</v>
      </c>
      <c r="H149" s="41"/>
      <c r="I149" s="33" t="str">
        <f>IF(A149="","",IF(H149="","⚠️ Enter Agent Code",IF(IFERROR(VLOOKUP(G149,DB_Agents!$B:$F,4,0),"")=TEXT(H149,"0"),IF(AND(A149&lt;&gt;"",E149&lt;&gt;""),"✅ Saved","Pending"),"🔒 WRONG CODE")))</f>
        <v/>
      </c>
      <c r="J149" s="33" t="str">
        <f t="shared" ca="1" si="14"/>
        <v>—</v>
      </c>
      <c r="K149" s="22"/>
    </row>
    <row r="150" spans="1:11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IF(A150="","",IFERROR(VLOOKUP(A150,DB_Customers!$A:$M,13,0),""))</f>
        <v/>
      </c>
      <c r="D150" s="42" t="str">
        <f t="shared" ca="1" si="12"/>
        <v/>
      </c>
      <c r="E150" s="32"/>
      <c r="F150" s="43" t="str">
        <f t="shared" si="13"/>
        <v/>
      </c>
      <c r="G150" s="30" t="s">
        <v>55</v>
      </c>
      <c r="H150" s="41"/>
      <c r="I150" s="33" t="str">
        <f>IF(A150="","",IF(H150="","⚠️ Enter Agent Code",IF(IFERROR(VLOOKUP(G150,DB_Agents!$B:$F,4,0),"")=TEXT(H150,"0"),IF(AND(A150&lt;&gt;"",E150&lt;&gt;""),"✅ Saved","Pending"),"🔒 WRONG CODE")))</f>
        <v/>
      </c>
      <c r="J150" s="33" t="str">
        <f t="shared" ca="1" si="14"/>
        <v>—</v>
      </c>
      <c r="K150" s="46"/>
    </row>
    <row r="151" spans="1:11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IF(A151="","",IFERROR(VLOOKUP(A151,DB_Customers!$A:$M,13,0),""))</f>
        <v/>
      </c>
      <c r="D151" s="42" t="str">
        <f t="shared" ca="1" si="12"/>
        <v/>
      </c>
      <c r="E151" s="32"/>
      <c r="F151" s="43" t="str">
        <f t="shared" si="13"/>
        <v/>
      </c>
      <c r="G151" s="30" t="s">
        <v>55</v>
      </c>
      <c r="H151" s="41"/>
      <c r="I151" s="33" t="str">
        <f>IF(A151="","",IF(H151="","⚠️ Enter Agent Code",IF(IFERROR(VLOOKUP(G151,DB_Agents!$B:$F,4,0),"")=TEXT(H151,"0"),IF(AND(A151&lt;&gt;"",E151&lt;&gt;""),"✅ Saved","Pending"),"🔒 WRONG CODE")))</f>
        <v/>
      </c>
      <c r="J151" s="33" t="str">
        <f t="shared" ca="1" si="14"/>
        <v>—</v>
      </c>
      <c r="K151" s="22"/>
    </row>
    <row r="152" spans="1:11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IF(A152="","",IFERROR(VLOOKUP(A152,DB_Customers!$A:$M,13,0),""))</f>
        <v/>
      </c>
      <c r="D152" s="42" t="str">
        <f t="shared" ca="1" si="12"/>
        <v/>
      </c>
      <c r="E152" s="32"/>
      <c r="F152" s="43" t="str">
        <f t="shared" si="13"/>
        <v/>
      </c>
      <c r="G152" s="30" t="s">
        <v>55</v>
      </c>
      <c r="H152" s="41"/>
      <c r="I152" s="33" t="str">
        <f>IF(A152="","",IF(H152="","⚠️ Enter Agent Code",IF(IFERROR(VLOOKUP(G152,DB_Agents!$B:$F,4,0),"")=TEXT(H152,"0"),IF(AND(A152&lt;&gt;"",E152&lt;&gt;""),"✅ Saved","Pending"),"🔒 WRONG CODE")))</f>
        <v/>
      </c>
      <c r="J152" s="33" t="str">
        <f t="shared" ca="1" si="14"/>
        <v>—</v>
      </c>
      <c r="K152" s="46"/>
    </row>
    <row r="153" spans="1:11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IF(A153="","",IFERROR(VLOOKUP(A153,DB_Customers!$A:$M,13,0),""))</f>
        <v/>
      </c>
      <c r="D153" s="42" t="str">
        <f t="shared" ca="1" si="12"/>
        <v/>
      </c>
      <c r="E153" s="32"/>
      <c r="F153" s="43" t="str">
        <f t="shared" si="13"/>
        <v/>
      </c>
      <c r="G153" s="30" t="s">
        <v>55</v>
      </c>
      <c r="H153" s="41"/>
      <c r="I153" s="33" t="str">
        <f>IF(A153="","",IF(H153="","⚠️ Enter Agent Code",IF(IFERROR(VLOOKUP(G153,DB_Agents!$B:$F,4,0),"")=TEXT(H153,"0"),IF(AND(A153&lt;&gt;"",E153&lt;&gt;""),"✅ Saved","Pending"),"🔒 WRONG CODE")))</f>
        <v/>
      </c>
      <c r="J153" s="33" t="str">
        <f t="shared" ca="1" si="14"/>
        <v>—</v>
      </c>
      <c r="K153" s="22"/>
    </row>
    <row r="154" spans="1:11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IF(A154="","",IFERROR(VLOOKUP(A154,DB_Customers!$A:$M,13,0),""))</f>
        <v/>
      </c>
      <c r="D154" s="42" t="str">
        <f t="shared" ca="1" si="12"/>
        <v/>
      </c>
      <c r="E154" s="32"/>
      <c r="F154" s="43" t="str">
        <f t="shared" si="13"/>
        <v/>
      </c>
      <c r="G154" s="30" t="s">
        <v>55</v>
      </c>
      <c r="H154" s="41"/>
      <c r="I154" s="33" t="str">
        <f>IF(A154="","",IF(H154="","⚠️ Enter Agent Code",IF(IFERROR(VLOOKUP(G154,DB_Agents!$B:$F,4,0),"")=TEXT(H154,"0"),IF(AND(A154&lt;&gt;"",E154&lt;&gt;""),"✅ Saved","Pending"),"🔒 WRONG CODE")))</f>
        <v/>
      </c>
      <c r="J154" s="33" t="str">
        <f t="shared" ca="1" si="14"/>
        <v>—</v>
      </c>
      <c r="K154" s="46"/>
    </row>
    <row r="155" spans="1:11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IF(A155="","",IFERROR(VLOOKUP(A155,DB_Customers!$A:$M,13,0),""))</f>
        <v/>
      </c>
      <c r="D155" s="42" t="str">
        <f t="shared" ca="1" si="12"/>
        <v/>
      </c>
      <c r="E155" s="32"/>
      <c r="F155" s="43" t="str">
        <f t="shared" si="13"/>
        <v/>
      </c>
      <c r="G155" s="30" t="s">
        <v>55</v>
      </c>
      <c r="H155" s="41"/>
      <c r="I155" s="33" t="str">
        <f>IF(A155="","",IF(H155="","⚠️ Enter Agent Code",IF(IFERROR(VLOOKUP(G155,DB_Agents!$B:$F,4,0),"")=TEXT(H155,"0"),IF(AND(A155&lt;&gt;"",E155&lt;&gt;""),"✅ Saved","Pending"),"🔒 WRONG CODE")))</f>
        <v/>
      </c>
      <c r="J155" s="33" t="str">
        <f t="shared" ca="1" si="14"/>
        <v>—</v>
      </c>
      <c r="K155" s="22"/>
    </row>
    <row r="156" spans="1:11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IF(A156="","",IFERROR(VLOOKUP(A156,DB_Customers!$A:$M,13,0),""))</f>
        <v/>
      </c>
      <c r="D156" s="42" t="str">
        <f t="shared" ca="1" si="12"/>
        <v/>
      </c>
      <c r="E156" s="32"/>
      <c r="F156" s="43" t="str">
        <f t="shared" si="13"/>
        <v/>
      </c>
      <c r="G156" s="30" t="s">
        <v>55</v>
      </c>
      <c r="H156" s="41"/>
      <c r="I156" s="33" t="str">
        <f>IF(A156="","",IF(H156="","⚠️ Enter Agent Code",IF(IFERROR(VLOOKUP(G156,DB_Agents!$B:$F,4,0),"")=TEXT(H156,"0"),IF(AND(A156&lt;&gt;"",E156&lt;&gt;""),"✅ Saved","Pending"),"🔒 WRONG CODE")))</f>
        <v/>
      </c>
      <c r="J156" s="33" t="str">
        <f t="shared" ca="1" si="14"/>
        <v>—</v>
      </c>
      <c r="K156" s="46"/>
    </row>
    <row r="157" spans="1:11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IF(A157="","",IFERROR(VLOOKUP(A157,DB_Customers!$A:$M,13,0),""))</f>
        <v/>
      </c>
      <c r="D157" s="42" t="str">
        <f t="shared" ca="1" si="12"/>
        <v/>
      </c>
      <c r="E157" s="32"/>
      <c r="F157" s="43" t="str">
        <f t="shared" si="13"/>
        <v/>
      </c>
      <c r="G157" s="30" t="s">
        <v>55</v>
      </c>
      <c r="H157" s="41"/>
      <c r="I157" s="33" t="str">
        <f>IF(A157="","",IF(H157="","⚠️ Enter Agent Code",IF(IFERROR(VLOOKUP(G157,DB_Agents!$B:$F,4,0),"")=TEXT(H157,"0"),IF(AND(A157&lt;&gt;"",E157&lt;&gt;""),"✅ Saved","Pending"),"🔒 WRONG CODE")))</f>
        <v/>
      </c>
      <c r="J157" s="33" t="str">
        <f t="shared" ca="1" si="14"/>
        <v>—</v>
      </c>
      <c r="K157" s="22"/>
    </row>
    <row r="158" spans="1:11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IF(A158="","",IFERROR(VLOOKUP(A158,DB_Customers!$A:$M,13,0),""))</f>
        <v/>
      </c>
      <c r="D158" s="42" t="str">
        <f t="shared" ca="1" si="12"/>
        <v/>
      </c>
      <c r="E158" s="32"/>
      <c r="F158" s="43" t="str">
        <f t="shared" si="13"/>
        <v/>
      </c>
      <c r="G158" s="30" t="s">
        <v>55</v>
      </c>
      <c r="H158" s="41"/>
      <c r="I158" s="33" t="str">
        <f>IF(A158="","",IF(H158="","⚠️ Enter Agent Code",IF(IFERROR(VLOOKUP(G158,DB_Agents!$B:$F,4,0),"")=TEXT(H158,"0"),IF(AND(A158&lt;&gt;"",E158&lt;&gt;""),"✅ Saved","Pending"),"🔒 WRONG CODE")))</f>
        <v/>
      </c>
      <c r="J158" s="33" t="str">
        <f t="shared" ca="1" si="14"/>
        <v>—</v>
      </c>
      <c r="K158" s="46"/>
    </row>
    <row r="159" spans="1:11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IF(A159="","",IFERROR(VLOOKUP(A159,DB_Customers!$A:$M,13,0),""))</f>
        <v/>
      </c>
      <c r="D159" s="42" t="str">
        <f t="shared" ca="1" si="12"/>
        <v/>
      </c>
      <c r="E159" s="32"/>
      <c r="F159" s="43" t="str">
        <f t="shared" si="13"/>
        <v/>
      </c>
      <c r="G159" s="30" t="s">
        <v>55</v>
      </c>
      <c r="H159" s="41"/>
      <c r="I159" s="33" t="str">
        <f>IF(A159="","",IF(H159="","⚠️ Enter Agent Code",IF(IFERROR(VLOOKUP(G159,DB_Agents!$B:$F,4,0),"")=TEXT(H159,"0"),IF(AND(A159&lt;&gt;"",E159&lt;&gt;""),"✅ Saved","Pending"),"🔒 WRONG CODE")))</f>
        <v/>
      </c>
      <c r="J159" s="33" t="str">
        <f t="shared" ca="1" si="14"/>
        <v>—</v>
      </c>
      <c r="K159" s="22"/>
    </row>
    <row r="160" spans="1:11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IF(A160="","",IFERROR(VLOOKUP(A160,DB_Customers!$A:$M,13,0),""))</f>
        <v/>
      </c>
      <c r="D160" s="42" t="str">
        <f t="shared" ca="1" si="12"/>
        <v/>
      </c>
      <c r="E160" s="32"/>
      <c r="F160" s="43" t="str">
        <f t="shared" si="13"/>
        <v/>
      </c>
      <c r="G160" s="30" t="s">
        <v>55</v>
      </c>
      <c r="H160" s="41"/>
      <c r="I160" s="33" t="str">
        <f>IF(A160="","",IF(H160="","⚠️ Enter Agent Code",IF(IFERROR(VLOOKUP(G160,DB_Agents!$B:$F,4,0),"")=TEXT(H160,"0"),IF(AND(A160&lt;&gt;"",E160&lt;&gt;""),"✅ Saved","Pending"),"🔒 WRONG CODE")))</f>
        <v/>
      </c>
      <c r="J160" s="33" t="str">
        <f t="shared" ca="1" si="14"/>
        <v>—</v>
      </c>
      <c r="K160" s="46"/>
    </row>
    <row r="161" spans="1:11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IF(A161="","",IFERROR(VLOOKUP(A161,DB_Customers!$A:$M,13,0),""))</f>
        <v/>
      </c>
      <c r="D161" s="42" t="str">
        <f t="shared" ca="1" si="12"/>
        <v/>
      </c>
      <c r="E161" s="32"/>
      <c r="F161" s="43" t="str">
        <f t="shared" si="13"/>
        <v/>
      </c>
      <c r="G161" s="30" t="s">
        <v>55</v>
      </c>
      <c r="H161" s="41"/>
      <c r="I161" s="33" t="str">
        <f>IF(A161="","",IF(H161="","⚠️ Enter Agent Code",IF(IFERROR(VLOOKUP(G161,DB_Agents!$B:$F,4,0),"")=TEXT(H161,"0"),IF(AND(A161&lt;&gt;"",E161&lt;&gt;""),"✅ Saved","Pending"),"🔒 WRONG CODE")))</f>
        <v/>
      </c>
      <c r="J161" s="33" t="str">
        <f t="shared" ca="1" si="14"/>
        <v>—</v>
      </c>
      <c r="K161" s="22"/>
    </row>
    <row r="162" spans="1:11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IF(A162="","",IFERROR(VLOOKUP(A162,DB_Customers!$A:$M,13,0),""))</f>
        <v/>
      </c>
      <c r="D162" s="42" t="str">
        <f t="shared" ca="1" si="12"/>
        <v/>
      </c>
      <c r="E162" s="32"/>
      <c r="F162" s="43" t="str">
        <f t="shared" si="13"/>
        <v/>
      </c>
      <c r="G162" s="30" t="s">
        <v>55</v>
      </c>
      <c r="H162" s="41"/>
      <c r="I162" s="33" t="str">
        <f>IF(A162="","",IF(H162="","⚠️ Enter Agent Code",IF(IFERROR(VLOOKUP(G162,DB_Agents!$B:$F,4,0),"")=TEXT(H162,"0"),IF(AND(A162&lt;&gt;"",E162&lt;&gt;""),"✅ Saved","Pending"),"🔒 WRONG CODE")))</f>
        <v/>
      </c>
      <c r="J162" s="33" t="str">
        <f t="shared" ca="1" si="14"/>
        <v>—</v>
      </c>
      <c r="K162" s="46"/>
    </row>
    <row r="163" spans="1:11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IF(A163="","",IFERROR(VLOOKUP(A163,DB_Customers!$A:$M,13,0),""))</f>
        <v/>
      </c>
      <c r="D163" s="42" t="str">
        <f t="shared" ca="1" si="12"/>
        <v/>
      </c>
      <c r="E163" s="32"/>
      <c r="F163" s="43" t="str">
        <f t="shared" si="13"/>
        <v/>
      </c>
      <c r="G163" s="30" t="s">
        <v>55</v>
      </c>
      <c r="H163" s="41"/>
      <c r="I163" s="33" t="str">
        <f>IF(A163="","",IF(H163="","⚠️ Enter Agent Code",IF(IFERROR(VLOOKUP(G163,DB_Agents!$B:$F,4,0),"")=TEXT(H163,"0"),IF(AND(A163&lt;&gt;"",E163&lt;&gt;""),"✅ Saved","Pending"),"🔒 WRONG CODE")))</f>
        <v/>
      </c>
      <c r="J163" s="33" t="str">
        <f t="shared" ca="1" si="14"/>
        <v>—</v>
      </c>
      <c r="K163" s="22"/>
    </row>
    <row r="164" spans="1:11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IF(A164="","",IFERROR(VLOOKUP(A164,DB_Customers!$A:$M,13,0),""))</f>
        <v/>
      </c>
      <c r="D164" s="42" t="str">
        <f t="shared" ca="1" si="12"/>
        <v/>
      </c>
      <c r="E164" s="32"/>
      <c r="F164" s="43" t="str">
        <f t="shared" si="13"/>
        <v/>
      </c>
      <c r="G164" s="30" t="s">
        <v>55</v>
      </c>
      <c r="H164" s="41"/>
      <c r="I164" s="33" t="str">
        <f>IF(A164="","",IF(H164="","⚠️ Enter Agent Code",IF(IFERROR(VLOOKUP(G164,DB_Agents!$B:$F,4,0),"")=TEXT(H164,"0"),IF(AND(A164&lt;&gt;"",E164&lt;&gt;""),"✅ Saved","Pending"),"🔒 WRONG CODE")))</f>
        <v/>
      </c>
      <c r="J164" s="33" t="str">
        <f t="shared" ca="1" si="14"/>
        <v>—</v>
      </c>
      <c r="K164" s="46"/>
    </row>
    <row r="165" spans="1:11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IF(A165="","",IFERROR(VLOOKUP(A165,DB_Customers!$A:$M,13,0),""))</f>
        <v/>
      </c>
      <c r="D165" s="42" t="str">
        <f t="shared" ca="1" si="12"/>
        <v/>
      </c>
      <c r="E165" s="32"/>
      <c r="F165" s="43" t="str">
        <f t="shared" si="13"/>
        <v/>
      </c>
      <c r="G165" s="30" t="s">
        <v>55</v>
      </c>
      <c r="H165" s="41"/>
      <c r="I165" s="33" t="str">
        <f>IF(A165="","",IF(H165="","⚠️ Enter Agent Code",IF(IFERROR(VLOOKUP(G165,DB_Agents!$B:$F,4,0),"")=TEXT(H165,"0"),IF(AND(A165&lt;&gt;"",E165&lt;&gt;""),"✅ Saved","Pending"),"🔒 WRONG CODE")))</f>
        <v/>
      </c>
      <c r="J165" s="33" t="str">
        <f t="shared" ca="1" si="14"/>
        <v>—</v>
      </c>
      <c r="K165" s="22"/>
    </row>
    <row r="166" spans="1:11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IF(A166="","",IFERROR(VLOOKUP(A166,DB_Customers!$A:$M,13,0),""))</f>
        <v/>
      </c>
      <c r="D166" s="42" t="str">
        <f t="shared" ca="1" si="12"/>
        <v/>
      </c>
      <c r="E166" s="32"/>
      <c r="F166" s="43" t="str">
        <f t="shared" si="13"/>
        <v/>
      </c>
      <c r="G166" s="30" t="s">
        <v>55</v>
      </c>
      <c r="H166" s="41"/>
      <c r="I166" s="33" t="str">
        <f>IF(A166="","",IF(H166="","⚠️ Enter Agent Code",IF(IFERROR(VLOOKUP(G166,DB_Agents!$B:$F,4,0),"")=TEXT(H166,"0"),IF(AND(A166&lt;&gt;"",E166&lt;&gt;""),"✅ Saved","Pending"),"🔒 WRONG CODE")))</f>
        <v/>
      </c>
      <c r="J166" s="33" t="str">
        <f t="shared" ca="1" si="14"/>
        <v>—</v>
      </c>
      <c r="K166" s="46"/>
    </row>
    <row r="167" spans="1:11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IF(A167="","",IFERROR(VLOOKUP(A167,DB_Customers!$A:$M,13,0),""))</f>
        <v/>
      </c>
      <c r="D167" s="42" t="str">
        <f t="shared" ca="1" si="12"/>
        <v/>
      </c>
      <c r="E167" s="32"/>
      <c r="F167" s="43" t="str">
        <f t="shared" si="13"/>
        <v/>
      </c>
      <c r="G167" s="30" t="s">
        <v>55</v>
      </c>
      <c r="H167" s="41"/>
      <c r="I167" s="33" t="str">
        <f>IF(A167="","",IF(H167="","⚠️ Enter Agent Code",IF(IFERROR(VLOOKUP(G167,DB_Agents!$B:$F,4,0),"")=TEXT(H167,"0"),IF(AND(A167&lt;&gt;"",E167&lt;&gt;""),"✅ Saved","Pending"),"🔒 WRONG CODE")))</f>
        <v/>
      </c>
      <c r="J167" s="33" t="str">
        <f t="shared" ca="1" si="14"/>
        <v>—</v>
      </c>
      <c r="K167" s="22"/>
    </row>
    <row r="168" spans="1:11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IF(A168="","",IFERROR(VLOOKUP(A168,DB_Customers!$A:$M,13,0),""))</f>
        <v/>
      </c>
      <c r="D168" s="42" t="str">
        <f t="shared" ca="1" si="12"/>
        <v/>
      </c>
      <c r="E168" s="32"/>
      <c r="F168" s="43" t="str">
        <f t="shared" si="13"/>
        <v/>
      </c>
      <c r="G168" s="30" t="s">
        <v>55</v>
      </c>
      <c r="H168" s="41"/>
      <c r="I168" s="33" t="str">
        <f>IF(A168="","",IF(H168="","⚠️ Enter Agent Code",IF(IFERROR(VLOOKUP(G168,DB_Agents!$B:$F,4,0),"")=TEXT(H168,"0"),IF(AND(A168&lt;&gt;"",E168&lt;&gt;""),"✅ Saved","Pending"),"🔒 WRONG CODE")))</f>
        <v/>
      </c>
      <c r="J168" s="33" t="str">
        <f t="shared" ca="1" si="14"/>
        <v>—</v>
      </c>
      <c r="K168" s="46"/>
    </row>
    <row r="169" spans="1:11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IF(A169="","",IFERROR(VLOOKUP(A169,DB_Customers!$A:$M,13,0),""))</f>
        <v/>
      </c>
      <c r="D169" s="42" t="str">
        <f t="shared" ref="D169:D200" ca="1" si="15">IF(A169="","",TODAY())</f>
        <v/>
      </c>
      <c r="E169" s="32"/>
      <c r="F169" s="43" t="str">
        <f t="shared" ref="F169:F200" si="16">IFERROR(IF(OR(A169="",E169=""),"",C169+E169),"")</f>
        <v/>
      </c>
      <c r="G169" s="30" t="s">
        <v>55</v>
      </c>
      <c r="H169" s="41"/>
      <c r="I169" s="33" t="str">
        <f>IF(A169="","",IF(H169="","⚠️ Enter Agent Code",IF(IFERROR(VLOOKUP(G169,DB_Agents!$B:$F,4,0),"")=TEXT(H169,"0"),IF(AND(A169&lt;&gt;"",E169&lt;&gt;""),"✅ Saved","Pending"),"🔒 WRONG CODE")))</f>
        <v/>
      </c>
      <c r="J169" s="33" t="str">
        <f t="shared" ref="J169:J200" ca="1" si="17">IF(I169="✅ Saved",TEXT(TODAY(),"YYYY-MM-DD")&amp;" Auto","—")</f>
        <v>—</v>
      </c>
      <c r="K169" s="22"/>
    </row>
    <row r="170" spans="1:11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IF(A170="","",IFERROR(VLOOKUP(A170,DB_Customers!$A:$M,13,0),""))</f>
        <v/>
      </c>
      <c r="D170" s="42" t="str">
        <f t="shared" ca="1" si="15"/>
        <v/>
      </c>
      <c r="E170" s="32"/>
      <c r="F170" s="43" t="str">
        <f t="shared" si="16"/>
        <v/>
      </c>
      <c r="G170" s="30" t="s">
        <v>55</v>
      </c>
      <c r="H170" s="41"/>
      <c r="I170" s="33" t="str">
        <f>IF(A170="","",IF(H170="","⚠️ Enter Agent Code",IF(IFERROR(VLOOKUP(G170,DB_Agents!$B:$F,4,0),"")=TEXT(H170,"0"),IF(AND(A170&lt;&gt;"",E170&lt;&gt;""),"✅ Saved","Pending"),"🔒 WRONG CODE")))</f>
        <v/>
      </c>
      <c r="J170" s="33" t="str">
        <f t="shared" ca="1" si="17"/>
        <v>—</v>
      </c>
      <c r="K170" s="46"/>
    </row>
    <row r="171" spans="1:11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IF(A171="","",IFERROR(VLOOKUP(A171,DB_Customers!$A:$M,13,0),""))</f>
        <v/>
      </c>
      <c r="D171" s="42" t="str">
        <f t="shared" ca="1" si="15"/>
        <v/>
      </c>
      <c r="E171" s="32"/>
      <c r="F171" s="43" t="str">
        <f t="shared" si="16"/>
        <v/>
      </c>
      <c r="G171" s="30" t="s">
        <v>55</v>
      </c>
      <c r="H171" s="41"/>
      <c r="I171" s="33" t="str">
        <f>IF(A171="","",IF(H171="","⚠️ Enter Agent Code",IF(IFERROR(VLOOKUP(G171,DB_Agents!$B:$F,4,0),"")=TEXT(H171,"0"),IF(AND(A171&lt;&gt;"",E171&lt;&gt;""),"✅ Saved","Pending"),"🔒 WRONG CODE")))</f>
        <v/>
      </c>
      <c r="J171" s="33" t="str">
        <f t="shared" ca="1" si="17"/>
        <v>—</v>
      </c>
      <c r="K171" s="22"/>
    </row>
    <row r="172" spans="1:11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IF(A172="","",IFERROR(VLOOKUP(A172,DB_Customers!$A:$M,13,0),""))</f>
        <v/>
      </c>
      <c r="D172" s="42" t="str">
        <f t="shared" ca="1" si="15"/>
        <v/>
      </c>
      <c r="E172" s="32"/>
      <c r="F172" s="43" t="str">
        <f t="shared" si="16"/>
        <v/>
      </c>
      <c r="G172" s="30" t="s">
        <v>55</v>
      </c>
      <c r="H172" s="41"/>
      <c r="I172" s="33" t="str">
        <f>IF(A172="","",IF(H172="","⚠️ Enter Agent Code",IF(IFERROR(VLOOKUP(G172,DB_Agents!$B:$F,4,0),"")=TEXT(H172,"0"),IF(AND(A172&lt;&gt;"",E172&lt;&gt;""),"✅ Saved","Pending"),"🔒 WRONG CODE")))</f>
        <v/>
      </c>
      <c r="J172" s="33" t="str">
        <f t="shared" ca="1" si="17"/>
        <v>—</v>
      </c>
      <c r="K172" s="46"/>
    </row>
    <row r="173" spans="1:11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IF(A173="","",IFERROR(VLOOKUP(A173,DB_Customers!$A:$M,13,0),""))</f>
        <v/>
      </c>
      <c r="D173" s="42" t="str">
        <f t="shared" ca="1" si="15"/>
        <v/>
      </c>
      <c r="E173" s="32"/>
      <c r="F173" s="43" t="str">
        <f t="shared" si="16"/>
        <v/>
      </c>
      <c r="G173" s="30" t="s">
        <v>55</v>
      </c>
      <c r="H173" s="41"/>
      <c r="I173" s="33" t="str">
        <f>IF(A173="","",IF(H173="","⚠️ Enter Agent Code",IF(IFERROR(VLOOKUP(G173,DB_Agents!$B:$F,4,0),"")=TEXT(H173,"0"),IF(AND(A173&lt;&gt;"",E173&lt;&gt;""),"✅ Saved","Pending"),"🔒 WRONG CODE")))</f>
        <v/>
      </c>
      <c r="J173" s="33" t="str">
        <f t="shared" ca="1" si="17"/>
        <v>—</v>
      </c>
      <c r="K173" s="22"/>
    </row>
    <row r="174" spans="1:11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IF(A174="","",IFERROR(VLOOKUP(A174,DB_Customers!$A:$M,13,0),""))</f>
        <v/>
      </c>
      <c r="D174" s="42" t="str">
        <f t="shared" ca="1" si="15"/>
        <v/>
      </c>
      <c r="E174" s="32"/>
      <c r="F174" s="43" t="str">
        <f t="shared" si="16"/>
        <v/>
      </c>
      <c r="G174" s="30" t="s">
        <v>55</v>
      </c>
      <c r="H174" s="41"/>
      <c r="I174" s="33" t="str">
        <f>IF(A174="","",IF(H174="","⚠️ Enter Agent Code",IF(IFERROR(VLOOKUP(G174,DB_Agents!$B:$F,4,0),"")=TEXT(H174,"0"),IF(AND(A174&lt;&gt;"",E174&lt;&gt;""),"✅ Saved","Pending"),"🔒 WRONG CODE")))</f>
        <v/>
      </c>
      <c r="J174" s="33" t="str">
        <f t="shared" ca="1" si="17"/>
        <v>—</v>
      </c>
      <c r="K174" s="46"/>
    </row>
    <row r="175" spans="1:11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IF(A175="","",IFERROR(VLOOKUP(A175,DB_Customers!$A:$M,13,0),""))</f>
        <v/>
      </c>
      <c r="D175" s="42" t="str">
        <f t="shared" ca="1" si="15"/>
        <v/>
      </c>
      <c r="E175" s="32"/>
      <c r="F175" s="43" t="str">
        <f t="shared" si="16"/>
        <v/>
      </c>
      <c r="G175" s="30" t="s">
        <v>55</v>
      </c>
      <c r="H175" s="41"/>
      <c r="I175" s="33" t="str">
        <f>IF(A175="","",IF(H175="","⚠️ Enter Agent Code",IF(IFERROR(VLOOKUP(G175,DB_Agents!$B:$F,4,0),"")=TEXT(H175,"0"),IF(AND(A175&lt;&gt;"",E175&lt;&gt;""),"✅ Saved","Pending"),"🔒 WRONG CODE")))</f>
        <v/>
      </c>
      <c r="J175" s="33" t="str">
        <f t="shared" ca="1" si="17"/>
        <v>—</v>
      </c>
      <c r="K175" s="22"/>
    </row>
    <row r="176" spans="1:11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IF(A176="","",IFERROR(VLOOKUP(A176,DB_Customers!$A:$M,13,0),""))</f>
        <v/>
      </c>
      <c r="D176" s="42" t="str">
        <f t="shared" ca="1" si="15"/>
        <v/>
      </c>
      <c r="E176" s="32"/>
      <c r="F176" s="43" t="str">
        <f t="shared" si="16"/>
        <v/>
      </c>
      <c r="G176" s="30" t="s">
        <v>55</v>
      </c>
      <c r="H176" s="41"/>
      <c r="I176" s="33" t="str">
        <f>IF(A176="","",IF(H176="","⚠️ Enter Agent Code",IF(IFERROR(VLOOKUP(G176,DB_Agents!$B:$F,4,0),"")=TEXT(H176,"0"),IF(AND(A176&lt;&gt;"",E176&lt;&gt;""),"✅ Saved","Pending"),"🔒 WRONG CODE")))</f>
        <v/>
      </c>
      <c r="J176" s="33" t="str">
        <f t="shared" ca="1" si="17"/>
        <v>—</v>
      </c>
      <c r="K176" s="46"/>
    </row>
    <row r="177" spans="1:11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IF(A177="","",IFERROR(VLOOKUP(A177,DB_Customers!$A:$M,13,0),""))</f>
        <v/>
      </c>
      <c r="D177" s="42" t="str">
        <f t="shared" ca="1" si="15"/>
        <v/>
      </c>
      <c r="E177" s="32"/>
      <c r="F177" s="43" t="str">
        <f t="shared" si="16"/>
        <v/>
      </c>
      <c r="G177" s="30" t="s">
        <v>55</v>
      </c>
      <c r="H177" s="41"/>
      <c r="I177" s="33" t="str">
        <f>IF(A177="","",IF(H177="","⚠️ Enter Agent Code",IF(IFERROR(VLOOKUP(G177,DB_Agents!$B:$F,4,0),"")=TEXT(H177,"0"),IF(AND(A177&lt;&gt;"",E177&lt;&gt;""),"✅ Saved","Pending"),"🔒 WRONG CODE")))</f>
        <v/>
      </c>
      <c r="J177" s="33" t="str">
        <f t="shared" ca="1" si="17"/>
        <v>—</v>
      </c>
      <c r="K177" s="22"/>
    </row>
    <row r="178" spans="1:11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IF(A178="","",IFERROR(VLOOKUP(A178,DB_Customers!$A:$M,13,0),""))</f>
        <v/>
      </c>
      <c r="D178" s="42" t="str">
        <f t="shared" ca="1" si="15"/>
        <v/>
      </c>
      <c r="E178" s="32"/>
      <c r="F178" s="43" t="str">
        <f t="shared" si="16"/>
        <v/>
      </c>
      <c r="G178" s="30" t="s">
        <v>55</v>
      </c>
      <c r="H178" s="41"/>
      <c r="I178" s="33" t="str">
        <f>IF(A178="","",IF(H178="","⚠️ Enter Agent Code",IF(IFERROR(VLOOKUP(G178,DB_Agents!$B:$F,4,0),"")=TEXT(H178,"0"),IF(AND(A178&lt;&gt;"",E178&lt;&gt;""),"✅ Saved","Pending"),"🔒 WRONG CODE")))</f>
        <v/>
      </c>
      <c r="J178" s="33" t="str">
        <f t="shared" ca="1" si="17"/>
        <v>—</v>
      </c>
      <c r="K178" s="46"/>
    </row>
    <row r="179" spans="1:11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IF(A179="","",IFERROR(VLOOKUP(A179,DB_Customers!$A:$M,13,0),""))</f>
        <v/>
      </c>
      <c r="D179" s="42" t="str">
        <f t="shared" ca="1" si="15"/>
        <v/>
      </c>
      <c r="E179" s="32"/>
      <c r="F179" s="43" t="str">
        <f t="shared" si="16"/>
        <v/>
      </c>
      <c r="G179" s="30" t="s">
        <v>55</v>
      </c>
      <c r="H179" s="41"/>
      <c r="I179" s="33" t="str">
        <f>IF(A179="","",IF(H179="","⚠️ Enter Agent Code",IF(IFERROR(VLOOKUP(G179,DB_Agents!$B:$F,4,0),"")=TEXT(H179,"0"),IF(AND(A179&lt;&gt;"",E179&lt;&gt;""),"✅ Saved","Pending"),"🔒 WRONG CODE")))</f>
        <v/>
      </c>
      <c r="J179" s="33" t="str">
        <f t="shared" ca="1" si="17"/>
        <v>—</v>
      </c>
      <c r="K179" s="22"/>
    </row>
    <row r="180" spans="1:11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IF(A180="","",IFERROR(VLOOKUP(A180,DB_Customers!$A:$M,13,0),""))</f>
        <v/>
      </c>
      <c r="D180" s="42" t="str">
        <f t="shared" ca="1" si="15"/>
        <v/>
      </c>
      <c r="E180" s="32"/>
      <c r="F180" s="43" t="str">
        <f t="shared" si="16"/>
        <v/>
      </c>
      <c r="G180" s="30" t="s">
        <v>55</v>
      </c>
      <c r="H180" s="41"/>
      <c r="I180" s="33" t="str">
        <f>IF(A180="","",IF(H180="","⚠️ Enter Agent Code",IF(IFERROR(VLOOKUP(G180,DB_Agents!$B:$F,4,0),"")=TEXT(H180,"0"),IF(AND(A180&lt;&gt;"",E180&lt;&gt;""),"✅ Saved","Pending"),"🔒 WRONG CODE")))</f>
        <v/>
      </c>
      <c r="J180" s="33" t="str">
        <f t="shared" ca="1" si="17"/>
        <v>—</v>
      </c>
      <c r="K180" s="46"/>
    </row>
    <row r="181" spans="1:11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IF(A181="","",IFERROR(VLOOKUP(A181,DB_Customers!$A:$M,13,0),""))</f>
        <v/>
      </c>
      <c r="D181" s="42" t="str">
        <f t="shared" ca="1" si="15"/>
        <v/>
      </c>
      <c r="E181" s="32"/>
      <c r="F181" s="43" t="str">
        <f t="shared" si="16"/>
        <v/>
      </c>
      <c r="G181" s="30" t="s">
        <v>55</v>
      </c>
      <c r="H181" s="41"/>
      <c r="I181" s="33" t="str">
        <f>IF(A181="","",IF(H181="","⚠️ Enter Agent Code",IF(IFERROR(VLOOKUP(G181,DB_Agents!$B:$F,4,0),"")=TEXT(H181,"0"),IF(AND(A181&lt;&gt;"",E181&lt;&gt;""),"✅ Saved","Pending"),"🔒 WRONG CODE")))</f>
        <v/>
      </c>
      <c r="J181" s="33" t="str">
        <f t="shared" ca="1" si="17"/>
        <v>—</v>
      </c>
      <c r="K181" s="22"/>
    </row>
    <row r="182" spans="1:11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IF(A182="","",IFERROR(VLOOKUP(A182,DB_Customers!$A:$M,13,0),""))</f>
        <v/>
      </c>
      <c r="D182" s="42" t="str">
        <f t="shared" ca="1" si="15"/>
        <v/>
      </c>
      <c r="E182" s="32"/>
      <c r="F182" s="43" t="str">
        <f t="shared" si="16"/>
        <v/>
      </c>
      <c r="G182" s="30" t="s">
        <v>55</v>
      </c>
      <c r="H182" s="41"/>
      <c r="I182" s="33" t="str">
        <f>IF(A182="","",IF(H182="","⚠️ Enter Agent Code",IF(IFERROR(VLOOKUP(G182,DB_Agents!$B:$F,4,0),"")=TEXT(H182,"0"),IF(AND(A182&lt;&gt;"",E182&lt;&gt;""),"✅ Saved","Pending"),"🔒 WRONG CODE")))</f>
        <v/>
      </c>
      <c r="J182" s="33" t="str">
        <f t="shared" ca="1" si="17"/>
        <v>—</v>
      </c>
      <c r="K182" s="46"/>
    </row>
    <row r="183" spans="1:11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IF(A183="","",IFERROR(VLOOKUP(A183,DB_Customers!$A:$M,13,0),""))</f>
        <v/>
      </c>
      <c r="D183" s="42" t="str">
        <f t="shared" ca="1" si="15"/>
        <v/>
      </c>
      <c r="E183" s="32"/>
      <c r="F183" s="43" t="str">
        <f t="shared" si="16"/>
        <v/>
      </c>
      <c r="G183" s="30" t="s">
        <v>55</v>
      </c>
      <c r="H183" s="41"/>
      <c r="I183" s="33" t="str">
        <f>IF(A183="","",IF(H183="","⚠️ Enter Agent Code",IF(IFERROR(VLOOKUP(G183,DB_Agents!$B:$F,4,0),"")=TEXT(H183,"0"),IF(AND(A183&lt;&gt;"",E183&lt;&gt;""),"✅ Saved","Pending"),"🔒 WRONG CODE")))</f>
        <v/>
      </c>
      <c r="J183" s="33" t="str">
        <f t="shared" ca="1" si="17"/>
        <v>—</v>
      </c>
      <c r="K183" s="22"/>
    </row>
    <row r="184" spans="1:11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IF(A184="","",IFERROR(VLOOKUP(A184,DB_Customers!$A:$M,13,0),""))</f>
        <v/>
      </c>
      <c r="D184" s="42" t="str">
        <f t="shared" ca="1" si="15"/>
        <v/>
      </c>
      <c r="E184" s="32"/>
      <c r="F184" s="43" t="str">
        <f t="shared" si="16"/>
        <v/>
      </c>
      <c r="G184" s="30" t="s">
        <v>55</v>
      </c>
      <c r="H184" s="41"/>
      <c r="I184" s="33" t="str">
        <f>IF(A184="","",IF(H184="","⚠️ Enter Agent Code",IF(IFERROR(VLOOKUP(G184,DB_Agents!$B:$F,4,0),"")=TEXT(H184,"0"),IF(AND(A184&lt;&gt;"",E184&lt;&gt;""),"✅ Saved","Pending"),"🔒 WRONG CODE")))</f>
        <v/>
      </c>
      <c r="J184" s="33" t="str">
        <f t="shared" ca="1" si="17"/>
        <v>—</v>
      </c>
      <c r="K184" s="46"/>
    </row>
    <row r="185" spans="1:11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IF(A185="","",IFERROR(VLOOKUP(A185,DB_Customers!$A:$M,13,0),""))</f>
        <v/>
      </c>
      <c r="D185" s="42" t="str">
        <f t="shared" ca="1" si="15"/>
        <v/>
      </c>
      <c r="E185" s="32"/>
      <c r="F185" s="43" t="str">
        <f t="shared" si="16"/>
        <v/>
      </c>
      <c r="G185" s="30" t="s">
        <v>55</v>
      </c>
      <c r="H185" s="41"/>
      <c r="I185" s="33" t="str">
        <f>IF(A185="","",IF(H185="","⚠️ Enter Agent Code",IF(IFERROR(VLOOKUP(G185,DB_Agents!$B:$F,4,0),"")=TEXT(H185,"0"),IF(AND(A185&lt;&gt;"",E185&lt;&gt;""),"✅ Saved","Pending"),"🔒 WRONG CODE")))</f>
        <v/>
      </c>
      <c r="J185" s="33" t="str">
        <f t="shared" ca="1" si="17"/>
        <v>—</v>
      </c>
      <c r="K185" s="22"/>
    </row>
    <row r="186" spans="1:11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IF(A186="","",IFERROR(VLOOKUP(A186,DB_Customers!$A:$M,13,0),""))</f>
        <v/>
      </c>
      <c r="D186" s="42" t="str">
        <f t="shared" ca="1" si="15"/>
        <v/>
      </c>
      <c r="E186" s="32"/>
      <c r="F186" s="43" t="str">
        <f t="shared" si="16"/>
        <v/>
      </c>
      <c r="G186" s="30" t="s">
        <v>55</v>
      </c>
      <c r="H186" s="41"/>
      <c r="I186" s="33" t="str">
        <f>IF(A186="","",IF(H186="","⚠️ Enter Agent Code",IF(IFERROR(VLOOKUP(G186,DB_Agents!$B:$F,4,0),"")=TEXT(H186,"0"),IF(AND(A186&lt;&gt;"",E186&lt;&gt;""),"✅ Saved","Pending"),"🔒 WRONG CODE")))</f>
        <v/>
      </c>
      <c r="J186" s="33" t="str">
        <f t="shared" ca="1" si="17"/>
        <v>—</v>
      </c>
      <c r="K186" s="46"/>
    </row>
    <row r="187" spans="1:11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IF(A187="","",IFERROR(VLOOKUP(A187,DB_Customers!$A:$M,13,0),""))</f>
        <v/>
      </c>
      <c r="D187" s="42" t="str">
        <f t="shared" ca="1" si="15"/>
        <v/>
      </c>
      <c r="E187" s="32"/>
      <c r="F187" s="43" t="str">
        <f t="shared" si="16"/>
        <v/>
      </c>
      <c r="G187" s="30" t="s">
        <v>55</v>
      </c>
      <c r="H187" s="41"/>
      <c r="I187" s="33" t="str">
        <f>IF(A187="","",IF(H187="","⚠️ Enter Agent Code",IF(IFERROR(VLOOKUP(G187,DB_Agents!$B:$F,4,0),"")=TEXT(H187,"0"),IF(AND(A187&lt;&gt;"",E187&lt;&gt;""),"✅ Saved","Pending"),"🔒 WRONG CODE")))</f>
        <v/>
      </c>
      <c r="J187" s="33" t="str">
        <f t="shared" ca="1" si="17"/>
        <v>—</v>
      </c>
      <c r="K187" s="22"/>
    </row>
    <row r="188" spans="1:11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IF(A188="","",IFERROR(VLOOKUP(A188,DB_Customers!$A:$M,13,0),""))</f>
        <v/>
      </c>
      <c r="D188" s="42" t="str">
        <f t="shared" ca="1" si="15"/>
        <v/>
      </c>
      <c r="E188" s="32"/>
      <c r="F188" s="43" t="str">
        <f t="shared" si="16"/>
        <v/>
      </c>
      <c r="G188" s="30" t="s">
        <v>55</v>
      </c>
      <c r="H188" s="41"/>
      <c r="I188" s="33" t="str">
        <f>IF(A188="","",IF(H188="","⚠️ Enter Agent Code",IF(IFERROR(VLOOKUP(G188,DB_Agents!$B:$F,4,0),"")=TEXT(H188,"0"),IF(AND(A188&lt;&gt;"",E188&lt;&gt;""),"✅ Saved","Pending"),"🔒 WRONG CODE")))</f>
        <v/>
      </c>
      <c r="J188" s="33" t="str">
        <f t="shared" ca="1" si="17"/>
        <v>—</v>
      </c>
      <c r="K188" s="46"/>
    </row>
    <row r="189" spans="1:11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IF(A189="","",IFERROR(VLOOKUP(A189,DB_Customers!$A:$M,13,0),""))</f>
        <v/>
      </c>
      <c r="D189" s="42" t="str">
        <f t="shared" ca="1" si="15"/>
        <v/>
      </c>
      <c r="E189" s="32"/>
      <c r="F189" s="43" t="str">
        <f t="shared" si="16"/>
        <v/>
      </c>
      <c r="G189" s="30" t="s">
        <v>55</v>
      </c>
      <c r="H189" s="41"/>
      <c r="I189" s="33" t="str">
        <f>IF(A189="","",IF(H189="","⚠️ Enter Agent Code",IF(IFERROR(VLOOKUP(G189,DB_Agents!$B:$F,4,0),"")=TEXT(H189,"0"),IF(AND(A189&lt;&gt;"",E189&lt;&gt;""),"✅ Saved","Pending"),"🔒 WRONG CODE")))</f>
        <v/>
      </c>
      <c r="J189" s="33" t="str">
        <f t="shared" ca="1" si="17"/>
        <v>—</v>
      </c>
      <c r="K189" s="22"/>
    </row>
    <row r="190" spans="1:11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IF(A190="","",IFERROR(VLOOKUP(A190,DB_Customers!$A:$M,13,0),""))</f>
        <v/>
      </c>
      <c r="D190" s="42" t="str">
        <f t="shared" ca="1" si="15"/>
        <v/>
      </c>
      <c r="E190" s="32"/>
      <c r="F190" s="43" t="str">
        <f t="shared" si="16"/>
        <v/>
      </c>
      <c r="G190" s="30" t="s">
        <v>55</v>
      </c>
      <c r="H190" s="41"/>
      <c r="I190" s="33" t="str">
        <f>IF(A190="","",IF(H190="","⚠️ Enter Agent Code",IF(IFERROR(VLOOKUP(G190,DB_Agents!$B:$F,4,0),"")=TEXT(H190,"0"),IF(AND(A190&lt;&gt;"",E190&lt;&gt;""),"✅ Saved","Pending"),"🔒 WRONG CODE")))</f>
        <v/>
      </c>
      <c r="J190" s="33" t="str">
        <f t="shared" ca="1" si="17"/>
        <v>—</v>
      </c>
      <c r="K190" s="46"/>
    </row>
    <row r="191" spans="1:11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IF(A191="","",IFERROR(VLOOKUP(A191,DB_Customers!$A:$M,13,0),""))</f>
        <v/>
      </c>
      <c r="D191" s="42" t="str">
        <f t="shared" ca="1" si="15"/>
        <v/>
      </c>
      <c r="E191" s="32"/>
      <c r="F191" s="43" t="str">
        <f t="shared" si="16"/>
        <v/>
      </c>
      <c r="G191" s="30" t="s">
        <v>55</v>
      </c>
      <c r="H191" s="41"/>
      <c r="I191" s="33" t="str">
        <f>IF(A191="","",IF(H191="","⚠️ Enter Agent Code",IF(IFERROR(VLOOKUP(G191,DB_Agents!$B:$F,4,0),"")=TEXT(H191,"0"),IF(AND(A191&lt;&gt;"",E191&lt;&gt;""),"✅ Saved","Pending"),"🔒 WRONG CODE")))</f>
        <v/>
      </c>
      <c r="J191" s="33" t="str">
        <f t="shared" ca="1" si="17"/>
        <v>—</v>
      </c>
      <c r="K191" s="22"/>
    </row>
    <row r="192" spans="1:11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IF(A192="","",IFERROR(VLOOKUP(A192,DB_Customers!$A:$M,13,0),""))</f>
        <v/>
      </c>
      <c r="D192" s="42" t="str">
        <f t="shared" ca="1" si="15"/>
        <v/>
      </c>
      <c r="E192" s="32"/>
      <c r="F192" s="43" t="str">
        <f t="shared" si="16"/>
        <v/>
      </c>
      <c r="G192" s="30" t="s">
        <v>55</v>
      </c>
      <c r="H192" s="41"/>
      <c r="I192" s="33" t="str">
        <f>IF(A192="","",IF(H192="","⚠️ Enter Agent Code",IF(IFERROR(VLOOKUP(G192,DB_Agents!$B:$F,4,0),"")=TEXT(H192,"0"),IF(AND(A192&lt;&gt;"",E192&lt;&gt;""),"✅ Saved","Pending"),"🔒 WRONG CODE")))</f>
        <v/>
      </c>
      <c r="J192" s="33" t="str">
        <f t="shared" ca="1" si="17"/>
        <v>—</v>
      </c>
      <c r="K192" s="46"/>
    </row>
    <row r="193" spans="1:11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IF(A193="","",IFERROR(VLOOKUP(A193,DB_Customers!$A:$M,13,0),""))</f>
        <v/>
      </c>
      <c r="D193" s="42" t="str">
        <f t="shared" ca="1" si="15"/>
        <v/>
      </c>
      <c r="E193" s="32"/>
      <c r="F193" s="43" t="str">
        <f t="shared" si="16"/>
        <v/>
      </c>
      <c r="G193" s="30" t="s">
        <v>55</v>
      </c>
      <c r="H193" s="41"/>
      <c r="I193" s="33" t="str">
        <f>IF(A193="","",IF(H193="","⚠️ Enter Agent Code",IF(IFERROR(VLOOKUP(G193,DB_Agents!$B:$F,4,0),"")=TEXT(H193,"0"),IF(AND(A193&lt;&gt;"",E193&lt;&gt;""),"✅ Saved","Pending"),"🔒 WRONG CODE")))</f>
        <v/>
      </c>
      <c r="J193" s="33" t="str">
        <f t="shared" ca="1" si="17"/>
        <v>—</v>
      </c>
      <c r="K193" s="22"/>
    </row>
    <row r="194" spans="1:11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IF(A194="","",IFERROR(VLOOKUP(A194,DB_Customers!$A:$M,13,0),""))</f>
        <v/>
      </c>
      <c r="D194" s="42" t="str">
        <f t="shared" ca="1" si="15"/>
        <v/>
      </c>
      <c r="E194" s="32"/>
      <c r="F194" s="43" t="str">
        <f t="shared" si="16"/>
        <v/>
      </c>
      <c r="G194" s="30" t="s">
        <v>55</v>
      </c>
      <c r="H194" s="41"/>
      <c r="I194" s="33" t="str">
        <f>IF(A194="","",IF(H194="","⚠️ Enter Agent Code",IF(IFERROR(VLOOKUP(G194,DB_Agents!$B:$F,4,0),"")=TEXT(H194,"0"),IF(AND(A194&lt;&gt;"",E194&lt;&gt;""),"✅ Saved","Pending"),"🔒 WRONG CODE")))</f>
        <v/>
      </c>
      <c r="J194" s="33" t="str">
        <f t="shared" ca="1" si="17"/>
        <v>—</v>
      </c>
      <c r="K194" s="46"/>
    </row>
    <row r="195" spans="1:11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IF(A195="","",IFERROR(VLOOKUP(A195,DB_Customers!$A:$M,13,0),""))</f>
        <v/>
      </c>
      <c r="D195" s="42" t="str">
        <f t="shared" ca="1" si="15"/>
        <v/>
      </c>
      <c r="E195" s="32"/>
      <c r="F195" s="43" t="str">
        <f t="shared" si="16"/>
        <v/>
      </c>
      <c r="G195" s="30" t="s">
        <v>55</v>
      </c>
      <c r="H195" s="41"/>
      <c r="I195" s="33" t="str">
        <f>IF(A195="","",IF(H195="","⚠️ Enter Agent Code",IF(IFERROR(VLOOKUP(G195,DB_Agents!$B:$F,4,0),"")=TEXT(H195,"0"),IF(AND(A195&lt;&gt;"",E195&lt;&gt;""),"✅ Saved","Pending"),"🔒 WRONG CODE")))</f>
        <v/>
      </c>
      <c r="J195" s="33" t="str">
        <f t="shared" ca="1" si="17"/>
        <v>—</v>
      </c>
      <c r="K195" s="22"/>
    </row>
    <row r="196" spans="1:11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IF(A196="","",IFERROR(VLOOKUP(A196,DB_Customers!$A:$M,13,0),""))</f>
        <v/>
      </c>
      <c r="D196" s="42" t="str">
        <f t="shared" ca="1" si="15"/>
        <v/>
      </c>
      <c r="E196" s="32"/>
      <c r="F196" s="43" t="str">
        <f t="shared" si="16"/>
        <v/>
      </c>
      <c r="G196" s="30" t="s">
        <v>55</v>
      </c>
      <c r="H196" s="41"/>
      <c r="I196" s="33" t="str">
        <f>IF(A196="","",IF(H196="","⚠️ Enter Agent Code",IF(IFERROR(VLOOKUP(G196,DB_Agents!$B:$F,4,0),"")=TEXT(H196,"0"),IF(AND(A196&lt;&gt;"",E196&lt;&gt;""),"✅ Saved","Pending"),"🔒 WRONG CODE")))</f>
        <v/>
      </c>
      <c r="J196" s="33" t="str">
        <f t="shared" ca="1" si="17"/>
        <v>—</v>
      </c>
      <c r="K196" s="46"/>
    </row>
    <row r="197" spans="1:11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IF(A197="","",IFERROR(VLOOKUP(A197,DB_Customers!$A:$M,13,0),""))</f>
        <v/>
      </c>
      <c r="D197" s="42" t="str">
        <f t="shared" ca="1" si="15"/>
        <v/>
      </c>
      <c r="E197" s="32"/>
      <c r="F197" s="43" t="str">
        <f t="shared" si="16"/>
        <v/>
      </c>
      <c r="G197" s="30" t="s">
        <v>55</v>
      </c>
      <c r="H197" s="41"/>
      <c r="I197" s="33" t="str">
        <f>IF(A197="","",IF(H197="","⚠️ Enter Agent Code",IF(IFERROR(VLOOKUP(G197,DB_Agents!$B:$F,4,0),"")=TEXT(H197,"0"),IF(AND(A197&lt;&gt;"",E197&lt;&gt;""),"✅ Saved","Pending"),"🔒 WRONG CODE")))</f>
        <v/>
      </c>
      <c r="J197" s="33" t="str">
        <f t="shared" ca="1" si="17"/>
        <v>—</v>
      </c>
      <c r="K197" s="22"/>
    </row>
    <row r="198" spans="1:11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IF(A198="","",IFERROR(VLOOKUP(A198,DB_Customers!$A:$M,13,0),""))</f>
        <v/>
      </c>
      <c r="D198" s="42" t="str">
        <f t="shared" ca="1" si="15"/>
        <v/>
      </c>
      <c r="E198" s="32"/>
      <c r="F198" s="43" t="str">
        <f t="shared" si="16"/>
        <v/>
      </c>
      <c r="G198" s="30" t="s">
        <v>55</v>
      </c>
      <c r="H198" s="41"/>
      <c r="I198" s="33" t="str">
        <f>IF(A198="","",IF(H198="","⚠️ Enter Agent Code",IF(IFERROR(VLOOKUP(G198,DB_Agents!$B:$F,4,0),"")=TEXT(H198,"0"),IF(AND(A198&lt;&gt;"",E198&lt;&gt;""),"✅ Saved","Pending"),"🔒 WRONG CODE")))</f>
        <v/>
      </c>
      <c r="J198" s="33" t="str">
        <f t="shared" ca="1" si="17"/>
        <v>—</v>
      </c>
      <c r="K198" s="46"/>
    </row>
    <row r="199" spans="1:11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IF(A199="","",IFERROR(VLOOKUP(A199,DB_Customers!$A:$M,13,0),""))</f>
        <v/>
      </c>
      <c r="D199" s="42" t="str">
        <f t="shared" ca="1" si="15"/>
        <v/>
      </c>
      <c r="E199" s="32"/>
      <c r="F199" s="43" t="str">
        <f t="shared" si="16"/>
        <v/>
      </c>
      <c r="G199" s="30" t="s">
        <v>55</v>
      </c>
      <c r="H199" s="41"/>
      <c r="I199" s="33" t="str">
        <f>IF(A199="","",IF(H199="","⚠️ Enter Agent Code",IF(IFERROR(VLOOKUP(G199,DB_Agents!$B:$F,4,0),"")=TEXT(H199,"0"),IF(AND(A199&lt;&gt;"",E199&lt;&gt;""),"✅ Saved","Pending"),"🔒 WRONG CODE")))</f>
        <v/>
      </c>
      <c r="J199" s="33" t="str">
        <f t="shared" ca="1" si="17"/>
        <v>—</v>
      </c>
      <c r="K199" s="22"/>
    </row>
    <row r="200" spans="1:11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IF(A200="","",IFERROR(VLOOKUP(A200,DB_Customers!$A:$M,13,0),""))</f>
        <v/>
      </c>
      <c r="D200" s="42" t="str">
        <f t="shared" ca="1" si="15"/>
        <v/>
      </c>
      <c r="E200" s="32"/>
      <c r="F200" s="43" t="str">
        <f t="shared" si="16"/>
        <v/>
      </c>
      <c r="G200" s="30" t="s">
        <v>55</v>
      </c>
      <c r="H200" s="41"/>
      <c r="I200" s="33" t="str">
        <f>IF(A200="","",IF(H200="","⚠️ Enter Agent Code",IF(IFERROR(VLOOKUP(G200,DB_Agents!$B:$F,4,0),"")=TEXT(H200,"0"),IF(AND(A200&lt;&gt;"",E200&lt;&gt;""),"✅ Saved","Pending"),"🔒 WRONG CODE")))</f>
        <v/>
      </c>
      <c r="J200" s="33" t="str">
        <f t="shared" ca="1" si="17"/>
        <v>—</v>
      </c>
      <c r="K200" s="46"/>
    </row>
    <row r="201" spans="1:11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IF(A201="","",IFERROR(VLOOKUP(A201,DB_Customers!$A:$M,13,0),""))</f>
        <v/>
      </c>
      <c r="D201" s="42" t="str">
        <f t="shared" ref="D201:D208" ca="1" si="18">IF(A201="","",TODAY())</f>
        <v/>
      </c>
      <c r="E201" s="32"/>
      <c r="F201" s="43" t="str">
        <f t="shared" ref="F201:F232" si="19">IFERROR(IF(OR(A201="",E201=""),"",C201+E201),"")</f>
        <v/>
      </c>
      <c r="G201" s="30" t="s">
        <v>55</v>
      </c>
      <c r="H201" s="41"/>
      <c r="I201" s="33" t="str">
        <f>IF(A201="","",IF(H201="","⚠️ Enter Agent Code",IF(IFERROR(VLOOKUP(G201,DB_Agents!$B:$F,4,0),"")=TEXT(H201,"0"),IF(AND(A201&lt;&gt;"",E201&lt;&gt;""),"✅ Saved","Pending"),"🔒 WRONG CODE")))</f>
        <v/>
      </c>
      <c r="J201" s="33" t="str">
        <f t="shared" ref="J201:J232" ca="1" si="20">IF(I201="✅ Saved",TEXT(TODAY(),"YYYY-MM-DD")&amp;" Auto","—")</f>
        <v>—</v>
      </c>
      <c r="K201" s="22"/>
    </row>
    <row r="202" spans="1:11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IF(A202="","",IFERROR(VLOOKUP(A202,DB_Customers!$A:$M,13,0),""))</f>
        <v/>
      </c>
      <c r="D202" s="42" t="str">
        <f t="shared" ca="1" si="18"/>
        <v/>
      </c>
      <c r="E202" s="32"/>
      <c r="F202" s="43" t="str">
        <f t="shared" si="19"/>
        <v/>
      </c>
      <c r="G202" s="30" t="s">
        <v>55</v>
      </c>
      <c r="H202" s="41"/>
      <c r="I202" s="33" t="str">
        <f>IF(A202="","",IF(H202="","⚠️ Enter Agent Code",IF(IFERROR(VLOOKUP(G202,DB_Agents!$B:$F,4,0),"")=TEXT(H202,"0"),IF(AND(A202&lt;&gt;"",E202&lt;&gt;""),"✅ Saved","Pending"),"🔒 WRONG CODE")))</f>
        <v/>
      </c>
      <c r="J202" s="33" t="str">
        <f t="shared" ca="1" si="20"/>
        <v>—</v>
      </c>
      <c r="K202" s="46"/>
    </row>
    <row r="203" spans="1:11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IF(A203="","",IFERROR(VLOOKUP(A203,DB_Customers!$A:$M,13,0),""))</f>
        <v/>
      </c>
      <c r="D203" s="42" t="str">
        <f t="shared" ca="1" si="18"/>
        <v/>
      </c>
      <c r="E203" s="32"/>
      <c r="F203" s="43" t="str">
        <f t="shared" si="19"/>
        <v/>
      </c>
      <c r="G203" s="30" t="s">
        <v>55</v>
      </c>
      <c r="H203" s="41"/>
      <c r="I203" s="33" t="str">
        <f>IF(A203="","",IF(H203="","⚠️ Enter Agent Code",IF(IFERROR(VLOOKUP(G203,DB_Agents!$B:$F,4,0),"")=TEXT(H203,"0"),IF(AND(A203&lt;&gt;"",E203&lt;&gt;""),"✅ Saved","Pending"),"🔒 WRONG CODE")))</f>
        <v/>
      </c>
      <c r="J203" s="33" t="str">
        <f t="shared" ca="1" si="20"/>
        <v>—</v>
      </c>
      <c r="K203" s="22"/>
    </row>
    <row r="204" spans="1:11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IF(A204="","",IFERROR(VLOOKUP(A204,DB_Customers!$A:$M,13,0),""))</f>
        <v/>
      </c>
      <c r="D204" s="42" t="str">
        <f t="shared" ca="1" si="18"/>
        <v/>
      </c>
      <c r="E204" s="32"/>
      <c r="F204" s="43" t="str">
        <f t="shared" si="19"/>
        <v/>
      </c>
      <c r="G204" s="30" t="s">
        <v>55</v>
      </c>
      <c r="H204" s="41"/>
      <c r="I204" s="33" t="str">
        <f>IF(A204="","",IF(H204="","⚠️ Enter Agent Code",IF(IFERROR(VLOOKUP(G204,DB_Agents!$B:$F,4,0),"")=TEXT(H204,"0"),IF(AND(A204&lt;&gt;"",E204&lt;&gt;""),"✅ Saved","Pending"),"🔒 WRONG CODE")))</f>
        <v/>
      </c>
      <c r="J204" s="33" t="str">
        <f t="shared" ca="1" si="20"/>
        <v>—</v>
      </c>
      <c r="K204" s="46"/>
    </row>
    <row r="205" spans="1:11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IF(A205="","",IFERROR(VLOOKUP(A205,DB_Customers!$A:$M,13,0),""))</f>
        <v/>
      </c>
      <c r="D205" s="42" t="str">
        <f t="shared" ca="1" si="18"/>
        <v/>
      </c>
      <c r="E205" s="32"/>
      <c r="F205" s="43" t="str">
        <f t="shared" si="19"/>
        <v/>
      </c>
      <c r="G205" s="30" t="s">
        <v>55</v>
      </c>
      <c r="H205" s="41"/>
      <c r="I205" s="33" t="str">
        <f>IF(A205="","",IF(H205="","⚠️ Enter Agent Code",IF(IFERROR(VLOOKUP(G205,DB_Agents!$B:$F,4,0),"")=TEXT(H205,"0"),IF(AND(A205&lt;&gt;"",E205&lt;&gt;""),"✅ Saved","Pending"),"🔒 WRONG CODE")))</f>
        <v/>
      </c>
      <c r="J205" s="33" t="str">
        <f t="shared" ca="1" si="20"/>
        <v>—</v>
      </c>
      <c r="K205" s="22"/>
    </row>
    <row r="206" spans="1:11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IF(A206="","",IFERROR(VLOOKUP(A206,DB_Customers!$A:$M,13,0),""))</f>
        <v/>
      </c>
      <c r="D206" s="42" t="str">
        <f t="shared" ca="1" si="18"/>
        <v/>
      </c>
      <c r="E206" s="32"/>
      <c r="F206" s="43" t="str">
        <f t="shared" si="19"/>
        <v/>
      </c>
      <c r="G206" s="30" t="s">
        <v>55</v>
      </c>
      <c r="H206" s="41"/>
      <c r="I206" s="33" t="str">
        <f>IF(A206="","",IF(H206="","⚠️ Enter Agent Code",IF(IFERROR(VLOOKUP(G206,DB_Agents!$B:$F,4,0),"")=TEXT(H206,"0"),IF(AND(A206&lt;&gt;"",E206&lt;&gt;""),"✅ Saved","Pending"),"🔒 WRONG CODE")))</f>
        <v/>
      </c>
      <c r="J206" s="33" t="str">
        <f t="shared" ca="1" si="20"/>
        <v>—</v>
      </c>
      <c r="K206" s="46"/>
    </row>
    <row r="207" spans="1:11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IF(A207="","",IFERROR(VLOOKUP(A207,DB_Customers!$A:$M,13,0),""))</f>
        <v/>
      </c>
      <c r="D207" s="42" t="str">
        <f t="shared" ca="1" si="18"/>
        <v/>
      </c>
      <c r="E207" s="32"/>
      <c r="F207" s="43" t="str">
        <f t="shared" si="19"/>
        <v/>
      </c>
      <c r="G207" s="30" t="s">
        <v>55</v>
      </c>
      <c r="H207" s="41"/>
      <c r="I207" s="33" t="str">
        <f>IF(A207="","",IF(H207="","⚠️ Enter Agent Code",IF(IFERROR(VLOOKUP(G207,DB_Agents!$B:$F,4,0),"")=TEXT(H207,"0"),IF(AND(A207&lt;&gt;"",E207&lt;&gt;""),"✅ Saved","Pending"),"🔒 WRONG CODE")))</f>
        <v/>
      </c>
      <c r="J207" s="33" t="str">
        <f t="shared" ca="1" si="20"/>
        <v>—</v>
      </c>
      <c r="K207" s="22"/>
    </row>
    <row r="208" spans="1:11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IF(A208="","",IFERROR(VLOOKUP(A208,DB_Customers!$A:$M,13,0),""))</f>
        <v/>
      </c>
      <c r="D208" s="42" t="str">
        <f t="shared" ca="1" si="18"/>
        <v/>
      </c>
      <c r="E208" s="32"/>
      <c r="F208" s="43" t="str">
        <f t="shared" si="19"/>
        <v/>
      </c>
      <c r="G208" s="30" t="s">
        <v>55</v>
      </c>
      <c r="H208" s="41"/>
      <c r="I208" s="33" t="str">
        <f>IF(A208="","",IF(H208="","⚠️ Enter Agent Code",IF(IFERROR(VLOOKUP(G208,DB_Agents!$B:$F,4,0),"")=TEXT(H208,"0"),IF(AND(A208&lt;&gt;"",E208&lt;&gt;""),"✅ Saved","Pending"),"🔒 WRONG CODE")))</f>
        <v/>
      </c>
      <c r="J208" s="33" t="str">
        <f t="shared" ca="1" si="20"/>
        <v>—</v>
      </c>
      <c r="K208" s="46"/>
    </row>
  </sheetData>
  <mergeCells count="4">
    <mergeCell ref="A2:K2"/>
    <mergeCell ref="A6:K6"/>
    <mergeCell ref="A1:K1"/>
    <mergeCell ref="A7:K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2.1" customHeight="1" x14ac:dyDescent="0.25">
      <c r="A1" s="94" t="s">
        <v>163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26.1" customHeight="1" x14ac:dyDescent="0.25">
      <c r="A2" s="97" t="s">
        <v>164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20.100000000000001" customHeight="1" x14ac:dyDescent="0.25">
      <c r="A3" s="47" t="s">
        <v>138</v>
      </c>
      <c r="D3" s="44" t="s">
        <v>139</v>
      </c>
      <c r="G3" s="48" t="s">
        <v>140</v>
      </c>
      <c r="J3" s="47" t="s">
        <v>128</v>
      </c>
    </row>
    <row r="4" spans="1:12" ht="24" customHeight="1" x14ac:dyDescent="0.25">
      <c r="A4" s="49">
        <f ca="1">IFERROR(SUMIFS(DB_Withdrawals!$G:$G,DB_Withdrawals!$I:$I,"Agent 02",DB_Withdrawals!$E:$E,TODAY()),0)</f>
        <v>0</v>
      </c>
      <c r="D4" s="49">
        <f ca="1">IFERROR(COUNTIFS(DB_Withdrawals!$I:$I,"Agent 02",DB_Withdrawals!$J:$J,"✅ Successful",DB_Withdrawals!$E:$E,TODAY()),0)</f>
        <v>0</v>
      </c>
      <c r="G4" s="49">
        <f ca="1">IFERROR(COUNTIFS(DB_Withdrawals!$I:$I,"Agent 02",DB_Withdrawals!$J:$J,"❌ Insufficient Funds",DB_Withdrawals!$E:$E,TODAY()),0)</f>
        <v>0</v>
      </c>
      <c r="J4" s="49" t="str">
        <f ca="1">TEXT(TODAY(),"DD MMM YYYY")</f>
        <v>25 Apr 2026</v>
      </c>
    </row>
    <row r="6" spans="1:12" ht="26.1" customHeight="1" x14ac:dyDescent="0.25">
      <c r="A6" s="90" t="s">
        <v>141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</row>
    <row r="8" spans="1:12" ht="30" customHeight="1" x14ac:dyDescent="0.25">
      <c r="A8" s="19" t="s">
        <v>131</v>
      </c>
      <c r="B8" s="19" t="s">
        <v>69</v>
      </c>
      <c r="C8" s="19" t="s">
        <v>85</v>
      </c>
      <c r="D8" s="19" t="s">
        <v>91</v>
      </c>
      <c r="E8" s="19" t="s">
        <v>142</v>
      </c>
      <c r="F8" s="19" t="s">
        <v>143</v>
      </c>
      <c r="G8" s="19" t="s">
        <v>133</v>
      </c>
      <c r="H8" s="19" t="s">
        <v>45</v>
      </c>
      <c r="I8" s="19" t="s">
        <v>134</v>
      </c>
      <c r="J8" s="19" t="s">
        <v>77</v>
      </c>
      <c r="K8" s="19" t="s">
        <v>135</v>
      </c>
      <c r="L8" s="19" t="s">
        <v>95</v>
      </c>
    </row>
    <row r="9" spans="1:12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IF(A9="","",IFERROR(VLOOKUP(A9,DB_Customers!$A:$N,14,0),""))</f>
        <v/>
      </c>
      <c r="D9" s="42" t="str">
        <f t="shared" ref="D9:D40" ca="1" si="0">IF(A9="","",TODAY())</f>
        <v/>
      </c>
      <c r="E9" s="32"/>
      <c r="F9" s="31"/>
      <c r="G9" s="43" t="str">
        <f t="shared" ref="G9:G40" si="1">IFERROR(IF(OR(A9="",E9=""),"",C9-E9),"")</f>
        <v/>
      </c>
      <c r="H9" s="30" t="s">
        <v>55</v>
      </c>
      <c r="I9" s="41"/>
      <c r="J9" s="33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9" s="33" t="str">
        <f t="shared" ref="K9:K40" ca="1" si="2">IF(J9="✅ Successful",TEXT(TODAY(),"YYYY-MM-DD")&amp;" Auto","—")</f>
        <v>—</v>
      </c>
      <c r="L9" s="22"/>
    </row>
    <row r="10" spans="1:12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IF(A10="","",IFERROR(VLOOKUP(A10,DB_Customers!$A:$N,14,0),""))</f>
        <v/>
      </c>
      <c r="D10" s="42" t="str">
        <f t="shared" ca="1" si="0"/>
        <v/>
      </c>
      <c r="E10" s="32"/>
      <c r="F10" s="31"/>
      <c r="G10" s="43" t="str">
        <f t="shared" si="1"/>
        <v/>
      </c>
      <c r="H10" s="30" t="s">
        <v>55</v>
      </c>
      <c r="I10" s="41"/>
      <c r="J10" s="33" t="str">
        <f>IF(AND(A10&lt;&gt;"",E10&lt;&gt;""),IF(I10="","⚠️ Enter Code",IF(IFERROR(VLOOKUP(H10,DB_Agents!$B:$F,4,0),"")=TEXT(I10,"0"),IF(C10&gt;=E10,"✅ Successful","❌ Insufficient Funds"),"🔒 WRONG CODE")),"Pending")</f>
        <v>Pending</v>
      </c>
      <c r="K10" s="33" t="str">
        <f t="shared" ca="1" si="2"/>
        <v>—</v>
      </c>
      <c r="L10" s="50"/>
    </row>
    <row r="11" spans="1:12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IF(A11="","",IFERROR(VLOOKUP(A11,DB_Customers!$A:$N,14,0),""))</f>
        <v/>
      </c>
      <c r="D11" s="42" t="str">
        <f t="shared" ca="1" si="0"/>
        <v/>
      </c>
      <c r="E11" s="32"/>
      <c r="F11" s="31"/>
      <c r="G11" s="43" t="str">
        <f t="shared" si="1"/>
        <v/>
      </c>
      <c r="H11" s="30" t="s">
        <v>55</v>
      </c>
      <c r="I11" s="41"/>
      <c r="J11" s="33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1" s="33" t="str">
        <f t="shared" ca="1" si="2"/>
        <v>—</v>
      </c>
      <c r="L11" s="22"/>
    </row>
    <row r="12" spans="1:12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IF(A12="","",IFERROR(VLOOKUP(A12,DB_Customers!$A:$N,14,0),""))</f>
        <v/>
      </c>
      <c r="D12" s="42" t="str">
        <f t="shared" ca="1" si="0"/>
        <v/>
      </c>
      <c r="E12" s="32"/>
      <c r="F12" s="31"/>
      <c r="G12" s="43" t="str">
        <f t="shared" si="1"/>
        <v/>
      </c>
      <c r="H12" s="30" t="s">
        <v>55</v>
      </c>
      <c r="I12" s="41"/>
      <c r="J12" s="33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2" s="33" t="str">
        <f t="shared" ca="1" si="2"/>
        <v>—</v>
      </c>
      <c r="L12" s="50"/>
    </row>
    <row r="13" spans="1:12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IF(A13="","",IFERROR(VLOOKUP(A13,DB_Customers!$A:$N,14,0),""))</f>
        <v/>
      </c>
      <c r="D13" s="42" t="str">
        <f t="shared" ca="1" si="0"/>
        <v/>
      </c>
      <c r="E13" s="32"/>
      <c r="F13" s="31"/>
      <c r="G13" s="43" t="str">
        <f t="shared" si="1"/>
        <v/>
      </c>
      <c r="H13" s="30" t="s">
        <v>55</v>
      </c>
      <c r="I13" s="41"/>
      <c r="J13" s="33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3" s="33" t="str">
        <f t="shared" ca="1" si="2"/>
        <v>—</v>
      </c>
      <c r="L13" s="22"/>
    </row>
    <row r="14" spans="1:12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IF(A14="","",IFERROR(VLOOKUP(A14,DB_Customers!$A:$N,14,0),""))</f>
        <v/>
      </c>
      <c r="D14" s="42" t="str">
        <f t="shared" ca="1" si="0"/>
        <v/>
      </c>
      <c r="E14" s="32"/>
      <c r="F14" s="31"/>
      <c r="G14" s="43" t="str">
        <f t="shared" si="1"/>
        <v/>
      </c>
      <c r="H14" s="30" t="s">
        <v>55</v>
      </c>
      <c r="I14" s="41"/>
      <c r="J14" s="33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4" s="33" t="str">
        <f t="shared" ca="1" si="2"/>
        <v>—</v>
      </c>
      <c r="L14" s="50"/>
    </row>
    <row r="15" spans="1:12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IF(A15="","",IFERROR(VLOOKUP(A15,DB_Customers!$A:$N,14,0),""))</f>
        <v/>
      </c>
      <c r="D15" s="42" t="str">
        <f t="shared" ca="1" si="0"/>
        <v/>
      </c>
      <c r="E15" s="32"/>
      <c r="F15" s="31"/>
      <c r="G15" s="43" t="str">
        <f t="shared" si="1"/>
        <v/>
      </c>
      <c r="H15" s="30" t="s">
        <v>55</v>
      </c>
      <c r="I15" s="41"/>
      <c r="J15" s="33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5" s="33" t="str">
        <f t="shared" ca="1" si="2"/>
        <v>—</v>
      </c>
      <c r="L15" s="22"/>
    </row>
    <row r="16" spans="1:12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IF(A16="","",IFERROR(VLOOKUP(A16,DB_Customers!$A:$N,14,0),""))</f>
        <v/>
      </c>
      <c r="D16" s="42" t="str">
        <f t="shared" ca="1" si="0"/>
        <v/>
      </c>
      <c r="E16" s="32"/>
      <c r="F16" s="31"/>
      <c r="G16" s="43" t="str">
        <f t="shared" si="1"/>
        <v/>
      </c>
      <c r="H16" s="30" t="s">
        <v>55</v>
      </c>
      <c r="I16" s="41"/>
      <c r="J16" s="33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6" s="33" t="str">
        <f t="shared" ca="1" si="2"/>
        <v>—</v>
      </c>
      <c r="L16" s="50"/>
    </row>
    <row r="17" spans="1:12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IF(A17="","",IFERROR(VLOOKUP(A17,DB_Customers!$A:$N,14,0),""))</f>
        <v/>
      </c>
      <c r="D17" s="42" t="str">
        <f t="shared" ca="1" si="0"/>
        <v/>
      </c>
      <c r="E17" s="32"/>
      <c r="F17" s="31"/>
      <c r="G17" s="43" t="str">
        <f t="shared" si="1"/>
        <v/>
      </c>
      <c r="H17" s="30" t="s">
        <v>55</v>
      </c>
      <c r="I17" s="41"/>
      <c r="J17" s="33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7" s="33" t="str">
        <f t="shared" ca="1" si="2"/>
        <v>—</v>
      </c>
      <c r="L17" s="22"/>
    </row>
    <row r="18" spans="1:12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IF(A18="","",IFERROR(VLOOKUP(A18,DB_Customers!$A:$N,14,0),""))</f>
        <v/>
      </c>
      <c r="D18" s="42" t="str">
        <f t="shared" ca="1" si="0"/>
        <v/>
      </c>
      <c r="E18" s="32"/>
      <c r="F18" s="31"/>
      <c r="G18" s="43" t="str">
        <f t="shared" si="1"/>
        <v/>
      </c>
      <c r="H18" s="30" t="s">
        <v>55</v>
      </c>
      <c r="I18" s="41"/>
      <c r="J18" s="33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18" s="33" t="str">
        <f t="shared" ca="1" si="2"/>
        <v>—</v>
      </c>
      <c r="L18" s="50"/>
    </row>
    <row r="19" spans="1:12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IF(A19="","",IFERROR(VLOOKUP(A19,DB_Customers!$A:$N,14,0),""))</f>
        <v/>
      </c>
      <c r="D19" s="42" t="str">
        <f t="shared" ca="1" si="0"/>
        <v/>
      </c>
      <c r="E19" s="32"/>
      <c r="F19" s="31"/>
      <c r="G19" s="43" t="str">
        <f t="shared" si="1"/>
        <v/>
      </c>
      <c r="H19" s="30" t="s">
        <v>55</v>
      </c>
      <c r="I19" s="41"/>
      <c r="J19" s="33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19" s="33" t="str">
        <f t="shared" ca="1" si="2"/>
        <v>—</v>
      </c>
      <c r="L19" s="22"/>
    </row>
    <row r="20" spans="1:12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IF(A20="","",IFERROR(VLOOKUP(A20,DB_Customers!$A:$N,14,0),""))</f>
        <v/>
      </c>
      <c r="D20" s="42" t="str">
        <f t="shared" ca="1" si="0"/>
        <v/>
      </c>
      <c r="E20" s="32"/>
      <c r="F20" s="31"/>
      <c r="G20" s="43" t="str">
        <f t="shared" si="1"/>
        <v/>
      </c>
      <c r="H20" s="30" t="s">
        <v>55</v>
      </c>
      <c r="I20" s="41"/>
      <c r="J20" s="33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0" s="33" t="str">
        <f t="shared" ca="1" si="2"/>
        <v>—</v>
      </c>
      <c r="L20" s="50"/>
    </row>
    <row r="21" spans="1:12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IF(A21="","",IFERROR(VLOOKUP(A21,DB_Customers!$A:$N,14,0),""))</f>
        <v/>
      </c>
      <c r="D21" s="42" t="str">
        <f t="shared" ca="1" si="0"/>
        <v/>
      </c>
      <c r="E21" s="32"/>
      <c r="F21" s="31"/>
      <c r="G21" s="43" t="str">
        <f t="shared" si="1"/>
        <v/>
      </c>
      <c r="H21" s="30" t="s">
        <v>55</v>
      </c>
      <c r="I21" s="41"/>
      <c r="J21" s="33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1" s="33" t="str">
        <f t="shared" ca="1" si="2"/>
        <v>—</v>
      </c>
      <c r="L21" s="22"/>
    </row>
    <row r="22" spans="1:12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IF(A22="","",IFERROR(VLOOKUP(A22,DB_Customers!$A:$N,14,0),""))</f>
        <v/>
      </c>
      <c r="D22" s="42" t="str">
        <f t="shared" ca="1" si="0"/>
        <v/>
      </c>
      <c r="E22" s="32"/>
      <c r="F22" s="31"/>
      <c r="G22" s="43" t="str">
        <f t="shared" si="1"/>
        <v/>
      </c>
      <c r="H22" s="30" t="s">
        <v>55</v>
      </c>
      <c r="I22" s="41"/>
      <c r="J22" s="33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2" s="33" t="str">
        <f t="shared" ca="1" si="2"/>
        <v>—</v>
      </c>
      <c r="L22" s="50"/>
    </row>
    <row r="23" spans="1:12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IF(A23="","",IFERROR(VLOOKUP(A23,DB_Customers!$A:$N,14,0),""))</f>
        <v/>
      </c>
      <c r="D23" s="42" t="str">
        <f t="shared" ca="1" si="0"/>
        <v/>
      </c>
      <c r="E23" s="32"/>
      <c r="F23" s="31"/>
      <c r="G23" s="43" t="str">
        <f t="shared" si="1"/>
        <v/>
      </c>
      <c r="H23" s="30" t="s">
        <v>55</v>
      </c>
      <c r="I23" s="41"/>
      <c r="J23" s="33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3" s="33" t="str">
        <f t="shared" ca="1" si="2"/>
        <v>—</v>
      </c>
      <c r="L23" s="22"/>
    </row>
    <row r="24" spans="1:12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IF(A24="","",IFERROR(VLOOKUP(A24,DB_Customers!$A:$N,14,0),""))</f>
        <v/>
      </c>
      <c r="D24" s="42" t="str">
        <f t="shared" ca="1" si="0"/>
        <v/>
      </c>
      <c r="E24" s="32"/>
      <c r="F24" s="31"/>
      <c r="G24" s="43" t="str">
        <f t="shared" si="1"/>
        <v/>
      </c>
      <c r="H24" s="30" t="s">
        <v>55</v>
      </c>
      <c r="I24" s="41"/>
      <c r="J24" s="33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4" s="33" t="str">
        <f t="shared" ca="1" si="2"/>
        <v>—</v>
      </c>
      <c r="L24" s="50"/>
    </row>
    <row r="25" spans="1:12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IF(A25="","",IFERROR(VLOOKUP(A25,DB_Customers!$A:$N,14,0),""))</f>
        <v/>
      </c>
      <c r="D25" s="42" t="str">
        <f t="shared" ca="1" si="0"/>
        <v/>
      </c>
      <c r="E25" s="32"/>
      <c r="F25" s="31"/>
      <c r="G25" s="43" t="str">
        <f t="shared" si="1"/>
        <v/>
      </c>
      <c r="H25" s="30" t="s">
        <v>55</v>
      </c>
      <c r="I25" s="41"/>
      <c r="J25" s="33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5" s="33" t="str">
        <f t="shared" ca="1" si="2"/>
        <v>—</v>
      </c>
      <c r="L25" s="22"/>
    </row>
    <row r="26" spans="1:12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IF(A26="","",IFERROR(VLOOKUP(A26,DB_Customers!$A:$N,14,0),""))</f>
        <v/>
      </c>
      <c r="D26" s="42" t="str">
        <f t="shared" ca="1" si="0"/>
        <v/>
      </c>
      <c r="E26" s="32"/>
      <c r="F26" s="31"/>
      <c r="G26" s="43" t="str">
        <f t="shared" si="1"/>
        <v/>
      </c>
      <c r="H26" s="30" t="s">
        <v>55</v>
      </c>
      <c r="I26" s="41"/>
      <c r="J26" s="33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6" s="33" t="str">
        <f t="shared" ca="1" si="2"/>
        <v>—</v>
      </c>
      <c r="L26" s="50"/>
    </row>
    <row r="27" spans="1:12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IF(A27="","",IFERROR(VLOOKUP(A27,DB_Customers!$A:$N,14,0),""))</f>
        <v/>
      </c>
      <c r="D27" s="42" t="str">
        <f t="shared" ca="1" si="0"/>
        <v/>
      </c>
      <c r="E27" s="32"/>
      <c r="F27" s="31"/>
      <c r="G27" s="43" t="str">
        <f t="shared" si="1"/>
        <v/>
      </c>
      <c r="H27" s="30" t="s">
        <v>55</v>
      </c>
      <c r="I27" s="41"/>
      <c r="J27" s="33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7" s="33" t="str">
        <f t="shared" ca="1" si="2"/>
        <v>—</v>
      </c>
      <c r="L27" s="22"/>
    </row>
    <row r="28" spans="1:12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IF(A28="","",IFERROR(VLOOKUP(A28,DB_Customers!$A:$N,14,0),""))</f>
        <v/>
      </c>
      <c r="D28" s="42" t="str">
        <f t="shared" ca="1" si="0"/>
        <v/>
      </c>
      <c r="E28" s="32"/>
      <c r="F28" s="31"/>
      <c r="G28" s="43" t="str">
        <f t="shared" si="1"/>
        <v/>
      </c>
      <c r="H28" s="30" t="s">
        <v>55</v>
      </c>
      <c r="I28" s="41"/>
      <c r="J28" s="33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28" s="33" t="str">
        <f t="shared" ca="1" si="2"/>
        <v>—</v>
      </c>
      <c r="L28" s="50"/>
    </row>
    <row r="29" spans="1:12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IF(A29="","",IFERROR(VLOOKUP(A29,DB_Customers!$A:$N,14,0),""))</f>
        <v/>
      </c>
      <c r="D29" s="42" t="str">
        <f t="shared" ca="1" si="0"/>
        <v/>
      </c>
      <c r="E29" s="32"/>
      <c r="F29" s="31"/>
      <c r="G29" s="43" t="str">
        <f t="shared" si="1"/>
        <v/>
      </c>
      <c r="H29" s="30" t="s">
        <v>55</v>
      </c>
      <c r="I29" s="41"/>
      <c r="J29" s="33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29" s="33" t="str">
        <f t="shared" ca="1" si="2"/>
        <v>—</v>
      </c>
      <c r="L29" s="22"/>
    </row>
    <row r="30" spans="1:12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IF(A30="","",IFERROR(VLOOKUP(A30,DB_Customers!$A:$N,14,0),""))</f>
        <v/>
      </c>
      <c r="D30" s="42" t="str">
        <f t="shared" ca="1" si="0"/>
        <v/>
      </c>
      <c r="E30" s="32"/>
      <c r="F30" s="31"/>
      <c r="G30" s="43" t="str">
        <f t="shared" si="1"/>
        <v/>
      </c>
      <c r="H30" s="30" t="s">
        <v>55</v>
      </c>
      <c r="I30" s="41"/>
      <c r="J30" s="33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0" s="33" t="str">
        <f t="shared" ca="1" si="2"/>
        <v>—</v>
      </c>
      <c r="L30" s="50"/>
    </row>
    <row r="31" spans="1:12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IF(A31="","",IFERROR(VLOOKUP(A31,DB_Customers!$A:$N,14,0),""))</f>
        <v/>
      </c>
      <c r="D31" s="42" t="str">
        <f t="shared" ca="1" si="0"/>
        <v/>
      </c>
      <c r="E31" s="32"/>
      <c r="F31" s="31"/>
      <c r="G31" s="43" t="str">
        <f t="shared" si="1"/>
        <v/>
      </c>
      <c r="H31" s="30" t="s">
        <v>55</v>
      </c>
      <c r="I31" s="41"/>
      <c r="J31" s="33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1" s="33" t="str">
        <f t="shared" ca="1" si="2"/>
        <v>—</v>
      </c>
      <c r="L31" s="22"/>
    </row>
    <row r="32" spans="1:12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IF(A32="","",IFERROR(VLOOKUP(A32,DB_Customers!$A:$N,14,0),""))</f>
        <v/>
      </c>
      <c r="D32" s="42" t="str">
        <f t="shared" ca="1" si="0"/>
        <v/>
      </c>
      <c r="E32" s="32"/>
      <c r="F32" s="31"/>
      <c r="G32" s="43" t="str">
        <f t="shared" si="1"/>
        <v/>
      </c>
      <c r="H32" s="30" t="s">
        <v>55</v>
      </c>
      <c r="I32" s="41"/>
      <c r="J32" s="33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2" s="33" t="str">
        <f t="shared" ca="1" si="2"/>
        <v>—</v>
      </c>
      <c r="L32" s="50"/>
    </row>
    <row r="33" spans="1:12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IF(A33="","",IFERROR(VLOOKUP(A33,DB_Customers!$A:$N,14,0),""))</f>
        <v/>
      </c>
      <c r="D33" s="42" t="str">
        <f t="shared" ca="1" si="0"/>
        <v/>
      </c>
      <c r="E33" s="32"/>
      <c r="F33" s="31"/>
      <c r="G33" s="43" t="str">
        <f t="shared" si="1"/>
        <v/>
      </c>
      <c r="H33" s="30" t="s">
        <v>55</v>
      </c>
      <c r="I33" s="41"/>
      <c r="J33" s="33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3" s="33" t="str">
        <f t="shared" ca="1" si="2"/>
        <v>—</v>
      </c>
      <c r="L33" s="22"/>
    </row>
    <row r="34" spans="1:12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IF(A34="","",IFERROR(VLOOKUP(A34,DB_Customers!$A:$N,14,0),""))</f>
        <v/>
      </c>
      <c r="D34" s="42" t="str">
        <f t="shared" ca="1" si="0"/>
        <v/>
      </c>
      <c r="E34" s="32"/>
      <c r="F34" s="31"/>
      <c r="G34" s="43" t="str">
        <f t="shared" si="1"/>
        <v/>
      </c>
      <c r="H34" s="30" t="s">
        <v>55</v>
      </c>
      <c r="I34" s="41"/>
      <c r="J34" s="33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4" s="33" t="str">
        <f t="shared" ca="1" si="2"/>
        <v>—</v>
      </c>
      <c r="L34" s="50"/>
    </row>
    <row r="35" spans="1:12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IF(A35="","",IFERROR(VLOOKUP(A35,DB_Customers!$A:$N,14,0),""))</f>
        <v/>
      </c>
      <c r="D35" s="42" t="str">
        <f t="shared" ca="1" si="0"/>
        <v/>
      </c>
      <c r="E35" s="32"/>
      <c r="F35" s="31"/>
      <c r="G35" s="43" t="str">
        <f t="shared" si="1"/>
        <v/>
      </c>
      <c r="H35" s="30" t="s">
        <v>55</v>
      </c>
      <c r="I35" s="41"/>
      <c r="J35" s="33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5" s="33" t="str">
        <f t="shared" ca="1" si="2"/>
        <v>—</v>
      </c>
      <c r="L35" s="22"/>
    </row>
    <row r="36" spans="1:12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IF(A36="","",IFERROR(VLOOKUP(A36,DB_Customers!$A:$N,14,0),""))</f>
        <v/>
      </c>
      <c r="D36" s="42" t="str">
        <f t="shared" ca="1" si="0"/>
        <v/>
      </c>
      <c r="E36" s="32"/>
      <c r="F36" s="31"/>
      <c r="G36" s="43" t="str">
        <f t="shared" si="1"/>
        <v/>
      </c>
      <c r="H36" s="30" t="s">
        <v>55</v>
      </c>
      <c r="I36" s="41"/>
      <c r="J36" s="33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6" s="33" t="str">
        <f t="shared" ca="1" si="2"/>
        <v>—</v>
      </c>
      <c r="L36" s="50"/>
    </row>
    <row r="37" spans="1:12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IF(A37="","",IFERROR(VLOOKUP(A37,DB_Customers!$A:$N,14,0),""))</f>
        <v/>
      </c>
      <c r="D37" s="42" t="str">
        <f t="shared" ca="1" si="0"/>
        <v/>
      </c>
      <c r="E37" s="32"/>
      <c r="F37" s="31"/>
      <c r="G37" s="43" t="str">
        <f t="shared" si="1"/>
        <v/>
      </c>
      <c r="H37" s="30" t="s">
        <v>55</v>
      </c>
      <c r="I37" s="41"/>
      <c r="J37" s="33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7" s="33" t="str">
        <f t="shared" ca="1" si="2"/>
        <v>—</v>
      </c>
      <c r="L37" s="22"/>
    </row>
    <row r="38" spans="1:12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IF(A38="","",IFERROR(VLOOKUP(A38,DB_Customers!$A:$N,14,0),""))</f>
        <v/>
      </c>
      <c r="D38" s="42" t="str">
        <f t="shared" ca="1" si="0"/>
        <v/>
      </c>
      <c r="E38" s="32"/>
      <c r="F38" s="31"/>
      <c r="G38" s="43" t="str">
        <f t="shared" si="1"/>
        <v/>
      </c>
      <c r="H38" s="30" t="s">
        <v>55</v>
      </c>
      <c r="I38" s="41"/>
      <c r="J38" s="33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38" s="33" t="str">
        <f t="shared" ca="1" si="2"/>
        <v>—</v>
      </c>
      <c r="L38" s="50"/>
    </row>
    <row r="39" spans="1:12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IF(A39="","",IFERROR(VLOOKUP(A39,DB_Customers!$A:$N,14,0),""))</f>
        <v/>
      </c>
      <c r="D39" s="42" t="str">
        <f t="shared" ca="1" si="0"/>
        <v/>
      </c>
      <c r="E39" s="32"/>
      <c r="F39" s="31"/>
      <c r="G39" s="43" t="str">
        <f t="shared" si="1"/>
        <v/>
      </c>
      <c r="H39" s="30" t="s">
        <v>55</v>
      </c>
      <c r="I39" s="41"/>
      <c r="J39" s="33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39" s="33" t="str">
        <f t="shared" ca="1" si="2"/>
        <v>—</v>
      </c>
      <c r="L39" s="22"/>
    </row>
    <row r="40" spans="1:12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IF(A40="","",IFERROR(VLOOKUP(A40,DB_Customers!$A:$N,14,0),""))</f>
        <v/>
      </c>
      <c r="D40" s="42" t="str">
        <f t="shared" ca="1" si="0"/>
        <v/>
      </c>
      <c r="E40" s="32"/>
      <c r="F40" s="31"/>
      <c r="G40" s="43" t="str">
        <f t="shared" si="1"/>
        <v/>
      </c>
      <c r="H40" s="30" t="s">
        <v>55</v>
      </c>
      <c r="I40" s="41"/>
      <c r="J40" s="33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0" s="33" t="str">
        <f t="shared" ca="1" si="2"/>
        <v>—</v>
      </c>
      <c r="L40" s="50"/>
    </row>
    <row r="41" spans="1:12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IF(A41="","",IFERROR(VLOOKUP(A41,DB_Customers!$A:$N,14,0),""))</f>
        <v/>
      </c>
      <c r="D41" s="42" t="str">
        <f t="shared" ref="D41:D72" ca="1" si="3">IF(A41="","",TODAY())</f>
        <v/>
      </c>
      <c r="E41" s="32"/>
      <c r="F41" s="31"/>
      <c r="G41" s="43" t="str">
        <f t="shared" ref="G41:G72" si="4">IFERROR(IF(OR(A41="",E41=""),"",C41-E41),"")</f>
        <v/>
      </c>
      <c r="H41" s="30" t="s">
        <v>55</v>
      </c>
      <c r="I41" s="41"/>
      <c r="J41" s="33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1" s="33" t="str">
        <f t="shared" ref="K41:K72" ca="1" si="5">IF(J41="✅ Successful",TEXT(TODAY(),"YYYY-MM-DD")&amp;" Auto","—")</f>
        <v>—</v>
      </c>
      <c r="L41" s="22"/>
    </row>
    <row r="42" spans="1:12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IF(A42="","",IFERROR(VLOOKUP(A42,DB_Customers!$A:$N,14,0),""))</f>
        <v/>
      </c>
      <c r="D42" s="42" t="str">
        <f t="shared" ca="1" si="3"/>
        <v/>
      </c>
      <c r="E42" s="32"/>
      <c r="F42" s="31"/>
      <c r="G42" s="43" t="str">
        <f t="shared" si="4"/>
        <v/>
      </c>
      <c r="H42" s="30" t="s">
        <v>55</v>
      </c>
      <c r="I42" s="41"/>
      <c r="J42" s="33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2" s="33" t="str">
        <f t="shared" ca="1" si="5"/>
        <v>—</v>
      </c>
      <c r="L42" s="50"/>
    </row>
    <row r="43" spans="1:12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IF(A43="","",IFERROR(VLOOKUP(A43,DB_Customers!$A:$N,14,0),""))</f>
        <v/>
      </c>
      <c r="D43" s="42" t="str">
        <f t="shared" ca="1" si="3"/>
        <v/>
      </c>
      <c r="E43" s="32"/>
      <c r="F43" s="31"/>
      <c r="G43" s="43" t="str">
        <f t="shared" si="4"/>
        <v/>
      </c>
      <c r="H43" s="30" t="s">
        <v>55</v>
      </c>
      <c r="I43" s="41"/>
      <c r="J43" s="33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3" s="33" t="str">
        <f t="shared" ca="1" si="5"/>
        <v>—</v>
      </c>
      <c r="L43" s="22"/>
    </row>
    <row r="44" spans="1:12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IF(A44="","",IFERROR(VLOOKUP(A44,DB_Customers!$A:$N,14,0),""))</f>
        <v/>
      </c>
      <c r="D44" s="42" t="str">
        <f t="shared" ca="1" si="3"/>
        <v/>
      </c>
      <c r="E44" s="32"/>
      <c r="F44" s="31"/>
      <c r="G44" s="43" t="str">
        <f t="shared" si="4"/>
        <v/>
      </c>
      <c r="H44" s="30" t="s">
        <v>55</v>
      </c>
      <c r="I44" s="41"/>
      <c r="J44" s="33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4" s="33" t="str">
        <f t="shared" ca="1" si="5"/>
        <v>—</v>
      </c>
      <c r="L44" s="50"/>
    </row>
    <row r="45" spans="1:12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IF(A45="","",IFERROR(VLOOKUP(A45,DB_Customers!$A:$N,14,0),""))</f>
        <v/>
      </c>
      <c r="D45" s="42" t="str">
        <f t="shared" ca="1" si="3"/>
        <v/>
      </c>
      <c r="E45" s="32"/>
      <c r="F45" s="31"/>
      <c r="G45" s="43" t="str">
        <f t="shared" si="4"/>
        <v/>
      </c>
      <c r="H45" s="30" t="s">
        <v>55</v>
      </c>
      <c r="I45" s="41"/>
      <c r="J45" s="33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5" s="33" t="str">
        <f t="shared" ca="1" si="5"/>
        <v>—</v>
      </c>
      <c r="L45" s="22"/>
    </row>
    <row r="46" spans="1:12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IF(A46="","",IFERROR(VLOOKUP(A46,DB_Customers!$A:$N,14,0),""))</f>
        <v/>
      </c>
      <c r="D46" s="42" t="str">
        <f t="shared" ca="1" si="3"/>
        <v/>
      </c>
      <c r="E46" s="32"/>
      <c r="F46" s="31"/>
      <c r="G46" s="43" t="str">
        <f t="shared" si="4"/>
        <v/>
      </c>
      <c r="H46" s="30" t="s">
        <v>55</v>
      </c>
      <c r="I46" s="41"/>
      <c r="J46" s="33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6" s="33" t="str">
        <f t="shared" ca="1" si="5"/>
        <v>—</v>
      </c>
      <c r="L46" s="50"/>
    </row>
    <row r="47" spans="1:12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IF(A47="","",IFERROR(VLOOKUP(A47,DB_Customers!$A:$N,14,0),""))</f>
        <v/>
      </c>
      <c r="D47" s="42" t="str">
        <f t="shared" ca="1" si="3"/>
        <v/>
      </c>
      <c r="E47" s="32"/>
      <c r="F47" s="31"/>
      <c r="G47" s="43" t="str">
        <f t="shared" si="4"/>
        <v/>
      </c>
      <c r="H47" s="30" t="s">
        <v>55</v>
      </c>
      <c r="I47" s="41"/>
      <c r="J47" s="33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7" s="33" t="str">
        <f t="shared" ca="1" si="5"/>
        <v>—</v>
      </c>
      <c r="L47" s="22"/>
    </row>
    <row r="48" spans="1:12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IF(A48="","",IFERROR(VLOOKUP(A48,DB_Customers!$A:$N,14,0),""))</f>
        <v/>
      </c>
      <c r="D48" s="42" t="str">
        <f t="shared" ca="1" si="3"/>
        <v/>
      </c>
      <c r="E48" s="32"/>
      <c r="F48" s="31"/>
      <c r="G48" s="43" t="str">
        <f t="shared" si="4"/>
        <v/>
      </c>
      <c r="H48" s="30" t="s">
        <v>55</v>
      </c>
      <c r="I48" s="41"/>
      <c r="J48" s="33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48" s="33" t="str">
        <f t="shared" ca="1" si="5"/>
        <v>—</v>
      </c>
      <c r="L48" s="50"/>
    </row>
    <row r="49" spans="1:12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IF(A49="","",IFERROR(VLOOKUP(A49,DB_Customers!$A:$N,14,0),""))</f>
        <v/>
      </c>
      <c r="D49" s="42" t="str">
        <f t="shared" ca="1" si="3"/>
        <v/>
      </c>
      <c r="E49" s="32"/>
      <c r="F49" s="31"/>
      <c r="G49" s="43" t="str">
        <f t="shared" si="4"/>
        <v/>
      </c>
      <c r="H49" s="30" t="s">
        <v>55</v>
      </c>
      <c r="I49" s="41"/>
      <c r="J49" s="33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49" s="33" t="str">
        <f t="shared" ca="1" si="5"/>
        <v>—</v>
      </c>
      <c r="L49" s="22"/>
    </row>
    <row r="50" spans="1:12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IF(A50="","",IFERROR(VLOOKUP(A50,DB_Customers!$A:$N,14,0),""))</f>
        <v/>
      </c>
      <c r="D50" s="42" t="str">
        <f t="shared" ca="1" si="3"/>
        <v/>
      </c>
      <c r="E50" s="32"/>
      <c r="F50" s="31"/>
      <c r="G50" s="43" t="str">
        <f t="shared" si="4"/>
        <v/>
      </c>
      <c r="H50" s="30" t="s">
        <v>55</v>
      </c>
      <c r="I50" s="41"/>
      <c r="J50" s="33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0" s="33" t="str">
        <f t="shared" ca="1" si="5"/>
        <v>—</v>
      </c>
      <c r="L50" s="50"/>
    </row>
    <row r="51" spans="1:12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IF(A51="","",IFERROR(VLOOKUP(A51,DB_Customers!$A:$N,14,0),""))</f>
        <v/>
      </c>
      <c r="D51" s="42" t="str">
        <f t="shared" ca="1" si="3"/>
        <v/>
      </c>
      <c r="E51" s="32"/>
      <c r="F51" s="31"/>
      <c r="G51" s="43" t="str">
        <f t="shared" si="4"/>
        <v/>
      </c>
      <c r="H51" s="30" t="s">
        <v>55</v>
      </c>
      <c r="I51" s="41"/>
      <c r="J51" s="33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1" s="33" t="str">
        <f t="shared" ca="1" si="5"/>
        <v>—</v>
      </c>
      <c r="L51" s="22"/>
    </row>
    <row r="52" spans="1:12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IF(A52="","",IFERROR(VLOOKUP(A52,DB_Customers!$A:$N,14,0),""))</f>
        <v/>
      </c>
      <c r="D52" s="42" t="str">
        <f t="shared" ca="1" si="3"/>
        <v/>
      </c>
      <c r="E52" s="32"/>
      <c r="F52" s="31"/>
      <c r="G52" s="43" t="str">
        <f t="shared" si="4"/>
        <v/>
      </c>
      <c r="H52" s="30" t="s">
        <v>55</v>
      </c>
      <c r="I52" s="41"/>
      <c r="J52" s="33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2" s="33" t="str">
        <f t="shared" ca="1" si="5"/>
        <v>—</v>
      </c>
      <c r="L52" s="50"/>
    </row>
    <row r="53" spans="1:12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IF(A53="","",IFERROR(VLOOKUP(A53,DB_Customers!$A:$N,14,0),""))</f>
        <v/>
      </c>
      <c r="D53" s="42" t="str">
        <f t="shared" ca="1" si="3"/>
        <v/>
      </c>
      <c r="E53" s="32"/>
      <c r="F53" s="31"/>
      <c r="G53" s="43" t="str">
        <f t="shared" si="4"/>
        <v/>
      </c>
      <c r="H53" s="30" t="s">
        <v>55</v>
      </c>
      <c r="I53" s="41"/>
      <c r="J53" s="33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3" s="33" t="str">
        <f t="shared" ca="1" si="5"/>
        <v>—</v>
      </c>
      <c r="L53" s="22"/>
    </row>
    <row r="54" spans="1:12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IF(A54="","",IFERROR(VLOOKUP(A54,DB_Customers!$A:$N,14,0),""))</f>
        <v/>
      </c>
      <c r="D54" s="42" t="str">
        <f t="shared" ca="1" si="3"/>
        <v/>
      </c>
      <c r="E54" s="32"/>
      <c r="F54" s="31"/>
      <c r="G54" s="43" t="str">
        <f t="shared" si="4"/>
        <v/>
      </c>
      <c r="H54" s="30" t="s">
        <v>55</v>
      </c>
      <c r="I54" s="41"/>
      <c r="J54" s="33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4" s="33" t="str">
        <f t="shared" ca="1" si="5"/>
        <v>—</v>
      </c>
      <c r="L54" s="50"/>
    </row>
    <row r="55" spans="1:12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IF(A55="","",IFERROR(VLOOKUP(A55,DB_Customers!$A:$N,14,0),""))</f>
        <v/>
      </c>
      <c r="D55" s="42" t="str">
        <f t="shared" ca="1" si="3"/>
        <v/>
      </c>
      <c r="E55" s="32"/>
      <c r="F55" s="31"/>
      <c r="G55" s="43" t="str">
        <f t="shared" si="4"/>
        <v/>
      </c>
      <c r="H55" s="30" t="s">
        <v>55</v>
      </c>
      <c r="I55" s="41"/>
      <c r="J55" s="33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5" s="33" t="str">
        <f t="shared" ca="1" si="5"/>
        <v>—</v>
      </c>
      <c r="L55" s="22"/>
    </row>
    <row r="56" spans="1:12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IF(A56="","",IFERROR(VLOOKUP(A56,DB_Customers!$A:$N,14,0),""))</f>
        <v/>
      </c>
      <c r="D56" s="42" t="str">
        <f t="shared" ca="1" si="3"/>
        <v/>
      </c>
      <c r="E56" s="32"/>
      <c r="F56" s="31"/>
      <c r="G56" s="43" t="str">
        <f t="shared" si="4"/>
        <v/>
      </c>
      <c r="H56" s="30" t="s">
        <v>55</v>
      </c>
      <c r="I56" s="41"/>
      <c r="J56" s="33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6" s="33" t="str">
        <f t="shared" ca="1" si="5"/>
        <v>—</v>
      </c>
      <c r="L56" s="50"/>
    </row>
    <row r="57" spans="1:12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IF(A57="","",IFERROR(VLOOKUP(A57,DB_Customers!$A:$N,14,0),""))</f>
        <v/>
      </c>
      <c r="D57" s="42" t="str">
        <f t="shared" ca="1" si="3"/>
        <v/>
      </c>
      <c r="E57" s="32"/>
      <c r="F57" s="31"/>
      <c r="G57" s="43" t="str">
        <f t="shared" si="4"/>
        <v/>
      </c>
      <c r="H57" s="30" t="s">
        <v>55</v>
      </c>
      <c r="I57" s="41"/>
      <c r="J57" s="33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7" s="33" t="str">
        <f t="shared" ca="1" si="5"/>
        <v>—</v>
      </c>
      <c r="L57" s="22"/>
    </row>
    <row r="58" spans="1:12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IF(A58="","",IFERROR(VLOOKUP(A58,DB_Customers!$A:$N,14,0),""))</f>
        <v/>
      </c>
      <c r="D58" s="42" t="str">
        <f t="shared" ca="1" si="3"/>
        <v/>
      </c>
      <c r="E58" s="32"/>
      <c r="F58" s="31"/>
      <c r="G58" s="43" t="str">
        <f t="shared" si="4"/>
        <v/>
      </c>
      <c r="H58" s="30" t="s">
        <v>55</v>
      </c>
      <c r="I58" s="41"/>
      <c r="J58" s="33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58" s="33" t="str">
        <f t="shared" ca="1" si="5"/>
        <v>—</v>
      </c>
      <c r="L58" s="50"/>
    </row>
    <row r="59" spans="1:12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IF(A59="","",IFERROR(VLOOKUP(A59,DB_Customers!$A:$N,14,0),""))</f>
        <v/>
      </c>
      <c r="D59" s="42" t="str">
        <f t="shared" ca="1" si="3"/>
        <v/>
      </c>
      <c r="E59" s="32"/>
      <c r="F59" s="31"/>
      <c r="G59" s="43" t="str">
        <f t="shared" si="4"/>
        <v/>
      </c>
      <c r="H59" s="30" t="s">
        <v>55</v>
      </c>
      <c r="I59" s="41"/>
      <c r="J59" s="33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59" s="33" t="str">
        <f t="shared" ca="1" si="5"/>
        <v>—</v>
      </c>
      <c r="L59" s="22"/>
    </row>
    <row r="60" spans="1:12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IF(A60="","",IFERROR(VLOOKUP(A60,DB_Customers!$A:$N,14,0),""))</f>
        <v/>
      </c>
      <c r="D60" s="42" t="str">
        <f t="shared" ca="1" si="3"/>
        <v/>
      </c>
      <c r="E60" s="32"/>
      <c r="F60" s="31"/>
      <c r="G60" s="43" t="str">
        <f t="shared" si="4"/>
        <v/>
      </c>
      <c r="H60" s="30" t="s">
        <v>55</v>
      </c>
      <c r="I60" s="41"/>
      <c r="J60" s="33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0" s="33" t="str">
        <f t="shared" ca="1" si="5"/>
        <v>—</v>
      </c>
      <c r="L60" s="50"/>
    </row>
    <row r="61" spans="1:12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IF(A61="","",IFERROR(VLOOKUP(A61,DB_Customers!$A:$N,14,0),""))</f>
        <v/>
      </c>
      <c r="D61" s="42" t="str">
        <f t="shared" ca="1" si="3"/>
        <v/>
      </c>
      <c r="E61" s="32"/>
      <c r="F61" s="31"/>
      <c r="G61" s="43" t="str">
        <f t="shared" si="4"/>
        <v/>
      </c>
      <c r="H61" s="30" t="s">
        <v>55</v>
      </c>
      <c r="I61" s="41"/>
      <c r="J61" s="33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1" s="33" t="str">
        <f t="shared" ca="1" si="5"/>
        <v>—</v>
      </c>
      <c r="L61" s="22"/>
    </row>
    <row r="62" spans="1:12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IF(A62="","",IFERROR(VLOOKUP(A62,DB_Customers!$A:$N,14,0),""))</f>
        <v/>
      </c>
      <c r="D62" s="42" t="str">
        <f t="shared" ca="1" si="3"/>
        <v/>
      </c>
      <c r="E62" s="32"/>
      <c r="F62" s="31"/>
      <c r="G62" s="43" t="str">
        <f t="shared" si="4"/>
        <v/>
      </c>
      <c r="H62" s="30" t="s">
        <v>55</v>
      </c>
      <c r="I62" s="41"/>
      <c r="J62" s="33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2" s="33" t="str">
        <f t="shared" ca="1" si="5"/>
        <v>—</v>
      </c>
      <c r="L62" s="50"/>
    </row>
    <row r="63" spans="1:12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IF(A63="","",IFERROR(VLOOKUP(A63,DB_Customers!$A:$N,14,0),""))</f>
        <v/>
      </c>
      <c r="D63" s="42" t="str">
        <f t="shared" ca="1" si="3"/>
        <v/>
      </c>
      <c r="E63" s="32"/>
      <c r="F63" s="31"/>
      <c r="G63" s="43" t="str">
        <f t="shared" si="4"/>
        <v/>
      </c>
      <c r="H63" s="30" t="s">
        <v>55</v>
      </c>
      <c r="I63" s="41"/>
      <c r="J63" s="33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3" s="33" t="str">
        <f t="shared" ca="1" si="5"/>
        <v>—</v>
      </c>
      <c r="L63" s="22"/>
    </row>
    <row r="64" spans="1:12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IF(A64="","",IFERROR(VLOOKUP(A64,DB_Customers!$A:$N,14,0),""))</f>
        <v/>
      </c>
      <c r="D64" s="42" t="str">
        <f t="shared" ca="1" si="3"/>
        <v/>
      </c>
      <c r="E64" s="32"/>
      <c r="F64" s="31"/>
      <c r="G64" s="43" t="str">
        <f t="shared" si="4"/>
        <v/>
      </c>
      <c r="H64" s="30" t="s">
        <v>55</v>
      </c>
      <c r="I64" s="41"/>
      <c r="J64" s="33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4" s="33" t="str">
        <f t="shared" ca="1" si="5"/>
        <v>—</v>
      </c>
      <c r="L64" s="50"/>
    </row>
    <row r="65" spans="1:12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IF(A65="","",IFERROR(VLOOKUP(A65,DB_Customers!$A:$N,14,0),""))</f>
        <v/>
      </c>
      <c r="D65" s="42" t="str">
        <f t="shared" ca="1" si="3"/>
        <v/>
      </c>
      <c r="E65" s="32"/>
      <c r="F65" s="31"/>
      <c r="G65" s="43" t="str">
        <f t="shared" si="4"/>
        <v/>
      </c>
      <c r="H65" s="30" t="s">
        <v>55</v>
      </c>
      <c r="I65" s="41"/>
      <c r="J65" s="33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5" s="33" t="str">
        <f t="shared" ca="1" si="5"/>
        <v>—</v>
      </c>
      <c r="L65" s="22"/>
    </row>
    <row r="66" spans="1:12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IF(A66="","",IFERROR(VLOOKUP(A66,DB_Customers!$A:$N,14,0),""))</f>
        <v/>
      </c>
      <c r="D66" s="42" t="str">
        <f t="shared" ca="1" si="3"/>
        <v/>
      </c>
      <c r="E66" s="32"/>
      <c r="F66" s="31"/>
      <c r="G66" s="43" t="str">
        <f t="shared" si="4"/>
        <v/>
      </c>
      <c r="H66" s="30" t="s">
        <v>55</v>
      </c>
      <c r="I66" s="41"/>
      <c r="J66" s="33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6" s="33" t="str">
        <f t="shared" ca="1" si="5"/>
        <v>—</v>
      </c>
      <c r="L66" s="50"/>
    </row>
    <row r="67" spans="1:12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IF(A67="","",IFERROR(VLOOKUP(A67,DB_Customers!$A:$N,14,0),""))</f>
        <v/>
      </c>
      <c r="D67" s="42" t="str">
        <f t="shared" ca="1" si="3"/>
        <v/>
      </c>
      <c r="E67" s="32"/>
      <c r="F67" s="31"/>
      <c r="G67" s="43" t="str">
        <f t="shared" si="4"/>
        <v/>
      </c>
      <c r="H67" s="30" t="s">
        <v>55</v>
      </c>
      <c r="I67" s="41"/>
      <c r="J67" s="33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7" s="33" t="str">
        <f t="shared" ca="1" si="5"/>
        <v>—</v>
      </c>
      <c r="L67" s="22"/>
    </row>
    <row r="68" spans="1:12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IF(A68="","",IFERROR(VLOOKUP(A68,DB_Customers!$A:$N,14,0),""))</f>
        <v/>
      </c>
      <c r="D68" s="42" t="str">
        <f t="shared" ca="1" si="3"/>
        <v/>
      </c>
      <c r="E68" s="32"/>
      <c r="F68" s="31"/>
      <c r="G68" s="43" t="str">
        <f t="shared" si="4"/>
        <v/>
      </c>
      <c r="H68" s="30" t="s">
        <v>55</v>
      </c>
      <c r="I68" s="41"/>
      <c r="J68" s="33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68" s="33" t="str">
        <f t="shared" ca="1" si="5"/>
        <v>—</v>
      </c>
      <c r="L68" s="50"/>
    </row>
    <row r="69" spans="1:12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IF(A69="","",IFERROR(VLOOKUP(A69,DB_Customers!$A:$N,14,0),""))</f>
        <v/>
      </c>
      <c r="D69" s="42" t="str">
        <f t="shared" ca="1" si="3"/>
        <v/>
      </c>
      <c r="E69" s="32"/>
      <c r="F69" s="31"/>
      <c r="G69" s="43" t="str">
        <f t="shared" si="4"/>
        <v/>
      </c>
      <c r="H69" s="30" t="s">
        <v>55</v>
      </c>
      <c r="I69" s="41"/>
      <c r="J69" s="33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69" s="33" t="str">
        <f t="shared" ca="1" si="5"/>
        <v>—</v>
      </c>
      <c r="L69" s="22"/>
    </row>
    <row r="70" spans="1:12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IF(A70="","",IFERROR(VLOOKUP(A70,DB_Customers!$A:$N,14,0),""))</f>
        <v/>
      </c>
      <c r="D70" s="42" t="str">
        <f t="shared" ca="1" si="3"/>
        <v/>
      </c>
      <c r="E70" s="32"/>
      <c r="F70" s="31"/>
      <c r="G70" s="43" t="str">
        <f t="shared" si="4"/>
        <v/>
      </c>
      <c r="H70" s="30" t="s">
        <v>55</v>
      </c>
      <c r="I70" s="41"/>
      <c r="J70" s="33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0" s="33" t="str">
        <f t="shared" ca="1" si="5"/>
        <v>—</v>
      </c>
      <c r="L70" s="50"/>
    </row>
    <row r="71" spans="1:12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IF(A71="","",IFERROR(VLOOKUP(A71,DB_Customers!$A:$N,14,0),""))</f>
        <v/>
      </c>
      <c r="D71" s="42" t="str">
        <f t="shared" ca="1" si="3"/>
        <v/>
      </c>
      <c r="E71" s="32"/>
      <c r="F71" s="31"/>
      <c r="G71" s="43" t="str">
        <f t="shared" si="4"/>
        <v/>
      </c>
      <c r="H71" s="30" t="s">
        <v>55</v>
      </c>
      <c r="I71" s="41"/>
      <c r="J71" s="33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1" s="33" t="str">
        <f t="shared" ca="1" si="5"/>
        <v>—</v>
      </c>
      <c r="L71" s="22"/>
    </row>
    <row r="72" spans="1:12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IF(A72="","",IFERROR(VLOOKUP(A72,DB_Customers!$A:$N,14,0),""))</f>
        <v/>
      </c>
      <c r="D72" s="42" t="str">
        <f t="shared" ca="1" si="3"/>
        <v/>
      </c>
      <c r="E72" s="32"/>
      <c r="F72" s="31"/>
      <c r="G72" s="43" t="str">
        <f t="shared" si="4"/>
        <v/>
      </c>
      <c r="H72" s="30" t="s">
        <v>55</v>
      </c>
      <c r="I72" s="41"/>
      <c r="J72" s="33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2" s="33" t="str">
        <f t="shared" ca="1" si="5"/>
        <v>—</v>
      </c>
      <c r="L72" s="50"/>
    </row>
    <row r="73" spans="1:12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IF(A73="","",IFERROR(VLOOKUP(A73,DB_Customers!$A:$N,14,0),""))</f>
        <v/>
      </c>
      <c r="D73" s="42" t="str">
        <f t="shared" ref="D73:D104" ca="1" si="6">IF(A73="","",TODAY())</f>
        <v/>
      </c>
      <c r="E73" s="32"/>
      <c r="F73" s="31"/>
      <c r="G73" s="43" t="str">
        <f t="shared" ref="G73:G104" si="7">IFERROR(IF(OR(A73="",E73=""),"",C73-E73),"")</f>
        <v/>
      </c>
      <c r="H73" s="30" t="s">
        <v>55</v>
      </c>
      <c r="I73" s="41"/>
      <c r="J73" s="33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3" s="33" t="str">
        <f t="shared" ref="K73:K104" ca="1" si="8">IF(J73="✅ Successful",TEXT(TODAY(),"YYYY-MM-DD")&amp;" Auto","—")</f>
        <v>—</v>
      </c>
      <c r="L73" s="22"/>
    </row>
    <row r="74" spans="1:12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IF(A74="","",IFERROR(VLOOKUP(A74,DB_Customers!$A:$N,14,0),""))</f>
        <v/>
      </c>
      <c r="D74" s="42" t="str">
        <f t="shared" ca="1" si="6"/>
        <v/>
      </c>
      <c r="E74" s="32"/>
      <c r="F74" s="31"/>
      <c r="G74" s="43" t="str">
        <f t="shared" si="7"/>
        <v/>
      </c>
      <c r="H74" s="30" t="s">
        <v>55</v>
      </c>
      <c r="I74" s="41"/>
      <c r="J74" s="33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4" s="33" t="str">
        <f t="shared" ca="1" si="8"/>
        <v>—</v>
      </c>
      <c r="L74" s="50"/>
    </row>
    <row r="75" spans="1:12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IF(A75="","",IFERROR(VLOOKUP(A75,DB_Customers!$A:$N,14,0),""))</f>
        <v/>
      </c>
      <c r="D75" s="42" t="str">
        <f t="shared" ca="1" si="6"/>
        <v/>
      </c>
      <c r="E75" s="32"/>
      <c r="F75" s="31"/>
      <c r="G75" s="43" t="str">
        <f t="shared" si="7"/>
        <v/>
      </c>
      <c r="H75" s="30" t="s">
        <v>55</v>
      </c>
      <c r="I75" s="41"/>
      <c r="J75" s="33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5" s="33" t="str">
        <f t="shared" ca="1" si="8"/>
        <v>—</v>
      </c>
      <c r="L75" s="22"/>
    </row>
    <row r="76" spans="1:12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IF(A76="","",IFERROR(VLOOKUP(A76,DB_Customers!$A:$N,14,0),""))</f>
        <v/>
      </c>
      <c r="D76" s="42" t="str">
        <f t="shared" ca="1" si="6"/>
        <v/>
      </c>
      <c r="E76" s="32"/>
      <c r="F76" s="31"/>
      <c r="G76" s="43" t="str">
        <f t="shared" si="7"/>
        <v/>
      </c>
      <c r="H76" s="30" t="s">
        <v>55</v>
      </c>
      <c r="I76" s="41"/>
      <c r="J76" s="33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6" s="33" t="str">
        <f t="shared" ca="1" si="8"/>
        <v>—</v>
      </c>
      <c r="L76" s="50"/>
    </row>
    <row r="77" spans="1:12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IF(A77="","",IFERROR(VLOOKUP(A77,DB_Customers!$A:$N,14,0),""))</f>
        <v/>
      </c>
      <c r="D77" s="42" t="str">
        <f t="shared" ca="1" si="6"/>
        <v/>
      </c>
      <c r="E77" s="32"/>
      <c r="F77" s="31"/>
      <c r="G77" s="43" t="str">
        <f t="shared" si="7"/>
        <v/>
      </c>
      <c r="H77" s="30" t="s">
        <v>55</v>
      </c>
      <c r="I77" s="41"/>
      <c r="J77" s="33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7" s="33" t="str">
        <f t="shared" ca="1" si="8"/>
        <v>—</v>
      </c>
      <c r="L77" s="22"/>
    </row>
    <row r="78" spans="1:12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IF(A78="","",IFERROR(VLOOKUP(A78,DB_Customers!$A:$N,14,0),""))</f>
        <v/>
      </c>
      <c r="D78" s="42" t="str">
        <f t="shared" ca="1" si="6"/>
        <v/>
      </c>
      <c r="E78" s="32"/>
      <c r="F78" s="31"/>
      <c r="G78" s="43" t="str">
        <f t="shared" si="7"/>
        <v/>
      </c>
      <c r="H78" s="30" t="s">
        <v>55</v>
      </c>
      <c r="I78" s="41"/>
      <c r="J78" s="33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78" s="33" t="str">
        <f t="shared" ca="1" si="8"/>
        <v>—</v>
      </c>
      <c r="L78" s="50"/>
    </row>
    <row r="79" spans="1:12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IF(A79="","",IFERROR(VLOOKUP(A79,DB_Customers!$A:$N,14,0),""))</f>
        <v/>
      </c>
      <c r="D79" s="42" t="str">
        <f t="shared" ca="1" si="6"/>
        <v/>
      </c>
      <c r="E79" s="32"/>
      <c r="F79" s="31"/>
      <c r="G79" s="43" t="str">
        <f t="shared" si="7"/>
        <v/>
      </c>
      <c r="H79" s="30" t="s">
        <v>55</v>
      </c>
      <c r="I79" s="41"/>
      <c r="J79" s="33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79" s="33" t="str">
        <f t="shared" ca="1" si="8"/>
        <v>—</v>
      </c>
      <c r="L79" s="22"/>
    </row>
    <row r="80" spans="1:12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IF(A80="","",IFERROR(VLOOKUP(A80,DB_Customers!$A:$N,14,0),""))</f>
        <v/>
      </c>
      <c r="D80" s="42" t="str">
        <f t="shared" ca="1" si="6"/>
        <v/>
      </c>
      <c r="E80" s="32"/>
      <c r="F80" s="31"/>
      <c r="G80" s="43" t="str">
        <f t="shared" si="7"/>
        <v/>
      </c>
      <c r="H80" s="30" t="s">
        <v>55</v>
      </c>
      <c r="I80" s="41"/>
      <c r="J80" s="33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0" s="33" t="str">
        <f t="shared" ca="1" si="8"/>
        <v>—</v>
      </c>
      <c r="L80" s="50"/>
    </row>
    <row r="81" spans="1:12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IF(A81="","",IFERROR(VLOOKUP(A81,DB_Customers!$A:$N,14,0),""))</f>
        <v/>
      </c>
      <c r="D81" s="42" t="str">
        <f t="shared" ca="1" si="6"/>
        <v/>
      </c>
      <c r="E81" s="32"/>
      <c r="F81" s="31"/>
      <c r="G81" s="43" t="str">
        <f t="shared" si="7"/>
        <v/>
      </c>
      <c r="H81" s="30" t="s">
        <v>55</v>
      </c>
      <c r="I81" s="41"/>
      <c r="J81" s="33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1" s="33" t="str">
        <f t="shared" ca="1" si="8"/>
        <v>—</v>
      </c>
      <c r="L81" s="22"/>
    </row>
    <row r="82" spans="1:12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IF(A82="","",IFERROR(VLOOKUP(A82,DB_Customers!$A:$N,14,0),""))</f>
        <v/>
      </c>
      <c r="D82" s="42" t="str">
        <f t="shared" ca="1" si="6"/>
        <v/>
      </c>
      <c r="E82" s="32"/>
      <c r="F82" s="31"/>
      <c r="G82" s="43" t="str">
        <f t="shared" si="7"/>
        <v/>
      </c>
      <c r="H82" s="30" t="s">
        <v>55</v>
      </c>
      <c r="I82" s="41"/>
      <c r="J82" s="33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2" s="33" t="str">
        <f t="shared" ca="1" si="8"/>
        <v>—</v>
      </c>
      <c r="L82" s="50"/>
    </row>
    <row r="83" spans="1:12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IF(A83="","",IFERROR(VLOOKUP(A83,DB_Customers!$A:$N,14,0),""))</f>
        <v/>
      </c>
      <c r="D83" s="42" t="str">
        <f t="shared" ca="1" si="6"/>
        <v/>
      </c>
      <c r="E83" s="32"/>
      <c r="F83" s="31"/>
      <c r="G83" s="43" t="str">
        <f t="shared" si="7"/>
        <v/>
      </c>
      <c r="H83" s="30" t="s">
        <v>55</v>
      </c>
      <c r="I83" s="41"/>
      <c r="J83" s="33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3" s="33" t="str">
        <f t="shared" ca="1" si="8"/>
        <v>—</v>
      </c>
      <c r="L83" s="22"/>
    </row>
    <row r="84" spans="1:12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IF(A84="","",IFERROR(VLOOKUP(A84,DB_Customers!$A:$N,14,0),""))</f>
        <v/>
      </c>
      <c r="D84" s="42" t="str">
        <f t="shared" ca="1" si="6"/>
        <v/>
      </c>
      <c r="E84" s="32"/>
      <c r="F84" s="31"/>
      <c r="G84" s="43" t="str">
        <f t="shared" si="7"/>
        <v/>
      </c>
      <c r="H84" s="30" t="s">
        <v>55</v>
      </c>
      <c r="I84" s="41"/>
      <c r="J84" s="33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4" s="33" t="str">
        <f t="shared" ca="1" si="8"/>
        <v>—</v>
      </c>
      <c r="L84" s="50"/>
    </row>
    <row r="85" spans="1:12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IF(A85="","",IFERROR(VLOOKUP(A85,DB_Customers!$A:$N,14,0),""))</f>
        <v/>
      </c>
      <c r="D85" s="42" t="str">
        <f t="shared" ca="1" si="6"/>
        <v/>
      </c>
      <c r="E85" s="32"/>
      <c r="F85" s="31"/>
      <c r="G85" s="43" t="str">
        <f t="shared" si="7"/>
        <v/>
      </c>
      <c r="H85" s="30" t="s">
        <v>55</v>
      </c>
      <c r="I85" s="41"/>
      <c r="J85" s="33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5" s="33" t="str">
        <f t="shared" ca="1" si="8"/>
        <v>—</v>
      </c>
      <c r="L85" s="22"/>
    </row>
    <row r="86" spans="1:12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IF(A86="","",IFERROR(VLOOKUP(A86,DB_Customers!$A:$N,14,0),""))</f>
        <v/>
      </c>
      <c r="D86" s="42" t="str">
        <f t="shared" ca="1" si="6"/>
        <v/>
      </c>
      <c r="E86" s="32"/>
      <c r="F86" s="31"/>
      <c r="G86" s="43" t="str">
        <f t="shared" si="7"/>
        <v/>
      </c>
      <c r="H86" s="30" t="s">
        <v>55</v>
      </c>
      <c r="I86" s="41"/>
      <c r="J86" s="33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6" s="33" t="str">
        <f t="shared" ca="1" si="8"/>
        <v>—</v>
      </c>
      <c r="L86" s="50"/>
    </row>
    <row r="87" spans="1:12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IF(A87="","",IFERROR(VLOOKUP(A87,DB_Customers!$A:$N,14,0),""))</f>
        <v/>
      </c>
      <c r="D87" s="42" t="str">
        <f t="shared" ca="1" si="6"/>
        <v/>
      </c>
      <c r="E87" s="32"/>
      <c r="F87" s="31"/>
      <c r="G87" s="43" t="str">
        <f t="shared" si="7"/>
        <v/>
      </c>
      <c r="H87" s="30" t="s">
        <v>55</v>
      </c>
      <c r="I87" s="41"/>
      <c r="J87" s="33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7" s="33" t="str">
        <f t="shared" ca="1" si="8"/>
        <v>—</v>
      </c>
      <c r="L87" s="22"/>
    </row>
    <row r="88" spans="1:12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IF(A88="","",IFERROR(VLOOKUP(A88,DB_Customers!$A:$N,14,0),""))</f>
        <v/>
      </c>
      <c r="D88" s="42" t="str">
        <f t="shared" ca="1" si="6"/>
        <v/>
      </c>
      <c r="E88" s="32"/>
      <c r="F88" s="31"/>
      <c r="G88" s="43" t="str">
        <f t="shared" si="7"/>
        <v/>
      </c>
      <c r="H88" s="30" t="s">
        <v>55</v>
      </c>
      <c r="I88" s="41"/>
      <c r="J88" s="33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88" s="33" t="str">
        <f t="shared" ca="1" si="8"/>
        <v>—</v>
      </c>
      <c r="L88" s="50"/>
    </row>
    <row r="89" spans="1:12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IF(A89="","",IFERROR(VLOOKUP(A89,DB_Customers!$A:$N,14,0),""))</f>
        <v/>
      </c>
      <c r="D89" s="42" t="str">
        <f t="shared" ca="1" si="6"/>
        <v/>
      </c>
      <c r="E89" s="32"/>
      <c r="F89" s="31"/>
      <c r="G89" s="43" t="str">
        <f t="shared" si="7"/>
        <v/>
      </c>
      <c r="H89" s="30" t="s">
        <v>55</v>
      </c>
      <c r="I89" s="41"/>
      <c r="J89" s="33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89" s="33" t="str">
        <f t="shared" ca="1" si="8"/>
        <v>—</v>
      </c>
      <c r="L89" s="22"/>
    </row>
    <row r="90" spans="1:12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IF(A90="","",IFERROR(VLOOKUP(A90,DB_Customers!$A:$N,14,0),""))</f>
        <v/>
      </c>
      <c r="D90" s="42" t="str">
        <f t="shared" ca="1" si="6"/>
        <v/>
      </c>
      <c r="E90" s="32"/>
      <c r="F90" s="31"/>
      <c r="G90" s="43" t="str">
        <f t="shared" si="7"/>
        <v/>
      </c>
      <c r="H90" s="30" t="s">
        <v>55</v>
      </c>
      <c r="I90" s="41"/>
      <c r="J90" s="33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0" s="33" t="str">
        <f t="shared" ca="1" si="8"/>
        <v>—</v>
      </c>
      <c r="L90" s="50"/>
    </row>
    <row r="91" spans="1:12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IF(A91="","",IFERROR(VLOOKUP(A91,DB_Customers!$A:$N,14,0),""))</f>
        <v/>
      </c>
      <c r="D91" s="42" t="str">
        <f t="shared" ca="1" si="6"/>
        <v/>
      </c>
      <c r="E91" s="32"/>
      <c r="F91" s="31"/>
      <c r="G91" s="43" t="str">
        <f t="shared" si="7"/>
        <v/>
      </c>
      <c r="H91" s="30" t="s">
        <v>55</v>
      </c>
      <c r="I91" s="41"/>
      <c r="J91" s="33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1" s="33" t="str">
        <f t="shared" ca="1" si="8"/>
        <v>—</v>
      </c>
      <c r="L91" s="22"/>
    </row>
    <row r="92" spans="1:12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IF(A92="","",IFERROR(VLOOKUP(A92,DB_Customers!$A:$N,14,0),""))</f>
        <v/>
      </c>
      <c r="D92" s="42" t="str">
        <f t="shared" ca="1" si="6"/>
        <v/>
      </c>
      <c r="E92" s="32"/>
      <c r="F92" s="31"/>
      <c r="G92" s="43" t="str">
        <f t="shared" si="7"/>
        <v/>
      </c>
      <c r="H92" s="30" t="s">
        <v>55</v>
      </c>
      <c r="I92" s="41"/>
      <c r="J92" s="33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2" s="33" t="str">
        <f t="shared" ca="1" si="8"/>
        <v>—</v>
      </c>
      <c r="L92" s="50"/>
    </row>
    <row r="93" spans="1:12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IF(A93="","",IFERROR(VLOOKUP(A93,DB_Customers!$A:$N,14,0),""))</f>
        <v/>
      </c>
      <c r="D93" s="42" t="str">
        <f t="shared" ca="1" si="6"/>
        <v/>
      </c>
      <c r="E93" s="32"/>
      <c r="F93" s="31"/>
      <c r="G93" s="43" t="str">
        <f t="shared" si="7"/>
        <v/>
      </c>
      <c r="H93" s="30" t="s">
        <v>55</v>
      </c>
      <c r="I93" s="41"/>
      <c r="J93" s="33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3" s="33" t="str">
        <f t="shared" ca="1" si="8"/>
        <v>—</v>
      </c>
      <c r="L93" s="22"/>
    </row>
    <row r="94" spans="1:12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IF(A94="","",IFERROR(VLOOKUP(A94,DB_Customers!$A:$N,14,0),""))</f>
        <v/>
      </c>
      <c r="D94" s="42" t="str">
        <f t="shared" ca="1" si="6"/>
        <v/>
      </c>
      <c r="E94" s="32"/>
      <c r="F94" s="31"/>
      <c r="G94" s="43" t="str">
        <f t="shared" si="7"/>
        <v/>
      </c>
      <c r="H94" s="30" t="s">
        <v>55</v>
      </c>
      <c r="I94" s="41"/>
      <c r="J94" s="33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4" s="33" t="str">
        <f t="shared" ca="1" si="8"/>
        <v>—</v>
      </c>
      <c r="L94" s="50"/>
    </row>
    <row r="95" spans="1:12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IF(A95="","",IFERROR(VLOOKUP(A95,DB_Customers!$A:$N,14,0),""))</f>
        <v/>
      </c>
      <c r="D95" s="42" t="str">
        <f t="shared" ca="1" si="6"/>
        <v/>
      </c>
      <c r="E95" s="32"/>
      <c r="F95" s="31"/>
      <c r="G95" s="43" t="str">
        <f t="shared" si="7"/>
        <v/>
      </c>
      <c r="H95" s="30" t="s">
        <v>55</v>
      </c>
      <c r="I95" s="41"/>
      <c r="J95" s="33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5" s="33" t="str">
        <f t="shared" ca="1" si="8"/>
        <v>—</v>
      </c>
      <c r="L95" s="22"/>
    </row>
    <row r="96" spans="1:12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IF(A96="","",IFERROR(VLOOKUP(A96,DB_Customers!$A:$N,14,0),""))</f>
        <v/>
      </c>
      <c r="D96" s="42" t="str">
        <f t="shared" ca="1" si="6"/>
        <v/>
      </c>
      <c r="E96" s="32"/>
      <c r="F96" s="31"/>
      <c r="G96" s="43" t="str">
        <f t="shared" si="7"/>
        <v/>
      </c>
      <c r="H96" s="30" t="s">
        <v>55</v>
      </c>
      <c r="I96" s="41"/>
      <c r="J96" s="33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6" s="33" t="str">
        <f t="shared" ca="1" si="8"/>
        <v>—</v>
      </c>
      <c r="L96" s="50"/>
    </row>
    <row r="97" spans="1:12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IF(A97="","",IFERROR(VLOOKUP(A97,DB_Customers!$A:$N,14,0),""))</f>
        <v/>
      </c>
      <c r="D97" s="42" t="str">
        <f t="shared" ca="1" si="6"/>
        <v/>
      </c>
      <c r="E97" s="32"/>
      <c r="F97" s="31"/>
      <c r="G97" s="43" t="str">
        <f t="shared" si="7"/>
        <v/>
      </c>
      <c r="H97" s="30" t="s">
        <v>55</v>
      </c>
      <c r="I97" s="41"/>
      <c r="J97" s="33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7" s="33" t="str">
        <f t="shared" ca="1" si="8"/>
        <v>—</v>
      </c>
      <c r="L97" s="22"/>
    </row>
    <row r="98" spans="1:12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IF(A98="","",IFERROR(VLOOKUP(A98,DB_Customers!$A:$N,14,0),""))</f>
        <v/>
      </c>
      <c r="D98" s="42" t="str">
        <f t="shared" ca="1" si="6"/>
        <v/>
      </c>
      <c r="E98" s="32"/>
      <c r="F98" s="31"/>
      <c r="G98" s="43" t="str">
        <f t="shared" si="7"/>
        <v/>
      </c>
      <c r="H98" s="30" t="s">
        <v>55</v>
      </c>
      <c r="I98" s="41"/>
      <c r="J98" s="33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98" s="33" t="str">
        <f t="shared" ca="1" si="8"/>
        <v>—</v>
      </c>
      <c r="L98" s="50"/>
    </row>
    <row r="99" spans="1:12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IF(A99="","",IFERROR(VLOOKUP(A99,DB_Customers!$A:$N,14,0),""))</f>
        <v/>
      </c>
      <c r="D99" s="42" t="str">
        <f t="shared" ca="1" si="6"/>
        <v/>
      </c>
      <c r="E99" s="32"/>
      <c r="F99" s="31"/>
      <c r="G99" s="43" t="str">
        <f t="shared" si="7"/>
        <v/>
      </c>
      <c r="H99" s="30" t="s">
        <v>55</v>
      </c>
      <c r="I99" s="41"/>
      <c r="J99" s="33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99" s="33" t="str">
        <f t="shared" ca="1" si="8"/>
        <v>—</v>
      </c>
      <c r="L99" s="22"/>
    </row>
    <row r="100" spans="1:12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IF(A100="","",IFERROR(VLOOKUP(A100,DB_Customers!$A:$N,14,0),""))</f>
        <v/>
      </c>
      <c r="D100" s="42" t="str">
        <f t="shared" ca="1" si="6"/>
        <v/>
      </c>
      <c r="E100" s="32"/>
      <c r="F100" s="31"/>
      <c r="G100" s="43" t="str">
        <f t="shared" si="7"/>
        <v/>
      </c>
      <c r="H100" s="30" t="s">
        <v>55</v>
      </c>
      <c r="I100" s="41"/>
      <c r="J100" s="33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0" s="33" t="str">
        <f t="shared" ca="1" si="8"/>
        <v>—</v>
      </c>
      <c r="L100" s="50"/>
    </row>
    <row r="101" spans="1:12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IF(A101="","",IFERROR(VLOOKUP(A101,DB_Customers!$A:$N,14,0),""))</f>
        <v/>
      </c>
      <c r="D101" s="42" t="str">
        <f t="shared" ca="1" si="6"/>
        <v/>
      </c>
      <c r="E101" s="32"/>
      <c r="F101" s="31"/>
      <c r="G101" s="43" t="str">
        <f t="shared" si="7"/>
        <v/>
      </c>
      <c r="H101" s="30" t="s">
        <v>55</v>
      </c>
      <c r="I101" s="41"/>
      <c r="J101" s="33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1" s="33" t="str">
        <f t="shared" ca="1" si="8"/>
        <v>—</v>
      </c>
      <c r="L101" s="22"/>
    </row>
    <row r="102" spans="1:12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IF(A102="","",IFERROR(VLOOKUP(A102,DB_Customers!$A:$N,14,0),""))</f>
        <v/>
      </c>
      <c r="D102" s="42" t="str">
        <f t="shared" ca="1" si="6"/>
        <v/>
      </c>
      <c r="E102" s="32"/>
      <c r="F102" s="31"/>
      <c r="G102" s="43" t="str">
        <f t="shared" si="7"/>
        <v/>
      </c>
      <c r="H102" s="30" t="s">
        <v>55</v>
      </c>
      <c r="I102" s="41"/>
      <c r="J102" s="33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2" s="33" t="str">
        <f t="shared" ca="1" si="8"/>
        <v>—</v>
      </c>
      <c r="L102" s="50"/>
    </row>
    <row r="103" spans="1:12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IF(A103="","",IFERROR(VLOOKUP(A103,DB_Customers!$A:$N,14,0),""))</f>
        <v/>
      </c>
      <c r="D103" s="42" t="str">
        <f t="shared" ca="1" si="6"/>
        <v/>
      </c>
      <c r="E103" s="32"/>
      <c r="F103" s="31"/>
      <c r="G103" s="43" t="str">
        <f t="shared" si="7"/>
        <v/>
      </c>
      <c r="H103" s="30" t="s">
        <v>55</v>
      </c>
      <c r="I103" s="41"/>
      <c r="J103" s="33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3" s="33" t="str">
        <f t="shared" ca="1" si="8"/>
        <v>—</v>
      </c>
      <c r="L103" s="22"/>
    </row>
    <row r="104" spans="1:12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IF(A104="","",IFERROR(VLOOKUP(A104,DB_Customers!$A:$N,14,0),""))</f>
        <v/>
      </c>
      <c r="D104" s="42" t="str">
        <f t="shared" ca="1" si="6"/>
        <v/>
      </c>
      <c r="E104" s="32"/>
      <c r="F104" s="31"/>
      <c r="G104" s="43" t="str">
        <f t="shared" si="7"/>
        <v/>
      </c>
      <c r="H104" s="30" t="s">
        <v>55</v>
      </c>
      <c r="I104" s="41"/>
      <c r="J104" s="33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4" s="33" t="str">
        <f t="shared" ca="1" si="8"/>
        <v>—</v>
      </c>
      <c r="L104" s="50"/>
    </row>
    <row r="105" spans="1:12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IF(A105="","",IFERROR(VLOOKUP(A105,DB_Customers!$A:$N,14,0),""))</f>
        <v/>
      </c>
      <c r="D105" s="42" t="str">
        <f t="shared" ref="D105:D136" ca="1" si="9">IF(A105="","",TODAY())</f>
        <v/>
      </c>
      <c r="E105" s="32"/>
      <c r="F105" s="31"/>
      <c r="G105" s="43" t="str">
        <f t="shared" ref="G105:G136" si="10">IFERROR(IF(OR(A105="",E105=""),"",C105-E105),"")</f>
        <v/>
      </c>
      <c r="H105" s="30" t="s">
        <v>55</v>
      </c>
      <c r="I105" s="41"/>
      <c r="J105" s="33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5" s="33" t="str">
        <f t="shared" ref="K105:K136" ca="1" si="11">IF(J105="✅ Successful",TEXT(TODAY(),"YYYY-MM-DD")&amp;" Auto","—")</f>
        <v>—</v>
      </c>
      <c r="L105" s="22"/>
    </row>
    <row r="106" spans="1:12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IF(A106="","",IFERROR(VLOOKUP(A106,DB_Customers!$A:$N,14,0),""))</f>
        <v/>
      </c>
      <c r="D106" s="42" t="str">
        <f t="shared" ca="1" si="9"/>
        <v/>
      </c>
      <c r="E106" s="32"/>
      <c r="F106" s="31"/>
      <c r="G106" s="43" t="str">
        <f t="shared" si="10"/>
        <v/>
      </c>
      <c r="H106" s="30" t="s">
        <v>55</v>
      </c>
      <c r="I106" s="41"/>
      <c r="J106" s="33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6" s="33" t="str">
        <f t="shared" ca="1" si="11"/>
        <v>—</v>
      </c>
      <c r="L106" s="50"/>
    </row>
    <row r="107" spans="1:12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IF(A107="","",IFERROR(VLOOKUP(A107,DB_Customers!$A:$N,14,0),""))</f>
        <v/>
      </c>
      <c r="D107" s="42" t="str">
        <f t="shared" ca="1" si="9"/>
        <v/>
      </c>
      <c r="E107" s="32"/>
      <c r="F107" s="31"/>
      <c r="G107" s="43" t="str">
        <f t="shared" si="10"/>
        <v/>
      </c>
      <c r="H107" s="30" t="s">
        <v>55</v>
      </c>
      <c r="I107" s="41"/>
      <c r="J107" s="33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7" s="33" t="str">
        <f t="shared" ca="1" si="11"/>
        <v>—</v>
      </c>
      <c r="L107" s="22"/>
    </row>
    <row r="108" spans="1:12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IF(A108="","",IFERROR(VLOOKUP(A108,DB_Customers!$A:$N,14,0),""))</f>
        <v/>
      </c>
      <c r="D108" s="42" t="str">
        <f t="shared" ca="1" si="9"/>
        <v/>
      </c>
      <c r="E108" s="32"/>
      <c r="F108" s="31"/>
      <c r="G108" s="43" t="str">
        <f t="shared" si="10"/>
        <v/>
      </c>
      <c r="H108" s="30" t="s">
        <v>55</v>
      </c>
      <c r="I108" s="41"/>
      <c r="J108" s="33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08" s="33" t="str">
        <f t="shared" ca="1" si="11"/>
        <v>—</v>
      </c>
      <c r="L108" s="50"/>
    </row>
    <row r="109" spans="1:12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IF(A109="","",IFERROR(VLOOKUP(A109,DB_Customers!$A:$N,14,0),""))</f>
        <v/>
      </c>
      <c r="D109" s="42" t="str">
        <f t="shared" ca="1" si="9"/>
        <v/>
      </c>
      <c r="E109" s="32"/>
      <c r="F109" s="31"/>
      <c r="G109" s="43" t="str">
        <f t="shared" si="10"/>
        <v/>
      </c>
      <c r="H109" s="30" t="s">
        <v>55</v>
      </c>
      <c r="I109" s="41"/>
      <c r="J109" s="33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09" s="33" t="str">
        <f t="shared" ca="1" si="11"/>
        <v>—</v>
      </c>
      <c r="L109" s="22"/>
    </row>
    <row r="110" spans="1:12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IF(A110="","",IFERROR(VLOOKUP(A110,DB_Customers!$A:$N,14,0),""))</f>
        <v/>
      </c>
      <c r="D110" s="42" t="str">
        <f t="shared" ca="1" si="9"/>
        <v/>
      </c>
      <c r="E110" s="32"/>
      <c r="F110" s="31"/>
      <c r="G110" s="43" t="str">
        <f t="shared" si="10"/>
        <v/>
      </c>
      <c r="H110" s="30" t="s">
        <v>55</v>
      </c>
      <c r="I110" s="41"/>
      <c r="J110" s="33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0" s="33" t="str">
        <f t="shared" ca="1" si="11"/>
        <v>—</v>
      </c>
      <c r="L110" s="50"/>
    </row>
    <row r="111" spans="1:12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IF(A111="","",IFERROR(VLOOKUP(A111,DB_Customers!$A:$N,14,0),""))</f>
        <v/>
      </c>
      <c r="D111" s="42" t="str">
        <f t="shared" ca="1" si="9"/>
        <v/>
      </c>
      <c r="E111" s="32"/>
      <c r="F111" s="31"/>
      <c r="G111" s="43" t="str">
        <f t="shared" si="10"/>
        <v/>
      </c>
      <c r="H111" s="30" t="s">
        <v>55</v>
      </c>
      <c r="I111" s="41"/>
      <c r="J111" s="33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1" s="33" t="str">
        <f t="shared" ca="1" si="11"/>
        <v>—</v>
      </c>
      <c r="L111" s="22"/>
    </row>
    <row r="112" spans="1:12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IF(A112="","",IFERROR(VLOOKUP(A112,DB_Customers!$A:$N,14,0),""))</f>
        <v/>
      </c>
      <c r="D112" s="42" t="str">
        <f t="shared" ca="1" si="9"/>
        <v/>
      </c>
      <c r="E112" s="32"/>
      <c r="F112" s="31"/>
      <c r="G112" s="43" t="str">
        <f t="shared" si="10"/>
        <v/>
      </c>
      <c r="H112" s="30" t="s">
        <v>55</v>
      </c>
      <c r="I112" s="41"/>
      <c r="J112" s="33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2" s="33" t="str">
        <f t="shared" ca="1" si="11"/>
        <v>—</v>
      </c>
      <c r="L112" s="50"/>
    </row>
    <row r="113" spans="1:12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IF(A113="","",IFERROR(VLOOKUP(A113,DB_Customers!$A:$N,14,0),""))</f>
        <v/>
      </c>
      <c r="D113" s="42" t="str">
        <f t="shared" ca="1" si="9"/>
        <v/>
      </c>
      <c r="E113" s="32"/>
      <c r="F113" s="31"/>
      <c r="G113" s="43" t="str">
        <f t="shared" si="10"/>
        <v/>
      </c>
      <c r="H113" s="30" t="s">
        <v>55</v>
      </c>
      <c r="I113" s="41"/>
      <c r="J113" s="33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3" s="33" t="str">
        <f t="shared" ca="1" si="11"/>
        <v>—</v>
      </c>
      <c r="L113" s="22"/>
    </row>
    <row r="114" spans="1:12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IF(A114="","",IFERROR(VLOOKUP(A114,DB_Customers!$A:$N,14,0),""))</f>
        <v/>
      </c>
      <c r="D114" s="42" t="str">
        <f t="shared" ca="1" si="9"/>
        <v/>
      </c>
      <c r="E114" s="32"/>
      <c r="F114" s="31"/>
      <c r="G114" s="43" t="str">
        <f t="shared" si="10"/>
        <v/>
      </c>
      <c r="H114" s="30" t="s">
        <v>55</v>
      </c>
      <c r="I114" s="41"/>
      <c r="J114" s="33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4" s="33" t="str">
        <f t="shared" ca="1" si="11"/>
        <v>—</v>
      </c>
      <c r="L114" s="50"/>
    </row>
    <row r="115" spans="1:12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IF(A115="","",IFERROR(VLOOKUP(A115,DB_Customers!$A:$N,14,0),""))</f>
        <v/>
      </c>
      <c r="D115" s="42" t="str">
        <f t="shared" ca="1" si="9"/>
        <v/>
      </c>
      <c r="E115" s="32"/>
      <c r="F115" s="31"/>
      <c r="G115" s="43" t="str">
        <f t="shared" si="10"/>
        <v/>
      </c>
      <c r="H115" s="30" t="s">
        <v>55</v>
      </c>
      <c r="I115" s="41"/>
      <c r="J115" s="33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5" s="33" t="str">
        <f t="shared" ca="1" si="11"/>
        <v>—</v>
      </c>
      <c r="L115" s="22"/>
    </row>
    <row r="116" spans="1:12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IF(A116="","",IFERROR(VLOOKUP(A116,DB_Customers!$A:$N,14,0),""))</f>
        <v/>
      </c>
      <c r="D116" s="42" t="str">
        <f t="shared" ca="1" si="9"/>
        <v/>
      </c>
      <c r="E116" s="32"/>
      <c r="F116" s="31"/>
      <c r="G116" s="43" t="str">
        <f t="shared" si="10"/>
        <v/>
      </c>
      <c r="H116" s="30" t="s">
        <v>55</v>
      </c>
      <c r="I116" s="41"/>
      <c r="J116" s="33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6" s="33" t="str">
        <f t="shared" ca="1" si="11"/>
        <v>—</v>
      </c>
      <c r="L116" s="50"/>
    </row>
    <row r="117" spans="1:12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IF(A117="","",IFERROR(VLOOKUP(A117,DB_Customers!$A:$N,14,0),""))</f>
        <v/>
      </c>
      <c r="D117" s="42" t="str">
        <f t="shared" ca="1" si="9"/>
        <v/>
      </c>
      <c r="E117" s="32"/>
      <c r="F117" s="31"/>
      <c r="G117" s="43" t="str">
        <f t="shared" si="10"/>
        <v/>
      </c>
      <c r="H117" s="30" t="s">
        <v>55</v>
      </c>
      <c r="I117" s="41"/>
      <c r="J117" s="33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7" s="33" t="str">
        <f t="shared" ca="1" si="11"/>
        <v>—</v>
      </c>
      <c r="L117" s="22"/>
    </row>
    <row r="118" spans="1:12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IF(A118="","",IFERROR(VLOOKUP(A118,DB_Customers!$A:$N,14,0),""))</f>
        <v/>
      </c>
      <c r="D118" s="42" t="str">
        <f t="shared" ca="1" si="9"/>
        <v/>
      </c>
      <c r="E118" s="32"/>
      <c r="F118" s="31"/>
      <c r="G118" s="43" t="str">
        <f t="shared" si="10"/>
        <v/>
      </c>
      <c r="H118" s="30" t="s">
        <v>55</v>
      </c>
      <c r="I118" s="41"/>
      <c r="J118" s="33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18" s="33" t="str">
        <f t="shared" ca="1" si="11"/>
        <v>—</v>
      </c>
      <c r="L118" s="50"/>
    </row>
    <row r="119" spans="1:12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IF(A119="","",IFERROR(VLOOKUP(A119,DB_Customers!$A:$N,14,0),""))</f>
        <v/>
      </c>
      <c r="D119" s="42" t="str">
        <f t="shared" ca="1" si="9"/>
        <v/>
      </c>
      <c r="E119" s="32"/>
      <c r="F119" s="31"/>
      <c r="G119" s="43" t="str">
        <f t="shared" si="10"/>
        <v/>
      </c>
      <c r="H119" s="30" t="s">
        <v>55</v>
      </c>
      <c r="I119" s="41"/>
      <c r="J119" s="33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19" s="33" t="str">
        <f t="shared" ca="1" si="11"/>
        <v>—</v>
      </c>
      <c r="L119" s="22"/>
    </row>
    <row r="120" spans="1:12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IF(A120="","",IFERROR(VLOOKUP(A120,DB_Customers!$A:$N,14,0),""))</f>
        <v/>
      </c>
      <c r="D120" s="42" t="str">
        <f t="shared" ca="1" si="9"/>
        <v/>
      </c>
      <c r="E120" s="32"/>
      <c r="F120" s="31"/>
      <c r="G120" s="43" t="str">
        <f t="shared" si="10"/>
        <v/>
      </c>
      <c r="H120" s="30" t="s">
        <v>55</v>
      </c>
      <c r="I120" s="41"/>
      <c r="J120" s="33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0" s="33" t="str">
        <f t="shared" ca="1" si="11"/>
        <v>—</v>
      </c>
      <c r="L120" s="50"/>
    </row>
    <row r="121" spans="1:12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IF(A121="","",IFERROR(VLOOKUP(A121,DB_Customers!$A:$N,14,0),""))</f>
        <v/>
      </c>
      <c r="D121" s="42" t="str">
        <f t="shared" ca="1" si="9"/>
        <v/>
      </c>
      <c r="E121" s="32"/>
      <c r="F121" s="31"/>
      <c r="G121" s="43" t="str">
        <f t="shared" si="10"/>
        <v/>
      </c>
      <c r="H121" s="30" t="s">
        <v>55</v>
      </c>
      <c r="I121" s="41"/>
      <c r="J121" s="33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1" s="33" t="str">
        <f t="shared" ca="1" si="11"/>
        <v>—</v>
      </c>
      <c r="L121" s="22"/>
    </row>
    <row r="122" spans="1:12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IF(A122="","",IFERROR(VLOOKUP(A122,DB_Customers!$A:$N,14,0),""))</f>
        <v/>
      </c>
      <c r="D122" s="42" t="str">
        <f t="shared" ca="1" si="9"/>
        <v/>
      </c>
      <c r="E122" s="32"/>
      <c r="F122" s="31"/>
      <c r="G122" s="43" t="str">
        <f t="shared" si="10"/>
        <v/>
      </c>
      <c r="H122" s="30" t="s">
        <v>55</v>
      </c>
      <c r="I122" s="41"/>
      <c r="J122" s="33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2" s="33" t="str">
        <f t="shared" ca="1" si="11"/>
        <v>—</v>
      </c>
      <c r="L122" s="50"/>
    </row>
    <row r="123" spans="1:12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IF(A123="","",IFERROR(VLOOKUP(A123,DB_Customers!$A:$N,14,0),""))</f>
        <v/>
      </c>
      <c r="D123" s="42" t="str">
        <f t="shared" ca="1" si="9"/>
        <v/>
      </c>
      <c r="E123" s="32"/>
      <c r="F123" s="31"/>
      <c r="G123" s="43" t="str">
        <f t="shared" si="10"/>
        <v/>
      </c>
      <c r="H123" s="30" t="s">
        <v>55</v>
      </c>
      <c r="I123" s="41"/>
      <c r="J123" s="33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3" s="33" t="str">
        <f t="shared" ca="1" si="11"/>
        <v>—</v>
      </c>
      <c r="L123" s="22"/>
    </row>
    <row r="124" spans="1:12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IF(A124="","",IFERROR(VLOOKUP(A124,DB_Customers!$A:$N,14,0),""))</f>
        <v/>
      </c>
      <c r="D124" s="42" t="str">
        <f t="shared" ca="1" si="9"/>
        <v/>
      </c>
      <c r="E124" s="32"/>
      <c r="F124" s="31"/>
      <c r="G124" s="43" t="str">
        <f t="shared" si="10"/>
        <v/>
      </c>
      <c r="H124" s="30" t="s">
        <v>55</v>
      </c>
      <c r="I124" s="41"/>
      <c r="J124" s="33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4" s="33" t="str">
        <f t="shared" ca="1" si="11"/>
        <v>—</v>
      </c>
      <c r="L124" s="50"/>
    </row>
    <row r="125" spans="1:12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IF(A125="","",IFERROR(VLOOKUP(A125,DB_Customers!$A:$N,14,0),""))</f>
        <v/>
      </c>
      <c r="D125" s="42" t="str">
        <f t="shared" ca="1" si="9"/>
        <v/>
      </c>
      <c r="E125" s="32"/>
      <c r="F125" s="31"/>
      <c r="G125" s="43" t="str">
        <f t="shared" si="10"/>
        <v/>
      </c>
      <c r="H125" s="30" t="s">
        <v>55</v>
      </c>
      <c r="I125" s="41"/>
      <c r="J125" s="33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5" s="33" t="str">
        <f t="shared" ca="1" si="11"/>
        <v>—</v>
      </c>
      <c r="L125" s="22"/>
    </row>
    <row r="126" spans="1:12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IF(A126="","",IFERROR(VLOOKUP(A126,DB_Customers!$A:$N,14,0),""))</f>
        <v/>
      </c>
      <c r="D126" s="42" t="str">
        <f t="shared" ca="1" si="9"/>
        <v/>
      </c>
      <c r="E126" s="32"/>
      <c r="F126" s="31"/>
      <c r="G126" s="43" t="str">
        <f t="shared" si="10"/>
        <v/>
      </c>
      <c r="H126" s="30" t="s">
        <v>55</v>
      </c>
      <c r="I126" s="41"/>
      <c r="J126" s="33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6" s="33" t="str">
        <f t="shared" ca="1" si="11"/>
        <v>—</v>
      </c>
      <c r="L126" s="50"/>
    </row>
    <row r="127" spans="1:12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IF(A127="","",IFERROR(VLOOKUP(A127,DB_Customers!$A:$N,14,0),""))</f>
        <v/>
      </c>
      <c r="D127" s="42" t="str">
        <f t="shared" ca="1" si="9"/>
        <v/>
      </c>
      <c r="E127" s="32"/>
      <c r="F127" s="31"/>
      <c r="G127" s="43" t="str">
        <f t="shared" si="10"/>
        <v/>
      </c>
      <c r="H127" s="30" t="s">
        <v>55</v>
      </c>
      <c r="I127" s="41"/>
      <c r="J127" s="33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7" s="33" t="str">
        <f t="shared" ca="1" si="11"/>
        <v>—</v>
      </c>
      <c r="L127" s="22"/>
    </row>
    <row r="128" spans="1:12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IF(A128="","",IFERROR(VLOOKUP(A128,DB_Customers!$A:$N,14,0),""))</f>
        <v/>
      </c>
      <c r="D128" s="42" t="str">
        <f t="shared" ca="1" si="9"/>
        <v/>
      </c>
      <c r="E128" s="32"/>
      <c r="F128" s="31"/>
      <c r="G128" s="43" t="str">
        <f t="shared" si="10"/>
        <v/>
      </c>
      <c r="H128" s="30" t="s">
        <v>55</v>
      </c>
      <c r="I128" s="41"/>
      <c r="J128" s="33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28" s="33" t="str">
        <f t="shared" ca="1" si="11"/>
        <v>—</v>
      </c>
      <c r="L128" s="50"/>
    </row>
    <row r="129" spans="1:12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IF(A129="","",IFERROR(VLOOKUP(A129,DB_Customers!$A:$N,14,0),""))</f>
        <v/>
      </c>
      <c r="D129" s="42" t="str">
        <f t="shared" ca="1" si="9"/>
        <v/>
      </c>
      <c r="E129" s="32"/>
      <c r="F129" s="31"/>
      <c r="G129" s="43" t="str">
        <f t="shared" si="10"/>
        <v/>
      </c>
      <c r="H129" s="30" t="s">
        <v>55</v>
      </c>
      <c r="I129" s="41"/>
      <c r="J129" s="33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29" s="33" t="str">
        <f t="shared" ca="1" si="11"/>
        <v>—</v>
      </c>
      <c r="L129" s="22"/>
    </row>
    <row r="130" spans="1:12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IF(A130="","",IFERROR(VLOOKUP(A130,DB_Customers!$A:$N,14,0),""))</f>
        <v/>
      </c>
      <c r="D130" s="42" t="str">
        <f t="shared" ca="1" si="9"/>
        <v/>
      </c>
      <c r="E130" s="32"/>
      <c r="F130" s="31"/>
      <c r="G130" s="43" t="str">
        <f t="shared" si="10"/>
        <v/>
      </c>
      <c r="H130" s="30" t="s">
        <v>55</v>
      </c>
      <c r="I130" s="41"/>
      <c r="J130" s="33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0" s="33" t="str">
        <f t="shared" ca="1" si="11"/>
        <v>—</v>
      </c>
      <c r="L130" s="50"/>
    </row>
    <row r="131" spans="1:12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IF(A131="","",IFERROR(VLOOKUP(A131,DB_Customers!$A:$N,14,0),""))</f>
        <v/>
      </c>
      <c r="D131" s="42" t="str">
        <f t="shared" ca="1" si="9"/>
        <v/>
      </c>
      <c r="E131" s="32"/>
      <c r="F131" s="31"/>
      <c r="G131" s="43" t="str">
        <f t="shared" si="10"/>
        <v/>
      </c>
      <c r="H131" s="30" t="s">
        <v>55</v>
      </c>
      <c r="I131" s="41"/>
      <c r="J131" s="33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1" s="33" t="str">
        <f t="shared" ca="1" si="11"/>
        <v>—</v>
      </c>
      <c r="L131" s="22"/>
    </row>
    <row r="132" spans="1:12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IF(A132="","",IFERROR(VLOOKUP(A132,DB_Customers!$A:$N,14,0),""))</f>
        <v/>
      </c>
      <c r="D132" s="42" t="str">
        <f t="shared" ca="1" si="9"/>
        <v/>
      </c>
      <c r="E132" s="32"/>
      <c r="F132" s="31"/>
      <c r="G132" s="43" t="str">
        <f t="shared" si="10"/>
        <v/>
      </c>
      <c r="H132" s="30" t="s">
        <v>55</v>
      </c>
      <c r="I132" s="41"/>
      <c r="J132" s="33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2" s="33" t="str">
        <f t="shared" ca="1" si="11"/>
        <v>—</v>
      </c>
      <c r="L132" s="50"/>
    </row>
    <row r="133" spans="1:12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IF(A133="","",IFERROR(VLOOKUP(A133,DB_Customers!$A:$N,14,0),""))</f>
        <v/>
      </c>
      <c r="D133" s="42" t="str">
        <f t="shared" ca="1" si="9"/>
        <v/>
      </c>
      <c r="E133" s="32"/>
      <c r="F133" s="31"/>
      <c r="G133" s="43" t="str">
        <f t="shared" si="10"/>
        <v/>
      </c>
      <c r="H133" s="30" t="s">
        <v>55</v>
      </c>
      <c r="I133" s="41"/>
      <c r="J133" s="33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3" s="33" t="str">
        <f t="shared" ca="1" si="11"/>
        <v>—</v>
      </c>
      <c r="L133" s="22"/>
    </row>
    <row r="134" spans="1:12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IF(A134="","",IFERROR(VLOOKUP(A134,DB_Customers!$A:$N,14,0),""))</f>
        <v/>
      </c>
      <c r="D134" s="42" t="str">
        <f t="shared" ca="1" si="9"/>
        <v/>
      </c>
      <c r="E134" s="32"/>
      <c r="F134" s="31"/>
      <c r="G134" s="43" t="str">
        <f t="shared" si="10"/>
        <v/>
      </c>
      <c r="H134" s="30" t="s">
        <v>55</v>
      </c>
      <c r="I134" s="41"/>
      <c r="J134" s="33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4" s="33" t="str">
        <f t="shared" ca="1" si="11"/>
        <v>—</v>
      </c>
      <c r="L134" s="50"/>
    </row>
    <row r="135" spans="1:12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IF(A135="","",IFERROR(VLOOKUP(A135,DB_Customers!$A:$N,14,0),""))</f>
        <v/>
      </c>
      <c r="D135" s="42" t="str">
        <f t="shared" ca="1" si="9"/>
        <v/>
      </c>
      <c r="E135" s="32"/>
      <c r="F135" s="31"/>
      <c r="G135" s="43" t="str">
        <f t="shared" si="10"/>
        <v/>
      </c>
      <c r="H135" s="30" t="s">
        <v>55</v>
      </c>
      <c r="I135" s="41"/>
      <c r="J135" s="33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5" s="33" t="str">
        <f t="shared" ca="1" si="11"/>
        <v>—</v>
      </c>
      <c r="L135" s="22"/>
    </row>
    <row r="136" spans="1:12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IF(A136="","",IFERROR(VLOOKUP(A136,DB_Customers!$A:$N,14,0),""))</f>
        <v/>
      </c>
      <c r="D136" s="42" t="str">
        <f t="shared" ca="1" si="9"/>
        <v/>
      </c>
      <c r="E136" s="32"/>
      <c r="F136" s="31"/>
      <c r="G136" s="43" t="str">
        <f t="shared" si="10"/>
        <v/>
      </c>
      <c r="H136" s="30" t="s">
        <v>55</v>
      </c>
      <c r="I136" s="41"/>
      <c r="J136" s="33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6" s="33" t="str">
        <f t="shared" ca="1" si="11"/>
        <v>—</v>
      </c>
      <c r="L136" s="50"/>
    </row>
    <row r="137" spans="1:12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IF(A137="","",IFERROR(VLOOKUP(A137,DB_Customers!$A:$N,14,0),""))</f>
        <v/>
      </c>
      <c r="D137" s="42" t="str">
        <f t="shared" ref="D137:D168" ca="1" si="12">IF(A137="","",TODAY())</f>
        <v/>
      </c>
      <c r="E137" s="32"/>
      <c r="F137" s="31"/>
      <c r="G137" s="43" t="str">
        <f t="shared" ref="G137:G168" si="13">IFERROR(IF(OR(A137="",E137=""),"",C137-E137),"")</f>
        <v/>
      </c>
      <c r="H137" s="30" t="s">
        <v>55</v>
      </c>
      <c r="I137" s="41"/>
      <c r="J137" s="33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7" s="33" t="str">
        <f t="shared" ref="K137:K168" ca="1" si="14">IF(J137="✅ Successful",TEXT(TODAY(),"YYYY-MM-DD")&amp;" Auto","—")</f>
        <v>—</v>
      </c>
      <c r="L137" s="22"/>
    </row>
    <row r="138" spans="1:12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IF(A138="","",IFERROR(VLOOKUP(A138,DB_Customers!$A:$N,14,0),""))</f>
        <v/>
      </c>
      <c r="D138" s="42" t="str">
        <f t="shared" ca="1" si="12"/>
        <v/>
      </c>
      <c r="E138" s="32"/>
      <c r="F138" s="31"/>
      <c r="G138" s="43" t="str">
        <f t="shared" si="13"/>
        <v/>
      </c>
      <c r="H138" s="30" t="s">
        <v>55</v>
      </c>
      <c r="I138" s="41"/>
      <c r="J138" s="33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38" s="33" t="str">
        <f t="shared" ca="1" si="14"/>
        <v>—</v>
      </c>
      <c r="L138" s="50"/>
    </row>
    <row r="139" spans="1:12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IF(A139="","",IFERROR(VLOOKUP(A139,DB_Customers!$A:$N,14,0),""))</f>
        <v/>
      </c>
      <c r="D139" s="42" t="str">
        <f t="shared" ca="1" si="12"/>
        <v/>
      </c>
      <c r="E139" s="32"/>
      <c r="F139" s="31"/>
      <c r="G139" s="43" t="str">
        <f t="shared" si="13"/>
        <v/>
      </c>
      <c r="H139" s="30" t="s">
        <v>55</v>
      </c>
      <c r="I139" s="41"/>
      <c r="J139" s="33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39" s="33" t="str">
        <f t="shared" ca="1" si="14"/>
        <v>—</v>
      </c>
      <c r="L139" s="22"/>
    </row>
    <row r="140" spans="1:12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IF(A140="","",IFERROR(VLOOKUP(A140,DB_Customers!$A:$N,14,0),""))</f>
        <v/>
      </c>
      <c r="D140" s="42" t="str">
        <f t="shared" ca="1" si="12"/>
        <v/>
      </c>
      <c r="E140" s="32"/>
      <c r="F140" s="31"/>
      <c r="G140" s="43" t="str">
        <f t="shared" si="13"/>
        <v/>
      </c>
      <c r="H140" s="30" t="s">
        <v>55</v>
      </c>
      <c r="I140" s="41"/>
      <c r="J140" s="33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0" s="33" t="str">
        <f t="shared" ca="1" si="14"/>
        <v>—</v>
      </c>
      <c r="L140" s="50"/>
    </row>
    <row r="141" spans="1:12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IF(A141="","",IFERROR(VLOOKUP(A141,DB_Customers!$A:$N,14,0),""))</f>
        <v/>
      </c>
      <c r="D141" s="42" t="str">
        <f t="shared" ca="1" si="12"/>
        <v/>
      </c>
      <c r="E141" s="32"/>
      <c r="F141" s="31"/>
      <c r="G141" s="43" t="str">
        <f t="shared" si="13"/>
        <v/>
      </c>
      <c r="H141" s="30" t="s">
        <v>55</v>
      </c>
      <c r="I141" s="41"/>
      <c r="J141" s="33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1" s="33" t="str">
        <f t="shared" ca="1" si="14"/>
        <v>—</v>
      </c>
      <c r="L141" s="22"/>
    </row>
    <row r="142" spans="1:12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IF(A142="","",IFERROR(VLOOKUP(A142,DB_Customers!$A:$N,14,0),""))</f>
        <v/>
      </c>
      <c r="D142" s="42" t="str">
        <f t="shared" ca="1" si="12"/>
        <v/>
      </c>
      <c r="E142" s="32"/>
      <c r="F142" s="31"/>
      <c r="G142" s="43" t="str">
        <f t="shared" si="13"/>
        <v/>
      </c>
      <c r="H142" s="30" t="s">
        <v>55</v>
      </c>
      <c r="I142" s="41"/>
      <c r="J142" s="33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2" s="33" t="str">
        <f t="shared" ca="1" si="14"/>
        <v>—</v>
      </c>
      <c r="L142" s="50"/>
    </row>
    <row r="143" spans="1:12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IF(A143="","",IFERROR(VLOOKUP(A143,DB_Customers!$A:$N,14,0),""))</f>
        <v/>
      </c>
      <c r="D143" s="42" t="str">
        <f t="shared" ca="1" si="12"/>
        <v/>
      </c>
      <c r="E143" s="32"/>
      <c r="F143" s="31"/>
      <c r="G143" s="43" t="str">
        <f t="shared" si="13"/>
        <v/>
      </c>
      <c r="H143" s="30" t="s">
        <v>55</v>
      </c>
      <c r="I143" s="41"/>
      <c r="J143" s="33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3" s="33" t="str">
        <f t="shared" ca="1" si="14"/>
        <v>—</v>
      </c>
      <c r="L143" s="22"/>
    </row>
    <row r="144" spans="1:12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IF(A144="","",IFERROR(VLOOKUP(A144,DB_Customers!$A:$N,14,0),""))</f>
        <v/>
      </c>
      <c r="D144" s="42" t="str">
        <f t="shared" ca="1" si="12"/>
        <v/>
      </c>
      <c r="E144" s="32"/>
      <c r="F144" s="31"/>
      <c r="G144" s="43" t="str">
        <f t="shared" si="13"/>
        <v/>
      </c>
      <c r="H144" s="30" t="s">
        <v>55</v>
      </c>
      <c r="I144" s="41"/>
      <c r="J144" s="33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4" s="33" t="str">
        <f t="shared" ca="1" si="14"/>
        <v>—</v>
      </c>
      <c r="L144" s="50"/>
    </row>
    <row r="145" spans="1:12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IF(A145="","",IFERROR(VLOOKUP(A145,DB_Customers!$A:$N,14,0),""))</f>
        <v/>
      </c>
      <c r="D145" s="42" t="str">
        <f t="shared" ca="1" si="12"/>
        <v/>
      </c>
      <c r="E145" s="32"/>
      <c r="F145" s="31"/>
      <c r="G145" s="43" t="str">
        <f t="shared" si="13"/>
        <v/>
      </c>
      <c r="H145" s="30" t="s">
        <v>55</v>
      </c>
      <c r="I145" s="41"/>
      <c r="J145" s="33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5" s="33" t="str">
        <f t="shared" ca="1" si="14"/>
        <v>—</v>
      </c>
      <c r="L145" s="22"/>
    </row>
    <row r="146" spans="1:12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IF(A146="","",IFERROR(VLOOKUP(A146,DB_Customers!$A:$N,14,0),""))</f>
        <v/>
      </c>
      <c r="D146" s="42" t="str">
        <f t="shared" ca="1" si="12"/>
        <v/>
      </c>
      <c r="E146" s="32"/>
      <c r="F146" s="31"/>
      <c r="G146" s="43" t="str">
        <f t="shared" si="13"/>
        <v/>
      </c>
      <c r="H146" s="30" t="s">
        <v>55</v>
      </c>
      <c r="I146" s="41"/>
      <c r="J146" s="33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6" s="33" t="str">
        <f t="shared" ca="1" si="14"/>
        <v>—</v>
      </c>
      <c r="L146" s="50"/>
    </row>
    <row r="147" spans="1:12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IF(A147="","",IFERROR(VLOOKUP(A147,DB_Customers!$A:$N,14,0),""))</f>
        <v/>
      </c>
      <c r="D147" s="42" t="str">
        <f t="shared" ca="1" si="12"/>
        <v/>
      </c>
      <c r="E147" s="32"/>
      <c r="F147" s="31"/>
      <c r="G147" s="43" t="str">
        <f t="shared" si="13"/>
        <v/>
      </c>
      <c r="H147" s="30" t="s">
        <v>55</v>
      </c>
      <c r="I147" s="41"/>
      <c r="J147" s="33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7" s="33" t="str">
        <f t="shared" ca="1" si="14"/>
        <v>—</v>
      </c>
      <c r="L147" s="22"/>
    </row>
    <row r="148" spans="1:12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IF(A148="","",IFERROR(VLOOKUP(A148,DB_Customers!$A:$N,14,0),""))</f>
        <v/>
      </c>
      <c r="D148" s="42" t="str">
        <f t="shared" ca="1" si="12"/>
        <v/>
      </c>
      <c r="E148" s="32"/>
      <c r="F148" s="31"/>
      <c r="G148" s="43" t="str">
        <f t="shared" si="13"/>
        <v/>
      </c>
      <c r="H148" s="30" t="s">
        <v>55</v>
      </c>
      <c r="I148" s="41"/>
      <c r="J148" s="33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48" s="33" t="str">
        <f t="shared" ca="1" si="14"/>
        <v>—</v>
      </c>
      <c r="L148" s="50"/>
    </row>
    <row r="149" spans="1:12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IF(A149="","",IFERROR(VLOOKUP(A149,DB_Customers!$A:$N,14,0),""))</f>
        <v/>
      </c>
      <c r="D149" s="42" t="str">
        <f t="shared" ca="1" si="12"/>
        <v/>
      </c>
      <c r="E149" s="32"/>
      <c r="F149" s="31"/>
      <c r="G149" s="43" t="str">
        <f t="shared" si="13"/>
        <v/>
      </c>
      <c r="H149" s="30" t="s">
        <v>55</v>
      </c>
      <c r="I149" s="41"/>
      <c r="J149" s="33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49" s="33" t="str">
        <f t="shared" ca="1" si="14"/>
        <v>—</v>
      </c>
      <c r="L149" s="22"/>
    </row>
    <row r="150" spans="1:12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IF(A150="","",IFERROR(VLOOKUP(A150,DB_Customers!$A:$N,14,0),""))</f>
        <v/>
      </c>
      <c r="D150" s="42" t="str">
        <f t="shared" ca="1" si="12"/>
        <v/>
      </c>
      <c r="E150" s="32"/>
      <c r="F150" s="31"/>
      <c r="G150" s="43" t="str">
        <f t="shared" si="13"/>
        <v/>
      </c>
      <c r="H150" s="30" t="s">
        <v>55</v>
      </c>
      <c r="I150" s="41"/>
      <c r="J150" s="33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0" s="33" t="str">
        <f t="shared" ca="1" si="14"/>
        <v>—</v>
      </c>
      <c r="L150" s="50"/>
    </row>
    <row r="151" spans="1:12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IF(A151="","",IFERROR(VLOOKUP(A151,DB_Customers!$A:$N,14,0),""))</f>
        <v/>
      </c>
      <c r="D151" s="42" t="str">
        <f t="shared" ca="1" si="12"/>
        <v/>
      </c>
      <c r="E151" s="32"/>
      <c r="F151" s="31"/>
      <c r="G151" s="43" t="str">
        <f t="shared" si="13"/>
        <v/>
      </c>
      <c r="H151" s="30" t="s">
        <v>55</v>
      </c>
      <c r="I151" s="41"/>
      <c r="J151" s="33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1" s="33" t="str">
        <f t="shared" ca="1" si="14"/>
        <v>—</v>
      </c>
      <c r="L151" s="22"/>
    </row>
    <row r="152" spans="1:12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IF(A152="","",IFERROR(VLOOKUP(A152,DB_Customers!$A:$N,14,0),""))</f>
        <v/>
      </c>
      <c r="D152" s="42" t="str">
        <f t="shared" ca="1" si="12"/>
        <v/>
      </c>
      <c r="E152" s="32"/>
      <c r="F152" s="31"/>
      <c r="G152" s="43" t="str">
        <f t="shared" si="13"/>
        <v/>
      </c>
      <c r="H152" s="30" t="s">
        <v>55</v>
      </c>
      <c r="I152" s="41"/>
      <c r="J152" s="33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2" s="33" t="str">
        <f t="shared" ca="1" si="14"/>
        <v>—</v>
      </c>
      <c r="L152" s="50"/>
    </row>
    <row r="153" spans="1:12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IF(A153="","",IFERROR(VLOOKUP(A153,DB_Customers!$A:$N,14,0),""))</f>
        <v/>
      </c>
      <c r="D153" s="42" t="str">
        <f t="shared" ca="1" si="12"/>
        <v/>
      </c>
      <c r="E153" s="32"/>
      <c r="F153" s="31"/>
      <c r="G153" s="43" t="str">
        <f t="shared" si="13"/>
        <v/>
      </c>
      <c r="H153" s="30" t="s">
        <v>55</v>
      </c>
      <c r="I153" s="41"/>
      <c r="J153" s="33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3" s="33" t="str">
        <f t="shared" ca="1" si="14"/>
        <v>—</v>
      </c>
      <c r="L153" s="22"/>
    </row>
    <row r="154" spans="1:12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IF(A154="","",IFERROR(VLOOKUP(A154,DB_Customers!$A:$N,14,0),""))</f>
        <v/>
      </c>
      <c r="D154" s="42" t="str">
        <f t="shared" ca="1" si="12"/>
        <v/>
      </c>
      <c r="E154" s="32"/>
      <c r="F154" s="31"/>
      <c r="G154" s="43" t="str">
        <f t="shared" si="13"/>
        <v/>
      </c>
      <c r="H154" s="30" t="s">
        <v>55</v>
      </c>
      <c r="I154" s="41"/>
      <c r="J154" s="33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4" s="33" t="str">
        <f t="shared" ca="1" si="14"/>
        <v>—</v>
      </c>
      <c r="L154" s="50"/>
    </row>
    <row r="155" spans="1:12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IF(A155="","",IFERROR(VLOOKUP(A155,DB_Customers!$A:$N,14,0),""))</f>
        <v/>
      </c>
      <c r="D155" s="42" t="str">
        <f t="shared" ca="1" si="12"/>
        <v/>
      </c>
      <c r="E155" s="32"/>
      <c r="F155" s="31"/>
      <c r="G155" s="43" t="str">
        <f t="shared" si="13"/>
        <v/>
      </c>
      <c r="H155" s="30" t="s">
        <v>55</v>
      </c>
      <c r="I155" s="41"/>
      <c r="J155" s="33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5" s="33" t="str">
        <f t="shared" ca="1" si="14"/>
        <v>—</v>
      </c>
      <c r="L155" s="22"/>
    </row>
    <row r="156" spans="1:12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IF(A156="","",IFERROR(VLOOKUP(A156,DB_Customers!$A:$N,14,0),""))</f>
        <v/>
      </c>
      <c r="D156" s="42" t="str">
        <f t="shared" ca="1" si="12"/>
        <v/>
      </c>
      <c r="E156" s="32"/>
      <c r="F156" s="31"/>
      <c r="G156" s="43" t="str">
        <f t="shared" si="13"/>
        <v/>
      </c>
      <c r="H156" s="30" t="s">
        <v>55</v>
      </c>
      <c r="I156" s="41"/>
      <c r="J156" s="33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6" s="33" t="str">
        <f t="shared" ca="1" si="14"/>
        <v>—</v>
      </c>
      <c r="L156" s="50"/>
    </row>
    <row r="157" spans="1:12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IF(A157="","",IFERROR(VLOOKUP(A157,DB_Customers!$A:$N,14,0),""))</f>
        <v/>
      </c>
      <c r="D157" s="42" t="str">
        <f t="shared" ca="1" si="12"/>
        <v/>
      </c>
      <c r="E157" s="32"/>
      <c r="F157" s="31"/>
      <c r="G157" s="43" t="str">
        <f t="shared" si="13"/>
        <v/>
      </c>
      <c r="H157" s="30" t="s">
        <v>55</v>
      </c>
      <c r="I157" s="41"/>
      <c r="J157" s="33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7" s="33" t="str">
        <f t="shared" ca="1" si="14"/>
        <v>—</v>
      </c>
      <c r="L157" s="22"/>
    </row>
    <row r="158" spans="1:12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IF(A158="","",IFERROR(VLOOKUP(A158,DB_Customers!$A:$N,14,0),""))</f>
        <v/>
      </c>
      <c r="D158" s="42" t="str">
        <f t="shared" ca="1" si="12"/>
        <v/>
      </c>
      <c r="E158" s="32"/>
      <c r="F158" s="31"/>
      <c r="G158" s="43" t="str">
        <f t="shared" si="13"/>
        <v/>
      </c>
      <c r="H158" s="30" t="s">
        <v>55</v>
      </c>
      <c r="I158" s="41"/>
      <c r="J158" s="33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58" s="33" t="str">
        <f t="shared" ca="1" si="14"/>
        <v>—</v>
      </c>
      <c r="L158" s="50"/>
    </row>
    <row r="159" spans="1:12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IF(A159="","",IFERROR(VLOOKUP(A159,DB_Customers!$A:$N,14,0),""))</f>
        <v/>
      </c>
      <c r="D159" s="42" t="str">
        <f t="shared" ca="1" si="12"/>
        <v/>
      </c>
      <c r="E159" s="32"/>
      <c r="F159" s="31"/>
      <c r="G159" s="43" t="str">
        <f t="shared" si="13"/>
        <v/>
      </c>
      <c r="H159" s="30" t="s">
        <v>55</v>
      </c>
      <c r="I159" s="41"/>
      <c r="J159" s="33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59" s="33" t="str">
        <f t="shared" ca="1" si="14"/>
        <v>—</v>
      </c>
      <c r="L159" s="22"/>
    </row>
    <row r="160" spans="1:12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IF(A160="","",IFERROR(VLOOKUP(A160,DB_Customers!$A:$N,14,0),""))</f>
        <v/>
      </c>
      <c r="D160" s="42" t="str">
        <f t="shared" ca="1" si="12"/>
        <v/>
      </c>
      <c r="E160" s="32"/>
      <c r="F160" s="31"/>
      <c r="G160" s="43" t="str">
        <f t="shared" si="13"/>
        <v/>
      </c>
      <c r="H160" s="30" t="s">
        <v>55</v>
      </c>
      <c r="I160" s="41"/>
      <c r="J160" s="33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0" s="33" t="str">
        <f t="shared" ca="1" si="14"/>
        <v>—</v>
      </c>
      <c r="L160" s="50"/>
    </row>
    <row r="161" spans="1:12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IF(A161="","",IFERROR(VLOOKUP(A161,DB_Customers!$A:$N,14,0),""))</f>
        <v/>
      </c>
      <c r="D161" s="42" t="str">
        <f t="shared" ca="1" si="12"/>
        <v/>
      </c>
      <c r="E161" s="32"/>
      <c r="F161" s="31"/>
      <c r="G161" s="43" t="str">
        <f t="shared" si="13"/>
        <v/>
      </c>
      <c r="H161" s="30" t="s">
        <v>55</v>
      </c>
      <c r="I161" s="41"/>
      <c r="J161" s="33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1" s="33" t="str">
        <f t="shared" ca="1" si="14"/>
        <v>—</v>
      </c>
      <c r="L161" s="22"/>
    </row>
    <row r="162" spans="1:12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IF(A162="","",IFERROR(VLOOKUP(A162,DB_Customers!$A:$N,14,0),""))</f>
        <v/>
      </c>
      <c r="D162" s="42" t="str">
        <f t="shared" ca="1" si="12"/>
        <v/>
      </c>
      <c r="E162" s="32"/>
      <c r="F162" s="31"/>
      <c r="G162" s="43" t="str">
        <f t="shared" si="13"/>
        <v/>
      </c>
      <c r="H162" s="30" t="s">
        <v>55</v>
      </c>
      <c r="I162" s="41"/>
      <c r="J162" s="33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2" s="33" t="str">
        <f t="shared" ca="1" si="14"/>
        <v>—</v>
      </c>
      <c r="L162" s="50"/>
    </row>
    <row r="163" spans="1:12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IF(A163="","",IFERROR(VLOOKUP(A163,DB_Customers!$A:$N,14,0),""))</f>
        <v/>
      </c>
      <c r="D163" s="42" t="str">
        <f t="shared" ca="1" si="12"/>
        <v/>
      </c>
      <c r="E163" s="32"/>
      <c r="F163" s="31"/>
      <c r="G163" s="43" t="str">
        <f t="shared" si="13"/>
        <v/>
      </c>
      <c r="H163" s="30" t="s">
        <v>55</v>
      </c>
      <c r="I163" s="41"/>
      <c r="J163" s="33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3" s="33" t="str">
        <f t="shared" ca="1" si="14"/>
        <v>—</v>
      </c>
      <c r="L163" s="22"/>
    </row>
    <row r="164" spans="1:12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IF(A164="","",IFERROR(VLOOKUP(A164,DB_Customers!$A:$N,14,0),""))</f>
        <v/>
      </c>
      <c r="D164" s="42" t="str">
        <f t="shared" ca="1" si="12"/>
        <v/>
      </c>
      <c r="E164" s="32"/>
      <c r="F164" s="31"/>
      <c r="G164" s="43" t="str">
        <f t="shared" si="13"/>
        <v/>
      </c>
      <c r="H164" s="30" t="s">
        <v>55</v>
      </c>
      <c r="I164" s="41"/>
      <c r="J164" s="33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4" s="33" t="str">
        <f t="shared" ca="1" si="14"/>
        <v>—</v>
      </c>
      <c r="L164" s="50"/>
    </row>
    <row r="165" spans="1:12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IF(A165="","",IFERROR(VLOOKUP(A165,DB_Customers!$A:$N,14,0),""))</f>
        <v/>
      </c>
      <c r="D165" s="42" t="str">
        <f t="shared" ca="1" si="12"/>
        <v/>
      </c>
      <c r="E165" s="32"/>
      <c r="F165" s="31"/>
      <c r="G165" s="43" t="str">
        <f t="shared" si="13"/>
        <v/>
      </c>
      <c r="H165" s="30" t="s">
        <v>55</v>
      </c>
      <c r="I165" s="41"/>
      <c r="J165" s="33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5" s="33" t="str">
        <f t="shared" ca="1" si="14"/>
        <v>—</v>
      </c>
      <c r="L165" s="22"/>
    </row>
    <row r="166" spans="1:12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IF(A166="","",IFERROR(VLOOKUP(A166,DB_Customers!$A:$N,14,0),""))</f>
        <v/>
      </c>
      <c r="D166" s="42" t="str">
        <f t="shared" ca="1" si="12"/>
        <v/>
      </c>
      <c r="E166" s="32"/>
      <c r="F166" s="31"/>
      <c r="G166" s="43" t="str">
        <f t="shared" si="13"/>
        <v/>
      </c>
      <c r="H166" s="30" t="s">
        <v>55</v>
      </c>
      <c r="I166" s="41"/>
      <c r="J166" s="33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6" s="33" t="str">
        <f t="shared" ca="1" si="14"/>
        <v>—</v>
      </c>
      <c r="L166" s="50"/>
    </row>
    <row r="167" spans="1:12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IF(A167="","",IFERROR(VLOOKUP(A167,DB_Customers!$A:$N,14,0),""))</f>
        <v/>
      </c>
      <c r="D167" s="42" t="str">
        <f t="shared" ca="1" si="12"/>
        <v/>
      </c>
      <c r="E167" s="32"/>
      <c r="F167" s="31"/>
      <c r="G167" s="43" t="str">
        <f t="shared" si="13"/>
        <v/>
      </c>
      <c r="H167" s="30" t="s">
        <v>55</v>
      </c>
      <c r="I167" s="41"/>
      <c r="J167" s="33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7" s="33" t="str">
        <f t="shared" ca="1" si="14"/>
        <v>—</v>
      </c>
      <c r="L167" s="22"/>
    </row>
    <row r="168" spans="1:12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IF(A168="","",IFERROR(VLOOKUP(A168,DB_Customers!$A:$N,14,0),""))</f>
        <v/>
      </c>
      <c r="D168" s="42" t="str">
        <f t="shared" ca="1" si="12"/>
        <v/>
      </c>
      <c r="E168" s="32"/>
      <c r="F168" s="31"/>
      <c r="G168" s="43" t="str">
        <f t="shared" si="13"/>
        <v/>
      </c>
      <c r="H168" s="30" t="s">
        <v>55</v>
      </c>
      <c r="I168" s="41"/>
      <c r="J168" s="33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68" s="33" t="str">
        <f t="shared" ca="1" si="14"/>
        <v>—</v>
      </c>
      <c r="L168" s="50"/>
    </row>
    <row r="169" spans="1:12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IF(A169="","",IFERROR(VLOOKUP(A169,DB_Customers!$A:$N,14,0),""))</f>
        <v/>
      </c>
      <c r="D169" s="42" t="str">
        <f t="shared" ref="D169:D200" ca="1" si="15">IF(A169="","",TODAY())</f>
        <v/>
      </c>
      <c r="E169" s="32"/>
      <c r="F169" s="31"/>
      <c r="G169" s="43" t="str">
        <f t="shared" ref="G169:G200" si="16">IFERROR(IF(OR(A169="",E169=""),"",C169-E169),"")</f>
        <v/>
      </c>
      <c r="H169" s="30" t="s">
        <v>55</v>
      </c>
      <c r="I169" s="41"/>
      <c r="J169" s="33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69" s="33" t="str">
        <f t="shared" ref="K169:K200" ca="1" si="17">IF(J169="✅ Successful",TEXT(TODAY(),"YYYY-MM-DD")&amp;" Auto","—")</f>
        <v>—</v>
      </c>
      <c r="L169" s="22"/>
    </row>
    <row r="170" spans="1:12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IF(A170="","",IFERROR(VLOOKUP(A170,DB_Customers!$A:$N,14,0),""))</f>
        <v/>
      </c>
      <c r="D170" s="42" t="str">
        <f t="shared" ca="1" si="15"/>
        <v/>
      </c>
      <c r="E170" s="32"/>
      <c r="F170" s="31"/>
      <c r="G170" s="43" t="str">
        <f t="shared" si="16"/>
        <v/>
      </c>
      <c r="H170" s="30" t="s">
        <v>55</v>
      </c>
      <c r="I170" s="41"/>
      <c r="J170" s="33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0" s="33" t="str">
        <f t="shared" ca="1" si="17"/>
        <v>—</v>
      </c>
      <c r="L170" s="50"/>
    </row>
    <row r="171" spans="1:12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IF(A171="","",IFERROR(VLOOKUP(A171,DB_Customers!$A:$N,14,0),""))</f>
        <v/>
      </c>
      <c r="D171" s="42" t="str">
        <f t="shared" ca="1" si="15"/>
        <v/>
      </c>
      <c r="E171" s="32"/>
      <c r="F171" s="31"/>
      <c r="G171" s="43" t="str">
        <f t="shared" si="16"/>
        <v/>
      </c>
      <c r="H171" s="30" t="s">
        <v>55</v>
      </c>
      <c r="I171" s="41"/>
      <c r="J171" s="33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1" s="33" t="str">
        <f t="shared" ca="1" si="17"/>
        <v>—</v>
      </c>
      <c r="L171" s="22"/>
    </row>
    <row r="172" spans="1:12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IF(A172="","",IFERROR(VLOOKUP(A172,DB_Customers!$A:$N,14,0),""))</f>
        <v/>
      </c>
      <c r="D172" s="42" t="str">
        <f t="shared" ca="1" si="15"/>
        <v/>
      </c>
      <c r="E172" s="32"/>
      <c r="F172" s="31"/>
      <c r="G172" s="43" t="str">
        <f t="shared" si="16"/>
        <v/>
      </c>
      <c r="H172" s="30" t="s">
        <v>55</v>
      </c>
      <c r="I172" s="41"/>
      <c r="J172" s="33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2" s="33" t="str">
        <f t="shared" ca="1" si="17"/>
        <v>—</v>
      </c>
      <c r="L172" s="50"/>
    </row>
    <row r="173" spans="1:12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IF(A173="","",IFERROR(VLOOKUP(A173,DB_Customers!$A:$N,14,0),""))</f>
        <v/>
      </c>
      <c r="D173" s="42" t="str">
        <f t="shared" ca="1" si="15"/>
        <v/>
      </c>
      <c r="E173" s="32"/>
      <c r="F173" s="31"/>
      <c r="G173" s="43" t="str">
        <f t="shared" si="16"/>
        <v/>
      </c>
      <c r="H173" s="30" t="s">
        <v>55</v>
      </c>
      <c r="I173" s="41"/>
      <c r="J173" s="33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3" s="33" t="str">
        <f t="shared" ca="1" si="17"/>
        <v>—</v>
      </c>
      <c r="L173" s="22"/>
    </row>
    <row r="174" spans="1:12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IF(A174="","",IFERROR(VLOOKUP(A174,DB_Customers!$A:$N,14,0),""))</f>
        <v/>
      </c>
      <c r="D174" s="42" t="str">
        <f t="shared" ca="1" si="15"/>
        <v/>
      </c>
      <c r="E174" s="32"/>
      <c r="F174" s="31"/>
      <c r="G174" s="43" t="str">
        <f t="shared" si="16"/>
        <v/>
      </c>
      <c r="H174" s="30" t="s">
        <v>55</v>
      </c>
      <c r="I174" s="41"/>
      <c r="J174" s="33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4" s="33" t="str">
        <f t="shared" ca="1" si="17"/>
        <v>—</v>
      </c>
      <c r="L174" s="50"/>
    </row>
    <row r="175" spans="1:12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IF(A175="","",IFERROR(VLOOKUP(A175,DB_Customers!$A:$N,14,0),""))</f>
        <v/>
      </c>
      <c r="D175" s="42" t="str">
        <f t="shared" ca="1" si="15"/>
        <v/>
      </c>
      <c r="E175" s="32"/>
      <c r="F175" s="31"/>
      <c r="G175" s="43" t="str">
        <f t="shared" si="16"/>
        <v/>
      </c>
      <c r="H175" s="30" t="s">
        <v>55</v>
      </c>
      <c r="I175" s="41"/>
      <c r="J175" s="33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5" s="33" t="str">
        <f t="shared" ca="1" si="17"/>
        <v>—</v>
      </c>
      <c r="L175" s="22"/>
    </row>
    <row r="176" spans="1:12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IF(A176="","",IFERROR(VLOOKUP(A176,DB_Customers!$A:$N,14,0),""))</f>
        <v/>
      </c>
      <c r="D176" s="42" t="str">
        <f t="shared" ca="1" si="15"/>
        <v/>
      </c>
      <c r="E176" s="32"/>
      <c r="F176" s="31"/>
      <c r="G176" s="43" t="str">
        <f t="shared" si="16"/>
        <v/>
      </c>
      <c r="H176" s="30" t="s">
        <v>55</v>
      </c>
      <c r="I176" s="41"/>
      <c r="J176" s="33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6" s="33" t="str">
        <f t="shared" ca="1" si="17"/>
        <v>—</v>
      </c>
      <c r="L176" s="50"/>
    </row>
    <row r="177" spans="1:12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IF(A177="","",IFERROR(VLOOKUP(A177,DB_Customers!$A:$N,14,0),""))</f>
        <v/>
      </c>
      <c r="D177" s="42" t="str">
        <f t="shared" ca="1" si="15"/>
        <v/>
      </c>
      <c r="E177" s="32"/>
      <c r="F177" s="31"/>
      <c r="G177" s="43" t="str">
        <f t="shared" si="16"/>
        <v/>
      </c>
      <c r="H177" s="30" t="s">
        <v>55</v>
      </c>
      <c r="I177" s="41"/>
      <c r="J177" s="33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7" s="33" t="str">
        <f t="shared" ca="1" si="17"/>
        <v>—</v>
      </c>
      <c r="L177" s="22"/>
    </row>
    <row r="178" spans="1:12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IF(A178="","",IFERROR(VLOOKUP(A178,DB_Customers!$A:$N,14,0),""))</f>
        <v/>
      </c>
      <c r="D178" s="42" t="str">
        <f t="shared" ca="1" si="15"/>
        <v/>
      </c>
      <c r="E178" s="32"/>
      <c r="F178" s="31"/>
      <c r="G178" s="43" t="str">
        <f t="shared" si="16"/>
        <v/>
      </c>
      <c r="H178" s="30" t="s">
        <v>55</v>
      </c>
      <c r="I178" s="41"/>
      <c r="J178" s="33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78" s="33" t="str">
        <f t="shared" ca="1" si="17"/>
        <v>—</v>
      </c>
      <c r="L178" s="50"/>
    </row>
    <row r="179" spans="1:12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IF(A179="","",IFERROR(VLOOKUP(A179,DB_Customers!$A:$N,14,0),""))</f>
        <v/>
      </c>
      <c r="D179" s="42" t="str">
        <f t="shared" ca="1" si="15"/>
        <v/>
      </c>
      <c r="E179" s="32"/>
      <c r="F179" s="31"/>
      <c r="G179" s="43" t="str">
        <f t="shared" si="16"/>
        <v/>
      </c>
      <c r="H179" s="30" t="s">
        <v>55</v>
      </c>
      <c r="I179" s="41"/>
      <c r="J179" s="33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79" s="33" t="str">
        <f t="shared" ca="1" si="17"/>
        <v>—</v>
      </c>
      <c r="L179" s="22"/>
    </row>
    <row r="180" spans="1:12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IF(A180="","",IFERROR(VLOOKUP(A180,DB_Customers!$A:$N,14,0),""))</f>
        <v/>
      </c>
      <c r="D180" s="42" t="str">
        <f t="shared" ca="1" si="15"/>
        <v/>
      </c>
      <c r="E180" s="32"/>
      <c r="F180" s="31"/>
      <c r="G180" s="43" t="str">
        <f t="shared" si="16"/>
        <v/>
      </c>
      <c r="H180" s="30" t="s">
        <v>55</v>
      </c>
      <c r="I180" s="41"/>
      <c r="J180" s="33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0" s="33" t="str">
        <f t="shared" ca="1" si="17"/>
        <v>—</v>
      </c>
      <c r="L180" s="50"/>
    </row>
    <row r="181" spans="1:12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IF(A181="","",IFERROR(VLOOKUP(A181,DB_Customers!$A:$N,14,0),""))</f>
        <v/>
      </c>
      <c r="D181" s="42" t="str">
        <f t="shared" ca="1" si="15"/>
        <v/>
      </c>
      <c r="E181" s="32"/>
      <c r="F181" s="31"/>
      <c r="G181" s="43" t="str">
        <f t="shared" si="16"/>
        <v/>
      </c>
      <c r="H181" s="30" t="s">
        <v>55</v>
      </c>
      <c r="I181" s="41"/>
      <c r="J181" s="33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1" s="33" t="str">
        <f t="shared" ca="1" si="17"/>
        <v>—</v>
      </c>
      <c r="L181" s="22"/>
    </row>
    <row r="182" spans="1:12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IF(A182="","",IFERROR(VLOOKUP(A182,DB_Customers!$A:$N,14,0),""))</f>
        <v/>
      </c>
      <c r="D182" s="42" t="str">
        <f t="shared" ca="1" si="15"/>
        <v/>
      </c>
      <c r="E182" s="32"/>
      <c r="F182" s="31"/>
      <c r="G182" s="43" t="str">
        <f t="shared" si="16"/>
        <v/>
      </c>
      <c r="H182" s="30" t="s">
        <v>55</v>
      </c>
      <c r="I182" s="41"/>
      <c r="J182" s="33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2" s="33" t="str">
        <f t="shared" ca="1" si="17"/>
        <v>—</v>
      </c>
      <c r="L182" s="50"/>
    </row>
    <row r="183" spans="1:12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IF(A183="","",IFERROR(VLOOKUP(A183,DB_Customers!$A:$N,14,0),""))</f>
        <v/>
      </c>
      <c r="D183" s="42" t="str">
        <f t="shared" ca="1" si="15"/>
        <v/>
      </c>
      <c r="E183" s="32"/>
      <c r="F183" s="31"/>
      <c r="G183" s="43" t="str">
        <f t="shared" si="16"/>
        <v/>
      </c>
      <c r="H183" s="30" t="s">
        <v>55</v>
      </c>
      <c r="I183" s="41"/>
      <c r="J183" s="33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3" s="33" t="str">
        <f t="shared" ca="1" si="17"/>
        <v>—</v>
      </c>
      <c r="L183" s="22"/>
    </row>
    <row r="184" spans="1:12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IF(A184="","",IFERROR(VLOOKUP(A184,DB_Customers!$A:$N,14,0),""))</f>
        <v/>
      </c>
      <c r="D184" s="42" t="str">
        <f t="shared" ca="1" si="15"/>
        <v/>
      </c>
      <c r="E184" s="32"/>
      <c r="F184" s="31"/>
      <c r="G184" s="43" t="str">
        <f t="shared" si="16"/>
        <v/>
      </c>
      <c r="H184" s="30" t="s">
        <v>55</v>
      </c>
      <c r="I184" s="41"/>
      <c r="J184" s="33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4" s="33" t="str">
        <f t="shared" ca="1" si="17"/>
        <v>—</v>
      </c>
      <c r="L184" s="50"/>
    </row>
    <row r="185" spans="1:12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IF(A185="","",IFERROR(VLOOKUP(A185,DB_Customers!$A:$N,14,0),""))</f>
        <v/>
      </c>
      <c r="D185" s="42" t="str">
        <f t="shared" ca="1" si="15"/>
        <v/>
      </c>
      <c r="E185" s="32"/>
      <c r="F185" s="31"/>
      <c r="G185" s="43" t="str">
        <f t="shared" si="16"/>
        <v/>
      </c>
      <c r="H185" s="30" t="s">
        <v>55</v>
      </c>
      <c r="I185" s="41"/>
      <c r="J185" s="33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5" s="33" t="str">
        <f t="shared" ca="1" si="17"/>
        <v>—</v>
      </c>
      <c r="L185" s="22"/>
    </row>
    <row r="186" spans="1:12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IF(A186="","",IFERROR(VLOOKUP(A186,DB_Customers!$A:$N,14,0),""))</f>
        <v/>
      </c>
      <c r="D186" s="42" t="str">
        <f t="shared" ca="1" si="15"/>
        <v/>
      </c>
      <c r="E186" s="32"/>
      <c r="F186" s="31"/>
      <c r="G186" s="43" t="str">
        <f t="shared" si="16"/>
        <v/>
      </c>
      <c r="H186" s="30" t="s">
        <v>55</v>
      </c>
      <c r="I186" s="41"/>
      <c r="J186" s="33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6" s="33" t="str">
        <f t="shared" ca="1" si="17"/>
        <v>—</v>
      </c>
      <c r="L186" s="50"/>
    </row>
    <row r="187" spans="1:12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IF(A187="","",IFERROR(VLOOKUP(A187,DB_Customers!$A:$N,14,0),""))</f>
        <v/>
      </c>
      <c r="D187" s="42" t="str">
        <f t="shared" ca="1" si="15"/>
        <v/>
      </c>
      <c r="E187" s="32"/>
      <c r="F187" s="31"/>
      <c r="G187" s="43" t="str">
        <f t="shared" si="16"/>
        <v/>
      </c>
      <c r="H187" s="30" t="s">
        <v>55</v>
      </c>
      <c r="I187" s="41"/>
      <c r="J187" s="33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7" s="33" t="str">
        <f t="shared" ca="1" si="17"/>
        <v>—</v>
      </c>
      <c r="L187" s="22"/>
    </row>
    <row r="188" spans="1:12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IF(A188="","",IFERROR(VLOOKUP(A188,DB_Customers!$A:$N,14,0),""))</f>
        <v/>
      </c>
      <c r="D188" s="42" t="str">
        <f t="shared" ca="1" si="15"/>
        <v/>
      </c>
      <c r="E188" s="32"/>
      <c r="F188" s="31"/>
      <c r="G188" s="43" t="str">
        <f t="shared" si="16"/>
        <v/>
      </c>
      <c r="H188" s="30" t="s">
        <v>55</v>
      </c>
      <c r="I188" s="41"/>
      <c r="J188" s="33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88" s="33" t="str">
        <f t="shared" ca="1" si="17"/>
        <v>—</v>
      </c>
      <c r="L188" s="50"/>
    </row>
    <row r="189" spans="1:12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IF(A189="","",IFERROR(VLOOKUP(A189,DB_Customers!$A:$N,14,0),""))</f>
        <v/>
      </c>
      <c r="D189" s="42" t="str">
        <f t="shared" ca="1" si="15"/>
        <v/>
      </c>
      <c r="E189" s="32"/>
      <c r="F189" s="31"/>
      <c r="G189" s="43" t="str">
        <f t="shared" si="16"/>
        <v/>
      </c>
      <c r="H189" s="30" t="s">
        <v>55</v>
      </c>
      <c r="I189" s="41"/>
      <c r="J189" s="33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89" s="33" t="str">
        <f t="shared" ca="1" si="17"/>
        <v>—</v>
      </c>
      <c r="L189" s="22"/>
    </row>
    <row r="190" spans="1:12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IF(A190="","",IFERROR(VLOOKUP(A190,DB_Customers!$A:$N,14,0),""))</f>
        <v/>
      </c>
      <c r="D190" s="42" t="str">
        <f t="shared" ca="1" si="15"/>
        <v/>
      </c>
      <c r="E190" s="32"/>
      <c r="F190" s="31"/>
      <c r="G190" s="43" t="str">
        <f t="shared" si="16"/>
        <v/>
      </c>
      <c r="H190" s="30" t="s">
        <v>55</v>
      </c>
      <c r="I190" s="41"/>
      <c r="J190" s="33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0" s="33" t="str">
        <f t="shared" ca="1" si="17"/>
        <v>—</v>
      </c>
      <c r="L190" s="50"/>
    </row>
    <row r="191" spans="1:12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IF(A191="","",IFERROR(VLOOKUP(A191,DB_Customers!$A:$N,14,0),""))</f>
        <v/>
      </c>
      <c r="D191" s="42" t="str">
        <f t="shared" ca="1" si="15"/>
        <v/>
      </c>
      <c r="E191" s="32"/>
      <c r="F191" s="31"/>
      <c r="G191" s="43" t="str">
        <f t="shared" si="16"/>
        <v/>
      </c>
      <c r="H191" s="30" t="s">
        <v>55</v>
      </c>
      <c r="I191" s="41"/>
      <c r="J191" s="33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1" s="33" t="str">
        <f t="shared" ca="1" si="17"/>
        <v>—</v>
      </c>
      <c r="L191" s="22"/>
    </row>
    <row r="192" spans="1:12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IF(A192="","",IFERROR(VLOOKUP(A192,DB_Customers!$A:$N,14,0),""))</f>
        <v/>
      </c>
      <c r="D192" s="42" t="str">
        <f t="shared" ca="1" si="15"/>
        <v/>
      </c>
      <c r="E192" s="32"/>
      <c r="F192" s="31"/>
      <c r="G192" s="43" t="str">
        <f t="shared" si="16"/>
        <v/>
      </c>
      <c r="H192" s="30" t="s">
        <v>55</v>
      </c>
      <c r="I192" s="41"/>
      <c r="J192" s="33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2" s="33" t="str">
        <f t="shared" ca="1" si="17"/>
        <v>—</v>
      </c>
      <c r="L192" s="50"/>
    </row>
    <row r="193" spans="1:12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IF(A193="","",IFERROR(VLOOKUP(A193,DB_Customers!$A:$N,14,0),""))</f>
        <v/>
      </c>
      <c r="D193" s="42" t="str">
        <f t="shared" ca="1" si="15"/>
        <v/>
      </c>
      <c r="E193" s="32"/>
      <c r="F193" s="31"/>
      <c r="G193" s="43" t="str">
        <f t="shared" si="16"/>
        <v/>
      </c>
      <c r="H193" s="30" t="s">
        <v>55</v>
      </c>
      <c r="I193" s="41"/>
      <c r="J193" s="33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3" s="33" t="str">
        <f t="shared" ca="1" si="17"/>
        <v>—</v>
      </c>
      <c r="L193" s="22"/>
    </row>
    <row r="194" spans="1:12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IF(A194="","",IFERROR(VLOOKUP(A194,DB_Customers!$A:$N,14,0),""))</f>
        <v/>
      </c>
      <c r="D194" s="42" t="str">
        <f t="shared" ca="1" si="15"/>
        <v/>
      </c>
      <c r="E194" s="32"/>
      <c r="F194" s="31"/>
      <c r="G194" s="43" t="str">
        <f t="shared" si="16"/>
        <v/>
      </c>
      <c r="H194" s="30" t="s">
        <v>55</v>
      </c>
      <c r="I194" s="41"/>
      <c r="J194" s="33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4" s="33" t="str">
        <f t="shared" ca="1" si="17"/>
        <v>—</v>
      </c>
      <c r="L194" s="50"/>
    </row>
    <row r="195" spans="1:12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IF(A195="","",IFERROR(VLOOKUP(A195,DB_Customers!$A:$N,14,0),""))</f>
        <v/>
      </c>
      <c r="D195" s="42" t="str">
        <f t="shared" ca="1" si="15"/>
        <v/>
      </c>
      <c r="E195" s="32"/>
      <c r="F195" s="31"/>
      <c r="G195" s="43" t="str">
        <f t="shared" si="16"/>
        <v/>
      </c>
      <c r="H195" s="30" t="s">
        <v>55</v>
      </c>
      <c r="I195" s="41"/>
      <c r="J195" s="33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5" s="33" t="str">
        <f t="shared" ca="1" si="17"/>
        <v>—</v>
      </c>
      <c r="L195" s="22"/>
    </row>
    <row r="196" spans="1:12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IF(A196="","",IFERROR(VLOOKUP(A196,DB_Customers!$A:$N,14,0),""))</f>
        <v/>
      </c>
      <c r="D196" s="42" t="str">
        <f t="shared" ca="1" si="15"/>
        <v/>
      </c>
      <c r="E196" s="32"/>
      <c r="F196" s="31"/>
      <c r="G196" s="43" t="str">
        <f t="shared" si="16"/>
        <v/>
      </c>
      <c r="H196" s="30" t="s">
        <v>55</v>
      </c>
      <c r="I196" s="41"/>
      <c r="J196" s="33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6" s="33" t="str">
        <f t="shared" ca="1" si="17"/>
        <v>—</v>
      </c>
      <c r="L196" s="50"/>
    </row>
    <row r="197" spans="1:12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IF(A197="","",IFERROR(VLOOKUP(A197,DB_Customers!$A:$N,14,0),""))</f>
        <v/>
      </c>
      <c r="D197" s="42" t="str">
        <f t="shared" ca="1" si="15"/>
        <v/>
      </c>
      <c r="E197" s="32"/>
      <c r="F197" s="31"/>
      <c r="G197" s="43" t="str">
        <f t="shared" si="16"/>
        <v/>
      </c>
      <c r="H197" s="30" t="s">
        <v>55</v>
      </c>
      <c r="I197" s="41"/>
      <c r="J197" s="33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7" s="33" t="str">
        <f t="shared" ca="1" si="17"/>
        <v>—</v>
      </c>
      <c r="L197" s="22"/>
    </row>
    <row r="198" spans="1:12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IF(A198="","",IFERROR(VLOOKUP(A198,DB_Customers!$A:$N,14,0),""))</f>
        <v/>
      </c>
      <c r="D198" s="42" t="str">
        <f t="shared" ca="1" si="15"/>
        <v/>
      </c>
      <c r="E198" s="32"/>
      <c r="F198" s="31"/>
      <c r="G198" s="43" t="str">
        <f t="shared" si="16"/>
        <v/>
      </c>
      <c r="H198" s="30" t="s">
        <v>55</v>
      </c>
      <c r="I198" s="41"/>
      <c r="J198" s="33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198" s="33" t="str">
        <f t="shared" ca="1" si="17"/>
        <v>—</v>
      </c>
      <c r="L198" s="50"/>
    </row>
    <row r="199" spans="1:12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IF(A199="","",IFERROR(VLOOKUP(A199,DB_Customers!$A:$N,14,0),""))</f>
        <v/>
      </c>
      <c r="D199" s="42" t="str">
        <f t="shared" ca="1" si="15"/>
        <v/>
      </c>
      <c r="E199" s="32"/>
      <c r="F199" s="31"/>
      <c r="G199" s="43" t="str">
        <f t="shared" si="16"/>
        <v/>
      </c>
      <c r="H199" s="30" t="s">
        <v>55</v>
      </c>
      <c r="I199" s="41"/>
      <c r="J199" s="33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199" s="33" t="str">
        <f t="shared" ca="1" si="17"/>
        <v>—</v>
      </c>
      <c r="L199" s="22"/>
    </row>
    <row r="200" spans="1:12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IF(A200="","",IFERROR(VLOOKUP(A200,DB_Customers!$A:$N,14,0),""))</f>
        <v/>
      </c>
      <c r="D200" s="42" t="str">
        <f t="shared" ca="1" si="15"/>
        <v/>
      </c>
      <c r="E200" s="32"/>
      <c r="F200" s="31"/>
      <c r="G200" s="43" t="str">
        <f t="shared" si="16"/>
        <v/>
      </c>
      <c r="H200" s="30" t="s">
        <v>55</v>
      </c>
      <c r="I200" s="41"/>
      <c r="J200" s="33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0" s="33" t="str">
        <f t="shared" ca="1" si="17"/>
        <v>—</v>
      </c>
      <c r="L200" s="50"/>
    </row>
    <row r="201" spans="1:12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IF(A201="","",IFERROR(VLOOKUP(A201,DB_Customers!$A:$N,14,0),""))</f>
        <v/>
      </c>
      <c r="D201" s="42" t="str">
        <f t="shared" ref="D201:D208" ca="1" si="18">IF(A201="","",TODAY())</f>
        <v/>
      </c>
      <c r="E201" s="32"/>
      <c r="F201" s="31"/>
      <c r="G201" s="43" t="str">
        <f t="shared" ref="G201:G208" si="19">IFERROR(IF(OR(A201="",E201=""),"",C201-E201),"")</f>
        <v/>
      </c>
      <c r="H201" s="30" t="s">
        <v>55</v>
      </c>
      <c r="I201" s="41"/>
      <c r="J201" s="33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1" s="33" t="str">
        <f t="shared" ref="K201:K232" ca="1" si="20">IF(J201="✅ Successful",TEXT(TODAY(),"YYYY-MM-DD")&amp;" Auto","—")</f>
        <v>—</v>
      </c>
      <c r="L201" s="22"/>
    </row>
    <row r="202" spans="1:12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IF(A202="","",IFERROR(VLOOKUP(A202,DB_Customers!$A:$N,14,0),""))</f>
        <v/>
      </c>
      <c r="D202" s="42" t="str">
        <f t="shared" ca="1" si="18"/>
        <v/>
      </c>
      <c r="E202" s="32"/>
      <c r="F202" s="31"/>
      <c r="G202" s="43" t="str">
        <f t="shared" si="19"/>
        <v/>
      </c>
      <c r="H202" s="30" t="s">
        <v>55</v>
      </c>
      <c r="I202" s="41"/>
      <c r="J202" s="33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2" s="33" t="str">
        <f t="shared" ca="1" si="20"/>
        <v>—</v>
      </c>
      <c r="L202" s="50"/>
    </row>
    <row r="203" spans="1:12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IF(A203="","",IFERROR(VLOOKUP(A203,DB_Customers!$A:$N,14,0),""))</f>
        <v/>
      </c>
      <c r="D203" s="42" t="str">
        <f t="shared" ca="1" si="18"/>
        <v/>
      </c>
      <c r="E203" s="32"/>
      <c r="F203" s="31"/>
      <c r="G203" s="43" t="str">
        <f t="shared" si="19"/>
        <v/>
      </c>
      <c r="H203" s="30" t="s">
        <v>55</v>
      </c>
      <c r="I203" s="41"/>
      <c r="J203" s="33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3" s="33" t="str">
        <f t="shared" ca="1" si="20"/>
        <v>—</v>
      </c>
      <c r="L203" s="22"/>
    </row>
    <row r="204" spans="1:12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IF(A204="","",IFERROR(VLOOKUP(A204,DB_Customers!$A:$N,14,0),""))</f>
        <v/>
      </c>
      <c r="D204" s="42" t="str">
        <f t="shared" ca="1" si="18"/>
        <v/>
      </c>
      <c r="E204" s="32"/>
      <c r="F204" s="31"/>
      <c r="G204" s="43" t="str">
        <f t="shared" si="19"/>
        <v/>
      </c>
      <c r="H204" s="30" t="s">
        <v>55</v>
      </c>
      <c r="I204" s="41"/>
      <c r="J204" s="33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4" s="33" t="str">
        <f t="shared" ca="1" si="20"/>
        <v>—</v>
      </c>
      <c r="L204" s="50"/>
    </row>
    <row r="205" spans="1:12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IF(A205="","",IFERROR(VLOOKUP(A205,DB_Customers!$A:$N,14,0),""))</f>
        <v/>
      </c>
      <c r="D205" s="42" t="str">
        <f t="shared" ca="1" si="18"/>
        <v/>
      </c>
      <c r="E205" s="32"/>
      <c r="F205" s="31"/>
      <c r="G205" s="43" t="str">
        <f t="shared" si="19"/>
        <v/>
      </c>
      <c r="H205" s="30" t="s">
        <v>55</v>
      </c>
      <c r="I205" s="41"/>
      <c r="J205" s="33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5" s="33" t="str">
        <f t="shared" ca="1" si="20"/>
        <v>—</v>
      </c>
      <c r="L205" s="22"/>
    </row>
    <row r="206" spans="1:12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IF(A206="","",IFERROR(VLOOKUP(A206,DB_Customers!$A:$N,14,0),""))</f>
        <v/>
      </c>
      <c r="D206" s="42" t="str">
        <f t="shared" ca="1" si="18"/>
        <v/>
      </c>
      <c r="E206" s="32"/>
      <c r="F206" s="31"/>
      <c r="G206" s="43" t="str">
        <f t="shared" si="19"/>
        <v/>
      </c>
      <c r="H206" s="30" t="s">
        <v>55</v>
      </c>
      <c r="I206" s="41"/>
      <c r="J206" s="33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6" s="33" t="str">
        <f t="shared" ca="1" si="20"/>
        <v>—</v>
      </c>
      <c r="L206" s="50"/>
    </row>
    <row r="207" spans="1:12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IF(A207="","",IFERROR(VLOOKUP(A207,DB_Customers!$A:$N,14,0),""))</f>
        <v/>
      </c>
      <c r="D207" s="42" t="str">
        <f t="shared" ca="1" si="18"/>
        <v/>
      </c>
      <c r="E207" s="32"/>
      <c r="F207" s="31"/>
      <c r="G207" s="43" t="str">
        <f t="shared" si="19"/>
        <v/>
      </c>
      <c r="H207" s="30" t="s">
        <v>55</v>
      </c>
      <c r="I207" s="41"/>
      <c r="J207" s="33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7" s="33" t="str">
        <f t="shared" ca="1" si="20"/>
        <v>—</v>
      </c>
      <c r="L207" s="22"/>
    </row>
    <row r="208" spans="1:12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IF(A208="","",IFERROR(VLOOKUP(A208,DB_Customers!$A:$N,14,0),""))</f>
        <v/>
      </c>
      <c r="D208" s="42" t="str">
        <f t="shared" ca="1" si="18"/>
        <v/>
      </c>
      <c r="E208" s="32"/>
      <c r="F208" s="31"/>
      <c r="G208" s="43" t="str">
        <f t="shared" si="19"/>
        <v/>
      </c>
      <c r="H208" s="30" t="s">
        <v>55</v>
      </c>
      <c r="I208" s="41"/>
      <c r="J208" s="33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08" s="33" t="str">
        <f t="shared" ca="1" si="20"/>
        <v>—</v>
      </c>
      <c r="L208" s="50"/>
    </row>
  </sheetData>
  <mergeCells count="3">
    <mergeCell ref="A2:L2"/>
    <mergeCell ref="A6:L6"/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5" t="s">
        <v>165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21.95" customHeight="1" x14ac:dyDescent="0.25">
      <c r="A2" s="97" t="s">
        <v>166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4" spans="1:14" x14ac:dyDescent="0.25">
      <c r="A4" s="51" t="s">
        <v>146</v>
      </c>
    </row>
    <row r="5" spans="1:14" x14ac:dyDescent="0.25">
      <c r="A5" s="52" t="s">
        <v>147</v>
      </c>
      <c r="B5" s="32"/>
    </row>
    <row r="6" spans="1:14" x14ac:dyDescent="0.25">
      <c r="A6" s="52" t="s">
        <v>148</v>
      </c>
      <c r="B6" s="53"/>
    </row>
    <row r="7" spans="1:14" x14ac:dyDescent="0.25">
      <c r="A7" s="52" t="s">
        <v>149</v>
      </c>
      <c r="B7" s="54">
        <v>2.5</v>
      </c>
    </row>
    <row r="8" spans="1:14" x14ac:dyDescent="0.25">
      <c r="A8" s="55" t="s">
        <v>150</v>
      </c>
      <c r="B8" s="43" t="str">
        <f>IF(B5="","",B5*B7/100*B6)</f>
        <v/>
      </c>
    </row>
    <row r="9" spans="1:14" x14ac:dyDescent="0.25">
      <c r="A9" s="55" t="s">
        <v>151</v>
      </c>
      <c r="B9" s="43" t="str">
        <f>IF(B5="","",B5+(B5*B7/100*B6))</f>
        <v/>
      </c>
    </row>
    <row r="10" spans="1:14" x14ac:dyDescent="0.25">
      <c r="A10" s="55" t="s">
        <v>152</v>
      </c>
      <c r="B10" s="43" t="str">
        <f>IFERROR(B9/B6,"")</f>
        <v/>
      </c>
    </row>
    <row r="12" spans="1:14" ht="21.95" customHeight="1" x14ac:dyDescent="0.25">
      <c r="A12" s="97" t="s">
        <v>153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</row>
    <row r="13" spans="1:14" ht="30" customHeight="1" x14ac:dyDescent="0.25">
      <c r="A13" s="19" t="s">
        <v>154</v>
      </c>
      <c r="B13" s="19" t="s">
        <v>131</v>
      </c>
      <c r="C13" s="19" t="s">
        <v>69</v>
      </c>
      <c r="D13" s="19" t="s">
        <v>155</v>
      </c>
      <c r="E13" s="19" t="s">
        <v>156</v>
      </c>
      <c r="F13" s="19" t="s">
        <v>109</v>
      </c>
      <c r="G13" s="19" t="s">
        <v>110</v>
      </c>
      <c r="H13" s="19" t="s">
        <v>157</v>
      </c>
      <c r="I13" s="19" t="s">
        <v>158</v>
      </c>
      <c r="J13" s="19" t="s">
        <v>159</v>
      </c>
      <c r="K13" s="19" t="s">
        <v>77</v>
      </c>
      <c r="L13" s="19" t="s">
        <v>45</v>
      </c>
      <c r="M13" s="19" t="s">
        <v>134</v>
      </c>
      <c r="N13" s="19" t="s">
        <v>95</v>
      </c>
    </row>
    <row r="14" spans="1:14" ht="20.100000000000001" customHeight="1" x14ac:dyDescent="0.25">
      <c r="A14" s="30" t="str">
        <f t="shared" ref="A14:A45" si="0">IF(B14="","",IF(C14="❌ Account Not Found","INVALID","LN"&amp;TEXT(D14,"YYYYMMDD")&amp;TEXT(ROW()-13,"0000")))</f>
        <v/>
      </c>
      <c r="B14" s="41"/>
      <c r="C14" s="35" t="str">
        <f>IF(B14="","",IFERROR(VLOOKUP(B14,DB_Customers!$A:$B,2,0),"❌ Account Not Found"))</f>
        <v/>
      </c>
      <c r="D14" s="42" t="str">
        <f t="shared" ref="D14:D45" ca="1" si="1">IF(B14="","",TODAY())</f>
        <v/>
      </c>
      <c r="E14" s="32"/>
      <c r="F14" s="31"/>
      <c r="G14" s="41"/>
      <c r="H14" s="56">
        <v>2.5</v>
      </c>
      <c r="I14" s="43" t="str">
        <f t="shared" ref="I14:I45" si="2">IF(E14="","",E14+(E14*H14/100*G14))</f>
        <v/>
      </c>
      <c r="J14" s="43" t="str">
        <f t="shared" ref="J14:J45" si="3">IFERROR(I14/G14,"")</f>
        <v/>
      </c>
      <c r="K14" s="33" t="str">
        <f>IF(B14="","Pending",IF(M14="","⚠️ Enter Code",IF(IFERROR(VLOOKUP(L14,DB_Agents!$B:$F,4,0),"")=TEXT(M14,"0"),"Pending Approval","🔒 WRONG CODE")))</f>
        <v>Pending</v>
      </c>
      <c r="L14" s="30" t="s">
        <v>55</v>
      </c>
      <c r="M14" s="41"/>
      <c r="N14" s="57"/>
    </row>
    <row r="15" spans="1:14" ht="20.100000000000001" customHeight="1" x14ac:dyDescent="0.25">
      <c r="A15" s="30" t="str">
        <f t="shared" si="0"/>
        <v/>
      </c>
      <c r="B15" s="41"/>
      <c r="C15" s="35" t="str">
        <f>IF(B15="","",IFERROR(VLOOKUP(B15,DB_Customers!$A:$B,2,0),"❌ Account Not Found"))</f>
        <v/>
      </c>
      <c r="D15" s="42" t="str">
        <f t="shared" ca="1" si="1"/>
        <v/>
      </c>
      <c r="E15" s="32"/>
      <c r="F15" s="31"/>
      <c r="G15" s="41"/>
      <c r="H15" s="56">
        <v>2.5</v>
      </c>
      <c r="I15" s="43" t="str">
        <f t="shared" si="2"/>
        <v/>
      </c>
      <c r="J15" s="43" t="str">
        <f t="shared" si="3"/>
        <v/>
      </c>
      <c r="K15" s="33" t="str">
        <f>IF(B15="","Pending",IF(M15="","⚠️ Enter Code",IF(IFERROR(VLOOKUP(L15,DB_Agents!$B:$F,4,0),"")=TEXT(M15,"0"),"Pending Approval","🔒 WRONG CODE")))</f>
        <v>Pending</v>
      </c>
      <c r="L15" s="30" t="s">
        <v>55</v>
      </c>
      <c r="M15" s="41"/>
      <c r="N15" s="22"/>
    </row>
    <row r="16" spans="1:14" ht="20.100000000000001" customHeight="1" x14ac:dyDescent="0.25">
      <c r="A16" s="30" t="str">
        <f t="shared" si="0"/>
        <v/>
      </c>
      <c r="B16" s="41"/>
      <c r="C16" s="35" t="str">
        <f>IF(B16="","",IFERROR(VLOOKUP(B16,DB_Customers!$A:$B,2,0),"❌ Account Not Found"))</f>
        <v/>
      </c>
      <c r="D16" s="42" t="str">
        <f t="shared" ca="1" si="1"/>
        <v/>
      </c>
      <c r="E16" s="32"/>
      <c r="F16" s="31"/>
      <c r="G16" s="41"/>
      <c r="H16" s="56">
        <v>2.5</v>
      </c>
      <c r="I16" s="43" t="str">
        <f t="shared" si="2"/>
        <v/>
      </c>
      <c r="J16" s="43" t="str">
        <f t="shared" si="3"/>
        <v/>
      </c>
      <c r="K16" s="33" t="str">
        <f>IF(B16="","Pending",IF(M16="","⚠️ Enter Code",IF(IFERROR(VLOOKUP(L16,DB_Agents!$B:$F,4,0),"")=TEXT(M16,"0"),"Pending Approval","🔒 WRONG CODE")))</f>
        <v>Pending</v>
      </c>
      <c r="L16" s="30" t="s">
        <v>55</v>
      </c>
      <c r="M16" s="41"/>
      <c r="N16" s="57"/>
    </row>
    <row r="17" spans="1:14" ht="20.100000000000001" customHeight="1" x14ac:dyDescent="0.25">
      <c r="A17" s="30" t="str">
        <f t="shared" si="0"/>
        <v/>
      </c>
      <c r="B17" s="41"/>
      <c r="C17" s="35" t="str">
        <f>IF(B17="","",IFERROR(VLOOKUP(B17,DB_Customers!$A:$B,2,0),"❌ Account Not Found"))</f>
        <v/>
      </c>
      <c r="D17" s="42" t="str">
        <f t="shared" ca="1" si="1"/>
        <v/>
      </c>
      <c r="E17" s="32"/>
      <c r="F17" s="31"/>
      <c r="G17" s="41"/>
      <c r="H17" s="56">
        <v>2.5</v>
      </c>
      <c r="I17" s="43" t="str">
        <f t="shared" si="2"/>
        <v/>
      </c>
      <c r="J17" s="43" t="str">
        <f t="shared" si="3"/>
        <v/>
      </c>
      <c r="K17" s="33" t="str">
        <f>IF(B17="","Pending",IF(M17="","⚠️ Enter Code",IF(IFERROR(VLOOKUP(L17,DB_Agents!$B:$F,4,0),"")=TEXT(M17,"0"),"Pending Approval","🔒 WRONG CODE")))</f>
        <v>Pending</v>
      </c>
      <c r="L17" s="30" t="s">
        <v>55</v>
      </c>
      <c r="M17" s="41"/>
      <c r="N17" s="22"/>
    </row>
    <row r="18" spans="1:14" ht="20.100000000000001" customHeight="1" x14ac:dyDescent="0.25">
      <c r="A18" s="30" t="str">
        <f t="shared" si="0"/>
        <v/>
      </c>
      <c r="B18" s="41"/>
      <c r="C18" s="35" t="str">
        <f>IF(B18="","",IFERROR(VLOOKUP(B18,DB_Customers!$A:$B,2,0),"❌ Account Not Found"))</f>
        <v/>
      </c>
      <c r="D18" s="42" t="str">
        <f t="shared" ca="1" si="1"/>
        <v/>
      </c>
      <c r="E18" s="32"/>
      <c r="F18" s="31"/>
      <c r="G18" s="41"/>
      <c r="H18" s="56">
        <v>2.5</v>
      </c>
      <c r="I18" s="43" t="str">
        <f t="shared" si="2"/>
        <v/>
      </c>
      <c r="J18" s="43" t="str">
        <f t="shared" si="3"/>
        <v/>
      </c>
      <c r="K18" s="33" t="str">
        <f>IF(B18="","Pending",IF(M18="","⚠️ Enter Code",IF(IFERROR(VLOOKUP(L18,DB_Agents!$B:$F,4,0),"")=TEXT(M18,"0"),"Pending Approval","🔒 WRONG CODE")))</f>
        <v>Pending</v>
      </c>
      <c r="L18" s="30" t="s">
        <v>55</v>
      </c>
      <c r="M18" s="41"/>
      <c r="N18" s="57"/>
    </row>
    <row r="19" spans="1:14" ht="20.100000000000001" customHeight="1" x14ac:dyDescent="0.25">
      <c r="A19" s="30" t="str">
        <f t="shared" si="0"/>
        <v/>
      </c>
      <c r="B19" s="41"/>
      <c r="C19" s="35" t="str">
        <f>IF(B19="","",IFERROR(VLOOKUP(B19,DB_Customers!$A:$B,2,0),"❌ Account Not Found"))</f>
        <v/>
      </c>
      <c r="D19" s="42" t="str">
        <f t="shared" ca="1" si="1"/>
        <v/>
      </c>
      <c r="E19" s="32"/>
      <c r="F19" s="31"/>
      <c r="G19" s="41"/>
      <c r="H19" s="56">
        <v>2.5</v>
      </c>
      <c r="I19" s="43" t="str">
        <f t="shared" si="2"/>
        <v/>
      </c>
      <c r="J19" s="43" t="str">
        <f t="shared" si="3"/>
        <v/>
      </c>
      <c r="K19" s="33" t="str">
        <f>IF(B19="","Pending",IF(M19="","⚠️ Enter Code",IF(IFERROR(VLOOKUP(L19,DB_Agents!$B:$F,4,0),"")=TEXT(M19,"0"),"Pending Approval","🔒 WRONG CODE")))</f>
        <v>Pending</v>
      </c>
      <c r="L19" s="30" t="s">
        <v>55</v>
      </c>
      <c r="M19" s="41"/>
      <c r="N19" s="22"/>
    </row>
    <row r="20" spans="1:14" ht="20.100000000000001" customHeight="1" x14ac:dyDescent="0.25">
      <c r="A20" s="30" t="str">
        <f t="shared" si="0"/>
        <v/>
      </c>
      <c r="B20" s="41"/>
      <c r="C20" s="35" t="str">
        <f>IF(B20="","",IFERROR(VLOOKUP(B20,DB_Customers!$A:$B,2,0),"❌ Account Not Found"))</f>
        <v/>
      </c>
      <c r="D20" s="42" t="str">
        <f t="shared" ca="1" si="1"/>
        <v/>
      </c>
      <c r="E20" s="32"/>
      <c r="F20" s="31"/>
      <c r="G20" s="41"/>
      <c r="H20" s="56">
        <v>2.5</v>
      </c>
      <c r="I20" s="43" t="str">
        <f t="shared" si="2"/>
        <v/>
      </c>
      <c r="J20" s="43" t="str">
        <f t="shared" si="3"/>
        <v/>
      </c>
      <c r="K20" s="33" t="str">
        <f>IF(B20="","Pending",IF(M20="","⚠️ Enter Code",IF(IFERROR(VLOOKUP(L20,DB_Agents!$B:$F,4,0),"")=TEXT(M20,"0"),"Pending Approval","🔒 WRONG CODE")))</f>
        <v>Pending</v>
      </c>
      <c r="L20" s="30" t="s">
        <v>55</v>
      </c>
      <c r="M20" s="41"/>
      <c r="N20" s="57"/>
    </row>
    <row r="21" spans="1:14" ht="20.100000000000001" customHeight="1" x14ac:dyDescent="0.25">
      <c r="A21" s="30" t="str">
        <f t="shared" si="0"/>
        <v/>
      </c>
      <c r="B21" s="41"/>
      <c r="C21" s="35" t="str">
        <f>IF(B21="","",IFERROR(VLOOKUP(B21,DB_Customers!$A:$B,2,0),"❌ Account Not Found"))</f>
        <v/>
      </c>
      <c r="D21" s="42" t="str">
        <f t="shared" ca="1" si="1"/>
        <v/>
      </c>
      <c r="E21" s="32"/>
      <c r="F21" s="31"/>
      <c r="G21" s="41"/>
      <c r="H21" s="56">
        <v>2.5</v>
      </c>
      <c r="I21" s="43" t="str">
        <f t="shared" si="2"/>
        <v/>
      </c>
      <c r="J21" s="43" t="str">
        <f t="shared" si="3"/>
        <v/>
      </c>
      <c r="K21" s="33" t="str">
        <f>IF(B21="","Pending",IF(M21="","⚠️ Enter Code",IF(IFERROR(VLOOKUP(L21,DB_Agents!$B:$F,4,0),"")=TEXT(M21,"0"),"Pending Approval","🔒 WRONG CODE")))</f>
        <v>Pending</v>
      </c>
      <c r="L21" s="30" t="s">
        <v>55</v>
      </c>
      <c r="M21" s="41"/>
      <c r="N21" s="22"/>
    </row>
    <row r="22" spans="1:14" ht="20.100000000000001" customHeight="1" x14ac:dyDescent="0.25">
      <c r="A22" s="30" t="str">
        <f t="shared" si="0"/>
        <v/>
      </c>
      <c r="B22" s="41"/>
      <c r="C22" s="35" t="str">
        <f>IF(B22="","",IFERROR(VLOOKUP(B22,DB_Customers!$A:$B,2,0),"❌ Account Not Found"))</f>
        <v/>
      </c>
      <c r="D22" s="42" t="str">
        <f t="shared" ca="1" si="1"/>
        <v/>
      </c>
      <c r="E22" s="32"/>
      <c r="F22" s="31"/>
      <c r="G22" s="41"/>
      <c r="H22" s="56">
        <v>2.5</v>
      </c>
      <c r="I22" s="43" t="str">
        <f t="shared" si="2"/>
        <v/>
      </c>
      <c r="J22" s="43" t="str">
        <f t="shared" si="3"/>
        <v/>
      </c>
      <c r="K22" s="33" t="str">
        <f>IF(B22="","Pending",IF(M22="","⚠️ Enter Code",IF(IFERROR(VLOOKUP(L22,DB_Agents!$B:$F,4,0),"")=TEXT(M22,"0"),"Pending Approval","🔒 WRONG CODE")))</f>
        <v>Pending</v>
      </c>
      <c r="L22" s="30" t="s">
        <v>55</v>
      </c>
      <c r="M22" s="41"/>
      <c r="N22" s="57"/>
    </row>
    <row r="23" spans="1:14" ht="20.100000000000001" customHeight="1" x14ac:dyDescent="0.25">
      <c r="A23" s="30" t="str">
        <f t="shared" si="0"/>
        <v/>
      </c>
      <c r="B23" s="41"/>
      <c r="C23" s="35" t="str">
        <f>IF(B23="","",IFERROR(VLOOKUP(B23,DB_Customers!$A:$B,2,0),"❌ Account Not Found"))</f>
        <v/>
      </c>
      <c r="D23" s="42" t="str">
        <f t="shared" ca="1" si="1"/>
        <v/>
      </c>
      <c r="E23" s="32"/>
      <c r="F23" s="31"/>
      <c r="G23" s="41"/>
      <c r="H23" s="56">
        <v>2.5</v>
      </c>
      <c r="I23" s="43" t="str">
        <f t="shared" si="2"/>
        <v/>
      </c>
      <c r="J23" s="43" t="str">
        <f t="shared" si="3"/>
        <v/>
      </c>
      <c r="K23" s="33" t="str">
        <f>IF(B23="","Pending",IF(M23="","⚠️ Enter Code",IF(IFERROR(VLOOKUP(L23,DB_Agents!$B:$F,4,0),"")=TEXT(M23,"0"),"Pending Approval","🔒 WRONG CODE")))</f>
        <v>Pending</v>
      </c>
      <c r="L23" s="30" t="s">
        <v>55</v>
      </c>
      <c r="M23" s="41"/>
      <c r="N23" s="22"/>
    </row>
    <row r="24" spans="1:14" ht="20.100000000000001" customHeight="1" x14ac:dyDescent="0.25">
      <c r="A24" s="30" t="str">
        <f t="shared" si="0"/>
        <v/>
      </c>
      <c r="B24" s="41"/>
      <c r="C24" s="35" t="str">
        <f>IF(B24="","",IFERROR(VLOOKUP(B24,DB_Customers!$A:$B,2,0),"❌ Account Not Found"))</f>
        <v/>
      </c>
      <c r="D24" s="42" t="str">
        <f t="shared" ca="1" si="1"/>
        <v/>
      </c>
      <c r="E24" s="32"/>
      <c r="F24" s="31"/>
      <c r="G24" s="41"/>
      <c r="H24" s="56">
        <v>2.5</v>
      </c>
      <c r="I24" s="43" t="str">
        <f t="shared" si="2"/>
        <v/>
      </c>
      <c r="J24" s="43" t="str">
        <f t="shared" si="3"/>
        <v/>
      </c>
      <c r="K24" s="33" t="str">
        <f>IF(B24="","Pending",IF(M24="","⚠️ Enter Code",IF(IFERROR(VLOOKUP(L24,DB_Agents!$B:$F,4,0),"")=TEXT(M24,"0"),"Pending Approval","🔒 WRONG CODE")))</f>
        <v>Pending</v>
      </c>
      <c r="L24" s="30" t="s">
        <v>55</v>
      </c>
      <c r="M24" s="41"/>
      <c r="N24" s="57"/>
    </row>
    <row r="25" spans="1:14" ht="20.100000000000001" customHeight="1" x14ac:dyDescent="0.25">
      <c r="A25" s="30" t="str">
        <f t="shared" si="0"/>
        <v/>
      </c>
      <c r="B25" s="41"/>
      <c r="C25" s="35" t="str">
        <f>IF(B25="","",IFERROR(VLOOKUP(B25,DB_Customers!$A:$B,2,0),"❌ Account Not Found"))</f>
        <v/>
      </c>
      <c r="D25" s="42" t="str">
        <f t="shared" ca="1" si="1"/>
        <v/>
      </c>
      <c r="E25" s="32"/>
      <c r="F25" s="31"/>
      <c r="G25" s="41"/>
      <c r="H25" s="56">
        <v>2.5</v>
      </c>
      <c r="I25" s="43" t="str">
        <f t="shared" si="2"/>
        <v/>
      </c>
      <c r="J25" s="43" t="str">
        <f t="shared" si="3"/>
        <v/>
      </c>
      <c r="K25" s="33" t="str">
        <f>IF(B25="","Pending",IF(M25="","⚠️ Enter Code",IF(IFERROR(VLOOKUP(L25,DB_Agents!$B:$F,4,0),"")=TEXT(M25,"0"),"Pending Approval","🔒 WRONG CODE")))</f>
        <v>Pending</v>
      </c>
      <c r="L25" s="30" t="s">
        <v>55</v>
      </c>
      <c r="M25" s="41"/>
      <c r="N25" s="22"/>
    </row>
    <row r="26" spans="1:14" ht="20.100000000000001" customHeight="1" x14ac:dyDescent="0.25">
      <c r="A26" s="30" t="str">
        <f t="shared" si="0"/>
        <v/>
      </c>
      <c r="B26" s="41"/>
      <c r="C26" s="35" t="str">
        <f>IF(B26="","",IFERROR(VLOOKUP(B26,DB_Customers!$A:$B,2,0),"❌ Account Not Found"))</f>
        <v/>
      </c>
      <c r="D26" s="42" t="str">
        <f t="shared" ca="1" si="1"/>
        <v/>
      </c>
      <c r="E26" s="32"/>
      <c r="F26" s="31"/>
      <c r="G26" s="41"/>
      <c r="H26" s="56">
        <v>2.5</v>
      </c>
      <c r="I26" s="43" t="str">
        <f t="shared" si="2"/>
        <v/>
      </c>
      <c r="J26" s="43" t="str">
        <f t="shared" si="3"/>
        <v/>
      </c>
      <c r="K26" s="33" t="str">
        <f>IF(B26="","Pending",IF(M26="","⚠️ Enter Code",IF(IFERROR(VLOOKUP(L26,DB_Agents!$B:$F,4,0),"")=TEXT(M26,"0"),"Pending Approval","🔒 WRONG CODE")))</f>
        <v>Pending</v>
      </c>
      <c r="L26" s="30" t="s">
        <v>55</v>
      </c>
      <c r="M26" s="41"/>
      <c r="N26" s="57"/>
    </row>
    <row r="27" spans="1:14" ht="20.100000000000001" customHeight="1" x14ac:dyDescent="0.25">
      <c r="A27" s="30" t="str">
        <f t="shared" si="0"/>
        <v/>
      </c>
      <c r="B27" s="41"/>
      <c r="C27" s="35" t="str">
        <f>IF(B27="","",IFERROR(VLOOKUP(B27,DB_Customers!$A:$B,2,0),"❌ Account Not Found"))</f>
        <v/>
      </c>
      <c r="D27" s="42" t="str">
        <f t="shared" ca="1" si="1"/>
        <v/>
      </c>
      <c r="E27" s="32"/>
      <c r="F27" s="31"/>
      <c r="G27" s="41"/>
      <c r="H27" s="56">
        <v>2.5</v>
      </c>
      <c r="I27" s="43" t="str">
        <f t="shared" si="2"/>
        <v/>
      </c>
      <c r="J27" s="43" t="str">
        <f t="shared" si="3"/>
        <v/>
      </c>
      <c r="K27" s="33" t="str">
        <f>IF(B27="","Pending",IF(M27="","⚠️ Enter Code",IF(IFERROR(VLOOKUP(L27,DB_Agents!$B:$F,4,0),"")=TEXT(M27,"0"),"Pending Approval","🔒 WRONG CODE")))</f>
        <v>Pending</v>
      </c>
      <c r="L27" s="30" t="s">
        <v>55</v>
      </c>
      <c r="M27" s="41"/>
      <c r="N27" s="22"/>
    </row>
    <row r="28" spans="1:14" ht="20.100000000000001" customHeight="1" x14ac:dyDescent="0.25">
      <c r="A28" s="30" t="str">
        <f t="shared" si="0"/>
        <v/>
      </c>
      <c r="B28" s="41"/>
      <c r="C28" s="35" t="str">
        <f>IF(B28="","",IFERROR(VLOOKUP(B28,DB_Customers!$A:$B,2,0),"❌ Account Not Found"))</f>
        <v/>
      </c>
      <c r="D28" s="42" t="str">
        <f t="shared" ca="1" si="1"/>
        <v/>
      </c>
      <c r="E28" s="32"/>
      <c r="F28" s="31"/>
      <c r="G28" s="41"/>
      <c r="H28" s="56">
        <v>2.5</v>
      </c>
      <c r="I28" s="43" t="str">
        <f t="shared" si="2"/>
        <v/>
      </c>
      <c r="J28" s="43" t="str">
        <f t="shared" si="3"/>
        <v/>
      </c>
      <c r="K28" s="33" t="str">
        <f>IF(B28="","Pending",IF(M28="","⚠️ Enter Code",IF(IFERROR(VLOOKUP(L28,DB_Agents!$B:$F,4,0),"")=TEXT(M28,"0"),"Pending Approval","🔒 WRONG CODE")))</f>
        <v>Pending</v>
      </c>
      <c r="L28" s="30" t="s">
        <v>55</v>
      </c>
      <c r="M28" s="41"/>
      <c r="N28" s="57"/>
    </row>
    <row r="29" spans="1:14" ht="20.100000000000001" customHeight="1" x14ac:dyDescent="0.25">
      <c r="A29" s="30" t="str">
        <f t="shared" si="0"/>
        <v/>
      </c>
      <c r="B29" s="41"/>
      <c r="C29" s="35" t="str">
        <f>IF(B29="","",IFERROR(VLOOKUP(B29,DB_Customers!$A:$B,2,0),"❌ Account Not Found"))</f>
        <v/>
      </c>
      <c r="D29" s="42" t="str">
        <f t="shared" ca="1" si="1"/>
        <v/>
      </c>
      <c r="E29" s="32"/>
      <c r="F29" s="31"/>
      <c r="G29" s="41"/>
      <c r="H29" s="56">
        <v>2.5</v>
      </c>
      <c r="I29" s="43" t="str">
        <f t="shared" si="2"/>
        <v/>
      </c>
      <c r="J29" s="43" t="str">
        <f t="shared" si="3"/>
        <v/>
      </c>
      <c r="K29" s="33" t="str">
        <f>IF(B29="","Pending",IF(M29="","⚠️ Enter Code",IF(IFERROR(VLOOKUP(L29,DB_Agents!$B:$F,4,0),"")=TEXT(M29,"0"),"Pending Approval","🔒 WRONG CODE")))</f>
        <v>Pending</v>
      </c>
      <c r="L29" s="30" t="s">
        <v>55</v>
      </c>
      <c r="M29" s="41"/>
      <c r="N29" s="22"/>
    </row>
    <row r="30" spans="1:14" ht="20.100000000000001" customHeight="1" x14ac:dyDescent="0.25">
      <c r="A30" s="30" t="str">
        <f t="shared" si="0"/>
        <v/>
      </c>
      <c r="B30" s="41"/>
      <c r="C30" s="35" t="str">
        <f>IF(B30="","",IFERROR(VLOOKUP(B30,DB_Customers!$A:$B,2,0),"❌ Account Not Found"))</f>
        <v/>
      </c>
      <c r="D30" s="42" t="str">
        <f t="shared" ca="1" si="1"/>
        <v/>
      </c>
      <c r="E30" s="32"/>
      <c r="F30" s="31"/>
      <c r="G30" s="41"/>
      <c r="H30" s="56">
        <v>2.5</v>
      </c>
      <c r="I30" s="43" t="str">
        <f t="shared" si="2"/>
        <v/>
      </c>
      <c r="J30" s="43" t="str">
        <f t="shared" si="3"/>
        <v/>
      </c>
      <c r="K30" s="33" t="str">
        <f>IF(B30="","Pending",IF(M30="","⚠️ Enter Code",IF(IFERROR(VLOOKUP(L30,DB_Agents!$B:$F,4,0),"")=TEXT(M30,"0"),"Pending Approval","🔒 WRONG CODE")))</f>
        <v>Pending</v>
      </c>
      <c r="L30" s="30" t="s">
        <v>55</v>
      </c>
      <c r="M30" s="41"/>
      <c r="N30" s="57"/>
    </row>
    <row r="31" spans="1:14" ht="20.100000000000001" customHeight="1" x14ac:dyDescent="0.25">
      <c r="A31" s="30" t="str">
        <f t="shared" si="0"/>
        <v/>
      </c>
      <c r="B31" s="41"/>
      <c r="C31" s="35" t="str">
        <f>IF(B31="","",IFERROR(VLOOKUP(B31,DB_Customers!$A:$B,2,0),"❌ Account Not Found"))</f>
        <v/>
      </c>
      <c r="D31" s="42" t="str">
        <f t="shared" ca="1" si="1"/>
        <v/>
      </c>
      <c r="E31" s="32"/>
      <c r="F31" s="31"/>
      <c r="G31" s="41"/>
      <c r="H31" s="56">
        <v>2.5</v>
      </c>
      <c r="I31" s="43" t="str">
        <f t="shared" si="2"/>
        <v/>
      </c>
      <c r="J31" s="43" t="str">
        <f t="shared" si="3"/>
        <v/>
      </c>
      <c r="K31" s="33" t="str">
        <f>IF(B31="","Pending",IF(M31="","⚠️ Enter Code",IF(IFERROR(VLOOKUP(L31,DB_Agents!$B:$F,4,0),"")=TEXT(M31,"0"),"Pending Approval","🔒 WRONG CODE")))</f>
        <v>Pending</v>
      </c>
      <c r="L31" s="30" t="s">
        <v>55</v>
      </c>
      <c r="M31" s="41"/>
      <c r="N31" s="22"/>
    </row>
    <row r="32" spans="1:14" ht="20.100000000000001" customHeight="1" x14ac:dyDescent="0.25">
      <c r="A32" s="30" t="str">
        <f t="shared" si="0"/>
        <v/>
      </c>
      <c r="B32" s="41"/>
      <c r="C32" s="35" t="str">
        <f>IF(B32="","",IFERROR(VLOOKUP(B32,DB_Customers!$A:$B,2,0),"❌ Account Not Found"))</f>
        <v/>
      </c>
      <c r="D32" s="42" t="str">
        <f t="shared" ca="1" si="1"/>
        <v/>
      </c>
      <c r="E32" s="32"/>
      <c r="F32" s="31"/>
      <c r="G32" s="41"/>
      <c r="H32" s="56">
        <v>2.5</v>
      </c>
      <c r="I32" s="43" t="str">
        <f t="shared" si="2"/>
        <v/>
      </c>
      <c r="J32" s="43" t="str">
        <f t="shared" si="3"/>
        <v/>
      </c>
      <c r="K32" s="33" t="str">
        <f>IF(B32="","Pending",IF(M32="","⚠️ Enter Code",IF(IFERROR(VLOOKUP(L32,DB_Agents!$B:$F,4,0),"")=TEXT(M32,"0"),"Pending Approval","🔒 WRONG CODE")))</f>
        <v>Pending</v>
      </c>
      <c r="L32" s="30" t="s">
        <v>55</v>
      </c>
      <c r="M32" s="41"/>
      <c r="N32" s="57"/>
    </row>
    <row r="33" spans="1:14" ht="20.100000000000001" customHeight="1" x14ac:dyDescent="0.25">
      <c r="A33" s="30" t="str">
        <f t="shared" si="0"/>
        <v/>
      </c>
      <c r="B33" s="41"/>
      <c r="C33" s="35" t="str">
        <f>IF(B33="","",IFERROR(VLOOKUP(B33,DB_Customers!$A:$B,2,0),"❌ Account Not Found"))</f>
        <v/>
      </c>
      <c r="D33" s="42" t="str">
        <f t="shared" ca="1" si="1"/>
        <v/>
      </c>
      <c r="E33" s="32"/>
      <c r="F33" s="31"/>
      <c r="G33" s="41"/>
      <c r="H33" s="56">
        <v>2.5</v>
      </c>
      <c r="I33" s="43" t="str">
        <f t="shared" si="2"/>
        <v/>
      </c>
      <c r="J33" s="43" t="str">
        <f t="shared" si="3"/>
        <v/>
      </c>
      <c r="K33" s="33" t="str">
        <f>IF(B33="","Pending",IF(M33="","⚠️ Enter Code",IF(IFERROR(VLOOKUP(L33,DB_Agents!$B:$F,4,0),"")=TEXT(M33,"0"),"Pending Approval","🔒 WRONG CODE")))</f>
        <v>Pending</v>
      </c>
      <c r="L33" s="30" t="s">
        <v>55</v>
      </c>
      <c r="M33" s="41"/>
      <c r="N33" s="22"/>
    </row>
    <row r="34" spans="1:14" ht="20.100000000000001" customHeight="1" x14ac:dyDescent="0.25">
      <c r="A34" s="30" t="str">
        <f t="shared" si="0"/>
        <v/>
      </c>
      <c r="B34" s="41"/>
      <c r="C34" s="35" t="str">
        <f>IF(B34="","",IFERROR(VLOOKUP(B34,DB_Customers!$A:$B,2,0),"❌ Account Not Found"))</f>
        <v/>
      </c>
      <c r="D34" s="42" t="str">
        <f t="shared" ca="1" si="1"/>
        <v/>
      </c>
      <c r="E34" s="32"/>
      <c r="F34" s="31"/>
      <c r="G34" s="41"/>
      <c r="H34" s="56">
        <v>2.5</v>
      </c>
      <c r="I34" s="43" t="str">
        <f t="shared" si="2"/>
        <v/>
      </c>
      <c r="J34" s="43" t="str">
        <f t="shared" si="3"/>
        <v/>
      </c>
      <c r="K34" s="33" t="str">
        <f>IF(B34="","Pending",IF(M34="","⚠️ Enter Code",IF(IFERROR(VLOOKUP(L34,DB_Agents!$B:$F,4,0),"")=TEXT(M34,"0"),"Pending Approval","🔒 WRONG CODE")))</f>
        <v>Pending</v>
      </c>
      <c r="L34" s="30" t="s">
        <v>55</v>
      </c>
      <c r="M34" s="41"/>
      <c r="N34" s="57"/>
    </row>
    <row r="35" spans="1:14" ht="20.100000000000001" customHeight="1" x14ac:dyDescent="0.25">
      <c r="A35" s="30" t="str">
        <f t="shared" si="0"/>
        <v/>
      </c>
      <c r="B35" s="41"/>
      <c r="C35" s="35" t="str">
        <f>IF(B35="","",IFERROR(VLOOKUP(B35,DB_Customers!$A:$B,2,0),"❌ Account Not Found"))</f>
        <v/>
      </c>
      <c r="D35" s="42" t="str">
        <f t="shared" ca="1" si="1"/>
        <v/>
      </c>
      <c r="E35" s="32"/>
      <c r="F35" s="31"/>
      <c r="G35" s="41"/>
      <c r="H35" s="56">
        <v>2.5</v>
      </c>
      <c r="I35" s="43" t="str">
        <f t="shared" si="2"/>
        <v/>
      </c>
      <c r="J35" s="43" t="str">
        <f t="shared" si="3"/>
        <v/>
      </c>
      <c r="K35" s="33" t="str">
        <f>IF(B35="","Pending",IF(M35="","⚠️ Enter Code",IF(IFERROR(VLOOKUP(L35,DB_Agents!$B:$F,4,0),"")=TEXT(M35,"0"),"Pending Approval","🔒 WRONG CODE")))</f>
        <v>Pending</v>
      </c>
      <c r="L35" s="30" t="s">
        <v>55</v>
      </c>
      <c r="M35" s="41"/>
      <c r="N35" s="22"/>
    </row>
    <row r="36" spans="1:14" ht="20.100000000000001" customHeight="1" x14ac:dyDescent="0.25">
      <c r="A36" s="30" t="str">
        <f t="shared" si="0"/>
        <v/>
      </c>
      <c r="B36" s="41"/>
      <c r="C36" s="35" t="str">
        <f>IF(B36="","",IFERROR(VLOOKUP(B36,DB_Customers!$A:$B,2,0),"❌ Account Not Found"))</f>
        <v/>
      </c>
      <c r="D36" s="42" t="str">
        <f t="shared" ca="1" si="1"/>
        <v/>
      </c>
      <c r="E36" s="32"/>
      <c r="F36" s="31"/>
      <c r="G36" s="41"/>
      <c r="H36" s="56">
        <v>2.5</v>
      </c>
      <c r="I36" s="43" t="str">
        <f t="shared" si="2"/>
        <v/>
      </c>
      <c r="J36" s="43" t="str">
        <f t="shared" si="3"/>
        <v/>
      </c>
      <c r="K36" s="33" t="str">
        <f>IF(B36="","Pending",IF(M36="","⚠️ Enter Code",IF(IFERROR(VLOOKUP(L36,DB_Agents!$B:$F,4,0),"")=TEXT(M36,"0"),"Pending Approval","🔒 WRONG CODE")))</f>
        <v>Pending</v>
      </c>
      <c r="L36" s="30" t="s">
        <v>55</v>
      </c>
      <c r="M36" s="41"/>
      <c r="N36" s="57"/>
    </row>
    <row r="37" spans="1:14" ht="20.100000000000001" customHeight="1" x14ac:dyDescent="0.25">
      <c r="A37" s="30" t="str">
        <f t="shared" si="0"/>
        <v/>
      </c>
      <c r="B37" s="41"/>
      <c r="C37" s="35" t="str">
        <f>IF(B37="","",IFERROR(VLOOKUP(B37,DB_Customers!$A:$B,2,0),"❌ Account Not Found"))</f>
        <v/>
      </c>
      <c r="D37" s="42" t="str">
        <f t="shared" ca="1" si="1"/>
        <v/>
      </c>
      <c r="E37" s="32"/>
      <c r="F37" s="31"/>
      <c r="G37" s="41"/>
      <c r="H37" s="56">
        <v>2.5</v>
      </c>
      <c r="I37" s="43" t="str">
        <f t="shared" si="2"/>
        <v/>
      </c>
      <c r="J37" s="43" t="str">
        <f t="shared" si="3"/>
        <v/>
      </c>
      <c r="K37" s="33" t="str">
        <f>IF(B37="","Pending",IF(M37="","⚠️ Enter Code",IF(IFERROR(VLOOKUP(L37,DB_Agents!$B:$F,4,0),"")=TEXT(M37,"0"),"Pending Approval","🔒 WRONG CODE")))</f>
        <v>Pending</v>
      </c>
      <c r="L37" s="30" t="s">
        <v>55</v>
      </c>
      <c r="M37" s="41"/>
      <c r="N37" s="22"/>
    </row>
    <row r="38" spans="1:14" ht="20.100000000000001" customHeight="1" x14ac:dyDescent="0.25">
      <c r="A38" s="30" t="str">
        <f t="shared" si="0"/>
        <v/>
      </c>
      <c r="B38" s="41"/>
      <c r="C38" s="35" t="str">
        <f>IF(B38="","",IFERROR(VLOOKUP(B38,DB_Customers!$A:$B,2,0),"❌ Account Not Found"))</f>
        <v/>
      </c>
      <c r="D38" s="42" t="str">
        <f t="shared" ca="1" si="1"/>
        <v/>
      </c>
      <c r="E38" s="32"/>
      <c r="F38" s="31"/>
      <c r="G38" s="41"/>
      <c r="H38" s="56">
        <v>2.5</v>
      </c>
      <c r="I38" s="43" t="str">
        <f t="shared" si="2"/>
        <v/>
      </c>
      <c r="J38" s="43" t="str">
        <f t="shared" si="3"/>
        <v/>
      </c>
      <c r="K38" s="33" t="str">
        <f>IF(B38="","Pending",IF(M38="","⚠️ Enter Code",IF(IFERROR(VLOOKUP(L38,DB_Agents!$B:$F,4,0),"")=TEXT(M38,"0"),"Pending Approval","🔒 WRONG CODE")))</f>
        <v>Pending</v>
      </c>
      <c r="L38" s="30" t="s">
        <v>55</v>
      </c>
      <c r="M38" s="41"/>
      <c r="N38" s="57"/>
    </row>
    <row r="39" spans="1:14" ht="20.100000000000001" customHeight="1" x14ac:dyDescent="0.25">
      <c r="A39" s="30" t="str">
        <f t="shared" si="0"/>
        <v/>
      </c>
      <c r="B39" s="41"/>
      <c r="C39" s="35" t="str">
        <f>IF(B39="","",IFERROR(VLOOKUP(B39,DB_Customers!$A:$B,2,0),"❌ Account Not Found"))</f>
        <v/>
      </c>
      <c r="D39" s="42" t="str">
        <f t="shared" ca="1" si="1"/>
        <v/>
      </c>
      <c r="E39" s="32"/>
      <c r="F39" s="31"/>
      <c r="G39" s="41"/>
      <c r="H39" s="56">
        <v>2.5</v>
      </c>
      <c r="I39" s="43" t="str">
        <f t="shared" si="2"/>
        <v/>
      </c>
      <c r="J39" s="43" t="str">
        <f t="shared" si="3"/>
        <v/>
      </c>
      <c r="K39" s="33" t="str">
        <f>IF(B39="","Pending",IF(M39="","⚠️ Enter Code",IF(IFERROR(VLOOKUP(L39,DB_Agents!$B:$F,4,0),"")=TEXT(M39,"0"),"Pending Approval","🔒 WRONG CODE")))</f>
        <v>Pending</v>
      </c>
      <c r="L39" s="30" t="s">
        <v>55</v>
      </c>
      <c r="M39" s="41"/>
      <c r="N39" s="22"/>
    </row>
    <row r="40" spans="1:14" ht="20.100000000000001" customHeight="1" x14ac:dyDescent="0.25">
      <c r="A40" s="30" t="str">
        <f t="shared" si="0"/>
        <v/>
      </c>
      <c r="B40" s="41"/>
      <c r="C40" s="35" t="str">
        <f>IF(B40="","",IFERROR(VLOOKUP(B40,DB_Customers!$A:$B,2,0),"❌ Account Not Found"))</f>
        <v/>
      </c>
      <c r="D40" s="42" t="str">
        <f t="shared" ca="1" si="1"/>
        <v/>
      </c>
      <c r="E40" s="32"/>
      <c r="F40" s="31"/>
      <c r="G40" s="41"/>
      <c r="H40" s="56">
        <v>2.5</v>
      </c>
      <c r="I40" s="43" t="str">
        <f t="shared" si="2"/>
        <v/>
      </c>
      <c r="J40" s="43" t="str">
        <f t="shared" si="3"/>
        <v/>
      </c>
      <c r="K40" s="33" t="str">
        <f>IF(B40="","Pending",IF(M40="","⚠️ Enter Code",IF(IFERROR(VLOOKUP(L40,DB_Agents!$B:$F,4,0),"")=TEXT(M40,"0"),"Pending Approval","🔒 WRONG CODE")))</f>
        <v>Pending</v>
      </c>
      <c r="L40" s="30" t="s">
        <v>55</v>
      </c>
      <c r="M40" s="41"/>
      <c r="N40" s="57"/>
    </row>
    <row r="41" spans="1:14" ht="20.100000000000001" customHeight="1" x14ac:dyDescent="0.25">
      <c r="A41" s="30" t="str">
        <f t="shared" si="0"/>
        <v/>
      </c>
      <c r="B41" s="41"/>
      <c r="C41" s="35" t="str">
        <f>IF(B41="","",IFERROR(VLOOKUP(B41,DB_Customers!$A:$B,2,0),"❌ Account Not Found"))</f>
        <v/>
      </c>
      <c r="D41" s="42" t="str">
        <f t="shared" ca="1" si="1"/>
        <v/>
      </c>
      <c r="E41" s="32"/>
      <c r="F41" s="31"/>
      <c r="G41" s="41"/>
      <c r="H41" s="56">
        <v>2.5</v>
      </c>
      <c r="I41" s="43" t="str">
        <f t="shared" si="2"/>
        <v/>
      </c>
      <c r="J41" s="43" t="str">
        <f t="shared" si="3"/>
        <v/>
      </c>
      <c r="K41" s="33" t="str">
        <f>IF(B41="","Pending",IF(M41="","⚠️ Enter Code",IF(IFERROR(VLOOKUP(L41,DB_Agents!$B:$F,4,0),"")=TEXT(M41,"0"),"Pending Approval","🔒 WRONG CODE")))</f>
        <v>Pending</v>
      </c>
      <c r="L41" s="30" t="s">
        <v>55</v>
      </c>
      <c r="M41" s="41"/>
      <c r="N41" s="22"/>
    </row>
    <row r="42" spans="1:14" ht="20.100000000000001" customHeight="1" x14ac:dyDescent="0.25">
      <c r="A42" s="30" t="str">
        <f t="shared" si="0"/>
        <v/>
      </c>
      <c r="B42" s="41"/>
      <c r="C42" s="35" t="str">
        <f>IF(B42="","",IFERROR(VLOOKUP(B42,DB_Customers!$A:$B,2,0),"❌ Account Not Found"))</f>
        <v/>
      </c>
      <c r="D42" s="42" t="str">
        <f t="shared" ca="1" si="1"/>
        <v/>
      </c>
      <c r="E42" s="32"/>
      <c r="F42" s="31"/>
      <c r="G42" s="41"/>
      <c r="H42" s="56">
        <v>2.5</v>
      </c>
      <c r="I42" s="43" t="str">
        <f t="shared" si="2"/>
        <v/>
      </c>
      <c r="J42" s="43" t="str">
        <f t="shared" si="3"/>
        <v/>
      </c>
      <c r="K42" s="33" t="str">
        <f>IF(B42="","Pending",IF(M42="","⚠️ Enter Code",IF(IFERROR(VLOOKUP(L42,DB_Agents!$B:$F,4,0),"")=TEXT(M42,"0"),"Pending Approval","🔒 WRONG CODE")))</f>
        <v>Pending</v>
      </c>
      <c r="L42" s="30" t="s">
        <v>55</v>
      </c>
      <c r="M42" s="41"/>
      <c r="N42" s="57"/>
    </row>
    <row r="43" spans="1:14" ht="20.100000000000001" customHeight="1" x14ac:dyDescent="0.25">
      <c r="A43" s="30" t="str">
        <f t="shared" si="0"/>
        <v/>
      </c>
      <c r="B43" s="41"/>
      <c r="C43" s="35" t="str">
        <f>IF(B43="","",IFERROR(VLOOKUP(B43,DB_Customers!$A:$B,2,0),"❌ Account Not Found"))</f>
        <v/>
      </c>
      <c r="D43" s="42" t="str">
        <f t="shared" ca="1" si="1"/>
        <v/>
      </c>
      <c r="E43" s="32"/>
      <c r="F43" s="31"/>
      <c r="G43" s="41"/>
      <c r="H43" s="56">
        <v>2.5</v>
      </c>
      <c r="I43" s="43" t="str">
        <f t="shared" si="2"/>
        <v/>
      </c>
      <c r="J43" s="43" t="str">
        <f t="shared" si="3"/>
        <v/>
      </c>
      <c r="K43" s="33" t="str">
        <f>IF(B43="","Pending",IF(M43="","⚠️ Enter Code",IF(IFERROR(VLOOKUP(L43,DB_Agents!$B:$F,4,0),"")=TEXT(M43,"0"),"Pending Approval","🔒 WRONG CODE")))</f>
        <v>Pending</v>
      </c>
      <c r="L43" s="30" t="s">
        <v>55</v>
      </c>
      <c r="M43" s="41"/>
      <c r="N43" s="22"/>
    </row>
    <row r="44" spans="1:14" ht="20.100000000000001" customHeight="1" x14ac:dyDescent="0.25">
      <c r="A44" s="30" t="str">
        <f t="shared" si="0"/>
        <v/>
      </c>
      <c r="B44" s="41"/>
      <c r="C44" s="35" t="str">
        <f>IF(B44="","",IFERROR(VLOOKUP(B44,DB_Customers!$A:$B,2,0),"❌ Account Not Found"))</f>
        <v/>
      </c>
      <c r="D44" s="42" t="str">
        <f t="shared" ca="1" si="1"/>
        <v/>
      </c>
      <c r="E44" s="32"/>
      <c r="F44" s="31"/>
      <c r="G44" s="41"/>
      <c r="H44" s="56">
        <v>2.5</v>
      </c>
      <c r="I44" s="43" t="str">
        <f t="shared" si="2"/>
        <v/>
      </c>
      <c r="J44" s="43" t="str">
        <f t="shared" si="3"/>
        <v/>
      </c>
      <c r="K44" s="33" t="str">
        <f>IF(B44="","Pending",IF(M44="","⚠️ Enter Code",IF(IFERROR(VLOOKUP(L44,DB_Agents!$B:$F,4,0),"")=TEXT(M44,"0"),"Pending Approval","🔒 WRONG CODE")))</f>
        <v>Pending</v>
      </c>
      <c r="L44" s="30" t="s">
        <v>55</v>
      </c>
      <c r="M44" s="41"/>
      <c r="N44" s="57"/>
    </row>
    <row r="45" spans="1:14" ht="20.100000000000001" customHeight="1" x14ac:dyDescent="0.25">
      <c r="A45" s="30" t="str">
        <f t="shared" si="0"/>
        <v/>
      </c>
      <c r="B45" s="41"/>
      <c r="C45" s="35" t="str">
        <f>IF(B45="","",IFERROR(VLOOKUP(B45,DB_Customers!$A:$B,2,0),"❌ Account Not Found"))</f>
        <v/>
      </c>
      <c r="D45" s="42" t="str">
        <f t="shared" ca="1" si="1"/>
        <v/>
      </c>
      <c r="E45" s="32"/>
      <c r="F45" s="31"/>
      <c r="G45" s="41"/>
      <c r="H45" s="56">
        <v>2.5</v>
      </c>
      <c r="I45" s="43" t="str">
        <f t="shared" si="2"/>
        <v/>
      </c>
      <c r="J45" s="43" t="str">
        <f t="shared" si="3"/>
        <v/>
      </c>
      <c r="K45" s="33" t="str">
        <f>IF(B45="","Pending",IF(M45="","⚠️ Enter Code",IF(IFERROR(VLOOKUP(L45,DB_Agents!$B:$F,4,0),"")=TEXT(M45,"0"),"Pending Approval","🔒 WRONG CODE")))</f>
        <v>Pending</v>
      </c>
      <c r="L45" s="30" t="s">
        <v>55</v>
      </c>
      <c r="M45" s="41"/>
      <c r="N45" s="22"/>
    </row>
    <row r="46" spans="1:14" ht="20.100000000000001" customHeight="1" x14ac:dyDescent="0.25">
      <c r="A46" s="30" t="str">
        <f t="shared" ref="A46:A77" si="4">IF(B46="","",IF(C46="❌ Account Not Found","INVALID","LN"&amp;TEXT(D46,"YYYYMMDD")&amp;TEXT(ROW()-13,"0000")))</f>
        <v/>
      </c>
      <c r="B46" s="41"/>
      <c r="C46" s="35" t="str">
        <f>IF(B46="","",IFERROR(VLOOKUP(B46,DB_Customers!$A:$B,2,0),"❌ Account Not Found"))</f>
        <v/>
      </c>
      <c r="D46" s="42" t="str">
        <f t="shared" ref="D46:D77" ca="1" si="5">IF(B46="","",TODAY())</f>
        <v/>
      </c>
      <c r="E46" s="32"/>
      <c r="F46" s="31"/>
      <c r="G46" s="41"/>
      <c r="H46" s="56">
        <v>2.5</v>
      </c>
      <c r="I46" s="43" t="str">
        <f t="shared" ref="I46:I77" si="6">IF(E46="","",E46+(E46*H46/100*G46))</f>
        <v/>
      </c>
      <c r="J46" s="43" t="str">
        <f t="shared" ref="J46:J77" si="7">IFERROR(I46/G46,"")</f>
        <v/>
      </c>
      <c r="K46" s="33" t="str">
        <f>IF(B46="","Pending",IF(M46="","⚠️ Enter Code",IF(IFERROR(VLOOKUP(L46,DB_Agents!$B:$F,4,0),"")=TEXT(M46,"0"),"Pending Approval","🔒 WRONG CODE")))</f>
        <v>Pending</v>
      </c>
      <c r="L46" s="30" t="s">
        <v>55</v>
      </c>
      <c r="M46" s="41"/>
      <c r="N46" s="57"/>
    </row>
    <row r="47" spans="1:14" ht="20.100000000000001" customHeight="1" x14ac:dyDescent="0.25">
      <c r="A47" s="30" t="str">
        <f t="shared" si="4"/>
        <v/>
      </c>
      <c r="B47" s="41"/>
      <c r="C47" s="35" t="str">
        <f>IF(B47="","",IFERROR(VLOOKUP(B47,DB_Customers!$A:$B,2,0),"❌ Account Not Found"))</f>
        <v/>
      </c>
      <c r="D47" s="42" t="str">
        <f t="shared" ca="1" si="5"/>
        <v/>
      </c>
      <c r="E47" s="32"/>
      <c r="F47" s="31"/>
      <c r="G47" s="41"/>
      <c r="H47" s="56">
        <v>2.5</v>
      </c>
      <c r="I47" s="43" t="str">
        <f t="shared" si="6"/>
        <v/>
      </c>
      <c r="J47" s="43" t="str">
        <f t="shared" si="7"/>
        <v/>
      </c>
      <c r="K47" s="33" t="str">
        <f>IF(B47="","Pending",IF(M47="","⚠️ Enter Code",IF(IFERROR(VLOOKUP(L47,DB_Agents!$B:$F,4,0),"")=TEXT(M47,"0"),"Pending Approval","🔒 WRONG CODE")))</f>
        <v>Pending</v>
      </c>
      <c r="L47" s="30" t="s">
        <v>55</v>
      </c>
      <c r="M47" s="41"/>
      <c r="N47" s="22"/>
    </row>
    <row r="48" spans="1:14" ht="20.100000000000001" customHeight="1" x14ac:dyDescent="0.25">
      <c r="A48" s="30" t="str">
        <f t="shared" si="4"/>
        <v/>
      </c>
      <c r="B48" s="41"/>
      <c r="C48" s="35" t="str">
        <f>IF(B48="","",IFERROR(VLOOKUP(B48,DB_Customers!$A:$B,2,0),"❌ Account Not Found"))</f>
        <v/>
      </c>
      <c r="D48" s="42" t="str">
        <f t="shared" ca="1" si="5"/>
        <v/>
      </c>
      <c r="E48" s="32"/>
      <c r="F48" s="31"/>
      <c r="G48" s="41"/>
      <c r="H48" s="56">
        <v>2.5</v>
      </c>
      <c r="I48" s="43" t="str">
        <f t="shared" si="6"/>
        <v/>
      </c>
      <c r="J48" s="43" t="str">
        <f t="shared" si="7"/>
        <v/>
      </c>
      <c r="K48" s="33" t="str">
        <f>IF(B48="","Pending",IF(M48="","⚠️ Enter Code",IF(IFERROR(VLOOKUP(L48,DB_Agents!$B:$F,4,0),"")=TEXT(M48,"0"),"Pending Approval","🔒 WRONG CODE")))</f>
        <v>Pending</v>
      </c>
      <c r="L48" s="30" t="s">
        <v>55</v>
      </c>
      <c r="M48" s="41"/>
      <c r="N48" s="57"/>
    </row>
    <row r="49" spans="1:14" ht="20.100000000000001" customHeight="1" x14ac:dyDescent="0.25">
      <c r="A49" s="30" t="str">
        <f t="shared" si="4"/>
        <v/>
      </c>
      <c r="B49" s="41"/>
      <c r="C49" s="35" t="str">
        <f>IF(B49="","",IFERROR(VLOOKUP(B49,DB_Customers!$A:$B,2,0),"❌ Account Not Found"))</f>
        <v/>
      </c>
      <c r="D49" s="42" t="str">
        <f t="shared" ca="1" si="5"/>
        <v/>
      </c>
      <c r="E49" s="32"/>
      <c r="F49" s="31"/>
      <c r="G49" s="41"/>
      <c r="H49" s="56">
        <v>2.5</v>
      </c>
      <c r="I49" s="43" t="str">
        <f t="shared" si="6"/>
        <v/>
      </c>
      <c r="J49" s="43" t="str">
        <f t="shared" si="7"/>
        <v/>
      </c>
      <c r="K49" s="33" t="str">
        <f>IF(B49="","Pending",IF(M49="","⚠️ Enter Code",IF(IFERROR(VLOOKUP(L49,DB_Agents!$B:$F,4,0),"")=TEXT(M49,"0"),"Pending Approval","🔒 WRONG CODE")))</f>
        <v>Pending</v>
      </c>
      <c r="L49" s="30" t="s">
        <v>55</v>
      </c>
      <c r="M49" s="41"/>
      <c r="N49" s="22"/>
    </row>
    <row r="50" spans="1:14" ht="20.100000000000001" customHeight="1" x14ac:dyDescent="0.25">
      <c r="A50" s="30" t="str">
        <f t="shared" si="4"/>
        <v/>
      </c>
      <c r="B50" s="41"/>
      <c r="C50" s="35" t="str">
        <f>IF(B50="","",IFERROR(VLOOKUP(B50,DB_Customers!$A:$B,2,0),"❌ Account Not Found"))</f>
        <v/>
      </c>
      <c r="D50" s="42" t="str">
        <f t="shared" ca="1" si="5"/>
        <v/>
      </c>
      <c r="E50" s="32"/>
      <c r="F50" s="31"/>
      <c r="G50" s="41"/>
      <c r="H50" s="56">
        <v>2.5</v>
      </c>
      <c r="I50" s="43" t="str">
        <f t="shared" si="6"/>
        <v/>
      </c>
      <c r="J50" s="43" t="str">
        <f t="shared" si="7"/>
        <v/>
      </c>
      <c r="K50" s="33" t="str">
        <f>IF(B50="","Pending",IF(M50="","⚠️ Enter Code",IF(IFERROR(VLOOKUP(L50,DB_Agents!$B:$F,4,0),"")=TEXT(M50,"0"),"Pending Approval","🔒 WRONG CODE")))</f>
        <v>Pending</v>
      </c>
      <c r="L50" s="30" t="s">
        <v>55</v>
      </c>
      <c r="M50" s="41"/>
      <c r="N50" s="57"/>
    </row>
    <row r="51" spans="1:14" ht="20.100000000000001" customHeight="1" x14ac:dyDescent="0.25">
      <c r="A51" s="30" t="str">
        <f t="shared" si="4"/>
        <v/>
      </c>
      <c r="B51" s="41"/>
      <c r="C51" s="35" t="str">
        <f>IF(B51="","",IFERROR(VLOOKUP(B51,DB_Customers!$A:$B,2,0),"❌ Account Not Found"))</f>
        <v/>
      </c>
      <c r="D51" s="42" t="str">
        <f t="shared" ca="1" si="5"/>
        <v/>
      </c>
      <c r="E51" s="32"/>
      <c r="F51" s="31"/>
      <c r="G51" s="41"/>
      <c r="H51" s="56">
        <v>2.5</v>
      </c>
      <c r="I51" s="43" t="str">
        <f t="shared" si="6"/>
        <v/>
      </c>
      <c r="J51" s="43" t="str">
        <f t="shared" si="7"/>
        <v/>
      </c>
      <c r="K51" s="33" t="str">
        <f>IF(B51="","Pending",IF(M51="","⚠️ Enter Code",IF(IFERROR(VLOOKUP(L51,DB_Agents!$B:$F,4,0),"")=TEXT(M51,"0"),"Pending Approval","🔒 WRONG CODE")))</f>
        <v>Pending</v>
      </c>
      <c r="L51" s="30" t="s">
        <v>55</v>
      </c>
      <c r="M51" s="41"/>
      <c r="N51" s="22"/>
    </row>
    <row r="52" spans="1:14" ht="20.100000000000001" customHeight="1" x14ac:dyDescent="0.25">
      <c r="A52" s="30" t="str">
        <f t="shared" si="4"/>
        <v/>
      </c>
      <c r="B52" s="41"/>
      <c r="C52" s="35" t="str">
        <f>IF(B52="","",IFERROR(VLOOKUP(B52,DB_Customers!$A:$B,2,0),"❌ Account Not Found"))</f>
        <v/>
      </c>
      <c r="D52" s="42" t="str">
        <f t="shared" ca="1" si="5"/>
        <v/>
      </c>
      <c r="E52" s="32"/>
      <c r="F52" s="31"/>
      <c r="G52" s="41"/>
      <c r="H52" s="56">
        <v>2.5</v>
      </c>
      <c r="I52" s="43" t="str">
        <f t="shared" si="6"/>
        <v/>
      </c>
      <c r="J52" s="43" t="str">
        <f t="shared" si="7"/>
        <v/>
      </c>
      <c r="K52" s="33" t="str">
        <f>IF(B52="","Pending",IF(M52="","⚠️ Enter Code",IF(IFERROR(VLOOKUP(L52,DB_Agents!$B:$F,4,0),"")=TEXT(M52,"0"),"Pending Approval","🔒 WRONG CODE")))</f>
        <v>Pending</v>
      </c>
      <c r="L52" s="30" t="s">
        <v>55</v>
      </c>
      <c r="M52" s="41"/>
      <c r="N52" s="57"/>
    </row>
    <row r="53" spans="1:14" ht="20.100000000000001" customHeight="1" x14ac:dyDescent="0.25">
      <c r="A53" s="30" t="str">
        <f t="shared" si="4"/>
        <v/>
      </c>
      <c r="B53" s="41"/>
      <c r="C53" s="35" t="str">
        <f>IF(B53="","",IFERROR(VLOOKUP(B53,DB_Customers!$A:$B,2,0),"❌ Account Not Found"))</f>
        <v/>
      </c>
      <c r="D53" s="42" t="str">
        <f t="shared" ca="1" si="5"/>
        <v/>
      </c>
      <c r="E53" s="32"/>
      <c r="F53" s="31"/>
      <c r="G53" s="41"/>
      <c r="H53" s="56">
        <v>2.5</v>
      </c>
      <c r="I53" s="43" t="str">
        <f t="shared" si="6"/>
        <v/>
      </c>
      <c r="J53" s="43" t="str">
        <f t="shared" si="7"/>
        <v/>
      </c>
      <c r="K53" s="33" t="str">
        <f>IF(B53="","Pending",IF(M53="","⚠️ Enter Code",IF(IFERROR(VLOOKUP(L53,DB_Agents!$B:$F,4,0),"")=TEXT(M53,"0"),"Pending Approval","🔒 WRONG CODE")))</f>
        <v>Pending</v>
      </c>
      <c r="L53" s="30" t="s">
        <v>55</v>
      </c>
      <c r="M53" s="41"/>
      <c r="N53" s="22"/>
    </row>
    <row r="54" spans="1:14" ht="20.100000000000001" customHeight="1" x14ac:dyDescent="0.25">
      <c r="A54" s="30" t="str">
        <f t="shared" si="4"/>
        <v/>
      </c>
      <c r="B54" s="41"/>
      <c r="C54" s="35" t="str">
        <f>IF(B54="","",IFERROR(VLOOKUP(B54,DB_Customers!$A:$B,2,0),"❌ Account Not Found"))</f>
        <v/>
      </c>
      <c r="D54" s="42" t="str">
        <f t="shared" ca="1" si="5"/>
        <v/>
      </c>
      <c r="E54" s="32"/>
      <c r="F54" s="31"/>
      <c r="G54" s="41"/>
      <c r="H54" s="56">
        <v>2.5</v>
      </c>
      <c r="I54" s="43" t="str">
        <f t="shared" si="6"/>
        <v/>
      </c>
      <c r="J54" s="43" t="str">
        <f t="shared" si="7"/>
        <v/>
      </c>
      <c r="K54" s="33" t="str">
        <f>IF(B54="","Pending",IF(M54="","⚠️ Enter Code",IF(IFERROR(VLOOKUP(L54,DB_Agents!$B:$F,4,0),"")=TEXT(M54,"0"),"Pending Approval","🔒 WRONG CODE")))</f>
        <v>Pending</v>
      </c>
      <c r="L54" s="30" t="s">
        <v>55</v>
      </c>
      <c r="M54" s="41"/>
      <c r="N54" s="57"/>
    </row>
    <row r="55" spans="1:14" ht="20.100000000000001" customHeight="1" x14ac:dyDescent="0.25">
      <c r="A55" s="30" t="str">
        <f t="shared" si="4"/>
        <v/>
      </c>
      <c r="B55" s="41"/>
      <c r="C55" s="35" t="str">
        <f>IF(B55="","",IFERROR(VLOOKUP(B55,DB_Customers!$A:$B,2,0),"❌ Account Not Found"))</f>
        <v/>
      </c>
      <c r="D55" s="42" t="str">
        <f t="shared" ca="1" si="5"/>
        <v/>
      </c>
      <c r="E55" s="32"/>
      <c r="F55" s="31"/>
      <c r="G55" s="41"/>
      <c r="H55" s="56">
        <v>2.5</v>
      </c>
      <c r="I55" s="43" t="str">
        <f t="shared" si="6"/>
        <v/>
      </c>
      <c r="J55" s="43" t="str">
        <f t="shared" si="7"/>
        <v/>
      </c>
      <c r="K55" s="33" t="str">
        <f>IF(B55="","Pending",IF(M55="","⚠️ Enter Code",IF(IFERROR(VLOOKUP(L55,DB_Agents!$B:$F,4,0),"")=TEXT(M55,"0"),"Pending Approval","🔒 WRONG CODE")))</f>
        <v>Pending</v>
      </c>
      <c r="L55" s="30" t="s">
        <v>55</v>
      </c>
      <c r="M55" s="41"/>
      <c r="N55" s="22"/>
    </row>
    <row r="56" spans="1:14" ht="20.100000000000001" customHeight="1" x14ac:dyDescent="0.25">
      <c r="A56" s="30" t="str">
        <f t="shared" si="4"/>
        <v/>
      </c>
      <c r="B56" s="41"/>
      <c r="C56" s="35" t="str">
        <f>IF(B56="","",IFERROR(VLOOKUP(B56,DB_Customers!$A:$B,2,0),"❌ Account Not Found"))</f>
        <v/>
      </c>
      <c r="D56" s="42" t="str">
        <f t="shared" ca="1" si="5"/>
        <v/>
      </c>
      <c r="E56" s="32"/>
      <c r="F56" s="31"/>
      <c r="G56" s="41"/>
      <c r="H56" s="56">
        <v>2.5</v>
      </c>
      <c r="I56" s="43" t="str">
        <f t="shared" si="6"/>
        <v/>
      </c>
      <c r="J56" s="43" t="str">
        <f t="shared" si="7"/>
        <v/>
      </c>
      <c r="K56" s="33" t="str">
        <f>IF(B56="","Pending",IF(M56="","⚠️ Enter Code",IF(IFERROR(VLOOKUP(L56,DB_Agents!$B:$F,4,0),"")=TEXT(M56,"0"),"Pending Approval","🔒 WRONG CODE")))</f>
        <v>Pending</v>
      </c>
      <c r="L56" s="30" t="s">
        <v>55</v>
      </c>
      <c r="M56" s="41"/>
      <c r="N56" s="57"/>
    </row>
    <row r="57" spans="1:14" ht="20.100000000000001" customHeight="1" x14ac:dyDescent="0.25">
      <c r="A57" s="30" t="str">
        <f t="shared" si="4"/>
        <v/>
      </c>
      <c r="B57" s="41"/>
      <c r="C57" s="35" t="str">
        <f>IF(B57="","",IFERROR(VLOOKUP(B57,DB_Customers!$A:$B,2,0),"❌ Account Not Found"))</f>
        <v/>
      </c>
      <c r="D57" s="42" t="str">
        <f t="shared" ca="1" si="5"/>
        <v/>
      </c>
      <c r="E57" s="32"/>
      <c r="F57" s="31"/>
      <c r="G57" s="41"/>
      <c r="H57" s="56">
        <v>2.5</v>
      </c>
      <c r="I57" s="43" t="str">
        <f t="shared" si="6"/>
        <v/>
      </c>
      <c r="J57" s="43" t="str">
        <f t="shared" si="7"/>
        <v/>
      </c>
      <c r="K57" s="33" t="str">
        <f>IF(B57="","Pending",IF(M57="","⚠️ Enter Code",IF(IFERROR(VLOOKUP(L57,DB_Agents!$B:$F,4,0),"")=TEXT(M57,"0"),"Pending Approval","🔒 WRONG CODE")))</f>
        <v>Pending</v>
      </c>
      <c r="L57" s="30" t="s">
        <v>55</v>
      </c>
      <c r="M57" s="41"/>
      <c r="N57" s="22"/>
    </row>
    <row r="58" spans="1:14" ht="20.100000000000001" customHeight="1" x14ac:dyDescent="0.25">
      <c r="A58" s="30" t="str">
        <f t="shared" si="4"/>
        <v/>
      </c>
      <c r="B58" s="41"/>
      <c r="C58" s="35" t="str">
        <f>IF(B58="","",IFERROR(VLOOKUP(B58,DB_Customers!$A:$B,2,0),"❌ Account Not Found"))</f>
        <v/>
      </c>
      <c r="D58" s="42" t="str">
        <f t="shared" ca="1" si="5"/>
        <v/>
      </c>
      <c r="E58" s="32"/>
      <c r="F58" s="31"/>
      <c r="G58" s="41"/>
      <c r="H58" s="56">
        <v>2.5</v>
      </c>
      <c r="I58" s="43" t="str">
        <f t="shared" si="6"/>
        <v/>
      </c>
      <c r="J58" s="43" t="str">
        <f t="shared" si="7"/>
        <v/>
      </c>
      <c r="K58" s="33" t="str">
        <f>IF(B58="","Pending",IF(M58="","⚠️ Enter Code",IF(IFERROR(VLOOKUP(L58,DB_Agents!$B:$F,4,0),"")=TEXT(M58,"0"),"Pending Approval","🔒 WRONG CODE")))</f>
        <v>Pending</v>
      </c>
      <c r="L58" s="30" t="s">
        <v>55</v>
      </c>
      <c r="M58" s="41"/>
      <c r="N58" s="57"/>
    </row>
    <row r="59" spans="1:14" ht="20.100000000000001" customHeight="1" x14ac:dyDescent="0.25">
      <c r="A59" s="30" t="str">
        <f t="shared" si="4"/>
        <v/>
      </c>
      <c r="B59" s="41"/>
      <c r="C59" s="35" t="str">
        <f>IF(B59="","",IFERROR(VLOOKUP(B59,DB_Customers!$A:$B,2,0),"❌ Account Not Found"))</f>
        <v/>
      </c>
      <c r="D59" s="42" t="str">
        <f t="shared" ca="1" si="5"/>
        <v/>
      </c>
      <c r="E59" s="32"/>
      <c r="F59" s="31"/>
      <c r="G59" s="41"/>
      <c r="H59" s="56">
        <v>2.5</v>
      </c>
      <c r="I59" s="43" t="str">
        <f t="shared" si="6"/>
        <v/>
      </c>
      <c r="J59" s="43" t="str">
        <f t="shared" si="7"/>
        <v/>
      </c>
      <c r="K59" s="33" t="str">
        <f>IF(B59="","Pending",IF(M59="","⚠️ Enter Code",IF(IFERROR(VLOOKUP(L59,DB_Agents!$B:$F,4,0),"")=TEXT(M59,"0"),"Pending Approval","🔒 WRONG CODE")))</f>
        <v>Pending</v>
      </c>
      <c r="L59" s="30" t="s">
        <v>55</v>
      </c>
      <c r="M59" s="41"/>
      <c r="N59" s="22"/>
    </row>
    <row r="60" spans="1:14" ht="20.100000000000001" customHeight="1" x14ac:dyDescent="0.25">
      <c r="A60" s="30" t="str">
        <f t="shared" si="4"/>
        <v/>
      </c>
      <c r="B60" s="41"/>
      <c r="C60" s="35" t="str">
        <f>IF(B60="","",IFERROR(VLOOKUP(B60,DB_Customers!$A:$B,2,0),"❌ Account Not Found"))</f>
        <v/>
      </c>
      <c r="D60" s="42" t="str">
        <f t="shared" ca="1" si="5"/>
        <v/>
      </c>
      <c r="E60" s="32"/>
      <c r="F60" s="31"/>
      <c r="G60" s="41"/>
      <c r="H60" s="56">
        <v>2.5</v>
      </c>
      <c r="I60" s="43" t="str">
        <f t="shared" si="6"/>
        <v/>
      </c>
      <c r="J60" s="43" t="str">
        <f t="shared" si="7"/>
        <v/>
      </c>
      <c r="K60" s="33" t="str">
        <f>IF(B60="","Pending",IF(M60="","⚠️ Enter Code",IF(IFERROR(VLOOKUP(L60,DB_Agents!$B:$F,4,0),"")=TEXT(M60,"0"),"Pending Approval","🔒 WRONG CODE")))</f>
        <v>Pending</v>
      </c>
      <c r="L60" s="30" t="s">
        <v>55</v>
      </c>
      <c r="M60" s="41"/>
      <c r="N60" s="57"/>
    </row>
    <row r="61" spans="1:14" ht="20.100000000000001" customHeight="1" x14ac:dyDescent="0.25">
      <c r="A61" s="30" t="str">
        <f t="shared" si="4"/>
        <v/>
      </c>
      <c r="B61" s="41"/>
      <c r="C61" s="35" t="str">
        <f>IF(B61="","",IFERROR(VLOOKUP(B61,DB_Customers!$A:$B,2,0),"❌ Account Not Found"))</f>
        <v/>
      </c>
      <c r="D61" s="42" t="str">
        <f t="shared" ca="1" si="5"/>
        <v/>
      </c>
      <c r="E61" s="32"/>
      <c r="F61" s="31"/>
      <c r="G61" s="41"/>
      <c r="H61" s="56">
        <v>2.5</v>
      </c>
      <c r="I61" s="43" t="str">
        <f t="shared" si="6"/>
        <v/>
      </c>
      <c r="J61" s="43" t="str">
        <f t="shared" si="7"/>
        <v/>
      </c>
      <c r="K61" s="33" t="str">
        <f>IF(B61="","Pending",IF(M61="","⚠️ Enter Code",IF(IFERROR(VLOOKUP(L61,DB_Agents!$B:$F,4,0),"")=TEXT(M61,"0"),"Pending Approval","🔒 WRONG CODE")))</f>
        <v>Pending</v>
      </c>
      <c r="L61" s="30" t="s">
        <v>55</v>
      </c>
      <c r="M61" s="41"/>
      <c r="N61" s="22"/>
    </row>
    <row r="62" spans="1:14" ht="20.100000000000001" customHeight="1" x14ac:dyDescent="0.25">
      <c r="A62" s="30" t="str">
        <f t="shared" si="4"/>
        <v/>
      </c>
      <c r="B62" s="41"/>
      <c r="C62" s="35" t="str">
        <f>IF(B62="","",IFERROR(VLOOKUP(B62,DB_Customers!$A:$B,2,0),"❌ Account Not Found"))</f>
        <v/>
      </c>
      <c r="D62" s="42" t="str">
        <f t="shared" ca="1" si="5"/>
        <v/>
      </c>
      <c r="E62" s="32"/>
      <c r="F62" s="31"/>
      <c r="G62" s="41"/>
      <c r="H62" s="56">
        <v>2.5</v>
      </c>
      <c r="I62" s="43" t="str">
        <f t="shared" si="6"/>
        <v/>
      </c>
      <c r="J62" s="43" t="str">
        <f t="shared" si="7"/>
        <v/>
      </c>
      <c r="K62" s="33" t="str">
        <f>IF(B62="","Pending",IF(M62="","⚠️ Enter Code",IF(IFERROR(VLOOKUP(L62,DB_Agents!$B:$F,4,0),"")=TEXT(M62,"0"),"Pending Approval","🔒 WRONG CODE")))</f>
        <v>Pending</v>
      </c>
      <c r="L62" s="30" t="s">
        <v>55</v>
      </c>
      <c r="M62" s="41"/>
      <c r="N62" s="57"/>
    </row>
    <row r="63" spans="1:14" ht="20.100000000000001" customHeight="1" x14ac:dyDescent="0.25">
      <c r="A63" s="30" t="str">
        <f t="shared" si="4"/>
        <v/>
      </c>
      <c r="B63" s="41"/>
      <c r="C63" s="35" t="str">
        <f>IF(B63="","",IFERROR(VLOOKUP(B63,DB_Customers!$A:$B,2,0),"❌ Account Not Found"))</f>
        <v/>
      </c>
      <c r="D63" s="42" t="str">
        <f t="shared" ca="1" si="5"/>
        <v/>
      </c>
      <c r="E63" s="32"/>
      <c r="F63" s="31"/>
      <c r="G63" s="41"/>
      <c r="H63" s="56">
        <v>2.5</v>
      </c>
      <c r="I63" s="43" t="str">
        <f t="shared" si="6"/>
        <v/>
      </c>
      <c r="J63" s="43" t="str">
        <f t="shared" si="7"/>
        <v/>
      </c>
      <c r="K63" s="33" t="str">
        <f>IF(B63="","Pending",IF(M63="","⚠️ Enter Code",IF(IFERROR(VLOOKUP(L63,DB_Agents!$B:$F,4,0),"")=TEXT(M63,"0"),"Pending Approval","🔒 WRONG CODE")))</f>
        <v>Pending</v>
      </c>
      <c r="L63" s="30" t="s">
        <v>55</v>
      </c>
      <c r="M63" s="41"/>
      <c r="N63" s="22"/>
    </row>
    <row r="64" spans="1:14" ht="20.100000000000001" customHeight="1" x14ac:dyDescent="0.25">
      <c r="A64" s="30" t="str">
        <f t="shared" si="4"/>
        <v/>
      </c>
      <c r="B64" s="41"/>
      <c r="C64" s="35" t="str">
        <f>IF(B64="","",IFERROR(VLOOKUP(B64,DB_Customers!$A:$B,2,0),"❌ Account Not Found"))</f>
        <v/>
      </c>
      <c r="D64" s="42" t="str">
        <f t="shared" ca="1" si="5"/>
        <v/>
      </c>
      <c r="E64" s="32"/>
      <c r="F64" s="31"/>
      <c r="G64" s="41"/>
      <c r="H64" s="56">
        <v>2.5</v>
      </c>
      <c r="I64" s="43" t="str">
        <f t="shared" si="6"/>
        <v/>
      </c>
      <c r="J64" s="43" t="str">
        <f t="shared" si="7"/>
        <v/>
      </c>
      <c r="K64" s="33" t="str">
        <f>IF(B64="","Pending",IF(M64="","⚠️ Enter Code",IF(IFERROR(VLOOKUP(L64,DB_Agents!$B:$F,4,0),"")=TEXT(M64,"0"),"Pending Approval","🔒 WRONG CODE")))</f>
        <v>Pending</v>
      </c>
      <c r="L64" s="30" t="s">
        <v>55</v>
      </c>
      <c r="M64" s="41"/>
      <c r="N64" s="57"/>
    </row>
    <row r="65" spans="1:14" ht="20.100000000000001" customHeight="1" x14ac:dyDescent="0.25">
      <c r="A65" s="30" t="str">
        <f t="shared" si="4"/>
        <v/>
      </c>
      <c r="B65" s="41"/>
      <c r="C65" s="35" t="str">
        <f>IF(B65="","",IFERROR(VLOOKUP(B65,DB_Customers!$A:$B,2,0),"❌ Account Not Found"))</f>
        <v/>
      </c>
      <c r="D65" s="42" t="str">
        <f t="shared" ca="1" si="5"/>
        <v/>
      </c>
      <c r="E65" s="32"/>
      <c r="F65" s="31"/>
      <c r="G65" s="41"/>
      <c r="H65" s="56">
        <v>2.5</v>
      </c>
      <c r="I65" s="43" t="str">
        <f t="shared" si="6"/>
        <v/>
      </c>
      <c r="J65" s="43" t="str">
        <f t="shared" si="7"/>
        <v/>
      </c>
      <c r="K65" s="33" t="str">
        <f>IF(B65="","Pending",IF(M65="","⚠️ Enter Code",IF(IFERROR(VLOOKUP(L65,DB_Agents!$B:$F,4,0),"")=TEXT(M65,"0"),"Pending Approval","🔒 WRONG CODE")))</f>
        <v>Pending</v>
      </c>
      <c r="L65" s="30" t="s">
        <v>55</v>
      </c>
      <c r="M65" s="41"/>
      <c r="N65" s="22"/>
    </row>
    <row r="66" spans="1:14" ht="20.100000000000001" customHeight="1" x14ac:dyDescent="0.25">
      <c r="A66" s="30" t="str">
        <f t="shared" si="4"/>
        <v/>
      </c>
      <c r="B66" s="41"/>
      <c r="C66" s="35" t="str">
        <f>IF(B66="","",IFERROR(VLOOKUP(B66,DB_Customers!$A:$B,2,0),"❌ Account Not Found"))</f>
        <v/>
      </c>
      <c r="D66" s="42" t="str">
        <f t="shared" ca="1" si="5"/>
        <v/>
      </c>
      <c r="E66" s="32"/>
      <c r="F66" s="31"/>
      <c r="G66" s="41"/>
      <c r="H66" s="56">
        <v>2.5</v>
      </c>
      <c r="I66" s="43" t="str">
        <f t="shared" si="6"/>
        <v/>
      </c>
      <c r="J66" s="43" t="str">
        <f t="shared" si="7"/>
        <v/>
      </c>
      <c r="K66" s="33" t="str">
        <f>IF(B66="","Pending",IF(M66="","⚠️ Enter Code",IF(IFERROR(VLOOKUP(L66,DB_Agents!$B:$F,4,0),"")=TEXT(M66,"0"),"Pending Approval","🔒 WRONG CODE")))</f>
        <v>Pending</v>
      </c>
      <c r="L66" s="30" t="s">
        <v>55</v>
      </c>
      <c r="M66" s="41"/>
      <c r="N66" s="57"/>
    </row>
    <row r="67" spans="1:14" ht="20.100000000000001" customHeight="1" x14ac:dyDescent="0.25">
      <c r="A67" s="30" t="str">
        <f t="shared" si="4"/>
        <v/>
      </c>
      <c r="B67" s="41"/>
      <c r="C67" s="35" t="str">
        <f>IF(B67="","",IFERROR(VLOOKUP(B67,DB_Customers!$A:$B,2,0),"❌ Account Not Found"))</f>
        <v/>
      </c>
      <c r="D67" s="42" t="str">
        <f t="shared" ca="1" si="5"/>
        <v/>
      </c>
      <c r="E67" s="32"/>
      <c r="F67" s="31"/>
      <c r="G67" s="41"/>
      <c r="H67" s="56">
        <v>2.5</v>
      </c>
      <c r="I67" s="43" t="str">
        <f t="shared" si="6"/>
        <v/>
      </c>
      <c r="J67" s="43" t="str">
        <f t="shared" si="7"/>
        <v/>
      </c>
      <c r="K67" s="33" t="str">
        <f>IF(B67="","Pending",IF(M67="","⚠️ Enter Code",IF(IFERROR(VLOOKUP(L67,DB_Agents!$B:$F,4,0),"")=TEXT(M67,"0"),"Pending Approval","🔒 WRONG CODE")))</f>
        <v>Pending</v>
      </c>
      <c r="L67" s="30" t="s">
        <v>55</v>
      </c>
      <c r="M67" s="41"/>
      <c r="N67" s="22"/>
    </row>
    <row r="68" spans="1:14" ht="20.100000000000001" customHeight="1" x14ac:dyDescent="0.25">
      <c r="A68" s="30" t="str">
        <f t="shared" si="4"/>
        <v/>
      </c>
      <c r="B68" s="41"/>
      <c r="C68" s="35" t="str">
        <f>IF(B68="","",IFERROR(VLOOKUP(B68,DB_Customers!$A:$B,2,0),"❌ Account Not Found"))</f>
        <v/>
      </c>
      <c r="D68" s="42" t="str">
        <f t="shared" ca="1" si="5"/>
        <v/>
      </c>
      <c r="E68" s="32"/>
      <c r="F68" s="31"/>
      <c r="G68" s="41"/>
      <c r="H68" s="56">
        <v>2.5</v>
      </c>
      <c r="I68" s="43" t="str">
        <f t="shared" si="6"/>
        <v/>
      </c>
      <c r="J68" s="43" t="str">
        <f t="shared" si="7"/>
        <v/>
      </c>
      <c r="K68" s="33" t="str">
        <f>IF(B68="","Pending",IF(M68="","⚠️ Enter Code",IF(IFERROR(VLOOKUP(L68,DB_Agents!$B:$F,4,0),"")=TEXT(M68,"0"),"Pending Approval","🔒 WRONG CODE")))</f>
        <v>Pending</v>
      </c>
      <c r="L68" s="30" t="s">
        <v>55</v>
      </c>
      <c r="M68" s="41"/>
      <c r="N68" s="57"/>
    </row>
    <row r="69" spans="1:14" ht="20.100000000000001" customHeight="1" x14ac:dyDescent="0.25">
      <c r="A69" s="30" t="str">
        <f t="shared" si="4"/>
        <v/>
      </c>
      <c r="B69" s="41"/>
      <c r="C69" s="35" t="str">
        <f>IF(B69="","",IFERROR(VLOOKUP(B69,DB_Customers!$A:$B,2,0),"❌ Account Not Found"))</f>
        <v/>
      </c>
      <c r="D69" s="42" t="str">
        <f t="shared" ca="1" si="5"/>
        <v/>
      </c>
      <c r="E69" s="32"/>
      <c r="F69" s="31"/>
      <c r="G69" s="41"/>
      <c r="H69" s="56">
        <v>2.5</v>
      </c>
      <c r="I69" s="43" t="str">
        <f t="shared" si="6"/>
        <v/>
      </c>
      <c r="J69" s="43" t="str">
        <f t="shared" si="7"/>
        <v/>
      </c>
      <c r="K69" s="33" t="str">
        <f>IF(B69="","Pending",IF(M69="","⚠️ Enter Code",IF(IFERROR(VLOOKUP(L69,DB_Agents!$B:$F,4,0),"")=TEXT(M69,"0"),"Pending Approval","🔒 WRONG CODE")))</f>
        <v>Pending</v>
      </c>
      <c r="L69" s="30" t="s">
        <v>55</v>
      </c>
      <c r="M69" s="41"/>
      <c r="N69" s="22"/>
    </row>
    <row r="70" spans="1:14" ht="20.100000000000001" customHeight="1" x14ac:dyDescent="0.25">
      <c r="A70" s="30" t="str">
        <f t="shared" si="4"/>
        <v/>
      </c>
      <c r="B70" s="41"/>
      <c r="C70" s="35" t="str">
        <f>IF(B70="","",IFERROR(VLOOKUP(B70,DB_Customers!$A:$B,2,0),"❌ Account Not Found"))</f>
        <v/>
      </c>
      <c r="D70" s="42" t="str">
        <f t="shared" ca="1" si="5"/>
        <v/>
      </c>
      <c r="E70" s="32"/>
      <c r="F70" s="31"/>
      <c r="G70" s="41"/>
      <c r="H70" s="56">
        <v>2.5</v>
      </c>
      <c r="I70" s="43" t="str">
        <f t="shared" si="6"/>
        <v/>
      </c>
      <c r="J70" s="43" t="str">
        <f t="shared" si="7"/>
        <v/>
      </c>
      <c r="K70" s="33" t="str">
        <f>IF(B70="","Pending",IF(M70="","⚠️ Enter Code",IF(IFERROR(VLOOKUP(L70,DB_Agents!$B:$F,4,0),"")=TEXT(M70,"0"),"Pending Approval","🔒 WRONG CODE")))</f>
        <v>Pending</v>
      </c>
      <c r="L70" s="30" t="s">
        <v>55</v>
      </c>
      <c r="M70" s="41"/>
      <c r="N70" s="57"/>
    </row>
    <row r="71" spans="1:14" ht="20.100000000000001" customHeight="1" x14ac:dyDescent="0.25">
      <c r="A71" s="30" t="str">
        <f t="shared" si="4"/>
        <v/>
      </c>
      <c r="B71" s="41"/>
      <c r="C71" s="35" t="str">
        <f>IF(B71="","",IFERROR(VLOOKUP(B71,DB_Customers!$A:$B,2,0),"❌ Account Not Found"))</f>
        <v/>
      </c>
      <c r="D71" s="42" t="str">
        <f t="shared" ca="1" si="5"/>
        <v/>
      </c>
      <c r="E71" s="32"/>
      <c r="F71" s="31"/>
      <c r="G71" s="41"/>
      <c r="H71" s="56">
        <v>2.5</v>
      </c>
      <c r="I71" s="43" t="str">
        <f t="shared" si="6"/>
        <v/>
      </c>
      <c r="J71" s="43" t="str">
        <f t="shared" si="7"/>
        <v/>
      </c>
      <c r="K71" s="33" t="str">
        <f>IF(B71="","Pending",IF(M71="","⚠️ Enter Code",IF(IFERROR(VLOOKUP(L71,DB_Agents!$B:$F,4,0),"")=TEXT(M71,"0"),"Pending Approval","🔒 WRONG CODE")))</f>
        <v>Pending</v>
      </c>
      <c r="L71" s="30" t="s">
        <v>55</v>
      </c>
      <c r="M71" s="41"/>
      <c r="N71" s="22"/>
    </row>
    <row r="72" spans="1:14" ht="20.100000000000001" customHeight="1" x14ac:dyDescent="0.25">
      <c r="A72" s="30" t="str">
        <f t="shared" si="4"/>
        <v/>
      </c>
      <c r="B72" s="41"/>
      <c r="C72" s="35" t="str">
        <f>IF(B72="","",IFERROR(VLOOKUP(B72,DB_Customers!$A:$B,2,0),"❌ Account Not Found"))</f>
        <v/>
      </c>
      <c r="D72" s="42" t="str">
        <f t="shared" ca="1" si="5"/>
        <v/>
      </c>
      <c r="E72" s="32"/>
      <c r="F72" s="31"/>
      <c r="G72" s="41"/>
      <c r="H72" s="56">
        <v>2.5</v>
      </c>
      <c r="I72" s="43" t="str">
        <f t="shared" si="6"/>
        <v/>
      </c>
      <c r="J72" s="43" t="str">
        <f t="shared" si="7"/>
        <v/>
      </c>
      <c r="K72" s="33" t="str">
        <f>IF(B72="","Pending",IF(M72="","⚠️ Enter Code",IF(IFERROR(VLOOKUP(L72,DB_Agents!$B:$F,4,0),"")=TEXT(M72,"0"),"Pending Approval","🔒 WRONG CODE")))</f>
        <v>Pending</v>
      </c>
      <c r="L72" s="30" t="s">
        <v>55</v>
      </c>
      <c r="M72" s="41"/>
      <c r="N72" s="57"/>
    </row>
    <row r="73" spans="1:14" ht="20.100000000000001" customHeight="1" x14ac:dyDescent="0.25">
      <c r="A73" s="30" t="str">
        <f t="shared" si="4"/>
        <v/>
      </c>
      <c r="B73" s="41"/>
      <c r="C73" s="35" t="str">
        <f>IF(B73="","",IFERROR(VLOOKUP(B73,DB_Customers!$A:$B,2,0),"❌ Account Not Found"))</f>
        <v/>
      </c>
      <c r="D73" s="42" t="str">
        <f t="shared" ca="1" si="5"/>
        <v/>
      </c>
      <c r="E73" s="32"/>
      <c r="F73" s="31"/>
      <c r="G73" s="41"/>
      <c r="H73" s="56">
        <v>2.5</v>
      </c>
      <c r="I73" s="43" t="str">
        <f t="shared" si="6"/>
        <v/>
      </c>
      <c r="J73" s="43" t="str">
        <f t="shared" si="7"/>
        <v/>
      </c>
      <c r="K73" s="33" t="str">
        <f>IF(B73="","Pending",IF(M73="","⚠️ Enter Code",IF(IFERROR(VLOOKUP(L73,DB_Agents!$B:$F,4,0),"")=TEXT(M73,"0"),"Pending Approval","🔒 WRONG CODE")))</f>
        <v>Pending</v>
      </c>
      <c r="L73" s="30" t="s">
        <v>55</v>
      </c>
      <c r="M73" s="41"/>
      <c r="N73" s="22"/>
    </row>
    <row r="74" spans="1:14" ht="20.100000000000001" customHeight="1" x14ac:dyDescent="0.25">
      <c r="A74" s="30" t="str">
        <f t="shared" si="4"/>
        <v/>
      </c>
      <c r="B74" s="41"/>
      <c r="C74" s="35" t="str">
        <f>IF(B74="","",IFERROR(VLOOKUP(B74,DB_Customers!$A:$B,2,0),"❌ Account Not Found"))</f>
        <v/>
      </c>
      <c r="D74" s="42" t="str">
        <f t="shared" ca="1" si="5"/>
        <v/>
      </c>
      <c r="E74" s="32"/>
      <c r="F74" s="31"/>
      <c r="G74" s="41"/>
      <c r="H74" s="56">
        <v>2.5</v>
      </c>
      <c r="I74" s="43" t="str">
        <f t="shared" si="6"/>
        <v/>
      </c>
      <c r="J74" s="43" t="str">
        <f t="shared" si="7"/>
        <v/>
      </c>
      <c r="K74" s="33" t="str">
        <f>IF(B74="","Pending",IF(M74="","⚠️ Enter Code",IF(IFERROR(VLOOKUP(L74,DB_Agents!$B:$F,4,0),"")=TEXT(M74,"0"),"Pending Approval","🔒 WRONG CODE")))</f>
        <v>Pending</v>
      </c>
      <c r="L74" s="30" t="s">
        <v>55</v>
      </c>
      <c r="M74" s="41"/>
      <c r="N74" s="57"/>
    </row>
    <row r="75" spans="1:14" ht="20.100000000000001" customHeight="1" x14ac:dyDescent="0.25">
      <c r="A75" s="30" t="str">
        <f t="shared" si="4"/>
        <v/>
      </c>
      <c r="B75" s="41"/>
      <c r="C75" s="35" t="str">
        <f>IF(B75="","",IFERROR(VLOOKUP(B75,DB_Customers!$A:$B,2,0),"❌ Account Not Found"))</f>
        <v/>
      </c>
      <c r="D75" s="42" t="str">
        <f t="shared" ca="1" si="5"/>
        <v/>
      </c>
      <c r="E75" s="32"/>
      <c r="F75" s="31"/>
      <c r="G75" s="41"/>
      <c r="H75" s="56">
        <v>2.5</v>
      </c>
      <c r="I75" s="43" t="str">
        <f t="shared" si="6"/>
        <v/>
      </c>
      <c r="J75" s="43" t="str">
        <f t="shared" si="7"/>
        <v/>
      </c>
      <c r="K75" s="33" t="str">
        <f>IF(B75="","Pending",IF(M75="","⚠️ Enter Code",IF(IFERROR(VLOOKUP(L75,DB_Agents!$B:$F,4,0),"")=TEXT(M75,"0"),"Pending Approval","🔒 WRONG CODE")))</f>
        <v>Pending</v>
      </c>
      <c r="L75" s="30" t="s">
        <v>55</v>
      </c>
      <c r="M75" s="41"/>
      <c r="N75" s="22"/>
    </row>
    <row r="76" spans="1:14" ht="20.100000000000001" customHeight="1" x14ac:dyDescent="0.25">
      <c r="A76" s="30" t="str">
        <f t="shared" si="4"/>
        <v/>
      </c>
      <c r="B76" s="41"/>
      <c r="C76" s="35" t="str">
        <f>IF(B76="","",IFERROR(VLOOKUP(B76,DB_Customers!$A:$B,2,0),"❌ Account Not Found"))</f>
        <v/>
      </c>
      <c r="D76" s="42" t="str">
        <f t="shared" ca="1" si="5"/>
        <v/>
      </c>
      <c r="E76" s="32"/>
      <c r="F76" s="31"/>
      <c r="G76" s="41"/>
      <c r="H76" s="56">
        <v>2.5</v>
      </c>
      <c r="I76" s="43" t="str">
        <f t="shared" si="6"/>
        <v/>
      </c>
      <c r="J76" s="43" t="str">
        <f t="shared" si="7"/>
        <v/>
      </c>
      <c r="K76" s="33" t="str">
        <f>IF(B76="","Pending",IF(M76="","⚠️ Enter Code",IF(IFERROR(VLOOKUP(L76,DB_Agents!$B:$F,4,0),"")=TEXT(M76,"0"),"Pending Approval","🔒 WRONG CODE")))</f>
        <v>Pending</v>
      </c>
      <c r="L76" s="30" t="s">
        <v>55</v>
      </c>
      <c r="M76" s="41"/>
      <c r="N76" s="57"/>
    </row>
    <row r="77" spans="1:14" ht="20.100000000000001" customHeight="1" x14ac:dyDescent="0.25">
      <c r="A77" s="30" t="str">
        <f t="shared" si="4"/>
        <v/>
      </c>
      <c r="B77" s="41"/>
      <c r="C77" s="35" t="str">
        <f>IF(B77="","",IFERROR(VLOOKUP(B77,DB_Customers!$A:$B,2,0),"❌ Account Not Found"))</f>
        <v/>
      </c>
      <c r="D77" s="42" t="str">
        <f t="shared" ca="1" si="5"/>
        <v/>
      </c>
      <c r="E77" s="32"/>
      <c r="F77" s="31"/>
      <c r="G77" s="41"/>
      <c r="H77" s="56">
        <v>2.5</v>
      </c>
      <c r="I77" s="43" t="str">
        <f t="shared" si="6"/>
        <v/>
      </c>
      <c r="J77" s="43" t="str">
        <f t="shared" si="7"/>
        <v/>
      </c>
      <c r="K77" s="33" t="str">
        <f>IF(B77="","Pending",IF(M77="","⚠️ Enter Code",IF(IFERROR(VLOOKUP(L77,DB_Agents!$B:$F,4,0),"")=TEXT(M77,"0"),"Pending Approval","🔒 WRONG CODE")))</f>
        <v>Pending</v>
      </c>
      <c r="L77" s="30" t="s">
        <v>55</v>
      </c>
      <c r="M77" s="41"/>
      <c r="N77" s="22"/>
    </row>
    <row r="78" spans="1:14" ht="20.100000000000001" customHeight="1" x14ac:dyDescent="0.25">
      <c r="A78" s="30" t="str">
        <f t="shared" ref="A78:A109" si="8">IF(B78="","",IF(C78="❌ Account Not Found","INVALID","LN"&amp;TEXT(D78,"YYYYMMDD")&amp;TEXT(ROW()-13,"0000")))</f>
        <v/>
      </c>
      <c r="B78" s="41"/>
      <c r="C78" s="35" t="str">
        <f>IF(B78="","",IFERROR(VLOOKUP(B78,DB_Customers!$A:$B,2,0),"❌ Account Not Found"))</f>
        <v/>
      </c>
      <c r="D78" s="42" t="str">
        <f t="shared" ref="D78:D109" ca="1" si="9">IF(B78="","",TODAY())</f>
        <v/>
      </c>
      <c r="E78" s="32"/>
      <c r="F78" s="31"/>
      <c r="G78" s="41"/>
      <c r="H78" s="56">
        <v>2.5</v>
      </c>
      <c r="I78" s="43" t="str">
        <f t="shared" ref="I78:I109" si="10">IF(E78="","",E78+(E78*H78/100*G78))</f>
        <v/>
      </c>
      <c r="J78" s="43" t="str">
        <f t="shared" ref="J78:J109" si="11">IFERROR(I78/G78,"")</f>
        <v/>
      </c>
      <c r="K78" s="33" t="str">
        <f>IF(B78="","Pending",IF(M78="","⚠️ Enter Code",IF(IFERROR(VLOOKUP(L78,DB_Agents!$B:$F,4,0),"")=TEXT(M78,"0"),"Pending Approval","🔒 WRONG CODE")))</f>
        <v>Pending</v>
      </c>
      <c r="L78" s="30" t="s">
        <v>55</v>
      </c>
      <c r="M78" s="41"/>
      <c r="N78" s="57"/>
    </row>
    <row r="79" spans="1:14" ht="20.100000000000001" customHeight="1" x14ac:dyDescent="0.25">
      <c r="A79" s="30" t="str">
        <f t="shared" si="8"/>
        <v/>
      </c>
      <c r="B79" s="41"/>
      <c r="C79" s="35" t="str">
        <f>IF(B79="","",IFERROR(VLOOKUP(B79,DB_Customers!$A:$B,2,0),"❌ Account Not Found"))</f>
        <v/>
      </c>
      <c r="D79" s="42" t="str">
        <f t="shared" ca="1" si="9"/>
        <v/>
      </c>
      <c r="E79" s="32"/>
      <c r="F79" s="31"/>
      <c r="G79" s="41"/>
      <c r="H79" s="56">
        <v>2.5</v>
      </c>
      <c r="I79" s="43" t="str">
        <f t="shared" si="10"/>
        <v/>
      </c>
      <c r="J79" s="43" t="str">
        <f t="shared" si="11"/>
        <v/>
      </c>
      <c r="K79" s="33" t="str">
        <f>IF(B79="","Pending",IF(M79="","⚠️ Enter Code",IF(IFERROR(VLOOKUP(L79,DB_Agents!$B:$F,4,0),"")=TEXT(M79,"0"),"Pending Approval","🔒 WRONG CODE")))</f>
        <v>Pending</v>
      </c>
      <c r="L79" s="30" t="s">
        <v>55</v>
      </c>
      <c r="M79" s="41"/>
      <c r="N79" s="22"/>
    </row>
    <row r="80" spans="1:14" ht="20.100000000000001" customHeight="1" x14ac:dyDescent="0.25">
      <c r="A80" s="30" t="str">
        <f t="shared" si="8"/>
        <v/>
      </c>
      <c r="B80" s="41"/>
      <c r="C80" s="35" t="str">
        <f>IF(B80="","",IFERROR(VLOOKUP(B80,DB_Customers!$A:$B,2,0),"❌ Account Not Found"))</f>
        <v/>
      </c>
      <c r="D80" s="42" t="str">
        <f t="shared" ca="1" si="9"/>
        <v/>
      </c>
      <c r="E80" s="32"/>
      <c r="F80" s="31"/>
      <c r="G80" s="41"/>
      <c r="H80" s="56">
        <v>2.5</v>
      </c>
      <c r="I80" s="43" t="str">
        <f t="shared" si="10"/>
        <v/>
      </c>
      <c r="J80" s="43" t="str">
        <f t="shared" si="11"/>
        <v/>
      </c>
      <c r="K80" s="33" t="str">
        <f>IF(B80="","Pending",IF(M80="","⚠️ Enter Code",IF(IFERROR(VLOOKUP(L80,DB_Agents!$B:$F,4,0),"")=TEXT(M80,"0"),"Pending Approval","🔒 WRONG CODE")))</f>
        <v>Pending</v>
      </c>
      <c r="L80" s="30" t="s">
        <v>55</v>
      </c>
      <c r="M80" s="41"/>
      <c r="N80" s="57"/>
    </row>
    <row r="81" spans="1:14" ht="20.100000000000001" customHeight="1" x14ac:dyDescent="0.25">
      <c r="A81" s="30" t="str">
        <f t="shared" si="8"/>
        <v/>
      </c>
      <c r="B81" s="41"/>
      <c r="C81" s="35" t="str">
        <f>IF(B81="","",IFERROR(VLOOKUP(B81,DB_Customers!$A:$B,2,0),"❌ Account Not Found"))</f>
        <v/>
      </c>
      <c r="D81" s="42" t="str">
        <f t="shared" ca="1" si="9"/>
        <v/>
      </c>
      <c r="E81" s="32"/>
      <c r="F81" s="31"/>
      <c r="G81" s="41"/>
      <c r="H81" s="56">
        <v>2.5</v>
      </c>
      <c r="I81" s="43" t="str">
        <f t="shared" si="10"/>
        <v/>
      </c>
      <c r="J81" s="43" t="str">
        <f t="shared" si="11"/>
        <v/>
      </c>
      <c r="K81" s="33" t="str">
        <f>IF(B81="","Pending",IF(M81="","⚠️ Enter Code",IF(IFERROR(VLOOKUP(L81,DB_Agents!$B:$F,4,0),"")=TEXT(M81,"0"),"Pending Approval","🔒 WRONG CODE")))</f>
        <v>Pending</v>
      </c>
      <c r="L81" s="30" t="s">
        <v>55</v>
      </c>
      <c r="M81" s="41"/>
      <c r="N81" s="22"/>
    </row>
    <row r="82" spans="1:14" ht="20.100000000000001" customHeight="1" x14ac:dyDescent="0.25">
      <c r="A82" s="30" t="str">
        <f t="shared" si="8"/>
        <v/>
      </c>
      <c r="B82" s="41"/>
      <c r="C82" s="35" t="str">
        <f>IF(B82="","",IFERROR(VLOOKUP(B82,DB_Customers!$A:$B,2,0),"❌ Account Not Found"))</f>
        <v/>
      </c>
      <c r="D82" s="42" t="str">
        <f t="shared" ca="1" si="9"/>
        <v/>
      </c>
      <c r="E82" s="32"/>
      <c r="F82" s="31"/>
      <c r="G82" s="41"/>
      <c r="H82" s="56">
        <v>2.5</v>
      </c>
      <c r="I82" s="43" t="str">
        <f t="shared" si="10"/>
        <v/>
      </c>
      <c r="J82" s="43" t="str">
        <f t="shared" si="11"/>
        <v/>
      </c>
      <c r="K82" s="33" t="str">
        <f>IF(B82="","Pending",IF(M82="","⚠️ Enter Code",IF(IFERROR(VLOOKUP(L82,DB_Agents!$B:$F,4,0),"")=TEXT(M82,"0"),"Pending Approval","🔒 WRONG CODE")))</f>
        <v>Pending</v>
      </c>
      <c r="L82" s="30" t="s">
        <v>55</v>
      </c>
      <c r="M82" s="41"/>
      <c r="N82" s="57"/>
    </row>
    <row r="83" spans="1:14" ht="20.100000000000001" customHeight="1" x14ac:dyDescent="0.25">
      <c r="A83" s="30" t="str">
        <f t="shared" si="8"/>
        <v/>
      </c>
      <c r="B83" s="41"/>
      <c r="C83" s="35" t="str">
        <f>IF(B83="","",IFERROR(VLOOKUP(B83,DB_Customers!$A:$B,2,0),"❌ Account Not Found"))</f>
        <v/>
      </c>
      <c r="D83" s="42" t="str">
        <f t="shared" ca="1" si="9"/>
        <v/>
      </c>
      <c r="E83" s="32"/>
      <c r="F83" s="31"/>
      <c r="G83" s="41"/>
      <c r="H83" s="56">
        <v>2.5</v>
      </c>
      <c r="I83" s="43" t="str">
        <f t="shared" si="10"/>
        <v/>
      </c>
      <c r="J83" s="43" t="str">
        <f t="shared" si="11"/>
        <v/>
      </c>
      <c r="K83" s="33" t="str">
        <f>IF(B83="","Pending",IF(M83="","⚠️ Enter Code",IF(IFERROR(VLOOKUP(L83,DB_Agents!$B:$F,4,0),"")=TEXT(M83,"0"),"Pending Approval","🔒 WRONG CODE")))</f>
        <v>Pending</v>
      </c>
      <c r="L83" s="30" t="s">
        <v>55</v>
      </c>
      <c r="M83" s="41"/>
      <c r="N83" s="22"/>
    </row>
    <row r="84" spans="1:14" ht="20.100000000000001" customHeight="1" x14ac:dyDescent="0.25">
      <c r="A84" s="30" t="str">
        <f t="shared" si="8"/>
        <v/>
      </c>
      <c r="B84" s="41"/>
      <c r="C84" s="35" t="str">
        <f>IF(B84="","",IFERROR(VLOOKUP(B84,DB_Customers!$A:$B,2,0),"❌ Account Not Found"))</f>
        <v/>
      </c>
      <c r="D84" s="42" t="str">
        <f t="shared" ca="1" si="9"/>
        <v/>
      </c>
      <c r="E84" s="32"/>
      <c r="F84" s="31"/>
      <c r="G84" s="41"/>
      <c r="H84" s="56">
        <v>2.5</v>
      </c>
      <c r="I84" s="43" t="str">
        <f t="shared" si="10"/>
        <v/>
      </c>
      <c r="J84" s="43" t="str">
        <f t="shared" si="11"/>
        <v/>
      </c>
      <c r="K84" s="33" t="str">
        <f>IF(B84="","Pending",IF(M84="","⚠️ Enter Code",IF(IFERROR(VLOOKUP(L84,DB_Agents!$B:$F,4,0),"")=TEXT(M84,"0"),"Pending Approval","🔒 WRONG CODE")))</f>
        <v>Pending</v>
      </c>
      <c r="L84" s="30" t="s">
        <v>55</v>
      </c>
      <c r="M84" s="41"/>
      <c r="N84" s="57"/>
    </row>
    <row r="85" spans="1:14" ht="20.100000000000001" customHeight="1" x14ac:dyDescent="0.25">
      <c r="A85" s="30" t="str">
        <f t="shared" si="8"/>
        <v/>
      </c>
      <c r="B85" s="41"/>
      <c r="C85" s="35" t="str">
        <f>IF(B85="","",IFERROR(VLOOKUP(B85,DB_Customers!$A:$B,2,0),"❌ Account Not Found"))</f>
        <v/>
      </c>
      <c r="D85" s="42" t="str">
        <f t="shared" ca="1" si="9"/>
        <v/>
      </c>
      <c r="E85" s="32"/>
      <c r="F85" s="31"/>
      <c r="G85" s="41"/>
      <c r="H85" s="56">
        <v>2.5</v>
      </c>
      <c r="I85" s="43" t="str">
        <f t="shared" si="10"/>
        <v/>
      </c>
      <c r="J85" s="43" t="str">
        <f t="shared" si="11"/>
        <v/>
      </c>
      <c r="K85" s="33" t="str">
        <f>IF(B85="","Pending",IF(M85="","⚠️ Enter Code",IF(IFERROR(VLOOKUP(L85,DB_Agents!$B:$F,4,0),"")=TEXT(M85,"0"),"Pending Approval","🔒 WRONG CODE")))</f>
        <v>Pending</v>
      </c>
      <c r="L85" s="30" t="s">
        <v>55</v>
      </c>
      <c r="M85" s="41"/>
      <c r="N85" s="22"/>
    </row>
    <row r="86" spans="1:14" ht="20.100000000000001" customHeight="1" x14ac:dyDescent="0.25">
      <c r="A86" s="30" t="str">
        <f t="shared" si="8"/>
        <v/>
      </c>
      <c r="B86" s="41"/>
      <c r="C86" s="35" t="str">
        <f>IF(B86="","",IFERROR(VLOOKUP(B86,DB_Customers!$A:$B,2,0),"❌ Account Not Found"))</f>
        <v/>
      </c>
      <c r="D86" s="42" t="str">
        <f t="shared" ca="1" si="9"/>
        <v/>
      </c>
      <c r="E86" s="32"/>
      <c r="F86" s="31"/>
      <c r="G86" s="41"/>
      <c r="H86" s="56">
        <v>2.5</v>
      </c>
      <c r="I86" s="43" t="str">
        <f t="shared" si="10"/>
        <v/>
      </c>
      <c r="J86" s="43" t="str">
        <f t="shared" si="11"/>
        <v/>
      </c>
      <c r="K86" s="33" t="str">
        <f>IF(B86="","Pending",IF(M86="","⚠️ Enter Code",IF(IFERROR(VLOOKUP(L86,DB_Agents!$B:$F,4,0),"")=TEXT(M86,"0"),"Pending Approval","🔒 WRONG CODE")))</f>
        <v>Pending</v>
      </c>
      <c r="L86" s="30" t="s">
        <v>55</v>
      </c>
      <c r="M86" s="41"/>
      <c r="N86" s="57"/>
    </row>
    <row r="87" spans="1:14" ht="20.100000000000001" customHeight="1" x14ac:dyDescent="0.25">
      <c r="A87" s="30" t="str">
        <f t="shared" si="8"/>
        <v/>
      </c>
      <c r="B87" s="41"/>
      <c r="C87" s="35" t="str">
        <f>IF(B87="","",IFERROR(VLOOKUP(B87,DB_Customers!$A:$B,2,0),"❌ Account Not Found"))</f>
        <v/>
      </c>
      <c r="D87" s="42" t="str">
        <f t="shared" ca="1" si="9"/>
        <v/>
      </c>
      <c r="E87" s="32"/>
      <c r="F87" s="31"/>
      <c r="G87" s="41"/>
      <c r="H87" s="56">
        <v>2.5</v>
      </c>
      <c r="I87" s="43" t="str">
        <f t="shared" si="10"/>
        <v/>
      </c>
      <c r="J87" s="43" t="str">
        <f t="shared" si="11"/>
        <v/>
      </c>
      <c r="K87" s="33" t="str">
        <f>IF(B87="","Pending",IF(M87="","⚠️ Enter Code",IF(IFERROR(VLOOKUP(L87,DB_Agents!$B:$F,4,0),"")=TEXT(M87,"0"),"Pending Approval","🔒 WRONG CODE")))</f>
        <v>Pending</v>
      </c>
      <c r="L87" s="30" t="s">
        <v>55</v>
      </c>
      <c r="M87" s="41"/>
      <c r="N87" s="22"/>
    </row>
    <row r="88" spans="1:14" ht="20.100000000000001" customHeight="1" x14ac:dyDescent="0.25">
      <c r="A88" s="30" t="str">
        <f t="shared" si="8"/>
        <v/>
      </c>
      <c r="B88" s="41"/>
      <c r="C88" s="35" t="str">
        <f>IF(B88="","",IFERROR(VLOOKUP(B88,DB_Customers!$A:$B,2,0),"❌ Account Not Found"))</f>
        <v/>
      </c>
      <c r="D88" s="42" t="str">
        <f t="shared" ca="1" si="9"/>
        <v/>
      </c>
      <c r="E88" s="32"/>
      <c r="F88" s="31"/>
      <c r="G88" s="41"/>
      <c r="H88" s="56">
        <v>2.5</v>
      </c>
      <c r="I88" s="43" t="str">
        <f t="shared" si="10"/>
        <v/>
      </c>
      <c r="J88" s="43" t="str">
        <f t="shared" si="11"/>
        <v/>
      </c>
      <c r="K88" s="33" t="str">
        <f>IF(B88="","Pending",IF(M88="","⚠️ Enter Code",IF(IFERROR(VLOOKUP(L88,DB_Agents!$B:$F,4,0),"")=TEXT(M88,"0"),"Pending Approval","🔒 WRONG CODE")))</f>
        <v>Pending</v>
      </c>
      <c r="L88" s="30" t="s">
        <v>55</v>
      </c>
      <c r="M88" s="41"/>
      <c r="N88" s="57"/>
    </row>
    <row r="89" spans="1:14" ht="20.100000000000001" customHeight="1" x14ac:dyDescent="0.25">
      <c r="A89" s="30" t="str">
        <f t="shared" si="8"/>
        <v/>
      </c>
      <c r="B89" s="41"/>
      <c r="C89" s="35" t="str">
        <f>IF(B89="","",IFERROR(VLOOKUP(B89,DB_Customers!$A:$B,2,0),"❌ Account Not Found"))</f>
        <v/>
      </c>
      <c r="D89" s="42" t="str">
        <f t="shared" ca="1" si="9"/>
        <v/>
      </c>
      <c r="E89" s="32"/>
      <c r="F89" s="31"/>
      <c r="G89" s="41"/>
      <c r="H89" s="56">
        <v>2.5</v>
      </c>
      <c r="I89" s="43" t="str">
        <f t="shared" si="10"/>
        <v/>
      </c>
      <c r="J89" s="43" t="str">
        <f t="shared" si="11"/>
        <v/>
      </c>
      <c r="K89" s="33" t="str">
        <f>IF(B89="","Pending",IF(M89="","⚠️ Enter Code",IF(IFERROR(VLOOKUP(L89,DB_Agents!$B:$F,4,0),"")=TEXT(M89,"0"),"Pending Approval","🔒 WRONG CODE")))</f>
        <v>Pending</v>
      </c>
      <c r="L89" s="30" t="s">
        <v>55</v>
      </c>
      <c r="M89" s="41"/>
      <c r="N89" s="22"/>
    </row>
    <row r="90" spans="1:14" ht="20.100000000000001" customHeight="1" x14ac:dyDescent="0.25">
      <c r="A90" s="30" t="str">
        <f t="shared" si="8"/>
        <v/>
      </c>
      <c r="B90" s="41"/>
      <c r="C90" s="35" t="str">
        <f>IF(B90="","",IFERROR(VLOOKUP(B90,DB_Customers!$A:$B,2,0),"❌ Account Not Found"))</f>
        <v/>
      </c>
      <c r="D90" s="42" t="str">
        <f t="shared" ca="1" si="9"/>
        <v/>
      </c>
      <c r="E90" s="32"/>
      <c r="F90" s="31"/>
      <c r="G90" s="41"/>
      <c r="H90" s="56">
        <v>2.5</v>
      </c>
      <c r="I90" s="43" t="str">
        <f t="shared" si="10"/>
        <v/>
      </c>
      <c r="J90" s="43" t="str">
        <f t="shared" si="11"/>
        <v/>
      </c>
      <c r="K90" s="33" t="str">
        <f>IF(B90="","Pending",IF(M90="","⚠️ Enter Code",IF(IFERROR(VLOOKUP(L90,DB_Agents!$B:$F,4,0),"")=TEXT(M90,"0"),"Pending Approval","🔒 WRONG CODE")))</f>
        <v>Pending</v>
      </c>
      <c r="L90" s="30" t="s">
        <v>55</v>
      </c>
      <c r="M90" s="41"/>
      <c r="N90" s="57"/>
    </row>
    <row r="91" spans="1:14" ht="20.100000000000001" customHeight="1" x14ac:dyDescent="0.25">
      <c r="A91" s="30" t="str">
        <f t="shared" si="8"/>
        <v/>
      </c>
      <c r="B91" s="41"/>
      <c r="C91" s="35" t="str">
        <f>IF(B91="","",IFERROR(VLOOKUP(B91,DB_Customers!$A:$B,2,0),"❌ Account Not Found"))</f>
        <v/>
      </c>
      <c r="D91" s="42" t="str">
        <f t="shared" ca="1" si="9"/>
        <v/>
      </c>
      <c r="E91" s="32"/>
      <c r="F91" s="31"/>
      <c r="G91" s="41"/>
      <c r="H91" s="56">
        <v>2.5</v>
      </c>
      <c r="I91" s="43" t="str">
        <f t="shared" si="10"/>
        <v/>
      </c>
      <c r="J91" s="43" t="str">
        <f t="shared" si="11"/>
        <v/>
      </c>
      <c r="K91" s="33" t="str">
        <f>IF(B91="","Pending",IF(M91="","⚠️ Enter Code",IF(IFERROR(VLOOKUP(L91,DB_Agents!$B:$F,4,0),"")=TEXT(M91,"0"),"Pending Approval","🔒 WRONG CODE")))</f>
        <v>Pending</v>
      </c>
      <c r="L91" s="30" t="s">
        <v>55</v>
      </c>
      <c r="M91" s="41"/>
      <c r="N91" s="22"/>
    </row>
    <row r="92" spans="1:14" ht="20.100000000000001" customHeight="1" x14ac:dyDescent="0.25">
      <c r="A92" s="30" t="str">
        <f t="shared" si="8"/>
        <v/>
      </c>
      <c r="B92" s="41"/>
      <c r="C92" s="35" t="str">
        <f>IF(B92="","",IFERROR(VLOOKUP(B92,DB_Customers!$A:$B,2,0),"❌ Account Not Found"))</f>
        <v/>
      </c>
      <c r="D92" s="42" t="str">
        <f t="shared" ca="1" si="9"/>
        <v/>
      </c>
      <c r="E92" s="32"/>
      <c r="F92" s="31"/>
      <c r="G92" s="41"/>
      <c r="H92" s="56">
        <v>2.5</v>
      </c>
      <c r="I92" s="43" t="str">
        <f t="shared" si="10"/>
        <v/>
      </c>
      <c r="J92" s="43" t="str">
        <f t="shared" si="11"/>
        <v/>
      </c>
      <c r="K92" s="33" t="str">
        <f>IF(B92="","Pending",IF(M92="","⚠️ Enter Code",IF(IFERROR(VLOOKUP(L92,DB_Agents!$B:$F,4,0),"")=TEXT(M92,"0"),"Pending Approval","🔒 WRONG CODE")))</f>
        <v>Pending</v>
      </c>
      <c r="L92" s="30" t="s">
        <v>55</v>
      </c>
      <c r="M92" s="41"/>
      <c r="N92" s="57"/>
    </row>
    <row r="93" spans="1:14" ht="20.100000000000001" customHeight="1" x14ac:dyDescent="0.25">
      <c r="A93" s="30" t="str">
        <f t="shared" si="8"/>
        <v/>
      </c>
      <c r="B93" s="41"/>
      <c r="C93" s="35" t="str">
        <f>IF(B93="","",IFERROR(VLOOKUP(B93,DB_Customers!$A:$B,2,0),"❌ Account Not Found"))</f>
        <v/>
      </c>
      <c r="D93" s="42" t="str">
        <f t="shared" ca="1" si="9"/>
        <v/>
      </c>
      <c r="E93" s="32"/>
      <c r="F93" s="31"/>
      <c r="G93" s="41"/>
      <c r="H93" s="56">
        <v>2.5</v>
      </c>
      <c r="I93" s="43" t="str">
        <f t="shared" si="10"/>
        <v/>
      </c>
      <c r="J93" s="43" t="str">
        <f t="shared" si="11"/>
        <v/>
      </c>
      <c r="K93" s="33" t="str">
        <f>IF(B93="","Pending",IF(M93="","⚠️ Enter Code",IF(IFERROR(VLOOKUP(L93,DB_Agents!$B:$F,4,0),"")=TEXT(M93,"0"),"Pending Approval","🔒 WRONG CODE")))</f>
        <v>Pending</v>
      </c>
      <c r="L93" s="30" t="s">
        <v>55</v>
      </c>
      <c r="M93" s="41"/>
      <c r="N93" s="22"/>
    </row>
    <row r="94" spans="1:14" ht="20.100000000000001" customHeight="1" x14ac:dyDescent="0.25">
      <c r="A94" s="30" t="str">
        <f t="shared" si="8"/>
        <v/>
      </c>
      <c r="B94" s="41"/>
      <c r="C94" s="35" t="str">
        <f>IF(B94="","",IFERROR(VLOOKUP(B94,DB_Customers!$A:$B,2,0),"❌ Account Not Found"))</f>
        <v/>
      </c>
      <c r="D94" s="42" t="str">
        <f t="shared" ca="1" si="9"/>
        <v/>
      </c>
      <c r="E94" s="32"/>
      <c r="F94" s="31"/>
      <c r="G94" s="41"/>
      <c r="H94" s="56">
        <v>2.5</v>
      </c>
      <c r="I94" s="43" t="str">
        <f t="shared" si="10"/>
        <v/>
      </c>
      <c r="J94" s="43" t="str">
        <f t="shared" si="11"/>
        <v/>
      </c>
      <c r="K94" s="33" t="str">
        <f>IF(B94="","Pending",IF(M94="","⚠️ Enter Code",IF(IFERROR(VLOOKUP(L94,DB_Agents!$B:$F,4,0),"")=TEXT(M94,"0"),"Pending Approval","🔒 WRONG CODE")))</f>
        <v>Pending</v>
      </c>
      <c r="L94" s="30" t="s">
        <v>55</v>
      </c>
      <c r="M94" s="41"/>
      <c r="N94" s="57"/>
    </row>
    <row r="95" spans="1:14" ht="20.100000000000001" customHeight="1" x14ac:dyDescent="0.25">
      <c r="A95" s="30" t="str">
        <f t="shared" si="8"/>
        <v/>
      </c>
      <c r="B95" s="41"/>
      <c r="C95" s="35" t="str">
        <f>IF(B95="","",IFERROR(VLOOKUP(B95,DB_Customers!$A:$B,2,0),"❌ Account Not Found"))</f>
        <v/>
      </c>
      <c r="D95" s="42" t="str">
        <f t="shared" ca="1" si="9"/>
        <v/>
      </c>
      <c r="E95" s="32"/>
      <c r="F95" s="31"/>
      <c r="G95" s="41"/>
      <c r="H95" s="56">
        <v>2.5</v>
      </c>
      <c r="I95" s="43" t="str">
        <f t="shared" si="10"/>
        <v/>
      </c>
      <c r="J95" s="43" t="str">
        <f t="shared" si="11"/>
        <v/>
      </c>
      <c r="K95" s="33" t="str">
        <f>IF(B95="","Pending",IF(M95="","⚠️ Enter Code",IF(IFERROR(VLOOKUP(L95,DB_Agents!$B:$F,4,0),"")=TEXT(M95,"0"),"Pending Approval","🔒 WRONG CODE")))</f>
        <v>Pending</v>
      </c>
      <c r="L95" s="30" t="s">
        <v>55</v>
      </c>
      <c r="M95" s="41"/>
      <c r="N95" s="22"/>
    </row>
    <row r="96" spans="1:14" ht="20.100000000000001" customHeight="1" x14ac:dyDescent="0.25">
      <c r="A96" s="30" t="str">
        <f t="shared" si="8"/>
        <v/>
      </c>
      <c r="B96" s="41"/>
      <c r="C96" s="35" t="str">
        <f>IF(B96="","",IFERROR(VLOOKUP(B96,DB_Customers!$A:$B,2,0),"❌ Account Not Found"))</f>
        <v/>
      </c>
      <c r="D96" s="42" t="str">
        <f t="shared" ca="1" si="9"/>
        <v/>
      </c>
      <c r="E96" s="32"/>
      <c r="F96" s="31"/>
      <c r="G96" s="41"/>
      <c r="H96" s="56">
        <v>2.5</v>
      </c>
      <c r="I96" s="43" t="str">
        <f t="shared" si="10"/>
        <v/>
      </c>
      <c r="J96" s="43" t="str">
        <f t="shared" si="11"/>
        <v/>
      </c>
      <c r="K96" s="33" t="str">
        <f>IF(B96="","Pending",IF(M96="","⚠️ Enter Code",IF(IFERROR(VLOOKUP(L96,DB_Agents!$B:$F,4,0),"")=TEXT(M96,"0"),"Pending Approval","🔒 WRONG CODE")))</f>
        <v>Pending</v>
      </c>
      <c r="L96" s="30" t="s">
        <v>55</v>
      </c>
      <c r="M96" s="41"/>
      <c r="N96" s="57"/>
    </row>
    <row r="97" spans="1:14" ht="20.100000000000001" customHeight="1" x14ac:dyDescent="0.25">
      <c r="A97" s="30" t="str">
        <f t="shared" si="8"/>
        <v/>
      </c>
      <c r="B97" s="41"/>
      <c r="C97" s="35" t="str">
        <f>IF(B97="","",IFERROR(VLOOKUP(B97,DB_Customers!$A:$B,2,0),"❌ Account Not Found"))</f>
        <v/>
      </c>
      <c r="D97" s="42" t="str">
        <f t="shared" ca="1" si="9"/>
        <v/>
      </c>
      <c r="E97" s="32"/>
      <c r="F97" s="31"/>
      <c r="G97" s="41"/>
      <c r="H97" s="56">
        <v>2.5</v>
      </c>
      <c r="I97" s="43" t="str">
        <f t="shared" si="10"/>
        <v/>
      </c>
      <c r="J97" s="43" t="str">
        <f t="shared" si="11"/>
        <v/>
      </c>
      <c r="K97" s="33" t="str">
        <f>IF(B97="","Pending",IF(M97="","⚠️ Enter Code",IF(IFERROR(VLOOKUP(L97,DB_Agents!$B:$F,4,0),"")=TEXT(M97,"0"),"Pending Approval","🔒 WRONG CODE")))</f>
        <v>Pending</v>
      </c>
      <c r="L97" s="30" t="s">
        <v>55</v>
      </c>
      <c r="M97" s="41"/>
      <c r="N97" s="22"/>
    </row>
    <row r="98" spans="1:14" ht="20.100000000000001" customHeight="1" x14ac:dyDescent="0.25">
      <c r="A98" s="30" t="str">
        <f t="shared" si="8"/>
        <v/>
      </c>
      <c r="B98" s="41"/>
      <c r="C98" s="35" t="str">
        <f>IF(B98="","",IFERROR(VLOOKUP(B98,DB_Customers!$A:$B,2,0),"❌ Account Not Found"))</f>
        <v/>
      </c>
      <c r="D98" s="42" t="str">
        <f t="shared" ca="1" si="9"/>
        <v/>
      </c>
      <c r="E98" s="32"/>
      <c r="F98" s="31"/>
      <c r="G98" s="41"/>
      <c r="H98" s="56">
        <v>2.5</v>
      </c>
      <c r="I98" s="43" t="str">
        <f t="shared" si="10"/>
        <v/>
      </c>
      <c r="J98" s="43" t="str">
        <f t="shared" si="11"/>
        <v/>
      </c>
      <c r="K98" s="33" t="str">
        <f>IF(B98="","Pending",IF(M98="","⚠️ Enter Code",IF(IFERROR(VLOOKUP(L98,DB_Agents!$B:$F,4,0),"")=TEXT(M98,"0"),"Pending Approval","🔒 WRONG CODE")))</f>
        <v>Pending</v>
      </c>
      <c r="L98" s="30" t="s">
        <v>55</v>
      </c>
      <c r="M98" s="41"/>
      <c r="N98" s="57"/>
    </row>
    <row r="99" spans="1:14" ht="20.100000000000001" customHeight="1" x14ac:dyDescent="0.25">
      <c r="A99" s="30" t="str">
        <f t="shared" si="8"/>
        <v/>
      </c>
      <c r="B99" s="41"/>
      <c r="C99" s="35" t="str">
        <f>IF(B99="","",IFERROR(VLOOKUP(B99,DB_Customers!$A:$B,2,0),"❌ Account Not Found"))</f>
        <v/>
      </c>
      <c r="D99" s="42" t="str">
        <f t="shared" ca="1" si="9"/>
        <v/>
      </c>
      <c r="E99" s="32"/>
      <c r="F99" s="31"/>
      <c r="G99" s="41"/>
      <c r="H99" s="56">
        <v>2.5</v>
      </c>
      <c r="I99" s="43" t="str">
        <f t="shared" si="10"/>
        <v/>
      </c>
      <c r="J99" s="43" t="str">
        <f t="shared" si="11"/>
        <v/>
      </c>
      <c r="K99" s="33" t="str">
        <f>IF(B99="","Pending",IF(M99="","⚠️ Enter Code",IF(IFERROR(VLOOKUP(L99,DB_Agents!$B:$F,4,0),"")=TEXT(M99,"0"),"Pending Approval","🔒 WRONG CODE")))</f>
        <v>Pending</v>
      </c>
      <c r="L99" s="30" t="s">
        <v>55</v>
      </c>
      <c r="M99" s="41"/>
      <c r="N99" s="22"/>
    </row>
    <row r="100" spans="1:14" ht="20.100000000000001" customHeight="1" x14ac:dyDescent="0.25">
      <c r="A100" s="30" t="str">
        <f t="shared" si="8"/>
        <v/>
      </c>
      <c r="B100" s="41"/>
      <c r="C100" s="35" t="str">
        <f>IF(B100="","",IFERROR(VLOOKUP(B100,DB_Customers!$A:$B,2,0),"❌ Account Not Found"))</f>
        <v/>
      </c>
      <c r="D100" s="42" t="str">
        <f t="shared" ca="1" si="9"/>
        <v/>
      </c>
      <c r="E100" s="32"/>
      <c r="F100" s="31"/>
      <c r="G100" s="41"/>
      <c r="H100" s="56">
        <v>2.5</v>
      </c>
      <c r="I100" s="43" t="str">
        <f t="shared" si="10"/>
        <v/>
      </c>
      <c r="J100" s="43" t="str">
        <f t="shared" si="11"/>
        <v/>
      </c>
      <c r="K100" s="33" t="str">
        <f>IF(B100="","Pending",IF(M100="","⚠️ Enter Code",IF(IFERROR(VLOOKUP(L100,DB_Agents!$B:$F,4,0),"")=TEXT(M100,"0"),"Pending Approval","🔒 WRONG CODE")))</f>
        <v>Pending</v>
      </c>
      <c r="L100" s="30" t="s">
        <v>55</v>
      </c>
      <c r="M100" s="41"/>
      <c r="N100" s="57"/>
    </row>
    <row r="101" spans="1:14" ht="20.100000000000001" customHeight="1" x14ac:dyDescent="0.25">
      <c r="A101" s="30" t="str">
        <f t="shared" si="8"/>
        <v/>
      </c>
      <c r="B101" s="41"/>
      <c r="C101" s="35" t="str">
        <f>IF(B101="","",IFERROR(VLOOKUP(B101,DB_Customers!$A:$B,2,0),"❌ Account Not Found"))</f>
        <v/>
      </c>
      <c r="D101" s="42" t="str">
        <f t="shared" ca="1" si="9"/>
        <v/>
      </c>
      <c r="E101" s="32"/>
      <c r="F101" s="31"/>
      <c r="G101" s="41"/>
      <c r="H101" s="56">
        <v>2.5</v>
      </c>
      <c r="I101" s="43" t="str">
        <f t="shared" si="10"/>
        <v/>
      </c>
      <c r="J101" s="43" t="str">
        <f t="shared" si="11"/>
        <v/>
      </c>
      <c r="K101" s="33" t="str">
        <f>IF(B101="","Pending",IF(M101="","⚠️ Enter Code",IF(IFERROR(VLOOKUP(L101,DB_Agents!$B:$F,4,0),"")=TEXT(M101,"0"),"Pending Approval","🔒 WRONG CODE")))</f>
        <v>Pending</v>
      </c>
      <c r="L101" s="30" t="s">
        <v>55</v>
      </c>
      <c r="M101" s="41"/>
      <c r="N101" s="22"/>
    </row>
    <row r="102" spans="1:14" ht="20.100000000000001" customHeight="1" x14ac:dyDescent="0.25">
      <c r="A102" s="30" t="str">
        <f t="shared" si="8"/>
        <v/>
      </c>
      <c r="B102" s="41"/>
      <c r="C102" s="35" t="str">
        <f>IF(B102="","",IFERROR(VLOOKUP(B102,DB_Customers!$A:$B,2,0),"❌ Account Not Found"))</f>
        <v/>
      </c>
      <c r="D102" s="42" t="str">
        <f t="shared" ca="1" si="9"/>
        <v/>
      </c>
      <c r="E102" s="32"/>
      <c r="F102" s="31"/>
      <c r="G102" s="41"/>
      <c r="H102" s="56">
        <v>2.5</v>
      </c>
      <c r="I102" s="43" t="str">
        <f t="shared" si="10"/>
        <v/>
      </c>
      <c r="J102" s="43" t="str">
        <f t="shared" si="11"/>
        <v/>
      </c>
      <c r="K102" s="33" t="str">
        <f>IF(B102="","Pending",IF(M102="","⚠️ Enter Code",IF(IFERROR(VLOOKUP(L102,DB_Agents!$B:$F,4,0),"")=TEXT(M102,"0"),"Pending Approval","🔒 WRONG CODE")))</f>
        <v>Pending</v>
      </c>
      <c r="L102" s="30" t="s">
        <v>55</v>
      </c>
      <c r="M102" s="41"/>
      <c r="N102" s="57"/>
    </row>
    <row r="103" spans="1:14" ht="20.100000000000001" customHeight="1" x14ac:dyDescent="0.25">
      <c r="A103" s="30" t="str">
        <f t="shared" si="8"/>
        <v/>
      </c>
      <c r="B103" s="41"/>
      <c r="C103" s="35" t="str">
        <f>IF(B103="","",IFERROR(VLOOKUP(B103,DB_Customers!$A:$B,2,0),"❌ Account Not Found"))</f>
        <v/>
      </c>
      <c r="D103" s="42" t="str">
        <f t="shared" ca="1" si="9"/>
        <v/>
      </c>
      <c r="E103" s="32"/>
      <c r="F103" s="31"/>
      <c r="G103" s="41"/>
      <c r="H103" s="56">
        <v>2.5</v>
      </c>
      <c r="I103" s="43" t="str">
        <f t="shared" si="10"/>
        <v/>
      </c>
      <c r="J103" s="43" t="str">
        <f t="shared" si="11"/>
        <v/>
      </c>
      <c r="K103" s="33" t="str">
        <f>IF(B103="","Pending",IF(M103="","⚠️ Enter Code",IF(IFERROR(VLOOKUP(L103,DB_Agents!$B:$F,4,0),"")=TEXT(M103,"0"),"Pending Approval","🔒 WRONG CODE")))</f>
        <v>Pending</v>
      </c>
      <c r="L103" s="30" t="s">
        <v>55</v>
      </c>
      <c r="M103" s="41"/>
      <c r="N103" s="22"/>
    </row>
    <row r="104" spans="1:14" ht="20.100000000000001" customHeight="1" x14ac:dyDescent="0.25">
      <c r="A104" s="30" t="str">
        <f t="shared" si="8"/>
        <v/>
      </c>
      <c r="B104" s="41"/>
      <c r="C104" s="35" t="str">
        <f>IF(B104="","",IFERROR(VLOOKUP(B104,DB_Customers!$A:$B,2,0),"❌ Account Not Found"))</f>
        <v/>
      </c>
      <c r="D104" s="42" t="str">
        <f t="shared" ca="1" si="9"/>
        <v/>
      </c>
      <c r="E104" s="32"/>
      <c r="F104" s="31"/>
      <c r="G104" s="41"/>
      <c r="H104" s="56">
        <v>2.5</v>
      </c>
      <c r="I104" s="43" t="str">
        <f t="shared" si="10"/>
        <v/>
      </c>
      <c r="J104" s="43" t="str">
        <f t="shared" si="11"/>
        <v/>
      </c>
      <c r="K104" s="33" t="str">
        <f>IF(B104="","Pending",IF(M104="","⚠️ Enter Code",IF(IFERROR(VLOOKUP(L104,DB_Agents!$B:$F,4,0),"")=TEXT(M104,"0"),"Pending Approval","🔒 WRONG CODE")))</f>
        <v>Pending</v>
      </c>
      <c r="L104" s="30" t="s">
        <v>55</v>
      </c>
      <c r="M104" s="41"/>
      <c r="N104" s="57"/>
    </row>
    <row r="105" spans="1:14" ht="20.100000000000001" customHeight="1" x14ac:dyDescent="0.25">
      <c r="A105" s="30" t="str">
        <f t="shared" si="8"/>
        <v/>
      </c>
      <c r="B105" s="41"/>
      <c r="C105" s="35" t="str">
        <f>IF(B105="","",IFERROR(VLOOKUP(B105,DB_Customers!$A:$B,2,0),"❌ Account Not Found"))</f>
        <v/>
      </c>
      <c r="D105" s="42" t="str">
        <f t="shared" ca="1" si="9"/>
        <v/>
      </c>
      <c r="E105" s="32"/>
      <c r="F105" s="31"/>
      <c r="G105" s="41"/>
      <c r="H105" s="56">
        <v>2.5</v>
      </c>
      <c r="I105" s="43" t="str">
        <f t="shared" si="10"/>
        <v/>
      </c>
      <c r="J105" s="43" t="str">
        <f t="shared" si="11"/>
        <v/>
      </c>
      <c r="K105" s="33" t="str">
        <f>IF(B105="","Pending",IF(M105="","⚠️ Enter Code",IF(IFERROR(VLOOKUP(L105,DB_Agents!$B:$F,4,0),"")=TEXT(M105,"0"),"Pending Approval","🔒 WRONG CODE")))</f>
        <v>Pending</v>
      </c>
      <c r="L105" s="30" t="s">
        <v>55</v>
      </c>
      <c r="M105" s="41"/>
      <c r="N105" s="22"/>
    </row>
    <row r="106" spans="1:14" ht="20.100000000000001" customHeight="1" x14ac:dyDescent="0.25">
      <c r="A106" s="30" t="str">
        <f t="shared" si="8"/>
        <v/>
      </c>
      <c r="B106" s="41"/>
      <c r="C106" s="35" t="str">
        <f>IF(B106="","",IFERROR(VLOOKUP(B106,DB_Customers!$A:$B,2,0),"❌ Account Not Found"))</f>
        <v/>
      </c>
      <c r="D106" s="42" t="str">
        <f t="shared" ca="1" si="9"/>
        <v/>
      </c>
      <c r="E106" s="32"/>
      <c r="F106" s="31"/>
      <c r="G106" s="41"/>
      <c r="H106" s="56">
        <v>2.5</v>
      </c>
      <c r="I106" s="43" t="str">
        <f t="shared" si="10"/>
        <v/>
      </c>
      <c r="J106" s="43" t="str">
        <f t="shared" si="11"/>
        <v/>
      </c>
      <c r="K106" s="33" t="str">
        <f>IF(B106="","Pending",IF(M106="","⚠️ Enter Code",IF(IFERROR(VLOOKUP(L106,DB_Agents!$B:$F,4,0),"")=TEXT(M106,"0"),"Pending Approval","🔒 WRONG CODE")))</f>
        <v>Pending</v>
      </c>
      <c r="L106" s="30" t="s">
        <v>55</v>
      </c>
      <c r="M106" s="41"/>
      <c r="N106" s="57"/>
    </row>
    <row r="107" spans="1:14" ht="20.100000000000001" customHeight="1" x14ac:dyDescent="0.25">
      <c r="A107" s="30" t="str">
        <f t="shared" si="8"/>
        <v/>
      </c>
      <c r="B107" s="41"/>
      <c r="C107" s="35" t="str">
        <f>IF(B107="","",IFERROR(VLOOKUP(B107,DB_Customers!$A:$B,2,0),"❌ Account Not Found"))</f>
        <v/>
      </c>
      <c r="D107" s="42" t="str">
        <f t="shared" ca="1" si="9"/>
        <v/>
      </c>
      <c r="E107" s="32"/>
      <c r="F107" s="31"/>
      <c r="G107" s="41"/>
      <c r="H107" s="56">
        <v>2.5</v>
      </c>
      <c r="I107" s="43" t="str">
        <f t="shared" si="10"/>
        <v/>
      </c>
      <c r="J107" s="43" t="str">
        <f t="shared" si="11"/>
        <v/>
      </c>
      <c r="K107" s="33" t="str">
        <f>IF(B107="","Pending",IF(M107="","⚠️ Enter Code",IF(IFERROR(VLOOKUP(L107,DB_Agents!$B:$F,4,0),"")=TEXT(M107,"0"),"Pending Approval","🔒 WRONG CODE")))</f>
        <v>Pending</v>
      </c>
      <c r="L107" s="30" t="s">
        <v>55</v>
      </c>
      <c r="M107" s="41"/>
      <c r="N107" s="22"/>
    </row>
    <row r="108" spans="1:14" ht="20.100000000000001" customHeight="1" x14ac:dyDescent="0.25">
      <c r="A108" s="30" t="str">
        <f t="shared" si="8"/>
        <v/>
      </c>
      <c r="B108" s="41"/>
      <c r="C108" s="35" t="str">
        <f>IF(B108="","",IFERROR(VLOOKUP(B108,DB_Customers!$A:$B,2,0),"❌ Account Not Found"))</f>
        <v/>
      </c>
      <c r="D108" s="42" t="str">
        <f t="shared" ca="1" si="9"/>
        <v/>
      </c>
      <c r="E108" s="32"/>
      <c r="F108" s="31"/>
      <c r="G108" s="41"/>
      <c r="H108" s="56">
        <v>2.5</v>
      </c>
      <c r="I108" s="43" t="str">
        <f t="shared" si="10"/>
        <v/>
      </c>
      <c r="J108" s="43" t="str">
        <f t="shared" si="11"/>
        <v/>
      </c>
      <c r="K108" s="33" t="str">
        <f>IF(B108="","Pending",IF(M108="","⚠️ Enter Code",IF(IFERROR(VLOOKUP(L108,DB_Agents!$B:$F,4,0),"")=TEXT(M108,"0"),"Pending Approval","🔒 WRONG CODE")))</f>
        <v>Pending</v>
      </c>
      <c r="L108" s="30" t="s">
        <v>55</v>
      </c>
      <c r="M108" s="41"/>
      <c r="N108" s="57"/>
    </row>
    <row r="109" spans="1:14" ht="20.100000000000001" customHeight="1" x14ac:dyDescent="0.25">
      <c r="A109" s="30" t="str">
        <f t="shared" si="8"/>
        <v/>
      </c>
      <c r="B109" s="41"/>
      <c r="C109" s="35" t="str">
        <f>IF(B109="","",IFERROR(VLOOKUP(B109,DB_Customers!$A:$B,2,0),"❌ Account Not Found"))</f>
        <v/>
      </c>
      <c r="D109" s="42" t="str">
        <f t="shared" ca="1" si="9"/>
        <v/>
      </c>
      <c r="E109" s="32"/>
      <c r="F109" s="31"/>
      <c r="G109" s="41"/>
      <c r="H109" s="56">
        <v>2.5</v>
      </c>
      <c r="I109" s="43" t="str">
        <f t="shared" si="10"/>
        <v/>
      </c>
      <c r="J109" s="43" t="str">
        <f t="shared" si="11"/>
        <v/>
      </c>
      <c r="K109" s="33" t="str">
        <f>IF(B109="","Pending",IF(M109="","⚠️ Enter Code",IF(IFERROR(VLOOKUP(L109,DB_Agents!$B:$F,4,0),"")=TEXT(M109,"0"),"Pending Approval","🔒 WRONG CODE")))</f>
        <v>Pending</v>
      </c>
      <c r="L109" s="30" t="s">
        <v>55</v>
      </c>
      <c r="M109" s="41"/>
      <c r="N109" s="22"/>
    </row>
    <row r="110" spans="1:14" ht="20.100000000000001" customHeight="1" x14ac:dyDescent="0.25">
      <c r="A110" s="30" t="str">
        <f t="shared" ref="A110:A141" si="12">IF(B110="","",IF(C110="❌ Account Not Found","INVALID","LN"&amp;TEXT(D110,"YYYYMMDD")&amp;TEXT(ROW()-13,"0000")))</f>
        <v/>
      </c>
      <c r="B110" s="41"/>
      <c r="C110" s="35" t="str">
        <f>IF(B110="","",IFERROR(VLOOKUP(B110,DB_Customers!$A:$B,2,0),"❌ Account Not Found"))</f>
        <v/>
      </c>
      <c r="D110" s="42" t="str">
        <f t="shared" ref="D110:D141" ca="1" si="13">IF(B110="","",TODAY())</f>
        <v/>
      </c>
      <c r="E110" s="32"/>
      <c r="F110" s="31"/>
      <c r="G110" s="41"/>
      <c r="H110" s="56">
        <v>2.5</v>
      </c>
      <c r="I110" s="43" t="str">
        <f t="shared" ref="I110:I141" si="14">IF(E110="","",E110+(E110*H110/100*G110))</f>
        <v/>
      </c>
      <c r="J110" s="43" t="str">
        <f t="shared" ref="J110:J141" si="15">IFERROR(I110/G110,"")</f>
        <v/>
      </c>
      <c r="K110" s="33" t="str">
        <f>IF(B110="","Pending",IF(M110="","⚠️ Enter Code",IF(IFERROR(VLOOKUP(L110,DB_Agents!$B:$F,4,0),"")=TEXT(M110,"0"),"Pending Approval","🔒 WRONG CODE")))</f>
        <v>Pending</v>
      </c>
      <c r="L110" s="30" t="s">
        <v>55</v>
      </c>
      <c r="M110" s="41"/>
      <c r="N110" s="57"/>
    </row>
    <row r="111" spans="1:14" ht="20.100000000000001" customHeight="1" x14ac:dyDescent="0.25">
      <c r="A111" s="30" t="str">
        <f t="shared" si="12"/>
        <v/>
      </c>
      <c r="B111" s="41"/>
      <c r="C111" s="35" t="str">
        <f>IF(B111="","",IFERROR(VLOOKUP(B111,DB_Customers!$A:$B,2,0),"❌ Account Not Found"))</f>
        <v/>
      </c>
      <c r="D111" s="42" t="str">
        <f t="shared" ca="1" si="13"/>
        <v/>
      </c>
      <c r="E111" s="32"/>
      <c r="F111" s="31"/>
      <c r="G111" s="41"/>
      <c r="H111" s="56">
        <v>2.5</v>
      </c>
      <c r="I111" s="43" t="str">
        <f t="shared" si="14"/>
        <v/>
      </c>
      <c r="J111" s="43" t="str">
        <f t="shared" si="15"/>
        <v/>
      </c>
      <c r="K111" s="33" t="str">
        <f>IF(B111="","Pending",IF(M111="","⚠️ Enter Code",IF(IFERROR(VLOOKUP(L111,DB_Agents!$B:$F,4,0),"")=TEXT(M111,"0"),"Pending Approval","🔒 WRONG CODE")))</f>
        <v>Pending</v>
      </c>
      <c r="L111" s="30" t="s">
        <v>55</v>
      </c>
      <c r="M111" s="41"/>
      <c r="N111" s="22"/>
    </row>
    <row r="112" spans="1:14" ht="20.100000000000001" customHeight="1" x14ac:dyDescent="0.25">
      <c r="A112" s="30" t="str">
        <f t="shared" si="12"/>
        <v/>
      </c>
      <c r="B112" s="41"/>
      <c r="C112" s="35" t="str">
        <f>IF(B112="","",IFERROR(VLOOKUP(B112,DB_Customers!$A:$B,2,0),"❌ Account Not Found"))</f>
        <v/>
      </c>
      <c r="D112" s="42" t="str">
        <f t="shared" ca="1" si="13"/>
        <v/>
      </c>
      <c r="E112" s="32"/>
      <c r="F112" s="31"/>
      <c r="G112" s="41"/>
      <c r="H112" s="56">
        <v>2.5</v>
      </c>
      <c r="I112" s="43" t="str">
        <f t="shared" si="14"/>
        <v/>
      </c>
      <c r="J112" s="43" t="str">
        <f t="shared" si="15"/>
        <v/>
      </c>
      <c r="K112" s="33" t="str">
        <f>IF(B112="","Pending",IF(M112="","⚠️ Enter Code",IF(IFERROR(VLOOKUP(L112,DB_Agents!$B:$F,4,0),"")=TEXT(M112,"0"),"Pending Approval","🔒 WRONG CODE")))</f>
        <v>Pending</v>
      </c>
      <c r="L112" s="30" t="s">
        <v>55</v>
      </c>
      <c r="M112" s="41"/>
      <c r="N112" s="57"/>
    </row>
    <row r="113" spans="1:14" ht="20.100000000000001" customHeight="1" x14ac:dyDescent="0.25">
      <c r="A113" s="30" t="str">
        <f t="shared" si="12"/>
        <v/>
      </c>
      <c r="B113" s="41"/>
      <c r="C113" s="35" t="str">
        <f>IF(B113="","",IFERROR(VLOOKUP(B113,DB_Customers!$A:$B,2,0),"❌ Account Not Found"))</f>
        <v/>
      </c>
      <c r="D113" s="42" t="str">
        <f t="shared" ca="1" si="13"/>
        <v/>
      </c>
      <c r="E113" s="32"/>
      <c r="F113" s="31"/>
      <c r="G113" s="41"/>
      <c r="H113" s="56">
        <v>2.5</v>
      </c>
      <c r="I113" s="43" t="str">
        <f t="shared" si="14"/>
        <v/>
      </c>
      <c r="J113" s="43" t="str">
        <f t="shared" si="15"/>
        <v/>
      </c>
      <c r="K113" s="33" t="str">
        <f>IF(B113="","Pending",IF(M113="","⚠️ Enter Code",IF(IFERROR(VLOOKUP(L113,DB_Agents!$B:$F,4,0),"")=TEXT(M113,"0"),"Pending Approval","🔒 WRONG CODE")))</f>
        <v>Pending</v>
      </c>
      <c r="L113" s="30" t="s">
        <v>55</v>
      </c>
      <c r="M113" s="41"/>
      <c r="N113" s="22"/>
    </row>
    <row r="114" spans="1:14" ht="20.100000000000001" customHeight="1" x14ac:dyDescent="0.25">
      <c r="A114" s="30" t="str">
        <f t="shared" si="12"/>
        <v/>
      </c>
      <c r="B114" s="41"/>
      <c r="C114" s="35" t="str">
        <f>IF(B114="","",IFERROR(VLOOKUP(B114,DB_Customers!$A:$B,2,0),"❌ Account Not Found"))</f>
        <v/>
      </c>
      <c r="D114" s="42" t="str">
        <f t="shared" ca="1" si="13"/>
        <v/>
      </c>
      <c r="E114" s="32"/>
      <c r="F114" s="31"/>
      <c r="G114" s="41"/>
      <c r="H114" s="56">
        <v>2.5</v>
      </c>
      <c r="I114" s="43" t="str">
        <f t="shared" si="14"/>
        <v/>
      </c>
      <c r="J114" s="43" t="str">
        <f t="shared" si="15"/>
        <v/>
      </c>
      <c r="K114" s="33" t="str">
        <f>IF(B114="","Pending",IF(M114="","⚠️ Enter Code",IF(IFERROR(VLOOKUP(L114,DB_Agents!$B:$F,4,0),"")=TEXT(M114,"0"),"Pending Approval","🔒 WRONG CODE")))</f>
        <v>Pending</v>
      </c>
      <c r="L114" s="30" t="s">
        <v>55</v>
      </c>
      <c r="M114" s="41"/>
      <c r="N114" s="57"/>
    </row>
    <row r="115" spans="1:14" ht="20.100000000000001" customHeight="1" x14ac:dyDescent="0.25">
      <c r="A115" s="30" t="str">
        <f t="shared" si="12"/>
        <v/>
      </c>
      <c r="B115" s="41"/>
      <c r="C115" s="35" t="str">
        <f>IF(B115="","",IFERROR(VLOOKUP(B115,DB_Customers!$A:$B,2,0),"❌ Account Not Found"))</f>
        <v/>
      </c>
      <c r="D115" s="42" t="str">
        <f t="shared" ca="1" si="13"/>
        <v/>
      </c>
      <c r="E115" s="32"/>
      <c r="F115" s="31"/>
      <c r="G115" s="41"/>
      <c r="H115" s="56">
        <v>2.5</v>
      </c>
      <c r="I115" s="43" t="str">
        <f t="shared" si="14"/>
        <v/>
      </c>
      <c r="J115" s="43" t="str">
        <f t="shared" si="15"/>
        <v/>
      </c>
      <c r="K115" s="33" t="str">
        <f>IF(B115="","Pending",IF(M115="","⚠️ Enter Code",IF(IFERROR(VLOOKUP(L115,DB_Agents!$B:$F,4,0),"")=TEXT(M115,"0"),"Pending Approval","🔒 WRONG CODE")))</f>
        <v>Pending</v>
      </c>
      <c r="L115" s="30" t="s">
        <v>55</v>
      </c>
      <c r="M115" s="41"/>
      <c r="N115" s="22"/>
    </row>
    <row r="116" spans="1:14" ht="20.100000000000001" customHeight="1" x14ac:dyDescent="0.25">
      <c r="A116" s="30" t="str">
        <f t="shared" si="12"/>
        <v/>
      </c>
      <c r="B116" s="41"/>
      <c r="C116" s="35" t="str">
        <f>IF(B116="","",IFERROR(VLOOKUP(B116,DB_Customers!$A:$B,2,0),"❌ Account Not Found"))</f>
        <v/>
      </c>
      <c r="D116" s="42" t="str">
        <f t="shared" ca="1" si="13"/>
        <v/>
      </c>
      <c r="E116" s="32"/>
      <c r="F116" s="31"/>
      <c r="G116" s="41"/>
      <c r="H116" s="56">
        <v>2.5</v>
      </c>
      <c r="I116" s="43" t="str">
        <f t="shared" si="14"/>
        <v/>
      </c>
      <c r="J116" s="43" t="str">
        <f t="shared" si="15"/>
        <v/>
      </c>
      <c r="K116" s="33" t="str">
        <f>IF(B116="","Pending",IF(M116="","⚠️ Enter Code",IF(IFERROR(VLOOKUP(L116,DB_Agents!$B:$F,4,0),"")=TEXT(M116,"0"),"Pending Approval","🔒 WRONG CODE")))</f>
        <v>Pending</v>
      </c>
      <c r="L116" s="30" t="s">
        <v>55</v>
      </c>
      <c r="M116" s="41"/>
      <c r="N116" s="57"/>
    </row>
    <row r="117" spans="1:14" ht="20.100000000000001" customHeight="1" x14ac:dyDescent="0.25">
      <c r="A117" s="30" t="str">
        <f t="shared" si="12"/>
        <v/>
      </c>
      <c r="B117" s="41"/>
      <c r="C117" s="35" t="str">
        <f>IF(B117="","",IFERROR(VLOOKUP(B117,DB_Customers!$A:$B,2,0),"❌ Account Not Found"))</f>
        <v/>
      </c>
      <c r="D117" s="42" t="str">
        <f t="shared" ca="1" si="13"/>
        <v/>
      </c>
      <c r="E117" s="32"/>
      <c r="F117" s="31"/>
      <c r="G117" s="41"/>
      <c r="H117" s="56">
        <v>2.5</v>
      </c>
      <c r="I117" s="43" t="str">
        <f t="shared" si="14"/>
        <v/>
      </c>
      <c r="J117" s="43" t="str">
        <f t="shared" si="15"/>
        <v/>
      </c>
      <c r="K117" s="33" t="str">
        <f>IF(B117="","Pending",IF(M117="","⚠️ Enter Code",IF(IFERROR(VLOOKUP(L117,DB_Agents!$B:$F,4,0),"")=TEXT(M117,"0"),"Pending Approval","🔒 WRONG CODE")))</f>
        <v>Pending</v>
      </c>
      <c r="L117" s="30" t="s">
        <v>55</v>
      </c>
      <c r="M117" s="41"/>
      <c r="N117" s="22"/>
    </row>
    <row r="118" spans="1:14" ht="20.100000000000001" customHeight="1" x14ac:dyDescent="0.25">
      <c r="A118" s="30" t="str">
        <f t="shared" si="12"/>
        <v/>
      </c>
      <c r="B118" s="41"/>
      <c r="C118" s="35" t="str">
        <f>IF(B118="","",IFERROR(VLOOKUP(B118,DB_Customers!$A:$B,2,0),"❌ Account Not Found"))</f>
        <v/>
      </c>
      <c r="D118" s="42" t="str">
        <f t="shared" ca="1" si="13"/>
        <v/>
      </c>
      <c r="E118" s="32"/>
      <c r="F118" s="31"/>
      <c r="G118" s="41"/>
      <c r="H118" s="56">
        <v>2.5</v>
      </c>
      <c r="I118" s="43" t="str">
        <f t="shared" si="14"/>
        <v/>
      </c>
      <c r="J118" s="43" t="str">
        <f t="shared" si="15"/>
        <v/>
      </c>
      <c r="K118" s="33" t="str">
        <f>IF(B118="","Pending",IF(M118="","⚠️ Enter Code",IF(IFERROR(VLOOKUP(L118,DB_Agents!$B:$F,4,0),"")=TEXT(M118,"0"),"Pending Approval","🔒 WRONG CODE")))</f>
        <v>Pending</v>
      </c>
      <c r="L118" s="30" t="s">
        <v>55</v>
      </c>
      <c r="M118" s="41"/>
      <c r="N118" s="57"/>
    </row>
    <row r="119" spans="1:14" ht="20.100000000000001" customHeight="1" x14ac:dyDescent="0.25">
      <c r="A119" s="30" t="str">
        <f t="shared" si="12"/>
        <v/>
      </c>
      <c r="B119" s="41"/>
      <c r="C119" s="35" t="str">
        <f>IF(B119="","",IFERROR(VLOOKUP(B119,DB_Customers!$A:$B,2,0),"❌ Account Not Found"))</f>
        <v/>
      </c>
      <c r="D119" s="42" t="str">
        <f t="shared" ca="1" si="13"/>
        <v/>
      </c>
      <c r="E119" s="32"/>
      <c r="F119" s="31"/>
      <c r="G119" s="41"/>
      <c r="H119" s="56">
        <v>2.5</v>
      </c>
      <c r="I119" s="43" t="str">
        <f t="shared" si="14"/>
        <v/>
      </c>
      <c r="J119" s="43" t="str">
        <f t="shared" si="15"/>
        <v/>
      </c>
      <c r="K119" s="33" t="str">
        <f>IF(B119="","Pending",IF(M119="","⚠️ Enter Code",IF(IFERROR(VLOOKUP(L119,DB_Agents!$B:$F,4,0),"")=TEXT(M119,"0"),"Pending Approval","🔒 WRONG CODE")))</f>
        <v>Pending</v>
      </c>
      <c r="L119" s="30" t="s">
        <v>55</v>
      </c>
      <c r="M119" s="41"/>
      <c r="N119" s="22"/>
    </row>
    <row r="120" spans="1:14" ht="20.100000000000001" customHeight="1" x14ac:dyDescent="0.25">
      <c r="A120" s="30" t="str">
        <f t="shared" si="12"/>
        <v/>
      </c>
      <c r="B120" s="41"/>
      <c r="C120" s="35" t="str">
        <f>IF(B120="","",IFERROR(VLOOKUP(B120,DB_Customers!$A:$B,2,0),"❌ Account Not Found"))</f>
        <v/>
      </c>
      <c r="D120" s="42" t="str">
        <f t="shared" ca="1" si="13"/>
        <v/>
      </c>
      <c r="E120" s="32"/>
      <c r="F120" s="31"/>
      <c r="G120" s="41"/>
      <c r="H120" s="56">
        <v>2.5</v>
      </c>
      <c r="I120" s="43" t="str">
        <f t="shared" si="14"/>
        <v/>
      </c>
      <c r="J120" s="43" t="str">
        <f t="shared" si="15"/>
        <v/>
      </c>
      <c r="K120" s="33" t="str">
        <f>IF(B120="","Pending",IF(M120="","⚠️ Enter Code",IF(IFERROR(VLOOKUP(L120,DB_Agents!$B:$F,4,0),"")=TEXT(M120,"0"),"Pending Approval","🔒 WRONG CODE")))</f>
        <v>Pending</v>
      </c>
      <c r="L120" s="30" t="s">
        <v>55</v>
      </c>
      <c r="M120" s="41"/>
      <c r="N120" s="57"/>
    </row>
    <row r="121" spans="1:14" ht="20.100000000000001" customHeight="1" x14ac:dyDescent="0.25">
      <c r="A121" s="30" t="str">
        <f t="shared" si="12"/>
        <v/>
      </c>
      <c r="B121" s="41"/>
      <c r="C121" s="35" t="str">
        <f>IF(B121="","",IFERROR(VLOOKUP(B121,DB_Customers!$A:$B,2,0),"❌ Account Not Found"))</f>
        <v/>
      </c>
      <c r="D121" s="42" t="str">
        <f t="shared" ca="1" si="13"/>
        <v/>
      </c>
      <c r="E121" s="32"/>
      <c r="F121" s="31"/>
      <c r="G121" s="41"/>
      <c r="H121" s="56">
        <v>2.5</v>
      </c>
      <c r="I121" s="43" t="str">
        <f t="shared" si="14"/>
        <v/>
      </c>
      <c r="J121" s="43" t="str">
        <f t="shared" si="15"/>
        <v/>
      </c>
      <c r="K121" s="33" t="str">
        <f>IF(B121="","Pending",IF(M121="","⚠️ Enter Code",IF(IFERROR(VLOOKUP(L121,DB_Agents!$B:$F,4,0),"")=TEXT(M121,"0"),"Pending Approval","🔒 WRONG CODE")))</f>
        <v>Pending</v>
      </c>
      <c r="L121" s="30" t="s">
        <v>55</v>
      </c>
      <c r="M121" s="41"/>
      <c r="N121" s="22"/>
    </row>
    <row r="122" spans="1:14" ht="20.100000000000001" customHeight="1" x14ac:dyDescent="0.25">
      <c r="A122" s="30" t="str">
        <f t="shared" si="12"/>
        <v/>
      </c>
      <c r="B122" s="41"/>
      <c r="C122" s="35" t="str">
        <f>IF(B122="","",IFERROR(VLOOKUP(B122,DB_Customers!$A:$B,2,0),"❌ Account Not Found"))</f>
        <v/>
      </c>
      <c r="D122" s="42" t="str">
        <f t="shared" ca="1" si="13"/>
        <v/>
      </c>
      <c r="E122" s="32"/>
      <c r="F122" s="31"/>
      <c r="G122" s="41"/>
      <c r="H122" s="56">
        <v>2.5</v>
      </c>
      <c r="I122" s="43" t="str">
        <f t="shared" si="14"/>
        <v/>
      </c>
      <c r="J122" s="43" t="str">
        <f t="shared" si="15"/>
        <v/>
      </c>
      <c r="K122" s="33" t="str">
        <f>IF(B122="","Pending",IF(M122="","⚠️ Enter Code",IF(IFERROR(VLOOKUP(L122,DB_Agents!$B:$F,4,0),"")=TEXT(M122,"0"),"Pending Approval","🔒 WRONG CODE")))</f>
        <v>Pending</v>
      </c>
      <c r="L122" s="30" t="s">
        <v>55</v>
      </c>
      <c r="M122" s="41"/>
      <c r="N122" s="57"/>
    </row>
    <row r="123" spans="1:14" ht="20.100000000000001" customHeight="1" x14ac:dyDescent="0.25">
      <c r="A123" s="30" t="str">
        <f t="shared" si="12"/>
        <v/>
      </c>
      <c r="B123" s="41"/>
      <c r="C123" s="35" t="str">
        <f>IF(B123="","",IFERROR(VLOOKUP(B123,DB_Customers!$A:$B,2,0),"❌ Account Not Found"))</f>
        <v/>
      </c>
      <c r="D123" s="42" t="str">
        <f t="shared" ca="1" si="13"/>
        <v/>
      </c>
      <c r="E123" s="32"/>
      <c r="F123" s="31"/>
      <c r="G123" s="41"/>
      <c r="H123" s="56">
        <v>2.5</v>
      </c>
      <c r="I123" s="43" t="str">
        <f t="shared" si="14"/>
        <v/>
      </c>
      <c r="J123" s="43" t="str">
        <f t="shared" si="15"/>
        <v/>
      </c>
      <c r="K123" s="33" t="str">
        <f>IF(B123="","Pending",IF(M123="","⚠️ Enter Code",IF(IFERROR(VLOOKUP(L123,DB_Agents!$B:$F,4,0),"")=TEXT(M123,"0"),"Pending Approval","🔒 WRONG CODE")))</f>
        <v>Pending</v>
      </c>
      <c r="L123" s="30" t="s">
        <v>55</v>
      </c>
      <c r="M123" s="41"/>
      <c r="N123" s="22"/>
    </row>
    <row r="124" spans="1:14" ht="20.100000000000001" customHeight="1" x14ac:dyDescent="0.25">
      <c r="A124" s="30" t="str">
        <f t="shared" si="12"/>
        <v/>
      </c>
      <c r="B124" s="41"/>
      <c r="C124" s="35" t="str">
        <f>IF(B124="","",IFERROR(VLOOKUP(B124,DB_Customers!$A:$B,2,0),"❌ Account Not Found"))</f>
        <v/>
      </c>
      <c r="D124" s="42" t="str">
        <f t="shared" ca="1" si="13"/>
        <v/>
      </c>
      <c r="E124" s="32"/>
      <c r="F124" s="31"/>
      <c r="G124" s="41"/>
      <c r="H124" s="56">
        <v>2.5</v>
      </c>
      <c r="I124" s="43" t="str">
        <f t="shared" si="14"/>
        <v/>
      </c>
      <c r="J124" s="43" t="str">
        <f t="shared" si="15"/>
        <v/>
      </c>
      <c r="K124" s="33" t="str">
        <f>IF(B124="","Pending",IF(M124="","⚠️ Enter Code",IF(IFERROR(VLOOKUP(L124,DB_Agents!$B:$F,4,0),"")=TEXT(M124,"0"),"Pending Approval","🔒 WRONG CODE")))</f>
        <v>Pending</v>
      </c>
      <c r="L124" s="30" t="s">
        <v>55</v>
      </c>
      <c r="M124" s="41"/>
      <c r="N124" s="57"/>
    </row>
    <row r="125" spans="1:14" ht="20.100000000000001" customHeight="1" x14ac:dyDescent="0.25">
      <c r="A125" s="30" t="str">
        <f t="shared" si="12"/>
        <v/>
      </c>
      <c r="B125" s="41"/>
      <c r="C125" s="35" t="str">
        <f>IF(B125="","",IFERROR(VLOOKUP(B125,DB_Customers!$A:$B,2,0),"❌ Account Not Found"))</f>
        <v/>
      </c>
      <c r="D125" s="42" t="str">
        <f t="shared" ca="1" si="13"/>
        <v/>
      </c>
      <c r="E125" s="32"/>
      <c r="F125" s="31"/>
      <c r="G125" s="41"/>
      <c r="H125" s="56">
        <v>2.5</v>
      </c>
      <c r="I125" s="43" t="str">
        <f t="shared" si="14"/>
        <v/>
      </c>
      <c r="J125" s="43" t="str">
        <f t="shared" si="15"/>
        <v/>
      </c>
      <c r="K125" s="33" t="str">
        <f>IF(B125="","Pending",IF(M125="","⚠️ Enter Code",IF(IFERROR(VLOOKUP(L125,DB_Agents!$B:$F,4,0),"")=TEXT(M125,"0"),"Pending Approval","🔒 WRONG CODE")))</f>
        <v>Pending</v>
      </c>
      <c r="L125" s="30" t="s">
        <v>55</v>
      </c>
      <c r="M125" s="41"/>
      <c r="N125" s="22"/>
    </row>
    <row r="126" spans="1:14" ht="20.100000000000001" customHeight="1" x14ac:dyDescent="0.25">
      <c r="A126" s="30" t="str">
        <f t="shared" si="12"/>
        <v/>
      </c>
      <c r="B126" s="41"/>
      <c r="C126" s="35" t="str">
        <f>IF(B126="","",IFERROR(VLOOKUP(B126,DB_Customers!$A:$B,2,0),"❌ Account Not Found"))</f>
        <v/>
      </c>
      <c r="D126" s="42" t="str">
        <f t="shared" ca="1" si="13"/>
        <v/>
      </c>
      <c r="E126" s="32"/>
      <c r="F126" s="31"/>
      <c r="G126" s="41"/>
      <c r="H126" s="56">
        <v>2.5</v>
      </c>
      <c r="I126" s="43" t="str">
        <f t="shared" si="14"/>
        <v/>
      </c>
      <c r="J126" s="43" t="str">
        <f t="shared" si="15"/>
        <v/>
      </c>
      <c r="K126" s="33" t="str">
        <f>IF(B126="","Pending",IF(M126="","⚠️ Enter Code",IF(IFERROR(VLOOKUP(L126,DB_Agents!$B:$F,4,0),"")=TEXT(M126,"0"),"Pending Approval","🔒 WRONG CODE")))</f>
        <v>Pending</v>
      </c>
      <c r="L126" s="30" t="s">
        <v>55</v>
      </c>
      <c r="M126" s="41"/>
      <c r="N126" s="57"/>
    </row>
    <row r="127" spans="1:14" ht="20.100000000000001" customHeight="1" x14ac:dyDescent="0.25">
      <c r="A127" s="30" t="str">
        <f t="shared" si="12"/>
        <v/>
      </c>
      <c r="B127" s="41"/>
      <c r="C127" s="35" t="str">
        <f>IF(B127="","",IFERROR(VLOOKUP(B127,DB_Customers!$A:$B,2,0),"❌ Account Not Found"))</f>
        <v/>
      </c>
      <c r="D127" s="42" t="str">
        <f t="shared" ca="1" si="13"/>
        <v/>
      </c>
      <c r="E127" s="32"/>
      <c r="F127" s="31"/>
      <c r="G127" s="41"/>
      <c r="H127" s="56">
        <v>2.5</v>
      </c>
      <c r="I127" s="43" t="str">
        <f t="shared" si="14"/>
        <v/>
      </c>
      <c r="J127" s="43" t="str">
        <f t="shared" si="15"/>
        <v/>
      </c>
      <c r="K127" s="33" t="str">
        <f>IF(B127="","Pending",IF(M127="","⚠️ Enter Code",IF(IFERROR(VLOOKUP(L127,DB_Agents!$B:$F,4,0),"")=TEXT(M127,"0"),"Pending Approval","🔒 WRONG CODE")))</f>
        <v>Pending</v>
      </c>
      <c r="L127" s="30" t="s">
        <v>55</v>
      </c>
      <c r="M127" s="41"/>
      <c r="N127" s="22"/>
    </row>
    <row r="128" spans="1:14" ht="20.100000000000001" customHeight="1" x14ac:dyDescent="0.25">
      <c r="A128" s="30" t="str">
        <f t="shared" si="12"/>
        <v/>
      </c>
      <c r="B128" s="41"/>
      <c r="C128" s="35" t="str">
        <f>IF(B128="","",IFERROR(VLOOKUP(B128,DB_Customers!$A:$B,2,0),"❌ Account Not Found"))</f>
        <v/>
      </c>
      <c r="D128" s="42" t="str">
        <f t="shared" ca="1" si="13"/>
        <v/>
      </c>
      <c r="E128" s="32"/>
      <c r="F128" s="31"/>
      <c r="G128" s="41"/>
      <c r="H128" s="56">
        <v>2.5</v>
      </c>
      <c r="I128" s="43" t="str">
        <f t="shared" si="14"/>
        <v/>
      </c>
      <c r="J128" s="43" t="str">
        <f t="shared" si="15"/>
        <v/>
      </c>
      <c r="K128" s="33" t="str">
        <f>IF(B128="","Pending",IF(M128="","⚠️ Enter Code",IF(IFERROR(VLOOKUP(L128,DB_Agents!$B:$F,4,0),"")=TEXT(M128,"0"),"Pending Approval","🔒 WRONG CODE")))</f>
        <v>Pending</v>
      </c>
      <c r="L128" s="30" t="s">
        <v>55</v>
      </c>
      <c r="M128" s="41"/>
      <c r="N128" s="57"/>
    </row>
    <row r="129" spans="1:14" ht="20.100000000000001" customHeight="1" x14ac:dyDescent="0.25">
      <c r="A129" s="30" t="str">
        <f t="shared" si="12"/>
        <v/>
      </c>
      <c r="B129" s="41"/>
      <c r="C129" s="35" t="str">
        <f>IF(B129="","",IFERROR(VLOOKUP(B129,DB_Customers!$A:$B,2,0),"❌ Account Not Found"))</f>
        <v/>
      </c>
      <c r="D129" s="42" t="str">
        <f t="shared" ca="1" si="13"/>
        <v/>
      </c>
      <c r="E129" s="32"/>
      <c r="F129" s="31"/>
      <c r="G129" s="41"/>
      <c r="H129" s="56">
        <v>2.5</v>
      </c>
      <c r="I129" s="43" t="str">
        <f t="shared" si="14"/>
        <v/>
      </c>
      <c r="J129" s="43" t="str">
        <f t="shared" si="15"/>
        <v/>
      </c>
      <c r="K129" s="33" t="str">
        <f>IF(B129="","Pending",IF(M129="","⚠️ Enter Code",IF(IFERROR(VLOOKUP(L129,DB_Agents!$B:$F,4,0),"")=TEXT(M129,"0"),"Pending Approval","🔒 WRONG CODE")))</f>
        <v>Pending</v>
      </c>
      <c r="L129" s="30" t="s">
        <v>55</v>
      </c>
      <c r="M129" s="41"/>
      <c r="N129" s="22"/>
    </row>
    <row r="130" spans="1:14" ht="20.100000000000001" customHeight="1" x14ac:dyDescent="0.25">
      <c r="A130" s="30" t="str">
        <f t="shared" si="12"/>
        <v/>
      </c>
      <c r="B130" s="41"/>
      <c r="C130" s="35" t="str">
        <f>IF(B130="","",IFERROR(VLOOKUP(B130,DB_Customers!$A:$B,2,0),"❌ Account Not Found"))</f>
        <v/>
      </c>
      <c r="D130" s="42" t="str">
        <f t="shared" ca="1" si="13"/>
        <v/>
      </c>
      <c r="E130" s="32"/>
      <c r="F130" s="31"/>
      <c r="G130" s="41"/>
      <c r="H130" s="56">
        <v>2.5</v>
      </c>
      <c r="I130" s="43" t="str">
        <f t="shared" si="14"/>
        <v/>
      </c>
      <c r="J130" s="43" t="str">
        <f t="shared" si="15"/>
        <v/>
      </c>
      <c r="K130" s="33" t="str">
        <f>IF(B130="","Pending",IF(M130="","⚠️ Enter Code",IF(IFERROR(VLOOKUP(L130,DB_Agents!$B:$F,4,0),"")=TEXT(M130,"0"),"Pending Approval","🔒 WRONG CODE")))</f>
        <v>Pending</v>
      </c>
      <c r="L130" s="30" t="s">
        <v>55</v>
      </c>
      <c r="M130" s="41"/>
      <c r="N130" s="57"/>
    </row>
    <row r="131" spans="1:14" ht="20.100000000000001" customHeight="1" x14ac:dyDescent="0.25">
      <c r="A131" s="30" t="str">
        <f t="shared" si="12"/>
        <v/>
      </c>
      <c r="B131" s="41"/>
      <c r="C131" s="35" t="str">
        <f>IF(B131="","",IFERROR(VLOOKUP(B131,DB_Customers!$A:$B,2,0),"❌ Account Not Found"))</f>
        <v/>
      </c>
      <c r="D131" s="42" t="str">
        <f t="shared" ca="1" si="13"/>
        <v/>
      </c>
      <c r="E131" s="32"/>
      <c r="F131" s="31"/>
      <c r="G131" s="41"/>
      <c r="H131" s="56">
        <v>2.5</v>
      </c>
      <c r="I131" s="43" t="str">
        <f t="shared" si="14"/>
        <v/>
      </c>
      <c r="J131" s="43" t="str">
        <f t="shared" si="15"/>
        <v/>
      </c>
      <c r="K131" s="33" t="str">
        <f>IF(B131="","Pending",IF(M131="","⚠️ Enter Code",IF(IFERROR(VLOOKUP(L131,DB_Agents!$B:$F,4,0),"")=TEXT(M131,"0"),"Pending Approval","🔒 WRONG CODE")))</f>
        <v>Pending</v>
      </c>
      <c r="L131" s="30" t="s">
        <v>55</v>
      </c>
      <c r="M131" s="41"/>
      <c r="N131" s="22"/>
    </row>
    <row r="132" spans="1:14" ht="20.100000000000001" customHeight="1" x14ac:dyDescent="0.25">
      <c r="A132" s="30" t="str">
        <f t="shared" si="12"/>
        <v/>
      </c>
      <c r="B132" s="41"/>
      <c r="C132" s="35" t="str">
        <f>IF(B132="","",IFERROR(VLOOKUP(B132,DB_Customers!$A:$B,2,0),"❌ Account Not Found"))</f>
        <v/>
      </c>
      <c r="D132" s="42" t="str">
        <f t="shared" ca="1" si="13"/>
        <v/>
      </c>
      <c r="E132" s="32"/>
      <c r="F132" s="31"/>
      <c r="G132" s="41"/>
      <c r="H132" s="56">
        <v>2.5</v>
      </c>
      <c r="I132" s="43" t="str">
        <f t="shared" si="14"/>
        <v/>
      </c>
      <c r="J132" s="43" t="str">
        <f t="shared" si="15"/>
        <v/>
      </c>
      <c r="K132" s="33" t="str">
        <f>IF(B132="","Pending",IF(M132="","⚠️ Enter Code",IF(IFERROR(VLOOKUP(L132,DB_Agents!$B:$F,4,0),"")=TEXT(M132,"0"),"Pending Approval","🔒 WRONG CODE")))</f>
        <v>Pending</v>
      </c>
      <c r="L132" s="30" t="s">
        <v>55</v>
      </c>
      <c r="M132" s="41"/>
      <c r="N132" s="57"/>
    </row>
    <row r="133" spans="1:14" ht="20.100000000000001" customHeight="1" x14ac:dyDescent="0.25">
      <c r="A133" s="30" t="str">
        <f t="shared" si="12"/>
        <v/>
      </c>
      <c r="B133" s="41"/>
      <c r="C133" s="35" t="str">
        <f>IF(B133="","",IFERROR(VLOOKUP(B133,DB_Customers!$A:$B,2,0),"❌ Account Not Found"))</f>
        <v/>
      </c>
      <c r="D133" s="42" t="str">
        <f t="shared" ca="1" si="13"/>
        <v/>
      </c>
      <c r="E133" s="32"/>
      <c r="F133" s="31"/>
      <c r="G133" s="41"/>
      <c r="H133" s="56">
        <v>2.5</v>
      </c>
      <c r="I133" s="43" t="str">
        <f t="shared" si="14"/>
        <v/>
      </c>
      <c r="J133" s="43" t="str">
        <f t="shared" si="15"/>
        <v/>
      </c>
      <c r="K133" s="33" t="str">
        <f>IF(B133="","Pending",IF(M133="","⚠️ Enter Code",IF(IFERROR(VLOOKUP(L133,DB_Agents!$B:$F,4,0),"")=TEXT(M133,"0"),"Pending Approval","🔒 WRONG CODE")))</f>
        <v>Pending</v>
      </c>
      <c r="L133" s="30" t="s">
        <v>55</v>
      </c>
      <c r="M133" s="41"/>
      <c r="N133" s="22"/>
    </row>
    <row r="134" spans="1:14" ht="20.100000000000001" customHeight="1" x14ac:dyDescent="0.25">
      <c r="A134" s="30" t="str">
        <f t="shared" si="12"/>
        <v/>
      </c>
      <c r="B134" s="41"/>
      <c r="C134" s="35" t="str">
        <f>IF(B134="","",IFERROR(VLOOKUP(B134,DB_Customers!$A:$B,2,0),"❌ Account Not Found"))</f>
        <v/>
      </c>
      <c r="D134" s="42" t="str">
        <f t="shared" ca="1" si="13"/>
        <v/>
      </c>
      <c r="E134" s="32"/>
      <c r="F134" s="31"/>
      <c r="G134" s="41"/>
      <c r="H134" s="56">
        <v>2.5</v>
      </c>
      <c r="I134" s="43" t="str">
        <f t="shared" si="14"/>
        <v/>
      </c>
      <c r="J134" s="43" t="str">
        <f t="shared" si="15"/>
        <v/>
      </c>
      <c r="K134" s="33" t="str">
        <f>IF(B134="","Pending",IF(M134="","⚠️ Enter Code",IF(IFERROR(VLOOKUP(L134,DB_Agents!$B:$F,4,0),"")=TEXT(M134,"0"),"Pending Approval","🔒 WRONG CODE")))</f>
        <v>Pending</v>
      </c>
      <c r="L134" s="30" t="s">
        <v>55</v>
      </c>
      <c r="M134" s="41"/>
      <c r="N134" s="57"/>
    </row>
    <row r="135" spans="1:14" ht="20.100000000000001" customHeight="1" x14ac:dyDescent="0.25">
      <c r="A135" s="30" t="str">
        <f t="shared" si="12"/>
        <v/>
      </c>
      <c r="B135" s="41"/>
      <c r="C135" s="35" t="str">
        <f>IF(B135="","",IFERROR(VLOOKUP(B135,DB_Customers!$A:$B,2,0),"❌ Account Not Found"))</f>
        <v/>
      </c>
      <c r="D135" s="42" t="str">
        <f t="shared" ca="1" si="13"/>
        <v/>
      </c>
      <c r="E135" s="32"/>
      <c r="F135" s="31"/>
      <c r="G135" s="41"/>
      <c r="H135" s="56">
        <v>2.5</v>
      </c>
      <c r="I135" s="43" t="str">
        <f t="shared" si="14"/>
        <v/>
      </c>
      <c r="J135" s="43" t="str">
        <f t="shared" si="15"/>
        <v/>
      </c>
      <c r="K135" s="33" t="str">
        <f>IF(B135="","Pending",IF(M135="","⚠️ Enter Code",IF(IFERROR(VLOOKUP(L135,DB_Agents!$B:$F,4,0),"")=TEXT(M135,"0"),"Pending Approval","🔒 WRONG CODE")))</f>
        <v>Pending</v>
      </c>
      <c r="L135" s="30" t="s">
        <v>55</v>
      </c>
      <c r="M135" s="41"/>
      <c r="N135" s="22"/>
    </row>
    <row r="136" spans="1:14" ht="20.100000000000001" customHeight="1" x14ac:dyDescent="0.25">
      <c r="A136" s="30" t="str">
        <f t="shared" si="12"/>
        <v/>
      </c>
      <c r="B136" s="41"/>
      <c r="C136" s="35" t="str">
        <f>IF(B136="","",IFERROR(VLOOKUP(B136,DB_Customers!$A:$B,2,0),"❌ Account Not Found"))</f>
        <v/>
      </c>
      <c r="D136" s="42" t="str">
        <f t="shared" ca="1" si="13"/>
        <v/>
      </c>
      <c r="E136" s="32"/>
      <c r="F136" s="31"/>
      <c r="G136" s="41"/>
      <c r="H136" s="56">
        <v>2.5</v>
      </c>
      <c r="I136" s="43" t="str">
        <f t="shared" si="14"/>
        <v/>
      </c>
      <c r="J136" s="43" t="str">
        <f t="shared" si="15"/>
        <v/>
      </c>
      <c r="K136" s="33" t="str">
        <f>IF(B136="","Pending",IF(M136="","⚠️ Enter Code",IF(IFERROR(VLOOKUP(L136,DB_Agents!$B:$F,4,0),"")=TEXT(M136,"0"),"Pending Approval","🔒 WRONG CODE")))</f>
        <v>Pending</v>
      </c>
      <c r="L136" s="30" t="s">
        <v>55</v>
      </c>
      <c r="M136" s="41"/>
      <c r="N136" s="57"/>
    </row>
    <row r="137" spans="1:14" ht="20.100000000000001" customHeight="1" x14ac:dyDescent="0.25">
      <c r="A137" s="30" t="str">
        <f t="shared" si="12"/>
        <v/>
      </c>
      <c r="B137" s="41"/>
      <c r="C137" s="35" t="str">
        <f>IF(B137="","",IFERROR(VLOOKUP(B137,DB_Customers!$A:$B,2,0),"❌ Account Not Found"))</f>
        <v/>
      </c>
      <c r="D137" s="42" t="str">
        <f t="shared" ca="1" si="13"/>
        <v/>
      </c>
      <c r="E137" s="32"/>
      <c r="F137" s="31"/>
      <c r="G137" s="41"/>
      <c r="H137" s="56">
        <v>2.5</v>
      </c>
      <c r="I137" s="43" t="str">
        <f t="shared" si="14"/>
        <v/>
      </c>
      <c r="J137" s="43" t="str">
        <f t="shared" si="15"/>
        <v/>
      </c>
      <c r="K137" s="33" t="str">
        <f>IF(B137="","Pending",IF(M137="","⚠️ Enter Code",IF(IFERROR(VLOOKUP(L137,DB_Agents!$B:$F,4,0),"")=TEXT(M137,"0"),"Pending Approval","🔒 WRONG CODE")))</f>
        <v>Pending</v>
      </c>
      <c r="L137" s="30" t="s">
        <v>55</v>
      </c>
      <c r="M137" s="41"/>
      <c r="N137" s="22"/>
    </row>
    <row r="138" spans="1:14" ht="20.100000000000001" customHeight="1" x14ac:dyDescent="0.25">
      <c r="A138" s="30" t="str">
        <f t="shared" si="12"/>
        <v/>
      </c>
      <c r="B138" s="41"/>
      <c r="C138" s="35" t="str">
        <f>IF(B138="","",IFERROR(VLOOKUP(B138,DB_Customers!$A:$B,2,0),"❌ Account Not Found"))</f>
        <v/>
      </c>
      <c r="D138" s="42" t="str">
        <f t="shared" ca="1" si="13"/>
        <v/>
      </c>
      <c r="E138" s="32"/>
      <c r="F138" s="31"/>
      <c r="G138" s="41"/>
      <c r="H138" s="56">
        <v>2.5</v>
      </c>
      <c r="I138" s="43" t="str">
        <f t="shared" si="14"/>
        <v/>
      </c>
      <c r="J138" s="43" t="str">
        <f t="shared" si="15"/>
        <v/>
      </c>
      <c r="K138" s="33" t="str">
        <f>IF(B138="","Pending",IF(M138="","⚠️ Enter Code",IF(IFERROR(VLOOKUP(L138,DB_Agents!$B:$F,4,0),"")=TEXT(M138,"0"),"Pending Approval","🔒 WRONG CODE")))</f>
        <v>Pending</v>
      </c>
      <c r="L138" s="30" t="s">
        <v>55</v>
      </c>
      <c r="M138" s="41"/>
      <c r="N138" s="57"/>
    </row>
    <row r="139" spans="1:14" ht="20.100000000000001" customHeight="1" x14ac:dyDescent="0.25">
      <c r="A139" s="30" t="str">
        <f t="shared" si="12"/>
        <v/>
      </c>
      <c r="B139" s="41"/>
      <c r="C139" s="35" t="str">
        <f>IF(B139="","",IFERROR(VLOOKUP(B139,DB_Customers!$A:$B,2,0),"❌ Account Not Found"))</f>
        <v/>
      </c>
      <c r="D139" s="42" t="str">
        <f t="shared" ca="1" si="13"/>
        <v/>
      </c>
      <c r="E139" s="32"/>
      <c r="F139" s="31"/>
      <c r="G139" s="41"/>
      <c r="H139" s="56">
        <v>2.5</v>
      </c>
      <c r="I139" s="43" t="str">
        <f t="shared" si="14"/>
        <v/>
      </c>
      <c r="J139" s="43" t="str">
        <f t="shared" si="15"/>
        <v/>
      </c>
      <c r="K139" s="33" t="str">
        <f>IF(B139="","Pending",IF(M139="","⚠️ Enter Code",IF(IFERROR(VLOOKUP(L139,DB_Agents!$B:$F,4,0),"")=TEXT(M139,"0"),"Pending Approval","🔒 WRONG CODE")))</f>
        <v>Pending</v>
      </c>
      <c r="L139" s="30" t="s">
        <v>55</v>
      </c>
      <c r="M139" s="41"/>
      <c r="N139" s="22"/>
    </row>
    <row r="140" spans="1:14" ht="20.100000000000001" customHeight="1" x14ac:dyDescent="0.25">
      <c r="A140" s="30" t="str">
        <f t="shared" si="12"/>
        <v/>
      </c>
      <c r="B140" s="41"/>
      <c r="C140" s="35" t="str">
        <f>IF(B140="","",IFERROR(VLOOKUP(B140,DB_Customers!$A:$B,2,0),"❌ Account Not Found"))</f>
        <v/>
      </c>
      <c r="D140" s="42" t="str">
        <f t="shared" ca="1" si="13"/>
        <v/>
      </c>
      <c r="E140" s="32"/>
      <c r="F140" s="31"/>
      <c r="G140" s="41"/>
      <c r="H140" s="56">
        <v>2.5</v>
      </c>
      <c r="I140" s="43" t="str">
        <f t="shared" si="14"/>
        <v/>
      </c>
      <c r="J140" s="43" t="str">
        <f t="shared" si="15"/>
        <v/>
      </c>
      <c r="K140" s="33" t="str">
        <f>IF(B140="","Pending",IF(M140="","⚠️ Enter Code",IF(IFERROR(VLOOKUP(L140,DB_Agents!$B:$F,4,0),"")=TEXT(M140,"0"),"Pending Approval","🔒 WRONG CODE")))</f>
        <v>Pending</v>
      </c>
      <c r="L140" s="30" t="s">
        <v>55</v>
      </c>
      <c r="M140" s="41"/>
      <c r="N140" s="57"/>
    </row>
    <row r="141" spans="1:14" ht="20.100000000000001" customHeight="1" x14ac:dyDescent="0.25">
      <c r="A141" s="30" t="str">
        <f t="shared" si="12"/>
        <v/>
      </c>
      <c r="B141" s="41"/>
      <c r="C141" s="35" t="str">
        <f>IF(B141="","",IFERROR(VLOOKUP(B141,DB_Customers!$A:$B,2,0),"❌ Account Not Found"))</f>
        <v/>
      </c>
      <c r="D141" s="42" t="str">
        <f t="shared" ca="1" si="13"/>
        <v/>
      </c>
      <c r="E141" s="32"/>
      <c r="F141" s="31"/>
      <c r="G141" s="41"/>
      <c r="H141" s="56">
        <v>2.5</v>
      </c>
      <c r="I141" s="43" t="str">
        <f t="shared" si="14"/>
        <v/>
      </c>
      <c r="J141" s="43" t="str">
        <f t="shared" si="15"/>
        <v/>
      </c>
      <c r="K141" s="33" t="str">
        <f>IF(B141="","Pending",IF(M141="","⚠️ Enter Code",IF(IFERROR(VLOOKUP(L141,DB_Agents!$B:$F,4,0),"")=TEXT(M141,"0"),"Pending Approval","🔒 WRONG CODE")))</f>
        <v>Pending</v>
      </c>
      <c r="L141" s="30" t="s">
        <v>55</v>
      </c>
      <c r="M141" s="41"/>
      <c r="N141" s="22"/>
    </row>
    <row r="142" spans="1:14" ht="20.100000000000001" customHeight="1" x14ac:dyDescent="0.25">
      <c r="A142" s="30" t="str">
        <f t="shared" ref="A142:A173" si="16">IF(B142="","",IF(C142="❌ Account Not Found","INVALID","LN"&amp;TEXT(D142,"YYYYMMDD")&amp;TEXT(ROW()-13,"0000")))</f>
        <v/>
      </c>
      <c r="B142" s="41"/>
      <c r="C142" s="35" t="str">
        <f>IF(B142="","",IFERROR(VLOOKUP(B142,DB_Customers!$A:$B,2,0),"❌ Account Not Found"))</f>
        <v/>
      </c>
      <c r="D142" s="42" t="str">
        <f t="shared" ref="D142:D173" ca="1" si="17">IF(B142="","",TODAY())</f>
        <v/>
      </c>
      <c r="E142" s="32"/>
      <c r="F142" s="31"/>
      <c r="G142" s="41"/>
      <c r="H142" s="56">
        <v>2.5</v>
      </c>
      <c r="I142" s="43" t="str">
        <f t="shared" ref="I142:I173" si="18">IF(E142="","",E142+(E142*H142/100*G142))</f>
        <v/>
      </c>
      <c r="J142" s="43" t="str">
        <f t="shared" ref="J142:J173" si="19">IFERROR(I142/G142,"")</f>
        <v/>
      </c>
      <c r="K142" s="33" t="str">
        <f>IF(B142="","Pending",IF(M142="","⚠️ Enter Code",IF(IFERROR(VLOOKUP(L142,DB_Agents!$B:$F,4,0),"")=TEXT(M142,"0"),"Pending Approval","🔒 WRONG CODE")))</f>
        <v>Pending</v>
      </c>
      <c r="L142" s="30" t="s">
        <v>55</v>
      </c>
      <c r="M142" s="41"/>
      <c r="N142" s="57"/>
    </row>
    <row r="143" spans="1:14" ht="20.100000000000001" customHeight="1" x14ac:dyDescent="0.25">
      <c r="A143" s="30" t="str">
        <f t="shared" si="16"/>
        <v/>
      </c>
      <c r="B143" s="41"/>
      <c r="C143" s="35" t="str">
        <f>IF(B143="","",IFERROR(VLOOKUP(B143,DB_Customers!$A:$B,2,0),"❌ Account Not Found"))</f>
        <v/>
      </c>
      <c r="D143" s="42" t="str">
        <f t="shared" ca="1" si="17"/>
        <v/>
      </c>
      <c r="E143" s="32"/>
      <c r="F143" s="31"/>
      <c r="G143" s="41"/>
      <c r="H143" s="56">
        <v>2.5</v>
      </c>
      <c r="I143" s="43" t="str">
        <f t="shared" si="18"/>
        <v/>
      </c>
      <c r="J143" s="43" t="str">
        <f t="shared" si="19"/>
        <v/>
      </c>
      <c r="K143" s="33" t="str">
        <f>IF(B143="","Pending",IF(M143="","⚠️ Enter Code",IF(IFERROR(VLOOKUP(L143,DB_Agents!$B:$F,4,0),"")=TEXT(M143,"0"),"Pending Approval","🔒 WRONG CODE")))</f>
        <v>Pending</v>
      </c>
      <c r="L143" s="30" t="s">
        <v>55</v>
      </c>
      <c r="M143" s="41"/>
      <c r="N143" s="22"/>
    </row>
    <row r="144" spans="1:14" ht="20.100000000000001" customHeight="1" x14ac:dyDescent="0.25">
      <c r="A144" s="30" t="str">
        <f t="shared" si="16"/>
        <v/>
      </c>
      <c r="B144" s="41"/>
      <c r="C144" s="35" t="str">
        <f>IF(B144="","",IFERROR(VLOOKUP(B144,DB_Customers!$A:$B,2,0),"❌ Account Not Found"))</f>
        <v/>
      </c>
      <c r="D144" s="42" t="str">
        <f t="shared" ca="1" si="17"/>
        <v/>
      </c>
      <c r="E144" s="32"/>
      <c r="F144" s="31"/>
      <c r="G144" s="41"/>
      <c r="H144" s="56">
        <v>2.5</v>
      </c>
      <c r="I144" s="43" t="str">
        <f t="shared" si="18"/>
        <v/>
      </c>
      <c r="J144" s="43" t="str">
        <f t="shared" si="19"/>
        <v/>
      </c>
      <c r="K144" s="33" t="str">
        <f>IF(B144="","Pending",IF(M144="","⚠️ Enter Code",IF(IFERROR(VLOOKUP(L144,DB_Agents!$B:$F,4,0),"")=TEXT(M144,"0"),"Pending Approval","🔒 WRONG CODE")))</f>
        <v>Pending</v>
      </c>
      <c r="L144" s="30" t="s">
        <v>55</v>
      </c>
      <c r="M144" s="41"/>
      <c r="N144" s="57"/>
    </row>
    <row r="145" spans="1:14" ht="20.100000000000001" customHeight="1" x14ac:dyDescent="0.25">
      <c r="A145" s="30" t="str">
        <f t="shared" si="16"/>
        <v/>
      </c>
      <c r="B145" s="41"/>
      <c r="C145" s="35" t="str">
        <f>IF(B145="","",IFERROR(VLOOKUP(B145,DB_Customers!$A:$B,2,0),"❌ Account Not Found"))</f>
        <v/>
      </c>
      <c r="D145" s="42" t="str">
        <f t="shared" ca="1" si="17"/>
        <v/>
      </c>
      <c r="E145" s="32"/>
      <c r="F145" s="31"/>
      <c r="G145" s="41"/>
      <c r="H145" s="56">
        <v>2.5</v>
      </c>
      <c r="I145" s="43" t="str">
        <f t="shared" si="18"/>
        <v/>
      </c>
      <c r="J145" s="43" t="str">
        <f t="shared" si="19"/>
        <v/>
      </c>
      <c r="K145" s="33" t="str">
        <f>IF(B145="","Pending",IF(M145="","⚠️ Enter Code",IF(IFERROR(VLOOKUP(L145,DB_Agents!$B:$F,4,0),"")=TEXT(M145,"0"),"Pending Approval","🔒 WRONG CODE")))</f>
        <v>Pending</v>
      </c>
      <c r="L145" s="30" t="s">
        <v>55</v>
      </c>
      <c r="M145" s="41"/>
      <c r="N145" s="22"/>
    </row>
    <row r="146" spans="1:14" ht="20.100000000000001" customHeight="1" x14ac:dyDescent="0.25">
      <c r="A146" s="30" t="str">
        <f t="shared" si="16"/>
        <v/>
      </c>
      <c r="B146" s="41"/>
      <c r="C146" s="35" t="str">
        <f>IF(B146="","",IFERROR(VLOOKUP(B146,DB_Customers!$A:$B,2,0),"❌ Account Not Found"))</f>
        <v/>
      </c>
      <c r="D146" s="42" t="str">
        <f t="shared" ca="1" si="17"/>
        <v/>
      </c>
      <c r="E146" s="32"/>
      <c r="F146" s="31"/>
      <c r="G146" s="41"/>
      <c r="H146" s="56">
        <v>2.5</v>
      </c>
      <c r="I146" s="43" t="str">
        <f t="shared" si="18"/>
        <v/>
      </c>
      <c r="J146" s="43" t="str">
        <f t="shared" si="19"/>
        <v/>
      </c>
      <c r="K146" s="33" t="str">
        <f>IF(B146="","Pending",IF(M146="","⚠️ Enter Code",IF(IFERROR(VLOOKUP(L146,DB_Agents!$B:$F,4,0),"")=TEXT(M146,"0"),"Pending Approval","🔒 WRONG CODE")))</f>
        <v>Pending</v>
      </c>
      <c r="L146" s="30" t="s">
        <v>55</v>
      </c>
      <c r="M146" s="41"/>
      <c r="N146" s="57"/>
    </row>
    <row r="147" spans="1:14" ht="20.100000000000001" customHeight="1" x14ac:dyDescent="0.25">
      <c r="A147" s="30" t="str">
        <f t="shared" si="16"/>
        <v/>
      </c>
      <c r="B147" s="41"/>
      <c r="C147" s="35" t="str">
        <f>IF(B147="","",IFERROR(VLOOKUP(B147,DB_Customers!$A:$B,2,0),"❌ Account Not Found"))</f>
        <v/>
      </c>
      <c r="D147" s="42" t="str">
        <f t="shared" ca="1" si="17"/>
        <v/>
      </c>
      <c r="E147" s="32"/>
      <c r="F147" s="31"/>
      <c r="G147" s="41"/>
      <c r="H147" s="56">
        <v>2.5</v>
      </c>
      <c r="I147" s="43" t="str">
        <f t="shared" si="18"/>
        <v/>
      </c>
      <c r="J147" s="43" t="str">
        <f t="shared" si="19"/>
        <v/>
      </c>
      <c r="K147" s="33" t="str">
        <f>IF(B147="","Pending",IF(M147="","⚠️ Enter Code",IF(IFERROR(VLOOKUP(L147,DB_Agents!$B:$F,4,0),"")=TEXT(M147,"0"),"Pending Approval","🔒 WRONG CODE")))</f>
        <v>Pending</v>
      </c>
      <c r="L147" s="30" t="s">
        <v>55</v>
      </c>
      <c r="M147" s="41"/>
      <c r="N147" s="22"/>
    </row>
    <row r="148" spans="1:14" ht="20.100000000000001" customHeight="1" x14ac:dyDescent="0.25">
      <c r="A148" s="30" t="str">
        <f t="shared" si="16"/>
        <v/>
      </c>
      <c r="B148" s="41"/>
      <c r="C148" s="35" t="str">
        <f>IF(B148="","",IFERROR(VLOOKUP(B148,DB_Customers!$A:$B,2,0),"❌ Account Not Found"))</f>
        <v/>
      </c>
      <c r="D148" s="42" t="str">
        <f t="shared" ca="1" si="17"/>
        <v/>
      </c>
      <c r="E148" s="32"/>
      <c r="F148" s="31"/>
      <c r="G148" s="41"/>
      <c r="H148" s="56">
        <v>2.5</v>
      </c>
      <c r="I148" s="43" t="str">
        <f t="shared" si="18"/>
        <v/>
      </c>
      <c r="J148" s="43" t="str">
        <f t="shared" si="19"/>
        <v/>
      </c>
      <c r="K148" s="33" t="str">
        <f>IF(B148="","Pending",IF(M148="","⚠️ Enter Code",IF(IFERROR(VLOOKUP(L148,DB_Agents!$B:$F,4,0),"")=TEXT(M148,"0"),"Pending Approval","🔒 WRONG CODE")))</f>
        <v>Pending</v>
      </c>
      <c r="L148" s="30" t="s">
        <v>55</v>
      </c>
      <c r="M148" s="41"/>
      <c r="N148" s="57"/>
    </row>
    <row r="149" spans="1:14" ht="20.100000000000001" customHeight="1" x14ac:dyDescent="0.25">
      <c r="A149" s="30" t="str">
        <f t="shared" si="16"/>
        <v/>
      </c>
      <c r="B149" s="41"/>
      <c r="C149" s="35" t="str">
        <f>IF(B149="","",IFERROR(VLOOKUP(B149,DB_Customers!$A:$B,2,0),"❌ Account Not Found"))</f>
        <v/>
      </c>
      <c r="D149" s="42" t="str">
        <f t="shared" ca="1" si="17"/>
        <v/>
      </c>
      <c r="E149" s="32"/>
      <c r="F149" s="31"/>
      <c r="G149" s="41"/>
      <c r="H149" s="56">
        <v>2.5</v>
      </c>
      <c r="I149" s="43" t="str">
        <f t="shared" si="18"/>
        <v/>
      </c>
      <c r="J149" s="43" t="str">
        <f t="shared" si="19"/>
        <v/>
      </c>
      <c r="K149" s="33" t="str">
        <f>IF(B149="","Pending",IF(M149="","⚠️ Enter Code",IF(IFERROR(VLOOKUP(L149,DB_Agents!$B:$F,4,0),"")=TEXT(M149,"0"),"Pending Approval","🔒 WRONG CODE")))</f>
        <v>Pending</v>
      </c>
      <c r="L149" s="30" t="s">
        <v>55</v>
      </c>
      <c r="M149" s="41"/>
      <c r="N149" s="22"/>
    </row>
    <row r="150" spans="1:14" ht="20.100000000000001" customHeight="1" x14ac:dyDescent="0.25">
      <c r="A150" s="30" t="str">
        <f t="shared" si="16"/>
        <v/>
      </c>
      <c r="B150" s="41"/>
      <c r="C150" s="35" t="str">
        <f>IF(B150="","",IFERROR(VLOOKUP(B150,DB_Customers!$A:$B,2,0),"❌ Account Not Found"))</f>
        <v/>
      </c>
      <c r="D150" s="42" t="str">
        <f t="shared" ca="1" si="17"/>
        <v/>
      </c>
      <c r="E150" s="32"/>
      <c r="F150" s="31"/>
      <c r="G150" s="41"/>
      <c r="H150" s="56">
        <v>2.5</v>
      </c>
      <c r="I150" s="43" t="str">
        <f t="shared" si="18"/>
        <v/>
      </c>
      <c r="J150" s="43" t="str">
        <f t="shared" si="19"/>
        <v/>
      </c>
      <c r="K150" s="33" t="str">
        <f>IF(B150="","Pending",IF(M150="","⚠️ Enter Code",IF(IFERROR(VLOOKUP(L150,DB_Agents!$B:$F,4,0),"")=TEXT(M150,"0"),"Pending Approval","🔒 WRONG CODE")))</f>
        <v>Pending</v>
      </c>
      <c r="L150" s="30" t="s">
        <v>55</v>
      </c>
      <c r="M150" s="41"/>
      <c r="N150" s="57"/>
    </row>
    <row r="151" spans="1:14" ht="20.100000000000001" customHeight="1" x14ac:dyDescent="0.25">
      <c r="A151" s="30" t="str">
        <f t="shared" si="16"/>
        <v/>
      </c>
      <c r="B151" s="41"/>
      <c r="C151" s="35" t="str">
        <f>IF(B151="","",IFERROR(VLOOKUP(B151,DB_Customers!$A:$B,2,0),"❌ Account Not Found"))</f>
        <v/>
      </c>
      <c r="D151" s="42" t="str">
        <f t="shared" ca="1" si="17"/>
        <v/>
      </c>
      <c r="E151" s="32"/>
      <c r="F151" s="31"/>
      <c r="G151" s="41"/>
      <c r="H151" s="56">
        <v>2.5</v>
      </c>
      <c r="I151" s="43" t="str">
        <f t="shared" si="18"/>
        <v/>
      </c>
      <c r="J151" s="43" t="str">
        <f t="shared" si="19"/>
        <v/>
      </c>
      <c r="K151" s="33" t="str">
        <f>IF(B151="","Pending",IF(M151="","⚠️ Enter Code",IF(IFERROR(VLOOKUP(L151,DB_Agents!$B:$F,4,0),"")=TEXT(M151,"0"),"Pending Approval","🔒 WRONG CODE")))</f>
        <v>Pending</v>
      </c>
      <c r="L151" s="30" t="s">
        <v>55</v>
      </c>
      <c r="M151" s="41"/>
      <c r="N151" s="22"/>
    </row>
    <row r="152" spans="1:14" ht="20.100000000000001" customHeight="1" x14ac:dyDescent="0.25">
      <c r="A152" s="30" t="str">
        <f t="shared" si="16"/>
        <v/>
      </c>
      <c r="B152" s="41"/>
      <c r="C152" s="35" t="str">
        <f>IF(B152="","",IFERROR(VLOOKUP(B152,DB_Customers!$A:$B,2,0),"❌ Account Not Found"))</f>
        <v/>
      </c>
      <c r="D152" s="42" t="str">
        <f t="shared" ca="1" si="17"/>
        <v/>
      </c>
      <c r="E152" s="32"/>
      <c r="F152" s="31"/>
      <c r="G152" s="41"/>
      <c r="H152" s="56">
        <v>2.5</v>
      </c>
      <c r="I152" s="43" t="str">
        <f t="shared" si="18"/>
        <v/>
      </c>
      <c r="J152" s="43" t="str">
        <f t="shared" si="19"/>
        <v/>
      </c>
      <c r="K152" s="33" t="str">
        <f>IF(B152="","Pending",IF(M152="","⚠️ Enter Code",IF(IFERROR(VLOOKUP(L152,DB_Agents!$B:$F,4,0),"")=TEXT(M152,"0"),"Pending Approval","🔒 WRONG CODE")))</f>
        <v>Pending</v>
      </c>
      <c r="L152" s="30" t="s">
        <v>55</v>
      </c>
      <c r="M152" s="41"/>
      <c r="N152" s="57"/>
    </row>
    <row r="153" spans="1:14" ht="20.100000000000001" customHeight="1" x14ac:dyDescent="0.25">
      <c r="A153" s="30" t="str">
        <f t="shared" si="16"/>
        <v/>
      </c>
      <c r="B153" s="41"/>
      <c r="C153" s="35" t="str">
        <f>IF(B153="","",IFERROR(VLOOKUP(B153,DB_Customers!$A:$B,2,0),"❌ Account Not Found"))</f>
        <v/>
      </c>
      <c r="D153" s="42" t="str">
        <f t="shared" ca="1" si="17"/>
        <v/>
      </c>
      <c r="E153" s="32"/>
      <c r="F153" s="31"/>
      <c r="G153" s="41"/>
      <c r="H153" s="56">
        <v>2.5</v>
      </c>
      <c r="I153" s="43" t="str">
        <f t="shared" si="18"/>
        <v/>
      </c>
      <c r="J153" s="43" t="str">
        <f t="shared" si="19"/>
        <v/>
      </c>
      <c r="K153" s="33" t="str">
        <f>IF(B153="","Pending",IF(M153="","⚠️ Enter Code",IF(IFERROR(VLOOKUP(L153,DB_Agents!$B:$F,4,0),"")=TEXT(M153,"0"),"Pending Approval","🔒 WRONG CODE")))</f>
        <v>Pending</v>
      </c>
      <c r="L153" s="30" t="s">
        <v>55</v>
      </c>
      <c r="M153" s="41"/>
      <c r="N153" s="22"/>
    </row>
    <row r="154" spans="1:14" ht="20.100000000000001" customHeight="1" x14ac:dyDescent="0.25">
      <c r="A154" s="30" t="str">
        <f t="shared" si="16"/>
        <v/>
      </c>
      <c r="B154" s="41"/>
      <c r="C154" s="35" t="str">
        <f>IF(B154="","",IFERROR(VLOOKUP(B154,DB_Customers!$A:$B,2,0),"❌ Account Not Found"))</f>
        <v/>
      </c>
      <c r="D154" s="42" t="str">
        <f t="shared" ca="1" si="17"/>
        <v/>
      </c>
      <c r="E154" s="32"/>
      <c r="F154" s="31"/>
      <c r="G154" s="41"/>
      <c r="H154" s="56">
        <v>2.5</v>
      </c>
      <c r="I154" s="43" t="str">
        <f t="shared" si="18"/>
        <v/>
      </c>
      <c r="J154" s="43" t="str">
        <f t="shared" si="19"/>
        <v/>
      </c>
      <c r="K154" s="33" t="str">
        <f>IF(B154="","Pending",IF(M154="","⚠️ Enter Code",IF(IFERROR(VLOOKUP(L154,DB_Agents!$B:$F,4,0),"")=TEXT(M154,"0"),"Pending Approval","🔒 WRONG CODE")))</f>
        <v>Pending</v>
      </c>
      <c r="L154" s="30" t="s">
        <v>55</v>
      </c>
      <c r="M154" s="41"/>
      <c r="N154" s="57"/>
    </row>
    <row r="155" spans="1:14" ht="20.100000000000001" customHeight="1" x14ac:dyDescent="0.25">
      <c r="A155" s="30" t="str">
        <f t="shared" si="16"/>
        <v/>
      </c>
      <c r="B155" s="41"/>
      <c r="C155" s="35" t="str">
        <f>IF(B155="","",IFERROR(VLOOKUP(B155,DB_Customers!$A:$B,2,0),"❌ Account Not Found"))</f>
        <v/>
      </c>
      <c r="D155" s="42" t="str">
        <f t="shared" ca="1" si="17"/>
        <v/>
      </c>
      <c r="E155" s="32"/>
      <c r="F155" s="31"/>
      <c r="G155" s="41"/>
      <c r="H155" s="56">
        <v>2.5</v>
      </c>
      <c r="I155" s="43" t="str">
        <f t="shared" si="18"/>
        <v/>
      </c>
      <c r="J155" s="43" t="str">
        <f t="shared" si="19"/>
        <v/>
      </c>
      <c r="K155" s="33" t="str">
        <f>IF(B155="","Pending",IF(M155="","⚠️ Enter Code",IF(IFERROR(VLOOKUP(L155,DB_Agents!$B:$F,4,0),"")=TEXT(M155,"0"),"Pending Approval","🔒 WRONG CODE")))</f>
        <v>Pending</v>
      </c>
      <c r="L155" s="30" t="s">
        <v>55</v>
      </c>
      <c r="M155" s="41"/>
      <c r="N155" s="22"/>
    </row>
    <row r="156" spans="1:14" ht="20.100000000000001" customHeight="1" x14ac:dyDescent="0.25">
      <c r="A156" s="30" t="str">
        <f t="shared" si="16"/>
        <v/>
      </c>
      <c r="B156" s="41"/>
      <c r="C156" s="35" t="str">
        <f>IF(B156="","",IFERROR(VLOOKUP(B156,DB_Customers!$A:$B,2,0),"❌ Account Not Found"))</f>
        <v/>
      </c>
      <c r="D156" s="42" t="str">
        <f t="shared" ca="1" si="17"/>
        <v/>
      </c>
      <c r="E156" s="32"/>
      <c r="F156" s="31"/>
      <c r="G156" s="41"/>
      <c r="H156" s="56">
        <v>2.5</v>
      </c>
      <c r="I156" s="43" t="str">
        <f t="shared" si="18"/>
        <v/>
      </c>
      <c r="J156" s="43" t="str">
        <f t="shared" si="19"/>
        <v/>
      </c>
      <c r="K156" s="33" t="str">
        <f>IF(B156="","Pending",IF(M156="","⚠️ Enter Code",IF(IFERROR(VLOOKUP(L156,DB_Agents!$B:$F,4,0),"")=TEXT(M156,"0"),"Pending Approval","🔒 WRONG CODE")))</f>
        <v>Pending</v>
      </c>
      <c r="L156" s="30" t="s">
        <v>55</v>
      </c>
      <c r="M156" s="41"/>
      <c r="N156" s="57"/>
    </row>
    <row r="157" spans="1:14" ht="20.100000000000001" customHeight="1" x14ac:dyDescent="0.25">
      <c r="A157" s="30" t="str">
        <f t="shared" si="16"/>
        <v/>
      </c>
      <c r="B157" s="41"/>
      <c r="C157" s="35" t="str">
        <f>IF(B157="","",IFERROR(VLOOKUP(B157,DB_Customers!$A:$B,2,0),"❌ Account Not Found"))</f>
        <v/>
      </c>
      <c r="D157" s="42" t="str">
        <f t="shared" ca="1" si="17"/>
        <v/>
      </c>
      <c r="E157" s="32"/>
      <c r="F157" s="31"/>
      <c r="G157" s="41"/>
      <c r="H157" s="56">
        <v>2.5</v>
      </c>
      <c r="I157" s="43" t="str">
        <f t="shared" si="18"/>
        <v/>
      </c>
      <c r="J157" s="43" t="str">
        <f t="shared" si="19"/>
        <v/>
      </c>
      <c r="K157" s="33" t="str">
        <f>IF(B157="","Pending",IF(M157="","⚠️ Enter Code",IF(IFERROR(VLOOKUP(L157,DB_Agents!$B:$F,4,0),"")=TEXT(M157,"0"),"Pending Approval","🔒 WRONG CODE")))</f>
        <v>Pending</v>
      </c>
      <c r="L157" s="30" t="s">
        <v>55</v>
      </c>
      <c r="M157" s="41"/>
      <c r="N157" s="22"/>
    </row>
    <row r="158" spans="1:14" ht="20.100000000000001" customHeight="1" x14ac:dyDescent="0.25">
      <c r="A158" s="30" t="str">
        <f t="shared" si="16"/>
        <v/>
      </c>
      <c r="B158" s="41"/>
      <c r="C158" s="35" t="str">
        <f>IF(B158="","",IFERROR(VLOOKUP(B158,DB_Customers!$A:$B,2,0),"❌ Account Not Found"))</f>
        <v/>
      </c>
      <c r="D158" s="42" t="str">
        <f t="shared" ca="1" si="17"/>
        <v/>
      </c>
      <c r="E158" s="32"/>
      <c r="F158" s="31"/>
      <c r="G158" s="41"/>
      <c r="H158" s="56">
        <v>2.5</v>
      </c>
      <c r="I158" s="43" t="str">
        <f t="shared" si="18"/>
        <v/>
      </c>
      <c r="J158" s="43" t="str">
        <f t="shared" si="19"/>
        <v/>
      </c>
      <c r="K158" s="33" t="str">
        <f>IF(B158="","Pending",IF(M158="","⚠️ Enter Code",IF(IFERROR(VLOOKUP(L158,DB_Agents!$B:$F,4,0),"")=TEXT(M158,"0"),"Pending Approval","🔒 WRONG CODE")))</f>
        <v>Pending</v>
      </c>
      <c r="L158" s="30" t="s">
        <v>55</v>
      </c>
      <c r="M158" s="41"/>
      <c r="N158" s="57"/>
    </row>
    <row r="159" spans="1:14" ht="20.100000000000001" customHeight="1" x14ac:dyDescent="0.25">
      <c r="A159" s="30" t="str">
        <f t="shared" si="16"/>
        <v/>
      </c>
      <c r="B159" s="41"/>
      <c r="C159" s="35" t="str">
        <f>IF(B159="","",IFERROR(VLOOKUP(B159,DB_Customers!$A:$B,2,0),"❌ Account Not Found"))</f>
        <v/>
      </c>
      <c r="D159" s="42" t="str">
        <f t="shared" ca="1" si="17"/>
        <v/>
      </c>
      <c r="E159" s="32"/>
      <c r="F159" s="31"/>
      <c r="G159" s="41"/>
      <c r="H159" s="56">
        <v>2.5</v>
      </c>
      <c r="I159" s="43" t="str">
        <f t="shared" si="18"/>
        <v/>
      </c>
      <c r="J159" s="43" t="str">
        <f t="shared" si="19"/>
        <v/>
      </c>
      <c r="K159" s="33" t="str">
        <f>IF(B159="","Pending",IF(M159="","⚠️ Enter Code",IF(IFERROR(VLOOKUP(L159,DB_Agents!$B:$F,4,0),"")=TEXT(M159,"0"),"Pending Approval","🔒 WRONG CODE")))</f>
        <v>Pending</v>
      </c>
      <c r="L159" s="30" t="s">
        <v>55</v>
      </c>
      <c r="M159" s="41"/>
      <c r="N159" s="22"/>
    </row>
    <row r="160" spans="1:14" ht="20.100000000000001" customHeight="1" x14ac:dyDescent="0.25">
      <c r="A160" s="30" t="str">
        <f t="shared" si="16"/>
        <v/>
      </c>
      <c r="B160" s="41"/>
      <c r="C160" s="35" t="str">
        <f>IF(B160="","",IFERROR(VLOOKUP(B160,DB_Customers!$A:$B,2,0),"❌ Account Not Found"))</f>
        <v/>
      </c>
      <c r="D160" s="42" t="str">
        <f t="shared" ca="1" si="17"/>
        <v/>
      </c>
      <c r="E160" s="32"/>
      <c r="F160" s="31"/>
      <c r="G160" s="41"/>
      <c r="H160" s="56">
        <v>2.5</v>
      </c>
      <c r="I160" s="43" t="str">
        <f t="shared" si="18"/>
        <v/>
      </c>
      <c r="J160" s="43" t="str">
        <f t="shared" si="19"/>
        <v/>
      </c>
      <c r="K160" s="33" t="str">
        <f>IF(B160="","Pending",IF(M160="","⚠️ Enter Code",IF(IFERROR(VLOOKUP(L160,DB_Agents!$B:$F,4,0),"")=TEXT(M160,"0"),"Pending Approval","🔒 WRONG CODE")))</f>
        <v>Pending</v>
      </c>
      <c r="L160" s="30" t="s">
        <v>55</v>
      </c>
      <c r="M160" s="41"/>
      <c r="N160" s="57"/>
    </row>
    <row r="161" spans="1:14" ht="20.100000000000001" customHeight="1" x14ac:dyDescent="0.25">
      <c r="A161" s="30" t="str">
        <f t="shared" si="16"/>
        <v/>
      </c>
      <c r="B161" s="41"/>
      <c r="C161" s="35" t="str">
        <f>IF(B161="","",IFERROR(VLOOKUP(B161,DB_Customers!$A:$B,2,0),"❌ Account Not Found"))</f>
        <v/>
      </c>
      <c r="D161" s="42" t="str">
        <f t="shared" ca="1" si="17"/>
        <v/>
      </c>
      <c r="E161" s="32"/>
      <c r="F161" s="31"/>
      <c r="G161" s="41"/>
      <c r="H161" s="56">
        <v>2.5</v>
      </c>
      <c r="I161" s="43" t="str">
        <f t="shared" si="18"/>
        <v/>
      </c>
      <c r="J161" s="43" t="str">
        <f t="shared" si="19"/>
        <v/>
      </c>
      <c r="K161" s="33" t="str">
        <f>IF(B161="","Pending",IF(M161="","⚠️ Enter Code",IF(IFERROR(VLOOKUP(L161,DB_Agents!$B:$F,4,0),"")=TEXT(M161,"0"),"Pending Approval","🔒 WRONG CODE")))</f>
        <v>Pending</v>
      </c>
      <c r="L161" s="30" t="s">
        <v>55</v>
      </c>
      <c r="M161" s="41"/>
      <c r="N161" s="22"/>
    </row>
    <row r="162" spans="1:14" ht="20.100000000000001" customHeight="1" x14ac:dyDescent="0.25">
      <c r="A162" s="30" t="str">
        <f t="shared" si="16"/>
        <v/>
      </c>
      <c r="B162" s="41"/>
      <c r="C162" s="35" t="str">
        <f>IF(B162="","",IFERROR(VLOOKUP(B162,DB_Customers!$A:$B,2,0),"❌ Account Not Found"))</f>
        <v/>
      </c>
      <c r="D162" s="42" t="str">
        <f t="shared" ca="1" si="17"/>
        <v/>
      </c>
      <c r="E162" s="32"/>
      <c r="F162" s="31"/>
      <c r="G162" s="41"/>
      <c r="H162" s="56">
        <v>2.5</v>
      </c>
      <c r="I162" s="43" t="str">
        <f t="shared" si="18"/>
        <v/>
      </c>
      <c r="J162" s="43" t="str">
        <f t="shared" si="19"/>
        <v/>
      </c>
      <c r="K162" s="33" t="str">
        <f>IF(B162="","Pending",IF(M162="","⚠️ Enter Code",IF(IFERROR(VLOOKUP(L162,DB_Agents!$B:$F,4,0),"")=TEXT(M162,"0"),"Pending Approval","🔒 WRONG CODE")))</f>
        <v>Pending</v>
      </c>
      <c r="L162" s="30" t="s">
        <v>55</v>
      </c>
      <c r="M162" s="41"/>
      <c r="N162" s="57"/>
    </row>
    <row r="163" spans="1:14" ht="20.100000000000001" customHeight="1" x14ac:dyDescent="0.25">
      <c r="A163" s="30" t="str">
        <f t="shared" si="16"/>
        <v/>
      </c>
      <c r="B163" s="41"/>
      <c r="C163" s="35" t="str">
        <f>IF(B163="","",IFERROR(VLOOKUP(B163,DB_Customers!$A:$B,2,0),"❌ Account Not Found"))</f>
        <v/>
      </c>
      <c r="D163" s="42" t="str">
        <f t="shared" ca="1" si="17"/>
        <v/>
      </c>
      <c r="E163" s="32"/>
      <c r="F163" s="31"/>
      <c r="G163" s="41"/>
      <c r="H163" s="56">
        <v>2.5</v>
      </c>
      <c r="I163" s="43" t="str">
        <f t="shared" si="18"/>
        <v/>
      </c>
      <c r="J163" s="43" t="str">
        <f t="shared" si="19"/>
        <v/>
      </c>
      <c r="K163" s="33" t="str">
        <f>IF(B163="","Pending",IF(M163="","⚠️ Enter Code",IF(IFERROR(VLOOKUP(L163,DB_Agents!$B:$F,4,0),"")=TEXT(M163,"0"),"Pending Approval","🔒 WRONG CODE")))</f>
        <v>Pending</v>
      </c>
      <c r="L163" s="30" t="s">
        <v>55</v>
      </c>
      <c r="M163" s="41"/>
      <c r="N163" s="22"/>
    </row>
    <row r="164" spans="1:14" ht="20.100000000000001" customHeight="1" x14ac:dyDescent="0.25">
      <c r="A164" s="30" t="str">
        <f t="shared" si="16"/>
        <v/>
      </c>
      <c r="B164" s="41"/>
      <c r="C164" s="35" t="str">
        <f>IF(B164="","",IFERROR(VLOOKUP(B164,DB_Customers!$A:$B,2,0),"❌ Account Not Found"))</f>
        <v/>
      </c>
      <c r="D164" s="42" t="str">
        <f t="shared" ca="1" si="17"/>
        <v/>
      </c>
      <c r="E164" s="32"/>
      <c r="F164" s="31"/>
      <c r="G164" s="41"/>
      <c r="H164" s="56">
        <v>2.5</v>
      </c>
      <c r="I164" s="43" t="str">
        <f t="shared" si="18"/>
        <v/>
      </c>
      <c r="J164" s="43" t="str">
        <f t="shared" si="19"/>
        <v/>
      </c>
      <c r="K164" s="33" t="str">
        <f>IF(B164="","Pending",IF(M164="","⚠️ Enter Code",IF(IFERROR(VLOOKUP(L164,DB_Agents!$B:$F,4,0),"")=TEXT(M164,"0"),"Pending Approval","🔒 WRONG CODE")))</f>
        <v>Pending</v>
      </c>
      <c r="L164" s="30" t="s">
        <v>55</v>
      </c>
      <c r="M164" s="41"/>
      <c r="N164" s="57"/>
    </row>
    <row r="165" spans="1:14" ht="20.100000000000001" customHeight="1" x14ac:dyDescent="0.25">
      <c r="A165" s="30" t="str">
        <f t="shared" si="16"/>
        <v/>
      </c>
      <c r="B165" s="41"/>
      <c r="C165" s="35" t="str">
        <f>IF(B165="","",IFERROR(VLOOKUP(B165,DB_Customers!$A:$B,2,0),"❌ Account Not Found"))</f>
        <v/>
      </c>
      <c r="D165" s="42" t="str">
        <f t="shared" ca="1" si="17"/>
        <v/>
      </c>
      <c r="E165" s="32"/>
      <c r="F165" s="31"/>
      <c r="G165" s="41"/>
      <c r="H165" s="56">
        <v>2.5</v>
      </c>
      <c r="I165" s="43" t="str">
        <f t="shared" si="18"/>
        <v/>
      </c>
      <c r="J165" s="43" t="str">
        <f t="shared" si="19"/>
        <v/>
      </c>
      <c r="K165" s="33" t="str">
        <f>IF(B165="","Pending",IF(M165="","⚠️ Enter Code",IF(IFERROR(VLOOKUP(L165,DB_Agents!$B:$F,4,0),"")=TEXT(M165,"0"),"Pending Approval","🔒 WRONG CODE")))</f>
        <v>Pending</v>
      </c>
      <c r="L165" s="30" t="s">
        <v>55</v>
      </c>
      <c r="M165" s="41"/>
      <c r="N165" s="22"/>
    </row>
    <row r="166" spans="1:14" ht="20.100000000000001" customHeight="1" x14ac:dyDescent="0.25">
      <c r="A166" s="30" t="str">
        <f t="shared" si="16"/>
        <v/>
      </c>
      <c r="B166" s="41"/>
      <c r="C166" s="35" t="str">
        <f>IF(B166="","",IFERROR(VLOOKUP(B166,DB_Customers!$A:$B,2,0),"❌ Account Not Found"))</f>
        <v/>
      </c>
      <c r="D166" s="42" t="str">
        <f t="shared" ca="1" si="17"/>
        <v/>
      </c>
      <c r="E166" s="32"/>
      <c r="F166" s="31"/>
      <c r="G166" s="41"/>
      <c r="H166" s="56">
        <v>2.5</v>
      </c>
      <c r="I166" s="43" t="str">
        <f t="shared" si="18"/>
        <v/>
      </c>
      <c r="J166" s="43" t="str">
        <f t="shared" si="19"/>
        <v/>
      </c>
      <c r="K166" s="33" t="str">
        <f>IF(B166="","Pending",IF(M166="","⚠️ Enter Code",IF(IFERROR(VLOOKUP(L166,DB_Agents!$B:$F,4,0),"")=TEXT(M166,"0"),"Pending Approval","🔒 WRONG CODE")))</f>
        <v>Pending</v>
      </c>
      <c r="L166" s="30" t="s">
        <v>55</v>
      </c>
      <c r="M166" s="41"/>
      <c r="N166" s="57"/>
    </row>
    <row r="167" spans="1:14" ht="20.100000000000001" customHeight="1" x14ac:dyDescent="0.25">
      <c r="A167" s="30" t="str">
        <f t="shared" si="16"/>
        <v/>
      </c>
      <c r="B167" s="41"/>
      <c r="C167" s="35" t="str">
        <f>IF(B167="","",IFERROR(VLOOKUP(B167,DB_Customers!$A:$B,2,0),"❌ Account Not Found"))</f>
        <v/>
      </c>
      <c r="D167" s="42" t="str">
        <f t="shared" ca="1" si="17"/>
        <v/>
      </c>
      <c r="E167" s="32"/>
      <c r="F167" s="31"/>
      <c r="G167" s="41"/>
      <c r="H167" s="56">
        <v>2.5</v>
      </c>
      <c r="I167" s="43" t="str">
        <f t="shared" si="18"/>
        <v/>
      </c>
      <c r="J167" s="43" t="str">
        <f t="shared" si="19"/>
        <v/>
      </c>
      <c r="K167" s="33" t="str">
        <f>IF(B167="","Pending",IF(M167="","⚠️ Enter Code",IF(IFERROR(VLOOKUP(L167,DB_Agents!$B:$F,4,0),"")=TEXT(M167,"0"),"Pending Approval","🔒 WRONG CODE")))</f>
        <v>Pending</v>
      </c>
      <c r="L167" s="30" t="s">
        <v>55</v>
      </c>
      <c r="M167" s="41"/>
      <c r="N167" s="22"/>
    </row>
    <row r="168" spans="1:14" ht="20.100000000000001" customHeight="1" x14ac:dyDescent="0.25">
      <c r="A168" s="30" t="str">
        <f t="shared" si="16"/>
        <v/>
      </c>
      <c r="B168" s="41"/>
      <c r="C168" s="35" t="str">
        <f>IF(B168="","",IFERROR(VLOOKUP(B168,DB_Customers!$A:$B,2,0),"❌ Account Not Found"))</f>
        <v/>
      </c>
      <c r="D168" s="42" t="str">
        <f t="shared" ca="1" si="17"/>
        <v/>
      </c>
      <c r="E168" s="32"/>
      <c r="F168" s="31"/>
      <c r="G168" s="41"/>
      <c r="H168" s="56">
        <v>2.5</v>
      </c>
      <c r="I168" s="43" t="str">
        <f t="shared" si="18"/>
        <v/>
      </c>
      <c r="J168" s="43" t="str">
        <f t="shared" si="19"/>
        <v/>
      </c>
      <c r="K168" s="33" t="str">
        <f>IF(B168="","Pending",IF(M168="","⚠️ Enter Code",IF(IFERROR(VLOOKUP(L168,DB_Agents!$B:$F,4,0),"")=TEXT(M168,"0"),"Pending Approval","🔒 WRONG CODE")))</f>
        <v>Pending</v>
      </c>
      <c r="L168" s="30" t="s">
        <v>55</v>
      </c>
      <c r="M168" s="41"/>
      <c r="N168" s="57"/>
    </row>
    <row r="169" spans="1:14" ht="20.100000000000001" customHeight="1" x14ac:dyDescent="0.25">
      <c r="A169" s="30" t="str">
        <f t="shared" si="16"/>
        <v/>
      </c>
      <c r="B169" s="41"/>
      <c r="C169" s="35" t="str">
        <f>IF(B169="","",IFERROR(VLOOKUP(B169,DB_Customers!$A:$B,2,0),"❌ Account Not Found"))</f>
        <v/>
      </c>
      <c r="D169" s="42" t="str">
        <f t="shared" ca="1" si="17"/>
        <v/>
      </c>
      <c r="E169" s="32"/>
      <c r="F169" s="31"/>
      <c r="G169" s="41"/>
      <c r="H169" s="56">
        <v>2.5</v>
      </c>
      <c r="I169" s="43" t="str">
        <f t="shared" si="18"/>
        <v/>
      </c>
      <c r="J169" s="43" t="str">
        <f t="shared" si="19"/>
        <v/>
      </c>
      <c r="K169" s="33" t="str">
        <f>IF(B169="","Pending",IF(M169="","⚠️ Enter Code",IF(IFERROR(VLOOKUP(L169,DB_Agents!$B:$F,4,0),"")=TEXT(M169,"0"),"Pending Approval","🔒 WRONG CODE")))</f>
        <v>Pending</v>
      </c>
      <c r="L169" s="30" t="s">
        <v>55</v>
      </c>
      <c r="M169" s="41"/>
      <c r="N169" s="22"/>
    </row>
    <row r="170" spans="1:14" ht="20.100000000000001" customHeight="1" x14ac:dyDescent="0.25">
      <c r="A170" s="30" t="str">
        <f t="shared" si="16"/>
        <v/>
      </c>
      <c r="B170" s="41"/>
      <c r="C170" s="35" t="str">
        <f>IF(B170="","",IFERROR(VLOOKUP(B170,DB_Customers!$A:$B,2,0),"❌ Account Not Found"))</f>
        <v/>
      </c>
      <c r="D170" s="42" t="str">
        <f t="shared" ca="1" si="17"/>
        <v/>
      </c>
      <c r="E170" s="32"/>
      <c r="F170" s="31"/>
      <c r="G170" s="41"/>
      <c r="H170" s="56">
        <v>2.5</v>
      </c>
      <c r="I170" s="43" t="str">
        <f t="shared" si="18"/>
        <v/>
      </c>
      <c r="J170" s="43" t="str">
        <f t="shared" si="19"/>
        <v/>
      </c>
      <c r="K170" s="33" t="str">
        <f>IF(B170="","Pending",IF(M170="","⚠️ Enter Code",IF(IFERROR(VLOOKUP(L170,DB_Agents!$B:$F,4,0),"")=TEXT(M170,"0"),"Pending Approval","🔒 WRONG CODE")))</f>
        <v>Pending</v>
      </c>
      <c r="L170" s="30" t="s">
        <v>55</v>
      </c>
      <c r="M170" s="41"/>
      <c r="N170" s="57"/>
    </row>
    <row r="171" spans="1:14" ht="20.100000000000001" customHeight="1" x14ac:dyDescent="0.25">
      <c r="A171" s="30" t="str">
        <f t="shared" si="16"/>
        <v/>
      </c>
      <c r="B171" s="41"/>
      <c r="C171" s="35" t="str">
        <f>IF(B171="","",IFERROR(VLOOKUP(B171,DB_Customers!$A:$B,2,0),"❌ Account Not Found"))</f>
        <v/>
      </c>
      <c r="D171" s="42" t="str">
        <f t="shared" ca="1" si="17"/>
        <v/>
      </c>
      <c r="E171" s="32"/>
      <c r="F171" s="31"/>
      <c r="G171" s="41"/>
      <c r="H171" s="56">
        <v>2.5</v>
      </c>
      <c r="I171" s="43" t="str">
        <f t="shared" si="18"/>
        <v/>
      </c>
      <c r="J171" s="43" t="str">
        <f t="shared" si="19"/>
        <v/>
      </c>
      <c r="K171" s="33" t="str">
        <f>IF(B171="","Pending",IF(M171="","⚠️ Enter Code",IF(IFERROR(VLOOKUP(L171,DB_Agents!$B:$F,4,0),"")=TEXT(M171,"0"),"Pending Approval","🔒 WRONG CODE")))</f>
        <v>Pending</v>
      </c>
      <c r="L171" s="30" t="s">
        <v>55</v>
      </c>
      <c r="M171" s="41"/>
      <c r="N171" s="22"/>
    </row>
    <row r="172" spans="1:14" ht="20.100000000000001" customHeight="1" x14ac:dyDescent="0.25">
      <c r="A172" s="30" t="str">
        <f t="shared" si="16"/>
        <v/>
      </c>
      <c r="B172" s="41"/>
      <c r="C172" s="35" t="str">
        <f>IF(B172="","",IFERROR(VLOOKUP(B172,DB_Customers!$A:$B,2,0),"❌ Account Not Found"))</f>
        <v/>
      </c>
      <c r="D172" s="42" t="str">
        <f t="shared" ca="1" si="17"/>
        <v/>
      </c>
      <c r="E172" s="32"/>
      <c r="F172" s="31"/>
      <c r="G172" s="41"/>
      <c r="H172" s="56">
        <v>2.5</v>
      </c>
      <c r="I172" s="43" t="str">
        <f t="shared" si="18"/>
        <v/>
      </c>
      <c r="J172" s="43" t="str">
        <f t="shared" si="19"/>
        <v/>
      </c>
      <c r="K172" s="33" t="str">
        <f>IF(B172="","Pending",IF(M172="","⚠️ Enter Code",IF(IFERROR(VLOOKUP(L172,DB_Agents!$B:$F,4,0),"")=TEXT(M172,"0"),"Pending Approval","🔒 WRONG CODE")))</f>
        <v>Pending</v>
      </c>
      <c r="L172" s="30" t="s">
        <v>55</v>
      </c>
      <c r="M172" s="41"/>
      <c r="N172" s="57"/>
    </row>
    <row r="173" spans="1:14" ht="20.100000000000001" customHeight="1" x14ac:dyDescent="0.25">
      <c r="A173" s="30" t="str">
        <f t="shared" si="16"/>
        <v/>
      </c>
      <c r="B173" s="41"/>
      <c r="C173" s="35" t="str">
        <f>IF(B173="","",IFERROR(VLOOKUP(B173,DB_Customers!$A:$B,2,0),"❌ Account Not Found"))</f>
        <v/>
      </c>
      <c r="D173" s="42" t="str">
        <f t="shared" ca="1" si="17"/>
        <v/>
      </c>
      <c r="E173" s="32"/>
      <c r="F173" s="31"/>
      <c r="G173" s="41"/>
      <c r="H173" s="56">
        <v>2.5</v>
      </c>
      <c r="I173" s="43" t="str">
        <f t="shared" si="18"/>
        <v/>
      </c>
      <c r="J173" s="43" t="str">
        <f t="shared" si="19"/>
        <v/>
      </c>
      <c r="K173" s="33" t="str">
        <f>IF(B173="","Pending",IF(M173="","⚠️ Enter Code",IF(IFERROR(VLOOKUP(L173,DB_Agents!$B:$F,4,0),"")=TEXT(M173,"0"),"Pending Approval","🔒 WRONG CODE")))</f>
        <v>Pending</v>
      </c>
      <c r="L173" s="30" t="s">
        <v>55</v>
      </c>
      <c r="M173" s="41"/>
      <c r="N173" s="22"/>
    </row>
    <row r="174" spans="1:14" ht="20.100000000000001" customHeight="1" x14ac:dyDescent="0.25">
      <c r="A174" s="30" t="str">
        <f t="shared" ref="A174:A205" si="20">IF(B174="","",IF(C174="❌ Account Not Found","INVALID","LN"&amp;TEXT(D174,"YYYYMMDD")&amp;TEXT(ROW()-13,"0000")))</f>
        <v/>
      </c>
      <c r="B174" s="41"/>
      <c r="C174" s="35" t="str">
        <f>IF(B174="","",IFERROR(VLOOKUP(B174,DB_Customers!$A:$B,2,0),"❌ Account Not Found"))</f>
        <v/>
      </c>
      <c r="D174" s="42" t="str">
        <f t="shared" ref="D174:D205" ca="1" si="21">IF(B174="","",TODAY())</f>
        <v/>
      </c>
      <c r="E174" s="32"/>
      <c r="F174" s="31"/>
      <c r="G174" s="41"/>
      <c r="H174" s="56">
        <v>2.5</v>
      </c>
      <c r="I174" s="43" t="str">
        <f t="shared" ref="I174:I205" si="22">IF(E174="","",E174+(E174*H174/100*G174))</f>
        <v/>
      </c>
      <c r="J174" s="43" t="str">
        <f t="shared" ref="J174:J205" si="23">IFERROR(I174/G174,"")</f>
        <v/>
      </c>
      <c r="K174" s="33" t="str">
        <f>IF(B174="","Pending",IF(M174="","⚠️ Enter Code",IF(IFERROR(VLOOKUP(L174,DB_Agents!$B:$F,4,0),"")=TEXT(M174,"0"),"Pending Approval","🔒 WRONG CODE")))</f>
        <v>Pending</v>
      </c>
      <c r="L174" s="30" t="s">
        <v>55</v>
      </c>
      <c r="M174" s="41"/>
      <c r="N174" s="57"/>
    </row>
    <row r="175" spans="1:14" ht="20.100000000000001" customHeight="1" x14ac:dyDescent="0.25">
      <c r="A175" s="30" t="str">
        <f t="shared" si="20"/>
        <v/>
      </c>
      <c r="B175" s="41"/>
      <c r="C175" s="35" t="str">
        <f>IF(B175="","",IFERROR(VLOOKUP(B175,DB_Customers!$A:$B,2,0),"❌ Account Not Found"))</f>
        <v/>
      </c>
      <c r="D175" s="42" t="str">
        <f t="shared" ca="1" si="21"/>
        <v/>
      </c>
      <c r="E175" s="32"/>
      <c r="F175" s="31"/>
      <c r="G175" s="41"/>
      <c r="H175" s="56">
        <v>2.5</v>
      </c>
      <c r="I175" s="43" t="str">
        <f t="shared" si="22"/>
        <v/>
      </c>
      <c r="J175" s="43" t="str">
        <f t="shared" si="23"/>
        <v/>
      </c>
      <c r="K175" s="33" t="str">
        <f>IF(B175="","Pending",IF(M175="","⚠️ Enter Code",IF(IFERROR(VLOOKUP(L175,DB_Agents!$B:$F,4,0),"")=TEXT(M175,"0"),"Pending Approval","🔒 WRONG CODE")))</f>
        <v>Pending</v>
      </c>
      <c r="L175" s="30" t="s">
        <v>55</v>
      </c>
      <c r="M175" s="41"/>
      <c r="N175" s="22"/>
    </row>
    <row r="176" spans="1:14" ht="20.100000000000001" customHeight="1" x14ac:dyDescent="0.25">
      <c r="A176" s="30" t="str">
        <f t="shared" si="20"/>
        <v/>
      </c>
      <c r="B176" s="41"/>
      <c r="C176" s="35" t="str">
        <f>IF(B176="","",IFERROR(VLOOKUP(B176,DB_Customers!$A:$B,2,0),"❌ Account Not Found"))</f>
        <v/>
      </c>
      <c r="D176" s="42" t="str">
        <f t="shared" ca="1" si="21"/>
        <v/>
      </c>
      <c r="E176" s="32"/>
      <c r="F176" s="31"/>
      <c r="G176" s="41"/>
      <c r="H176" s="56">
        <v>2.5</v>
      </c>
      <c r="I176" s="43" t="str">
        <f t="shared" si="22"/>
        <v/>
      </c>
      <c r="J176" s="43" t="str">
        <f t="shared" si="23"/>
        <v/>
      </c>
      <c r="K176" s="33" t="str">
        <f>IF(B176="","Pending",IF(M176="","⚠️ Enter Code",IF(IFERROR(VLOOKUP(L176,DB_Agents!$B:$F,4,0),"")=TEXT(M176,"0"),"Pending Approval","🔒 WRONG CODE")))</f>
        <v>Pending</v>
      </c>
      <c r="L176" s="30" t="s">
        <v>55</v>
      </c>
      <c r="M176" s="41"/>
      <c r="N176" s="57"/>
    </row>
    <row r="177" spans="1:14" ht="20.100000000000001" customHeight="1" x14ac:dyDescent="0.25">
      <c r="A177" s="30" t="str">
        <f t="shared" si="20"/>
        <v/>
      </c>
      <c r="B177" s="41"/>
      <c r="C177" s="35" t="str">
        <f>IF(B177="","",IFERROR(VLOOKUP(B177,DB_Customers!$A:$B,2,0),"❌ Account Not Found"))</f>
        <v/>
      </c>
      <c r="D177" s="42" t="str">
        <f t="shared" ca="1" si="21"/>
        <v/>
      </c>
      <c r="E177" s="32"/>
      <c r="F177" s="31"/>
      <c r="G177" s="41"/>
      <c r="H177" s="56">
        <v>2.5</v>
      </c>
      <c r="I177" s="43" t="str">
        <f t="shared" si="22"/>
        <v/>
      </c>
      <c r="J177" s="43" t="str">
        <f t="shared" si="23"/>
        <v/>
      </c>
      <c r="K177" s="33" t="str">
        <f>IF(B177="","Pending",IF(M177="","⚠️ Enter Code",IF(IFERROR(VLOOKUP(L177,DB_Agents!$B:$F,4,0),"")=TEXT(M177,"0"),"Pending Approval","🔒 WRONG CODE")))</f>
        <v>Pending</v>
      </c>
      <c r="L177" s="30" t="s">
        <v>55</v>
      </c>
      <c r="M177" s="41"/>
      <c r="N177" s="22"/>
    </row>
    <row r="178" spans="1:14" ht="20.100000000000001" customHeight="1" x14ac:dyDescent="0.25">
      <c r="A178" s="30" t="str">
        <f t="shared" si="20"/>
        <v/>
      </c>
      <c r="B178" s="41"/>
      <c r="C178" s="35" t="str">
        <f>IF(B178="","",IFERROR(VLOOKUP(B178,DB_Customers!$A:$B,2,0),"❌ Account Not Found"))</f>
        <v/>
      </c>
      <c r="D178" s="42" t="str">
        <f t="shared" ca="1" si="21"/>
        <v/>
      </c>
      <c r="E178" s="32"/>
      <c r="F178" s="31"/>
      <c r="G178" s="41"/>
      <c r="H178" s="56">
        <v>2.5</v>
      </c>
      <c r="I178" s="43" t="str">
        <f t="shared" si="22"/>
        <v/>
      </c>
      <c r="J178" s="43" t="str">
        <f t="shared" si="23"/>
        <v/>
      </c>
      <c r="K178" s="33" t="str">
        <f>IF(B178="","Pending",IF(M178="","⚠️ Enter Code",IF(IFERROR(VLOOKUP(L178,DB_Agents!$B:$F,4,0),"")=TEXT(M178,"0"),"Pending Approval","🔒 WRONG CODE")))</f>
        <v>Pending</v>
      </c>
      <c r="L178" s="30" t="s">
        <v>55</v>
      </c>
      <c r="M178" s="41"/>
      <c r="N178" s="57"/>
    </row>
    <row r="179" spans="1:14" ht="20.100000000000001" customHeight="1" x14ac:dyDescent="0.25">
      <c r="A179" s="30" t="str">
        <f t="shared" si="20"/>
        <v/>
      </c>
      <c r="B179" s="41"/>
      <c r="C179" s="35" t="str">
        <f>IF(B179="","",IFERROR(VLOOKUP(B179,DB_Customers!$A:$B,2,0),"❌ Account Not Found"))</f>
        <v/>
      </c>
      <c r="D179" s="42" t="str">
        <f t="shared" ca="1" si="21"/>
        <v/>
      </c>
      <c r="E179" s="32"/>
      <c r="F179" s="31"/>
      <c r="G179" s="41"/>
      <c r="H179" s="56">
        <v>2.5</v>
      </c>
      <c r="I179" s="43" t="str">
        <f t="shared" si="22"/>
        <v/>
      </c>
      <c r="J179" s="43" t="str">
        <f t="shared" si="23"/>
        <v/>
      </c>
      <c r="K179" s="33" t="str">
        <f>IF(B179="","Pending",IF(M179="","⚠️ Enter Code",IF(IFERROR(VLOOKUP(L179,DB_Agents!$B:$F,4,0),"")=TEXT(M179,"0"),"Pending Approval","🔒 WRONG CODE")))</f>
        <v>Pending</v>
      </c>
      <c r="L179" s="30" t="s">
        <v>55</v>
      </c>
      <c r="M179" s="41"/>
      <c r="N179" s="22"/>
    </row>
    <row r="180" spans="1:14" ht="20.100000000000001" customHeight="1" x14ac:dyDescent="0.25">
      <c r="A180" s="30" t="str">
        <f t="shared" si="20"/>
        <v/>
      </c>
      <c r="B180" s="41"/>
      <c r="C180" s="35" t="str">
        <f>IF(B180="","",IFERROR(VLOOKUP(B180,DB_Customers!$A:$B,2,0),"❌ Account Not Found"))</f>
        <v/>
      </c>
      <c r="D180" s="42" t="str">
        <f t="shared" ca="1" si="21"/>
        <v/>
      </c>
      <c r="E180" s="32"/>
      <c r="F180" s="31"/>
      <c r="G180" s="41"/>
      <c r="H180" s="56">
        <v>2.5</v>
      </c>
      <c r="I180" s="43" t="str">
        <f t="shared" si="22"/>
        <v/>
      </c>
      <c r="J180" s="43" t="str">
        <f t="shared" si="23"/>
        <v/>
      </c>
      <c r="K180" s="33" t="str">
        <f>IF(B180="","Pending",IF(M180="","⚠️ Enter Code",IF(IFERROR(VLOOKUP(L180,DB_Agents!$B:$F,4,0),"")=TEXT(M180,"0"),"Pending Approval","🔒 WRONG CODE")))</f>
        <v>Pending</v>
      </c>
      <c r="L180" s="30" t="s">
        <v>55</v>
      </c>
      <c r="M180" s="41"/>
      <c r="N180" s="57"/>
    </row>
    <row r="181" spans="1:14" ht="20.100000000000001" customHeight="1" x14ac:dyDescent="0.25">
      <c r="A181" s="30" t="str">
        <f t="shared" si="20"/>
        <v/>
      </c>
      <c r="B181" s="41"/>
      <c r="C181" s="35" t="str">
        <f>IF(B181="","",IFERROR(VLOOKUP(B181,DB_Customers!$A:$B,2,0),"❌ Account Not Found"))</f>
        <v/>
      </c>
      <c r="D181" s="42" t="str">
        <f t="shared" ca="1" si="21"/>
        <v/>
      </c>
      <c r="E181" s="32"/>
      <c r="F181" s="31"/>
      <c r="G181" s="41"/>
      <c r="H181" s="56">
        <v>2.5</v>
      </c>
      <c r="I181" s="43" t="str">
        <f t="shared" si="22"/>
        <v/>
      </c>
      <c r="J181" s="43" t="str">
        <f t="shared" si="23"/>
        <v/>
      </c>
      <c r="K181" s="33" t="str">
        <f>IF(B181="","Pending",IF(M181="","⚠️ Enter Code",IF(IFERROR(VLOOKUP(L181,DB_Agents!$B:$F,4,0),"")=TEXT(M181,"0"),"Pending Approval","🔒 WRONG CODE")))</f>
        <v>Pending</v>
      </c>
      <c r="L181" s="30" t="s">
        <v>55</v>
      </c>
      <c r="M181" s="41"/>
      <c r="N181" s="22"/>
    </row>
    <row r="182" spans="1:14" ht="20.100000000000001" customHeight="1" x14ac:dyDescent="0.25">
      <c r="A182" s="30" t="str">
        <f t="shared" si="20"/>
        <v/>
      </c>
      <c r="B182" s="41"/>
      <c r="C182" s="35" t="str">
        <f>IF(B182="","",IFERROR(VLOOKUP(B182,DB_Customers!$A:$B,2,0),"❌ Account Not Found"))</f>
        <v/>
      </c>
      <c r="D182" s="42" t="str">
        <f t="shared" ca="1" si="21"/>
        <v/>
      </c>
      <c r="E182" s="32"/>
      <c r="F182" s="31"/>
      <c r="G182" s="41"/>
      <c r="H182" s="56">
        <v>2.5</v>
      </c>
      <c r="I182" s="43" t="str">
        <f t="shared" si="22"/>
        <v/>
      </c>
      <c r="J182" s="43" t="str">
        <f t="shared" si="23"/>
        <v/>
      </c>
      <c r="K182" s="33" t="str">
        <f>IF(B182="","Pending",IF(M182="","⚠️ Enter Code",IF(IFERROR(VLOOKUP(L182,DB_Agents!$B:$F,4,0),"")=TEXT(M182,"0"),"Pending Approval","🔒 WRONG CODE")))</f>
        <v>Pending</v>
      </c>
      <c r="L182" s="30" t="s">
        <v>55</v>
      </c>
      <c r="M182" s="41"/>
      <c r="N182" s="57"/>
    </row>
    <row r="183" spans="1:14" ht="20.100000000000001" customHeight="1" x14ac:dyDescent="0.25">
      <c r="A183" s="30" t="str">
        <f t="shared" si="20"/>
        <v/>
      </c>
      <c r="B183" s="41"/>
      <c r="C183" s="35" t="str">
        <f>IF(B183="","",IFERROR(VLOOKUP(B183,DB_Customers!$A:$B,2,0),"❌ Account Not Found"))</f>
        <v/>
      </c>
      <c r="D183" s="42" t="str">
        <f t="shared" ca="1" si="21"/>
        <v/>
      </c>
      <c r="E183" s="32"/>
      <c r="F183" s="31"/>
      <c r="G183" s="41"/>
      <c r="H183" s="56">
        <v>2.5</v>
      </c>
      <c r="I183" s="43" t="str">
        <f t="shared" si="22"/>
        <v/>
      </c>
      <c r="J183" s="43" t="str">
        <f t="shared" si="23"/>
        <v/>
      </c>
      <c r="K183" s="33" t="str">
        <f>IF(B183="","Pending",IF(M183="","⚠️ Enter Code",IF(IFERROR(VLOOKUP(L183,DB_Agents!$B:$F,4,0),"")=TEXT(M183,"0"),"Pending Approval","🔒 WRONG CODE")))</f>
        <v>Pending</v>
      </c>
      <c r="L183" s="30" t="s">
        <v>55</v>
      </c>
      <c r="M183" s="41"/>
      <c r="N183" s="22"/>
    </row>
    <row r="184" spans="1:14" ht="20.100000000000001" customHeight="1" x14ac:dyDescent="0.25">
      <c r="A184" s="30" t="str">
        <f t="shared" si="20"/>
        <v/>
      </c>
      <c r="B184" s="41"/>
      <c r="C184" s="35" t="str">
        <f>IF(B184="","",IFERROR(VLOOKUP(B184,DB_Customers!$A:$B,2,0),"❌ Account Not Found"))</f>
        <v/>
      </c>
      <c r="D184" s="42" t="str">
        <f t="shared" ca="1" si="21"/>
        <v/>
      </c>
      <c r="E184" s="32"/>
      <c r="F184" s="31"/>
      <c r="G184" s="41"/>
      <c r="H184" s="56">
        <v>2.5</v>
      </c>
      <c r="I184" s="43" t="str">
        <f t="shared" si="22"/>
        <v/>
      </c>
      <c r="J184" s="43" t="str">
        <f t="shared" si="23"/>
        <v/>
      </c>
      <c r="K184" s="33" t="str">
        <f>IF(B184="","Pending",IF(M184="","⚠️ Enter Code",IF(IFERROR(VLOOKUP(L184,DB_Agents!$B:$F,4,0),"")=TEXT(M184,"0"),"Pending Approval","🔒 WRONG CODE")))</f>
        <v>Pending</v>
      </c>
      <c r="L184" s="30" t="s">
        <v>55</v>
      </c>
      <c r="M184" s="41"/>
      <c r="N184" s="57"/>
    </row>
    <row r="185" spans="1:14" ht="20.100000000000001" customHeight="1" x14ac:dyDescent="0.25">
      <c r="A185" s="30" t="str">
        <f t="shared" si="20"/>
        <v/>
      </c>
      <c r="B185" s="41"/>
      <c r="C185" s="35" t="str">
        <f>IF(B185="","",IFERROR(VLOOKUP(B185,DB_Customers!$A:$B,2,0),"❌ Account Not Found"))</f>
        <v/>
      </c>
      <c r="D185" s="42" t="str">
        <f t="shared" ca="1" si="21"/>
        <v/>
      </c>
      <c r="E185" s="32"/>
      <c r="F185" s="31"/>
      <c r="G185" s="41"/>
      <c r="H185" s="56">
        <v>2.5</v>
      </c>
      <c r="I185" s="43" t="str">
        <f t="shared" si="22"/>
        <v/>
      </c>
      <c r="J185" s="43" t="str">
        <f t="shared" si="23"/>
        <v/>
      </c>
      <c r="K185" s="33" t="str">
        <f>IF(B185="","Pending",IF(M185="","⚠️ Enter Code",IF(IFERROR(VLOOKUP(L185,DB_Agents!$B:$F,4,0),"")=TEXT(M185,"0"),"Pending Approval","🔒 WRONG CODE")))</f>
        <v>Pending</v>
      </c>
      <c r="L185" s="30" t="s">
        <v>55</v>
      </c>
      <c r="M185" s="41"/>
      <c r="N185" s="22"/>
    </row>
    <row r="186" spans="1:14" ht="20.100000000000001" customHeight="1" x14ac:dyDescent="0.25">
      <c r="A186" s="30" t="str">
        <f t="shared" si="20"/>
        <v/>
      </c>
      <c r="B186" s="41"/>
      <c r="C186" s="35" t="str">
        <f>IF(B186="","",IFERROR(VLOOKUP(B186,DB_Customers!$A:$B,2,0),"❌ Account Not Found"))</f>
        <v/>
      </c>
      <c r="D186" s="42" t="str">
        <f t="shared" ca="1" si="21"/>
        <v/>
      </c>
      <c r="E186" s="32"/>
      <c r="F186" s="31"/>
      <c r="G186" s="41"/>
      <c r="H186" s="56">
        <v>2.5</v>
      </c>
      <c r="I186" s="43" t="str">
        <f t="shared" si="22"/>
        <v/>
      </c>
      <c r="J186" s="43" t="str">
        <f t="shared" si="23"/>
        <v/>
      </c>
      <c r="K186" s="33" t="str">
        <f>IF(B186="","Pending",IF(M186="","⚠️ Enter Code",IF(IFERROR(VLOOKUP(L186,DB_Agents!$B:$F,4,0),"")=TEXT(M186,"0"),"Pending Approval","🔒 WRONG CODE")))</f>
        <v>Pending</v>
      </c>
      <c r="L186" s="30" t="s">
        <v>55</v>
      </c>
      <c r="M186" s="41"/>
      <c r="N186" s="57"/>
    </row>
    <row r="187" spans="1:14" ht="20.100000000000001" customHeight="1" x14ac:dyDescent="0.25">
      <c r="A187" s="30" t="str">
        <f t="shared" si="20"/>
        <v/>
      </c>
      <c r="B187" s="41"/>
      <c r="C187" s="35" t="str">
        <f>IF(B187="","",IFERROR(VLOOKUP(B187,DB_Customers!$A:$B,2,0),"❌ Account Not Found"))</f>
        <v/>
      </c>
      <c r="D187" s="42" t="str">
        <f t="shared" ca="1" si="21"/>
        <v/>
      </c>
      <c r="E187" s="32"/>
      <c r="F187" s="31"/>
      <c r="G187" s="41"/>
      <c r="H187" s="56">
        <v>2.5</v>
      </c>
      <c r="I187" s="43" t="str">
        <f t="shared" si="22"/>
        <v/>
      </c>
      <c r="J187" s="43" t="str">
        <f t="shared" si="23"/>
        <v/>
      </c>
      <c r="K187" s="33" t="str">
        <f>IF(B187="","Pending",IF(M187="","⚠️ Enter Code",IF(IFERROR(VLOOKUP(L187,DB_Agents!$B:$F,4,0),"")=TEXT(M187,"0"),"Pending Approval","🔒 WRONG CODE")))</f>
        <v>Pending</v>
      </c>
      <c r="L187" s="30" t="s">
        <v>55</v>
      </c>
      <c r="M187" s="41"/>
      <c r="N187" s="22"/>
    </row>
    <row r="188" spans="1:14" ht="20.100000000000001" customHeight="1" x14ac:dyDescent="0.25">
      <c r="A188" s="30" t="str">
        <f t="shared" si="20"/>
        <v/>
      </c>
      <c r="B188" s="41"/>
      <c r="C188" s="35" t="str">
        <f>IF(B188="","",IFERROR(VLOOKUP(B188,DB_Customers!$A:$B,2,0),"❌ Account Not Found"))</f>
        <v/>
      </c>
      <c r="D188" s="42" t="str">
        <f t="shared" ca="1" si="21"/>
        <v/>
      </c>
      <c r="E188" s="32"/>
      <c r="F188" s="31"/>
      <c r="G188" s="41"/>
      <c r="H188" s="56">
        <v>2.5</v>
      </c>
      <c r="I188" s="43" t="str">
        <f t="shared" si="22"/>
        <v/>
      </c>
      <c r="J188" s="43" t="str">
        <f t="shared" si="23"/>
        <v/>
      </c>
      <c r="K188" s="33" t="str">
        <f>IF(B188="","Pending",IF(M188="","⚠️ Enter Code",IF(IFERROR(VLOOKUP(L188,DB_Agents!$B:$F,4,0),"")=TEXT(M188,"0"),"Pending Approval","🔒 WRONG CODE")))</f>
        <v>Pending</v>
      </c>
      <c r="L188" s="30" t="s">
        <v>55</v>
      </c>
      <c r="M188" s="41"/>
      <c r="N188" s="57"/>
    </row>
    <row r="189" spans="1:14" ht="20.100000000000001" customHeight="1" x14ac:dyDescent="0.25">
      <c r="A189" s="30" t="str">
        <f t="shared" si="20"/>
        <v/>
      </c>
      <c r="B189" s="41"/>
      <c r="C189" s="35" t="str">
        <f>IF(B189="","",IFERROR(VLOOKUP(B189,DB_Customers!$A:$B,2,0),"❌ Account Not Found"))</f>
        <v/>
      </c>
      <c r="D189" s="42" t="str">
        <f t="shared" ca="1" si="21"/>
        <v/>
      </c>
      <c r="E189" s="32"/>
      <c r="F189" s="31"/>
      <c r="G189" s="41"/>
      <c r="H189" s="56">
        <v>2.5</v>
      </c>
      <c r="I189" s="43" t="str">
        <f t="shared" si="22"/>
        <v/>
      </c>
      <c r="J189" s="43" t="str">
        <f t="shared" si="23"/>
        <v/>
      </c>
      <c r="K189" s="33" t="str">
        <f>IF(B189="","Pending",IF(M189="","⚠️ Enter Code",IF(IFERROR(VLOOKUP(L189,DB_Agents!$B:$F,4,0),"")=TEXT(M189,"0"),"Pending Approval","🔒 WRONG CODE")))</f>
        <v>Pending</v>
      </c>
      <c r="L189" s="30" t="s">
        <v>55</v>
      </c>
      <c r="M189" s="41"/>
      <c r="N189" s="22"/>
    </row>
    <row r="190" spans="1:14" ht="20.100000000000001" customHeight="1" x14ac:dyDescent="0.25">
      <c r="A190" s="30" t="str">
        <f t="shared" si="20"/>
        <v/>
      </c>
      <c r="B190" s="41"/>
      <c r="C190" s="35" t="str">
        <f>IF(B190="","",IFERROR(VLOOKUP(B190,DB_Customers!$A:$B,2,0),"❌ Account Not Found"))</f>
        <v/>
      </c>
      <c r="D190" s="42" t="str">
        <f t="shared" ca="1" si="21"/>
        <v/>
      </c>
      <c r="E190" s="32"/>
      <c r="F190" s="31"/>
      <c r="G190" s="41"/>
      <c r="H190" s="56">
        <v>2.5</v>
      </c>
      <c r="I190" s="43" t="str">
        <f t="shared" si="22"/>
        <v/>
      </c>
      <c r="J190" s="43" t="str">
        <f t="shared" si="23"/>
        <v/>
      </c>
      <c r="K190" s="33" t="str">
        <f>IF(B190="","Pending",IF(M190="","⚠️ Enter Code",IF(IFERROR(VLOOKUP(L190,DB_Agents!$B:$F,4,0),"")=TEXT(M190,"0"),"Pending Approval","🔒 WRONG CODE")))</f>
        <v>Pending</v>
      </c>
      <c r="L190" s="30" t="s">
        <v>55</v>
      </c>
      <c r="M190" s="41"/>
      <c r="N190" s="57"/>
    </row>
    <row r="191" spans="1:14" ht="20.100000000000001" customHeight="1" x14ac:dyDescent="0.25">
      <c r="A191" s="30" t="str">
        <f t="shared" si="20"/>
        <v/>
      </c>
      <c r="B191" s="41"/>
      <c r="C191" s="35" t="str">
        <f>IF(B191="","",IFERROR(VLOOKUP(B191,DB_Customers!$A:$B,2,0),"❌ Account Not Found"))</f>
        <v/>
      </c>
      <c r="D191" s="42" t="str">
        <f t="shared" ca="1" si="21"/>
        <v/>
      </c>
      <c r="E191" s="32"/>
      <c r="F191" s="31"/>
      <c r="G191" s="41"/>
      <c r="H191" s="56">
        <v>2.5</v>
      </c>
      <c r="I191" s="43" t="str">
        <f t="shared" si="22"/>
        <v/>
      </c>
      <c r="J191" s="43" t="str">
        <f t="shared" si="23"/>
        <v/>
      </c>
      <c r="K191" s="33" t="str">
        <f>IF(B191="","Pending",IF(M191="","⚠️ Enter Code",IF(IFERROR(VLOOKUP(L191,DB_Agents!$B:$F,4,0),"")=TEXT(M191,"0"),"Pending Approval","🔒 WRONG CODE")))</f>
        <v>Pending</v>
      </c>
      <c r="L191" s="30" t="s">
        <v>55</v>
      </c>
      <c r="M191" s="41"/>
      <c r="N191" s="22"/>
    </row>
    <row r="192" spans="1:14" ht="20.100000000000001" customHeight="1" x14ac:dyDescent="0.25">
      <c r="A192" s="30" t="str">
        <f t="shared" si="20"/>
        <v/>
      </c>
      <c r="B192" s="41"/>
      <c r="C192" s="35" t="str">
        <f>IF(B192="","",IFERROR(VLOOKUP(B192,DB_Customers!$A:$B,2,0),"❌ Account Not Found"))</f>
        <v/>
      </c>
      <c r="D192" s="42" t="str">
        <f t="shared" ca="1" si="21"/>
        <v/>
      </c>
      <c r="E192" s="32"/>
      <c r="F192" s="31"/>
      <c r="G192" s="41"/>
      <c r="H192" s="56">
        <v>2.5</v>
      </c>
      <c r="I192" s="43" t="str">
        <f t="shared" si="22"/>
        <v/>
      </c>
      <c r="J192" s="43" t="str">
        <f t="shared" si="23"/>
        <v/>
      </c>
      <c r="K192" s="33" t="str">
        <f>IF(B192="","Pending",IF(M192="","⚠️ Enter Code",IF(IFERROR(VLOOKUP(L192,DB_Agents!$B:$F,4,0),"")=TEXT(M192,"0"),"Pending Approval","🔒 WRONG CODE")))</f>
        <v>Pending</v>
      </c>
      <c r="L192" s="30" t="s">
        <v>55</v>
      </c>
      <c r="M192" s="41"/>
      <c r="N192" s="57"/>
    </row>
    <row r="193" spans="1:14" ht="20.100000000000001" customHeight="1" x14ac:dyDescent="0.25">
      <c r="A193" s="30" t="str">
        <f t="shared" si="20"/>
        <v/>
      </c>
      <c r="B193" s="41"/>
      <c r="C193" s="35" t="str">
        <f>IF(B193="","",IFERROR(VLOOKUP(B193,DB_Customers!$A:$B,2,0),"❌ Account Not Found"))</f>
        <v/>
      </c>
      <c r="D193" s="42" t="str">
        <f t="shared" ca="1" si="21"/>
        <v/>
      </c>
      <c r="E193" s="32"/>
      <c r="F193" s="31"/>
      <c r="G193" s="41"/>
      <c r="H193" s="56">
        <v>2.5</v>
      </c>
      <c r="I193" s="43" t="str">
        <f t="shared" si="22"/>
        <v/>
      </c>
      <c r="J193" s="43" t="str">
        <f t="shared" si="23"/>
        <v/>
      </c>
      <c r="K193" s="33" t="str">
        <f>IF(B193="","Pending",IF(M193="","⚠️ Enter Code",IF(IFERROR(VLOOKUP(L193,DB_Agents!$B:$F,4,0),"")=TEXT(M193,"0"),"Pending Approval","🔒 WRONG CODE")))</f>
        <v>Pending</v>
      </c>
      <c r="L193" s="30" t="s">
        <v>55</v>
      </c>
      <c r="M193" s="41"/>
      <c r="N193" s="22"/>
    </row>
    <row r="194" spans="1:14" ht="20.100000000000001" customHeight="1" x14ac:dyDescent="0.25">
      <c r="A194" s="30" t="str">
        <f t="shared" si="20"/>
        <v/>
      </c>
      <c r="B194" s="41"/>
      <c r="C194" s="35" t="str">
        <f>IF(B194="","",IFERROR(VLOOKUP(B194,DB_Customers!$A:$B,2,0),"❌ Account Not Found"))</f>
        <v/>
      </c>
      <c r="D194" s="42" t="str">
        <f t="shared" ca="1" si="21"/>
        <v/>
      </c>
      <c r="E194" s="32"/>
      <c r="F194" s="31"/>
      <c r="G194" s="41"/>
      <c r="H194" s="56">
        <v>2.5</v>
      </c>
      <c r="I194" s="43" t="str">
        <f t="shared" si="22"/>
        <v/>
      </c>
      <c r="J194" s="43" t="str">
        <f t="shared" si="23"/>
        <v/>
      </c>
      <c r="K194" s="33" t="str">
        <f>IF(B194="","Pending",IF(M194="","⚠️ Enter Code",IF(IFERROR(VLOOKUP(L194,DB_Agents!$B:$F,4,0),"")=TEXT(M194,"0"),"Pending Approval","🔒 WRONG CODE")))</f>
        <v>Pending</v>
      </c>
      <c r="L194" s="30" t="s">
        <v>55</v>
      </c>
      <c r="M194" s="41"/>
      <c r="N194" s="57"/>
    </row>
    <row r="195" spans="1:14" ht="20.100000000000001" customHeight="1" x14ac:dyDescent="0.25">
      <c r="A195" s="30" t="str">
        <f t="shared" si="20"/>
        <v/>
      </c>
      <c r="B195" s="41"/>
      <c r="C195" s="35" t="str">
        <f>IF(B195="","",IFERROR(VLOOKUP(B195,DB_Customers!$A:$B,2,0),"❌ Account Not Found"))</f>
        <v/>
      </c>
      <c r="D195" s="42" t="str">
        <f t="shared" ca="1" si="21"/>
        <v/>
      </c>
      <c r="E195" s="32"/>
      <c r="F195" s="31"/>
      <c r="G195" s="41"/>
      <c r="H195" s="56">
        <v>2.5</v>
      </c>
      <c r="I195" s="43" t="str">
        <f t="shared" si="22"/>
        <v/>
      </c>
      <c r="J195" s="43" t="str">
        <f t="shared" si="23"/>
        <v/>
      </c>
      <c r="K195" s="33" t="str">
        <f>IF(B195="","Pending",IF(M195="","⚠️ Enter Code",IF(IFERROR(VLOOKUP(L195,DB_Agents!$B:$F,4,0),"")=TEXT(M195,"0"),"Pending Approval","🔒 WRONG CODE")))</f>
        <v>Pending</v>
      </c>
      <c r="L195" s="30" t="s">
        <v>55</v>
      </c>
      <c r="M195" s="41"/>
      <c r="N195" s="22"/>
    </row>
    <row r="196" spans="1:14" ht="20.100000000000001" customHeight="1" x14ac:dyDescent="0.25">
      <c r="A196" s="30" t="str">
        <f t="shared" si="20"/>
        <v/>
      </c>
      <c r="B196" s="41"/>
      <c r="C196" s="35" t="str">
        <f>IF(B196="","",IFERROR(VLOOKUP(B196,DB_Customers!$A:$B,2,0),"❌ Account Not Found"))</f>
        <v/>
      </c>
      <c r="D196" s="42" t="str">
        <f t="shared" ca="1" si="21"/>
        <v/>
      </c>
      <c r="E196" s="32"/>
      <c r="F196" s="31"/>
      <c r="G196" s="41"/>
      <c r="H196" s="56">
        <v>2.5</v>
      </c>
      <c r="I196" s="43" t="str">
        <f t="shared" si="22"/>
        <v/>
      </c>
      <c r="J196" s="43" t="str">
        <f t="shared" si="23"/>
        <v/>
      </c>
      <c r="K196" s="33" t="str">
        <f>IF(B196="","Pending",IF(M196="","⚠️ Enter Code",IF(IFERROR(VLOOKUP(L196,DB_Agents!$B:$F,4,0),"")=TEXT(M196,"0"),"Pending Approval","🔒 WRONG CODE")))</f>
        <v>Pending</v>
      </c>
      <c r="L196" s="30" t="s">
        <v>55</v>
      </c>
      <c r="M196" s="41"/>
      <c r="N196" s="57"/>
    </row>
    <row r="197" spans="1:14" ht="20.100000000000001" customHeight="1" x14ac:dyDescent="0.25">
      <c r="A197" s="30" t="str">
        <f t="shared" si="20"/>
        <v/>
      </c>
      <c r="B197" s="41"/>
      <c r="C197" s="35" t="str">
        <f>IF(B197="","",IFERROR(VLOOKUP(B197,DB_Customers!$A:$B,2,0),"❌ Account Not Found"))</f>
        <v/>
      </c>
      <c r="D197" s="42" t="str">
        <f t="shared" ca="1" si="21"/>
        <v/>
      </c>
      <c r="E197" s="32"/>
      <c r="F197" s="31"/>
      <c r="G197" s="41"/>
      <c r="H197" s="56">
        <v>2.5</v>
      </c>
      <c r="I197" s="43" t="str">
        <f t="shared" si="22"/>
        <v/>
      </c>
      <c r="J197" s="43" t="str">
        <f t="shared" si="23"/>
        <v/>
      </c>
      <c r="K197" s="33" t="str">
        <f>IF(B197="","Pending",IF(M197="","⚠️ Enter Code",IF(IFERROR(VLOOKUP(L197,DB_Agents!$B:$F,4,0),"")=TEXT(M197,"0"),"Pending Approval","🔒 WRONG CODE")))</f>
        <v>Pending</v>
      </c>
      <c r="L197" s="30" t="s">
        <v>55</v>
      </c>
      <c r="M197" s="41"/>
      <c r="N197" s="22"/>
    </row>
    <row r="198" spans="1:14" ht="20.100000000000001" customHeight="1" x14ac:dyDescent="0.25">
      <c r="A198" s="30" t="str">
        <f t="shared" si="20"/>
        <v/>
      </c>
      <c r="B198" s="41"/>
      <c r="C198" s="35" t="str">
        <f>IF(B198="","",IFERROR(VLOOKUP(B198,DB_Customers!$A:$B,2,0),"❌ Account Not Found"))</f>
        <v/>
      </c>
      <c r="D198" s="42" t="str">
        <f t="shared" ca="1" si="21"/>
        <v/>
      </c>
      <c r="E198" s="32"/>
      <c r="F198" s="31"/>
      <c r="G198" s="41"/>
      <c r="H198" s="56">
        <v>2.5</v>
      </c>
      <c r="I198" s="43" t="str">
        <f t="shared" si="22"/>
        <v/>
      </c>
      <c r="J198" s="43" t="str">
        <f t="shared" si="23"/>
        <v/>
      </c>
      <c r="K198" s="33" t="str">
        <f>IF(B198="","Pending",IF(M198="","⚠️ Enter Code",IF(IFERROR(VLOOKUP(L198,DB_Agents!$B:$F,4,0),"")=TEXT(M198,"0"),"Pending Approval","🔒 WRONG CODE")))</f>
        <v>Pending</v>
      </c>
      <c r="L198" s="30" t="s">
        <v>55</v>
      </c>
      <c r="M198" s="41"/>
      <c r="N198" s="57"/>
    </row>
    <row r="199" spans="1:14" ht="20.100000000000001" customHeight="1" x14ac:dyDescent="0.25">
      <c r="A199" s="30" t="str">
        <f t="shared" si="20"/>
        <v/>
      </c>
      <c r="B199" s="41"/>
      <c r="C199" s="35" t="str">
        <f>IF(B199="","",IFERROR(VLOOKUP(B199,DB_Customers!$A:$B,2,0),"❌ Account Not Found"))</f>
        <v/>
      </c>
      <c r="D199" s="42" t="str">
        <f t="shared" ca="1" si="21"/>
        <v/>
      </c>
      <c r="E199" s="32"/>
      <c r="F199" s="31"/>
      <c r="G199" s="41"/>
      <c r="H199" s="56">
        <v>2.5</v>
      </c>
      <c r="I199" s="43" t="str">
        <f t="shared" si="22"/>
        <v/>
      </c>
      <c r="J199" s="43" t="str">
        <f t="shared" si="23"/>
        <v/>
      </c>
      <c r="K199" s="33" t="str">
        <f>IF(B199="","Pending",IF(M199="","⚠️ Enter Code",IF(IFERROR(VLOOKUP(L199,DB_Agents!$B:$F,4,0),"")=TEXT(M199,"0"),"Pending Approval","🔒 WRONG CODE")))</f>
        <v>Pending</v>
      </c>
      <c r="L199" s="30" t="s">
        <v>55</v>
      </c>
      <c r="M199" s="41"/>
      <c r="N199" s="22"/>
    </row>
    <row r="200" spans="1:14" ht="20.100000000000001" customHeight="1" x14ac:dyDescent="0.25">
      <c r="A200" s="30" t="str">
        <f t="shared" si="20"/>
        <v/>
      </c>
      <c r="B200" s="41"/>
      <c r="C200" s="35" t="str">
        <f>IF(B200="","",IFERROR(VLOOKUP(B200,DB_Customers!$A:$B,2,0),"❌ Account Not Found"))</f>
        <v/>
      </c>
      <c r="D200" s="42" t="str">
        <f t="shared" ca="1" si="21"/>
        <v/>
      </c>
      <c r="E200" s="32"/>
      <c r="F200" s="31"/>
      <c r="G200" s="41"/>
      <c r="H200" s="56">
        <v>2.5</v>
      </c>
      <c r="I200" s="43" t="str">
        <f t="shared" si="22"/>
        <v/>
      </c>
      <c r="J200" s="43" t="str">
        <f t="shared" si="23"/>
        <v/>
      </c>
      <c r="K200" s="33" t="str">
        <f>IF(B200="","Pending",IF(M200="","⚠️ Enter Code",IF(IFERROR(VLOOKUP(L200,DB_Agents!$B:$F,4,0),"")=TEXT(M200,"0"),"Pending Approval","🔒 WRONG CODE")))</f>
        <v>Pending</v>
      </c>
      <c r="L200" s="30" t="s">
        <v>55</v>
      </c>
      <c r="M200" s="41"/>
      <c r="N200" s="57"/>
    </row>
    <row r="201" spans="1:14" ht="20.100000000000001" customHeight="1" x14ac:dyDescent="0.25">
      <c r="A201" s="30" t="str">
        <f t="shared" si="20"/>
        <v/>
      </c>
      <c r="B201" s="41"/>
      <c r="C201" s="35" t="str">
        <f>IF(B201="","",IFERROR(VLOOKUP(B201,DB_Customers!$A:$B,2,0),"❌ Account Not Found"))</f>
        <v/>
      </c>
      <c r="D201" s="42" t="str">
        <f t="shared" ca="1" si="21"/>
        <v/>
      </c>
      <c r="E201" s="32"/>
      <c r="F201" s="31"/>
      <c r="G201" s="41"/>
      <c r="H201" s="56">
        <v>2.5</v>
      </c>
      <c r="I201" s="43" t="str">
        <f t="shared" si="22"/>
        <v/>
      </c>
      <c r="J201" s="43" t="str">
        <f t="shared" si="23"/>
        <v/>
      </c>
      <c r="K201" s="33" t="str">
        <f>IF(B201="","Pending",IF(M201="","⚠️ Enter Code",IF(IFERROR(VLOOKUP(L201,DB_Agents!$B:$F,4,0),"")=TEXT(M201,"0"),"Pending Approval","🔒 WRONG CODE")))</f>
        <v>Pending</v>
      </c>
      <c r="L201" s="30" t="s">
        <v>55</v>
      </c>
      <c r="M201" s="41"/>
      <c r="N201" s="22"/>
    </row>
    <row r="202" spans="1:14" ht="20.100000000000001" customHeight="1" x14ac:dyDescent="0.25">
      <c r="A202" s="30" t="str">
        <f t="shared" si="20"/>
        <v/>
      </c>
      <c r="B202" s="41"/>
      <c r="C202" s="35" t="str">
        <f>IF(B202="","",IFERROR(VLOOKUP(B202,DB_Customers!$A:$B,2,0),"❌ Account Not Found"))</f>
        <v/>
      </c>
      <c r="D202" s="42" t="str">
        <f t="shared" ca="1" si="21"/>
        <v/>
      </c>
      <c r="E202" s="32"/>
      <c r="F202" s="31"/>
      <c r="G202" s="41"/>
      <c r="H202" s="56">
        <v>2.5</v>
      </c>
      <c r="I202" s="43" t="str">
        <f t="shared" si="22"/>
        <v/>
      </c>
      <c r="J202" s="43" t="str">
        <f t="shared" si="23"/>
        <v/>
      </c>
      <c r="K202" s="33" t="str">
        <f>IF(B202="","Pending",IF(M202="","⚠️ Enter Code",IF(IFERROR(VLOOKUP(L202,DB_Agents!$B:$F,4,0),"")=TEXT(M202,"0"),"Pending Approval","🔒 WRONG CODE")))</f>
        <v>Pending</v>
      </c>
      <c r="L202" s="30" t="s">
        <v>55</v>
      </c>
      <c r="M202" s="41"/>
      <c r="N202" s="57"/>
    </row>
    <row r="203" spans="1:14" ht="20.100000000000001" customHeight="1" x14ac:dyDescent="0.25">
      <c r="A203" s="30" t="str">
        <f t="shared" si="20"/>
        <v/>
      </c>
      <c r="B203" s="41"/>
      <c r="C203" s="35" t="str">
        <f>IF(B203="","",IFERROR(VLOOKUP(B203,DB_Customers!$A:$B,2,0),"❌ Account Not Found"))</f>
        <v/>
      </c>
      <c r="D203" s="42" t="str">
        <f t="shared" ca="1" si="21"/>
        <v/>
      </c>
      <c r="E203" s="32"/>
      <c r="F203" s="31"/>
      <c r="G203" s="41"/>
      <c r="H203" s="56">
        <v>2.5</v>
      </c>
      <c r="I203" s="43" t="str">
        <f t="shared" si="22"/>
        <v/>
      </c>
      <c r="J203" s="43" t="str">
        <f t="shared" si="23"/>
        <v/>
      </c>
      <c r="K203" s="33" t="str">
        <f>IF(B203="","Pending",IF(M203="","⚠️ Enter Code",IF(IFERROR(VLOOKUP(L203,DB_Agents!$B:$F,4,0),"")=TEXT(M203,"0"),"Pending Approval","🔒 WRONG CODE")))</f>
        <v>Pending</v>
      </c>
      <c r="L203" s="30" t="s">
        <v>55</v>
      </c>
      <c r="M203" s="41"/>
      <c r="N203" s="22"/>
    </row>
    <row r="204" spans="1:14" ht="20.100000000000001" customHeight="1" x14ac:dyDescent="0.25">
      <c r="A204" s="30" t="str">
        <f t="shared" si="20"/>
        <v/>
      </c>
      <c r="B204" s="41"/>
      <c r="C204" s="35" t="str">
        <f>IF(B204="","",IFERROR(VLOOKUP(B204,DB_Customers!$A:$B,2,0),"❌ Account Not Found"))</f>
        <v/>
      </c>
      <c r="D204" s="42" t="str">
        <f t="shared" ca="1" si="21"/>
        <v/>
      </c>
      <c r="E204" s="32"/>
      <c r="F204" s="31"/>
      <c r="G204" s="41"/>
      <c r="H204" s="56">
        <v>2.5</v>
      </c>
      <c r="I204" s="43" t="str">
        <f t="shared" si="22"/>
        <v/>
      </c>
      <c r="J204" s="43" t="str">
        <f t="shared" si="23"/>
        <v/>
      </c>
      <c r="K204" s="33" t="str">
        <f>IF(B204="","Pending",IF(M204="","⚠️ Enter Code",IF(IFERROR(VLOOKUP(L204,DB_Agents!$B:$F,4,0),"")=TEXT(M204,"0"),"Pending Approval","🔒 WRONG CODE")))</f>
        <v>Pending</v>
      </c>
      <c r="L204" s="30" t="s">
        <v>55</v>
      </c>
      <c r="M204" s="41"/>
      <c r="N204" s="57"/>
    </row>
    <row r="205" spans="1:14" ht="20.100000000000001" customHeight="1" x14ac:dyDescent="0.25">
      <c r="A205" s="30" t="str">
        <f t="shared" si="20"/>
        <v/>
      </c>
      <c r="B205" s="41"/>
      <c r="C205" s="35" t="str">
        <f>IF(B205="","",IFERROR(VLOOKUP(B205,DB_Customers!$A:$B,2,0),"❌ Account Not Found"))</f>
        <v/>
      </c>
      <c r="D205" s="42" t="str">
        <f t="shared" ca="1" si="21"/>
        <v/>
      </c>
      <c r="E205" s="32"/>
      <c r="F205" s="31"/>
      <c r="G205" s="41"/>
      <c r="H205" s="56">
        <v>2.5</v>
      </c>
      <c r="I205" s="43" t="str">
        <f t="shared" si="22"/>
        <v/>
      </c>
      <c r="J205" s="43" t="str">
        <f t="shared" si="23"/>
        <v/>
      </c>
      <c r="K205" s="33" t="str">
        <f>IF(B205="","Pending",IF(M205="","⚠️ Enter Code",IF(IFERROR(VLOOKUP(L205,DB_Agents!$B:$F,4,0),"")=TEXT(M205,"0"),"Pending Approval","🔒 WRONG CODE")))</f>
        <v>Pending</v>
      </c>
      <c r="L205" s="30" t="s">
        <v>55</v>
      </c>
      <c r="M205" s="41"/>
      <c r="N205" s="22"/>
    </row>
    <row r="206" spans="1:14" ht="20.100000000000001" customHeight="1" x14ac:dyDescent="0.25">
      <c r="A206" s="30" t="str">
        <f t="shared" ref="A206:A237" si="24">IF(B206="","",IF(C206="❌ Account Not Found","INVALID","LN"&amp;TEXT(D206,"YYYYMMDD")&amp;TEXT(ROW()-13,"0000")))</f>
        <v/>
      </c>
      <c r="B206" s="41"/>
      <c r="C206" s="35" t="str">
        <f>IF(B206="","",IFERROR(VLOOKUP(B206,DB_Customers!$A:$B,2,0),"❌ Account Not Found"))</f>
        <v/>
      </c>
      <c r="D206" s="42" t="str">
        <f t="shared" ref="D206:D213" ca="1" si="25">IF(B206="","",TODAY())</f>
        <v/>
      </c>
      <c r="E206" s="32"/>
      <c r="F206" s="31"/>
      <c r="G206" s="41"/>
      <c r="H206" s="56">
        <v>2.5</v>
      </c>
      <c r="I206" s="43" t="str">
        <f t="shared" ref="I206:I237" si="26">IF(E206="","",E206+(E206*H206/100*G206))</f>
        <v/>
      </c>
      <c r="J206" s="43" t="str">
        <f t="shared" ref="J206:J237" si="27">IFERROR(I206/G206,"")</f>
        <v/>
      </c>
      <c r="K206" s="33" t="str">
        <f>IF(B206="","Pending",IF(M206="","⚠️ Enter Code",IF(IFERROR(VLOOKUP(L206,DB_Agents!$B:$F,4,0),"")=TEXT(M206,"0"),"Pending Approval","🔒 WRONG CODE")))</f>
        <v>Pending</v>
      </c>
      <c r="L206" s="30" t="s">
        <v>55</v>
      </c>
      <c r="M206" s="41"/>
      <c r="N206" s="57"/>
    </row>
    <row r="207" spans="1:14" ht="20.100000000000001" customHeight="1" x14ac:dyDescent="0.25">
      <c r="A207" s="30" t="str">
        <f t="shared" si="24"/>
        <v/>
      </c>
      <c r="B207" s="41"/>
      <c r="C207" s="35" t="str">
        <f>IF(B207="","",IFERROR(VLOOKUP(B207,DB_Customers!$A:$B,2,0),"❌ Account Not Found"))</f>
        <v/>
      </c>
      <c r="D207" s="42" t="str">
        <f t="shared" ca="1" si="25"/>
        <v/>
      </c>
      <c r="E207" s="32"/>
      <c r="F207" s="31"/>
      <c r="G207" s="41"/>
      <c r="H207" s="56">
        <v>2.5</v>
      </c>
      <c r="I207" s="43" t="str">
        <f t="shared" si="26"/>
        <v/>
      </c>
      <c r="J207" s="43" t="str">
        <f t="shared" si="27"/>
        <v/>
      </c>
      <c r="K207" s="33" t="str">
        <f>IF(B207="","Pending",IF(M207="","⚠️ Enter Code",IF(IFERROR(VLOOKUP(L207,DB_Agents!$B:$F,4,0),"")=TEXT(M207,"0"),"Pending Approval","🔒 WRONG CODE")))</f>
        <v>Pending</v>
      </c>
      <c r="L207" s="30" t="s">
        <v>55</v>
      </c>
      <c r="M207" s="41"/>
      <c r="N207" s="22"/>
    </row>
    <row r="208" spans="1:14" ht="20.100000000000001" customHeight="1" x14ac:dyDescent="0.25">
      <c r="A208" s="30" t="str">
        <f t="shared" si="24"/>
        <v/>
      </c>
      <c r="B208" s="41"/>
      <c r="C208" s="35" t="str">
        <f>IF(B208="","",IFERROR(VLOOKUP(B208,DB_Customers!$A:$B,2,0),"❌ Account Not Found"))</f>
        <v/>
      </c>
      <c r="D208" s="42" t="str">
        <f t="shared" ca="1" si="25"/>
        <v/>
      </c>
      <c r="E208" s="32"/>
      <c r="F208" s="31"/>
      <c r="G208" s="41"/>
      <c r="H208" s="56">
        <v>2.5</v>
      </c>
      <c r="I208" s="43" t="str">
        <f t="shared" si="26"/>
        <v/>
      </c>
      <c r="J208" s="43" t="str">
        <f t="shared" si="27"/>
        <v/>
      </c>
      <c r="K208" s="33" t="str">
        <f>IF(B208="","Pending",IF(M208="","⚠️ Enter Code",IF(IFERROR(VLOOKUP(L208,DB_Agents!$B:$F,4,0),"")=TEXT(M208,"0"),"Pending Approval","🔒 WRONG CODE")))</f>
        <v>Pending</v>
      </c>
      <c r="L208" s="30" t="s">
        <v>55</v>
      </c>
      <c r="M208" s="41"/>
      <c r="N208" s="57"/>
    </row>
    <row r="209" spans="1:14" ht="20.100000000000001" customHeight="1" x14ac:dyDescent="0.25">
      <c r="A209" s="30" t="str">
        <f t="shared" si="24"/>
        <v/>
      </c>
      <c r="B209" s="41"/>
      <c r="C209" s="35" t="str">
        <f>IF(B209="","",IFERROR(VLOOKUP(B209,DB_Customers!$A:$B,2,0),"❌ Account Not Found"))</f>
        <v/>
      </c>
      <c r="D209" s="42" t="str">
        <f t="shared" ca="1" si="25"/>
        <v/>
      </c>
      <c r="E209" s="32"/>
      <c r="F209" s="31"/>
      <c r="G209" s="41"/>
      <c r="H209" s="56">
        <v>2.5</v>
      </c>
      <c r="I209" s="43" t="str">
        <f t="shared" si="26"/>
        <v/>
      </c>
      <c r="J209" s="43" t="str">
        <f t="shared" si="27"/>
        <v/>
      </c>
      <c r="K209" s="33" t="str">
        <f>IF(B209="","Pending",IF(M209="","⚠️ Enter Code",IF(IFERROR(VLOOKUP(L209,DB_Agents!$B:$F,4,0),"")=TEXT(M209,"0"),"Pending Approval","🔒 WRONG CODE")))</f>
        <v>Pending</v>
      </c>
      <c r="L209" s="30" t="s">
        <v>55</v>
      </c>
      <c r="M209" s="41"/>
      <c r="N209" s="22"/>
    </row>
    <row r="210" spans="1:14" ht="20.100000000000001" customHeight="1" x14ac:dyDescent="0.25">
      <c r="A210" s="30" t="str">
        <f t="shared" si="24"/>
        <v/>
      </c>
      <c r="B210" s="41"/>
      <c r="C210" s="35" t="str">
        <f>IF(B210="","",IFERROR(VLOOKUP(B210,DB_Customers!$A:$B,2,0),"❌ Account Not Found"))</f>
        <v/>
      </c>
      <c r="D210" s="42" t="str">
        <f t="shared" ca="1" si="25"/>
        <v/>
      </c>
      <c r="E210" s="32"/>
      <c r="F210" s="31"/>
      <c r="G210" s="41"/>
      <c r="H210" s="56">
        <v>2.5</v>
      </c>
      <c r="I210" s="43" t="str">
        <f t="shared" si="26"/>
        <v/>
      </c>
      <c r="J210" s="43" t="str">
        <f t="shared" si="27"/>
        <v/>
      </c>
      <c r="K210" s="33" t="str">
        <f>IF(B210="","Pending",IF(M210="","⚠️ Enter Code",IF(IFERROR(VLOOKUP(L210,DB_Agents!$B:$F,4,0),"")=TEXT(M210,"0"),"Pending Approval","🔒 WRONG CODE")))</f>
        <v>Pending</v>
      </c>
      <c r="L210" s="30" t="s">
        <v>55</v>
      </c>
      <c r="M210" s="41"/>
      <c r="N210" s="57"/>
    </row>
    <row r="211" spans="1:14" ht="20.100000000000001" customHeight="1" x14ac:dyDescent="0.25">
      <c r="A211" s="30" t="str">
        <f t="shared" si="24"/>
        <v/>
      </c>
      <c r="B211" s="41"/>
      <c r="C211" s="35" t="str">
        <f>IF(B211="","",IFERROR(VLOOKUP(B211,DB_Customers!$A:$B,2,0),"❌ Account Not Found"))</f>
        <v/>
      </c>
      <c r="D211" s="42" t="str">
        <f t="shared" ca="1" si="25"/>
        <v/>
      </c>
      <c r="E211" s="32"/>
      <c r="F211" s="31"/>
      <c r="G211" s="41"/>
      <c r="H211" s="56">
        <v>2.5</v>
      </c>
      <c r="I211" s="43" t="str">
        <f t="shared" si="26"/>
        <v/>
      </c>
      <c r="J211" s="43" t="str">
        <f t="shared" si="27"/>
        <v/>
      </c>
      <c r="K211" s="33" t="str">
        <f>IF(B211="","Pending",IF(M211="","⚠️ Enter Code",IF(IFERROR(VLOOKUP(L211,DB_Agents!$B:$F,4,0),"")=TEXT(M211,"0"),"Pending Approval","🔒 WRONG CODE")))</f>
        <v>Pending</v>
      </c>
      <c r="L211" s="30" t="s">
        <v>55</v>
      </c>
      <c r="M211" s="41"/>
      <c r="N211" s="22"/>
    </row>
    <row r="212" spans="1:14" ht="20.100000000000001" customHeight="1" x14ac:dyDescent="0.25">
      <c r="A212" s="30" t="str">
        <f t="shared" si="24"/>
        <v/>
      </c>
      <c r="B212" s="41"/>
      <c r="C212" s="35" t="str">
        <f>IF(B212="","",IFERROR(VLOOKUP(B212,DB_Customers!$A:$B,2,0),"❌ Account Not Found"))</f>
        <v/>
      </c>
      <c r="D212" s="42" t="str">
        <f t="shared" ca="1" si="25"/>
        <v/>
      </c>
      <c r="E212" s="32"/>
      <c r="F212" s="31"/>
      <c r="G212" s="41"/>
      <c r="H212" s="56">
        <v>2.5</v>
      </c>
      <c r="I212" s="43" t="str">
        <f t="shared" si="26"/>
        <v/>
      </c>
      <c r="J212" s="43" t="str">
        <f t="shared" si="27"/>
        <v/>
      </c>
      <c r="K212" s="33" t="str">
        <f>IF(B212="","Pending",IF(M212="","⚠️ Enter Code",IF(IFERROR(VLOOKUP(L212,DB_Agents!$B:$F,4,0),"")=TEXT(M212,"0"),"Pending Approval","🔒 WRONG CODE")))</f>
        <v>Pending</v>
      </c>
      <c r="L212" s="30" t="s">
        <v>55</v>
      </c>
      <c r="M212" s="41"/>
      <c r="N212" s="57"/>
    </row>
    <row r="213" spans="1:14" ht="20.100000000000001" customHeight="1" x14ac:dyDescent="0.25">
      <c r="A213" s="30" t="str">
        <f t="shared" si="24"/>
        <v/>
      </c>
      <c r="B213" s="41"/>
      <c r="C213" s="35" t="str">
        <f>IF(B213="","",IFERROR(VLOOKUP(B213,DB_Customers!$A:$B,2,0),"❌ Account Not Found"))</f>
        <v/>
      </c>
      <c r="D213" s="42" t="str">
        <f t="shared" ca="1" si="25"/>
        <v/>
      </c>
      <c r="E213" s="32"/>
      <c r="F213" s="31"/>
      <c r="G213" s="41"/>
      <c r="H213" s="56">
        <v>2.5</v>
      </c>
      <c r="I213" s="43" t="str">
        <f t="shared" si="26"/>
        <v/>
      </c>
      <c r="J213" s="43" t="str">
        <f t="shared" si="27"/>
        <v/>
      </c>
      <c r="K213" s="33" t="str">
        <f>IF(B213="","Pending",IF(M213="","⚠️ Enter Code",IF(IFERROR(VLOOKUP(L213,DB_Agents!$B:$F,4,0),"")=TEXT(M213,"0"),"Pending Approval","🔒 WRONG CODE")))</f>
        <v>Pending</v>
      </c>
      <c r="L213" s="30" t="s">
        <v>55</v>
      </c>
      <c r="M213" s="41"/>
      <c r="N213" s="22"/>
    </row>
  </sheetData>
  <mergeCells count="3">
    <mergeCell ref="A12:N12"/>
    <mergeCell ref="A2:N2"/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2.1" customHeight="1" x14ac:dyDescent="0.25">
      <c r="A1" s="93" t="s">
        <v>167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1.95" customHeight="1" x14ac:dyDescent="0.25">
      <c r="A2" s="97" t="s">
        <v>168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20.100000000000001" customHeight="1" x14ac:dyDescent="0.25">
      <c r="A3" s="44" t="s">
        <v>126</v>
      </c>
      <c r="D3" s="44" t="s">
        <v>127</v>
      </c>
      <c r="G3" s="44" t="s">
        <v>128</v>
      </c>
    </row>
    <row r="4" spans="1:11" ht="24" customHeight="1" x14ac:dyDescent="0.25">
      <c r="A4" s="45">
        <f ca="1">IFERROR(SUMIFS(DB_Savings!$F:$F,DB_Savings!$D:$D,"Agent 03",DB_Savings!$E:$E,TODAY()),0)</f>
        <v>0</v>
      </c>
      <c r="D4" s="45">
        <f ca="1">IFERROR(COUNTIFS(DB_Savings!$D:$D,"Agent 03",DB_Savings!$E:$E,TODAY()),0)</f>
        <v>0</v>
      </c>
      <c r="G4" s="45" t="str">
        <f ca="1">TEXT(TODAY(),"DDDD, DD MMMM YYYY")</f>
        <v>Saturday, 25 April 2026</v>
      </c>
    </row>
    <row r="6" spans="1:11" ht="26.1" customHeight="1" x14ac:dyDescent="0.25">
      <c r="A6" s="97" t="s">
        <v>129</v>
      </c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ht="21.95" customHeight="1" x14ac:dyDescent="0.25">
      <c r="A7" s="90" t="s">
        <v>169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spans="1:11" ht="30" customHeight="1" x14ac:dyDescent="0.25">
      <c r="A8" s="19" t="s">
        <v>131</v>
      </c>
      <c r="B8" s="19" t="s">
        <v>69</v>
      </c>
      <c r="C8" s="19" t="s">
        <v>84</v>
      </c>
      <c r="D8" s="19" t="s">
        <v>91</v>
      </c>
      <c r="E8" s="19" t="s">
        <v>132</v>
      </c>
      <c r="F8" s="19" t="s">
        <v>133</v>
      </c>
      <c r="G8" s="19" t="s">
        <v>45</v>
      </c>
      <c r="H8" s="19" t="s">
        <v>134</v>
      </c>
      <c r="I8" s="19" t="s">
        <v>77</v>
      </c>
      <c r="J8" s="19" t="s">
        <v>135</v>
      </c>
      <c r="K8" s="19" t="s">
        <v>95</v>
      </c>
    </row>
    <row r="9" spans="1:11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IF(A9="","",IFERROR(VLOOKUP(A9,DB_Customers!$A:$M,13,0),""))</f>
        <v/>
      </c>
      <c r="D9" s="42" t="str">
        <f t="shared" ref="D9:D40" ca="1" si="0">IF(A9="","",TODAY())</f>
        <v/>
      </c>
      <c r="E9" s="32"/>
      <c r="F9" s="43" t="str">
        <f t="shared" ref="F9:F40" si="1">IFERROR(IF(OR(A9="",E9=""),"",C9+E9),"")</f>
        <v/>
      </c>
      <c r="G9" s="30" t="s">
        <v>56</v>
      </c>
      <c r="H9" s="41"/>
      <c r="I9" s="33" t="str">
        <f>IF(A9="","",IF(H9="","⚠️ Enter Agent Code",IF(IFERROR(VLOOKUP(G9,DB_Agents!$B:$F,4,0),"")=TEXT(H9,"0"),IF(AND(A9&lt;&gt;"",E9&lt;&gt;""),"✅ Saved","Pending"),"🔒 WRONG CODE")))</f>
        <v/>
      </c>
      <c r="J9" s="33" t="str">
        <f t="shared" ref="J9:J40" ca="1" si="2">IF(I9="✅ Saved",TEXT(TODAY(),"YYYY-MM-DD")&amp;" Auto","—")</f>
        <v>—</v>
      </c>
      <c r="K9" s="22"/>
    </row>
    <row r="10" spans="1:11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IF(A10="","",IFERROR(VLOOKUP(A10,DB_Customers!$A:$M,13,0),""))</f>
        <v/>
      </c>
      <c r="D10" s="42" t="str">
        <f t="shared" ca="1" si="0"/>
        <v/>
      </c>
      <c r="E10" s="32"/>
      <c r="F10" s="43" t="str">
        <f t="shared" si="1"/>
        <v/>
      </c>
      <c r="G10" s="30" t="s">
        <v>56</v>
      </c>
      <c r="H10" s="41"/>
      <c r="I10" s="33" t="str">
        <f>IF(A10="","",IF(H10="","⚠️ Enter Agent Code",IF(IFERROR(VLOOKUP(G10,DB_Agents!$B:$F,4,0),"")=TEXT(H10,"0"),IF(AND(A10&lt;&gt;"",E10&lt;&gt;""),"✅ Saved","Pending"),"🔒 WRONG CODE")))</f>
        <v/>
      </c>
      <c r="J10" s="33" t="str">
        <f t="shared" ca="1" si="2"/>
        <v>—</v>
      </c>
      <c r="K10" s="46"/>
    </row>
    <row r="11" spans="1:11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IF(A11="","",IFERROR(VLOOKUP(A11,DB_Customers!$A:$M,13,0),""))</f>
        <v/>
      </c>
      <c r="D11" s="42" t="str">
        <f t="shared" ca="1" si="0"/>
        <v/>
      </c>
      <c r="E11" s="32"/>
      <c r="F11" s="43" t="str">
        <f t="shared" si="1"/>
        <v/>
      </c>
      <c r="G11" s="30" t="s">
        <v>56</v>
      </c>
      <c r="H11" s="41"/>
      <c r="I11" s="33" t="str">
        <f>IF(A11="","",IF(H11="","⚠️ Enter Agent Code",IF(IFERROR(VLOOKUP(G11,DB_Agents!$B:$F,4,0),"")=TEXT(H11,"0"),IF(AND(A11&lt;&gt;"",E11&lt;&gt;""),"✅ Saved","Pending"),"🔒 WRONG CODE")))</f>
        <v/>
      </c>
      <c r="J11" s="33" t="str">
        <f t="shared" ca="1" si="2"/>
        <v>—</v>
      </c>
      <c r="K11" s="22"/>
    </row>
    <row r="12" spans="1:11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IF(A12="","",IFERROR(VLOOKUP(A12,DB_Customers!$A:$M,13,0),""))</f>
        <v/>
      </c>
      <c r="D12" s="42" t="str">
        <f t="shared" ca="1" si="0"/>
        <v/>
      </c>
      <c r="E12" s="32"/>
      <c r="F12" s="43" t="str">
        <f t="shared" si="1"/>
        <v/>
      </c>
      <c r="G12" s="30" t="s">
        <v>56</v>
      </c>
      <c r="H12" s="41"/>
      <c r="I12" s="33" t="str">
        <f>IF(A12="","",IF(H12="","⚠️ Enter Agent Code",IF(IFERROR(VLOOKUP(G12,DB_Agents!$B:$F,4,0),"")=TEXT(H12,"0"),IF(AND(A12&lt;&gt;"",E12&lt;&gt;""),"✅ Saved","Pending"),"🔒 WRONG CODE")))</f>
        <v/>
      </c>
      <c r="J12" s="33" t="str">
        <f t="shared" ca="1" si="2"/>
        <v>—</v>
      </c>
      <c r="K12" s="46"/>
    </row>
    <row r="13" spans="1:11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IF(A13="","",IFERROR(VLOOKUP(A13,DB_Customers!$A:$M,13,0),""))</f>
        <v/>
      </c>
      <c r="D13" s="42" t="str">
        <f t="shared" ca="1" si="0"/>
        <v/>
      </c>
      <c r="E13" s="32"/>
      <c r="F13" s="43" t="str">
        <f t="shared" si="1"/>
        <v/>
      </c>
      <c r="G13" s="30" t="s">
        <v>56</v>
      </c>
      <c r="H13" s="41"/>
      <c r="I13" s="33" t="str">
        <f>IF(A13="","",IF(H13="","⚠️ Enter Agent Code",IF(IFERROR(VLOOKUP(G13,DB_Agents!$B:$F,4,0),"")=TEXT(H13,"0"),IF(AND(A13&lt;&gt;"",E13&lt;&gt;""),"✅ Saved","Pending"),"🔒 WRONG CODE")))</f>
        <v/>
      </c>
      <c r="J13" s="33" t="str">
        <f t="shared" ca="1" si="2"/>
        <v>—</v>
      </c>
      <c r="K13" s="22"/>
    </row>
    <row r="14" spans="1:11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IF(A14="","",IFERROR(VLOOKUP(A14,DB_Customers!$A:$M,13,0),""))</f>
        <v/>
      </c>
      <c r="D14" s="42" t="str">
        <f t="shared" ca="1" si="0"/>
        <v/>
      </c>
      <c r="E14" s="32"/>
      <c r="F14" s="43" t="str">
        <f t="shared" si="1"/>
        <v/>
      </c>
      <c r="G14" s="30" t="s">
        <v>56</v>
      </c>
      <c r="H14" s="41"/>
      <c r="I14" s="33" t="str">
        <f>IF(A14="","",IF(H14="","⚠️ Enter Agent Code",IF(IFERROR(VLOOKUP(G14,DB_Agents!$B:$F,4,0),"")=TEXT(H14,"0"),IF(AND(A14&lt;&gt;"",E14&lt;&gt;""),"✅ Saved","Pending"),"🔒 WRONG CODE")))</f>
        <v/>
      </c>
      <c r="J14" s="33" t="str">
        <f t="shared" ca="1" si="2"/>
        <v>—</v>
      </c>
      <c r="K14" s="46"/>
    </row>
    <row r="15" spans="1:11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IF(A15="","",IFERROR(VLOOKUP(A15,DB_Customers!$A:$M,13,0),""))</f>
        <v/>
      </c>
      <c r="D15" s="42" t="str">
        <f t="shared" ca="1" si="0"/>
        <v/>
      </c>
      <c r="E15" s="32"/>
      <c r="F15" s="43" t="str">
        <f t="shared" si="1"/>
        <v/>
      </c>
      <c r="G15" s="30" t="s">
        <v>56</v>
      </c>
      <c r="H15" s="41"/>
      <c r="I15" s="33" t="str">
        <f>IF(A15="","",IF(H15="","⚠️ Enter Agent Code",IF(IFERROR(VLOOKUP(G15,DB_Agents!$B:$F,4,0),"")=TEXT(H15,"0"),IF(AND(A15&lt;&gt;"",E15&lt;&gt;""),"✅ Saved","Pending"),"🔒 WRONG CODE")))</f>
        <v/>
      </c>
      <c r="J15" s="33" t="str">
        <f t="shared" ca="1" si="2"/>
        <v>—</v>
      </c>
      <c r="K15" s="22"/>
    </row>
    <row r="16" spans="1:11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IF(A16="","",IFERROR(VLOOKUP(A16,DB_Customers!$A:$M,13,0),""))</f>
        <v/>
      </c>
      <c r="D16" s="42" t="str">
        <f t="shared" ca="1" si="0"/>
        <v/>
      </c>
      <c r="E16" s="32"/>
      <c r="F16" s="43" t="str">
        <f t="shared" si="1"/>
        <v/>
      </c>
      <c r="G16" s="30" t="s">
        <v>56</v>
      </c>
      <c r="H16" s="41"/>
      <c r="I16" s="33" t="str">
        <f>IF(A16="","",IF(H16="","⚠️ Enter Agent Code",IF(IFERROR(VLOOKUP(G16,DB_Agents!$B:$F,4,0),"")=TEXT(H16,"0"),IF(AND(A16&lt;&gt;"",E16&lt;&gt;""),"✅ Saved","Pending"),"🔒 WRONG CODE")))</f>
        <v/>
      </c>
      <c r="J16" s="33" t="str">
        <f t="shared" ca="1" si="2"/>
        <v>—</v>
      </c>
      <c r="K16" s="46"/>
    </row>
    <row r="17" spans="1:11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IF(A17="","",IFERROR(VLOOKUP(A17,DB_Customers!$A:$M,13,0),""))</f>
        <v/>
      </c>
      <c r="D17" s="42" t="str">
        <f t="shared" ca="1" si="0"/>
        <v/>
      </c>
      <c r="E17" s="32"/>
      <c r="F17" s="43" t="str">
        <f t="shared" si="1"/>
        <v/>
      </c>
      <c r="G17" s="30" t="s">
        <v>56</v>
      </c>
      <c r="H17" s="41"/>
      <c r="I17" s="33" t="str">
        <f>IF(A17="","",IF(H17="","⚠️ Enter Agent Code",IF(IFERROR(VLOOKUP(G17,DB_Agents!$B:$F,4,0),"")=TEXT(H17,"0"),IF(AND(A17&lt;&gt;"",E17&lt;&gt;""),"✅ Saved","Pending"),"🔒 WRONG CODE")))</f>
        <v/>
      </c>
      <c r="J17" s="33" t="str">
        <f t="shared" ca="1" si="2"/>
        <v>—</v>
      </c>
      <c r="K17" s="22"/>
    </row>
    <row r="18" spans="1:11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IF(A18="","",IFERROR(VLOOKUP(A18,DB_Customers!$A:$M,13,0),""))</f>
        <v/>
      </c>
      <c r="D18" s="42" t="str">
        <f t="shared" ca="1" si="0"/>
        <v/>
      </c>
      <c r="E18" s="32"/>
      <c r="F18" s="43" t="str">
        <f t="shared" si="1"/>
        <v/>
      </c>
      <c r="G18" s="30" t="s">
        <v>56</v>
      </c>
      <c r="H18" s="41"/>
      <c r="I18" s="33" t="str">
        <f>IF(A18="","",IF(H18="","⚠️ Enter Agent Code",IF(IFERROR(VLOOKUP(G18,DB_Agents!$B:$F,4,0),"")=TEXT(H18,"0"),IF(AND(A18&lt;&gt;"",E18&lt;&gt;""),"✅ Saved","Pending"),"🔒 WRONG CODE")))</f>
        <v/>
      </c>
      <c r="J18" s="33" t="str">
        <f t="shared" ca="1" si="2"/>
        <v>—</v>
      </c>
      <c r="K18" s="46"/>
    </row>
    <row r="19" spans="1:11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IF(A19="","",IFERROR(VLOOKUP(A19,DB_Customers!$A:$M,13,0),""))</f>
        <v/>
      </c>
      <c r="D19" s="42" t="str">
        <f t="shared" ca="1" si="0"/>
        <v/>
      </c>
      <c r="E19" s="32"/>
      <c r="F19" s="43" t="str">
        <f t="shared" si="1"/>
        <v/>
      </c>
      <c r="G19" s="30" t="s">
        <v>56</v>
      </c>
      <c r="H19" s="41"/>
      <c r="I19" s="33" t="str">
        <f>IF(A19="","",IF(H19="","⚠️ Enter Agent Code",IF(IFERROR(VLOOKUP(G19,DB_Agents!$B:$F,4,0),"")=TEXT(H19,"0"),IF(AND(A19&lt;&gt;"",E19&lt;&gt;""),"✅ Saved","Pending"),"🔒 WRONG CODE")))</f>
        <v/>
      </c>
      <c r="J19" s="33" t="str">
        <f t="shared" ca="1" si="2"/>
        <v>—</v>
      </c>
      <c r="K19" s="22"/>
    </row>
    <row r="20" spans="1:11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IF(A20="","",IFERROR(VLOOKUP(A20,DB_Customers!$A:$M,13,0),""))</f>
        <v/>
      </c>
      <c r="D20" s="42" t="str">
        <f t="shared" ca="1" si="0"/>
        <v/>
      </c>
      <c r="E20" s="32"/>
      <c r="F20" s="43" t="str">
        <f t="shared" si="1"/>
        <v/>
      </c>
      <c r="G20" s="30" t="s">
        <v>56</v>
      </c>
      <c r="H20" s="41"/>
      <c r="I20" s="33" t="str">
        <f>IF(A20="","",IF(H20="","⚠️ Enter Agent Code",IF(IFERROR(VLOOKUP(G20,DB_Agents!$B:$F,4,0),"")=TEXT(H20,"0"),IF(AND(A20&lt;&gt;"",E20&lt;&gt;""),"✅ Saved","Pending"),"🔒 WRONG CODE")))</f>
        <v/>
      </c>
      <c r="J20" s="33" t="str">
        <f t="shared" ca="1" si="2"/>
        <v>—</v>
      </c>
      <c r="K20" s="46"/>
    </row>
    <row r="21" spans="1:11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IF(A21="","",IFERROR(VLOOKUP(A21,DB_Customers!$A:$M,13,0),""))</f>
        <v/>
      </c>
      <c r="D21" s="42" t="str">
        <f t="shared" ca="1" si="0"/>
        <v/>
      </c>
      <c r="E21" s="32"/>
      <c r="F21" s="43" t="str">
        <f t="shared" si="1"/>
        <v/>
      </c>
      <c r="G21" s="30" t="s">
        <v>56</v>
      </c>
      <c r="H21" s="41"/>
      <c r="I21" s="33" t="str">
        <f>IF(A21="","",IF(H21="","⚠️ Enter Agent Code",IF(IFERROR(VLOOKUP(G21,DB_Agents!$B:$F,4,0),"")=TEXT(H21,"0"),IF(AND(A21&lt;&gt;"",E21&lt;&gt;""),"✅ Saved","Pending"),"🔒 WRONG CODE")))</f>
        <v/>
      </c>
      <c r="J21" s="33" t="str">
        <f t="shared" ca="1" si="2"/>
        <v>—</v>
      </c>
      <c r="K21" s="22"/>
    </row>
    <row r="22" spans="1:11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IF(A22="","",IFERROR(VLOOKUP(A22,DB_Customers!$A:$M,13,0),""))</f>
        <v/>
      </c>
      <c r="D22" s="42" t="str">
        <f t="shared" ca="1" si="0"/>
        <v/>
      </c>
      <c r="E22" s="32"/>
      <c r="F22" s="43" t="str">
        <f t="shared" si="1"/>
        <v/>
      </c>
      <c r="G22" s="30" t="s">
        <v>56</v>
      </c>
      <c r="H22" s="41"/>
      <c r="I22" s="33" t="str">
        <f>IF(A22="","",IF(H22="","⚠️ Enter Agent Code",IF(IFERROR(VLOOKUP(G22,DB_Agents!$B:$F,4,0),"")=TEXT(H22,"0"),IF(AND(A22&lt;&gt;"",E22&lt;&gt;""),"✅ Saved","Pending"),"🔒 WRONG CODE")))</f>
        <v/>
      </c>
      <c r="J22" s="33" t="str">
        <f t="shared" ca="1" si="2"/>
        <v>—</v>
      </c>
      <c r="K22" s="46"/>
    </row>
    <row r="23" spans="1:11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IF(A23="","",IFERROR(VLOOKUP(A23,DB_Customers!$A:$M,13,0),""))</f>
        <v/>
      </c>
      <c r="D23" s="42" t="str">
        <f t="shared" ca="1" si="0"/>
        <v/>
      </c>
      <c r="E23" s="32"/>
      <c r="F23" s="43" t="str">
        <f t="shared" si="1"/>
        <v/>
      </c>
      <c r="G23" s="30" t="s">
        <v>56</v>
      </c>
      <c r="H23" s="41"/>
      <c r="I23" s="33" t="str">
        <f>IF(A23="","",IF(H23="","⚠️ Enter Agent Code",IF(IFERROR(VLOOKUP(G23,DB_Agents!$B:$F,4,0),"")=TEXT(H23,"0"),IF(AND(A23&lt;&gt;"",E23&lt;&gt;""),"✅ Saved","Pending"),"🔒 WRONG CODE")))</f>
        <v/>
      </c>
      <c r="J23" s="33" t="str">
        <f t="shared" ca="1" si="2"/>
        <v>—</v>
      </c>
      <c r="K23" s="22"/>
    </row>
    <row r="24" spans="1:11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IF(A24="","",IFERROR(VLOOKUP(A24,DB_Customers!$A:$M,13,0),""))</f>
        <v/>
      </c>
      <c r="D24" s="42" t="str">
        <f t="shared" ca="1" si="0"/>
        <v/>
      </c>
      <c r="E24" s="32"/>
      <c r="F24" s="43" t="str">
        <f t="shared" si="1"/>
        <v/>
      </c>
      <c r="G24" s="30" t="s">
        <v>56</v>
      </c>
      <c r="H24" s="41"/>
      <c r="I24" s="33" t="str">
        <f>IF(A24="","",IF(H24="","⚠️ Enter Agent Code",IF(IFERROR(VLOOKUP(G24,DB_Agents!$B:$F,4,0),"")=TEXT(H24,"0"),IF(AND(A24&lt;&gt;"",E24&lt;&gt;""),"✅ Saved","Pending"),"🔒 WRONG CODE")))</f>
        <v/>
      </c>
      <c r="J24" s="33" t="str">
        <f t="shared" ca="1" si="2"/>
        <v>—</v>
      </c>
      <c r="K24" s="46"/>
    </row>
    <row r="25" spans="1:11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IF(A25="","",IFERROR(VLOOKUP(A25,DB_Customers!$A:$M,13,0),""))</f>
        <v/>
      </c>
      <c r="D25" s="42" t="str">
        <f t="shared" ca="1" si="0"/>
        <v/>
      </c>
      <c r="E25" s="32"/>
      <c r="F25" s="43" t="str">
        <f t="shared" si="1"/>
        <v/>
      </c>
      <c r="G25" s="30" t="s">
        <v>56</v>
      </c>
      <c r="H25" s="41"/>
      <c r="I25" s="33" t="str">
        <f>IF(A25="","",IF(H25="","⚠️ Enter Agent Code",IF(IFERROR(VLOOKUP(G25,DB_Agents!$B:$F,4,0),"")=TEXT(H25,"0"),IF(AND(A25&lt;&gt;"",E25&lt;&gt;""),"✅ Saved","Pending"),"🔒 WRONG CODE")))</f>
        <v/>
      </c>
      <c r="J25" s="33" t="str">
        <f t="shared" ca="1" si="2"/>
        <v>—</v>
      </c>
      <c r="K25" s="22"/>
    </row>
    <row r="26" spans="1:11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IF(A26="","",IFERROR(VLOOKUP(A26,DB_Customers!$A:$M,13,0),""))</f>
        <v/>
      </c>
      <c r="D26" s="42" t="str">
        <f t="shared" ca="1" si="0"/>
        <v/>
      </c>
      <c r="E26" s="32"/>
      <c r="F26" s="43" t="str">
        <f t="shared" si="1"/>
        <v/>
      </c>
      <c r="G26" s="30" t="s">
        <v>56</v>
      </c>
      <c r="H26" s="41"/>
      <c r="I26" s="33" t="str">
        <f>IF(A26="","",IF(H26="","⚠️ Enter Agent Code",IF(IFERROR(VLOOKUP(G26,DB_Agents!$B:$F,4,0),"")=TEXT(H26,"0"),IF(AND(A26&lt;&gt;"",E26&lt;&gt;""),"✅ Saved","Pending"),"🔒 WRONG CODE")))</f>
        <v/>
      </c>
      <c r="J26" s="33" t="str">
        <f t="shared" ca="1" si="2"/>
        <v>—</v>
      </c>
      <c r="K26" s="46"/>
    </row>
    <row r="27" spans="1:11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IF(A27="","",IFERROR(VLOOKUP(A27,DB_Customers!$A:$M,13,0),""))</f>
        <v/>
      </c>
      <c r="D27" s="42" t="str">
        <f t="shared" ca="1" si="0"/>
        <v/>
      </c>
      <c r="E27" s="32"/>
      <c r="F27" s="43" t="str">
        <f t="shared" si="1"/>
        <v/>
      </c>
      <c r="G27" s="30" t="s">
        <v>56</v>
      </c>
      <c r="H27" s="41"/>
      <c r="I27" s="33" t="str">
        <f>IF(A27="","",IF(H27="","⚠️ Enter Agent Code",IF(IFERROR(VLOOKUP(G27,DB_Agents!$B:$F,4,0),"")=TEXT(H27,"0"),IF(AND(A27&lt;&gt;"",E27&lt;&gt;""),"✅ Saved","Pending"),"🔒 WRONG CODE")))</f>
        <v/>
      </c>
      <c r="J27" s="33" t="str">
        <f t="shared" ca="1" si="2"/>
        <v>—</v>
      </c>
      <c r="K27" s="22"/>
    </row>
    <row r="28" spans="1:11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IF(A28="","",IFERROR(VLOOKUP(A28,DB_Customers!$A:$M,13,0),""))</f>
        <v/>
      </c>
      <c r="D28" s="42" t="str">
        <f t="shared" ca="1" si="0"/>
        <v/>
      </c>
      <c r="E28" s="32"/>
      <c r="F28" s="43" t="str">
        <f t="shared" si="1"/>
        <v/>
      </c>
      <c r="G28" s="30" t="s">
        <v>56</v>
      </c>
      <c r="H28" s="41"/>
      <c r="I28" s="33" t="str">
        <f>IF(A28="","",IF(H28="","⚠️ Enter Agent Code",IF(IFERROR(VLOOKUP(G28,DB_Agents!$B:$F,4,0),"")=TEXT(H28,"0"),IF(AND(A28&lt;&gt;"",E28&lt;&gt;""),"✅ Saved","Pending"),"🔒 WRONG CODE")))</f>
        <v/>
      </c>
      <c r="J28" s="33" t="str">
        <f t="shared" ca="1" si="2"/>
        <v>—</v>
      </c>
      <c r="K28" s="46"/>
    </row>
    <row r="29" spans="1:11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IF(A29="","",IFERROR(VLOOKUP(A29,DB_Customers!$A:$M,13,0),""))</f>
        <v/>
      </c>
      <c r="D29" s="42" t="str">
        <f t="shared" ca="1" si="0"/>
        <v/>
      </c>
      <c r="E29" s="32"/>
      <c r="F29" s="43" t="str">
        <f t="shared" si="1"/>
        <v/>
      </c>
      <c r="G29" s="30" t="s">
        <v>56</v>
      </c>
      <c r="H29" s="41"/>
      <c r="I29" s="33" t="str">
        <f>IF(A29="","",IF(H29="","⚠️ Enter Agent Code",IF(IFERROR(VLOOKUP(G29,DB_Agents!$B:$F,4,0),"")=TEXT(H29,"0"),IF(AND(A29&lt;&gt;"",E29&lt;&gt;""),"✅ Saved","Pending"),"🔒 WRONG CODE")))</f>
        <v/>
      </c>
      <c r="J29" s="33" t="str">
        <f t="shared" ca="1" si="2"/>
        <v>—</v>
      </c>
      <c r="K29" s="22"/>
    </row>
    <row r="30" spans="1:11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IF(A30="","",IFERROR(VLOOKUP(A30,DB_Customers!$A:$M,13,0),""))</f>
        <v/>
      </c>
      <c r="D30" s="42" t="str">
        <f t="shared" ca="1" si="0"/>
        <v/>
      </c>
      <c r="E30" s="32"/>
      <c r="F30" s="43" t="str">
        <f t="shared" si="1"/>
        <v/>
      </c>
      <c r="G30" s="30" t="s">
        <v>56</v>
      </c>
      <c r="H30" s="41"/>
      <c r="I30" s="33" t="str">
        <f>IF(A30="","",IF(H30="","⚠️ Enter Agent Code",IF(IFERROR(VLOOKUP(G30,DB_Agents!$B:$F,4,0),"")=TEXT(H30,"0"),IF(AND(A30&lt;&gt;"",E30&lt;&gt;""),"✅ Saved","Pending"),"🔒 WRONG CODE")))</f>
        <v/>
      </c>
      <c r="J30" s="33" t="str">
        <f t="shared" ca="1" si="2"/>
        <v>—</v>
      </c>
      <c r="K30" s="46"/>
    </row>
    <row r="31" spans="1:11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IF(A31="","",IFERROR(VLOOKUP(A31,DB_Customers!$A:$M,13,0),""))</f>
        <v/>
      </c>
      <c r="D31" s="42" t="str">
        <f t="shared" ca="1" si="0"/>
        <v/>
      </c>
      <c r="E31" s="32"/>
      <c r="F31" s="43" t="str">
        <f t="shared" si="1"/>
        <v/>
      </c>
      <c r="G31" s="30" t="s">
        <v>56</v>
      </c>
      <c r="H31" s="41"/>
      <c r="I31" s="33" t="str">
        <f>IF(A31="","",IF(H31="","⚠️ Enter Agent Code",IF(IFERROR(VLOOKUP(G31,DB_Agents!$B:$F,4,0),"")=TEXT(H31,"0"),IF(AND(A31&lt;&gt;"",E31&lt;&gt;""),"✅ Saved","Pending"),"🔒 WRONG CODE")))</f>
        <v/>
      </c>
      <c r="J31" s="33" t="str">
        <f t="shared" ca="1" si="2"/>
        <v>—</v>
      </c>
      <c r="K31" s="22"/>
    </row>
    <row r="32" spans="1:11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IF(A32="","",IFERROR(VLOOKUP(A32,DB_Customers!$A:$M,13,0),""))</f>
        <v/>
      </c>
      <c r="D32" s="42" t="str">
        <f t="shared" ca="1" si="0"/>
        <v/>
      </c>
      <c r="E32" s="32"/>
      <c r="F32" s="43" t="str">
        <f t="shared" si="1"/>
        <v/>
      </c>
      <c r="G32" s="30" t="s">
        <v>56</v>
      </c>
      <c r="H32" s="41"/>
      <c r="I32" s="33" t="str">
        <f>IF(A32="","",IF(H32="","⚠️ Enter Agent Code",IF(IFERROR(VLOOKUP(G32,DB_Agents!$B:$F,4,0),"")=TEXT(H32,"0"),IF(AND(A32&lt;&gt;"",E32&lt;&gt;""),"✅ Saved","Pending"),"🔒 WRONG CODE")))</f>
        <v/>
      </c>
      <c r="J32" s="33" t="str">
        <f t="shared" ca="1" si="2"/>
        <v>—</v>
      </c>
      <c r="K32" s="46"/>
    </row>
    <row r="33" spans="1:11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IF(A33="","",IFERROR(VLOOKUP(A33,DB_Customers!$A:$M,13,0),""))</f>
        <v/>
      </c>
      <c r="D33" s="42" t="str">
        <f t="shared" ca="1" si="0"/>
        <v/>
      </c>
      <c r="E33" s="32"/>
      <c r="F33" s="43" t="str">
        <f t="shared" si="1"/>
        <v/>
      </c>
      <c r="G33" s="30" t="s">
        <v>56</v>
      </c>
      <c r="H33" s="41"/>
      <c r="I33" s="33" t="str">
        <f>IF(A33="","",IF(H33="","⚠️ Enter Agent Code",IF(IFERROR(VLOOKUP(G33,DB_Agents!$B:$F,4,0),"")=TEXT(H33,"0"),IF(AND(A33&lt;&gt;"",E33&lt;&gt;""),"✅ Saved","Pending"),"🔒 WRONG CODE")))</f>
        <v/>
      </c>
      <c r="J33" s="33" t="str">
        <f t="shared" ca="1" si="2"/>
        <v>—</v>
      </c>
      <c r="K33" s="22"/>
    </row>
    <row r="34" spans="1:11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IF(A34="","",IFERROR(VLOOKUP(A34,DB_Customers!$A:$M,13,0),""))</f>
        <v/>
      </c>
      <c r="D34" s="42" t="str">
        <f t="shared" ca="1" si="0"/>
        <v/>
      </c>
      <c r="E34" s="32"/>
      <c r="F34" s="43" t="str">
        <f t="shared" si="1"/>
        <v/>
      </c>
      <c r="G34" s="30" t="s">
        <v>56</v>
      </c>
      <c r="H34" s="41"/>
      <c r="I34" s="33" t="str">
        <f>IF(A34="","",IF(H34="","⚠️ Enter Agent Code",IF(IFERROR(VLOOKUP(G34,DB_Agents!$B:$F,4,0),"")=TEXT(H34,"0"),IF(AND(A34&lt;&gt;"",E34&lt;&gt;""),"✅ Saved","Pending"),"🔒 WRONG CODE")))</f>
        <v/>
      </c>
      <c r="J34" s="33" t="str">
        <f t="shared" ca="1" si="2"/>
        <v>—</v>
      </c>
      <c r="K34" s="46"/>
    </row>
    <row r="35" spans="1:11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IF(A35="","",IFERROR(VLOOKUP(A35,DB_Customers!$A:$M,13,0),""))</f>
        <v/>
      </c>
      <c r="D35" s="42" t="str">
        <f t="shared" ca="1" si="0"/>
        <v/>
      </c>
      <c r="E35" s="32"/>
      <c r="F35" s="43" t="str">
        <f t="shared" si="1"/>
        <v/>
      </c>
      <c r="G35" s="30" t="s">
        <v>56</v>
      </c>
      <c r="H35" s="41"/>
      <c r="I35" s="33" t="str">
        <f>IF(A35="","",IF(H35="","⚠️ Enter Agent Code",IF(IFERROR(VLOOKUP(G35,DB_Agents!$B:$F,4,0),"")=TEXT(H35,"0"),IF(AND(A35&lt;&gt;"",E35&lt;&gt;""),"✅ Saved","Pending"),"🔒 WRONG CODE")))</f>
        <v/>
      </c>
      <c r="J35" s="33" t="str">
        <f t="shared" ca="1" si="2"/>
        <v>—</v>
      </c>
      <c r="K35" s="22"/>
    </row>
    <row r="36" spans="1:11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IF(A36="","",IFERROR(VLOOKUP(A36,DB_Customers!$A:$M,13,0),""))</f>
        <v/>
      </c>
      <c r="D36" s="42" t="str">
        <f t="shared" ca="1" si="0"/>
        <v/>
      </c>
      <c r="E36" s="32"/>
      <c r="F36" s="43" t="str">
        <f t="shared" si="1"/>
        <v/>
      </c>
      <c r="G36" s="30" t="s">
        <v>56</v>
      </c>
      <c r="H36" s="41"/>
      <c r="I36" s="33" t="str">
        <f>IF(A36="","",IF(H36="","⚠️ Enter Agent Code",IF(IFERROR(VLOOKUP(G36,DB_Agents!$B:$F,4,0),"")=TEXT(H36,"0"),IF(AND(A36&lt;&gt;"",E36&lt;&gt;""),"✅ Saved","Pending"),"🔒 WRONG CODE")))</f>
        <v/>
      </c>
      <c r="J36" s="33" t="str">
        <f t="shared" ca="1" si="2"/>
        <v>—</v>
      </c>
      <c r="K36" s="46"/>
    </row>
    <row r="37" spans="1:11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IF(A37="","",IFERROR(VLOOKUP(A37,DB_Customers!$A:$M,13,0),""))</f>
        <v/>
      </c>
      <c r="D37" s="42" t="str">
        <f t="shared" ca="1" si="0"/>
        <v/>
      </c>
      <c r="E37" s="32"/>
      <c r="F37" s="43" t="str">
        <f t="shared" si="1"/>
        <v/>
      </c>
      <c r="G37" s="30" t="s">
        <v>56</v>
      </c>
      <c r="H37" s="41"/>
      <c r="I37" s="33" t="str">
        <f>IF(A37="","",IF(H37="","⚠️ Enter Agent Code",IF(IFERROR(VLOOKUP(G37,DB_Agents!$B:$F,4,0),"")=TEXT(H37,"0"),IF(AND(A37&lt;&gt;"",E37&lt;&gt;""),"✅ Saved","Pending"),"🔒 WRONG CODE")))</f>
        <v/>
      </c>
      <c r="J37" s="33" t="str">
        <f t="shared" ca="1" si="2"/>
        <v>—</v>
      </c>
      <c r="K37" s="22"/>
    </row>
    <row r="38" spans="1:11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IF(A38="","",IFERROR(VLOOKUP(A38,DB_Customers!$A:$M,13,0),""))</f>
        <v/>
      </c>
      <c r="D38" s="42" t="str">
        <f t="shared" ca="1" si="0"/>
        <v/>
      </c>
      <c r="E38" s="32"/>
      <c r="F38" s="43" t="str">
        <f t="shared" si="1"/>
        <v/>
      </c>
      <c r="G38" s="30" t="s">
        <v>56</v>
      </c>
      <c r="H38" s="41"/>
      <c r="I38" s="33" t="str">
        <f>IF(A38="","",IF(H38="","⚠️ Enter Agent Code",IF(IFERROR(VLOOKUP(G38,DB_Agents!$B:$F,4,0),"")=TEXT(H38,"0"),IF(AND(A38&lt;&gt;"",E38&lt;&gt;""),"✅ Saved","Pending"),"🔒 WRONG CODE")))</f>
        <v/>
      </c>
      <c r="J38" s="33" t="str">
        <f t="shared" ca="1" si="2"/>
        <v>—</v>
      </c>
      <c r="K38" s="46"/>
    </row>
    <row r="39" spans="1:11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IF(A39="","",IFERROR(VLOOKUP(A39,DB_Customers!$A:$M,13,0),""))</f>
        <v/>
      </c>
      <c r="D39" s="42" t="str">
        <f t="shared" ca="1" si="0"/>
        <v/>
      </c>
      <c r="E39" s="32"/>
      <c r="F39" s="43" t="str">
        <f t="shared" si="1"/>
        <v/>
      </c>
      <c r="G39" s="30" t="s">
        <v>56</v>
      </c>
      <c r="H39" s="41"/>
      <c r="I39" s="33" t="str">
        <f>IF(A39="","",IF(H39="","⚠️ Enter Agent Code",IF(IFERROR(VLOOKUP(G39,DB_Agents!$B:$F,4,0),"")=TEXT(H39,"0"),IF(AND(A39&lt;&gt;"",E39&lt;&gt;""),"✅ Saved","Pending"),"🔒 WRONG CODE")))</f>
        <v/>
      </c>
      <c r="J39" s="33" t="str">
        <f t="shared" ca="1" si="2"/>
        <v>—</v>
      </c>
      <c r="K39" s="22"/>
    </row>
    <row r="40" spans="1:11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IF(A40="","",IFERROR(VLOOKUP(A40,DB_Customers!$A:$M,13,0),""))</f>
        <v/>
      </c>
      <c r="D40" s="42" t="str">
        <f t="shared" ca="1" si="0"/>
        <v/>
      </c>
      <c r="E40" s="32"/>
      <c r="F40" s="43" t="str">
        <f t="shared" si="1"/>
        <v/>
      </c>
      <c r="G40" s="30" t="s">
        <v>56</v>
      </c>
      <c r="H40" s="41"/>
      <c r="I40" s="33" t="str">
        <f>IF(A40="","",IF(H40="","⚠️ Enter Agent Code",IF(IFERROR(VLOOKUP(G40,DB_Agents!$B:$F,4,0),"")=TEXT(H40,"0"),IF(AND(A40&lt;&gt;"",E40&lt;&gt;""),"✅ Saved","Pending"),"🔒 WRONG CODE")))</f>
        <v/>
      </c>
      <c r="J40" s="33" t="str">
        <f t="shared" ca="1" si="2"/>
        <v>—</v>
      </c>
      <c r="K40" s="46"/>
    </row>
    <row r="41" spans="1:11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IF(A41="","",IFERROR(VLOOKUP(A41,DB_Customers!$A:$M,13,0),""))</f>
        <v/>
      </c>
      <c r="D41" s="42" t="str">
        <f t="shared" ref="D41:D72" ca="1" si="3">IF(A41="","",TODAY())</f>
        <v/>
      </c>
      <c r="E41" s="32"/>
      <c r="F41" s="43" t="str">
        <f t="shared" ref="F41:F72" si="4">IFERROR(IF(OR(A41="",E41=""),"",C41+E41),"")</f>
        <v/>
      </c>
      <c r="G41" s="30" t="s">
        <v>56</v>
      </c>
      <c r="H41" s="41"/>
      <c r="I41" s="33" t="str">
        <f>IF(A41="","",IF(H41="","⚠️ Enter Agent Code",IF(IFERROR(VLOOKUP(G41,DB_Agents!$B:$F,4,0),"")=TEXT(H41,"0"),IF(AND(A41&lt;&gt;"",E41&lt;&gt;""),"✅ Saved","Pending"),"🔒 WRONG CODE")))</f>
        <v/>
      </c>
      <c r="J41" s="33" t="str">
        <f t="shared" ref="J41:J72" ca="1" si="5">IF(I41="✅ Saved",TEXT(TODAY(),"YYYY-MM-DD")&amp;" Auto","—")</f>
        <v>—</v>
      </c>
      <c r="K41" s="22"/>
    </row>
    <row r="42" spans="1:11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IF(A42="","",IFERROR(VLOOKUP(A42,DB_Customers!$A:$M,13,0),""))</f>
        <v/>
      </c>
      <c r="D42" s="42" t="str">
        <f t="shared" ca="1" si="3"/>
        <v/>
      </c>
      <c r="E42" s="32"/>
      <c r="F42" s="43" t="str">
        <f t="shared" si="4"/>
        <v/>
      </c>
      <c r="G42" s="30" t="s">
        <v>56</v>
      </c>
      <c r="H42" s="41"/>
      <c r="I42" s="33" t="str">
        <f>IF(A42="","",IF(H42="","⚠️ Enter Agent Code",IF(IFERROR(VLOOKUP(G42,DB_Agents!$B:$F,4,0),"")=TEXT(H42,"0"),IF(AND(A42&lt;&gt;"",E42&lt;&gt;""),"✅ Saved","Pending"),"🔒 WRONG CODE")))</f>
        <v/>
      </c>
      <c r="J42" s="33" t="str">
        <f t="shared" ca="1" si="5"/>
        <v>—</v>
      </c>
      <c r="K42" s="46"/>
    </row>
    <row r="43" spans="1:11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IF(A43="","",IFERROR(VLOOKUP(A43,DB_Customers!$A:$M,13,0),""))</f>
        <v/>
      </c>
      <c r="D43" s="42" t="str">
        <f t="shared" ca="1" si="3"/>
        <v/>
      </c>
      <c r="E43" s="32"/>
      <c r="F43" s="43" t="str">
        <f t="shared" si="4"/>
        <v/>
      </c>
      <c r="G43" s="30" t="s">
        <v>56</v>
      </c>
      <c r="H43" s="41"/>
      <c r="I43" s="33" t="str">
        <f>IF(A43="","",IF(H43="","⚠️ Enter Agent Code",IF(IFERROR(VLOOKUP(G43,DB_Agents!$B:$F,4,0),"")=TEXT(H43,"0"),IF(AND(A43&lt;&gt;"",E43&lt;&gt;""),"✅ Saved","Pending"),"🔒 WRONG CODE")))</f>
        <v/>
      </c>
      <c r="J43" s="33" t="str">
        <f t="shared" ca="1" si="5"/>
        <v>—</v>
      </c>
      <c r="K43" s="22"/>
    </row>
    <row r="44" spans="1:11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IF(A44="","",IFERROR(VLOOKUP(A44,DB_Customers!$A:$M,13,0),""))</f>
        <v/>
      </c>
      <c r="D44" s="42" t="str">
        <f t="shared" ca="1" si="3"/>
        <v/>
      </c>
      <c r="E44" s="32"/>
      <c r="F44" s="43" t="str">
        <f t="shared" si="4"/>
        <v/>
      </c>
      <c r="G44" s="30" t="s">
        <v>56</v>
      </c>
      <c r="H44" s="41"/>
      <c r="I44" s="33" t="str">
        <f>IF(A44="","",IF(H44="","⚠️ Enter Agent Code",IF(IFERROR(VLOOKUP(G44,DB_Agents!$B:$F,4,0),"")=TEXT(H44,"0"),IF(AND(A44&lt;&gt;"",E44&lt;&gt;""),"✅ Saved","Pending"),"🔒 WRONG CODE")))</f>
        <v/>
      </c>
      <c r="J44" s="33" t="str">
        <f t="shared" ca="1" si="5"/>
        <v>—</v>
      </c>
      <c r="K44" s="46"/>
    </row>
    <row r="45" spans="1:11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IF(A45="","",IFERROR(VLOOKUP(A45,DB_Customers!$A:$M,13,0),""))</f>
        <v/>
      </c>
      <c r="D45" s="42" t="str">
        <f t="shared" ca="1" si="3"/>
        <v/>
      </c>
      <c r="E45" s="32"/>
      <c r="F45" s="43" t="str">
        <f t="shared" si="4"/>
        <v/>
      </c>
      <c r="G45" s="30" t="s">
        <v>56</v>
      </c>
      <c r="H45" s="41"/>
      <c r="I45" s="33" t="str">
        <f>IF(A45="","",IF(H45="","⚠️ Enter Agent Code",IF(IFERROR(VLOOKUP(G45,DB_Agents!$B:$F,4,0),"")=TEXT(H45,"0"),IF(AND(A45&lt;&gt;"",E45&lt;&gt;""),"✅ Saved","Pending"),"🔒 WRONG CODE")))</f>
        <v/>
      </c>
      <c r="J45" s="33" t="str">
        <f t="shared" ca="1" si="5"/>
        <v>—</v>
      </c>
      <c r="K45" s="22"/>
    </row>
    <row r="46" spans="1:11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IF(A46="","",IFERROR(VLOOKUP(A46,DB_Customers!$A:$M,13,0),""))</f>
        <v/>
      </c>
      <c r="D46" s="42" t="str">
        <f t="shared" ca="1" si="3"/>
        <v/>
      </c>
      <c r="E46" s="32"/>
      <c r="F46" s="43" t="str">
        <f t="shared" si="4"/>
        <v/>
      </c>
      <c r="G46" s="30" t="s">
        <v>56</v>
      </c>
      <c r="H46" s="41"/>
      <c r="I46" s="33" t="str">
        <f>IF(A46="","",IF(H46="","⚠️ Enter Agent Code",IF(IFERROR(VLOOKUP(G46,DB_Agents!$B:$F,4,0),"")=TEXT(H46,"0"),IF(AND(A46&lt;&gt;"",E46&lt;&gt;""),"✅ Saved","Pending"),"🔒 WRONG CODE")))</f>
        <v/>
      </c>
      <c r="J46" s="33" t="str">
        <f t="shared" ca="1" si="5"/>
        <v>—</v>
      </c>
      <c r="K46" s="46"/>
    </row>
    <row r="47" spans="1:11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IF(A47="","",IFERROR(VLOOKUP(A47,DB_Customers!$A:$M,13,0),""))</f>
        <v/>
      </c>
      <c r="D47" s="42" t="str">
        <f t="shared" ca="1" si="3"/>
        <v/>
      </c>
      <c r="E47" s="32"/>
      <c r="F47" s="43" t="str">
        <f t="shared" si="4"/>
        <v/>
      </c>
      <c r="G47" s="30" t="s">
        <v>56</v>
      </c>
      <c r="H47" s="41"/>
      <c r="I47" s="33" t="str">
        <f>IF(A47="","",IF(H47="","⚠️ Enter Agent Code",IF(IFERROR(VLOOKUP(G47,DB_Agents!$B:$F,4,0),"")=TEXT(H47,"0"),IF(AND(A47&lt;&gt;"",E47&lt;&gt;""),"✅ Saved","Pending"),"🔒 WRONG CODE")))</f>
        <v/>
      </c>
      <c r="J47" s="33" t="str">
        <f t="shared" ca="1" si="5"/>
        <v>—</v>
      </c>
      <c r="K47" s="22"/>
    </row>
    <row r="48" spans="1:11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IF(A48="","",IFERROR(VLOOKUP(A48,DB_Customers!$A:$M,13,0),""))</f>
        <v/>
      </c>
      <c r="D48" s="42" t="str">
        <f t="shared" ca="1" si="3"/>
        <v/>
      </c>
      <c r="E48" s="32"/>
      <c r="F48" s="43" t="str">
        <f t="shared" si="4"/>
        <v/>
      </c>
      <c r="G48" s="30" t="s">
        <v>56</v>
      </c>
      <c r="H48" s="41"/>
      <c r="I48" s="33" t="str">
        <f>IF(A48="","",IF(H48="","⚠️ Enter Agent Code",IF(IFERROR(VLOOKUP(G48,DB_Agents!$B:$F,4,0),"")=TEXT(H48,"0"),IF(AND(A48&lt;&gt;"",E48&lt;&gt;""),"✅ Saved","Pending"),"🔒 WRONG CODE")))</f>
        <v/>
      </c>
      <c r="J48" s="33" t="str">
        <f t="shared" ca="1" si="5"/>
        <v>—</v>
      </c>
      <c r="K48" s="46"/>
    </row>
    <row r="49" spans="1:11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IF(A49="","",IFERROR(VLOOKUP(A49,DB_Customers!$A:$M,13,0),""))</f>
        <v/>
      </c>
      <c r="D49" s="42" t="str">
        <f t="shared" ca="1" si="3"/>
        <v/>
      </c>
      <c r="E49" s="32"/>
      <c r="F49" s="43" t="str">
        <f t="shared" si="4"/>
        <v/>
      </c>
      <c r="G49" s="30" t="s">
        <v>56</v>
      </c>
      <c r="H49" s="41"/>
      <c r="I49" s="33" t="str">
        <f>IF(A49="","",IF(H49="","⚠️ Enter Agent Code",IF(IFERROR(VLOOKUP(G49,DB_Agents!$B:$F,4,0),"")=TEXT(H49,"0"),IF(AND(A49&lt;&gt;"",E49&lt;&gt;""),"✅ Saved","Pending"),"🔒 WRONG CODE")))</f>
        <v/>
      </c>
      <c r="J49" s="33" t="str">
        <f t="shared" ca="1" si="5"/>
        <v>—</v>
      </c>
      <c r="K49" s="22"/>
    </row>
    <row r="50" spans="1:11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IF(A50="","",IFERROR(VLOOKUP(A50,DB_Customers!$A:$M,13,0),""))</f>
        <v/>
      </c>
      <c r="D50" s="42" t="str">
        <f t="shared" ca="1" si="3"/>
        <v/>
      </c>
      <c r="E50" s="32"/>
      <c r="F50" s="43" t="str">
        <f t="shared" si="4"/>
        <v/>
      </c>
      <c r="G50" s="30" t="s">
        <v>56</v>
      </c>
      <c r="H50" s="41"/>
      <c r="I50" s="33" t="str">
        <f>IF(A50="","",IF(H50="","⚠️ Enter Agent Code",IF(IFERROR(VLOOKUP(G50,DB_Agents!$B:$F,4,0),"")=TEXT(H50,"0"),IF(AND(A50&lt;&gt;"",E50&lt;&gt;""),"✅ Saved","Pending"),"🔒 WRONG CODE")))</f>
        <v/>
      </c>
      <c r="J50" s="33" t="str">
        <f t="shared" ca="1" si="5"/>
        <v>—</v>
      </c>
      <c r="K50" s="46"/>
    </row>
    <row r="51" spans="1:11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IF(A51="","",IFERROR(VLOOKUP(A51,DB_Customers!$A:$M,13,0),""))</f>
        <v/>
      </c>
      <c r="D51" s="42" t="str">
        <f t="shared" ca="1" si="3"/>
        <v/>
      </c>
      <c r="E51" s="32"/>
      <c r="F51" s="43" t="str">
        <f t="shared" si="4"/>
        <v/>
      </c>
      <c r="G51" s="30" t="s">
        <v>56</v>
      </c>
      <c r="H51" s="41"/>
      <c r="I51" s="33" t="str">
        <f>IF(A51="","",IF(H51="","⚠️ Enter Agent Code",IF(IFERROR(VLOOKUP(G51,DB_Agents!$B:$F,4,0),"")=TEXT(H51,"0"),IF(AND(A51&lt;&gt;"",E51&lt;&gt;""),"✅ Saved","Pending"),"🔒 WRONG CODE")))</f>
        <v/>
      </c>
      <c r="J51" s="33" t="str">
        <f t="shared" ca="1" si="5"/>
        <v>—</v>
      </c>
      <c r="K51" s="22"/>
    </row>
    <row r="52" spans="1:11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IF(A52="","",IFERROR(VLOOKUP(A52,DB_Customers!$A:$M,13,0),""))</f>
        <v/>
      </c>
      <c r="D52" s="42" t="str">
        <f t="shared" ca="1" si="3"/>
        <v/>
      </c>
      <c r="E52" s="32"/>
      <c r="F52" s="43" t="str">
        <f t="shared" si="4"/>
        <v/>
      </c>
      <c r="G52" s="30" t="s">
        <v>56</v>
      </c>
      <c r="H52" s="41"/>
      <c r="I52" s="33" t="str">
        <f>IF(A52="","",IF(H52="","⚠️ Enter Agent Code",IF(IFERROR(VLOOKUP(G52,DB_Agents!$B:$F,4,0),"")=TEXT(H52,"0"),IF(AND(A52&lt;&gt;"",E52&lt;&gt;""),"✅ Saved","Pending"),"🔒 WRONG CODE")))</f>
        <v/>
      </c>
      <c r="J52" s="33" t="str">
        <f t="shared" ca="1" si="5"/>
        <v>—</v>
      </c>
      <c r="K52" s="46"/>
    </row>
    <row r="53" spans="1:11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IF(A53="","",IFERROR(VLOOKUP(A53,DB_Customers!$A:$M,13,0),""))</f>
        <v/>
      </c>
      <c r="D53" s="42" t="str">
        <f t="shared" ca="1" si="3"/>
        <v/>
      </c>
      <c r="E53" s="32"/>
      <c r="F53" s="43" t="str">
        <f t="shared" si="4"/>
        <v/>
      </c>
      <c r="G53" s="30" t="s">
        <v>56</v>
      </c>
      <c r="H53" s="41"/>
      <c r="I53" s="33" t="str">
        <f>IF(A53="","",IF(H53="","⚠️ Enter Agent Code",IF(IFERROR(VLOOKUP(G53,DB_Agents!$B:$F,4,0),"")=TEXT(H53,"0"),IF(AND(A53&lt;&gt;"",E53&lt;&gt;""),"✅ Saved","Pending"),"🔒 WRONG CODE")))</f>
        <v/>
      </c>
      <c r="J53" s="33" t="str">
        <f t="shared" ca="1" si="5"/>
        <v>—</v>
      </c>
      <c r="K53" s="22"/>
    </row>
    <row r="54" spans="1:11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IF(A54="","",IFERROR(VLOOKUP(A54,DB_Customers!$A:$M,13,0),""))</f>
        <v/>
      </c>
      <c r="D54" s="42" t="str">
        <f t="shared" ca="1" si="3"/>
        <v/>
      </c>
      <c r="E54" s="32"/>
      <c r="F54" s="43" t="str">
        <f t="shared" si="4"/>
        <v/>
      </c>
      <c r="G54" s="30" t="s">
        <v>56</v>
      </c>
      <c r="H54" s="41"/>
      <c r="I54" s="33" t="str">
        <f>IF(A54="","",IF(H54="","⚠️ Enter Agent Code",IF(IFERROR(VLOOKUP(G54,DB_Agents!$B:$F,4,0),"")=TEXT(H54,"0"),IF(AND(A54&lt;&gt;"",E54&lt;&gt;""),"✅ Saved","Pending"),"🔒 WRONG CODE")))</f>
        <v/>
      </c>
      <c r="J54" s="33" t="str">
        <f t="shared" ca="1" si="5"/>
        <v>—</v>
      </c>
      <c r="K54" s="46"/>
    </row>
    <row r="55" spans="1:11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IF(A55="","",IFERROR(VLOOKUP(A55,DB_Customers!$A:$M,13,0),""))</f>
        <v/>
      </c>
      <c r="D55" s="42" t="str">
        <f t="shared" ca="1" si="3"/>
        <v/>
      </c>
      <c r="E55" s="32"/>
      <c r="F55" s="43" t="str">
        <f t="shared" si="4"/>
        <v/>
      </c>
      <c r="G55" s="30" t="s">
        <v>56</v>
      </c>
      <c r="H55" s="41"/>
      <c r="I55" s="33" t="str">
        <f>IF(A55="","",IF(H55="","⚠️ Enter Agent Code",IF(IFERROR(VLOOKUP(G55,DB_Agents!$B:$F,4,0),"")=TEXT(H55,"0"),IF(AND(A55&lt;&gt;"",E55&lt;&gt;""),"✅ Saved","Pending"),"🔒 WRONG CODE")))</f>
        <v/>
      </c>
      <c r="J55" s="33" t="str">
        <f t="shared" ca="1" si="5"/>
        <v>—</v>
      </c>
      <c r="K55" s="22"/>
    </row>
    <row r="56" spans="1:11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IF(A56="","",IFERROR(VLOOKUP(A56,DB_Customers!$A:$M,13,0),""))</f>
        <v/>
      </c>
      <c r="D56" s="42" t="str">
        <f t="shared" ca="1" si="3"/>
        <v/>
      </c>
      <c r="E56" s="32"/>
      <c r="F56" s="43" t="str">
        <f t="shared" si="4"/>
        <v/>
      </c>
      <c r="G56" s="30" t="s">
        <v>56</v>
      </c>
      <c r="H56" s="41"/>
      <c r="I56" s="33" t="str">
        <f>IF(A56="","",IF(H56="","⚠️ Enter Agent Code",IF(IFERROR(VLOOKUP(G56,DB_Agents!$B:$F,4,0),"")=TEXT(H56,"0"),IF(AND(A56&lt;&gt;"",E56&lt;&gt;""),"✅ Saved","Pending"),"🔒 WRONG CODE")))</f>
        <v/>
      </c>
      <c r="J56" s="33" t="str">
        <f t="shared" ca="1" si="5"/>
        <v>—</v>
      </c>
      <c r="K56" s="46"/>
    </row>
    <row r="57" spans="1:11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IF(A57="","",IFERROR(VLOOKUP(A57,DB_Customers!$A:$M,13,0),""))</f>
        <v/>
      </c>
      <c r="D57" s="42" t="str">
        <f t="shared" ca="1" si="3"/>
        <v/>
      </c>
      <c r="E57" s="32"/>
      <c r="F57" s="43" t="str">
        <f t="shared" si="4"/>
        <v/>
      </c>
      <c r="G57" s="30" t="s">
        <v>56</v>
      </c>
      <c r="H57" s="41"/>
      <c r="I57" s="33" t="str">
        <f>IF(A57="","",IF(H57="","⚠️ Enter Agent Code",IF(IFERROR(VLOOKUP(G57,DB_Agents!$B:$F,4,0),"")=TEXT(H57,"0"),IF(AND(A57&lt;&gt;"",E57&lt;&gt;""),"✅ Saved","Pending"),"🔒 WRONG CODE")))</f>
        <v/>
      </c>
      <c r="J57" s="33" t="str">
        <f t="shared" ca="1" si="5"/>
        <v>—</v>
      </c>
      <c r="K57" s="22"/>
    </row>
    <row r="58" spans="1:11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IF(A58="","",IFERROR(VLOOKUP(A58,DB_Customers!$A:$M,13,0),""))</f>
        <v/>
      </c>
      <c r="D58" s="42" t="str">
        <f t="shared" ca="1" si="3"/>
        <v/>
      </c>
      <c r="E58" s="32"/>
      <c r="F58" s="43" t="str">
        <f t="shared" si="4"/>
        <v/>
      </c>
      <c r="G58" s="30" t="s">
        <v>56</v>
      </c>
      <c r="H58" s="41"/>
      <c r="I58" s="33" t="str">
        <f>IF(A58="","",IF(H58="","⚠️ Enter Agent Code",IF(IFERROR(VLOOKUP(G58,DB_Agents!$B:$F,4,0),"")=TEXT(H58,"0"),IF(AND(A58&lt;&gt;"",E58&lt;&gt;""),"✅ Saved","Pending"),"🔒 WRONG CODE")))</f>
        <v/>
      </c>
      <c r="J58" s="33" t="str">
        <f t="shared" ca="1" si="5"/>
        <v>—</v>
      </c>
      <c r="K58" s="46"/>
    </row>
    <row r="59" spans="1:11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IF(A59="","",IFERROR(VLOOKUP(A59,DB_Customers!$A:$M,13,0),""))</f>
        <v/>
      </c>
      <c r="D59" s="42" t="str">
        <f t="shared" ca="1" si="3"/>
        <v/>
      </c>
      <c r="E59" s="32"/>
      <c r="F59" s="43" t="str">
        <f t="shared" si="4"/>
        <v/>
      </c>
      <c r="G59" s="30" t="s">
        <v>56</v>
      </c>
      <c r="H59" s="41"/>
      <c r="I59" s="33" t="str">
        <f>IF(A59="","",IF(H59="","⚠️ Enter Agent Code",IF(IFERROR(VLOOKUP(G59,DB_Agents!$B:$F,4,0),"")=TEXT(H59,"0"),IF(AND(A59&lt;&gt;"",E59&lt;&gt;""),"✅ Saved","Pending"),"🔒 WRONG CODE")))</f>
        <v/>
      </c>
      <c r="J59" s="33" t="str">
        <f t="shared" ca="1" si="5"/>
        <v>—</v>
      </c>
      <c r="K59" s="22"/>
    </row>
    <row r="60" spans="1:11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IF(A60="","",IFERROR(VLOOKUP(A60,DB_Customers!$A:$M,13,0),""))</f>
        <v/>
      </c>
      <c r="D60" s="42" t="str">
        <f t="shared" ca="1" si="3"/>
        <v/>
      </c>
      <c r="E60" s="32"/>
      <c r="F60" s="43" t="str">
        <f t="shared" si="4"/>
        <v/>
      </c>
      <c r="G60" s="30" t="s">
        <v>56</v>
      </c>
      <c r="H60" s="41"/>
      <c r="I60" s="33" t="str">
        <f>IF(A60="","",IF(H60="","⚠️ Enter Agent Code",IF(IFERROR(VLOOKUP(G60,DB_Agents!$B:$F,4,0),"")=TEXT(H60,"0"),IF(AND(A60&lt;&gt;"",E60&lt;&gt;""),"✅ Saved","Pending"),"🔒 WRONG CODE")))</f>
        <v/>
      </c>
      <c r="J60" s="33" t="str">
        <f t="shared" ca="1" si="5"/>
        <v>—</v>
      </c>
      <c r="K60" s="46"/>
    </row>
    <row r="61" spans="1:11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IF(A61="","",IFERROR(VLOOKUP(A61,DB_Customers!$A:$M,13,0),""))</f>
        <v/>
      </c>
      <c r="D61" s="42" t="str">
        <f t="shared" ca="1" si="3"/>
        <v/>
      </c>
      <c r="E61" s="32"/>
      <c r="F61" s="43" t="str">
        <f t="shared" si="4"/>
        <v/>
      </c>
      <c r="G61" s="30" t="s">
        <v>56</v>
      </c>
      <c r="H61" s="41"/>
      <c r="I61" s="33" t="str">
        <f>IF(A61="","",IF(H61="","⚠️ Enter Agent Code",IF(IFERROR(VLOOKUP(G61,DB_Agents!$B:$F,4,0),"")=TEXT(H61,"0"),IF(AND(A61&lt;&gt;"",E61&lt;&gt;""),"✅ Saved","Pending"),"🔒 WRONG CODE")))</f>
        <v/>
      </c>
      <c r="J61" s="33" t="str">
        <f t="shared" ca="1" si="5"/>
        <v>—</v>
      </c>
      <c r="K61" s="22"/>
    </row>
    <row r="62" spans="1:11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IF(A62="","",IFERROR(VLOOKUP(A62,DB_Customers!$A:$M,13,0),""))</f>
        <v/>
      </c>
      <c r="D62" s="42" t="str">
        <f t="shared" ca="1" si="3"/>
        <v/>
      </c>
      <c r="E62" s="32"/>
      <c r="F62" s="43" t="str">
        <f t="shared" si="4"/>
        <v/>
      </c>
      <c r="G62" s="30" t="s">
        <v>56</v>
      </c>
      <c r="H62" s="41"/>
      <c r="I62" s="33" t="str">
        <f>IF(A62="","",IF(H62="","⚠️ Enter Agent Code",IF(IFERROR(VLOOKUP(G62,DB_Agents!$B:$F,4,0),"")=TEXT(H62,"0"),IF(AND(A62&lt;&gt;"",E62&lt;&gt;""),"✅ Saved","Pending"),"🔒 WRONG CODE")))</f>
        <v/>
      </c>
      <c r="J62" s="33" t="str">
        <f t="shared" ca="1" si="5"/>
        <v>—</v>
      </c>
      <c r="K62" s="46"/>
    </row>
    <row r="63" spans="1:11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IF(A63="","",IFERROR(VLOOKUP(A63,DB_Customers!$A:$M,13,0),""))</f>
        <v/>
      </c>
      <c r="D63" s="42" t="str">
        <f t="shared" ca="1" si="3"/>
        <v/>
      </c>
      <c r="E63" s="32"/>
      <c r="F63" s="43" t="str">
        <f t="shared" si="4"/>
        <v/>
      </c>
      <c r="G63" s="30" t="s">
        <v>56</v>
      </c>
      <c r="H63" s="41"/>
      <c r="I63" s="33" t="str">
        <f>IF(A63="","",IF(H63="","⚠️ Enter Agent Code",IF(IFERROR(VLOOKUP(G63,DB_Agents!$B:$F,4,0),"")=TEXT(H63,"0"),IF(AND(A63&lt;&gt;"",E63&lt;&gt;""),"✅ Saved","Pending"),"🔒 WRONG CODE")))</f>
        <v/>
      </c>
      <c r="J63" s="33" t="str">
        <f t="shared" ca="1" si="5"/>
        <v>—</v>
      </c>
      <c r="K63" s="22"/>
    </row>
    <row r="64" spans="1:11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IF(A64="","",IFERROR(VLOOKUP(A64,DB_Customers!$A:$M,13,0),""))</f>
        <v/>
      </c>
      <c r="D64" s="42" t="str">
        <f t="shared" ca="1" si="3"/>
        <v/>
      </c>
      <c r="E64" s="32"/>
      <c r="F64" s="43" t="str">
        <f t="shared" si="4"/>
        <v/>
      </c>
      <c r="G64" s="30" t="s">
        <v>56</v>
      </c>
      <c r="H64" s="41"/>
      <c r="I64" s="33" t="str">
        <f>IF(A64="","",IF(H64="","⚠️ Enter Agent Code",IF(IFERROR(VLOOKUP(G64,DB_Agents!$B:$F,4,0),"")=TEXT(H64,"0"),IF(AND(A64&lt;&gt;"",E64&lt;&gt;""),"✅ Saved","Pending"),"🔒 WRONG CODE")))</f>
        <v/>
      </c>
      <c r="J64" s="33" t="str">
        <f t="shared" ca="1" si="5"/>
        <v>—</v>
      </c>
      <c r="K64" s="46"/>
    </row>
    <row r="65" spans="1:11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IF(A65="","",IFERROR(VLOOKUP(A65,DB_Customers!$A:$M,13,0),""))</f>
        <v/>
      </c>
      <c r="D65" s="42" t="str">
        <f t="shared" ca="1" si="3"/>
        <v/>
      </c>
      <c r="E65" s="32"/>
      <c r="F65" s="43" t="str">
        <f t="shared" si="4"/>
        <v/>
      </c>
      <c r="G65" s="30" t="s">
        <v>56</v>
      </c>
      <c r="H65" s="41"/>
      <c r="I65" s="33" t="str">
        <f>IF(A65="","",IF(H65="","⚠️ Enter Agent Code",IF(IFERROR(VLOOKUP(G65,DB_Agents!$B:$F,4,0),"")=TEXT(H65,"0"),IF(AND(A65&lt;&gt;"",E65&lt;&gt;""),"✅ Saved","Pending"),"🔒 WRONG CODE")))</f>
        <v/>
      </c>
      <c r="J65" s="33" t="str">
        <f t="shared" ca="1" si="5"/>
        <v>—</v>
      </c>
      <c r="K65" s="22"/>
    </row>
    <row r="66" spans="1:11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IF(A66="","",IFERROR(VLOOKUP(A66,DB_Customers!$A:$M,13,0),""))</f>
        <v/>
      </c>
      <c r="D66" s="42" t="str">
        <f t="shared" ca="1" si="3"/>
        <v/>
      </c>
      <c r="E66" s="32"/>
      <c r="F66" s="43" t="str">
        <f t="shared" si="4"/>
        <v/>
      </c>
      <c r="G66" s="30" t="s">
        <v>56</v>
      </c>
      <c r="H66" s="41"/>
      <c r="I66" s="33" t="str">
        <f>IF(A66="","",IF(H66="","⚠️ Enter Agent Code",IF(IFERROR(VLOOKUP(G66,DB_Agents!$B:$F,4,0),"")=TEXT(H66,"0"),IF(AND(A66&lt;&gt;"",E66&lt;&gt;""),"✅ Saved","Pending"),"🔒 WRONG CODE")))</f>
        <v/>
      </c>
      <c r="J66" s="33" t="str">
        <f t="shared" ca="1" si="5"/>
        <v>—</v>
      </c>
      <c r="K66" s="46"/>
    </row>
    <row r="67" spans="1:11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IF(A67="","",IFERROR(VLOOKUP(A67,DB_Customers!$A:$M,13,0),""))</f>
        <v/>
      </c>
      <c r="D67" s="42" t="str">
        <f t="shared" ca="1" si="3"/>
        <v/>
      </c>
      <c r="E67" s="32"/>
      <c r="F67" s="43" t="str">
        <f t="shared" si="4"/>
        <v/>
      </c>
      <c r="G67" s="30" t="s">
        <v>56</v>
      </c>
      <c r="H67" s="41"/>
      <c r="I67" s="33" t="str">
        <f>IF(A67="","",IF(H67="","⚠️ Enter Agent Code",IF(IFERROR(VLOOKUP(G67,DB_Agents!$B:$F,4,0),"")=TEXT(H67,"0"),IF(AND(A67&lt;&gt;"",E67&lt;&gt;""),"✅ Saved","Pending"),"🔒 WRONG CODE")))</f>
        <v/>
      </c>
      <c r="J67" s="33" t="str">
        <f t="shared" ca="1" si="5"/>
        <v>—</v>
      </c>
      <c r="K67" s="22"/>
    </row>
    <row r="68" spans="1:11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IF(A68="","",IFERROR(VLOOKUP(A68,DB_Customers!$A:$M,13,0),""))</f>
        <v/>
      </c>
      <c r="D68" s="42" t="str">
        <f t="shared" ca="1" si="3"/>
        <v/>
      </c>
      <c r="E68" s="32"/>
      <c r="F68" s="43" t="str">
        <f t="shared" si="4"/>
        <v/>
      </c>
      <c r="G68" s="30" t="s">
        <v>56</v>
      </c>
      <c r="H68" s="41"/>
      <c r="I68" s="33" t="str">
        <f>IF(A68="","",IF(H68="","⚠️ Enter Agent Code",IF(IFERROR(VLOOKUP(G68,DB_Agents!$B:$F,4,0),"")=TEXT(H68,"0"),IF(AND(A68&lt;&gt;"",E68&lt;&gt;""),"✅ Saved","Pending"),"🔒 WRONG CODE")))</f>
        <v/>
      </c>
      <c r="J68" s="33" t="str">
        <f t="shared" ca="1" si="5"/>
        <v>—</v>
      </c>
      <c r="K68" s="46"/>
    </row>
    <row r="69" spans="1:11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IF(A69="","",IFERROR(VLOOKUP(A69,DB_Customers!$A:$M,13,0),""))</f>
        <v/>
      </c>
      <c r="D69" s="42" t="str">
        <f t="shared" ca="1" si="3"/>
        <v/>
      </c>
      <c r="E69" s="32"/>
      <c r="F69" s="43" t="str">
        <f t="shared" si="4"/>
        <v/>
      </c>
      <c r="G69" s="30" t="s">
        <v>56</v>
      </c>
      <c r="H69" s="41"/>
      <c r="I69" s="33" t="str">
        <f>IF(A69="","",IF(H69="","⚠️ Enter Agent Code",IF(IFERROR(VLOOKUP(G69,DB_Agents!$B:$F,4,0),"")=TEXT(H69,"0"),IF(AND(A69&lt;&gt;"",E69&lt;&gt;""),"✅ Saved","Pending"),"🔒 WRONG CODE")))</f>
        <v/>
      </c>
      <c r="J69" s="33" t="str">
        <f t="shared" ca="1" si="5"/>
        <v>—</v>
      </c>
      <c r="K69" s="22"/>
    </row>
    <row r="70" spans="1:11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IF(A70="","",IFERROR(VLOOKUP(A70,DB_Customers!$A:$M,13,0),""))</f>
        <v/>
      </c>
      <c r="D70" s="42" t="str">
        <f t="shared" ca="1" si="3"/>
        <v/>
      </c>
      <c r="E70" s="32"/>
      <c r="F70" s="43" t="str">
        <f t="shared" si="4"/>
        <v/>
      </c>
      <c r="G70" s="30" t="s">
        <v>56</v>
      </c>
      <c r="H70" s="41"/>
      <c r="I70" s="33" t="str">
        <f>IF(A70="","",IF(H70="","⚠️ Enter Agent Code",IF(IFERROR(VLOOKUP(G70,DB_Agents!$B:$F,4,0),"")=TEXT(H70,"0"),IF(AND(A70&lt;&gt;"",E70&lt;&gt;""),"✅ Saved","Pending"),"🔒 WRONG CODE")))</f>
        <v/>
      </c>
      <c r="J70" s="33" t="str">
        <f t="shared" ca="1" si="5"/>
        <v>—</v>
      </c>
      <c r="K70" s="46"/>
    </row>
    <row r="71" spans="1:11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IF(A71="","",IFERROR(VLOOKUP(A71,DB_Customers!$A:$M,13,0),""))</f>
        <v/>
      </c>
      <c r="D71" s="42" t="str">
        <f t="shared" ca="1" si="3"/>
        <v/>
      </c>
      <c r="E71" s="32"/>
      <c r="F71" s="43" t="str">
        <f t="shared" si="4"/>
        <v/>
      </c>
      <c r="G71" s="30" t="s">
        <v>56</v>
      </c>
      <c r="H71" s="41"/>
      <c r="I71" s="33" t="str">
        <f>IF(A71="","",IF(H71="","⚠️ Enter Agent Code",IF(IFERROR(VLOOKUP(G71,DB_Agents!$B:$F,4,0),"")=TEXT(H71,"0"),IF(AND(A71&lt;&gt;"",E71&lt;&gt;""),"✅ Saved","Pending"),"🔒 WRONG CODE")))</f>
        <v/>
      </c>
      <c r="J71" s="33" t="str">
        <f t="shared" ca="1" si="5"/>
        <v>—</v>
      </c>
      <c r="K71" s="22"/>
    </row>
    <row r="72" spans="1:11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IF(A72="","",IFERROR(VLOOKUP(A72,DB_Customers!$A:$M,13,0),""))</f>
        <v/>
      </c>
      <c r="D72" s="42" t="str">
        <f t="shared" ca="1" si="3"/>
        <v/>
      </c>
      <c r="E72" s="32"/>
      <c r="F72" s="43" t="str">
        <f t="shared" si="4"/>
        <v/>
      </c>
      <c r="G72" s="30" t="s">
        <v>56</v>
      </c>
      <c r="H72" s="41"/>
      <c r="I72" s="33" t="str">
        <f>IF(A72="","",IF(H72="","⚠️ Enter Agent Code",IF(IFERROR(VLOOKUP(G72,DB_Agents!$B:$F,4,0),"")=TEXT(H72,"0"),IF(AND(A72&lt;&gt;"",E72&lt;&gt;""),"✅ Saved","Pending"),"🔒 WRONG CODE")))</f>
        <v/>
      </c>
      <c r="J72" s="33" t="str">
        <f t="shared" ca="1" si="5"/>
        <v>—</v>
      </c>
      <c r="K72" s="46"/>
    </row>
    <row r="73" spans="1:11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IF(A73="","",IFERROR(VLOOKUP(A73,DB_Customers!$A:$M,13,0),""))</f>
        <v/>
      </c>
      <c r="D73" s="42" t="str">
        <f t="shared" ref="D73:D104" ca="1" si="6">IF(A73="","",TODAY())</f>
        <v/>
      </c>
      <c r="E73" s="32"/>
      <c r="F73" s="43" t="str">
        <f t="shared" ref="F73:F104" si="7">IFERROR(IF(OR(A73="",E73=""),"",C73+E73),"")</f>
        <v/>
      </c>
      <c r="G73" s="30" t="s">
        <v>56</v>
      </c>
      <c r="H73" s="41"/>
      <c r="I73" s="33" t="str">
        <f>IF(A73="","",IF(H73="","⚠️ Enter Agent Code",IF(IFERROR(VLOOKUP(G73,DB_Agents!$B:$F,4,0),"")=TEXT(H73,"0"),IF(AND(A73&lt;&gt;"",E73&lt;&gt;""),"✅ Saved","Pending"),"🔒 WRONG CODE")))</f>
        <v/>
      </c>
      <c r="J73" s="33" t="str">
        <f t="shared" ref="J73:J104" ca="1" si="8">IF(I73="✅ Saved",TEXT(TODAY(),"YYYY-MM-DD")&amp;" Auto","—")</f>
        <v>—</v>
      </c>
      <c r="K73" s="22"/>
    </row>
    <row r="74" spans="1:11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IF(A74="","",IFERROR(VLOOKUP(A74,DB_Customers!$A:$M,13,0),""))</f>
        <v/>
      </c>
      <c r="D74" s="42" t="str">
        <f t="shared" ca="1" si="6"/>
        <v/>
      </c>
      <c r="E74" s="32"/>
      <c r="F74" s="43" t="str">
        <f t="shared" si="7"/>
        <v/>
      </c>
      <c r="G74" s="30" t="s">
        <v>56</v>
      </c>
      <c r="H74" s="41"/>
      <c r="I74" s="33" t="str">
        <f>IF(A74="","",IF(H74="","⚠️ Enter Agent Code",IF(IFERROR(VLOOKUP(G74,DB_Agents!$B:$F,4,0),"")=TEXT(H74,"0"),IF(AND(A74&lt;&gt;"",E74&lt;&gt;""),"✅ Saved","Pending"),"🔒 WRONG CODE")))</f>
        <v/>
      </c>
      <c r="J74" s="33" t="str">
        <f t="shared" ca="1" si="8"/>
        <v>—</v>
      </c>
      <c r="K74" s="46"/>
    </row>
    <row r="75" spans="1:11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IF(A75="","",IFERROR(VLOOKUP(A75,DB_Customers!$A:$M,13,0),""))</f>
        <v/>
      </c>
      <c r="D75" s="42" t="str">
        <f t="shared" ca="1" si="6"/>
        <v/>
      </c>
      <c r="E75" s="32"/>
      <c r="F75" s="43" t="str">
        <f t="shared" si="7"/>
        <v/>
      </c>
      <c r="G75" s="30" t="s">
        <v>56</v>
      </c>
      <c r="H75" s="41"/>
      <c r="I75" s="33" t="str">
        <f>IF(A75="","",IF(H75="","⚠️ Enter Agent Code",IF(IFERROR(VLOOKUP(G75,DB_Agents!$B:$F,4,0),"")=TEXT(H75,"0"),IF(AND(A75&lt;&gt;"",E75&lt;&gt;""),"✅ Saved","Pending"),"🔒 WRONG CODE")))</f>
        <v/>
      </c>
      <c r="J75" s="33" t="str">
        <f t="shared" ca="1" si="8"/>
        <v>—</v>
      </c>
      <c r="K75" s="22"/>
    </row>
    <row r="76" spans="1:11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IF(A76="","",IFERROR(VLOOKUP(A76,DB_Customers!$A:$M,13,0),""))</f>
        <v/>
      </c>
      <c r="D76" s="42" t="str">
        <f t="shared" ca="1" si="6"/>
        <v/>
      </c>
      <c r="E76" s="32"/>
      <c r="F76" s="43" t="str">
        <f t="shared" si="7"/>
        <v/>
      </c>
      <c r="G76" s="30" t="s">
        <v>56</v>
      </c>
      <c r="H76" s="41"/>
      <c r="I76" s="33" t="str">
        <f>IF(A76="","",IF(H76="","⚠️ Enter Agent Code",IF(IFERROR(VLOOKUP(G76,DB_Agents!$B:$F,4,0),"")=TEXT(H76,"0"),IF(AND(A76&lt;&gt;"",E76&lt;&gt;""),"✅ Saved","Pending"),"🔒 WRONG CODE")))</f>
        <v/>
      </c>
      <c r="J76" s="33" t="str">
        <f t="shared" ca="1" si="8"/>
        <v>—</v>
      </c>
      <c r="K76" s="46"/>
    </row>
    <row r="77" spans="1:11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IF(A77="","",IFERROR(VLOOKUP(A77,DB_Customers!$A:$M,13,0),""))</f>
        <v/>
      </c>
      <c r="D77" s="42" t="str">
        <f t="shared" ca="1" si="6"/>
        <v/>
      </c>
      <c r="E77" s="32"/>
      <c r="F77" s="43" t="str">
        <f t="shared" si="7"/>
        <v/>
      </c>
      <c r="G77" s="30" t="s">
        <v>56</v>
      </c>
      <c r="H77" s="41"/>
      <c r="I77" s="33" t="str">
        <f>IF(A77="","",IF(H77="","⚠️ Enter Agent Code",IF(IFERROR(VLOOKUP(G77,DB_Agents!$B:$F,4,0),"")=TEXT(H77,"0"),IF(AND(A77&lt;&gt;"",E77&lt;&gt;""),"✅ Saved","Pending"),"🔒 WRONG CODE")))</f>
        <v/>
      </c>
      <c r="J77" s="33" t="str">
        <f t="shared" ca="1" si="8"/>
        <v>—</v>
      </c>
      <c r="K77" s="22"/>
    </row>
    <row r="78" spans="1:11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IF(A78="","",IFERROR(VLOOKUP(A78,DB_Customers!$A:$M,13,0),""))</f>
        <v/>
      </c>
      <c r="D78" s="42" t="str">
        <f t="shared" ca="1" si="6"/>
        <v/>
      </c>
      <c r="E78" s="32"/>
      <c r="F78" s="43" t="str">
        <f t="shared" si="7"/>
        <v/>
      </c>
      <c r="G78" s="30" t="s">
        <v>56</v>
      </c>
      <c r="H78" s="41"/>
      <c r="I78" s="33" t="str">
        <f>IF(A78="","",IF(H78="","⚠️ Enter Agent Code",IF(IFERROR(VLOOKUP(G78,DB_Agents!$B:$F,4,0),"")=TEXT(H78,"0"),IF(AND(A78&lt;&gt;"",E78&lt;&gt;""),"✅ Saved","Pending"),"🔒 WRONG CODE")))</f>
        <v/>
      </c>
      <c r="J78" s="33" t="str">
        <f t="shared" ca="1" si="8"/>
        <v>—</v>
      </c>
      <c r="K78" s="46"/>
    </row>
    <row r="79" spans="1:11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IF(A79="","",IFERROR(VLOOKUP(A79,DB_Customers!$A:$M,13,0),""))</f>
        <v/>
      </c>
      <c r="D79" s="42" t="str">
        <f t="shared" ca="1" si="6"/>
        <v/>
      </c>
      <c r="E79" s="32"/>
      <c r="F79" s="43" t="str">
        <f t="shared" si="7"/>
        <v/>
      </c>
      <c r="G79" s="30" t="s">
        <v>56</v>
      </c>
      <c r="H79" s="41"/>
      <c r="I79" s="33" t="str">
        <f>IF(A79="","",IF(H79="","⚠️ Enter Agent Code",IF(IFERROR(VLOOKUP(G79,DB_Agents!$B:$F,4,0),"")=TEXT(H79,"0"),IF(AND(A79&lt;&gt;"",E79&lt;&gt;""),"✅ Saved","Pending"),"🔒 WRONG CODE")))</f>
        <v/>
      </c>
      <c r="J79" s="33" t="str">
        <f t="shared" ca="1" si="8"/>
        <v>—</v>
      </c>
      <c r="K79" s="22"/>
    </row>
    <row r="80" spans="1:11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IF(A80="","",IFERROR(VLOOKUP(A80,DB_Customers!$A:$M,13,0),""))</f>
        <v/>
      </c>
      <c r="D80" s="42" t="str">
        <f t="shared" ca="1" si="6"/>
        <v/>
      </c>
      <c r="E80" s="32"/>
      <c r="F80" s="43" t="str">
        <f t="shared" si="7"/>
        <v/>
      </c>
      <c r="G80" s="30" t="s">
        <v>56</v>
      </c>
      <c r="H80" s="41"/>
      <c r="I80" s="33" t="str">
        <f>IF(A80="","",IF(H80="","⚠️ Enter Agent Code",IF(IFERROR(VLOOKUP(G80,DB_Agents!$B:$F,4,0),"")=TEXT(H80,"0"),IF(AND(A80&lt;&gt;"",E80&lt;&gt;""),"✅ Saved","Pending"),"🔒 WRONG CODE")))</f>
        <v/>
      </c>
      <c r="J80" s="33" t="str">
        <f t="shared" ca="1" si="8"/>
        <v>—</v>
      </c>
      <c r="K80" s="46"/>
    </row>
    <row r="81" spans="1:11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IF(A81="","",IFERROR(VLOOKUP(A81,DB_Customers!$A:$M,13,0),""))</f>
        <v/>
      </c>
      <c r="D81" s="42" t="str">
        <f t="shared" ca="1" si="6"/>
        <v/>
      </c>
      <c r="E81" s="32"/>
      <c r="F81" s="43" t="str">
        <f t="shared" si="7"/>
        <v/>
      </c>
      <c r="G81" s="30" t="s">
        <v>56</v>
      </c>
      <c r="H81" s="41"/>
      <c r="I81" s="33" t="str">
        <f>IF(A81="","",IF(H81="","⚠️ Enter Agent Code",IF(IFERROR(VLOOKUP(G81,DB_Agents!$B:$F,4,0),"")=TEXT(H81,"0"),IF(AND(A81&lt;&gt;"",E81&lt;&gt;""),"✅ Saved","Pending"),"🔒 WRONG CODE")))</f>
        <v/>
      </c>
      <c r="J81" s="33" t="str">
        <f t="shared" ca="1" si="8"/>
        <v>—</v>
      </c>
      <c r="K81" s="22"/>
    </row>
    <row r="82" spans="1:11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IF(A82="","",IFERROR(VLOOKUP(A82,DB_Customers!$A:$M,13,0),""))</f>
        <v/>
      </c>
      <c r="D82" s="42" t="str">
        <f t="shared" ca="1" si="6"/>
        <v/>
      </c>
      <c r="E82" s="32"/>
      <c r="F82" s="43" t="str">
        <f t="shared" si="7"/>
        <v/>
      </c>
      <c r="G82" s="30" t="s">
        <v>56</v>
      </c>
      <c r="H82" s="41"/>
      <c r="I82" s="33" t="str">
        <f>IF(A82="","",IF(H82="","⚠️ Enter Agent Code",IF(IFERROR(VLOOKUP(G82,DB_Agents!$B:$F,4,0),"")=TEXT(H82,"0"),IF(AND(A82&lt;&gt;"",E82&lt;&gt;""),"✅ Saved","Pending"),"🔒 WRONG CODE")))</f>
        <v/>
      </c>
      <c r="J82" s="33" t="str">
        <f t="shared" ca="1" si="8"/>
        <v>—</v>
      </c>
      <c r="K82" s="46"/>
    </row>
    <row r="83" spans="1:11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IF(A83="","",IFERROR(VLOOKUP(A83,DB_Customers!$A:$M,13,0),""))</f>
        <v/>
      </c>
      <c r="D83" s="42" t="str">
        <f t="shared" ca="1" si="6"/>
        <v/>
      </c>
      <c r="E83" s="32"/>
      <c r="F83" s="43" t="str">
        <f t="shared" si="7"/>
        <v/>
      </c>
      <c r="G83" s="30" t="s">
        <v>56</v>
      </c>
      <c r="H83" s="41"/>
      <c r="I83" s="33" t="str">
        <f>IF(A83="","",IF(H83="","⚠️ Enter Agent Code",IF(IFERROR(VLOOKUP(G83,DB_Agents!$B:$F,4,0),"")=TEXT(H83,"0"),IF(AND(A83&lt;&gt;"",E83&lt;&gt;""),"✅ Saved","Pending"),"🔒 WRONG CODE")))</f>
        <v/>
      </c>
      <c r="J83" s="33" t="str">
        <f t="shared" ca="1" si="8"/>
        <v>—</v>
      </c>
      <c r="K83" s="22"/>
    </row>
    <row r="84" spans="1:11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IF(A84="","",IFERROR(VLOOKUP(A84,DB_Customers!$A:$M,13,0),""))</f>
        <v/>
      </c>
      <c r="D84" s="42" t="str">
        <f t="shared" ca="1" si="6"/>
        <v/>
      </c>
      <c r="E84" s="32"/>
      <c r="F84" s="43" t="str">
        <f t="shared" si="7"/>
        <v/>
      </c>
      <c r="G84" s="30" t="s">
        <v>56</v>
      </c>
      <c r="H84" s="41"/>
      <c r="I84" s="33" t="str">
        <f>IF(A84="","",IF(H84="","⚠️ Enter Agent Code",IF(IFERROR(VLOOKUP(G84,DB_Agents!$B:$F,4,0),"")=TEXT(H84,"0"),IF(AND(A84&lt;&gt;"",E84&lt;&gt;""),"✅ Saved","Pending"),"🔒 WRONG CODE")))</f>
        <v/>
      </c>
      <c r="J84" s="33" t="str">
        <f t="shared" ca="1" si="8"/>
        <v>—</v>
      </c>
      <c r="K84" s="46"/>
    </row>
    <row r="85" spans="1:11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IF(A85="","",IFERROR(VLOOKUP(A85,DB_Customers!$A:$M,13,0),""))</f>
        <v/>
      </c>
      <c r="D85" s="42" t="str">
        <f t="shared" ca="1" si="6"/>
        <v/>
      </c>
      <c r="E85" s="32"/>
      <c r="F85" s="43" t="str">
        <f t="shared" si="7"/>
        <v/>
      </c>
      <c r="G85" s="30" t="s">
        <v>56</v>
      </c>
      <c r="H85" s="41"/>
      <c r="I85" s="33" t="str">
        <f>IF(A85="","",IF(H85="","⚠️ Enter Agent Code",IF(IFERROR(VLOOKUP(G85,DB_Agents!$B:$F,4,0),"")=TEXT(H85,"0"),IF(AND(A85&lt;&gt;"",E85&lt;&gt;""),"✅ Saved","Pending"),"🔒 WRONG CODE")))</f>
        <v/>
      </c>
      <c r="J85" s="33" t="str">
        <f t="shared" ca="1" si="8"/>
        <v>—</v>
      </c>
      <c r="K85" s="22"/>
    </row>
    <row r="86" spans="1:11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IF(A86="","",IFERROR(VLOOKUP(A86,DB_Customers!$A:$M,13,0),""))</f>
        <v/>
      </c>
      <c r="D86" s="42" t="str">
        <f t="shared" ca="1" si="6"/>
        <v/>
      </c>
      <c r="E86" s="32"/>
      <c r="F86" s="43" t="str">
        <f t="shared" si="7"/>
        <v/>
      </c>
      <c r="G86" s="30" t="s">
        <v>56</v>
      </c>
      <c r="H86" s="41"/>
      <c r="I86" s="33" t="str">
        <f>IF(A86="","",IF(H86="","⚠️ Enter Agent Code",IF(IFERROR(VLOOKUP(G86,DB_Agents!$B:$F,4,0),"")=TEXT(H86,"0"),IF(AND(A86&lt;&gt;"",E86&lt;&gt;""),"✅ Saved","Pending"),"🔒 WRONG CODE")))</f>
        <v/>
      </c>
      <c r="J86" s="33" t="str">
        <f t="shared" ca="1" si="8"/>
        <v>—</v>
      </c>
      <c r="K86" s="46"/>
    </row>
    <row r="87" spans="1:11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IF(A87="","",IFERROR(VLOOKUP(A87,DB_Customers!$A:$M,13,0),""))</f>
        <v/>
      </c>
      <c r="D87" s="42" t="str">
        <f t="shared" ca="1" si="6"/>
        <v/>
      </c>
      <c r="E87" s="32"/>
      <c r="F87" s="43" t="str">
        <f t="shared" si="7"/>
        <v/>
      </c>
      <c r="G87" s="30" t="s">
        <v>56</v>
      </c>
      <c r="H87" s="41"/>
      <c r="I87" s="33" t="str">
        <f>IF(A87="","",IF(H87="","⚠️ Enter Agent Code",IF(IFERROR(VLOOKUP(G87,DB_Agents!$B:$F,4,0),"")=TEXT(H87,"0"),IF(AND(A87&lt;&gt;"",E87&lt;&gt;""),"✅ Saved","Pending"),"🔒 WRONG CODE")))</f>
        <v/>
      </c>
      <c r="J87" s="33" t="str">
        <f t="shared" ca="1" si="8"/>
        <v>—</v>
      </c>
      <c r="K87" s="22"/>
    </row>
    <row r="88" spans="1:11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IF(A88="","",IFERROR(VLOOKUP(A88,DB_Customers!$A:$M,13,0),""))</f>
        <v/>
      </c>
      <c r="D88" s="42" t="str">
        <f t="shared" ca="1" si="6"/>
        <v/>
      </c>
      <c r="E88" s="32"/>
      <c r="F88" s="43" t="str">
        <f t="shared" si="7"/>
        <v/>
      </c>
      <c r="G88" s="30" t="s">
        <v>56</v>
      </c>
      <c r="H88" s="41"/>
      <c r="I88" s="33" t="str">
        <f>IF(A88="","",IF(H88="","⚠️ Enter Agent Code",IF(IFERROR(VLOOKUP(G88,DB_Agents!$B:$F,4,0),"")=TEXT(H88,"0"),IF(AND(A88&lt;&gt;"",E88&lt;&gt;""),"✅ Saved","Pending"),"🔒 WRONG CODE")))</f>
        <v/>
      </c>
      <c r="J88" s="33" t="str">
        <f t="shared" ca="1" si="8"/>
        <v>—</v>
      </c>
      <c r="K88" s="46"/>
    </row>
    <row r="89" spans="1:11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IF(A89="","",IFERROR(VLOOKUP(A89,DB_Customers!$A:$M,13,0),""))</f>
        <v/>
      </c>
      <c r="D89" s="42" t="str">
        <f t="shared" ca="1" si="6"/>
        <v/>
      </c>
      <c r="E89" s="32"/>
      <c r="F89" s="43" t="str">
        <f t="shared" si="7"/>
        <v/>
      </c>
      <c r="G89" s="30" t="s">
        <v>56</v>
      </c>
      <c r="H89" s="41"/>
      <c r="I89" s="33" t="str">
        <f>IF(A89="","",IF(H89="","⚠️ Enter Agent Code",IF(IFERROR(VLOOKUP(G89,DB_Agents!$B:$F,4,0),"")=TEXT(H89,"0"),IF(AND(A89&lt;&gt;"",E89&lt;&gt;""),"✅ Saved","Pending"),"🔒 WRONG CODE")))</f>
        <v/>
      </c>
      <c r="J89" s="33" t="str">
        <f t="shared" ca="1" si="8"/>
        <v>—</v>
      </c>
      <c r="K89" s="22"/>
    </row>
    <row r="90" spans="1:11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IF(A90="","",IFERROR(VLOOKUP(A90,DB_Customers!$A:$M,13,0),""))</f>
        <v/>
      </c>
      <c r="D90" s="42" t="str">
        <f t="shared" ca="1" si="6"/>
        <v/>
      </c>
      <c r="E90" s="32"/>
      <c r="F90" s="43" t="str">
        <f t="shared" si="7"/>
        <v/>
      </c>
      <c r="G90" s="30" t="s">
        <v>56</v>
      </c>
      <c r="H90" s="41"/>
      <c r="I90" s="33" t="str">
        <f>IF(A90="","",IF(H90="","⚠️ Enter Agent Code",IF(IFERROR(VLOOKUP(G90,DB_Agents!$B:$F,4,0),"")=TEXT(H90,"0"),IF(AND(A90&lt;&gt;"",E90&lt;&gt;""),"✅ Saved","Pending"),"🔒 WRONG CODE")))</f>
        <v/>
      </c>
      <c r="J90" s="33" t="str">
        <f t="shared" ca="1" si="8"/>
        <v>—</v>
      </c>
      <c r="K90" s="46"/>
    </row>
    <row r="91" spans="1:11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IF(A91="","",IFERROR(VLOOKUP(A91,DB_Customers!$A:$M,13,0),""))</f>
        <v/>
      </c>
      <c r="D91" s="42" t="str">
        <f t="shared" ca="1" si="6"/>
        <v/>
      </c>
      <c r="E91" s="32"/>
      <c r="F91" s="43" t="str">
        <f t="shared" si="7"/>
        <v/>
      </c>
      <c r="G91" s="30" t="s">
        <v>56</v>
      </c>
      <c r="H91" s="41"/>
      <c r="I91" s="33" t="str">
        <f>IF(A91="","",IF(H91="","⚠️ Enter Agent Code",IF(IFERROR(VLOOKUP(G91,DB_Agents!$B:$F,4,0),"")=TEXT(H91,"0"),IF(AND(A91&lt;&gt;"",E91&lt;&gt;""),"✅ Saved","Pending"),"🔒 WRONG CODE")))</f>
        <v/>
      </c>
      <c r="J91" s="33" t="str">
        <f t="shared" ca="1" si="8"/>
        <v>—</v>
      </c>
      <c r="K91" s="22"/>
    </row>
    <row r="92" spans="1:11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IF(A92="","",IFERROR(VLOOKUP(A92,DB_Customers!$A:$M,13,0),""))</f>
        <v/>
      </c>
      <c r="D92" s="42" t="str">
        <f t="shared" ca="1" si="6"/>
        <v/>
      </c>
      <c r="E92" s="32"/>
      <c r="F92" s="43" t="str">
        <f t="shared" si="7"/>
        <v/>
      </c>
      <c r="G92" s="30" t="s">
        <v>56</v>
      </c>
      <c r="H92" s="41"/>
      <c r="I92" s="33" t="str">
        <f>IF(A92="","",IF(H92="","⚠️ Enter Agent Code",IF(IFERROR(VLOOKUP(G92,DB_Agents!$B:$F,4,0),"")=TEXT(H92,"0"),IF(AND(A92&lt;&gt;"",E92&lt;&gt;""),"✅ Saved","Pending"),"🔒 WRONG CODE")))</f>
        <v/>
      </c>
      <c r="J92" s="33" t="str">
        <f t="shared" ca="1" si="8"/>
        <v>—</v>
      </c>
      <c r="K92" s="46"/>
    </row>
    <row r="93" spans="1:11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IF(A93="","",IFERROR(VLOOKUP(A93,DB_Customers!$A:$M,13,0),""))</f>
        <v/>
      </c>
      <c r="D93" s="42" t="str">
        <f t="shared" ca="1" si="6"/>
        <v/>
      </c>
      <c r="E93" s="32"/>
      <c r="F93" s="43" t="str">
        <f t="shared" si="7"/>
        <v/>
      </c>
      <c r="G93" s="30" t="s">
        <v>56</v>
      </c>
      <c r="H93" s="41"/>
      <c r="I93" s="33" t="str">
        <f>IF(A93="","",IF(H93="","⚠️ Enter Agent Code",IF(IFERROR(VLOOKUP(G93,DB_Agents!$B:$F,4,0),"")=TEXT(H93,"0"),IF(AND(A93&lt;&gt;"",E93&lt;&gt;""),"✅ Saved","Pending"),"🔒 WRONG CODE")))</f>
        <v/>
      </c>
      <c r="J93" s="33" t="str">
        <f t="shared" ca="1" si="8"/>
        <v>—</v>
      </c>
      <c r="K93" s="22"/>
    </row>
    <row r="94" spans="1:11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IF(A94="","",IFERROR(VLOOKUP(A94,DB_Customers!$A:$M,13,0),""))</f>
        <v/>
      </c>
      <c r="D94" s="42" t="str">
        <f t="shared" ca="1" si="6"/>
        <v/>
      </c>
      <c r="E94" s="32"/>
      <c r="F94" s="43" t="str">
        <f t="shared" si="7"/>
        <v/>
      </c>
      <c r="G94" s="30" t="s">
        <v>56</v>
      </c>
      <c r="H94" s="41"/>
      <c r="I94" s="33" t="str">
        <f>IF(A94="","",IF(H94="","⚠️ Enter Agent Code",IF(IFERROR(VLOOKUP(G94,DB_Agents!$B:$F,4,0),"")=TEXT(H94,"0"),IF(AND(A94&lt;&gt;"",E94&lt;&gt;""),"✅ Saved","Pending"),"🔒 WRONG CODE")))</f>
        <v/>
      </c>
      <c r="J94" s="33" t="str">
        <f t="shared" ca="1" si="8"/>
        <v>—</v>
      </c>
      <c r="K94" s="46"/>
    </row>
    <row r="95" spans="1:11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IF(A95="","",IFERROR(VLOOKUP(A95,DB_Customers!$A:$M,13,0),""))</f>
        <v/>
      </c>
      <c r="D95" s="42" t="str">
        <f t="shared" ca="1" si="6"/>
        <v/>
      </c>
      <c r="E95" s="32"/>
      <c r="F95" s="43" t="str">
        <f t="shared" si="7"/>
        <v/>
      </c>
      <c r="G95" s="30" t="s">
        <v>56</v>
      </c>
      <c r="H95" s="41"/>
      <c r="I95" s="33" t="str">
        <f>IF(A95="","",IF(H95="","⚠️ Enter Agent Code",IF(IFERROR(VLOOKUP(G95,DB_Agents!$B:$F,4,0),"")=TEXT(H95,"0"),IF(AND(A95&lt;&gt;"",E95&lt;&gt;""),"✅ Saved","Pending"),"🔒 WRONG CODE")))</f>
        <v/>
      </c>
      <c r="J95" s="33" t="str">
        <f t="shared" ca="1" si="8"/>
        <v>—</v>
      </c>
      <c r="K95" s="22"/>
    </row>
    <row r="96" spans="1:11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IF(A96="","",IFERROR(VLOOKUP(A96,DB_Customers!$A:$M,13,0),""))</f>
        <v/>
      </c>
      <c r="D96" s="42" t="str">
        <f t="shared" ca="1" si="6"/>
        <v/>
      </c>
      <c r="E96" s="32"/>
      <c r="F96" s="43" t="str">
        <f t="shared" si="7"/>
        <v/>
      </c>
      <c r="G96" s="30" t="s">
        <v>56</v>
      </c>
      <c r="H96" s="41"/>
      <c r="I96" s="33" t="str">
        <f>IF(A96="","",IF(H96="","⚠️ Enter Agent Code",IF(IFERROR(VLOOKUP(G96,DB_Agents!$B:$F,4,0),"")=TEXT(H96,"0"),IF(AND(A96&lt;&gt;"",E96&lt;&gt;""),"✅ Saved","Pending"),"🔒 WRONG CODE")))</f>
        <v/>
      </c>
      <c r="J96" s="33" t="str">
        <f t="shared" ca="1" si="8"/>
        <v>—</v>
      </c>
      <c r="K96" s="46"/>
    </row>
    <row r="97" spans="1:11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IF(A97="","",IFERROR(VLOOKUP(A97,DB_Customers!$A:$M,13,0),""))</f>
        <v/>
      </c>
      <c r="D97" s="42" t="str">
        <f t="shared" ca="1" si="6"/>
        <v/>
      </c>
      <c r="E97" s="32"/>
      <c r="F97" s="43" t="str">
        <f t="shared" si="7"/>
        <v/>
      </c>
      <c r="G97" s="30" t="s">
        <v>56</v>
      </c>
      <c r="H97" s="41"/>
      <c r="I97" s="33" t="str">
        <f>IF(A97="","",IF(H97="","⚠️ Enter Agent Code",IF(IFERROR(VLOOKUP(G97,DB_Agents!$B:$F,4,0),"")=TEXT(H97,"0"),IF(AND(A97&lt;&gt;"",E97&lt;&gt;""),"✅ Saved","Pending"),"🔒 WRONG CODE")))</f>
        <v/>
      </c>
      <c r="J97" s="33" t="str">
        <f t="shared" ca="1" si="8"/>
        <v>—</v>
      </c>
      <c r="K97" s="22"/>
    </row>
    <row r="98" spans="1:11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IF(A98="","",IFERROR(VLOOKUP(A98,DB_Customers!$A:$M,13,0),""))</f>
        <v/>
      </c>
      <c r="D98" s="42" t="str">
        <f t="shared" ca="1" si="6"/>
        <v/>
      </c>
      <c r="E98" s="32"/>
      <c r="F98" s="43" t="str">
        <f t="shared" si="7"/>
        <v/>
      </c>
      <c r="G98" s="30" t="s">
        <v>56</v>
      </c>
      <c r="H98" s="41"/>
      <c r="I98" s="33" t="str">
        <f>IF(A98="","",IF(H98="","⚠️ Enter Agent Code",IF(IFERROR(VLOOKUP(G98,DB_Agents!$B:$F,4,0),"")=TEXT(H98,"0"),IF(AND(A98&lt;&gt;"",E98&lt;&gt;""),"✅ Saved","Pending"),"🔒 WRONG CODE")))</f>
        <v/>
      </c>
      <c r="J98" s="33" t="str">
        <f t="shared" ca="1" si="8"/>
        <v>—</v>
      </c>
      <c r="K98" s="46"/>
    </row>
    <row r="99" spans="1:11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IF(A99="","",IFERROR(VLOOKUP(A99,DB_Customers!$A:$M,13,0),""))</f>
        <v/>
      </c>
      <c r="D99" s="42" t="str">
        <f t="shared" ca="1" si="6"/>
        <v/>
      </c>
      <c r="E99" s="32"/>
      <c r="F99" s="43" t="str">
        <f t="shared" si="7"/>
        <v/>
      </c>
      <c r="G99" s="30" t="s">
        <v>56</v>
      </c>
      <c r="H99" s="41"/>
      <c r="I99" s="33" t="str">
        <f>IF(A99="","",IF(H99="","⚠️ Enter Agent Code",IF(IFERROR(VLOOKUP(G99,DB_Agents!$B:$F,4,0),"")=TEXT(H99,"0"),IF(AND(A99&lt;&gt;"",E99&lt;&gt;""),"✅ Saved","Pending"),"🔒 WRONG CODE")))</f>
        <v/>
      </c>
      <c r="J99" s="33" t="str">
        <f t="shared" ca="1" si="8"/>
        <v>—</v>
      </c>
      <c r="K99" s="22"/>
    </row>
    <row r="100" spans="1:11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IF(A100="","",IFERROR(VLOOKUP(A100,DB_Customers!$A:$M,13,0),""))</f>
        <v/>
      </c>
      <c r="D100" s="42" t="str">
        <f t="shared" ca="1" si="6"/>
        <v/>
      </c>
      <c r="E100" s="32"/>
      <c r="F100" s="43" t="str">
        <f t="shared" si="7"/>
        <v/>
      </c>
      <c r="G100" s="30" t="s">
        <v>56</v>
      </c>
      <c r="H100" s="41"/>
      <c r="I100" s="33" t="str">
        <f>IF(A100="","",IF(H100="","⚠️ Enter Agent Code",IF(IFERROR(VLOOKUP(G100,DB_Agents!$B:$F,4,0),"")=TEXT(H100,"0"),IF(AND(A100&lt;&gt;"",E100&lt;&gt;""),"✅ Saved","Pending"),"🔒 WRONG CODE")))</f>
        <v/>
      </c>
      <c r="J100" s="33" t="str">
        <f t="shared" ca="1" si="8"/>
        <v>—</v>
      </c>
      <c r="K100" s="46"/>
    </row>
    <row r="101" spans="1:11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IF(A101="","",IFERROR(VLOOKUP(A101,DB_Customers!$A:$M,13,0),""))</f>
        <v/>
      </c>
      <c r="D101" s="42" t="str">
        <f t="shared" ca="1" si="6"/>
        <v/>
      </c>
      <c r="E101" s="32"/>
      <c r="F101" s="43" t="str">
        <f t="shared" si="7"/>
        <v/>
      </c>
      <c r="G101" s="30" t="s">
        <v>56</v>
      </c>
      <c r="H101" s="41"/>
      <c r="I101" s="33" t="str">
        <f>IF(A101="","",IF(H101="","⚠️ Enter Agent Code",IF(IFERROR(VLOOKUP(G101,DB_Agents!$B:$F,4,0),"")=TEXT(H101,"0"),IF(AND(A101&lt;&gt;"",E101&lt;&gt;""),"✅ Saved","Pending"),"🔒 WRONG CODE")))</f>
        <v/>
      </c>
      <c r="J101" s="33" t="str">
        <f t="shared" ca="1" si="8"/>
        <v>—</v>
      </c>
      <c r="K101" s="22"/>
    </row>
    <row r="102" spans="1:11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IF(A102="","",IFERROR(VLOOKUP(A102,DB_Customers!$A:$M,13,0),""))</f>
        <v/>
      </c>
      <c r="D102" s="42" t="str">
        <f t="shared" ca="1" si="6"/>
        <v/>
      </c>
      <c r="E102" s="32"/>
      <c r="F102" s="43" t="str">
        <f t="shared" si="7"/>
        <v/>
      </c>
      <c r="G102" s="30" t="s">
        <v>56</v>
      </c>
      <c r="H102" s="41"/>
      <c r="I102" s="33" t="str">
        <f>IF(A102="","",IF(H102="","⚠️ Enter Agent Code",IF(IFERROR(VLOOKUP(G102,DB_Agents!$B:$F,4,0),"")=TEXT(H102,"0"),IF(AND(A102&lt;&gt;"",E102&lt;&gt;""),"✅ Saved","Pending"),"🔒 WRONG CODE")))</f>
        <v/>
      </c>
      <c r="J102" s="33" t="str">
        <f t="shared" ca="1" si="8"/>
        <v>—</v>
      </c>
      <c r="K102" s="46"/>
    </row>
    <row r="103" spans="1:11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IF(A103="","",IFERROR(VLOOKUP(A103,DB_Customers!$A:$M,13,0),""))</f>
        <v/>
      </c>
      <c r="D103" s="42" t="str">
        <f t="shared" ca="1" si="6"/>
        <v/>
      </c>
      <c r="E103" s="32"/>
      <c r="F103" s="43" t="str">
        <f t="shared" si="7"/>
        <v/>
      </c>
      <c r="G103" s="30" t="s">
        <v>56</v>
      </c>
      <c r="H103" s="41"/>
      <c r="I103" s="33" t="str">
        <f>IF(A103="","",IF(H103="","⚠️ Enter Agent Code",IF(IFERROR(VLOOKUP(G103,DB_Agents!$B:$F,4,0),"")=TEXT(H103,"0"),IF(AND(A103&lt;&gt;"",E103&lt;&gt;""),"✅ Saved","Pending"),"🔒 WRONG CODE")))</f>
        <v/>
      </c>
      <c r="J103" s="33" t="str">
        <f t="shared" ca="1" si="8"/>
        <v>—</v>
      </c>
      <c r="K103" s="22"/>
    </row>
    <row r="104" spans="1:11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IF(A104="","",IFERROR(VLOOKUP(A104,DB_Customers!$A:$M,13,0),""))</f>
        <v/>
      </c>
      <c r="D104" s="42" t="str">
        <f t="shared" ca="1" si="6"/>
        <v/>
      </c>
      <c r="E104" s="32"/>
      <c r="F104" s="43" t="str">
        <f t="shared" si="7"/>
        <v/>
      </c>
      <c r="G104" s="30" t="s">
        <v>56</v>
      </c>
      <c r="H104" s="41"/>
      <c r="I104" s="33" t="str">
        <f>IF(A104="","",IF(H104="","⚠️ Enter Agent Code",IF(IFERROR(VLOOKUP(G104,DB_Agents!$B:$F,4,0),"")=TEXT(H104,"0"),IF(AND(A104&lt;&gt;"",E104&lt;&gt;""),"✅ Saved","Pending"),"🔒 WRONG CODE")))</f>
        <v/>
      </c>
      <c r="J104" s="33" t="str">
        <f t="shared" ca="1" si="8"/>
        <v>—</v>
      </c>
      <c r="K104" s="46"/>
    </row>
    <row r="105" spans="1:11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IF(A105="","",IFERROR(VLOOKUP(A105,DB_Customers!$A:$M,13,0),""))</f>
        <v/>
      </c>
      <c r="D105" s="42" t="str">
        <f t="shared" ref="D105:D136" ca="1" si="9">IF(A105="","",TODAY())</f>
        <v/>
      </c>
      <c r="E105" s="32"/>
      <c r="F105" s="43" t="str">
        <f t="shared" ref="F105:F136" si="10">IFERROR(IF(OR(A105="",E105=""),"",C105+E105),"")</f>
        <v/>
      </c>
      <c r="G105" s="30" t="s">
        <v>56</v>
      </c>
      <c r="H105" s="41"/>
      <c r="I105" s="33" t="str">
        <f>IF(A105="","",IF(H105="","⚠️ Enter Agent Code",IF(IFERROR(VLOOKUP(G105,DB_Agents!$B:$F,4,0),"")=TEXT(H105,"0"),IF(AND(A105&lt;&gt;"",E105&lt;&gt;""),"✅ Saved","Pending"),"🔒 WRONG CODE")))</f>
        <v/>
      </c>
      <c r="J105" s="33" t="str">
        <f t="shared" ref="J105:J136" ca="1" si="11">IF(I105="✅ Saved",TEXT(TODAY(),"YYYY-MM-DD")&amp;" Auto","—")</f>
        <v>—</v>
      </c>
      <c r="K105" s="22"/>
    </row>
    <row r="106" spans="1:11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IF(A106="","",IFERROR(VLOOKUP(A106,DB_Customers!$A:$M,13,0),""))</f>
        <v/>
      </c>
      <c r="D106" s="42" t="str">
        <f t="shared" ca="1" si="9"/>
        <v/>
      </c>
      <c r="E106" s="32"/>
      <c r="F106" s="43" t="str">
        <f t="shared" si="10"/>
        <v/>
      </c>
      <c r="G106" s="30" t="s">
        <v>56</v>
      </c>
      <c r="H106" s="41"/>
      <c r="I106" s="33" t="str">
        <f>IF(A106="","",IF(H106="","⚠️ Enter Agent Code",IF(IFERROR(VLOOKUP(G106,DB_Agents!$B:$F,4,0),"")=TEXT(H106,"0"),IF(AND(A106&lt;&gt;"",E106&lt;&gt;""),"✅ Saved","Pending"),"🔒 WRONG CODE")))</f>
        <v/>
      </c>
      <c r="J106" s="33" t="str">
        <f t="shared" ca="1" si="11"/>
        <v>—</v>
      </c>
      <c r="K106" s="46"/>
    </row>
    <row r="107" spans="1:11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IF(A107="","",IFERROR(VLOOKUP(A107,DB_Customers!$A:$M,13,0),""))</f>
        <v/>
      </c>
      <c r="D107" s="42" t="str">
        <f t="shared" ca="1" si="9"/>
        <v/>
      </c>
      <c r="E107" s="32"/>
      <c r="F107" s="43" t="str">
        <f t="shared" si="10"/>
        <v/>
      </c>
      <c r="G107" s="30" t="s">
        <v>56</v>
      </c>
      <c r="H107" s="41"/>
      <c r="I107" s="33" t="str">
        <f>IF(A107="","",IF(H107="","⚠️ Enter Agent Code",IF(IFERROR(VLOOKUP(G107,DB_Agents!$B:$F,4,0),"")=TEXT(H107,"0"),IF(AND(A107&lt;&gt;"",E107&lt;&gt;""),"✅ Saved","Pending"),"🔒 WRONG CODE")))</f>
        <v/>
      </c>
      <c r="J107" s="33" t="str">
        <f t="shared" ca="1" si="11"/>
        <v>—</v>
      </c>
      <c r="K107" s="22"/>
    </row>
    <row r="108" spans="1:11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IF(A108="","",IFERROR(VLOOKUP(A108,DB_Customers!$A:$M,13,0),""))</f>
        <v/>
      </c>
      <c r="D108" s="42" t="str">
        <f t="shared" ca="1" si="9"/>
        <v/>
      </c>
      <c r="E108" s="32"/>
      <c r="F108" s="43" t="str">
        <f t="shared" si="10"/>
        <v/>
      </c>
      <c r="G108" s="30" t="s">
        <v>56</v>
      </c>
      <c r="H108" s="41"/>
      <c r="I108" s="33" t="str">
        <f>IF(A108="","",IF(H108="","⚠️ Enter Agent Code",IF(IFERROR(VLOOKUP(G108,DB_Agents!$B:$F,4,0),"")=TEXT(H108,"0"),IF(AND(A108&lt;&gt;"",E108&lt;&gt;""),"✅ Saved","Pending"),"🔒 WRONG CODE")))</f>
        <v/>
      </c>
      <c r="J108" s="33" t="str">
        <f t="shared" ca="1" si="11"/>
        <v>—</v>
      </c>
      <c r="K108" s="46"/>
    </row>
    <row r="109" spans="1:11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IF(A109="","",IFERROR(VLOOKUP(A109,DB_Customers!$A:$M,13,0),""))</f>
        <v/>
      </c>
      <c r="D109" s="42" t="str">
        <f t="shared" ca="1" si="9"/>
        <v/>
      </c>
      <c r="E109" s="32"/>
      <c r="F109" s="43" t="str">
        <f t="shared" si="10"/>
        <v/>
      </c>
      <c r="G109" s="30" t="s">
        <v>56</v>
      </c>
      <c r="H109" s="41"/>
      <c r="I109" s="33" t="str">
        <f>IF(A109="","",IF(H109="","⚠️ Enter Agent Code",IF(IFERROR(VLOOKUP(G109,DB_Agents!$B:$F,4,0),"")=TEXT(H109,"0"),IF(AND(A109&lt;&gt;"",E109&lt;&gt;""),"✅ Saved","Pending"),"🔒 WRONG CODE")))</f>
        <v/>
      </c>
      <c r="J109" s="33" t="str">
        <f t="shared" ca="1" si="11"/>
        <v>—</v>
      </c>
      <c r="K109" s="22"/>
    </row>
    <row r="110" spans="1:11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IF(A110="","",IFERROR(VLOOKUP(A110,DB_Customers!$A:$M,13,0),""))</f>
        <v/>
      </c>
      <c r="D110" s="42" t="str">
        <f t="shared" ca="1" si="9"/>
        <v/>
      </c>
      <c r="E110" s="32"/>
      <c r="F110" s="43" t="str">
        <f t="shared" si="10"/>
        <v/>
      </c>
      <c r="G110" s="30" t="s">
        <v>56</v>
      </c>
      <c r="H110" s="41"/>
      <c r="I110" s="33" t="str">
        <f>IF(A110="","",IF(H110="","⚠️ Enter Agent Code",IF(IFERROR(VLOOKUP(G110,DB_Agents!$B:$F,4,0),"")=TEXT(H110,"0"),IF(AND(A110&lt;&gt;"",E110&lt;&gt;""),"✅ Saved","Pending"),"🔒 WRONG CODE")))</f>
        <v/>
      </c>
      <c r="J110" s="33" t="str">
        <f t="shared" ca="1" si="11"/>
        <v>—</v>
      </c>
      <c r="K110" s="46"/>
    </row>
    <row r="111" spans="1:11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IF(A111="","",IFERROR(VLOOKUP(A111,DB_Customers!$A:$M,13,0),""))</f>
        <v/>
      </c>
      <c r="D111" s="42" t="str">
        <f t="shared" ca="1" si="9"/>
        <v/>
      </c>
      <c r="E111" s="32"/>
      <c r="F111" s="43" t="str">
        <f t="shared" si="10"/>
        <v/>
      </c>
      <c r="G111" s="30" t="s">
        <v>56</v>
      </c>
      <c r="H111" s="41"/>
      <c r="I111" s="33" t="str">
        <f>IF(A111="","",IF(H111="","⚠️ Enter Agent Code",IF(IFERROR(VLOOKUP(G111,DB_Agents!$B:$F,4,0),"")=TEXT(H111,"0"),IF(AND(A111&lt;&gt;"",E111&lt;&gt;""),"✅ Saved","Pending"),"🔒 WRONG CODE")))</f>
        <v/>
      </c>
      <c r="J111" s="33" t="str">
        <f t="shared" ca="1" si="11"/>
        <v>—</v>
      </c>
      <c r="K111" s="22"/>
    </row>
    <row r="112" spans="1:11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IF(A112="","",IFERROR(VLOOKUP(A112,DB_Customers!$A:$M,13,0),""))</f>
        <v/>
      </c>
      <c r="D112" s="42" t="str">
        <f t="shared" ca="1" si="9"/>
        <v/>
      </c>
      <c r="E112" s="32"/>
      <c r="F112" s="43" t="str">
        <f t="shared" si="10"/>
        <v/>
      </c>
      <c r="G112" s="30" t="s">
        <v>56</v>
      </c>
      <c r="H112" s="41"/>
      <c r="I112" s="33" t="str">
        <f>IF(A112="","",IF(H112="","⚠️ Enter Agent Code",IF(IFERROR(VLOOKUP(G112,DB_Agents!$B:$F,4,0),"")=TEXT(H112,"0"),IF(AND(A112&lt;&gt;"",E112&lt;&gt;""),"✅ Saved","Pending"),"🔒 WRONG CODE")))</f>
        <v/>
      </c>
      <c r="J112" s="33" t="str">
        <f t="shared" ca="1" si="11"/>
        <v>—</v>
      </c>
      <c r="K112" s="46"/>
    </row>
    <row r="113" spans="1:11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IF(A113="","",IFERROR(VLOOKUP(A113,DB_Customers!$A:$M,13,0),""))</f>
        <v/>
      </c>
      <c r="D113" s="42" t="str">
        <f t="shared" ca="1" si="9"/>
        <v/>
      </c>
      <c r="E113" s="32"/>
      <c r="F113" s="43" t="str">
        <f t="shared" si="10"/>
        <v/>
      </c>
      <c r="G113" s="30" t="s">
        <v>56</v>
      </c>
      <c r="H113" s="41"/>
      <c r="I113" s="33" t="str">
        <f>IF(A113="","",IF(H113="","⚠️ Enter Agent Code",IF(IFERROR(VLOOKUP(G113,DB_Agents!$B:$F,4,0),"")=TEXT(H113,"0"),IF(AND(A113&lt;&gt;"",E113&lt;&gt;""),"✅ Saved","Pending"),"🔒 WRONG CODE")))</f>
        <v/>
      </c>
      <c r="J113" s="33" t="str">
        <f t="shared" ca="1" si="11"/>
        <v>—</v>
      </c>
      <c r="K113" s="22"/>
    </row>
    <row r="114" spans="1:11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IF(A114="","",IFERROR(VLOOKUP(A114,DB_Customers!$A:$M,13,0),""))</f>
        <v/>
      </c>
      <c r="D114" s="42" t="str">
        <f t="shared" ca="1" si="9"/>
        <v/>
      </c>
      <c r="E114" s="32"/>
      <c r="F114" s="43" t="str">
        <f t="shared" si="10"/>
        <v/>
      </c>
      <c r="G114" s="30" t="s">
        <v>56</v>
      </c>
      <c r="H114" s="41"/>
      <c r="I114" s="33" t="str">
        <f>IF(A114="","",IF(H114="","⚠️ Enter Agent Code",IF(IFERROR(VLOOKUP(G114,DB_Agents!$B:$F,4,0),"")=TEXT(H114,"0"),IF(AND(A114&lt;&gt;"",E114&lt;&gt;""),"✅ Saved","Pending"),"🔒 WRONG CODE")))</f>
        <v/>
      </c>
      <c r="J114" s="33" t="str">
        <f t="shared" ca="1" si="11"/>
        <v>—</v>
      </c>
      <c r="K114" s="46"/>
    </row>
    <row r="115" spans="1:11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IF(A115="","",IFERROR(VLOOKUP(A115,DB_Customers!$A:$M,13,0),""))</f>
        <v/>
      </c>
      <c r="D115" s="42" t="str">
        <f t="shared" ca="1" si="9"/>
        <v/>
      </c>
      <c r="E115" s="32"/>
      <c r="F115" s="43" t="str">
        <f t="shared" si="10"/>
        <v/>
      </c>
      <c r="G115" s="30" t="s">
        <v>56</v>
      </c>
      <c r="H115" s="41"/>
      <c r="I115" s="33" t="str">
        <f>IF(A115="","",IF(H115="","⚠️ Enter Agent Code",IF(IFERROR(VLOOKUP(G115,DB_Agents!$B:$F,4,0),"")=TEXT(H115,"0"),IF(AND(A115&lt;&gt;"",E115&lt;&gt;""),"✅ Saved","Pending"),"🔒 WRONG CODE")))</f>
        <v/>
      </c>
      <c r="J115" s="33" t="str">
        <f t="shared" ca="1" si="11"/>
        <v>—</v>
      </c>
      <c r="K115" s="22"/>
    </row>
    <row r="116" spans="1:11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IF(A116="","",IFERROR(VLOOKUP(A116,DB_Customers!$A:$M,13,0),""))</f>
        <v/>
      </c>
      <c r="D116" s="42" t="str">
        <f t="shared" ca="1" si="9"/>
        <v/>
      </c>
      <c r="E116" s="32"/>
      <c r="F116" s="43" t="str">
        <f t="shared" si="10"/>
        <v/>
      </c>
      <c r="G116" s="30" t="s">
        <v>56</v>
      </c>
      <c r="H116" s="41"/>
      <c r="I116" s="33" t="str">
        <f>IF(A116="","",IF(H116="","⚠️ Enter Agent Code",IF(IFERROR(VLOOKUP(G116,DB_Agents!$B:$F,4,0),"")=TEXT(H116,"0"),IF(AND(A116&lt;&gt;"",E116&lt;&gt;""),"✅ Saved","Pending"),"🔒 WRONG CODE")))</f>
        <v/>
      </c>
      <c r="J116" s="33" t="str">
        <f t="shared" ca="1" si="11"/>
        <v>—</v>
      </c>
      <c r="K116" s="46"/>
    </row>
    <row r="117" spans="1:11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IF(A117="","",IFERROR(VLOOKUP(A117,DB_Customers!$A:$M,13,0),""))</f>
        <v/>
      </c>
      <c r="D117" s="42" t="str">
        <f t="shared" ca="1" si="9"/>
        <v/>
      </c>
      <c r="E117" s="32"/>
      <c r="F117" s="43" t="str">
        <f t="shared" si="10"/>
        <v/>
      </c>
      <c r="G117" s="30" t="s">
        <v>56</v>
      </c>
      <c r="H117" s="41"/>
      <c r="I117" s="33" t="str">
        <f>IF(A117="","",IF(H117="","⚠️ Enter Agent Code",IF(IFERROR(VLOOKUP(G117,DB_Agents!$B:$F,4,0),"")=TEXT(H117,"0"),IF(AND(A117&lt;&gt;"",E117&lt;&gt;""),"✅ Saved","Pending"),"🔒 WRONG CODE")))</f>
        <v/>
      </c>
      <c r="J117" s="33" t="str">
        <f t="shared" ca="1" si="11"/>
        <v>—</v>
      </c>
      <c r="K117" s="22"/>
    </row>
    <row r="118" spans="1:11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IF(A118="","",IFERROR(VLOOKUP(A118,DB_Customers!$A:$M,13,0),""))</f>
        <v/>
      </c>
      <c r="D118" s="42" t="str">
        <f t="shared" ca="1" si="9"/>
        <v/>
      </c>
      <c r="E118" s="32"/>
      <c r="F118" s="43" t="str">
        <f t="shared" si="10"/>
        <v/>
      </c>
      <c r="G118" s="30" t="s">
        <v>56</v>
      </c>
      <c r="H118" s="41"/>
      <c r="I118" s="33" t="str">
        <f>IF(A118="","",IF(H118="","⚠️ Enter Agent Code",IF(IFERROR(VLOOKUP(G118,DB_Agents!$B:$F,4,0),"")=TEXT(H118,"0"),IF(AND(A118&lt;&gt;"",E118&lt;&gt;""),"✅ Saved","Pending"),"🔒 WRONG CODE")))</f>
        <v/>
      </c>
      <c r="J118" s="33" t="str">
        <f t="shared" ca="1" si="11"/>
        <v>—</v>
      </c>
      <c r="K118" s="46"/>
    </row>
    <row r="119" spans="1:11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IF(A119="","",IFERROR(VLOOKUP(A119,DB_Customers!$A:$M,13,0),""))</f>
        <v/>
      </c>
      <c r="D119" s="42" t="str">
        <f t="shared" ca="1" si="9"/>
        <v/>
      </c>
      <c r="E119" s="32"/>
      <c r="F119" s="43" t="str">
        <f t="shared" si="10"/>
        <v/>
      </c>
      <c r="G119" s="30" t="s">
        <v>56</v>
      </c>
      <c r="H119" s="41"/>
      <c r="I119" s="33" t="str">
        <f>IF(A119="","",IF(H119="","⚠️ Enter Agent Code",IF(IFERROR(VLOOKUP(G119,DB_Agents!$B:$F,4,0),"")=TEXT(H119,"0"),IF(AND(A119&lt;&gt;"",E119&lt;&gt;""),"✅ Saved","Pending"),"🔒 WRONG CODE")))</f>
        <v/>
      </c>
      <c r="J119" s="33" t="str">
        <f t="shared" ca="1" si="11"/>
        <v>—</v>
      </c>
      <c r="K119" s="22"/>
    </row>
    <row r="120" spans="1:11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IF(A120="","",IFERROR(VLOOKUP(A120,DB_Customers!$A:$M,13,0),""))</f>
        <v/>
      </c>
      <c r="D120" s="42" t="str">
        <f t="shared" ca="1" si="9"/>
        <v/>
      </c>
      <c r="E120" s="32"/>
      <c r="F120" s="43" t="str">
        <f t="shared" si="10"/>
        <v/>
      </c>
      <c r="G120" s="30" t="s">
        <v>56</v>
      </c>
      <c r="H120" s="41"/>
      <c r="I120" s="33" t="str">
        <f>IF(A120="","",IF(H120="","⚠️ Enter Agent Code",IF(IFERROR(VLOOKUP(G120,DB_Agents!$B:$F,4,0),"")=TEXT(H120,"0"),IF(AND(A120&lt;&gt;"",E120&lt;&gt;""),"✅ Saved","Pending"),"🔒 WRONG CODE")))</f>
        <v/>
      </c>
      <c r="J120" s="33" t="str">
        <f t="shared" ca="1" si="11"/>
        <v>—</v>
      </c>
      <c r="K120" s="46"/>
    </row>
    <row r="121" spans="1:11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IF(A121="","",IFERROR(VLOOKUP(A121,DB_Customers!$A:$M,13,0),""))</f>
        <v/>
      </c>
      <c r="D121" s="42" t="str">
        <f t="shared" ca="1" si="9"/>
        <v/>
      </c>
      <c r="E121" s="32"/>
      <c r="F121" s="43" t="str">
        <f t="shared" si="10"/>
        <v/>
      </c>
      <c r="G121" s="30" t="s">
        <v>56</v>
      </c>
      <c r="H121" s="41"/>
      <c r="I121" s="33" t="str">
        <f>IF(A121="","",IF(H121="","⚠️ Enter Agent Code",IF(IFERROR(VLOOKUP(G121,DB_Agents!$B:$F,4,0),"")=TEXT(H121,"0"),IF(AND(A121&lt;&gt;"",E121&lt;&gt;""),"✅ Saved","Pending"),"🔒 WRONG CODE")))</f>
        <v/>
      </c>
      <c r="J121" s="33" t="str">
        <f t="shared" ca="1" si="11"/>
        <v>—</v>
      </c>
      <c r="K121" s="22"/>
    </row>
    <row r="122" spans="1:11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IF(A122="","",IFERROR(VLOOKUP(A122,DB_Customers!$A:$M,13,0),""))</f>
        <v/>
      </c>
      <c r="D122" s="42" t="str">
        <f t="shared" ca="1" si="9"/>
        <v/>
      </c>
      <c r="E122" s="32"/>
      <c r="F122" s="43" t="str">
        <f t="shared" si="10"/>
        <v/>
      </c>
      <c r="G122" s="30" t="s">
        <v>56</v>
      </c>
      <c r="H122" s="41"/>
      <c r="I122" s="33" t="str">
        <f>IF(A122="","",IF(H122="","⚠️ Enter Agent Code",IF(IFERROR(VLOOKUP(G122,DB_Agents!$B:$F,4,0),"")=TEXT(H122,"0"),IF(AND(A122&lt;&gt;"",E122&lt;&gt;""),"✅ Saved","Pending"),"🔒 WRONG CODE")))</f>
        <v/>
      </c>
      <c r="J122" s="33" t="str">
        <f t="shared" ca="1" si="11"/>
        <v>—</v>
      </c>
      <c r="K122" s="46"/>
    </row>
    <row r="123" spans="1:11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IF(A123="","",IFERROR(VLOOKUP(A123,DB_Customers!$A:$M,13,0),""))</f>
        <v/>
      </c>
      <c r="D123" s="42" t="str">
        <f t="shared" ca="1" si="9"/>
        <v/>
      </c>
      <c r="E123" s="32"/>
      <c r="F123" s="43" t="str">
        <f t="shared" si="10"/>
        <v/>
      </c>
      <c r="G123" s="30" t="s">
        <v>56</v>
      </c>
      <c r="H123" s="41"/>
      <c r="I123" s="33" t="str">
        <f>IF(A123="","",IF(H123="","⚠️ Enter Agent Code",IF(IFERROR(VLOOKUP(G123,DB_Agents!$B:$F,4,0),"")=TEXT(H123,"0"),IF(AND(A123&lt;&gt;"",E123&lt;&gt;""),"✅ Saved","Pending"),"🔒 WRONG CODE")))</f>
        <v/>
      </c>
      <c r="J123" s="33" t="str">
        <f t="shared" ca="1" si="11"/>
        <v>—</v>
      </c>
      <c r="K123" s="22"/>
    </row>
    <row r="124" spans="1:11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IF(A124="","",IFERROR(VLOOKUP(A124,DB_Customers!$A:$M,13,0),""))</f>
        <v/>
      </c>
      <c r="D124" s="42" t="str">
        <f t="shared" ca="1" si="9"/>
        <v/>
      </c>
      <c r="E124" s="32"/>
      <c r="F124" s="43" t="str">
        <f t="shared" si="10"/>
        <v/>
      </c>
      <c r="G124" s="30" t="s">
        <v>56</v>
      </c>
      <c r="H124" s="41"/>
      <c r="I124" s="33" t="str">
        <f>IF(A124="","",IF(H124="","⚠️ Enter Agent Code",IF(IFERROR(VLOOKUP(G124,DB_Agents!$B:$F,4,0),"")=TEXT(H124,"0"),IF(AND(A124&lt;&gt;"",E124&lt;&gt;""),"✅ Saved","Pending"),"🔒 WRONG CODE")))</f>
        <v/>
      </c>
      <c r="J124" s="33" t="str">
        <f t="shared" ca="1" si="11"/>
        <v>—</v>
      </c>
      <c r="K124" s="46"/>
    </row>
    <row r="125" spans="1:11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IF(A125="","",IFERROR(VLOOKUP(A125,DB_Customers!$A:$M,13,0),""))</f>
        <v/>
      </c>
      <c r="D125" s="42" t="str">
        <f t="shared" ca="1" si="9"/>
        <v/>
      </c>
      <c r="E125" s="32"/>
      <c r="F125" s="43" t="str">
        <f t="shared" si="10"/>
        <v/>
      </c>
      <c r="G125" s="30" t="s">
        <v>56</v>
      </c>
      <c r="H125" s="41"/>
      <c r="I125" s="33" t="str">
        <f>IF(A125="","",IF(H125="","⚠️ Enter Agent Code",IF(IFERROR(VLOOKUP(G125,DB_Agents!$B:$F,4,0),"")=TEXT(H125,"0"),IF(AND(A125&lt;&gt;"",E125&lt;&gt;""),"✅ Saved","Pending"),"🔒 WRONG CODE")))</f>
        <v/>
      </c>
      <c r="J125" s="33" t="str">
        <f t="shared" ca="1" si="11"/>
        <v>—</v>
      </c>
      <c r="K125" s="22"/>
    </row>
    <row r="126" spans="1:11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IF(A126="","",IFERROR(VLOOKUP(A126,DB_Customers!$A:$M,13,0),""))</f>
        <v/>
      </c>
      <c r="D126" s="42" t="str">
        <f t="shared" ca="1" si="9"/>
        <v/>
      </c>
      <c r="E126" s="32"/>
      <c r="F126" s="43" t="str">
        <f t="shared" si="10"/>
        <v/>
      </c>
      <c r="G126" s="30" t="s">
        <v>56</v>
      </c>
      <c r="H126" s="41"/>
      <c r="I126" s="33" t="str">
        <f>IF(A126="","",IF(H126="","⚠️ Enter Agent Code",IF(IFERROR(VLOOKUP(G126,DB_Agents!$B:$F,4,0),"")=TEXT(H126,"0"),IF(AND(A126&lt;&gt;"",E126&lt;&gt;""),"✅ Saved","Pending"),"🔒 WRONG CODE")))</f>
        <v/>
      </c>
      <c r="J126" s="33" t="str">
        <f t="shared" ca="1" si="11"/>
        <v>—</v>
      </c>
      <c r="K126" s="46"/>
    </row>
    <row r="127" spans="1:11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IF(A127="","",IFERROR(VLOOKUP(A127,DB_Customers!$A:$M,13,0),""))</f>
        <v/>
      </c>
      <c r="D127" s="42" t="str">
        <f t="shared" ca="1" si="9"/>
        <v/>
      </c>
      <c r="E127" s="32"/>
      <c r="F127" s="43" t="str">
        <f t="shared" si="10"/>
        <v/>
      </c>
      <c r="G127" s="30" t="s">
        <v>56</v>
      </c>
      <c r="H127" s="41"/>
      <c r="I127" s="33" t="str">
        <f>IF(A127="","",IF(H127="","⚠️ Enter Agent Code",IF(IFERROR(VLOOKUP(G127,DB_Agents!$B:$F,4,0),"")=TEXT(H127,"0"),IF(AND(A127&lt;&gt;"",E127&lt;&gt;""),"✅ Saved","Pending"),"🔒 WRONG CODE")))</f>
        <v/>
      </c>
      <c r="J127" s="33" t="str">
        <f t="shared" ca="1" si="11"/>
        <v>—</v>
      </c>
      <c r="K127" s="22"/>
    </row>
    <row r="128" spans="1:11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IF(A128="","",IFERROR(VLOOKUP(A128,DB_Customers!$A:$M,13,0),""))</f>
        <v/>
      </c>
      <c r="D128" s="42" t="str">
        <f t="shared" ca="1" si="9"/>
        <v/>
      </c>
      <c r="E128" s="32"/>
      <c r="F128" s="43" t="str">
        <f t="shared" si="10"/>
        <v/>
      </c>
      <c r="G128" s="30" t="s">
        <v>56</v>
      </c>
      <c r="H128" s="41"/>
      <c r="I128" s="33" t="str">
        <f>IF(A128="","",IF(H128="","⚠️ Enter Agent Code",IF(IFERROR(VLOOKUP(G128,DB_Agents!$B:$F,4,0),"")=TEXT(H128,"0"),IF(AND(A128&lt;&gt;"",E128&lt;&gt;""),"✅ Saved","Pending"),"🔒 WRONG CODE")))</f>
        <v/>
      </c>
      <c r="J128" s="33" t="str">
        <f t="shared" ca="1" si="11"/>
        <v>—</v>
      </c>
      <c r="K128" s="46"/>
    </row>
    <row r="129" spans="1:11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IF(A129="","",IFERROR(VLOOKUP(A129,DB_Customers!$A:$M,13,0),""))</f>
        <v/>
      </c>
      <c r="D129" s="42" t="str">
        <f t="shared" ca="1" si="9"/>
        <v/>
      </c>
      <c r="E129" s="32"/>
      <c r="F129" s="43" t="str">
        <f t="shared" si="10"/>
        <v/>
      </c>
      <c r="G129" s="30" t="s">
        <v>56</v>
      </c>
      <c r="H129" s="41"/>
      <c r="I129" s="33" t="str">
        <f>IF(A129="","",IF(H129="","⚠️ Enter Agent Code",IF(IFERROR(VLOOKUP(G129,DB_Agents!$B:$F,4,0),"")=TEXT(H129,"0"),IF(AND(A129&lt;&gt;"",E129&lt;&gt;""),"✅ Saved","Pending"),"🔒 WRONG CODE")))</f>
        <v/>
      </c>
      <c r="J129" s="33" t="str">
        <f t="shared" ca="1" si="11"/>
        <v>—</v>
      </c>
      <c r="K129" s="22"/>
    </row>
    <row r="130" spans="1:11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IF(A130="","",IFERROR(VLOOKUP(A130,DB_Customers!$A:$M,13,0),""))</f>
        <v/>
      </c>
      <c r="D130" s="42" t="str">
        <f t="shared" ca="1" si="9"/>
        <v/>
      </c>
      <c r="E130" s="32"/>
      <c r="F130" s="43" t="str">
        <f t="shared" si="10"/>
        <v/>
      </c>
      <c r="G130" s="30" t="s">
        <v>56</v>
      </c>
      <c r="H130" s="41"/>
      <c r="I130" s="33" t="str">
        <f>IF(A130="","",IF(H130="","⚠️ Enter Agent Code",IF(IFERROR(VLOOKUP(G130,DB_Agents!$B:$F,4,0),"")=TEXT(H130,"0"),IF(AND(A130&lt;&gt;"",E130&lt;&gt;""),"✅ Saved","Pending"),"🔒 WRONG CODE")))</f>
        <v/>
      </c>
      <c r="J130" s="33" t="str">
        <f t="shared" ca="1" si="11"/>
        <v>—</v>
      </c>
      <c r="K130" s="46"/>
    </row>
    <row r="131" spans="1:11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IF(A131="","",IFERROR(VLOOKUP(A131,DB_Customers!$A:$M,13,0),""))</f>
        <v/>
      </c>
      <c r="D131" s="42" t="str">
        <f t="shared" ca="1" si="9"/>
        <v/>
      </c>
      <c r="E131" s="32"/>
      <c r="F131" s="43" t="str">
        <f t="shared" si="10"/>
        <v/>
      </c>
      <c r="G131" s="30" t="s">
        <v>56</v>
      </c>
      <c r="H131" s="41"/>
      <c r="I131" s="33" t="str">
        <f>IF(A131="","",IF(H131="","⚠️ Enter Agent Code",IF(IFERROR(VLOOKUP(G131,DB_Agents!$B:$F,4,0),"")=TEXT(H131,"0"),IF(AND(A131&lt;&gt;"",E131&lt;&gt;""),"✅ Saved","Pending"),"🔒 WRONG CODE")))</f>
        <v/>
      </c>
      <c r="J131" s="33" t="str">
        <f t="shared" ca="1" si="11"/>
        <v>—</v>
      </c>
      <c r="K131" s="22"/>
    </row>
    <row r="132" spans="1:11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IF(A132="","",IFERROR(VLOOKUP(A132,DB_Customers!$A:$M,13,0),""))</f>
        <v/>
      </c>
      <c r="D132" s="42" t="str">
        <f t="shared" ca="1" si="9"/>
        <v/>
      </c>
      <c r="E132" s="32"/>
      <c r="F132" s="43" t="str">
        <f t="shared" si="10"/>
        <v/>
      </c>
      <c r="G132" s="30" t="s">
        <v>56</v>
      </c>
      <c r="H132" s="41"/>
      <c r="I132" s="33" t="str">
        <f>IF(A132="","",IF(H132="","⚠️ Enter Agent Code",IF(IFERROR(VLOOKUP(G132,DB_Agents!$B:$F,4,0),"")=TEXT(H132,"0"),IF(AND(A132&lt;&gt;"",E132&lt;&gt;""),"✅ Saved","Pending"),"🔒 WRONG CODE")))</f>
        <v/>
      </c>
      <c r="J132" s="33" t="str">
        <f t="shared" ca="1" si="11"/>
        <v>—</v>
      </c>
      <c r="K132" s="46"/>
    </row>
    <row r="133" spans="1:11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IF(A133="","",IFERROR(VLOOKUP(A133,DB_Customers!$A:$M,13,0),""))</f>
        <v/>
      </c>
      <c r="D133" s="42" t="str">
        <f t="shared" ca="1" si="9"/>
        <v/>
      </c>
      <c r="E133" s="32"/>
      <c r="F133" s="43" t="str">
        <f t="shared" si="10"/>
        <v/>
      </c>
      <c r="G133" s="30" t="s">
        <v>56</v>
      </c>
      <c r="H133" s="41"/>
      <c r="I133" s="33" t="str">
        <f>IF(A133="","",IF(H133="","⚠️ Enter Agent Code",IF(IFERROR(VLOOKUP(G133,DB_Agents!$B:$F,4,0),"")=TEXT(H133,"0"),IF(AND(A133&lt;&gt;"",E133&lt;&gt;""),"✅ Saved","Pending"),"🔒 WRONG CODE")))</f>
        <v/>
      </c>
      <c r="J133" s="33" t="str">
        <f t="shared" ca="1" si="11"/>
        <v>—</v>
      </c>
      <c r="K133" s="22"/>
    </row>
    <row r="134" spans="1:11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IF(A134="","",IFERROR(VLOOKUP(A134,DB_Customers!$A:$M,13,0),""))</f>
        <v/>
      </c>
      <c r="D134" s="42" t="str">
        <f t="shared" ca="1" si="9"/>
        <v/>
      </c>
      <c r="E134" s="32"/>
      <c r="F134" s="43" t="str">
        <f t="shared" si="10"/>
        <v/>
      </c>
      <c r="G134" s="30" t="s">
        <v>56</v>
      </c>
      <c r="H134" s="41"/>
      <c r="I134" s="33" t="str">
        <f>IF(A134="","",IF(H134="","⚠️ Enter Agent Code",IF(IFERROR(VLOOKUP(G134,DB_Agents!$B:$F,4,0),"")=TEXT(H134,"0"),IF(AND(A134&lt;&gt;"",E134&lt;&gt;""),"✅ Saved","Pending"),"🔒 WRONG CODE")))</f>
        <v/>
      </c>
      <c r="J134" s="33" t="str">
        <f t="shared" ca="1" si="11"/>
        <v>—</v>
      </c>
      <c r="K134" s="46"/>
    </row>
    <row r="135" spans="1:11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IF(A135="","",IFERROR(VLOOKUP(A135,DB_Customers!$A:$M,13,0),""))</f>
        <v/>
      </c>
      <c r="D135" s="42" t="str">
        <f t="shared" ca="1" si="9"/>
        <v/>
      </c>
      <c r="E135" s="32"/>
      <c r="F135" s="43" t="str">
        <f t="shared" si="10"/>
        <v/>
      </c>
      <c r="G135" s="30" t="s">
        <v>56</v>
      </c>
      <c r="H135" s="41"/>
      <c r="I135" s="33" t="str">
        <f>IF(A135="","",IF(H135="","⚠️ Enter Agent Code",IF(IFERROR(VLOOKUP(G135,DB_Agents!$B:$F,4,0),"")=TEXT(H135,"0"),IF(AND(A135&lt;&gt;"",E135&lt;&gt;""),"✅ Saved","Pending"),"🔒 WRONG CODE")))</f>
        <v/>
      </c>
      <c r="J135" s="33" t="str">
        <f t="shared" ca="1" si="11"/>
        <v>—</v>
      </c>
      <c r="K135" s="22"/>
    </row>
    <row r="136" spans="1:11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IF(A136="","",IFERROR(VLOOKUP(A136,DB_Customers!$A:$M,13,0),""))</f>
        <v/>
      </c>
      <c r="D136" s="42" t="str">
        <f t="shared" ca="1" si="9"/>
        <v/>
      </c>
      <c r="E136" s="32"/>
      <c r="F136" s="43" t="str">
        <f t="shared" si="10"/>
        <v/>
      </c>
      <c r="G136" s="30" t="s">
        <v>56</v>
      </c>
      <c r="H136" s="41"/>
      <c r="I136" s="33" t="str">
        <f>IF(A136="","",IF(H136="","⚠️ Enter Agent Code",IF(IFERROR(VLOOKUP(G136,DB_Agents!$B:$F,4,0),"")=TEXT(H136,"0"),IF(AND(A136&lt;&gt;"",E136&lt;&gt;""),"✅ Saved","Pending"),"🔒 WRONG CODE")))</f>
        <v/>
      </c>
      <c r="J136" s="33" t="str">
        <f t="shared" ca="1" si="11"/>
        <v>—</v>
      </c>
      <c r="K136" s="46"/>
    </row>
    <row r="137" spans="1:11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IF(A137="","",IFERROR(VLOOKUP(A137,DB_Customers!$A:$M,13,0),""))</f>
        <v/>
      </c>
      <c r="D137" s="42" t="str">
        <f t="shared" ref="D137:D168" ca="1" si="12">IF(A137="","",TODAY())</f>
        <v/>
      </c>
      <c r="E137" s="32"/>
      <c r="F137" s="43" t="str">
        <f t="shared" ref="F137:F168" si="13">IFERROR(IF(OR(A137="",E137=""),"",C137+E137),"")</f>
        <v/>
      </c>
      <c r="G137" s="30" t="s">
        <v>56</v>
      </c>
      <c r="H137" s="41"/>
      <c r="I137" s="33" t="str">
        <f>IF(A137="","",IF(H137="","⚠️ Enter Agent Code",IF(IFERROR(VLOOKUP(G137,DB_Agents!$B:$F,4,0),"")=TEXT(H137,"0"),IF(AND(A137&lt;&gt;"",E137&lt;&gt;""),"✅ Saved","Pending"),"🔒 WRONG CODE")))</f>
        <v/>
      </c>
      <c r="J137" s="33" t="str">
        <f t="shared" ref="J137:J168" ca="1" si="14">IF(I137="✅ Saved",TEXT(TODAY(),"YYYY-MM-DD")&amp;" Auto","—")</f>
        <v>—</v>
      </c>
      <c r="K137" s="22"/>
    </row>
    <row r="138" spans="1:11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IF(A138="","",IFERROR(VLOOKUP(A138,DB_Customers!$A:$M,13,0),""))</f>
        <v/>
      </c>
      <c r="D138" s="42" t="str">
        <f t="shared" ca="1" si="12"/>
        <v/>
      </c>
      <c r="E138" s="32"/>
      <c r="F138" s="43" t="str">
        <f t="shared" si="13"/>
        <v/>
      </c>
      <c r="G138" s="30" t="s">
        <v>56</v>
      </c>
      <c r="H138" s="41"/>
      <c r="I138" s="33" t="str">
        <f>IF(A138="","",IF(H138="","⚠️ Enter Agent Code",IF(IFERROR(VLOOKUP(G138,DB_Agents!$B:$F,4,0),"")=TEXT(H138,"0"),IF(AND(A138&lt;&gt;"",E138&lt;&gt;""),"✅ Saved","Pending"),"🔒 WRONG CODE")))</f>
        <v/>
      </c>
      <c r="J138" s="33" t="str">
        <f t="shared" ca="1" si="14"/>
        <v>—</v>
      </c>
      <c r="K138" s="46"/>
    </row>
    <row r="139" spans="1:11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IF(A139="","",IFERROR(VLOOKUP(A139,DB_Customers!$A:$M,13,0),""))</f>
        <v/>
      </c>
      <c r="D139" s="42" t="str">
        <f t="shared" ca="1" si="12"/>
        <v/>
      </c>
      <c r="E139" s="32"/>
      <c r="F139" s="43" t="str">
        <f t="shared" si="13"/>
        <v/>
      </c>
      <c r="G139" s="30" t="s">
        <v>56</v>
      </c>
      <c r="H139" s="41"/>
      <c r="I139" s="33" t="str">
        <f>IF(A139="","",IF(H139="","⚠️ Enter Agent Code",IF(IFERROR(VLOOKUP(G139,DB_Agents!$B:$F,4,0),"")=TEXT(H139,"0"),IF(AND(A139&lt;&gt;"",E139&lt;&gt;""),"✅ Saved","Pending"),"🔒 WRONG CODE")))</f>
        <v/>
      </c>
      <c r="J139" s="33" t="str">
        <f t="shared" ca="1" si="14"/>
        <v>—</v>
      </c>
      <c r="K139" s="22"/>
    </row>
    <row r="140" spans="1:11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IF(A140="","",IFERROR(VLOOKUP(A140,DB_Customers!$A:$M,13,0),""))</f>
        <v/>
      </c>
      <c r="D140" s="42" t="str">
        <f t="shared" ca="1" si="12"/>
        <v/>
      </c>
      <c r="E140" s="32"/>
      <c r="F140" s="43" t="str">
        <f t="shared" si="13"/>
        <v/>
      </c>
      <c r="G140" s="30" t="s">
        <v>56</v>
      </c>
      <c r="H140" s="41"/>
      <c r="I140" s="33" t="str">
        <f>IF(A140="","",IF(H140="","⚠️ Enter Agent Code",IF(IFERROR(VLOOKUP(G140,DB_Agents!$B:$F,4,0),"")=TEXT(H140,"0"),IF(AND(A140&lt;&gt;"",E140&lt;&gt;""),"✅ Saved","Pending"),"🔒 WRONG CODE")))</f>
        <v/>
      </c>
      <c r="J140" s="33" t="str">
        <f t="shared" ca="1" si="14"/>
        <v>—</v>
      </c>
      <c r="K140" s="46"/>
    </row>
    <row r="141" spans="1:11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IF(A141="","",IFERROR(VLOOKUP(A141,DB_Customers!$A:$M,13,0),""))</f>
        <v/>
      </c>
      <c r="D141" s="42" t="str">
        <f t="shared" ca="1" si="12"/>
        <v/>
      </c>
      <c r="E141" s="32"/>
      <c r="F141" s="43" t="str">
        <f t="shared" si="13"/>
        <v/>
      </c>
      <c r="G141" s="30" t="s">
        <v>56</v>
      </c>
      <c r="H141" s="41"/>
      <c r="I141" s="33" t="str">
        <f>IF(A141="","",IF(H141="","⚠️ Enter Agent Code",IF(IFERROR(VLOOKUP(G141,DB_Agents!$B:$F,4,0),"")=TEXT(H141,"0"),IF(AND(A141&lt;&gt;"",E141&lt;&gt;""),"✅ Saved","Pending"),"🔒 WRONG CODE")))</f>
        <v/>
      </c>
      <c r="J141" s="33" t="str">
        <f t="shared" ca="1" si="14"/>
        <v>—</v>
      </c>
      <c r="K141" s="22"/>
    </row>
    <row r="142" spans="1:11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IF(A142="","",IFERROR(VLOOKUP(A142,DB_Customers!$A:$M,13,0),""))</f>
        <v/>
      </c>
      <c r="D142" s="42" t="str">
        <f t="shared" ca="1" si="12"/>
        <v/>
      </c>
      <c r="E142" s="32"/>
      <c r="F142" s="43" t="str">
        <f t="shared" si="13"/>
        <v/>
      </c>
      <c r="G142" s="30" t="s">
        <v>56</v>
      </c>
      <c r="H142" s="41"/>
      <c r="I142" s="33" t="str">
        <f>IF(A142="","",IF(H142="","⚠️ Enter Agent Code",IF(IFERROR(VLOOKUP(G142,DB_Agents!$B:$F,4,0),"")=TEXT(H142,"0"),IF(AND(A142&lt;&gt;"",E142&lt;&gt;""),"✅ Saved","Pending"),"🔒 WRONG CODE")))</f>
        <v/>
      </c>
      <c r="J142" s="33" t="str">
        <f t="shared" ca="1" si="14"/>
        <v>—</v>
      </c>
      <c r="K142" s="46"/>
    </row>
    <row r="143" spans="1:11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IF(A143="","",IFERROR(VLOOKUP(A143,DB_Customers!$A:$M,13,0),""))</f>
        <v/>
      </c>
      <c r="D143" s="42" t="str">
        <f t="shared" ca="1" si="12"/>
        <v/>
      </c>
      <c r="E143" s="32"/>
      <c r="F143" s="43" t="str">
        <f t="shared" si="13"/>
        <v/>
      </c>
      <c r="G143" s="30" t="s">
        <v>56</v>
      </c>
      <c r="H143" s="41"/>
      <c r="I143" s="33" t="str">
        <f>IF(A143="","",IF(H143="","⚠️ Enter Agent Code",IF(IFERROR(VLOOKUP(G143,DB_Agents!$B:$F,4,0),"")=TEXT(H143,"0"),IF(AND(A143&lt;&gt;"",E143&lt;&gt;""),"✅ Saved","Pending"),"🔒 WRONG CODE")))</f>
        <v/>
      </c>
      <c r="J143" s="33" t="str">
        <f t="shared" ca="1" si="14"/>
        <v>—</v>
      </c>
      <c r="K143" s="22"/>
    </row>
    <row r="144" spans="1:11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IF(A144="","",IFERROR(VLOOKUP(A144,DB_Customers!$A:$M,13,0),""))</f>
        <v/>
      </c>
      <c r="D144" s="42" t="str">
        <f t="shared" ca="1" si="12"/>
        <v/>
      </c>
      <c r="E144" s="32"/>
      <c r="F144" s="43" t="str">
        <f t="shared" si="13"/>
        <v/>
      </c>
      <c r="G144" s="30" t="s">
        <v>56</v>
      </c>
      <c r="H144" s="41"/>
      <c r="I144" s="33" t="str">
        <f>IF(A144="","",IF(H144="","⚠️ Enter Agent Code",IF(IFERROR(VLOOKUP(G144,DB_Agents!$B:$F,4,0),"")=TEXT(H144,"0"),IF(AND(A144&lt;&gt;"",E144&lt;&gt;""),"✅ Saved","Pending"),"🔒 WRONG CODE")))</f>
        <v/>
      </c>
      <c r="J144" s="33" t="str">
        <f t="shared" ca="1" si="14"/>
        <v>—</v>
      </c>
      <c r="K144" s="46"/>
    </row>
    <row r="145" spans="1:11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IF(A145="","",IFERROR(VLOOKUP(A145,DB_Customers!$A:$M,13,0),""))</f>
        <v/>
      </c>
      <c r="D145" s="42" t="str">
        <f t="shared" ca="1" si="12"/>
        <v/>
      </c>
      <c r="E145" s="32"/>
      <c r="F145" s="43" t="str">
        <f t="shared" si="13"/>
        <v/>
      </c>
      <c r="G145" s="30" t="s">
        <v>56</v>
      </c>
      <c r="H145" s="41"/>
      <c r="I145" s="33" t="str">
        <f>IF(A145="","",IF(H145="","⚠️ Enter Agent Code",IF(IFERROR(VLOOKUP(G145,DB_Agents!$B:$F,4,0),"")=TEXT(H145,"0"),IF(AND(A145&lt;&gt;"",E145&lt;&gt;""),"✅ Saved","Pending"),"🔒 WRONG CODE")))</f>
        <v/>
      </c>
      <c r="J145" s="33" t="str">
        <f t="shared" ca="1" si="14"/>
        <v>—</v>
      </c>
      <c r="K145" s="22"/>
    </row>
    <row r="146" spans="1:11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IF(A146="","",IFERROR(VLOOKUP(A146,DB_Customers!$A:$M,13,0),""))</f>
        <v/>
      </c>
      <c r="D146" s="42" t="str">
        <f t="shared" ca="1" si="12"/>
        <v/>
      </c>
      <c r="E146" s="32"/>
      <c r="F146" s="43" t="str">
        <f t="shared" si="13"/>
        <v/>
      </c>
      <c r="G146" s="30" t="s">
        <v>56</v>
      </c>
      <c r="H146" s="41"/>
      <c r="I146" s="33" t="str">
        <f>IF(A146="","",IF(H146="","⚠️ Enter Agent Code",IF(IFERROR(VLOOKUP(G146,DB_Agents!$B:$F,4,0),"")=TEXT(H146,"0"),IF(AND(A146&lt;&gt;"",E146&lt;&gt;""),"✅ Saved","Pending"),"🔒 WRONG CODE")))</f>
        <v/>
      </c>
      <c r="J146" s="33" t="str">
        <f t="shared" ca="1" si="14"/>
        <v>—</v>
      </c>
      <c r="K146" s="46"/>
    </row>
    <row r="147" spans="1:11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IF(A147="","",IFERROR(VLOOKUP(A147,DB_Customers!$A:$M,13,0),""))</f>
        <v/>
      </c>
      <c r="D147" s="42" t="str">
        <f t="shared" ca="1" si="12"/>
        <v/>
      </c>
      <c r="E147" s="32"/>
      <c r="F147" s="43" t="str">
        <f t="shared" si="13"/>
        <v/>
      </c>
      <c r="G147" s="30" t="s">
        <v>56</v>
      </c>
      <c r="H147" s="41"/>
      <c r="I147" s="33" t="str">
        <f>IF(A147="","",IF(H147="","⚠️ Enter Agent Code",IF(IFERROR(VLOOKUP(G147,DB_Agents!$B:$F,4,0),"")=TEXT(H147,"0"),IF(AND(A147&lt;&gt;"",E147&lt;&gt;""),"✅ Saved","Pending"),"🔒 WRONG CODE")))</f>
        <v/>
      </c>
      <c r="J147" s="33" t="str">
        <f t="shared" ca="1" si="14"/>
        <v>—</v>
      </c>
      <c r="K147" s="22"/>
    </row>
    <row r="148" spans="1:11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IF(A148="","",IFERROR(VLOOKUP(A148,DB_Customers!$A:$M,13,0),""))</f>
        <v/>
      </c>
      <c r="D148" s="42" t="str">
        <f t="shared" ca="1" si="12"/>
        <v/>
      </c>
      <c r="E148" s="32"/>
      <c r="F148" s="43" t="str">
        <f t="shared" si="13"/>
        <v/>
      </c>
      <c r="G148" s="30" t="s">
        <v>56</v>
      </c>
      <c r="H148" s="41"/>
      <c r="I148" s="33" t="str">
        <f>IF(A148="","",IF(H148="","⚠️ Enter Agent Code",IF(IFERROR(VLOOKUP(G148,DB_Agents!$B:$F,4,0),"")=TEXT(H148,"0"),IF(AND(A148&lt;&gt;"",E148&lt;&gt;""),"✅ Saved","Pending"),"🔒 WRONG CODE")))</f>
        <v/>
      </c>
      <c r="J148" s="33" t="str">
        <f t="shared" ca="1" si="14"/>
        <v>—</v>
      </c>
      <c r="K148" s="46"/>
    </row>
    <row r="149" spans="1:11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IF(A149="","",IFERROR(VLOOKUP(A149,DB_Customers!$A:$M,13,0),""))</f>
        <v/>
      </c>
      <c r="D149" s="42" t="str">
        <f t="shared" ca="1" si="12"/>
        <v/>
      </c>
      <c r="E149" s="32"/>
      <c r="F149" s="43" t="str">
        <f t="shared" si="13"/>
        <v/>
      </c>
      <c r="G149" s="30" t="s">
        <v>56</v>
      </c>
      <c r="H149" s="41"/>
      <c r="I149" s="33" t="str">
        <f>IF(A149="","",IF(H149="","⚠️ Enter Agent Code",IF(IFERROR(VLOOKUP(G149,DB_Agents!$B:$F,4,0),"")=TEXT(H149,"0"),IF(AND(A149&lt;&gt;"",E149&lt;&gt;""),"✅ Saved","Pending"),"🔒 WRONG CODE")))</f>
        <v/>
      </c>
      <c r="J149" s="33" t="str">
        <f t="shared" ca="1" si="14"/>
        <v>—</v>
      </c>
      <c r="K149" s="22"/>
    </row>
    <row r="150" spans="1:11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IF(A150="","",IFERROR(VLOOKUP(A150,DB_Customers!$A:$M,13,0),""))</f>
        <v/>
      </c>
      <c r="D150" s="42" t="str">
        <f t="shared" ca="1" si="12"/>
        <v/>
      </c>
      <c r="E150" s="32"/>
      <c r="F150" s="43" t="str">
        <f t="shared" si="13"/>
        <v/>
      </c>
      <c r="G150" s="30" t="s">
        <v>56</v>
      </c>
      <c r="H150" s="41"/>
      <c r="I150" s="33" t="str">
        <f>IF(A150="","",IF(H150="","⚠️ Enter Agent Code",IF(IFERROR(VLOOKUP(G150,DB_Agents!$B:$F,4,0),"")=TEXT(H150,"0"),IF(AND(A150&lt;&gt;"",E150&lt;&gt;""),"✅ Saved","Pending"),"🔒 WRONG CODE")))</f>
        <v/>
      </c>
      <c r="J150" s="33" t="str">
        <f t="shared" ca="1" si="14"/>
        <v>—</v>
      </c>
      <c r="K150" s="46"/>
    </row>
    <row r="151" spans="1:11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IF(A151="","",IFERROR(VLOOKUP(A151,DB_Customers!$A:$M,13,0),""))</f>
        <v/>
      </c>
      <c r="D151" s="42" t="str">
        <f t="shared" ca="1" si="12"/>
        <v/>
      </c>
      <c r="E151" s="32"/>
      <c r="F151" s="43" t="str">
        <f t="shared" si="13"/>
        <v/>
      </c>
      <c r="G151" s="30" t="s">
        <v>56</v>
      </c>
      <c r="H151" s="41"/>
      <c r="I151" s="33" t="str">
        <f>IF(A151="","",IF(H151="","⚠️ Enter Agent Code",IF(IFERROR(VLOOKUP(G151,DB_Agents!$B:$F,4,0),"")=TEXT(H151,"0"),IF(AND(A151&lt;&gt;"",E151&lt;&gt;""),"✅ Saved","Pending"),"🔒 WRONG CODE")))</f>
        <v/>
      </c>
      <c r="J151" s="33" t="str">
        <f t="shared" ca="1" si="14"/>
        <v>—</v>
      </c>
      <c r="K151" s="22"/>
    </row>
    <row r="152" spans="1:11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IF(A152="","",IFERROR(VLOOKUP(A152,DB_Customers!$A:$M,13,0),""))</f>
        <v/>
      </c>
      <c r="D152" s="42" t="str">
        <f t="shared" ca="1" si="12"/>
        <v/>
      </c>
      <c r="E152" s="32"/>
      <c r="F152" s="43" t="str">
        <f t="shared" si="13"/>
        <v/>
      </c>
      <c r="G152" s="30" t="s">
        <v>56</v>
      </c>
      <c r="H152" s="41"/>
      <c r="I152" s="33" t="str">
        <f>IF(A152="","",IF(H152="","⚠️ Enter Agent Code",IF(IFERROR(VLOOKUP(G152,DB_Agents!$B:$F,4,0),"")=TEXT(H152,"0"),IF(AND(A152&lt;&gt;"",E152&lt;&gt;""),"✅ Saved","Pending"),"🔒 WRONG CODE")))</f>
        <v/>
      </c>
      <c r="J152" s="33" t="str">
        <f t="shared" ca="1" si="14"/>
        <v>—</v>
      </c>
      <c r="K152" s="46"/>
    </row>
    <row r="153" spans="1:11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IF(A153="","",IFERROR(VLOOKUP(A153,DB_Customers!$A:$M,13,0),""))</f>
        <v/>
      </c>
      <c r="D153" s="42" t="str">
        <f t="shared" ca="1" si="12"/>
        <v/>
      </c>
      <c r="E153" s="32"/>
      <c r="F153" s="43" t="str">
        <f t="shared" si="13"/>
        <v/>
      </c>
      <c r="G153" s="30" t="s">
        <v>56</v>
      </c>
      <c r="H153" s="41"/>
      <c r="I153" s="33" t="str">
        <f>IF(A153="","",IF(H153="","⚠️ Enter Agent Code",IF(IFERROR(VLOOKUP(G153,DB_Agents!$B:$F,4,0),"")=TEXT(H153,"0"),IF(AND(A153&lt;&gt;"",E153&lt;&gt;""),"✅ Saved","Pending"),"🔒 WRONG CODE")))</f>
        <v/>
      </c>
      <c r="J153" s="33" t="str">
        <f t="shared" ca="1" si="14"/>
        <v>—</v>
      </c>
      <c r="K153" s="22"/>
    </row>
    <row r="154" spans="1:11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IF(A154="","",IFERROR(VLOOKUP(A154,DB_Customers!$A:$M,13,0),""))</f>
        <v/>
      </c>
      <c r="D154" s="42" t="str">
        <f t="shared" ca="1" si="12"/>
        <v/>
      </c>
      <c r="E154" s="32"/>
      <c r="F154" s="43" t="str">
        <f t="shared" si="13"/>
        <v/>
      </c>
      <c r="G154" s="30" t="s">
        <v>56</v>
      </c>
      <c r="H154" s="41"/>
      <c r="I154" s="33" t="str">
        <f>IF(A154="","",IF(H154="","⚠️ Enter Agent Code",IF(IFERROR(VLOOKUP(G154,DB_Agents!$B:$F,4,0),"")=TEXT(H154,"0"),IF(AND(A154&lt;&gt;"",E154&lt;&gt;""),"✅ Saved","Pending"),"🔒 WRONG CODE")))</f>
        <v/>
      </c>
      <c r="J154" s="33" t="str">
        <f t="shared" ca="1" si="14"/>
        <v>—</v>
      </c>
      <c r="K154" s="46"/>
    </row>
    <row r="155" spans="1:11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IF(A155="","",IFERROR(VLOOKUP(A155,DB_Customers!$A:$M,13,0),""))</f>
        <v/>
      </c>
      <c r="D155" s="42" t="str">
        <f t="shared" ca="1" si="12"/>
        <v/>
      </c>
      <c r="E155" s="32"/>
      <c r="F155" s="43" t="str">
        <f t="shared" si="13"/>
        <v/>
      </c>
      <c r="G155" s="30" t="s">
        <v>56</v>
      </c>
      <c r="H155" s="41"/>
      <c r="I155" s="33" t="str">
        <f>IF(A155="","",IF(H155="","⚠️ Enter Agent Code",IF(IFERROR(VLOOKUP(G155,DB_Agents!$B:$F,4,0),"")=TEXT(H155,"0"),IF(AND(A155&lt;&gt;"",E155&lt;&gt;""),"✅ Saved","Pending"),"🔒 WRONG CODE")))</f>
        <v/>
      </c>
      <c r="J155" s="33" t="str">
        <f t="shared" ca="1" si="14"/>
        <v>—</v>
      </c>
      <c r="K155" s="22"/>
    </row>
    <row r="156" spans="1:11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IF(A156="","",IFERROR(VLOOKUP(A156,DB_Customers!$A:$M,13,0),""))</f>
        <v/>
      </c>
      <c r="D156" s="42" t="str">
        <f t="shared" ca="1" si="12"/>
        <v/>
      </c>
      <c r="E156" s="32"/>
      <c r="F156" s="43" t="str">
        <f t="shared" si="13"/>
        <v/>
      </c>
      <c r="G156" s="30" t="s">
        <v>56</v>
      </c>
      <c r="H156" s="41"/>
      <c r="I156" s="33" t="str">
        <f>IF(A156="","",IF(H156="","⚠️ Enter Agent Code",IF(IFERROR(VLOOKUP(G156,DB_Agents!$B:$F,4,0),"")=TEXT(H156,"0"),IF(AND(A156&lt;&gt;"",E156&lt;&gt;""),"✅ Saved","Pending"),"🔒 WRONG CODE")))</f>
        <v/>
      </c>
      <c r="J156" s="33" t="str">
        <f t="shared" ca="1" si="14"/>
        <v>—</v>
      </c>
      <c r="K156" s="46"/>
    </row>
    <row r="157" spans="1:11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IF(A157="","",IFERROR(VLOOKUP(A157,DB_Customers!$A:$M,13,0),""))</f>
        <v/>
      </c>
      <c r="D157" s="42" t="str">
        <f t="shared" ca="1" si="12"/>
        <v/>
      </c>
      <c r="E157" s="32"/>
      <c r="F157" s="43" t="str">
        <f t="shared" si="13"/>
        <v/>
      </c>
      <c r="G157" s="30" t="s">
        <v>56</v>
      </c>
      <c r="H157" s="41"/>
      <c r="I157" s="33" t="str">
        <f>IF(A157="","",IF(H157="","⚠️ Enter Agent Code",IF(IFERROR(VLOOKUP(G157,DB_Agents!$B:$F,4,0),"")=TEXT(H157,"0"),IF(AND(A157&lt;&gt;"",E157&lt;&gt;""),"✅ Saved","Pending"),"🔒 WRONG CODE")))</f>
        <v/>
      </c>
      <c r="J157" s="33" t="str">
        <f t="shared" ca="1" si="14"/>
        <v>—</v>
      </c>
      <c r="K157" s="22"/>
    </row>
    <row r="158" spans="1:11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IF(A158="","",IFERROR(VLOOKUP(A158,DB_Customers!$A:$M,13,0),""))</f>
        <v/>
      </c>
      <c r="D158" s="42" t="str">
        <f t="shared" ca="1" si="12"/>
        <v/>
      </c>
      <c r="E158" s="32"/>
      <c r="F158" s="43" t="str">
        <f t="shared" si="13"/>
        <v/>
      </c>
      <c r="G158" s="30" t="s">
        <v>56</v>
      </c>
      <c r="H158" s="41"/>
      <c r="I158" s="33" t="str">
        <f>IF(A158="","",IF(H158="","⚠️ Enter Agent Code",IF(IFERROR(VLOOKUP(G158,DB_Agents!$B:$F,4,0),"")=TEXT(H158,"0"),IF(AND(A158&lt;&gt;"",E158&lt;&gt;""),"✅ Saved","Pending"),"🔒 WRONG CODE")))</f>
        <v/>
      </c>
      <c r="J158" s="33" t="str">
        <f t="shared" ca="1" si="14"/>
        <v>—</v>
      </c>
      <c r="K158" s="46"/>
    </row>
    <row r="159" spans="1:11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IF(A159="","",IFERROR(VLOOKUP(A159,DB_Customers!$A:$M,13,0),""))</f>
        <v/>
      </c>
      <c r="D159" s="42" t="str">
        <f t="shared" ca="1" si="12"/>
        <v/>
      </c>
      <c r="E159" s="32"/>
      <c r="F159" s="43" t="str">
        <f t="shared" si="13"/>
        <v/>
      </c>
      <c r="G159" s="30" t="s">
        <v>56</v>
      </c>
      <c r="H159" s="41"/>
      <c r="I159" s="33" t="str">
        <f>IF(A159="","",IF(H159="","⚠️ Enter Agent Code",IF(IFERROR(VLOOKUP(G159,DB_Agents!$B:$F,4,0),"")=TEXT(H159,"0"),IF(AND(A159&lt;&gt;"",E159&lt;&gt;""),"✅ Saved","Pending"),"🔒 WRONG CODE")))</f>
        <v/>
      </c>
      <c r="J159" s="33" t="str">
        <f t="shared" ca="1" si="14"/>
        <v>—</v>
      </c>
      <c r="K159" s="22"/>
    </row>
    <row r="160" spans="1:11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IF(A160="","",IFERROR(VLOOKUP(A160,DB_Customers!$A:$M,13,0),""))</f>
        <v/>
      </c>
      <c r="D160" s="42" t="str">
        <f t="shared" ca="1" si="12"/>
        <v/>
      </c>
      <c r="E160" s="32"/>
      <c r="F160" s="43" t="str">
        <f t="shared" si="13"/>
        <v/>
      </c>
      <c r="G160" s="30" t="s">
        <v>56</v>
      </c>
      <c r="H160" s="41"/>
      <c r="I160" s="33" t="str">
        <f>IF(A160="","",IF(H160="","⚠️ Enter Agent Code",IF(IFERROR(VLOOKUP(G160,DB_Agents!$B:$F,4,0),"")=TEXT(H160,"0"),IF(AND(A160&lt;&gt;"",E160&lt;&gt;""),"✅ Saved","Pending"),"🔒 WRONG CODE")))</f>
        <v/>
      </c>
      <c r="J160" s="33" t="str">
        <f t="shared" ca="1" si="14"/>
        <v>—</v>
      </c>
      <c r="K160" s="46"/>
    </row>
    <row r="161" spans="1:11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IF(A161="","",IFERROR(VLOOKUP(A161,DB_Customers!$A:$M,13,0),""))</f>
        <v/>
      </c>
      <c r="D161" s="42" t="str">
        <f t="shared" ca="1" si="12"/>
        <v/>
      </c>
      <c r="E161" s="32"/>
      <c r="F161" s="43" t="str">
        <f t="shared" si="13"/>
        <v/>
      </c>
      <c r="G161" s="30" t="s">
        <v>56</v>
      </c>
      <c r="H161" s="41"/>
      <c r="I161" s="33" t="str">
        <f>IF(A161="","",IF(H161="","⚠️ Enter Agent Code",IF(IFERROR(VLOOKUP(G161,DB_Agents!$B:$F,4,0),"")=TEXT(H161,"0"),IF(AND(A161&lt;&gt;"",E161&lt;&gt;""),"✅ Saved","Pending"),"🔒 WRONG CODE")))</f>
        <v/>
      </c>
      <c r="J161" s="33" t="str">
        <f t="shared" ca="1" si="14"/>
        <v>—</v>
      </c>
      <c r="K161" s="22"/>
    </row>
    <row r="162" spans="1:11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IF(A162="","",IFERROR(VLOOKUP(A162,DB_Customers!$A:$M,13,0),""))</f>
        <v/>
      </c>
      <c r="D162" s="42" t="str">
        <f t="shared" ca="1" si="12"/>
        <v/>
      </c>
      <c r="E162" s="32"/>
      <c r="F162" s="43" t="str">
        <f t="shared" si="13"/>
        <v/>
      </c>
      <c r="G162" s="30" t="s">
        <v>56</v>
      </c>
      <c r="H162" s="41"/>
      <c r="I162" s="33" t="str">
        <f>IF(A162="","",IF(H162="","⚠️ Enter Agent Code",IF(IFERROR(VLOOKUP(G162,DB_Agents!$B:$F,4,0),"")=TEXT(H162,"0"),IF(AND(A162&lt;&gt;"",E162&lt;&gt;""),"✅ Saved","Pending"),"🔒 WRONG CODE")))</f>
        <v/>
      </c>
      <c r="J162" s="33" t="str">
        <f t="shared" ca="1" si="14"/>
        <v>—</v>
      </c>
      <c r="K162" s="46"/>
    </row>
    <row r="163" spans="1:11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IF(A163="","",IFERROR(VLOOKUP(A163,DB_Customers!$A:$M,13,0),""))</f>
        <v/>
      </c>
      <c r="D163" s="42" t="str">
        <f t="shared" ca="1" si="12"/>
        <v/>
      </c>
      <c r="E163" s="32"/>
      <c r="F163" s="43" t="str">
        <f t="shared" si="13"/>
        <v/>
      </c>
      <c r="G163" s="30" t="s">
        <v>56</v>
      </c>
      <c r="H163" s="41"/>
      <c r="I163" s="33" t="str">
        <f>IF(A163="","",IF(H163="","⚠️ Enter Agent Code",IF(IFERROR(VLOOKUP(G163,DB_Agents!$B:$F,4,0),"")=TEXT(H163,"0"),IF(AND(A163&lt;&gt;"",E163&lt;&gt;""),"✅ Saved","Pending"),"🔒 WRONG CODE")))</f>
        <v/>
      </c>
      <c r="J163" s="33" t="str">
        <f t="shared" ca="1" si="14"/>
        <v>—</v>
      </c>
      <c r="K163" s="22"/>
    </row>
    <row r="164" spans="1:11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IF(A164="","",IFERROR(VLOOKUP(A164,DB_Customers!$A:$M,13,0),""))</f>
        <v/>
      </c>
      <c r="D164" s="42" t="str">
        <f t="shared" ca="1" si="12"/>
        <v/>
      </c>
      <c r="E164" s="32"/>
      <c r="F164" s="43" t="str">
        <f t="shared" si="13"/>
        <v/>
      </c>
      <c r="G164" s="30" t="s">
        <v>56</v>
      </c>
      <c r="H164" s="41"/>
      <c r="I164" s="33" t="str">
        <f>IF(A164="","",IF(H164="","⚠️ Enter Agent Code",IF(IFERROR(VLOOKUP(G164,DB_Agents!$B:$F,4,0),"")=TEXT(H164,"0"),IF(AND(A164&lt;&gt;"",E164&lt;&gt;""),"✅ Saved","Pending"),"🔒 WRONG CODE")))</f>
        <v/>
      </c>
      <c r="J164" s="33" t="str">
        <f t="shared" ca="1" si="14"/>
        <v>—</v>
      </c>
      <c r="K164" s="46"/>
    </row>
    <row r="165" spans="1:11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IF(A165="","",IFERROR(VLOOKUP(A165,DB_Customers!$A:$M,13,0),""))</f>
        <v/>
      </c>
      <c r="D165" s="42" t="str">
        <f t="shared" ca="1" si="12"/>
        <v/>
      </c>
      <c r="E165" s="32"/>
      <c r="F165" s="43" t="str">
        <f t="shared" si="13"/>
        <v/>
      </c>
      <c r="G165" s="30" t="s">
        <v>56</v>
      </c>
      <c r="H165" s="41"/>
      <c r="I165" s="33" t="str">
        <f>IF(A165="","",IF(H165="","⚠️ Enter Agent Code",IF(IFERROR(VLOOKUP(G165,DB_Agents!$B:$F,4,0),"")=TEXT(H165,"0"),IF(AND(A165&lt;&gt;"",E165&lt;&gt;""),"✅ Saved","Pending"),"🔒 WRONG CODE")))</f>
        <v/>
      </c>
      <c r="J165" s="33" t="str">
        <f t="shared" ca="1" si="14"/>
        <v>—</v>
      </c>
      <c r="K165" s="22"/>
    </row>
    <row r="166" spans="1:11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IF(A166="","",IFERROR(VLOOKUP(A166,DB_Customers!$A:$M,13,0),""))</f>
        <v/>
      </c>
      <c r="D166" s="42" t="str">
        <f t="shared" ca="1" si="12"/>
        <v/>
      </c>
      <c r="E166" s="32"/>
      <c r="F166" s="43" t="str">
        <f t="shared" si="13"/>
        <v/>
      </c>
      <c r="G166" s="30" t="s">
        <v>56</v>
      </c>
      <c r="H166" s="41"/>
      <c r="I166" s="33" t="str">
        <f>IF(A166="","",IF(H166="","⚠️ Enter Agent Code",IF(IFERROR(VLOOKUP(G166,DB_Agents!$B:$F,4,0),"")=TEXT(H166,"0"),IF(AND(A166&lt;&gt;"",E166&lt;&gt;""),"✅ Saved","Pending"),"🔒 WRONG CODE")))</f>
        <v/>
      </c>
      <c r="J166" s="33" t="str">
        <f t="shared" ca="1" si="14"/>
        <v>—</v>
      </c>
      <c r="K166" s="46"/>
    </row>
    <row r="167" spans="1:11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IF(A167="","",IFERROR(VLOOKUP(A167,DB_Customers!$A:$M,13,0),""))</f>
        <v/>
      </c>
      <c r="D167" s="42" t="str">
        <f t="shared" ca="1" si="12"/>
        <v/>
      </c>
      <c r="E167" s="32"/>
      <c r="F167" s="43" t="str">
        <f t="shared" si="13"/>
        <v/>
      </c>
      <c r="G167" s="30" t="s">
        <v>56</v>
      </c>
      <c r="H167" s="41"/>
      <c r="I167" s="33" t="str">
        <f>IF(A167="","",IF(H167="","⚠️ Enter Agent Code",IF(IFERROR(VLOOKUP(G167,DB_Agents!$B:$F,4,0),"")=TEXT(H167,"0"),IF(AND(A167&lt;&gt;"",E167&lt;&gt;""),"✅ Saved","Pending"),"🔒 WRONG CODE")))</f>
        <v/>
      </c>
      <c r="J167" s="33" t="str">
        <f t="shared" ca="1" si="14"/>
        <v>—</v>
      </c>
      <c r="K167" s="22"/>
    </row>
    <row r="168" spans="1:11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IF(A168="","",IFERROR(VLOOKUP(A168,DB_Customers!$A:$M,13,0),""))</f>
        <v/>
      </c>
      <c r="D168" s="42" t="str">
        <f t="shared" ca="1" si="12"/>
        <v/>
      </c>
      <c r="E168" s="32"/>
      <c r="F168" s="43" t="str">
        <f t="shared" si="13"/>
        <v/>
      </c>
      <c r="G168" s="30" t="s">
        <v>56</v>
      </c>
      <c r="H168" s="41"/>
      <c r="I168" s="33" t="str">
        <f>IF(A168="","",IF(H168="","⚠️ Enter Agent Code",IF(IFERROR(VLOOKUP(G168,DB_Agents!$B:$F,4,0),"")=TEXT(H168,"0"),IF(AND(A168&lt;&gt;"",E168&lt;&gt;""),"✅ Saved","Pending"),"🔒 WRONG CODE")))</f>
        <v/>
      </c>
      <c r="J168" s="33" t="str">
        <f t="shared" ca="1" si="14"/>
        <v>—</v>
      </c>
      <c r="K168" s="46"/>
    </row>
    <row r="169" spans="1:11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IF(A169="","",IFERROR(VLOOKUP(A169,DB_Customers!$A:$M,13,0),""))</f>
        <v/>
      </c>
      <c r="D169" s="42" t="str">
        <f t="shared" ref="D169:D200" ca="1" si="15">IF(A169="","",TODAY())</f>
        <v/>
      </c>
      <c r="E169" s="32"/>
      <c r="F169" s="43" t="str">
        <f t="shared" ref="F169:F200" si="16">IFERROR(IF(OR(A169="",E169=""),"",C169+E169),"")</f>
        <v/>
      </c>
      <c r="G169" s="30" t="s">
        <v>56</v>
      </c>
      <c r="H169" s="41"/>
      <c r="I169" s="33" t="str">
        <f>IF(A169="","",IF(H169="","⚠️ Enter Agent Code",IF(IFERROR(VLOOKUP(G169,DB_Agents!$B:$F,4,0),"")=TEXT(H169,"0"),IF(AND(A169&lt;&gt;"",E169&lt;&gt;""),"✅ Saved","Pending"),"🔒 WRONG CODE")))</f>
        <v/>
      </c>
      <c r="J169" s="33" t="str">
        <f t="shared" ref="J169:J200" ca="1" si="17">IF(I169="✅ Saved",TEXT(TODAY(),"YYYY-MM-DD")&amp;" Auto","—")</f>
        <v>—</v>
      </c>
      <c r="K169" s="22"/>
    </row>
    <row r="170" spans="1:11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IF(A170="","",IFERROR(VLOOKUP(A170,DB_Customers!$A:$M,13,0),""))</f>
        <v/>
      </c>
      <c r="D170" s="42" t="str">
        <f t="shared" ca="1" si="15"/>
        <v/>
      </c>
      <c r="E170" s="32"/>
      <c r="F170" s="43" t="str">
        <f t="shared" si="16"/>
        <v/>
      </c>
      <c r="G170" s="30" t="s">
        <v>56</v>
      </c>
      <c r="H170" s="41"/>
      <c r="I170" s="33" t="str">
        <f>IF(A170="","",IF(H170="","⚠️ Enter Agent Code",IF(IFERROR(VLOOKUP(G170,DB_Agents!$B:$F,4,0),"")=TEXT(H170,"0"),IF(AND(A170&lt;&gt;"",E170&lt;&gt;""),"✅ Saved","Pending"),"🔒 WRONG CODE")))</f>
        <v/>
      </c>
      <c r="J170" s="33" t="str">
        <f t="shared" ca="1" si="17"/>
        <v>—</v>
      </c>
      <c r="K170" s="46"/>
    </row>
    <row r="171" spans="1:11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IF(A171="","",IFERROR(VLOOKUP(A171,DB_Customers!$A:$M,13,0),""))</f>
        <v/>
      </c>
      <c r="D171" s="42" t="str">
        <f t="shared" ca="1" si="15"/>
        <v/>
      </c>
      <c r="E171" s="32"/>
      <c r="F171" s="43" t="str">
        <f t="shared" si="16"/>
        <v/>
      </c>
      <c r="G171" s="30" t="s">
        <v>56</v>
      </c>
      <c r="H171" s="41"/>
      <c r="I171" s="33" t="str">
        <f>IF(A171="","",IF(H171="","⚠️ Enter Agent Code",IF(IFERROR(VLOOKUP(G171,DB_Agents!$B:$F,4,0),"")=TEXT(H171,"0"),IF(AND(A171&lt;&gt;"",E171&lt;&gt;""),"✅ Saved","Pending"),"🔒 WRONG CODE")))</f>
        <v/>
      </c>
      <c r="J171" s="33" t="str">
        <f t="shared" ca="1" si="17"/>
        <v>—</v>
      </c>
      <c r="K171" s="22"/>
    </row>
    <row r="172" spans="1:11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IF(A172="","",IFERROR(VLOOKUP(A172,DB_Customers!$A:$M,13,0),""))</f>
        <v/>
      </c>
      <c r="D172" s="42" t="str">
        <f t="shared" ca="1" si="15"/>
        <v/>
      </c>
      <c r="E172" s="32"/>
      <c r="F172" s="43" t="str">
        <f t="shared" si="16"/>
        <v/>
      </c>
      <c r="G172" s="30" t="s">
        <v>56</v>
      </c>
      <c r="H172" s="41"/>
      <c r="I172" s="33" t="str">
        <f>IF(A172="","",IF(H172="","⚠️ Enter Agent Code",IF(IFERROR(VLOOKUP(G172,DB_Agents!$B:$F,4,0),"")=TEXT(H172,"0"),IF(AND(A172&lt;&gt;"",E172&lt;&gt;""),"✅ Saved","Pending"),"🔒 WRONG CODE")))</f>
        <v/>
      </c>
      <c r="J172" s="33" t="str">
        <f t="shared" ca="1" si="17"/>
        <v>—</v>
      </c>
      <c r="K172" s="46"/>
    </row>
    <row r="173" spans="1:11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IF(A173="","",IFERROR(VLOOKUP(A173,DB_Customers!$A:$M,13,0),""))</f>
        <v/>
      </c>
      <c r="D173" s="42" t="str">
        <f t="shared" ca="1" si="15"/>
        <v/>
      </c>
      <c r="E173" s="32"/>
      <c r="F173" s="43" t="str">
        <f t="shared" si="16"/>
        <v/>
      </c>
      <c r="G173" s="30" t="s">
        <v>56</v>
      </c>
      <c r="H173" s="41"/>
      <c r="I173" s="33" t="str">
        <f>IF(A173="","",IF(H173="","⚠️ Enter Agent Code",IF(IFERROR(VLOOKUP(G173,DB_Agents!$B:$F,4,0),"")=TEXT(H173,"0"),IF(AND(A173&lt;&gt;"",E173&lt;&gt;""),"✅ Saved","Pending"),"🔒 WRONG CODE")))</f>
        <v/>
      </c>
      <c r="J173" s="33" t="str">
        <f t="shared" ca="1" si="17"/>
        <v>—</v>
      </c>
      <c r="K173" s="22"/>
    </row>
    <row r="174" spans="1:11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IF(A174="","",IFERROR(VLOOKUP(A174,DB_Customers!$A:$M,13,0),""))</f>
        <v/>
      </c>
      <c r="D174" s="42" t="str">
        <f t="shared" ca="1" si="15"/>
        <v/>
      </c>
      <c r="E174" s="32"/>
      <c r="F174" s="43" t="str">
        <f t="shared" si="16"/>
        <v/>
      </c>
      <c r="G174" s="30" t="s">
        <v>56</v>
      </c>
      <c r="H174" s="41"/>
      <c r="I174" s="33" t="str">
        <f>IF(A174="","",IF(H174="","⚠️ Enter Agent Code",IF(IFERROR(VLOOKUP(G174,DB_Agents!$B:$F,4,0),"")=TEXT(H174,"0"),IF(AND(A174&lt;&gt;"",E174&lt;&gt;""),"✅ Saved","Pending"),"🔒 WRONG CODE")))</f>
        <v/>
      </c>
      <c r="J174" s="33" t="str">
        <f t="shared" ca="1" si="17"/>
        <v>—</v>
      </c>
      <c r="K174" s="46"/>
    </row>
    <row r="175" spans="1:11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IF(A175="","",IFERROR(VLOOKUP(A175,DB_Customers!$A:$M,13,0),""))</f>
        <v/>
      </c>
      <c r="D175" s="42" t="str">
        <f t="shared" ca="1" si="15"/>
        <v/>
      </c>
      <c r="E175" s="32"/>
      <c r="F175" s="43" t="str">
        <f t="shared" si="16"/>
        <v/>
      </c>
      <c r="G175" s="30" t="s">
        <v>56</v>
      </c>
      <c r="H175" s="41"/>
      <c r="I175" s="33" t="str">
        <f>IF(A175="","",IF(H175="","⚠️ Enter Agent Code",IF(IFERROR(VLOOKUP(G175,DB_Agents!$B:$F,4,0),"")=TEXT(H175,"0"),IF(AND(A175&lt;&gt;"",E175&lt;&gt;""),"✅ Saved","Pending"),"🔒 WRONG CODE")))</f>
        <v/>
      </c>
      <c r="J175" s="33" t="str">
        <f t="shared" ca="1" si="17"/>
        <v>—</v>
      </c>
      <c r="K175" s="22"/>
    </row>
    <row r="176" spans="1:11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IF(A176="","",IFERROR(VLOOKUP(A176,DB_Customers!$A:$M,13,0),""))</f>
        <v/>
      </c>
      <c r="D176" s="42" t="str">
        <f t="shared" ca="1" si="15"/>
        <v/>
      </c>
      <c r="E176" s="32"/>
      <c r="F176" s="43" t="str">
        <f t="shared" si="16"/>
        <v/>
      </c>
      <c r="G176" s="30" t="s">
        <v>56</v>
      </c>
      <c r="H176" s="41"/>
      <c r="I176" s="33" t="str">
        <f>IF(A176="","",IF(H176="","⚠️ Enter Agent Code",IF(IFERROR(VLOOKUP(G176,DB_Agents!$B:$F,4,0),"")=TEXT(H176,"0"),IF(AND(A176&lt;&gt;"",E176&lt;&gt;""),"✅ Saved","Pending"),"🔒 WRONG CODE")))</f>
        <v/>
      </c>
      <c r="J176" s="33" t="str">
        <f t="shared" ca="1" si="17"/>
        <v>—</v>
      </c>
      <c r="K176" s="46"/>
    </row>
    <row r="177" spans="1:11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IF(A177="","",IFERROR(VLOOKUP(A177,DB_Customers!$A:$M,13,0),""))</f>
        <v/>
      </c>
      <c r="D177" s="42" t="str">
        <f t="shared" ca="1" si="15"/>
        <v/>
      </c>
      <c r="E177" s="32"/>
      <c r="F177" s="43" t="str">
        <f t="shared" si="16"/>
        <v/>
      </c>
      <c r="G177" s="30" t="s">
        <v>56</v>
      </c>
      <c r="H177" s="41"/>
      <c r="I177" s="33" t="str">
        <f>IF(A177="","",IF(H177="","⚠️ Enter Agent Code",IF(IFERROR(VLOOKUP(G177,DB_Agents!$B:$F,4,0),"")=TEXT(H177,"0"),IF(AND(A177&lt;&gt;"",E177&lt;&gt;""),"✅ Saved","Pending"),"🔒 WRONG CODE")))</f>
        <v/>
      </c>
      <c r="J177" s="33" t="str">
        <f t="shared" ca="1" si="17"/>
        <v>—</v>
      </c>
      <c r="K177" s="22"/>
    </row>
    <row r="178" spans="1:11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IF(A178="","",IFERROR(VLOOKUP(A178,DB_Customers!$A:$M,13,0),""))</f>
        <v/>
      </c>
      <c r="D178" s="42" t="str">
        <f t="shared" ca="1" si="15"/>
        <v/>
      </c>
      <c r="E178" s="32"/>
      <c r="F178" s="43" t="str">
        <f t="shared" si="16"/>
        <v/>
      </c>
      <c r="G178" s="30" t="s">
        <v>56</v>
      </c>
      <c r="H178" s="41"/>
      <c r="I178" s="33" t="str">
        <f>IF(A178="","",IF(H178="","⚠️ Enter Agent Code",IF(IFERROR(VLOOKUP(G178,DB_Agents!$B:$F,4,0),"")=TEXT(H178,"0"),IF(AND(A178&lt;&gt;"",E178&lt;&gt;""),"✅ Saved","Pending"),"🔒 WRONG CODE")))</f>
        <v/>
      </c>
      <c r="J178" s="33" t="str">
        <f t="shared" ca="1" si="17"/>
        <v>—</v>
      </c>
      <c r="K178" s="46"/>
    </row>
    <row r="179" spans="1:11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IF(A179="","",IFERROR(VLOOKUP(A179,DB_Customers!$A:$M,13,0),""))</f>
        <v/>
      </c>
      <c r="D179" s="42" t="str">
        <f t="shared" ca="1" si="15"/>
        <v/>
      </c>
      <c r="E179" s="32"/>
      <c r="F179" s="43" t="str">
        <f t="shared" si="16"/>
        <v/>
      </c>
      <c r="G179" s="30" t="s">
        <v>56</v>
      </c>
      <c r="H179" s="41"/>
      <c r="I179" s="33" t="str">
        <f>IF(A179="","",IF(H179="","⚠️ Enter Agent Code",IF(IFERROR(VLOOKUP(G179,DB_Agents!$B:$F,4,0),"")=TEXT(H179,"0"),IF(AND(A179&lt;&gt;"",E179&lt;&gt;""),"✅ Saved","Pending"),"🔒 WRONG CODE")))</f>
        <v/>
      </c>
      <c r="J179" s="33" t="str">
        <f t="shared" ca="1" si="17"/>
        <v>—</v>
      </c>
      <c r="K179" s="22"/>
    </row>
    <row r="180" spans="1:11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IF(A180="","",IFERROR(VLOOKUP(A180,DB_Customers!$A:$M,13,0),""))</f>
        <v/>
      </c>
      <c r="D180" s="42" t="str">
        <f t="shared" ca="1" si="15"/>
        <v/>
      </c>
      <c r="E180" s="32"/>
      <c r="F180" s="43" t="str">
        <f t="shared" si="16"/>
        <v/>
      </c>
      <c r="G180" s="30" t="s">
        <v>56</v>
      </c>
      <c r="H180" s="41"/>
      <c r="I180" s="33" t="str">
        <f>IF(A180="","",IF(H180="","⚠️ Enter Agent Code",IF(IFERROR(VLOOKUP(G180,DB_Agents!$B:$F,4,0),"")=TEXT(H180,"0"),IF(AND(A180&lt;&gt;"",E180&lt;&gt;""),"✅ Saved","Pending"),"🔒 WRONG CODE")))</f>
        <v/>
      </c>
      <c r="J180" s="33" t="str">
        <f t="shared" ca="1" si="17"/>
        <v>—</v>
      </c>
      <c r="K180" s="46"/>
    </row>
    <row r="181" spans="1:11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IF(A181="","",IFERROR(VLOOKUP(A181,DB_Customers!$A:$M,13,0),""))</f>
        <v/>
      </c>
      <c r="D181" s="42" t="str">
        <f t="shared" ca="1" si="15"/>
        <v/>
      </c>
      <c r="E181" s="32"/>
      <c r="F181" s="43" t="str">
        <f t="shared" si="16"/>
        <v/>
      </c>
      <c r="G181" s="30" t="s">
        <v>56</v>
      </c>
      <c r="H181" s="41"/>
      <c r="I181" s="33" t="str">
        <f>IF(A181="","",IF(H181="","⚠️ Enter Agent Code",IF(IFERROR(VLOOKUP(G181,DB_Agents!$B:$F,4,0),"")=TEXT(H181,"0"),IF(AND(A181&lt;&gt;"",E181&lt;&gt;""),"✅ Saved","Pending"),"🔒 WRONG CODE")))</f>
        <v/>
      </c>
      <c r="J181" s="33" t="str">
        <f t="shared" ca="1" si="17"/>
        <v>—</v>
      </c>
      <c r="K181" s="22"/>
    </row>
    <row r="182" spans="1:11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IF(A182="","",IFERROR(VLOOKUP(A182,DB_Customers!$A:$M,13,0),""))</f>
        <v/>
      </c>
      <c r="D182" s="42" t="str">
        <f t="shared" ca="1" si="15"/>
        <v/>
      </c>
      <c r="E182" s="32"/>
      <c r="F182" s="43" t="str">
        <f t="shared" si="16"/>
        <v/>
      </c>
      <c r="G182" s="30" t="s">
        <v>56</v>
      </c>
      <c r="H182" s="41"/>
      <c r="I182" s="33" t="str">
        <f>IF(A182="","",IF(H182="","⚠️ Enter Agent Code",IF(IFERROR(VLOOKUP(G182,DB_Agents!$B:$F,4,0),"")=TEXT(H182,"0"),IF(AND(A182&lt;&gt;"",E182&lt;&gt;""),"✅ Saved","Pending"),"🔒 WRONG CODE")))</f>
        <v/>
      </c>
      <c r="J182" s="33" t="str">
        <f t="shared" ca="1" si="17"/>
        <v>—</v>
      </c>
      <c r="K182" s="46"/>
    </row>
    <row r="183" spans="1:11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IF(A183="","",IFERROR(VLOOKUP(A183,DB_Customers!$A:$M,13,0),""))</f>
        <v/>
      </c>
      <c r="D183" s="42" t="str">
        <f t="shared" ca="1" si="15"/>
        <v/>
      </c>
      <c r="E183" s="32"/>
      <c r="F183" s="43" t="str">
        <f t="shared" si="16"/>
        <v/>
      </c>
      <c r="G183" s="30" t="s">
        <v>56</v>
      </c>
      <c r="H183" s="41"/>
      <c r="I183" s="33" t="str">
        <f>IF(A183="","",IF(H183="","⚠️ Enter Agent Code",IF(IFERROR(VLOOKUP(G183,DB_Agents!$B:$F,4,0),"")=TEXT(H183,"0"),IF(AND(A183&lt;&gt;"",E183&lt;&gt;""),"✅ Saved","Pending"),"🔒 WRONG CODE")))</f>
        <v/>
      </c>
      <c r="J183" s="33" t="str">
        <f t="shared" ca="1" si="17"/>
        <v>—</v>
      </c>
      <c r="K183" s="22"/>
    </row>
    <row r="184" spans="1:11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IF(A184="","",IFERROR(VLOOKUP(A184,DB_Customers!$A:$M,13,0),""))</f>
        <v/>
      </c>
      <c r="D184" s="42" t="str">
        <f t="shared" ca="1" si="15"/>
        <v/>
      </c>
      <c r="E184" s="32"/>
      <c r="F184" s="43" t="str">
        <f t="shared" si="16"/>
        <v/>
      </c>
      <c r="G184" s="30" t="s">
        <v>56</v>
      </c>
      <c r="H184" s="41"/>
      <c r="I184" s="33" t="str">
        <f>IF(A184="","",IF(H184="","⚠️ Enter Agent Code",IF(IFERROR(VLOOKUP(G184,DB_Agents!$B:$F,4,0),"")=TEXT(H184,"0"),IF(AND(A184&lt;&gt;"",E184&lt;&gt;""),"✅ Saved","Pending"),"🔒 WRONG CODE")))</f>
        <v/>
      </c>
      <c r="J184" s="33" t="str">
        <f t="shared" ca="1" si="17"/>
        <v>—</v>
      </c>
      <c r="K184" s="46"/>
    </row>
    <row r="185" spans="1:11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IF(A185="","",IFERROR(VLOOKUP(A185,DB_Customers!$A:$M,13,0),""))</f>
        <v/>
      </c>
      <c r="D185" s="42" t="str">
        <f t="shared" ca="1" si="15"/>
        <v/>
      </c>
      <c r="E185" s="32"/>
      <c r="F185" s="43" t="str">
        <f t="shared" si="16"/>
        <v/>
      </c>
      <c r="G185" s="30" t="s">
        <v>56</v>
      </c>
      <c r="H185" s="41"/>
      <c r="I185" s="33" t="str">
        <f>IF(A185="","",IF(H185="","⚠️ Enter Agent Code",IF(IFERROR(VLOOKUP(G185,DB_Agents!$B:$F,4,0),"")=TEXT(H185,"0"),IF(AND(A185&lt;&gt;"",E185&lt;&gt;""),"✅ Saved","Pending"),"🔒 WRONG CODE")))</f>
        <v/>
      </c>
      <c r="J185" s="33" t="str">
        <f t="shared" ca="1" si="17"/>
        <v>—</v>
      </c>
      <c r="K185" s="22"/>
    </row>
    <row r="186" spans="1:11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IF(A186="","",IFERROR(VLOOKUP(A186,DB_Customers!$A:$M,13,0),""))</f>
        <v/>
      </c>
      <c r="D186" s="42" t="str">
        <f t="shared" ca="1" si="15"/>
        <v/>
      </c>
      <c r="E186" s="32"/>
      <c r="F186" s="43" t="str">
        <f t="shared" si="16"/>
        <v/>
      </c>
      <c r="G186" s="30" t="s">
        <v>56</v>
      </c>
      <c r="H186" s="41"/>
      <c r="I186" s="33" t="str">
        <f>IF(A186="","",IF(H186="","⚠️ Enter Agent Code",IF(IFERROR(VLOOKUP(G186,DB_Agents!$B:$F,4,0),"")=TEXT(H186,"0"),IF(AND(A186&lt;&gt;"",E186&lt;&gt;""),"✅ Saved","Pending"),"🔒 WRONG CODE")))</f>
        <v/>
      </c>
      <c r="J186" s="33" t="str">
        <f t="shared" ca="1" si="17"/>
        <v>—</v>
      </c>
      <c r="K186" s="46"/>
    </row>
    <row r="187" spans="1:11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IF(A187="","",IFERROR(VLOOKUP(A187,DB_Customers!$A:$M,13,0),""))</f>
        <v/>
      </c>
      <c r="D187" s="42" t="str">
        <f t="shared" ca="1" si="15"/>
        <v/>
      </c>
      <c r="E187" s="32"/>
      <c r="F187" s="43" t="str">
        <f t="shared" si="16"/>
        <v/>
      </c>
      <c r="G187" s="30" t="s">
        <v>56</v>
      </c>
      <c r="H187" s="41"/>
      <c r="I187" s="33" t="str">
        <f>IF(A187="","",IF(H187="","⚠️ Enter Agent Code",IF(IFERROR(VLOOKUP(G187,DB_Agents!$B:$F,4,0),"")=TEXT(H187,"0"),IF(AND(A187&lt;&gt;"",E187&lt;&gt;""),"✅ Saved","Pending"),"🔒 WRONG CODE")))</f>
        <v/>
      </c>
      <c r="J187" s="33" t="str">
        <f t="shared" ca="1" si="17"/>
        <v>—</v>
      </c>
      <c r="K187" s="22"/>
    </row>
    <row r="188" spans="1:11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IF(A188="","",IFERROR(VLOOKUP(A188,DB_Customers!$A:$M,13,0),""))</f>
        <v/>
      </c>
      <c r="D188" s="42" t="str">
        <f t="shared" ca="1" si="15"/>
        <v/>
      </c>
      <c r="E188" s="32"/>
      <c r="F188" s="43" t="str">
        <f t="shared" si="16"/>
        <v/>
      </c>
      <c r="G188" s="30" t="s">
        <v>56</v>
      </c>
      <c r="H188" s="41"/>
      <c r="I188" s="33" t="str">
        <f>IF(A188="","",IF(H188="","⚠️ Enter Agent Code",IF(IFERROR(VLOOKUP(G188,DB_Agents!$B:$F,4,0),"")=TEXT(H188,"0"),IF(AND(A188&lt;&gt;"",E188&lt;&gt;""),"✅ Saved","Pending"),"🔒 WRONG CODE")))</f>
        <v/>
      </c>
      <c r="J188" s="33" t="str">
        <f t="shared" ca="1" si="17"/>
        <v>—</v>
      </c>
      <c r="K188" s="46"/>
    </row>
    <row r="189" spans="1:11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IF(A189="","",IFERROR(VLOOKUP(A189,DB_Customers!$A:$M,13,0),""))</f>
        <v/>
      </c>
      <c r="D189" s="42" t="str">
        <f t="shared" ca="1" si="15"/>
        <v/>
      </c>
      <c r="E189" s="32"/>
      <c r="F189" s="43" t="str">
        <f t="shared" si="16"/>
        <v/>
      </c>
      <c r="G189" s="30" t="s">
        <v>56</v>
      </c>
      <c r="H189" s="41"/>
      <c r="I189" s="33" t="str">
        <f>IF(A189="","",IF(H189="","⚠️ Enter Agent Code",IF(IFERROR(VLOOKUP(G189,DB_Agents!$B:$F,4,0),"")=TEXT(H189,"0"),IF(AND(A189&lt;&gt;"",E189&lt;&gt;""),"✅ Saved","Pending"),"🔒 WRONG CODE")))</f>
        <v/>
      </c>
      <c r="J189" s="33" t="str">
        <f t="shared" ca="1" si="17"/>
        <v>—</v>
      </c>
      <c r="K189" s="22"/>
    </row>
    <row r="190" spans="1:11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IF(A190="","",IFERROR(VLOOKUP(A190,DB_Customers!$A:$M,13,0),""))</f>
        <v/>
      </c>
      <c r="D190" s="42" t="str">
        <f t="shared" ca="1" si="15"/>
        <v/>
      </c>
      <c r="E190" s="32"/>
      <c r="F190" s="43" t="str">
        <f t="shared" si="16"/>
        <v/>
      </c>
      <c r="G190" s="30" t="s">
        <v>56</v>
      </c>
      <c r="H190" s="41"/>
      <c r="I190" s="33" t="str">
        <f>IF(A190="","",IF(H190="","⚠️ Enter Agent Code",IF(IFERROR(VLOOKUP(G190,DB_Agents!$B:$F,4,0),"")=TEXT(H190,"0"),IF(AND(A190&lt;&gt;"",E190&lt;&gt;""),"✅ Saved","Pending"),"🔒 WRONG CODE")))</f>
        <v/>
      </c>
      <c r="J190" s="33" t="str">
        <f t="shared" ca="1" si="17"/>
        <v>—</v>
      </c>
      <c r="K190" s="46"/>
    </row>
    <row r="191" spans="1:11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IF(A191="","",IFERROR(VLOOKUP(A191,DB_Customers!$A:$M,13,0),""))</f>
        <v/>
      </c>
      <c r="D191" s="42" t="str">
        <f t="shared" ca="1" si="15"/>
        <v/>
      </c>
      <c r="E191" s="32"/>
      <c r="F191" s="43" t="str">
        <f t="shared" si="16"/>
        <v/>
      </c>
      <c r="G191" s="30" t="s">
        <v>56</v>
      </c>
      <c r="H191" s="41"/>
      <c r="I191" s="33" t="str">
        <f>IF(A191="","",IF(H191="","⚠️ Enter Agent Code",IF(IFERROR(VLOOKUP(G191,DB_Agents!$B:$F,4,0),"")=TEXT(H191,"0"),IF(AND(A191&lt;&gt;"",E191&lt;&gt;""),"✅ Saved","Pending"),"🔒 WRONG CODE")))</f>
        <v/>
      </c>
      <c r="J191" s="33" t="str">
        <f t="shared" ca="1" si="17"/>
        <v>—</v>
      </c>
      <c r="K191" s="22"/>
    </row>
    <row r="192" spans="1:11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IF(A192="","",IFERROR(VLOOKUP(A192,DB_Customers!$A:$M,13,0),""))</f>
        <v/>
      </c>
      <c r="D192" s="42" t="str">
        <f t="shared" ca="1" si="15"/>
        <v/>
      </c>
      <c r="E192" s="32"/>
      <c r="F192" s="43" t="str">
        <f t="shared" si="16"/>
        <v/>
      </c>
      <c r="G192" s="30" t="s">
        <v>56</v>
      </c>
      <c r="H192" s="41"/>
      <c r="I192" s="33" t="str">
        <f>IF(A192="","",IF(H192="","⚠️ Enter Agent Code",IF(IFERROR(VLOOKUP(G192,DB_Agents!$B:$F,4,0),"")=TEXT(H192,"0"),IF(AND(A192&lt;&gt;"",E192&lt;&gt;""),"✅ Saved","Pending"),"🔒 WRONG CODE")))</f>
        <v/>
      </c>
      <c r="J192" s="33" t="str">
        <f t="shared" ca="1" si="17"/>
        <v>—</v>
      </c>
      <c r="K192" s="46"/>
    </row>
    <row r="193" spans="1:11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IF(A193="","",IFERROR(VLOOKUP(A193,DB_Customers!$A:$M,13,0),""))</f>
        <v/>
      </c>
      <c r="D193" s="42" t="str">
        <f t="shared" ca="1" si="15"/>
        <v/>
      </c>
      <c r="E193" s="32"/>
      <c r="F193" s="43" t="str">
        <f t="shared" si="16"/>
        <v/>
      </c>
      <c r="G193" s="30" t="s">
        <v>56</v>
      </c>
      <c r="H193" s="41"/>
      <c r="I193" s="33" t="str">
        <f>IF(A193="","",IF(H193="","⚠️ Enter Agent Code",IF(IFERROR(VLOOKUP(G193,DB_Agents!$B:$F,4,0),"")=TEXT(H193,"0"),IF(AND(A193&lt;&gt;"",E193&lt;&gt;""),"✅ Saved","Pending"),"🔒 WRONG CODE")))</f>
        <v/>
      </c>
      <c r="J193" s="33" t="str">
        <f t="shared" ca="1" si="17"/>
        <v>—</v>
      </c>
      <c r="K193" s="22"/>
    </row>
    <row r="194" spans="1:11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IF(A194="","",IFERROR(VLOOKUP(A194,DB_Customers!$A:$M,13,0),""))</f>
        <v/>
      </c>
      <c r="D194" s="42" t="str">
        <f t="shared" ca="1" si="15"/>
        <v/>
      </c>
      <c r="E194" s="32"/>
      <c r="F194" s="43" t="str">
        <f t="shared" si="16"/>
        <v/>
      </c>
      <c r="G194" s="30" t="s">
        <v>56</v>
      </c>
      <c r="H194" s="41"/>
      <c r="I194" s="33" t="str">
        <f>IF(A194="","",IF(H194="","⚠️ Enter Agent Code",IF(IFERROR(VLOOKUP(G194,DB_Agents!$B:$F,4,0),"")=TEXT(H194,"0"),IF(AND(A194&lt;&gt;"",E194&lt;&gt;""),"✅ Saved","Pending"),"🔒 WRONG CODE")))</f>
        <v/>
      </c>
      <c r="J194" s="33" t="str">
        <f t="shared" ca="1" si="17"/>
        <v>—</v>
      </c>
      <c r="K194" s="46"/>
    </row>
    <row r="195" spans="1:11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IF(A195="","",IFERROR(VLOOKUP(A195,DB_Customers!$A:$M,13,0),""))</f>
        <v/>
      </c>
      <c r="D195" s="42" t="str">
        <f t="shared" ca="1" si="15"/>
        <v/>
      </c>
      <c r="E195" s="32"/>
      <c r="F195" s="43" t="str">
        <f t="shared" si="16"/>
        <v/>
      </c>
      <c r="G195" s="30" t="s">
        <v>56</v>
      </c>
      <c r="H195" s="41"/>
      <c r="I195" s="33" t="str">
        <f>IF(A195="","",IF(H195="","⚠️ Enter Agent Code",IF(IFERROR(VLOOKUP(G195,DB_Agents!$B:$F,4,0),"")=TEXT(H195,"0"),IF(AND(A195&lt;&gt;"",E195&lt;&gt;""),"✅ Saved","Pending"),"🔒 WRONG CODE")))</f>
        <v/>
      </c>
      <c r="J195" s="33" t="str">
        <f t="shared" ca="1" si="17"/>
        <v>—</v>
      </c>
      <c r="K195" s="22"/>
    </row>
    <row r="196" spans="1:11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IF(A196="","",IFERROR(VLOOKUP(A196,DB_Customers!$A:$M,13,0),""))</f>
        <v/>
      </c>
      <c r="D196" s="42" t="str">
        <f t="shared" ca="1" si="15"/>
        <v/>
      </c>
      <c r="E196" s="32"/>
      <c r="F196" s="43" t="str">
        <f t="shared" si="16"/>
        <v/>
      </c>
      <c r="G196" s="30" t="s">
        <v>56</v>
      </c>
      <c r="H196" s="41"/>
      <c r="I196" s="33" t="str">
        <f>IF(A196="","",IF(H196="","⚠️ Enter Agent Code",IF(IFERROR(VLOOKUP(G196,DB_Agents!$B:$F,4,0),"")=TEXT(H196,"0"),IF(AND(A196&lt;&gt;"",E196&lt;&gt;""),"✅ Saved","Pending"),"🔒 WRONG CODE")))</f>
        <v/>
      </c>
      <c r="J196" s="33" t="str">
        <f t="shared" ca="1" si="17"/>
        <v>—</v>
      </c>
      <c r="K196" s="46"/>
    </row>
    <row r="197" spans="1:11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IF(A197="","",IFERROR(VLOOKUP(A197,DB_Customers!$A:$M,13,0),""))</f>
        <v/>
      </c>
      <c r="D197" s="42" t="str">
        <f t="shared" ca="1" si="15"/>
        <v/>
      </c>
      <c r="E197" s="32"/>
      <c r="F197" s="43" t="str">
        <f t="shared" si="16"/>
        <v/>
      </c>
      <c r="G197" s="30" t="s">
        <v>56</v>
      </c>
      <c r="H197" s="41"/>
      <c r="I197" s="33" t="str">
        <f>IF(A197="","",IF(H197="","⚠️ Enter Agent Code",IF(IFERROR(VLOOKUP(G197,DB_Agents!$B:$F,4,0),"")=TEXT(H197,"0"),IF(AND(A197&lt;&gt;"",E197&lt;&gt;""),"✅ Saved","Pending"),"🔒 WRONG CODE")))</f>
        <v/>
      </c>
      <c r="J197" s="33" t="str">
        <f t="shared" ca="1" si="17"/>
        <v>—</v>
      </c>
      <c r="K197" s="22"/>
    </row>
    <row r="198" spans="1:11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IF(A198="","",IFERROR(VLOOKUP(A198,DB_Customers!$A:$M,13,0),""))</f>
        <v/>
      </c>
      <c r="D198" s="42" t="str">
        <f t="shared" ca="1" si="15"/>
        <v/>
      </c>
      <c r="E198" s="32"/>
      <c r="F198" s="43" t="str">
        <f t="shared" si="16"/>
        <v/>
      </c>
      <c r="G198" s="30" t="s">
        <v>56</v>
      </c>
      <c r="H198" s="41"/>
      <c r="I198" s="33" t="str">
        <f>IF(A198="","",IF(H198="","⚠️ Enter Agent Code",IF(IFERROR(VLOOKUP(G198,DB_Agents!$B:$F,4,0),"")=TEXT(H198,"0"),IF(AND(A198&lt;&gt;"",E198&lt;&gt;""),"✅ Saved","Pending"),"🔒 WRONG CODE")))</f>
        <v/>
      </c>
      <c r="J198" s="33" t="str">
        <f t="shared" ca="1" si="17"/>
        <v>—</v>
      </c>
      <c r="K198" s="46"/>
    </row>
    <row r="199" spans="1:11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IF(A199="","",IFERROR(VLOOKUP(A199,DB_Customers!$A:$M,13,0),""))</f>
        <v/>
      </c>
      <c r="D199" s="42" t="str">
        <f t="shared" ca="1" si="15"/>
        <v/>
      </c>
      <c r="E199" s="32"/>
      <c r="F199" s="43" t="str">
        <f t="shared" si="16"/>
        <v/>
      </c>
      <c r="G199" s="30" t="s">
        <v>56</v>
      </c>
      <c r="H199" s="41"/>
      <c r="I199" s="33" t="str">
        <f>IF(A199="","",IF(H199="","⚠️ Enter Agent Code",IF(IFERROR(VLOOKUP(G199,DB_Agents!$B:$F,4,0),"")=TEXT(H199,"0"),IF(AND(A199&lt;&gt;"",E199&lt;&gt;""),"✅ Saved","Pending"),"🔒 WRONG CODE")))</f>
        <v/>
      </c>
      <c r="J199" s="33" t="str">
        <f t="shared" ca="1" si="17"/>
        <v>—</v>
      </c>
      <c r="K199" s="22"/>
    </row>
    <row r="200" spans="1:11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IF(A200="","",IFERROR(VLOOKUP(A200,DB_Customers!$A:$M,13,0),""))</f>
        <v/>
      </c>
      <c r="D200" s="42" t="str">
        <f t="shared" ca="1" si="15"/>
        <v/>
      </c>
      <c r="E200" s="32"/>
      <c r="F200" s="43" t="str">
        <f t="shared" si="16"/>
        <v/>
      </c>
      <c r="G200" s="30" t="s">
        <v>56</v>
      </c>
      <c r="H200" s="41"/>
      <c r="I200" s="33" t="str">
        <f>IF(A200="","",IF(H200="","⚠️ Enter Agent Code",IF(IFERROR(VLOOKUP(G200,DB_Agents!$B:$F,4,0),"")=TEXT(H200,"0"),IF(AND(A200&lt;&gt;"",E200&lt;&gt;""),"✅ Saved","Pending"),"🔒 WRONG CODE")))</f>
        <v/>
      </c>
      <c r="J200" s="33" t="str">
        <f t="shared" ca="1" si="17"/>
        <v>—</v>
      </c>
      <c r="K200" s="46"/>
    </row>
    <row r="201" spans="1:11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IF(A201="","",IFERROR(VLOOKUP(A201,DB_Customers!$A:$M,13,0),""))</f>
        <v/>
      </c>
      <c r="D201" s="42" t="str">
        <f t="shared" ref="D201:D208" ca="1" si="18">IF(A201="","",TODAY())</f>
        <v/>
      </c>
      <c r="E201" s="32"/>
      <c r="F201" s="43" t="str">
        <f t="shared" ref="F201:F232" si="19">IFERROR(IF(OR(A201="",E201=""),"",C201+E201),"")</f>
        <v/>
      </c>
      <c r="G201" s="30" t="s">
        <v>56</v>
      </c>
      <c r="H201" s="41"/>
      <c r="I201" s="33" t="str">
        <f>IF(A201="","",IF(H201="","⚠️ Enter Agent Code",IF(IFERROR(VLOOKUP(G201,DB_Agents!$B:$F,4,0),"")=TEXT(H201,"0"),IF(AND(A201&lt;&gt;"",E201&lt;&gt;""),"✅ Saved","Pending"),"🔒 WRONG CODE")))</f>
        <v/>
      </c>
      <c r="J201" s="33" t="str">
        <f t="shared" ref="J201:J232" ca="1" si="20">IF(I201="✅ Saved",TEXT(TODAY(),"YYYY-MM-DD")&amp;" Auto","—")</f>
        <v>—</v>
      </c>
      <c r="K201" s="22"/>
    </row>
    <row r="202" spans="1:11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IF(A202="","",IFERROR(VLOOKUP(A202,DB_Customers!$A:$M,13,0),""))</f>
        <v/>
      </c>
      <c r="D202" s="42" t="str">
        <f t="shared" ca="1" si="18"/>
        <v/>
      </c>
      <c r="E202" s="32"/>
      <c r="F202" s="43" t="str">
        <f t="shared" si="19"/>
        <v/>
      </c>
      <c r="G202" s="30" t="s">
        <v>56</v>
      </c>
      <c r="H202" s="41"/>
      <c r="I202" s="33" t="str">
        <f>IF(A202="","",IF(H202="","⚠️ Enter Agent Code",IF(IFERROR(VLOOKUP(G202,DB_Agents!$B:$F,4,0),"")=TEXT(H202,"0"),IF(AND(A202&lt;&gt;"",E202&lt;&gt;""),"✅ Saved","Pending"),"🔒 WRONG CODE")))</f>
        <v/>
      </c>
      <c r="J202" s="33" t="str">
        <f t="shared" ca="1" si="20"/>
        <v>—</v>
      </c>
      <c r="K202" s="46"/>
    </row>
    <row r="203" spans="1:11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IF(A203="","",IFERROR(VLOOKUP(A203,DB_Customers!$A:$M,13,0),""))</f>
        <v/>
      </c>
      <c r="D203" s="42" t="str">
        <f t="shared" ca="1" si="18"/>
        <v/>
      </c>
      <c r="E203" s="32"/>
      <c r="F203" s="43" t="str">
        <f t="shared" si="19"/>
        <v/>
      </c>
      <c r="G203" s="30" t="s">
        <v>56</v>
      </c>
      <c r="H203" s="41"/>
      <c r="I203" s="33" t="str">
        <f>IF(A203="","",IF(H203="","⚠️ Enter Agent Code",IF(IFERROR(VLOOKUP(G203,DB_Agents!$B:$F,4,0),"")=TEXT(H203,"0"),IF(AND(A203&lt;&gt;"",E203&lt;&gt;""),"✅ Saved","Pending"),"🔒 WRONG CODE")))</f>
        <v/>
      </c>
      <c r="J203" s="33" t="str">
        <f t="shared" ca="1" si="20"/>
        <v>—</v>
      </c>
      <c r="K203" s="22"/>
    </row>
    <row r="204" spans="1:11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IF(A204="","",IFERROR(VLOOKUP(A204,DB_Customers!$A:$M,13,0),""))</f>
        <v/>
      </c>
      <c r="D204" s="42" t="str">
        <f t="shared" ca="1" si="18"/>
        <v/>
      </c>
      <c r="E204" s="32"/>
      <c r="F204" s="43" t="str">
        <f t="shared" si="19"/>
        <v/>
      </c>
      <c r="G204" s="30" t="s">
        <v>56</v>
      </c>
      <c r="H204" s="41"/>
      <c r="I204" s="33" t="str">
        <f>IF(A204="","",IF(H204="","⚠️ Enter Agent Code",IF(IFERROR(VLOOKUP(G204,DB_Agents!$B:$F,4,0),"")=TEXT(H204,"0"),IF(AND(A204&lt;&gt;"",E204&lt;&gt;""),"✅ Saved","Pending"),"🔒 WRONG CODE")))</f>
        <v/>
      </c>
      <c r="J204" s="33" t="str">
        <f t="shared" ca="1" si="20"/>
        <v>—</v>
      </c>
      <c r="K204" s="46"/>
    </row>
    <row r="205" spans="1:11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IF(A205="","",IFERROR(VLOOKUP(A205,DB_Customers!$A:$M,13,0),""))</f>
        <v/>
      </c>
      <c r="D205" s="42" t="str">
        <f t="shared" ca="1" si="18"/>
        <v/>
      </c>
      <c r="E205" s="32"/>
      <c r="F205" s="43" t="str">
        <f t="shared" si="19"/>
        <v/>
      </c>
      <c r="G205" s="30" t="s">
        <v>56</v>
      </c>
      <c r="H205" s="41"/>
      <c r="I205" s="33" t="str">
        <f>IF(A205="","",IF(H205="","⚠️ Enter Agent Code",IF(IFERROR(VLOOKUP(G205,DB_Agents!$B:$F,4,0),"")=TEXT(H205,"0"),IF(AND(A205&lt;&gt;"",E205&lt;&gt;""),"✅ Saved","Pending"),"🔒 WRONG CODE")))</f>
        <v/>
      </c>
      <c r="J205" s="33" t="str">
        <f t="shared" ca="1" si="20"/>
        <v>—</v>
      </c>
      <c r="K205" s="22"/>
    </row>
    <row r="206" spans="1:11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IF(A206="","",IFERROR(VLOOKUP(A206,DB_Customers!$A:$M,13,0),""))</f>
        <v/>
      </c>
      <c r="D206" s="42" t="str">
        <f t="shared" ca="1" si="18"/>
        <v/>
      </c>
      <c r="E206" s="32"/>
      <c r="F206" s="43" t="str">
        <f t="shared" si="19"/>
        <v/>
      </c>
      <c r="G206" s="30" t="s">
        <v>56</v>
      </c>
      <c r="H206" s="41"/>
      <c r="I206" s="33" t="str">
        <f>IF(A206="","",IF(H206="","⚠️ Enter Agent Code",IF(IFERROR(VLOOKUP(G206,DB_Agents!$B:$F,4,0),"")=TEXT(H206,"0"),IF(AND(A206&lt;&gt;"",E206&lt;&gt;""),"✅ Saved","Pending"),"🔒 WRONG CODE")))</f>
        <v/>
      </c>
      <c r="J206" s="33" t="str">
        <f t="shared" ca="1" si="20"/>
        <v>—</v>
      </c>
      <c r="K206" s="46"/>
    </row>
    <row r="207" spans="1:11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IF(A207="","",IFERROR(VLOOKUP(A207,DB_Customers!$A:$M,13,0),""))</f>
        <v/>
      </c>
      <c r="D207" s="42" t="str">
        <f t="shared" ca="1" si="18"/>
        <v/>
      </c>
      <c r="E207" s="32"/>
      <c r="F207" s="43" t="str">
        <f t="shared" si="19"/>
        <v/>
      </c>
      <c r="G207" s="30" t="s">
        <v>56</v>
      </c>
      <c r="H207" s="41"/>
      <c r="I207" s="33" t="str">
        <f>IF(A207="","",IF(H207="","⚠️ Enter Agent Code",IF(IFERROR(VLOOKUP(G207,DB_Agents!$B:$F,4,0),"")=TEXT(H207,"0"),IF(AND(A207&lt;&gt;"",E207&lt;&gt;""),"✅ Saved","Pending"),"🔒 WRONG CODE")))</f>
        <v/>
      </c>
      <c r="J207" s="33" t="str">
        <f t="shared" ca="1" si="20"/>
        <v>—</v>
      </c>
      <c r="K207" s="22"/>
    </row>
    <row r="208" spans="1:11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IF(A208="","",IFERROR(VLOOKUP(A208,DB_Customers!$A:$M,13,0),""))</f>
        <v/>
      </c>
      <c r="D208" s="42" t="str">
        <f t="shared" ca="1" si="18"/>
        <v/>
      </c>
      <c r="E208" s="32"/>
      <c r="F208" s="43" t="str">
        <f t="shared" si="19"/>
        <v/>
      </c>
      <c r="G208" s="30" t="s">
        <v>56</v>
      </c>
      <c r="H208" s="41"/>
      <c r="I208" s="33" t="str">
        <f>IF(A208="","",IF(H208="","⚠️ Enter Agent Code",IF(IFERROR(VLOOKUP(G208,DB_Agents!$B:$F,4,0),"")=TEXT(H208,"0"),IF(AND(A208&lt;&gt;"",E208&lt;&gt;""),"✅ Saved","Pending"),"🔒 WRONG CODE")))</f>
        <v/>
      </c>
      <c r="J208" s="33" t="str">
        <f t="shared" ca="1" si="20"/>
        <v>—</v>
      </c>
      <c r="K208" s="46"/>
    </row>
  </sheetData>
  <mergeCells count="4">
    <mergeCell ref="A2:K2"/>
    <mergeCell ref="A6:K6"/>
    <mergeCell ref="A1:K1"/>
    <mergeCell ref="A7:K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2.1" customHeight="1" x14ac:dyDescent="0.25">
      <c r="A1" s="94" t="s">
        <v>170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26.1" customHeight="1" x14ac:dyDescent="0.25">
      <c r="A2" s="97" t="s">
        <v>171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20.100000000000001" customHeight="1" x14ac:dyDescent="0.25">
      <c r="A3" s="47" t="s">
        <v>138</v>
      </c>
      <c r="D3" s="44" t="s">
        <v>139</v>
      </c>
      <c r="G3" s="48" t="s">
        <v>140</v>
      </c>
      <c r="J3" s="47" t="s">
        <v>128</v>
      </c>
    </row>
    <row r="4" spans="1:12" ht="24" customHeight="1" x14ac:dyDescent="0.25">
      <c r="A4" s="49">
        <f ca="1">IFERROR(SUMIFS(DB_Withdrawals!$G:$G,DB_Withdrawals!$I:$I,"Agent 03",DB_Withdrawals!$E:$E,TODAY()),0)</f>
        <v>0</v>
      </c>
      <c r="D4" s="49">
        <f ca="1">IFERROR(COUNTIFS(DB_Withdrawals!$I:$I,"Agent 03",DB_Withdrawals!$J:$J,"✅ Successful",DB_Withdrawals!$E:$E,TODAY()),0)</f>
        <v>0</v>
      </c>
      <c r="G4" s="49">
        <f ca="1">IFERROR(COUNTIFS(DB_Withdrawals!$I:$I,"Agent 03",DB_Withdrawals!$J:$J,"❌ Insufficient Funds",DB_Withdrawals!$E:$E,TODAY()),0)</f>
        <v>0</v>
      </c>
      <c r="J4" s="49" t="str">
        <f ca="1">TEXT(TODAY(),"DD MMM YYYY")</f>
        <v>25 Apr 2026</v>
      </c>
    </row>
    <row r="6" spans="1:12" ht="26.1" customHeight="1" x14ac:dyDescent="0.25">
      <c r="A6" s="90" t="s">
        <v>141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</row>
    <row r="8" spans="1:12" ht="30" customHeight="1" x14ac:dyDescent="0.25">
      <c r="A8" s="19" t="s">
        <v>131</v>
      </c>
      <c r="B8" s="19" t="s">
        <v>69</v>
      </c>
      <c r="C8" s="19" t="s">
        <v>85</v>
      </c>
      <c r="D8" s="19" t="s">
        <v>91</v>
      </c>
      <c r="E8" s="19" t="s">
        <v>142</v>
      </c>
      <c r="F8" s="19" t="s">
        <v>143</v>
      </c>
      <c r="G8" s="19" t="s">
        <v>133</v>
      </c>
      <c r="H8" s="19" t="s">
        <v>45</v>
      </c>
      <c r="I8" s="19" t="s">
        <v>134</v>
      </c>
      <c r="J8" s="19" t="s">
        <v>77</v>
      </c>
      <c r="K8" s="19" t="s">
        <v>135</v>
      </c>
      <c r="L8" s="19" t="s">
        <v>95</v>
      </c>
    </row>
    <row r="9" spans="1:12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IF(A9="","",IFERROR(VLOOKUP(A9,DB_Customers!$A:$N,14,0),""))</f>
        <v/>
      </c>
      <c r="D9" s="42" t="str">
        <f t="shared" ref="D9:D40" ca="1" si="0">IF(A9="","",TODAY())</f>
        <v/>
      </c>
      <c r="E9" s="32"/>
      <c r="F9" s="31"/>
      <c r="G9" s="43" t="str">
        <f t="shared" ref="G9:G40" si="1">IFERROR(IF(OR(A9="",E9=""),"",C9-E9),"")</f>
        <v/>
      </c>
      <c r="H9" s="30" t="s">
        <v>56</v>
      </c>
      <c r="I9" s="41"/>
      <c r="J9" s="33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9" s="33" t="str">
        <f t="shared" ref="K9:K40" ca="1" si="2">IF(J9="✅ Successful",TEXT(TODAY(),"YYYY-MM-DD")&amp;" Auto","—")</f>
        <v>—</v>
      </c>
      <c r="L9" s="22"/>
    </row>
    <row r="10" spans="1:12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IF(A10="","",IFERROR(VLOOKUP(A10,DB_Customers!$A:$N,14,0),""))</f>
        <v/>
      </c>
      <c r="D10" s="42" t="str">
        <f t="shared" ca="1" si="0"/>
        <v/>
      </c>
      <c r="E10" s="32"/>
      <c r="F10" s="31"/>
      <c r="G10" s="43" t="str">
        <f t="shared" si="1"/>
        <v/>
      </c>
      <c r="H10" s="30" t="s">
        <v>56</v>
      </c>
      <c r="I10" s="41"/>
      <c r="J10" s="33" t="str">
        <f>IF(AND(A10&lt;&gt;"",E10&lt;&gt;""),IF(I10="","⚠️ Enter Code",IF(IFERROR(VLOOKUP(H10,DB_Agents!$B:$F,4,0),"")=TEXT(I10,"0"),IF(C10&gt;=E10,"✅ Successful","❌ Insufficient Funds"),"🔒 WRONG CODE")),"Pending")</f>
        <v>Pending</v>
      </c>
      <c r="K10" s="33" t="str">
        <f t="shared" ca="1" si="2"/>
        <v>—</v>
      </c>
      <c r="L10" s="50"/>
    </row>
    <row r="11" spans="1:12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IF(A11="","",IFERROR(VLOOKUP(A11,DB_Customers!$A:$N,14,0),""))</f>
        <v/>
      </c>
      <c r="D11" s="42" t="str">
        <f t="shared" ca="1" si="0"/>
        <v/>
      </c>
      <c r="E11" s="32"/>
      <c r="F11" s="31"/>
      <c r="G11" s="43" t="str">
        <f t="shared" si="1"/>
        <v/>
      </c>
      <c r="H11" s="30" t="s">
        <v>56</v>
      </c>
      <c r="I11" s="41"/>
      <c r="J11" s="33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1" s="33" t="str">
        <f t="shared" ca="1" si="2"/>
        <v>—</v>
      </c>
      <c r="L11" s="22"/>
    </row>
    <row r="12" spans="1:12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IF(A12="","",IFERROR(VLOOKUP(A12,DB_Customers!$A:$N,14,0),""))</f>
        <v/>
      </c>
      <c r="D12" s="42" t="str">
        <f t="shared" ca="1" si="0"/>
        <v/>
      </c>
      <c r="E12" s="32"/>
      <c r="F12" s="31"/>
      <c r="G12" s="43" t="str">
        <f t="shared" si="1"/>
        <v/>
      </c>
      <c r="H12" s="30" t="s">
        <v>56</v>
      </c>
      <c r="I12" s="41"/>
      <c r="J12" s="33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2" s="33" t="str">
        <f t="shared" ca="1" si="2"/>
        <v>—</v>
      </c>
      <c r="L12" s="50"/>
    </row>
    <row r="13" spans="1:12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IF(A13="","",IFERROR(VLOOKUP(A13,DB_Customers!$A:$N,14,0),""))</f>
        <v/>
      </c>
      <c r="D13" s="42" t="str">
        <f t="shared" ca="1" si="0"/>
        <v/>
      </c>
      <c r="E13" s="32"/>
      <c r="F13" s="31"/>
      <c r="G13" s="43" t="str">
        <f t="shared" si="1"/>
        <v/>
      </c>
      <c r="H13" s="30" t="s">
        <v>56</v>
      </c>
      <c r="I13" s="41"/>
      <c r="J13" s="33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3" s="33" t="str">
        <f t="shared" ca="1" si="2"/>
        <v>—</v>
      </c>
      <c r="L13" s="22"/>
    </row>
    <row r="14" spans="1:12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IF(A14="","",IFERROR(VLOOKUP(A14,DB_Customers!$A:$N,14,0),""))</f>
        <v/>
      </c>
      <c r="D14" s="42" t="str">
        <f t="shared" ca="1" si="0"/>
        <v/>
      </c>
      <c r="E14" s="32"/>
      <c r="F14" s="31"/>
      <c r="G14" s="43" t="str">
        <f t="shared" si="1"/>
        <v/>
      </c>
      <c r="H14" s="30" t="s">
        <v>56</v>
      </c>
      <c r="I14" s="41"/>
      <c r="J14" s="33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4" s="33" t="str">
        <f t="shared" ca="1" si="2"/>
        <v>—</v>
      </c>
      <c r="L14" s="50"/>
    </row>
    <row r="15" spans="1:12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IF(A15="","",IFERROR(VLOOKUP(A15,DB_Customers!$A:$N,14,0),""))</f>
        <v/>
      </c>
      <c r="D15" s="42" t="str">
        <f t="shared" ca="1" si="0"/>
        <v/>
      </c>
      <c r="E15" s="32"/>
      <c r="F15" s="31"/>
      <c r="G15" s="43" t="str">
        <f t="shared" si="1"/>
        <v/>
      </c>
      <c r="H15" s="30" t="s">
        <v>56</v>
      </c>
      <c r="I15" s="41"/>
      <c r="J15" s="33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5" s="33" t="str">
        <f t="shared" ca="1" si="2"/>
        <v>—</v>
      </c>
      <c r="L15" s="22"/>
    </row>
    <row r="16" spans="1:12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IF(A16="","",IFERROR(VLOOKUP(A16,DB_Customers!$A:$N,14,0),""))</f>
        <v/>
      </c>
      <c r="D16" s="42" t="str">
        <f t="shared" ca="1" si="0"/>
        <v/>
      </c>
      <c r="E16" s="32"/>
      <c r="F16" s="31"/>
      <c r="G16" s="43" t="str">
        <f t="shared" si="1"/>
        <v/>
      </c>
      <c r="H16" s="30" t="s">
        <v>56</v>
      </c>
      <c r="I16" s="41"/>
      <c r="J16" s="33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6" s="33" t="str">
        <f t="shared" ca="1" si="2"/>
        <v>—</v>
      </c>
      <c r="L16" s="50"/>
    </row>
    <row r="17" spans="1:12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IF(A17="","",IFERROR(VLOOKUP(A17,DB_Customers!$A:$N,14,0),""))</f>
        <v/>
      </c>
      <c r="D17" s="42" t="str">
        <f t="shared" ca="1" si="0"/>
        <v/>
      </c>
      <c r="E17" s="32"/>
      <c r="F17" s="31"/>
      <c r="G17" s="43" t="str">
        <f t="shared" si="1"/>
        <v/>
      </c>
      <c r="H17" s="30" t="s">
        <v>56</v>
      </c>
      <c r="I17" s="41"/>
      <c r="J17" s="33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7" s="33" t="str">
        <f t="shared" ca="1" si="2"/>
        <v>—</v>
      </c>
      <c r="L17" s="22"/>
    </row>
    <row r="18" spans="1:12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IF(A18="","",IFERROR(VLOOKUP(A18,DB_Customers!$A:$N,14,0),""))</f>
        <v/>
      </c>
      <c r="D18" s="42" t="str">
        <f t="shared" ca="1" si="0"/>
        <v/>
      </c>
      <c r="E18" s="32"/>
      <c r="F18" s="31"/>
      <c r="G18" s="43" t="str">
        <f t="shared" si="1"/>
        <v/>
      </c>
      <c r="H18" s="30" t="s">
        <v>56</v>
      </c>
      <c r="I18" s="41"/>
      <c r="J18" s="33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18" s="33" t="str">
        <f t="shared" ca="1" si="2"/>
        <v>—</v>
      </c>
      <c r="L18" s="50"/>
    </row>
    <row r="19" spans="1:12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IF(A19="","",IFERROR(VLOOKUP(A19,DB_Customers!$A:$N,14,0),""))</f>
        <v/>
      </c>
      <c r="D19" s="42" t="str">
        <f t="shared" ca="1" si="0"/>
        <v/>
      </c>
      <c r="E19" s="32"/>
      <c r="F19" s="31"/>
      <c r="G19" s="43" t="str">
        <f t="shared" si="1"/>
        <v/>
      </c>
      <c r="H19" s="30" t="s">
        <v>56</v>
      </c>
      <c r="I19" s="41"/>
      <c r="J19" s="33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19" s="33" t="str">
        <f t="shared" ca="1" si="2"/>
        <v>—</v>
      </c>
      <c r="L19" s="22"/>
    </row>
    <row r="20" spans="1:12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IF(A20="","",IFERROR(VLOOKUP(A20,DB_Customers!$A:$N,14,0),""))</f>
        <v/>
      </c>
      <c r="D20" s="42" t="str">
        <f t="shared" ca="1" si="0"/>
        <v/>
      </c>
      <c r="E20" s="32"/>
      <c r="F20" s="31"/>
      <c r="G20" s="43" t="str">
        <f t="shared" si="1"/>
        <v/>
      </c>
      <c r="H20" s="30" t="s">
        <v>56</v>
      </c>
      <c r="I20" s="41"/>
      <c r="J20" s="33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0" s="33" t="str">
        <f t="shared" ca="1" si="2"/>
        <v>—</v>
      </c>
      <c r="L20" s="50"/>
    </row>
    <row r="21" spans="1:12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IF(A21="","",IFERROR(VLOOKUP(A21,DB_Customers!$A:$N,14,0),""))</f>
        <v/>
      </c>
      <c r="D21" s="42" t="str">
        <f t="shared" ca="1" si="0"/>
        <v/>
      </c>
      <c r="E21" s="32"/>
      <c r="F21" s="31"/>
      <c r="G21" s="43" t="str">
        <f t="shared" si="1"/>
        <v/>
      </c>
      <c r="H21" s="30" t="s">
        <v>56</v>
      </c>
      <c r="I21" s="41"/>
      <c r="J21" s="33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1" s="33" t="str">
        <f t="shared" ca="1" si="2"/>
        <v>—</v>
      </c>
      <c r="L21" s="22"/>
    </row>
    <row r="22" spans="1:12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IF(A22="","",IFERROR(VLOOKUP(A22,DB_Customers!$A:$N,14,0),""))</f>
        <v/>
      </c>
      <c r="D22" s="42" t="str">
        <f t="shared" ca="1" si="0"/>
        <v/>
      </c>
      <c r="E22" s="32"/>
      <c r="F22" s="31"/>
      <c r="G22" s="43" t="str">
        <f t="shared" si="1"/>
        <v/>
      </c>
      <c r="H22" s="30" t="s">
        <v>56</v>
      </c>
      <c r="I22" s="41"/>
      <c r="J22" s="33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2" s="33" t="str">
        <f t="shared" ca="1" si="2"/>
        <v>—</v>
      </c>
      <c r="L22" s="50"/>
    </row>
    <row r="23" spans="1:12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IF(A23="","",IFERROR(VLOOKUP(A23,DB_Customers!$A:$N,14,0),""))</f>
        <v/>
      </c>
      <c r="D23" s="42" t="str">
        <f t="shared" ca="1" si="0"/>
        <v/>
      </c>
      <c r="E23" s="32"/>
      <c r="F23" s="31"/>
      <c r="G23" s="43" t="str">
        <f t="shared" si="1"/>
        <v/>
      </c>
      <c r="H23" s="30" t="s">
        <v>56</v>
      </c>
      <c r="I23" s="41"/>
      <c r="J23" s="33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3" s="33" t="str">
        <f t="shared" ca="1" si="2"/>
        <v>—</v>
      </c>
      <c r="L23" s="22"/>
    </row>
    <row r="24" spans="1:12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IF(A24="","",IFERROR(VLOOKUP(A24,DB_Customers!$A:$N,14,0),""))</f>
        <v/>
      </c>
      <c r="D24" s="42" t="str">
        <f t="shared" ca="1" si="0"/>
        <v/>
      </c>
      <c r="E24" s="32"/>
      <c r="F24" s="31"/>
      <c r="G24" s="43" t="str">
        <f t="shared" si="1"/>
        <v/>
      </c>
      <c r="H24" s="30" t="s">
        <v>56</v>
      </c>
      <c r="I24" s="41"/>
      <c r="J24" s="33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4" s="33" t="str">
        <f t="shared" ca="1" si="2"/>
        <v>—</v>
      </c>
      <c r="L24" s="50"/>
    </row>
    <row r="25" spans="1:12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IF(A25="","",IFERROR(VLOOKUP(A25,DB_Customers!$A:$N,14,0),""))</f>
        <v/>
      </c>
      <c r="D25" s="42" t="str">
        <f t="shared" ca="1" si="0"/>
        <v/>
      </c>
      <c r="E25" s="32"/>
      <c r="F25" s="31"/>
      <c r="G25" s="43" t="str">
        <f t="shared" si="1"/>
        <v/>
      </c>
      <c r="H25" s="30" t="s">
        <v>56</v>
      </c>
      <c r="I25" s="41"/>
      <c r="J25" s="33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5" s="33" t="str">
        <f t="shared" ca="1" si="2"/>
        <v>—</v>
      </c>
      <c r="L25" s="22"/>
    </row>
    <row r="26" spans="1:12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IF(A26="","",IFERROR(VLOOKUP(A26,DB_Customers!$A:$N,14,0),""))</f>
        <v/>
      </c>
      <c r="D26" s="42" t="str">
        <f t="shared" ca="1" si="0"/>
        <v/>
      </c>
      <c r="E26" s="32"/>
      <c r="F26" s="31"/>
      <c r="G26" s="43" t="str">
        <f t="shared" si="1"/>
        <v/>
      </c>
      <c r="H26" s="30" t="s">
        <v>56</v>
      </c>
      <c r="I26" s="41"/>
      <c r="J26" s="33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6" s="33" t="str">
        <f t="shared" ca="1" si="2"/>
        <v>—</v>
      </c>
      <c r="L26" s="50"/>
    </row>
    <row r="27" spans="1:12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IF(A27="","",IFERROR(VLOOKUP(A27,DB_Customers!$A:$N,14,0),""))</f>
        <v/>
      </c>
      <c r="D27" s="42" t="str">
        <f t="shared" ca="1" si="0"/>
        <v/>
      </c>
      <c r="E27" s="32"/>
      <c r="F27" s="31"/>
      <c r="G27" s="43" t="str">
        <f t="shared" si="1"/>
        <v/>
      </c>
      <c r="H27" s="30" t="s">
        <v>56</v>
      </c>
      <c r="I27" s="41"/>
      <c r="J27" s="33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7" s="33" t="str">
        <f t="shared" ca="1" si="2"/>
        <v>—</v>
      </c>
      <c r="L27" s="22"/>
    </row>
    <row r="28" spans="1:12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IF(A28="","",IFERROR(VLOOKUP(A28,DB_Customers!$A:$N,14,0),""))</f>
        <v/>
      </c>
      <c r="D28" s="42" t="str">
        <f t="shared" ca="1" si="0"/>
        <v/>
      </c>
      <c r="E28" s="32"/>
      <c r="F28" s="31"/>
      <c r="G28" s="43" t="str">
        <f t="shared" si="1"/>
        <v/>
      </c>
      <c r="H28" s="30" t="s">
        <v>56</v>
      </c>
      <c r="I28" s="41"/>
      <c r="J28" s="33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28" s="33" t="str">
        <f t="shared" ca="1" si="2"/>
        <v>—</v>
      </c>
      <c r="L28" s="50"/>
    </row>
    <row r="29" spans="1:12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IF(A29="","",IFERROR(VLOOKUP(A29,DB_Customers!$A:$N,14,0),""))</f>
        <v/>
      </c>
      <c r="D29" s="42" t="str">
        <f t="shared" ca="1" si="0"/>
        <v/>
      </c>
      <c r="E29" s="32"/>
      <c r="F29" s="31"/>
      <c r="G29" s="43" t="str">
        <f t="shared" si="1"/>
        <v/>
      </c>
      <c r="H29" s="30" t="s">
        <v>56</v>
      </c>
      <c r="I29" s="41"/>
      <c r="J29" s="33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29" s="33" t="str">
        <f t="shared" ca="1" si="2"/>
        <v>—</v>
      </c>
      <c r="L29" s="22"/>
    </row>
    <row r="30" spans="1:12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IF(A30="","",IFERROR(VLOOKUP(A30,DB_Customers!$A:$N,14,0),""))</f>
        <v/>
      </c>
      <c r="D30" s="42" t="str">
        <f t="shared" ca="1" si="0"/>
        <v/>
      </c>
      <c r="E30" s="32"/>
      <c r="F30" s="31"/>
      <c r="G30" s="43" t="str">
        <f t="shared" si="1"/>
        <v/>
      </c>
      <c r="H30" s="30" t="s">
        <v>56</v>
      </c>
      <c r="I30" s="41"/>
      <c r="J30" s="33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0" s="33" t="str">
        <f t="shared" ca="1" si="2"/>
        <v>—</v>
      </c>
      <c r="L30" s="50"/>
    </row>
    <row r="31" spans="1:12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IF(A31="","",IFERROR(VLOOKUP(A31,DB_Customers!$A:$N,14,0),""))</f>
        <v/>
      </c>
      <c r="D31" s="42" t="str">
        <f t="shared" ca="1" si="0"/>
        <v/>
      </c>
      <c r="E31" s="32"/>
      <c r="F31" s="31"/>
      <c r="G31" s="43" t="str">
        <f t="shared" si="1"/>
        <v/>
      </c>
      <c r="H31" s="30" t="s">
        <v>56</v>
      </c>
      <c r="I31" s="41"/>
      <c r="J31" s="33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1" s="33" t="str">
        <f t="shared" ca="1" si="2"/>
        <v>—</v>
      </c>
      <c r="L31" s="22"/>
    </row>
    <row r="32" spans="1:12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IF(A32="","",IFERROR(VLOOKUP(A32,DB_Customers!$A:$N,14,0),""))</f>
        <v/>
      </c>
      <c r="D32" s="42" t="str">
        <f t="shared" ca="1" si="0"/>
        <v/>
      </c>
      <c r="E32" s="32"/>
      <c r="F32" s="31"/>
      <c r="G32" s="43" t="str">
        <f t="shared" si="1"/>
        <v/>
      </c>
      <c r="H32" s="30" t="s">
        <v>56</v>
      </c>
      <c r="I32" s="41"/>
      <c r="J32" s="33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2" s="33" t="str">
        <f t="shared" ca="1" si="2"/>
        <v>—</v>
      </c>
      <c r="L32" s="50"/>
    </row>
    <row r="33" spans="1:12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IF(A33="","",IFERROR(VLOOKUP(A33,DB_Customers!$A:$N,14,0),""))</f>
        <v/>
      </c>
      <c r="D33" s="42" t="str">
        <f t="shared" ca="1" si="0"/>
        <v/>
      </c>
      <c r="E33" s="32"/>
      <c r="F33" s="31"/>
      <c r="G33" s="43" t="str">
        <f t="shared" si="1"/>
        <v/>
      </c>
      <c r="H33" s="30" t="s">
        <v>56</v>
      </c>
      <c r="I33" s="41"/>
      <c r="J33" s="33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3" s="33" t="str">
        <f t="shared" ca="1" si="2"/>
        <v>—</v>
      </c>
      <c r="L33" s="22"/>
    </row>
    <row r="34" spans="1:12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IF(A34="","",IFERROR(VLOOKUP(A34,DB_Customers!$A:$N,14,0),""))</f>
        <v/>
      </c>
      <c r="D34" s="42" t="str">
        <f t="shared" ca="1" si="0"/>
        <v/>
      </c>
      <c r="E34" s="32"/>
      <c r="F34" s="31"/>
      <c r="G34" s="43" t="str">
        <f t="shared" si="1"/>
        <v/>
      </c>
      <c r="H34" s="30" t="s">
        <v>56</v>
      </c>
      <c r="I34" s="41"/>
      <c r="J34" s="33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4" s="33" t="str">
        <f t="shared" ca="1" si="2"/>
        <v>—</v>
      </c>
      <c r="L34" s="50"/>
    </row>
    <row r="35" spans="1:12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IF(A35="","",IFERROR(VLOOKUP(A35,DB_Customers!$A:$N,14,0),""))</f>
        <v/>
      </c>
      <c r="D35" s="42" t="str">
        <f t="shared" ca="1" si="0"/>
        <v/>
      </c>
      <c r="E35" s="32"/>
      <c r="F35" s="31"/>
      <c r="G35" s="43" t="str">
        <f t="shared" si="1"/>
        <v/>
      </c>
      <c r="H35" s="30" t="s">
        <v>56</v>
      </c>
      <c r="I35" s="41"/>
      <c r="J35" s="33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5" s="33" t="str">
        <f t="shared" ca="1" si="2"/>
        <v>—</v>
      </c>
      <c r="L35" s="22"/>
    </row>
    <row r="36" spans="1:12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IF(A36="","",IFERROR(VLOOKUP(A36,DB_Customers!$A:$N,14,0),""))</f>
        <v/>
      </c>
      <c r="D36" s="42" t="str">
        <f t="shared" ca="1" si="0"/>
        <v/>
      </c>
      <c r="E36" s="32"/>
      <c r="F36" s="31"/>
      <c r="G36" s="43" t="str">
        <f t="shared" si="1"/>
        <v/>
      </c>
      <c r="H36" s="30" t="s">
        <v>56</v>
      </c>
      <c r="I36" s="41"/>
      <c r="J36" s="33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6" s="33" t="str">
        <f t="shared" ca="1" si="2"/>
        <v>—</v>
      </c>
      <c r="L36" s="50"/>
    </row>
    <row r="37" spans="1:12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IF(A37="","",IFERROR(VLOOKUP(A37,DB_Customers!$A:$N,14,0),""))</f>
        <v/>
      </c>
      <c r="D37" s="42" t="str">
        <f t="shared" ca="1" si="0"/>
        <v/>
      </c>
      <c r="E37" s="32"/>
      <c r="F37" s="31"/>
      <c r="G37" s="43" t="str">
        <f t="shared" si="1"/>
        <v/>
      </c>
      <c r="H37" s="30" t="s">
        <v>56</v>
      </c>
      <c r="I37" s="41"/>
      <c r="J37" s="33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7" s="33" t="str">
        <f t="shared" ca="1" si="2"/>
        <v>—</v>
      </c>
      <c r="L37" s="22"/>
    </row>
    <row r="38" spans="1:12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IF(A38="","",IFERROR(VLOOKUP(A38,DB_Customers!$A:$N,14,0),""))</f>
        <v/>
      </c>
      <c r="D38" s="42" t="str">
        <f t="shared" ca="1" si="0"/>
        <v/>
      </c>
      <c r="E38" s="32"/>
      <c r="F38" s="31"/>
      <c r="G38" s="43" t="str">
        <f t="shared" si="1"/>
        <v/>
      </c>
      <c r="H38" s="30" t="s">
        <v>56</v>
      </c>
      <c r="I38" s="41"/>
      <c r="J38" s="33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38" s="33" t="str">
        <f t="shared" ca="1" si="2"/>
        <v>—</v>
      </c>
      <c r="L38" s="50"/>
    </row>
    <row r="39" spans="1:12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IF(A39="","",IFERROR(VLOOKUP(A39,DB_Customers!$A:$N,14,0),""))</f>
        <v/>
      </c>
      <c r="D39" s="42" t="str">
        <f t="shared" ca="1" si="0"/>
        <v/>
      </c>
      <c r="E39" s="32"/>
      <c r="F39" s="31"/>
      <c r="G39" s="43" t="str">
        <f t="shared" si="1"/>
        <v/>
      </c>
      <c r="H39" s="30" t="s">
        <v>56</v>
      </c>
      <c r="I39" s="41"/>
      <c r="J39" s="33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39" s="33" t="str">
        <f t="shared" ca="1" si="2"/>
        <v>—</v>
      </c>
      <c r="L39" s="22"/>
    </row>
    <row r="40" spans="1:12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IF(A40="","",IFERROR(VLOOKUP(A40,DB_Customers!$A:$N,14,0),""))</f>
        <v/>
      </c>
      <c r="D40" s="42" t="str">
        <f t="shared" ca="1" si="0"/>
        <v/>
      </c>
      <c r="E40" s="32"/>
      <c r="F40" s="31"/>
      <c r="G40" s="43" t="str">
        <f t="shared" si="1"/>
        <v/>
      </c>
      <c r="H40" s="30" t="s">
        <v>56</v>
      </c>
      <c r="I40" s="41"/>
      <c r="J40" s="33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0" s="33" t="str">
        <f t="shared" ca="1" si="2"/>
        <v>—</v>
      </c>
      <c r="L40" s="50"/>
    </row>
    <row r="41" spans="1:12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IF(A41="","",IFERROR(VLOOKUP(A41,DB_Customers!$A:$N,14,0),""))</f>
        <v/>
      </c>
      <c r="D41" s="42" t="str">
        <f t="shared" ref="D41:D72" ca="1" si="3">IF(A41="","",TODAY())</f>
        <v/>
      </c>
      <c r="E41" s="32"/>
      <c r="F41" s="31"/>
      <c r="G41" s="43" t="str">
        <f t="shared" ref="G41:G72" si="4">IFERROR(IF(OR(A41="",E41=""),"",C41-E41),"")</f>
        <v/>
      </c>
      <c r="H41" s="30" t="s">
        <v>56</v>
      </c>
      <c r="I41" s="41"/>
      <c r="J41" s="33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1" s="33" t="str">
        <f t="shared" ref="K41:K72" ca="1" si="5">IF(J41="✅ Successful",TEXT(TODAY(),"YYYY-MM-DD")&amp;" Auto","—")</f>
        <v>—</v>
      </c>
      <c r="L41" s="22"/>
    </row>
    <row r="42" spans="1:12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IF(A42="","",IFERROR(VLOOKUP(A42,DB_Customers!$A:$N,14,0),""))</f>
        <v/>
      </c>
      <c r="D42" s="42" t="str">
        <f t="shared" ca="1" si="3"/>
        <v/>
      </c>
      <c r="E42" s="32"/>
      <c r="F42" s="31"/>
      <c r="G42" s="43" t="str">
        <f t="shared" si="4"/>
        <v/>
      </c>
      <c r="H42" s="30" t="s">
        <v>56</v>
      </c>
      <c r="I42" s="41"/>
      <c r="J42" s="33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2" s="33" t="str">
        <f t="shared" ca="1" si="5"/>
        <v>—</v>
      </c>
      <c r="L42" s="50"/>
    </row>
    <row r="43" spans="1:12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IF(A43="","",IFERROR(VLOOKUP(A43,DB_Customers!$A:$N,14,0),""))</f>
        <v/>
      </c>
      <c r="D43" s="42" t="str">
        <f t="shared" ca="1" si="3"/>
        <v/>
      </c>
      <c r="E43" s="32"/>
      <c r="F43" s="31"/>
      <c r="G43" s="43" t="str">
        <f t="shared" si="4"/>
        <v/>
      </c>
      <c r="H43" s="30" t="s">
        <v>56</v>
      </c>
      <c r="I43" s="41"/>
      <c r="J43" s="33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3" s="33" t="str">
        <f t="shared" ca="1" si="5"/>
        <v>—</v>
      </c>
      <c r="L43" s="22"/>
    </row>
    <row r="44" spans="1:12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IF(A44="","",IFERROR(VLOOKUP(A44,DB_Customers!$A:$N,14,0),""))</f>
        <v/>
      </c>
      <c r="D44" s="42" t="str">
        <f t="shared" ca="1" si="3"/>
        <v/>
      </c>
      <c r="E44" s="32"/>
      <c r="F44" s="31"/>
      <c r="G44" s="43" t="str">
        <f t="shared" si="4"/>
        <v/>
      </c>
      <c r="H44" s="30" t="s">
        <v>56</v>
      </c>
      <c r="I44" s="41"/>
      <c r="J44" s="33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4" s="33" t="str">
        <f t="shared" ca="1" si="5"/>
        <v>—</v>
      </c>
      <c r="L44" s="50"/>
    </row>
    <row r="45" spans="1:12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IF(A45="","",IFERROR(VLOOKUP(A45,DB_Customers!$A:$N,14,0),""))</f>
        <v/>
      </c>
      <c r="D45" s="42" t="str">
        <f t="shared" ca="1" si="3"/>
        <v/>
      </c>
      <c r="E45" s="32"/>
      <c r="F45" s="31"/>
      <c r="G45" s="43" t="str">
        <f t="shared" si="4"/>
        <v/>
      </c>
      <c r="H45" s="30" t="s">
        <v>56</v>
      </c>
      <c r="I45" s="41"/>
      <c r="J45" s="33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5" s="33" t="str">
        <f t="shared" ca="1" si="5"/>
        <v>—</v>
      </c>
      <c r="L45" s="22"/>
    </row>
    <row r="46" spans="1:12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IF(A46="","",IFERROR(VLOOKUP(A46,DB_Customers!$A:$N,14,0),""))</f>
        <v/>
      </c>
      <c r="D46" s="42" t="str">
        <f t="shared" ca="1" si="3"/>
        <v/>
      </c>
      <c r="E46" s="32"/>
      <c r="F46" s="31"/>
      <c r="G46" s="43" t="str">
        <f t="shared" si="4"/>
        <v/>
      </c>
      <c r="H46" s="30" t="s">
        <v>56</v>
      </c>
      <c r="I46" s="41"/>
      <c r="J46" s="33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6" s="33" t="str">
        <f t="shared" ca="1" si="5"/>
        <v>—</v>
      </c>
      <c r="L46" s="50"/>
    </row>
    <row r="47" spans="1:12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IF(A47="","",IFERROR(VLOOKUP(A47,DB_Customers!$A:$N,14,0),""))</f>
        <v/>
      </c>
      <c r="D47" s="42" t="str">
        <f t="shared" ca="1" si="3"/>
        <v/>
      </c>
      <c r="E47" s="32"/>
      <c r="F47" s="31"/>
      <c r="G47" s="43" t="str">
        <f t="shared" si="4"/>
        <v/>
      </c>
      <c r="H47" s="30" t="s">
        <v>56</v>
      </c>
      <c r="I47" s="41"/>
      <c r="J47" s="33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7" s="33" t="str">
        <f t="shared" ca="1" si="5"/>
        <v>—</v>
      </c>
      <c r="L47" s="22"/>
    </row>
    <row r="48" spans="1:12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IF(A48="","",IFERROR(VLOOKUP(A48,DB_Customers!$A:$N,14,0),""))</f>
        <v/>
      </c>
      <c r="D48" s="42" t="str">
        <f t="shared" ca="1" si="3"/>
        <v/>
      </c>
      <c r="E48" s="32"/>
      <c r="F48" s="31"/>
      <c r="G48" s="43" t="str">
        <f t="shared" si="4"/>
        <v/>
      </c>
      <c r="H48" s="30" t="s">
        <v>56</v>
      </c>
      <c r="I48" s="41"/>
      <c r="J48" s="33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48" s="33" t="str">
        <f t="shared" ca="1" si="5"/>
        <v>—</v>
      </c>
      <c r="L48" s="50"/>
    </row>
    <row r="49" spans="1:12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IF(A49="","",IFERROR(VLOOKUP(A49,DB_Customers!$A:$N,14,0),""))</f>
        <v/>
      </c>
      <c r="D49" s="42" t="str">
        <f t="shared" ca="1" si="3"/>
        <v/>
      </c>
      <c r="E49" s="32"/>
      <c r="F49" s="31"/>
      <c r="G49" s="43" t="str">
        <f t="shared" si="4"/>
        <v/>
      </c>
      <c r="H49" s="30" t="s">
        <v>56</v>
      </c>
      <c r="I49" s="41"/>
      <c r="J49" s="33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49" s="33" t="str">
        <f t="shared" ca="1" si="5"/>
        <v>—</v>
      </c>
      <c r="L49" s="22"/>
    </row>
    <row r="50" spans="1:12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IF(A50="","",IFERROR(VLOOKUP(A50,DB_Customers!$A:$N,14,0),""))</f>
        <v/>
      </c>
      <c r="D50" s="42" t="str">
        <f t="shared" ca="1" si="3"/>
        <v/>
      </c>
      <c r="E50" s="32"/>
      <c r="F50" s="31"/>
      <c r="G50" s="43" t="str">
        <f t="shared" si="4"/>
        <v/>
      </c>
      <c r="H50" s="30" t="s">
        <v>56</v>
      </c>
      <c r="I50" s="41"/>
      <c r="J50" s="33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0" s="33" t="str">
        <f t="shared" ca="1" si="5"/>
        <v>—</v>
      </c>
      <c r="L50" s="50"/>
    </row>
    <row r="51" spans="1:12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IF(A51="","",IFERROR(VLOOKUP(A51,DB_Customers!$A:$N,14,0),""))</f>
        <v/>
      </c>
      <c r="D51" s="42" t="str">
        <f t="shared" ca="1" si="3"/>
        <v/>
      </c>
      <c r="E51" s="32"/>
      <c r="F51" s="31"/>
      <c r="G51" s="43" t="str">
        <f t="shared" si="4"/>
        <v/>
      </c>
      <c r="H51" s="30" t="s">
        <v>56</v>
      </c>
      <c r="I51" s="41"/>
      <c r="J51" s="33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1" s="33" t="str">
        <f t="shared" ca="1" si="5"/>
        <v>—</v>
      </c>
      <c r="L51" s="22"/>
    </row>
    <row r="52" spans="1:12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IF(A52="","",IFERROR(VLOOKUP(A52,DB_Customers!$A:$N,14,0),""))</f>
        <v/>
      </c>
      <c r="D52" s="42" t="str">
        <f t="shared" ca="1" si="3"/>
        <v/>
      </c>
      <c r="E52" s="32"/>
      <c r="F52" s="31"/>
      <c r="G52" s="43" t="str">
        <f t="shared" si="4"/>
        <v/>
      </c>
      <c r="H52" s="30" t="s">
        <v>56</v>
      </c>
      <c r="I52" s="41"/>
      <c r="J52" s="33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2" s="33" t="str">
        <f t="shared" ca="1" si="5"/>
        <v>—</v>
      </c>
      <c r="L52" s="50"/>
    </row>
    <row r="53" spans="1:12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IF(A53="","",IFERROR(VLOOKUP(A53,DB_Customers!$A:$N,14,0),""))</f>
        <v/>
      </c>
      <c r="D53" s="42" t="str">
        <f t="shared" ca="1" si="3"/>
        <v/>
      </c>
      <c r="E53" s="32"/>
      <c r="F53" s="31"/>
      <c r="G53" s="43" t="str">
        <f t="shared" si="4"/>
        <v/>
      </c>
      <c r="H53" s="30" t="s">
        <v>56</v>
      </c>
      <c r="I53" s="41"/>
      <c r="J53" s="33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3" s="33" t="str">
        <f t="shared" ca="1" si="5"/>
        <v>—</v>
      </c>
      <c r="L53" s="22"/>
    </row>
    <row r="54" spans="1:12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IF(A54="","",IFERROR(VLOOKUP(A54,DB_Customers!$A:$N,14,0),""))</f>
        <v/>
      </c>
      <c r="D54" s="42" t="str">
        <f t="shared" ca="1" si="3"/>
        <v/>
      </c>
      <c r="E54" s="32"/>
      <c r="F54" s="31"/>
      <c r="G54" s="43" t="str">
        <f t="shared" si="4"/>
        <v/>
      </c>
      <c r="H54" s="30" t="s">
        <v>56</v>
      </c>
      <c r="I54" s="41"/>
      <c r="J54" s="33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4" s="33" t="str">
        <f t="shared" ca="1" si="5"/>
        <v>—</v>
      </c>
      <c r="L54" s="50"/>
    </row>
    <row r="55" spans="1:12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IF(A55="","",IFERROR(VLOOKUP(A55,DB_Customers!$A:$N,14,0),""))</f>
        <v/>
      </c>
      <c r="D55" s="42" t="str">
        <f t="shared" ca="1" si="3"/>
        <v/>
      </c>
      <c r="E55" s="32"/>
      <c r="F55" s="31"/>
      <c r="G55" s="43" t="str">
        <f t="shared" si="4"/>
        <v/>
      </c>
      <c r="H55" s="30" t="s">
        <v>56</v>
      </c>
      <c r="I55" s="41"/>
      <c r="J55" s="33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5" s="33" t="str">
        <f t="shared" ca="1" si="5"/>
        <v>—</v>
      </c>
      <c r="L55" s="22"/>
    </row>
    <row r="56" spans="1:12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IF(A56="","",IFERROR(VLOOKUP(A56,DB_Customers!$A:$N,14,0),""))</f>
        <v/>
      </c>
      <c r="D56" s="42" t="str">
        <f t="shared" ca="1" si="3"/>
        <v/>
      </c>
      <c r="E56" s="32"/>
      <c r="F56" s="31"/>
      <c r="G56" s="43" t="str">
        <f t="shared" si="4"/>
        <v/>
      </c>
      <c r="H56" s="30" t="s">
        <v>56</v>
      </c>
      <c r="I56" s="41"/>
      <c r="J56" s="33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6" s="33" t="str">
        <f t="shared" ca="1" si="5"/>
        <v>—</v>
      </c>
      <c r="L56" s="50"/>
    </row>
    <row r="57" spans="1:12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IF(A57="","",IFERROR(VLOOKUP(A57,DB_Customers!$A:$N,14,0),""))</f>
        <v/>
      </c>
      <c r="D57" s="42" t="str">
        <f t="shared" ca="1" si="3"/>
        <v/>
      </c>
      <c r="E57" s="32"/>
      <c r="F57" s="31"/>
      <c r="G57" s="43" t="str">
        <f t="shared" si="4"/>
        <v/>
      </c>
      <c r="H57" s="30" t="s">
        <v>56</v>
      </c>
      <c r="I57" s="41"/>
      <c r="J57" s="33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7" s="33" t="str">
        <f t="shared" ca="1" si="5"/>
        <v>—</v>
      </c>
      <c r="L57" s="22"/>
    </row>
    <row r="58" spans="1:12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IF(A58="","",IFERROR(VLOOKUP(A58,DB_Customers!$A:$N,14,0),""))</f>
        <v/>
      </c>
      <c r="D58" s="42" t="str">
        <f t="shared" ca="1" si="3"/>
        <v/>
      </c>
      <c r="E58" s="32"/>
      <c r="F58" s="31"/>
      <c r="G58" s="43" t="str">
        <f t="shared" si="4"/>
        <v/>
      </c>
      <c r="H58" s="30" t="s">
        <v>56</v>
      </c>
      <c r="I58" s="41"/>
      <c r="J58" s="33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58" s="33" t="str">
        <f t="shared" ca="1" si="5"/>
        <v>—</v>
      </c>
      <c r="L58" s="50"/>
    </row>
    <row r="59" spans="1:12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IF(A59="","",IFERROR(VLOOKUP(A59,DB_Customers!$A:$N,14,0),""))</f>
        <v/>
      </c>
      <c r="D59" s="42" t="str">
        <f t="shared" ca="1" si="3"/>
        <v/>
      </c>
      <c r="E59" s="32"/>
      <c r="F59" s="31"/>
      <c r="G59" s="43" t="str">
        <f t="shared" si="4"/>
        <v/>
      </c>
      <c r="H59" s="30" t="s">
        <v>56</v>
      </c>
      <c r="I59" s="41"/>
      <c r="J59" s="33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59" s="33" t="str">
        <f t="shared" ca="1" si="5"/>
        <v>—</v>
      </c>
      <c r="L59" s="22"/>
    </row>
    <row r="60" spans="1:12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IF(A60="","",IFERROR(VLOOKUP(A60,DB_Customers!$A:$N,14,0),""))</f>
        <v/>
      </c>
      <c r="D60" s="42" t="str">
        <f t="shared" ca="1" si="3"/>
        <v/>
      </c>
      <c r="E60" s="32"/>
      <c r="F60" s="31"/>
      <c r="G60" s="43" t="str">
        <f t="shared" si="4"/>
        <v/>
      </c>
      <c r="H60" s="30" t="s">
        <v>56</v>
      </c>
      <c r="I60" s="41"/>
      <c r="J60" s="33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0" s="33" t="str">
        <f t="shared" ca="1" si="5"/>
        <v>—</v>
      </c>
      <c r="L60" s="50"/>
    </row>
    <row r="61" spans="1:12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IF(A61="","",IFERROR(VLOOKUP(A61,DB_Customers!$A:$N,14,0),""))</f>
        <v/>
      </c>
      <c r="D61" s="42" t="str">
        <f t="shared" ca="1" si="3"/>
        <v/>
      </c>
      <c r="E61" s="32"/>
      <c r="F61" s="31"/>
      <c r="G61" s="43" t="str">
        <f t="shared" si="4"/>
        <v/>
      </c>
      <c r="H61" s="30" t="s">
        <v>56</v>
      </c>
      <c r="I61" s="41"/>
      <c r="J61" s="33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1" s="33" t="str">
        <f t="shared" ca="1" si="5"/>
        <v>—</v>
      </c>
      <c r="L61" s="22"/>
    </row>
    <row r="62" spans="1:12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IF(A62="","",IFERROR(VLOOKUP(A62,DB_Customers!$A:$N,14,0),""))</f>
        <v/>
      </c>
      <c r="D62" s="42" t="str">
        <f t="shared" ca="1" si="3"/>
        <v/>
      </c>
      <c r="E62" s="32"/>
      <c r="F62" s="31"/>
      <c r="G62" s="43" t="str">
        <f t="shared" si="4"/>
        <v/>
      </c>
      <c r="H62" s="30" t="s">
        <v>56</v>
      </c>
      <c r="I62" s="41"/>
      <c r="J62" s="33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2" s="33" t="str">
        <f t="shared" ca="1" si="5"/>
        <v>—</v>
      </c>
      <c r="L62" s="50"/>
    </row>
    <row r="63" spans="1:12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IF(A63="","",IFERROR(VLOOKUP(A63,DB_Customers!$A:$N,14,0),""))</f>
        <v/>
      </c>
      <c r="D63" s="42" t="str">
        <f t="shared" ca="1" si="3"/>
        <v/>
      </c>
      <c r="E63" s="32"/>
      <c r="F63" s="31"/>
      <c r="G63" s="43" t="str">
        <f t="shared" si="4"/>
        <v/>
      </c>
      <c r="H63" s="30" t="s">
        <v>56</v>
      </c>
      <c r="I63" s="41"/>
      <c r="J63" s="33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3" s="33" t="str">
        <f t="shared" ca="1" si="5"/>
        <v>—</v>
      </c>
      <c r="L63" s="22"/>
    </row>
    <row r="64" spans="1:12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IF(A64="","",IFERROR(VLOOKUP(A64,DB_Customers!$A:$N,14,0),""))</f>
        <v/>
      </c>
      <c r="D64" s="42" t="str">
        <f t="shared" ca="1" si="3"/>
        <v/>
      </c>
      <c r="E64" s="32"/>
      <c r="F64" s="31"/>
      <c r="G64" s="43" t="str">
        <f t="shared" si="4"/>
        <v/>
      </c>
      <c r="H64" s="30" t="s">
        <v>56</v>
      </c>
      <c r="I64" s="41"/>
      <c r="J64" s="33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4" s="33" t="str">
        <f t="shared" ca="1" si="5"/>
        <v>—</v>
      </c>
      <c r="L64" s="50"/>
    </row>
    <row r="65" spans="1:12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IF(A65="","",IFERROR(VLOOKUP(A65,DB_Customers!$A:$N,14,0),""))</f>
        <v/>
      </c>
      <c r="D65" s="42" t="str">
        <f t="shared" ca="1" si="3"/>
        <v/>
      </c>
      <c r="E65" s="32"/>
      <c r="F65" s="31"/>
      <c r="G65" s="43" t="str">
        <f t="shared" si="4"/>
        <v/>
      </c>
      <c r="H65" s="30" t="s">
        <v>56</v>
      </c>
      <c r="I65" s="41"/>
      <c r="J65" s="33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5" s="33" t="str">
        <f t="shared" ca="1" si="5"/>
        <v>—</v>
      </c>
      <c r="L65" s="22"/>
    </row>
    <row r="66" spans="1:12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IF(A66="","",IFERROR(VLOOKUP(A66,DB_Customers!$A:$N,14,0),""))</f>
        <v/>
      </c>
      <c r="D66" s="42" t="str">
        <f t="shared" ca="1" si="3"/>
        <v/>
      </c>
      <c r="E66" s="32"/>
      <c r="F66" s="31"/>
      <c r="G66" s="43" t="str">
        <f t="shared" si="4"/>
        <v/>
      </c>
      <c r="H66" s="30" t="s">
        <v>56</v>
      </c>
      <c r="I66" s="41"/>
      <c r="J66" s="33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6" s="33" t="str">
        <f t="shared" ca="1" si="5"/>
        <v>—</v>
      </c>
      <c r="L66" s="50"/>
    </row>
    <row r="67" spans="1:12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IF(A67="","",IFERROR(VLOOKUP(A67,DB_Customers!$A:$N,14,0),""))</f>
        <v/>
      </c>
      <c r="D67" s="42" t="str">
        <f t="shared" ca="1" si="3"/>
        <v/>
      </c>
      <c r="E67" s="32"/>
      <c r="F67" s="31"/>
      <c r="G67" s="43" t="str">
        <f t="shared" si="4"/>
        <v/>
      </c>
      <c r="H67" s="30" t="s">
        <v>56</v>
      </c>
      <c r="I67" s="41"/>
      <c r="J67" s="33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7" s="33" t="str">
        <f t="shared" ca="1" si="5"/>
        <v>—</v>
      </c>
      <c r="L67" s="22"/>
    </row>
    <row r="68" spans="1:12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IF(A68="","",IFERROR(VLOOKUP(A68,DB_Customers!$A:$N,14,0),""))</f>
        <v/>
      </c>
      <c r="D68" s="42" t="str">
        <f t="shared" ca="1" si="3"/>
        <v/>
      </c>
      <c r="E68" s="32"/>
      <c r="F68" s="31"/>
      <c r="G68" s="43" t="str">
        <f t="shared" si="4"/>
        <v/>
      </c>
      <c r="H68" s="30" t="s">
        <v>56</v>
      </c>
      <c r="I68" s="41"/>
      <c r="J68" s="33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68" s="33" t="str">
        <f t="shared" ca="1" si="5"/>
        <v>—</v>
      </c>
      <c r="L68" s="50"/>
    </row>
    <row r="69" spans="1:12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IF(A69="","",IFERROR(VLOOKUP(A69,DB_Customers!$A:$N,14,0),""))</f>
        <v/>
      </c>
      <c r="D69" s="42" t="str">
        <f t="shared" ca="1" si="3"/>
        <v/>
      </c>
      <c r="E69" s="32"/>
      <c r="F69" s="31"/>
      <c r="G69" s="43" t="str">
        <f t="shared" si="4"/>
        <v/>
      </c>
      <c r="H69" s="30" t="s">
        <v>56</v>
      </c>
      <c r="I69" s="41"/>
      <c r="J69" s="33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69" s="33" t="str">
        <f t="shared" ca="1" si="5"/>
        <v>—</v>
      </c>
      <c r="L69" s="22"/>
    </row>
    <row r="70" spans="1:12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IF(A70="","",IFERROR(VLOOKUP(A70,DB_Customers!$A:$N,14,0),""))</f>
        <v/>
      </c>
      <c r="D70" s="42" t="str">
        <f t="shared" ca="1" si="3"/>
        <v/>
      </c>
      <c r="E70" s="32"/>
      <c r="F70" s="31"/>
      <c r="G70" s="43" t="str">
        <f t="shared" si="4"/>
        <v/>
      </c>
      <c r="H70" s="30" t="s">
        <v>56</v>
      </c>
      <c r="I70" s="41"/>
      <c r="J70" s="33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0" s="33" t="str">
        <f t="shared" ca="1" si="5"/>
        <v>—</v>
      </c>
      <c r="L70" s="50"/>
    </row>
    <row r="71" spans="1:12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IF(A71="","",IFERROR(VLOOKUP(A71,DB_Customers!$A:$N,14,0),""))</f>
        <v/>
      </c>
      <c r="D71" s="42" t="str">
        <f t="shared" ca="1" si="3"/>
        <v/>
      </c>
      <c r="E71" s="32"/>
      <c r="F71" s="31"/>
      <c r="G71" s="43" t="str">
        <f t="shared" si="4"/>
        <v/>
      </c>
      <c r="H71" s="30" t="s">
        <v>56</v>
      </c>
      <c r="I71" s="41"/>
      <c r="J71" s="33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1" s="33" t="str">
        <f t="shared" ca="1" si="5"/>
        <v>—</v>
      </c>
      <c r="L71" s="22"/>
    </row>
    <row r="72" spans="1:12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IF(A72="","",IFERROR(VLOOKUP(A72,DB_Customers!$A:$N,14,0),""))</f>
        <v/>
      </c>
      <c r="D72" s="42" t="str">
        <f t="shared" ca="1" si="3"/>
        <v/>
      </c>
      <c r="E72" s="32"/>
      <c r="F72" s="31"/>
      <c r="G72" s="43" t="str">
        <f t="shared" si="4"/>
        <v/>
      </c>
      <c r="H72" s="30" t="s">
        <v>56</v>
      </c>
      <c r="I72" s="41"/>
      <c r="J72" s="33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2" s="33" t="str">
        <f t="shared" ca="1" si="5"/>
        <v>—</v>
      </c>
      <c r="L72" s="50"/>
    </row>
    <row r="73" spans="1:12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IF(A73="","",IFERROR(VLOOKUP(A73,DB_Customers!$A:$N,14,0),""))</f>
        <v/>
      </c>
      <c r="D73" s="42" t="str">
        <f t="shared" ref="D73:D104" ca="1" si="6">IF(A73="","",TODAY())</f>
        <v/>
      </c>
      <c r="E73" s="32"/>
      <c r="F73" s="31"/>
      <c r="G73" s="43" t="str">
        <f t="shared" ref="G73:G104" si="7">IFERROR(IF(OR(A73="",E73=""),"",C73-E73),"")</f>
        <v/>
      </c>
      <c r="H73" s="30" t="s">
        <v>56</v>
      </c>
      <c r="I73" s="41"/>
      <c r="J73" s="33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3" s="33" t="str">
        <f t="shared" ref="K73:K104" ca="1" si="8">IF(J73="✅ Successful",TEXT(TODAY(),"YYYY-MM-DD")&amp;" Auto","—")</f>
        <v>—</v>
      </c>
      <c r="L73" s="22"/>
    </row>
    <row r="74" spans="1:12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IF(A74="","",IFERROR(VLOOKUP(A74,DB_Customers!$A:$N,14,0),""))</f>
        <v/>
      </c>
      <c r="D74" s="42" t="str">
        <f t="shared" ca="1" si="6"/>
        <v/>
      </c>
      <c r="E74" s="32"/>
      <c r="F74" s="31"/>
      <c r="G74" s="43" t="str">
        <f t="shared" si="7"/>
        <v/>
      </c>
      <c r="H74" s="30" t="s">
        <v>56</v>
      </c>
      <c r="I74" s="41"/>
      <c r="J74" s="33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4" s="33" t="str">
        <f t="shared" ca="1" si="8"/>
        <v>—</v>
      </c>
      <c r="L74" s="50"/>
    </row>
    <row r="75" spans="1:12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IF(A75="","",IFERROR(VLOOKUP(A75,DB_Customers!$A:$N,14,0),""))</f>
        <v/>
      </c>
      <c r="D75" s="42" t="str">
        <f t="shared" ca="1" si="6"/>
        <v/>
      </c>
      <c r="E75" s="32"/>
      <c r="F75" s="31"/>
      <c r="G75" s="43" t="str">
        <f t="shared" si="7"/>
        <v/>
      </c>
      <c r="H75" s="30" t="s">
        <v>56</v>
      </c>
      <c r="I75" s="41"/>
      <c r="J75" s="33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5" s="33" t="str">
        <f t="shared" ca="1" si="8"/>
        <v>—</v>
      </c>
      <c r="L75" s="22"/>
    </row>
    <row r="76" spans="1:12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IF(A76="","",IFERROR(VLOOKUP(A76,DB_Customers!$A:$N,14,0),""))</f>
        <v/>
      </c>
      <c r="D76" s="42" t="str">
        <f t="shared" ca="1" si="6"/>
        <v/>
      </c>
      <c r="E76" s="32"/>
      <c r="F76" s="31"/>
      <c r="G76" s="43" t="str">
        <f t="shared" si="7"/>
        <v/>
      </c>
      <c r="H76" s="30" t="s">
        <v>56</v>
      </c>
      <c r="I76" s="41"/>
      <c r="J76" s="33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6" s="33" t="str">
        <f t="shared" ca="1" si="8"/>
        <v>—</v>
      </c>
      <c r="L76" s="50"/>
    </row>
    <row r="77" spans="1:12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IF(A77="","",IFERROR(VLOOKUP(A77,DB_Customers!$A:$N,14,0),""))</f>
        <v/>
      </c>
      <c r="D77" s="42" t="str">
        <f t="shared" ca="1" si="6"/>
        <v/>
      </c>
      <c r="E77" s="32"/>
      <c r="F77" s="31"/>
      <c r="G77" s="43" t="str">
        <f t="shared" si="7"/>
        <v/>
      </c>
      <c r="H77" s="30" t="s">
        <v>56</v>
      </c>
      <c r="I77" s="41"/>
      <c r="J77" s="33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7" s="33" t="str">
        <f t="shared" ca="1" si="8"/>
        <v>—</v>
      </c>
      <c r="L77" s="22"/>
    </row>
    <row r="78" spans="1:12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IF(A78="","",IFERROR(VLOOKUP(A78,DB_Customers!$A:$N,14,0),""))</f>
        <v/>
      </c>
      <c r="D78" s="42" t="str">
        <f t="shared" ca="1" si="6"/>
        <v/>
      </c>
      <c r="E78" s="32"/>
      <c r="F78" s="31"/>
      <c r="G78" s="43" t="str">
        <f t="shared" si="7"/>
        <v/>
      </c>
      <c r="H78" s="30" t="s">
        <v>56</v>
      </c>
      <c r="I78" s="41"/>
      <c r="J78" s="33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78" s="33" t="str">
        <f t="shared" ca="1" si="8"/>
        <v>—</v>
      </c>
      <c r="L78" s="50"/>
    </row>
    <row r="79" spans="1:12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IF(A79="","",IFERROR(VLOOKUP(A79,DB_Customers!$A:$N,14,0),""))</f>
        <v/>
      </c>
      <c r="D79" s="42" t="str">
        <f t="shared" ca="1" si="6"/>
        <v/>
      </c>
      <c r="E79" s="32"/>
      <c r="F79" s="31"/>
      <c r="G79" s="43" t="str">
        <f t="shared" si="7"/>
        <v/>
      </c>
      <c r="H79" s="30" t="s">
        <v>56</v>
      </c>
      <c r="I79" s="41"/>
      <c r="J79" s="33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79" s="33" t="str">
        <f t="shared" ca="1" si="8"/>
        <v>—</v>
      </c>
      <c r="L79" s="22"/>
    </row>
    <row r="80" spans="1:12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IF(A80="","",IFERROR(VLOOKUP(A80,DB_Customers!$A:$N,14,0),""))</f>
        <v/>
      </c>
      <c r="D80" s="42" t="str">
        <f t="shared" ca="1" si="6"/>
        <v/>
      </c>
      <c r="E80" s="32"/>
      <c r="F80" s="31"/>
      <c r="G80" s="43" t="str">
        <f t="shared" si="7"/>
        <v/>
      </c>
      <c r="H80" s="30" t="s">
        <v>56</v>
      </c>
      <c r="I80" s="41"/>
      <c r="J80" s="33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0" s="33" t="str">
        <f t="shared" ca="1" si="8"/>
        <v>—</v>
      </c>
      <c r="L80" s="50"/>
    </row>
    <row r="81" spans="1:12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IF(A81="","",IFERROR(VLOOKUP(A81,DB_Customers!$A:$N,14,0),""))</f>
        <v/>
      </c>
      <c r="D81" s="42" t="str">
        <f t="shared" ca="1" si="6"/>
        <v/>
      </c>
      <c r="E81" s="32"/>
      <c r="F81" s="31"/>
      <c r="G81" s="43" t="str">
        <f t="shared" si="7"/>
        <v/>
      </c>
      <c r="H81" s="30" t="s">
        <v>56</v>
      </c>
      <c r="I81" s="41"/>
      <c r="J81" s="33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1" s="33" t="str">
        <f t="shared" ca="1" si="8"/>
        <v>—</v>
      </c>
      <c r="L81" s="22"/>
    </row>
    <row r="82" spans="1:12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IF(A82="","",IFERROR(VLOOKUP(A82,DB_Customers!$A:$N,14,0),""))</f>
        <v/>
      </c>
      <c r="D82" s="42" t="str">
        <f t="shared" ca="1" si="6"/>
        <v/>
      </c>
      <c r="E82" s="32"/>
      <c r="F82" s="31"/>
      <c r="G82" s="43" t="str">
        <f t="shared" si="7"/>
        <v/>
      </c>
      <c r="H82" s="30" t="s">
        <v>56</v>
      </c>
      <c r="I82" s="41"/>
      <c r="J82" s="33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2" s="33" t="str">
        <f t="shared" ca="1" si="8"/>
        <v>—</v>
      </c>
      <c r="L82" s="50"/>
    </row>
    <row r="83" spans="1:12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IF(A83="","",IFERROR(VLOOKUP(A83,DB_Customers!$A:$N,14,0),""))</f>
        <v/>
      </c>
      <c r="D83" s="42" t="str">
        <f t="shared" ca="1" si="6"/>
        <v/>
      </c>
      <c r="E83" s="32"/>
      <c r="F83" s="31"/>
      <c r="G83" s="43" t="str">
        <f t="shared" si="7"/>
        <v/>
      </c>
      <c r="H83" s="30" t="s">
        <v>56</v>
      </c>
      <c r="I83" s="41"/>
      <c r="J83" s="33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3" s="33" t="str">
        <f t="shared" ca="1" si="8"/>
        <v>—</v>
      </c>
      <c r="L83" s="22"/>
    </row>
    <row r="84" spans="1:12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IF(A84="","",IFERROR(VLOOKUP(A84,DB_Customers!$A:$N,14,0),""))</f>
        <v/>
      </c>
      <c r="D84" s="42" t="str">
        <f t="shared" ca="1" si="6"/>
        <v/>
      </c>
      <c r="E84" s="32"/>
      <c r="F84" s="31"/>
      <c r="G84" s="43" t="str">
        <f t="shared" si="7"/>
        <v/>
      </c>
      <c r="H84" s="30" t="s">
        <v>56</v>
      </c>
      <c r="I84" s="41"/>
      <c r="J84" s="33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4" s="33" t="str">
        <f t="shared" ca="1" si="8"/>
        <v>—</v>
      </c>
      <c r="L84" s="50"/>
    </row>
    <row r="85" spans="1:12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IF(A85="","",IFERROR(VLOOKUP(A85,DB_Customers!$A:$N,14,0),""))</f>
        <v/>
      </c>
      <c r="D85" s="42" t="str">
        <f t="shared" ca="1" si="6"/>
        <v/>
      </c>
      <c r="E85" s="32"/>
      <c r="F85" s="31"/>
      <c r="G85" s="43" t="str">
        <f t="shared" si="7"/>
        <v/>
      </c>
      <c r="H85" s="30" t="s">
        <v>56</v>
      </c>
      <c r="I85" s="41"/>
      <c r="J85" s="33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5" s="33" t="str">
        <f t="shared" ca="1" si="8"/>
        <v>—</v>
      </c>
      <c r="L85" s="22"/>
    </row>
    <row r="86" spans="1:12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IF(A86="","",IFERROR(VLOOKUP(A86,DB_Customers!$A:$N,14,0),""))</f>
        <v/>
      </c>
      <c r="D86" s="42" t="str">
        <f t="shared" ca="1" si="6"/>
        <v/>
      </c>
      <c r="E86" s="32"/>
      <c r="F86" s="31"/>
      <c r="G86" s="43" t="str">
        <f t="shared" si="7"/>
        <v/>
      </c>
      <c r="H86" s="30" t="s">
        <v>56</v>
      </c>
      <c r="I86" s="41"/>
      <c r="J86" s="33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6" s="33" t="str">
        <f t="shared" ca="1" si="8"/>
        <v>—</v>
      </c>
      <c r="L86" s="50"/>
    </row>
    <row r="87" spans="1:12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IF(A87="","",IFERROR(VLOOKUP(A87,DB_Customers!$A:$N,14,0),""))</f>
        <v/>
      </c>
      <c r="D87" s="42" t="str">
        <f t="shared" ca="1" si="6"/>
        <v/>
      </c>
      <c r="E87" s="32"/>
      <c r="F87" s="31"/>
      <c r="G87" s="43" t="str">
        <f t="shared" si="7"/>
        <v/>
      </c>
      <c r="H87" s="30" t="s">
        <v>56</v>
      </c>
      <c r="I87" s="41"/>
      <c r="J87" s="33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7" s="33" t="str">
        <f t="shared" ca="1" si="8"/>
        <v>—</v>
      </c>
      <c r="L87" s="22"/>
    </row>
    <row r="88" spans="1:12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IF(A88="","",IFERROR(VLOOKUP(A88,DB_Customers!$A:$N,14,0),""))</f>
        <v/>
      </c>
      <c r="D88" s="42" t="str">
        <f t="shared" ca="1" si="6"/>
        <v/>
      </c>
      <c r="E88" s="32"/>
      <c r="F88" s="31"/>
      <c r="G88" s="43" t="str">
        <f t="shared" si="7"/>
        <v/>
      </c>
      <c r="H88" s="30" t="s">
        <v>56</v>
      </c>
      <c r="I88" s="41"/>
      <c r="J88" s="33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88" s="33" t="str">
        <f t="shared" ca="1" si="8"/>
        <v>—</v>
      </c>
      <c r="L88" s="50"/>
    </row>
    <row r="89" spans="1:12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IF(A89="","",IFERROR(VLOOKUP(A89,DB_Customers!$A:$N,14,0),""))</f>
        <v/>
      </c>
      <c r="D89" s="42" t="str">
        <f t="shared" ca="1" si="6"/>
        <v/>
      </c>
      <c r="E89" s="32"/>
      <c r="F89" s="31"/>
      <c r="G89" s="43" t="str">
        <f t="shared" si="7"/>
        <v/>
      </c>
      <c r="H89" s="30" t="s">
        <v>56</v>
      </c>
      <c r="I89" s="41"/>
      <c r="J89" s="33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89" s="33" t="str">
        <f t="shared" ca="1" si="8"/>
        <v>—</v>
      </c>
      <c r="L89" s="22"/>
    </row>
    <row r="90" spans="1:12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IF(A90="","",IFERROR(VLOOKUP(A90,DB_Customers!$A:$N,14,0),""))</f>
        <v/>
      </c>
      <c r="D90" s="42" t="str">
        <f t="shared" ca="1" si="6"/>
        <v/>
      </c>
      <c r="E90" s="32"/>
      <c r="F90" s="31"/>
      <c r="G90" s="43" t="str">
        <f t="shared" si="7"/>
        <v/>
      </c>
      <c r="H90" s="30" t="s">
        <v>56</v>
      </c>
      <c r="I90" s="41"/>
      <c r="J90" s="33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0" s="33" t="str">
        <f t="shared" ca="1" si="8"/>
        <v>—</v>
      </c>
      <c r="L90" s="50"/>
    </row>
    <row r="91" spans="1:12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IF(A91="","",IFERROR(VLOOKUP(A91,DB_Customers!$A:$N,14,0),""))</f>
        <v/>
      </c>
      <c r="D91" s="42" t="str">
        <f t="shared" ca="1" si="6"/>
        <v/>
      </c>
      <c r="E91" s="32"/>
      <c r="F91" s="31"/>
      <c r="G91" s="43" t="str">
        <f t="shared" si="7"/>
        <v/>
      </c>
      <c r="H91" s="30" t="s">
        <v>56</v>
      </c>
      <c r="I91" s="41"/>
      <c r="J91" s="33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1" s="33" t="str">
        <f t="shared" ca="1" si="8"/>
        <v>—</v>
      </c>
      <c r="L91" s="22"/>
    </row>
    <row r="92" spans="1:12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IF(A92="","",IFERROR(VLOOKUP(A92,DB_Customers!$A:$N,14,0),""))</f>
        <v/>
      </c>
      <c r="D92" s="42" t="str">
        <f t="shared" ca="1" si="6"/>
        <v/>
      </c>
      <c r="E92" s="32"/>
      <c r="F92" s="31"/>
      <c r="G92" s="43" t="str">
        <f t="shared" si="7"/>
        <v/>
      </c>
      <c r="H92" s="30" t="s">
        <v>56</v>
      </c>
      <c r="I92" s="41"/>
      <c r="J92" s="33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2" s="33" t="str">
        <f t="shared" ca="1" si="8"/>
        <v>—</v>
      </c>
      <c r="L92" s="50"/>
    </row>
    <row r="93" spans="1:12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IF(A93="","",IFERROR(VLOOKUP(A93,DB_Customers!$A:$N,14,0),""))</f>
        <v/>
      </c>
      <c r="D93" s="42" t="str">
        <f t="shared" ca="1" si="6"/>
        <v/>
      </c>
      <c r="E93" s="32"/>
      <c r="F93" s="31"/>
      <c r="G93" s="43" t="str">
        <f t="shared" si="7"/>
        <v/>
      </c>
      <c r="H93" s="30" t="s">
        <v>56</v>
      </c>
      <c r="I93" s="41"/>
      <c r="J93" s="33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3" s="33" t="str">
        <f t="shared" ca="1" si="8"/>
        <v>—</v>
      </c>
      <c r="L93" s="22"/>
    </row>
    <row r="94" spans="1:12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IF(A94="","",IFERROR(VLOOKUP(A94,DB_Customers!$A:$N,14,0),""))</f>
        <v/>
      </c>
      <c r="D94" s="42" t="str">
        <f t="shared" ca="1" si="6"/>
        <v/>
      </c>
      <c r="E94" s="32"/>
      <c r="F94" s="31"/>
      <c r="G94" s="43" t="str">
        <f t="shared" si="7"/>
        <v/>
      </c>
      <c r="H94" s="30" t="s">
        <v>56</v>
      </c>
      <c r="I94" s="41"/>
      <c r="J94" s="33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4" s="33" t="str">
        <f t="shared" ca="1" si="8"/>
        <v>—</v>
      </c>
      <c r="L94" s="50"/>
    </row>
    <row r="95" spans="1:12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IF(A95="","",IFERROR(VLOOKUP(A95,DB_Customers!$A:$N,14,0),""))</f>
        <v/>
      </c>
      <c r="D95" s="42" t="str">
        <f t="shared" ca="1" si="6"/>
        <v/>
      </c>
      <c r="E95" s="32"/>
      <c r="F95" s="31"/>
      <c r="G95" s="43" t="str">
        <f t="shared" si="7"/>
        <v/>
      </c>
      <c r="H95" s="30" t="s">
        <v>56</v>
      </c>
      <c r="I95" s="41"/>
      <c r="J95" s="33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5" s="33" t="str">
        <f t="shared" ca="1" si="8"/>
        <v>—</v>
      </c>
      <c r="L95" s="22"/>
    </row>
    <row r="96" spans="1:12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IF(A96="","",IFERROR(VLOOKUP(A96,DB_Customers!$A:$N,14,0),""))</f>
        <v/>
      </c>
      <c r="D96" s="42" t="str">
        <f t="shared" ca="1" si="6"/>
        <v/>
      </c>
      <c r="E96" s="32"/>
      <c r="F96" s="31"/>
      <c r="G96" s="43" t="str">
        <f t="shared" si="7"/>
        <v/>
      </c>
      <c r="H96" s="30" t="s">
        <v>56</v>
      </c>
      <c r="I96" s="41"/>
      <c r="J96" s="33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6" s="33" t="str">
        <f t="shared" ca="1" si="8"/>
        <v>—</v>
      </c>
      <c r="L96" s="50"/>
    </row>
    <row r="97" spans="1:12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IF(A97="","",IFERROR(VLOOKUP(A97,DB_Customers!$A:$N,14,0),""))</f>
        <v/>
      </c>
      <c r="D97" s="42" t="str">
        <f t="shared" ca="1" si="6"/>
        <v/>
      </c>
      <c r="E97" s="32"/>
      <c r="F97" s="31"/>
      <c r="G97" s="43" t="str">
        <f t="shared" si="7"/>
        <v/>
      </c>
      <c r="H97" s="30" t="s">
        <v>56</v>
      </c>
      <c r="I97" s="41"/>
      <c r="J97" s="33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7" s="33" t="str">
        <f t="shared" ca="1" si="8"/>
        <v>—</v>
      </c>
      <c r="L97" s="22"/>
    </row>
    <row r="98" spans="1:12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IF(A98="","",IFERROR(VLOOKUP(A98,DB_Customers!$A:$N,14,0),""))</f>
        <v/>
      </c>
      <c r="D98" s="42" t="str">
        <f t="shared" ca="1" si="6"/>
        <v/>
      </c>
      <c r="E98" s="32"/>
      <c r="F98" s="31"/>
      <c r="G98" s="43" t="str">
        <f t="shared" si="7"/>
        <v/>
      </c>
      <c r="H98" s="30" t="s">
        <v>56</v>
      </c>
      <c r="I98" s="41"/>
      <c r="J98" s="33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98" s="33" t="str">
        <f t="shared" ca="1" si="8"/>
        <v>—</v>
      </c>
      <c r="L98" s="50"/>
    </row>
    <row r="99" spans="1:12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IF(A99="","",IFERROR(VLOOKUP(A99,DB_Customers!$A:$N,14,0),""))</f>
        <v/>
      </c>
      <c r="D99" s="42" t="str">
        <f t="shared" ca="1" si="6"/>
        <v/>
      </c>
      <c r="E99" s="32"/>
      <c r="F99" s="31"/>
      <c r="G99" s="43" t="str">
        <f t="shared" si="7"/>
        <v/>
      </c>
      <c r="H99" s="30" t="s">
        <v>56</v>
      </c>
      <c r="I99" s="41"/>
      <c r="J99" s="33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99" s="33" t="str">
        <f t="shared" ca="1" si="8"/>
        <v>—</v>
      </c>
      <c r="L99" s="22"/>
    </row>
    <row r="100" spans="1:12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IF(A100="","",IFERROR(VLOOKUP(A100,DB_Customers!$A:$N,14,0),""))</f>
        <v/>
      </c>
      <c r="D100" s="42" t="str">
        <f t="shared" ca="1" si="6"/>
        <v/>
      </c>
      <c r="E100" s="32"/>
      <c r="F100" s="31"/>
      <c r="G100" s="43" t="str">
        <f t="shared" si="7"/>
        <v/>
      </c>
      <c r="H100" s="30" t="s">
        <v>56</v>
      </c>
      <c r="I100" s="41"/>
      <c r="J100" s="33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0" s="33" t="str">
        <f t="shared" ca="1" si="8"/>
        <v>—</v>
      </c>
      <c r="L100" s="50"/>
    </row>
    <row r="101" spans="1:12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IF(A101="","",IFERROR(VLOOKUP(A101,DB_Customers!$A:$N,14,0),""))</f>
        <v/>
      </c>
      <c r="D101" s="42" t="str">
        <f t="shared" ca="1" si="6"/>
        <v/>
      </c>
      <c r="E101" s="32"/>
      <c r="F101" s="31"/>
      <c r="G101" s="43" t="str">
        <f t="shared" si="7"/>
        <v/>
      </c>
      <c r="H101" s="30" t="s">
        <v>56</v>
      </c>
      <c r="I101" s="41"/>
      <c r="J101" s="33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1" s="33" t="str">
        <f t="shared" ca="1" si="8"/>
        <v>—</v>
      </c>
      <c r="L101" s="22"/>
    </row>
    <row r="102" spans="1:12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IF(A102="","",IFERROR(VLOOKUP(A102,DB_Customers!$A:$N,14,0),""))</f>
        <v/>
      </c>
      <c r="D102" s="42" t="str">
        <f t="shared" ca="1" si="6"/>
        <v/>
      </c>
      <c r="E102" s="32"/>
      <c r="F102" s="31"/>
      <c r="G102" s="43" t="str">
        <f t="shared" si="7"/>
        <v/>
      </c>
      <c r="H102" s="30" t="s">
        <v>56</v>
      </c>
      <c r="I102" s="41"/>
      <c r="J102" s="33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2" s="33" t="str">
        <f t="shared" ca="1" si="8"/>
        <v>—</v>
      </c>
      <c r="L102" s="50"/>
    </row>
    <row r="103" spans="1:12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IF(A103="","",IFERROR(VLOOKUP(A103,DB_Customers!$A:$N,14,0),""))</f>
        <v/>
      </c>
      <c r="D103" s="42" t="str">
        <f t="shared" ca="1" si="6"/>
        <v/>
      </c>
      <c r="E103" s="32"/>
      <c r="F103" s="31"/>
      <c r="G103" s="43" t="str">
        <f t="shared" si="7"/>
        <v/>
      </c>
      <c r="H103" s="30" t="s">
        <v>56</v>
      </c>
      <c r="I103" s="41"/>
      <c r="J103" s="33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3" s="33" t="str">
        <f t="shared" ca="1" si="8"/>
        <v>—</v>
      </c>
      <c r="L103" s="22"/>
    </row>
    <row r="104" spans="1:12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IF(A104="","",IFERROR(VLOOKUP(A104,DB_Customers!$A:$N,14,0),""))</f>
        <v/>
      </c>
      <c r="D104" s="42" t="str">
        <f t="shared" ca="1" si="6"/>
        <v/>
      </c>
      <c r="E104" s="32"/>
      <c r="F104" s="31"/>
      <c r="G104" s="43" t="str">
        <f t="shared" si="7"/>
        <v/>
      </c>
      <c r="H104" s="30" t="s">
        <v>56</v>
      </c>
      <c r="I104" s="41"/>
      <c r="J104" s="33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4" s="33" t="str">
        <f t="shared" ca="1" si="8"/>
        <v>—</v>
      </c>
      <c r="L104" s="50"/>
    </row>
    <row r="105" spans="1:12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IF(A105="","",IFERROR(VLOOKUP(A105,DB_Customers!$A:$N,14,0),""))</f>
        <v/>
      </c>
      <c r="D105" s="42" t="str">
        <f t="shared" ref="D105:D136" ca="1" si="9">IF(A105="","",TODAY())</f>
        <v/>
      </c>
      <c r="E105" s="32"/>
      <c r="F105" s="31"/>
      <c r="G105" s="43" t="str">
        <f t="shared" ref="G105:G136" si="10">IFERROR(IF(OR(A105="",E105=""),"",C105-E105),"")</f>
        <v/>
      </c>
      <c r="H105" s="30" t="s">
        <v>56</v>
      </c>
      <c r="I105" s="41"/>
      <c r="J105" s="33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5" s="33" t="str">
        <f t="shared" ref="K105:K136" ca="1" si="11">IF(J105="✅ Successful",TEXT(TODAY(),"YYYY-MM-DD")&amp;" Auto","—")</f>
        <v>—</v>
      </c>
      <c r="L105" s="22"/>
    </row>
    <row r="106" spans="1:12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IF(A106="","",IFERROR(VLOOKUP(A106,DB_Customers!$A:$N,14,0),""))</f>
        <v/>
      </c>
      <c r="D106" s="42" t="str">
        <f t="shared" ca="1" si="9"/>
        <v/>
      </c>
      <c r="E106" s="32"/>
      <c r="F106" s="31"/>
      <c r="G106" s="43" t="str">
        <f t="shared" si="10"/>
        <v/>
      </c>
      <c r="H106" s="30" t="s">
        <v>56</v>
      </c>
      <c r="I106" s="41"/>
      <c r="J106" s="33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6" s="33" t="str">
        <f t="shared" ca="1" si="11"/>
        <v>—</v>
      </c>
      <c r="L106" s="50"/>
    </row>
    <row r="107" spans="1:12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IF(A107="","",IFERROR(VLOOKUP(A107,DB_Customers!$A:$N,14,0),""))</f>
        <v/>
      </c>
      <c r="D107" s="42" t="str">
        <f t="shared" ca="1" si="9"/>
        <v/>
      </c>
      <c r="E107" s="32"/>
      <c r="F107" s="31"/>
      <c r="G107" s="43" t="str">
        <f t="shared" si="10"/>
        <v/>
      </c>
      <c r="H107" s="30" t="s">
        <v>56</v>
      </c>
      <c r="I107" s="41"/>
      <c r="J107" s="33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7" s="33" t="str">
        <f t="shared" ca="1" si="11"/>
        <v>—</v>
      </c>
      <c r="L107" s="22"/>
    </row>
    <row r="108" spans="1:12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IF(A108="","",IFERROR(VLOOKUP(A108,DB_Customers!$A:$N,14,0),""))</f>
        <v/>
      </c>
      <c r="D108" s="42" t="str">
        <f t="shared" ca="1" si="9"/>
        <v/>
      </c>
      <c r="E108" s="32"/>
      <c r="F108" s="31"/>
      <c r="G108" s="43" t="str">
        <f t="shared" si="10"/>
        <v/>
      </c>
      <c r="H108" s="30" t="s">
        <v>56</v>
      </c>
      <c r="I108" s="41"/>
      <c r="J108" s="33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08" s="33" t="str">
        <f t="shared" ca="1" si="11"/>
        <v>—</v>
      </c>
      <c r="L108" s="50"/>
    </row>
    <row r="109" spans="1:12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IF(A109="","",IFERROR(VLOOKUP(A109,DB_Customers!$A:$N,14,0),""))</f>
        <v/>
      </c>
      <c r="D109" s="42" t="str">
        <f t="shared" ca="1" si="9"/>
        <v/>
      </c>
      <c r="E109" s="32"/>
      <c r="F109" s="31"/>
      <c r="G109" s="43" t="str">
        <f t="shared" si="10"/>
        <v/>
      </c>
      <c r="H109" s="30" t="s">
        <v>56</v>
      </c>
      <c r="I109" s="41"/>
      <c r="J109" s="33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09" s="33" t="str">
        <f t="shared" ca="1" si="11"/>
        <v>—</v>
      </c>
      <c r="L109" s="22"/>
    </row>
    <row r="110" spans="1:12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IF(A110="","",IFERROR(VLOOKUP(A110,DB_Customers!$A:$N,14,0),""))</f>
        <v/>
      </c>
      <c r="D110" s="42" t="str">
        <f t="shared" ca="1" si="9"/>
        <v/>
      </c>
      <c r="E110" s="32"/>
      <c r="F110" s="31"/>
      <c r="G110" s="43" t="str">
        <f t="shared" si="10"/>
        <v/>
      </c>
      <c r="H110" s="30" t="s">
        <v>56</v>
      </c>
      <c r="I110" s="41"/>
      <c r="J110" s="33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0" s="33" t="str">
        <f t="shared" ca="1" si="11"/>
        <v>—</v>
      </c>
      <c r="L110" s="50"/>
    </row>
    <row r="111" spans="1:12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IF(A111="","",IFERROR(VLOOKUP(A111,DB_Customers!$A:$N,14,0),""))</f>
        <v/>
      </c>
      <c r="D111" s="42" t="str">
        <f t="shared" ca="1" si="9"/>
        <v/>
      </c>
      <c r="E111" s="32"/>
      <c r="F111" s="31"/>
      <c r="G111" s="43" t="str">
        <f t="shared" si="10"/>
        <v/>
      </c>
      <c r="H111" s="30" t="s">
        <v>56</v>
      </c>
      <c r="I111" s="41"/>
      <c r="J111" s="33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1" s="33" t="str">
        <f t="shared" ca="1" si="11"/>
        <v>—</v>
      </c>
      <c r="L111" s="22"/>
    </row>
    <row r="112" spans="1:12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IF(A112="","",IFERROR(VLOOKUP(A112,DB_Customers!$A:$N,14,0),""))</f>
        <v/>
      </c>
      <c r="D112" s="42" t="str">
        <f t="shared" ca="1" si="9"/>
        <v/>
      </c>
      <c r="E112" s="32"/>
      <c r="F112" s="31"/>
      <c r="G112" s="43" t="str">
        <f t="shared" si="10"/>
        <v/>
      </c>
      <c r="H112" s="30" t="s">
        <v>56</v>
      </c>
      <c r="I112" s="41"/>
      <c r="J112" s="33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2" s="33" t="str">
        <f t="shared" ca="1" si="11"/>
        <v>—</v>
      </c>
      <c r="L112" s="50"/>
    </row>
    <row r="113" spans="1:12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IF(A113="","",IFERROR(VLOOKUP(A113,DB_Customers!$A:$N,14,0),""))</f>
        <v/>
      </c>
      <c r="D113" s="42" t="str">
        <f t="shared" ca="1" si="9"/>
        <v/>
      </c>
      <c r="E113" s="32"/>
      <c r="F113" s="31"/>
      <c r="G113" s="43" t="str">
        <f t="shared" si="10"/>
        <v/>
      </c>
      <c r="H113" s="30" t="s">
        <v>56</v>
      </c>
      <c r="I113" s="41"/>
      <c r="J113" s="33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3" s="33" t="str">
        <f t="shared" ca="1" si="11"/>
        <v>—</v>
      </c>
      <c r="L113" s="22"/>
    </row>
    <row r="114" spans="1:12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IF(A114="","",IFERROR(VLOOKUP(A114,DB_Customers!$A:$N,14,0),""))</f>
        <v/>
      </c>
      <c r="D114" s="42" t="str">
        <f t="shared" ca="1" si="9"/>
        <v/>
      </c>
      <c r="E114" s="32"/>
      <c r="F114" s="31"/>
      <c r="G114" s="43" t="str">
        <f t="shared" si="10"/>
        <v/>
      </c>
      <c r="H114" s="30" t="s">
        <v>56</v>
      </c>
      <c r="I114" s="41"/>
      <c r="J114" s="33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4" s="33" t="str">
        <f t="shared" ca="1" si="11"/>
        <v>—</v>
      </c>
      <c r="L114" s="50"/>
    </row>
    <row r="115" spans="1:12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IF(A115="","",IFERROR(VLOOKUP(A115,DB_Customers!$A:$N,14,0),""))</f>
        <v/>
      </c>
      <c r="D115" s="42" t="str">
        <f t="shared" ca="1" si="9"/>
        <v/>
      </c>
      <c r="E115" s="32"/>
      <c r="F115" s="31"/>
      <c r="G115" s="43" t="str">
        <f t="shared" si="10"/>
        <v/>
      </c>
      <c r="H115" s="30" t="s">
        <v>56</v>
      </c>
      <c r="I115" s="41"/>
      <c r="J115" s="33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5" s="33" t="str">
        <f t="shared" ca="1" si="11"/>
        <v>—</v>
      </c>
      <c r="L115" s="22"/>
    </row>
    <row r="116" spans="1:12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IF(A116="","",IFERROR(VLOOKUP(A116,DB_Customers!$A:$N,14,0),""))</f>
        <v/>
      </c>
      <c r="D116" s="42" t="str">
        <f t="shared" ca="1" si="9"/>
        <v/>
      </c>
      <c r="E116" s="32"/>
      <c r="F116" s="31"/>
      <c r="G116" s="43" t="str">
        <f t="shared" si="10"/>
        <v/>
      </c>
      <c r="H116" s="30" t="s">
        <v>56</v>
      </c>
      <c r="I116" s="41"/>
      <c r="J116" s="33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6" s="33" t="str">
        <f t="shared" ca="1" si="11"/>
        <v>—</v>
      </c>
      <c r="L116" s="50"/>
    </row>
    <row r="117" spans="1:12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IF(A117="","",IFERROR(VLOOKUP(A117,DB_Customers!$A:$N,14,0),""))</f>
        <v/>
      </c>
      <c r="D117" s="42" t="str">
        <f t="shared" ca="1" si="9"/>
        <v/>
      </c>
      <c r="E117" s="32"/>
      <c r="F117" s="31"/>
      <c r="G117" s="43" t="str">
        <f t="shared" si="10"/>
        <v/>
      </c>
      <c r="H117" s="30" t="s">
        <v>56</v>
      </c>
      <c r="I117" s="41"/>
      <c r="J117" s="33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7" s="33" t="str">
        <f t="shared" ca="1" si="11"/>
        <v>—</v>
      </c>
      <c r="L117" s="22"/>
    </row>
    <row r="118" spans="1:12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IF(A118="","",IFERROR(VLOOKUP(A118,DB_Customers!$A:$N,14,0),""))</f>
        <v/>
      </c>
      <c r="D118" s="42" t="str">
        <f t="shared" ca="1" si="9"/>
        <v/>
      </c>
      <c r="E118" s="32"/>
      <c r="F118" s="31"/>
      <c r="G118" s="43" t="str">
        <f t="shared" si="10"/>
        <v/>
      </c>
      <c r="H118" s="30" t="s">
        <v>56</v>
      </c>
      <c r="I118" s="41"/>
      <c r="J118" s="33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18" s="33" t="str">
        <f t="shared" ca="1" si="11"/>
        <v>—</v>
      </c>
      <c r="L118" s="50"/>
    </row>
    <row r="119" spans="1:12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IF(A119="","",IFERROR(VLOOKUP(A119,DB_Customers!$A:$N,14,0),""))</f>
        <v/>
      </c>
      <c r="D119" s="42" t="str">
        <f t="shared" ca="1" si="9"/>
        <v/>
      </c>
      <c r="E119" s="32"/>
      <c r="F119" s="31"/>
      <c r="G119" s="43" t="str">
        <f t="shared" si="10"/>
        <v/>
      </c>
      <c r="H119" s="30" t="s">
        <v>56</v>
      </c>
      <c r="I119" s="41"/>
      <c r="J119" s="33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19" s="33" t="str">
        <f t="shared" ca="1" si="11"/>
        <v>—</v>
      </c>
      <c r="L119" s="22"/>
    </row>
    <row r="120" spans="1:12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IF(A120="","",IFERROR(VLOOKUP(A120,DB_Customers!$A:$N,14,0),""))</f>
        <v/>
      </c>
      <c r="D120" s="42" t="str">
        <f t="shared" ca="1" si="9"/>
        <v/>
      </c>
      <c r="E120" s="32"/>
      <c r="F120" s="31"/>
      <c r="G120" s="43" t="str">
        <f t="shared" si="10"/>
        <v/>
      </c>
      <c r="H120" s="30" t="s">
        <v>56</v>
      </c>
      <c r="I120" s="41"/>
      <c r="J120" s="33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0" s="33" t="str">
        <f t="shared" ca="1" si="11"/>
        <v>—</v>
      </c>
      <c r="L120" s="50"/>
    </row>
    <row r="121" spans="1:12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IF(A121="","",IFERROR(VLOOKUP(A121,DB_Customers!$A:$N,14,0),""))</f>
        <v/>
      </c>
      <c r="D121" s="42" t="str">
        <f t="shared" ca="1" si="9"/>
        <v/>
      </c>
      <c r="E121" s="32"/>
      <c r="F121" s="31"/>
      <c r="G121" s="43" t="str">
        <f t="shared" si="10"/>
        <v/>
      </c>
      <c r="H121" s="30" t="s">
        <v>56</v>
      </c>
      <c r="I121" s="41"/>
      <c r="J121" s="33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1" s="33" t="str">
        <f t="shared" ca="1" si="11"/>
        <v>—</v>
      </c>
      <c r="L121" s="22"/>
    </row>
    <row r="122" spans="1:12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IF(A122="","",IFERROR(VLOOKUP(A122,DB_Customers!$A:$N,14,0),""))</f>
        <v/>
      </c>
      <c r="D122" s="42" t="str">
        <f t="shared" ca="1" si="9"/>
        <v/>
      </c>
      <c r="E122" s="32"/>
      <c r="F122" s="31"/>
      <c r="G122" s="43" t="str">
        <f t="shared" si="10"/>
        <v/>
      </c>
      <c r="H122" s="30" t="s">
        <v>56</v>
      </c>
      <c r="I122" s="41"/>
      <c r="J122" s="33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2" s="33" t="str">
        <f t="shared" ca="1" si="11"/>
        <v>—</v>
      </c>
      <c r="L122" s="50"/>
    </row>
    <row r="123" spans="1:12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IF(A123="","",IFERROR(VLOOKUP(A123,DB_Customers!$A:$N,14,0),""))</f>
        <v/>
      </c>
      <c r="D123" s="42" t="str">
        <f t="shared" ca="1" si="9"/>
        <v/>
      </c>
      <c r="E123" s="32"/>
      <c r="F123" s="31"/>
      <c r="G123" s="43" t="str">
        <f t="shared" si="10"/>
        <v/>
      </c>
      <c r="H123" s="30" t="s">
        <v>56</v>
      </c>
      <c r="I123" s="41"/>
      <c r="J123" s="33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3" s="33" t="str">
        <f t="shared" ca="1" si="11"/>
        <v>—</v>
      </c>
      <c r="L123" s="22"/>
    </row>
    <row r="124" spans="1:12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IF(A124="","",IFERROR(VLOOKUP(A124,DB_Customers!$A:$N,14,0),""))</f>
        <v/>
      </c>
      <c r="D124" s="42" t="str">
        <f t="shared" ca="1" si="9"/>
        <v/>
      </c>
      <c r="E124" s="32"/>
      <c r="F124" s="31"/>
      <c r="G124" s="43" t="str">
        <f t="shared" si="10"/>
        <v/>
      </c>
      <c r="H124" s="30" t="s">
        <v>56</v>
      </c>
      <c r="I124" s="41"/>
      <c r="J124" s="33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4" s="33" t="str">
        <f t="shared" ca="1" si="11"/>
        <v>—</v>
      </c>
      <c r="L124" s="50"/>
    </row>
    <row r="125" spans="1:12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IF(A125="","",IFERROR(VLOOKUP(A125,DB_Customers!$A:$N,14,0),""))</f>
        <v/>
      </c>
      <c r="D125" s="42" t="str">
        <f t="shared" ca="1" si="9"/>
        <v/>
      </c>
      <c r="E125" s="32"/>
      <c r="F125" s="31"/>
      <c r="G125" s="43" t="str">
        <f t="shared" si="10"/>
        <v/>
      </c>
      <c r="H125" s="30" t="s">
        <v>56</v>
      </c>
      <c r="I125" s="41"/>
      <c r="J125" s="33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5" s="33" t="str">
        <f t="shared" ca="1" si="11"/>
        <v>—</v>
      </c>
      <c r="L125" s="22"/>
    </row>
    <row r="126" spans="1:12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IF(A126="","",IFERROR(VLOOKUP(A126,DB_Customers!$A:$N,14,0),""))</f>
        <v/>
      </c>
      <c r="D126" s="42" t="str">
        <f t="shared" ca="1" si="9"/>
        <v/>
      </c>
      <c r="E126" s="32"/>
      <c r="F126" s="31"/>
      <c r="G126" s="43" t="str">
        <f t="shared" si="10"/>
        <v/>
      </c>
      <c r="H126" s="30" t="s">
        <v>56</v>
      </c>
      <c r="I126" s="41"/>
      <c r="J126" s="33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6" s="33" t="str">
        <f t="shared" ca="1" si="11"/>
        <v>—</v>
      </c>
      <c r="L126" s="50"/>
    </row>
    <row r="127" spans="1:12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IF(A127="","",IFERROR(VLOOKUP(A127,DB_Customers!$A:$N,14,0),""))</f>
        <v/>
      </c>
      <c r="D127" s="42" t="str">
        <f t="shared" ca="1" si="9"/>
        <v/>
      </c>
      <c r="E127" s="32"/>
      <c r="F127" s="31"/>
      <c r="G127" s="43" t="str">
        <f t="shared" si="10"/>
        <v/>
      </c>
      <c r="H127" s="30" t="s">
        <v>56</v>
      </c>
      <c r="I127" s="41"/>
      <c r="J127" s="33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7" s="33" t="str">
        <f t="shared" ca="1" si="11"/>
        <v>—</v>
      </c>
      <c r="L127" s="22"/>
    </row>
    <row r="128" spans="1:12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IF(A128="","",IFERROR(VLOOKUP(A128,DB_Customers!$A:$N,14,0),""))</f>
        <v/>
      </c>
      <c r="D128" s="42" t="str">
        <f t="shared" ca="1" si="9"/>
        <v/>
      </c>
      <c r="E128" s="32"/>
      <c r="F128" s="31"/>
      <c r="G128" s="43" t="str">
        <f t="shared" si="10"/>
        <v/>
      </c>
      <c r="H128" s="30" t="s">
        <v>56</v>
      </c>
      <c r="I128" s="41"/>
      <c r="J128" s="33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28" s="33" t="str">
        <f t="shared" ca="1" si="11"/>
        <v>—</v>
      </c>
      <c r="L128" s="50"/>
    </row>
    <row r="129" spans="1:12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IF(A129="","",IFERROR(VLOOKUP(A129,DB_Customers!$A:$N,14,0),""))</f>
        <v/>
      </c>
      <c r="D129" s="42" t="str">
        <f t="shared" ca="1" si="9"/>
        <v/>
      </c>
      <c r="E129" s="32"/>
      <c r="F129" s="31"/>
      <c r="G129" s="43" t="str">
        <f t="shared" si="10"/>
        <v/>
      </c>
      <c r="H129" s="30" t="s">
        <v>56</v>
      </c>
      <c r="I129" s="41"/>
      <c r="J129" s="33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29" s="33" t="str">
        <f t="shared" ca="1" si="11"/>
        <v>—</v>
      </c>
      <c r="L129" s="22"/>
    </row>
    <row r="130" spans="1:12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IF(A130="","",IFERROR(VLOOKUP(A130,DB_Customers!$A:$N,14,0),""))</f>
        <v/>
      </c>
      <c r="D130" s="42" t="str">
        <f t="shared" ca="1" si="9"/>
        <v/>
      </c>
      <c r="E130" s="32"/>
      <c r="F130" s="31"/>
      <c r="G130" s="43" t="str">
        <f t="shared" si="10"/>
        <v/>
      </c>
      <c r="H130" s="30" t="s">
        <v>56</v>
      </c>
      <c r="I130" s="41"/>
      <c r="J130" s="33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0" s="33" t="str">
        <f t="shared" ca="1" si="11"/>
        <v>—</v>
      </c>
      <c r="L130" s="50"/>
    </row>
    <row r="131" spans="1:12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IF(A131="","",IFERROR(VLOOKUP(A131,DB_Customers!$A:$N,14,0),""))</f>
        <v/>
      </c>
      <c r="D131" s="42" t="str">
        <f t="shared" ca="1" si="9"/>
        <v/>
      </c>
      <c r="E131" s="32"/>
      <c r="F131" s="31"/>
      <c r="G131" s="43" t="str">
        <f t="shared" si="10"/>
        <v/>
      </c>
      <c r="H131" s="30" t="s">
        <v>56</v>
      </c>
      <c r="I131" s="41"/>
      <c r="J131" s="33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1" s="33" t="str">
        <f t="shared" ca="1" si="11"/>
        <v>—</v>
      </c>
      <c r="L131" s="22"/>
    </row>
    <row r="132" spans="1:12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IF(A132="","",IFERROR(VLOOKUP(A132,DB_Customers!$A:$N,14,0),""))</f>
        <v/>
      </c>
      <c r="D132" s="42" t="str">
        <f t="shared" ca="1" si="9"/>
        <v/>
      </c>
      <c r="E132" s="32"/>
      <c r="F132" s="31"/>
      <c r="G132" s="43" t="str">
        <f t="shared" si="10"/>
        <v/>
      </c>
      <c r="H132" s="30" t="s">
        <v>56</v>
      </c>
      <c r="I132" s="41"/>
      <c r="J132" s="33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2" s="33" t="str">
        <f t="shared" ca="1" si="11"/>
        <v>—</v>
      </c>
      <c r="L132" s="50"/>
    </row>
    <row r="133" spans="1:12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IF(A133="","",IFERROR(VLOOKUP(A133,DB_Customers!$A:$N,14,0),""))</f>
        <v/>
      </c>
      <c r="D133" s="42" t="str">
        <f t="shared" ca="1" si="9"/>
        <v/>
      </c>
      <c r="E133" s="32"/>
      <c r="F133" s="31"/>
      <c r="G133" s="43" t="str">
        <f t="shared" si="10"/>
        <v/>
      </c>
      <c r="H133" s="30" t="s">
        <v>56</v>
      </c>
      <c r="I133" s="41"/>
      <c r="J133" s="33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3" s="33" t="str">
        <f t="shared" ca="1" si="11"/>
        <v>—</v>
      </c>
      <c r="L133" s="22"/>
    </row>
    <row r="134" spans="1:12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IF(A134="","",IFERROR(VLOOKUP(A134,DB_Customers!$A:$N,14,0),""))</f>
        <v/>
      </c>
      <c r="D134" s="42" t="str">
        <f t="shared" ca="1" si="9"/>
        <v/>
      </c>
      <c r="E134" s="32"/>
      <c r="F134" s="31"/>
      <c r="G134" s="43" t="str">
        <f t="shared" si="10"/>
        <v/>
      </c>
      <c r="H134" s="30" t="s">
        <v>56</v>
      </c>
      <c r="I134" s="41"/>
      <c r="J134" s="33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4" s="33" t="str">
        <f t="shared" ca="1" si="11"/>
        <v>—</v>
      </c>
      <c r="L134" s="50"/>
    </row>
    <row r="135" spans="1:12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IF(A135="","",IFERROR(VLOOKUP(A135,DB_Customers!$A:$N,14,0),""))</f>
        <v/>
      </c>
      <c r="D135" s="42" t="str">
        <f t="shared" ca="1" si="9"/>
        <v/>
      </c>
      <c r="E135" s="32"/>
      <c r="F135" s="31"/>
      <c r="G135" s="43" t="str">
        <f t="shared" si="10"/>
        <v/>
      </c>
      <c r="H135" s="30" t="s">
        <v>56</v>
      </c>
      <c r="I135" s="41"/>
      <c r="J135" s="33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5" s="33" t="str">
        <f t="shared" ca="1" si="11"/>
        <v>—</v>
      </c>
      <c r="L135" s="22"/>
    </row>
    <row r="136" spans="1:12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IF(A136="","",IFERROR(VLOOKUP(A136,DB_Customers!$A:$N,14,0),""))</f>
        <v/>
      </c>
      <c r="D136" s="42" t="str">
        <f t="shared" ca="1" si="9"/>
        <v/>
      </c>
      <c r="E136" s="32"/>
      <c r="F136" s="31"/>
      <c r="G136" s="43" t="str">
        <f t="shared" si="10"/>
        <v/>
      </c>
      <c r="H136" s="30" t="s">
        <v>56</v>
      </c>
      <c r="I136" s="41"/>
      <c r="J136" s="33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6" s="33" t="str">
        <f t="shared" ca="1" si="11"/>
        <v>—</v>
      </c>
      <c r="L136" s="50"/>
    </row>
    <row r="137" spans="1:12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IF(A137="","",IFERROR(VLOOKUP(A137,DB_Customers!$A:$N,14,0),""))</f>
        <v/>
      </c>
      <c r="D137" s="42" t="str">
        <f t="shared" ref="D137:D168" ca="1" si="12">IF(A137="","",TODAY())</f>
        <v/>
      </c>
      <c r="E137" s="32"/>
      <c r="F137" s="31"/>
      <c r="G137" s="43" t="str">
        <f t="shared" ref="G137:G168" si="13">IFERROR(IF(OR(A137="",E137=""),"",C137-E137),"")</f>
        <v/>
      </c>
      <c r="H137" s="30" t="s">
        <v>56</v>
      </c>
      <c r="I137" s="41"/>
      <c r="J137" s="33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7" s="33" t="str">
        <f t="shared" ref="K137:K168" ca="1" si="14">IF(J137="✅ Successful",TEXT(TODAY(),"YYYY-MM-DD")&amp;" Auto","—")</f>
        <v>—</v>
      </c>
      <c r="L137" s="22"/>
    </row>
    <row r="138" spans="1:12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IF(A138="","",IFERROR(VLOOKUP(A138,DB_Customers!$A:$N,14,0),""))</f>
        <v/>
      </c>
      <c r="D138" s="42" t="str">
        <f t="shared" ca="1" si="12"/>
        <v/>
      </c>
      <c r="E138" s="32"/>
      <c r="F138" s="31"/>
      <c r="G138" s="43" t="str">
        <f t="shared" si="13"/>
        <v/>
      </c>
      <c r="H138" s="30" t="s">
        <v>56</v>
      </c>
      <c r="I138" s="41"/>
      <c r="J138" s="33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38" s="33" t="str">
        <f t="shared" ca="1" si="14"/>
        <v>—</v>
      </c>
      <c r="L138" s="50"/>
    </row>
    <row r="139" spans="1:12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IF(A139="","",IFERROR(VLOOKUP(A139,DB_Customers!$A:$N,14,0),""))</f>
        <v/>
      </c>
      <c r="D139" s="42" t="str">
        <f t="shared" ca="1" si="12"/>
        <v/>
      </c>
      <c r="E139" s="32"/>
      <c r="F139" s="31"/>
      <c r="G139" s="43" t="str">
        <f t="shared" si="13"/>
        <v/>
      </c>
      <c r="H139" s="30" t="s">
        <v>56</v>
      </c>
      <c r="I139" s="41"/>
      <c r="J139" s="33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39" s="33" t="str">
        <f t="shared" ca="1" si="14"/>
        <v>—</v>
      </c>
      <c r="L139" s="22"/>
    </row>
    <row r="140" spans="1:12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IF(A140="","",IFERROR(VLOOKUP(A140,DB_Customers!$A:$N,14,0),""))</f>
        <v/>
      </c>
      <c r="D140" s="42" t="str">
        <f t="shared" ca="1" si="12"/>
        <v/>
      </c>
      <c r="E140" s="32"/>
      <c r="F140" s="31"/>
      <c r="G140" s="43" t="str">
        <f t="shared" si="13"/>
        <v/>
      </c>
      <c r="H140" s="30" t="s">
        <v>56</v>
      </c>
      <c r="I140" s="41"/>
      <c r="J140" s="33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0" s="33" t="str">
        <f t="shared" ca="1" si="14"/>
        <v>—</v>
      </c>
      <c r="L140" s="50"/>
    </row>
    <row r="141" spans="1:12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IF(A141="","",IFERROR(VLOOKUP(A141,DB_Customers!$A:$N,14,0),""))</f>
        <v/>
      </c>
      <c r="D141" s="42" t="str">
        <f t="shared" ca="1" si="12"/>
        <v/>
      </c>
      <c r="E141" s="32"/>
      <c r="F141" s="31"/>
      <c r="G141" s="43" t="str">
        <f t="shared" si="13"/>
        <v/>
      </c>
      <c r="H141" s="30" t="s">
        <v>56</v>
      </c>
      <c r="I141" s="41"/>
      <c r="J141" s="33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1" s="33" t="str">
        <f t="shared" ca="1" si="14"/>
        <v>—</v>
      </c>
      <c r="L141" s="22"/>
    </row>
    <row r="142" spans="1:12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IF(A142="","",IFERROR(VLOOKUP(A142,DB_Customers!$A:$N,14,0),""))</f>
        <v/>
      </c>
      <c r="D142" s="42" t="str">
        <f t="shared" ca="1" si="12"/>
        <v/>
      </c>
      <c r="E142" s="32"/>
      <c r="F142" s="31"/>
      <c r="G142" s="43" t="str">
        <f t="shared" si="13"/>
        <v/>
      </c>
      <c r="H142" s="30" t="s">
        <v>56</v>
      </c>
      <c r="I142" s="41"/>
      <c r="J142" s="33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2" s="33" t="str">
        <f t="shared" ca="1" si="14"/>
        <v>—</v>
      </c>
      <c r="L142" s="50"/>
    </row>
    <row r="143" spans="1:12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IF(A143="","",IFERROR(VLOOKUP(A143,DB_Customers!$A:$N,14,0),""))</f>
        <v/>
      </c>
      <c r="D143" s="42" t="str">
        <f t="shared" ca="1" si="12"/>
        <v/>
      </c>
      <c r="E143" s="32"/>
      <c r="F143" s="31"/>
      <c r="G143" s="43" t="str">
        <f t="shared" si="13"/>
        <v/>
      </c>
      <c r="H143" s="30" t="s">
        <v>56</v>
      </c>
      <c r="I143" s="41"/>
      <c r="J143" s="33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3" s="33" t="str">
        <f t="shared" ca="1" si="14"/>
        <v>—</v>
      </c>
      <c r="L143" s="22"/>
    </row>
    <row r="144" spans="1:12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IF(A144="","",IFERROR(VLOOKUP(A144,DB_Customers!$A:$N,14,0),""))</f>
        <v/>
      </c>
      <c r="D144" s="42" t="str">
        <f t="shared" ca="1" si="12"/>
        <v/>
      </c>
      <c r="E144" s="32"/>
      <c r="F144" s="31"/>
      <c r="G144" s="43" t="str">
        <f t="shared" si="13"/>
        <v/>
      </c>
      <c r="H144" s="30" t="s">
        <v>56</v>
      </c>
      <c r="I144" s="41"/>
      <c r="J144" s="33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4" s="33" t="str">
        <f t="shared" ca="1" si="14"/>
        <v>—</v>
      </c>
      <c r="L144" s="50"/>
    </row>
    <row r="145" spans="1:12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IF(A145="","",IFERROR(VLOOKUP(A145,DB_Customers!$A:$N,14,0),""))</f>
        <v/>
      </c>
      <c r="D145" s="42" t="str">
        <f t="shared" ca="1" si="12"/>
        <v/>
      </c>
      <c r="E145" s="32"/>
      <c r="F145" s="31"/>
      <c r="G145" s="43" t="str">
        <f t="shared" si="13"/>
        <v/>
      </c>
      <c r="H145" s="30" t="s">
        <v>56</v>
      </c>
      <c r="I145" s="41"/>
      <c r="J145" s="33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5" s="33" t="str">
        <f t="shared" ca="1" si="14"/>
        <v>—</v>
      </c>
      <c r="L145" s="22"/>
    </row>
    <row r="146" spans="1:12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IF(A146="","",IFERROR(VLOOKUP(A146,DB_Customers!$A:$N,14,0),""))</f>
        <v/>
      </c>
      <c r="D146" s="42" t="str">
        <f t="shared" ca="1" si="12"/>
        <v/>
      </c>
      <c r="E146" s="32"/>
      <c r="F146" s="31"/>
      <c r="G146" s="43" t="str">
        <f t="shared" si="13"/>
        <v/>
      </c>
      <c r="H146" s="30" t="s">
        <v>56</v>
      </c>
      <c r="I146" s="41"/>
      <c r="J146" s="33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6" s="33" t="str">
        <f t="shared" ca="1" si="14"/>
        <v>—</v>
      </c>
      <c r="L146" s="50"/>
    </row>
    <row r="147" spans="1:12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IF(A147="","",IFERROR(VLOOKUP(A147,DB_Customers!$A:$N,14,0),""))</f>
        <v/>
      </c>
      <c r="D147" s="42" t="str">
        <f t="shared" ca="1" si="12"/>
        <v/>
      </c>
      <c r="E147" s="32"/>
      <c r="F147" s="31"/>
      <c r="G147" s="43" t="str">
        <f t="shared" si="13"/>
        <v/>
      </c>
      <c r="H147" s="30" t="s">
        <v>56</v>
      </c>
      <c r="I147" s="41"/>
      <c r="J147" s="33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7" s="33" t="str">
        <f t="shared" ca="1" si="14"/>
        <v>—</v>
      </c>
      <c r="L147" s="22"/>
    </row>
    <row r="148" spans="1:12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IF(A148="","",IFERROR(VLOOKUP(A148,DB_Customers!$A:$N,14,0),""))</f>
        <v/>
      </c>
      <c r="D148" s="42" t="str">
        <f t="shared" ca="1" si="12"/>
        <v/>
      </c>
      <c r="E148" s="32"/>
      <c r="F148" s="31"/>
      <c r="G148" s="43" t="str">
        <f t="shared" si="13"/>
        <v/>
      </c>
      <c r="H148" s="30" t="s">
        <v>56</v>
      </c>
      <c r="I148" s="41"/>
      <c r="J148" s="33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48" s="33" t="str">
        <f t="shared" ca="1" si="14"/>
        <v>—</v>
      </c>
      <c r="L148" s="50"/>
    </row>
    <row r="149" spans="1:12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IF(A149="","",IFERROR(VLOOKUP(A149,DB_Customers!$A:$N,14,0),""))</f>
        <v/>
      </c>
      <c r="D149" s="42" t="str">
        <f t="shared" ca="1" si="12"/>
        <v/>
      </c>
      <c r="E149" s="32"/>
      <c r="F149" s="31"/>
      <c r="G149" s="43" t="str">
        <f t="shared" si="13"/>
        <v/>
      </c>
      <c r="H149" s="30" t="s">
        <v>56</v>
      </c>
      <c r="I149" s="41"/>
      <c r="J149" s="33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49" s="33" t="str">
        <f t="shared" ca="1" si="14"/>
        <v>—</v>
      </c>
      <c r="L149" s="22"/>
    </row>
    <row r="150" spans="1:12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IF(A150="","",IFERROR(VLOOKUP(A150,DB_Customers!$A:$N,14,0),""))</f>
        <v/>
      </c>
      <c r="D150" s="42" t="str">
        <f t="shared" ca="1" si="12"/>
        <v/>
      </c>
      <c r="E150" s="32"/>
      <c r="F150" s="31"/>
      <c r="G150" s="43" t="str">
        <f t="shared" si="13"/>
        <v/>
      </c>
      <c r="H150" s="30" t="s">
        <v>56</v>
      </c>
      <c r="I150" s="41"/>
      <c r="J150" s="33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0" s="33" t="str">
        <f t="shared" ca="1" si="14"/>
        <v>—</v>
      </c>
      <c r="L150" s="50"/>
    </row>
    <row r="151" spans="1:12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IF(A151="","",IFERROR(VLOOKUP(A151,DB_Customers!$A:$N,14,0),""))</f>
        <v/>
      </c>
      <c r="D151" s="42" t="str">
        <f t="shared" ca="1" si="12"/>
        <v/>
      </c>
      <c r="E151" s="32"/>
      <c r="F151" s="31"/>
      <c r="G151" s="43" t="str">
        <f t="shared" si="13"/>
        <v/>
      </c>
      <c r="H151" s="30" t="s">
        <v>56</v>
      </c>
      <c r="I151" s="41"/>
      <c r="J151" s="33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1" s="33" t="str">
        <f t="shared" ca="1" si="14"/>
        <v>—</v>
      </c>
      <c r="L151" s="22"/>
    </row>
    <row r="152" spans="1:12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IF(A152="","",IFERROR(VLOOKUP(A152,DB_Customers!$A:$N,14,0),""))</f>
        <v/>
      </c>
      <c r="D152" s="42" t="str">
        <f t="shared" ca="1" si="12"/>
        <v/>
      </c>
      <c r="E152" s="32"/>
      <c r="F152" s="31"/>
      <c r="G152" s="43" t="str">
        <f t="shared" si="13"/>
        <v/>
      </c>
      <c r="H152" s="30" t="s">
        <v>56</v>
      </c>
      <c r="I152" s="41"/>
      <c r="J152" s="33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2" s="33" t="str">
        <f t="shared" ca="1" si="14"/>
        <v>—</v>
      </c>
      <c r="L152" s="50"/>
    </row>
    <row r="153" spans="1:12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IF(A153="","",IFERROR(VLOOKUP(A153,DB_Customers!$A:$N,14,0),""))</f>
        <v/>
      </c>
      <c r="D153" s="42" t="str">
        <f t="shared" ca="1" si="12"/>
        <v/>
      </c>
      <c r="E153" s="32"/>
      <c r="F153" s="31"/>
      <c r="G153" s="43" t="str">
        <f t="shared" si="13"/>
        <v/>
      </c>
      <c r="H153" s="30" t="s">
        <v>56</v>
      </c>
      <c r="I153" s="41"/>
      <c r="J153" s="33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3" s="33" t="str">
        <f t="shared" ca="1" si="14"/>
        <v>—</v>
      </c>
      <c r="L153" s="22"/>
    </row>
    <row r="154" spans="1:12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IF(A154="","",IFERROR(VLOOKUP(A154,DB_Customers!$A:$N,14,0),""))</f>
        <v/>
      </c>
      <c r="D154" s="42" t="str">
        <f t="shared" ca="1" si="12"/>
        <v/>
      </c>
      <c r="E154" s="32"/>
      <c r="F154" s="31"/>
      <c r="G154" s="43" t="str">
        <f t="shared" si="13"/>
        <v/>
      </c>
      <c r="H154" s="30" t="s">
        <v>56</v>
      </c>
      <c r="I154" s="41"/>
      <c r="J154" s="33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4" s="33" t="str">
        <f t="shared" ca="1" si="14"/>
        <v>—</v>
      </c>
      <c r="L154" s="50"/>
    </row>
    <row r="155" spans="1:12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IF(A155="","",IFERROR(VLOOKUP(A155,DB_Customers!$A:$N,14,0),""))</f>
        <v/>
      </c>
      <c r="D155" s="42" t="str">
        <f t="shared" ca="1" si="12"/>
        <v/>
      </c>
      <c r="E155" s="32"/>
      <c r="F155" s="31"/>
      <c r="G155" s="43" t="str">
        <f t="shared" si="13"/>
        <v/>
      </c>
      <c r="H155" s="30" t="s">
        <v>56</v>
      </c>
      <c r="I155" s="41"/>
      <c r="J155" s="33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5" s="33" t="str">
        <f t="shared" ca="1" si="14"/>
        <v>—</v>
      </c>
      <c r="L155" s="22"/>
    </row>
    <row r="156" spans="1:12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IF(A156="","",IFERROR(VLOOKUP(A156,DB_Customers!$A:$N,14,0),""))</f>
        <v/>
      </c>
      <c r="D156" s="42" t="str">
        <f t="shared" ca="1" si="12"/>
        <v/>
      </c>
      <c r="E156" s="32"/>
      <c r="F156" s="31"/>
      <c r="G156" s="43" t="str">
        <f t="shared" si="13"/>
        <v/>
      </c>
      <c r="H156" s="30" t="s">
        <v>56</v>
      </c>
      <c r="I156" s="41"/>
      <c r="J156" s="33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6" s="33" t="str">
        <f t="shared" ca="1" si="14"/>
        <v>—</v>
      </c>
      <c r="L156" s="50"/>
    </row>
    <row r="157" spans="1:12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IF(A157="","",IFERROR(VLOOKUP(A157,DB_Customers!$A:$N,14,0),""))</f>
        <v/>
      </c>
      <c r="D157" s="42" t="str">
        <f t="shared" ca="1" si="12"/>
        <v/>
      </c>
      <c r="E157" s="32"/>
      <c r="F157" s="31"/>
      <c r="G157" s="43" t="str">
        <f t="shared" si="13"/>
        <v/>
      </c>
      <c r="H157" s="30" t="s">
        <v>56</v>
      </c>
      <c r="I157" s="41"/>
      <c r="J157" s="33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7" s="33" t="str">
        <f t="shared" ca="1" si="14"/>
        <v>—</v>
      </c>
      <c r="L157" s="22"/>
    </row>
    <row r="158" spans="1:12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IF(A158="","",IFERROR(VLOOKUP(A158,DB_Customers!$A:$N,14,0),""))</f>
        <v/>
      </c>
      <c r="D158" s="42" t="str">
        <f t="shared" ca="1" si="12"/>
        <v/>
      </c>
      <c r="E158" s="32"/>
      <c r="F158" s="31"/>
      <c r="G158" s="43" t="str">
        <f t="shared" si="13"/>
        <v/>
      </c>
      <c r="H158" s="30" t="s">
        <v>56</v>
      </c>
      <c r="I158" s="41"/>
      <c r="J158" s="33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58" s="33" t="str">
        <f t="shared" ca="1" si="14"/>
        <v>—</v>
      </c>
      <c r="L158" s="50"/>
    </row>
    <row r="159" spans="1:12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IF(A159="","",IFERROR(VLOOKUP(A159,DB_Customers!$A:$N,14,0),""))</f>
        <v/>
      </c>
      <c r="D159" s="42" t="str">
        <f t="shared" ca="1" si="12"/>
        <v/>
      </c>
      <c r="E159" s="32"/>
      <c r="F159" s="31"/>
      <c r="G159" s="43" t="str">
        <f t="shared" si="13"/>
        <v/>
      </c>
      <c r="H159" s="30" t="s">
        <v>56</v>
      </c>
      <c r="I159" s="41"/>
      <c r="J159" s="33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59" s="33" t="str">
        <f t="shared" ca="1" si="14"/>
        <v>—</v>
      </c>
      <c r="L159" s="22"/>
    </row>
    <row r="160" spans="1:12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IF(A160="","",IFERROR(VLOOKUP(A160,DB_Customers!$A:$N,14,0),""))</f>
        <v/>
      </c>
      <c r="D160" s="42" t="str">
        <f t="shared" ca="1" si="12"/>
        <v/>
      </c>
      <c r="E160" s="32"/>
      <c r="F160" s="31"/>
      <c r="G160" s="43" t="str">
        <f t="shared" si="13"/>
        <v/>
      </c>
      <c r="H160" s="30" t="s">
        <v>56</v>
      </c>
      <c r="I160" s="41"/>
      <c r="J160" s="33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0" s="33" t="str">
        <f t="shared" ca="1" si="14"/>
        <v>—</v>
      </c>
      <c r="L160" s="50"/>
    </row>
    <row r="161" spans="1:12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IF(A161="","",IFERROR(VLOOKUP(A161,DB_Customers!$A:$N,14,0),""))</f>
        <v/>
      </c>
      <c r="D161" s="42" t="str">
        <f t="shared" ca="1" si="12"/>
        <v/>
      </c>
      <c r="E161" s="32"/>
      <c r="F161" s="31"/>
      <c r="G161" s="43" t="str">
        <f t="shared" si="13"/>
        <v/>
      </c>
      <c r="H161" s="30" t="s">
        <v>56</v>
      </c>
      <c r="I161" s="41"/>
      <c r="J161" s="33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1" s="33" t="str">
        <f t="shared" ca="1" si="14"/>
        <v>—</v>
      </c>
      <c r="L161" s="22"/>
    </row>
    <row r="162" spans="1:12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IF(A162="","",IFERROR(VLOOKUP(A162,DB_Customers!$A:$N,14,0),""))</f>
        <v/>
      </c>
      <c r="D162" s="42" t="str">
        <f t="shared" ca="1" si="12"/>
        <v/>
      </c>
      <c r="E162" s="32"/>
      <c r="F162" s="31"/>
      <c r="G162" s="43" t="str">
        <f t="shared" si="13"/>
        <v/>
      </c>
      <c r="H162" s="30" t="s">
        <v>56</v>
      </c>
      <c r="I162" s="41"/>
      <c r="J162" s="33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2" s="33" t="str">
        <f t="shared" ca="1" si="14"/>
        <v>—</v>
      </c>
      <c r="L162" s="50"/>
    </row>
    <row r="163" spans="1:12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IF(A163="","",IFERROR(VLOOKUP(A163,DB_Customers!$A:$N,14,0),""))</f>
        <v/>
      </c>
      <c r="D163" s="42" t="str">
        <f t="shared" ca="1" si="12"/>
        <v/>
      </c>
      <c r="E163" s="32"/>
      <c r="F163" s="31"/>
      <c r="G163" s="43" t="str">
        <f t="shared" si="13"/>
        <v/>
      </c>
      <c r="H163" s="30" t="s">
        <v>56</v>
      </c>
      <c r="I163" s="41"/>
      <c r="J163" s="33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3" s="33" t="str">
        <f t="shared" ca="1" si="14"/>
        <v>—</v>
      </c>
      <c r="L163" s="22"/>
    </row>
    <row r="164" spans="1:12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IF(A164="","",IFERROR(VLOOKUP(A164,DB_Customers!$A:$N,14,0),""))</f>
        <v/>
      </c>
      <c r="D164" s="42" t="str">
        <f t="shared" ca="1" si="12"/>
        <v/>
      </c>
      <c r="E164" s="32"/>
      <c r="F164" s="31"/>
      <c r="G164" s="43" t="str">
        <f t="shared" si="13"/>
        <v/>
      </c>
      <c r="H164" s="30" t="s">
        <v>56</v>
      </c>
      <c r="I164" s="41"/>
      <c r="J164" s="33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4" s="33" t="str">
        <f t="shared" ca="1" si="14"/>
        <v>—</v>
      </c>
      <c r="L164" s="50"/>
    </row>
    <row r="165" spans="1:12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IF(A165="","",IFERROR(VLOOKUP(A165,DB_Customers!$A:$N,14,0),""))</f>
        <v/>
      </c>
      <c r="D165" s="42" t="str">
        <f t="shared" ca="1" si="12"/>
        <v/>
      </c>
      <c r="E165" s="32"/>
      <c r="F165" s="31"/>
      <c r="G165" s="43" t="str">
        <f t="shared" si="13"/>
        <v/>
      </c>
      <c r="H165" s="30" t="s">
        <v>56</v>
      </c>
      <c r="I165" s="41"/>
      <c r="J165" s="33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5" s="33" t="str">
        <f t="shared" ca="1" si="14"/>
        <v>—</v>
      </c>
      <c r="L165" s="22"/>
    </row>
    <row r="166" spans="1:12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IF(A166="","",IFERROR(VLOOKUP(A166,DB_Customers!$A:$N,14,0),""))</f>
        <v/>
      </c>
      <c r="D166" s="42" t="str">
        <f t="shared" ca="1" si="12"/>
        <v/>
      </c>
      <c r="E166" s="32"/>
      <c r="F166" s="31"/>
      <c r="G166" s="43" t="str">
        <f t="shared" si="13"/>
        <v/>
      </c>
      <c r="H166" s="30" t="s">
        <v>56</v>
      </c>
      <c r="I166" s="41"/>
      <c r="J166" s="33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6" s="33" t="str">
        <f t="shared" ca="1" si="14"/>
        <v>—</v>
      </c>
      <c r="L166" s="50"/>
    </row>
    <row r="167" spans="1:12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IF(A167="","",IFERROR(VLOOKUP(A167,DB_Customers!$A:$N,14,0),""))</f>
        <v/>
      </c>
      <c r="D167" s="42" t="str">
        <f t="shared" ca="1" si="12"/>
        <v/>
      </c>
      <c r="E167" s="32"/>
      <c r="F167" s="31"/>
      <c r="G167" s="43" t="str">
        <f t="shared" si="13"/>
        <v/>
      </c>
      <c r="H167" s="30" t="s">
        <v>56</v>
      </c>
      <c r="I167" s="41"/>
      <c r="J167" s="33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7" s="33" t="str">
        <f t="shared" ca="1" si="14"/>
        <v>—</v>
      </c>
      <c r="L167" s="22"/>
    </row>
    <row r="168" spans="1:12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IF(A168="","",IFERROR(VLOOKUP(A168,DB_Customers!$A:$N,14,0),""))</f>
        <v/>
      </c>
      <c r="D168" s="42" t="str">
        <f t="shared" ca="1" si="12"/>
        <v/>
      </c>
      <c r="E168" s="32"/>
      <c r="F168" s="31"/>
      <c r="G168" s="43" t="str">
        <f t="shared" si="13"/>
        <v/>
      </c>
      <c r="H168" s="30" t="s">
        <v>56</v>
      </c>
      <c r="I168" s="41"/>
      <c r="J168" s="33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68" s="33" t="str">
        <f t="shared" ca="1" si="14"/>
        <v>—</v>
      </c>
      <c r="L168" s="50"/>
    </row>
    <row r="169" spans="1:12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IF(A169="","",IFERROR(VLOOKUP(A169,DB_Customers!$A:$N,14,0),""))</f>
        <v/>
      </c>
      <c r="D169" s="42" t="str">
        <f t="shared" ref="D169:D200" ca="1" si="15">IF(A169="","",TODAY())</f>
        <v/>
      </c>
      <c r="E169" s="32"/>
      <c r="F169" s="31"/>
      <c r="G169" s="43" t="str">
        <f t="shared" ref="G169:G200" si="16">IFERROR(IF(OR(A169="",E169=""),"",C169-E169),"")</f>
        <v/>
      </c>
      <c r="H169" s="30" t="s">
        <v>56</v>
      </c>
      <c r="I169" s="41"/>
      <c r="J169" s="33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69" s="33" t="str">
        <f t="shared" ref="K169:K200" ca="1" si="17">IF(J169="✅ Successful",TEXT(TODAY(),"YYYY-MM-DD")&amp;" Auto","—")</f>
        <v>—</v>
      </c>
      <c r="L169" s="22"/>
    </row>
    <row r="170" spans="1:12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IF(A170="","",IFERROR(VLOOKUP(A170,DB_Customers!$A:$N,14,0),""))</f>
        <v/>
      </c>
      <c r="D170" s="42" t="str">
        <f t="shared" ca="1" si="15"/>
        <v/>
      </c>
      <c r="E170" s="32"/>
      <c r="F170" s="31"/>
      <c r="G170" s="43" t="str">
        <f t="shared" si="16"/>
        <v/>
      </c>
      <c r="H170" s="30" t="s">
        <v>56</v>
      </c>
      <c r="I170" s="41"/>
      <c r="J170" s="33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0" s="33" t="str">
        <f t="shared" ca="1" si="17"/>
        <v>—</v>
      </c>
      <c r="L170" s="50"/>
    </row>
    <row r="171" spans="1:12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IF(A171="","",IFERROR(VLOOKUP(A171,DB_Customers!$A:$N,14,0),""))</f>
        <v/>
      </c>
      <c r="D171" s="42" t="str">
        <f t="shared" ca="1" si="15"/>
        <v/>
      </c>
      <c r="E171" s="32"/>
      <c r="F171" s="31"/>
      <c r="G171" s="43" t="str">
        <f t="shared" si="16"/>
        <v/>
      </c>
      <c r="H171" s="30" t="s">
        <v>56</v>
      </c>
      <c r="I171" s="41"/>
      <c r="J171" s="33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1" s="33" t="str">
        <f t="shared" ca="1" si="17"/>
        <v>—</v>
      </c>
      <c r="L171" s="22"/>
    </row>
    <row r="172" spans="1:12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IF(A172="","",IFERROR(VLOOKUP(A172,DB_Customers!$A:$N,14,0),""))</f>
        <v/>
      </c>
      <c r="D172" s="42" t="str">
        <f t="shared" ca="1" si="15"/>
        <v/>
      </c>
      <c r="E172" s="32"/>
      <c r="F172" s="31"/>
      <c r="G172" s="43" t="str">
        <f t="shared" si="16"/>
        <v/>
      </c>
      <c r="H172" s="30" t="s">
        <v>56</v>
      </c>
      <c r="I172" s="41"/>
      <c r="J172" s="33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2" s="33" t="str">
        <f t="shared" ca="1" si="17"/>
        <v>—</v>
      </c>
      <c r="L172" s="50"/>
    </row>
    <row r="173" spans="1:12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IF(A173="","",IFERROR(VLOOKUP(A173,DB_Customers!$A:$N,14,0),""))</f>
        <v/>
      </c>
      <c r="D173" s="42" t="str">
        <f t="shared" ca="1" si="15"/>
        <v/>
      </c>
      <c r="E173" s="32"/>
      <c r="F173" s="31"/>
      <c r="G173" s="43" t="str">
        <f t="shared" si="16"/>
        <v/>
      </c>
      <c r="H173" s="30" t="s">
        <v>56</v>
      </c>
      <c r="I173" s="41"/>
      <c r="J173" s="33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3" s="33" t="str">
        <f t="shared" ca="1" si="17"/>
        <v>—</v>
      </c>
      <c r="L173" s="22"/>
    </row>
    <row r="174" spans="1:12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IF(A174="","",IFERROR(VLOOKUP(A174,DB_Customers!$A:$N,14,0),""))</f>
        <v/>
      </c>
      <c r="D174" s="42" t="str">
        <f t="shared" ca="1" si="15"/>
        <v/>
      </c>
      <c r="E174" s="32"/>
      <c r="F174" s="31"/>
      <c r="G174" s="43" t="str">
        <f t="shared" si="16"/>
        <v/>
      </c>
      <c r="H174" s="30" t="s">
        <v>56</v>
      </c>
      <c r="I174" s="41"/>
      <c r="J174" s="33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4" s="33" t="str">
        <f t="shared" ca="1" si="17"/>
        <v>—</v>
      </c>
      <c r="L174" s="50"/>
    </row>
    <row r="175" spans="1:12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IF(A175="","",IFERROR(VLOOKUP(A175,DB_Customers!$A:$N,14,0),""))</f>
        <v/>
      </c>
      <c r="D175" s="42" t="str">
        <f t="shared" ca="1" si="15"/>
        <v/>
      </c>
      <c r="E175" s="32"/>
      <c r="F175" s="31"/>
      <c r="G175" s="43" t="str">
        <f t="shared" si="16"/>
        <v/>
      </c>
      <c r="H175" s="30" t="s">
        <v>56</v>
      </c>
      <c r="I175" s="41"/>
      <c r="J175" s="33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5" s="33" t="str">
        <f t="shared" ca="1" si="17"/>
        <v>—</v>
      </c>
      <c r="L175" s="22"/>
    </row>
    <row r="176" spans="1:12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IF(A176="","",IFERROR(VLOOKUP(A176,DB_Customers!$A:$N,14,0),""))</f>
        <v/>
      </c>
      <c r="D176" s="42" t="str">
        <f t="shared" ca="1" si="15"/>
        <v/>
      </c>
      <c r="E176" s="32"/>
      <c r="F176" s="31"/>
      <c r="G176" s="43" t="str">
        <f t="shared" si="16"/>
        <v/>
      </c>
      <c r="H176" s="30" t="s">
        <v>56</v>
      </c>
      <c r="I176" s="41"/>
      <c r="J176" s="33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6" s="33" t="str">
        <f t="shared" ca="1" si="17"/>
        <v>—</v>
      </c>
      <c r="L176" s="50"/>
    </row>
    <row r="177" spans="1:12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IF(A177="","",IFERROR(VLOOKUP(A177,DB_Customers!$A:$N,14,0),""))</f>
        <v/>
      </c>
      <c r="D177" s="42" t="str">
        <f t="shared" ca="1" si="15"/>
        <v/>
      </c>
      <c r="E177" s="32"/>
      <c r="F177" s="31"/>
      <c r="G177" s="43" t="str">
        <f t="shared" si="16"/>
        <v/>
      </c>
      <c r="H177" s="30" t="s">
        <v>56</v>
      </c>
      <c r="I177" s="41"/>
      <c r="J177" s="33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7" s="33" t="str">
        <f t="shared" ca="1" si="17"/>
        <v>—</v>
      </c>
      <c r="L177" s="22"/>
    </row>
    <row r="178" spans="1:12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IF(A178="","",IFERROR(VLOOKUP(A178,DB_Customers!$A:$N,14,0),""))</f>
        <v/>
      </c>
      <c r="D178" s="42" t="str">
        <f t="shared" ca="1" si="15"/>
        <v/>
      </c>
      <c r="E178" s="32"/>
      <c r="F178" s="31"/>
      <c r="G178" s="43" t="str">
        <f t="shared" si="16"/>
        <v/>
      </c>
      <c r="H178" s="30" t="s">
        <v>56</v>
      </c>
      <c r="I178" s="41"/>
      <c r="J178" s="33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78" s="33" t="str">
        <f t="shared" ca="1" si="17"/>
        <v>—</v>
      </c>
      <c r="L178" s="50"/>
    </row>
    <row r="179" spans="1:12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IF(A179="","",IFERROR(VLOOKUP(A179,DB_Customers!$A:$N,14,0),""))</f>
        <v/>
      </c>
      <c r="D179" s="42" t="str">
        <f t="shared" ca="1" si="15"/>
        <v/>
      </c>
      <c r="E179" s="32"/>
      <c r="F179" s="31"/>
      <c r="G179" s="43" t="str">
        <f t="shared" si="16"/>
        <v/>
      </c>
      <c r="H179" s="30" t="s">
        <v>56</v>
      </c>
      <c r="I179" s="41"/>
      <c r="J179" s="33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79" s="33" t="str">
        <f t="shared" ca="1" si="17"/>
        <v>—</v>
      </c>
      <c r="L179" s="22"/>
    </row>
    <row r="180" spans="1:12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IF(A180="","",IFERROR(VLOOKUP(A180,DB_Customers!$A:$N,14,0),""))</f>
        <v/>
      </c>
      <c r="D180" s="42" t="str">
        <f t="shared" ca="1" si="15"/>
        <v/>
      </c>
      <c r="E180" s="32"/>
      <c r="F180" s="31"/>
      <c r="G180" s="43" t="str">
        <f t="shared" si="16"/>
        <v/>
      </c>
      <c r="H180" s="30" t="s">
        <v>56</v>
      </c>
      <c r="I180" s="41"/>
      <c r="J180" s="33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0" s="33" t="str">
        <f t="shared" ca="1" si="17"/>
        <v>—</v>
      </c>
      <c r="L180" s="50"/>
    </row>
    <row r="181" spans="1:12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IF(A181="","",IFERROR(VLOOKUP(A181,DB_Customers!$A:$N,14,0),""))</f>
        <v/>
      </c>
      <c r="D181" s="42" t="str">
        <f t="shared" ca="1" si="15"/>
        <v/>
      </c>
      <c r="E181" s="32"/>
      <c r="F181" s="31"/>
      <c r="G181" s="43" t="str">
        <f t="shared" si="16"/>
        <v/>
      </c>
      <c r="H181" s="30" t="s">
        <v>56</v>
      </c>
      <c r="I181" s="41"/>
      <c r="J181" s="33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1" s="33" t="str">
        <f t="shared" ca="1" si="17"/>
        <v>—</v>
      </c>
      <c r="L181" s="22"/>
    </row>
    <row r="182" spans="1:12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IF(A182="","",IFERROR(VLOOKUP(A182,DB_Customers!$A:$N,14,0),""))</f>
        <v/>
      </c>
      <c r="D182" s="42" t="str">
        <f t="shared" ca="1" si="15"/>
        <v/>
      </c>
      <c r="E182" s="32"/>
      <c r="F182" s="31"/>
      <c r="G182" s="43" t="str">
        <f t="shared" si="16"/>
        <v/>
      </c>
      <c r="H182" s="30" t="s">
        <v>56</v>
      </c>
      <c r="I182" s="41"/>
      <c r="J182" s="33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2" s="33" t="str">
        <f t="shared" ca="1" si="17"/>
        <v>—</v>
      </c>
      <c r="L182" s="50"/>
    </row>
    <row r="183" spans="1:12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IF(A183="","",IFERROR(VLOOKUP(A183,DB_Customers!$A:$N,14,0),""))</f>
        <v/>
      </c>
      <c r="D183" s="42" t="str">
        <f t="shared" ca="1" si="15"/>
        <v/>
      </c>
      <c r="E183" s="32"/>
      <c r="F183" s="31"/>
      <c r="G183" s="43" t="str">
        <f t="shared" si="16"/>
        <v/>
      </c>
      <c r="H183" s="30" t="s">
        <v>56</v>
      </c>
      <c r="I183" s="41"/>
      <c r="J183" s="33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3" s="33" t="str">
        <f t="shared" ca="1" si="17"/>
        <v>—</v>
      </c>
      <c r="L183" s="22"/>
    </row>
    <row r="184" spans="1:12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IF(A184="","",IFERROR(VLOOKUP(A184,DB_Customers!$A:$N,14,0),""))</f>
        <v/>
      </c>
      <c r="D184" s="42" t="str">
        <f t="shared" ca="1" si="15"/>
        <v/>
      </c>
      <c r="E184" s="32"/>
      <c r="F184" s="31"/>
      <c r="G184" s="43" t="str">
        <f t="shared" si="16"/>
        <v/>
      </c>
      <c r="H184" s="30" t="s">
        <v>56</v>
      </c>
      <c r="I184" s="41"/>
      <c r="J184" s="33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4" s="33" t="str">
        <f t="shared" ca="1" si="17"/>
        <v>—</v>
      </c>
      <c r="L184" s="50"/>
    </row>
    <row r="185" spans="1:12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IF(A185="","",IFERROR(VLOOKUP(A185,DB_Customers!$A:$N,14,0),""))</f>
        <v/>
      </c>
      <c r="D185" s="42" t="str">
        <f t="shared" ca="1" si="15"/>
        <v/>
      </c>
      <c r="E185" s="32"/>
      <c r="F185" s="31"/>
      <c r="G185" s="43" t="str">
        <f t="shared" si="16"/>
        <v/>
      </c>
      <c r="H185" s="30" t="s">
        <v>56</v>
      </c>
      <c r="I185" s="41"/>
      <c r="J185" s="33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5" s="33" t="str">
        <f t="shared" ca="1" si="17"/>
        <v>—</v>
      </c>
      <c r="L185" s="22"/>
    </row>
    <row r="186" spans="1:12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IF(A186="","",IFERROR(VLOOKUP(A186,DB_Customers!$A:$N,14,0),""))</f>
        <v/>
      </c>
      <c r="D186" s="42" t="str">
        <f t="shared" ca="1" si="15"/>
        <v/>
      </c>
      <c r="E186" s="32"/>
      <c r="F186" s="31"/>
      <c r="G186" s="43" t="str">
        <f t="shared" si="16"/>
        <v/>
      </c>
      <c r="H186" s="30" t="s">
        <v>56</v>
      </c>
      <c r="I186" s="41"/>
      <c r="J186" s="33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6" s="33" t="str">
        <f t="shared" ca="1" si="17"/>
        <v>—</v>
      </c>
      <c r="L186" s="50"/>
    </row>
    <row r="187" spans="1:12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IF(A187="","",IFERROR(VLOOKUP(A187,DB_Customers!$A:$N,14,0),""))</f>
        <v/>
      </c>
      <c r="D187" s="42" t="str">
        <f t="shared" ca="1" si="15"/>
        <v/>
      </c>
      <c r="E187" s="32"/>
      <c r="F187" s="31"/>
      <c r="G187" s="43" t="str">
        <f t="shared" si="16"/>
        <v/>
      </c>
      <c r="H187" s="30" t="s">
        <v>56</v>
      </c>
      <c r="I187" s="41"/>
      <c r="J187" s="33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7" s="33" t="str">
        <f t="shared" ca="1" si="17"/>
        <v>—</v>
      </c>
      <c r="L187" s="22"/>
    </row>
    <row r="188" spans="1:12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IF(A188="","",IFERROR(VLOOKUP(A188,DB_Customers!$A:$N,14,0),""))</f>
        <v/>
      </c>
      <c r="D188" s="42" t="str">
        <f t="shared" ca="1" si="15"/>
        <v/>
      </c>
      <c r="E188" s="32"/>
      <c r="F188" s="31"/>
      <c r="G188" s="43" t="str">
        <f t="shared" si="16"/>
        <v/>
      </c>
      <c r="H188" s="30" t="s">
        <v>56</v>
      </c>
      <c r="I188" s="41"/>
      <c r="J188" s="33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88" s="33" t="str">
        <f t="shared" ca="1" si="17"/>
        <v>—</v>
      </c>
      <c r="L188" s="50"/>
    </row>
    <row r="189" spans="1:12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IF(A189="","",IFERROR(VLOOKUP(A189,DB_Customers!$A:$N,14,0),""))</f>
        <v/>
      </c>
      <c r="D189" s="42" t="str">
        <f t="shared" ca="1" si="15"/>
        <v/>
      </c>
      <c r="E189" s="32"/>
      <c r="F189" s="31"/>
      <c r="G189" s="43" t="str">
        <f t="shared" si="16"/>
        <v/>
      </c>
      <c r="H189" s="30" t="s">
        <v>56</v>
      </c>
      <c r="I189" s="41"/>
      <c r="J189" s="33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89" s="33" t="str">
        <f t="shared" ca="1" si="17"/>
        <v>—</v>
      </c>
      <c r="L189" s="22"/>
    </row>
    <row r="190" spans="1:12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IF(A190="","",IFERROR(VLOOKUP(A190,DB_Customers!$A:$N,14,0),""))</f>
        <v/>
      </c>
      <c r="D190" s="42" t="str">
        <f t="shared" ca="1" si="15"/>
        <v/>
      </c>
      <c r="E190" s="32"/>
      <c r="F190" s="31"/>
      <c r="G190" s="43" t="str">
        <f t="shared" si="16"/>
        <v/>
      </c>
      <c r="H190" s="30" t="s">
        <v>56</v>
      </c>
      <c r="I190" s="41"/>
      <c r="J190" s="33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0" s="33" t="str">
        <f t="shared" ca="1" si="17"/>
        <v>—</v>
      </c>
      <c r="L190" s="50"/>
    </row>
    <row r="191" spans="1:12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IF(A191="","",IFERROR(VLOOKUP(A191,DB_Customers!$A:$N,14,0),""))</f>
        <v/>
      </c>
      <c r="D191" s="42" t="str">
        <f t="shared" ca="1" si="15"/>
        <v/>
      </c>
      <c r="E191" s="32"/>
      <c r="F191" s="31"/>
      <c r="G191" s="43" t="str">
        <f t="shared" si="16"/>
        <v/>
      </c>
      <c r="H191" s="30" t="s">
        <v>56</v>
      </c>
      <c r="I191" s="41"/>
      <c r="J191" s="33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1" s="33" t="str">
        <f t="shared" ca="1" si="17"/>
        <v>—</v>
      </c>
      <c r="L191" s="22"/>
    </row>
    <row r="192" spans="1:12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IF(A192="","",IFERROR(VLOOKUP(A192,DB_Customers!$A:$N,14,0),""))</f>
        <v/>
      </c>
      <c r="D192" s="42" t="str">
        <f t="shared" ca="1" si="15"/>
        <v/>
      </c>
      <c r="E192" s="32"/>
      <c r="F192" s="31"/>
      <c r="G192" s="43" t="str">
        <f t="shared" si="16"/>
        <v/>
      </c>
      <c r="H192" s="30" t="s">
        <v>56</v>
      </c>
      <c r="I192" s="41"/>
      <c r="J192" s="33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2" s="33" t="str">
        <f t="shared" ca="1" si="17"/>
        <v>—</v>
      </c>
      <c r="L192" s="50"/>
    </row>
    <row r="193" spans="1:12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IF(A193="","",IFERROR(VLOOKUP(A193,DB_Customers!$A:$N,14,0),""))</f>
        <v/>
      </c>
      <c r="D193" s="42" t="str">
        <f t="shared" ca="1" si="15"/>
        <v/>
      </c>
      <c r="E193" s="32"/>
      <c r="F193" s="31"/>
      <c r="G193" s="43" t="str">
        <f t="shared" si="16"/>
        <v/>
      </c>
      <c r="H193" s="30" t="s">
        <v>56</v>
      </c>
      <c r="I193" s="41"/>
      <c r="J193" s="33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3" s="33" t="str">
        <f t="shared" ca="1" si="17"/>
        <v>—</v>
      </c>
      <c r="L193" s="22"/>
    </row>
    <row r="194" spans="1:12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IF(A194="","",IFERROR(VLOOKUP(A194,DB_Customers!$A:$N,14,0),""))</f>
        <v/>
      </c>
      <c r="D194" s="42" t="str">
        <f t="shared" ca="1" si="15"/>
        <v/>
      </c>
      <c r="E194" s="32"/>
      <c r="F194" s="31"/>
      <c r="G194" s="43" t="str">
        <f t="shared" si="16"/>
        <v/>
      </c>
      <c r="H194" s="30" t="s">
        <v>56</v>
      </c>
      <c r="I194" s="41"/>
      <c r="J194" s="33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4" s="33" t="str">
        <f t="shared" ca="1" si="17"/>
        <v>—</v>
      </c>
      <c r="L194" s="50"/>
    </row>
    <row r="195" spans="1:12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IF(A195="","",IFERROR(VLOOKUP(A195,DB_Customers!$A:$N,14,0),""))</f>
        <v/>
      </c>
      <c r="D195" s="42" t="str">
        <f t="shared" ca="1" si="15"/>
        <v/>
      </c>
      <c r="E195" s="32"/>
      <c r="F195" s="31"/>
      <c r="G195" s="43" t="str">
        <f t="shared" si="16"/>
        <v/>
      </c>
      <c r="H195" s="30" t="s">
        <v>56</v>
      </c>
      <c r="I195" s="41"/>
      <c r="J195" s="33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5" s="33" t="str">
        <f t="shared" ca="1" si="17"/>
        <v>—</v>
      </c>
      <c r="L195" s="22"/>
    </row>
    <row r="196" spans="1:12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IF(A196="","",IFERROR(VLOOKUP(A196,DB_Customers!$A:$N,14,0),""))</f>
        <v/>
      </c>
      <c r="D196" s="42" t="str">
        <f t="shared" ca="1" si="15"/>
        <v/>
      </c>
      <c r="E196" s="32"/>
      <c r="F196" s="31"/>
      <c r="G196" s="43" t="str">
        <f t="shared" si="16"/>
        <v/>
      </c>
      <c r="H196" s="30" t="s">
        <v>56</v>
      </c>
      <c r="I196" s="41"/>
      <c r="J196" s="33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6" s="33" t="str">
        <f t="shared" ca="1" si="17"/>
        <v>—</v>
      </c>
      <c r="L196" s="50"/>
    </row>
    <row r="197" spans="1:12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IF(A197="","",IFERROR(VLOOKUP(A197,DB_Customers!$A:$N,14,0),""))</f>
        <v/>
      </c>
      <c r="D197" s="42" t="str">
        <f t="shared" ca="1" si="15"/>
        <v/>
      </c>
      <c r="E197" s="32"/>
      <c r="F197" s="31"/>
      <c r="G197" s="43" t="str">
        <f t="shared" si="16"/>
        <v/>
      </c>
      <c r="H197" s="30" t="s">
        <v>56</v>
      </c>
      <c r="I197" s="41"/>
      <c r="J197" s="33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7" s="33" t="str">
        <f t="shared" ca="1" si="17"/>
        <v>—</v>
      </c>
      <c r="L197" s="22"/>
    </row>
    <row r="198" spans="1:12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IF(A198="","",IFERROR(VLOOKUP(A198,DB_Customers!$A:$N,14,0),""))</f>
        <v/>
      </c>
      <c r="D198" s="42" t="str">
        <f t="shared" ca="1" si="15"/>
        <v/>
      </c>
      <c r="E198" s="32"/>
      <c r="F198" s="31"/>
      <c r="G198" s="43" t="str">
        <f t="shared" si="16"/>
        <v/>
      </c>
      <c r="H198" s="30" t="s">
        <v>56</v>
      </c>
      <c r="I198" s="41"/>
      <c r="J198" s="33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198" s="33" t="str">
        <f t="shared" ca="1" si="17"/>
        <v>—</v>
      </c>
      <c r="L198" s="50"/>
    </row>
    <row r="199" spans="1:12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IF(A199="","",IFERROR(VLOOKUP(A199,DB_Customers!$A:$N,14,0),""))</f>
        <v/>
      </c>
      <c r="D199" s="42" t="str">
        <f t="shared" ca="1" si="15"/>
        <v/>
      </c>
      <c r="E199" s="32"/>
      <c r="F199" s="31"/>
      <c r="G199" s="43" t="str">
        <f t="shared" si="16"/>
        <v/>
      </c>
      <c r="H199" s="30" t="s">
        <v>56</v>
      </c>
      <c r="I199" s="41"/>
      <c r="J199" s="33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199" s="33" t="str">
        <f t="shared" ca="1" si="17"/>
        <v>—</v>
      </c>
      <c r="L199" s="22"/>
    </row>
    <row r="200" spans="1:12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IF(A200="","",IFERROR(VLOOKUP(A200,DB_Customers!$A:$N,14,0),""))</f>
        <v/>
      </c>
      <c r="D200" s="42" t="str">
        <f t="shared" ca="1" si="15"/>
        <v/>
      </c>
      <c r="E200" s="32"/>
      <c r="F200" s="31"/>
      <c r="G200" s="43" t="str">
        <f t="shared" si="16"/>
        <v/>
      </c>
      <c r="H200" s="30" t="s">
        <v>56</v>
      </c>
      <c r="I200" s="41"/>
      <c r="J200" s="33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0" s="33" t="str">
        <f t="shared" ca="1" si="17"/>
        <v>—</v>
      </c>
      <c r="L200" s="50"/>
    </row>
    <row r="201" spans="1:12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IF(A201="","",IFERROR(VLOOKUP(A201,DB_Customers!$A:$N,14,0),""))</f>
        <v/>
      </c>
      <c r="D201" s="42" t="str">
        <f t="shared" ref="D201:D208" ca="1" si="18">IF(A201="","",TODAY())</f>
        <v/>
      </c>
      <c r="E201" s="32"/>
      <c r="F201" s="31"/>
      <c r="G201" s="43" t="str">
        <f t="shared" ref="G201:G208" si="19">IFERROR(IF(OR(A201="",E201=""),"",C201-E201),"")</f>
        <v/>
      </c>
      <c r="H201" s="30" t="s">
        <v>56</v>
      </c>
      <c r="I201" s="41"/>
      <c r="J201" s="33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1" s="33" t="str">
        <f t="shared" ref="K201:K232" ca="1" si="20">IF(J201="✅ Successful",TEXT(TODAY(),"YYYY-MM-DD")&amp;" Auto","—")</f>
        <v>—</v>
      </c>
      <c r="L201" s="22"/>
    </row>
    <row r="202" spans="1:12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IF(A202="","",IFERROR(VLOOKUP(A202,DB_Customers!$A:$N,14,0),""))</f>
        <v/>
      </c>
      <c r="D202" s="42" t="str">
        <f t="shared" ca="1" si="18"/>
        <v/>
      </c>
      <c r="E202" s="32"/>
      <c r="F202" s="31"/>
      <c r="G202" s="43" t="str">
        <f t="shared" si="19"/>
        <v/>
      </c>
      <c r="H202" s="30" t="s">
        <v>56</v>
      </c>
      <c r="I202" s="41"/>
      <c r="J202" s="33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2" s="33" t="str">
        <f t="shared" ca="1" si="20"/>
        <v>—</v>
      </c>
      <c r="L202" s="50"/>
    </row>
    <row r="203" spans="1:12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IF(A203="","",IFERROR(VLOOKUP(A203,DB_Customers!$A:$N,14,0),""))</f>
        <v/>
      </c>
      <c r="D203" s="42" t="str">
        <f t="shared" ca="1" si="18"/>
        <v/>
      </c>
      <c r="E203" s="32"/>
      <c r="F203" s="31"/>
      <c r="G203" s="43" t="str">
        <f t="shared" si="19"/>
        <v/>
      </c>
      <c r="H203" s="30" t="s">
        <v>56</v>
      </c>
      <c r="I203" s="41"/>
      <c r="J203" s="33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3" s="33" t="str">
        <f t="shared" ca="1" si="20"/>
        <v>—</v>
      </c>
      <c r="L203" s="22"/>
    </row>
    <row r="204" spans="1:12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IF(A204="","",IFERROR(VLOOKUP(A204,DB_Customers!$A:$N,14,0),""))</f>
        <v/>
      </c>
      <c r="D204" s="42" t="str">
        <f t="shared" ca="1" si="18"/>
        <v/>
      </c>
      <c r="E204" s="32"/>
      <c r="F204" s="31"/>
      <c r="G204" s="43" t="str">
        <f t="shared" si="19"/>
        <v/>
      </c>
      <c r="H204" s="30" t="s">
        <v>56</v>
      </c>
      <c r="I204" s="41"/>
      <c r="J204" s="33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4" s="33" t="str">
        <f t="shared" ca="1" si="20"/>
        <v>—</v>
      </c>
      <c r="L204" s="50"/>
    </row>
    <row r="205" spans="1:12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IF(A205="","",IFERROR(VLOOKUP(A205,DB_Customers!$A:$N,14,0),""))</f>
        <v/>
      </c>
      <c r="D205" s="42" t="str">
        <f t="shared" ca="1" si="18"/>
        <v/>
      </c>
      <c r="E205" s="32"/>
      <c r="F205" s="31"/>
      <c r="G205" s="43" t="str">
        <f t="shared" si="19"/>
        <v/>
      </c>
      <c r="H205" s="30" t="s">
        <v>56</v>
      </c>
      <c r="I205" s="41"/>
      <c r="J205" s="33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5" s="33" t="str">
        <f t="shared" ca="1" si="20"/>
        <v>—</v>
      </c>
      <c r="L205" s="22"/>
    </row>
    <row r="206" spans="1:12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IF(A206="","",IFERROR(VLOOKUP(A206,DB_Customers!$A:$N,14,0),""))</f>
        <v/>
      </c>
      <c r="D206" s="42" t="str">
        <f t="shared" ca="1" si="18"/>
        <v/>
      </c>
      <c r="E206" s="32"/>
      <c r="F206" s="31"/>
      <c r="G206" s="43" t="str">
        <f t="shared" si="19"/>
        <v/>
      </c>
      <c r="H206" s="30" t="s">
        <v>56</v>
      </c>
      <c r="I206" s="41"/>
      <c r="J206" s="33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6" s="33" t="str">
        <f t="shared" ca="1" si="20"/>
        <v>—</v>
      </c>
      <c r="L206" s="50"/>
    </row>
    <row r="207" spans="1:12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IF(A207="","",IFERROR(VLOOKUP(A207,DB_Customers!$A:$N,14,0),""))</f>
        <v/>
      </c>
      <c r="D207" s="42" t="str">
        <f t="shared" ca="1" si="18"/>
        <v/>
      </c>
      <c r="E207" s="32"/>
      <c r="F207" s="31"/>
      <c r="G207" s="43" t="str">
        <f t="shared" si="19"/>
        <v/>
      </c>
      <c r="H207" s="30" t="s">
        <v>56</v>
      </c>
      <c r="I207" s="41"/>
      <c r="J207" s="33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7" s="33" t="str">
        <f t="shared" ca="1" si="20"/>
        <v>—</v>
      </c>
      <c r="L207" s="22"/>
    </row>
    <row r="208" spans="1:12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IF(A208="","",IFERROR(VLOOKUP(A208,DB_Customers!$A:$N,14,0),""))</f>
        <v/>
      </c>
      <c r="D208" s="42" t="str">
        <f t="shared" ca="1" si="18"/>
        <v/>
      </c>
      <c r="E208" s="32"/>
      <c r="F208" s="31"/>
      <c r="G208" s="43" t="str">
        <f t="shared" si="19"/>
        <v/>
      </c>
      <c r="H208" s="30" t="s">
        <v>56</v>
      </c>
      <c r="I208" s="41"/>
      <c r="J208" s="33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08" s="33" t="str">
        <f t="shared" ca="1" si="20"/>
        <v>—</v>
      </c>
      <c r="L208" s="50"/>
    </row>
  </sheetData>
  <mergeCells count="3">
    <mergeCell ref="A2:L2"/>
    <mergeCell ref="A6:L6"/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5" t="s">
        <v>172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21.95" customHeight="1" x14ac:dyDescent="0.25">
      <c r="A2" s="97" t="s">
        <v>173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4" spans="1:14" x14ac:dyDescent="0.25">
      <c r="A4" s="51" t="s">
        <v>146</v>
      </c>
    </row>
    <row r="5" spans="1:14" x14ac:dyDescent="0.25">
      <c r="A5" s="52" t="s">
        <v>147</v>
      </c>
      <c r="B5" s="32"/>
    </row>
    <row r="6" spans="1:14" x14ac:dyDescent="0.25">
      <c r="A6" s="52" t="s">
        <v>148</v>
      </c>
      <c r="B6" s="53"/>
    </row>
    <row r="7" spans="1:14" x14ac:dyDescent="0.25">
      <c r="A7" s="52" t="s">
        <v>149</v>
      </c>
      <c r="B7" s="54">
        <v>2.5</v>
      </c>
    </row>
    <row r="8" spans="1:14" x14ac:dyDescent="0.25">
      <c r="A8" s="55" t="s">
        <v>150</v>
      </c>
      <c r="B8" s="43" t="str">
        <f>IF(B5="","",B5*B7/100*B6)</f>
        <v/>
      </c>
    </row>
    <row r="9" spans="1:14" x14ac:dyDescent="0.25">
      <c r="A9" s="55" t="s">
        <v>151</v>
      </c>
      <c r="B9" s="43" t="str">
        <f>IF(B5="","",B5+(B5*B7/100*B6))</f>
        <v/>
      </c>
    </row>
    <row r="10" spans="1:14" x14ac:dyDescent="0.25">
      <c r="A10" s="55" t="s">
        <v>152</v>
      </c>
      <c r="B10" s="43" t="str">
        <f>IFERROR(B9/B6,"")</f>
        <v/>
      </c>
    </row>
    <row r="12" spans="1:14" ht="21.95" customHeight="1" x14ac:dyDescent="0.25">
      <c r="A12" s="97" t="s">
        <v>153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</row>
    <row r="13" spans="1:14" ht="30" customHeight="1" x14ac:dyDescent="0.25">
      <c r="A13" s="19" t="s">
        <v>154</v>
      </c>
      <c r="B13" s="19" t="s">
        <v>131</v>
      </c>
      <c r="C13" s="19" t="s">
        <v>69</v>
      </c>
      <c r="D13" s="19" t="s">
        <v>155</v>
      </c>
      <c r="E13" s="19" t="s">
        <v>156</v>
      </c>
      <c r="F13" s="19" t="s">
        <v>109</v>
      </c>
      <c r="G13" s="19" t="s">
        <v>110</v>
      </c>
      <c r="H13" s="19" t="s">
        <v>157</v>
      </c>
      <c r="I13" s="19" t="s">
        <v>158</v>
      </c>
      <c r="J13" s="19" t="s">
        <v>159</v>
      </c>
      <c r="K13" s="19" t="s">
        <v>77</v>
      </c>
      <c r="L13" s="19" t="s">
        <v>45</v>
      </c>
      <c r="M13" s="19" t="s">
        <v>134</v>
      </c>
      <c r="N13" s="19" t="s">
        <v>95</v>
      </c>
    </row>
    <row r="14" spans="1:14" ht="20.100000000000001" customHeight="1" x14ac:dyDescent="0.25">
      <c r="A14" s="30" t="str">
        <f t="shared" ref="A14:A45" si="0">IF(B14="","",IF(C14="❌ Account Not Found","INVALID","LN"&amp;TEXT(D14,"YYYYMMDD")&amp;TEXT(ROW()-13,"0000")))</f>
        <v/>
      </c>
      <c r="B14" s="41"/>
      <c r="C14" s="35" t="str">
        <f>IF(B14="","",IFERROR(VLOOKUP(B14,DB_Customers!$A:$B,2,0),"❌ Account Not Found"))</f>
        <v/>
      </c>
      <c r="D14" s="42" t="str">
        <f t="shared" ref="D14:D45" ca="1" si="1">IF(B14="","",TODAY())</f>
        <v/>
      </c>
      <c r="E14" s="32"/>
      <c r="F14" s="31"/>
      <c r="G14" s="41"/>
      <c r="H14" s="56">
        <v>2.5</v>
      </c>
      <c r="I14" s="43" t="str">
        <f t="shared" ref="I14:I45" si="2">IF(E14="","",E14+(E14*H14/100*G14))</f>
        <v/>
      </c>
      <c r="J14" s="43" t="str">
        <f t="shared" ref="J14:J45" si="3">IFERROR(I14/G14,"")</f>
        <v/>
      </c>
      <c r="K14" s="33" t="str">
        <f>IF(B14="","Pending",IF(M14="","⚠️ Enter Code",IF(IFERROR(VLOOKUP(L14,DB_Agents!$B:$F,4,0),"")=TEXT(M14,"0"),"Pending Approval","🔒 WRONG CODE")))</f>
        <v>Pending</v>
      </c>
      <c r="L14" s="30" t="s">
        <v>56</v>
      </c>
      <c r="M14" s="41"/>
      <c r="N14" s="57"/>
    </row>
    <row r="15" spans="1:14" ht="20.100000000000001" customHeight="1" x14ac:dyDescent="0.25">
      <c r="A15" s="30" t="str">
        <f t="shared" si="0"/>
        <v/>
      </c>
      <c r="B15" s="41"/>
      <c r="C15" s="35" t="str">
        <f>IF(B15="","",IFERROR(VLOOKUP(B15,DB_Customers!$A:$B,2,0),"❌ Account Not Found"))</f>
        <v/>
      </c>
      <c r="D15" s="42" t="str">
        <f t="shared" ca="1" si="1"/>
        <v/>
      </c>
      <c r="E15" s="32"/>
      <c r="F15" s="31"/>
      <c r="G15" s="41"/>
      <c r="H15" s="56">
        <v>2.5</v>
      </c>
      <c r="I15" s="43" t="str">
        <f t="shared" si="2"/>
        <v/>
      </c>
      <c r="J15" s="43" t="str">
        <f t="shared" si="3"/>
        <v/>
      </c>
      <c r="K15" s="33" t="str">
        <f>IF(B15="","Pending",IF(M15="","⚠️ Enter Code",IF(IFERROR(VLOOKUP(L15,DB_Agents!$B:$F,4,0),"")=TEXT(M15,"0"),"Pending Approval","🔒 WRONG CODE")))</f>
        <v>Pending</v>
      </c>
      <c r="L15" s="30" t="s">
        <v>56</v>
      </c>
      <c r="M15" s="41"/>
      <c r="N15" s="22"/>
    </row>
    <row r="16" spans="1:14" ht="20.100000000000001" customHeight="1" x14ac:dyDescent="0.25">
      <c r="A16" s="30" t="str">
        <f t="shared" si="0"/>
        <v/>
      </c>
      <c r="B16" s="41"/>
      <c r="C16" s="35" t="str">
        <f>IF(B16="","",IFERROR(VLOOKUP(B16,DB_Customers!$A:$B,2,0),"❌ Account Not Found"))</f>
        <v/>
      </c>
      <c r="D16" s="42" t="str">
        <f t="shared" ca="1" si="1"/>
        <v/>
      </c>
      <c r="E16" s="32"/>
      <c r="F16" s="31"/>
      <c r="G16" s="41"/>
      <c r="H16" s="56">
        <v>2.5</v>
      </c>
      <c r="I16" s="43" t="str">
        <f t="shared" si="2"/>
        <v/>
      </c>
      <c r="J16" s="43" t="str">
        <f t="shared" si="3"/>
        <v/>
      </c>
      <c r="K16" s="33" t="str">
        <f>IF(B16="","Pending",IF(M16="","⚠️ Enter Code",IF(IFERROR(VLOOKUP(L16,DB_Agents!$B:$F,4,0),"")=TEXT(M16,"0"),"Pending Approval","🔒 WRONG CODE")))</f>
        <v>Pending</v>
      </c>
      <c r="L16" s="30" t="s">
        <v>56</v>
      </c>
      <c r="M16" s="41"/>
      <c r="N16" s="57"/>
    </row>
    <row r="17" spans="1:14" ht="20.100000000000001" customHeight="1" x14ac:dyDescent="0.25">
      <c r="A17" s="30" t="str">
        <f t="shared" si="0"/>
        <v/>
      </c>
      <c r="B17" s="41"/>
      <c r="C17" s="35" t="str">
        <f>IF(B17="","",IFERROR(VLOOKUP(B17,DB_Customers!$A:$B,2,0),"❌ Account Not Found"))</f>
        <v/>
      </c>
      <c r="D17" s="42" t="str">
        <f t="shared" ca="1" si="1"/>
        <v/>
      </c>
      <c r="E17" s="32"/>
      <c r="F17" s="31"/>
      <c r="G17" s="41"/>
      <c r="H17" s="56">
        <v>2.5</v>
      </c>
      <c r="I17" s="43" t="str">
        <f t="shared" si="2"/>
        <v/>
      </c>
      <c r="J17" s="43" t="str">
        <f t="shared" si="3"/>
        <v/>
      </c>
      <c r="K17" s="33" t="str">
        <f>IF(B17="","Pending",IF(M17="","⚠️ Enter Code",IF(IFERROR(VLOOKUP(L17,DB_Agents!$B:$F,4,0),"")=TEXT(M17,"0"),"Pending Approval","🔒 WRONG CODE")))</f>
        <v>Pending</v>
      </c>
      <c r="L17" s="30" t="s">
        <v>56</v>
      </c>
      <c r="M17" s="41"/>
      <c r="N17" s="22"/>
    </row>
    <row r="18" spans="1:14" ht="20.100000000000001" customHeight="1" x14ac:dyDescent="0.25">
      <c r="A18" s="30" t="str">
        <f t="shared" si="0"/>
        <v/>
      </c>
      <c r="B18" s="41"/>
      <c r="C18" s="35" t="str">
        <f>IF(B18="","",IFERROR(VLOOKUP(B18,DB_Customers!$A:$B,2,0),"❌ Account Not Found"))</f>
        <v/>
      </c>
      <c r="D18" s="42" t="str">
        <f t="shared" ca="1" si="1"/>
        <v/>
      </c>
      <c r="E18" s="32"/>
      <c r="F18" s="31"/>
      <c r="G18" s="41"/>
      <c r="H18" s="56">
        <v>2.5</v>
      </c>
      <c r="I18" s="43" t="str">
        <f t="shared" si="2"/>
        <v/>
      </c>
      <c r="J18" s="43" t="str">
        <f t="shared" si="3"/>
        <v/>
      </c>
      <c r="K18" s="33" t="str">
        <f>IF(B18="","Pending",IF(M18="","⚠️ Enter Code",IF(IFERROR(VLOOKUP(L18,DB_Agents!$B:$F,4,0),"")=TEXT(M18,"0"),"Pending Approval","🔒 WRONG CODE")))</f>
        <v>Pending</v>
      </c>
      <c r="L18" s="30" t="s">
        <v>56</v>
      </c>
      <c r="M18" s="41"/>
      <c r="N18" s="57"/>
    </row>
    <row r="19" spans="1:14" ht="20.100000000000001" customHeight="1" x14ac:dyDescent="0.25">
      <c r="A19" s="30" t="str">
        <f t="shared" si="0"/>
        <v/>
      </c>
      <c r="B19" s="41"/>
      <c r="C19" s="35" t="str">
        <f>IF(B19="","",IFERROR(VLOOKUP(B19,DB_Customers!$A:$B,2,0),"❌ Account Not Found"))</f>
        <v/>
      </c>
      <c r="D19" s="42" t="str">
        <f t="shared" ca="1" si="1"/>
        <v/>
      </c>
      <c r="E19" s="32"/>
      <c r="F19" s="31"/>
      <c r="G19" s="41"/>
      <c r="H19" s="56">
        <v>2.5</v>
      </c>
      <c r="I19" s="43" t="str">
        <f t="shared" si="2"/>
        <v/>
      </c>
      <c r="J19" s="43" t="str">
        <f t="shared" si="3"/>
        <v/>
      </c>
      <c r="K19" s="33" t="str">
        <f>IF(B19="","Pending",IF(M19="","⚠️ Enter Code",IF(IFERROR(VLOOKUP(L19,DB_Agents!$B:$F,4,0),"")=TEXT(M19,"0"),"Pending Approval","🔒 WRONG CODE")))</f>
        <v>Pending</v>
      </c>
      <c r="L19" s="30" t="s">
        <v>56</v>
      </c>
      <c r="M19" s="41"/>
      <c r="N19" s="22"/>
    </row>
    <row r="20" spans="1:14" ht="20.100000000000001" customHeight="1" x14ac:dyDescent="0.25">
      <c r="A20" s="30" t="str">
        <f t="shared" si="0"/>
        <v/>
      </c>
      <c r="B20" s="41"/>
      <c r="C20" s="35" t="str">
        <f>IF(B20="","",IFERROR(VLOOKUP(B20,DB_Customers!$A:$B,2,0),"❌ Account Not Found"))</f>
        <v/>
      </c>
      <c r="D20" s="42" t="str">
        <f t="shared" ca="1" si="1"/>
        <v/>
      </c>
      <c r="E20" s="32"/>
      <c r="F20" s="31"/>
      <c r="G20" s="41"/>
      <c r="H20" s="56">
        <v>2.5</v>
      </c>
      <c r="I20" s="43" t="str">
        <f t="shared" si="2"/>
        <v/>
      </c>
      <c r="J20" s="43" t="str">
        <f t="shared" si="3"/>
        <v/>
      </c>
      <c r="K20" s="33" t="str">
        <f>IF(B20="","Pending",IF(M20="","⚠️ Enter Code",IF(IFERROR(VLOOKUP(L20,DB_Agents!$B:$F,4,0),"")=TEXT(M20,"0"),"Pending Approval","🔒 WRONG CODE")))</f>
        <v>Pending</v>
      </c>
      <c r="L20" s="30" t="s">
        <v>56</v>
      </c>
      <c r="M20" s="41"/>
      <c r="N20" s="57"/>
    </row>
    <row r="21" spans="1:14" ht="20.100000000000001" customHeight="1" x14ac:dyDescent="0.25">
      <c r="A21" s="30" t="str">
        <f t="shared" si="0"/>
        <v/>
      </c>
      <c r="B21" s="41"/>
      <c r="C21" s="35" t="str">
        <f>IF(B21="","",IFERROR(VLOOKUP(B21,DB_Customers!$A:$B,2,0),"❌ Account Not Found"))</f>
        <v/>
      </c>
      <c r="D21" s="42" t="str">
        <f t="shared" ca="1" si="1"/>
        <v/>
      </c>
      <c r="E21" s="32"/>
      <c r="F21" s="31"/>
      <c r="G21" s="41"/>
      <c r="H21" s="56">
        <v>2.5</v>
      </c>
      <c r="I21" s="43" t="str">
        <f t="shared" si="2"/>
        <v/>
      </c>
      <c r="J21" s="43" t="str">
        <f t="shared" si="3"/>
        <v/>
      </c>
      <c r="K21" s="33" t="str">
        <f>IF(B21="","Pending",IF(M21="","⚠️ Enter Code",IF(IFERROR(VLOOKUP(L21,DB_Agents!$B:$F,4,0),"")=TEXT(M21,"0"),"Pending Approval","🔒 WRONG CODE")))</f>
        <v>Pending</v>
      </c>
      <c r="L21" s="30" t="s">
        <v>56</v>
      </c>
      <c r="M21" s="41"/>
      <c r="N21" s="22"/>
    </row>
    <row r="22" spans="1:14" ht="20.100000000000001" customHeight="1" x14ac:dyDescent="0.25">
      <c r="A22" s="30" t="str">
        <f t="shared" si="0"/>
        <v/>
      </c>
      <c r="B22" s="41"/>
      <c r="C22" s="35" t="str">
        <f>IF(B22="","",IFERROR(VLOOKUP(B22,DB_Customers!$A:$B,2,0),"❌ Account Not Found"))</f>
        <v/>
      </c>
      <c r="D22" s="42" t="str">
        <f t="shared" ca="1" si="1"/>
        <v/>
      </c>
      <c r="E22" s="32"/>
      <c r="F22" s="31"/>
      <c r="G22" s="41"/>
      <c r="H22" s="56">
        <v>2.5</v>
      </c>
      <c r="I22" s="43" t="str">
        <f t="shared" si="2"/>
        <v/>
      </c>
      <c r="J22" s="43" t="str">
        <f t="shared" si="3"/>
        <v/>
      </c>
      <c r="K22" s="33" t="str">
        <f>IF(B22="","Pending",IF(M22="","⚠️ Enter Code",IF(IFERROR(VLOOKUP(L22,DB_Agents!$B:$F,4,0),"")=TEXT(M22,"0"),"Pending Approval","🔒 WRONG CODE")))</f>
        <v>Pending</v>
      </c>
      <c r="L22" s="30" t="s">
        <v>56</v>
      </c>
      <c r="M22" s="41"/>
      <c r="N22" s="57"/>
    </row>
    <row r="23" spans="1:14" ht="20.100000000000001" customHeight="1" x14ac:dyDescent="0.25">
      <c r="A23" s="30" t="str">
        <f t="shared" si="0"/>
        <v/>
      </c>
      <c r="B23" s="41"/>
      <c r="C23" s="35" t="str">
        <f>IF(B23="","",IFERROR(VLOOKUP(B23,DB_Customers!$A:$B,2,0),"❌ Account Not Found"))</f>
        <v/>
      </c>
      <c r="D23" s="42" t="str">
        <f t="shared" ca="1" si="1"/>
        <v/>
      </c>
      <c r="E23" s="32"/>
      <c r="F23" s="31"/>
      <c r="G23" s="41"/>
      <c r="H23" s="56">
        <v>2.5</v>
      </c>
      <c r="I23" s="43" t="str">
        <f t="shared" si="2"/>
        <v/>
      </c>
      <c r="J23" s="43" t="str">
        <f t="shared" si="3"/>
        <v/>
      </c>
      <c r="K23" s="33" t="str">
        <f>IF(B23="","Pending",IF(M23="","⚠️ Enter Code",IF(IFERROR(VLOOKUP(L23,DB_Agents!$B:$F,4,0),"")=TEXT(M23,"0"),"Pending Approval","🔒 WRONG CODE")))</f>
        <v>Pending</v>
      </c>
      <c r="L23" s="30" t="s">
        <v>56</v>
      </c>
      <c r="M23" s="41"/>
      <c r="N23" s="22"/>
    </row>
    <row r="24" spans="1:14" ht="20.100000000000001" customHeight="1" x14ac:dyDescent="0.25">
      <c r="A24" s="30" t="str">
        <f t="shared" si="0"/>
        <v/>
      </c>
      <c r="B24" s="41"/>
      <c r="C24" s="35" t="str">
        <f>IF(B24="","",IFERROR(VLOOKUP(B24,DB_Customers!$A:$B,2,0),"❌ Account Not Found"))</f>
        <v/>
      </c>
      <c r="D24" s="42" t="str">
        <f t="shared" ca="1" si="1"/>
        <v/>
      </c>
      <c r="E24" s="32"/>
      <c r="F24" s="31"/>
      <c r="G24" s="41"/>
      <c r="H24" s="56">
        <v>2.5</v>
      </c>
      <c r="I24" s="43" t="str">
        <f t="shared" si="2"/>
        <v/>
      </c>
      <c r="J24" s="43" t="str">
        <f t="shared" si="3"/>
        <v/>
      </c>
      <c r="K24" s="33" t="str">
        <f>IF(B24="","Pending",IF(M24="","⚠️ Enter Code",IF(IFERROR(VLOOKUP(L24,DB_Agents!$B:$F,4,0),"")=TEXT(M24,"0"),"Pending Approval","🔒 WRONG CODE")))</f>
        <v>Pending</v>
      </c>
      <c r="L24" s="30" t="s">
        <v>56</v>
      </c>
      <c r="M24" s="41"/>
      <c r="N24" s="57"/>
    </row>
    <row r="25" spans="1:14" ht="20.100000000000001" customHeight="1" x14ac:dyDescent="0.25">
      <c r="A25" s="30" t="str">
        <f t="shared" si="0"/>
        <v/>
      </c>
      <c r="B25" s="41"/>
      <c r="C25" s="35" t="str">
        <f>IF(B25="","",IFERROR(VLOOKUP(B25,DB_Customers!$A:$B,2,0),"❌ Account Not Found"))</f>
        <v/>
      </c>
      <c r="D25" s="42" t="str">
        <f t="shared" ca="1" si="1"/>
        <v/>
      </c>
      <c r="E25" s="32"/>
      <c r="F25" s="31"/>
      <c r="G25" s="41"/>
      <c r="H25" s="56">
        <v>2.5</v>
      </c>
      <c r="I25" s="43" t="str">
        <f t="shared" si="2"/>
        <v/>
      </c>
      <c r="J25" s="43" t="str">
        <f t="shared" si="3"/>
        <v/>
      </c>
      <c r="K25" s="33" t="str">
        <f>IF(B25="","Pending",IF(M25="","⚠️ Enter Code",IF(IFERROR(VLOOKUP(L25,DB_Agents!$B:$F,4,0),"")=TEXT(M25,"0"),"Pending Approval","🔒 WRONG CODE")))</f>
        <v>Pending</v>
      </c>
      <c r="L25" s="30" t="s">
        <v>56</v>
      </c>
      <c r="M25" s="41"/>
      <c r="N25" s="22"/>
    </row>
    <row r="26" spans="1:14" ht="20.100000000000001" customHeight="1" x14ac:dyDescent="0.25">
      <c r="A26" s="30" t="str">
        <f t="shared" si="0"/>
        <v/>
      </c>
      <c r="B26" s="41"/>
      <c r="C26" s="35" t="str">
        <f>IF(B26="","",IFERROR(VLOOKUP(B26,DB_Customers!$A:$B,2,0),"❌ Account Not Found"))</f>
        <v/>
      </c>
      <c r="D26" s="42" t="str">
        <f t="shared" ca="1" si="1"/>
        <v/>
      </c>
      <c r="E26" s="32"/>
      <c r="F26" s="31"/>
      <c r="G26" s="41"/>
      <c r="H26" s="56">
        <v>2.5</v>
      </c>
      <c r="I26" s="43" t="str">
        <f t="shared" si="2"/>
        <v/>
      </c>
      <c r="J26" s="43" t="str">
        <f t="shared" si="3"/>
        <v/>
      </c>
      <c r="K26" s="33" t="str">
        <f>IF(B26="","Pending",IF(M26="","⚠️ Enter Code",IF(IFERROR(VLOOKUP(L26,DB_Agents!$B:$F,4,0),"")=TEXT(M26,"0"),"Pending Approval","🔒 WRONG CODE")))</f>
        <v>Pending</v>
      </c>
      <c r="L26" s="30" t="s">
        <v>56</v>
      </c>
      <c r="M26" s="41"/>
      <c r="N26" s="57"/>
    </row>
    <row r="27" spans="1:14" ht="20.100000000000001" customHeight="1" x14ac:dyDescent="0.25">
      <c r="A27" s="30" t="str">
        <f t="shared" si="0"/>
        <v/>
      </c>
      <c r="B27" s="41"/>
      <c r="C27" s="35" t="str">
        <f>IF(B27="","",IFERROR(VLOOKUP(B27,DB_Customers!$A:$B,2,0),"❌ Account Not Found"))</f>
        <v/>
      </c>
      <c r="D27" s="42" t="str">
        <f t="shared" ca="1" si="1"/>
        <v/>
      </c>
      <c r="E27" s="32"/>
      <c r="F27" s="31"/>
      <c r="G27" s="41"/>
      <c r="H27" s="56">
        <v>2.5</v>
      </c>
      <c r="I27" s="43" t="str">
        <f t="shared" si="2"/>
        <v/>
      </c>
      <c r="J27" s="43" t="str">
        <f t="shared" si="3"/>
        <v/>
      </c>
      <c r="K27" s="33" t="str">
        <f>IF(B27="","Pending",IF(M27="","⚠️ Enter Code",IF(IFERROR(VLOOKUP(L27,DB_Agents!$B:$F,4,0),"")=TEXT(M27,"0"),"Pending Approval","🔒 WRONG CODE")))</f>
        <v>Pending</v>
      </c>
      <c r="L27" s="30" t="s">
        <v>56</v>
      </c>
      <c r="M27" s="41"/>
      <c r="N27" s="22"/>
    </row>
    <row r="28" spans="1:14" ht="20.100000000000001" customHeight="1" x14ac:dyDescent="0.25">
      <c r="A28" s="30" t="str">
        <f t="shared" si="0"/>
        <v/>
      </c>
      <c r="B28" s="41"/>
      <c r="C28" s="35" t="str">
        <f>IF(B28="","",IFERROR(VLOOKUP(B28,DB_Customers!$A:$B,2,0),"❌ Account Not Found"))</f>
        <v/>
      </c>
      <c r="D28" s="42" t="str">
        <f t="shared" ca="1" si="1"/>
        <v/>
      </c>
      <c r="E28" s="32"/>
      <c r="F28" s="31"/>
      <c r="G28" s="41"/>
      <c r="H28" s="56">
        <v>2.5</v>
      </c>
      <c r="I28" s="43" t="str">
        <f t="shared" si="2"/>
        <v/>
      </c>
      <c r="J28" s="43" t="str">
        <f t="shared" si="3"/>
        <v/>
      </c>
      <c r="K28" s="33" t="str">
        <f>IF(B28="","Pending",IF(M28="","⚠️ Enter Code",IF(IFERROR(VLOOKUP(L28,DB_Agents!$B:$F,4,0),"")=TEXT(M28,"0"),"Pending Approval","🔒 WRONG CODE")))</f>
        <v>Pending</v>
      </c>
      <c r="L28" s="30" t="s">
        <v>56</v>
      </c>
      <c r="M28" s="41"/>
      <c r="N28" s="57"/>
    </row>
    <row r="29" spans="1:14" ht="20.100000000000001" customHeight="1" x14ac:dyDescent="0.25">
      <c r="A29" s="30" t="str">
        <f t="shared" si="0"/>
        <v/>
      </c>
      <c r="B29" s="41"/>
      <c r="C29" s="35" t="str">
        <f>IF(B29="","",IFERROR(VLOOKUP(B29,DB_Customers!$A:$B,2,0),"❌ Account Not Found"))</f>
        <v/>
      </c>
      <c r="D29" s="42" t="str">
        <f t="shared" ca="1" si="1"/>
        <v/>
      </c>
      <c r="E29" s="32"/>
      <c r="F29" s="31"/>
      <c r="G29" s="41"/>
      <c r="H29" s="56">
        <v>2.5</v>
      </c>
      <c r="I29" s="43" t="str">
        <f t="shared" si="2"/>
        <v/>
      </c>
      <c r="J29" s="43" t="str">
        <f t="shared" si="3"/>
        <v/>
      </c>
      <c r="K29" s="33" t="str">
        <f>IF(B29="","Pending",IF(M29="","⚠️ Enter Code",IF(IFERROR(VLOOKUP(L29,DB_Agents!$B:$F,4,0),"")=TEXT(M29,"0"),"Pending Approval","🔒 WRONG CODE")))</f>
        <v>Pending</v>
      </c>
      <c r="L29" s="30" t="s">
        <v>56</v>
      </c>
      <c r="M29" s="41"/>
      <c r="N29" s="22"/>
    </row>
    <row r="30" spans="1:14" ht="20.100000000000001" customHeight="1" x14ac:dyDescent="0.25">
      <c r="A30" s="30" t="str">
        <f t="shared" si="0"/>
        <v/>
      </c>
      <c r="B30" s="41"/>
      <c r="C30" s="35" t="str">
        <f>IF(B30="","",IFERROR(VLOOKUP(B30,DB_Customers!$A:$B,2,0),"❌ Account Not Found"))</f>
        <v/>
      </c>
      <c r="D30" s="42" t="str">
        <f t="shared" ca="1" si="1"/>
        <v/>
      </c>
      <c r="E30" s="32"/>
      <c r="F30" s="31"/>
      <c r="G30" s="41"/>
      <c r="H30" s="56">
        <v>2.5</v>
      </c>
      <c r="I30" s="43" t="str">
        <f t="shared" si="2"/>
        <v/>
      </c>
      <c r="J30" s="43" t="str">
        <f t="shared" si="3"/>
        <v/>
      </c>
      <c r="K30" s="33" t="str">
        <f>IF(B30="","Pending",IF(M30="","⚠️ Enter Code",IF(IFERROR(VLOOKUP(L30,DB_Agents!$B:$F,4,0),"")=TEXT(M30,"0"),"Pending Approval","🔒 WRONG CODE")))</f>
        <v>Pending</v>
      </c>
      <c r="L30" s="30" t="s">
        <v>56</v>
      </c>
      <c r="M30" s="41"/>
      <c r="N30" s="57"/>
    </row>
    <row r="31" spans="1:14" ht="20.100000000000001" customHeight="1" x14ac:dyDescent="0.25">
      <c r="A31" s="30" t="str">
        <f t="shared" si="0"/>
        <v/>
      </c>
      <c r="B31" s="41"/>
      <c r="C31" s="35" t="str">
        <f>IF(B31="","",IFERROR(VLOOKUP(B31,DB_Customers!$A:$B,2,0),"❌ Account Not Found"))</f>
        <v/>
      </c>
      <c r="D31" s="42" t="str">
        <f t="shared" ca="1" si="1"/>
        <v/>
      </c>
      <c r="E31" s="32"/>
      <c r="F31" s="31"/>
      <c r="G31" s="41"/>
      <c r="H31" s="56">
        <v>2.5</v>
      </c>
      <c r="I31" s="43" t="str">
        <f t="shared" si="2"/>
        <v/>
      </c>
      <c r="J31" s="43" t="str">
        <f t="shared" si="3"/>
        <v/>
      </c>
      <c r="K31" s="33" t="str">
        <f>IF(B31="","Pending",IF(M31="","⚠️ Enter Code",IF(IFERROR(VLOOKUP(L31,DB_Agents!$B:$F,4,0),"")=TEXT(M31,"0"),"Pending Approval","🔒 WRONG CODE")))</f>
        <v>Pending</v>
      </c>
      <c r="L31" s="30" t="s">
        <v>56</v>
      </c>
      <c r="M31" s="41"/>
      <c r="N31" s="22"/>
    </row>
    <row r="32" spans="1:14" ht="20.100000000000001" customHeight="1" x14ac:dyDescent="0.25">
      <c r="A32" s="30" t="str">
        <f t="shared" si="0"/>
        <v/>
      </c>
      <c r="B32" s="41"/>
      <c r="C32" s="35" t="str">
        <f>IF(B32="","",IFERROR(VLOOKUP(B32,DB_Customers!$A:$B,2,0),"❌ Account Not Found"))</f>
        <v/>
      </c>
      <c r="D32" s="42" t="str">
        <f t="shared" ca="1" si="1"/>
        <v/>
      </c>
      <c r="E32" s="32"/>
      <c r="F32" s="31"/>
      <c r="G32" s="41"/>
      <c r="H32" s="56">
        <v>2.5</v>
      </c>
      <c r="I32" s="43" t="str">
        <f t="shared" si="2"/>
        <v/>
      </c>
      <c r="J32" s="43" t="str">
        <f t="shared" si="3"/>
        <v/>
      </c>
      <c r="K32" s="33" t="str">
        <f>IF(B32="","Pending",IF(M32="","⚠️ Enter Code",IF(IFERROR(VLOOKUP(L32,DB_Agents!$B:$F,4,0),"")=TEXT(M32,"0"),"Pending Approval","🔒 WRONG CODE")))</f>
        <v>Pending</v>
      </c>
      <c r="L32" s="30" t="s">
        <v>56</v>
      </c>
      <c r="M32" s="41"/>
      <c r="N32" s="57"/>
    </row>
    <row r="33" spans="1:14" ht="20.100000000000001" customHeight="1" x14ac:dyDescent="0.25">
      <c r="A33" s="30" t="str">
        <f t="shared" si="0"/>
        <v/>
      </c>
      <c r="B33" s="41"/>
      <c r="C33" s="35" t="str">
        <f>IF(B33="","",IFERROR(VLOOKUP(B33,DB_Customers!$A:$B,2,0),"❌ Account Not Found"))</f>
        <v/>
      </c>
      <c r="D33" s="42" t="str">
        <f t="shared" ca="1" si="1"/>
        <v/>
      </c>
      <c r="E33" s="32"/>
      <c r="F33" s="31"/>
      <c r="G33" s="41"/>
      <c r="H33" s="56">
        <v>2.5</v>
      </c>
      <c r="I33" s="43" t="str">
        <f t="shared" si="2"/>
        <v/>
      </c>
      <c r="J33" s="43" t="str">
        <f t="shared" si="3"/>
        <v/>
      </c>
      <c r="K33" s="33" t="str">
        <f>IF(B33="","Pending",IF(M33="","⚠️ Enter Code",IF(IFERROR(VLOOKUP(L33,DB_Agents!$B:$F,4,0),"")=TEXT(M33,"0"),"Pending Approval","🔒 WRONG CODE")))</f>
        <v>Pending</v>
      </c>
      <c r="L33" s="30" t="s">
        <v>56</v>
      </c>
      <c r="M33" s="41"/>
      <c r="N33" s="22"/>
    </row>
    <row r="34" spans="1:14" ht="20.100000000000001" customHeight="1" x14ac:dyDescent="0.25">
      <c r="A34" s="30" t="str">
        <f t="shared" si="0"/>
        <v/>
      </c>
      <c r="B34" s="41"/>
      <c r="C34" s="35" t="str">
        <f>IF(B34="","",IFERROR(VLOOKUP(B34,DB_Customers!$A:$B,2,0),"❌ Account Not Found"))</f>
        <v/>
      </c>
      <c r="D34" s="42" t="str">
        <f t="shared" ca="1" si="1"/>
        <v/>
      </c>
      <c r="E34" s="32"/>
      <c r="F34" s="31"/>
      <c r="G34" s="41"/>
      <c r="H34" s="56">
        <v>2.5</v>
      </c>
      <c r="I34" s="43" t="str">
        <f t="shared" si="2"/>
        <v/>
      </c>
      <c r="J34" s="43" t="str">
        <f t="shared" si="3"/>
        <v/>
      </c>
      <c r="K34" s="33" t="str">
        <f>IF(B34="","Pending",IF(M34="","⚠️ Enter Code",IF(IFERROR(VLOOKUP(L34,DB_Agents!$B:$F,4,0),"")=TEXT(M34,"0"),"Pending Approval","🔒 WRONG CODE")))</f>
        <v>Pending</v>
      </c>
      <c r="L34" s="30" t="s">
        <v>56</v>
      </c>
      <c r="M34" s="41"/>
      <c r="N34" s="57"/>
    </row>
    <row r="35" spans="1:14" ht="20.100000000000001" customHeight="1" x14ac:dyDescent="0.25">
      <c r="A35" s="30" t="str">
        <f t="shared" si="0"/>
        <v/>
      </c>
      <c r="B35" s="41"/>
      <c r="C35" s="35" t="str">
        <f>IF(B35="","",IFERROR(VLOOKUP(B35,DB_Customers!$A:$B,2,0),"❌ Account Not Found"))</f>
        <v/>
      </c>
      <c r="D35" s="42" t="str">
        <f t="shared" ca="1" si="1"/>
        <v/>
      </c>
      <c r="E35" s="32"/>
      <c r="F35" s="31"/>
      <c r="G35" s="41"/>
      <c r="H35" s="56">
        <v>2.5</v>
      </c>
      <c r="I35" s="43" t="str">
        <f t="shared" si="2"/>
        <v/>
      </c>
      <c r="J35" s="43" t="str">
        <f t="shared" si="3"/>
        <v/>
      </c>
      <c r="K35" s="33" t="str">
        <f>IF(B35="","Pending",IF(M35="","⚠️ Enter Code",IF(IFERROR(VLOOKUP(L35,DB_Agents!$B:$F,4,0),"")=TEXT(M35,"0"),"Pending Approval","🔒 WRONG CODE")))</f>
        <v>Pending</v>
      </c>
      <c r="L35" s="30" t="s">
        <v>56</v>
      </c>
      <c r="M35" s="41"/>
      <c r="N35" s="22"/>
    </row>
    <row r="36" spans="1:14" ht="20.100000000000001" customHeight="1" x14ac:dyDescent="0.25">
      <c r="A36" s="30" t="str">
        <f t="shared" si="0"/>
        <v/>
      </c>
      <c r="B36" s="41"/>
      <c r="C36" s="35" t="str">
        <f>IF(B36="","",IFERROR(VLOOKUP(B36,DB_Customers!$A:$B,2,0),"❌ Account Not Found"))</f>
        <v/>
      </c>
      <c r="D36" s="42" t="str">
        <f t="shared" ca="1" si="1"/>
        <v/>
      </c>
      <c r="E36" s="32"/>
      <c r="F36" s="31"/>
      <c r="G36" s="41"/>
      <c r="H36" s="56">
        <v>2.5</v>
      </c>
      <c r="I36" s="43" t="str">
        <f t="shared" si="2"/>
        <v/>
      </c>
      <c r="J36" s="43" t="str">
        <f t="shared" si="3"/>
        <v/>
      </c>
      <c r="K36" s="33" t="str">
        <f>IF(B36="","Pending",IF(M36="","⚠️ Enter Code",IF(IFERROR(VLOOKUP(L36,DB_Agents!$B:$F,4,0),"")=TEXT(M36,"0"),"Pending Approval","🔒 WRONG CODE")))</f>
        <v>Pending</v>
      </c>
      <c r="L36" s="30" t="s">
        <v>56</v>
      </c>
      <c r="M36" s="41"/>
      <c r="N36" s="57"/>
    </row>
    <row r="37" spans="1:14" ht="20.100000000000001" customHeight="1" x14ac:dyDescent="0.25">
      <c r="A37" s="30" t="str">
        <f t="shared" si="0"/>
        <v/>
      </c>
      <c r="B37" s="41"/>
      <c r="C37" s="35" t="str">
        <f>IF(B37="","",IFERROR(VLOOKUP(B37,DB_Customers!$A:$B,2,0),"❌ Account Not Found"))</f>
        <v/>
      </c>
      <c r="D37" s="42" t="str">
        <f t="shared" ca="1" si="1"/>
        <v/>
      </c>
      <c r="E37" s="32"/>
      <c r="F37" s="31"/>
      <c r="G37" s="41"/>
      <c r="H37" s="56">
        <v>2.5</v>
      </c>
      <c r="I37" s="43" t="str">
        <f t="shared" si="2"/>
        <v/>
      </c>
      <c r="J37" s="43" t="str">
        <f t="shared" si="3"/>
        <v/>
      </c>
      <c r="K37" s="33" t="str">
        <f>IF(B37="","Pending",IF(M37="","⚠️ Enter Code",IF(IFERROR(VLOOKUP(L37,DB_Agents!$B:$F,4,0),"")=TEXT(M37,"0"),"Pending Approval","🔒 WRONG CODE")))</f>
        <v>Pending</v>
      </c>
      <c r="L37" s="30" t="s">
        <v>56</v>
      </c>
      <c r="M37" s="41"/>
      <c r="N37" s="22"/>
    </row>
    <row r="38" spans="1:14" ht="20.100000000000001" customHeight="1" x14ac:dyDescent="0.25">
      <c r="A38" s="30" t="str">
        <f t="shared" si="0"/>
        <v/>
      </c>
      <c r="B38" s="41"/>
      <c r="C38" s="35" t="str">
        <f>IF(B38="","",IFERROR(VLOOKUP(B38,DB_Customers!$A:$B,2,0),"❌ Account Not Found"))</f>
        <v/>
      </c>
      <c r="D38" s="42" t="str">
        <f t="shared" ca="1" si="1"/>
        <v/>
      </c>
      <c r="E38" s="32"/>
      <c r="F38" s="31"/>
      <c r="G38" s="41"/>
      <c r="H38" s="56">
        <v>2.5</v>
      </c>
      <c r="I38" s="43" t="str">
        <f t="shared" si="2"/>
        <v/>
      </c>
      <c r="J38" s="43" t="str">
        <f t="shared" si="3"/>
        <v/>
      </c>
      <c r="K38" s="33" t="str">
        <f>IF(B38="","Pending",IF(M38="","⚠️ Enter Code",IF(IFERROR(VLOOKUP(L38,DB_Agents!$B:$F,4,0),"")=TEXT(M38,"0"),"Pending Approval","🔒 WRONG CODE")))</f>
        <v>Pending</v>
      </c>
      <c r="L38" s="30" t="s">
        <v>56</v>
      </c>
      <c r="M38" s="41"/>
      <c r="N38" s="57"/>
    </row>
    <row r="39" spans="1:14" ht="20.100000000000001" customHeight="1" x14ac:dyDescent="0.25">
      <c r="A39" s="30" t="str">
        <f t="shared" si="0"/>
        <v/>
      </c>
      <c r="B39" s="41"/>
      <c r="C39" s="35" t="str">
        <f>IF(B39="","",IFERROR(VLOOKUP(B39,DB_Customers!$A:$B,2,0),"❌ Account Not Found"))</f>
        <v/>
      </c>
      <c r="D39" s="42" t="str">
        <f t="shared" ca="1" si="1"/>
        <v/>
      </c>
      <c r="E39" s="32"/>
      <c r="F39" s="31"/>
      <c r="G39" s="41"/>
      <c r="H39" s="56">
        <v>2.5</v>
      </c>
      <c r="I39" s="43" t="str">
        <f t="shared" si="2"/>
        <v/>
      </c>
      <c r="J39" s="43" t="str">
        <f t="shared" si="3"/>
        <v/>
      </c>
      <c r="K39" s="33" t="str">
        <f>IF(B39="","Pending",IF(M39="","⚠️ Enter Code",IF(IFERROR(VLOOKUP(L39,DB_Agents!$B:$F,4,0),"")=TEXT(M39,"0"),"Pending Approval","🔒 WRONG CODE")))</f>
        <v>Pending</v>
      </c>
      <c r="L39" s="30" t="s">
        <v>56</v>
      </c>
      <c r="M39" s="41"/>
      <c r="N39" s="22"/>
    </row>
    <row r="40" spans="1:14" ht="20.100000000000001" customHeight="1" x14ac:dyDescent="0.25">
      <c r="A40" s="30" t="str">
        <f t="shared" si="0"/>
        <v/>
      </c>
      <c r="B40" s="41"/>
      <c r="C40" s="35" t="str">
        <f>IF(B40="","",IFERROR(VLOOKUP(B40,DB_Customers!$A:$B,2,0),"❌ Account Not Found"))</f>
        <v/>
      </c>
      <c r="D40" s="42" t="str">
        <f t="shared" ca="1" si="1"/>
        <v/>
      </c>
      <c r="E40" s="32"/>
      <c r="F40" s="31"/>
      <c r="G40" s="41"/>
      <c r="H40" s="56">
        <v>2.5</v>
      </c>
      <c r="I40" s="43" t="str">
        <f t="shared" si="2"/>
        <v/>
      </c>
      <c r="J40" s="43" t="str">
        <f t="shared" si="3"/>
        <v/>
      </c>
      <c r="K40" s="33" t="str">
        <f>IF(B40="","Pending",IF(M40="","⚠️ Enter Code",IF(IFERROR(VLOOKUP(L40,DB_Agents!$B:$F,4,0),"")=TEXT(M40,"0"),"Pending Approval","🔒 WRONG CODE")))</f>
        <v>Pending</v>
      </c>
      <c r="L40" s="30" t="s">
        <v>56</v>
      </c>
      <c r="M40" s="41"/>
      <c r="N40" s="57"/>
    </row>
    <row r="41" spans="1:14" ht="20.100000000000001" customHeight="1" x14ac:dyDescent="0.25">
      <c r="A41" s="30" t="str">
        <f t="shared" si="0"/>
        <v/>
      </c>
      <c r="B41" s="41"/>
      <c r="C41" s="35" t="str">
        <f>IF(B41="","",IFERROR(VLOOKUP(B41,DB_Customers!$A:$B,2,0),"❌ Account Not Found"))</f>
        <v/>
      </c>
      <c r="D41" s="42" t="str">
        <f t="shared" ca="1" si="1"/>
        <v/>
      </c>
      <c r="E41" s="32"/>
      <c r="F41" s="31"/>
      <c r="G41" s="41"/>
      <c r="H41" s="56">
        <v>2.5</v>
      </c>
      <c r="I41" s="43" t="str">
        <f t="shared" si="2"/>
        <v/>
      </c>
      <c r="J41" s="43" t="str">
        <f t="shared" si="3"/>
        <v/>
      </c>
      <c r="K41" s="33" t="str">
        <f>IF(B41="","Pending",IF(M41="","⚠️ Enter Code",IF(IFERROR(VLOOKUP(L41,DB_Agents!$B:$F,4,0),"")=TEXT(M41,"0"),"Pending Approval","🔒 WRONG CODE")))</f>
        <v>Pending</v>
      </c>
      <c r="L41" s="30" t="s">
        <v>56</v>
      </c>
      <c r="M41" s="41"/>
      <c r="N41" s="22"/>
    </row>
    <row r="42" spans="1:14" ht="20.100000000000001" customHeight="1" x14ac:dyDescent="0.25">
      <c r="A42" s="30" t="str">
        <f t="shared" si="0"/>
        <v/>
      </c>
      <c r="B42" s="41"/>
      <c r="C42" s="35" t="str">
        <f>IF(B42="","",IFERROR(VLOOKUP(B42,DB_Customers!$A:$B,2,0),"❌ Account Not Found"))</f>
        <v/>
      </c>
      <c r="D42" s="42" t="str">
        <f t="shared" ca="1" si="1"/>
        <v/>
      </c>
      <c r="E42" s="32"/>
      <c r="F42" s="31"/>
      <c r="G42" s="41"/>
      <c r="H42" s="56">
        <v>2.5</v>
      </c>
      <c r="I42" s="43" t="str">
        <f t="shared" si="2"/>
        <v/>
      </c>
      <c r="J42" s="43" t="str">
        <f t="shared" si="3"/>
        <v/>
      </c>
      <c r="K42" s="33" t="str">
        <f>IF(B42="","Pending",IF(M42="","⚠️ Enter Code",IF(IFERROR(VLOOKUP(L42,DB_Agents!$B:$F,4,0),"")=TEXT(M42,"0"),"Pending Approval","🔒 WRONG CODE")))</f>
        <v>Pending</v>
      </c>
      <c r="L42" s="30" t="s">
        <v>56</v>
      </c>
      <c r="M42" s="41"/>
      <c r="N42" s="57"/>
    </row>
    <row r="43" spans="1:14" ht="20.100000000000001" customHeight="1" x14ac:dyDescent="0.25">
      <c r="A43" s="30" t="str">
        <f t="shared" si="0"/>
        <v/>
      </c>
      <c r="B43" s="41"/>
      <c r="C43" s="35" t="str">
        <f>IF(B43="","",IFERROR(VLOOKUP(B43,DB_Customers!$A:$B,2,0),"❌ Account Not Found"))</f>
        <v/>
      </c>
      <c r="D43" s="42" t="str">
        <f t="shared" ca="1" si="1"/>
        <v/>
      </c>
      <c r="E43" s="32"/>
      <c r="F43" s="31"/>
      <c r="G43" s="41"/>
      <c r="H43" s="56">
        <v>2.5</v>
      </c>
      <c r="I43" s="43" t="str">
        <f t="shared" si="2"/>
        <v/>
      </c>
      <c r="J43" s="43" t="str">
        <f t="shared" si="3"/>
        <v/>
      </c>
      <c r="K43" s="33" t="str">
        <f>IF(B43="","Pending",IF(M43="","⚠️ Enter Code",IF(IFERROR(VLOOKUP(L43,DB_Agents!$B:$F,4,0),"")=TEXT(M43,"0"),"Pending Approval","🔒 WRONG CODE")))</f>
        <v>Pending</v>
      </c>
      <c r="L43" s="30" t="s">
        <v>56</v>
      </c>
      <c r="M43" s="41"/>
      <c r="N43" s="22"/>
    </row>
    <row r="44" spans="1:14" ht="20.100000000000001" customHeight="1" x14ac:dyDescent="0.25">
      <c r="A44" s="30" t="str">
        <f t="shared" si="0"/>
        <v/>
      </c>
      <c r="B44" s="41"/>
      <c r="C44" s="35" t="str">
        <f>IF(B44="","",IFERROR(VLOOKUP(B44,DB_Customers!$A:$B,2,0),"❌ Account Not Found"))</f>
        <v/>
      </c>
      <c r="D44" s="42" t="str">
        <f t="shared" ca="1" si="1"/>
        <v/>
      </c>
      <c r="E44" s="32"/>
      <c r="F44" s="31"/>
      <c r="G44" s="41"/>
      <c r="H44" s="56">
        <v>2.5</v>
      </c>
      <c r="I44" s="43" t="str">
        <f t="shared" si="2"/>
        <v/>
      </c>
      <c r="J44" s="43" t="str">
        <f t="shared" si="3"/>
        <v/>
      </c>
      <c r="K44" s="33" t="str">
        <f>IF(B44="","Pending",IF(M44="","⚠️ Enter Code",IF(IFERROR(VLOOKUP(L44,DB_Agents!$B:$F,4,0),"")=TEXT(M44,"0"),"Pending Approval","🔒 WRONG CODE")))</f>
        <v>Pending</v>
      </c>
      <c r="L44" s="30" t="s">
        <v>56</v>
      </c>
      <c r="M44" s="41"/>
      <c r="N44" s="57"/>
    </row>
    <row r="45" spans="1:14" ht="20.100000000000001" customHeight="1" x14ac:dyDescent="0.25">
      <c r="A45" s="30" t="str">
        <f t="shared" si="0"/>
        <v/>
      </c>
      <c r="B45" s="41"/>
      <c r="C45" s="35" t="str">
        <f>IF(B45="","",IFERROR(VLOOKUP(B45,DB_Customers!$A:$B,2,0),"❌ Account Not Found"))</f>
        <v/>
      </c>
      <c r="D45" s="42" t="str">
        <f t="shared" ca="1" si="1"/>
        <v/>
      </c>
      <c r="E45" s="32"/>
      <c r="F45" s="31"/>
      <c r="G45" s="41"/>
      <c r="H45" s="56">
        <v>2.5</v>
      </c>
      <c r="I45" s="43" t="str">
        <f t="shared" si="2"/>
        <v/>
      </c>
      <c r="J45" s="43" t="str">
        <f t="shared" si="3"/>
        <v/>
      </c>
      <c r="K45" s="33" t="str">
        <f>IF(B45="","Pending",IF(M45="","⚠️ Enter Code",IF(IFERROR(VLOOKUP(L45,DB_Agents!$B:$F,4,0),"")=TEXT(M45,"0"),"Pending Approval","🔒 WRONG CODE")))</f>
        <v>Pending</v>
      </c>
      <c r="L45" s="30" t="s">
        <v>56</v>
      </c>
      <c r="M45" s="41"/>
      <c r="N45" s="22"/>
    </row>
    <row r="46" spans="1:14" ht="20.100000000000001" customHeight="1" x14ac:dyDescent="0.25">
      <c r="A46" s="30" t="str">
        <f t="shared" ref="A46:A77" si="4">IF(B46="","",IF(C46="❌ Account Not Found","INVALID","LN"&amp;TEXT(D46,"YYYYMMDD")&amp;TEXT(ROW()-13,"0000")))</f>
        <v/>
      </c>
      <c r="B46" s="41"/>
      <c r="C46" s="35" t="str">
        <f>IF(B46="","",IFERROR(VLOOKUP(B46,DB_Customers!$A:$B,2,0),"❌ Account Not Found"))</f>
        <v/>
      </c>
      <c r="D46" s="42" t="str">
        <f t="shared" ref="D46:D77" ca="1" si="5">IF(B46="","",TODAY())</f>
        <v/>
      </c>
      <c r="E46" s="32"/>
      <c r="F46" s="31"/>
      <c r="G46" s="41"/>
      <c r="H46" s="56">
        <v>2.5</v>
      </c>
      <c r="I46" s="43" t="str">
        <f t="shared" ref="I46:I77" si="6">IF(E46="","",E46+(E46*H46/100*G46))</f>
        <v/>
      </c>
      <c r="J46" s="43" t="str">
        <f t="shared" ref="J46:J77" si="7">IFERROR(I46/G46,"")</f>
        <v/>
      </c>
      <c r="K46" s="33" t="str">
        <f>IF(B46="","Pending",IF(M46="","⚠️ Enter Code",IF(IFERROR(VLOOKUP(L46,DB_Agents!$B:$F,4,0),"")=TEXT(M46,"0"),"Pending Approval","🔒 WRONG CODE")))</f>
        <v>Pending</v>
      </c>
      <c r="L46" s="30" t="s">
        <v>56</v>
      </c>
      <c r="M46" s="41"/>
      <c r="N46" s="57"/>
    </row>
    <row r="47" spans="1:14" ht="20.100000000000001" customHeight="1" x14ac:dyDescent="0.25">
      <c r="A47" s="30" t="str">
        <f t="shared" si="4"/>
        <v/>
      </c>
      <c r="B47" s="41"/>
      <c r="C47" s="35" t="str">
        <f>IF(B47="","",IFERROR(VLOOKUP(B47,DB_Customers!$A:$B,2,0),"❌ Account Not Found"))</f>
        <v/>
      </c>
      <c r="D47" s="42" t="str">
        <f t="shared" ca="1" si="5"/>
        <v/>
      </c>
      <c r="E47" s="32"/>
      <c r="F47" s="31"/>
      <c r="G47" s="41"/>
      <c r="H47" s="56">
        <v>2.5</v>
      </c>
      <c r="I47" s="43" t="str">
        <f t="shared" si="6"/>
        <v/>
      </c>
      <c r="J47" s="43" t="str">
        <f t="shared" si="7"/>
        <v/>
      </c>
      <c r="K47" s="33" t="str">
        <f>IF(B47="","Pending",IF(M47="","⚠️ Enter Code",IF(IFERROR(VLOOKUP(L47,DB_Agents!$B:$F,4,0),"")=TEXT(M47,"0"),"Pending Approval","🔒 WRONG CODE")))</f>
        <v>Pending</v>
      </c>
      <c r="L47" s="30" t="s">
        <v>56</v>
      </c>
      <c r="M47" s="41"/>
      <c r="N47" s="22"/>
    </row>
    <row r="48" spans="1:14" ht="20.100000000000001" customHeight="1" x14ac:dyDescent="0.25">
      <c r="A48" s="30" t="str">
        <f t="shared" si="4"/>
        <v/>
      </c>
      <c r="B48" s="41"/>
      <c r="C48" s="35" t="str">
        <f>IF(B48="","",IFERROR(VLOOKUP(B48,DB_Customers!$A:$B,2,0),"❌ Account Not Found"))</f>
        <v/>
      </c>
      <c r="D48" s="42" t="str">
        <f t="shared" ca="1" si="5"/>
        <v/>
      </c>
      <c r="E48" s="32"/>
      <c r="F48" s="31"/>
      <c r="G48" s="41"/>
      <c r="H48" s="56">
        <v>2.5</v>
      </c>
      <c r="I48" s="43" t="str">
        <f t="shared" si="6"/>
        <v/>
      </c>
      <c r="J48" s="43" t="str">
        <f t="shared" si="7"/>
        <v/>
      </c>
      <c r="K48" s="33" t="str">
        <f>IF(B48="","Pending",IF(M48="","⚠️ Enter Code",IF(IFERROR(VLOOKUP(L48,DB_Agents!$B:$F,4,0),"")=TEXT(M48,"0"),"Pending Approval","🔒 WRONG CODE")))</f>
        <v>Pending</v>
      </c>
      <c r="L48" s="30" t="s">
        <v>56</v>
      </c>
      <c r="M48" s="41"/>
      <c r="N48" s="57"/>
    </row>
    <row r="49" spans="1:14" ht="20.100000000000001" customHeight="1" x14ac:dyDescent="0.25">
      <c r="A49" s="30" t="str">
        <f t="shared" si="4"/>
        <v/>
      </c>
      <c r="B49" s="41"/>
      <c r="C49" s="35" t="str">
        <f>IF(B49="","",IFERROR(VLOOKUP(B49,DB_Customers!$A:$B,2,0),"❌ Account Not Found"))</f>
        <v/>
      </c>
      <c r="D49" s="42" t="str">
        <f t="shared" ca="1" si="5"/>
        <v/>
      </c>
      <c r="E49" s="32"/>
      <c r="F49" s="31"/>
      <c r="G49" s="41"/>
      <c r="H49" s="56">
        <v>2.5</v>
      </c>
      <c r="I49" s="43" t="str">
        <f t="shared" si="6"/>
        <v/>
      </c>
      <c r="J49" s="43" t="str">
        <f t="shared" si="7"/>
        <v/>
      </c>
      <c r="K49" s="33" t="str">
        <f>IF(B49="","Pending",IF(M49="","⚠️ Enter Code",IF(IFERROR(VLOOKUP(L49,DB_Agents!$B:$F,4,0),"")=TEXT(M49,"0"),"Pending Approval","🔒 WRONG CODE")))</f>
        <v>Pending</v>
      </c>
      <c r="L49" s="30" t="s">
        <v>56</v>
      </c>
      <c r="M49" s="41"/>
      <c r="N49" s="22"/>
    </row>
    <row r="50" spans="1:14" ht="20.100000000000001" customHeight="1" x14ac:dyDescent="0.25">
      <c r="A50" s="30" t="str">
        <f t="shared" si="4"/>
        <v/>
      </c>
      <c r="B50" s="41"/>
      <c r="C50" s="35" t="str">
        <f>IF(B50="","",IFERROR(VLOOKUP(B50,DB_Customers!$A:$B,2,0),"❌ Account Not Found"))</f>
        <v/>
      </c>
      <c r="D50" s="42" t="str">
        <f t="shared" ca="1" si="5"/>
        <v/>
      </c>
      <c r="E50" s="32"/>
      <c r="F50" s="31"/>
      <c r="G50" s="41"/>
      <c r="H50" s="56">
        <v>2.5</v>
      </c>
      <c r="I50" s="43" t="str">
        <f t="shared" si="6"/>
        <v/>
      </c>
      <c r="J50" s="43" t="str">
        <f t="shared" si="7"/>
        <v/>
      </c>
      <c r="K50" s="33" t="str">
        <f>IF(B50="","Pending",IF(M50="","⚠️ Enter Code",IF(IFERROR(VLOOKUP(L50,DB_Agents!$B:$F,4,0),"")=TEXT(M50,"0"),"Pending Approval","🔒 WRONG CODE")))</f>
        <v>Pending</v>
      </c>
      <c r="L50" s="30" t="s">
        <v>56</v>
      </c>
      <c r="M50" s="41"/>
      <c r="N50" s="57"/>
    </row>
    <row r="51" spans="1:14" ht="20.100000000000001" customHeight="1" x14ac:dyDescent="0.25">
      <c r="A51" s="30" t="str">
        <f t="shared" si="4"/>
        <v/>
      </c>
      <c r="B51" s="41"/>
      <c r="C51" s="35" t="str">
        <f>IF(B51="","",IFERROR(VLOOKUP(B51,DB_Customers!$A:$B,2,0),"❌ Account Not Found"))</f>
        <v/>
      </c>
      <c r="D51" s="42" t="str">
        <f t="shared" ca="1" si="5"/>
        <v/>
      </c>
      <c r="E51" s="32"/>
      <c r="F51" s="31"/>
      <c r="G51" s="41"/>
      <c r="H51" s="56">
        <v>2.5</v>
      </c>
      <c r="I51" s="43" t="str">
        <f t="shared" si="6"/>
        <v/>
      </c>
      <c r="J51" s="43" t="str">
        <f t="shared" si="7"/>
        <v/>
      </c>
      <c r="K51" s="33" t="str">
        <f>IF(B51="","Pending",IF(M51="","⚠️ Enter Code",IF(IFERROR(VLOOKUP(L51,DB_Agents!$B:$F,4,0),"")=TEXT(M51,"0"),"Pending Approval","🔒 WRONG CODE")))</f>
        <v>Pending</v>
      </c>
      <c r="L51" s="30" t="s">
        <v>56</v>
      </c>
      <c r="M51" s="41"/>
      <c r="N51" s="22"/>
    </row>
    <row r="52" spans="1:14" ht="20.100000000000001" customHeight="1" x14ac:dyDescent="0.25">
      <c r="A52" s="30" t="str">
        <f t="shared" si="4"/>
        <v/>
      </c>
      <c r="B52" s="41"/>
      <c r="C52" s="35" t="str">
        <f>IF(B52="","",IFERROR(VLOOKUP(B52,DB_Customers!$A:$B,2,0),"❌ Account Not Found"))</f>
        <v/>
      </c>
      <c r="D52" s="42" t="str">
        <f t="shared" ca="1" si="5"/>
        <v/>
      </c>
      <c r="E52" s="32"/>
      <c r="F52" s="31"/>
      <c r="G52" s="41"/>
      <c r="H52" s="56">
        <v>2.5</v>
      </c>
      <c r="I52" s="43" t="str">
        <f t="shared" si="6"/>
        <v/>
      </c>
      <c r="J52" s="43" t="str">
        <f t="shared" si="7"/>
        <v/>
      </c>
      <c r="K52" s="33" t="str">
        <f>IF(B52="","Pending",IF(M52="","⚠️ Enter Code",IF(IFERROR(VLOOKUP(L52,DB_Agents!$B:$F,4,0),"")=TEXT(M52,"0"),"Pending Approval","🔒 WRONG CODE")))</f>
        <v>Pending</v>
      </c>
      <c r="L52" s="30" t="s">
        <v>56</v>
      </c>
      <c r="M52" s="41"/>
      <c r="N52" s="57"/>
    </row>
    <row r="53" spans="1:14" ht="20.100000000000001" customHeight="1" x14ac:dyDescent="0.25">
      <c r="A53" s="30" t="str">
        <f t="shared" si="4"/>
        <v/>
      </c>
      <c r="B53" s="41"/>
      <c r="C53" s="35" t="str">
        <f>IF(B53="","",IFERROR(VLOOKUP(B53,DB_Customers!$A:$B,2,0),"❌ Account Not Found"))</f>
        <v/>
      </c>
      <c r="D53" s="42" t="str">
        <f t="shared" ca="1" si="5"/>
        <v/>
      </c>
      <c r="E53" s="32"/>
      <c r="F53" s="31"/>
      <c r="G53" s="41"/>
      <c r="H53" s="56">
        <v>2.5</v>
      </c>
      <c r="I53" s="43" t="str">
        <f t="shared" si="6"/>
        <v/>
      </c>
      <c r="J53" s="43" t="str">
        <f t="shared" si="7"/>
        <v/>
      </c>
      <c r="K53" s="33" t="str">
        <f>IF(B53="","Pending",IF(M53="","⚠️ Enter Code",IF(IFERROR(VLOOKUP(L53,DB_Agents!$B:$F,4,0),"")=TEXT(M53,"0"),"Pending Approval","🔒 WRONG CODE")))</f>
        <v>Pending</v>
      </c>
      <c r="L53" s="30" t="s">
        <v>56</v>
      </c>
      <c r="M53" s="41"/>
      <c r="N53" s="22"/>
    </row>
    <row r="54" spans="1:14" ht="20.100000000000001" customHeight="1" x14ac:dyDescent="0.25">
      <c r="A54" s="30" t="str">
        <f t="shared" si="4"/>
        <v/>
      </c>
      <c r="B54" s="41"/>
      <c r="C54" s="35" t="str">
        <f>IF(B54="","",IFERROR(VLOOKUP(B54,DB_Customers!$A:$B,2,0),"❌ Account Not Found"))</f>
        <v/>
      </c>
      <c r="D54" s="42" t="str">
        <f t="shared" ca="1" si="5"/>
        <v/>
      </c>
      <c r="E54" s="32"/>
      <c r="F54" s="31"/>
      <c r="G54" s="41"/>
      <c r="H54" s="56">
        <v>2.5</v>
      </c>
      <c r="I54" s="43" t="str">
        <f t="shared" si="6"/>
        <v/>
      </c>
      <c r="J54" s="43" t="str">
        <f t="shared" si="7"/>
        <v/>
      </c>
      <c r="K54" s="33" t="str">
        <f>IF(B54="","Pending",IF(M54="","⚠️ Enter Code",IF(IFERROR(VLOOKUP(L54,DB_Agents!$B:$F,4,0),"")=TEXT(M54,"0"),"Pending Approval","🔒 WRONG CODE")))</f>
        <v>Pending</v>
      </c>
      <c r="L54" s="30" t="s">
        <v>56</v>
      </c>
      <c r="M54" s="41"/>
      <c r="N54" s="57"/>
    </row>
    <row r="55" spans="1:14" ht="20.100000000000001" customHeight="1" x14ac:dyDescent="0.25">
      <c r="A55" s="30" t="str">
        <f t="shared" si="4"/>
        <v/>
      </c>
      <c r="B55" s="41"/>
      <c r="C55" s="35" t="str">
        <f>IF(B55="","",IFERROR(VLOOKUP(B55,DB_Customers!$A:$B,2,0),"❌ Account Not Found"))</f>
        <v/>
      </c>
      <c r="D55" s="42" t="str">
        <f t="shared" ca="1" si="5"/>
        <v/>
      </c>
      <c r="E55" s="32"/>
      <c r="F55" s="31"/>
      <c r="G55" s="41"/>
      <c r="H55" s="56">
        <v>2.5</v>
      </c>
      <c r="I55" s="43" t="str">
        <f t="shared" si="6"/>
        <v/>
      </c>
      <c r="J55" s="43" t="str">
        <f t="shared" si="7"/>
        <v/>
      </c>
      <c r="K55" s="33" t="str">
        <f>IF(B55="","Pending",IF(M55="","⚠️ Enter Code",IF(IFERROR(VLOOKUP(L55,DB_Agents!$B:$F,4,0),"")=TEXT(M55,"0"),"Pending Approval","🔒 WRONG CODE")))</f>
        <v>Pending</v>
      </c>
      <c r="L55" s="30" t="s">
        <v>56</v>
      </c>
      <c r="M55" s="41"/>
      <c r="N55" s="22"/>
    </row>
    <row r="56" spans="1:14" ht="20.100000000000001" customHeight="1" x14ac:dyDescent="0.25">
      <c r="A56" s="30" t="str">
        <f t="shared" si="4"/>
        <v/>
      </c>
      <c r="B56" s="41"/>
      <c r="C56" s="35" t="str">
        <f>IF(B56="","",IFERROR(VLOOKUP(B56,DB_Customers!$A:$B,2,0),"❌ Account Not Found"))</f>
        <v/>
      </c>
      <c r="D56" s="42" t="str">
        <f t="shared" ca="1" si="5"/>
        <v/>
      </c>
      <c r="E56" s="32"/>
      <c r="F56" s="31"/>
      <c r="G56" s="41"/>
      <c r="H56" s="56">
        <v>2.5</v>
      </c>
      <c r="I56" s="43" t="str">
        <f t="shared" si="6"/>
        <v/>
      </c>
      <c r="J56" s="43" t="str">
        <f t="shared" si="7"/>
        <v/>
      </c>
      <c r="K56" s="33" t="str">
        <f>IF(B56="","Pending",IF(M56="","⚠️ Enter Code",IF(IFERROR(VLOOKUP(L56,DB_Agents!$B:$F,4,0),"")=TEXT(M56,"0"),"Pending Approval","🔒 WRONG CODE")))</f>
        <v>Pending</v>
      </c>
      <c r="L56" s="30" t="s">
        <v>56</v>
      </c>
      <c r="M56" s="41"/>
      <c r="N56" s="57"/>
    </row>
    <row r="57" spans="1:14" ht="20.100000000000001" customHeight="1" x14ac:dyDescent="0.25">
      <c r="A57" s="30" t="str">
        <f t="shared" si="4"/>
        <v/>
      </c>
      <c r="B57" s="41"/>
      <c r="C57" s="35" t="str">
        <f>IF(B57="","",IFERROR(VLOOKUP(B57,DB_Customers!$A:$B,2,0),"❌ Account Not Found"))</f>
        <v/>
      </c>
      <c r="D57" s="42" t="str">
        <f t="shared" ca="1" si="5"/>
        <v/>
      </c>
      <c r="E57" s="32"/>
      <c r="F57" s="31"/>
      <c r="G57" s="41"/>
      <c r="H57" s="56">
        <v>2.5</v>
      </c>
      <c r="I57" s="43" t="str">
        <f t="shared" si="6"/>
        <v/>
      </c>
      <c r="J57" s="43" t="str">
        <f t="shared" si="7"/>
        <v/>
      </c>
      <c r="K57" s="33" t="str">
        <f>IF(B57="","Pending",IF(M57="","⚠️ Enter Code",IF(IFERROR(VLOOKUP(L57,DB_Agents!$B:$F,4,0),"")=TEXT(M57,"0"),"Pending Approval","🔒 WRONG CODE")))</f>
        <v>Pending</v>
      </c>
      <c r="L57" s="30" t="s">
        <v>56</v>
      </c>
      <c r="M57" s="41"/>
      <c r="N57" s="22"/>
    </row>
    <row r="58" spans="1:14" ht="20.100000000000001" customHeight="1" x14ac:dyDescent="0.25">
      <c r="A58" s="30" t="str">
        <f t="shared" si="4"/>
        <v/>
      </c>
      <c r="B58" s="41"/>
      <c r="C58" s="35" t="str">
        <f>IF(B58="","",IFERROR(VLOOKUP(B58,DB_Customers!$A:$B,2,0),"❌ Account Not Found"))</f>
        <v/>
      </c>
      <c r="D58" s="42" t="str">
        <f t="shared" ca="1" si="5"/>
        <v/>
      </c>
      <c r="E58" s="32"/>
      <c r="F58" s="31"/>
      <c r="G58" s="41"/>
      <c r="H58" s="56">
        <v>2.5</v>
      </c>
      <c r="I58" s="43" t="str">
        <f t="shared" si="6"/>
        <v/>
      </c>
      <c r="J58" s="43" t="str">
        <f t="shared" si="7"/>
        <v/>
      </c>
      <c r="K58" s="33" t="str">
        <f>IF(B58="","Pending",IF(M58="","⚠️ Enter Code",IF(IFERROR(VLOOKUP(L58,DB_Agents!$B:$F,4,0),"")=TEXT(M58,"0"),"Pending Approval","🔒 WRONG CODE")))</f>
        <v>Pending</v>
      </c>
      <c r="L58" s="30" t="s">
        <v>56</v>
      </c>
      <c r="M58" s="41"/>
      <c r="N58" s="57"/>
    </row>
    <row r="59" spans="1:14" ht="20.100000000000001" customHeight="1" x14ac:dyDescent="0.25">
      <c r="A59" s="30" t="str">
        <f t="shared" si="4"/>
        <v/>
      </c>
      <c r="B59" s="41"/>
      <c r="C59" s="35" t="str">
        <f>IF(B59="","",IFERROR(VLOOKUP(B59,DB_Customers!$A:$B,2,0),"❌ Account Not Found"))</f>
        <v/>
      </c>
      <c r="D59" s="42" t="str">
        <f t="shared" ca="1" si="5"/>
        <v/>
      </c>
      <c r="E59" s="32"/>
      <c r="F59" s="31"/>
      <c r="G59" s="41"/>
      <c r="H59" s="56">
        <v>2.5</v>
      </c>
      <c r="I59" s="43" t="str">
        <f t="shared" si="6"/>
        <v/>
      </c>
      <c r="J59" s="43" t="str">
        <f t="shared" si="7"/>
        <v/>
      </c>
      <c r="K59" s="33" t="str">
        <f>IF(B59="","Pending",IF(M59="","⚠️ Enter Code",IF(IFERROR(VLOOKUP(L59,DB_Agents!$B:$F,4,0),"")=TEXT(M59,"0"),"Pending Approval","🔒 WRONG CODE")))</f>
        <v>Pending</v>
      </c>
      <c r="L59" s="30" t="s">
        <v>56</v>
      </c>
      <c r="M59" s="41"/>
      <c r="N59" s="22"/>
    </row>
    <row r="60" spans="1:14" ht="20.100000000000001" customHeight="1" x14ac:dyDescent="0.25">
      <c r="A60" s="30" t="str">
        <f t="shared" si="4"/>
        <v/>
      </c>
      <c r="B60" s="41"/>
      <c r="C60" s="35" t="str">
        <f>IF(B60="","",IFERROR(VLOOKUP(B60,DB_Customers!$A:$B,2,0),"❌ Account Not Found"))</f>
        <v/>
      </c>
      <c r="D60" s="42" t="str">
        <f t="shared" ca="1" si="5"/>
        <v/>
      </c>
      <c r="E60" s="32"/>
      <c r="F60" s="31"/>
      <c r="G60" s="41"/>
      <c r="H60" s="56">
        <v>2.5</v>
      </c>
      <c r="I60" s="43" t="str">
        <f t="shared" si="6"/>
        <v/>
      </c>
      <c r="J60" s="43" t="str">
        <f t="shared" si="7"/>
        <v/>
      </c>
      <c r="K60" s="33" t="str">
        <f>IF(B60="","Pending",IF(M60="","⚠️ Enter Code",IF(IFERROR(VLOOKUP(L60,DB_Agents!$B:$F,4,0),"")=TEXT(M60,"0"),"Pending Approval","🔒 WRONG CODE")))</f>
        <v>Pending</v>
      </c>
      <c r="L60" s="30" t="s">
        <v>56</v>
      </c>
      <c r="M60" s="41"/>
      <c r="N60" s="57"/>
    </row>
    <row r="61" spans="1:14" ht="20.100000000000001" customHeight="1" x14ac:dyDescent="0.25">
      <c r="A61" s="30" t="str">
        <f t="shared" si="4"/>
        <v/>
      </c>
      <c r="B61" s="41"/>
      <c r="C61" s="35" t="str">
        <f>IF(B61="","",IFERROR(VLOOKUP(B61,DB_Customers!$A:$B,2,0),"❌ Account Not Found"))</f>
        <v/>
      </c>
      <c r="D61" s="42" t="str">
        <f t="shared" ca="1" si="5"/>
        <v/>
      </c>
      <c r="E61" s="32"/>
      <c r="F61" s="31"/>
      <c r="G61" s="41"/>
      <c r="H61" s="56">
        <v>2.5</v>
      </c>
      <c r="I61" s="43" t="str">
        <f t="shared" si="6"/>
        <v/>
      </c>
      <c r="J61" s="43" t="str">
        <f t="shared" si="7"/>
        <v/>
      </c>
      <c r="K61" s="33" t="str">
        <f>IF(B61="","Pending",IF(M61="","⚠️ Enter Code",IF(IFERROR(VLOOKUP(L61,DB_Agents!$B:$F,4,0),"")=TEXT(M61,"0"),"Pending Approval","🔒 WRONG CODE")))</f>
        <v>Pending</v>
      </c>
      <c r="L61" s="30" t="s">
        <v>56</v>
      </c>
      <c r="M61" s="41"/>
      <c r="N61" s="22"/>
    </row>
    <row r="62" spans="1:14" ht="20.100000000000001" customHeight="1" x14ac:dyDescent="0.25">
      <c r="A62" s="30" t="str">
        <f t="shared" si="4"/>
        <v/>
      </c>
      <c r="B62" s="41"/>
      <c r="C62" s="35" t="str">
        <f>IF(B62="","",IFERROR(VLOOKUP(B62,DB_Customers!$A:$B,2,0),"❌ Account Not Found"))</f>
        <v/>
      </c>
      <c r="D62" s="42" t="str">
        <f t="shared" ca="1" si="5"/>
        <v/>
      </c>
      <c r="E62" s="32"/>
      <c r="F62" s="31"/>
      <c r="G62" s="41"/>
      <c r="H62" s="56">
        <v>2.5</v>
      </c>
      <c r="I62" s="43" t="str">
        <f t="shared" si="6"/>
        <v/>
      </c>
      <c r="J62" s="43" t="str">
        <f t="shared" si="7"/>
        <v/>
      </c>
      <c r="K62" s="33" t="str">
        <f>IF(B62="","Pending",IF(M62="","⚠️ Enter Code",IF(IFERROR(VLOOKUP(L62,DB_Agents!$B:$F,4,0),"")=TEXT(M62,"0"),"Pending Approval","🔒 WRONG CODE")))</f>
        <v>Pending</v>
      </c>
      <c r="L62" s="30" t="s">
        <v>56</v>
      </c>
      <c r="M62" s="41"/>
      <c r="N62" s="57"/>
    </row>
    <row r="63" spans="1:14" ht="20.100000000000001" customHeight="1" x14ac:dyDescent="0.25">
      <c r="A63" s="30" t="str">
        <f t="shared" si="4"/>
        <v/>
      </c>
      <c r="B63" s="41"/>
      <c r="C63" s="35" t="str">
        <f>IF(B63="","",IFERROR(VLOOKUP(B63,DB_Customers!$A:$B,2,0),"❌ Account Not Found"))</f>
        <v/>
      </c>
      <c r="D63" s="42" t="str">
        <f t="shared" ca="1" si="5"/>
        <v/>
      </c>
      <c r="E63" s="32"/>
      <c r="F63" s="31"/>
      <c r="G63" s="41"/>
      <c r="H63" s="56">
        <v>2.5</v>
      </c>
      <c r="I63" s="43" t="str">
        <f t="shared" si="6"/>
        <v/>
      </c>
      <c r="J63" s="43" t="str">
        <f t="shared" si="7"/>
        <v/>
      </c>
      <c r="K63" s="33" t="str">
        <f>IF(B63="","Pending",IF(M63="","⚠️ Enter Code",IF(IFERROR(VLOOKUP(L63,DB_Agents!$B:$F,4,0),"")=TEXT(M63,"0"),"Pending Approval","🔒 WRONG CODE")))</f>
        <v>Pending</v>
      </c>
      <c r="L63" s="30" t="s">
        <v>56</v>
      </c>
      <c r="M63" s="41"/>
      <c r="N63" s="22"/>
    </row>
    <row r="64" spans="1:14" ht="20.100000000000001" customHeight="1" x14ac:dyDescent="0.25">
      <c r="A64" s="30" t="str">
        <f t="shared" si="4"/>
        <v/>
      </c>
      <c r="B64" s="41"/>
      <c r="C64" s="35" t="str">
        <f>IF(B64="","",IFERROR(VLOOKUP(B64,DB_Customers!$A:$B,2,0),"❌ Account Not Found"))</f>
        <v/>
      </c>
      <c r="D64" s="42" t="str">
        <f t="shared" ca="1" si="5"/>
        <v/>
      </c>
      <c r="E64" s="32"/>
      <c r="F64" s="31"/>
      <c r="G64" s="41"/>
      <c r="H64" s="56">
        <v>2.5</v>
      </c>
      <c r="I64" s="43" t="str">
        <f t="shared" si="6"/>
        <v/>
      </c>
      <c r="J64" s="43" t="str">
        <f t="shared" si="7"/>
        <v/>
      </c>
      <c r="K64" s="33" t="str">
        <f>IF(B64="","Pending",IF(M64="","⚠️ Enter Code",IF(IFERROR(VLOOKUP(L64,DB_Agents!$B:$F,4,0),"")=TEXT(M64,"0"),"Pending Approval","🔒 WRONG CODE")))</f>
        <v>Pending</v>
      </c>
      <c r="L64" s="30" t="s">
        <v>56</v>
      </c>
      <c r="M64" s="41"/>
      <c r="N64" s="57"/>
    </row>
    <row r="65" spans="1:14" ht="20.100000000000001" customHeight="1" x14ac:dyDescent="0.25">
      <c r="A65" s="30" t="str">
        <f t="shared" si="4"/>
        <v/>
      </c>
      <c r="B65" s="41"/>
      <c r="C65" s="35" t="str">
        <f>IF(B65="","",IFERROR(VLOOKUP(B65,DB_Customers!$A:$B,2,0),"❌ Account Not Found"))</f>
        <v/>
      </c>
      <c r="D65" s="42" t="str">
        <f t="shared" ca="1" si="5"/>
        <v/>
      </c>
      <c r="E65" s="32"/>
      <c r="F65" s="31"/>
      <c r="G65" s="41"/>
      <c r="H65" s="56">
        <v>2.5</v>
      </c>
      <c r="I65" s="43" t="str">
        <f t="shared" si="6"/>
        <v/>
      </c>
      <c r="J65" s="43" t="str">
        <f t="shared" si="7"/>
        <v/>
      </c>
      <c r="K65" s="33" t="str">
        <f>IF(B65="","Pending",IF(M65="","⚠️ Enter Code",IF(IFERROR(VLOOKUP(L65,DB_Agents!$B:$F,4,0),"")=TEXT(M65,"0"),"Pending Approval","🔒 WRONG CODE")))</f>
        <v>Pending</v>
      </c>
      <c r="L65" s="30" t="s">
        <v>56</v>
      </c>
      <c r="M65" s="41"/>
      <c r="N65" s="22"/>
    </row>
    <row r="66" spans="1:14" ht="20.100000000000001" customHeight="1" x14ac:dyDescent="0.25">
      <c r="A66" s="30" t="str">
        <f t="shared" si="4"/>
        <v/>
      </c>
      <c r="B66" s="41"/>
      <c r="C66" s="35" t="str">
        <f>IF(B66="","",IFERROR(VLOOKUP(B66,DB_Customers!$A:$B,2,0),"❌ Account Not Found"))</f>
        <v/>
      </c>
      <c r="D66" s="42" t="str">
        <f t="shared" ca="1" si="5"/>
        <v/>
      </c>
      <c r="E66" s="32"/>
      <c r="F66" s="31"/>
      <c r="G66" s="41"/>
      <c r="H66" s="56">
        <v>2.5</v>
      </c>
      <c r="I66" s="43" t="str">
        <f t="shared" si="6"/>
        <v/>
      </c>
      <c r="J66" s="43" t="str">
        <f t="shared" si="7"/>
        <v/>
      </c>
      <c r="K66" s="33" t="str">
        <f>IF(B66="","Pending",IF(M66="","⚠️ Enter Code",IF(IFERROR(VLOOKUP(L66,DB_Agents!$B:$F,4,0),"")=TEXT(M66,"0"),"Pending Approval","🔒 WRONG CODE")))</f>
        <v>Pending</v>
      </c>
      <c r="L66" s="30" t="s">
        <v>56</v>
      </c>
      <c r="M66" s="41"/>
      <c r="N66" s="57"/>
    </row>
    <row r="67" spans="1:14" ht="20.100000000000001" customHeight="1" x14ac:dyDescent="0.25">
      <c r="A67" s="30" t="str">
        <f t="shared" si="4"/>
        <v/>
      </c>
      <c r="B67" s="41"/>
      <c r="C67" s="35" t="str">
        <f>IF(B67="","",IFERROR(VLOOKUP(B67,DB_Customers!$A:$B,2,0),"❌ Account Not Found"))</f>
        <v/>
      </c>
      <c r="D67" s="42" t="str">
        <f t="shared" ca="1" si="5"/>
        <v/>
      </c>
      <c r="E67" s="32"/>
      <c r="F67" s="31"/>
      <c r="G67" s="41"/>
      <c r="H67" s="56">
        <v>2.5</v>
      </c>
      <c r="I67" s="43" t="str">
        <f t="shared" si="6"/>
        <v/>
      </c>
      <c r="J67" s="43" t="str">
        <f t="shared" si="7"/>
        <v/>
      </c>
      <c r="K67" s="33" t="str">
        <f>IF(B67="","Pending",IF(M67="","⚠️ Enter Code",IF(IFERROR(VLOOKUP(L67,DB_Agents!$B:$F,4,0),"")=TEXT(M67,"0"),"Pending Approval","🔒 WRONG CODE")))</f>
        <v>Pending</v>
      </c>
      <c r="L67" s="30" t="s">
        <v>56</v>
      </c>
      <c r="M67" s="41"/>
      <c r="N67" s="22"/>
    </row>
    <row r="68" spans="1:14" ht="20.100000000000001" customHeight="1" x14ac:dyDescent="0.25">
      <c r="A68" s="30" t="str">
        <f t="shared" si="4"/>
        <v/>
      </c>
      <c r="B68" s="41"/>
      <c r="C68" s="35" t="str">
        <f>IF(B68="","",IFERROR(VLOOKUP(B68,DB_Customers!$A:$B,2,0),"❌ Account Not Found"))</f>
        <v/>
      </c>
      <c r="D68" s="42" t="str">
        <f t="shared" ca="1" si="5"/>
        <v/>
      </c>
      <c r="E68" s="32"/>
      <c r="F68" s="31"/>
      <c r="G68" s="41"/>
      <c r="H68" s="56">
        <v>2.5</v>
      </c>
      <c r="I68" s="43" t="str">
        <f t="shared" si="6"/>
        <v/>
      </c>
      <c r="J68" s="43" t="str">
        <f t="shared" si="7"/>
        <v/>
      </c>
      <c r="K68" s="33" t="str">
        <f>IF(B68="","Pending",IF(M68="","⚠️ Enter Code",IF(IFERROR(VLOOKUP(L68,DB_Agents!$B:$F,4,0),"")=TEXT(M68,"0"),"Pending Approval","🔒 WRONG CODE")))</f>
        <v>Pending</v>
      </c>
      <c r="L68" s="30" t="s">
        <v>56</v>
      </c>
      <c r="M68" s="41"/>
      <c r="N68" s="57"/>
    </row>
    <row r="69" spans="1:14" ht="20.100000000000001" customHeight="1" x14ac:dyDescent="0.25">
      <c r="A69" s="30" t="str">
        <f t="shared" si="4"/>
        <v/>
      </c>
      <c r="B69" s="41"/>
      <c r="C69" s="35" t="str">
        <f>IF(B69="","",IFERROR(VLOOKUP(B69,DB_Customers!$A:$B,2,0),"❌ Account Not Found"))</f>
        <v/>
      </c>
      <c r="D69" s="42" t="str">
        <f t="shared" ca="1" si="5"/>
        <v/>
      </c>
      <c r="E69" s="32"/>
      <c r="F69" s="31"/>
      <c r="G69" s="41"/>
      <c r="H69" s="56">
        <v>2.5</v>
      </c>
      <c r="I69" s="43" t="str">
        <f t="shared" si="6"/>
        <v/>
      </c>
      <c r="J69" s="43" t="str">
        <f t="shared" si="7"/>
        <v/>
      </c>
      <c r="K69" s="33" t="str">
        <f>IF(B69="","Pending",IF(M69="","⚠️ Enter Code",IF(IFERROR(VLOOKUP(L69,DB_Agents!$B:$F,4,0),"")=TEXT(M69,"0"),"Pending Approval","🔒 WRONG CODE")))</f>
        <v>Pending</v>
      </c>
      <c r="L69" s="30" t="s">
        <v>56</v>
      </c>
      <c r="M69" s="41"/>
      <c r="N69" s="22"/>
    </row>
    <row r="70" spans="1:14" ht="20.100000000000001" customHeight="1" x14ac:dyDescent="0.25">
      <c r="A70" s="30" t="str">
        <f t="shared" si="4"/>
        <v/>
      </c>
      <c r="B70" s="41"/>
      <c r="C70" s="35" t="str">
        <f>IF(B70="","",IFERROR(VLOOKUP(B70,DB_Customers!$A:$B,2,0),"❌ Account Not Found"))</f>
        <v/>
      </c>
      <c r="D70" s="42" t="str">
        <f t="shared" ca="1" si="5"/>
        <v/>
      </c>
      <c r="E70" s="32"/>
      <c r="F70" s="31"/>
      <c r="G70" s="41"/>
      <c r="H70" s="56">
        <v>2.5</v>
      </c>
      <c r="I70" s="43" t="str">
        <f t="shared" si="6"/>
        <v/>
      </c>
      <c r="J70" s="43" t="str">
        <f t="shared" si="7"/>
        <v/>
      </c>
      <c r="K70" s="33" t="str">
        <f>IF(B70="","Pending",IF(M70="","⚠️ Enter Code",IF(IFERROR(VLOOKUP(L70,DB_Agents!$B:$F,4,0),"")=TEXT(M70,"0"),"Pending Approval","🔒 WRONG CODE")))</f>
        <v>Pending</v>
      </c>
      <c r="L70" s="30" t="s">
        <v>56</v>
      </c>
      <c r="M70" s="41"/>
      <c r="N70" s="57"/>
    </row>
    <row r="71" spans="1:14" ht="20.100000000000001" customHeight="1" x14ac:dyDescent="0.25">
      <c r="A71" s="30" t="str">
        <f t="shared" si="4"/>
        <v/>
      </c>
      <c r="B71" s="41"/>
      <c r="C71" s="35" t="str">
        <f>IF(B71="","",IFERROR(VLOOKUP(B71,DB_Customers!$A:$B,2,0),"❌ Account Not Found"))</f>
        <v/>
      </c>
      <c r="D71" s="42" t="str">
        <f t="shared" ca="1" si="5"/>
        <v/>
      </c>
      <c r="E71" s="32"/>
      <c r="F71" s="31"/>
      <c r="G71" s="41"/>
      <c r="H71" s="56">
        <v>2.5</v>
      </c>
      <c r="I71" s="43" t="str">
        <f t="shared" si="6"/>
        <v/>
      </c>
      <c r="J71" s="43" t="str">
        <f t="shared" si="7"/>
        <v/>
      </c>
      <c r="K71" s="33" t="str">
        <f>IF(B71="","Pending",IF(M71="","⚠️ Enter Code",IF(IFERROR(VLOOKUP(L71,DB_Agents!$B:$F,4,0),"")=TEXT(M71,"0"),"Pending Approval","🔒 WRONG CODE")))</f>
        <v>Pending</v>
      </c>
      <c r="L71" s="30" t="s">
        <v>56</v>
      </c>
      <c r="M71" s="41"/>
      <c r="N71" s="22"/>
    </row>
    <row r="72" spans="1:14" ht="20.100000000000001" customHeight="1" x14ac:dyDescent="0.25">
      <c r="A72" s="30" t="str">
        <f t="shared" si="4"/>
        <v/>
      </c>
      <c r="B72" s="41"/>
      <c r="C72" s="35" t="str">
        <f>IF(B72="","",IFERROR(VLOOKUP(B72,DB_Customers!$A:$B,2,0),"❌ Account Not Found"))</f>
        <v/>
      </c>
      <c r="D72" s="42" t="str">
        <f t="shared" ca="1" si="5"/>
        <v/>
      </c>
      <c r="E72" s="32"/>
      <c r="F72" s="31"/>
      <c r="G72" s="41"/>
      <c r="H72" s="56">
        <v>2.5</v>
      </c>
      <c r="I72" s="43" t="str">
        <f t="shared" si="6"/>
        <v/>
      </c>
      <c r="J72" s="43" t="str">
        <f t="shared" si="7"/>
        <v/>
      </c>
      <c r="K72" s="33" t="str">
        <f>IF(B72="","Pending",IF(M72="","⚠️ Enter Code",IF(IFERROR(VLOOKUP(L72,DB_Agents!$B:$F,4,0),"")=TEXT(M72,"0"),"Pending Approval","🔒 WRONG CODE")))</f>
        <v>Pending</v>
      </c>
      <c r="L72" s="30" t="s">
        <v>56</v>
      </c>
      <c r="M72" s="41"/>
      <c r="N72" s="57"/>
    </row>
    <row r="73" spans="1:14" ht="20.100000000000001" customHeight="1" x14ac:dyDescent="0.25">
      <c r="A73" s="30" t="str">
        <f t="shared" si="4"/>
        <v/>
      </c>
      <c r="B73" s="41"/>
      <c r="C73" s="35" t="str">
        <f>IF(B73="","",IFERROR(VLOOKUP(B73,DB_Customers!$A:$B,2,0),"❌ Account Not Found"))</f>
        <v/>
      </c>
      <c r="D73" s="42" t="str">
        <f t="shared" ca="1" si="5"/>
        <v/>
      </c>
      <c r="E73" s="32"/>
      <c r="F73" s="31"/>
      <c r="G73" s="41"/>
      <c r="H73" s="56">
        <v>2.5</v>
      </c>
      <c r="I73" s="43" t="str">
        <f t="shared" si="6"/>
        <v/>
      </c>
      <c r="J73" s="43" t="str">
        <f t="shared" si="7"/>
        <v/>
      </c>
      <c r="K73" s="33" t="str">
        <f>IF(B73="","Pending",IF(M73="","⚠️ Enter Code",IF(IFERROR(VLOOKUP(L73,DB_Agents!$B:$F,4,0),"")=TEXT(M73,"0"),"Pending Approval","🔒 WRONG CODE")))</f>
        <v>Pending</v>
      </c>
      <c r="L73" s="30" t="s">
        <v>56</v>
      </c>
      <c r="M73" s="41"/>
      <c r="N73" s="22"/>
    </row>
    <row r="74" spans="1:14" ht="20.100000000000001" customHeight="1" x14ac:dyDescent="0.25">
      <c r="A74" s="30" t="str">
        <f t="shared" si="4"/>
        <v/>
      </c>
      <c r="B74" s="41"/>
      <c r="C74" s="35" t="str">
        <f>IF(B74="","",IFERROR(VLOOKUP(B74,DB_Customers!$A:$B,2,0),"❌ Account Not Found"))</f>
        <v/>
      </c>
      <c r="D74" s="42" t="str">
        <f t="shared" ca="1" si="5"/>
        <v/>
      </c>
      <c r="E74" s="32"/>
      <c r="F74" s="31"/>
      <c r="G74" s="41"/>
      <c r="H74" s="56">
        <v>2.5</v>
      </c>
      <c r="I74" s="43" t="str">
        <f t="shared" si="6"/>
        <v/>
      </c>
      <c r="J74" s="43" t="str">
        <f t="shared" si="7"/>
        <v/>
      </c>
      <c r="K74" s="33" t="str">
        <f>IF(B74="","Pending",IF(M74="","⚠️ Enter Code",IF(IFERROR(VLOOKUP(L74,DB_Agents!$B:$F,4,0),"")=TEXT(M74,"0"),"Pending Approval","🔒 WRONG CODE")))</f>
        <v>Pending</v>
      </c>
      <c r="L74" s="30" t="s">
        <v>56</v>
      </c>
      <c r="M74" s="41"/>
      <c r="N74" s="57"/>
    </row>
    <row r="75" spans="1:14" ht="20.100000000000001" customHeight="1" x14ac:dyDescent="0.25">
      <c r="A75" s="30" t="str">
        <f t="shared" si="4"/>
        <v/>
      </c>
      <c r="B75" s="41"/>
      <c r="C75" s="35" t="str">
        <f>IF(B75="","",IFERROR(VLOOKUP(B75,DB_Customers!$A:$B,2,0),"❌ Account Not Found"))</f>
        <v/>
      </c>
      <c r="D75" s="42" t="str">
        <f t="shared" ca="1" si="5"/>
        <v/>
      </c>
      <c r="E75" s="32"/>
      <c r="F75" s="31"/>
      <c r="G75" s="41"/>
      <c r="H75" s="56">
        <v>2.5</v>
      </c>
      <c r="I75" s="43" t="str">
        <f t="shared" si="6"/>
        <v/>
      </c>
      <c r="J75" s="43" t="str">
        <f t="shared" si="7"/>
        <v/>
      </c>
      <c r="K75" s="33" t="str">
        <f>IF(B75="","Pending",IF(M75="","⚠️ Enter Code",IF(IFERROR(VLOOKUP(L75,DB_Agents!$B:$F,4,0),"")=TEXT(M75,"0"),"Pending Approval","🔒 WRONG CODE")))</f>
        <v>Pending</v>
      </c>
      <c r="L75" s="30" t="s">
        <v>56</v>
      </c>
      <c r="M75" s="41"/>
      <c r="N75" s="22"/>
    </row>
    <row r="76" spans="1:14" ht="20.100000000000001" customHeight="1" x14ac:dyDescent="0.25">
      <c r="A76" s="30" t="str">
        <f t="shared" si="4"/>
        <v/>
      </c>
      <c r="B76" s="41"/>
      <c r="C76" s="35" t="str">
        <f>IF(B76="","",IFERROR(VLOOKUP(B76,DB_Customers!$A:$B,2,0),"❌ Account Not Found"))</f>
        <v/>
      </c>
      <c r="D76" s="42" t="str">
        <f t="shared" ca="1" si="5"/>
        <v/>
      </c>
      <c r="E76" s="32"/>
      <c r="F76" s="31"/>
      <c r="G76" s="41"/>
      <c r="H76" s="56">
        <v>2.5</v>
      </c>
      <c r="I76" s="43" t="str">
        <f t="shared" si="6"/>
        <v/>
      </c>
      <c r="J76" s="43" t="str">
        <f t="shared" si="7"/>
        <v/>
      </c>
      <c r="K76" s="33" t="str">
        <f>IF(B76="","Pending",IF(M76="","⚠️ Enter Code",IF(IFERROR(VLOOKUP(L76,DB_Agents!$B:$F,4,0),"")=TEXT(M76,"0"),"Pending Approval","🔒 WRONG CODE")))</f>
        <v>Pending</v>
      </c>
      <c r="L76" s="30" t="s">
        <v>56</v>
      </c>
      <c r="M76" s="41"/>
      <c r="N76" s="57"/>
    </row>
    <row r="77" spans="1:14" ht="20.100000000000001" customHeight="1" x14ac:dyDescent="0.25">
      <c r="A77" s="30" t="str">
        <f t="shared" si="4"/>
        <v/>
      </c>
      <c r="B77" s="41"/>
      <c r="C77" s="35" t="str">
        <f>IF(B77="","",IFERROR(VLOOKUP(B77,DB_Customers!$A:$B,2,0),"❌ Account Not Found"))</f>
        <v/>
      </c>
      <c r="D77" s="42" t="str">
        <f t="shared" ca="1" si="5"/>
        <v/>
      </c>
      <c r="E77" s="32"/>
      <c r="F77" s="31"/>
      <c r="G77" s="41"/>
      <c r="H77" s="56">
        <v>2.5</v>
      </c>
      <c r="I77" s="43" t="str">
        <f t="shared" si="6"/>
        <v/>
      </c>
      <c r="J77" s="43" t="str">
        <f t="shared" si="7"/>
        <v/>
      </c>
      <c r="K77" s="33" t="str">
        <f>IF(B77="","Pending",IF(M77="","⚠️ Enter Code",IF(IFERROR(VLOOKUP(L77,DB_Agents!$B:$F,4,0),"")=TEXT(M77,"0"),"Pending Approval","🔒 WRONG CODE")))</f>
        <v>Pending</v>
      </c>
      <c r="L77" s="30" t="s">
        <v>56</v>
      </c>
      <c r="M77" s="41"/>
      <c r="N77" s="22"/>
    </row>
    <row r="78" spans="1:14" ht="20.100000000000001" customHeight="1" x14ac:dyDescent="0.25">
      <c r="A78" s="30" t="str">
        <f t="shared" ref="A78:A109" si="8">IF(B78="","",IF(C78="❌ Account Not Found","INVALID","LN"&amp;TEXT(D78,"YYYYMMDD")&amp;TEXT(ROW()-13,"0000")))</f>
        <v/>
      </c>
      <c r="B78" s="41"/>
      <c r="C78" s="35" t="str">
        <f>IF(B78="","",IFERROR(VLOOKUP(B78,DB_Customers!$A:$B,2,0),"❌ Account Not Found"))</f>
        <v/>
      </c>
      <c r="D78" s="42" t="str">
        <f t="shared" ref="D78:D109" ca="1" si="9">IF(B78="","",TODAY())</f>
        <v/>
      </c>
      <c r="E78" s="32"/>
      <c r="F78" s="31"/>
      <c r="G78" s="41"/>
      <c r="H78" s="56">
        <v>2.5</v>
      </c>
      <c r="I78" s="43" t="str">
        <f t="shared" ref="I78:I109" si="10">IF(E78="","",E78+(E78*H78/100*G78))</f>
        <v/>
      </c>
      <c r="J78" s="43" t="str">
        <f t="shared" ref="J78:J109" si="11">IFERROR(I78/G78,"")</f>
        <v/>
      </c>
      <c r="K78" s="33" t="str">
        <f>IF(B78="","Pending",IF(M78="","⚠️ Enter Code",IF(IFERROR(VLOOKUP(L78,DB_Agents!$B:$F,4,0),"")=TEXT(M78,"0"),"Pending Approval","🔒 WRONG CODE")))</f>
        <v>Pending</v>
      </c>
      <c r="L78" s="30" t="s">
        <v>56</v>
      </c>
      <c r="M78" s="41"/>
      <c r="N78" s="57"/>
    </row>
    <row r="79" spans="1:14" ht="20.100000000000001" customHeight="1" x14ac:dyDescent="0.25">
      <c r="A79" s="30" t="str">
        <f t="shared" si="8"/>
        <v/>
      </c>
      <c r="B79" s="41"/>
      <c r="C79" s="35" t="str">
        <f>IF(B79="","",IFERROR(VLOOKUP(B79,DB_Customers!$A:$B,2,0),"❌ Account Not Found"))</f>
        <v/>
      </c>
      <c r="D79" s="42" t="str">
        <f t="shared" ca="1" si="9"/>
        <v/>
      </c>
      <c r="E79" s="32"/>
      <c r="F79" s="31"/>
      <c r="G79" s="41"/>
      <c r="H79" s="56">
        <v>2.5</v>
      </c>
      <c r="I79" s="43" t="str">
        <f t="shared" si="10"/>
        <v/>
      </c>
      <c r="J79" s="43" t="str">
        <f t="shared" si="11"/>
        <v/>
      </c>
      <c r="K79" s="33" t="str">
        <f>IF(B79="","Pending",IF(M79="","⚠️ Enter Code",IF(IFERROR(VLOOKUP(L79,DB_Agents!$B:$F,4,0),"")=TEXT(M79,"0"),"Pending Approval","🔒 WRONG CODE")))</f>
        <v>Pending</v>
      </c>
      <c r="L79" s="30" t="s">
        <v>56</v>
      </c>
      <c r="M79" s="41"/>
      <c r="N79" s="22"/>
    </row>
    <row r="80" spans="1:14" ht="20.100000000000001" customHeight="1" x14ac:dyDescent="0.25">
      <c r="A80" s="30" t="str">
        <f t="shared" si="8"/>
        <v/>
      </c>
      <c r="B80" s="41"/>
      <c r="C80" s="35" t="str">
        <f>IF(B80="","",IFERROR(VLOOKUP(B80,DB_Customers!$A:$B,2,0),"❌ Account Not Found"))</f>
        <v/>
      </c>
      <c r="D80" s="42" t="str">
        <f t="shared" ca="1" si="9"/>
        <v/>
      </c>
      <c r="E80" s="32"/>
      <c r="F80" s="31"/>
      <c r="G80" s="41"/>
      <c r="H80" s="56">
        <v>2.5</v>
      </c>
      <c r="I80" s="43" t="str">
        <f t="shared" si="10"/>
        <v/>
      </c>
      <c r="J80" s="43" t="str">
        <f t="shared" si="11"/>
        <v/>
      </c>
      <c r="K80" s="33" t="str">
        <f>IF(B80="","Pending",IF(M80="","⚠️ Enter Code",IF(IFERROR(VLOOKUP(L80,DB_Agents!$B:$F,4,0),"")=TEXT(M80,"0"),"Pending Approval","🔒 WRONG CODE")))</f>
        <v>Pending</v>
      </c>
      <c r="L80" s="30" t="s">
        <v>56</v>
      </c>
      <c r="M80" s="41"/>
      <c r="N80" s="57"/>
    </row>
    <row r="81" spans="1:14" ht="20.100000000000001" customHeight="1" x14ac:dyDescent="0.25">
      <c r="A81" s="30" t="str">
        <f t="shared" si="8"/>
        <v/>
      </c>
      <c r="B81" s="41"/>
      <c r="C81" s="35" t="str">
        <f>IF(B81="","",IFERROR(VLOOKUP(B81,DB_Customers!$A:$B,2,0),"❌ Account Not Found"))</f>
        <v/>
      </c>
      <c r="D81" s="42" t="str">
        <f t="shared" ca="1" si="9"/>
        <v/>
      </c>
      <c r="E81" s="32"/>
      <c r="F81" s="31"/>
      <c r="G81" s="41"/>
      <c r="H81" s="56">
        <v>2.5</v>
      </c>
      <c r="I81" s="43" t="str">
        <f t="shared" si="10"/>
        <v/>
      </c>
      <c r="J81" s="43" t="str">
        <f t="shared" si="11"/>
        <v/>
      </c>
      <c r="K81" s="33" t="str">
        <f>IF(B81="","Pending",IF(M81="","⚠️ Enter Code",IF(IFERROR(VLOOKUP(L81,DB_Agents!$B:$F,4,0),"")=TEXT(M81,"0"),"Pending Approval","🔒 WRONG CODE")))</f>
        <v>Pending</v>
      </c>
      <c r="L81" s="30" t="s">
        <v>56</v>
      </c>
      <c r="M81" s="41"/>
      <c r="N81" s="22"/>
    </row>
    <row r="82" spans="1:14" ht="20.100000000000001" customHeight="1" x14ac:dyDescent="0.25">
      <c r="A82" s="30" t="str">
        <f t="shared" si="8"/>
        <v/>
      </c>
      <c r="B82" s="41"/>
      <c r="C82" s="35" t="str">
        <f>IF(B82="","",IFERROR(VLOOKUP(B82,DB_Customers!$A:$B,2,0),"❌ Account Not Found"))</f>
        <v/>
      </c>
      <c r="D82" s="42" t="str">
        <f t="shared" ca="1" si="9"/>
        <v/>
      </c>
      <c r="E82" s="32"/>
      <c r="F82" s="31"/>
      <c r="G82" s="41"/>
      <c r="H82" s="56">
        <v>2.5</v>
      </c>
      <c r="I82" s="43" t="str">
        <f t="shared" si="10"/>
        <v/>
      </c>
      <c r="J82" s="43" t="str">
        <f t="shared" si="11"/>
        <v/>
      </c>
      <c r="K82" s="33" t="str">
        <f>IF(B82="","Pending",IF(M82="","⚠️ Enter Code",IF(IFERROR(VLOOKUP(L82,DB_Agents!$B:$F,4,0),"")=TEXT(M82,"0"),"Pending Approval","🔒 WRONG CODE")))</f>
        <v>Pending</v>
      </c>
      <c r="L82" s="30" t="s">
        <v>56</v>
      </c>
      <c r="M82" s="41"/>
      <c r="N82" s="57"/>
    </row>
    <row r="83" spans="1:14" ht="20.100000000000001" customHeight="1" x14ac:dyDescent="0.25">
      <c r="A83" s="30" t="str">
        <f t="shared" si="8"/>
        <v/>
      </c>
      <c r="B83" s="41"/>
      <c r="C83" s="35" t="str">
        <f>IF(B83="","",IFERROR(VLOOKUP(B83,DB_Customers!$A:$B,2,0),"❌ Account Not Found"))</f>
        <v/>
      </c>
      <c r="D83" s="42" t="str">
        <f t="shared" ca="1" si="9"/>
        <v/>
      </c>
      <c r="E83" s="32"/>
      <c r="F83" s="31"/>
      <c r="G83" s="41"/>
      <c r="H83" s="56">
        <v>2.5</v>
      </c>
      <c r="I83" s="43" t="str">
        <f t="shared" si="10"/>
        <v/>
      </c>
      <c r="J83" s="43" t="str">
        <f t="shared" si="11"/>
        <v/>
      </c>
      <c r="K83" s="33" t="str">
        <f>IF(B83="","Pending",IF(M83="","⚠️ Enter Code",IF(IFERROR(VLOOKUP(L83,DB_Agents!$B:$F,4,0),"")=TEXT(M83,"0"),"Pending Approval","🔒 WRONG CODE")))</f>
        <v>Pending</v>
      </c>
      <c r="L83" s="30" t="s">
        <v>56</v>
      </c>
      <c r="M83" s="41"/>
      <c r="N83" s="22"/>
    </row>
    <row r="84" spans="1:14" ht="20.100000000000001" customHeight="1" x14ac:dyDescent="0.25">
      <c r="A84" s="30" t="str">
        <f t="shared" si="8"/>
        <v/>
      </c>
      <c r="B84" s="41"/>
      <c r="C84" s="35" t="str">
        <f>IF(B84="","",IFERROR(VLOOKUP(B84,DB_Customers!$A:$B,2,0),"❌ Account Not Found"))</f>
        <v/>
      </c>
      <c r="D84" s="42" t="str">
        <f t="shared" ca="1" si="9"/>
        <v/>
      </c>
      <c r="E84" s="32"/>
      <c r="F84" s="31"/>
      <c r="G84" s="41"/>
      <c r="H84" s="56">
        <v>2.5</v>
      </c>
      <c r="I84" s="43" t="str">
        <f t="shared" si="10"/>
        <v/>
      </c>
      <c r="J84" s="43" t="str">
        <f t="shared" si="11"/>
        <v/>
      </c>
      <c r="K84" s="33" t="str">
        <f>IF(B84="","Pending",IF(M84="","⚠️ Enter Code",IF(IFERROR(VLOOKUP(L84,DB_Agents!$B:$F,4,0),"")=TEXT(M84,"0"),"Pending Approval","🔒 WRONG CODE")))</f>
        <v>Pending</v>
      </c>
      <c r="L84" s="30" t="s">
        <v>56</v>
      </c>
      <c r="M84" s="41"/>
      <c r="N84" s="57"/>
    </row>
    <row r="85" spans="1:14" ht="20.100000000000001" customHeight="1" x14ac:dyDescent="0.25">
      <c r="A85" s="30" t="str">
        <f t="shared" si="8"/>
        <v/>
      </c>
      <c r="B85" s="41"/>
      <c r="C85" s="35" t="str">
        <f>IF(B85="","",IFERROR(VLOOKUP(B85,DB_Customers!$A:$B,2,0),"❌ Account Not Found"))</f>
        <v/>
      </c>
      <c r="D85" s="42" t="str">
        <f t="shared" ca="1" si="9"/>
        <v/>
      </c>
      <c r="E85" s="32"/>
      <c r="F85" s="31"/>
      <c r="G85" s="41"/>
      <c r="H85" s="56">
        <v>2.5</v>
      </c>
      <c r="I85" s="43" t="str">
        <f t="shared" si="10"/>
        <v/>
      </c>
      <c r="J85" s="43" t="str">
        <f t="shared" si="11"/>
        <v/>
      </c>
      <c r="K85" s="33" t="str">
        <f>IF(B85="","Pending",IF(M85="","⚠️ Enter Code",IF(IFERROR(VLOOKUP(L85,DB_Agents!$B:$F,4,0),"")=TEXT(M85,"0"),"Pending Approval","🔒 WRONG CODE")))</f>
        <v>Pending</v>
      </c>
      <c r="L85" s="30" t="s">
        <v>56</v>
      </c>
      <c r="M85" s="41"/>
      <c r="N85" s="22"/>
    </row>
    <row r="86" spans="1:14" ht="20.100000000000001" customHeight="1" x14ac:dyDescent="0.25">
      <c r="A86" s="30" t="str">
        <f t="shared" si="8"/>
        <v/>
      </c>
      <c r="B86" s="41"/>
      <c r="C86" s="35" t="str">
        <f>IF(B86="","",IFERROR(VLOOKUP(B86,DB_Customers!$A:$B,2,0),"❌ Account Not Found"))</f>
        <v/>
      </c>
      <c r="D86" s="42" t="str">
        <f t="shared" ca="1" si="9"/>
        <v/>
      </c>
      <c r="E86" s="32"/>
      <c r="F86" s="31"/>
      <c r="G86" s="41"/>
      <c r="H86" s="56">
        <v>2.5</v>
      </c>
      <c r="I86" s="43" t="str">
        <f t="shared" si="10"/>
        <v/>
      </c>
      <c r="J86" s="43" t="str">
        <f t="shared" si="11"/>
        <v/>
      </c>
      <c r="K86" s="33" t="str">
        <f>IF(B86="","Pending",IF(M86="","⚠️ Enter Code",IF(IFERROR(VLOOKUP(L86,DB_Agents!$B:$F,4,0),"")=TEXT(M86,"0"),"Pending Approval","🔒 WRONG CODE")))</f>
        <v>Pending</v>
      </c>
      <c r="L86" s="30" t="s">
        <v>56</v>
      </c>
      <c r="M86" s="41"/>
      <c r="N86" s="57"/>
    </row>
    <row r="87" spans="1:14" ht="20.100000000000001" customHeight="1" x14ac:dyDescent="0.25">
      <c r="A87" s="30" t="str">
        <f t="shared" si="8"/>
        <v/>
      </c>
      <c r="B87" s="41"/>
      <c r="C87" s="35" t="str">
        <f>IF(B87="","",IFERROR(VLOOKUP(B87,DB_Customers!$A:$B,2,0),"❌ Account Not Found"))</f>
        <v/>
      </c>
      <c r="D87" s="42" t="str">
        <f t="shared" ca="1" si="9"/>
        <v/>
      </c>
      <c r="E87" s="32"/>
      <c r="F87" s="31"/>
      <c r="G87" s="41"/>
      <c r="H87" s="56">
        <v>2.5</v>
      </c>
      <c r="I87" s="43" t="str">
        <f t="shared" si="10"/>
        <v/>
      </c>
      <c r="J87" s="43" t="str">
        <f t="shared" si="11"/>
        <v/>
      </c>
      <c r="K87" s="33" t="str">
        <f>IF(B87="","Pending",IF(M87="","⚠️ Enter Code",IF(IFERROR(VLOOKUP(L87,DB_Agents!$B:$F,4,0),"")=TEXT(M87,"0"),"Pending Approval","🔒 WRONG CODE")))</f>
        <v>Pending</v>
      </c>
      <c r="L87" s="30" t="s">
        <v>56</v>
      </c>
      <c r="M87" s="41"/>
      <c r="N87" s="22"/>
    </row>
    <row r="88" spans="1:14" ht="20.100000000000001" customHeight="1" x14ac:dyDescent="0.25">
      <c r="A88" s="30" t="str">
        <f t="shared" si="8"/>
        <v/>
      </c>
      <c r="B88" s="41"/>
      <c r="C88" s="35" t="str">
        <f>IF(B88="","",IFERROR(VLOOKUP(B88,DB_Customers!$A:$B,2,0),"❌ Account Not Found"))</f>
        <v/>
      </c>
      <c r="D88" s="42" t="str">
        <f t="shared" ca="1" si="9"/>
        <v/>
      </c>
      <c r="E88" s="32"/>
      <c r="F88" s="31"/>
      <c r="G88" s="41"/>
      <c r="H88" s="56">
        <v>2.5</v>
      </c>
      <c r="I88" s="43" t="str">
        <f t="shared" si="10"/>
        <v/>
      </c>
      <c r="J88" s="43" t="str">
        <f t="shared" si="11"/>
        <v/>
      </c>
      <c r="K88" s="33" t="str">
        <f>IF(B88="","Pending",IF(M88="","⚠️ Enter Code",IF(IFERROR(VLOOKUP(L88,DB_Agents!$B:$F,4,0),"")=TEXT(M88,"0"),"Pending Approval","🔒 WRONG CODE")))</f>
        <v>Pending</v>
      </c>
      <c r="L88" s="30" t="s">
        <v>56</v>
      </c>
      <c r="M88" s="41"/>
      <c r="N88" s="57"/>
    </row>
    <row r="89" spans="1:14" ht="20.100000000000001" customHeight="1" x14ac:dyDescent="0.25">
      <c r="A89" s="30" t="str">
        <f t="shared" si="8"/>
        <v/>
      </c>
      <c r="B89" s="41"/>
      <c r="C89" s="35" t="str">
        <f>IF(B89="","",IFERROR(VLOOKUP(B89,DB_Customers!$A:$B,2,0),"❌ Account Not Found"))</f>
        <v/>
      </c>
      <c r="D89" s="42" t="str">
        <f t="shared" ca="1" si="9"/>
        <v/>
      </c>
      <c r="E89" s="32"/>
      <c r="F89" s="31"/>
      <c r="G89" s="41"/>
      <c r="H89" s="56">
        <v>2.5</v>
      </c>
      <c r="I89" s="43" t="str">
        <f t="shared" si="10"/>
        <v/>
      </c>
      <c r="J89" s="43" t="str">
        <f t="shared" si="11"/>
        <v/>
      </c>
      <c r="K89" s="33" t="str">
        <f>IF(B89="","Pending",IF(M89="","⚠️ Enter Code",IF(IFERROR(VLOOKUP(L89,DB_Agents!$B:$F,4,0),"")=TEXT(M89,"0"),"Pending Approval","🔒 WRONG CODE")))</f>
        <v>Pending</v>
      </c>
      <c r="L89" s="30" t="s">
        <v>56</v>
      </c>
      <c r="M89" s="41"/>
      <c r="N89" s="22"/>
    </row>
    <row r="90" spans="1:14" ht="20.100000000000001" customHeight="1" x14ac:dyDescent="0.25">
      <c r="A90" s="30" t="str">
        <f t="shared" si="8"/>
        <v/>
      </c>
      <c r="B90" s="41"/>
      <c r="C90" s="35" t="str">
        <f>IF(B90="","",IFERROR(VLOOKUP(B90,DB_Customers!$A:$B,2,0),"❌ Account Not Found"))</f>
        <v/>
      </c>
      <c r="D90" s="42" t="str">
        <f t="shared" ca="1" si="9"/>
        <v/>
      </c>
      <c r="E90" s="32"/>
      <c r="F90" s="31"/>
      <c r="G90" s="41"/>
      <c r="H90" s="56">
        <v>2.5</v>
      </c>
      <c r="I90" s="43" t="str">
        <f t="shared" si="10"/>
        <v/>
      </c>
      <c r="J90" s="43" t="str">
        <f t="shared" si="11"/>
        <v/>
      </c>
      <c r="K90" s="33" t="str">
        <f>IF(B90="","Pending",IF(M90="","⚠️ Enter Code",IF(IFERROR(VLOOKUP(L90,DB_Agents!$B:$F,4,0),"")=TEXT(M90,"0"),"Pending Approval","🔒 WRONG CODE")))</f>
        <v>Pending</v>
      </c>
      <c r="L90" s="30" t="s">
        <v>56</v>
      </c>
      <c r="M90" s="41"/>
      <c r="N90" s="57"/>
    </row>
    <row r="91" spans="1:14" ht="20.100000000000001" customHeight="1" x14ac:dyDescent="0.25">
      <c r="A91" s="30" t="str">
        <f t="shared" si="8"/>
        <v/>
      </c>
      <c r="B91" s="41"/>
      <c r="C91" s="35" t="str">
        <f>IF(B91="","",IFERROR(VLOOKUP(B91,DB_Customers!$A:$B,2,0),"❌ Account Not Found"))</f>
        <v/>
      </c>
      <c r="D91" s="42" t="str">
        <f t="shared" ca="1" si="9"/>
        <v/>
      </c>
      <c r="E91" s="32"/>
      <c r="F91" s="31"/>
      <c r="G91" s="41"/>
      <c r="H91" s="56">
        <v>2.5</v>
      </c>
      <c r="I91" s="43" t="str">
        <f t="shared" si="10"/>
        <v/>
      </c>
      <c r="J91" s="43" t="str">
        <f t="shared" si="11"/>
        <v/>
      </c>
      <c r="K91" s="33" t="str">
        <f>IF(B91="","Pending",IF(M91="","⚠️ Enter Code",IF(IFERROR(VLOOKUP(L91,DB_Agents!$B:$F,4,0),"")=TEXT(M91,"0"),"Pending Approval","🔒 WRONG CODE")))</f>
        <v>Pending</v>
      </c>
      <c r="L91" s="30" t="s">
        <v>56</v>
      </c>
      <c r="M91" s="41"/>
      <c r="N91" s="22"/>
    </row>
    <row r="92" spans="1:14" ht="20.100000000000001" customHeight="1" x14ac:dyDescent="0.25">
      <c r="A92" s="30" t="str">
        <f t="shared" si="8"/>
        <v/>
      </c>
      <c r="B92" s="41"/>
      <c r="C92" s="35" t="str">
        <f>IF(B92="","",IFERROR(VLOOKUP(B92,DB_Customers!$A:$B,2,0),"❌ Account Not Found"))</f>
        <v/>
      </c>
      <c r="D92" s="42" t="str">
        <f t="shared" ca="1" si="9"/>
        <v/>
      </c>
      <c r="E92" s="32"/>
      <c r="F92" s="31"/>
      <c r="G92" s="41"/>
      <c r="H92" s="56">
        <v>2.5</v>
      </c>
      <c r="I92" s="43" t="str">
        <f t="shared" si="10"/>
        <v/>
      </c>
      <c r="J92" s="43" t="str">
        <f t="shared" si="11"/>
        <v/>
      </c>
      <c r="K92" s="33" t="str">
        <f>IF(B92="","Pending",IF(M92="","⚠️ Enter Code",IF(IFERROR(VLOOKUP(L92,DB_Agents!$B:$F,4,0),"")=TEXT(M92,"0"),"Pending Approval","🔒 WRONG CODE")))</f>
        <v>Pending</v>
      </c>
      <c r="L92" s="30" t="s">
        <v>56</v>
      </c>
      <c r="M92" s="41"/>
      <c r="N92" s="57"/>
    </row>
    <row r="93" spans="1:14" ht="20.100000000000001" customHeight="1" x14ac:dyDescent="0.25">
      <c r="A93" s="30" t="str">
        <f t="shared" si="8"/>
        <v/>
      </c>
      <c r="B93" s="41"/>
      <c r="C93" s="35" t="str">
        <f>IF(B93="","",IFERROR(VLOOKUP(B93,DB_Customers!$A:$B,2,0),"❌ Account Not Found"))</f>
        <v/>
      </c>
      <c r="D93" s="42" t="str">
        <f t="shared" ca="1" si="9"/>
        <v/>
      </c>
      <c r="E93" s="32"/>
      <c r="F93" s="31"/>
      <c r="G93" s="41"/>
      <c r="H93" s="56">
        <v>2.5</v>
      </c>
      <c r="I93" s="43" t="str">
        <f t="shared" si="10"/>
        <v/>
      </c>
      <c r="J93" s="43" t="str">
        <f t="shared" si="11"/>
        <v/>
      </c>
      <c r="K93" s="33" t="str">
        <f>IF(B93="","Pending",IF(M93="","⚠️ Enter Code",IF(IFERROR(VLOOKUP(L93,DB_Agents!$B:$F,4,0),"")=TEXT(M93,"0"),"Pending Approval","🔒 WRONG CODE")))</f>
        <v>Pending</v>
      </c>
      <c r="L93" s="30" t="s">
        <v>56</v>
      </c>
      <c r="M93" s="41"/>
      <c r="N93" s="22"/>
    </row>
    <row r="94" spans="1:14" ht="20.100000000000001" customHeight="1" x14ac:dyDescent="0.25">
      <c r="A94" s="30" t="str">
        <f t="shared" si="8"/>
        <v/>
      </c>
      <c r="B94" s="41"/>
      <c r="C94" s="35" t="str">
        <f>IF(B94="","",IFERROR(VLOOKUP(B94,DB_Customers!$A:$B,2,0),"❌ Account Not Found"))</f>
        <v/>
      </c>
      <c r="D94" s="42" t="str">
        <f t="shared" ca="1" si="9"/>
        <v/>
      </c>
      <c r="E94" s="32"/>
      <c r="F94" s="31"/>
      <c r="G94" s="41"/>
      <c r="H94" s="56">
        <v>2.5</v>
      </c>
      <c r="I94" s="43" t="str">
        <f t="shared" si="10"/>
        <v/>
      </c>
      <c r="J94" s="43" t="str">
        <f t="shared" si="11"/>
        <v/>
      </c>
      <c r="K94" s="33" t="str">
        <f>IF(B94="","Pending",IF(M94="","⚠️ Enter Code",IF(IFERROR(VLOOKUP(L94,DB_Agents!$B:$F,4,0),"")=TEXT(M94,"0"),"Pending Approval","🔒 WRONG CODE")))</f>
        <v>Pending</v>
      </c>
      <c r="L94" s="30" t="s">
        <v>56</v>
      </c>
      <c r="M94" s="41"/>
      <c r="N94" s="57"/>
    </row>
    <row r="95" spans="1:14" ht="20.100000000000001" customHeight="1" x14ac:dyDescent="0.25">
      <c r="A95" s="30" t="str">
        <f t="shared" si="8"/>
        <v/>
      </c>
      <c r="B95" s="41"/>
      <c r="C95" s="35" t="str">
        <f>IF(B95="","",IFERROR(VLOOKUP(B95,DB_Customers!$A:$B,2,0),"❌ Account Not Found"))</f>
        <v/>
      </c>
      <c r="D95" s="42" t="str">
        <f t="shared" ca="1" si="9"/>
        <v/>
      </c>
      <c r="E95" s="32"/>
      <c r="F95" s="31"/>
      <c r="G95" s="41"/>
      <c r="H95" s="56">
        <v>2.5</v>
      </c>
      <c r="I95" s="43" t="str">
        <f t="shared" si="10"/>
        <v/>
      </c>
      <c r="J95" s="43" t="str">
        <f t="shared" si="11"/>
        <v/>
      </c>
      <c r="K95" s="33" t="str">
        <f>IF(B95="","Pending",IF(M95="","⚠️ Enter Code",IF(IFERROR(VLOOKUP(L95,DB_Agents!$B:$F,4,0),"")=TEXT(M95,"0"),"Pending Approval","🔒 WRONG CODE")))</f>
        <v>Pending</v>
      </c>
      <c r="L95" s="30" t="s">
        <v>56</v>
      </c>
      <c r="M95" s="41"/>
      <c r="N95" s="22"/>
    </row>
    <row r="96" spans="1:14" ht="20.100000000000001" customHeight="1" x14ac:dyDescent="0.25">
      <c r="A96" s="30" t="str">
        <f t="shared" si="8"/>
        <v/>
      </c>
      <c r="B96" s="41"/>
      <c r="C96" s="35" t="str">
        <f>IF(B96="","",IFERROR(VLOOKUP(B96,DB_Customers!$A:$B,2,0),"❌ Account Not Found"))</f>
        <v/>
      </c>
      <c r="D96" s="42" t="str">
        <f t="shared" ca="1" si="9"/>
        <v/>
      </c>
      <c r="E96" s="32"/>
      <c r="F96" s="31"/>
      <c r="G96" s="41"/>
      <c r="H96" s="56">
        <v>2.5</v>
      </c>
      <c r="I96" s="43" t="str">
        <f t="shared" si="10"/>
        <v/>
      </c>
      <c r="J96" s="43" t="str">
        <f t="shared" si="11"/>
        <v/>
      </c>
      <c r="K96" s="33" t="str">
        <f>IF(B96="","Pending",IF(M96="","⚠️ Enter Code",IF(IFERROR(VLOOKUP(L96,DB_Agents!$B:$F,4,0),"")=TEXT(M96,"0"),"Pending Approval","🔒 WRONG CODE")))</f>
        <v>Pending</v>
      </c>
      <c r="L96" s="30" t="s">
        <v>56</v>
      </c>
      <c r="M96" s="41"/>
      <c r="N96" s="57"/>
    </row>
    <row r="97" spans="1:14" ht="20.100000000000001" customHeight="1" x14ac:dyDescent="0.25">
      <c r="A97" s="30" t="str">
        <f t="shared" si="8"/>
        <v/>
      </c>
      <c r="B97" s="41"/>
      <c r="C97" s="35" t="str">
        <f>IF(B97="","",IFERROR(VLOOKUP(B97,DB_Customers!$A:$B,2,0),"❌ Account Not Found"))</f>
        <v/>
      </c>
      <c r="D97" s="42" t="str">
        <f t="shared" ca="1" si="9"/>
        <v/>
      </c>
      <c r="E97" s="32"/>
      <c r="F97" s="31"/>
      <c r="G97" s="41"/>
      <c r="H97" s="56">
        <v>2.5</v>
      </c>
      <c r="I97" s="43" t="str">
        <f t="shared" si="10"/>
        <v/>
      </c>
      <c r="J97" s="43" t="str">
        <f t="shared" si="11"/>
        <v/>
      </c>
      <c r="K97" s="33" t="str">
        <f>IF(B97="","Pending",IF(M97="","⚠️ Enter Code",IF(IFERROR(VLOOKUP(L97,DB_Agents!$B:$F,4,0),"")=TEXT(M97,"0"),"Pending Approval","🔒 WRONG CODE")))</f>
        <v>Pending</v>
      </c>
      <c r="L97" s="30" t="s">
        <v>56</v>
      </c>
      <c r="M97" s="41"/>
      <c r="N97" s="22"/>
    </row>
    <row r="98" spans="1:14" ht="20.100000000000001" customHeight="1" x14ac:dyDescent="0.25">
      <c r="A98" s="30" t="str">
        <f t="shared" si="8"/>
        <v/>
      </c>
      <c r="B98" s="41"/>
      <c r="C98" s="35" t="str">
        <f>IF(B98="","",IFERROR(VLOOKUP(B98,DB_Customers!$A:$B,2,0),"❌ Account Not Found"))</f>
        <v/>
      </c>
      <c r="D98" s="42" t="str">
        <f t="shared" ca="1" si="9"/>
        <v/>
      </c>
      <c r="E98" s="32"/>
      <c r="F98" s="31"/>
      <c r="G98" s="41"/>
      <c r="H98" s="56">
        <v>2.5</v>
      </c>
      <c r="I98" s="43" t="str">
        <f t="shared" si="10"/>
        <v/>
      </c>
      <c r="J98" s="43" t="str">
        <f t="shared" si="11"/>
        <v/>
      </c>
      <c r="K98" s="33" t="str">
        <f>IF(B98="","Pending",IF(M98="","⚠️ Enter Code",IF(IFERROR(VLOOKUP(L98,DB_Agents!$B:$F,4,0),"")=TEXT(M98,"0"),"Pending Approval","🔒 WRONG CODE")))</f>
        <v>Pending</v>
      </c>
      <c r="L98" s="30" t="s">
        <v>56</v>
      </c>
      <c r="M98" s="41"/>
      <c r="N98" s="57"/>
    </row>
    <row r="99" spans="1:14" ht="20.100000000000001" customHeight="1" x14ac:dyDescent="0.25">
      <c r="A99" s="30" t="str">
        <f t="shared" si="8"/>
        <v/>
      </c>
      <c r="B99" s="41"/>
      <c r="C99" s="35" t="str">
        <f>IF(B99="","",IFERROR(VLOOKUP(B99,DB_Customers!$A:$B,2,0),"❌ Account Not Found"))</f>
        <v/>
      </c>
      <c r="D99" s="42" t="str">
        <f t="shared" ca="1" si="9"/>
        <v/>
      </c>
      <c r="E99" s="32"/>
      <c r="F99" s="31"/>
      <c r="G99" s="41"/>
      <c r="H99" s="56">
        <v>2.5</v>
      </c>
      <c r="I99" s="43" t="str">
        <f t="shared" si="10"/>
        <v/>
      </c>
      <c r="J99" s="43" t="str">
        <f t="shared" si="11"/>
        <v/>
      </c>
      <c r="K99" s="33" t="str">
        <f>IF(B99="","Pending",IF(M99="","⚠️ Enter Code",IF(IFERROR(VLOOKUP(L99,DB_Agents!$B:$F,4,0),"")=TEXT(M99,"0"),"Pending Approval","🔒 WRONG CODE")))</f>
        <v>Pending</v>
      </c>
      <c r="L99" s="30" t="s">
        <v>56</v>
      </c>
      <c r="M99" s="41"/>
      <c r="N99" s="22"/>
    </row>
    <row r="100" spans="1:14" ht="20.100000000000001" customHeight="1" x14ac:dyDescent="0.25">
      <c r="A100" s="30" t="str">
        <f t="shared" si="8"/>
        <v/>
      </c>
      <c r="B100" s="41"/>
      <c r="C100" s="35" t="str">
        <f>IF(B100="","",IFERROR(VLOOKUP(B100,DB_Customers!$A:$B,2,0),"❌ Account Not Found"))</f>
        <v/>
      </c>
      <c r="D100" s="42" t="str">
        <f t="shared" ca="1" si="9"/>
        <v/>
      </c>
      <c r="E100" s="32"/>
      <c r="F100" s="31"/>
      <c r="G100" s="41"/>
      <c r="H100" s="56">
        <v>2.5</v>
      </c>
      <c r="I100" s="43" t="str">
        <f t="shared" si="10"/>
        <v/>
      </c>
      <c r="J100" s="43" t="str">
        <f t="shared" si="11"/>
        <v/>
      </c>
      <c r="K100" s="33" t="str">
        <f>IF(B100="","Pending",IF(M100="","⚠️ Enter Code",IF(IFERROR(VLOOKUP(L100,DB_Agents!$B:$F,4,0),"")=TEXT(M100,"0"),"Pending Approval","🔒 WRONG CODE")))</f>
        <v>Pending</v>
      </c>
      <c r="L100" s="30" t="s">
        <v>56</v>
      </c>
      <c r="M100" s="41"/>
      <c r="N100" s="57"/>
    </row>
    <row r="101" spans="1:14" ht="20.100000000000001" customHeight="1" x14ac:dyDescent="0.25">
      <c r="A101" s="30" t="str">
        <f t="shared" si="8"/>
        <v/>
      </c>
      <c r="B101" s="41"/>
      <c r="C101" s="35" t="str">
        <f>IF(B101="","",IFERROR(VLOOKUP(B101,DB_Customers!$A:$B,2,0),"❌ Account Not Found"))</f>
        <v/>
      </c>
      <c r="D101" s="42" t="str">
        <f t="shared" ca="1" si="9"/>
        <v/>
      </c>
      <c r="E101" s="32"/>
      <c r="F101" s="31"/>
      <c r="G101" s="41"/>
      <c r="H101" s="56">
        <v>2.5</v>
      </c>
      <c r="I101" s="43" t="str">
        <f t="shared" si="10"/>
        <v/>
      </c>
      <c r="J101" s="43" t="str">
        <f t="shared" si="11"/>
        <v/>
      </c>
      <c r="K101" s="33" t="str">
        <f>IF(B101="","Pending",IF(M101="","⚠️ Enter Code",IF(IFERROR(VLOOKUP(L101,DB_Agents!$B:$F,4,0),"")=TEXT(M101,"0"),"Pending Approval","🔒 WRONG CODE")))</f>
        <v>Pending</v>
      </c>
      <c r="L101" s="30" t="s">
        <v>56</v>
      </c>
      <c r="M101" s="41"/>
      <c r="N101" s="22"/>
    </row>
    <row r="102" spans="1:14" ht="20.100000000000001" customHeight="1" x14ac:dyDescent="0.25">
      <c r="A102" s="30" t="str">
        <f t="shared" si="8"/>
        <v/>
      </c>
      <c r="B102" s="41"/>
      <c r="C102" s="35" t="str">
        <f>IF(B102="","",IFERROR(VLOOKUP(B102,DB_Customers!$A:$B,2,0),"❌ Account Not Found"))</f>
        <v/>
      </c>
      <c r="D102" s="42" t="str">
        <f t="shared" ca="1" si="9"/>
        <v/>
      </c>
      <c r="E102" s="32"/>
      <c r="F102" s="31"/>
      <c r="G102" s="41"/>
      <c r="H102" s="56">
        <v>2.5</v>
      </c>
      <c r="I102" s="43" t="str">
        <f t="shared" si="10"/>
        <v/>
      </c>
      <c r="J102" s="43" t="str">
        <f t="shared" si="11"/>
        <v/>
      </c>
      <c r="K102" s="33" t="str">
        <f>IF(B102="","Pending",IF(M102="","⚠️ Enter Code",IF(IFERROR(VLOOKUP(L102,DB_Agents!$B:$F,4,0),"")=TEXT(M102,"0"),"Pending Approval","🔒 WRONG CODE")))</f>
        <v>Pending</v>
      </c>
      <c r="L102" s="30" t="s">
        <v>56</v>
      </c>
      <c r="M102" s="41"/>
      <c r="N102" s="57"/>
    </row>
    <row r="103" spans="1:14" ht="20.100000000000001" customHeight="1" x14ac:dyDescent="0.25">
      <c r="A103" s="30" t="str">
        <f t="shared" si="8"/>
        <v/>
      </c>
      <c r="B103" s="41"/>
      <c r="C103" s="35" t="str">
        <f>IF(B103="","",IFERROR(VLOOKUP(B103,DB_Customers!$A:$B,2,0),"❌ Account Not Found"))</f>
        <v/>
      </c>
      <c r="D103" s="42" t="str">
        <f t="shared" ca="1" si="9"/>
        <v/>
      </c>
      <c r="E103" s="32"/>
      <c r="F103" s="31"/>
      <c r="G103" s="41"/>
      <c r="H103" s="56">
        <v>2.5</v>
      </c>
      <c r="I103" s="43" t="str">
        <f t="shared" si="10"/>
        <v/>
      </c>
      <c r="J103" s="43" t="str">
        <f t="shared" si="11"/>
        <v/>
      </c>
      <c r="K103" s="33" t="str">
        <f>IF(B103="","Pending",IF(M103="","⚠️ Enter Code",IF(IFERROR(VLOOKUP(L103,DB_Agents!$B:$F,4,0),"")=TEXT(M103,"0"),"Pending Approval","🔒 WRONG CODE")))</f>
        <v>Pending</v>
      </c>
      <c r="L103" s="30" t="s">
        <v>56</v>
      </c>
      <c r="M103" s="41"/>
      <c r="N103" s="22"/>
    </row>
    <row r="104" spans="1:14" ht="20.100000000000001" customHeight="1" x14ac:dyDescent="0.25">
      <c r="A104" s="30" t="str">
        <f t="shared" si="8"/>
        <v/>
      </c>
      <c r="B104" s="41"/>
      <c r="C104" s="35" t="str">
        <f>IF(B104="","",IFERROR(VLOOKUP(B104,DB_Customers!$A:$B,2,0),"❌ Account Not Found"))</f>
        <v/>
      </c>
      <c r="D104" s="42" t="str">
        <f t="shared" ca="1" si="9"/>
        <v/>
      </c>
      <c r="E104" s="32"/>
      <c r="F104" s="31"/>
      <c r="G104" s="41"/>
      <c r="H104" s="56">
        <v>2.5</v>
      </c>
      <c r="I104" s="43" t="str">
        <f t="shared" si="10"/>
        <v/>
      </c>
      <c r="J104" s="43" t="str">
        <f t="shared" si="11"/>
        <v/>
      </c>
      <c r="K104" s="33" t="str">
        <f>IF(B104="","Pending",IF(M104="","⚠️ Enter Code",IF(IFERROR(VLOOKUP(L104,DB_Agents!$B:$F,4,0),"")=TEXT(M104,"0"),"Pending Approval","🔒 WRONG CODE")))</f>
        <v>Pending</v>
      </c>
      <c r="L104" s="30" t="s">
        <v>56</v>
      </c>
      <c r="M104" s="41"/>
      <c r="N104" s="57"/>
    </row>
    <row r="105" spans="1:14" ht="20.100000000000001" customHeight="1" x14ac:dyDescent="0.25">
      <c r="A105" s="30" t="str">
        <f t="shared" si="8"/>
        <v/>
      </c>
      <c r="B105" s="41"/>
      <c r="C105" s="35" t="str">
        <f>IF(B105="","",IFERROR(VLOOKUP(B105,DB_Customers!$A:$B,2,0),"❌ Account Not Found"))</f>
        <v/>
      </c>
      <c r="D105" s="42" t="str">
        <f t="shared" ca="1" si="9"/>
        <v/>
      </c>
      <c r="E105" s="32"/>
      <c r="F105" s="31"/>
      <c r="G105" s="41"/>
      <c r="H105" s="56">
        <v>2.5</v>
      </c>
      <c r="I105" s="43" t="str">
        <f t="shared" si="10"/>
        <v/>
      </c>
      <c r="J105" s="43" t="str">
        <f t="shared" si="11"/>
        <v/>
      </c>
      <c r="K105" s="33" t="str">
        <f>IF(B105="","Pending",IF(M105="","⚠️ Enter Code",IF(IFERROR(VLOOKUP(L105,DB_Agents!$B:$F,4,0),"")=TEXT(M105,"0"),"Pending Approval","🔒 WRONG CODE")))</f>
        <v>Pending</v>
      </c>
      <c r="L105" s="30" t="s">
        <v>56</v>
      </c>
      <c r="M105" s="41"/>
      <c r="N105" s="22"/>
    </row>
    <row r="106" spans="1:14" ht="20.100000000000001" customHeight="1" x14ac:dyDescent="0.25">
      <c r="A106" s="30" t="str">
        <f t="shared" si="8"/>
        <v/>
      </c>
      <c r="B106" s="41"/>
      <c r="C106" s="35" t="str">
        <f>IF(B106="","",IFERROR(VLOOKUP(B106,DB_Customers!$A:$B,2,0),"❌ Account Not Found"))</f>
        <v/>
      </c>
      <c r="D106" s="42" t="str">
        <f t="shared" ca="1" si="9"/>
        <v/>
      </c>
      <c r="E106" s="32"/>
      <c r="F106" s="31"/>
      <c r="G106" s="41"/>
      <c r="H106" s="56">
        <v>2.5</v>
      </c>
      <c r="I106" s="43" t="str">
        <f t="shared" si="10"/>
        <v/>
      </c>
      <c r="J106" s="43" t="str">
        <f t="shared" si="11"/>
        <v/>
      </c>
      <c r="K106" s="33" t="str">
        <f>IF(B106="","Pending",IF(M106="","⚠️ Enter Code",IF(IFERROR(VLOOKUP(L106,DB_Agents!$B:$F,4,0),"")=TEXT(M106,"0"),"Pending Approval","🔒 WRONG CODE")))</f>
        <v>Pending</v>
      </c>
      <c r="L106" s="30" t="s">
        <v>56</v>
      </c>
      <c r="M106" s="41"/>
      <c r="N106" s="57"/>
    </row>
    <row r="107" spans="1:14" ht="20.100000000000001" customHeight="1" x14ac:dyDescent="0.25">
      <c r="A107" s="30" t="str">
        <f t="shared" si="8"/>
        <v/>
      </c>
      <c r="B107" s="41"/>
      <c r="C107" s="35" t="str">
        <f>IF(B107="","",IFERROR(VLOOKUP(B107,DB_Customers!$A:$B,2,0),"❌ Account Not Found"))</f>
        <v/>
      </c>
      <c r="D107" s="42" t="str">
        <f t="shared" ca="1" si="9"/>
        <v/>
      </c>
      <c r="E107" s="32"/>
      <c r="F107" s="31"/>
      <c r="G107" s="41"/>
      <c r="H107" s="56">
        <v>2.5</v>
      </c>
      <c r="I107" s="43" t="str">
        <f t="shared" si="10"/>
        <v/>
      </c>
      <c r="J107" s="43" t="str">
        <f t="shared" si="11"/>
        <v/>
      </c>
      <c r="K107" s="33" t="str">
        <f>IF(B107="","Pending",IF(M107="","⚠️ Enter Code",IF(IFERROR(VLOOKUP(L107,DB_Agents!$B:$F,4,0),"")=TEXT(M107,"0"),"Pending Approval","🔒 WRONG CODE")))</f>
        <v>Pending</v>
      </c>
      <c r="L107" s="30" t="s">
        <v>56</v>
      </c>
      <c r="M107" s="41"/>
      <c r="N107" s="22"/>
    </row>
    <row r="108" spans="1:14" ht="20.100000000000001" customHeight="1" x14ac:dyDescent="0.25">
      <c r="A108" s="30" t="str">
        <f t="shared" si="8"/>
        <v/>
      </c>
      <c r="B108" s="41"/>
      <c r="C108" s="35" t="str">
        <f>IF(B108="","",IFERROR(VLOOKUP(B108,DB_Customers!$A:$B,2,0),"❌ Account Not Found"))</f>
        <v/>
      </c>
      <c r="D108" s="42" t="str">
        <f t="shared" ca="1" si="9"/>
        <v/>
      </c>
      <c r="E108" s="32"/>
      <c r="F108" s="31"/>
      <c r="G108" s="41"/>
      <c r="H108" s="56">
        <v>2.5</v>
      </c>
      <c r="I108" s="43" t="str">
        <f t="shared" si="10"/>
        <v/>
      </c>
      <c r="J108" s="43" t="str">
        <f t="shared" si="11"/>
        <v/>
      </c>
      <c r="K108" s="33" t="str">
        <f>IF(B108="","Pending",IF(M108="","⚠️ Enter Code",IF(IFERROR(VLOOKUP(L108,DB_Agents!$B:$F,4,0),"")=TEXT(M108,"0"),"Pending Approval","🔒 WRONG CODE")))</f>
        <v>Pending</v>
      </c>
      <c r="L108" s="30" t="s">
        <v>56</v>
      </c>
      <c r="M108" s="41"/>
      <c r="N108" s="57"/>
    </row>
    <row r="109" spans="1:14" ht="20.100000000000001" customHeight="1" x14ac:dyDescent="0.25">
      <c r="A109" s="30" t="str">
        <f t="shared" si="8"/>
        <v/>
      </c>
      <c r="B109" s="41"/>
      <c r="C109" s="35" t="str">
        <f>IF(B109="","",IFERROR(VLOOKUP(B109,DB_Customers!$A:$B,2,0),"❌ Account Not Found"))</f>
        <v/>
      </c>
      <c r="D109" s="42" t="str">
        <f t="shared" ca="1" si="9"/>
        <v/>
      </c>
      <c r="E109" s="32"/>
      <c r="F109" s="31"/>
      <c r="G109" s="41"/>
      <c r="H109" s="56">
        <v>2.5</v>
      </c>
      <c r="I109" s="43" t="str">
        <f t="shared" si="10"/>
        <v/>
      </c>
      <c r="J109" s="43" t="str">
        <f t="shared" si="11"/>
        <v/>
      </c>
      <c r="K109" s="33" t="str">
        <f>IF(B109="","Pending",IF(M109="","⚠️ Enter Code",IF(IFERROR(VLOOKUP(L109,DB_Agents!$B:$F,4,0),"")=TEXT(M109,"0"),"Pending Approval","🔒 WRONG CODE")))</f>
        <v>Pending</v>
      </c>
      <c r="L109" s="30" t="s">
        <v>56</v>
      </c>
      <c r="M109" s="41"/>
      <c r="N109" s="22"/>
    </row>
    <row r="110" spans="1:14" ht="20.100000000000001" customHeight="1" x14ac:dyDescent="0.25">
      <c r="A110" s="30" t="str">
        <f t="shared" ref="A110:A141" si="12">IF(B110="","",IF(C110="❌ Account Not Found","INVALID","LN"&amp;TEXT(D110,"YYYYMMDD")&amp;TEXT(ROW()-13,"0000")))</f>
        <v/>
      </c>
      <c r="B110" s="41"/>
      <c r="C110" s="35" t="str">
        <f>IF(B110="","",IFERROR(VLOOKUP(B110,DB_Customers!$A:$B,2,0),"❌ Account Not Found"))</f>
        <v/>
      </c>
      <c r="D110" s="42" t="str">
        <f t="shared" ref="D110:D141" ca="1" si="13">IF(B110="","",TODAY())</f>
        <v/>
      </c>
      <c r="E110" s="32"/>
      <c r="F110" s="31"/>
      <c r="G110" s="41"/>
      <c r="H110" s="56">
        <v>2.5</v>
      </c>
      <c r="I110" s="43" t="str">
        <f t="shared" ref="I110:I141" si="14">IF(E110="","",E110+(E110*H110/100*G110))</f>
        <v/>
      </c>
      <c r="J110" s="43" t="str">
        <f t="shared" ref="J110:J141" si="15">IFERROR(I110/G110,"")</f>
        <v/>
      </c>
      <c r="K110" s="33" t="str">
        <f>IF(B110="","Pending",IF(M110="","⚠️ Enter Code",IF(IFERROR(VLOOKUP(L110,DB_Agents!$B:$F,4,0),"")=TEXT(M110,"0"),"Pending Approval","🔒 WRONG CODE")))</f>
        <v>Pending</v>
      </c>
      <c r="L110" s="30" t="s">
        <v>56</v>
      </c>
      <c r="M110" s="41"/>
      <c r="N110" s="57"/>
    </row>
    <row r="111" spans="1:14" ht="20.100000000000001" customHeight="1" x14ac:dyDescent="0.25">
      <c r="A111" s="30" t="str">
        <f t="shared" si="12"/>
        <v/>
      </c>
      <c r="B111" s="41"/>
      <c r="C111" s="35" t="str">
        <f>IF(B111="","",IFERROR(VLOOKUP(B111,DB_Customers!$A:$B,2,0),"❌ Account Not Found"))</f>
        <v/>
      </c>
      <c r="D111" s="42" t="str">
        <f t="shared" ca="1" si="13"/>
        <v/>
      </c>
      <c r="E111" s="32"/>
      <c r="F111" s="31"/>
      <c r="G111" s="41"/>
      <c r="H111" s="56">
        <v>2.5</v>
      </c>
      <c r="I111" s="43" t="str">
        <f t="shared" si="14"/>
        <v/>
      </c>
      <c r="J111" s="43" t="str">
        <f t="shared" si="15"/>
        <v/>
      </c>
      <c r="K111" s="33" t="str">
        <f>IF(B111="","Pending",IF(M111="","⚠️ Enter Code",IF(IFERROR(VLOOKUP(L111,DB_Agents!$B:$F,4,0),"")=TEXT(M111,"0"),"Pending Approval","🔒 WRONG CODE")))</f>
        <v>Pending</v>
      </c>
      <c r="L111" s="30" t="s">
        <v>56</v>
      </c>
      <c r="M111" s="41"/>
      <c r="N111" s="22"/>
    </row>
    <row r="112" spans="1:14" ht="20.100000000000001" customHeight="1" x14ac:dyDescent="0.25">
      <c r="A112" s="30" t="str">
        <f t="shared" si="12"/>
        <v/>
      </c>
      <c r="B112" s="41"/>
      <c r="C112" s="35" t="str">
        <f>IF(B112="","",IFERROR(VLOOKUP(B112,DB_Customers!$A:$B,2,0),"❌ Account Not Found"))</f>
        <v/>
      </c>
      <c r="D112" s="42" t="str">
        <f t="shared" ca="1" si="13"/>
        <v/>
      </c>
      <c r="E112" s="32"/>
      <c r="F112" s="31"/>
      <c r="G112" s="41"/>
      <c r="H112" s="56">
        <v>2.5</v>
      </c>
      <c r="I112" s="43" t="str">
        <f t="shared" si="14"/>
        <v/>
      </c>
      <c r="J112" s="43" t="str">
        <f t="shared" si="15"/>
        <v/>
      </c>
      <c r="K112" s="33" t="str">
        <f>IF(B112="","Pending",IF(M112="","⚠️ Enter Code",IF(IFERROR(VLOOKUP(L112,DB_Agents!$B:$F,4,0),"")=TEXT(M112,"0"),"Pending Approval","🔒 WRONG CODE")))</f>
        <v>Pending</v>
      </c>
      <c r="L112" s="30" t="s">
        <v>56</v>
      </c>
      <c r="M112" s="41"/>
      <c r="N112" s="57"/>
    </row>
    <row r="113" spans="1:14" ht="20.100000000000001" customHeight="1" x14ac:dyDescent="0.25">
      <c r="A113" s="30" t="str">
        <f t="shared" si="12"/>
        <v/>
      </c>
      <c r="B113" s="41"/>
      <c r="C113" s="35" t="str">
        <f>IF(B113="","",IFERROR(VLOOKUP(B113,DB_Customers!$A:$B,2,0),"❌ Account Not Found"))</f>
        <v/>
      </c>
      <c r="D113" s="42" t="str">
        <f t="shared" ca="1" si="13"/>
        <v/>
      </c>
      <c r="E113" s="32"/>
      <c r="F113" s="31"/>
      <c r="G113" s="41"/>
      <c r="H113" s="56">
        <v>2.5</v>
      </c>
      <c r="I113" s="43" t="str">
        <f t="shared" si="14"/>
        <v/>
      </c>
      <c r="J113" s="43" t="str">
        <f t="shared" si="15"/>
        <v/>
      </c>
      <c r="K113" s="33" t="str">
        <f>IF(B113="","Pending",IF(M113="","⚠️ Enter Code",IF(IFERROR(VLOOKUP(L113,DB_Agents!$B:$F,4,0),"")=TEXT(M113,"0"),"Pending Approval","🔒 WRONG CODE")))</f>
        <v>Pending</v>
      </c>
      <c r="L113" s="30" t="s">
        <v>56</v>
      </c>
      <c r="M113" s="41"/>
      <c r="N113" s="22"/>
    </row>
    <row r="114" spans="1:14" ht="20.100000000000001" customHeight="1" x14ac:dyDescent="0.25">
      <c r="A114" s="30" t="str">
        <f t="shared" si="12"/>
        <v/>
      </c>
      <c r="B114" s="41"/>
      <c r="C114" s="35" t="str">
        <f>IF(B114="","",IFERROR(VLOOKUP(B114,DB_Customers!$A:$B,2,0),"❌ Account Not Found"))</f>
        <v/>
      </c>
      <c r="D114" s="42" t="str">
        <f t="shared" ca="1" si="13"/>
        <v/>
      </c>
      <c r="E114" s="32"/>
      <c r="F114" s="31"/>
      <c r="G114" s="41"/>
      <c r="H114" s="56">
        <v>2.5</v>
      </c>
      <c r="I114" s="43" t="str">
        <f t="shared" si="14"/>
        <v/>
      </c>
      <c r="J114" s="43" t="str">
        <f t="shared" si="15"/>
        <v/>
      </c>
      <c r="K114" s="33" t="str">
        <f>IF(B114="","Pending",IF(M114="","⚠️ Enter Code",IF(IFERROR(VLOOKUP(L114,DB_Agents!$B:$F,4,0),"")=TEXT(M114,"0"),"Pending Approval","🔒 WRONG CODE")))</f>
        <v>Pending</v>
      </c>
      <c r="L114" s="30" t="s">
        <v>56</v>
      </c>
      <c r="M114" s="41"/>
      <c r="N114" s="57"/>
    </row>
    <row r="115" spans="1:14" ht="20.100000000000001" customHeight="1" x14ac:dyDescent="0.25">
      <c r="A115" s="30" t="str">
        <f t="shared" si="12"/>
        <v/>
      </c>
      <c r="B115" s="41"/>
      <c r="C115" s="35" t="str">
        <f>IF(B115="","",IFERROR(VLOOKUP(B115,DB_Customers!$A:$B,2,0),"❌ Account Not Found"))</f>
        <v/>
      </c>
      <c r="D115" s="42" t="str">
        <f t="shared" ca="1" si="13"/>
        <v/>
      </c>
      <c r="E115" s="32"/>
      <c r="F115" s="31"/>
      <c r="G115" s="41"/>
      <c r="H115" s="56">
        <v>2.5</v>
      </c>
      <c r="I115" s="43" t="str">
        <f t="shared" si="14"/>
        <v/>
      </c>
      <c r="J115" s="43" t="str">
        <f t="shared" si="15"/>
        <v/>
      </c>
      <c r="K115" s="33" t="str">
        <f>IF(B115="","Pending",IF(M115="","⚠️ Enter Code",IF(IFERROR(VLOOKUP(L115,DB_Agents!$B:$F,4,0),"")=TEXT(M115,"0"),"Pending Approval","🔒 WRONG CODE")))</f>
        <v>Pending</v>
      </c>
      <c r="L115" s="30" t="s">
        <v>56</v>
      </c>
      <c r="M115" s="41"/>
      <c r="N115" s="22"/>
    </row>
    <row r="116" spans="1:14" ht="20.100000000000001" customHeight="1" x14ac:dyDescent="0.25">
      <c r="A116" s="30" t="str">
        <f t="shared" si="12"/>
        <v/>
      </c>
      <c r="B116" s="41"/>
      <c r="C116" s="35" t="str">
        <f>IF(B116="","",IFERROR(VLOOKUP(B116,DB_Customers!$A:$B,2,0),"❌ Account Not Found"))</f>
        <v/>
      </c>
      <c r="D116" s="42" t="str">
        <f t="shared" ca="1" si="13"/>
        <v/>
      </c>
      <c r="E116" s="32"/>
      <c r="F116" s="31"/>
      <c r="G116" s="41"/>
      <c r="H116" s="56">
        <v>2.5</v>
      </c>
      <c r="I116" s="43" t="str">
        <f t="shared" si="14"/>
        <v/>
      </c>
      <c r="J116" s="43" t="str">
        <f t="shared" si="15"/>
        <v/>
      </c>
      <c r="K116" s="33" t="str">
        <f>IF(B116="","Pending",IF(M116="","⚠️ Enter Code",IF(IFERROR(VLOOKUP(L116,DB_Agents!$B:$F,4,0),"")=TEXT(M116,"0"),"Pending Approval","🔒 WRONG CODE")))</f>
        <v>Pending</v>
      </c>
      <c r="L116" s="30" t="s">
        <v>56</v>
      </c>
      <c r="M116" s="41"/>
      <c r="N116" s="57"/>
    </row>
    <row r="117" spans="1:14" ht="20.100000000000001" customHeight="1" x14ac:dyDescent="0.25">
      <c r="A117" s="30" t="str">
        <f t="shared" si="12"/>
        <v/>
      </c>
      <c r="B117" s="41"/>
      <c r="C117" s="35" t="str">
        <f>IF(B117="","",IFERROR(VLOOKUP(B117,DB_Customers!$A:$B,2,0),"❌ Account Not Found"))</f>
        <v/>
      </c>
      <c r="D117" s="42" t="str">
        <f t="shared" ca="1" si="13"/>
        <v/>
      </c>
      <c r="E117" s="32"/>
      <c r="F117" s="31"/>
      <c r="G117" s="41"/>
      <c r="H117" s="56">
        <v>2.5</v>
      </c>
      <c r="I117" s="43" t="str">
        <f t="shared" si="14"/>
        <v/>
      </c>
      <c r="J117" s="43" t="str">
        <f t="shared" si="15"/>
        <v/>
      </c>
      <c r="K117" s="33" t="str">
        <f>IF(B117="","Pending",IF(M117="","⚠️ Enter Code",IF(IFERROR(VLOOKUP(L117,DB_Agents!$B:$F,4,0),"")=TEXT(M117,"0"),"Pending Approval","🔒 WRONG CODE")))</f>
        <v>Pending</v>
      </c>
      <c r="L117" s="30" t="s">
        <v>56</v>
      </c>
      <c r="M117" s="41"/>
      <c r="N117" s="22"/>
    </row>
    <row r="118" spans="1:14" ht="20.100000000000001" customHeight="1" x14ac:dyDescent="0.25">
      <c r="A118" s="30" t="str">
        <f t="shared" si="12"/>
        <v/>
      </c>
      <c r="B118" s="41"/>
      <c r="C118" s="35" t="str">
        <f>IF(B118="","",IFERROR(VLOOKUP(B118,DB_Customers!$A:$B,2,0),"❌ Account Not Found"))</f>
        <v/>
      </c>
      <c r="D118" s="42" t="str">
        <f t="shared" ca="1" si="13"/>
        <v/>
      </c>
      <c r="E118" s="32"/>
      <c r="F118" s="31"/>
      <c r="G118" s="41"/>
      <c r="H118" s="56">
        <v>2.5</v>
      </c>
      <c r="I118" s="43" t="str">
        <f t="shared" si="14"/>
        <v/>
      </c>
      <c r="J118" s="43" t="str">
        <f t="shared" si="15"/>
        <v/>
      </c>
      <c r="K118" s="33" t="str">
        <f>IF(B118="","Pending",IF(M118="","⚠️ Enter Code",IF(IFERROR(VLOOKUP(L118,DB_Agents!$B:$F,4,0),"")=TEXT(M118,"0"),"Pending Approval","🔒 WRONG CODE")))</f>
        <v>Pending</v>
      </c>
      <c r="L118" s="30" t="s">
        <v>56</v>
      </c>
      <c r="M118" s="41"/>
      <c r="N118" s="57"/>
    </row>
    <row r="119" spans="1:14" ht="20.100000000000001" customHeight="1" x14ac:dyDescent="0.25">
      <c r="A119" s="30" t="str">
        <f t="shared" si="12"/>
        <v/>
      </c>
      <c r="B119" s="41"/>
      <c r="C119" s="35" t="str">
        <f>IF(B119="","",IFERROR(VLOOKUP(B119,DB_Customers!$A:$B,2,0),"❌ Account Not Found"))</f>
        <v/>
      </c>
      <c r="D119" s="42" t="str">
        <f t="shared" ca="1" si="13"/>
        <v/>
      </c>
      <c r="E119" s="32"/>
      <c r="F119" s="31"/>
      <c r="G119" s="41"/>
      <c r="H119" s="56">
        <v>2.5</v>
      </c>
      <c r="I119" s="43" t="str">
        <f t="shared" si="14"/>
        <v/>
      </c>
      <c r="J119" s="43" t="str">
        <f t="shared" si="15"/>
        <v/>
      </c>
      <c r="K119" s="33" t="str">
        <f>IF(B119="","Pending",IF(M119="","⚠️ Enter Code",IF(IFERROR(VLOOKUP(L119,DB_Agents!$B:$F,4,0),"")=TEXT(M119,"0"),"Pending Approval","🔒 WRONG CODE")))</f>
        <v>Pending</v>
      </c>
      <c r="L119" s="30" t="s">
        <v>56</v>
      </c>
      <c r="M119" s="41"/>
      <c r="N119" s="22"/>
    </row>
    <row r="120" spans="1:14" ht="20.100000000000001" customHeight="1" x14ac:dyDescent="0.25">
      <c r="A120" s="30" t="str">
        <f t="shared" si="12"/>
        <v/>
      </c>
      <c r="B120" s="41"/>
      <c r="C120" s="35" t="str">
        <f>IF(B120="","",IFERROR(VLOOKUP(B120,DB_Customers!$A:$B,2,0),"❌ Account Not Found"))</f>
        <v/>
      </c>
      <c r="D120" s="42" t="str">
        <f t="shared" ca="1" si="13"/>
        <v/>
      </c>
      <c r="E120" s="32"/>
      <c r="F120" s="31"/>
      <c r="G120" s="41"/>
      <c r="H120" s="56">
        <v>2.5</v>
      </c>
      <c r="I120" s="43" t="str">
        <f t="shared" si="14"/>
        <v/>
      </c>
      <c r="J120" s="43" t="str">
        <f t="shared" si="15"/>
        <v/>
      </c>
      <c r="K120" s="33" t="str">
        <f>IF(B120="","Pending",IF(M120="","⚠️ Enter Code",IF(IFERROR(VLOOKUP(L120,DB_Agents!$B:$F,4,0),"")=TEXT(M120,"0"),"Pending Approval","🔒 WRONG CODE")))</f>
        <v>Pending</v>
      </c>
      <c r="L120" s="30" t="s">
        <v>56</v>
      </c>
      <c r="M120" s="41"/>
      <c r="N120" s="57"/>
    </row>
    <row r="121" spans="1:14" ht="20.100000000000001" customHeight="1" x14ac:dyDescent="0.25">
      <c r="A121" s="30" t="str">
        <f t="shared" si="12"/>
        <v/>
      </c>
      <c r="B121" s="41"/>
      <c r="C121" s="35" t="str">
        <f>IF(B121="","",IFERROR(VLOOKUP(B121,DB_Customers!$A:$B,2,0),"❌ Account Not Found"))</f>
        <v/>
      </c>
      <c r="D121" s="42" t="str">
        <f t="shared" ca="1" si="13"/>
        <v/>
      </c>
      <c r="E121" s="32"/>
      <c r="F121" s="31"/>
      <c r="G121" s="41"/>
      <c r="H121" s="56">
        <v>2.5</v>
      </c>
      <c r="I121" s="43" t="str">
        <f t="shared" si="14"/>
        <v/>
      </c>
      <c r="J121" s="43" t="str">
        <f t="shared" si="15"/>
        <v/>
      </c>
      <c r="K121" s="33" t="str">
        <f>IF(B121="","Pending",IF(M121="","⚠️ Enter Code",IF(IFERROR(VLOOKUP(L121,DB_Agents!$B:$F,4,0),"")=TEXT(M121,"0"),"Pending Approval","🔒 WRONG CODE")))</f>
        <v>Pending</v>
      </c>
      <c r="L121" s="30" t="s">
        <v>56</v>
      </c>
      <c r="M121" s="41"/>
      <c r="N121" s="22"/>
    </row>
    <row r="122" spans="1:14" ht="20.100000000000001" customHeight="1" x14ac:dyDescent="0.25">
      <c r="A122" s="30" t="str">
        <f t="shared" si="12"/>
        <v/>
      </c>
      <c r="B122" s="41"/>
      <c r="C122" s="35" t="str">
        <f>IF(B122="","",IFERROR(VLOOKUP(B122,DB_Customers!$A:$B,2,0),"❌ Account Not Found"))</f>
        <v/>
      </c>
      <c r="D122" s="42" t="str">
        <f t="shared" ca="1" si="13"/>
        <v/>
      </c>
      <c r="E122" s="32"/>
      <c r="F122" s="31"/>
      <c r="G122" s="41"/>
      <c r="H122" s="56">
        <v>2.5</v>
      </c>
      <c r="I122" s="43" t="str">
        <f t="shared" si="14"/>
        <v/>
      </c>
      <c r="J122" s="43" t="str">
        <f t="shared" si="15"/>
        <v/>
      </c>
      <c r="K122" s="33" t="str">
        <f>IF(B122="","Pending",IF(M122="","⚠️ Enter Code",IF(IFERROR(VLOOKUP(L122,DB_Agents!$B:$F,4,0),"")=TEXT(M122,"0"),"Pending Approval","🔒 WRONG CODE")))</f>
        <v>Pending</v>
      </c>
      <c r="L122" s="30" t="s">
        <v>56</v>
      </c>
      <c r="M122" s="41"/>
      <c r="N122" s="57"/>
    </row>
    <row r="123" spans="1:14" ht="20.100000000000001" customHeight="1" x14ac:dyDescent="0.25">
      <c r="A123" s="30" t="str">
        <f t="shared" si="12"/>
        <v/>
      </c>
      <c r="B123" s="41"/>
      <c r="C123" s="35" t="str">
        <f>IF(B123="","",IFERROR(VLOOKUP(B123,DB_Customers!$A:$B,2,0),"❌ Account Not Found"))</f>
        <v/>
      </c>
      <c r="D123" s="42" t="str">
        <f t="shared" ca="1" si="13"/>
        <v/>
      </c>
      <c r="E123" s="32"/>
      <c r="F123" s="31"/>
      <c r="G123" s="41"/>
      <c r="H123" s="56">
        <v>2.5</v>
      </c>
      <c r="I123" s="43" t="str">
        <f t="shared" si="14"/>
        <v/>
      </c>
      <c r="J123" s="43" t="str">
        <f t="shared" si="15"/>
        <v/>
      </c>
      <c r="K123" s="33" t="str">
        <f>IF(B123="","Pending",IF(M123="","⚠️ Enter Code",IF(IFERROR(VLOOKUP(L123,DB_Agents!$B:$F,4,0),"")=TEXT(M123,"0"),"Pending Approval","🔒 WRONG CODE")))</f>
        <v>Pending</v>
      </c>
      <c r="L123" s="30" t="s">
        <v>56</v>
      </c>
      <c r="M123" s="41"/>
      <c r="N123" s="22"/>
    </row>
    <row r="124" spans="1:14" ht="20.100000000000001" customHeight="1" x14ac:dyDescent="0.25">
      <c r="A124" s="30" t="str">
        <f t="shared" si="12"/>
        <v/>
      </c>
      <c r="B124" s="41"/>
      <c r="C124" s="35" t="str">
        <f>IF(B124="","",IFERROR(VLOOKUP(B124,DB_Customers!$A:$B,2,0),"❌ Account Not Found"))</f>
        <v/>
      </c>
      <c r="D124" s="42" t="str">
        <f t="shared" ca="1" si="13"/>
        <v/>
      </c>
      <c r="E124" s="32"/>
      <c r="F124" s="31"/>
      <c r="G124" s="41"/>
      <c r="H124" s="56">
        <v>2.5</v>
      </c>
      <c r="I124" s="43" t="str">
        <f t="shared" si="14"/>
        <v/>
      </c>
      <c r="J124" s="43" t="str">
        <f t="shared" si="15"/>
        <v/>
      </c>
      <c r="K124" s="33" t="str">
        <f>IF(B124="","Pending",IF(M124="","⚠️ Enter Code",IF(IFERROR(VLOOKUP(L124,DB_Agents!$B:$F,4,0),"")=TEXT(M124,"0"),"Pending Approval","🔒 WRONG CODE")))</f>
        <v>Pending</v>
      </c>
      <c r="L124" s="30" t="s">
        <v>56</v>
      </c>
      <c r="M124" s="41"/>
      <c r="N124" s="57"/>
    </row>
    <row r="125" spans="1:14" ht="20.100000000000001" customHeight="1" x14ac:dyDescent="0.25">
      <c r="A125" s="30" t="str">
        <f t="shared" si="12"/>
        <v/>
      </c>
      <c r="B125" s="41"/>
      <c r="C125" s="35" t="str">
        <f>IF(B125="","",IFERROR(VLOOKUP(B125,DB_Customers!$A:$B,2,0),"❌ Account Not Found"))</f>
        <v/>
      </c>
      <c r="D125" s="42" t="str">
        <f t="shared" ca="1" si="13"/>
        <v/>
      </c>
      <c r="E125" s="32"/>
      <c r="F125" s="31"/>
      <c r="G125" s="41"/>
      <c r="H125" s="56">
        <v>2.5</v>
      </c>
      <c r="I125" s="43" t="str">
        <f t="shared" si="14"/>
        <v/>
      </c>
      <c r="J125" s="43" t="str">
        <f t="shared" si="15"/>
        <v/>
      </c>
      <c r="K125" s="33" t="str">
        <f>IF(B125="","Pending",IF(M125="","⚠️ Enter Code",IF(IFERROR(VLOOKUP(L125,DB_Agents!$B:$F,4,0),"")=TEXT(M125,"0"),"Pending Approval","🔒 WRONG CODE")))</f>
        <v>Pending</v>
      </c>
      <c r="L125" s="30" t="s">
        <v>56</v>
      </c>
      <c r="M125" s="41"/>
      <c r="N125" s="22"/>
    </row>
    <row r="126" spans="1:14" ht="20.100000000000001" customHeight="1" x14ac:dyDescent="0.25">
      <c r="A126" s="30" t="str">
        <f t="shared" si="12"/>
        <v/>
      </c>
      <c r="B126" s="41"/>
      <c r="C126" s="35" t="str">
        <f>IF(B126="","",IFERROR(VLOOKUP(B126,DB_Customers!$A:$B,2,0),"❌ Account Not Found"))</f>
        <v/>
      </c>
      <c r="D126" s="42" t="str">
        <f t="shared" ca="1" si="13"/>
        <v/>
      </c>
      <c r="E126" s="32"/>
      <c r="F126" s="31"/>
      <c r="G126" s="41"/>
      <c r="H126" s="56">
        <v>2.5</v>
      </c>
      <c r="I126" s="43" t="str">
        <f t="shared" si="14"/>
        <v/>
      </c>
      <c r="J126" s="43" t="str">
        <f t="shared" si="15"/>
        <v/>
      </c>
      <c r="K126" s="33" t="str">
        <f>IF(B126="","Pending",IF(M126="","⚠️ Enter Code",IF(IFERROR(VLOOKUP(L126,DB_Agents!$B:$F,4,0),"")=TEXT(M126,"0"),"Pending Approval","🔒 WRONG CODE")))</f>
        <v>Pending</v>
      </c>
      <c r="L126" s="30" t="s">
        <v>56</v>
      </c>
      <c r="M126" s="41"/>
      <c r="N126" s="57"/>
    </row>
    <row r="127" spans="1:14" ht="20.100000000000001" customHeight="1" x14ac:dyDescent="0.25">
      <c r="A127" s="30" t="str">
        <f t="shared" si="12"/>
        <v/>
      </c>
      <c r="B127" s="41"/>
      <c r="C127" s="35" t="str">
        <f>IF(B127="","",IFERROR(VLOOKUP(B127,DB_Customers!$A:$B,2,0),"❌ Account Not Found"))</f>
        <v/>
      </c>
      <c r="D127" s="42" t="str">
        <f t="shared" ca="1" si="13"/>
        <v/>
      </c>
      <c r="E127" s="32"/>
      <c r="F127" s="31"/>
      <c r="G127" s="41"/>
      <c r="H127" s="56">
        <v>2.5</v>
      </c>
      <c r="I127" s="43" t="str">
        <f t="shared" si="14"/>
        <v/>
      </c>
      <c r="J127" s="43" t="str">
        <f t="shared" si="15"/>
        <v/>
      </c>
      <c r="K127" s="33" t="str">
        <f>IF(B127="","Pending",IF(M127="","⚠️ Enter Code",IF(IFERROR(VLOOKUP(L127,DB_Agents!$B:$F,4,0),"")=TEXT(M127,"0"),"Pending Approval","🔒 WRONG CODE")))</f>
        <v>Pending</v>
      </c>
      <c r="L127" s="30" t="s">
        <v>56</v>
      </c>
      <c r="M127" s="41"/>
      <c r="N127" s="22"/>
    </row>
    <row r="128" spans="1:14" ht="20.100000000000001" customHeight="1" x14ac:dyDescent="0.25">
      <c r="A128" s="30" t="str">
        <f t="shared" si="12"/>
        <v/>
      </c>
      <c r="B128" s="41"/>
      <c r="C128" s="35" t="str">
        <f>IF(B128="","",IFERROR(VLOOKUP(B128,DB_Customers!$A:$B,2,0),"❌ Account Not Found"))</f>
        <v/>
      </c>
      <c r="D128" s="42" t="str">
        <f t="shared" ca="1" si="13"/>
        <v/>
      </c>
      <c r="E128" s="32"/>
      <c r="F128" s="31"/>
      <c r="G128" s="41"/>
      <c r="H128" s="56">
        <v>2.5</v>
      </c>
      <c r="I128" s="43" t="str">
        <f t="shared" si="14"/>
        <v/>
      </c>
      <c r="J128" s="43" t="str">
        <f t="shared" si="15"/>
        <v/>
      </c>
      <c r="K128" s="33" t="str">
        <f>IF(B128="","Pending",IF(M128="","⚠️ Enter Code",IF(IFERROR(VLOOKUP(L128,DB_Agents!$B:$F,4,0),"")=TEXT(M128,"0"),"Pending Approval","🔒 WRONG CODE")))</f>
        <v>Pending</v>
      </c>
      <c r="L128" s="30" t="s">
        <v>56</v>
      </c>
      <c r="M128" s="41"/>
      <c r="N128" s="57"/>
    </row>
    <row r="129" spans="1:14" ht="20.100000000000001" customHeight="1" x14ac:dyDescent="0.25">
      <c r="A129" s="30" t="str">
        <f t="shared" si="12"/>
        <v/>
      </c>
      <c r="B129" s="41"/>
      <c r="C129" s="35" t="str">
        <f>IF(B129="","",IFERROR(VLOOKUP(B129,DB_Customers!$A:$B,2,0),"❌ Account Not Found"))</f>
        <v/>
      </c>
      <c r="D129" s="42" t="str">
        <f t="shared" ca="1" si="13"/>
        <v/>
      </c>
      <c r="E129" s="32"/>
      <c r="F129" s="31"/>
      <c r="G129" s="41"/>
      <c r="H129" s="56">
        <v>2.5</v>
      </c>
      <c r="I129" s="43" t="str">
        <f t="shared" si="14"/>
        <v/>
      </c>
      <c r="J129" s="43" t="str">
        <f t="shared" si="15"/>
        <v/>
      </c>
      <c r="K129" s="33" t="str">
        <f>IF(B129="","Pending",IF(M129="","⚠️ Enter Code",IF(IFERROR(VLOOKUP(L129,DB_Agents!$B:$F,4,0),"")=TEXT(M129,"0"),"Pending Approval","🔒 WRONG CODE")))</f>
        <v>Pending</v>
      </c>
      <c r="L129" s="30" t="s">
        <v>56</v>
      </c>
      <c r="M129" s="41"/>
      <c r="N129" s="22"/>
    </row>
    <row r="130" spans="1:14" ht="20.100000000000001" customHeight="1" x14ac:dyDescent="0.25">
      <c r="A130" s="30" t="str">
        <f t="shared" si="12"/>
        <v/>
      </c>
      <c r="B130" s="41"/>
      <c r="C130" s="35" t="str">
        <f>IF(B130="","",IFERROR(VLOOKUP(B130,DB_Customers!$A:$B,2,0),"❌ Account Not Found"))</f>
        <v/>
      </c>
      <c r="D130" s="42" t="str">
        <f t="shared" ca="1" si="13"/>
        <v/>
      </c>
      <c r="E130" s="32"/>
      <c r="F130" s="31"/>
      <c r="G130" s="41"/>
      <c r="H130" s="56">
        <v>2.5</v>
      </c>
      <c r="I130" s="43" t="str">
        <f t="shared" si="14"/>
        <v/>
      </c>
      <c r="J130" s="43" t="str">
        <f t="shared" si="15"/>
        <v/>
      </c>
      <c r="K130" s="33" t="str">
        <f>IF(B130="","Pending",IF(M130="","⚠️ Enter Code",IF(IFERROR(VLOOKUP(L130,DB_Agents!$B:$F,4,0),"")=TEXT(M130,"0"),"Pending Approval","🔒 WRONG CODE")))</f>
        <v>Pending</v>
      </c>
      <c r="L130" s="30" t="s">
        <v>56</v>
      </c>
      <c r="M130" s="41"/>
      <c r="N130" s="57"/>
    </row>
    <row r="131" spans="1:14" ht="20.100000000000001" customHeight="1" x14ac:dyDescent="0.25">
      <c r="A131" s="30" t="str">
        <f t="shared" si="12"/>
        <v/>
      </c>
      <c r="B131" s="41"/>
      <c r="C131" s="35" t="str">
        <f>IF(B131="","",IFERROR(VLOOKUP(B131,DB_Customers!$A:$B,2,0),"❌ Account Not Found"))</f>
        <v/>
      </c>
      <c r="D131" s="42" t="str">
        <f t="shared" ca="1" si="13"/>
        <v/>
      </c>
      <c r="E131" s="32"/>
      <c r="F131" s="31"/>
      <c r="G131" s="41"/>
      <c r="H131" s="56">
        <v>2.5</v>
      </c>
      <c r="I131" s="43" t="str">
        <f t="shared" si="14"/>
        <v/>
      </c>
      <c r="J131" s="43" t="str">
        <f t="shared" si="15"/>
        <v/>
      </c>
      <c r="K131" s="33" t="str">
        <f>IF(B131="","Pending",IF(M131="","⚠️ Enter Code",IF(IFERROR(VLOOKUP(L131,DB_Agents!$B:$F,4,0),"")=TEXT(M131,"0"),"Pending Approval","🔒 WRONG CODE")))</f>
        <v>Pending</v>
      </c>
      <c r="L131" s="30" t="s">
        <v>56</v>
      </c>
      <c r="M131" s="41"/>
      <c r="N131" s="22"/>
    </row>
    <row r="132" spans="1:14" ht="20.100000000000001" customHeight="1" x14ac:dyDescent="0.25">
      <c r="A132" s="30" t="str">
        <f t="shared" si="12"/>
        <v/>
      </c>
      <c r="B132" s="41"/>
      <c r="C132" s="35" t="str">
        <f>IF(B132="","",IFERROR(VLOOKUP(B132,DB_Customers!$A:$B,2,0),"❌ Account Not Found"))</f>
        <v/>
      </c>
      <c r="D132" s="42" t="str">
        <f t="shared" ca="1" si="13"/>
        <v/>
      </c>
      <c r="E132" s="32"/>
      <c r="F132" s="31"/>
      <c r="G132" s="41"/>
      <c r="H132" s="56">
        <v>2.5</v>
      </c>
      <c r="I132" s="43" t="str">
        <f t="shared" si="14"/>
        <v/>
      </c>
      <c r="J132" s="43" t="str">
        <f t="shared" si="15"/>
        <v/>
      </c>
      <c r="K132" s="33" t="str">
        <f>IF(B132="","Pending",IF(M132="","⚠️ Enter Code",IF(IFERROR(VLOOKUP(L132,DB_Agents!$B:$F,4,0),"")=TEXT(M132,"0"),"Pending Approval","🔒 WRONG CODE")))</f>
        <v>Pending</v>
      </c>
      <c r="L132" s="30" t="s">
        <v>56</v>
      </c>
      <c r="M132" s="41"/>
      <c r="N132" s="57"/>
    </row>
    <row r="133" spans="1:14" ht="20.100000000000001" customHeight="1" x14ac:dyDescent="0.25">
      <c r="A133" s="30" t="str">
        <f t="shared" si="12"/>
        <v/>
      </c>
      <c r="B133" s="41"/>
      <c r="C133" s="35" t="str">
        <f>IF(B133="","",IFERROR(VLOOKUP(B133,DB_Customers!$A:$B,2,0),"❌ Account Not Found"))</f>
        <v/>
      </c>
      <c r="D133" s="42" t="str">
        <f t="shared" ca="1" si="13"/>
        <v/>
      </c>
      <c r="E133" s="32"/>
      <c r="F133" s="31"/>
      <c r="G133" s="41"/>
      <c r="H133" s="56">
        <v>2.5</v>
      </c>
      <c r="I133" s="43" t="str">
        <f t="shared" si="14"/>
        <v/>
      </c>
      <c r="J133" s="43" t="str">
        <f t="shared" si="15"/>
        <v/>
      </c>
      <c r="K133" s="33" t="str">
        <f>IF(B133="","Pending",IF(M133="","⚠️ Enter Code",IF(IFERROR(VLOOKUP(L133,DB_Agents!$B:$F,4,0),"")=TEXT(M133,"0"),"Pending Approval","🔒 WRONG CODE")))</f>
        <v>Pending</v>
      </c>
      <c r="L133" s="30" t="s">
        <v>56</v>
      </c>
      <c r="M133" s="41"/>
      <c r="N133" s="22"/>
    </row>
    <row r="134" spans="1:14" ht="20.100000000000001" customHeight="1" x14ac:dyDescent="0.25">
      <c r="A134" s="30" t="str">
        <f t="shared" si="12"/>
        <v/>
      </c>
      <c r="B134" s="41"/>
      <c r="C134" s="35" t="str">
        <f>IF(B134="","",IFERROR(VLOOKUP(B134,DB_Customers!$A:$B,2,0),"❌ Account Not Found"))</f>
        <v/>
      </c>
      <c r="D134" s="42" t="str">
        <f t="shared" ca="1" si="13"/>
        <v/>
      </c>
      <c r="E134" s="32"/>
      <c r="F134" s="31"/>
      <c r="G134" s="41"/>
      <c r="H134" s="56">
        <v>2.5</v>
      </c>
      <c r="I134" s="43" t="str">
        <f t="shared" si="14"/>
        <v/>
      </c>
      <c r="J134" s="43" t="str">
        <f t="shared" si="15"/>
        <v/>
      </c>
      <c r="K134" s="33" t="str">
        <f>IF(B134="","Pending",IF(M134="","⚠️ Enter Code",IF(IFERROR(VLOOKUP(L134,DB_Agents!$B:$F,4,0),"")=TEXT(M134,"0"),"Pending Approval","🔒 WRONG CODE")))</f>
        <v>Pending</v>
      </c>
      <c r="L134" s="30" t="s">
        <v>56</v>
      </c>
      <c r="M134" s="41"/>
      <c r="N134" s="57"/>
    </row>
    <row r="135" spans="1:14" ht="20.100000000000001" customHeight="1" x14ac:dyDescent="0.25">
      <c r="A135" s="30" t="str">
        <f t="shared" si="12"/>
        <v/>
      </c>
      <c r="B135" s="41"/>
      <c r="C135" s="35" t="str">
        <f>IF(B135="","",IFERROR(VLOOKUP(B135,DB_Customers!$A:$B,2,0),"❌ Account Not Found"))</f>
        <v/>
      </c>
      <c r="D135" s="42" t="str">
        <f t="shared" ca="1" si="13"/>
        <v/>
      </c>
      <c r="E135" s="32"/>
      <c r="F135" s="31"/>
      <c r="G135" s="41"/>
      <c r="H135" s="56">
        <v>2.5</v>
      </c>
      <c r="I135" s="43" t="str">
        <f t="shared" si="14"/>
        <v/>
      </c>
      <c r="J135" s="43" t="str">
        <f t="shared" si="15"/>
        <v/>
      </c>
      <c r="K135" s="33" t="str">
        <f>IF(B135="","Pending",IF(M135="","⚠️ Enter Code",IF(IFERROR(VLOOKUP(L135,DB_Agents!$B:$F,4,0),"")=TEXT(M135,"0"),"Pending Approval","🔒 WRONG CODE")))</f>
        <v>Pending</v>
      </c>
      <c r="L135" s="30" t="s">
        <v>56</v>
      </c>
      <c r="M135" s="41"/>
      <c r="N135" s="22"/>
    </row>
    <row r="136" spans="1:14" ht="20.100000000000001" customHeight="1" x14ac:dyDescent="0.25">
      <c r="A136" s="30" t="str">
        <f t="shared" si="12"/>
        <v/>
      </c>
      <c r="B136" s="41"/>
      <c r="C136" s="35" t="str">
        <f>IF(B136="","",IFERROR(VLOOKUP(B136,DB_Customers!$A:$B,2,0),"❌ Account Not Found"))</f>
        <v/>
      </c>
      <c r="D136" s="42" t="str">
        <f t="shared" ca="1" si="13"/>
        <v/>
      </c>
      <c r="E136" s="32"/>
      <c r="F136" s="31"/>
      <c r="G136" s="41"/>
      <c r="H136" s="56">
        <v>2.5</v>
      </c>
      <c r="I136" s="43" t="str">
        <f t="shared" si="14"/>
        <v/>
      </c>
      <c r="J136" s="43" t="str">
        <f t="shared" si="15"/>
        <v/>
      </c>
      <c r="K136" s="33" t="str">
        <f>IF(B136="","Pending",IF(M136="","⚠️ Enter Code",IF(IFERROR(VLOOKUP(L136,DB_Agents!$B:$F,4,0),"")=TEXT(M136,"0"),"Pending Approval","🔒 WRONG CODE")))</f>
        <v>Pending</v>
      </c>
      <c r="L136" s="30" t="s">
        <v>56</v>
      </c>
      <c r="M136" s="41"/>
      <c r="N136" s="57"/>
    </row>
    <row r="137" spans="1:14" ht="20.100000000000001" customHeight="1" x14ac:dyDescent="0.25">
      <c r="A137" s="30" t="str">
        <f t="shared" si="12"/>
        <v/>
      </c>
      <c r="B137" s="41"/>
      <c r="C137" s="35" t="str">
        <f>IF(B137="","",IFERROR(VLOOKUP(B137,DB_Customers!$A:$B,2,0),"❌ Account Not Found"))</f>
        <v/>
      </c>
      <c r="D137" s="42" t="str">
        <f t="shared" ca="1" si="13"/>
        <v/>
      </c>
      <c r="E137" s="32"/>
      <c r="F137" s="31"/>
      <c r="G137" s="41"/>
      <c r="H137" s="56">
        <v>2.5</v>
      </c>
      <c r="I137" s="43" t="str">
        <f t="shared" si="14"/>
        <v/>
      </c>
      <c r="J137" s="43" t="str">
        <f t="shared" si="15"/>
        <v/>
      </c>
      <c r="K137" s="33" t="str">
        <f>IF(B137="","Pending",IF(M137="","⚠️ Enter Code",IF(IFERROR(VLOOKUP(L137,DB_Agents!$B:$F,4,0),"")=TEXT(M137,"0"),"Pending Approval","🔒 WRONG CODE")))</f>
        <v>Pending</v>
      </c>
      <c r="L137" s="30" t="s">
        <v>56</v>
      </c>
      <c r="M137" s="41"/>
      <c r="N137" s="22"/>
    </row>
    <row r="138" spans="1:14" ht="20.100000000000001" customHeight="1" x14ac:dyDescent="0.25">
      <c r="A138" s="30" t="str">
        <f t="shared" si="12"/>
        <v/>
      </c>
      <c r="B138" s="41"/>
      <c r="C138" s="35" t="str">
        <f>IF(B138="","",IFERROR(VLOOKUP(B138,DB_Customers!$A:$B,2,0),"❌ Account Not Found"))</f>
        <v/>
      </c>
      <c r="D138" s="42" t="str">
        <f t="shared" ca="1" si="13"/>
        <v/>
      </c>
      <c r="E138" s="32"/>
      <c r="F138" s="31"/>
      <c r="G138" s="41"/>
      <c r="H138" s="56">
        <v>2.5</v>
      </c>
      <c r="I138" s="43" t="str">
        <f t="shared" si="14"/>
        <v/>
      </c>
      <c r="J138" s="43" t="str">
        <f t="shared" si="15"/>
        <v/>
      </c>
      <c r="K138" s="33" t="str">
        <f>IF(B138="","Pending",IF(M138="","⚠️ Enter Code",IF(IFERROR(VLOOKUP(L138,DB_Agents!$B:$F,4,0),"")=TEXT(M138,"0"),"Pending Approval","🔒 WRONG CODE")))</f>
        <v>Pending</v>
      </c>
      <c r="L138" s="30" t="s">
        <v>56</v>
      </c>
      <c r="M138" s="41"/>
      <c r="N138" s="57"/>
    </row>
    <row r="139" spans="1:14" ht="20.100000000000001" customHeight="1" x14ac:dyDescent="0.25">
      <c r="A139" s="30" t="str">
        <f t="shared" si="12"/>
        <v/>
      </c>
      <c r="B139" s="41"/>
      <c r="C139" s="35" t="str">
        <f>IF(B139="","",IFERROR(VLOOKUP(B139,DB_Customers!$A:$B,2,0),"❌ Account Not Found"))</f>
        <v/>
      </c>
      <c r="D139" s="42" t="str">
        <f t="shared" ca="1" si="13"/>
        <v/>
      </c>
      <c r="E139" s="32"/>
      <c r="F139" s="31"/>
      <c r="G139" s="41"/>
      <c r="H139" s="56">
        <v>2.5</v>
      </c>
      <c r="I139" s="43" t="str">
        <f t="shared" si="14"/>
        <v/>
      </c>
      <c r="J139" s="43" t="str">
        <f t="shared" si="15"/>
        <v/>
      </c>
      <c r="K139" s="33" t="str">
        <f>IF(B139="","Pending",IF(M139="","⚠️ Enter Code",IF(IFERROR(VLOOKUP(L139,DB_Agents!$B:$F,4,0),"")=TEXT(M139,"0"),"Pending Approval","🔒 WRONG CODE")))</f>
        <v>Pending</v>
      </c>
      <c r="L139" s="30" t="s">
        <v>56</v>
      </c>
      <c r="M139" s="41"/>
      <c r="N139" s="22"/>
    </row>
    <row r="140" spans="1:14" ht="20.100000000000001" customHeight="1" x14ac:dyDescent="0.25">
      <c r="A140" s="30" t="str">
        <f t="shared" si="12"/>
        <v/>
      </c>
      <c r="B140" s="41"/>
      <c r="C140" s="35" t="str">
        <f>IF(B140="","",IFERROR(VLOOKUP(B140,DB_Customers!$A:$B,2,0),"❌ Account Not Found"))</f>
        <v/>
      </c>
      <c r="D140" s="42" t="str">
        <f t="shared" ca="1" si="13"/>
        <v/>
      </c>
      <c r="E140" s="32"/>
      <c r="F140" s="31"/>
      <c r="G140" s="41"/>
      <c r="H140" s="56">
        <v>2.5</v>
      </c>
      <c r="I140" s="43" t="str">
        <f t="shared" si="14"/>
        <v/>
      </c>
      <c r="J140" s="43" t="str">
        <f t="shared" si="15"/>
        <v/>
      </c>
      <c r="K140" s="33" t="str">
        <f>IF(B140="","Pending",IF(M140="","⚠️ Enter Code",IF(IFERROR(VLOOKUP(L140,DB_Agents!$B:$F,4,0),"")=TEXT(M140,"0"),"Pending Approval","🔒 WRONG CODE")))</f>
        <v>Pending</v>
      </c>
      <c r="L140" s="30" t="s">
        <v>56</v>
      </c>
      <c r="M140" s="41"/>
      <c r="N140" s="57"/>
    </row>
    <row r="141" spans="1:14" ht="20.100000000000001" customHeight="1" x14ac:dyDescent="0.25">
      <c r="A141" s="30" t="str">
        <f t="shared" si="12"/>
        <v/>
      </c>
      <c r="B141" s="41"/>
      <c r="C141" s="35" t="str">
        <f>IF(B141="","",IFERROR(VLOOKUP(B141,DB_Customers!$A:$B,2,0),"❌ Account Not Found"))</f>
        <v/>
      </c>
      <c r="D141" s="42" t="str">
        <f t="shared" ca="1" si="13"/>
        <v/>
      </c>
      <c r="E141" s="32"/>
      <c r="F141" s="31"/>
      <c r="G141" s="41"/>
      <c r="H141" s="56">
        <v>2.5</v>
      </c>
      <c r="I141" s="43" t="str">
        <f t="shared" si="14"/>
        <v/>
      </c>
      <c r="J141" s="43" t="str">
        <f t="shared" si="15"/>
        <v/>
      </c>
      <c r="K141" s="33" t="str">
        <f>IF(B141="","Pending",IF(M141="","⚠️ Enter Code",IF(IFERROR(VLOOKUP(L141,DB_Agents!$B:$F,4,0),"")=TEXT(M141,"0"),"Pending Approval","🔒 WRONG CODE")))</f>
        <v>Pending</v>
      </c>
      <c r="L141" s="30" t="s">
        <v>56</v>
      </c>
      <c r="M141" s="41"/>
      <c r="N141" s="22"/>
    </row>
    <row r="142" spans="1:14" ht="20.100000000000001" customHeight="1" x14ac:dyDescent="0.25">
      <c r="A142" s="30" t="str">
        <f t="shared" ref="A142:A173" si="16">IF(B142="","",IF(C142="❌ Account Not Found","INVALID","LN"&amp;TEXT(D142,"YYYYMMDD")&amp;TEXT(ROW()-13,"0000")))</f>
        <v/>
      </c>
      <c r="B142" s="41"/>
      <c r="C142" s="35" t="str">
        <f>IF(B142="","",IFERROR(VLOOKUP(B142,DB_Customers!$A:$B,2,0),"❌ Account Not Found"))</f>
        <v/>
      </c>
      <c r="D142" s="42" t="str">
        <f t="shared" ref="D142:D173" ca="1" si="17">IF(B142="","",TODAY())</f>
        <v/>
      </c>
      <c r="E142" s="32"/>
      <c r="F142" s="31"/>
      <c r="G142" s="41"/>
      <c r="H142" s="56">
        <v>2.5</v>
      </c>
      <c r="I142" s="43" t="str">
        <f t="shared" ref="I142:I173" si="18">IF(E142="","",E142+(E142*H142/100*G142))</f>
        <v/>
      </c>
      <c r="J142" s="43" t="str">
        <f t="shared" ref="J142:J173" si="19">IFERROR(I142/G142,"")</f>
        <v/>
      </c>
      <c r="K142" s="33" t="str">
        <f>IF(B142="","Pending",IF(M142="","⚠️ Enter Code",IF(IFERROR(VLOOKUP(L142,DB_Agents!$B:$F,4,0),"")=TEXT(M142,"0"),"Pending Approval","🔒 WRONG CODE")))</f>
        <v>Pending</v>
      </c>
      <c r="L142" s="30" t="s">
        <v>56</v>
      </c>
      <c r="M142" s="41"/>
      <c r="N142" s="57"/>
    </row>
    <row r="143" spans="1:14" ht="20.100000000000001" customHeight="1" x14ac:dyDescent="0.25">
      <c r="A143" s="30" t="str">
        <f t="shared" si="16"/>
        <v/>
      </c>
      <c r="B143" s="41"/>
      <c r="C143" s="35" t="str">
        <f>IF(B143="","",IFERROR(VLOOKUP(B143,DB_Customers!$A:$B,2,0),"❌ Account Not Found"))</f>
        <v/>
      </c>
      <c r="D143" s="42" t="str">
        <f t="shared" ca="1" si="17"/>
        <v/>
      </c>
      <c r="E143" s="32"/>
      <c r="F143" s="31"/>
      <c r="G143" s="41"/>
      <c r="H143" s="56">
        <v>2.5</v>
      </c>
      <c r="I143" s="43" t="str">
        <f t="shared" si="18"/>
        <v/>
      </c>
      <c r="J143" s="43" t="str">
        <f t="shared" si="19"/>
        <v/>
      </c>
      <c r="K143" s="33" t="str">
        <f>IF(B143="","Pending",IF(M143="","⚠️ Enter Code",IF(IFERROR(VLOOKUP(L143,DB_Agents!$B:$F,4,0),"")=TEXT(M143,"0"),"Pending Approval","🔒 WRONG CODE")))</f>
        <v>Pending</v>
      </c>
      <c r="L143" s="30" t="s">
        <v>56</v>
      </c>
      <c r="M143" s="41"/>
      <c r="N143" s="22"/>
    </row>
    <row r="144" spans="1:14" ht="20.100000000000001" customHeight="1" x14ac:dyDescent="0.25">
      <c r="A144" s="30" t="str">
        <f t="shared" si="16"/>
        <v/>
      </c>
      <c r="B144" s="41"/>
      <c r="C144" s="35" t="str">
        <f>IF(B144="","",IFERROR(VLOOKUP(B144,DB_Customers!$A:$B,2,0),"❌ Account Not Found"))</f>
        <v/>
      </c>
      <c r="D144" s="42" t="str">
        <f t="shared" ca="1" si="17"/>
        <v/>
      </c>
      <c r="E144" s="32"/>
      <c r="F144" s="31"/>
      <c r="G144" s="41"/>
      <c r="H144" s="56">
        <v>2.5</v>
      </c>
      <c r="I144" s="43" t="str">
        <f t="shared" si="18"/>
        <v/>
      </c>
      <c r="J144" s="43" t="str">
        <f t="shared" si="19"/>
        <v/>
      </c>
      <c r="K144" s="33" t="str">
        <f>IF(B144="","Pending",IF(M144="","⚠️ Enter Code",IF(IFERROR(VLOOKUP(L144,DB_Agents!$B:$F,4,0),"")=TEXT(M144,"0"),"Pending Approval","🔒 WRONG CODE")))</f>
        <v>Pending</v>
      </c>
      <c r="L144" s="30" t="s">
        <v>56</v>
      </c>
      <c r="M144" s="41"/>
      <c r="N144" s="57"/>
    </row>
    <row r="145" spans="1:14" ht="20.100000000000001" customHeight="1" x14ac:dyDescent="0.25">
      <c r="A145" s="30" t="str">
        <f t="shared" si="16"/>
        <v/>
      </c>
      <c r="B145" s="41"/>
      <c r="C145" s="35" t="str">
        <f>IF(B145="","",IFERROR(VLOOKUP(B145,DB_Customers!$A:$B,2,0),"❌ Account Not Found"))</f>
        <v/>
      </c>
      <c r="D145" s="42" t="str">
        <f t="shared" ca="1" si="17"/>
        <v/>
      </c>
      <c r="E145" s="32"/>
      <c r="F145" s="31"/>
      <c r="G145" s="41"/>
      <c r="H145" s="56">
        <v>2.5</v>
      </c>
      <c r="I145" s="43" t="str">
        <f t="shared" si="18"/>
        <v/>
      </c>
      <c r="J145" s="43" t="str">
        <f t="shared" si="19"/>
        <v/>
      </c>
      <c r="K145" s="33" t="str">
        <f>IF(B145="","Pending",IF(M145="","⚠️ Enter Code",IF(IFERROR(VLOOKUP(L145,DB_Agents!$B:$F,4,0),"")=TEXT(M145,"0"),"Pending Approval","🔒 WRONG CODE")))</f>
        <v>Pending</v>
      </c>
      <c r="L145" s="30" t="s">
        <v>56</v>
      </c>
      <c r="M145" s="41"/>
      <c r="N145" s="22"/>
    </row>
    <row r="146" spans="1:14" ht="20.100000000000001" customHeight="1" x14ac:dyDescent="0.25">
      <c r="A146" s="30" t="str">
        <f t="shared" si="16"/>
        <v/>
      </c>
      <c r="B146" s="41"/>
      <c r="C146" s="35" t="str">
        <f>IF(B146="","",IFERROR(VLOOKUP(B146,DB_Customers!$A:$B,2,0),"❌ Account Not Found"))</f>
        <v/>
      </c>
      <c r="D146" s="42" t="str">
        <f t="shared" ca="1" si="17"/>
        <v/>
      </c>
      <c r="E146" s="32"/>
      <c r="F146" s="31"/>
      <c r="G146" s="41"/>
      <c r="H146" s="56">
        <v>2.5</v>
      </c>
      <c r="I146" s="43" t="str">
        <f t="shared" si="18"/>
        <v/>
      </c>
      <c r="J146" s="43" t="str">
        <f t="shared" si="19"/>
        <v/>
      </c>
      <c r="K146" s="33" t="str">
        <f>IF(B146="","Pending",IF(M146="","⚠️ Enter Code",IF(IFERROR(VLOOKUP(L146,DB_Agents!$B:$F,4,0),"")=TEXT(M146,"0"),"Pending Approval","🔒 WRONG CODE")))</f>
        <v>Pending</v>
      </c>
      <c r="L146" s="30" t="s">
        <v>56</v>
      </c>
      <c r="M146" s="41"/>
      <c r="N146" s="57"/>
    </row>
    <row r="147" spans="1:14" ht="20.100000000000001" customHeight="1" x14ac:dyDescent="0.25">
      <c r="A147" s="30" t="str">
        <f t="shared" si="16"/>
        <v/>
      </c>
      <c r="B147" s="41"/>
      <c r="C147" s="35" t="str">
        <f>IF(B147="","",IFERROR(VLOOKUP(B147,DB_Customers!$A:$B,2,0),"❌ Account Not Found"))</f>
        <v/>
      </c>
      <c r="D147" s="42" t="str">
        <f t="shared" ca="1" si="17"/>
        <v/>
      </c>
      <c r="E147" s="32"/>
      <c r="F147" s="31"/>
      <c r="G147" s="41"/>
      <c r="H147" s="56">
        <v>2.5</v>
      </c>
      <c r="I147" s="43" t="str">
        <f t="shared" si="18"/>
        <v/>
      </c>
      <c r="J147" s="43" t="str">
        <f t="shared" si="19"/>
        <v/>
      </c>
      <c r="K147" s="33" t="str">
        <f>IF(B147="","Pending",IF(M147="","⚠️ Enter Code",IF(IFERROR(VLOOKUP(L147,DB_Agents!$B:$F,4,0),"")=TEXT(M147,"0"),"Pending Approval","🔒 WRONG CODE")))</f>
        <v>Pending</v>
      </c>
      <c r="L147" s="30" t="s">
        <v>56</v>
      </c>
      <c r="M147" s="41"/>
      <c r="N147" s="22"/>
    </row>
    <row r="148" spans="1:14" ht="20.100000000000001" customHeight="1" x14ac:dyDescent="0.25">
      <c r="A148" s="30" t="str">
        <f t="shared" si="16"/>
        <v/>
      </c>
      <c r="B148" s="41"/>
      <c r="C148" s="35" t="str">
        <f>IF(B148="","",IFERROR(VLOOKUP(B148,DB_Customers!$A:$B,2,0),"❌ Account Not Found"))</f>
        <v/>
      </c>
      <c r="D148" s="42" t="str">
        <f t="shared" ca="1" si="17"/>
        <v/>
      </c>
      <c r="E148" s="32"/>
      <c r="F148" s="31"/>
      <c r="G148" s="41"/>
      <c r="H148" s="56">
        <v>2.5</v>
      </c>
      <c r="I148" s="43" t="str">
        <f t="shared" si="18"/>
        <v/>
      </c>
      <c r="J148" s="43" t="str">
        <f t="shared" si="19"/>
        <v/>
      </c>
      <c r="K148" s="33" t="str">
        <f>IF(B148="","Pending",IF(M148="","⚠️ Enter Code",IF(IFERROR(VLOOKUP(L148,DB_Agents!$B:$F,4,0),"")=TEXT(M148,"0"),"Pending Approval","🔒 WRONG CODE")))</f>
        <v>Pending</v>
      </c>
      <c r="L148" s="30" t="s">
        <v>56</v>
      </c>
      <c r="M148" s="41"/>
      <c r="N148" s="57"/>
    </row>
    <row r="149" spans="1:14" ht="20.100000000000001" customHeight="1" x14ac:dyDescent="0.25">
      <c r="A149" s="30" t="str">
        <f t="shared" si="16"/>
        <v/>
      </c>
      <c r="B149" s="41"/>
      <c r="C149" s="35" t="str">
        <f>IF(B149="","",IFERROR(VLOOKUP(B149,DB_Customers!$A:$B,2,0),"❌ Account Not Found"))</f>
        <v/>
      </c>
      <c r="D149" s="42" t="str">
        <f t="shared" ca="1" si="17"/>
        <v/>
      </c>
      <c r="E149" s="32"/>
      <c r="F149" s="31"/>
      <c r="G149" s="41"/>
      <c r="H149" s="56">
        <v>2.5</v>
      </c>
      <c r="I149" s="43" t="str">
        <f t="shared" si="18"/>
        <v/>
      </c>
      <c r="J149" s="43" t="str">
        <f t="shared" si="19"/>
        <v/>
      </c>
      <c r="K149" s="33" t="str">
        <f>IF(B149="","Pending",IF(M149="","⚠️ Enter Code",IF(IFERROR(VLOOKUP(L149,DB_Agents!$B:$F,4,0),"")=TEXT(M149,"0"),"Pending Approval","🔒 WRONG CODE")))</f>
        <v>Pending</v>
      </c>
      <c r="L149" s="30" t="s">
        <v>56</v>
      </c>
      <c r="M149" s="41"/>
      <c r="N149" s="22"/>
    </row>
    <row r="150" spans="1:14" ht="20.100000000000001" customHeight="1" x14ac:dyDescent="0.25">
      <c r="A150" s="30" t="str">
        <f t="shared" si="16"/>
        <v/>
      </c>
      <c r="B150" s="41"/>
      <c r="C150" s="35" t="str">
        <f>IF(B150="","",IFERROR(VLOOKUP(B150,DB_Customers!$A:$B,2,0),"❌ Account Not Found"))</f>
        <v/>
      </c>
      <c r="D150" s="42" t="str">
        <f t="shared" ca="1" si="17"/>
        <v/>
      </c>
      <c r="E150" s="32"/>
      <c r="F150" s="31"/>
      <c r="G150" s="41"/>
      <c r="H150" s="56">
        <v>2.5</v>
      </c>
      <c r="I150" s="43" t="str">
        <f t="shared" si="18"/>
        <v/>
      </c>
      <c r="J150" s="43" t="str">
        <f t="shared" si="19"/>
        <v/>
      </c>
      <c r="K150" s="33" t="str">
        <f>IF(B150="","Pending",IF(M150="","⚠️ Enter Code",IF(IFERROR(VLOOKUP(L150,DB_Agents!$B:$F,4,0),"")=TEXT(M150,"0"),"Pending Approval","🔒 WRONG CODE")))</f>
        <v>Pending</v>
      </c>
      <c r="L150" s="30" t="s">
        <v>56</v>
      </c>
      <c r="M150" s="41"/>
      <c r="N150" s="57"/>
    </row>
    <row r="151" spans="1:14" ht="20.100000000000001" customHeight="1" x14ac:dyDescent="0.25">
      <c r="A151" s="30" t="str">
        <f t="shared" si="16"/>
        <v/>
      </c>
      <c r="B151" s="41"/>
      <c r="C151" s="35" t="str">
        <f>IF(B151="","",IFERROR(VLOOKUP(B151,DB_Customers!$A:$B,2,0),"❌ Account Not Found"))</f>
        <v/>
      </c>
      <c r="D151" s="42" t="str">
        <f t="shared" ca="1" si="17"/>
        <v/>
      </c>
      <c r="E151" s="32"/>
      <c r="F151" s="31"/>
      <c r="G151" s="41"/>
      <c r="H151" s="56">
        <v>2.5</v>
      </c>
      <c r="I151" s="43" t="str">
        <f t="shared" si="18"/>
        <v/>
      </c>
      <c r="J151" s="43" t="str">
        <f t="shared" si="19"/>
        <v/>
      </c>
      <c r="K151" s="33" t="str">
        <f>IF(B151="","Pending",IF(M151="","⚠️ Enter Code",IF(IFERROR(VLOOKUP(L151,DB_Agents!$B:$F,4,0),"")=TEXT(M151,"0"),"Pending Approval","🔒 WRONG CODE")))</f>
        <v>Pending</v>
      </c>
      <c r="L151" s="30" t="s">
        <v>56</v>
      </c>
      <c r="M151" s="41"/>
      <c r="N151" s="22"/>
    </row>
    <row r="152" spans="1:14" ht="20.100000000000001" customHeight="1" x14ac:dyDescent="0.25">
      <c r="A152" s="30" t="str">
        <f t="shared" si="16"/>
        <v/>
      </c>
      <c r="B152" s="41"/>
      <c r="C152" s="35" t="str">
        <f>IF(B152="","",IFERROR(VLOOKUP(B152,DB_Customers!$A:$B,2,0),"❌ Account Not Found"))</f>
        <v/>
      </c>
      <c r="D152" s="42" t="str">
        <f t="shared" ca="1" si="17"/>
        <v/>
      </c>
      <c r="E152" s="32"/>
      <c r="F152" s="31"/>
      <c r="G152" s="41"/>
      <c r="H152" s="56">
        <v>2.5</v>
      </c>
      <c r="I152" s="43" t="str">
        <f t="shared" si="18"/>
        <v/>
      </c>
      <c r="J152" s="43" t="str">
        <f t="shared" si="19"/>
        <v/>
      </c>
      <c r="K152" s="33" t="str">
        <f>IF(B152="","Pending",IF(M152="","⚠️ Enter Code",IF(IFERROR(VLOOKUP(L152,DB_Agents!$B:$F,4,0),"")=TEXT(M152,"0"),"Pending Approval","🔒 WRONG CODE")))</f>
        <v>Pending</v>
      </c>
      <c r="L152" s="30" t="s">
        <v>56</v>
      </c>
      <c r="M152" s="41"/>
      <c r="N152" s="57"/>
    </row>
    <row r="153" spans="1:14" ht="20.100000000000001" customHeight="1" x14ac:dyDescent="0.25">
      <c r="A153" s="30" t="str">
        <f t="shared" si="16"/>
        <v/>
      </c>
      <c r="B153" s="41"/>
      <c r="C153" s="35" t="str">
        <f>IF(B153="","",IFERROR(VLOOKUP(B153,DB_Customers!$A:$B,2,0),"❌ Account Not Found"))</f>
        <v/>
      </c>
      <c r="D153" s="42" t="str">
        <f t="shared" ca="1" si="17"/>
        <v/>
      </c>
      <c r="E153" s="32"/>
      <c r="F153" s="31"/>
      <c r="G153" s="41"/>
      <c r="H153" s="56">
        <v>2.5</v>
      </c>
      <c r="I153" s="43" t="str">
        <f t="shared" si="18"/>
        <v/>
      </c>
      <c r="J153" s="43" t="str">
        <f t="shared" si="19"/>
        <v/>
      </c>
      <c r="K153" s="33" t="str">
        <f>IF(B153="","Pending",IF(M153="","⚠️ Enter Code",IF(IFERROR(VLOOKUP(L153,DB_Agents!$B:$F,4,0),"")=TEXT(M153,"0"),"Pending Approval","🔒 WRONG CODE")))</f>
        <v>Pending</v>
      </c>
      <c r="L153" s="30" t="s">
        <v>56</v>
      </c>
      <c r="M153" s="41"/>
      <c r="N153" s="22"/>
    </row>
    <row r="154" spans="1:14" ht="20.100000000000001" customHeight="1" x14ac:dyDescent="0.25">
      <c r="A154" s="30" t="str">
        <f t="shared" si="16"/>
        <v/>
      </c>
      <c r="B154" s="41"/>
      <c r="C154" s="35" t="str">
        <f>IF(B154="","",IFERROR(VLOOKUP(B154,DB_Customers!$A:$B,2,0),"❌ Account Not Found"))</f>
        <v/>
      </c>
      <c r="D154" s="42" t="str">
        <f t="shared" ca="1" si="17"/>
        <v/>
      </c>
      <c r="E154" s="32"/>
      <c r="F154" s="31"/>
      <c r="G154" s="41"/>
      <c r="H154" s="56">
        <v>2.5</v>
      </c>
      <c r="I154" s="43" t="str">
        <f t="shared" si="18"/>
        <v/>
      </c>
      <c r="J154" s="43" t="str">
        <f t="shared" si="19"/>
        <v/>
      </c>
      <c r="K154" s="33" t="str">
        <f>IF(B154="","Pending",IF(M154="","⚠️ Enter Code",IF(IFERROR(VLOOKUP(L154,DB_Agents!$B:$F,4,0),"")=TEXT(M154,"0"),"Pending Approval","🔒 WRONG CODE")))</f>
        <v>Pending</v>
      </c>
      <c r="L154" s="30" t="s">
        <v>56</v>
      </c>
      <c r="M154" s="41"/>
      <c r="N154" s="57"/>
    </row>
    <row r="155" spans="1:14" ht="20.100000000000001" customHeight="1" x14ac:dyDescent="0.25">
      <c r="A155" s="30" t="str">
        <f t="shared" si="16"/>
        <v/>
      </c>
      <c r="B155" s="41"/>
      <c r="C155" s="35" t="str">
        <f>IF(B155="","",IFERROR(VLOOKUP(B155,DB_Customers!$A:$B,2,0),"❌ Account Not Found"))</f>
        <v/>
      </c>
      <c r="D155" s="42" t="str">
        <f t="shared" ca="1" si="17"/>
        <v/>
      </c>
      <c r="E155" s="32"/>
      <c r="F155" s="31"/>
      <c r="G155" s="41"/>
      <c r="H155" s="56">
        <v>2.5</v>
      </c>
      <c r="I155" s="43" t="str">
        <f t="shared" si="18"/>
        <v/>
      </c>
      <c r="J155" s="43" t="str">
        <f t="shared" si="19"/>
        <v/>
      </c>
      <c r="K155" s="33" t="str">
        <f>IF(B155="","Pending",IF(M155="","⚠️ Enter Code",IF(IFERROR(VLOOKUP(L155,DB_Agents!$B:$F,4,0),"")=TEXT(M155,"0"),"Pending Approval","🔒 WRONG CODE")))</f>
        <v>Pending</v>
      </c>
      <c r="L155" s="30" t="s">
        <v>56</v>
      </c>
      <c r="M155" s="41"/>
      <c r="N155" s="22"/>
    </row>
    <row r="156" spans="1:14" ht="20.100000000000001" customHeight="1" x14ac:dyDescent="0.25">
      <c r="A156" s="30" t="str">
        <f t="shared" si="16"/>
        <v/>
      </c>
      <c r="B156" s="41"/>
      <c r="C156" s="35" t="str">
        <f>IF(B156="","",IFERROR(VLOOKUP(B156,DB_Customers!$A:$B,2,0),"❌ Account Not Found"))</f>
        <v/>
      </c>
      <c r="D156" s="42" t="str">
        <f t="shared" ca="1" si="17"/>
        <v/>
      </c>
      <c r="E156" s="32"/>
      <c r="F156" s="31"/>
      <c r="G156" s="41"/>
      <c r="H156" s="56">
        <v>2.5</v>
      </c>
      <c r="I156" s="43" t="str">
        <f t="shared" si="18"/>
        <v/>
      </c>
      <c r="J156" s="43" t="str">
        <f t="shared" si="19"/>
        <v/>
      </c>
      <c r="K156" s="33" t="str">
        <f>IF(B156="","Pending",IF(M156="","⚠️ Enter Code",IF(IFERROR(VLOOKUP(L156,DB_Agents!$B:$F,4,0),"")=TEXT(M156,"0"),"Pending Approval","🔒 WRONG CODE")))</f>
        <v>Pending</v>
      </c>
      <c r="L156" s="30" t="s">
        <v>56</v>
      </c>
      <c r="M156" s="41"/>
      <c r="N156" s="57"/>
    </row>
    <row r="157" spans="1:14" ht="20.100000000000001" customHeight="1" x14ac:dyDescent="0.25">
      <c r="A157" s="30" t="str">
        <f t="shared" si="16"/>
        <v/>
      </c>
      <c r="B157" s="41"/>
      <c r="C157" s="35" t="str">
        <f>IF(B157="","",IFERROR(VLOOKUP(B157,DB_Customers!$A:$B,2,0),"❌ Account Not Found"))</f>
        <v/>
      </c>
      <c r="D157" s="42" t="str">
        <f t="shared" ca="1" si="17"/>
        <v/>
      </c>
      <c r="E157" s="32"/>
      <c r="F157" s="31"/>
      <c r="G157" s="41"/>
      <c r="H157" s="56">
        <v>2.5</v>
      </c>
      <c r="I157" s="43" t="str">
        <f t="shared" si="18"/>
        <v/>
      </c>
      <c r="J157" s="43" t="str">
        <f t="shared" si="19"/>
        <v/>
      </c>
      <c r="K157" s="33" t="str">
        <f>IF(B157="","Pending",IF(M157="","⚠️ Enter Code",IF(IFERROR(VLOOKUP(L157,DB_Agents!$B:$F,4,0),"")=TEXT(M157,"0"),"Pending Approval","🔒 WRONG CODE")))</f>
        <v>Pending</v>
      </c>
      <c r="L157" s="30" t="s">
        <v>56</v>
      </c>
      <c r="M157" s="41"/>
      <c r="N157" s="22"/>
    </row>
    <row r="158" spans="1:14" ht="20.100000000000001" customHeight="1" x14ac:dyDescent="0.25">
      <c r="A158" s="30" t="str">
        <f t="shared" si="16"/>
        <v/>
      </c>
      <c r="B158" s="41"/>
      <c r="C158" s="35" t="str">
        <f>IF(B158="","",IFERROR(VLOOKUP(B158,DB_Customers!$A:$B,2,0),"❌ Account Not Found"))</f>
        <v/>
      </c>
      <c r="D158" s="42" t="str">
        <f t="shared" ca="1" si="17"/>
        <v/>
      </c>
      <c r="E158" s="32"/>
      <c r="F158" s="31"/>
      <c r="G158" s="41"/>
      <c r="H158" s="56">
        <v>2.5</v>
      </c>
      <c r="I158" s="43" t="str">
        <f t="shared" si="18"/>
        <v/>
      </c>
      <c r="J158" s="43" t="str">
        <f t="shared" si="19"/>
        <v/>
      </c>
      <c r="K158" s="33" t="str">
        <f>IF(B158="","Pending",IF(M158="","⚠️ Enter Code",IF(IFERROR(VLOOKUP(L158,DB_Agents!$B:$F,4,0),"")=TEXT(M158,"0"),"Pending Approval","🔒 WRONG CODE")))</f>
        <v>Pending</v>
      </c>
      <c r="L158" s="30" t="s">
        <v>56</v>
      </c>
      <c r="M158" s="41"/>
      <c r="N158" s="57"/>
    </row>
    <row r="159" spans="1:14" ht="20.100000000000001" customHeight="1" x14ac:dyDescent="0.25">
      <c r="A159" s="30" t="str">
        <f t="shared" si="16"/>
        <v/>
      </c>
      <c r="B159" s="41"/>
      <c r="C159" s="35" t="str">
        <f>IF(B159="","",IFERROR(VLOOKUP(B159,DB_Customers!$A:$B,2,0),"❌ Account Not Found"))</f>
        <v/>
      </c>
      <c r="D159" s="42" t="str">
        <f t="shared" ca="1" si="17"/>
        <v/>
      </c>
      <c r="E159" s="32"/>
      <c r="F159" s="31"/>
      <c r="G159" s="41"/>
      <c r="H159" s="56">
        <v>2.5</v>
      </c>
      <c r="I159" s="43" t="str">
        <f t="shared" si="18"/>
        <v/>
      </c>
      <c r="J159" s="43" t="str">
        <f t="shared" si="19"/>
        <v/>
      </c>
      <c r="K159" s="33" t="str">
        <f>IF(B159="","Pending",IF(M159="","⚠️ Enter Code",IF(IFERROR(VLOOKUP(L159,DB_Agents!$B:$F,4,0),"")=TEXT(M159,"0"),"Pending Approval","🔒 WRONG CODE")))</f>
        <v>Pending</v>
      </c>
      <c r="L159" s="30" t="s">
        <v>56</v>
      </c>
      <c r="M159" s="41"/>
      <c r="N159" s="22"/>
    </row>
    <row r="160" spans="1:14" ht="20.100000000000001" customHeight="1" x14ac:dyDescent="0.25">
      <c r="A160" s="30" t="str">
        <f t="shared" si="16"/>
        <v/>
      </c>
      <c r="B160" s="41"/>
      <c r="C160" s="35" t="str">
        <f>IF(B160="","",IFERROR(VLOOKUP(B160,DB_Customers!$A:$B,2,0),"❌ Account Not Found"))</f>
        <v/>
      </c>
      <c r="D160" s="42" t="str">
        <f t="shared" ca="1" si="17"/>
        <v/>
      </c>
      <c r="E160" s="32"/>
      <c r="F160" s="31"/>
      <c r="G160" s="41"/>
      <c r="H160" s="56">
        <v>2.5</v>
      </c>
      <c r="I160" s="43" t="str">
        <f t="shared" si="18"/>
        <v/>
      </c>
      <c r="J160" s="43" t="str">
        <f t="shared" si="19"/>
        <v/>
      </c>
      <c r="K160" s="33" t="str">
        <f>IF(B160="","Pending",IF(M160="","⚠️ Enter Code",IF(IFERROR(VLOOKUP(L160,DB_Agents!$B:$F,4,0),"")=TEXT(M160,"0"),"Pending Approval","🔒 WRONG CODE")))</f>
        <v>Pending</v>
      </c>
      <c r="L160" s="30" t="s">
        <v>56</v>
      </c>
      <c r="M160" s="41"/>
      <c r="N160" s="57"/>
    </row>
    <row r="161" spans="1:14" ht="20.100000000000001" customHeight="1" x14ac:dyDescent="0.25">
      <c r="A161" s="30" t="str">
        <f t="shared" si="16"/>
        <v/>
      </c>
      <c r="B161" s="41"/>
      <c r="C161" s="35" t="str">
        <f>IF(B161="","",IFERROR(VLOOKUP(B161,DB_Customers!$A:$B,2,0),"❌ Account Not Found"))</f>
        <v/>
      </c>
      <c r="D161" s="42" t="str">
        <f t="shared" ca="1" si="17"/>
        <v/>
      </c>
      <c r="E161" s="32"/>
      <c r="F161" s="31"/>
      <c r="G161" s="41"/>
      <c r="H161" s="56">
        <v>2.5</v>
      </c>
      <c r="I161" s="43" t="str">
        <f t="shared" si="18"/>
        <v/>
      </c>
      <c r="J161" s="43" t="str">
        <f t="shared" si="19"/>
        <v/>
      </c>
      <c r="K161" s="33" t="str">
        <f>IF(B161="","Pending",IF(M161="","⚠️ Enter Code",IF(IFERROR(VLOOKUP(L161,DB_Agents!$B:$F,4,0),"")=TEXT(M161,"0"),"Pending Approval","🔒 WRONG CODE")))</f>
        <v>Pending</v>
      </c>
      <c r="L161" s="30" t="s">
        <v>56</v>
      </c>
      <c r="M161" s="41"/>
      <c r="N161" s="22"/>
    </row>
    <row r="162" spans="1:14" ht="20.100000000000001" customHeight="1" x14ac:dyDescent="0.25">
      <c r="A162" s="30" t="str">
        <f t="shared" si="16"/>
        <v/>
      </c>
      <c r="B162" s="41"/>
      <c r="C162" s="35" t="str">
        <f>IF(B162="","",IFERROR(VLOOKUP(B162,DB_Customers!$A:$B,2,0),"❌ Account Not Found"))</f>
        <v/>
      </c>
      <c r="D162" s="42" t="str">
        <f t="shared" ca="1" si="17"/>
        <v/>
      </c>
      <c r="E162" s="32"/>
      <c r="F162" s="31"/>
      <c r="G162" s="41"/>
      <c r="H162" s="56">
        <v>2.5</v>
      </c>
      <c r="I162" s="43" t="str">
        <f t="shared" si="18"/>
        <v/>
      </c>
      <c r="J162" s="43" t="str">
        <f t="shared" si="19"/>
        <v/>
      </c>
      <c r="K162" s="33" t="str">
        <f>IF(B162="","Pending",IF(M162="","⚠️ Enter Code",IF(IFERROR(VLOOKUP(L162,DB_Agents!$B:$F,4,0),"")=TEXT(M162,"0"),"Pending Approval","🔒 WRONG CODE")))</f>
        <v>Pending</v>
      </c>
      <c r="L162" s="30" t="s">
        <v>56</v>
      </c>
      <c r="M162" s="41"/>
      <c r="N162" s="57"/>
    </row>
    <row r="163" spans="1:14" ht="20.100000000000001" customHeight="1" x14ac:dyDescent="0.25">
      <c r="A163" s="30" t="str">
        <f t="shared" si="16"/>
        <v/>
      </c>
      <c r="B163" s="41"/>
      <c r="C163" s="35" t="str">
        <f>IF(B163="","",IFERROR(VLOOKUP(B163,DB_Customers!$A:$B,2,0),"❌ Account Not Found"))</f>
        <v/>
      </c>
      <c r="D163" s="42" t="str">
        <f t="shared" ca="1" si="17"/>
        <v/>
      </c>
      <c r="E163" s="32"/>
      <c r="F163" s="31"/>
      <c r="G163" s="41"/>
      <c r="H163" s="56">
        <v>2.5</v>
      </c>
      <c r="I163" s="43" t="str">
        <f t="shared" si="18"/>
        <v/>
      </c>
      <c r="J163" s="43" t="str">
        <f t="shared" si="19"/>
        <v/>
      </c>
      <c r="K163" s="33" t="str">
        <f>IF(B163="","Pending",IF(M163="","⚠️ Enter Code",IF(IFERROR(VLOOKUP(L163,DB_Agents!$B:$F,4,0),"")=TEXT(M163,"0"),"Pending Approval","🔒 WRONG CODE")))</f>
        <v>Pending</v>
      </c>
      <c r="L163" s="30" t="s">
        <v>56</v>
      </c>
      <c r="M163" s="41"/>
      <c r="N163" s="22"/>
    </row>
    <row r="164" spans="1:14" ht="20.100000000000001" customHeight="1" x14ac:dyDescent="0.25">
      <c r="A164" s="30" t="str">
        <f t="shared" si="16"/>
        <v/>
      </c>
      <c r="B164" s="41"/>
      <c r="C164" s="35" t="str">
        <f>IF(B164="","",IFERROR(VLOOKUP(B164,DB_Customers!$A:$B,2,0),"❌ Account Not Found"))</f>
        <v/>
      </c>
      <c r="D164" s="42" t="str">
        <f t="shared" ca="1" si="17"/>
        <v/>
      </c>
      <c r="E164" s="32"/>
      <c r="F164" s="31"/>
      <c r="G164" s="41"/>
      <c r="H164" s="56">
        <v>2.5</v>
      </c>
      <c r="I164" s="43" t="str">
        <f t="shared" si="18"/>
        <v/>
      </c>
      <c r="J164" s="43" t="str">
        <f t="shared" si="19"/>
        <v/>
      </c>
      <c r="K164" s="33" t="str">
        <f>IF(B164="","Pending",IF(M164="","⚠️ Enter Code",IF(IFERROR(VLOOKUP(L164,DB_Agents!$B:$F,4,0),"")=TEXT(M164,"0"),"Pending Approval","🔒 WRONG CODE")))</f>
        <v>Pending</v>
      </c>
      <c r="L164" s="30" t="s">
        <v>56</v>
      </c>
      <c r="M164" s="41"/>
      <c r="N164" s="57"/>
    </row>
    <row r="165" spans="1:14" ht="20.100000000000001" customHeight="1" x14ac:dyDescent="0.25">
      <c r="A165" s="30" t="str">
        <f t="shared" si="16"/>
        <v/>
      </c>
      <c r="B165" s="41"/>
      <c r="C165" s="35" t="str">
        <f>IF(B165="","",IFERROR(VLOOKUP(B165,DB_Customers!$A:$B,2,0),"❌ Account Not Found"))</f>
        <v/>
      </c>
      <c r="D165" s="42" t="str">
        <f t="shared" ca="1" si="17"/>
        <v/>
      </c>
      <c r="E165" s="32"/>
      <c r="F165" s="31"/>
      <c r="G165" s="41"/>
      <c r="H165" s="56">
        <v>2.5</v>
      </c>
      <c r="I165" s="43" t="str">
        <f t="shared" si="18"/>
        <v/>
      </c>
      <c r="J165" s="43" t="str">
        <f t="shared" si="19"/>
        <v/>
      </c>
      <c r="K165" s="33" t="str">
        <f>IF(B165="","Pending",IF(M165="","⚠️ Enter Code",IF(IFERROR(VLOOKUP(L165,DB_Agents!$B:$F,4,0),"")=TEXT(M165,"0"),"Pending Approval","🔒 WRONG CODE")))</f>
        <v>Pending</v>
      </c>
      <c r="L165" s="30" t="s">
        <v>56</v>
      </c>
      <c r="M165" s="41"/>
      <c r="N165" s="22"/>
    </row>
    <row r="166" spans="1:14" ht="20.100000000000001" customHeight="1" x14ac:dyDescent="0.25">
      <c r="A166" s="30" t="str">
        <f t="shared" si="16"/>
        <v/>
      </c>
      <c r="B166" s="41"/>
      <c r="C166" s="35" t="str">
        <f>IF(B166="","",IFERROR(VLOOKUP(B166,DB_Customers!$A:$B,2,0),"❌ Account Not Found"))</f>
        <v/>
      </c>
      <c r="D166" s="42" t="str">
        <f t="shared" ca="1" si="17"/>
        <v/>
      </c>
      <c r="E166" s="32"/>
      <c r="F166" s="31"/>
      <c r="G166" s="41"/>
      <c r="H166" s="56">
        <v>2.5</v>
      </c>
      <c r="I166" s="43" t="str">
        <f t="shared" si="18"/>
        <v/>
      </c>
      <c r="J166" s="43" t="str">
        <f t="shared" si="19"/>
        <v/>
      </c>
      <c r="K166" s="33" t="str">
        <f>IF(B166="","Pending",IF(M166="","⚠️ Enter Code",IF(IFERROR(VLOOKUP(L166,DB_Agents!$B:$F,4,0),"")=TEXT(M166,"0"),"Pending Approval","🔒 WRONG CODE")))</f>
        <v>Pending</v>
      </c>
      <c r="L166" s="30" t="s">
        <v>56</v>
      </c>
      <c r="M166" s="41"/>
      <c r="N166" s="57"/>
    </row>
    <row r="167" spans="1:14" ht="20.100000000000001" customHeight="1" x14ac:dyDescent="0.25">
      <c r="A167" s="30" t="str">
        <f t="shared" si="16"/>
        <v/>
      </c>
      <c r="B167" s="41"/>
      <c r="C167" s="35" t="str">
        <f>IF(B167="","",IFERROR(VLOOKUP(B167,DB_Customers!$A:$B,2,0),"❌ Account Not Found"))</f>
        <v/>
      </c>
      <c r="D167" s="42" t="str">
        <f t="shared" ca="1" si="17"/>
        <v/>
      </c>
      <c r="E167" s="32"/>
      <c r="F167" s="31"/>
      <c r="G167" s="41"/>
      <c r="H167" s="56">
        <v>2.5</v>
      </c>
      <c r="I167" s="43" t="str">
        <f t="shared" si="18"/>
        <v/>
      </c>
      <c r="J167" s="43" t="str">
        <f t="shared" si="19"/>
        <v/>
      </c>
      <c r="K167" s="33" t="str">
        <f>IF(B167="","Pending",IF(M167="","⚠️ Enter Code",IF(IFERROR(VLOOKUP(L167,DB_Agents!$B:$F,4,0),"")=TEXT(M167,"0"),"Pending Approval","🔒 WRONG CODE")))</f>
        <v>Pending</v>
      </c>
      <c r="L167" s="30" t="s">
        <v>56</v>
      </c>
      <c r="M167" s="41"/>
      <c r="N167" s="22"/>
    </row>
    <row r="168" spans="1:14" ht="20.100000000000001" customHeight="1" x14ac:dyDescent="0.25">
      <c r="A168" s="30" t="str">
        <f t="shared" si="16"/>
        <v/>
      </c>
      <c r="B168" s="41"/>
      <c r="C168" s="35" t="str">
        <f>IF(B168="","",IFERROR(VLOOKUP(B168,DB_Customers!$A:$B,2,0),"❌ Account Not Found"))</f>
        <v/>
      </c>
      <c r="D168" s="42" t="str">
        <f t="shared" ca="1" si="17"/>
        <v/>
      </c>
      <c r="E168" s="32"/>
      <c r="F168" s="31"/>
      <c r="G168" s="41"/>
      <c r="H168" s="56">
        <v>2.5</v>
      </c>
      <c r="I168" s="43" t="str">
        <f t="shared" si="18"/>
        <v/>
      </c>
      <c r="J168" s="43" t="str">
        <f t="shared" si="19"/>
        <v/>
      </c>
      <c r="K168" s="33" t="str">
        <f>IF(B168="","Pending",IF(M168="","⚠️ Enter Code",IF(IFERROR(VLOOKUP(L168,DB_Agents!$B:$F,4,0),"")=TEXT(M168,"0"),"Pending Approval","🔒 WRONG CODE")))</f>
        <v>Pending</v>
      </c>
      <c r="L168" s="30" t="s">
        <v>56</v>
      </c>
      <c r="M168" s="41"/>
      <c r="N168" s="57"/>
    </row>
    <row r="169" spans="1:14" ht="20.100000000000001" customHeight="1" x14ac:dyDescent="0.25">
      <c r="A169" s="30" t="str">
        <f t="shared" si="16"/>
        <v/>
      </c>
      <c r="B169" s="41"/>
      <c r="C169" s="35" t="str">
        <f>IF(B169="","",IFERROR(VLOOKUP(B169,DB_Customers!$A:$B,2,0),"❌ Account Not Found"))</f>
        <v/>
      </c>
      <c r="D169" s="42" t="str">
        <f t="shared" ca="1" si="17"/>
        <v/>
      </c>
      <c r="E169" s="32"/>
      <c r="F169" s="31"/>
      <c r="G169" s="41"/>
      <c r="H169" s="56">
        <v>2.5</v>
      </c>
      <c r="I169" s="43" t="str">
        <f t="shared" si="18"/>
        <v/>
      </c>
      <c r="J169" s="43" t="str">
        <f t="shared" si="19"/>
        <v/>
      </c>
      <c r="K169" s="33" t="str">
        <f>IF(B169="","Pending",IF(M169="","⚠️ Enter Code",IF(IFERROR(VLOOKUP(L169,DB_Agents!$B:$F,4,0),"")=TEXT(M169,"0"),"Pending Approval","🔒 WRONG CODE")))</f>
        <v>Pending</v>
      </c>
      <c r="L169" s="30" t="s">
        <v>56</v>
      </c>
      <c r="M169" s="41"/>
      <c r="N169" s="22"/>
    </row>
    <row r="170" spans="1:14" ht="20.100000000000001" customHeight="1" x14ac:dyDescent="0.25">
      <c r="A170" s="30" t="str">
        <f t="shared" si="16"/>
        <v/>
      </c>
      <c r="B170" s="41"/>
      <c r="C170" s="35" t="str">
        <f>IF(B170="","",IFERROR(VLOOKUP(B170,DB_Customers!$A:$B,2,0),"❌ Account Not Found"))</f>
        <v/>
      </c>
      <c r="D170" s="42" t="str">
        <f t="shared" ca="1" si="17"/>
        <v/>
      </c>
      <c r="E170" s="32"/>
      <c r="F170" s="31"/>
      <c r="G170" s="41"/>
      <c r="H170" s="56">
        <v>2.5</v>
      </c>
      <c r="I170" s="43" t="str">
        <f t="shared" si="18"/>
        <v/>
      </c>
      <c r="J170" s="43" t="str">
        <f t="shared" si="19"/>
        <v/>
      </c>
      <c r="K170" s="33" t="str">
        <f>IF(B170="","Pending",IF(M170="","⚠️ Enter Code",IF(IFERROR(VLOOKUP(L170,DB_Agents!$B:$F,4,0),"")=TEXT(M170,"0"),"Pending Approval","🔒 WRONG CODE")))</f>
        <v>Pending</v>
      </c>
      <c r="L170" s="30" t="s">
        <v>56</v>
      </c>
      <c r="M170" s="41"/>
      <c r="N170" s="57"/>
    </row>
    <row r="171" spans="1:14" ht="20.100000000000001" customHeight="1" x14ac:dyDescent="0.25">
      <c r="A171" s="30" t="str">
        <f t="shared" si="16"/>
        <v/>
      </c>
      <c r="B171" s="41"/>
      <c r="C171" s="35" t="str">
        <f>IF(B171="","",IFERROR(VLOOKUP(B171,DB_Customers!$A:$B,2,0),"❌ Account Not Found"))</f>
        <v/>
      </c>
      <c r="D171" s="42" t="str">
        <f t="shared" ca="1" si="17"/>
        <v/>
      </c>
      <c r="E171" s="32"/>
      <c r="F171" s="31"/>
      <c r="G171" s="41"/>
      <c r="H171" s="56">
        <v>2.5</v>
      </c>
      <c r="I171" s="43" t="str">
        <f t="shared" si="18"/>
        <v/>
      </c>
      <c r="J171" s="43" t="str">
        <f t="shared" si="19"/>
        <v/>
      </c>
      <c r="K171" s="33" t="str">
        <f>IF(B171="","Pending",IF(M171="","⚠️ Enter Code",IF(IFERROR(VLOOKUP(L171,DB_Agents!$B:$F,4,0),"")=TEXT(M171,"0"),"Pending Approval","🔒 WRONG CODE")))</f>
        <v>Pending</v>
      </c>
      <c r="L171" s="30" t="s">
        <v>56</v>
      </c>
      <c r="M171" s="41"/>
      <c r="N171" s="22"/>
    </row>
    <row r="172" spans="1:14" ht="20.100000000000001" customHeight="1" x14ac:dyDescent="0.25">
      <c r="A172" s="30" t="str">
        <f t="shared" si="16"/>
        <v/>
      </c>
      <c r="B172" s="41"/>
      <c r="C172" s="35" t="str">
        <f>IF(B172="","",IFERROR(VLOOKUP(B172,DB_Customers!$A:$B,2,0),"❌ Account Not Found"))</f>
        <v/>
      </c>
      <c r="D172" s="42" t="str">
        <f t="shared" ca="1" si="17"/>
        <v/>
      </c>
      <c r="E172" s="32"/>
      <c r="F172" s="31"/>
      <c r="G172" s="41"/>
      <c r="H172" s="56">
        <v>2.5</v>
      </c>
      <c r="I172" s="43" t="str">
        <f t="shared" si="18"/>
        <v/>
      </c>
      <c r="J172" s="43" t="str">
        <f t="shared" si="19"/>
        <v/>
      </c>
      <c r="K172" s="33" t="str">
        <f>IF(B172="","Pending",IF(M172="","⚠️ Enter Code",IF(IFERROR(VLOOKUP(L172,DB_Agents!$B:$F,4,0),"")=TEXT(M172,"0"),"Pending Approval","🔒 WRONG CODE")))</f>
        <v>Pending</v>
      </c>
      <c r="L172" s="30" t="s">
        <v>56</v>
      </c>
      <c r="M172" s="41"/>
      <c r="N172" s="57"/>
    </row>
    <row r="173" spans="1:14" ht="20.100000000000001" customHeight="1" x14ac:dyDescent="0.25">
      <c r="A173" s="30" t="str">
        <f t="shared" si="16"/>
        <v/>
      </c>
      <c r="B173" s="41"/>
      <c r="C173" s="35" t="str">
        <f>IF(B173="","",IFERROR(VLOOKUP(B173,DB_Customers!$A:$B,2,0),"❌ Account Not Found"))</f>
        <v/>
      </c>
      <c r="D173" s="42" t="str">
        <f t="shared" ca="1" si="17"/>
        <v/>
      </c>
      <c r="E173" s="32"/>
      <c r="F173" s="31"/>
      <c r="G173" s="41"/>
      <c r="H173" s="56">
        <v>2.5</v>
      </c>
      <c r="I173" s="43" t="str">
        <f t="shared" si="18"/>
        <v/>
      </c>
      <c r="J173" s="43" t="str">
        <f t="shared" si="19"/>
        <v/>
      </c>
      <c r="K173" s="33" t="str">
        <f>IF(B173="","Pending",IF(M173="","⚠️ Enter Code",IF(IFERROR(VLOOKUP(L173,DB_Agents!$B:$F,4,0),"")=TEXT(M173,"0"),"Pending Approval","🔒 WRONG CODE")))</f>
        <v>Pending</v>
      </c>
      <c r="L173" s="30" t="s">
        <v>56</v>
      </c>
      <c r="M173" s="41"/>
      <c r="N173" s="22"/>
    </row>
    <row r="174" spans="1:14" ht="20.100000000000001" customHeight="1" x14ac:dyDescent="0.25">
      <c r="A174" s="30" t="str">
        <f t="shared" ref="A174:A205" si="20">IF(B174="","",IF(C174="❌ Account Not Found","INVALID","LN"&amp;TEXT(D174,"YYYYMMDD")&amp;TEXT(ROW()-13,"0000")))</f>
        <v/>
      </c>
      <c r="B174" s="41"/>
      <c r="C174" s="35" t="str">
        <f>IF(B174="","",IFERROR(VLOOKUP(B174,DB_Customers!$A:$B,2,0),"❌ Account Not Found"))</f>
        <v/>
      </c>
      <c r="D174" s="42" t="str">
        <f t="shared" ref="D174:D205" ca="1" si="21">IF(B174="","",TODAY())</f>
        <v/>
      </c>
      <c r="E174" s="32"/>
      <c r="F174" s="31"/>
      <c r="G174" s="41"/>
      <c r="H174" s="56">
        <v>2.5</v>
      </c>
      <c r="I174" s="43" t="str">
        <f t="shared" ref="I174:I205" si="22">IF(E174="","",E174+(E174*H174/100*G174))</f>
        <v/>
      </c>
      <c r="J174" s="43" t="str">
        <f t="shared" ref="J174:J205" si="23">IFERROR(I174/G174,"")</f>
        <v/>
      </c>
      <c r="K174" s="33" t="str">
        <f>IF(B174="","Pending",IF(M174="","⚠️ Enter Code",IF(IFERROR(VLOOKUP(L174,DB_Agents!$B:$F,4,0),"")=TEXT(M174,"0"),"Pending Approval","🔒 WRONG CODE")))</f>
        <v>Pending</v>
      </c>
      <c r="L174" s="30" t="s">
        <v>56</v>
      </c>
      <c r="M174" s="41"/>
      <c r="N174" s="57"/>
    </row>
    <row r="175" spans="1:14" ht="20.100000000000001" customHeight="1" x14ac:dyDescent="0.25">
      <c r="A175" s="30" t="str">
        <f t="shared" si="20"/>
        <v/>
      </c>
      <c r="B175" s="41"/>
      <c r="C175" s="35" t="str">
        <f>IF(B175="","",IFERROR(VLOOKUP(B175,DB_Customers!$A:$B,2,0),"❌ Account Not Found"))</f>
        <v/>
      </c>
      <c r="D175" s="42" t="str">
        <f t="shared" ca="1" si="21"/>
        <v/>
      </c>
      <c r="E175" s="32"/>
      <c r="F175" s="31"/>
      <c r="G175" s="41"/>
      <c r="H175" s="56">
        <v>2.5</v>
      </c>
      <c r="I175" s="43" t="str">
        <f t="shared" si="22"/>
        <v/>
      </c>
      <c r="J175" s="43" t="str">
        <f t="shared" si="23"/>
        <v/>
      </c>
      <c r="K175" s="33" t="str">
        <f>IF(B175="","Pending",IF(M175="","⚠️ Enter Code",IF(IFERROR(VLOOKUP(L175,DB_Agents!$B:$F,4,0),"")=TEXT(M175,"0"),"Pending Approval","🔒 WRONG CODE")))</f>
        <v>Pending</v>
      </c>
      <c r="L175" s="30" t="s">
        <v>56</v>
      </c>
      <c r="M175" s="41"/>
      <c r="N175" s="22"/>
    </row>
    <row r="176" spans="1:14" ht="20.100000000000001" customHeight="1" x14ac:dyDescent="0.25">
      <c r="A176" s="30" t="str">
        <f t="shared" si="20"/>
        <v/>
      </c>
      <c r="B176" s="41"/>
      <c r="C176" s="35" t="str">
        <f>IF(B176="","",IFERROR(VLOOKUP(B176,DB_Customers!$A:$B,2,0),"❌ Account Not Found"))</f>
        <v/>
      </c>
      <c r="D176" s="42" t="str">
        <f t="shared" ca="1" si="21"/>
        <v/>
      </c>
      <c r="E176" s="32"/>
      <c r="F176" s="31"/>
      <c r="G176" s="41"/>
      <c r="H176" s="56">
        <v>2.5</v>
      </c>
      <c r="I176" s="43" t="str">
        <f t="shared" si="22"/>
        <v/>
      </c>
      <c r="J176" s="43" t="str">
        <f t="shared" si="23"/>
        <v/>
      </c>
      <c r="K176" s="33" t="str">
        <f>IF(B176="","Pending",IF(M176="","⚠️ Enter Code",IF(IFERROR(VLOOKUP(L176,DB_Agents!$B:$F,4,0),"")=TEXT(M176,"0"),"Pending Approval","🔒 WRONG CODE")))</f>
        <v>Pending</v>
      </c>
      <c r="L176" s="30" t="s">
        <v>56</v>
      </c>
      <c r="M176" s="41"/>
      <c r="N176" s="57"/>
    </row>
    <row r="177" spans="1:14" ht="20.100000000000001" customHeight="1" x14ac:dyDescent="0.25">
      <c r="A177" s="30" t="str">
        <f t="shared" si="20"/>
        <v/>
      </c>
      <c r="B177" s="41"/>
      <c r="C177" s="35" t="str">
        <f>IF(B177="","",IFERROR(VLOOKUP(B177,DB_Customers!$A:$B,2,0),"❌ Account Not Found"))</f>
        <v/>
      </c>
      <c r="D177" s="42" t="str">
        <f t="shared" ca="1" si="21"/>
        <v/>
      </c>
      <c r="E177" s="32"/>
      <c r="F177" s="31"/>
      <c r="G177" s="41"/>
      <c r="H177" s="56">
        <v>2.5</v>
      </c>
      <c r="I177" s="43" t="str">
        <f t="shared" si="22"/>
        <v/>
      </c>
      <c r="J177" s="43" t="str">
        <f t="shared" si="23"/>
        <v/>
      </c>
      <c r="K177" s="33" t="str">
        <f>IF(B177="","Pending",IF(M177="","⚠️ Enter Code",IF(IFERROR(VLOOKUP(L177,DB_Agents!$B:$F,4,0),"")=TEXT(M177,"0"),"Pending Approval","🔒 WRONG CODE")))</f>
        <v>Pending</v>
      </c>
      <c r="L177" s="30" t="s">
        <v>56</v>
      </c>
      <c r="M177" s="41"/>
      <c r="N177" s="22"/>
    </row>
    <row r="178" spans="1:14" ht="20.100000000000001" customHeight="1" x14ac:dyDescent="0.25">
      <c r="A178" s="30" t="str">
        <f t="shared" si="20"/>
        <v/>
      </c>
      <c r="B178" s="41"/>
      <c r="C178" s="35" t="str">
        <f>IF(B178="","",IFERROR(VLOOKUP(B178,DB_Customers!$A:$B,2,0),"❌ Account Not Found"))</f>
        <v/>
      </c>
      <c r="D178" s="42" t="str">
        <f t="shared" ca="1" si="21"/>
        <v/>
      </c>
      <c r="E178" s="32"/>
      <c r="F178" s="31"/>
      <c r="G178" s="41"/>
      <c r="H178" s="56">
        <v>2.5</v>
      </c>
      <c r="I178" s="43" t="str">
        <f t="shared" si="22"/>
        <v/>
      </c>
      <c r="J178" s="43" t="str">
        <f t="shared" si="23"/>
        <v/>
      </c>
      <c r="K178" s="33" t="str">
        <f>IF(B178="","Pending",IF(M178="","⚠️ Enter Code",IF(IFERROR(VLOOKUP(L178,DB_Agents!$B:$F,4,0),"")=TEXT(M178,"0"),"Pending Approval","🔒 WRONG CODE")))</f>
        <v>Pending</v>
      </c>
      <c r="L178" s="30" t="s">
        <v>56</v>
      </c>
      <c r="M178" s="41"/>
      <c r="N178" s="57"/>
    </row>
    <row r="179" spans="1:14" ht="20.100000000000001" customHeight="1" x14ac:dyDescent="0.25">
      <c r="A179" s="30" t="str">
        <f t="shared" si="20"/>
        <v/>
      </c>
      <c r="B179" s="41"/>
      <c r="C179" s="35" t="str">
        <f>IF(B179="","",IFERROR(VLOOKUP(B179,DB_Customers!$A:$B,2,0),"❌ Account Not Found"))</f>
        <v/>
      </c>
      <c r="D179" s="42" t="str">
        <f t="shared" ca="1" si="21"/>
        <v/>
      </c>
      <c r="E179" s="32"/>
      <c r="F179" s="31"/>
      <c r="G179" s="41"/>
      <c r="H179" s="56">
        <v>2.5</v>
      </c>
      <c r="I179" s="43" t="str">
        <f t="shared" si="22"/>
        <v/>
      </c>
      <c r="J179" s="43" t="str">
        <f t="shared" si="23"/>
        <v/>
      </c>
      <c r="K179" s="33" t="str">
        <f>IF(B179="","Pending",IF(M179="","⚠️ Enter Code",IF(IFERROR(VLOOKUP(L179,DB_Agents!$B:$F,4,0),"")=TEXT(M179,"0"),"Pending Approval","🔒 WRONG CODE")))</f>
        <v>Pending</v>
      </c>
      <c r="L179" s="30" t="s">
        <v>56</v>
      </c>
      <c r="M179" s="41"/>
      <c r="N179" s="22"/>
    </row>
    <row r="180" spans="1:14" ht="20.100000000000001" customHeight="1" x14ac:dyDescent="0.25">
      <c r="A180" s="30" t="str">
        <f t="shared" si="20"/>
        <v/>
      </c>
      <c r="B180" s="41"/>
      <c r="C180" s="35" t="str">
        <f>IF(B180="","",IFERROR(VLOOKUP(B180,DB_Customers!$A:$B,2,0),"❌ Account Not Found"))</f>
        <v/>
      </c>
      <c r="D180" s="42" t="str">
        <f t="shared" ca="1" si="21"/>
        <v/>
      </c>
      <c r="E180" s="32"/>
      <c r="F180" s="31"/>
      <c r="G180" s="41"/>
      <c r="H180" s="56">
        <v>2.5</v>
      </c>
      <c r="I180" s="43" t="str">
        <f t="shared" si="22"/>
        <v/>
      </c>
      <c r="J180" s="43" t="str">
        <f t="shared" si="23"/>
        <v/>
      </c>
      <c r="K180" s="33" t="str">
        <f>IF(B180="","Pending",IF(M180="","⚠️ Enter Code",IF(IFERROR(VLOOKUP(L180,DB_Agents!$B:$F,4,0),"")=TEXT(M180,"0"),"Pending Approval","🔒 WRONG CODE")))</f>
        <v>Pending</v>
      </c>
      <c r="L180" s="30" t="s">
        <v>56</v>
      </c>
      <c r="M180" s="41"/>
      <c r="N180" s="57"/>
    </row>
    <row r="181" spans="1:14" ht="20.100000000000001" customHeight="1" x14ac:dyDescent="0.25">
      <c r="A181" s="30" t="str">
        <f t="shared" si="20"/>
        <v/>
      </c>
      <c r="B181" s="41"/>
      <c r="C181" s="35" t="str">
        <f>IF(B181="","",IFERROR(VLOOKUP(B181,DB_Customers!$A:$B,2,0),"❌ Account Not Found"))</f>
        <v/>
      </c>
      <c r="D181" s="42" t="str">
        <f t="shared" ca="1" si="21"/>
        <v/>
      </c>
      <c r="E181" s="32"/>
      <c r="F181" s="31"/>
      <c r="G181" s="41"/>
      <c r="H181" s="56">
        <v>2.5</v>
      </c>
      <c r="I181" s="43" t="str">
        <f t="shared" si="22"/>
        <v/>
      </c>
      <c r="J181" s="43" t="str">
        <f t="shared" si="23"/>
        <v/>
      </c>
      <c r="K181" s="33" t="str">
        <f>IF(B181="","Pending",IF(M181="","⚠️ Enter Code",IF(IFERROR(VLOOKUP(L181,DB_Agents!$B:$F,4,0),"")=TEXT(M181,"0"),"Pending Approval","🔒 WRONG CODE")))</f>
        <v>Pending</v>
      </c>
      <c r="L181" s="30" t="s">
        <v>56</v>
      </c>
      <c r="M181" s="41"/>
      <c r="N181" s="22"/>
    </row>
    <row r="182" spans="1:14" ht="20.100000000000001" customHeight="1" x14ac:dyDescent="0.25">
      <c r="A182" s="30" t="str">
        <f t="shared" si="20"/>
        <v/>
      </c>
      <c r="B182" s="41"/>
      <c r="C182" s="35" t="str">
        <f>IF(B182="","",IFERROR(VLOOKUP(B182,DB_Customers!$A:$B,2,0),"❌ Account Not Found"))</f>
        <v/>
      </c>
      <c r="D182" s="42" t="str">
        <f t="shared" ca="1" si="21"/>
        <v/>
      </c>
      <c r="E182" s="32"/>
      <c r="F182" s="31"/>
      <c r="G182" s="41"/>
      <c r="H182" s="56">
        <v>2.5</v>
      </c>
      <c r="I182" s="43" t="str">
        <f t="shared" si="22"/>
        <v/>
      </c>
      <c r="J182" s="43" t="str">
        <f t="shared" si="23"/>
        <v/>
      </c>
      <c r="K182" s="33" t="str">
        <f>IF(B182="","Pending",IF(M182="","⚠️ Enter Code",IF(IFERROR(VLOOKUP(L182,DB_Agents!$B:$F,4,0),"")=TEXT(M182,"0"),"Pending Approval","🔒 WRONG CODE")))</f>
        <v>Pending</v>
      </c>
      <c r="L182" s="30" t="s">
        <v>56</v>
      </c>
      <c r="M182" s="41"/>
      <c r="N182" s="57"/>
    </row>
    <row r="183" spans="1:14" ht="20.100000000000001" customHeight="1" x14ac:dyDescent="0.25">
      <c r="A183" s="30" t="str">
        <f t="shared" si="20"/>
        <v/>
      </c>
      <c r="B183" s="41"/>
      <c r="C183" s="35" t="str">
        <f>IF(B183="","",IFERROR(VLOOKUP(B183,DB_Customers!$A:$B,2,0),"❌ Account Not Found"))</f>
        <v/>
      </c>
      <c r="D183" s="42" t="str">
        <f t="shared" ca="1" si="21"/>
        <v/>
      </c>
      <c r="E183" s="32"/>
      <c r="F183" s="31"/>
      <c r="G183" s="41"/>
      <c r="H183" s="56">
        <v>2.5</v>
      </c>
      <c r="I183" s="43" t="str">
        <f t="shared" si="22"/>
        <v/>
      </c>
      <c r="J183" s="43" t="str">
        <f t="shared" si="23"/>
        <v/>
      </c>
      <c r="K183" s="33" t="str">
        <f>IF(B183="","Pending",IF(M183="","⚠️ Enter Code",IF(IFERROR(VLOOKUP(L183,DB_Agents!$B:$F,4,0),"")=TEXT(M183,"0"),"Pending Approval","🔒 WRONG CODE")))</f>
        <v>Pending</v>
      </c>
      <c r="L183" s="30" t="s">
        <v>56</v>
      </c>
      <c r="M183" s="41"/>
      <c r="N183" s="22"/>
    </row>
    <row r="184" spans="1:14" ht="20.100000000000001" customHeight="1" x14ac:dyDescent="0.25">
      <c r="A184" s="30" t="str">
        <f t="shared" si="20"/>
        <v/>
      </c>
      <c r="B184" s="41"/>
      <c r="C184" s="35" t="str">
        <f>IF(B184="","",IFERROR(VLOOKUP(B184,DB_Customers!$A:$B,2,0),"❌ Account Not Found"))</f>
        <v/>
      </c>
      <c r="D184" s="42" t="str">
        <f t="shared" ca="1" si="21"/>
        <v/>
      </c>
      <c r="E184" s="32"/>
      <c r="F184" s="31"/>
      <c r="G184" s="41"/>
      <c r="H184" s="56">
        <v>2.5</v>
      </c>
      <c r="I184" s="43" t="str">
        <f t="shared" si="22"/>
        <v/>
      </c>
      <c r="J184" s="43" t="str">
        <f t="shared" si="23"/>
        <v/>
      </c>
      <c r="K184" s="33" t="str">
        <f>IF(B184="","Pending",IF(M184="","⚠️ Enter Code",IF(IFERROR(VLOOKUP(L184,DB_Agents!$B:$F,4,0),"")=TEXT(M184,"0"),"Pending Approval","🔒 WRONG CODE")))</f>
        <v>Pending</v>
      </c>
      <c r="L184" s="30" t="s">
        <v>56</v>
      </c>
      <c r="M184" s="41"/>
      <c r="N184" s="57"/>
    </row>
    <row r="185" spans="1:14" ht="20.100000000000001" customHeight="1" x14ac:dyDescent="0.25">
      <c r="A185" s="30" t="str">
        <f t="shared" si="20"/>
        <v/>
      </c>
      <c r="B185" s="41"/>
      <c r="C185" s="35" t="str">
        <f>IF(B185="","",IFERROR(VLOOKUP(B185,DB_Customers!$A:$B,2,0),"❌ Account Not Found"))</f>
        <v/>
      </c>
      <c r="D185" s="42" t="str">
        <f t="shared" ca="1" si="21"/>
        <v/>
      </c>
      <c r="E185" s="32"/>
      <c r="F185" s="31"/>
      <c r="G185" s="41"/>
      <c r="H185" s="56">
        <v>2.5</v>
      </c>
      <c r="I185" s="43" t="str">
        <f t="shared" si="22"/>
        <v/>
      </c>
      <c r="J185" s="43" t="str">
        <f t="shared" si="23"/>
        <v/>
      </c>
      <c r="K185" s="33" t="str">
        <f>IF(B185="","Pending",IF(M185="","⚠️ Enter Code",IF(IFERROR(VLOOKUP(L185,DB_Agents!$B:$F,4,0),"")=TEXT(M185,"0"),"Pending Approval","🔒 WRONG CODE")))</f>
        <v>Pending</v>
      </c>
      <c r="L185" s="30" t="s">
        <v>56</v>
      </c>
      <c r="M185" s="41"/>
      <c r="N185" s="22"/>
    </row>
    <row r="186" spans="1:14" ht="20.100000000000001" customHeight="1" x14ac:dyDescent="0.25">
      <c r="A186" s="30" t="str">
        <f t="shared" si="20"/>
        <v/>
      </c>
      <c r="B186" s="41"/>
      <c r="C186" s="35" t="str">
        <f>IF(B186="","",IFERROR(VLOOKUP(B186,DB_Customers!$A:$B,2,0),"❌ Account Not Found"))</f>
        <v/>
      </c>
      <c r="D186" s="42" t="str">
        <f t="shared" ca="1" si="21"/>
        <v/>
      </c>
      <c r="E186" s="32"/>
      <c r="F186" s="31"/>
      <c r="G186" s="41"/>
      <c r="H186" s="56">
        <v>2.5</v>
      </c>
      <c r="I186" s="43" t="str">
        <f t="shared" si="22"/>
        <v/>
      </c>
      <c r="J186" s="43" t="str">
        <f t="shared" si="23"/>
        <v/>
      </c>
      <c r="K186" s="33" t="str">
        <f>IF(B186="","Pending",IF(M186="","⚠️ Enter Code",IF(IFERROR(VLOOKUP(L186,DB_Agents!$B:$F,4,0),"")=TEXT(M186,"0"),"Pending Approval","🔒 WRONG CODE")))</f>
        <v>Pending</v>
      </c>
      <c r="L186" s="30" t="s">
        <v>56</v>
      </c>
      <c r="M186" s="41"/>
      <c r="N186" s="57"/>
    </row>
    <row r="187" spans="1:14" ht="20.100000000000001" customHeight="1" x14ac:dyDescent="0.25">
      <c r="A187" s="30" t="str">
        <f t="shared" si="20"/>
        <v/>
      </c>
      <c r="B187" s="41"/>
      <c r="C187" s="35" t="str">
        <f>IF(B187="","",IFERROR(VLOOKUP(B187,DB_Customers!$A:$B,2,0),"❌ Account Not Found"))</f>
        <v/>
      </c>
      <c r="D187" s="42" t="str">
        <f t="shared" ca="1" si="21"/>
        <v/>
      </c>
      <c r="E187" s="32"/>
      <c r="F187" s="31"/>
      <c r="G187" s="41"/>
      <c r="H187" s="56">
        <v>2.5</v>
      </c>
      <c r="I187" s="43" t="str">
        <f t="shared" si="22"/>
        <v/>
      </c>
      <c r="J187" s="43" t="str">
        <f t="shared" si="23"/>
        <v/>
      </c>
      <c r="K187" s="33" t="str">
        <f>IF(B187="","Pending",IF(M187="","⚠️ Enter Code",IF(IFERROR(VLOOKUP(L187,DB_Agents!$B:$F,4,0),"")=TEXT(M187,"0"),"Pending Approval","🔒 WRONG CODE")))</f>
        <v>Pending</v>
      </c>
      <c r="L187" s="30" t="s">
        <v>56</v>
      </c>
      <c r="M187" s="41"/>
      <c r="N187" s="22"/>
    </row>
    <row r="188" spans="1:14" ht="20.100000000000001" customHeight="1" x14ac:dyDescent="0.25">
      <c r="A188" s="30" t="str">
        <f t="shared" si="20"/>
        <v/>
      </c>
      <c r="B188" s="41"/>
      <c r="C188" s="35" t="str">
        <f>IF(B188="","",IFERROR(VLOOKUP(B188,DB_Customers!$A:$B,2,0),"❌ Account Not Found"))</f>
        <v/>
      </c>
      <c r="D188" s="42" t="str">
        <f t="shared" ca="1" si="21"/>
        <v/>
      </c>
      <c r="E188" s="32"/>
      <c r="F188" s="31"/>
      <c r="G188" s="41"/>
      <c r="H188" s="56">
        <v>2.5</v>
      </c>
      <c r="I188" s="43" t="str">
        <f t="shared" si="22"/>
        <v/>
      </c>
      <c r="J188" s="43" t="str">
        <f t="shared" si="23"/>
        <v/>
      </c>
      <c r="K188" s="33" t="str">
        <f>IF(B188="","Pending",IF(M188="","⚠️ Enter Code",IF(IFERROR(VLOOKUP(L188,DB_Agents!$B:$F,4,0),"")=TEXT(M188,"0"),"Pending Approval","🔒 WRONG CODE")))</f>
        <v>Pending</v>
      </c>
      <c r="L188" s="30" t="s">
        <v>56</v>
      </c>
      <c r="M188" s="41"/>
      <c r="N188" s="57"/>
    </row>
    <row r="189" spans="1:14" ht="20.100000000000001" customHeight="1" x14ac:dyDescent="0.25">
      <c r="A189" s="30" t="str">
        <f t="shared" si="20"/>
        <v/>
      </c>
      <c r="B189" s="41"/>
      <c r="C189" s="35" t="str">
        <f>IF(B189="","",IFERROR(VLOOKUP(B189,DB_Customers!$A:$B,2,0),"❌ Account Not Found"))</f>
        <v/>
      </c>
      <c r="D189" s="42" t="str">
        <f t="shared" ca="1" si="21"/>
        <v/>
      </c>
      <c r="E189" s="32"/>
      <c r="F189" s="31"/>
      <c r="G189" s="41"/>
      <c r="H189" s="56">
        <v>2.5</v>
      </c>
      <c r="I189" s="43" t="str">
        <f t="shared" si="22"/>
        <v/>
      </c>
      <c r="J189" s="43" t="str">
        <f t="shared" si="23"/>
        <v/>
      </c>
      <c r="K189" s="33" t="str">
        <f>IF(B189="","Pending",IF(M189="","⚠️ Enter Code",IF(IFERROR(VLOOKUP(L189,DB_Agents!$B:$F,4,0),"")=TEXT(M189,"0"),"Pending Approval","🔒 WRONG CODE")))</f>
        <v>Pending</v>
      </c>
      <c r="L189" s="30" t="s">
        <v>56</v>
      </c>
      <c r="M189" s="41"/>
      <c r="N189" s="22"/>
    </row>
    <row r="190" spans="1:14" ht="20.100000000000001" customHeight="1" x14ac:dyDescent="0.25">
      <c r="A190" s="30" t="str">
        <f t="shared" si="20"/>
        <v/>
      </c>
      <c r="B190" s="41"/>
      <c r="C190" s="35" t="str">
        <f>IF(B190="","",IFERROR(VLOOKUP(B190,DB_Customers!$A:$B,2,0),"❌ Account Not Found"))</f>
        <v/>
      </c>
      <c r="D190" s="42" t="str">
        <f t="shared" ca="1" si="21"/>
        <v/>
      </c>
      <c r="E190" s="32"/>
      <c r="F190" s="31"/>
      <c r="G190" s="41"/>
      <c r="H190" s="56">
        <v>2.5</v>
      </c>
      <c r="I190" s="43" t="str">
        <f t="shared" si="22"/>
        <v/>
      </c>
      <c r="J190" s="43" t="str">
        <f t="shared" si="23"/>
        <v/>
      </c>
      <c r="K190" s="33" t="str">
        <f>IF(B190="","Pending",IF(M190="","⚠️ Enter Code",IF(IFERROR(VLOOKUP(L190,DB_Agents!$B:$F,4,0),"")=TEXT(M190,"0"),"Pending Approval","🔒 WRONG CODE")))</f>
        <v>Pending</v>
      </c>
      <c r="L190" s="30" t="s">
        <v>56</v>
      </c>
      <c r="M190" s="41"/>
      <c r="N190" s="57"/>
    </row>
    <row r="191" spans="1:14" ht="20.100000000000001" customHeight="1" x14ac:dyDescent="0.25">
      <c r="A191" s="30" t="str">
        <f t="shared" si="20"/>
        <v/>
      </c>
      <c r="B191" s="41"/>
      <c r="C191" s="35" t="str">
        <f>IF(B191="","",IFERROR(VLOOKUP(B191,DB_Customers!$A:$B,2,0),"❌ Account Not Found"))</f>
        <v/>
      </c>
      <c r="D191" s="42" t="str">
        <f t="shared" ca="1" si="21"/>
        <v/>
      </c>
      <c r="E191" s="32"/>
      <c r="F191" s="31"/>
      <c r="G191" s="41"/>
      <c r="H191" s="56">
        <v>2.5</v>
      </c>
      <c r="I191" s="43" t="str">
        <f t="shared" si="22"/>
        <v/>
      </c>
      <c r="J191" s="43" t="str">
        <f t="shared" si="23"/>
        <v/>
      </c>
      <c r="K191" s="33" t="str">
        <f>IF(B191="","Pending",IF(M191="","⚠️ Enter Code",IF(IFERROR(VLOOKUP(L191,DB_Agents!$B:$F,4,0),"")=TEXT(M191,"0"),"Pending Approval","🔒 WRONG CODE")))</f>
        <v>Pending</v>
      </c>
      <c r="L191" s="30" t="s">
        <v>56</v>
      </c>
      <c r="M191" s="41"/>
      <c r="N191" s="22"/>
    </row>
    <row r="192" spans="1:14" ht="20.100000000000001" customHeight="1" x14ac:dyDescent="0.25">
      <c r="A192" s="30" t="str">
        <f t="shared" si="20"/>
        <v/>
      </c>
      <c r="B192" s="41"/>
      <c r="C192" s="35" t="str">
        <f>IF(B192="","",IFERROR(VLOOKUP(B192,DB_Customers!$A:$B,2,0),"❌ Account Not Found"))</f>
        <v/>
      </c>
      <c r="D192" s="42" t="str">
        <f t="shared" ca="1" si="21"/>
        <v/>
      </c>
      <c r="E192" s="32"/>
      <c r="F192" s="31"/>
      <c r="G192" s="41"/>
      <c r="H192" s="56">
        <v>2.5</v>
      </c>
      <c r="I192" s="43" t="str">
        <f t="shared" si="22"/>
        <v/>
      </c>
      <c r="J192" s="43" t="str">
        <f t="shared" si="23"/>
        <v/>
      </c>
      <c r="K192" s="33" t="str">
        <f>IF(B192="","Pending",IF(M192="","⚠️ Enter Code",IF(IFERROR(VLOOKUP(L192,DB_Agents!$B:$F,4,0),"")=TEXT(M192,"0"),"Pending Approval","🔒 WRONG CODE")))</f>
        <v>Pending</v>
      </c>
      <c r="L192" s="30" t="s">
        <v>56</v>
      </c>
      <c r="M192" s="41"/>
      <c r="N192" s="57"/>
    </row>
    <row r="193" spans="1:14" ht="20.100000000000001" customHeight="1" x14ac:dyDescent="0.25">
      <c r="A193" s="30" t="str">
        <f t="shared" si="20"/>
        <v/>
      </c>
      <c r="B193" s="41"/>
      <c r="C193" s="35" t="str">
        <f>IF(B193="","",IFERROR(VLOOKUP(B193,DB_Customers!$A:$B,2,0),"❌ Account Not Found"))</f>
        <v/>
      </c>
      <c r="D193" s="42" t="str">
        <f t="shared" ca="1" si="21"/>
        <v/>
      </c>
      <c r="E193" s="32"/>
      <c r="F193" s="31"/>
      <c r="G193" s="41"/>
      <c r="H193" s="56">
        <v>2.5</v>
      </c>
      <c r="I193" s="43" t="str">
        <f t="shared" si="22"/>
        <v/>
      </c>
      <c r="J193" s="43" t="str">
        <f t="shared" si="23"/>
        <v/>
      </c>
      <c r="K193" s="33" t="str">
        <f>IF(B193="","Pending",IF(M193="","⚠️ Enter Code",IF(IFERROR(VLOOKUP(L193,DB_Agents!$B:$F,4,0),"")=TEXT(M193,"0"),"Pending Approval","🔒 WRONG CODE")))</f>
        <v>Pending</v>
      </c>
      <c r="L193" s="30" t="s">
        <v>56</v>
      </c>
      <c r="M193" s="41"/>
      <c r="N193" s="22"/>
    </row>
    <row r="194" spans="1:14" ht="20.100000000000001" customHeight="1" x14ac:dyDescent="0.25">
      <c r="A194" s="30" t="str">
        <f t="shared" si="20"/>
        <v/>
      </c>
      <c r="B194" s="41"/>
      <c r="C194" s="35" t="str">
        <f>IF(B194="","",IFERROR(VLOOKUP(B194,DB_Customers!$A:$B,2,0),"❌ Account Not Found"))</f>
        <v/>
      </c>
      <c r="D194" s="42" t="str">
        <f t="shared" ca="1" si="21"/>
        <v/>
      </c>
      <c r="E194" s="32"/>
      <c r="F194" s="31"/>
      <c r="G194" s="41"/>
      <c r="H194" s="56">
        <v>2.5</v>
      </c>
      <c r="I194" s="43" t="str">
        <f t="shared" si="22"/>
        <v/>
      </c>
      <c r="J194" s="43" t="str">
        <f t="shared" si="23"/>
        <v/>
      </c>
      <c r="K194" s="33" t="str">
        <f>IF(B194="","Pending",IF(M194="","⚠️ Enter Code",IF(IFERROR(VLOOKUP(L194,DB_Agents!$B:$F,4,0),"")=TEXT(M194,"0"),"Pending Approval","🔒 WRONG CODE")))</f>
        <v>Pending</v>
      </c>
      <c r="L194" s="30" t="s">
        <v>56</v>
      </c>
      <c r="M194" s="41"/>
      <c r="N194" s="57"/>
    </row>
    <row r="195" spans="1:14" ht="20.100000000000001" customHeight="1" x14ac:dyDescent="0.25">
      <c r="A195" s="30" t="str">
        <f t="shared" si="20"/>
        <v/>
      </c>
      <c r="B195" s="41"/>
      <c r="C195" s="35" t="str">
        <f>IF(B195="","",IFERROR(VLOOKUP(B195,DB_Customers!$A:$B,2,0),"❌ Account Not Found"))</f>
        <v/>
      </c>
      <c r="D195" s="42" t="str">
        <f t="shared" ca="1" si="21"/>
        <v/>
      </c>
      <c r="E195" s="32"/>
      <c r="F195" s="31"/>
      <c r="G195" s="41"/>
      <c r="H195" s="56">
        <v>2.5</v>
      </c>
      <c r="I195" s="43" t="str">
        <f t="shared" si="22"/>
        <v/>
      </c>
      <c r="J195" s="43" t="str">
        <f t="shared" si="23"/>
        <v/>
      </c>
      <c r="K195" s="33" t="str">
        <f>IF(B195="","Pending",IF(M195="","⚠️ Enter Code",IF(IFERROR(VLOOKUP(L195,DB_Agents!$B:$F,4,0),"")=TEXT(M195,"0"),"Pending Approval","🔒 WRONG CODE")))</f>
        <v>Pending</v>
      </c>
      <c r="L195" s="30" t="s">
        <v>56</v>
      </c>
      <c r="M195" s="41"/>
      <c r="N195" s="22"/>
    </row>
    <row r="196" spans="1:14" ht="20.100000000000001" customHeight="1" x14ac:dyDescent="0.25">
      <c r="A196" s="30" t="str">
        <f t="shared" si="20"/>
        <v/>
      </c>
      <c r="B196" s="41"/>
      <c r="C196" s="35" t="str">
        <f>IF(B196="","",IFERROR(VLOOKUP(B196,DB_Customers!$A:$B,2,0),"❌ Account Not Found"))</f>
        <v/>
      </c>
      <c r="D196" s="42" t="str">
        <f t="shared" ca="1" si="21"/>
        <v/>
      </c>
      <c r="E196" s="32"/>
      <c r="F196" s="31"/>
      <c r="G196" s="41"/>
      <c r="H196" s="56">
        <v>2.5</v>
      </c>
      <c r="I196" s="43" t="str">
        <f t="shared" si="22"/>
        <v/>
      </c>
      <c r="J196" s="43" t="str">
        <f t="shared" si="23"/>
        <v/>
      </c>
      <c r="K196" s="33" t="str">
        <f>IF(B196="","Pending",IF(M196="","⚠️ Enter Code",IF(IFERROR(VLOOKUP(L196,DB_Agents!$B:$F,4,0),"")=TEXT(M196,"0"),"Pending Approval","🔒 WRONG CODE")))</f>
        <v>Pending</v>
      </c>
      <c r="L196" s="30" t="s">
        <v>56</v>
      </c>
      <c r="M196" s="41"/>
      <c r="N196" s="57"/>
    </row>
    <row r="197" spans="1:14" ht="20.100000000000001" customHeight="1" x14ac:dyDescent="0.25">
      <c r="A197" s="30" t="str">
        <f t="shared" si="20"/>
        <v/>
      </c>
      <c r="B197" s="41"/>
      <c r="C197" s="35" t="str">
        <f>IF(B197="","",IFERROR(VLOOKUP(B197,DB_Customers!$A:$B,2,0),"❌ Account Not Found"))</f>
        <v/>
      </c>
      <c r="D197" s="42" t="str">
        <f t="shared" ca="1" si="21"/>
        <v/>
      </c>
      <c r="E197" s="32"/>
      <c r="F197" s="31"/>
      <c r="G197" s="41"/>
      <c r="H197" s="56">
        <v>2.5</v>
      </c>
      <c r="I197" s="43" t="str">
        <f t="shared" si="22"/>
        <v/>
      </c>
      <c r="J197" s="43" t="str">
        <f t="shared" si="23"/>
        <v/>
      </c>
      <c r="K197" s="33" t="str">
        <f>IF(B197="","Pending",IF(M197="","⚠️ Enter Code",IF(IFERROR(VLOOKUP(L197,DB_Agents!$B:$F,4,0),"")=TEXT(M197,"0"),"Pending Approval","🔒 WRONG CODE")))</f>
        <v>Pending</v>
      </c>
      <c r="L197" s="30" t="s">
        <v>56</v>
      </c>
      <c r="M197" s="41"/>
      <c r="N197" s="22"/>
    </row>
    <row r="198" spans="1:14" ht="20.100000000000001" customHeight="1" x14ac:dyDescent="0.25">
      <c r="A198" s="30" t="str">
        <f t="shared" si="20"/>
        <v/>
      </c>
      <c r="B198" s="41"/>
      <c r="C198" s="35" t="str">
        <f>IF(B198="","",IFERROR(VLOOKUP(B198,DB_Customers!$A:$B,2,0),"❌ Account Not Found"))</f>
        <v/>
      </c>
      <c r="D198" s="42" t="str">
        <f t="shared" ca="1" si="21"/>
        <v/>
      </c>
      <c r="E198" s="32"/>
      <c r="F198" s="31"/>
      <c r="G198" s="41"/>
      <c r="H198" s="56">
        <v>2.5</v>
      </c>
      <c r="I198" s="43" t="str">
        <f t="shared" si="22"/>
        <v/>
      </c>
      <c r="J198" s="43" t="str">
        <f t="shared" si="23"/>
        <v/>
      </c>
      <c r="K198" s="33" t="str">
        <f>IF(B198="","Pending",IF(M198="","⚠️ Enter Code",IF(IFERROR(VLOOKUP(L198,DB_Agents!$B:$F,4,0),"")=TEXT(M198,"0"),"Pending Approval","🔒 WRONG CODE")))</f>
        <v>Pending</v>
      </c>
      <c r="L198" s="30" t="s">
        <v>56</v>
      </c>
      <c r="M198" s="41"/>
      <c r="N198" s="57"/>
    </row>
    <row r="199" spans="1:14" ht="20.100000000000001" customHeight="1" x14ac:dyDescent="0.25">
      <c r="A199" s="30" t="str">
        <f t="shared" si="20"/>
        <v/>
      </c>
      <c r="B199" s="41"/>
      <c r="C199" s="35" t="str">
        <f>IF(B199="","",IFERROR(VLOOKUP(B199,DB_Customers!$A:$B,2,0),"❌ Account Not Found"))</f>
        <v/>
      </c>
      <c r="D199" s="42" t="str">
        <f t="shared" ca="1" si="21"/>
        <v/>
      </c>
      <c r="E199" s="32"/>
      <c r="F199" s="31"/>
      <c r="G199" s="41"/>
      <c r="H199" s="56">
        <v>2.5</v>
      </c>
      <c r="I199" s="43" t="str">
        <f t="shared" si="22"/>
        <v/>
      </c>
      <c r="J199" s="43" t="str">
        <f t="shared" si="23"/>
        <v/>
      </c>
      <c r="K199" s="33" t="str">
        <f>IF(B199="","Pending",IF(M199="","⚠️ Enter Code",IF(IFERROR(VLOOKUP(L199,DB_Agents!$B:$F,4,0),"")=TEXT(M199,"0"),"Pending Approval","🔒 WRONG CODE")))</f>
        <v>Pending</v>
      </c>
      <c r="L199" s="30" t="s">
        <v>56</v>
      </c>
      <c r="M199" s="41"/>
      <c r="N199" s="22"/>
    </row>
    <row r="200" spans="1:14" ht="20.100000000000001" customHeight="1" x14ac:dyDescent="0.25">
      <c r="A200" s="30" t="str">
        <f t="shared" si="20"/>
        <v/>
      </c>
      <c r="B200" s="41"/>
      <c r="C200" s="35" t="str">
        <f>IF(B200="","",IFERROR(VLOOKUP(B200,DB_Customers!$A:$B,2,0),"❌ Account Not Found"))</f>
        <v/>
      </c>
      <c r="D200" s="42" t="str">
        <f t="shared" ca="1" si="21"/>
        <v/>
      </c>
      <c r="E200" s="32"/>
      <c r="F200" s="31"/>
      <c r="G200" s="41"/>
      <c r="H200" s="56">
        <v>2.5</v>
      </c>
      <c r="I200" s="43" t="str">
        <f t="shared" si="22"/>
        <v/>
      </c>
      <c r="J200" s="43" t="str">
        <f t="shared" si="23"/>
        <v/>
      </c>
      <c r="K200" s="33" t="str">
        <f>IF(B200="","Pending",IF(M200="","⚠️ Enter Code",IF(IFERROR(VLOOKUP(L200,DB_Agents!$B:$F,4,0),"")=TEXT(M200,"0"),"Pending Approval","🔒 WRONG CODE")))</f>
        <v>Pending</v>
      </c>
      <c r="L200" s="30" t="s">
        <v>56</v>
      </c>
      <c r="M200" s="41"/>
      <c r="N200" s="57"/>
    </row>
    <row r="201" spans="1:14" ht="20.100000000000001" customHeight="1" x14ac:dyDescent="0.25">
      <c r="A201" s="30" t="str">
        <f t="shared" si="20"/>
        <v/>
      </c>
      <c r="B201" s="41"/>
      <c r="C201" s="35" t="str">
        <f>IF(B201="","",IFERROR(VLOOKUP(B201,DB_Customers!$A:$B,2,0),"❌ Account Not Found"))</f>
        <v/>
      </c>
      <c r="D201" s="42" t="str">
        <f t="shared" ca="1" si="21"/>
        <v/>
      </c>
      <c r="E201" s="32"/>
      <c r="F201" s="31"/>
      <c r="G201" s="41"/>
      <c r="H201" s="56">
        <v>2.5</v>
      </c>
      <c r="I201" s="43" t="str">
        <f t="shared" si="22"/>
        <v/>
      </c>
      <c r="J201" s="43" t="str">
        <f t="shared" si="23"/>
        <v/>
      </c>
      <c r="K201" s="33" t="str">
        <f>IF(B201="","Pending",IF(M201="","⚠️ Enter Code",IF(IFERROR(VLOOKUP(L201,DB_Agents!$B:$F,4,0),"")=TEXT(M201,"0"),"Pending Approval","🔒 WRONG CODE")))</f>
        <v>Pending</v>
      </c>
      <c r="L201" s="30" t="s">
        <v>56</v>
      </c>
      <c r="M201" s="41"/>
      <c r="N201" s="22"/>
    </row>
    <row r="202" spans="1:14" ht="20.100000000000001" customHeight="1" x14ac:dyDescent="0.25">
      <c r="A202" s="30" t="str">
        <f t="shared" si="20"/>
        <v/>
      </c>
      <c r="B202" s="41"/>
      <c r="C202" s="35" t="str">
        <f>IF(B202="","",IFERROR(VLOOKUP(B202,DB_Customers!$A:$B,2,0),"❌ Account Not Found"))</f>
        <v/>
      </c>
      <c r="D202" s="42" t="str">
        <f t="shared" ca="1" si="21"/>
        <v/>
      </c>
      <c r="E202" s="32"/>
      <c r="F202" s="31"/>
      <c r="G202" s="41"/>
      <c r="H202" s="56">
        <v>2.5</v>
      </c>
      <c r="I202" s="43" t="str">
        <f t="shared" si="22"/>
        <v/>
      </c>
      <c r="J202" s="43" t="str">
        <f t="shared" si="23"/>
        <v/>
      </c>
      <c r="K202" s="33" t="str">
        <f>IF(B202="","Pending",IF(M202="","⚠️ Enter Code",IF(IFERROR(VLOOKUP(L202,DB_Agents!$B:$F,4,0),"")=TEXT(M202,"0"),"Pending Approval","🔒 WRONG CODE")))</f>
        <v>Pending</v>
      </c>
      <c r="L202" s="30" t="s">
        <v>56</v>
      </c>
      <c r="M202" s="41"/>
      <c r="N202" s="57"/>
    </row>
    <row r="203" spans="1:14" ht="20.100000000000001" customHeight="1" x14ac:dyDescent="0.25">
      <c r="A203" s="30" t="str">
        <f t="shared" si="20"/>
        <v/>
      </c>
      <c r="B203" s="41"/>
      <c r="C203" s="35" t="str">
        <f>IF(B203="","",IFERROR(VLOOKUP(B203,DB_Customers!$A:$B,2,0),"❌ Account Not Found"))</f>
        <v/>
      </c>
      <c r="D203" s="42" t="str">
        <f t="shared" ca="1" si="21"/>
        <v/>
      </c>
      <c r="E203" s="32"/>
      <c r="F203" s="31"/>
      <c r="G203" s="41"/>
      <c r="H203" s="56">
        <v>2.5</v>
      </c>
      <c r="I203" s="43" t="str">
        <f t="shared" si="22"/>
        <v/>
      </c>
      <c r="J203" s="43" t="str">
        <f t="shared" si="23"/>
        <v/>
      </c>
      <c r="K203" s="33" t="str">
        <f>IF(B203="","Pending",IF(M203="","⚠️ Enter Code",IF(IFERROR(VLOOKUP(L203,DB_Agents!$B:$F,4,0),"")=TEXT(M203,"0"),"Pending Approval","🔒 WRONG CODE")))</f>
        <v>Pending</v>
      </c>
      <c r="L203" s="30" t="s">
        <v>56</v>
      </c>
      <c r="M203" s="41"/>
      <c r="N203" s="22"/>
    </row>
    <row r="204" spans="1:14" ht="20.100000000000001" customHeight="1" x14ac:dyDescent="0.25">
      <c r="A204" s="30" t="str">
        <f t="shared" si="20"/>
        <v/>
      </c>
      <c r="B204" s="41"/>
      <c r="C204" s="35" t="str">
        <f>IF(B204="","",IFERROR(VLOOKUP(B204,DB_Customers!$A:$B,2,0),"❌ Account Not Found"))</f>
        <v/>
      </c>
      <c r="D204" s="42" t="str">
        <f t="shared" ca="1" si="21"/>
        <v/>
      </c>
      <c r="E204" s="32"/>
      <c r="F204" s="31"/>
      <c r="G204" s="41"/>
      <c r="H204" s="56">
        <v>2.5</v>
      </c>
      <c r="I204" s="43" t="str">
        <f t="shared" si="22"/>
        <v/>
      </c>
      <c r="J204" s="43" t="str">
        <f t="shared" si="23"/>
        <v/>
      </c>
      <c r="K204" s="33" t="str">
        <f>IF(B204="","Pending",IF(M204="","⚠️ Enter Code",IF(IFERROR(VLOOKUP(L204,DB_Agents!$B:$F,4,0),"")=TEXT(M204,"0"),"Pending Approval","🔒 WRONG CODE")))</f>
        <v>Pending</v>
      </c>
      <c r="L204" s="30" t="s">
        <v>56</v>
      </c>
      <c r="M204" s="41"/>
      <c r="N204" s="57"/>
    </row>
    <row r="205" spans="1:14" ht="20.100000000000001" customHeight="1" x14ac:dyDescent="0.25">
      <c r="A205" s="30" t="str">
        <f t="shared" si="20"/>
        <v/>
      </c>
      <c r="B205" s="41"/>
      <c r="C205" s="35" t="str">
        <f>IF(B205="","",IFERROR(VLOOKUP(B205,DB_Customers!$A:$B,2,0),"❌ Account Not Found"))</f>
        <v/>
      </c>
      <c r="D205" s="42" t="str">
        <f t="shared" ca="1" si="21"/>
        <v/>
      </c>
      <c r="E205" s="32"/>
      <c r="F205" s="31"/>
      <c r="G205" s="41"/>
      <c r="H205" s="56">
        <v>2.5</v>
      </c>
      <c r="I205" s="43" t="str">
        <f t="shared" si="22"/>
        <v/>
      </c>
      <c r="J205" s="43" t="str">
        <f t="shared" si="23"/>
        <v/>
      </c>
      <c r="K205" s="33" t="str">
        <f>IF(B205="","Pending",IF(M205="","⚠️ Enter Code",IF(IFERROR(VLOOKUP(L205,DB_Agents!$B:$F,4,0),"")=TEXT(M205,"0"),"Pending Approval","🔒 WRONG CODE")))</f>
        <v>Pending</v>
      </c>
      <c r="L205" s="30" t="s">
        <v>56</v>
      </c>
      <c r="M205" s="41"/>
      <c r="N205" s="22"/>
    </row>
    <row r="206" spans="1:14" ht="20.100000000000001" customHeight="1" x14ac:dyDescent="0.25">
      <c r="A206" s="30" t="str">
        <f t="shared" ref="A206:A237" si="24">IF(B206="","",IF(C206="❌ Account Not Found","INVALID","LN"&amp;TEXT(D206,"YYYYMMDD")&amp;TEXT(ROW()-13,"0000")))</f>
        <v/>
      </c>
      <c r="B206" s="41"/>
      <c r="C206" s="35" t="str">
        <f>IF(B206="","",IFERROR(VLOOKUP(B206,DB_Customers!$A:$B,2,0),"❌ Account Not Found"))</f>
        <v/>
      </c>
      <c r="D206" s="42" t="str">
        <f t="shared" ref="D206:D213" ca="1" si="25">IF(B206="","",TODAY())</f>
        <v/>
      </c>
      <c r="E206" s="32"/>
      <c r="F206" s="31"/>
      <c r="G206" s="41"/>
      <c r="H206" s="56">
        <v>2.5</v>
      </c>
      <c r="I206" s="43" t="str">
        <f t="shared" ref="I206:I237" si="26">IF(E206="","",E206+(E206*H206/100*G206))</f>
        <v/>
      </c>
      <c r="J206" s="43" t="str">
        <f t="shared" ref="J206:J237" si="27">IFERROR(I206/G206,"")</f>
        <v/>
      </c>
      <c r="K206" s="33" t="str">
        <f>IF(B206="","Pending",IF(M206="","⚠️ Enter Code",IF(IFERROR(VLOOKUP(L206,DB_Agents!$B:$F,4,0),"")=TEXT(M206,"0"),"Pending Approval","🔒 WRONG CODE")))</f>
        <v>Pending</v>
      </c>
      <c r="L206" s="30" t="s">
        <v>56</v>
      </c>
      <c r="M206" s="41"/>
      <c r="N206" s="57"/>
    </row>
    <row r="207" spans="1:14" ht="20.100000000000001" customHeight="1" x14ac:dyDescent="0.25">
      <c r="A207" s="30" t="str">
        <f t="shared" si="24"/>
        <v/>
      </c>
      <c r="B207" s="41"/>
      <c r="C207" s="35" t="str">
        <f>IF(B207="","",IFERROR(VLOOKUP(B207,DB_Customers!$A:$B,2,0),"❌ Account Not Found"))</f>
        <v/>
      </c>
      <c r="D207" s="42" t="str">
        <f t="shared" ca="1" si="25"/>
        <v/>
      </c>
      <c r="E207" s="32"/>
      <c r="F207" s="31"/>
      <c r="G207" s="41"/>
      <c r="H207" s="56">
        <v>2.5</v>
      </c>
      <c r="I207" s="43" t="str">
        <f t="shared" si="26"/>
        <v/>
      </c>
      <c r="J207" s="43" t="str">
        <f t="shared" si="27"/>
        <v/>
      </c>
      <c r="K207" s="33" t="str">
        <f>IF(B207="","Pending",IF(M207="","⚠️ Enter Code",IF(IFERROR(VLOOKUP(L207,DB_Agents!$B:$F,4,0),"")=TEXT(M207,"0"),"Pending Approval","🔒 WRONG CODE")))</f>
        <v>Pending</v>
      </c>
      <c r="L207" s="30" t="s">
        <v>56</v>
      </c>
      <c r="M207" s="41"/>
      <c r="N207" s="22"/>
    </row>
    <row r="208" spans="1:14" ht="20.100000000000001" customHeight="1" x14ac:dyDescent="0.25">
      <c r="A208" s="30" t="str">
        <f t="shared" si="24"/>
        <v/>
      </c>
      <c r="B208" s="41"/>
      <c r="C208" s="35" t="str">
        <f>IF(B208="","",IFERROR(VLOOKUP(B208,DB_Customers!$A:$B,2,0),"❌ Account Not Found"))</f>
        <v/>
      </c>
      <c r="D208" s="42" t="str">
        <f t="shared" ca="1" si="25"/>
        <v/>
      </c>
      <c r="E208" s="32"/>
      <c r="F208" s="31"/>
      <c r="G208" s="41"/>
      <c r="H208" s="56">
        <v>2.5</v>
      </c>
      <c r="I208" s="43" t="str">
        <f t="shared" si="26"/>
        <v/>
      </c>
      <c r="J208" s="43" t="str">
        <f t="shared" si="27"/>
        <v/>
      </c>
      <c r="K208" s="33" t="str">
        <f>IF(B208="","Pending",IF(M208="","⚠️ Enter Code",IF(IFERROR(VLOOKUP(L208,DB_Agents!$B:$F,4,0),"")=TEXT(M208,"0"),"Pending Approval","🔒 WRONG CODE")))</f>
        <v>Pending</v>
      </c>
      <c r="L208" s="30" t="s">
        <v>56</v>
      </c>
      <c r="M208" s="41"/>
      <c r="N208" s="57"/>
    </row>
    <row r="209" spans="1:14" ht="20.100000000000001" customHeight="1" x14ac:dyDescent="0.25">
      <c r="A209" s="30" t="str">
        <f t="shared" si="24"/>
        <v/>
      </c>
      <c r="B209" s="41"/>
      <c r="C209" s="35" t="str">
        <f>IF(B209="","",IFERROR(VLOOKUP(B209,DB_Customers!$A:$B,2,0),"❌ Account Not Found"))</f>
        <v/>
      </c>
      <c r="D209" s="42" t="str">
        <f t="shared" ca="1" si="25"/>
        <v/>
      </c>
      <c r="E209" s="32"/>
      <c r="F209" s="31"/>
      <c r="G209" s="41"/>
      <c r="H209" s="56">
        <v>2.5</v>
      </c>
      <c r="I209" s="43" t="str">
        <f t="shared" si="26"/>
        <v/>
      </c>
      <c r="J209" s="43" t="str">
        <f t="shared" si="27"/>
        <v/>
      </c>
      <c r="K209" s="33" t="str">
        <f>IF(B209="","Pending",IF(M209="","⚠️ Enter Code",IF(IFERROR(VLOOKUP(L209,DB_Agents!$B:$F,4,0),"")=TEXT(M209,"0"),"Pending Approval","🔒 WRONG CODE")))</f>
        <v>Pending</v>
      </c>
      <c r="L209" s="30" t="s">
        <v>56</v>
      </c>
      <c r="M209" s="41"/>
      <c r="N209" s="22"/>
    </row>
    <row r="210" spans="1:14" ht="20.100000000000001" customHeight="1" x14ac:dyDescent="0.25">
      <c r="A210" s="30" t="str">
        <f t="shared" si="24"/>
        <v/>
      </c>
      <c r="B210" s="41"/>
      <c r="C210" s="35" t="str">
        <f>IF(B210="","",IFERROR(VLOOKUP(B210,DB_Customers!$A:$B,2,0),"❌ Account Not Found"))</f>
        <v/>
      </c>
      <c r="D210" s="42" t="str">
        <f t="shared" ca="1" si="25"/>
        <v/>
      </c>
      <c r="E210" s="32"/>
      <c r="F210" s="31"/>
      <c r="G210" s="41"/>
      <c r="H210" s="56">
        <v>2.5</v>
      </c>
      <c r="I210" s="43" t="str">
        <f t="shared" si="26"/>
        <v/>
      </c>
      <c r="J210" s="43" t="str">
        <f t="shared" si="27"/>
        <v/>
      </c>
      <c r="K210" s="33" t="str">
        <f>IF(B210="","Pending",IF(M210="","⚠️ Enter Code",IF(IFERROR(VLOOKUP(L210,DB_Agents!$B:$F,4,0),"")=TEXT(M210,"0"),"Pending Approval","🔒 WRONG CODE")))</f>
        <v>Pending</v>
      </c>
      <c r="L210" s="30" t="s">
        <v>56</v>
      </c>
      <c r="M210" s="41"/>
      <c r="N210" s="57"/>
    </row>
    <row r="211" spans="1:14" ht="20.100000000000001" customHeight="1" x14ac:dyDescent="0.25">
      <c r="A211" s="30" t="str">
        <f t="shared" si="24"/>
        <v/>
      </c>
      <c r="B211" s="41"/>
      <c r="C211" s="35" t="str">
        <f>IF(B211="","",IFERROR(VLOOKUP(B211,DB_Customers!$A:$B,2,0),"❌ Account Not Found"))</f>
        <v/>
      </c>
      <c r="D211" s="42" t="str">
        <f t="shared" ca="1" si="25"/>
        <v/>
      </c>
      <c r="E211" s="32"/>
      <c r="F211" s="31"/>
      <c r="G211" s="41"/>
      <c r="H211" s="56">
        <v>2.5</v>
      </c>
      <c r="I211" s="43" t="str">
        <f t="shared" si="26"/>
        <v/>
      </c>
      <c r="J211" s="43" t="str">
        <f t="shared" si="27"/>
        <v/>
      </c>
      <c r="K211" s="33" t="str">
        <f>IF(B211="","Pending",IF(M211="","⚠️ Enter Code",IF(IFERROR(VLOOKUP(L211,DB_Agents!$B:$F,4,0),"")=TEXT(M211,"0"),"Pending Approval","🔒 WRONG CODE")))</f>
        <v>Pending</v>
      </c>
      <c r="L211" s="30" t="s">
        <v>56</v>
      </c>
      <c r="M211" s="41"/>
      <c r="N211" s="22"/>
    </row>
    <row r="212" spans="1:14" ht="20.100000000000001" customHeight="1" x14ac:dyDescent="0.25">
      <c r="A212" s="30" t="str">
        <f t="shared" si="24"/>
        <v/>
      </c>
      <c r="B212" s="41"/>
      <c r="C212" s="35" t="str">
        <f>IF(B212="","",IFERROR(VLOOKUP(B212,DB_Customers!$A:$B,2,0),"❌ Account Not Found"))</f>
        <v/>
      </c>
      <c r="D212" s="42" t="str">
        <f t="shared" ca="1" si="25"/>
        <v/>
      </c>
      <c r="E212" s="32"/>
      <c r="F212" s="31"/>
      <c r="G212" s="41"/>
      <c r="H212" s="56">
        <v>2.5</v>
      </c>
      <c r="I212" s="43" t="str">
        <f t="shared" si="26"/>
        <v/>
      </c>
      <c r="J212" s="43" t="str">
        <f t="shared" si="27"/>
        <v/>
      </c>
      <c r="K212" s="33" t="str">
        <f>IF(B212="","Pending",IF(M212="","⚠️ Enter Code",IF(IFERROR(VLOOKUP(L212,DB_Agents!$B:$F,4,0),"")=TEXT(M212,"0"),"Pending Approval","🔒 WRONG CODE")))</f>
        <v>Pending</v>
      </c>
      <c r="L212" s="30" t="s">
        <v>56</v>
      </c>
      <c r="M212" s="41"/>
      <c r="N212" s="57"/>
    </row>
    <row r="213" spans="1:14" ht="20.100000000000001" customHeight="1" x14ac:dyDescent="0.25">
      <c r="A213" s="30" t="str">
        <f t="shared" si="24"/>
        <v/>
      </c>
      <c r="B213" s="41"/>
      <c r="C213" s="35" t="str">
        <f>IF(B213="","",IFERROR(VLOOKUP(B213,DB_Customers!$A:$B,2,0),"❌ Account Not Found"))</f>
        <v/>
      </c>
      <c r="D213" s="42" t="str">
        <f t="shared" ca="1" si="25"/>
        <v/>
      </c>
      <c r="E213" s="32"/>
      <c r="F213" s="31"/>
      <c r="G213" s="41"/>
      <c r="H213" s="56">
        <v>2.5</v>
      </c>
      <c r="I213" s="43" t="str">
        <f t="shared" si="26"/>
        <v/>
      </c>
      <c r="J213" s="43" t="str">
        <f t="shared" si="27"/>
        <v/>
      </c>
      <c r="K213" s="33" t="str">
        <f>IF(B213="","Pending",IF(M213="","⚠️ Enter Code",IF(IFERROR(VLOOKUP(L213,DB_Agents!$B:$F,4,0),"")=TEXT(M213,"0"),"Pending Approval","🔒 WRONG CODE")))</f>
        <v>Pending</v>
      </c>
      <c r="L213" s="30" t="s">
        <v>56</v>
      </c>
      <c r="M213" s="41"/>
      <c r="N213" s="22"/>
    </row>
  </sheetData>
  <mergeCells count="3">
    <mergeCell ref="A12:N12"/>
    <mergeCell ref="A2:N2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2.1" customHeight="1" x14ac:dyDescent="0.25">
      <c r="A1" s="93" t="s">
        <v>174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1.95" customHeight="1" x14ac:dyDescent="0.25">
      <c r="A2" s="97" t="s">
        <v>175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20.100000000000001" customHeight="1" x14ac:dyDescent="0.25">
      <c r="A3" s="44" t="s">
        <v>126</v>
      </c>
      <c r="D3" s="44" t="s">
        <v>127</v>
      </c>
      <c r="G3" s="44" t="s">
        <v>128</v>
      </c>
    </row>
    <row r="4" spans="1:11" ht="24" customHeight="1" x14ac:dyDescent="0.25">
      <c r="A4" s="45">
        <f ca="1">IFERROR(SUMIFS(DB_Savings!$F:$F,DB_Savings!$D:$D,"Agent 04",DB_Savings!$E:$E,TODAY()),0)</f>
        <v>0</v>
      </c>
      <c r="D4" s="45">
        <f ca="1">IFERROR(COUNTIFS(DB_Savings!$D:$D,"Agent 04",DB_Savings!$E:$E,TODAY()),0)</f>
        <v>0</v>
      </c>
      <c r="G4" s="45" t="str">
        <f ca="1">TEXT(TODAY(),"DDDD, DD MMMM YYYY")</f>
        <v>Saturday, 25 April 2026</v>
      </c>
    </row>
    <row r="6" spans="1:11" ht="26.1" customHeight="1" x14ac:dyDescent="0.25">
      <c r="A6" s="97" t="s">
        <v>129</v>
      </c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ht="21.95" customHeight="1" x14ac:dyDescent="0.25">
      <c r="A7" s="90" t="s">
        <v>176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spans="1:11" ht="30" customHeight="1" x14ac:dyDescent="0.25">
      <c r="A8" s="19" t="s">
        <v>131</v>
      </c>
      <c r="B8" s="19" t="s">
        <v>69</v>
      </c>
      <c r="C8" s="19" t="s">
        <v>84</v>
      </c>
      <c r="D8" s="19" t="s">
        <v>91</v>
      </c>
      <c r="E8" s="19" t="s">
        <v>132</v>
      </c>
      <c r="F8" s="19" t="s">
        <v>133</v>
      </c>
      <c r="G8" s="19" t="s">
        <v>45</v>
      </c>
      <c r="H8" s="19" t="s">
        <v>134</v>
      </c>
      <c r="I8" s="19" t="s">
        <v>77</v>
      </c>
      <c r="J8" s="19" t="s">
        <v>135</v>
      </c>
      <c r="K8" s="19" t="s">
        <v>95</v>
      </c>
    </row>
    <row r="9" spans="1:11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IF(A9="","",IFERROR(VLOOKUP(A9,DB_Customers!$A:$M,13,0),""))</f>
        <v/>
      </c>
      <c r="D9" s="42" t="str">
        <f t="shared" ref="D9:D40" ca="1" si="0">IF(A9="","",TODAY())</f>
        <v/>
      </c>
      <c r="E9" s="32"/>
      <c r="F9" s="43" t="str">
        <f t="shared" ref="F9:F40" si="1">IFERROR(IF(OR(A9="",E9=""),"",C9+E9),"")</f>
        <v/>
      </c>
      <c r="G9" s="30" t="s">
        <v>57</v>
      </c>
      <c r="H9" s="41"/>
      <c r="I9" s="33" t="str">
        <f>IF(A9="","",IF(H9="","⚠️ Enter Agent Code",IF(IFERROR(VLOOKUP(G9,DB_Agents!$B:$F,4,0),"")=TEXT(H9,"0"),IF(AND(A9&lt;&gt;"",E9&lt;&gt;""),"✅ Saved","Pending"),"🔒 WRONG CODE")))</f>
        <v/>
      </c>
      <c r="J9" s="33" t="str">
        <f t="shared" ref="J9:J40" ca="1" si="2">IF(I9="✅ Saved",TEXT(TODAY(),"YYYY-MM-DD")&amp;" Auto","—")</f>
        <v>—</v>
      </c>
      <c r="K9" s="22"/>
    </row>
    <row r="10" spans="1:11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IF(A10="","",IFERROR(VLOOKUP(A10,DB_Customers!$A:$M,13,0),""))</f>
        <v/>
      </c>
      <c r="D10" s="42" t="str">
        <f t="shared" ca="1" si="0"/>
        <v/>
      </c>
      <c r="E10" s="32"/>
      <c r="F10" s="43" t="str">
        <f t="shared" si="1"/>
        <v/>
      </c>
      <c r="G10" s="30" t="s">
        <v>57</v>
      </c>
      <c r="H10" s="41"/>
      <c r="I10" s="33" t="str">
        <f>IF(A10="","",IF(H10="","⚠️ Enter Agent Code",IF(IFERROR(VLOOKUP(G10,DB_Agents!$B:$F,4,0),"")=TEXT(H10,"0"),IF(AND(A10&lt;&gt;"",E10&lt;&gt;""),"✅ Saved","Pending"),"🔒 WRONG CODE")))</f>
        <v/>
      </c>
      <c r="J10" s="33" t="str">
        <f t="shared" ca="1" si="2"/>
        <v>—</v>
      </c>
      <c r="K10" s="46"/>
    </row>
    <row r="11" spans="1:11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IF(A11="","",IFERROR(VLOOKUP(A11,DB_Customers!$A:$M,13,0),""))</f>
        <v/>
      </c>
      <c r="D11" s="42" t="str">
        <f t="shared" ca="1" si="0"/>
        <v/>
      </c>
      <c r="E11" s="32"/>
      <c r="F11" s="43" t="str">
        <f t="shared" si="1"/>
        <v/>
      </c>
      <c r="G11" s="30" t="s">
        <v>57</v>
      </c>
      <c r="H11" s="41"/>
      <c r="I11" s="33" t="str">
        <f>IF(A11="","",IF(H11="","⚠️ Enter Agent Code",IF(IFERROR(VLOOKUP(G11,DB_Agents!$B:$F,4,0),"")=TEXT(H11,"0"),IF(AND(A11&lt;&gt;"",E11&lt;&gt;""),"✅ Saved","Pending"),"🔒 WRONG CODE")))</f>
        <v/>
      </c>
      <c r="J11" s="33" t="str">
        <f t="shared" ca="1" si="2"/>
        <v>—</v>
      </c>
      <c r="K11" s="22"/>
    </row>
    <row r="12" spans="1:11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IF(A12="","",IFERROR(VLOOKUP(A12,DB_Customers!$A:$M,13,0),""))</f>
        <v/>
      </c>
      <c r="D12" s="42" t="str">
        <f t="shared" ca="1" si="0"/>
        <v/>
      </c>
      <c r="E12" s="32"/>
      <c r="F12" s="43" t="str">
        <f t="shared" si="1"/>
        <v/>
      </c>
      <c r="G12" s="30" t="s">
        <v>57</v>
      </c>
      <c r="H12" s="41"/>
      <c r="I12" s="33" t="str">
        <f>IF(A12="","",IF(H12="","⚠️ Enter Agent Code",IF(IFERROR(VLOOKUP(G12,DB_Agents!$B:$F,4,0),"")=TEXT(H12,"0"),IF(AND(A12&lt;&gt;"",E12&lt;&gt;""),"✅ Saved","Pending"),"🔒 WRONG CODE")))</f>
        <v/>
      </c>
      <c r="J12" s="33" t="str">
        <f t="shared" ca="1" si="2"/>
        <v>—</v>
      </c>
      <c r="K12" s="46"/>
    </row>
    <row r="13" spans="1:11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IF(A13="","",IFERROR(VLOOKUP(A13,DB_Customers!$A:$M,13,0),""))</f>
        <v/>
      </c>
      <c r="D13" s="42" t="str">
        <f t="shared" ca="1" si="0"/>
        <v/>
      </c>
      <c r="E13" s="32"/>
      <c r="F13" s="43" t="str">
        <f t="shared" si="1"/>
        <v/>
      </c>
      <c r="G13" s="30" t="s">
        <v>57</v>
      </c>
      <c r="H13" s="41"/>
      <c r="I13" s="33" t="str">
        <f>IF(A13="","",IF(H13="","⚠️ Enter Agent Code",IF(IFERROR(VLOOKUP(G13,DB_Agents!$B:$F,4,0),"")=TEXT(H13,"0"),IF(AND(A13&lt;&gt;"",E13&lt;&gt;""),"✅ Saved","Pending"),"🔒 WRONG CODE")))</f>
        <v/>
      </c>
      <c r="J13" s="33" t="str">
        <f t="shared" ca="1" si="2"/>
        <v>—</v>
      </c>
      <c r="K13" s="22"/>
    </row>
    <row r="14" spans="1:11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IF(A14="","",IFERROR(VLOOKUP(A14,DB_Customers!$A:$M,13,0),""))</f>
        <v/>
      </c>
      <c r="D14" s="42" t="str">
        <f t="shared" ca="1" si="0"/>
        <v/>
      </c>
      <c r="E14" s="32"/>
      <c r="F14" s="43" t="str">
        <f t="shared" si="1"/>
        <v/>
      </c>
      <c r="G14" s="30" t="s">
        <v>57</v>
      </c>
      <c r="H14" s="41"/>
      <c r="I14" s="33" t="str">
        <f>IF(A14="","",IF(H14="","⚠️ Enter Agent Code",IF(IFERROR(VLOOKUP(G14,DB_Agents!$B:$F,4,0),"")=TEXT(H14,"0"),IF(AND(A14&lt;&gt;"",E14&lt;&gt;""),"✅ Saved","Pending"),"🔒 WRONG CODE")))</f>
        <v/>
      </c>
      <c r="J14" s="33" t="str">
        <f t="shared" ca="1" si="2"/>
        <v>—</v>
      </c>
      <c r="K14" s="46"/>
    </row>
    <row r="15" spans="1:11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IF(A15="","",IFERROR(VLOOKUP(A15,DB_Customers!$A:$M,13,0),""))</f>
        <v/>
      </c>
      <c r="D15" s="42" t="str">
        <f t="shared" ca="1" si="0"/>
        <v/>
      </c>
      <c r="E15" s="32"/>
      <c r="F15" s="43" t="str">
        <f t="shared" si="1"/>
        <v/>
      </c>
      <c r="G15" s="30" t="s">
        <v>57</v>
      </c>
      <c r="H15" s="41"/>
      <c r="I15" s="33" t="str">
        <f>IF(A15="","",IF(H15="","⚠️ Enter Agent Code",IF(IFERROR(VLOOKUP(G15,DB_Agents!$B:$F,4,0),"")=TEXT(H15,"0"),IF(AND(A15&lt;&gt;"",E15&lt;&gt;""),"✅ Saved","Pending"),"🔒 WRONG CODE")))</f>
        <v/>
      </c>
      <c r="J15" s="33" t="str">
        <f t="shared" ca="1" si="2"/>
        <v>—</v>
      </c>
      <c r="K15" s="22"/>
    </row>
    <row r="16" spans="1:11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IF(A16="","",IFERROR(VLOOKUP(A16,DB_Customers!$A:$M,13,0),""))</f>
        <v/>
      </c>
      <c r="D16" s="42" t="str">
        <f t="shared" ca="1" si="0"/>
        <v/>
      </c>
      <c r="E16" s="32"/>
      <c r="F16" s="43" t="str">
        <f t="shared" si="1"/>
        <v/>
      </c>
      <c r="G16" s="30" t="s">
        <v>57</v>
      </c>
      <c r="H16" s="41"/>
      <c r="I16" s="33" t="str">
        <f>IF(A16="","",IF(H16="","⚠️ Enter Agent Code",IF(IFERROR(VLOOKUP(G16,DB_Agents!$B:$F,4,0),"")=TEXT(H16,"0"),IF(AND(A16&lt;&gt;"",E16&lt;&gt;""),"✅ Saved","Pending"),"🔒 WRONG CODE")))</f>
        <v/>
      </c>
      <c r="J16" s="33" t="str">
        <f t="shared" ca="1" si="2"/>
        <v>—</v>
      </c>
      <c r="K16" s="46"/>
    </row>
    <row r="17" spans="1:11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IF(A17="","",IFERROR(VLOOKUP(A17,DB_Customers!$A:$M,13,0),""))</f>
        <v/>
      </c>
      <c r="D17" s="42" t="str">
        <f t="shared" ca="1" si="0"/>
        <v/>
      </c>
      <c r="E17" s="32"/>
      <c r="F17" s="43" t="str">
        <f t="shared" si="1"/>
        <v/>
      </c>
      <c r="G17" s="30" t="s">
        <v>57</v>
      </c>
      <c r="H17" s="41"/>
      <c r="I17" s="33" t="str">
        <f>IF(A17="","",IF(H17="","⚠️ Enter Agent Code",IF(IFERROR(VLOOKUP(G17,DB_Agents!$B:$F,4,0),"")=TEXT(H17,"0"),IF(AND(A17&lt;&gt;"",E17&lt;&gt;""),"✅ Saved","Pending"),"🔒 WRONG CODE")))</f>
        <v/>
      </c>
      <c r="J17" s="33" t="str">
        <f t="shared" ca="1" si="2"/>
        <v>—</v>
      </c>
      <c r="K17" s="22"/>
    </row>
    <row r="18" spans="1:11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IF(A18="","",IFERROR(VLOOKUP(A18,DB_Customers!$A:$M,13,0),""))</f>
        <v/>
      </c>
      <c r="D18" s="42" t="str">
        <f t="shared" ca="1" si="0"/>
        <v/>
      </c>
      <c r="E18" s="32"/>
      <c r="F18" s="43" t="str">
        <f t="shared" si="1"/>
        <v/>
      </c>
      <c r="G18" s="30" t="s">
        <v>57</v>
      </c>
      <c r="H18" s="41"/>
      <c r="I18" s="33" t="str">
        <f>IF(A18="","",IF(H18="","⚠️ Enter Agent Code",IF(IFERROR(VLOOKUP(G18,DB_Agents!$B:$F,4,0),"")=TEXT(H18,"0"),IF(AND(A18&lt;&gt;"",E18&lt;&gt;""),"✅ Saved","Pending"),"🔒 WRONG CODE")))</f>
        <v/>
      </c>
      <c r="J18" s="33" t="str">
        <f t="shared" ca="1" si="2"/>
        <v>—</v>
      </c>
      <c r="K18" s="46"/>
    </row>
    <row r="19" spans="1:11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IF(A19="","",IFERROR(VLOOKUP(A19,DB_Customers!$A:$M,13,0),""))</f>
        <v/>
      </c>
      <c r="D19" s="42" t="str">
        <f t="shared" ca="1" si="0"/>
        <v/>
      </c>
      <c r="E19" s="32"/>
      <c r="F19" s="43" t="str">
        <f t="shared" si="1"/>
        <v/>
      </c>
      <c r="G19" s="30" t="s">
        <v>57</v>
      </c>
      <c r="H19" s="41"/>
      <c r="I19" s="33" t="str">
        <f>IF(A19="","",IF(H19="","⚠️ Enter Agent Code",IF(IFERROR(VLOOKUP(G19,DB_Agents!$B:$F,4,0),"")=TEXT(H19,"0"),IF(AND(A19&lt;&gt;"",E19&lt;&gt;""),"✅ Saved","Pending"),"🔒 WRONG CODE")))</f>
        <v/>
      </c>
      <c r="J19" s="33" t="str">
        <f t="shared" ca="1" si="2"/>
        <v>—</v>
      </c>
      <c r="K19" s="22"/>
    </row>
    <row r="20" spans="1:11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IF(A20="","",IFERROR(VLOOKUP(A20,DB_Customers!$A:$M,13,0),""))</f>
        <v/>
      </c>
      <c r="D20" s="42" t="str">
        <f t="shared" ca="1" si="0"/>
        <v/>
      </c>
      <c r="E20" s="32"/>
      <c r="F20" s="43" t="str">
        <f t="shared" si="1"/>
        <v/>
      </c>
      <c r="G20" s="30" t="s">
        <v>57</v>
      </c>
      <c r="H20" s="41"/>
      <c r="I20" s="33" t="str">
        <f>IF(A20="","",IF(H20="","⚠️ Enter Agent Code",IF(IFERROR(VLOOKUP(G20,DB_Agents!$B:$F,4,0),"")=TEXT(H20,"0"),IF(AND(A20&lt;&gt;"",E20&lt;&gt;""),"✅ Saved","Pending"),"🔒 WRONG CODE")))</f>
        <v/>
      </c>
      <c r="J20" s="33" t="str">
        <f t="shared" ca="1" si="2"/>
        <v>—</v>
      </c>
      <c r="K20" s="46"/>
    </row>
    <row r="21" spans="1:11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IF(A21="","",IFERROR(VLOOKUP(A21,DB_Customers!$A:$M,13,0),""))</f>
        <v/>
      </c>
      <c r="D21" s="42" t="str">
        <f t="shared" ca="1" si="0"/>
        <v/>
      </c>
      <c r="E21" s="32"/>
      <c r="F21" s="43" t="str">
        <f t="shared" si="1"/>
        <v/>
      </c>
      <c r="G21" s="30" t="s">
        <v>57</v>
      </c>
      <c r="H21" s="41"/>
      <c r="I21" s="33" t="str">
        <f>IF(A21="","",IF(H21="","⚠️ Enter Agent Code",IF(IFERROR(VLOOKUP(G21,DB_Agents!$B:$F,4,0),"")=TEXT(H21,"0"),IF(AND(A21&lt;&gt;"",E21&lt;&gt;""),"✅ Saved","Pending"),"🔒 WRONG CODE")))</f>
        <v/>
      </c>
      <c r="J21" s="33" t="str">
        <f t="shared" ca="1" si="2"/>
        <v>—</v>
      </c>
      <c r="K21" s="22"/>
    </row>
    <row r="22" spans="1:11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IF(A22="","",IFERROR(VLOOKUP(A22,DB_Customers!$A:$M,13,0),""))</f>
        <v/>
      </c>
      <c r="D22" s="42" t="str">
        <f t="shared" ca="1" si="0"/>
        <v/>
      </c>
      <c r="E22" s="32"/>
      <c r="F22" s="43" t="str">
        <f t="shared" si="1"/>
        <v/>
      </c>
      <c r="G22" s="30" t="s">
        <v>57</v>
      </c>
      <c r="H22" s="41"/>
      <c r="I22" s="33" t="str">
        <f>IF(A22="","",IF(H22="","⚠️ Enter Agent Code",IF(IFERROR(VLOOKUP(G22,DB_Agents!$B:$F,4,0),"")=TEXT(H22,"0"),IF(AND(A22&lt;&gt;"",E22&lt;&gt;""),"✅ Saved","Pending"),"🔒 WRONG CODE")))</f>
        <v/>
      </c>
      <c r="J22" s="33" t="str">
        <f t="shared" ca="1" si="2"/>
        <v>—</v>
      </c>
      <c r="K22" s="46"/>
    </row>
    <row r="23" spans="1:11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IF(A23="","",IFERROR(VLOOKUP(A23,DB_Customers!$A:$M,13,0),""))</f>
        <v/>
      </c>
      <c r="D23" s="42" t="str">
        <f t="shared" ca="1" si="0"/>
        <v/>
      </c>
      <c r="E23" s="32"/>
      <c r="F23" s="43" t="str">
        <f t="shared" si="1"/>
        <v/>
      </c>
      <c r="G23" s="30" t="s">
        <v>57</v>
      </c>
      <c r="H23" s="41"/>
      <c r="I23" s="33" t="str">
        <f>IF(A23="","",IF(H23="","⚠️ Enter Agent Code",IF(IFERROR(VLOOKUP(G23,DB_Agents!$B:$F,4,0),"")=TEXT(H23,"0"),IF(AND(A23&lt;&gt;"",E23&lt;&gt;""),"✅ Saved","Pending"),"🔒 WRONG CODE")))</f>
        <v/>
      </c>
      <c r="J23" s="33" t="str">
        <f t="shared" ca="1" si="2"/>
        <v>—</v>
      </c>
      <c r="K23" s="22"/>
    </row>
    <row r="24" spans="1:11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IF(A24="","",IFERROR(VLOOKUP(A24,DB_Customers!$A:$M,13,0),""))</f>
        <v/>
      </c>
      <c r="D24" s="42" t="str">
        <f t="shared" ca="1" si="0"/>
        <v/>
      </c>
      <c r="E24" s="32"/>
      <c r="F24" s="43" t="str">
        <f t="shared" si="1"/>
        <v/>
      </c>
      <c r="G24" s="30" t="s">
        <v>57</v>
      </c>
      <c r="H24" s="41"/>
      <c r="I24" s="33" t="str">
        <f>IF(A24="","",IF(H24="","⚠️ Enter Agent Code",IF(IFERROR(VLOOKUP(G24,DB_Agents!$B:$F,4,0),"")=TEXT(H24,"0"),IF(AND(A24&lt;&gt;"",E24&lt;&gt;""),"✅ Saved","Pending"),"🔒 WRONG CODE")))</f>
        <v/>
      </c>
      <c r="J24" s="33" t="str">
        <f t="shared" ca="1" si="2"/>
        <v>—</v>
      </c>
      <c r="K24" s="46"/>
    </row>
    <row r="25" spans="1:11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IF(A25="","",IFERROR(VLOOKUP(A25,DB_Customers!$A:$M,13,0),""))</f>
        <v/>
      </c>
      <c r="D25" s="42" t="str">
        <f t="shared" ca="1" si="0"/>
        <v/>
      </c>
      <c r="E25" s="32"/>
      <c r="F25" s="43" t="str">
        <f t="shared" si="1"/>
        <v/>
      </c>
      <c r="G25" s="30" t="s">
        <v>57</v>
      </c>
      <c r="H25" s="41"/>
      <c r="I25" s="33" t="str">
        <f>IF(A25="","",IF(H25="","⚠️ Enter Agent Code",IF(IFERROR(VLOOKUP(G25,DB_Agents!$B:$F,4,0),"")=TEXT(H25,"0"),IF(AND(A25&lt;&gt;"",E25&lt;&gt;""),"✅ Saved","Pending"),"🔒 WRONG CODE")))</f>
        <v/>
      </c>
      <c r="J25" s="33" t="str">
        <f t="shared" ca="1" si="2"/>
        <v>—</v>
      </c>
      <c r="K25" s="22"/>
    </row>
    <row r="26" spans="1:11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IF(A26="","",IFERROR(VLOOKUP(A26,DB_Customers!$A:$M,13,0),""))</f>
        <v/>
      </c>
      <c r="D26" s="42" t="str">
        <f t="shared" ca="1" si="0"/>
        <v/>
      </c>
      <c r="E26" s="32"/>
      <c r="F26" s="43" t="str">
        <f t="shared" si="1"/>
        <v/>
      </c>
      <c r="G26" s="30" t="s">
        <v>57</v>
      </c>
      <c r="H26" s="41"/>
      <c r="I26" s="33" t="str">
        <f>IF(A26="","",IF(H26="","⚠️ Enter Agent Code",IF(IFERROR(VLOOKUP(G26,DB_Agents!$B:$F,4,0),"")=TEXT(H26,"0"),IF(AND(A26&lt;&gt;"",E26&lt;&gt;""),"✅ Saved","Pending"),"🔒 WRONG CODE")))</f>
        <v/>
      </c>
      <c r="J26" s="33" t="str">
        <f t="shared" ca="1" si="2"/>
        <v>—</v>
      </c>
      <c r="K26" s="46"/>
    </row>
    <row r="27" spans="1:11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IF(A27="","",IFERROR(VLOOKUP(A27,DB_Customers!$A:$M,13,0),""))</f>
        <v/>
      </c>
      <c r="D27" s="42" t="str">
        <f t="shared" ca="1" si="0"/>
        <v/>
      </c>
      <c r="E27" s="32"/>
      <c r="F27" s="43" t="str">
        <f t="shared" si="1"/>
        <v/>
      </c>
      <c r="G27" s="30" t="s">
        <v>57</v>
      </c>
      <c r="H27" s="41"/>
      <c r="I27" s="33" t="str">
        <f>IF(A27="","",IF(H27="","⚠️ Enter Agent Code",IF(IFERROR(VLOOKUP(G27,DB_Agents!$B:$F,4,0),"")=TEXT(H27,"0"),IF(AND(A27&lt;&gt;"",E27&lt;&gt;""),"✅ Saved","Pending"),"🔒 WRONG CODE")))</f>
        <v/>
      </c>
      <c r="J27" s="33" t="str">
        <f t="shared" ca="1" si="2"/>
        <v>—</v>
      </c>
      <c r="K27" s="22"/>
    </row>
    <row r="28" spans="1:11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IF(A28="","",IFERROR(VLOOKUP(A28,DB_Customers!$A:$M,13,0),""))</f>
        <v/>
      </c>
      <c r="D28" s="42" t="str">
        <f t="shared" ca="1" si="0"/>
        <v/>
      </c>
      <c r="E28" s="32"/>
      <c r="F28" s="43" t="str">
        <f t="shared" si="1"/>
        <v/>
      </c>
      <c r="G28" s="30" t="s">
        <v>57</v>
      </c>
      <c r="H28" s="41"/>
      <c r="I28" s="33" t="str">
        <f>IF(A28="","",IF(H28="","⚠️ Enter Agent Code",IF(IFERROR(VLOOKUP(G28,DB_Agents!$B:$F,4,0),"")=TEXT(H28,"0"),IF(AND(A28&lt;&gt;"",E28&lt;&gt;""),"✅ Saved","Pending"),"🔒 WRONG CODE")))</f>
        <v/>
      </c>
      <c r="J28" s="33" t="str">
        <f t="shared" ca="1" si="2"/>
        <v>—</v>
      </c>
      <c r="K28" s="46"/>
    </row>
    <row r="29" spans="1:11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IF(A29="","",IFERROR(VLOOKUP(A29,DB_Customers!$A:$M,13,0),""))</f>
        <v/>
      </c>
      <c r="D29" s="42" t="str">
        <f t="shared" ca="1" si="0"/>
        <v/>
      </c>
      <c r="E29" s="32"/>
      <c r="F29" s="43" t="str">
        <f t="shared" si="1"/>
        <v/>
      </c>
      <c r="G29" s="30" t="s">
        <v>57</v>
      </c>
      <c r="H29" s="41"/>
      <c r="I29" s="33" t="str">
        <f>IF(A29="","",IF(H29="","⚠️ Enter Agent Code",IF(IFERROR(VLOOKUP(G29,DB_Agents!$B:$F,4,0),"")=TEXT(H29,"0"),IF(AND(A29&lt;&gt;"",E29&lt;&gt;""),"✅ Saved","Pending"),"🔒 WRONG CODE")))</f>
        <v/>
      </c>
      <c r="J29" s="33" t="str">
        <f t="shared" ca="1" si="2"/>
        <v>—</v>
      </c>
      <c r="K29" s="22"/>
    </row>
    <row r="30" spans="1:11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IF(A30="","",IFERROR(VLOOKUP(A30,DB_Customers!$A:$M,13,0),""))</f>
        <v/>
      </c>
      <c r="D30" s="42" t="str">
        <f t="shared" ca="1" si="0"/>
        <v/>
      </c>
      <c r="E30" s="32"/>
      <c r="F30" s="43" t="str">
        <f t="shared" si="1"/>
        <v/>
      </c>
      <c r="G30" s="30" t="s">
        <v>57</v>
      </c>
      <c r="H30" s="41"/>
      <c r="I30" s="33" t="str">
        <f>IF(A30="","",IF(H30="","⚠️ Enter Agent Code",IF(IFERROR(VLOOKUP(G30,DB_Agents!$B:$F,4,0),"")=TEXT(H30,"0"),IF(AND(A30&lt;&gt;"",E30&lt;&gt;""),"✅ Saved","Pending"),"🔒 WRONG CODE")))</f>
        <v/>
      </c>
      <c r="J30" s="33" t="str">
        <f t="shared" ca="1" si="2"/>
        <v>—</v>
      </c>
      <c r="K30" s="46"/>
    </row>
    <row r="31" spans="1:11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IF(A31="","",IFERROR(VLOOKUP(A31,DB_Customers!$A:$M,13,0),""))</f>
        <v/>
      </c>
      <c r="D31" s="42" t="str">
        <f t="shared" ca="1" si="0"/>
        <v/>
      </c>
      <c r="E31" s="32"/>
      <c r="F31" s="43" t="str">
        <f t="shared" si="1"/>
        <v/>
      </c>
      <c r="G31" s="30" t="s">
        <v>57</v>
      </c>
      <c r="H31" s="41"/>
      <c r="I31" s="33" t="str">
        <f>IF(A31="","",IF(H31="","⚠️ Enter Agent Code",IF(IFERROR(VLOOKUP(G31,DB_Agents!$B:$F,4,0),"")=TEXT(H31,"0"),IF(AND(A31&lt;&gt;"",E31&lt;&gt;""),"✅ Saved","Pending"),"🔒 WRONG CODE")))</f>
        <v/>
      </c>
      <c r="J31" s="33" t="str">
        <f t="shared" ca="1" si="2"/>
        <v>—</v>
      </c>
      <c r="K31" s="22"/>
    </row>
    <row r="32" spans="1:11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IF(A32="","",IFERROR(VLOOKUP(A32,DB_Customers!$A:$M,13,0),""))</f>
        <v/>
      </c>
      <c r="D32" s="42" t="str">
        <f t="shared" ca="1" si="0"/>
        <v/>
      </c>
      <c r="E32" s="32"/>
      <c r="F32" s="43" t="str">
        <f t="shared" si="1"/>
        <v/>
      </c>
      <c r="G32" s="30" t="s">
        <v>57</v>
      </c>
      <c r="H32" s="41"/>
      <c r="I32" s="33" t="str">
        <f>IF(A32="","",IF(H32="","⚠️ Enter Agent Code",IF(IFERROR(VLOOKUP(G32,DB_Agents!$B:$F,4,0),"")=TEXT(H32,"0"),IF(AND(A32&lt;&gt;"",E32&lt;&gt;""),"✅ Saved","Pending"),"🔒 WRONG CODE")))</f>
        <v/>
      </c>
      <c r="J32" s="33" t="str">
        <f t="shared" ca="1" si="2"/>
        <v>—</v>
      </c>
      <c r="K32" s="46"/>
    </row>
    <row r="33" spans="1:11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IF(A33="","",IFERROR(VLOOKUP(A33,DB_Customers!$A:$M,13,0),""))</f>
        <v/>
      </c>
      <c r="D33" s="42" t="str">
        <f t="shared" ca="1" si="0"/>
        <v/>
      </c>
      <c r="E33" s="32"/>
      <c r="F33" s="43" t="str">
        <f t="shared" si="1"/>
        <v/>
      </c>
      <c r="G33" s="30" t="s">
        <v>57</v>
      </c>
      <c r="H33" s="41"/>
      <c r="I33" s="33" t="str">
        <f>IF(A33="","",IF(H33="","⚠️ Enter Agent Code",IF(IFERROR(VLOOKUP(G33,DB_Agents!$B:$F,4,0),"")=TEXT(H33,"0"),IF(AND(A33&lt;&gt;"",E33&lt;&gt;""),"✅ Saved","Pending"),"🔒 WRONG CODE")))</f>
        <v/>
      </c>
      <c r="J33" s="33" t="str">
        <f t="shared" ca="1" si="2"/>
        <v>—</v>
      </c>
      <c r="K33" s="22"/>
    </row>
    <row r="34" spans="1:11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IF(A34="","",IFERROR(VLOOKUP(A34,DB_Customers!$A:$M,13,0),""))</f>
        <v/>
      </c>
      <c r="D34" s="42" t="str">
        <f t="shared" ca="1" si="0"/>
        <v/>
      </c>
      <c r="E34" s="32"/>
      <c r="F34" s="43" t="str">
        <f t="shared" si="1"/>
        <v/>
      </c>
      <c r="G34" s="30" t="s">
        <v>57</v>
      </c>
      <c r="H34" s="41"/>
      <c r="I34" s="33" t="str">
        <f>IF(A34="","",IF(H34="","⚠️ Enter Agent Code",IF(IFERROR(VLOOKUP(G34,DB_Agents!$B:$F,4,0),"")=TEXT(H34,"0"),IF(AND(A34&lt;&gt;"",E34&lt;&gt;""),"✅ Saved","Pending"),"🔒 WRONG CODE")))</f>
        <v/>
      </c>
      <c r="J34" s="33" t="str">
        <f t="shared" ca="1" si="2"/>
        <v>—</v>
      </c>
      <c r="K34" s="46"/>
    </row>
    <row r="35" spans="1:11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IF(A35="","",IFERROR(VLOOKUP(A35,DB_Customers!$A:$M,13,0),""))</f>
        <v/>
      </c>
      <c r="D35" s="42" t="str">
        <f t="shared" ca="1" si="0"/>
        <v/>
      </c>
      <c r="E35" s="32"/>
      <c r="F35" s="43" t="str">
        <f t="shared" si="1"/>
        <v/>
      </c>
      <c r="G35" s="30" t="s">
        <v>57</v>
      </c>
      <c r="H35" s="41"/>
      <c r="I35" s="33" t="str">
        <f>IF(A35="","",IF(H35="","⚠️ Enter Agent Code",IF(IFERROR(VLOOKUP(G35,DB_Agents!$B:$F,4,0),"")=TEXT(H35,"0"),IF(AND(A35&lt;&gt;"",E35&lt;&gt;""),"✅ Saved","Pending"),"🔒 WRONG CODE")))</f>
        <v/>
      </c>
      <c r="J35" s="33" t="str">
        <f t="shared" ca="1" si="2"/>
        <v>—</v>
      </c>
      <c r="K35" s="22"/>
    </row>
    <row r="36" spans="1:11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IF(A36="","",IFERROR(VLOOKUP(A36,DB_Customers!$A:$M,13,0),""))</f>
        <v/>
      </c>
      <c r="D36" s="42" t="str">
        <f t="shared" ca="1" si="0"/>
        <v/>
      </c>
      <c r="E36" s="32"/>
      <c r="F36" s="43" t="str">
        <f t="shared" si="1"/>
        <v/>
      </c>
      <c r="G36" s="30" t="s">
        <v>57</v>
      </c>
      <c r="H36" s="41"/>
      <c r="I36" s="33" t="str">
        <f>IF(A36="","",IF(H36="","⚠️ Enter Agent Code",IF(IFERROR(VLOOKUP(G36,DB_Agents!$B:$F,4,0),"")=TEXT(H36,"0"),IF(AND(A36&lt;&gt;"",E36&lt;&gt;""),"✅ Saved","Pending"),"🔒 WRONG CODE")))</f>
        <v/>
      </c>
      <c r="J36" s="33" t="str">
        <f t="shared" ca="1" si="2"/>
        <v>—</v>
      </c>
      <c r="K36" s="46"/>
    </row>
    <row r="37" spans="1:11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IF(A37="","",IFERROR(VLOOKUP(A37,DB_Customers!$A:$M,13,0),""))</f>
        <v/>
      </c>
      <c r="D37" s="42" t="str">
        <f t="shared" ca="1" si="0"/>
        <v/>
      </c>
      <c r="E37" s="32"/>
      <c r="F37" s="43" t="str">
        <f t="shared" si="1"/>
        <v/>
      </c>
      <c r="G37" s="30" t="s">
        <v>57</v>
      </c>
      <c r="H37" s="41"/>
      <c r="I37" s="33" t="str">
        <f>IF(A37="","",IF(H37="","⚠️ Enter Agent Code",IF(IFERROR(VLOOKUP(G37,DB_Agents!$B:$F,4,0),"")=TEXT(H37,"0"),IF(AND(A37&lt;&gt;"",E37&lt;&gt;""),"✅ Saved","Pending"),"🔒 WRONG CODE")))</f>
        <v/>
      </c>
      <c r="J37" s="33" t="str">
        <f t="shared" ca="1" si="2"/>
        <v>—</v>
      </c>
      <c r="K37" s="22"/>
    </row>
    <row r="38" spans="1:11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IF(A38="","",IFERROR(VLOOKUP(A38,DB_Customers!$A:$M,13,0),""))</f>
        <v/>
      </c>
      <c r="D38" s="42" t="str">
        <f t="shared" ca="1" si="0"/>
        <v/>
      </c>
      <c r="E38" s="32"/>
      <c r="F38" s="43" t="str">
        <f t="shared" si="1"/>
        <v/>
      </c>
      <c r="G38" s="30" t="s">
        <v>57</v>
      </c>
      <c r="H38" s="41"/>
      <c r="I38" s="33" t="str">
        <f>IF(A38="","",IF(H38="","⚠️ Enter Agent Code",IF(IFERROR(VLOOKUP(G38,DB_Agents!$B:$F,4,0),"")=TEXT(H38,"0"),IF(AND(A38&lt;&gt;"",E38&lt;&gt;""),"✅ Saved","Pending"),"🔒 WRONG CODE")))</f>
        <v/>
      </c>
      <c r="J38" s="33" t="str">
        <f t="shared" ca="1" si="2"/>
        <v>—</v>
      </c>
      <c r="K38" s="46"/>
    </row>
    <row r="39" spans="1:11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IF(A39="","",IFERROR(VLOOKUP(A39,DB_Customers!$A:$M,13,0),""))</f>
        <v/>
      </c>
      <c r="D39" s="42" t="str">
        <f t="shared" ca="1" si="0"/>
        <v/>
      </c>
      <c r="E39" s="32"/>
      <c r="F39" s="43" t="str">
        <f t="shared" si="1"/>
        <v/>
      </c>
      <c r="G39" s="30" t="s">
        <v>57</v>
      </c>
      <c r="H39" s="41"/>
      <c r="I39" s="33" t="str">
        <f>IF(A39="","",IF(H39="","⚠️ Enter Agent Code",IF(IFERROR(VLOOKUP(G39,DB_Agents!$B:$F,4,0),"")=TEXT(H39,"0"),IF(AND(A39&lt;&gt;"",E39&lt;&gt;""),"✅ Saved","Pending"),"🔒 WRONG CODE")))</f>
        <v/>
      </c>
      <c r="J39" s="33" t="str">
        <f t="shared" ca="1" si="2"/>
        <v>—</v>
      </c>
      <c r="K39" s="22"/>
    </row>
    <row r="40" spans="1:11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IF(A40="","",IFERROR(VLOOKUP(A40,DB_Customers!$A:$M,13,0),""))</f>
        <v/>
      </c>
      <c r="D40" s="42" t="str">
        <f t="shared" ca="1" si="0"/>
        <v/>
      </c>
      <c r="E40" s="32"/>
      <c r="F40" s="43" t="str">
        <f t="shared" si="1"/>
        <v/>
      </c>
      <c r="G40" s="30" t="s">
        <v>57</v>
      </c>
      <c r="H40" s="41"/>
      <c r="I40" s="33" t="str">
        <f>IF(A40="","",IF(H40="","⚠️ Enter Agent Code",IF(IFERROR(VLOOKUP(G40,DB_Agents!$B:$F,4,0),"")=TEXT(H40,"0"),IF(AND(A40&lt;&gt;"",E40&lt;&gt;""),"✅ Saved","Pending"),"🔒 WRONG CODE")))</f>
        <v/>
      </c>
      <c r="J40" s="33" t="str">
        <f t="shared" ca="1" si="2"/>
        <v>—</v>
      </c>
      <c r="K40" s="46"/>
    </row>
    <row r="41" spans="1:11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IF(A41="","",IFERROR(VLOOKUP(A41,DB_Customers!$A:$M,13,0),""))</f>
        <v/>
      </c>
      <c r="D41" s="42" t="str">
        <f t="shared" ref="D41:D72" ca="1" si="3">IF(A41="","",TODAY())</f>
        <v/>
      </c>
      <c r="E41" s="32"/>
      <c r="F41" s="43" t="str">
        <f t="shared" ref="F41:F72" si="4">IFERROR(IF(OR(A41="",E41=""),"",C41+E41),"")</f>
        <v/>
      </c>
      <c r="G41" s="30" t="s">
        <v>57</v>
      </c>
      <c r="H41" s="41"/>
      <c r="I41" s="33" t="str">
        <f>IF(A41="","",IF(H41="","⚠️ Enter Agent Code",IF(IFERROR(VLOOKUP(G41,DB_Agents!$B:$F,4,0),"")=TEXT(H41,"0"),IF(AND(A41&lt;&gt;"",E41&lt;&gt;""),"✅ Saved","Pending"),"🔒 WRONG CODE")))</f>
        <v/>
      </c>
      <c r="J41" s="33" t="str">
        <f t="shared" ref="J41:J72" ca="1" si="5">IF(I41="✅ Saved",TEXT(TODAY(),"YYYY-MM-DD")&amp;" Auto","—")</f>
        <v>—</v>
      </c>
      <c r="K41" s="22"/>
    </row>
    <row r="42" spans="1:11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IF(A42="","",IFERROR(VLOOKUP(A42,DB_Customers!$A:$M,13,0),""))</f>
        <v/>
      </c>
      <c r="D42" s="42" t="str">
        <f t="shared" ca="1" si="3"/>
        <v/>
      </c>
      <c r="E42" s="32"/>
      <c r="F42" s="43" t="str">
        <f t="shared" si="4"/>
        <v/>
      </c>
      <c r="G42" s="30" t="s">
        <v>57</v>
      </c>
      <c r="H42" s="41"/>
      <c r="I42" s="33" t="str">
        <f>IF(A42="","",IF(H42="","⚠️ Enter Agent Code",IF(IFERROR(VLOOKUP(G42,DB_Agents!$B:$F,4,0),"")=TEXT(H42,"0"),IF(AND(A42&lt;&gt;"",E42&lt;&gt;""),"✅ Saved","Pending"),"🔒 WRONG CODE")))</f>
        <v/>
      </c>
      <c r="J42" s="33" t="str">
        <f t="shared" ca="1" si="5"/>
        <v>—</v>
      </c>
      <c r="K42" s="46"/>
    </row>
    <row r="43" spans="1:11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IF(A43="","",IFERROR(VLOOKUP(A43,DB_Customers!$A:$M,13,0),""))</f>
        <v/>
      </c>
      <c r="D43" s="42" t="str">
        <f t="shared" ca="1" si="3"/>
        <v/>
      </c>
      <c r="E43" s="32"/>
      <c r="F43" s="43" t="str">
        <f t="shared" si="4"/>
        <v/>
      </c>
      <c r="G43" s="30" t="s">
        <v>57</v>
      </c>
      <c r="H43" s="41"/>
      <c r="I43" s="33" t="str">
        <f>IF(A43="","",IF(H43="","⚠️ Enter Agent Code",IF(IFERROR(VLOOKUP(G43,DB_Agents!$B:$F,4,0),"")=TEXT(H43,"0"),IF(AND(A43&lt;&gt;"",E43&lt;&gt;""),"✅ Saved","Pending"),"🔒 WRONG CODE")))</f>
        <v/>
      </c>
      <c r="J43" s="33" t="str">
        <f t="shared" ca="1" si="5"/>
        <v>—</v>
      </c>
      <c r="K43" s="22"/>
    </row>
    <row r="44" spans="1:11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IF(A44="","",IFERROR(VLOOKUP(A44,DB_Customers!$A:$M,13,0),""))</f>
        <v/>
      </c>
      <c r="D44" s="42" t="str">
        <f t="shared" ca="1" si="3"/>
        <v/>
      </c>
      <c r="E44" s="32"/>
      <c r="F44" s="43" t="str">
        <f t="shared" si="4"/>
        <v/>
      </c>
      <c r="G44" s="30" t="s">
        <v>57</v>
      </c>
      <c r="H44" s="41"/>
      <c r="I44" s="33" t="str">
        <f>IF(A44="","",IF(H44="","⚠️ Enter Agent Code",IF(IFERROR(VLOOKUP(G44,DB_Agents!$B:$F,4,0),"")=TEXT(H44,"0"),IF(AND(A44&lt;&gt;"",E44&lt;&gt;""),"✅ Saved","Pending"),"🔒 WRONG CODE")))</f>
        <v/>
      </c>
      <c r="J44" s="33" t="str">
        <f t="shared" ca="1" si="5"/>
        <v>—</v>
      </c>
      <c r="K44" s="46"/>
    </row>
    <row r="45" spans="1:11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IF(A45="","",IFERROR(VLOOKUP(A45,DB_Customers!$A:$M,13,0),""))</f>
        <v/>
      </c>
      <c r="D45" s="42" t="str">
        <f t="shared" ca="1" si="3"/>
        <v/>
      </c>
      <c r="E45" s="32"/>
      <c r="F45" s="43" t="str">
        <f t="shared" si="4"/>
        <v/>
      </c>
      <c r="G45" s="30" t="s">
        <v>57</v>
      </c>
      <c r="H45" s="41"/>
      <c r="I45" s="33" t="str">
        <f>IF(A45="","",IF(H45="","⚠️ Enter Agent Code",IF(IFERROR(VLOOKUP(G45,DB_Agents!$B:$F,4,0),"")=TEXT(H45,"0"),IF(AND(A45&lt;&gt;"",E45&lt;&gt;""),"✅ Saved","Pending"),"🔒 WRONG CODE")))</f>
        <v/>
      </c>
      <c r="J45" s="33" t="str">
        <f t="shared" ca="1" si="5"/>
        <v>—</v>
      </c>
      <c r="K45" s="22"/>
    </row>
    <row r="46" spans="1:11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IF(A46="","",IFERROR(VLOOKUP(A46,DB_Customers!$A:$M,13,0),""))</f>
        <v/>
      </c>
      <c r="D46" s="42" t="str">
        <f t="shared" ca="1" si="3"/>
        <v/>
      </c>
      <c r="E46" s="32"/>
      <c r="F46" s="43" t="str">
        <f t="shared" si="4"/>
        <v/>
      </c>
      <c r="G46" s="30" t="s">
        <v>57</v>
      </c>
      <c r="H46" s="41"/>
      <c r="I46" s="33" t="str">
        <f>IF(A46="","",IF(H46="","⚠️ Enter Agent Code",IF(IFERROR(VLOOKUP(G46,DB_Agents!$B:$F,4,0),"")=TEXT(H46,"0"),IF(AND(A46&lt;&gt;"",E46&lt;&gt;""),"✅ Saved","Pending"),"🔒 WRONG CODE")))</f>
        <v/>
      </c>
      <c r="J46" s="33" t="str">
        <f t="shared" ca="1" si="5"/>
        <v>—</v>
      </c>
      <c r="K46" s="46"/>
    </row>
    <row r="47" spans="1:11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IF(A47="","",IFERROR(VLOOKUP(A47,DB_Customers!$A:$M,13,0),""))</f>
        <v/>
      </c>
      <c r="D47" s="42" t="str">
        <f t="shared" ca="1" si="3"/>
        <v/>
      </c>
      <c r="E47" s="32"/>
      <c r="F47" s="43" t="str">
        <f t="shared" si="4"/>
        <v/>
      </c>
      <c r="G47" s="30" t="s">
        <v>57</v>
      </c>
      <c r="H47" s="41"/>
      <c r="I47" s="33" t="str">
        <f>IF(A47="","",IF(H47="","⚠️ Enter Agent Code",IF(IFERROR(VLOOKUP(G47,DB_Agents!$B:$F,4,0),"")=TEXT(H47,"0"),IF(AND(A47&lt;&gt;"",E47&lt;&gt;""),"✅ Saved","Pending"),"🔒 WRONG CODE")))</f>
        <v/>
      </c>
      <c r="J47" s="33" t="str">
        <f t="shared" ca="1" si="5"/>
        <v>—</v>
      </c>
      <c r="K47" s="22"/>
    </row>
    <row r="48" spans="1:11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IF(A48="","",IFERROR(VLOOKUP(A48,DB_Customers!$A:$M,13,0),""))</f>
        <v/>
      </c>
      <c r="D48" s="42" t="str">
        <f t="shared" ca="1" si="3"/>
        <v/>
      </c>
      <c r="E48" s="32"/>
      <c r="F48" s="43" t="str">
        <f t="shared" si="4"/>
        <v/>
      </c>
      <c r="G48" s="30" t="s">
        <v>57</v>
      </c>
      <c r="H48" s="41"/>
      <c r="I48" s="33" t="str">
        <f>IF(A48="","",IF(H48="","⚠️ Enter Agent Code",IF(IFERROR(VLOOKUP(G48,DB_Agents!$B:$F,4,0),"")=TEXT(H48,"0"),IF(AND(A48&lt;&gt;"",E48&lt;&gt;""),"✅ Saved","Pending"),"🔒 WRONG CODE")))</f>
        <v/>
      </c>
      <c r="J48" s="33" t="str">
        <f t="shared" ca="1" si="5"/>
        <v>—</v>
      </c>
      <c r="K48" s="46"/>
    </row>
    <row r="49" spans="1:11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IF(A49="","",IFERROR(VLOOKUP(A49,DB_Customers!$A:$M,13,0),""))</f>
        <v/>
      </c>
      <c r="D49" s="42" t="str">
        <f t="shared" ca="1" si="3"/>
        <v/>
      </c>
      <c r="E49" s="32"/>
      <c r="F49" s="43" t="str">
        <f t="shared" si="4"/>
        <v/>
      </c>
      <c r="G49" s="30" t="s">
        <v>57</v>
      </c>
      <c r="H49" s="41"/>
      <c r="I49" s="33" t="str">
        <f>IF(A49="","",IF(H49="","⚠️ Enter Agent Code",IF(IFERROR(VLOOKUP(G49,DB_Agents!$B:$F,4,0),"")=TEXT(H49,"0"),IF(AND(A49&lt;&gt;"",E49&lt;&gt;""),"✅ Saved","Pending"),"🔒 WRONG CODE")))</f>
        <v/>
      </c>
      <c r="J49" s="33" t="str">
        <f t="shared" ca="1" si="5"/>
        <v>—</v>
      </c>
      <c r="K49" s="22"/>
    </row>
    <row r="50" spans="1:11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IF(A50="","",IFERROR(VLOOKUP(A50,DB_Customers!$A:$M,13,0),""))</f>
        <v/>
      </c>
      <c r="D50" s="42" t="str">
        <f t="shared" ca="1" si="3"/>
        <v/>
      </c>
      <c r="E50" s="32"/>
      <c r="F50" s="43" t="str">
        <f t="shared" si="4"/>
        <v/>
      </c>
      <c r="G50" s="30" t="s">
        <v>57</v>
      </c>
      <c r="H50" s="41"/>
      <c r="I50" s="33" t="str">
        <f>IF(A50="","",IF(H50="","⚠️ Enter Agent Code",IF(IFERROR(VLOOKUP(G50,DB_Agents!$B:$F,4,0),"")=TEXT(H50,"0"),IF(AND(A50&lt;&gt;"",E50&lt;&gt;""),"✅ Saved","Pending"),"🔒 WRONG CODE")))</f>
        <v/>
      </c>
      <c r="J50" s="33" t="str">
        <f t="shared" ca="1" si="5"/>
        <v>—</v>
      </c>
      <c r="K50" s="46"/>
    </row>
    <row r="51" spans="1:11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IF(A51="","",IFERROR(VLOOKUP(A51,DB_Customers!$A:$M,13,0),""))</f>
        <v/>
      </c>
      <c r="D51" s="42" t="str">
        <f t="shared" ca="1" si="3"/>
        <v/>
      </c>
      <c r="E51" s="32"/>
      <c r="F51" s="43" t="str">
        <f t="shared" si="4"/>
        <v/>
      </c>
      <c r="G51" s="30" t="s">
        <v>57</v>
      </c>
      <c r="H51" s="41"/>
      <c r="I51" s="33" t="str">
        <f>IF(A51="","",IF(H51="","⚠️ Enter Agent Code",IF(IFERROR(VLOOKUP(G51,DB_Agents!$B:$F,4,0),"")=TEXT(H51,"0"),IF(AND(A51&lt;&gt;"",E51&lt;&gt;""),"✅ Saved","Pending"),"🔒 WRONG CODE")))</f>
        <v/>
      </c>
      <c r="J51" s="33" t="str">
        <f t="shared" ca="1" si="5"/>
        <v>—</v>
      </c>
      <c r="K51" s="22"/>
    </row>
    <row r="52" spans="1:11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IF(A52="","",IFERROR(VLOOKUP(A52,DB_Customers!$A:$M,13,0),""))</f>
        <v/>
      </c>
      <c r="D52" s="42" t="str">
        <f t="shared" ca="1" si="3"/>
        <v/>
      </c>
      <c r="E52" s="32"/>
      <c r="F52" s="43" t="str">
        <f t="shared" si="4"/>
        <v/>
      </c>
      <c r="G52" s="30" t="s">
        <v>57</v>
      </c>
      <c r="H52" s="41"/>
      <c r="I52" s="33" t="str">
        <f>IF(A52="","",IF(H52="","⚠️ Enter Agent Code",IF(IFERROR(VLOOKUP(G52,DB_Agents!$B:$F,4,0),"")=TEXT(H52,"0"),IF(AND(A52&lt;&gt;"",E52&lt;&gt;""),"✅ Saved","Pending"),"🔒 WRONG CODE")))</f>
        <v/>
      </c>
      <c r="J52" s="33" t="str">
        <f t="shared" ca="1" si="5"/>
        <v>—</v>
      </c>
      <c r="K52" s="46"/>
    </row>
    <row r="53" spans="1:11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IF(A53="","",IFERROR(VLOOKUP(A53,DB_Customers!$A:$M,13,0),""))</f>
        <v/>
      </c>
      <c r="D53" s="42" t="str">
        <f t="shared" ca="1" si="3"/>
        <v/>
      </c>
      <c r="E53" s="32"/>
      <c r="F53" s="43" t="str">
        <f t="shared" si="4"/>
        <v/>
      </c>
      <c r="G53" s="30" t="s">
        <v>57</v>
      </c>
      <c r="H53" s="41"/>
      <c r="I53" s="33" t="str">
        <f>IF(A53="","",IF(H53="","⚠️ Enter Agent Code",IF(IFERROR(VLOOKUP(G53,DB_Agents!$B:$F,4,0),"")=TEXT(H53,"0"),IF(AND(A53&lt;&gt;"",E53&lt;&gt;""),"✅ Saved","Pending"),"🔒 WRONG CODE")))</f>
        <v/>
      </c>
      <c r="J53" s="33" t="str">
        <f t="shared" ca="1" si="5"/>
        <v>—</v>
      </c>
      <c r="K53" s="22"/>
    </row>
    <row r="54" spans="1:11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IF(A54="","",IFERROR(VLOOKUP(A54,DB_Customers!$A:$M,13,0),""))</f>
        <v/>
      </c>
      <c r="D54" s="42" t="str">
        <f t="shared" ca="1" si="3"/>
        <v/>
      </c>
      <c r="E54" s="32"/>
      <c r="F54" s="43" t="str">
        <f t="shared" si="4"/>
        <v/>
      </c>
      <c r="G54" s="30" t="s">
        <v>57</v>
      </c>
      <c r="H54" s="41"/>
      <c r="I54" s="33" t="str">
        <f>IF(A54="","",IF(H54="","⚠️ Enter Agent Code",IF(IFERROR(VLOOKUP(G54,DB_Agents!$B:$F,4,0),"")=TEXT(H54,"0"),IF(AND(A54&lt;&gt;"",E54&lt;&gt;""),"✅ Saved","Pending"),"🔒 WRONG CODE")))</f>
        <v/>
      </c>
      <c r="J54" s="33" t="str">
        <f t="shared" ca="1" si="5"/>
        <v>—</v>
      </c>
      <c r="K54" s="46"/>
    </row>
    <row r="55" spans="1:11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IF(A55="","",IFERROR(VLOOKUP(A55,DB_Customers!$A:$M,13,0),""))</f>
        <v/>
      </c>
      <c r="D55" s="42" t="str">
        <f t="shared" ca="1" si="3"/>
        <v/>
      </c>
      <c r="E55" s="32"/>
      <c r="F55" s="43" t="str">
        <f t="shared" si="4"/>
        <v/>
      </c>
      <c r="G55" s="30" t="s">
        <v>57</v>
      </c>
      <c r="H55" s="41"/>
      <c r="I55" s="33" t="str">
        <f>IF(A55="","",IF(H55="","⚠️ Enter Agent Code",IF(IFERROR(VLOOKUP(G55,DB_Agents!$B:$F,4,0),"")=TEXT(H55,"0"),IF(AND(A55&lt;&gt;"",E55&lt;&gt;""),"✅ Saved","Pending"),"🔒 WRONG CODE")))</f>
        <v/>
      </c>
      <c r="J55" s="33" t="str">
        <f t="shared" ca="1" si="5"/>
        <v>—</v>
      </c>
      <c r="K55" s="22"/>
    </row>
    <row r="56" spans="1:11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IF(A56="","",IFERROR(VLOOKUP(A56,DB_Customers!$A:$M,13,0),""))</f>
        <v/>
      </c>
      <c r="D56" s="42" t="str">
        <f t="shared" ca="1" si="3"/>
        <v/>
      </c>
      <c r="E56" s="32"/>
      <c r="F56" s="43" t="str">
        <f t="shared" si="4"/>
        <v/>
      </c>
      <c r="G56" s="30" t="s">
        <v>57</v>
      </c>
      <c r="H56" s="41"/>
      <c r="I56" s="33" t="str">
        <f>IF(A56="","",IF(H56="","⚠️ Enter Agent Code",IF(IFERROR(VLOOKUP(G56,DB_Agents!$B:$F,4,0),"")=TEXT(H56,"0"),IF(AND(A56&lt;&gt;"",E56&lt;&gt;""),"✅ Saved","Pending"),"🔒 WRONG CODE")))</f>
        <v/>
      </c>
      <c r="J56" s="33" t="str">
        <f t="shared" ca="1" si="5"/>
        <v>—</v>
      </c>
      <c r="K56" s="46"/>
    </row>
    <row r="57" spans="1:11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IF(A57="","",IFERROR(VLOOKUP(A57,DB_Customers!$A:$M,13,0),""))</f>
        <v/>
      </c>
      <c r="D57" s="42" t="str">
        <f t="shared" ca="1" si="3"/>
        <v/>
      </c>
      <c r="E57" s="32"/>
      <c r="F57" s="43" t="str">
        <f t="shared" si="4"/>
        <v/>
      </c>
      <c r="G57" s="30" t="s">
        <v>57</v>
      </c>
      <c r="H57" s="41"/>
      <c r="I57" s="33" t="str">
        <f>IF(A57="","",IF(H57="","⚠️ Enter Agent Code",IF(IFERROR(VLOOKUP(G57,DB_Agents!$B:$F,4,0),"")=TEXT(H57,"0"),IF(AND(A57&lt;&gt;"",E57&lt;&gt;""),"✅ Saved","Pending"),"🔒 WRONG CODE")))</f>
        <v/>
      </c>
      <c r="J57" s="33" t="str">
        <f t="shared" ca="1" si="5"/>
        <v>—</v>
      </c>
      <c r="K57" s="22"/>
    </row>
    <row r="58" spans="1:11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IF(A58="","",IFERROR(VLOOKUP(A58,DB_Customers!$A:$M,13,0),""))</f>
        <v/>
      </c>
      <c r="D58" s="42" t="str">
        <f t="shared" ca="1" si="3"/>
        <v/>
      </c>
      <c r="E58" s="32"/>
      <c r="F58" s="43" t="str">
        <f t="shared" si="4"/>
        <v/>
      </c>
      <c r="G58" s="30" t="s">
        <v>57</v>
      </c>
      <c r="H58" s="41"/>
      <c r="I58" s="33" t="str">
        <f>IF(A58="","",IF(H58="","⚠️ Enter Agent Code",IF(IFERROR(VLOOKUP(G58,DB_Agents!$B:$F,4,0),"")=TEXT(H58,"0"),IF(AND(A58&lt;&gt;"",E58&lt;&gt;""),"✅ Saved","Pending"),"🔒 WRONG CODE")))</f>
        <v/>
      </c>
      <c r="J58" s="33" t="str">
        <f t="shared" ca="1" si="5"/>
        <v>—</v>
      </c>
      <c r="K58" s="46"/>
    </row>
    <row r="59" spans="1:11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IF(A59="","",IFERROR(VLOOKUP(A59,DB_Customers!$A:$M,13,0),""))</f>
        <v/>
      </c>
      <c r="D59" s="42" t="str">
        <f t="shared" ca="1" si="3"/>
        <v/>
      </c>
      <c r="E59" s="32"/>
      <c r="F59" s="43" t="str">
        <f t="shared" si="4"/>
        <v/>
      </c>
      <c r="G59" s="30" t="s">
        <v>57</v>
      </c>
      <c r="H59" s="41"/>
      <c r="I59" s="33" t="str">
        <f>IF(A59="","",IF(H59="","⚠️ Enter Agent Code",IF(IFERROR(VLOOKUP(G59,DB_Agents!$B:$F,4,0),"")=TEXT(H59,"0"),IF(AND(A59&lt;&gt;"",E59&lt;&gt;""),"✅ Saved","Pending"),"🔒 WRONG CODE")))</f>
        <v/>
      </c>
      <c r="J59" s="33" t="str">
        <f t="shared" ca="1" si="5"/>
        <v>—</v>
      </c>
      <c r="K59" s="22"/>
    </row>
    <row r="60" spans="1:11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IF(A60="","",IFERROR(VLOOKUP(A60,DB_Customers!$A:$M,13,0),""))</f>
        <v/>
      </c>
      <c r="D60" s="42" t="str">
        <f t="shared" ca="1" si="3"/>
        <v/>
      </c>
      <c r="E60" s="32"/>
      <c r="F60" s="43" t="str">
        <f t="shared" si="4"/>
        <v/>
      </c>
      <c r="G60" s="30" t="s">
        <v>57</v>
      </c>
      <c r="H60" s="41"/>
      <c r="I60" s="33" t="str">
        <f>IF(A60="","",IF(H60="","⚠️ Enter Agent Code",IF(IFERROR(VLOOKUP(G60,DB_Agents!$B:$F,4,0),"")=TEXT(H60,"0"),IF(AND(A60&lt;&gt;"",E60&lt;&gt;""),"✅ Saved","Pending"),"🔒 WRONG CODE")))</f>
        <v/>
      </c>
      <c r="J60" s="33" t="str">
        <f t="shared" ca="1" si="5"/>
        <v>—</v>
      </c>
      <c r="K60" s="46"/>
    </row>
    <row r="61" spans="1:11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IF(A61="","",IFERROR(VLOOKUP(A61,DB_Customers!$A:$M,13,0),""))</f>
        <v/>
      </c>
      <c r="D61" s="42" t="str">
        <f t="shared" ca="1" si="3"/>
        <v/>
      </c>
      <c r="E61" s="32"/>
      <c r="F61" s="43" t="str">
        <f t="shared" si="4"/>
        <v/>
      </c>
      <c r="G61" s="30" t="s">
        <v>57</v>
      </c>
      <c r="H61" s="41"/>
      <c r="I61" s="33" t="str">
        <f>IF(A61="","",IF(H61="","⚠️ Enter Agent Code",IF(IFERROR(VLOOKUP(G61,DB_Agents!$B:$F,4,0),"")=TEXT(H61,"0"),IF(AND(A61&lt;&gt;"",E61&lt;&gt;""),"✅ Saved","Pending"),"🔒 WRONG CODE")))</f>
        <v/>
      </c>
      <c r="J61" s="33" t="str">
        <f t="shared" ca="1" si="5"/>
        <v>—</v>
      </c>
      <c r="K61" s="22"/>
    </row>
    <row r="62" spans="1:11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IF(A62="","",IFERROR(VLOOKUP(A62,DB_Customers!$A:$M,13,0),""))</f>
        <v/>
      </c>
      <c r="D62" s="42" t="str">
        <f t="shared" ca="1" si="3"/>
        <v/>
      </c>
      <c r="E62" s="32"/>
      <c r="F62" s="43" t="str">
        <f t="shared" si="4"/>
        <v/>
      </c>
      <c r="G62" s="30" t="s">
        <v>57</v>
      </c>
      <c r="H62" s="41"/>
      <c r="I62" s="33" t="str">
        <f>IF(A62="","",IF(H62="","⚠️ Enter Agent Code",IF(IFERROR(VLOOKUP(G62,DB_Agents!$B:$F,4,0),"")=TEXT(H62,"0"),IF(AND(A62&lt;&gt;"",E62&lt;&gt;""),"✅ Saved","Pending"),"🔒 WRONG CODE")))</f>
        <v/>
      </c>
      <c r="J62" s="33" t="str">
        <f t="shared" ca="1" si="5"/>
        <v>—</v>
      </c>
      <c r="K62" s="46"/>
    </row>
    <row r="63" spans="1:11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IF(A63="","",IFERROR(VLOOKUP(A63,DB_Customers!$A:$M,13,0),""))</f>
        <v/>
      </c>
      <c r="D63" s="42" t="str">
        <f t="shared" ca="1" si="3"/>
        <v/>
      </c>
      <c r="E63" s="32"/>
      <c r="F63" s="43" t="str">
        <f t="shared" si="4"/>
        <v/>
      </c>
      <c r="G63" s="30" t="s">
        <v>57</v>
      </c>
      <c r="H63" s="41"/>
      <c r="I63" s="33" t="str">
        <f>IF(A63="","",IF(H63="","⚠️ Enter Agent Code",IF(IFERROR(VLOOKUP(G63,DB_Agents!$B:$F,4,0),"")=TEXT(H63,"0"),IF(AND(A63&lt;&gt;"",E63&lt;&gt;""),"✅ Saved","Pending"),"🔒 WRONG CODE")))</f>
        <v/>
      </c>
      <c r="J63" s="33" t="str">
        <f t="shared" ca="1" si="5"/>
        <v>—</v>
      </c>
      <c r="K63" s="22"/>
    </row>
    <row r="64" spans="1:11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IF(A64="","",IFERROR(VLOOKUP(A64,DB_Customers!$A:$M,13,0),""))</f>
        <v/>
      </c>
      <c r="D64" s="42" t="str">
        <f t="shared" ca="1" si="3"/>
        <v/>
      </c>
      <c r="E64" s="32"/>
      <c r="F64" s="43" t="str">
        <f t="shared" si="4"/>
        <v/>
      </c>
      <c r="G64" s="30" t="s">
        <v>57</v>
      </c>
      <c r="H64" s="41"/>
      <c r="I64" s="33" t="str">
        <f>IF(A64="","",IF(H64="","⚠️ Enter Agent Code",IF(IFERROR(VLOOKUP(G64,DB_Agents!$B:$F,4,0),"")=TEXT(H64,"0"),IF(AND(A64&lt;&gt;"",E64&lt;&gt;""),"✅ Saved","Pending"),"🔒 WRONG CODE")))</f>
        <v/>
      </c>
      <c r="J64" s="33" t="str">
        <f t="shared" ca="1" si="5"/>
        <v>—</v>
      </c>
      <c r="K64" s="46"/>
    </row>
    <row r="65" spans="1:11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IF(A65="","",IFERROR(VLOOKUP(A65,DB_Customers!$A:$M,13,0),""))</f>
        <v/>
      </c>
      <c r="D65" s="42" t="str">
        <f t="shared" ca="1" si="3"/>
        <v/>
      </c>
      <c r="E65" s="32"/>
      <c r="F65" s="43" t="str">
        <f t="shared" si="4"/>
        <v/>
      </c>
      <c r="G65" s="30" t="s">
        <v>57</v>
      </c>
      <c r="H65" s="41"/>
      <c r="I65" s="33" t="str">
        <f>IF(A65="","",IF(H65="","⚠️ Enter Agent Code",IF(IFERROR(VLOOKUP(G65,DB_Agents!$B:$F,4,0),"")=TEXT(H65,"0"),IF(AND(A65&lt;&gt;"",E65&lt;&gt;""),"✅ Saved","Pending"),"🔒 WRONG CODE")))</f>
        <v/>
      </c>
      <c r="J65" s="33" t="str">
        <f t="shared" ca="1" si="5"/>
        <v>—</v>
      </c>
      <c r="K65" s="22"/>
    </row>
    <row r="66" spans="1:11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IF(A66="","",IFERROR(VLOOKUP(A66,DB_Customers!$A:$M,13,0),""))</f>
        <v/>
      </c>
      <c r="D66" s="42" t="str">
        <f t="shared" ca="1" si="3"/>
        <v/>
      </c>
      <c r="E66" s="32"/>
      <c r="F66" s="43" t="str">
        <f t="shared" si="4"/>
        <v/>
      </c>
      <c r="G66" s="30" t="s">
        <v>57</v>
      </c>
      <c r="H66" s="41"/>
      <c r="I66" s="33" t="str">
        <f>IF(A66="","",IF(H66="","⚠️ Enter Agent Code",IF(IFERROR(VLOOKUP(G66,DB_Agents!$B:$F,4,0),"")=TEXT(H66,"0"),IF(AND(A66&lt;&gt;"",E66&lt;&gt;""),"✅ Saved","Pending"),"🔒 WRONG CODE")))</f>
        <v/>
      </c>
      <c r="J66" s="33" t="str">
        <f t="shared" ca="1" si="5"/>
        <v>—</v>
      </c>
      <c r="K66" s="46"/>
    </row>
    <row r="67" spans="1:11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IF(A67="","",IFERROR(VLOOKUP(A67,DB_Customers!$A:$M,13,0),""))</f>
        <v/>
      </c>
      <c r="D67" s="42" t="str">
        <f t="shared" ca="1" si="3"/>
        <v/>
      </c>
      <c r="E67" s="32"/>
      <c r="F67" s="43" t="str">
        <f t="shared" si="4"/>
        <v/>
      </c>
      <c r="G67" s="30" t="s">
        <v>57</v>
      </c>
      <c r="H67" s="41"/>
      <c r="I67" s="33" t="str">
        <f>IF(A67="","",IF(H67="","⚠️ Enter Agent Code",IF(IFERROR(VLOOKUP(G67,DB_Agents!$B:$F,4,0),"")=TEXT(H67,"0"),IF(AND(A67&lt;&gt;"",E67&lt;&gt;""),"✅ Saved","Pending"),"🔒 WRONG CODE")))</f>
        <v/>
      </c>
      <c r="J67" s="33" t="str">
        <f t="shared" ca="1" si="5"/>
        <v>—</v>
      </c>
      <c r="K67" s="22"/>
    </row>
    <row r="68" spans="1:11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IF(A68="","",IFERROR(VLOOKUP(A68,DB_Customers!$A:$M,13,0),""))</f>
        <v/>
      </c>
      <c r="D68" s="42" t="str">
        <f t="shared" ca="1" si="3"/>
        <v/>
      </c>
      <c r="E68" s="32"/>
      <c r="F68" s="43" t="str">
        <f t="shared" si="4"/>
        <v/>
      </c>
      <c r="G68" s="30" t="s">
        <v>57</v>
      </c>
      <c r="H68" s="41"/>
      <c r="I68" s="33" t="str">
        <f>IF(A68="","",IF(H68="","⚠️ Enter Agent Code",IF(IFERROR(VLOOKUP(G68,DB_Agents!$B:$F,4,0),"")=TEXT(H68,"0"),IF(AND(A68&lt;&gt;"",E68&lt;&gt;""),"✅ Saved","Pending"),"🔒 WRONG CODE")))</f>
        <v/>
      </c>
      <c r="J68" s="33" t="str">
        <f t="shared" ca="1" si="5"/>
        <v>—</v>
      </c>
      <c r="K68" s="46"/>
    </row>
    <row r="69" spans="1:11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IF(A69="","",IFERROR(VLOOKUP(A69,DB_Customers!$A:$M,13,0),""))</f>
        <v/>
      </c>
      <c r="D69" s="42" t="str">
        <f t="shared" ca="1" si="3"/>
        <v/>
      </c>
      <c r="E69" s="32"/>
      <c r="F69" s="43" t="str">
        <f t="shared" si="4"/>
        <v/>
      </c>
      <c r="G69" s="30" t="s">
        <v>57</v>
      </c>
      <c r="H69" s="41"/>
      <c r="I69" s="33" t="str">
        <f>IF(A69="","",IF(H69="","⚠️ Enter Agent Code",IF(IFERROR(VLOOKUP(G69,DB_Agents!$B:$F,4,0),"")=TEXT(H69,"0"),IF(AND(A69&lt;&gt;"",E69&lt;&gt;""),"✅ Saved","Pending"),"🔒 WRONG CODE")))</f>
        <v/>
      </c>
      <c r="J69" s="33" t="str">
        <f t="shared" ca="1" si="5"/>
        <v>—</v>
      </c>
      <c r="K69" s="22"/>
    </row>
    <row r="70" spans="1:11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IF(A70="","",IFERROR(VLOOKUP(A70,DB_Customers!$A:$M,13,0),""))</f>
        <v/>
      </c>
      <c r="D70" s="42" t="str">
        <f t="shared" ca="1" si="3"/>
        <v/>
      </c>
      <c r="E70" s="32"/>
      <c r="F70" s="43" t="str">
        <f t="shared" si="4"/>
        <v/>
      </c>
      <c r="G70" s="30" t="s">
        <v>57</v>
      </c>
      <c r="H70" s="41"/>
      <c r="I70" s="33" t="str">
        <f>IF(A70="","",IF(H70="","⚠️ Enter Agent Code",IF(IFERROR(VLOOKUP(G70,DB_Agents!$B:$F,4,0),"")=TEXT(H70,"0"),IF(AND(A70&lt;&gt;"",E70&lt;&gt;""),"✅ Saved","Pending"),"🔒 WRONG CODE")))</f>
        <v/>
      </c>
      <c r="J70" s="33" t="str">
        <f t="shared" ca="1" si="5"/>
        <v>—</v>
      </c>
      <c r="K70" s="46"/>
    </row>
    <row r="71" spans="1:11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IF(A71="","",IFERROR(VLOOKUP(A71,DB_Customers!$A:$M,13,0),""))</f>
        <v/>
      </c>
      <c r="D71" s="42" t="str">
        <f t="shared" ca="1" si="3"/>
        <v/>
      </c>
      <c r="E71" s="32"/>
      <c r="F71" s="43" t="str">
        <f t="shared" si="4"/>
        <v/>
      </c>
      <c r="G71" s="30" t="s">
        <v>57</v>
      </c>
      <c r="H71" s="41"/>
      <c r="I71" s="33" t="str">
        <f>IF(A71="","",IF(H71="","⚠️ Enter Agent Code",IF(IFERROR(VLOOKUP(G71,DB_Agents!$B:$F,4,0),"")=TEXT(H71,"0"),IF(AND(A71&lt;&gt;"",E71&lt;&gt;""),"✅ Saved","Pending"),"🔒 WRONG CODE")))</f>
        <v/>
      </c>
      <c r="J71" s="33" t="str">
        <f t="shared" ca="1" si="5"/>
        <v>—</v>
      </c>
      <c r="K71" s="22"/>
    </row>
    <row r="72" spans="1:11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IF(A72="","",IFERROR(VLOOKUP(A72,DB_Customers!$A:$M,13,0),""))</f>
        <v/>
      </c>
      <c r="D72" s="42" t="str">
        <f t="shared" ca="1" si="3"/>
        <v/>
      </c>
      <c r="E72" s="32"/>
      <c r="F72" s="43" t="str">
        <f t="shared" si="4"/>
        <v/>
      </c>
      <c r="G72" s="30" t="s">
        <v>57</v>
      </c>
      <c r="H72" s="41"/>
      <c r="I72" s="33" t="str">
        <f>IF(A72="","",IF(H72="","⚠️ Enter Agent Code",IF(IFERROR(VLOOKUP(G72,DB_Agents!$B:$F,4,0),"")=TEXT(H72,"0"),IF(AND(A72&lt;&gt;"",E72&lt;&gt;""),"✅ Saved","Pending"),"🔒 WRONG CODE")))</f>
        <v/>
      </c>
      <c r="J72" s="33" t="str">
        <f t="shared" ca="1" si="5"/>
        <v>—</v>
      </c>
      <c r="K72" s="46"/>
    </row>
    <row r="73" spans="1:11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IF(A73="","",IFERROR(VLOOKUP(A73,DB_Customers!$A:$M,13,0),""))</f>
        <v/>
      </c>
      <c r="D73" s="42" t="str">
        <f t="shared" ref="D73:D104" ca="1" si="6">IF(A73="","",TODAY())</f>
        <v/>
      </c>
      <c r="E73" s="32"/>
      <c r="F73" s="43" t="str">
        <f t="shared" ref="F73:F104" si="7">IFERROR(IF(OR(A73="",E73=""),"",C73+E73),"")</f>
        <v/>
      </c>
      <c r="G73" s="30" t="s">
        <v>57</v>
      </c>
      <c r="H73" s="41"/>
      <c r="I73" s="33" t="str">
        <f>IF(A73="","",IF(H73="","⚠️ Enter Agent Code",IF(IFERROR(VLOOKUP(G73,DB_Agents!$B:$F,4,0),"")=TEXT(H73,"0"),IF(AND(A73&lt;&gt;"",E73&lt;&gt;""),"✅ Saved","Pending"),"🔒 WRONG CODE")))</f>
        <v/>
      </c>
      <c r="J73" s="33" t="str">
        <f t="shared" ref="J73:J104" ca="1" si="8">IF(I73="✅ Saved",TEXT(TODAY(),"YYYY-MM-DD")&amp;" Auto","—")</f>
        <v>—</v>
      </c>
      <c r="K73" s="22"/>
    </row>
    <row r="74" spans="1:11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IF(A74="","",IFERROR(VLOOKUP(A74,DB_Customers!$A:$M,13,0),""))</f>
        <v/>
      </c>
      <c r="D74" s="42" t="str">
        <f t="shared" ca="1" si="6"/>
        <v/>
      </c>
      <c r="E74" s="32"/>
      <c r="F74" s="43" t="str">
        <f t="shared" si="7"/>
        <v/>
      </c>
      <c r="G74" s="30" t="s">
        <v>57</v>
      </c>
      <c r="H74" s="41"/>
      <c r="I74" s="33" t="str">
        <f>IF(A74="","",IF(H74="","⚠️ Enter Agent Code",IF(IFERROR(VLOOKUP(G74,DB_Agents!$B:$F,4,0),"")=TEXT(H74,"0"),IF(AND(A74&lt;&gt;"",E74&lt;&gt;""),"✅ Saved","Pending"),"🔒 WRONG CODE")))</f>
        <v/>
      </c>
      <c r="J74" s="33" t="str">
        <f t="shared" ca="1" si="8"/>
        <v>—</v>
      </c>
      <c r="K74" s="46"/>
    </row>
    <row r="75" spans="1:11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IF(A75="","",IFERROR(VLOOKUP(A75,DB_Customers!$A:$M,13,0),""))</f>
        <v/>
      </c>
      <c r="D75" s="42" t="str">
        <f t="shared" ca="1" si="6"/>
        <v/>
      </c>
      <c r="E75" s="32"/>
      <c r="F75" s="43" t="str">
        <f t="shared" si="7"/>
        <v/>
      </c>
      <c r="G75" s="30" t="s">
        <v>57</v>
      </c>
      <c r="H75" s="41"/>
      <c r="I75" s="33" t="str">
        <f>IF(A75="","",IF(H75="","⚠️ Enter Agent Code",IF(IFERROR(VLOOKUP(G75,DB_Agents!$B:$F,4,0),"")=TEXT(H75,"0"),IF(AND(A75&lt;&gt;"",E75&lt;&gt;""),"✅ Saved","Pending"),"🔒 WRONG CODE")))</f>
        <v/>
      </c>
      <c r="J75" s="33" t="str">
        <f t="shared" ca="1" si="8"/>
        <v>—</v>
      </c>
      <c r="K75" s="22"/>
    </row>
    <row r="76" spans="1:11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IF(A76="","",IFERROR(VLOOKUP(A76,DB_Customers!$A:$M,13,0),""))</f>
        <v/>
      </c>
      <c r="D76" s="42" t="str">
        <f t="shared" ca="1" si="6"/>
        <v/>
      </c>
      <c r="E76" s="32"/>
      <c r="F76" s="43" t="str">
        <f t="shared" si="7"/>
        <v/>
      </c>
      <c r="G76" s="30" t="s">
        <v>57</v>
      </c>
      <c r="H76" s="41"/>
      <c r="I76" s="33" t="str">
        <f>IF(A76="","",IF(H76="","⚠️ Enter Agent Code",IF(IFERROR(VLOOKUP(G76,DB_Agents!$B:$F,4,0),"")=TEXT(H76,"0"),IF(AND(A76&lt;&gt;"",E76&lt;&gt;""),"✅ Saved","Pending"),"🔒 WRONG CODE")))</f>
        <v/>
      </c>
      <c r="J76" s="33" t="str">
        <f t="shared" ca="1" si="8"/>
        <v>—</v>
      </c>
      <c r="K76" s="46"/>
    </row>
    <row r="77" spans="1:11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IF(A77="","",IFERROR(VLOOKUP(A77,DB_Customers!$A:$M,13,0),""))</f>
        <v/>
      </c>
      <c r="D77" s="42" t="str">
        <f t="shared" ca="1" si="6"/>
        <v/>
      </c>
      <c r="E77" s="32"/>
      <c r="F77" s="43" t="str">
        <f t="shared" si="7"/>
        <v/>
      </c>
      <c r="G77" s="30" t="s">
        <v>57</v>
      </c>
      <c r="H77" s="41"/>
      <c r="I77" s="33" t="str">
        <f>IF(A77="","",IF(H77="","⚠️ Enter Agent Code",IF(IFERROR(VLOOKUP(G77,DB_Agents!$B:$F,4,0),"")=TEXT(H77,"0"),IF(AND(A77&lt;&gt;"",E77&lt;&gt;""),"✅ Saved","Pending"),"🔒 WRONG CODE")))</f>
        <v/>
      </c>
      <c r="J77" s="33" t="str">
        <f t="shared" ca="1" si="8"/>
        <v>—</v>
      </c>
      <c r="K77" s="22"/>
    </row>
    <row r="78" spans="1:11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IF(A78="","",IFERROR(VLOOKUP(A78,DB_Customers!$A:$M,13,0),""))</f>
        <v/>
      </c>
      <c r="D78" s="42" t="str">
        <f t="shared" ca="1" si="6"/>
        <v/>
      </c>
      <c r="E78" s="32"/>
      <c r="F78" s="43" t="str">
        <f t="shared" si="7"/>
        <v/>
      </c>
      <c r="G78" s="30" t="s">
        <v>57</v>
      </c>
      <c r="H78" s="41"/>
      <c r="I78" s="33" t="str">
        <f>IF(A78="","",IF(H78="","⚠️ Enter Agent Code",IF(IFERROR(VLOOKUP(G78,DB_Agents!$B:$F,4,0),"")=TEXT(H78,"0"),IF(AND(A78&lt;&gt;"",E78&lt;&gt;""),"✅ Saved","Pending"),"🔒 WRONG CODE")))</f>
        <v/>
      </c>
      <c r="J78" s="33" t="str">
        <f t="shared" ca="1" si="8"/>
        <v>—</v>
      </c>
      <c r="K78" s="46"/>
    </row>
    <row r="79" spans="1:11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IF(A79="","",IFERROR(VLOOKUP(A79,DB_Customers!$A:$M,13,0),""))</f>
        <v/>
      </c>
      <c r="D79" s="42" t="str">
        <f t="shared" ca="1" si="6"/>
        <v/>
      </c>
      <c r="E79" s="32"/>
      <c r="F79" s="43" t="str">
        <f t="shared" si="7"/>
        <v/>
      </c>
      <c r="G79" s="30" t="s">
        <v>57</v>
      </c>
      <c r="H79" s="41"/>
      <c r="I79" s="33" t="str">
        <f>IF(A79="","",IF(H79="","⚠️ Enter Agent Code",IF(IFERROR(VLOOKUP(G79,DB_Agents!$B:$F,4,0),"")=TEXT(H79,"0"),IF(AND(A79&lt;&gt;"",E79&lt;&gt;""),"✅ Saved","Pending"),"🔒 WRONG CODE")))</f>
        <v/>
      </c>
      <c r="J79" s="33" t="str">
        <f t="shared" ca="1" si="8"/>
        <v>—</v>
      </c>
      <c r="K79" s="22"/>
    </row>
    <row r="80" spans="1:11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IF(A80="","",IFERROR(VLOOKUP(A80,DB_Customers!$A:$M,13,0),""))</f>
        <v/>
      </c>
      <c r="D80" s="42" t="str">
        <f t="shared" ca="1" si="6"/>
        <v/>
      </c>
      <c r="E80" s="32"/>
      <c r="F80" s="43" t="str">
        <f t="shared" si="7"/>
        <v/>
      </c>
      <c r="G80" s="30" t="s">
        <v>57</v>
      </c>
      <c r="H80" s="41"/>
      <c r="I80" s="33" t="str">
        <f>IF(A80="","",IF(H80="","⚠️ Enter Agent Code",IF(IFERROR(VLOOKUP(G80,DB_Agents!$B:$F,4,0),"")=TEXT(H80,"0"),IF(AND(A80&lt;&gt;"",E80&lt;&gt;""),"✅ Saved","Pending"),"🔒 WRONG CODE")))</f>
        <v/>
      </c>
      <c r="J80" s="33" t="str">
        <f t="shared" ca="1" si="8"/>
        <v>—</v>
      </c>
      <c r="K80" s="46"/>
    </row>
    <row r="81" spans="1:11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IF(A81="","",IFERROR(VLOOKUP(A81,DB_Customers!$A:$M,13,0),""))</f>
        <v/>
      </c>
      <c r="D81" s="42" t="str">
        <f t="shared" ca="1" si="6"/>
        <v/>
      </c>
      <c r="E81" s="32"/>
      <c r="F81" s="43" t="str">
        <f t="shared" si="7"/>
        <v/>
      </c>
      <c r="G81" s="30" t="s">
        <v>57</v>
      </c>
      <c r="H81" s="41"/>
      <c r="I81" s="33" t="str">
        <f>IF(A81="","",IF(H81="","⚠️ Enter Agent Code",IF(IFERROR(VLOOKUP(G81,DB_Agents!$B:$F,4,0),"")=TEXT(H81,"0"),IF(AND(A81&lt;&gt;"",E81&lt;&gt;""),"✅ Saved","Pending"),"🔒 WRONG CODE")))</f>
        <v/>
      </c>
      <c r="J81" s="33" t="str">
        <f t="shared" ca="1" si="8"/>
        <v>—</v>
      </c>
      <c r="K81" s="22"/>
    </row>
    <row r="82" spans="1:11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IF(A82="","",IFERROR(VLOOKUP(A82,DB_Customers!$A:$M,13,0),""))</f>
        <v/>
      </c>
      <c r="D82" s="42" t="str">
        <f t="shared" ca="1" si="6"/>
        <v/>
      </c>
      <c r="E82" s="32"/>
      <c r="F82" s="43" t="str">
        <f t="shared" si="7"/>
        <v/>
      </c>
      <c r="G82" s="30" t="s">
        <v>57</v>
      </c>
      <c r="H82" s="41"/>
      <c r="I82" s="33" t="str">
        <f>IF(A82="","",IF(H82="","⚠️ Enter Agent Code",IF(IFERROR(VLOOKUP(G82,DB_Agents!$B:$F,4,0),"")=TEXT(H82,"0"),IF(AND(A82&lt;&gt;"",E82&lt;&gt;""),"✅ Saved","Pending"),"🔒 WRONG CODE")))</f>
        <v/>
      </c>
      <c r="J82" s="33" t="str">
        <f t="shared" ca="1" si="8"/>
        <v>—</v>
      </c>
      <c r="K82" s="46"/>
    </row>
    <row r="83" spans="1:11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IF(A83="","",IFERROR(VLOOKUP(A83,DB_Customers!$A:$M,13,0),""))</f>
        <v/>
      </c>
      <c r="D83" s="42" t="str">
        <f t="shared" ca="1" si="6"/>
        <v/>
      </c>
      <c r="E83" s="32"/>
      <c r="F83" s="43" t="str">
        <f t="shared" si="7"/>
        <v/>
      </c>
      <c r="G83" s="30" t="s">
        <v>57</v>
      </c>
      <c r="H83" s="41"/>
      <c r="I83" s="33" t="str">
        <f>IF(A83="","",IF(H83="","⚠️ Enter Agent Code",IF(IFERROR(VLOOKUP(G83,DB_Agents!$B:$F,4,0),"")=TEXT(H83,"0"),IF(AND(A83&lt;&gt;"",E83&lt;&gt;""),"✅ Saved","Pending"),"🔒 WRONG CODE")))</f>
        <v/>
      </c>
      <c r="J83" s="33" t="str">
        <f t="shared" ca="1" si="8"/>
        <v>—</v>
      </c>
      <c r="K83" s="22"/>
    </row>
    <row r="84" spans="1:11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IF(A84="","",IFERROR(VLOOKUP(A84,DB_Customers!$A:$M,13,0),""))</f>
        <v/>
      </c>
      <c r="D84" s="42" t="str">
        <f t="shared" ca="1" si="6"/>
        <v/>
      </c>
      <c r="E84" s="32"/>
      <c r="F84" s="43" t="str">
        <f t="shared" si="7"/>
        <v/>
      </c>
      <c r="G84" s="30" t="s">
        <v>57</v>
      </c>
      <c r="H84" s="41"/>
      <c r="I84" s="33" t="str">
        <f>IF(A84="","",IF(H84="","⚠️ Enter Agent Code",IF(IFERROR(VLOOKUP(G84,DB_Agents!$B:$F,4,0),"")=TEXT(H84,"0"),IF(AND(A84&lt;&gt;"",E84&lt;&gt;""),"✅ Saved","Pending"),"🔒 WRONG CODE")))</f>
        <v/>
      </c>
      <c r="J84" s="33" t="str">
        <f t="shared" ca="1" si="8"/>
        <v>—</v>
      </c>
      <c r="K84" s="46"/>
    </row>
    <row r="85" spans="1:11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IF(A85="","",IFERROR(VLOOKUP(A85,DB_Customers!$A:$M,13,0),""))</f>
        <v/>
      </c>
      <c r="D85" s="42" t="str">
        <f t="shared" ca="1" si="6"/>
        <v/>
      </c>
      <c r="E85" s="32"/>
      <c r="F85" s="43" t="str">
        <f t="shared" si="7"/>
        <v/>
      </c>
      <c r="G85" s="30" t="s">
        <v>57</v>
      </c>
      <c r="H85" s="41"/>
      <c r="I85" s="33" t="str">
        <f>IF(A85="","",IF(H85="","⚠️ Enter Agent Code",IF(IFERROR(VLOOKUP(G85,DB_Agents!$B:$F,4,0),"")=TEXT(H85,"0"),IF(AND(A85&lt;&gt;"",E85&lt;&gt;""),"✅ Saved","Pending"),"🔒 WRONG CODE")))</f>
        <v/>
      </c>
      <c r="J85" s="33" t="str">
        <f t="shared" ca="1" si="8"/>
        <v>—</v>
      </c>
      <c r="K85" s="22"/>
    </row>
    <row r="86" spans="1:11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IF(A86="","",IFERROR(VLOOKUP(A86,DB_Customers!$A:$M,13,0),""))</f>
        <v/>
      </c>
      <c r="D86" s="42" t="str">
        <f t="shared" ca="1" si="6"/>
        <v/>
      </c>
      <c r="E86" s="32"/>
      <c r="F86" s="43" t="str">
        <f t="shared" si="7"/>
        <v/>
      </c>
      <c r="G86" s="30" t="s">
        <v>57</v>
      </c>
      <c r="H86" s="41"/>
      <c r="I86" s="33" t="str">
        <f>IF(A86="","",IF(H86="","⚠️ Enter Agent Code",IF(IFERROR(VLOOKUP(G86,DB_Agents!$B:$F,4,0),"")=TEXT(H86,"0"),IF(AND(A86&lt;&gt;"",E86&lt;&gt;""),"✅ Saved","Pending"),"🔒 WRONG CODE")))</f>
        <v/>
      </c>
      <c r="J86" s="33" t="str">
        <f t="shared" ca="1" si="8"/>
        <v>—</v>
      </c>
      <c r="K86" s="46"/>
    </row>
    <row r="87" spans="1:11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IF(A87="","",IFERROR(VLOOKUP(A87,DB_Customers!$A:$M,13,0),""))</f>
        <v/>
      </c>
      <c r="D87" s="42" t="str">
        <f t="shared" ca="1" si="6"/>
        <v/>
      </c>
      <c r="E87" s="32"/>
      <c r="F87" s="43" t="str">
        <f t="shared" si="7"/>
        <v/>
      </c>
      <c r="G87" s="30" t="s">
        <v>57</v>
      </c>
      <c r="H87" s="41"/>
      <c r="I87" s="33" t="str">
        <f>IF(A87="","",IF(H87="","⚠️ Enter Agent Code",IF(IFERROR(VLOOKUP(G87,DB_Agents!$B:$F,4,0),"")=TEXT(H87,"0"),IF(AND(A87&lt;&gt;"",E87&lt;&gt;""),"✅ Saved","Pending"),"🔒 WRONG CODE")))</f>
        <v/>
      </c>
      <c r="J87" s="33" t="str">
        <f t="shared" ca="1" si="8"/>
        <v>—</v>
      </c>
      <c r="K87" s="22"/>
    </row>
    <row r="88" spans="1:11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IF(A88="","",IFERROR(VLOOKUP(A88,DB_Customers!$A:$M,13,0),""))</f>
        <v/>
      </c>
      <c r="D88" s="42" t="str">
        <f t="shared" ca="1" si="6"/>
        <v/>
      </c>
      <c r="E88" s="32"/>
      <c r="F88" s="43" t="str">
        <f t="shared" si="7"/>
        <v/>
      </c>
      <c r="G88" s="30" t="s">
        <v>57</v>
      </c>
      <c r="H88" s="41"/>
      <c r="I88" s="33" t="str">
        <f>IF(A88="","",IF(H88="","⚠️ Enter Agent Code",IF(IFERROR(VLOOKUP(G88,DB_Agents!$B:$F,4,0),"")=TEXT(H88,"0"),IF(AND(A88&lt;&gt;"",E88&lt;&gt;""),"✅ Saved","Pending"),"🔒 WRONG CODE")))</f>
        <v/>
      </c>
      <c r="J88" s="33" t="str">
        <f t="shared" ca="1" si="8"/>
        <v>—</v>
      </c>
      <c r="K88" s="46"/>
    </row>
    <row r="89" spans="1:11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IF(A89="","",IFERROR(VLOOKUP(A89,DB_Customers!$A:$M,13,0),""))</f>
        <v/>
      </c>
      <c r="D89" s="42" t="str">
        <f t="shared" ca="1" si="6"/>
        <v/>
      </c>
      <c r="E89" s="32"/>
      <c r="F89" s="43" t="str">
        <f t="shared" si="7"/>
        <v/>
      </c>
      <c r="G89" s="30" t="s">
        <v>57</v>
      </c>
      <c r="H89" s="41"/>
      <c r="I89" s="33" t="str">
        <f>IF(A89="","",IF(H89="","⚠️ Enter Agent Code",IF(IFERROR(VLOOKUP(G89,DB_Agents!$B:$F,4,0),"")=TEXT(H89,"0"),IF(AND(A89&lt;&gt;"",E89&lt;&gt;""),"✅ Saved","Pending"),"🔒 WRONG CODE")))</f>
        <v/>
      </c>
      <c r="J89" s="33" t="str">
        <f t="shared" ca="1" si="8"/>
        <v>—</v>
      </c>
      <c r="K89" s="22"/>
    </row>
    <row r="90" spans="1:11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IF(A90="","",IFERROR(VLOOKUP(A90,DB_Customers!$A:$M,13,0),""))</f>
        <v/>
      </c>
      <c r="D90" s="42" t="str">
        <f t="shared" ca="1" si="6"/>
        <v/>
      </c>
      <c r="E90" s="32"/>
      <c r="F90" s="43" t="str">
        <f t="shared" si="7"/>
        <v/>
      </c>
      <c r="G90" s="30" t="s">
        <v>57</v>
      </c>
      <c r="H90" s="41"/>
      <c r="I90" s="33" t="str">
        <f>IF(A90="","",IF(H90="","⚠️ Enter Agent Code",IF(IFERROR(VLOOKUP(G90,DB_Agents!$B:$F,4,0),"")=TEXT(H90,"0"),IF(AND(A90&lt;&gt;"",E90&lt;&gt;""),"✅ Saved","Pending"),"🔒 WRONG CODE")))</f>
        <v/>
      </c>
      <c r="J90" s="33" t="str">
        <f t="shared" ca="1" si="8"/>
        <v>—</v>
      </c>
      <c r="K90" s="46"/>
    </row>
    <row r="91" spans="1:11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IF(A91="","",IFERROR(VLOOKUP(A91,DB_Customers!$A:$M,13,0),""))</f>
        <v/>
      </c>
      <c r="D91" s="42" t="str">
        <f t="shared" ca="1" si="6"/>
        <v/>
      </c>
      <c r="E91" s="32"/>
      <c r="F91" s="43" t="str">
        <f t="shared" si="7"/>
        <v/>
      </c>
      <c r="G91" s="30" t="s">
        <v>57</v>
      </c>
      <c r="H91" s="41"/>
      <c r="I91" s="33" t="str">
        <f>IF(A91="","",IF(H91="","⚠️ Enter Agent Code",IF(IFERROR(VLOOKUP(G91,DB_Agents!$B:$F,4,0),"")=TEXT(H91,"0"),IF(AND(A91&lt;&gt;"",E91&lt;&gt;""),"✅ Saved","Pending"),"🔒 WRONG CODE")))</f>
        <v/>
      </c>
      <c r="J91" s="33" t="str">
        <f t="shared" ca="1" si="8"/>
        <v>—</v>
      </c>
      <c r="K91" s="22"/>
    </row>
    <row r="92" spans="1:11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IF(A92="","",IFERROR(VLOOKUP(A92,DB_Customers!$A:$M,13,0),""))</f>
        <v/>
      </c>
      <c r="D92" s="42" t="str">
        <f t="shared" ca="1" si="6"/>
        <v/>
      </c>
      <c r="E92" s="32"/>
      <c r="F92" s="43" t="str">
        <f t="shared" si="7"/>
        <v/>
      </c>
      <c r="G92" s="30" t="s">
        <v>57</v>
      </c>
      <c r="H92" s="41"/>
      <c r="I92" s="33" t="str">
        <f>IF(A92="","",IF(H92="","⚠️ Enter Agent Code",IF(IFERROR(VLOOKUP(G92,DB_Agents!$B:$F,4,0),"")=TEXT(H92,"0"),IF(AND(A92&lt;&gt;"",E92&lt;&gt;""),"✅ Saved","Pending"),"🔒 WRONG CODE")))</f>
        <v/>
      </c>
      <c r="J92" s="33" t="str">
        <f t="shared" ca="1" si="8"/>
        <v>—</v>
      </c>
      <c r="K92" s="46"/>
    </row>
    <row r="93" spans="1:11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IF(A93="","",IFERROR(VLOOKUP(A93,DB_Customers!$A:$M,13,0),""))</f>
        <v/>
      </c>
      <c r="D93" s="42" t="str">
        <f t="shared" ca="1" si="6"/>
        <v/>
      </c>
      <c r="E93" s="32"/>
      <c r="F93" s="43" t="str">
        <f t="shared" si="7"/>
        <v/>
      </c>
      <c r="G93" s="30" t="s">
        <v>57</v>
      </c>
      <c r="H93" s="41"/>
      <c r="I93" s="33" t="str">
        <f>IF(A93="","",IF(H93="","⚠️ Enter Agent Code",IF(IFERROR(VLOOKUP(G93,DB_Agents!$B:$F,4,0),"")=TEXT(H93,"0"),IF(AND(A93&lt;&gt;"",E93&lt;&gt;""),"✅ Saved","Pending"),"🔒 WRONG CODE")))</f>
        <v/>
      </c>
      <c r="J93" s="33" t="str">
        <f t="shared" ca="1" si="8"/>
        <v>—</v>
      </c>
      <c r="K93" s="22"/>
    </row>
    <row r="94" spans="1:11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IF(A94="","",IFERROR(VLOOKUP(A94,DB_Customers!$A:$M,13,0),""))</f>
        <v/>
      </c>
      <c r="D94" s="42" t="str">
        <f t="shared" ca="1" si="6"/>
        <v/>
      </c>
      <c r="E94" s="32"/>
      <c r="F94" s="43" t="str">
        <f t="shared" si="7"/>
        <v/>
      </c>
      <c r="G94" s="30" t="s">
        <v>57</v>
      </c>
      <c r="H94" s="41"/>
      <c r="I94" s="33" t="str">
        <f>IF(A94="","",IF(H94="","⚠️ Enter Agent Code",IF(IFERROR(VLOOKUP(G94,DB_Agents!$B:$F,4,0),"")=TEXT(H94,"0"),IF(AND(A94&lt;&gt;"",E94&lt;&gt;""),"✅ Saved","Pending"),"🔒 WRONG CODE")))</f>
        <v/>
      </c>
      <c r="J94" s="33" t="str">
        <f t="shared" ca="1" si="8"/>
        <v>—</v>
      </c>
      <c r="K94" s="46"/>
    </row>
    <row r="95" spans="1:11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IF(A95="","",IFERROR(VLOOKUP(A95,DB_Customers!$A:$M,13,0),""))</f>
        <v/>
      </c>
      <c r="D95" s="42" t="str">
        <f t="shared" ca="1" si="6"/>
        <v/>
      </c>
      <c r="E95" s="32"/>
      <c r="F95" s="43" t="str">
        <f t="shared" si="7"/>
        <v/>
      </c>
      <c r="G95" s="30" t="s">
        <v>57</v>
      </c>
      <c r="H95" s="41"/>
      <c r="I95" s="33" t="str">
        <f>IF(A95="","",IF(H95="","⚠️ Enter Agent Code",IF(IFERROR(VLOOKUP(G95,DB_Agents!$B:$F,4,0),"")=TEXT(H95,"0"),IF(AND(A95&lt;&gt;"",E95&lt;&gt;""),"✅ Saved","Pending"),"🔒 WRONG CODE")))</f>
        <v/>
      </c>
      <c r="J95" s="33" t="str">
        <f t="shared" ca="1" si="8"/>
        <v>—</v>
      </c>
      <c r="K95" s="22"/>
    </row>
    <row r="96" spans="1:11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IF(A96="","",IFERROR(VLOOKUP(A96,DB_Customers!$A:$M,13,0),""))</f>
        <v/>
      </c>
      <c r="D96" s="42" t="str">
        <f t="shared" ca="1" si="6"/>
        <v/>
      </c>
      <c r="E96" s="32"/>
      <c r="F96" s="43" t="str">
        <f t="shared" si="7"/>
        <v/>
      </c>
      <c r="G96" s="30" t="s">
        <v>57</v>
      </c>
      <c r="H96" s="41"/>
      <c r="I96" s="33" t="str">
        <f>IF(A96="","",IF(H96="","⚠️ Enter Agent Code",IF(IFERROR(VLOOKUP(G96,DB_Agents!$B:$F,4,0),"")=TEXT(H96,"0"),IF(AND(A96&lt;&gt;"",E96&lt;&gt;""),"✅ Saved","Pending"),"🔒 WRONG CODE")))</f>
        <v/>
      </c>
      <c r="J96" s="33" t="str">
        <f t="shared" ca="1" si="8"/>
        <v>—</v>
      </c>
      <c r="K96" s="46"/>
    </row>
    <row r="97" spans="1:11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IF(A97="","",IFERROR(VLOOKUP(A97,DB_Customers!$A:$M,13,0),""))</f>
        <v/>
      </c>
      <c r="D97" s="42" t="str">
        <f t="shared" ca="1" si="6"/>
        <v/>
      </c>
      <c r="E97" s="32"/>
      <c r="F97" s="43" t="str">
        <f t="shared" si="7"/>
        <v/>
      </c>
      <c r="G97" s="30" t="s">
        <v>57</v>
      </c>
      <c r="H97" s="41"/>
      <c r="I97" s="33" t="str">
        <f>IF(A97="","",IF(H97="","⚠️ Enter Agent Code",IF(IFERROR(VLOOKUP(G97,DB_Agents!$B:$F,4,0),"")=TEXT(H97,"0"),IF(AND(A97&lt;&gt;"",E97&lt;&gt;""),"✅ Saved","Pending"),"🔒 WRONG CODE")))</f>
        <v/>
      </c>
      <c r="J97" s="33" t="str">
        <f t="shared" ca="1" si="8"/>
        <v>—</v>
      </c>
      <c r="K97" s="22"/>
    </row>
    <row r="98" spans="1:11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IF(A98="","",IFERROR(VLOOKUP(A98,DB_Customers!$A:$M,13,0),""))</f>
        <v/>
      </c>
      <c r="D98" s="42" t="str">
        <f t="shared" ca="1" si="6"/>
        <v/>
      </c>
      <c r="E98" s="32"/>
      <c r="F98" s="43" t="str">
        <f t="shared" si="7"/>
        <v/>
      </c>
      <c r="G98" s="30" t="s">
        <v>57</v>
      </c>
      <c r="H98" s="41"/>
      <c r="I98" s="33" t="str">
        <f>IF(A98="","",IF(H98="","⚠️ Enter Agent Code",IF(IFERROR(VLOOKUP(G98,DB_Agents!$B:$F,4,0),"")=TEXT(H98,"0"),IF(AND(A98&lt;&gt;"",E98&lt;&gt;""),"✅ Saved","Pending"),"🔒 WRONG CODE")))</f>
        <v/>
      </c>
      <c r="J98" s="33" t="str">
        <f t="shared" ca="1" si="8"/>
        <v>—</v>
      </c>
      <c r="K98" s="46"/>
    </row>
    <row r="99" spans="1:11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IF(A99="","",IFERROR(VLOOKUP(A99,DB_Customers!$A:$M,13,0),""))</f>
        <v/>
      </c>
      <c r="D99" s="42" t="str">
        <f t="shared" ca="1" si="6"/>
        <v/>
      </c>
      <c r="E99" s="32"/>
      <c r="F99" s="43" t="str">
        <f t="shared" si="7"/>
        <v/>
      </c>
      <c r="G99" s="30" t="s">
        <v>57</v>
      </c>
      <c r="H99" s="41"/>
      <c r="I99" s="33" t="str">
        <f>IF(A99="","",IF(H99="","⚠️ Enter Agent Code",IF(IFERROR(VLOOKUP(G99,DB_Agents!$B:$F,4,0),"")=TEXT(H99,"0"),IF(AND(A99&lt;&gt;"",E99&lt;&gt;""),"✅ Saved","Pending"),"🔒 WRONG CODE")))</f>
        <v/>
      </c>
      <c r="J99" s="33" t="str">
        <f t="shared" ca="1" si="8"/>
        <v>—</v>
      </c>
      <c r="K99" s="22"/>
    </row>
    <row r="100" spans="1:11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IF(A100="","",IFERROR(VLOOKUP(A100,DB_Customers!$A:$M,13,0),""))</f>
        <v/>
      </c>
      <c r="D100" s="42" t="str">
        <f t="shared" ca="1" si="6"/>
        <v/>
      </c>
      <c r="E100" s="32"/>
      <c r="F100" s="43" t="str">
        <f t="shared" si="7"/>
        <v/>
      </c>
      <c r="G100" s="30" t="s">
        <v>57</v>
      </c>
      <c r="H100" s="41"/>
      <c r="I100" s="33" t="str">
        <f>IF(A100="","",IF(H100="","⚠️ Enter Agent Code",IF(IFERROR(VLOOKUP(G100,DB_Agents!$B:$F,4,0),"")=TEXT(H100,"0"),IF(AND(A100&lt;&gt;"",E100&lt;&gt;""),"✅ Saved","Pending"),"🔒 WRONG CODE")))</f>
        <v/>
      </c>
      <c r="J100" s="33" t="str">
        <f t="shared" ca="1" si="8"/>
        <v>—</v>
      </c>
      <c r="K100" s="46"/>
    </row>
    <row r="101" spans="1:11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IF(A101="","",IFERROR(VLOOKUP(A101,DB_Customers!$A:$M,13,0),""))</f>
        <v/>
      </c>
      <c r="D101" s="42" t="str">
        <f t="shared" ca="1" si="6"/>
        <v/>
      </c>
      <c r="E101" s="32"/>
      <c r="F101" s="43" t="str">
        <f t="shared" si="7"/>
        <v/>
      </c>
      <c r="G101" s="30" t="s">
        <v>57</v>
      </c>
      <c r="H101" s="41"/>
      <c r="I101" s="33" t="str">
        <f>IF(A101="","",IF(H101="","⚠️ Enter Agent Code",IF(IFERROR(VLOOKUP(G101,DB_Agents!$B:$F,4,0),"")=TEXT(H101,"0"),IF(AND(A101&lt;&gt;"",E101&lt;&gt;""),"✅ Saved","Pending"),"🔒 WRONG CODE")))</f>
        <v/>
      </c>
      <c r="J101" s="33" t="str">
        <f t="shared" ca="1" si="8"/>
        <v>—</v>
      </c>
      <c r="K101" s="22"/>
    </row>
    <row r="102" spans="1:11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IF(A102="","",IFERROR(VLOOKUP(A102,DB_Customers!$A:$M,13,0),""))</f>
        <v/>
      </c>
      <c r="D102" s="42" t="str">
        <f t="shared" ca="1" si="6"/>
        <v/>
      </c>
      <c r="E102" s="32"/>
      <c r="F102" s="43" t="str">
        <f t="shared" si="7"/>
        <v/>
      </c>
      <c r="G102" s="30" t="s">
        <v>57</v>
      </c>
      <c r="H102" s="41"/>
      <c r="I102" s="33" t="str">
        <f>IF(A102="","",IF(H102="","⚠️ Enter Agent Code",IF(IFERROR(VLOOKUP(G102,DB_Agents!$B:$F,4,0),"")=TEXT(H102,"0"),IF(AND(A102&lt;&gt;"",E102&lt;&gt;""),"✅ Saved","Pending"),"🔒 WRONG CODE")))</f>
        <v/>
      </c>
      <c r="J102" s="33" t="str">
        <f t="shared" ca="1" si="8"/>
        <v>—</v>
      </c>
      <c r="K102" s="46"/>
    </row>
    <row r="103" spans="1:11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IF(A103="","",IFERROR(VLOOKUP(A103,DB_Customers!$A:$M,13,0),""))</f>
        <v/>
      </c>
      <c r="D103" s="42" t="str">
        <f t="shared" ca="1" si="6"/>
        <v/>
      </c>
      <c r="E103" s="32"/>
      <c r="F103" s="43" t="str">
        <f t="shared" si="7"/>
        <v/>
      </c>
      <c r="G103" s="30" t="s">
        <v>57</v>
      </c>
      <c r="H103" s="41"/>
      <c r="I103" s="33" t="str">
        <f>IF(A103="","",IF(H103="","⚠️ Enter Agent Code",IF(IFERROR(VLOOKUP(G103,DB_Agents!$B:$F,4,0),"")=TEXT(H103,"0"),IF(AND(A103&lt;&gt;"",E103&lt;&gt;""),"✅ Saved","Pending"),"🔒 WRONG CODE")))</f>
        <v/>
      </c>
      <c r="J103" s="33" t="str">
        <f t="shared" ca="1" si="8"/>
        <v>—</v>
      </c>
      <c r="K103" s="22"/>
    </row>
    <row r="104" spans="1:11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IF(A104="","",IFERROR(VLOOKUP(A104,DB_Customers!$A:$M,13,0),""))</f>
        <v/>
      </c>
      <c r="D104" s="42" t="str">
        <f t="shared" ca="1" si="6"/>
        <v/>
      </c>
      <c r="E104" s="32"/>
      <c r="F104" s="43" t="str">
        <f t="shared" si="7"/>
        <v/>
      </c>
      <c r="G104" s="30" t="s">
        <v>57</v>
      </c>
      <c r="H104" s="41"/>
      <c r="I104" s="33" t="str">
        <f>IF(A104="","",IF(H104="","⚠️ Enter Agent Code",IF(IFERROR(VLOOKUP(G104,DB_Agents!$B:$F,4,0),"")=TEXT(H104,"0"),IF(AND(A104&lt;&gt;"",E104&lt;&gt;""),"✅ Saved","Pending"),"🔒 WRONG CODE")))</f>
        <v/>
      </c>
      <c r="J104" s="33" t="str">
        <f t="shared" ca="1" si="8"/>
        <v>—</v>
      </c>
      <c r="K104" s="46"/>
    </row>
    <row r="105" spans="1:11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IF(A105="","",IFERROR(VLOOKUP(A105,DB_Customers!$A:$M,13,0),""))</f>
        <v/>
      </c>
      <c r="D105" s="42" t="str">
        <f t="shared" ref="D105:D136" ca="1" si="9">IF(A105="","",TODAY())</f>
        <v/>
      </c>
      <c r="E105" s="32"/>
      <c r="F105" s="43" t="str">
        <f t="shared" ref="F105:F136" si="10">IFERROR(IF(OR(A105="",E105=""),"",C105+E105),"")</f>
        <v/>
      </c>
      <c r="G105" s="30" t="s">
        <v>57</v>
      </c>
      <c r="H105" s="41"/>
      <c r="I105" s="33" t="str">
        <f>IF(A105="","",IF(H105="","⚠️ Enter Agent Code",IF(IFERROR(VLOOKUP(G105,DB_Agents!$B:$F,4,0),"")=TEXT(H105,"0"),IF(AND(A105&lt;&gt;"",E105&lt;&gt;""),"✅ Saved","Pending"),"🔒 WRONG CODE")))</f>
        <v/>
      </c>
      <c r="J105" s="33" t="str">
        <f t="shared" ref="J105:J136" ca="1" si="11">IF(I105="✅ Saved",TEXT(TODAY(),"YYYY-MM-DD")&amp;" Auto","—")</f>
        <v>—</v>
      </c>
      <c r="K105" s="22"/>
    </row>
    <row r="106" spans="1:11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IF(A106="","",IFERROR(VLOOKUP(A106,DB_Customers!$A:$M,13,0),""))</f>
        <v/>
      </c>
      <c r="D106" s="42" t="str">
        <f t="shared" ca="1" si="9"/>
        <v/>
      </c>
      <c r="E106" s="32"/>
      <c r="F106" s="43" t="str">
        <f t="shared" si="10"/>
        <v/>
      </c>
      <c r="G106" s="30" t="s">
        <v>57</v>
      </c>
      <c r="H106" s="41"/>
      <c r="I106" s="33" t="str">
        <f>IF(A106="","",IF(H106="","⚠️ Enter Agent Code",IF(IFERROR(VLOOKUP(G106,DB_Agents!$B:$F,4,0),"")=TEXT(H106,"0"),IF(AND(A106&lt;&gt;"",E106&lt;&gt;""),"✅ Saved","Pending"),"🔒 WRONG CODE")))</f>
        <v/>
      </c>
      <c r="J106" s="33" t="str">
        <f t="shared" ca="1" si="11"/>
        <v>—</v>
      </c>
      <c r="K106" s="46"/>
    </row>
    <row r="107" spans="1:11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IF(A107="","",IFERROR(VLOOKUP(A107,DB_Customers!$A:$M,13,0),""))</f>
        <v/>
      </c>
      <c r="D107" s="42" t="str">
        <f t="shared" ca="1" si="9"/>
        <v/>
      </c>
      <c r="E107" s="32"/>
      <c r="F107" s="43" t="str">
        <f t="shared" si="10"/>
        <v/>
      </c>
      <c r="G107" s="30" t="s">
        <v>57</v>
      </c>
      <c r="H107" s="41"/>
      <c r="I107" s="33" t="str">
        <f>IF(A107="","",IF(H107="","⚠️ Enter Agent Code",IF(IFERROR(VLOOKUP(G107,DB_Agents!$B:$F,4,0),"")=TEXT(H107,"0"),IF(AND(A107&lt;&gt;"",E107&lt;&gt;""),"✅ Saved","Pending"),"🔒 WRONG CODE")))</f>
        <v/>
      </c>
      <c r="J107" s="33" t="str">
        <f t="shared" ca="1" si="11"/>
        <v>—</v>
      </c>
      <c r="K107" s="22"/>
    </row>
    <row r="108" spans="1:11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IF(A108="","",IFERROR(VLOOKUP(A108,DB_Customers!$A:$M,13,0),""))</f>
        <v/>
      </c>
      <c r="D108" s="42" t="str">
        <f t="shared" ca="1" si="9"/>
        <v/>
      </c>
      <c r="E108" s="32"/>
      <c r="F108" s="43" t="str">
        <f t="shared" si="10"/>
        <v/>
      </c>
      <c r="G108" s="30" t="s">
        <v>57</v>
      </c>
      <c r="H108" s="41"/>
      <c r="I108" s="33" t="str">
        <f>IF(A108="","",IF(H108="","⚠️ Enter Agent Code",IF(IFERROR(VLOOKUP(G108,DB_Agents!$B:$F,4,0),"")=TEXT(H108,"0"),IF(AND(A108&lt;&gt;"",E108&lt;&gt;""),"✅ Saved","Pending"),"🔒 WRONG CODE")))</f>
        <v/>
      </c>
      <c r="J108" s="33" t="str">
        <f t="shared" ca="1" si="11"/>
        <v>—</v>
      </c>
      <c r="K108" s="46"/>
    </row>
    <row r="109" spans="1:11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IF(A109="","",IFERROR(VLOOKUP(A109,DB_Customers!$A:$M,13,0),""))</f>
        <v/>
      </c>
      <c r="D109" s="42" t="str">
        <f t="shared" ca="1" si="9"/>
        <v/>
      </c>
      <c r="E109" s="32"/>
      <c r="F109" s="43" t="str">
        <f t="shared" si="10"/>
        <v/>
      </c>
      <c r="G109" s="30" t="s">
        <v>57</v>
      </c>
      <c r="H109" s="41"/>
      <c r="I109" s="33" t="str">
        <f>IF(A109="","",IF(H109="","⚠️ Enter Agent Code",IF(IFERROR(VLOOKUP(G109,DB_Agents!$B:$F,4,0),"")=TEXT(H109,"0"),IF(AND(A109&lt;&gt;"",E109&lt;&gt;""),"✅ Saved","Pending"),"🔒 WRONG CODE")))</f>
        <v/>
      </c>
      <c r="J109" s="33" t="str">
        <f t="shared" ca="1" si="11"/>
        <v>—</v>
      </c>
      <c r="K109" s="22"/>
    </row>
    <row r="110" spans="1:11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IF(A110="","",IFERROR(VLOOKUP(A110,DB_Customers!$A:$M,13,0),""))</f>
        <v/>
      </c>
      <c r="D110" s="42" t="str">
        <f t="shared" ca="1" si="9"/>
        <v/>
      </c>
      <c r="E110" s="32"/>
      <c r="F110" s="43" t="str">
        <f t="shared" si="10"/>
        <v/>
      </c>
      <c r="G110" s="30" t="s">
        <v>57</v>
      </c>
      <c r="H110" s="41"/>
      <c r="I110" s="33" t="str">
        <f>IF(A110="","",IF(H110="","⚠️ Enter Agent Code",IF(IFERROR(VLOOKUP(G110,DB_Agents!$B:$F,4,0),"")=TEXT(H110,"0"),IF(AND(A110&lt;&gt;"",E110&lt;&gt;""),"✅ Saved","Pending"),"🔒 WRONG CODE")))</f>
        <v/>
      </c>
      <c r="J110" s="33" t="str">
        <f t="shared" ca="1" si="11"/>
        <v>—</v>
      </c>
      <c r="K110" s="46"/>
    </row>
    <row r="111" spans="1:11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IF(A111="","",IFERROR(VLOOKUP(A111,DB_Customers!$A:$M,13,0),""))</f>
        <v/>
      </c>
      <c r="D111" s="42" t="str">
        <f t="shared" ca="1" si="9"/>
        <v/>
      </c>
      <c r="E111" s="32"/>
      <c r="F111" s="43" t="str">
        <f t="shared" si="10"/>
        <v/>
      </c>
      <c r="G111" s="30" t="s">
        <v>57</v>
      </c>
      <c r="H111" s="41"/>
      <c r="I111" s="33" t="str">
        <f>IF(A111="","",IF(H111="","⚠️ Enter Agent Code",IF(IFERROR(VLOOKUP(G111,DB_Agents!$B:$F,4,0),"")=TEXT(H111,"0"),IF(AND(A111&lt;&gt;"",E111&lt;&gt;""),"✅ Saved","Pending"),"🔒 WRONG CODE")))</f>
        <v/>
      </c>
      <c r="J111" s="33" t="str">
        <f t="shared" ca="1" si="11"/>
        <v>—</v>
      </c>
      <c r="K111" s="22"/>
    </row>
    <row r="112" spans="1:11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IF(A112="","",IFERROR(VLOOKUP(A112,DB_Customers!$A:$M,13,0),""))</f>
        <v/>
      </c>
      <c r="D112" s="42" t="str">
        <f t="shared" ca="1" si="9"/>
        <v/>
      </c>
      <c r="E112" s="32"/>
      <c r="F112" s="43" t="str">
        <f t="shared" si="10"/>
        <v/>
      </c>
      <c r="G112" s="30" t="s">
        <v>57</v>
      </c>
      <c r="H112" s="41"/>
      <c r="I112" s="33" t="str">
        <f>IF(A112="","",IF(H112="","⚠️ Enter Agent Code",IF(IFERROR(VLOOKUP(G112,DB_Agents!$B:$F,4,0),"")=TEXT(H112,"0"),IF(AND(A112&lt;&gt;"",E112&lt;&gt;""),"✅ Saved","Pending"),"🔒 WRONG CODE")))</f>
        <v/>
      </c>
      <c r="J112" s="33" t="str">
        <f t="shared" ca="1" si="11"/>
        <v>—</v>
      </c>
      <c r="K112" s="46"/>
    </row>
    <row r="113" spans="1:11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IF(A113="","",IFERROR(VLOOKUP(A113,DB_Customers!$A:$M,13,0),""))</f>
        <v/>
      </c>
      <c r="D113" s="42" t="str">
        <f t="shared" ca="1" si="9"/>
        <v/>
      </c>
      <c r="E113" s="32"/>
      <c r="F113" s="43" t="str">
        <f t="shared" si="10"/>
        <v/>
      </c>
      <c r="G113" s="30" t="s">
        <v>57</v>
      </c>
      <c r="H113" s="41"/>
      <c r="I113" s="33" t="str">
        <f>IF(A113="","",IF(H113="","⚠️ Enter Agent Code",IF(IFERROR(VLOOKUP(G113,DB_Agents!$B:$F,4,0),"")=TEXT(H113,"0"),IF(AND(A113&lt;&gt;"",E113&lt;&gt;""),"✅ Saved","Pending"),"🔒 WRONG CODE")))</f>
        <v/>
      </c>
      <c r="J113" s="33" t="str">
        <f t="shared" ca="1" si="11"/>
        <v>—</v>
      </c>
      <c r="K113" s="22"/>
    </row>
    <row r="114" spans="1:11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IF(A114="","",IFERROR(VLOOKUP(A114,DB_Customers!$A:$M,13,0),""))</f>
        <v/>
      </c>
      <c r="D114" s="42" t="str">
        <f t="shared" ca="1" si="9"/>
        <v/>
      </c>
      <c r="E114" s="32"/>
      <c r="F114" s="43" t="str">
        <f t="shared" si="10"/>
        <v/>
      </c>
      <c r="G114" s="30" t="s">
        <v>57</v>
      </c>
      <c r="H114" s="41"/>
      <c r="I114" s="33" t="str">
        <f>IF(A114="","",IF(H114="","⚠️ Enter Agent Code",IF(IFERROR(VLOOKUP(G114,DB_Agents!$B:$F,4,0),"")=TEXT(H114,"0"),IF(AND(A114&lt;&gt;"",E114&lt;&gt;""),"✅ Saved","Pending"),"🔒 WRONG CODE")))</f>
        <v/>
      </c>
      <c r="J114" s="33" t="str">
        <f t="shared" ca="1" si="11"/>
        <v>—</v>
      </c>
      <c r="K114" s="46"/>
    </row>
    <row r="115" spans="1:11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IF(A115="","",IFERROR(VLOOKUP(A115,DB_Customers!$A:$M,13,0),""))</f>
        <v/>
      </c>
      <c r="D115" s="42" t="str">
        <f t="shared" ca="1" si="9"/>
        <v/>
      </c>
      <c r="E115" s="32"/>
      <c r="F115" s="43" t="str">
        <f t="shared" si="10"/>
        <v/>
      </c>
      <c r="G115" s="30" t="s">
        <v>57</v>
      </c>
      <c r="H115" s="41"/>
      <c r="I115" s="33" t="str">
        <f>IF(A115="","",IF(H115="","⚠️ Enter Agent Code",IF(IFERROR(VLOOKUP(G115,DB_Agents!$B:$F,4,0),"")=TEXT(H115,"0"),IF(AND(A115&lt;&gt;"",E115&lt;&gt;""),"✅ Saved","Pending"),"🔒 WRONG CODE")))</f>
        <v/>
      </c>
      <c r="J115" s="33" t="str">
        <f t="shared" ca="1" si="11"/>
        <v>—</v>
      </c>
      <c r="K115" s="22"/>
    </row>
    <row r="116" spans="1:11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IF(A116="","",IFERROR(VLOOKUP(A116,DB_Customers!$A:$M,13,0),""))</f>
        <v/>
      </c>
      <c r="D116" s="42" t="str">
        <f t="shared" ca="1" si="9"/>
        <v/>
      </c>
      <c r="E116" s="32"/>
      <c r="F116" s="43" t="str">
        <f t="shared" si="10"/>
        <v/>
      </c>
      <c r="G116" s="30" t="s">
        <v>57</v>
      </c>
      <c r="H116" s="41"/>
      <c r="I116" s="33" t="str">
        <f>IF(A116="","",IF(H116="","⚠️ Enter Agent Code",IF(IFERROR(VLOOKUP(G116,DB_Agents!$B:$F,4,0),"")=TEXT(H116,"0"),IF(AND(A116&lt;&gt;"",E116&lt;&gt;""),"✅ Saved","Pending"),"🔒 WRONG CODE")))</f>
        <v/>
      </c>
      <c r="J116" s="33" t="str">
        <f t="shared" ca="1" si="11"/>
        <v>—</v>
      </c>
      <c r="K116" s="46"/>
    </row>
    <row r="117" spans="1:11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IF(A117="","",IFERROR(VLOOKUP(A117,DB_Customers!$A:$M,13,0),""))</f>
        <v/>
      </c>
      <c r="D117" s="42" t="str">
        <f t="shared" ca="1" si="9"/>
        <v/>
      </c>
      <c r="E117" s="32"/>
      <c r="F117" s="43" t="str">
        <f t="shared" si="10"/>
        <v/>
      </c>
      <c r="G117" s="30" t="s">
        <v>57</v>
      </c>
      <c r="H117" s="41"/>
      <c r="I117" s="33" t="str">
        <f>IF(A117="","",IF(H117="","⚠️ Enter Agent Code",IF(IFERROR(VLOOKUP(G117,DB_Agents!$B:$F,4,0),"")=TEXT(H117,"0"),IF(AND(A117&lt;&gt;"",E117&lt;&gt;""),"✅ Saved","Pending"),"🔒 WRONG CODE")))</f>
        <v/>
      </c>
      <c r="J117" s="33" t="str">
        <f t="shared" ca="1" si="11"/>
        <v>—</v>
      </c>
      <c r="K117" s="22"/>
    </row>
    <row r="118" spans="1:11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IF(A118="","",IFERROR(VLOOKUP(A118,DB_Customers!$A:$M,13,0),""))</f>
        <v/>
      </c>
      <c r="D118" s="42" t="str">
        <f t="shared" ca="1" si="9"/>
        <v/>
      </c>
      <c r="E118" s="32"/>
      <c r="F118" s="43" t="str">
        <f t="shared" si="10"/>
        <v/>
      </c>
      <c r="G118" s="30" t="s">
        <v>57</v>
      </c>
      <c r="H118" s="41"/>
      <c r="I118" s="33" t="str">
        <f>IF(A118="","",IF(H118="","⚠️ Enter Agent Code",IF(IFERROR(VLOOKUP(G118,DB_Agents!$B:$F,4,0),"")=TEXT(H118,"0"),IF(AND(A118&lt;&gt;"",E118&lt;&gt;""),"✅ Saved","Pending"),"🔒 WRONG CODE")))</f>
        <v/>
      </c>
      <c r="J118" s="33" t="str">
        <f t="shared" ca="1" si="11"/>
        <v>—</v>
      </c>
      <c r="K118" s="46"/>
    </row>
    <row r="119" spans="1:11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IF(A119="","",IFERROR(VLOOKUP(A119,DB_Customers!$A:$M,13,0),""))</f>
        <v/>
      </c>
      <c r="D119" s="42" t="str">
        <f t="shared" ca="1" si="9"/>
        <v/>
      </c>
      <c r="E119" s="32"/>
      <c r="F119" s="43" t="str">
        <f t="shared" si="10"/>
        <v/>
      </c>
      <c r="G119" s="30" t="s">
        <v>57</v>
      </c>
      <c r="H119" s="41"/>
      <c r="I119" s="33" t="str">
        <f>IF(A119="","",IF(H119="","⚠️ Enter Agent Code",IF(IFERROR(VLOOKUP(G119,DB_Agents!$B:$F,4,0),"")=TEXT(H119,"0"),IF(AND(A119&lt;&gt;"",E119&lt;&gt;""),"✅ Saved","Pending"),"🔒 WRONG CODE")))</f>
        <v/>
      </c>
      <c r="J119" s="33" t="str">
        <f t="shared" ca="1" si="11"/>
        <v>—</v>
      </c>
      <c r="K119" s="22"/>
    </row>
    <row r="120" spans="1:11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IF(A120="","",IFERROR(VLOOKUP(A120,DB_Customers!$A:$M,13,0),""))</f>
        <v/>
      </c>
      <c r="D120" s="42" t="str">
        <f t="shared" ca="1" si="9"/>
        <v/>
      </c>
      <c r="E120" s="32"/>
      <c r="F120" s="43" t="str">
        <f t="shared" si="10"/>
        <v/>
      </c>
      <c r="G120" s="30" t="s">
        <v>57</v>
      </c>
      <c r="H120" s="41"/>
      <c r="I120" s="33" t="str">
        <f>IF(A120="","",IF(H120="","⚠️ Enter Agent Code",IF(IFERROR(VLOOKUP(G120,DB_Agents!$B:$F,4,0),"")=TEXT(H120,"0"),IF(AND(A120&lt;&gt;"",E120&lt;&gt;""),"✅ Saved","Pending"),"🔒 WRONG CODE")))</f>
        <v/>
      </c>
      <c r="J120" s="33" t="str">
        <f t="shared" ca="1" si="11"/>
        <v>—</v>
      </c>
      <c r="K120" s="46"/>
    </row>
    <row r="121" spans="1:11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IF(A121="","",IFERROR(VLOOKUP(A121,DB_Customers!$A:$M,13,0),""))</f>
        <v/>
      </c>
      <c r="D121" s="42" t="str">
        <f t="shared" ca="1" si="9"/>
        <v/>
      </c>
      <c r="E121" s="32"/>
      <c r="F121" s="43" t="str">
        <f t="shared" si="10"/>
        <v/>
      </c>
      <c r="G121" s="30" t="s">
        <v>57</v>
      </c>
      <c r="H121" s="41"/>
      <c r="I121" s="33" t="str">
        <f>IF(A121="","",IF(H121="","⚠️ Enter Agent Code",IF(IFERROR(VLOOKUP(G121,DB_Agents!$B:$F,4,0),"")=TEXT(H121,"0"),IF(AND(A121&lt;&gt;"",E121&lt;&gt;""),"✅ Saved","Pending"),"🔒 WRONG CODE")))</f>
        <v/>
      </c>
      <c r="J121" s="33" t="str">
        <f t="shared" ca="1" si="11"/>
        <v>—</v>
      </c>
      <c r="K121" s="22"/>
    </row>
    <row r="122" spans="1:11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IF(A122="","",IFERROR(VLOOKUP(A122,DB_Customers!$A:$M,13,0),""))</f>
        <v/>
      </c>
      <c r="D122" s="42" t="str">
        <f t="shared" ca="1" si="9"/>
        <v/>
      </c>
      <c r="E122" s="32"/>
      <c r="F122" s="43" t="str">
        <f t="shared" si="10"/>
        <v/>
      </c>
      <c r="G122" s="30" t="s">
        <v>57</v>
      </c>
      <c r="H122" s="41"/>
      <c r="I122" s="33" t="str">
        <f>IF(A122="","",IF(H122="","⚠️ Enter Agent Code",IF(IFERROR(VLOOKUP(G122,DB_Agents!$B:$F,4,0),"")=TEXT(H122,"0"),IF(AND(A122&lt;&gt;"",E122&lt;&gt;""),"✅ Saved","Pending"),"🔒 WRONG CODE")))</f>
        <v/>
      </c>
      <c r="J122" s="33" t="str">
        <f t="shared" ca="1" si="11"/>
        <v>—</v>
      </c>
      <c r="K122" s="46"/>
    </row>
    <row r="123" spans="1:11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IF(A123="","",IFERROR(VLOOKUP(A123,DB_Customers!$A:$M,13,0),""))</f>
        <v/>
      </c>
      <c r="D123" s="42" t="str">
        <f t="shared" ca="1" si="9"/>
        <v/>
      </c>
      <c r="E123" s="32"/>
      <c r="F123" s="43" t="str">
        <f t="shared" si="10"/>
        <v/>
      </c>
      <c r="G123" s="30" t="s">
        <v>57</v>
      </c>
      <c r="H123" s="41"/>
      <c r="I123" s="33" t="str">
        <f>IF(A123="","",IF(H123="","⚠️ Enter Agent Code",IF(IFERROR(VLOOKUP(G123,DB_Agents!$B:$F,4,0),"")=TEXT(H123,"0"),IF(AND(A123&lt;&gt;"",E123&lt;&gt;""),"✅ Saved","Pending"),"🔒 WRONG CODE")))</f>
        <v/>
      </c>
      <c r="J123" s="33" t="str">
        <f t="shared" ca="1" si="11"/>
        <v>—</v>
      </c>
      <c r="K123" s="22"/>
    </row>
    <row r="124" spans="1:11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IF(A124="","",IFERROR(VLOOKUP(A124,DB_Customers!$A:$M,13,0),""))</f>
        <v/>
      </c>
      <c r="D124" s="42" t="str">
        <f t="shared" ca="1" si="9"/>
        <v/>
      </c>
      <c r="E124" s="32"/>
      <c r="F124" s="43" t="str">
        <f t="shared" si="10"/>
        <v/>
      </c>
      <c r="G124" s="30" t="s">
        <v>57</v>
      </c>
      <c r="H124" s="41"/>
      <c r="I124" s="33" t="str">
        <f>IF(A124="","",IF(H124="","⚠️ Enter Agent Code",IF(IFERROR(VLOOKUP(G124,DB_Agents!$B:$F,4,0),"")=TEXT(H124,"0"),IF(AND(A124&lt;&gt;"",E124&lt;&gt;""),"✅ Saved","Pending"),"🔒 WRONG CODE")))</f>
        <v/>
      </c>
      <c r="J124" s="33" t="str">
        <f t="shared" ca="1" si="11"/>
        <v>—</v>
      </c>
      <c r="K124" s="46"/>
    </row>
    <row r="125" spans="1:11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IF(A125="","",IFERROR(VLOOKUP(A125,DB_Customers!$A:$M,13,0),""))</f>
        <v/>
      </c>
      <c r="D125" s="42" t="str">
        <f t="shared" ca="1" si="9"/>
        <v/>
      </c>
      <c r="E125" s="32"/>
      <c r="F125" s="43" t="str">
        <f t="shared" si="10"/>
        <v/>
      </c>
      <c r="G125" s="30" t="s">
        <v>57</v>
      </c>
      <c r="H125" s="41"/>
      <c r="I125" s="33" t="str">
        <f>IF(A125="","",IF(H125="","⚠️ Enter Agent Code",IF(IFERROR(VLOOKUP(G125,DB_Agents!$B:$F,4,0),"")=TEXT(H125,"0"),IF(AND(A125&lt;&gt;"",E125&lt;&gt;""),"✅ Saved","Pending"),"🔒 WRONG CODE")))</f>
        <v/>
      </c>
      <c r="J125" s="33" t="str">
        <f t="shared" ca="1" si="11"/>
        <v>—</v>
      </c>
      <c r="K125" s="22"/>
    </row>
    <row r="126" spans="1:11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IF(A126="","",IFERROR(VLOOKUP(A126,DB_Customers!$A:$M,13,0),""))</f>
        <v/>
      </c>
      <c r="D126" s="42" t="str">
        <f t="shared" ca="1" si="9"/>
        <v/>
      </c>
      <c r="E126" s="32"/>
      <c r="F126" s="43" t="str">
        <f t="shared" si="10"/>
        <v/>
      </c>
      <c r="G126" s="30" t="s">
        <v>57</v>
      </c>
      <c r="H126" s="41"/>
      <c r="I126" s="33" t="str">
        <f>IF(A126="","",IF(H126="","⚠️ Enter Agent Code",IF(IFERROR(VLOOKUP(G126,DB_Agents!$B:$F,4,0),"")=TEXT(H126,"0"),IF(AND(A126&lt;&gt;"",E126&lt;&gt;""),"✅ Saved","Pending"),"🔒 WRONG CODE")))</f>
        <v/>
      </c>
      <c r="J126" s="33" t="str">
        <f t="shared" ca="1" si="11"/>
        <v>—</v>
      </c>
      <c r="K126" s="46"/>
    </row>
    <row r="127" spans="1:11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IF(A127="","",IFERROR(VLOOKUP(A127,DB_Customers!$A:$M,13,0),""))</f>
        <v/>
      </c>
      <c r="D127" s="42" t="str">
        <f t="shared" ca="1" si="9"/>
        <v/>
      </c>
      <c r="E127" s="32"/>
      <c r="F127" s="43" t="str">
        <f t="shared" si="10"/>
        <v/>
      </c>
      <c r="G127" s="30" t="s">
        <v>57</v>
      </c>
      <c r="H127" s="41"/>
      <c r="I127" s="33" t="str">
        <f>IF(A127="","",IF(H127="","⚠️ Enter Agent Code",IF(IFERROR(VLOOKUP(G127,DB_Agents!$B:$F,4,0),"")=TEXT(H127,"0"),IF(AND(A127&lt;&gt;"",E127&lt;&gt;""),"✅ Saved","Pending"),"🔒 WRONG CODE")))</f>
        <v/>
      </c>
      <c r="J127" s="33" t="str">
        <f t="shared" ca="1" si="11"/>
        <v>—</v>
      </c>
      <c r="K127" s="22"/>
    </row>
    <row r="128" spans="1:11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IF(A128="","",IFERROR(VLOOKUP(A128,DB_Customers!$A:$M,13,0),""))</f>
        <v/>
      </c>
      <c r="D128" s="42" t="str">
        <f t="shared" ca="1" si="9"/>
        <v/>
      </c>
      <c r="E128" s="32"/>
      <c r="F128" s="43" t="str">
        <f t="shared" si="10"/>
        <v/>
      </c>
      <c r="G128" s="30" t="s">
        <v>57</v>
      </c>
      <c r="H128" s="41"/>
      <c r="I128" s="33" t="str">
        <f>IF(A128="","",IF(H128="","⚠️ Enter Agent Code",IF(IFERROR(VLOOKUP(G128,DB_Agents!$B:$F,4,0),"")=TEXT(H128,"0"),IF(AND(A128&lt;&gt;"",E128&lt;&gt;""),"✅ Saved","Pending"),"🔒 WRONG CODE")))</f>
        <v/>
      </c>
      <c r="J128" s="33" t="str">
        <f t="shared" ca="1" si="11"/>
        <v>—</v>
      </c>
      <c r="K128" s="46"/>
    </row>
    <row r="129" spans="1:11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IF(A129="","",IFERROR(VLOOKUP(A129,DB_Customers!$A:$M,13,0),""))</f>
        <v/>
      </c>
      <c r="D129" s="42" t="str">
        <f t="shared" ca="1" si="9"/>
        <v/>
      </c>
      <c r="E129" s="32"/>
      <c r="F129" s="43" t="str">
        <f t="shared" si="10"/>
        <v/>
      </c>
      <c r="G129" s="30" t="s">
        <v>57</v>
      </c>
      <c r="H129" s="41"/>
      <c r="I129" s="33" t="str">
        <f>IF(A129="","",IF(H129="","⚠️ Enter Agent Code",IF(IFERROR(VLOOKUP(G129,DB_Agents!$B:$F,4,0),"")=TEXT(H129,"0"),IF(AND(A129&lt;&gt;"",E129&lt;&gt;""),"✅ Saved","Pending"),"🔒 WRONG CODE")))</f>
        <v/>
      </c>
      <c r="J129" s="33" t="str">
        <f t="shared" ca="1" si="11"/>
        <v>—</v>
      </c>
      <c r="K129" s="22"/>
    </row>
    <row r="130" spans="1:11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IF(A130="","",IFERROR(VLOOKUP(A130,DB_Customers!$A:$M,13,0),""))</f>
        <v/>
      </c>
      <c r="D130" s="42" t="str">
        <f t="shared" ca="1" si="9"/>
        <v/>
      </c>
      <c r="E130" s="32"/>
      <c r="F130" s="43" t="str">
        <f t="shared" si="10"/>
        <v/>
      </c>
      <c r="G130" s="30" t="s">
        <v>57</v>
      </c>
      <c r="H130" s="41"/>
      <c r="I130" s="33" t="str">
        <f>IF(A130="","",IF(H130="","⚠️ Enter Agent Code",IF(IFERROR(VLOOKUP(G130,DB_Agents!$B:$F,4,0),"")=TEXT(H130,"0"),IF(AND(A130&lt;&gt;"",E130&lt;&gt;""),"✅ Saved","Pending"),"🔒 WRONG CODE")))</f>
        <v/>
      </c>
      <c r="J130" s="33" t="str">
        <f t="shared" ca="1" si="11"/>
        <v>—</v>
      </c>
      <c r="K130" s="46"/>
    </row>
    <row r="131" spans="1:11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IF(A131="","",IFERROR(VLOOKUP(A131,DB_Customers!$A:$M,13,0),""))</f>
        <v/>
      </c>
      <c r="D131" s="42" t="str">
        <f t="shared" ca="1" si="9"/>
        <v/>
      </c>
      <c r="E131" s="32"/>
      <c r="F131" s="43" t="str">
        <f t="shared" si="10"/>
        <v/>
      </c>
      <c r="G131" s="30" t="s">
        <v>57</v>
      </c>
      <c r="H131" s="41"/>
      <c r="I131" s="33" t="str">
        <f>IF(A131="","",IF(H131="","⚠️ Enter Agent Code",IF(IFERROR(VLOOKUP(G131,DB_Agents!$B:$F,4,0),"")=TEXT(H131,"0"),IF(AND(A131&lt;&gt;"",E131&lt;&gt;""),"✅ Saved","Pending"),"🔒 WRONG CODE")))</f>
        <v/>
      </c>
      <c r="J131" s="33" t="str">
        <f t="shared" ca="1" si="11"/>
        <v>—</v>
      </c>
      <c r="K131" s="22"/>
    </row>
    <row r="132" spans="1:11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IF(A132="","",IFERROR(VLOOKUP(A132,DB_Customers!$A:$M,13,0),""))</f>
        <v/>
      </c>
      <c r="D132" s="42" t="str">
        <f t="shared" ca="1" si="9"/>
        <v/>
      </c>
      <c r="E132" s="32"/>
      <c r="F132" s="43" t="str">
        <f t="shared" si="10"/>
        <v/>
      </c>
      <c r="G132" s="30" t="s">
        <v>57</v>
      </c>
      <c r="H132" s="41"/>
      <c r="I132" s="33" t="str">
        <f>IF(A132="","",IF(H132="","⚠️ Enter Agent Code",IF(IFERROR(VLOOKUP(G132,DB_Agents!$B:$F,4,0),"")=TEXT(H132,"0"),IF(AND(A132&lt;&gt;"",E132&lt;&gt;""),"✅ Saved","Pending"),"🔒 WRONG CODE")))</f>
        <v/>
      </c>
      <c r="J132" s="33" t="str">
        <f t="shared" ca="1" si="11"/>
        <v>—</v>
      </c>
      <c r="K132" s="46"/>
    </row>
    <row r="133" spans="1:11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IF(A133="","",IFERROR(VLOOKUP(A133,DB_Customers!$A:$M,13,0),""))</f>
        <v/>
      </c>
      <c r="D133" s="42" t="str">
        <f t="shared" ca="1" si="9"/>
        <v/>
      </c>
      <c r="E133" s="32"/>
      <c r="F133" s="43" t="str">
        <f t="shared" si="10"/>
        <v/>
      </c>
      <c r="G133" s="30" t="s">
        <v>57</v>
      </c>
      <c r="H133" s="41"/>
      <c r="I133" s="33" t="str">
        <f>IF(A133="","",IF(H133="","⚠️ Enter Agent Code",IF(IFERROR(VLOOKUP(G133,DB_Agents!$B:$F,4,0),"")=TEXT(H133,"0"),IF(AND(A133&lt;&gt;"",E133&lt;&gt;""),"✅ Saved","Pending"),"🔒 WRONG CODE")))</f>
        <v/>
      </c>
      <c r="J133" s="33" t="str">
        <f t="shared" ca="1" si="11"/>
        <v>—</v>
      </c>
      <c r="K133" s="22"/>
    </row>
    <row r="134" spans="1:11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IF(A134="","",IFERROR(VLOOKUP(A134,DB_Customers!$A:$M,13,0),""))</f>
        <v/>
      </c>
      <c r="D134" s="42" t="str">
        <f t="shared" ca="1" si="9"/>
        <v/>
      </c>
      <c r="E134" s="32"/>
      <c r="F134" s="43" t="str">
        <f t="shared" si="10"/>
        <v/>
      </c>
      <c r="G134" s="30" t="s">
        <v>57</v>
      </c>
      <c r="H134" s="41"/>
      <c r="I134" s="33" t="str">
        <f>IF(A134="","",IF(H134="","⚠️ Enter Agent Code",IF(IFERROR(VLOOKUP(G134,DB_Agents!$B:$F,4,0),"")=TEXT(H134,"0"),IF(AND(A134&lt;&gt;"",E134&lt;&gt;""),"✅ Saved","Pending"),"🔒 WRONG CODE")))</f>
        <v/>
      </c>
      <c r="J134" s="33" t="str">
        <f t="shared" ca="1" si="11"/>
        <v>—</v>
      </c>
      <c r="K134" s="46"/>
    </row>
    <row r="135" spans="1:11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IF(A135="","",IFERROR(VLOOKUP(A135,DB_Customers!$A:$M,13,0),""))</f>
        <v/>
      </c>
      <c r="D135" s="42" t="str">
        <f t="shared" ca="1" si="9"/>
        <v/>
      </c>
      <c r="E135" s="32"/>
      <c r="F135" s="43" t="str">
        <f t="shared" si="10"/>
        <v/>
      </c>
      <c r="G135" s="30" t="s">
        <v>57</v>
      </c>
      <c r="H135" s="41"/>
      <c r="I135" s="33" t="str">
        <f>IF(A135="","",IF(H135="","⚠️ Enter Agent Code",IF(IFERROR(VLOOKUP(G135,DB_Agents!$B:$F,4,0),"")=TEXT(H135,"0"),IF(AND(A135&lt;&gt;"",E135&lt;&gt;""),"✅ Saved","Pending"),"🔒 WRONG CODE")))</f>
        <v/>
      </c>
      <c r="J135" s="33" t="str">
        <f t="shared" ca="1" si="11"/>
        <v>—</v>
      </c>
      <c r="K135" s="22"/>
    </row>
    <row r="136" spans="1:11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IF(A136="","",IFERROR(VLOOKUP(A136,DB_Customers!$A:$M,13,0),""))</f>
        <v/>
      </c>
      <c r="D136" s="42" t="str">
        <f t="shared" ca="1" si="9"/>
        <v/>
      </c>
      <c r="E136" s="32"/>
      <c r="F136" s="43" t="str">
        <f t="shared" si="10"/>
        <v/>
      </c>
      <c r="G136" s="30" t="s">
        <v>57</v>
      </c>
      <c r="H136" s="41"/>
      <c r="I136" s="33" t="str">
        <f>IF(A136="","",IF(H136="","⚠️ Enter Agent Code",IF(IFERROR(VLOOKUP(G136,DB_Agents!$B:$F,4,0),"")=TEXT(H136,"0"),IF(AND(A136&lt;&gt;"",E136&lt;&gt;""),"✅ Saved","Pending"),"🔒 WRONG CODE")))</f>
        <v/>
      </c>
      <c r="J136" s="33" t="str">
        <f t="shared" ca="1" si="11"/>
        <v>—</v>
      </c>
      <c r="K136" s="46"/>
    </row>
    <row r="137" spans="1:11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IF(A137="","",IFERROR(VLOOKUP(A137,DB_Customers!$A:$M,13,0),""))</f>
        <v/>
      </c>
      <c r="D137" s="42" t="str">
        <f t="shared" ref="D137:D168" ca="1" si="12">IF(A137="","",TODAY())</f>
        <v/>
      </c>
      <c r="E137" s="32"/>
      <c r="F137" s="43" t="str">
        <f t="shared" ref="F137:F168" si="13">IFERROR(IF(OR(A137="",E137=""),"",C137+E137),"")</f>
        <v/>
      </c>
      <c r="G137" s="30" t="s">
        <v>57</v>
      </c>
      <c r="H137" s="41"/>
      <c r="I137" s="33" t="str">
        <f>IF(A137="","",IF(H137="","⚠️ Enter Agent Code",IF(IFERROR(VLOOKUP(G137,DB_Agents!$B:$F,4,0),"")=TEXT(H137,"0"),IF(AND(A137&lt;&gt;"",E137&lt;&gt;""),"✅ Saved","Pending"),"🔒 WRONG CODE")))</f>
        <v/>
      </c>
      <c r="J137" s="33" t="str">
        <f t="shared" ref="J137:J168" ca="1" si="14">IF(I137="✅ Saved",TEXT(TODAY(),"YYYY-MM-DD")&amp;" Auto","—")</f>
        <v>—</v>
      </c>
      <c r="K137" s="22"/>
    </row>
    <row r="138" spans="1:11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IF(A138="","",IFERROR(VLOOKUP(A138,DB_Customers!$A:$M,13,0),""))</f>
        <v/>
      </c>
      <c r="D138" s="42" t="str">
        <f t="shared" ca="1" si="12"/>
        <v/>
      </c>
      <c r="E138" s="32"/>
      <c r="F138" s="43" t="str">
        <f t="shared" si="13"/>
        <v/>
      </c>
      <c r="G138" s="30" t="s">
        <v>57</v>
      </c>
      <c r="H138" s="41"/>
      <c r="I138" s="33" t="str">
        <f>IF(A138="","",IF(H138="","⚠️ Enter Agent Code",IF(IFERROR(VLOOKUP(G138,DB_Agents!$B:$F,4,0),"")=TEXT(H138,"0"),IF(AND(A138&lt;&gt;"",E138&lt;&gt;""),"✅ Saved","Pending"),"🔒 WRONG CODE")))</f>
        <v/>
      </c>
      <c r="J138" s="33" t="str">
        <f t="shared" ca="1" si="14"/>
        <v>—</v>
      </c>
      <c r="K138" s="46"/>
    </row>
    <row r="139" spans="1:11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IF(A139="","",IFERROR(VLOOKUP(A139,DB_Customers!$A:$M,13,0),""))</f>
        <v/>
      </c>
      <c r="D139" s="42" t="str">
        <f t="shared" ca="1" si="12"/>
        <v/>
      </c>
      <c r="E139" s="32"/>
      <c r="F139" s="43" t="str">
        <f t="shared" si="13"/>
        <v/>
      </c>
      <c r="G139" s="30" t="s">
        <v>57</v>
      </c>
      <c r="H139" s="41"/>
      <c r="I139" s="33" t="str">
        <f>IF(A139="","",IF(H139="","⚠️ Enter Agent Code",IF(IFERROR(VLOOKUP(G139,DB_Agents!$B:$F,4,0),"")=TEXT(H139,"0"),IF(AND(A139&lt;&gt;"",E139&lt;&gt;""),"✅ Saved","Pending"),"🔒 WRONG CODE")))</f>
        <v/>
      </c>
      <c r="J139" s="33" t="str">
        <f t="shared" ca="1" si="14"/>
        <v>—</v>
      </c>
      <c r="K139" s="22"/>
    </row>
    <row r="140" spans="1:11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IF(A140="","",IFERROR(VLOOKUP(A140,DB_Customers!$A:$M,13,0),""))</f>
        <v/>
      </c>
      <c r="D140" s="42" t="str">
        <f t="shared" ca="1" si="12"/>
        <v/>
      </c>
      <c r="E140" s="32"/>
      <c r="F140" s="43" t="str">
        <f t="shared" si="13"/>
        <v/>
      </c>
      <c r="G140" s="30" t="s">
        <v>57</v>
      </c>
      <c r="H140" s="41"/>
      <c r="I140" s="33" t="str">
        <f>IF(A140="","",IF(H140="","⚠️ Enter Agent Code",IF(IFERROR(VLOOKUP(G140,DB_Agents!$B:$F,4,0),"")=TEXT(H140,"0"),IF(AND(A140&lt;&gt;"",E140&lt;&gt;""),"✅ Saved","Pending"),"🔒 WRONG CODE")))</f>
        <v/>
      </c>
      <c r="J140" s="33" t="str">
        <f t="shared" ca="1" si="14"/>
        <v>—</v>
      </c>
      <c r="K140" s="46"/>
    </row>
    <row r="141" spans="1:11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IF(A141="","",IFERROR(VLOOKUP(A141,DB_Customers!$A:$M,13,0),""))</f>
        <v/>
      </c>
      <c r="D141" s="42" t="str">
        <f t="shared" ca="1" si="12"/>
        <v/>
      </c>
      <c r="E141" s="32"/>
      <c r="F141" s="43" t="str">
        <f t="shared" si="13"/>
        <v/>
      </c>
      <c r="G141" s="30" t="s">
        <v>57</v>
      </c>
      <c r="H141" s="41"/>
      <c r="I141" s="33" t="str">
        <f>IF(A141="","",IF(H141="","⚠️ Enter Agent Code",IF(IFERROR(VLOOKUP(G141,DB_Agents!$B:$F,4,0),"")=TEXT(H141,"0"),IF(AND(A141&lt;&gt;"",E141&lt;&gt;""),"✅ Saved","Pending"),"🔒 WRONG CODE")))</f>
        <v/>
      </c>
      <c r="J141" s="33" t="str">
        <f t="shared" ca="1" si="14"/>
        <v>—</v>
      </c>
      <c r="K141" s="22"/>
    </row>
    <row r="142" spans="1:11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IF(A142="","",IFERROR(VLOOKUP(A142,DB_Customers!$A:$M,13,0),""))</f>
        <v/>
      </c>
      <c r="D142" s="42" t="str">
        <f t="shared" ca="1" si="12"/>
        <v/>
      </c>
      <c r="E142" s="32"/>
      <c r="F142" s="43" t="str">
        <f t="shared" si="13"/>
        <v/>
      </c>
      <c r="G142" s="30" t="s">
        <v>57</v>
      </c>
      <c r="H142" s="41"/>
      <c r="I142" s="33" t="str">
        <f>IF(A142="","",IF(H142="","⚠️ Enter Agent Code",IF(IFERROR(VLOOKUP(G142,DB_Agents!$B:$F,4,0),"")=TEXT(H142,"0"),IF(AND(A142&lt;&gt;"",E142&lt;&gt;""),"✅ Saved","Pending"),"🔒 WRONG CODE")))</f>
        <v/>
      </c>
      <c r="J142" s="33" t="str">
        <f t="shared" ca="1" si="14"/>
        <v>—</v>
      </c>
      <c r="K142" s="46"/>
    </row>
    <row r="143" spans="1:11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IF(A143="","",IFERROR(VLOOKUP(A143,DB_Customers!$A:$M,13,0),""))</f>
        <v/>
      </c>
      <c r="D143" s="42" t="str">
        <f t="shared" ca="1" si="12"/>
        <v/>
      </c>
      <c r="E143" s="32"/>
      <c r="F143" s="43" t="str">
        <f t="shared" si="13"/>
        <v/>
      </c>
      <c r="G143" s="30" t="s">
        <v>57</v>
      </c>
      <c r="H143" s="41"/>
      <c r="I143" s="33" t="str">
        <f>IF(A143="","",IF(H143="","⚠️ Enter Agent Code",IF(IFERROR(VLOOKUP(G143,DB_Agents!$B:$F,4,0),"")=TEXT(H143,"0"),IF(AND(A143&lt;&gt;"",E143&lt;&gt;""),"✅ Saved","Pending"),"🔒 WRONG CODE")))</f>
        <v/>
      </c>
      <c r="J143" s="33" t="str">
        <f t="shared" ca="1" si="14"/>
        <v>—</v>
      </c>
      <c r="K143" s="22"/>
    </row>
    <row r="144" spans="1:11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IF(A144="","",IFERROR(VLOOKUP(A144,DB_Customers!$A:$M,13,0),""))</f>
        <v/>
      </c>
      <c r="D144" s="42" t="str">
        <f t="shared" ca="1" si="12"/>
        <v/>
      </c>
      <c r="E144" s="32"/>
      <c r="F144" s="43" t="str">
        <f t="shared" si="13"/>
        <v/>
      </c>
      <c r="G144" s="30" t="s">
        <v>57</v>
      </c>
      <c r="H144" s="41"/>
      <c r="I144" s="33" t="str">
        <f>IF(A144="","",IF(H144="","⚠️ Enter Agent Code",IF(IFERROR(VLOOKUP(G144,DB_Agents!$B:$F,4,0),"")=TEXT(H144,"0"),IF(AND(A144&lt;&gt;"",E144&lt;&gt;""),"✅ Saved","Pending"),"🔒 WRONG CODE")))</f>
        <v/>
      </c>
      <c r="J144" s="33" t="str">
        <f t="shared" ca="1" si="14"/>
        <v>—</v>
      </c>
      <c r="K144" s="46"/>
    </row>
    <row r="145" spans="1:11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IF(A145="","",IFERROR(VLOOKUP(A145,DB_Customers!$A:$M,13,0),""))</f>
        <v/>
      </c>
      <c r="D145" s="42" t="str">
        <f t="shared" ca="1" si="12"/>
        <v/>
      </c>
      <c r="E145" s="32"/>
      <c r="F145" s="43" t="str">
        <f t="shared" si="13"/>
        <v/>
      </c>
      <c r="G145" s="30" t="s">
        <v>57</v>
      </c>
      <c r="H145" s="41"/>
      <c r="I145" s="33" t="str">
        <f>IF(A145="","",IF(H145="","⚠️ Enter Agent Code",IF(IFERROR(VLOOKUP(G145,DB_Agents!$B:$F,4,0),"")=TEXT(H145,"0"),IF(AND(A145&lt;&gt;"",E145&lt;&gt;""),"✅ Saved","Pending"),"🔒 WRONG CODE")))</f>
        <v/>
      </c>
      <c r="J145" s="33" t="str">
        <f t="shared" ca="1" si="14"/>
        <v>—</v>
      </c>
      <c r="K145" s="22"/>
    </row>
    <row r="146" spans="1:11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IF(A146="","",IFERROR(VLOOKUP(A146,DB_Customers!$A:$M,13,0),""))</f>
        <v/>
      </c>
      <c r="D146" s="42" t="str">
        <f t="shared" ca="1" si="12"/>
        <v/>
      </c>
      <c r="E146" s="32"/>
      <c r="F146" s="43" t="str">
        <f t="shared" si="13"/>
        <v/>
      </c>
      <c r="G146" s="30" t="s">
        <v>57</v>
      </c>
      <c r="H146" s="41"/>
      <c r="I146" s="33" t="str">
        <f>IF(A146="","",IF(H146="","⚠️ Enter Agent Code",IF(IFERROR(VLOOKUP(G146,DB_Agents!$B:$F,4,0),"")=TEXT(H146,"0"),IF(AND(A146&lt;&gt;"",E146&lt;&gt;""),"✅ Saved","Pending"),"🔒 WRONG CODE")))</f>
        <v/>
      </c>
      <c r="J146" s="33" t="str">
        <f t="shared" ca="1" si="14"/>
        <v>—</v>
      </c>
      <c r="K146" s="46"/>
    </row>
    <row r="147" spans="1:11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IF(A147="","",IFERROR(VLOOKUP(A147,DB_Customers!$A:$M,13,0),""))</f>
        <v/>
      </c>
      <c r="D147" s="42" t="str">
        <f t="shared" ca="1" si="12"/>
        <v/>
      </c>
      <c r="E147" s="32"/>
      <c r="F147" s="43" t="str">
        <f t="shared" si="13"/>
        <v/>
      </c>
      <c r="G147" s="30" t="s">
        <v>57</v>
      </c>
      <c r="H147" s="41"/>
      <c r="I147" s="33" t="str">
        <f>IF(A147="","",IF(H147="","⚠️ Enter Agent Code",IF(IFERROR(VLOOKUP(G147,DB_Agents!$B:$F,4,0),"")=TEXT(H147,"0"),IF(AND(A147&lt;&gt;"",E147&lt;&gt;""),"✅ Saved","Pending"),"🔒 WRONG CODE")))</f>
        <v/>
      </c>
      <c r="J147" s="33" t="str">
        <f t="shared" ca="1" si="14"/>
        <v>—</v>
      </c>
      <c r="K147" s="22"/>
    </row>
    <row r="148" spans="1:11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IF(A148="","",IFERROR(VLOOKUP(A148,DB_Customers!$A:$M,13,0),""))</f>
        <v/>
      </c>
      <c r="D148" s="42" t="str">
        <f t="shared" ca="1" si="12"/>
        <v/>
      </c>
      <c r="E148" s="32"/>
      <c r="F148" s="43" t="str">
        <f t="shared" si="13"/>
        <v/>
      </c>
      <c r="G148" s="30" t="s">
        <v>57</v>
      </c>
      <c r="H148" s="41"/>
      <c r="I148" s="33" t="str">
        <f>IF(A148="","",IF(H148="","⚠️ Enter Agent Code",IF(IFERROR(VLOOKUP(G148,DB_Agents!$B:$F,4,0),"")=TEXT(H148,"0"),IF(AND(A148&lt;&gt;"",E148&lt;&gt;""),"✅ Saved","Pending"),"🔒 WRONG CODE")))</f>
        <v/>
      </c>
      <c r="J148" s="33" t="str">
        <f t="shared" ca="1" si="14"/>
        <v>—</v>
      </c>
      <c r="K148" s="46"/>
    </row>
    <row r="149" spans="1:11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IF(A149="","",IFERROR(VLOOKUP(A149,DB_Customers!$A:$M,13,0),""))</f>
        <v/>
      </c>
      <c r="D149" s="42" t="str">
        <f t="shared" ca="1" si="12"/>
        <v/>
      </c>
      <c r="E149" s="32"/>
      <c r="F149" s="43" t="str">
        <f t="shared" si="13"/>
        <v/>
      </c>
      <c r="G149" s="30" t="s">
        <v>57</v>
      </c>
      <c r="H149" s="41"/>
      <c r="I149" s="33" t="str">
        <f>IF(A149="","",IF(H149="","⚠️ Enter Agent Code",IF(IFERROR(VLOOKUP(G149,DB_Agents!$B:$F,4,0),"")=TEXT(H149,"0"),IF(AND(A149&lt;&gt;"",E149&lt;&gt;""),"✅ Saved","Pending"),"🔒 WRONG CODE")))</f>
        <v/>
      </c>
      <c r="J149" s="33" t="str">
        <f t="shared" ca="1" si="14"/>
        <v>—</v>
      </c>
      <c r="K149" s="22"/>
    </row>
    <row r="150" spans="1:11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IF(A150="","",IFERROR(VLOOKUP(A150,DB_Customers!$A:$M,13,0),""))</f>
        <v/>
      </c>
      <c r="D150" s="42" t="str">
        <f t="shared" ca="1" si="12"/>
        <v/>
      </c>
      <c r="E150" s="32"/>
      <c r="F150" s="43" t="str">
        <f t="shared" si="13"/>
        <v/>
      </c>
      <c r="G150" s="30" t="s">
        <v>57</v>
      </c>
      <c r="H150" s="41"/>
      <c r="I150" s="33" t="str">
        <f>IF(A150="","",IF(H150="","⚠️ Enter Agent Code",IF(IFERROR(VLOOKUP(G150,DB_Agents!$B:$F,4,0),"")=TEXT(H150,"0"),IF(AND(A150&lt;&gt;"",E150&lt;&gt;""),"✅ Saved","Pending"),"🔒 WRONG CODE")))</f>
        <v/>
      </c>
      <c r="J150" s="33" t="str">
        <f t="shared" ca="1" si="14"/>
        <v>—</v>
      </c>
      <c r="K150" s="46"/>
    </row>
    <row r="151" spans="1:11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IF(A151="","",IFERROR(VLOOKUP(A151,DB_Customers!$A:$M,13,0),""))</f>
        <v/>
      </c>
      <c r="D151" s="42" t="str">
        <f t="shared" ca="1" si="12"/>
        <v/>
      </c>
      <c r="E151" s="32"/>
      <c r="F151" s="43" t="str">
        <f t="shared" si="13"/>
        <v/>
      </c>
      <c r="G151" s="30" t="s">
        <v>57</v>
      </c>
      <c r="H151" s="41"/>
      <c r="I151" s="33" t="str">
        <f>IF(A151="","",IF(H151="","⚠️ Enter Agent Code",IF(IFERROR(VLOOKUP(G151,DB_Agents!$B:$F,4,0),"")=TEXT(H151,"0"),IF(AND(A151&lt;&gt;"",E151&lt;&gt;""),"✅ Saved","Pending"),"🔒 WRONG CODE")))</f>
        <v/>
      </c>
      <c r="J151" s="33" t="str">
        <f t="shared" ca="1" si="14"/>
        <v>—</v>
      </c>
      <c r="K151" s="22"/>
    </row>
    <row r="152" spans="1:11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IF(A152="","",IFERROR(VLOOKUP(A152,DB_Customers!$A:$M,13,0),""))</f>
        <v/>
      </c>
      <c r="D152" s="42" t="str">
        <f t="shared" ca="1" si="12"/>
        <v/>
      </c>
      <c r="E152" s="32"/>
      <c r="F152" s="43" t="str">
        <f t="shared" si="13"/>
        <v/>
      </c>
      <c r="G152" s="30" t="s">
        <v>57</v>
      </c>
      <c r="H152" s="41"/>
      <c r="I152" s="33" t="str">
        <f>IF(A152="","",IF(H152="","⚠️ Enter Agent Code",IF(IFERROR(VLOOKUP(G152,DB_Agents!$B:$F,4,0),"")=TEXT(H152,"0"),IF(AND(A152&lt;&gt;"",E152&lt;&gt;""),"✅ Saved","Pending"),"🔒 WRONG CODE")))</f>
        <v/>
      </c>
      <c r="J152" s="33" t="str">
        <f t="shared" ca="1" si="14"/>
        <v>—</v>
      </c>
      <c r="K152" s="46"/>
    </row>
    <row r="153" spans="1:11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IF(A153="","",IFERROR(VLOOKUP(A153,DB_Customers!$A:$M,13,0),""))</f>
        <v/>
      </c>
      <c r="D153" s="42" t="str">
        <f t="shared" ca="1" si="12"/>
        <v/>
      </c>
      <c r="E153" s="32"/>
      <c r="F153" s="43" t="str">
        <f t="shared" si="13"/>
        <v/>
      </c>
      <c r="G153" s="30" t="s">
        <v>57</v>
      </c>
      <c r="H153" s="41"/>
      <c r="I153" s="33" t="str">
        <f>IF(A153="","",IF(H153="","⚠️ Enter Agent Code",IF(IFERROR(VLOOKUP(G153,DB_Agents!$B:$F,4,0),"")=TEXT(H153,"0"),IF(AND(A153&lt;&gt;"",E153&lt;&gt;""),"✅ Saved","Pending"),"🔒 WRONG CODE")))</f>
        <v/>
      </c>
      <c r="J153" s="33" t="str">
        <f t="shared" ca="1" si="14"/>
        <v>—</v>
      </c>
      <c r="K153" s="22"/>
    </row>
    <row r="154" spans="1:11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IF(A154="","",IFERROR(VLOOKUP(A154,DB_Customers!$A:$M,13,0),""))</f>
        <v/>
      </c>
      <c r="D154" s="42" t="str">
        <f t="shared" ca="1" si="12"/>
        <v/>
      </c>
      <c r="E154" s="32"/>
      <c r="F154" s="43" t="str">
        <f t="shared" si="13"/>
        <v/>
      </c>
      <c r="G154" s="30" t="s">
        <v>57</v>
      </c>
      <c r="H154" s="41"/>
      <c r="I154" s="33" t="str">
        <f>IF(A154="","",IF(H154="","⚠️ Enter Agent Code",IF(IFERROR(VLOOKUP(G154,DB_Agents!$B:$F,4,0),"")=TEXT(H154,"0"),IF(AND(A154&lt;&gt;"",E154&lt;&gt;""),"✅ Saved","Pending"),"🔒 WRONG CODE")))</f>
        <v/>
      </c>
      <c r="J154" s="33" t="str">
        <f t="shared" ca="1" si="14"/>
        <v>—</v>
      </c>
      <c r="K154" s="46"/>
    </row>
    <row r="155" spans="1:11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IF(A155="","",IFERROR(VLOOKUP(A155,DB_Customers!$A:$M,13,0),""))</f>
        <v/>
      </c>
      <c r="D155" s="42" t="str">
        <f t="shared" ca="1" si="12"/>
        <v/>
      </c>
      <c r="E155" s="32"/>
      <c r="F155" s="43" t="str">
        <f t="shared" si="13"/>
        <v/>
      </c>
      <c r="G155" s="30" t="s">
        <v>57</v>
      </c>
      <c r="H155" s="41"/>
      <c r="I155" s="33" t="str">
        <f>IF(A155="","",IF(H155="","⚠️ Enter Agent Code",IF(IFERROR(VLOOKUP(G155,DB_Agents!$B:$F,4,0),"")=TEXT(H155,"0"),IF(AND(A155&lt;&gt;"",E155&lt;&gt;""),"✅ Saved","Pending"),"🔒 WRONG CODE")))</f>
        <v/>
      </c>
      <c r="J155" s="33" t="str">
        <f t="shared" ca="1" si="14"/>
        <v>—</v>
      </c>
      <c r="K155" s="22"/>
    </row>
    <row r="156" spans="1:11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IF(A156="","",IFERROR(VLOOKUP(A156,DB_Customers!$A:$M,13,0),""))</f>
        <v/>
      </c>
      <c r="D156" s="42" t="str">
        <f t="shared" ca="1" si="12"/>
        <v/>
      </c>
      <c r="E156" s="32"/>
      <c r="F156" s="43" t="str">
        <f t="shared" si="13"/>
        <v/>
      </c>
      <c r="G156" s="30" t="s">
        <v>57</v>
      </c>
      <c r="H156" s="41"/>
      <c r="I156" s="33" t="str">
        <f>IF(A156="","",IF(H156="","⚠️ Enter Agent Code",IF(IFERROR(VLOOKUP(G156,DB_Agents!$B:$F,4,0),"")=TEXT(H156,"0"),IF(AND(A156&lt;&gt;"",E156&lt;&gt;""),"✅ Saved","Pending"),"🔒 WRONG CODE")))</f>
        <v/>
      </c>
      <c r="J156" s="33" t="str">
        <f t="shared" ca="1" si="14"/>
        <v>—</v>
      </c>
      <c r="K156" s="46"/>
    </row>
    <row r="157" spans="1:11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IF(A157="","",IFERROR(VLOOKUP(A157,DB_Customers!$A:$M,13,0),""))</f>
        <v/>
      </c>
      <c r="D157" s="42" t="str">
        <f t="shared" ca="1" si="12"/>
        <v/>
      </c>
      <c r="E157" s="32"/>
      <c r="F157" s="43" t="str">
        <f t="shared" si="13"/>
        <v/>
      </c>
      <c r="G157" s="30" t="s">
        <v>57</v>
      </c>
      <c r="H157" s="41"/>
      <c r="I157" s="33" t="str">
        <f>IF(A157="","",IF(H157="","⚠️ Enter Agent Code",IF(IFERROR(VLOOKUP(G157,DB_Agents!$B:$F,4,0),"")=TEXT(H157,"0"),IF(AND(A157&lt;&gt;"",E157&lt;&gt;""),"✅ Saved","Pending"),"🔒 WRONG CODE")))</f>
        <v/>
      </c>
      <c r="J157" s="33" t="str">
        <f t="shared" ca="1" si="14"/>
        <v>—</v>
      </c>
      <c r="K157" s="22"/>
    </row>
    <row r="158" spans="1:11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IF(A158="","",IFERROR(VLOOKUP(A158,DB_Customers!$A:$M,13,0),""))</f>
        <v/>
      </c>
      <c r="D158" s="42" t="str">
        <f t="shared" ca="1" si="12"/>
        <v/>
      </c>
      <c r="E158" s="32"/>
      <c r="F158" s="43" t="str">
        <f t="shared" si="13"/>
        <v/>
      </c>
      <c r="G158" s="30" t="s">
        <v>57</v>
      </c>
      <c r="H158" s="41"/>
      <c r="I158" s="33" t="str">
        <f>IF(A158="","",IF(H158="","⚠️ Enter Agent Code",IF(IFERROR(VLOOKUP(G158,DB_Agents!$B:$F,4,0),"")=TEXT(H158,"0"),IF(AND(A158&lt;&gt;"",E158&lt;&gt;""),"✅ Saved","Pending"),"🔒 WRONG CODE")))</f>
        <v/>
      </c>
      <c r="J158" s="33" t="str">
        <f t="shared" ca="1" si="14"/>
        <v>—</v>
      </c>
      <c r="K158" s="46"/>
    </row>
    <row r="159" spans="1:11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IF(A159="","",IFERROR(VLOOKUP(A159,DB_Customers!$A:$M,13,0),""))</f>
        <v/>
      </c>
      <c r="D159" s="42" t="str">
        <f t="shared" ca="1" si="12"/>
        <v/>
      </c>
      <c r="E159" s="32"/>
      <c r="F159" s="43" t="str">
        <f t="shared" si="13"/>
        <v/>
      </c>
      <c r="G159" s="30" t="s">
        <v>57</v>
      </c>
      <c r="H159" s="41"/>
      <c r="I159" s="33" t="str">
        <f>IF(A159="","",IF(H159="","⚠️ Enter Agent Code",IF(IFERROR(VLOOKUP(G159,DB_Agents!$B:$F,4,0),"")=TEXT(H159,"0"),IF(AND(A159&lt;&gt;"",E159&lt;&gt;""),"✅ Saved","Pending"),"🔒 WRONG CODE")))</f>
        <v/>
      </c>
      <c r="J159" s="33" t="str">
        <f t="shared" ca="1" si="14"/>
        <v>—</v>
      </c>
      <c r="K159" s="22"/>
    </row>
    <row r="160" spans="1:11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IF(A160="","",IFERROR(VLOOKUP(A160,DB_Customers!$A:$M,13,0),""))</f>
        <v/>
      </c>
      <c r="D160" s="42" t="str">
        <f t="shared" ca="1" si="12"/>
        <v/>
      </c>
      <c r="E160" s="32"/>
      <c r="F160" s="43" t="str">
        <f t="shared" si="13"/>
        <v/>
      </c>
      <c r="G160" s="30" t="s">
        <v>57</v>
      </c>
      <c r="H160" s="41"/>
      <c r="I160" s="33" t="str">
        <f>IF(A160="","",IF(H160="","⚠️ Enter Agent Code",IF(IFERROR(VLOOKUP(G160,DB_Agents!$B:$F,4,0),"")=TEXT(H160,"0"),IF(AND(A160&lt;&gt;"",E160&lt;&gt;""),"✅ Saved","Pending"),"🔒 WRONG CODE")))</f>
        <v/>
      </c>
      <c r="J160" s="33" t="str">
        <f t="shared" ca="1" si="14"/>
        <v>—</v>
      </c>
      <c r="K160" s="46"/>
    </row>
    <row r="161" spans="1:11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IF(A161="","",IFERROR(VLOOKUP(A161,DB_Customers!$A:$M,13,0),""))</f>
        <v/>
      </c>
      <c r="D161" s="42" t="str">
        <f t="shared" ca="1" si="12"/>
        <v/>
      </c>
      <c r="E161" s="32"/>
      <c r="F161" s="43" t="str">
        <f t="shared" si="13"/>
        <v/>
      </c>
      <c r="G161" s="30" t="s">
        <v>57</v>
      </c>
      <c r="H161" s="41"/>
      <c r="I161" s="33" t="str">
        <f>IF(A161="","",IF(H161="","⚠️ Enter Agent Code",IF(IFERROR(VLOOKUP(G161,DB_Agents!$B:$F,4,0),"")=TEXT(H161,"0"),IF(AND(A161&lt;&gt;"",E161&lt;&gt;""),"✅ Saved","Pending"),"🔒 WRONG CODE")))</f>
        <v/>
      </c>
      <c r="J161" s="33" t="str">
        <f t="shared" ca="1" si="14"/>
        <v>—</v>
      </c>
      <c r="K161" s="22"/>
    </row>
    <row r="162" spans="1:11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IF(A162="","",IFERROR(VLOOKUP(A162,DB_Customers!$A:$M,13,0),""))</f>
        <v/>
      </c>
      <c r="D162" s="42" t="str">
        <f t="shared" ca="1" si="12"/>
        <v/>
      </c>
      <c r="E162" s="32"/>
      <c r="F162" s="43" t="str">
        <f t="shared" si="13"/>
        <v/>
      </c>
      <c r="G162" s="30" t="s">
        <v>57</v>
      </c>
      <c r="H162" s="41"/>
      <c r="I162" s="33" t="str">
        <f>IF(A162="","",IF(H162="","⚠️ Enter Agent Code",IF(IFERROR(VLOOKUP(G162,DB_Agents!$B:$F,4,0),"")=TEXT(H162,"0"),IF(AND(A162&lt;&gt;"",E162&lt;&gt;""),"✅ Saved","Pending"),"🔒 WRONG CODE")))</f>
        <v/>
      </c>
      <c r="J162" s="33" t="str">
        <f t="shared" ca="1" si="14"/>
        <v>—</v>
      </c>
      <c r="K162" s="46"/>
    </row>
    <row r="163" spans="1:11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IF(A163="","",IFERROR(VLOOKUP(A163,DB_Customers!$A:$M,13,0),""))</f>
        <v/>
      </c>
      <c r="D163" s="42" t="str">
        <f t="shared" ca="1" si="12"/>
        <v/>
      </c>
      <c r="E163" s="32"/>
      <c r="F163" s="43" t="str">
        <f t="shared" si="13"/>
        <v/>
      </c>
      <c r="G163" s="30" t="s">
        <v>57</v>
      </c>
      <c r="H163" s="41"/>
      <c r="I163" s="33" t="str">
        <f>IF(A163="","",IF(H163="","⚠️ Enter Agent Code",IF(IFERROR(VLOOKUP(G163,DB_Agents!$B:$F,4,0),"")=TEXT(H163,"0"),IF(AND(A163&lt;&gt;"",E163&lt;&gt;""),"✅ Saved","Pending"),"🔒 WRONG CODE")))</f>
        <v/>
      </c>
      <c r="J163" s="33" t="str">
        <f t="shared" ca="1" si="14"/>
        <v>—</v>
      </c>
      <c r="K163" s="22"/>
    </row>
    <row r="164" spans="1:11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IF(A164="","",IFERROR(VLOOKUP(A164,DB_Customers!$A:$M,13,0),""))</f>
        <v/>
      </c>
      <c r="D164" s="42" t="str">
        <f t="shared" ca="1" si="12"/>
        <v/>
      </c>
      <c r="E164" s="32"/>
      <c r="F164" s="43" t="str">
        <f t="shared" si="13"/>
        <v/>
      </c>
      <c r="G164" s="30" t="s">
        <v>57</v>
      </c>
      <c r="H164" s="41"/>
      <c r="I164" s="33" t="str">
        <f>IF(A164="","",IF(H164="","⚠️ Enter Agent Code",IF(IFERROR(VLOOKUP(G164,DB_Agents!$B:$F,4,0),"")=TEXT(H164,"0"),IF(AND(A164&lt;&gt;"",E164&lt;&gt;""),"✅ Saved","Pending"),"🔒 WRONG CODE")))</f>
        <v/>
      </c>
      <c r="J164" s="33" t="str">
        <f t="shared" ca="1" si="14"/>
        <v>—</v>
      </c>
      <c r="K164" s="46"/>
    </row>
    <row r="165" spans="1:11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IF(A165="","",IFERROR(VLOOKUP(A165,DB_Customers!$A:$M,13,0),""))</f>
        <v/>
      </c>
      <c r="D165" s="42" t="str">
        <f t="shared" ca="1" si="12"/>
        <v/>
      </c>
      <c r="E165" s="32"/>
      <c r="F165" s="43" t="str">
        <f t="shared" si="13"/>
        <v/>
      </c>
      <c r="G165" s="30" t="s">
        <v>57</v>
      </c>
      <c r="H165" s="41"/>
      <c r="I165" s="33" t="str">
        <f>IF(A165="","",IF(H165="","⚠️ Enter Agent Code",IF(IFERROR(VLOOKUP(G165,DB_Agents!$B:$F,4,0),"")=TEXT(H165,"0"),IF(AND(A165&lt;&gt;"",E165&lt;&gt;""),"✅ Saved","Pending"),"🔒 WRONG CODE")))</f>
        <v/>
      </c>
      <c r="J165" s="33" t="str">
        <f t="shared" ca="1" si="14"/>
        <v>—</v>
      </c>
      <c r="K165" s="22"/>
    </row>
    <row r="166" spans="1:11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IF(A166="","",IFERROR(VLOOKUP(A166,DB_Customers!$A:$M,13,0),""))</f>
        <v/>
      </c>
      <c r="D166" s="42" t="str">
        <f t="shared" ca="1" si="12"/>
        <v/>
      </c>
      <c r="E166" s="32"/>
      <c r="F166" s="43" t="str">
        <f t="shared" si="13"/>
        <v/>
      </c>
      <c r="G166" s="30" t="s">
        <v>57</v>
      </c>
      <c r="H166" s="41"/>
      <c r="I166" s="33" t="str">
        <f>IF(A166="","",IF(H166="","⚠️ Enter Agent Code",IF(IFERROR(VLOOKUP(G166,DB_Agents!$B:$F,4,0),"")=TEXT(H166,"0"),IF(AND(A166&lt;&gt;"",E166&lt;&gt;""),"✅ Saved","Pending"),"🔒 WRONG CODE")))</f>
        <v/>
      </c>
      <c r="J166" s="33" t="str">
        <f t="shared" ca="1" si="14"/>
        <v>—</v>
      </c>
      <c r="K166" s="46"/>
    </row>
    <row r="167" spans="1:11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IF(A167="","",IFERROR(VLOOKUP(A167,DB_Customers!$A:$M,13,0),""))</f>
        <v/>
      </c>
      <c r="D167" s="42" t="str">
        <f t="shared" ca="1" si="12"/>
        <v/>
      </c>
      <c r="E167" s="32"/>
      <c r="F167" s="43" t="str">
        <f t="shared" si="13"/>
        <v/>
      </c>
      <c r="G167" s="30" t="s">
        <v>57</v>
      </c>
      <c r="H167" s="41"/>
      <c r="I167" s="33" t="str">
        <f>IF(A167="","",IF(H167="","⚠️ Enter Agent Code",IF(IFERROR(VLOOKUP(G167,DB_Agents!$B:$F,4,0),"")=TEXT(H167,"0"),IF(AND(A167&lt;&gt;"",E167&lt;&gt;""),"✅ Saved","Pending"),"🔒 WRONG CODE")))</f>
        <v/>
      </c>
      <c r="J167" s="33" t="str">
        <f t="shared" ca="1" si="14"/>
        <v>—</v>
      </c>
      <c r="K167" s="22"/>
    </row>
    <row r="168" spans="1:11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IF(A168="","",IFERROR(VLOOKUP(A168,DB_Customers!$A:$M,13,0),""))</f>
        <v/>
      </c>
      <c r="D168" s="42" t="str">
        <f t="shared" ca="1" si="12"/>
        <v/>
      </c>
      <c r="E168" s="32"/>
      <c r="F168" s="43" t="str">
        <f t="shared" si="13"/>
        <v/>
      </c>
      <c r="G168" s="30" t="s">
        <v>57</v>
      </c>
      <c r="H168" s="41"/>
      <c r="I168" s="33" t="str">
        <f>IF(A168="","",IF(H168="","⚠️ Enter Agent Code",IF(IFERROR(VLOOKUP(G168,DB_Agents!$B:$F,4,0),"")=TEXT(H168,"0"),IF(AND(A168&lt;&gt;"",E168&lt;&gt;""),"✅ Saved","Pending"),"🔒 WRONG CODE")))</f>
        <v/>
      </c>
      <c r="J168" s="33" t="str">
        <f t="shared" ca="1" si="14"/>
        <v>—</v>
      </c>
      <c r="K168" s="46"/>
    </row>
    <row r="169" spans="1:11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IF(A169="","",IFERROR(VLOOKUP(A169,DB_Customers!$A:$M,13,0),""))</f>
        <v/>
      </c>
      <c r="D169" s="42" t="str">
        <f t="shared" ref="D169:D200" ca="1" si="15">IF(A169="","",TODAY())</f>
        <v/>
      </c>
      <c r="E169" s="32"/>
      <c r="F169" s="43" t="str">
        <f t="shared" ref="F169:F200" si="16">IFERROR(IF(OR(A169="",E169=""),"",C169+E169),"")</f>
        <v/>
      </c>
      <c r="G169" s="30" t="s">
        <v>57</v>
      </c>
      <c r="H169" s="41"/>
      <c r="I169" s="33" t="str">
        <f>IF(A169="","",IF(H169="","⚠️ Enter Agent Code",IF(IFERROR(VLOOKUP(G169,DB_Agents!$B:$F,4,0),"")=TEXT(H169,"0"),IF(AND(A169&lt;&gt;"",E169&lt;&gt;""),"✅ Saved","Pending"),"🔒 WRONG CODE")))</f>
        <v/>
      </c>
      <c r="J169" s="33" t="str">
        <f t="shared" ref="J169:J200" ca="1" si="17">IF(I169="✅ Saved",TEXT(TODAY(),"YYYY-MM-DD")&amp;" Auto","—")</f>
        <v>—</v>
      </c>
      <c r="K169" s="22"/>
    </row>
    <row r="170" spans="1:11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IF(A170="","",IFERROR(VLOOKUP(A170,DB_Customers!$A:$M,13,0),""))</f>
        <v/>
      </c>
      <c r="D170" s="42" t="str">
        <f t="shared" ca="1" si="15"/>
        <v/>
      </c>
      <c r="E170" s="32"/>
      <c r="F170" s="43" t="str">
        <f t="shared" si="16"/>
        <v/>
      </c>
      <c r="G170" s="30" t="s">
        <v>57</v>
      </c>
      <c r="H170" s="41"/>
      <c r="I170" s="33" t="str">
        <f>IF(A170="","",IF(H170="","⚠️ Enter Agent Code",IF(IFERROR(VLOOKUP(G170,DB_Agents!$B:$F,4,0),"")=TEXT(H170,"0"),IF(AND(A170&lt;&gt;"",E170&lt;&gt;""),"✅ Saved","Pending"),"🔒 WRONG CODE")))</f>
        <v/>
      </c>
      <c r="J170" s="33" t="str">
        <f t="shared" ca="1" si="17"/>
        <v>—</v>
      </c>
      <c r="K170" s="46"/>
    </row>
    <row r="171" spans="1:11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IF(A171="","",IFERROR(VLOOKUP(A171,DB_Customers!$A:$M,13,0),""))</f>
        <v/>
      </c>
      <c r="D171" s="42" t="str">
        <f t="shared" ca="1" si="15"/>
        <v/>
      </c>
      <c r="E171" s="32"/>
      <c r="F171" s="43" t="str">
        <f t="shared" si="16"/>
        <v/>
      </c>
      <c r="G171" s="30" t="s">
        <v>57</v>
      </c>
      <c r="H171" s="41"/>
      <c r="I171" s="33" t="str">
        <f>IF(A171="","",IF(H171="","⚠️ Enter Agent Code",IF(IFERROR(VLOOKUP(G171,DB_Agents!$B:$F,4,0),"")=TEXT(H171,"0"),IF(AND(A171&lt;&gt;"",E171&lt;&gt;""),"✅ Saved","Pending"),"🔒 WRONG CODE")))</f>
        <v/>
      </c>
      <c r="J171" s="33" t="str">
        <f t="shared" ca="1" si="17"/>
        <v>—</v>
      </c>
      <c r="K171" s="22"/>
    </row>
    <row r="172" spans="1:11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IF(A172="","",IFERROR(VLOOKUP(A172,DB_Customers!$A:$M,13,0),""))</f>
        <v/>
      </c>
      <c r="D172" s="42" t="str">
        <f t="shared" ca="1" si="15"/>
        <v/>
      </c>
      <c r="E172" s="32"/>
      <c r="F172" s="43" t="str">
        <f t="shared" si="16"/>
        <v/>
      </c>
      <c r="G172" s="30" t="s">
        <v>57</v>
      </c>
      <c r="H172" s="41"/>
      <c r="I172" s="33" t="str">
        <f>IF(A172="","",IF(H172="","⚠️ Enter Agent Code",IF(IFERROR(VLOOKUP(G172,DB_Agents!$B:$F,4,0),"")=TEXT(H172,"0"),IF(AND(A172&lt;&gt;"",E172&lt;&gt;""),"✅ Saved","Pending"),"🔒 WRONG CODE")))</f>
        <v/>
      </c>
      <c r="J172" s="33" t="str">
        <f t="shared" ca="1" si="17"/>
        <v>—</v>
      </c>
      <c r="K172" s="46"/>
    </row>
    <row r="173" spans="1:11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IF(A173="","",IFERROR(VLOOKUP(A173,DB_Customers!$A:$M,13,0),""))</f>
        <v/>
      </c>
      <c r="D173" s="42" t="str">
        <f t="shared" ca="1" si="15"/>
        <v/>
      </c>
      <c r="E173" s="32"/>
      <c r="F173" s="43" t="str">
        <f t="shared" si="16"/>
        <v/>
      </c>
      <c r="G173" s="30" t="s">
        <v>57</v>
      </c>
      <c r="H173" s="41"/>
      <c r="I173" s="33" t="str">
        <f>IF(A173="","",IF(H173="","⚠️ Enter Agent Code",IF(IFERROR(VLOOKUP(G173,DB_Agents!$B:$F,4,0),"")=TEXT(H173,"0"),IF(AND(A173&lt;&gt;"",E173&lt;&gt;""),"✅ Saved","Pending"),"🔒 WRONG CODE")))</f>
        <v/>
      </c>
      <c r="J173" s="33" t="str">
        <f t="shared" ca="1" si="17"/>
        <v>—</v>
      </c>
      <c r="K173" s="22"/>
    </row>
    <row r="174" spans="1:11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IF(A174="","",IFERROR(VLOOKUP(A174,DB_Customers!$A:$M,13,0),""))</f>
        <v/>
      </c>
      <c r="D174" s="42" t="str">
        <f t="shared" ca="1" si="15"/>
        <v/>
      </c>
      <c r="E174" s="32"/>
      <c r="F174" s="43" t="str">
        <f t="shared" si="16"/>
        <v/>
      </c>
      <c r="G174" s="30" t="s">
        <v>57</v>
      </c>
      <c r="H174" s="41"/>
      <c r="I174" s="33" t="str">
        <f>IF(A174="","",IF(H174="","⚠️ Enter Agent Code",IF(IFERROR(VLOOKUP(G174,DB_Agents!$B:$F,4,0),"")=TEXT(H174,"0"),IF(AND(A174&lt;&gt;"",E174&lt;&gt;""),"✅ Saved","Pending"),"🔒 WRONG CODE")))</f>
        <v/>
      </c>
      <c r="J174" s="33" t="str">
        <f t="shared" ca="1" si="17"/>
        <v>—</v>
      </c>
      <c r="K174" s="46"/>
    </row>
    <row r="175" spans="1:11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IF(A175="","",IFERROR(VLOOKUP(A175,DB_Customers!$A:$M,13,0),""))</f>
        <v/>
      </c>
      <c r="D175" s="42" t="str">
        <f t="shared" ca="1" si="15"/>
        <v/>
      </c>
      <c r="E175" s="32"/>
      <c r="F175" s="43" t="str">
        <f t="shared" si="16"/>
        <v/>
      </c>
      <c r="G175" s="30" t="s">
        <v>57</v>
      </c>
      <c r="H175" s="41"/>
      <c r="I175" s="33" t="str">
        <f>IF(A175="","",IF(H175="","⚠️ Enter Agent Code",IF(IFERROR(VLOOKUP(G175,DB_Agents!$B:$F,4,0),"")=TEXT(H175,"0"),IF(AND(A175&lt;&gt;"",E175&lt;&gt;""),"✅ Saved","Pending"),"🔒 WRONG CODE")))</f>
        <v/>
      </c>
      <c r="J175" s="33" t="str">
        <f t="shared" ca="1" si="17"/>
        <v>—</v>
      </c>
      <c r="K175" s="22"/>
    </row>
    <row r="176" spans="1:11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IF(A176="","",IFERROR(VLOOKUP(A176,DB_Customers!$A:$M,13,0),""))</f>
        <v/>
      </c>
      <c r="D176" s="42" t="str">
        <f t="shared" ca="1" si="15"/>
        <v/>
      </c>
      <c r="E176" s="32"/>
      <c r="F176" s="43" t="str">
        <f t="shared" si="16"/>
        <v/>
      </c>
      <c r="G176" s="30" t="s">
        <v>57</v>
      </c>
      <c r="H176" s="41"/>
      <c r="I176" s="33" t="str">
        <f>IF(A176="","",IF(H176="","⚠️ Enter Agent Code",IF(IFERROR(VLOOKUP(G176,DB_Agents!$B:$F,4,0),"")=TEXT(H176,"0"),IF(AND(A176&lt;&gt;"",E176&lt;&gt;""),"✅ Saved","Pending"),"🔒 WRONG CODE")))</f>
        <v/>
      </c>
      <c r="J176" s="33" t="str">
        <f t="shared" ca="1" si="17"/>
        <v>—</v>
      </c>
      <c r="K176" s="46"/>
    </row>
    <row r="177" spans="1:11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IF(A177="","",IFERROR(VLOOKUP(A177,DB_Customers!$A:$M,13,0),""))</f>
        <v/>
      </c>
      <c r="D177" s="42" t="str">
        <f t="shared" ca="1" si="15"/>
        <v/>
      </c>
      <c r="E177" s="32"/>
      <c r="F177" s="43" t="str">
        <f t="shared" si="16"/>
        <v/>
      </c>
      <c r="G177" s="30" t="s">
        <v>57</v>
      </c>
      <c r="H177" s="41"/>
      <c r="I177" s="33" t="str">
        <f>IF(A177="","",IF(H177="","⚠️ Enter Agent Code",IF(IFERROR(VLOOKUP(G177,DB_Agents!$B:$F,4,0),"")=TEXT(H177,"0"),IF(AND(A177&lt;&gt;"",E177&lt;&gt;""),"✅ Saved","Pending"),"🔒 WRONG CODE")))</f>
        <v/>
      </c>
      <c r="J177" s="33" t="str">
        <f t="shared" ca="1" si="17"/>
        <v>—</v>
      </c>
      <c r="K177" s="22"/>
    </row>
    <row r="178" spans="1:11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IF(A178="","",IFERROR(VLOOKUP(A178,DB_Customers!$A:$M,13,0),""))</f>
        <v/>
      </c>
      <c r="D178" s="42" t="str">
        <f t="shared" ca="1" si="15"/>
        <v/>
      </c>
      <c r="E178" s="32"/>
      <c r="F178" s="43" t="str">
        <f t="shared" si="16"/>
        <v/>
      </c>
      <c r="G178" s="30" t="s">
        <v>57</v>
      </c>
      <c r="H178" s="41"/>
      <c r="I178" s="33" t="str">
        <f>IF(A178="","",IF(H178="","⚠️ Enter Agent Code",IF(IFERROR(VLOOKUP(G178,DB_Agents!$B:$F,4,0),"")=TEXT(H178,"0"),IF(AND(A178&lt;&gt;"",E178&lt;&gt;""),"✅ Saved","Pending"),"🔒 WRONG CODE")))</f>
        <v/>
      </c>
      <c r="J178" s="33" t="str">
        <f t="shared" ca="1" si="17"/>
        <v>—</v>
      </c>
      <c r="K178" s="46"/>
    </row>
    <row r="179" spans="1:11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IF(A179="","",IFERROR(VLOOKUP(A179,DB_Customers!$A:$M,13,0),""))</f>
        <v/>
      </c>
      <c r="D179" s="42" t="str">
        <f t="shared" ca="1" si="15"/>
        <v/>
      </c>
      <c r="E179" s="32"/>
      <c r="F179" s="43" t="str">
        <f t="shared" si="16"/>
        <v/>
      </c>
      <c r="G179" s="30" t="s">
        <v>57</v>
      </c>
      <c r="H179" s="41"/>
      <c r="I179" s="33" t="str">
        <f>IF(A179="","",IF(H179="","⚠️ Enter Agent Code",IF(IFERROR(VLOOKUP(G179,DB_Agents!$B:$F,4,0),"")=TEXT(H179,"0"),IF(AND(A179&lt;&gt;"",E179&lt;&gt;""),"✅ Saved","Pending"),"🔒 WRONG CODE")))</f>
        <v/>
      </c>
      <c r="J179" s="33" t="str">
        <f t="shared" ca="1" si="17"/>
        <v>—</v>
      </c>
      <c r="K179" s="22"/>
    </row>
    <row r="180" spans="1:11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IF(A180="","",IFERROR(VLOOKUP(A180,DB_Customers!$A:$M,13,0),""))</f>
        <v/>
      </c>
      <c r="D180" s="42" t="str">
        <f t="shared" ca="1" si="15"/>
        <v/>
      </c>
      <c r="E180" s="32"/>
      <c r="F180" s="43" t="str">
        <f t="shared" si="16"/>
        <v/>
      </c>
      <c r="G180" s="30" t="s">
        <v>57</v>
      </c>
      <c r="H180" s="41"/>
      <c r="I180" s="33" t="str">
        <f>IF(A180="","",IF(H180="","⚠️ Enter Agent Code",IF(IFERROR(VLOOKUP(G180,DB_Agents!$B:$F,4,0),"")=TEXT(H180,"0"),IF(AND(A180&lt;&gt;"",E180&lt;&gt;""),"✅ Saved","Pending"),"🔒 WRONG CODE")))</f>
        <v/>
      </c>
      <c r="J180" s="33" t="str">
        <f t="shared" ca="1" si="17"/>
        <v>—</v>
      </c>
      <c r="K180" s="46"/>
    </row>
    <row r="181" spans="1:11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IF(A181="","",IFERROR(VLOOKUP(A181,DB_Customers!$A:$M,13,0),""))</f>
        <v/>
      </c>
      <c r="D181" s="42" t="str">
        <f t="shared" ca="1" si="15"/>
        <v/>
      </c>
      <c r="E181" s="32"/>
      <c r="F181" s="43" t="str">
        <f t="shared" si="16"/>
        <v/>
      </c>
      <c r="G181" s="30" t="s">
        <v>57</v>
      </c>
      <c r="H181" s="41"/>
      <c r="I181" s="33" t="str">
        <f>IF(A181="","",IF(H181="","⚠️ Enter Agent Code",IF(IFERROR(VLOOKUP(G181,DB_Agents!$B:$F,4,0),"")=TEXT(H181,"0"),IF(AND(A181&lt;&gt;"",E181&lt;&gt;""),"✅ Saved","Pending"),"🔒 WRONG CODE")))</f>
        <v/>
      </c>
      <c r="J181" s="33" t="str">
        <f t="shared" ca="1" si="17"/>
        <v>—</v>
      </c>
      <c r="K181" s="22"/>
    </row>
    <row r="182" spans="1:11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IF(A182="","",IFERROR(VLOOKUP(A182,DB_Customers!$A:$M,13,0),""))</f>
        <v/>
      </c>
      <c r="D182" s="42" t="str">
        <f t="shared" ca="1" si="15"/>
        <v/>
      </c>
      <c r="E182" s="32"/>
      <c r="F182" s="43" t="str">
        <f t="shared" si="16"/>
        <v/>
      </c>
      <c r="G182" s="30" t="s">
        <v>57</v>
      </c>
      <c r="H182" s="41"/>
      <c r="I182" s="33" t="str">
        <f>IF(A182="","",IF(H182="","⚠️ Enter Agent Code",IF(IFERROR(VLOOKUP(G182,DB_Agents!$B:$F,4,0),"")=TEXT(H182,"0"),IF(AND(A182&lt;&gt;"",E182&lt;&gt;""),"✅ Saved","Pending"),"🔒 WRONG CODE")))</f>
        <v/>
      </c>
      <c r="J182" s="33" t="str">
        <f t="shared" ca="1" si="17"/>
        <v>—</v>
      </c>
      <c r="K182" s="46"/>
    </row>
    <row r="183" spans="1:11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IF(A183="","",IFERROR(VLOOKUP(A183,DB_Customers!$A:$M,13,0),""))</f>
        <v/>
      </c>
      <c r="D183" s="42" t="str">
        <f t="shared" ca="1" si="15"/>
        <v/>
      </c>
      <c r="E183" s="32"/>
      <c r="F183" s="43" t="str">
        <f t="shared" si="16"/>
        <v/>
      </c>
      <c r="G183" s="30" t="s">
        <v>57</v>
      </c>
      <c r="H183" s="41"/>
      <c r="I183" s="33" t="str">
        <f>IF(A183="","",IF(H183="","⚠️ Enter Agent Code",IF(IFERROR(VLOOKUP(G183,DB_Agents!$B:$F,4,0),"")=TEXT(H183,"0"),IF(AND(A183&lt;&gt;"",E183&lt;&gt;""),"✅ Saved","Pending"),"🔒 WRONG CODE")))</f>
        <v/>
      </c>
      <c r="J183" s="33" t="str">
        <f t="shared" ca="1" si="17"/>
        <v>—</v>
      </c>
      <c r="K183" s="22"/>
    </row>
    <row r="184" spans="1:11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IF(A184="","",IFERROR(VLOOKUP(A184,DB_Customers!$A:$M,13,0),""))</f>
        <v/>
      </c>
      <c r="D184" s="42" t="str">
        <f t="shared" ca="1" si="15"/>
        <v/>
      </c>
      <c r="E184" s="32"/>
      <c r="F184" s="43" t="str">
        <f t="shared" si="16"/>
        <v/>
      </c>
      <c r="G184" s="30" t="s">
        <v>57</v>
      </c>
      <c r="H184" s="41"/>
      <c r="I184" s="33" t="str">
        <f>IF(A184="","",IF(H184="","⚠️ Enter Agent Code",IF(IFERROR(VLOOKUP(G184,DB_Agents!$B:$F,4,0),"")=TEXT(H184,"0"),IF(AND(A184&lt;&gt;"",E184&lt;&gt;""),"✅ Saved","Pending"),"🔒 WRONG CODE")))</f>
        <v/>
      </c>
      <c r="J184" s="33" t="str">
        <f t="shared" ca="1" si="17"/>
        <v>—</v>
      </c>
      <c r="K184" s="46"/>
    </row>
    <row r="185" spans="1:11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IF(A185="","",IFERROR(VLOOKUP(A185,DB_Customers!$A:$M,13,0),""))</f>
        <v/>
      </c>
      <c r="D185" s="42" t="str">
        <f t="shared" ca="1" si="15"/>
        <v/>
      </c>
      <c r="E185" s="32"/>
      <c r="F185" s="43" t="str">
        <f t="shared" si="16"/>
        <v/>
      </c>
      <c r="G185" s="30" t="s">
        <v>57</v>
      </c>
      <c r="H185" s="41"/>
      <c r="I185" s="33" t="str">
        <f>IF(A185="","",IF(H185="","⚠️ Enter Agent Code",IF(IFERROR(VLOOKUP(G185,DB_Agents!$B:$F,4,0),"")=TEXT(H185,"0"),IF(AND(A185&lt;&gt;"",E185&lt;&gt;""),"✅ Saved","Pending"),"🔒 WRONG CODE")))</f>
        <v/>
      </c>
      <c r="J185" s="33" t="str">
        <f t="shared" ca="1" si="17"/>
        <v>—</v>
      </c>
      <c r="K185" s="22"/>
    </row>
    <row r="186" spans="1:11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IF(A186="","",IFERROR(VLOOKUP(A186,DB_Customers!$A:$M,13,0),""))</f>
        <v/>
      </c>
      <c r="D186" s="42" t="str">
        <f t="shared" ca="1" si="15"/>
        <v/>
      </c>
      <c r="E186" s="32"/>
      <c r="F186" s="43" t="str">
        <f t="shared" si="16"/>
        <v/>
      </c>
      <c r="G186" s="30" t="s">
        <v>57</v>
      </c>
      <c r="H186" s="41"/>
      <c r="I186" s="33" t="str">
        <f>IF(A186="","",IF(H186="","⚠️ Enter Agent Code",IF(IFERROR(VLOOKUP(G186,DB_Agents!$B:$F,4,0),"")=TEXT(H186,"0"),IF(AND(A186&lt;&gt;"",E186&lt;&gt;""),"✅ Saved","Pending"),"🔒 WRONG CODE")))</f>
        <v/>
      </c>
      <c r="J186" s="33" t="str">
        <f t="shared" ca="1" si="17"/>
        <v>—</v>
      </c>
      <c r="K186" s="46"/>
    </row>
    <row r="187" spans="1:11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IF(A187="","",IFERROR(VLOOKUP(A187,DB_Customers!$A:$M,13,0),""))</f>
        <v/>
      </c>
      <c r="D187" s="42" t="str">
        <f t="shared" ca="1" si="15"/>
        <v/>
      </c>
      <c r="E187" s="32"/>
      <c r="F187" s="43" t="str">
        <f t="shared" si="16"/>
        <v/>
      </c>
      <c r="G187" s="30" t="s">
        <v>57</v>
      </c>
      <c r="H187" s="41"/>
      <c r="I187" s="33" t="str">
        <f>IF(A187="","",IF(H187="","⚠️ Enter Agent Code",IF(IFERROR(VLOOKUP(G187,DB_Agents!$B:$F,4,0),"")=TEXT(H187,"0"),IF(AND(A187&lt;&gt;"",E187&lt;&gt;""),"✅ Saved","Pending"),"🔒 WRONG CODE")))</f>
        <v/>
      </c>
      <c r="J187" s="33" t="str">
        <f t="shared" ca="1" si="17"/>
        <v>—</v>
      </c>
      <c r="K187" s="22"/>
    </row>
    <row r="188" spans="1:11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IF(A188="","",IFERROR(VLOOKUP(A188,DB_Customers!$A:$M,13,0),""))</f>
        <v/>
      </c>
      <c r="D188" s="42" t="str">
        <f t="shared" ca="1" si="15"/>
        <v/>
      </c>
      <c r="E188" s="32"/>
      <c r="F188" s="43" t="str">
        <f t="shared" si="16"/>
        <v/>
      </c>
      <c r="G188" s="30" t="s">
        <v>57</v>
      </c>
      <c r="H188" s="41"/>
      <c r="I188" s="33" t="str">
        <f>IF(A188="","",IF(H188="","⚠️ Enter Agent Code",IF(IFERROR(VLOOKUP(G188,DB_Agents!$B:$F,4,0),"")=TEXT(H188,"0"),IF(AND(A188&lt;&gt;"",E188&lt;&gt;""),"✅ Saved","Pending"),"🔒 WRONG CODE")))</f>
        <v/>
      </c>
      <c r="J188" s="33" t="str">
        <f t="shared" ca="1" si="17"/>
        <v>—</v>
      </c>
      <c r="K188" s="46"/>
    </row>
    <row r="189" spans="1:11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IF(A189="","",IFERROR(VLOOKUP(A189,DB_Customers!$A:$M,13,0),""))</f>
        <v/>
      </c>
      <c r="D189" s="42" t="str">
        <f t="shared" ca="1" si="15"/>
        <v/>
      </c>
      <c r="E189" s="32"/>
      <c r="F189" s="43" t="str">
        <f t="shared" si="16"/>
        <v/>
      </c>
      <c r="G189" s="30" t="s">
        <v>57</v>
      </c>
      <c r="H189" s="41"/>
      <c r="I189" s="33" t="str">
        <f>IF(A189="","",IF(H189="","⚠️ Enter Agent Code",IF(IFERROR(VLOOKUP(G189,DB_Agents!$B:$F,4,0),"")=TEXT(H189,"0"),IF(AND(A189&lt;&gt;"",E189&lt;&gt;""),"✅ Saved","Pending"),"🔒 WRONG CODE")))</f>
        <v/>
      </c>
      <c r="J189" s="33" t="str">
        <f t="shared" ca="1" si="17"/>
        <v>—</v>
      </c>
      <c r="K189" s="22"/>
    </row>
    <row r="190" spans="1:11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IF(A190="","",IFERROR(VLOOKUP(A190,DB_Customers!$A:$M,13,0),""))</f>
        <v/>
      </c>
      <c r="D190" s="42" t="str">
        <f t="shared" ca="1" si="15"/>
        <v/>
      </c>
      <c r="E190" s="32"/>
      <c r="F190" s="43" t="str">
        <f t="shared" si="16"/>
        <v/>
      </c>
      <c r="G190" s="30" t="s">
        <v>57</v>
      </c>
      <c r="H190" s="41"/>
      <c r="I190" s="33" t="str">
        <f>IF(A190="","",IF(H190="","⚠️ Enter Agent Code",IF(IFERROR(VLOOKUP(G190,DB_Agents!$B:$F,4,0),"")=TEXT(H190,"0"),IF(AND(A190&lt;&gt;"",E190&lt;&gt;""),"✅ Saved","Pending"),"🔒 WRONG CODE")))</f>
        <v/>
      </c>
      <c r="J190" s="33" t="str">
        <f t="shared" ca="1" si="17"/>
        <v>—</v>
      </c>
      <c r="K190" s="46"/>
    </row>
    <row r="191" spans="1:11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IF(A191="","",IFERROR(VLOOKUP(A191,DB_Customers!$A:$M,13,0),""))</f>
        <v/>
      </c>
      <c r="D191" s="42" t="str">
        <f t="shared" ca="1" si="15"/>
        <v/>
      </c>
      <c r="E191" s="32"/>
      <c r="F191" s="43" t="str">
        <f t="shared" si="16"/>
        <v/>
      </c>
      <c r="G191" s="30" t="s">
        <v>57</v>
      </c>
      <c r="H191" s="41"/>
      <c r="I191" s="33" t="str">
        <f>IF(A191="","",IF(H191="","⚠️ Enter Agent Code",IF(IFERROR(VLOOKUP(G191,DB_Agents!$B:$F,4,0),"")=TEXT(H191,"0"),IF(AND(A191&lt;&gt;"",E191&lt;&gt;""),"✅ Saved","Pending"),"🔒 WRONG CODE")))</f>
        <v/>
      </c>
      <c r="J191" s="33" t="str">
        <f t="shared" ca="1" si="17"/>
        <v>—</v>
      </c>
      <c r="K191" s="22"/>
    </row>
    <row r="192" spans="1:11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IF(A192="","",IFERROR(VLOOKUP(A192,DB_Customers!$A:$M,13,0),""))</f>
        <v/>
      </c>
      <c r="D192" s="42" t="str">
        <f t="shared" ca="1" si="15"/>
        <v/>
      </c>
      <c r="E192" s="32"/>
      <c r="F192" s="43" t="str">
        <f t="shared" si="16"/>
        <v/>
      </c>
      <c r="G192" s="30" t="s">
        <v>57</v>
      </c>
      <c r="H192" s="41"/>
      <c r="I192" s="33" t="str">
        <f>IF(A192="","",IF(H192="","⚠️ Enter Agent Code",IF(IFERROR(VLOOKUP(G192,DB_Agents!$B:$F,4,0),"")=TEXT(H192,"0"),IF(AND(A192&lt;&gt;"",E192&lt;&gt;""),"✅ Saved","Pending"),"🔒 WRONG CODE")))</f>
        <v/>
      </c>
      <c r="J192" s="33" t="str">
        <f t="shared" ca="1" si="17"/>
        <v>—</v>
      </c>
      <c r="K192" s="46"/>
    </row>
    <row r="193" spans="1:11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IF(A193="","",IFERROR(VLOOKUP(A193,DB_Customers!$A:$M,13,0),""))</f>
        <v/>
      </c>
      <c r="D193" s="42" t="str">
        <f t="shared" ca="1" si="15"/>
        <v/>
      </c>
      <c r="E193" s="32"/>
      <c r="F193" s="43" t="str">
        <f t="shared" si="16"/>
        <v/>
      </c>
      <c r="G193" s="30" t="s">
        <v>57</v>
      </c>
      <c r="H193" s="41"/>
      <c r="I193" s="33" t="str">
        <f>IF(A193="","",IF(H193="","⚠️ Enter Agent Code",IF(IFERROR(VLOOKUP(G193,DB_Agents!$B:$F,4,0),"")=TEXT(H193,"0"),IF(AND(A193&lt;&gt;"",E193&lt;&gt;""),"✅ Saved","Pending"),"🔒 WRONG CODE")))</f>
        <v/>
      </c>
      <c r="J193" s="33" t="str">
        <f t="shared" ca="1" si="17"/>
        <v>—</v>
      </c>
      <c r="K193" s="22"/>
    </row>
    <row r="194" spans="1:11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IF(A194="","",IFERROR(VLOOKUP(A194,DB_Customers!$A:$M,13,0),""))</f>
        <v/>
      </c>
      <c r="D194" s="42" t="str">
        <f t="shared" ca="1" si="15"/>
        <v/>
      </c>
      <c r="E194" s="32"/>
      <c r="F194" s="43" t="str">
        <f t="shared" si="16"/>
        <v/>
      </c>
      <c r="G194" s="30" t="s">
        <v>57</v>
      </c>
      <c r="H194" s="41"/>
      <c r="I194" s="33" t="str">
        <f>IF(A194="","",IF(H194="","⚠️ Enter Agent Code",IF(IFERROR(VLOOKUP(G194,DB_Agents!$B:$F,4,0),"")=TEXT(H194,"0"),IF(AND(A194&lt;&gt;"",E194&lt;&gt;""),"✅ Saved","Pending"),"🔒 WRONG CODE")))</f>
        <v/>
      </c>
      <c r="J194" s="33" t="str">
        <f t="shared" ca="1" si="17"/>
        <v>—</v>
      </c>
      <c r="K194" s="46"/>
    </row>
    <row r="195" spans="1:11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IF(A195="","",IFERROR(VLOOKUP(A195,DB_Customers!$A:$M,13,0),""))</f>
        <v/>
      </c>
      <c r="D195" s="42" t="str">
        <f t="shared" ca="1" si="15"/>
        <v/>
      </c>
      <c r="E195" s="32"/>
      <c r="F195" s="43" t="str">
        <f t="shared" si="16"/>
        <v/>
      </c>
      <c r="G195" s="30" t="s">
        <v>57</v>
      </c>
      <c r="H195" s="41"/>
      <c r="I195" s="33" t="str">
        <f>IF(A195="","",IF(H195="","⚠️ Enter Agent Code",IF(IFERROR(VLOOKUP(G195,DB_Agents!$B:$F,4,0),"")=TEXT(H195,"0"),IF(AND(A195&lt;&gt;"",E195&lt;&gt;""),"✅ Saved","Pending"),"🔒 WRONG CODE")))</f>
        <v/>
      </c>
      <c r="J195" s="33" t="str">
        <f t="shared" ca="1" si="17"/>
        <v>—</v>
      </c>
      <c r="K195" s="22"/>
    </row>
    <row r="196" spans="1:11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IF(A196="","",IFERROR(VLOOKUP(A196,DB_Customers!$A:$M,13,0),""))</f>
        <v/>
      </c>
      <c r="D196" s="42" t="str">
        <f t="shared" ca="1" si="15"/>
        <v/>
      </c>
      <c r="E196" s="32"/>
      <c r="F196" s="43" t="str">
        <f t="shared" si="16"/>
        <v/>
      </c>
      <c r="G196" s="30" t="s">
        <v>57</v>
      </c>
      <c r="H196" s="41"/>
      <c r="I196" s="33" t="str">
        <f>IF(A196="","",IF(H196="","⚠️ Enter Agent Code",IF(IFERROR(VLOOKUP(G196,DB_Agents!$B:$F,4,0),"")=TEXT(H196,"0"),IF(AND(A196&lt;&gt;"",E196&lt;&gt;""),"✅ Saved","Pending"),"🔒 WRONG CODE")))</f>
        <v/>
      </c>
      <c r="J196" s="33" t="str">
        <f t="shared" ca="1" si="17"/>
        <v>—</v>
      </c>
      <c r="K196" s="46"/>
    </row>
    <row r="197" spans="1:11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IF(A197="","",IFERROR(VLOOKUP(A197,DB_Customers!$A:$M,13,0),""))</f>
        <v/>
      </c>
      <c r="D197" s="42" t="str">
        <f t="shared" ca="1" si="15"/>
        <v/>
      </c>
      <c r="E197" s="32"/>
      <c r="F197" s="43" t="str">
        <f t="shared" si="16"/>
        <v/>
      </c>
      <c r="G197" s="30" t="s">
        <v>57</v>
      </c>
      <c r="H197" s="41"/>
      <c r="I197" s="33" t="str">
        <f>IF(A197="","",IF(H197="","⚠️ Enter Agent Code",IF(IFERROR(VLOOKUP(G197,DB_Agents!$B:$F,4,0),"")=TEXT(H197,"0"),IF(AND(A197&lt;&gt;"",E197&lt;&gt;""),"✅ Saved","Pending"),"🔒 WRONG CODE")))</f>
        <v/>
      </c>
      <c r="J197" s="33" t="str">
        <f t="shared" ca="1" si="17"/>
        <v>—</v>
      </c>
      <c r="K197" s="22"/>
    </row>
    <row r="198" spans="1:11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IF(A198="","",IFERROR(VLOOKUP(A198,DB_Customers!$A:$M,13,0),""))</f>
        <v/>
      </c>
      <c r="D198" s="42" t="str">
        <f t="shared" ca="1" si="15"/>
        <v/>
      </c>
      <c r="E198" s="32"/>
      <c r="F198" s="43" t="str">
        <f t="shared" si="16"/>
        <v/>
      </c>
      <c r="G198" s="30" t="s">
        <v>57</v>
      </c>
      <c r="H198" s="41"/>
      <c r="I198" s="33" t="str">
        <f>IF(A198="","",IF(H198="","⚠️ Enter Agent Code",IF(IFERROR(VLOOKUP(G198,DB_Agents!$B:$F,4,0),"")=TEXT(H198,"0"),IF(AND(A198&lt;&gt;"",E198&lt;&gt;""),"✅ Saved","Pending"),"🔒 WRONG CODE")))</f>
        <v/>
      </c>
      <c r="J198" s="33" t="str">
        <f t="shared" ca="1" si="17"/>
        <v>—</v>
      </c>
      <c r="K198" s="46"/>
    </row>
    <row r="199" spans="1:11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IF(A199="","",IFERROR(VLOOKUP(A199,DB_Customers!$A:$M,13,0),""))</f>
        <v/>
      </c>
      <c r="D199" s="42" t="str">
        <f t="shared" ca="1" si="15"/>
        <v/>
      </c>
      <c r="E199" s="32"/>
      <c r="F199" s="43" t="str">
        <f t="shared" si="16"/>
        <v/>
      </c>
      <c r="G199" s="30" t="s">
        <v>57</v>
      </c>
      <c r="H199" s="41"/>
      <c r="I199" s="33" t="str">
        <f>IF(A199="","",IF(H199="","⚠️ Enter Agent Code",IF(IFERROR(VLOOKUP(G199,DB_Agents!$B:$F,4,0),"")=TEXT(H199,"0"),IF(AND(A199&lt;&gt;"",E199&lt;&gt;""),"✅ Saved","Pending"),"🔒 WRONG CODE")))</f>
        <v/>
      </c>
      <c r="J199" s="33" t="str">
        <f t="shared" ca="1" si="17"/>
        <v>—</v>
      </c>
      <c r="K199" s="22"/>
    </row>
    <row r="200" spans="1:11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IF(A200="","",IFERROR(VLOOKUP(A200,DB_Customers!$A:$M,13,0),""))</f>
        <v/>
      </c>
      <c r="D200" s="42" t="str">
        <f t="shared" ca="1" si="15"/>
        <v/>
      </c>
      <c r="E200" s="32"/>
      <c r="F200" s="43" t="str">
        <f t="shared" si="16"/>
        <v/>
      </c>
      <c r="G200" s="30" t="s">
        <v>57</v>
      </c>
      <c r="H200" s="41"/>
      <c r="I200" s="33" t="str">
        <f>IF(A200="","",IF(H200="","⚠️ Enter Agent Code",IF(IFERROR(VLOOKUP(G200,DB_Agents!$B:$F,4,0),"")=TEXT(H200,"0"),IF(AND(A200&lt;&gt;"",E200&lt;&gt;""),"✅ Saved","Pending"),"🔒 WRONG CODE")))</f>
        <v/>
      </c>
      <c r="J200" s="33" t="str">
        <f t="shared" ca="1" si="17"/>
        <v>—</v>
      </c>
      <c r="K200" s="46"/>
    </row>
    <row r="201" spans="1:11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IF(A201="","",IFERROR(VLOOKUP(A201,DB_Customers!$A:$M,13,0),""))</f>
        <v/>
      </c>
      <c r="D201" s="42" t="str">
        <f t="shared" ref="D201:D208" ca="1" si="18">IF(A201="","",TODAY())</f>
        <v/>
      </c>
      <c r="E201" s="32"/>
      <c r="F201" s="43" t="str">
        <f t="shared" ref="F201:F232" si="19">IFERROR(IF(OR(A201="",E201=""),"",C201+E201),"")</f>
        <v/>
      </c>
      <c r="G201" s="30" t="s">
        <v>57</v>
      </c>
      <c r="H201" s="41"/>
      <c r="I201" s="33" t="str">
        <f>IF(A201="","",IF(H201="","⚠️ Enter Agent Code",IF(IFERROR(VLOOKUP(G201,DB_Agents!$B:$F,4,0),"")=TEXT(H201,"0"),IF(AND(A201&lt;&gt;"",E201&lt;&gt;""),"✅ Saved","Pending"),"🔒 WRONG CODE")))</f>
        <v/>
      </c>
      <c r="J201" s="33" t="str">
        <f t="shared" ref="J201:J232" ca="1" si="20">IF(I201="✅ Saved",TEXT(TODAY(),"YYYY-MM-DD")&amp;" Auto","—")</f>
        <v>—</v>
      </c>
      <c r="K201" s="22"/>
    </row>
    <row r="202" spans="1:11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IF(A202="","",IFERROR(VLOOKUP(A202,DB_Customers!$A:$M,13,0),""))</f>
        <v/>
      </c>
      <c r="D202" s="42" t="str">
        <f t="shared" ca="1" si="18"/>
        <v/>
      </c>
      <c r="E202" s="32"/>
      <c r="F202" s="43" t="str">
        <f t="shared" si="19"/>
        <v/>
      </c>
      <c r="G202" s="30" t="s">
        <v>57</v>
      </c>
      <c r="H202" s="41"/>
      <c r="I202" s="33" t="str">
        <f>IF(A202="","",IF(H202="","⚠️ Enter Agent Code",IF(IFERROR(VLOOKUP(G202,DB_Agents!$B:$F,4,0),"")=TEXT(H202,"0"),IF(AND(A202&lt;&gt;"",E202&lt;&gt;""),"✅ Saved","Pending"),"🔒 WRONG CODE")))</f>
        <v/>
      </c>
      <c r="J202" s="33" t="str">
        <f t="shared" ca="1" si="20"/>
        <v>—</v>
      </c>
      <c r="K202" s="46"/>
    </row>
    <row r="203" spans="1:11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IF(A203="","",IFERROR(VLOOKUP(A203,DB_Customers!$A:$M,13,0),""))</f>
        <v/>
      </c>
      <c r="D203" s="42" t="str">
        <f t="shared" ca="1" si="18"/>
        <v/>
      </c>
      <c r="E203" s="32"/>
      <c r="F203" s="43" t="str">
        <f t="shared" si="19"/>
        <v/>
      </c>
      <c r="G203" s="30" t="s">
        <v>57</v>
      </c>
      <c r="H203" s="41"/>
      <c r="I203" s="33" t="str">
        <f>IF(A203="","",IF(H203="","⚠️ Enter Agent Code",IF(IFERROR(VLOOKUP(G203,DB_Agents!$B:$F,4,0),"")=TEXT(H203,"0"),IF(AND(A203&lt;&gt;"",E203&lt;&gt;""),"✅ Saved","Pending"),"🔒 WRONG CODE")))</f>
        <v/>
      </c>
      <c r="J203" s="33" t="str">
        <f t="shared" ca="1" si="20"/>
        <v>—</v>
      </c>
      <c r="K203" s="22"/>
    </row>
    <row r="204" spans="1:11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IF(A204="","",IFERROR(VLOOKUP(A204,DB_Customers!$A:$M,13,0),""))</f>
        <v/>
      </c>
      <c r="D204" s="42" t="str">
        <f t="shared" ca="1" si="18"/>
        <v/>
      </c>
      <c r="E204" s="32"/>
      <c r="F204" s="43" t="str">
        <f t="shared" si="19"/>
        <v/>
      </c>
      <c r="G204" s="30" t="s">
        <v>57</v>
      </c>
      <c r="H204" s="41"/>
      <c r="I204" s="33" t="str">
        <f>IF(A204="","",IF(H204="","⚠️ Enter Agent Code",IF(IFERROR(VLOOKUP(G204,DB_Agents!$B:$F,4,0),"")=TEXT(H204,"0"),IF(AND(A204&lt;&gt;"",E204&lt;&gt;""),"✅ Saved","Pending"),"🔒 WRONG CODE")))</f>
        <v/>
      </c>
      <c r="J204" s="33" t="str">
        <f t="shared" ca="1" si="20"/>
        <v>—</v>
      </c>
      <c r="K204" s="46"/>
    </row>
    <row r="205" spans="1:11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IF(A205="","",IFERROR(VLOOKUP(A205,DB_Customers!$A:$M,13,0),""))</f>
        <v/>
      </c>
      <c r="D205" s="42" t="str">
        <f t="shared" ca="1" si="18"/>
        <v/>
      </c>
      <c r="E205" s="32"/>
      <c r="F205" s="43" t="str">
        <f t="shared" si="19"/>
        <v/>
      </c>
      <c r="G205" s="30" t="s">
        <v>57</v>
      </c>
      <c r="H205" s="41"/>
      <c r="I205" s="33" t="str">
        <f>IF(A205="","",IF(H205="","⚠️ Enter Agent Code",IF(IFERROR(VLOOKUP(G205,DB_Agents!$B:$F,4,0),"")=TEXT(H205,"0"),IF(AND(A205&lt;&gt;"",E205&lt;&gt;""),"✅ Saved","Pending"),"🔒 WRONG CODE")))</f>
        <v/>
      </c>
      <c r="J205" s="33" t="str">
        <f t="shared" ca="1" si="20"/>
        <v>—</v>
      </c>
      <c r="K205" s="22"/>
    </row>
    <row r="206" spans="1:11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IF(A206="","",IFERROR(VLOOKUP(A206,DB_Customers!$A:$M,13,0),""))</f>
        <v/>
      </c>
      <c r="D206" s="42" t="str">
        <f t="shared" ca="1" si="18"/>
        <v/>
      </c>
      <c r="E206" s="32"/>
      <c r="F206" s="43" t="str">
        <f t="shared" si="19"/>
        <v/>
      </c>
      <c r="G206" s="30" t="s">
        <v>57</v>
      </c>
      <c r="H206" s="41"/>
      <c r="I206" s="33" t="str">
        <f>IF(A206="","",IF(H206="","⚠️ Enter Agent Code",IF(IFERROR(VLOOKUP(G206,DB_Agents!$B:$F,4,0),"")=TEXT(H206,"0"),IF(AND(A206&lt;&gt;"",E206&lt;&gt;""),"✅ Saved","Pending"),"🔒 WRONG CODE")))</f>
        <v/>
      </c>
      <c r="J206" s="33" t="str">
        <f t="shared" ca="1" si="20"/>
        <v>—</v>
      </c>
      <c r="K206" s="46"/>
    </row>
    <row r="207" spans="1:11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IF(A207="","",IFERROR(VLOOKUP(A207,DB_Customers!$A:$M,13,0),""))</f>
        <v/>
      </c>
      <c r="D207" s="42" t="str">
        <f t="shared" ca="1" si="18"/>
        <v/>
      </c>
      <c r="E207" s="32"/>
      <c r="F207" s="43" t="str">
        <f t="shared" si="19"/>
        <v/>
      </c>
      <c r="G207" s="30" t="s">
        <v>57</v>
      </c>
      <c r="H207" s="41"/>
      <c r="I207" s="33" t="str">
        <f>IF(A207="","",IF(H207="","⚠️ Enter Agent Code",IF(IFERROR(VLOOKUP(G207,DB_Agents!$B:$F,4,0),"")=TEXT(H207,"0"),IF(AND(A207&lt;&gt;"",E207&lt;&gt;""),"✅ Saved","Pending"),"🔒 WRONG CODE")))</f>
        <v/>
      </c>
      <c r="J207" s="33" t="str">
        <f t="shared" ca="1" si="20"/>
        <v>—</v>
      </c>
      <c r="K207" s="22"/>
    </row>
    <row r="208" spans="1:11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IF(A208="","",IFERROR(VLOOKUP(A208,DB_Customers!$A:$M,13,0),""))</f>
        <v/>
      </c>
      <c r="D208" s="42" t="str">
        <f t="shared" ca="1" si="18"/>
        <v/>
      </c>
      <c r="E208" s="32"/>
      <c r="F208" s="43" t="str">
        <f t="shared" si="19"/>
        <v/>
      </c>
      <c r="G208" s="30" t="s">
        <v>57</v>
      </c>
      <c r="H208" s="41"/>
      <c r="I208" s="33" t="str">
        <f>IF(A208="","",IF(H208="","⚠️ Enter Agent Code",IF(IFERROR(VLOOKUP(G208,DB_Agents!$B:$F,4,0),"")=TEXT(H208,"0"),IF(AND(A208&lt;&gt;"",E208&lt;&gt;""),"✅ Saved","Pending"),"🔒 WRONG CODE")))</f>
        <v/>
      </c>
      <c r="J208" s="33" t="str">
        <f t="shared" ca="1" si="20"/>
        <v>—</v>
      </c>
      <c r="K208" s="46"/>
    </row>
  </sheetData>
  <mergeCells count="4">
    <mergeCell ref="A2:K2"/>
    <mergeCell ref="A6:K6"/>
    <mergeCell ref="A1:K1"/>
    <mergeCell ref="A7:K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2.1" customHeight="1" x14ac:dyDescent="0.25">
      <c r="A1" s="94" t="s">
        <v>177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26.1" customHeight="1" x14ac:dyDescent="0.25">
      <c r="A2" s="97" t="s">
        <v>178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20.100000000000001" customHeight="1" x14ac:dyDescent="0.25">
      <c r="A3" s="47" t="s">
        <v>138</v>
      </c>
      <c r="D3" s="44" t="s">
        <v>139</v>
      </c>
      <c r="G3" s="48" t="s">
        <v>140</v>
      </c>
      <c r="J3" s="47" t="s">
        <v>128</v>
      </c>
    </row>
    <row r="4" spans="1:12" ht="24" customHeight="1" x14ac:dyDescent="0.25">
      <c r="A4" s="49">
        <f ca="1">IFERROR(SUMIFS(DB_Withdrawals!$G:$G,DB_Withdrawals!$I:$I,"Agent 04",DB_Withdrawals!$E:$E,TODAY()),0)</f>
        <v>0</v>
      </c>
      <c r="D4" s="49">
        <f ca="1">IFERROR(COUNTIFS(DB_Withdrawals!$I:$I,"Agent 04",DB_Withdrawals!$J:$J,"✅ Successful",DB_Withdrawals!$E:$E,TODAY()),0)</f>
        <v>0</v>
      </c>
      <c r="G4" s="49">
        <f ca="1">IFERROR(COUNTIFS(DB_Withdrawals!$I:$I,"Agent 04",DB_Withdrawals!$J:$J,"❌ Insufficient Funds",DB_Withdrawals!$E:$E,TODAY()),0)</f>
        <v>0</v>
      </c>
      <c r="J4" s="49" t="str">
        <f ca="1">TEXT(TODAY(),"DD MMM YYYY")</f>
        <v>25 Apr 2026</v>
      </c>
    </row>
    <row r="6" spans="1:12" ht="26.1" customHeight="1" x14ac:dyDescent="0.25">
      <c r="A6" s="90" t="s">
        <v>141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</row>
    <row r="8" spans="1:12" ht="30" customHeight="1" x14ac:dyDescent="0.25">
      <c r="A8" s="19" t="s">
        <v>131</v>
      </c>
      <c r="B8" s="19" t="s">
        <v>69</v>
      </c>
      <c r="C8" s="19" t="s">
        <v>85</v>
      </c>
      <c r="D8" s="19" t="s">
        <v>91</v>
      </c>
      <c r="E8" s="19" t="s">
        <v>142</v>
      </c>
      <c r="F8" s="19" t="s">
        <v>143</v>
      </c>
      <c r="G8" s="19" t="s">
        <v>133</v>
      </c>
      <c r="H8" s="19" t="s">
        <v>45</v>
      </c>
      <c r="I8" s="19" t="s">
        <v>134</v>
      </c>
      <c r="J8" s="19" t="s">
        <v>77</v>
      </c>
      <c r="K8" s="19" t="s">
        <v>135</v>
      </c>
      <c r="L8" s="19" t="s">
        <v>95</v>
      </c>
    </row>
    <row r="9" spans="1:12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IF(A9="","",IFERROR(VLOOKUP(A9,DB_Customers!$A:$N,14,0),""))</f>
        <v/>
      </c>
      <c r="D9" s="42" t="str">
        <f t="shared" ref="D9:D40" ca="1" si="0">IF(A9="","",TODAY())</f>
        <v/>
      </c>
      <c r="E9" s="32"/>
      <c r="F9" s="31"/>
      <c r="G9" s="43" t="str">
        <f t="shared" ref="G9:G40" si="1">IFERROR(IF(OR(A9="",E9=""),"",C9-E9),"")</f>
        <v/>
      </c>
      <c r="H9" s="30" t="s">
        <v>57</v>
      </c>
      <c r="I9" s="41"/>
      <c r="J9" s="33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9" s="33" t="str">
        <f t="shared" ref="K9:K40" ca="1" si="2">IF(J9="✅ Successful",TEXT(TODAY(),"YYYY-MM-DD")&amp;" Auto","—")</f>
        <v>—</v>
      </c>
      <c r="L9" s="22"/>
    </row>
    <row r="10" spans="1:12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IF(A10="","",IFERROR(VLOOKUP(A10,DB_Customers!$A:$N,14,0),""))</f>
        <v/>
      </c>
      <c r="D10" s="42" t="str">
        <f t="shared" ca="1" si="0"/>
        <v/>
      </c>
      <c r="E10" s="32"/>
      <c r="F10" s="31"/>
      <c r="G10" s="43" t="str">
        <f t="shared" si="1"/>
        <v/>
      </c>
      <c r="H10" s="30" t="s">
        <v>57</v>
      </c>
      <c r="I10" s="41"/>
      <c r="J10" s="33" t="str">
        <f>IF(AND(A10&lt;&gt;"",E10&lt;&gt;""),IF(I10="","⚠️ Enter Code",IF(IFERROR(VLOOKUP(H10,DB_Agents!$B:$F,4,0),"")=TEXT(I10,"0"),IF(C10&gt;=E10,"✅ Successful","❌ Insufficient Funds"),"🔒 WRONG CODE")),"Pending")</f>
        <v>Pending</v>
      </c>
      <c r="K10" s="33" t="str">
        <f t="shared" ca="1" si="2"/>
        <v>—</v>
      </c>
      <c r="L10" s="50"/>
    </row>
    <row r="11" spans="1:12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IF(A11="","",IFERROR(VLOOKUP(A11,DB_Customers!$A:$N,14,0),""))</f>
        <v/>
      </c>
      <c r="D11" s="42" t="str">
        <f t="shared" ca="1" si="0"/>
        <v/>
      </c>
      <c r="E11" s="32"/>
      <c r="F11" s="31"/>
      <c r="G11" s="43" t="str">
        <f t="shared" si="1"/>
        <v/>
      </c>
      <c r="H11" s="30" t="s">
        <v>57</v>
      </c>
      <c r="I11" s="41"/>
      <c r="J11" s="33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1" s="33" t="str">
        <f t="shared" ca="1" si="2"/>
        <v>—</v>
      </c>
      <c r="L11" s="22"/>
    </row>
    <row r="12" spans="1:12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IF(A12="","",IFERROR(VLOOKUP(A12,DB_Customers!$A:$N,14,0),""))</f>
        <v/>
      </c>
      <c r="D12" s="42" t="str">
        <f t="shared" ca="1" si="0"/>
        <v/>
      </c>
      <c r="E12" s="32"/>
      <c r="F12" s="31"/>
      <c r="G12" s="43" t="str">
        <f t="shared" si="1"/>
        <v/>
      </c>
      <c r="H12" s="30" t="s">
        <v>57</v>
      </c>
      <c r="I12" s="41"/>
      <c r="J12" s="33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2" s="33" t="str">
        <f t="shared" ca="1" si="2"/>
        <v>—</v>
      </c>
      <c r="L12" s="50"/>
    </row>
    <row r="13" spans="1:12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IF(A13="","",IFERROR(VLOOKUP(A13,DB_Customers!$A:$N,14,0),""))</f>
        <v/>
      </c>
      <c r="D13" s="42" t="str">
        <f t="shared" ca="1" si="0"/>
        <v/>
      </c>
      <c r="E13" s="32"/>
      <c r="F13" s="31"/>
      <c r="G13" s="43" t="str">
        <f t="shared" si="1"/>
        <v/>
      </c>
      <c r="H13" s="30" t="s">
        <v>57</v>
      </c>
      <c r="I13" s="41"/>
      <c r="J13" s="33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3" s="33" t="str">
        <f t="shared" ca="1" si="2"/>
        <v>—</v>
      </c>
      <c r="L13" s="22"/>
    </row>
    <row r="14" spans="1:12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IF(A14="","",IFERROR(VLOOKUP(A14,DB_Customers!$A:$N,14,0),""))</f>
        <v/>
      </c>
      <c r="D14" s="42" t="str">
        <f t="shared" ca="1" si="0"/>
        <v/>
      </c>
      <c r="E14" s="32"/>
      <c r="F14" s="31"/>
      <c r="G14" s="43" t="str">
        <f t="shared" si="1"/>
        <v/>
      </c>
      <c r="H14" s="30" t="s">
        <v>57</v>
      </c>
      <c r="I14" s="41"/>
      <c r="J14" s="33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4" s="33" t="str">
        <f t="shared" ca="1" si="2"/>
        <v>—</v>
      </c>
      <c r="L14" s="50"/>
    </row>
    <row r="15" spans="1:12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IF(A15="","",IFERROR(VLOOKUP(A15,DB_Customers!$A:$N,14,0),""))</f>
        <v/>
      </c>
      <c r="D15" s="42" t="str">
        <f t="shared" ca="1" si="0"/>
        <v/>
      </c>
      <c r="E15" s="32"/>
      <c r="F15" s="31"/>
      <c r="G15" s="43" t="str">
        <f t="shared" si="1"/>
        <v/>
      </c>
      <c r="H15" s="30" t="s">
        <v>57</v>
      </c>
      <c r="I15" s="41"/>
      <c r="J15" s="33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5" s="33" t="str">
        <f t="shared" ca="1" si="2"/>
        <v>—</v>
      </c>
      <c r="L15" s="22"/>
    </row>
    <row r="16" spans="1:12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IF(A16="","",IFERROR(VLOOKUP(A16,DB_Customers!$A:$N,14,0),""))</f>
        <v/>
      </c>
      <c r="D16" s="42" t="str">
        <f t="shared" ca="1" si="0"/>
        <v/>
      </c>
      <c r="E16" s="32"/>
      <c r="F16" s="31"/>
      <c r="G16" s="43" t="str">
        <f t="shared" si="1"/>
        <v/>
      </c>
      <c r="H16" s="30" t="s">
        <v>57</v>
      </c>
      <c r="I16" s="41"/>
      <c r="J16" s="33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6" s="33" t="str">
        <f t="shared" ca="1" si="2"/>
        <v>—</v>
      </c>
      <c r="L16" s="50"/>
    </row>
    <row r="17" spans="1:12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IF(A17="","",IFERROR(VLOOKUP(A17,DB_Customers!$A:$N,14,0),""))</f>
        <v/>
      </c>
      <c r="D17" s="42" t="str">
        <f t="shared" ca="1" si="0"/>
        <v/>
      </c>
      <c r="E17" s="32"/>
      <c r="F17" s="31"/>
      <c r="G17" s="43" t="str">
        <f t="shared" si="1"/>
        <v/>
      </c>
      <c r="H17" s="30" t="s">
        <v>57</v>
      </c>
      <c r="I17" s="41"/>
      <c r="J17" s="33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7" s="33" t="str">
        <f t="shared" ca="1" si="2"/>
        <v>—</v>
      </c>
      <c r="L17" s="22"/>
    </row>
    <row r="18" spans="1:12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IF(A18="","",IFERROR(VLOOKUP(A18,DB_Customers!$A:$N,14,0),""))</f>
        <v/>
      </c>
      <c r="D18" s="42" t="str">
        <f t="shared" ca="1" si="0"/>
        <v/>
      </c>
      <c r="E18" s="32"/>
      <c r="F18" s="31"/>
      <c r="G18" s="43" t="str">
        <f t="shared" si="1"/>
        <v/>
      </c>
      <c r="H18" s="30" t="s">
        <v>57</v>
      </c>
      <c r="I18" s="41"/>
      <c r="J18" s="33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18" s="33" t="str">
        <f t="shared" ca="1" si="2"/>
        <v>—</v>
      </c>
      <c r="L18" s="50"/>
    </row>
    <row r="19" spans="1:12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IF(A19="","",IFERROR(VLOOKUP(A19,DB_Customers!$A:$N,14,0),""))</f>
        <v/>
      </c>
      <c r="D19" s="42" t="str">
        <f t="shared" ca="1" si="0"/>
        <v/>
      </c>
      <c r="E19" s="32"/>
      <c r="F19" s="31"/>
      <c r="G19" s="43" t="str">
        <f t="shared" si="1"/>
        <v/>
      </c>
      <c r="H19" s="30" t="s">
        <v>57</v>
      </c>
      <c r="I19" s="41"/>
      <c r="J19" s="33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19" s="33" t="str">
        <f t="shared" ca="1" si="2"/>
        <v>—</v>
      </c>
      <c r="L19" s="22"/>
    </row>
    <row r="20" spans="1:12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IF(A20="","",IFERROR(VLOOKUP(A20,DB_Customers!$A:$N,14,0),""))</f>
        <v/>
      </c>
      <c r="D20" s="42" t="str">
        <f t="shared" ca="1" si="0"/>
        <v/>
      </c>
      <c r="E20" s="32"/>
      <c r="F20" s="31"/>
      <c r="G20" s="43" t="str">
        <f t="shared" si="1"/>
        <v/>
      </c>
      <c r="H20" s="30" t="s">
        <v>57</v>
      </c>
      <c r="I20" s="41"/>
      <c r="J20" s="33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0" s="33" t="str">
        <f t="shared" ca="1" si="2"/>
        <v>—</v>
      </c>
      <c r="L20" s="50"/>
    </row>
    <row r="21" spans="1:12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IF(A21="","",IFERROR(VLOOKUP(A21,DB_Customers!$A:$N,14,0),""))</f>
        <v/>
      </c>
      <c r="D21" s="42" t="str">
        <f t="shared" ca="1" si="0"/>
        <v/>
      </c>
      <c r="E21" s="32"/>
      <c r="F21" s="31"/>
      <c r="G21" s="43" t="str">
        <f t="shared" si="1"/>
        <v/>
      </c>
      <c r="H21" s="30" t="s">
        <v>57</v>
      </c>
      <c r="I21" s="41"/>
      <c r="J21" s="33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1" s="33" t="str">
        <f t="shared" ca="1" si="2"/>
        <v>—</v>
      </c>
      <c r="L21" s="22"/>
    </row>
    <row r="22" spans="1:12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IF(A22="","",IFERROR(VLOOKUP(A22,DB_Customers!$A:$N,14,0),""))</f>
        <v/>
      </c>
      <c r="D22" s="42" t="str">
        <f t="shared" ca="1" si="0"/>
        <v/>
      </c>
      <c r="E22" s="32"/>
      <c r="F22" s="31"/>
      <c r="G22" s="43" t="str">
        <f t="shared" si="1"/>
        <v/>
      </c>
      <c r="H22" s="30" t="s">
        <v>57</v>
      </c>
      <c r="I22" s="41"/>
      <c r="J22" s="33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2" s="33" t="str">
        <f t="shared" ca="1" si="2"/>
        <v>—</v>
      </c>
      <c r="L22" s="50"/>
    </row>
    <row r="23" spans="1:12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IF(A23="","",IFERROR(VLOOKUP(A23,DB_Customers!$A:$N,14,0),""))</f>
        <v/>
      </c>
      <c r="D23" s="42" t="str">
        <f t="shared" ca="1" si="0"/>
        <v/>
      </c>
      <c r="E23" s="32"/>
      <c r="F23" s="31"/>
      <c r="G23" s="43" t="str">
        <f t="shared" si="1"/>
        <v/>
      </c>
      <c r="H23" s="30" t="s">
        <v>57</v>
      </c>
      <c r="I23" s="41"/>
      <c r="J23" s="33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3" s="33" t="str">
        <f t="shared" ca="1" si="2"/>
        <v>—</v>
      </c>
      <c r="L23" s="22"/>
    </row>
    <row r="24" spans="1:12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IF(A24="","",IFERROR(VLOOKUP(A24,DB_Customers!$A:$N,14,0),""))</f>
        <v/>
      </c>
      <c r="D24" s="42" t="str">
        <f t="shared" ca="1" si="0"/>
        <v/>
      </c>
      <c r="E24" s="32"/>
      <c r="F24" s="31"/>
      <c r="G24" s="43" t="str">
        <f t="shared" si="1"/>
        <v/>
      </c>
      <c r="H24" s="30" t="s">
        <v>57</v>
      </c>
      <c r="I24" s="41"/>
      <c r="J24" s="33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4" s="33" t="str">
        <f t="shared" ca="1" si="2"/>
        <v>—</v>
      </c>
      <c r="L24" s="50"/>
    </row>
    <row r="25" spans="1:12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IF(A25="","",IFERROR(VLOOKUP(A25,DB_Customers!$A:$N,14,0),""))</f>
        <v/>
      </c>
      <c r="D25" s="42" t="str">
        <f t="shared" ca="1" si="0"/>
        <v/>
      </c>
      <c r="E25" s="32"/>
      <c r="F25" s="31"/>
      <c r="G25" s="43" t="str">
        <f t="shared" si="1"/>
        <v/>
      </c>
      <c r="H25" s="30" t="s">
        <v>57</v>
      </c>
      <c r="I25" s="41"/>
      <c r="J25" s="33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5" s="33" t="str">
        <f t="shared" ca="1" si="2"/>
        <v>—</v>
      </c>
      <c r="L25" s="22"/>
    </row>
    <row r="26" spans="1:12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IF(A26="","",IFERROR(VLOOKUP(A26,DB_Customers!$A:$N,14,0),""))</f>
        <v/>
      </c>
      <c r="D26" s="42" t="str">
        <f t="shared" ca="1" si="0"/>
        <v/>
      </c>
      <c r="E26" s="32"/>
      <c r="F26" s="31"/>
      <c r="G26" s="43" t="str">
        <f t="shared" si="1"/>
        <v/>
      </c>
      <c r="H26" s="30" t="s">
        <v>57</v>
      </c>
      <c r="I26" s="41"/>
      <c r="J26" s="33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6" s="33" t="str">
        <f t="shared" ca="1" si="2"/>
        <v>—</v>
      </c>
      <c r="L26" s="50"/>
    </row>
    <row r="27" spans="1:12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IF(A27="","",IFERROR(VLOOKUP(A27,DB_Customers!$A:$N,14,0),""))</f>
        <v/>
      </c>
      <c r="D27" s="42" t="str">
        <f t="shared" ca="1" si="0"/>
        <v/>
      </c>
      <c r="E27" s="32"/>
      <c r="F27" s="31"/>
      <c r="G27" s="43" t="str">
        <f t="shared" si="1"/>
        <v/>
      </c>
      <c r="H27" s="30" t="s">
        <v>57</v>
      </c>
      <c r="I27" s="41"/>
      <c r="J27" s="33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7" s="33" t="str">
        <f t="shared" ca="1" si="2"/>
        <v>—</v>
      </c>
      <c r="L27" s="22"/>
    </row>
    <row r="28" spans="1:12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IF(A28="","",IFERROR(VLOOKUP(A28,DB_Customers!$A:$N,14,0),""))</f>
        <v/>
      </c>
      <c r="D28" s="42" t="str">
        <f t="shared" ca="1" si="0"/>
        <v/>
      </c>
      <c r="E28" s="32"/>
      <c r="F28" s="31"/>
      <c r="G28" s="43" t="str">
        <f t="shared" si="1"/>
        <v/>
      </c>
      <c r="H28" s="30" t="s">
        <v>57</v>
      </c>
      <c r="I28" s="41"/>
      <c r="J28" s="33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28" s="33" t="str">
        <f t="shared" ca="1" si="2"/>
        <v>—</v>
      </c>
      <c r="L28" s="50"/>
    </row>
    <row r="29" spans="1:12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IF(A29="","",IFERROR(VLOOKUP(A29,DB_Customers!$A:$N,14,0),""))</f>
        <v/>
      </c>
      <c r="D29" s="42" t="str">
        <f t="shared" ca="1" si="0"/>
        <v/>
      </c>
      <c r="E29" s="32"/>
      <c r="F29" s="31"/>
      <c r="G29" s="43" t="str">
        <f t="shared" si="1"/>
        <v/>
      </c>
      <c r="H29" s="30" t="s">
        <v>57</v>
      </c>
      <c r="I29" s="41"/>
      <c r="J29" s="33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29" s="33" t="str">
        <f t="shared" ca="1" si="2"/>
        <v>—</v>
      </c>
      <c r="L29" s="22"/>
    </row>
    <row r="30" spans="1:12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IF(A30="","",IFERROR(VLOOKUP(A30,DB_Customers!$A:$N,14,0),""))</f>
        <v/>
      </c>
      <c r="D30" s="42" t="str">
        <f t="shared" ca="1" si="0"/>
        <v/>
      </c>
      <c r="E30" s="32"/>
      <c r="F30" s="31"/>
      <c r="G30" s="43" t="str">
        <f t="shared" si="1"/>
        <v/>
      </c>
      <c r="H30" s="30" t="s">
        <v>57</v>
      </c>
      <c r="I30" s="41"/>
      <c r="J30" s="33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0" s="33" t="str">
        <f t="shared" ca="1" si="2"/>
        <v>—</v>
      </c>
      <c r="L30" s="50"/>
    </row>
    <row r="31" spans="1:12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IF(A31="","",IFERROR(VLOOKUP(A31,DB_Customers!$A:$N,14,0),""))</f>
        <v/>
      </c>
      <c r="D31" s="42" t="str">
        <f t="shared" ca="1" si="0"/>
        <v/>
      </c>
      <c r="E31" s="32"/>
      <c r="F31" s="31"/>
      <c r="G31" s="43" t="str">
        <f t="shared" si="1"/>
        <v/>
      </c>
      <c r="H31" s="30" t="s">
        <v>57</v>
      </c>
      <c r="I31" s="41"/>
      <c r="J31" s="33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1" s="33" t="str">
        <f t="shared" ca="1" si="2"/>
        <v>—</v>
      </c>
      <c r="L31" s="22"/>
    </row>
    <row r="32" spans="1:12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IF(A32="","",IFERROR(VLOOKUP(A32,DB_Customers!$A:$N,14,0),""))</f>
        <v/>
      </c>
      <c r="D32" s="42" t="str">
        <f t="shared" ca="1" si="0"/>
        <v/>
      </c>
      <c r="E32" s="32"/>
      <c r="F32" s="31"/>
      <c r="G32" s="43" t="str">
        <f t="shared" si="1"/>
        <v/>
      </c>
      <c r="H32" s="30" t="s">
        <v>57</v>
      </c>
      <c r="I32" s="41"/>
      <c r="J32" s="33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2" s="33" t="str">
        <f t="shared" ca="1" si="2"/>
        <v>—</v>
      </c>
      <c r="L32" s="50"/>
    </row>
    <row r="33" spans="1:12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IF(A33="","",IFERROR(VLOOKUP(A33,DB_Customers!$A:$N,14,0),""))</f>
        <v/>
      </c>
      <c r="D33" s="42" t="str">
        <f t="shared" ca="1" si="0"/>
        <v/>
      </c>
      <c r="E33" s="32"/>
      <c r="F33" s="31"/>
      <c r="G33" s="43" t="str">
        <f t="shared" si="1"/>
        <v/>
      </c>
      <c r="H33" s="30" t="s">
        <v>57</v>
      </c>
      <c r="I33" s="41"/>
      <c r="J33" s="33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3" s="33" t="str">
        <f t="shared" ca="1" si="2"/>
        <v>—</v>
      </c>
      <c r="L33" s="22"/>
    </row>
    <row r="34" spans="1:12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IF(A34="","",IFERROR(VLOOKUP(A34,DB_Customers!$A:$N,14,0),""))</f>
        <v/>
      </c>
      <c r="D34" s="42" t="str">
        <f t="shared" ca="1" si="0"/>
        <v/>
      </c>
      <c r="E34" s="32"/>
      <c r="F34" s="31"/>
      <c r="G34" s="43" t="str">
        <f t="shared" si="1"/>
        <v/>
      </c>
      <c r="H34" s="30" t="s">
        <v>57</v>
      </c>
      <c r="I34" s="41"/>
      <c r="J34" s="33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4" s="33" t="str">
        <f t="shared" ca="1" si="2"/>
        <v>—</v>
      </c>
      <c r="L34" s="50"/>
    </row>
    <row r="35" spans="1:12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IF(A35="","",IFERROR(VLOOKUP(A35,DB_Customers!$A:$N,14,0),""))</f>
        <v/>
      </c>
      <c r="D35" s="42" t="str">
        <f t="shared" ca="1" si="0"/>
        <v/>
      </c>
      <c r="E35" s="32"/>
      <c r="F35" s="31"/>
      <c r="G35" s="43" t="str">
        <f t="shared" si="1"/>
        <v/>
      </c>
      <c r="H35" s="30" t="s">
        <v>57</v>
      </c>
      <c r="I35" s="41"/>
      <c r="J35" s="33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5" s="33" t="str">
        <f t="shared" ca="1" si="2"/>
        <v>—</v>
      </c>
      <c r="L35" s="22"/>
    </row>
    <row r="36" spans="1:12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IF(A36="","",IFERROR(VLOOKUP(A36,DB_Customers!$A:$N,14,0),""))</f>
        <v/>
      </c>
      <c r="D36" s="42" t="str">
        <f t="shared" ca="1" si="0"/>
        <v/>
      </c>
      <c r="E36" s="32"/>
      <c r="F36" s="31"/>
      <c r="G36" s="43" t="str">
        <f t="shared" si="1"/>
        <v/>
      </c>
      <c r="H36" s="30" t="s">
        <v>57</v>
      </c>
      <c r="I36" s="41"/>
      <c r="J36" s="33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6" s="33" t="str">
        <f t="shared" ca="1" si="2"/>
        <v>—</v>
      </c>
      <c r="L36" s="50"/>
    </row>
    <row r="37" spans="1:12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IF(A37="","",IFERROR(VLOOKUP(A37,DB_Customers!$A:$N,14,0),""))</f>
        <v/>
      </c>
      <c r="D37" s="42" t="str">
        <f t="shared" ca="1" si="0"/>
        <v/>
      </c>
      <c r="E37" s="32"/>
      <c r="F37" s="31"/>
      <c r="G37" s="43" t="str">
        <f t="shared" si="1"/>
        <v/>
      </c>
      <c r="H37" s="30" t="s">
        <v>57</v>
      </c>
      <c r="I37" s="41"/>
      <c r="J37" s="33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7" s="33" t="str">
        <f t="shared" ca="1" si="2"/>
        <v>—</v>
      </c>
      <c r="L37" s="22"/>
    </row>
    <row r="38" spans="1:12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IF(A38="","",IFERROR(VLOOKUP(A38,DB_Customers!$A:$N,14,0),""))</f>
        <v/>
      </c>
      <c r="D38" s="42" t="str">
        <f t="shared" ca="1" si="0"/>
        <v/>
      </c>
      <c r="E38" s="32"/>
      <c r="F38" s="31"/>
      <c r="G38" s="43" t="str">
        <f t="shared" si="1"/>
        <v/>
      </c>
      <c r="H38" s="30" t="s">
        <v>57</v>
      </c>
      <c r="I38" s="41"/>
      <c r="J38" s="33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38" s="33" t="str">
        <f t="shared" ca="1" si="2"/>
        <v>—</v>
      </c>
      <c r="L38" s="50"/>
    </row>
    <row r="39" spans="1:12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IF(A39="","",IFERROR(VLOOKUP(A39,DB_Customers!$A:$N,14,0),""))</f>
        <v/>
      </c>
      <c r="D39" s="42" t="str">
        <f t="shared" ca="1" si="0"/>
        <v/>
      </c>
      <c r="E39" s="32"/>
      <c r="F39" s="31"/>
      <c r="G39" s="43" t="str">
        <f t="shared" si="1"/>
        <v/>
      </c>
      <c r="H39" s="30" t="s">
        <v>57</v>
      </c>
      <c r="I39" s="41"/>
      <c r="J39" s="33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39" s="33" t="str">
        <f t="shared" ca="1" si="2"/>
        <v>—</v>
      </c>
      <c r="L39" s="22"/>
    </row>
    <row r="40" spans="1:12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IF(A40="","",IFERROR(VLOOKUP(A40,DB_Customers!$A:$N,14,0),""))</f>
        <v/>
      </c>
      <c r="D40" s="42" t="str">
        <f t="shared" ca="1" si="0"/>
        <v/>
      </c>
      <c r="E40" s="32"/>
      <c r="F40" s="31"/>
      <c r="G40" s="43" t="str">
        <f t="shared" si="1"/>
        <v/>
      </c>
      <c r="H40" s="30" t="s">
        <v>57</v>
      </c>
      <c r="I40" s="41"/>
      <c r="J40" s="33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0" s="33" t="str">
        <f t="shared" ca="1" si="2"/>
        <v>—</v>
      </c>
      <c r="L40" s="50"/>
    </row>
    <row r="41" spans="1:12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IF(A41="","",IFERROR(VLOOKUP(A41,DB_Customers!$A:$N,14,0),""))</f>
        <v/>
      </c>
      <c r="D41" s="42" t="str">
        <f t="shared" ref="D41:D72" ca="1" si="3">IF(A41="","",TODAY())</f>
        <v/>
      </c>
      <c r="E41" s="32"/>
      <c r="F41" s="31"/>
      <c r="G41" s="43" t="str">
        <f t="shared" ref="G41:G72" si="4">IFERROR(IF(OR(A41="",E41=""),"",C41-E41),"")</f>
        <v/>
      </c>
      <c r="H41" s="30" t="s">
        <v>57</v>
      </c>
      <c r="I41" s="41"/>
      <c r="J41" s="33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1" s="33" t="str">
        <f t="shared" ref="K41:K72" ca="1" si="5">IF(J41="✅ Successful",TEXT(TODAY(),"YYYY-MM-DD")&amp;" Auto","—")</f>
        <v>—</v>
      </c>
      <c r="L41" s="22"/>
    </row>
    <row r="42" spans="1:12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IF(A42="","",IFERROR(VLOOKUP(A42,DB_Customers!$A:$N,14,0),""))</f>
        <v/>
      </c>
      <c r="D42" s="42" t="str">
        <f t="shared" ca="1" si="3"/>
        <v/>
      </c>
      <c r="E42" s="32"/>
      <c r="F42" s="31"/>
      <c r="G42" s="43" t="str">
        <f t="shared" si="4"/>
        <v/>
      </c>
      <c r="H42" s="30" t="s">
        <v>57</v>
      </c>
      <c r="I42" s="41"/>
      <c r="J42" s="33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2" s="33" t="str">
        <f t="shared" ca="1" si="5"/>
        <v>—</v>
      </c>
      <c r="L42" s="50"/>
    </row>
    <row r="43" spans="1:12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IF(A43="","",IFERROR(VLOOKUP(A43,DB_Customers!$A:$N,14,0),""))</f>
        <v/>
      </c>
      <c r="D43" s="42" t="str">
        <f t="shared" ca="1" si="3"/>
        <v/>
      </c>
      <c r="E43" s="32"/>
      <c r="F43" s="31"/>
      <c r="G43" s="43" t="str">
        <f t="shared" si="4"/>
        <v/>
      </c>
      <c r="H43" s="30" t="s">
        <v>57</v>
      </c>
      <c r="I43" s="41"/>
      <c r="J43" s="33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3" s="33" t="str">
        <f t="shared" ca="1" si="5"/>
        <v>—</v>
      </c>
      <c r="L43" s="22"/>
    </row>
    <row r="44" spans="1:12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IF(A44="","",IFERROR(VLOOKUP(A44,DB_Customers!$A:$N,14,0),""))</f>
        <v/>
      </c>
      <c r="D44" s="42" t="str">
        <f t="shared" ca="1" si="3"/>
        <v/>
      </c>
      <c r="E44" s="32"/>
      <c r="F44" s="31"/>
      <c r="G44" s="43" t="str">
        <f t="shared" si="4"/>
        <v/>
      </c>
      <c r="H44" s="30" t="s">
        <v>57</v>
      </c>
      <c r="I44" s="41"/>
      <c r="J44" s="33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4" s="33" t="str">
        <f t="shared" ca="1" si="5"/>
        <v>—</v>
      </c>
      <c r="L44" s="50"/>
    </row>
    <row r="45" spans="1:12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IF(A45="","",IFERROR(VLOOKUP(A45,DB_Customers!$A:$N,14,0),""))</f>
        <v/>
      </c>
      <c r="D45" s="42" t="str">
        <f t="shared" ca="1" si="3"/>
        <v/>
      </c>
      <c r="E45" s="32"/>
      <c r="F45" s="31"/>
      <c r="G45" s="43" t="str">
        <f t="shared" si="4"/>
        <v/>
      </c>
      <c r="H45" s="30" t="s">
        <v>57</v>
      </c>
      <c r="I45" s="41"/>
      <c r="J45" s="33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5" s="33" t="str">
        <f t="shared" ca="1" si="5"/>
        <v>—</v>
      </c>
      <c r="L45" s="22"/>
    </row>
    <row r="46" spans="1:12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IF(A46="","",IFERROR(VLOOKUP(A46,DB_Customers!$A:$N,14,0),""))</f>
        <v/>
      </c>
      <c r="D46" s="42" t="str">
        <f t="shared" ca="1" si="3"/>
        <v/>
      </c>
      <c r="E46" s="32"/>
      <c r="F46" s="31"/>
      <c r="G46" s="43" t="str">
        <f t="shared" si="4"/>
        <v/>
      </c>
      <c r="H46" s="30" t="s">
        <v>57</v>
      </c>
      <c r="I46" s="41"/>
      <c r="J46" s="33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6" s="33" t="str">
        <f t="shared" ca="1" si="5"/>
        <v>—</v>
      </c>
      <c r="L46" s="50"/>
    </row>
    <row r="47" spans="1:12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IF(A47="","",IFERROR(VLOOKUP(A47,DB_Customers!$A:$N,14,0),""))</f>
        <v/>
      </c>
      <c r="D47" s="42" t="str">
        <f t="shared" ca="1" si="3"/>
        <v/>
      </c>
      <c r="E47" s="32"/>
      <c r="F47" s="31"/>
      <c r="G47" s="43" t="str">
        <f t="shared" si="4"/>
        <v/>
      </c>
      <c r="H47" s="30" t="s">
        <v>57</v>
      </c>
      <c r="I47" s="41"/>
      <c r="J47" s="33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7" s="33" t="str">
        <f t="shared" ca="1" si="5"/>
        <v>—</v>
      </c>
      <c r="L47" s="22"/>
    </row>
    <row r="48" spans="1:12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IF(A48="","",IFERROR(VLOOKUP(A48,DB_Customers!$A:$N,14,0),""))</f>
        <v/>
      </c>
      <c r="D48" s="42" t="str">
        <f t="shared" ca="1" si="3"/>
        <v/>
      </c>
      <c r="E48" s="32"/>
      <c r="F48" s="31"/>
      <c r="G48" s="43" t="str">
        <f t="shared" si="4"/>
        <v/>
      </c>
      <c r="H48" s="30" t="s">
        <v>57</v>
      </c>
      <c r="I48" s="41"/>
      <c r="J48" s="33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48" s="33" t="str">
        <f t="shared" ca="1" si="5"/>
        <v>—</v>
      </c>
      <c r="L48" s="50"/>
    </row>
    <row r="49" spans="1:12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IF(A49="","",IFERROR(VLOOKUP(A49,DB_Customers!$A:$N,14,0),""))</f>
        <v/>
      </c>
      <c r="D49" s="42" t="str">
        <f t="shared" ca="1" si="3"/>
        <v/>
      </c>
      <c r="E49" s="32"/>
      <c r="F49" s="31"/>
      <c r="G49" s="43" t="str">
        <f t="shared" si="4"/>
        <v/>
      </c>
      <c r="H49" s="30" t="s">
        <v>57</v>
      </c>
      <c r="I49" s="41"/>
      <c r="J49" s="33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49" s="33" t="str">
        <f t="shared" ca="1" si="5"/>
        <v>—</v>
      </c>
      <c r="L49" s="22"/>
    </row>
    <row r="50" spans="1:12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IF(A50="","",IFERROR(VLOOKUP(A50,DB_Customers!$A:$N,14,0),""))</f>
        <v/>
      </c>
      <c r="D50" s="42" t="str">
        <f t="shared" ca="1" si="3"/>
        <v/>
      </c>
      <c r="E50" s="32"/>
      <c r="F50" s="31"/>
      <c r="G50" s="43" t="str">
        <f t="shared" si="4"/>
        <v/>
      </c>
      <c r="H50" s="30" t="s">
        <v>57</v>
      </c>
      <c r="I50" s="41"/>
      <c r="J50" s="33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0" s="33" t="str">
        <f t="shared" ca="1" si="5"/>
        <v>—</v>
      </c>
      <c r="L50" s="50"/>
    </row>
    <row r="51" spans="1:12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IF(A51="","",IFERROR(VLOOKUP(A51,DB_Customers!$A:$N,14,0),""))</f>
        <v/>
      </c>
      <c r="D51" s="42" t="str">
        <f t="shared" ca="1" si="3"/>
        <v/>
      </c>
      <c r="E51" s="32"/>
      <c r="F51" s="31"/>
      <c r="G51" s="43" t="str">
        <f t="shared" si="4"/>
        <v/>
      </c>
      <c r="H51" s="30" t="s">
        <v>57</v>
      </c>
      <c r="I51" s="41"/>
      <c r="J51" s="33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1" s="33" t="str">
        <f t="shared" ca="1" si="5"/>
        <v>—</v>
      </c>
      <c r="L51" s="22"/>
    </row>
    <row r="52" spans="1:12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IF(A52="","",IFERROR(VLOOKUP(A52,DB_Customers!$A:$N,14,0),""))</f>
        <v/>
      </c>
      <c r="D52" s="42" t="str">
        <f t="shared" ca="1" si="3"/>
        <v/>
      </c>
      <c r="E52" s="32"/>
      <c r="F52" s="31"/>
      <c r="G52" s="43" t="str">
        <f t="shared" si="4"/>
        <v/>
      </c>
      <c r="H52" s="30" t="s">
        <v>57</v>
      </c>
      <c r="I52" s="41"/>
      <c r="J52" s="33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2" s="33" t="str">
        <f t="shared" ca="1" si="5"/>
        <v>—</v>
      </c>
      <c r="L52" s="50"/>
    </row>
    <row r="53" spans="1:12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IF(A53="","",IFERROR(VLOOKUP(A53,DB_Customers!$A:$N,14,0),""))</f>
        <v/>
      </c>
      <c r="D53" s="42" t="str">
        <f t="shared" ca="1" si="3"/>
        <v/>
      </c>
      <c r="E53" s="32"/>
      <c r="F53" s="31"/>
      <c r="G53" s="43" t="str">
        <f t="shared" si="4"/>
        <v/>
      </c>
      <c r="H53" s="30" t="s">
        <v>57</v>
      </c>
      <c r="I53" s="41"/>
      <c r="J53" s="33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3" s="33" t="str">
        <f t="shared" ca="1" si="5"/>
        <v>—</v>
      </c>
      <c r="L53" s="22"/>
    </row>
    <row r="54" spans="1:12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IF(A54="","",IFERROR(VLOOKUP(A54,DB_Customers!$A:$N,14,0),""))</f>
        <v/>
      </c>
      <c r="D54" s="42" t="str">
        <f t="shared" ca="1" si="3"/>
        <v/>
      </c>
      <c r="E54" s="32"/>
      <c r="F54" s="31"/>
      <c r="G54" s="43" t="str">
        <f t="shared" si="4"/>
        <v/>
      </c>
      <c r="H54" s="30" t="s">
        <v>57</v>
      </c>
      <c r="I54" s="41"/>
      <c r="J54" s="33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4" s="33" t="str">
        <f t="shared" ca="1" si="5"/>
        <v>—</v>
      </c>
      <c r="L54" s="50"/>
    </row>
    <row r="55" spans="1:12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IF(A55="","",IFERROR(VLOOKUP(A55,DB_Customers!$A:$N,14,0),""))</f>
        <v/>
      </c>
      <c r="D55" s="42" t="str">
        <f t="shared" ca="1" si="3"/>
        <v/>
      </c>
      <c r="E55" s="32"/>
      <c r="F55" s="31"/>
      <c r="G55" s="43" t="str">
        <f t="shared" si="4"/>
        <v/>
      </c>
      <c r="H55" s="30" t="s">
        <v>57</v>
      </c>
      <c r="I55" s="41"/>
      <c r="J55" s="33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5" s="33" t="str">
        <f t="shared" ca="1" si="5"/>
        <v>—</v>
      </c>
      <c r="L55" s="22"/>
    </row>
    <row r="56" spans="1:12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IF(A56="","",IFERROR(VLOOKUP(A56,DB_Customers!$A:$N,14,0),""))</f>
        <v/>
      </c>
      <c r="D56" s="42" t="str">
        <f t="shared" ca="1" si="3"/>
        <v/>
      </c>
      <c r="E56" s="32"/>
      <c r="F56" s="31"/>
      <c r="G56" s="43" t="str">
        <f t="shared" si="4"/>
        <v/>
      </c>
      <c r="H56" s="30" t="s">
        <v>57</v>
      </c>
      <c r="I56" s="41"/>
      <c r="J56" s="33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6" s="33" t="str">
        <f t="shared" ca="1" si="5"/>
        <v>—</v>
      </c>
      <c r="L56" s="50"/>
    </row>
    <row r="57" spans="1:12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IF(A57="","",IFERROR(VLOOKUP(A57,DB_Customers!$A:$N,14,0),""))</f>
        <v/>
      </c>
      <c r="D57" s="42" t="str">
        <f t="shared" ca="1" si="3"/>
        <v/>
      </c>
      <c r="E57" s="32"/>
      <c r="F57" s="31"/>
      <c r="G57" s="43" t="str">
        <f t="shared" si="4"/>
        <v/>
      </c>
      <c r="H57" s="30" t="s">
        <v>57</v>
      </c>
      <c r="I57" s="41"/>
      <c r="J57" s="33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7" s="33" t="str">
        <f t="shared" ca="1" si="5"/>
        <v>—</v>
      </c>
      <c r="L57" s="22"/>
    </row>
    <row r="58" spans="1:12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IF(A58="","",IFERROR(VLOOKUP(A58,DB_Customers!$A:$N,14,0),""))</f>
        <v/>
      </c>
      <c r="D58" s="42" t="str">
        <f t="shared" ca="1" si="3"/>
        <v/>
      </c>
      <c r="E58" s="32"/>
      <c r="F58" s="31"/>
      <c r="G58" s="43" t="str">
        <f t="shared" si="4"/>
        <v/>
      </c>
      <c r="H58" s="30" t="s">
        <v>57</v>
      </c>
      <c r="I58" s="41"/>
      <c r="J58" s="33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58" s="33" t="str">
        <f t="shared" ca="1" si="5"/>
        <v>—</v>
      </c>
      <c r="L58" s="50"/>
    </row>
    <row r="59" spans="1:12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IF(A59="","",IFERROR(VLOOKUP(A59,DB_Customers!$A:$N,14,0),""))</f>
        <v/>
      </c>
      <c r="D59" s="42" t="str">
        <f t="shared" ca="1" si="3"/>
        <v/>
      </c>
      <c r="E59" s="32"/>
      <c r="F59" s="31"/>
      <c r="G59" s="43" t="str">
        <f t="shared" si="4"/>
        <v/>
      </c>
      <c r="H59" s="30" t="s">
        <v>57</v>
      </c>
      <c r="I59" s="41"/>
      <c r="J59" s="33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59" s="33" t="str">
        <f t="shared" ca="1" si="5"/>
        <v>—</v>
      </c>
      <c r="L59" s="22"/>
    </row>
    <row r="60" spans="1:12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IF(A60="","",IFERROR(VLOOKUP(A60,DB_Customers!$A:$N,14,0),""))</f>
        <v/>
      </c>
      <c r="D60" s="42" t="str">
        <f t="shared" ca="1" si="3"/>
        <v/>
      </c>
      <c r="E60" s="32"/>
      <c r="F60" s="31"/>
      <c r="G60" s="43" t="str">
        <f t="shared" si="4"/>
        <v/>
      </c>
      <c r="H60" s="30" t="s">
        <v>57</v>
      </c>
      <c r="I60" s="41"/>
      <c r="J60" s="33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0" s="33" t="str">
        <f t="shared" ca="1" si="5"/>
        <v>—</v>
      </c>
      <c r="L60" s="50"/>
    </row>
    <row r="61" spans="1:12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IF(A61="","",IFERROR(VLOOKUP(A61,DB_Customers!$A:$N,14,0),""))</f>
        <v/>
      </c>
      <c r="D61" s="42" t="str">
        <f t="shared" ca="1" si="3"/>
        <v/>
      </c>
      <c r="E61" s="32"/>
      <c r="F61" s="31"/>
      <c r="G61" s="43" t="str">
        <f t="shared" si="4"/>
        <v/>
      </c>
      <c r="H61" s="30" t="s">
        <v>57</v>
      </c>
      <c r="I61" s="41"/>
      <c r="J61" s="33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1" s="33" t="str">
        <f t="shared" ca="1" si="5"/>
        <v>—</v>
      </c>
      <c r="L61" s="22"/>
    </row>
    <row r="62" spans="1:12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IF(A62="","",IFERROR(VLOOKUP(A62,DB_Customers!$A:$N,14,0),""))</f>
        <v/>
      </c>
      <c r="D62" s="42" t="str">
        <f t="shared" ca="1" si="3"/>
        <v/>
      </c>
      <c r="E62" s="32"/>
      <c r="F62" s="31"/>
      <c r="G62" s="43" t="str">
        <f t="shared" si="4"/>
        <v/>
      </c>
      <c r="H62" s="30" t="s">
        <v>57</v>
      </c>
      <c r="I62" s="41"/>
      <c r="J62" s="33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2" s="33" t="str">
        <f t="shared" ca="1" si="5"/>
        <v>—</v>
      </c>
      <c r="L62" s="50"/>
    </row>
    <row r="63" spans="1:12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IF(A63="","",IFERROR(VLOOKUP(A63,DB_Customers!$A:$N,14,0),""))</f>
        <v/>
      </c>
      <c r="D63" s="42" t="str">
        <f t="shared" ca="1" si="3"/>
        <v/>
      </c>
      <c r="E63" s="32"/>
      <c r="F63" s="31"/>
      <c r="G63" s="43" t="str">
        <f t="shared" si="4"/>
        <v/>
      </c>
      <c r="H63" s="30" t="s">
        <v>57</v>
      </c>
      <c r="I63" s="41"/>
      <c r="J63" s="33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3" s="33" t="str">
        <f t="shared" ca="1" si="5"/>
        <v>—</v>
      </c>
      <c r="L63" s="22"/>
    </row>
    <row r="64" spans="1:12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IF(A64="","",IFERROR(VLOOKUP(A64,DB_Customers!$A:$N,14,0),""))</f>
        <v/>
      </c>
      <c r="D64" s="42" t="str">
        <f t="shared" ca="1" si="3"/>
        <v/>
      </c>
      <c r="E64" s="32"/>
      <c r="F64" s="31"/>
      <c r="G64" s="43" t="str">
        <f t="shared" si="4"/>
        <v/>
      </c>
      <c r="H64" s="30" t="s">
        <v>57</v>
      </c>
      <c r="I64" s="41"/>
      <c r="J64" s="33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4" s="33" t="str">
        <f t="shared" ca="1" si="5"/>
        <v>—</v>
      </c>
      <c r="L64" s="50"/>
    </row>
    <row r="65" spans="1:12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IF(A65="","",IFERROR(VLOOKUP(A65,DB_Customers!$A:$N,14,0),""))</f>
        <v/>
      </c>
      <c r="D65" s="42" t="str">
        <f t="shared" ca="1" si="3"/>
        <v/>
      </c>
      <c r="E65" s="32"/>
      <c r="F65" s="31"/>
      <c r="G65" s="43" t="str">
        <f t="shared" si="4"/>
        <v/>
      </c>
      <c r="H65" s="30" t="s">
        <v>57</v>
      </c>
      <c r="I65" s="41"/>
      <c r="J65" s="33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5" s="33" t="str">
        <f t="shared" ca="1" si="5"/>
        <v>—</v>
      </c>
      <c r="L65" s="22"/>
    </row>
    <row r="66" spans="1:12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IF(A66="","",IFERROR(VLOOKUP(A66,DB_Customers!$A:$N,14,0),""))</f>
        <v/>
      </c>
      <c r="D66" s="42" t="str">
        <f t="shared" ca="1" si="3"/>
        <v/>
      </c>
      <c r="E66" s="32"/>
      <c r="F66" s="31"/>
      <c r="G66" s="43" t="str">
        <f t="shared" si="4"/>
        <v/>
      </c>
      <c r="H66" s="30" t="s">
        <v>57</v>
      </c>
      <c r="I66" s="41"/>
      <c r="J66" s="33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6" s="33" t="str">
        <f t="shared" ca="1" si="5"/>
        <v>—</v>
      </c>
      <c r="L66" s="50"/>
    </row>
    <row r="67" spans="1:12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IF(A67="","",IFERROR(VLOOKUP(A67,DB_Customers!$A:$N,14,0),""))</f>
        <v/>
      </c>
      <c r="D67" s="42" t="str">
        <f t="shared" ca="1" si="3"/>
        <v/>
      </c>
      <c r="E67" s="32"/>
      <c r="F67" s="31"/>
      <c r="G67" s="43" t="str">
        <f t="shared" si="4"/>
        <v/>
      </c>
      <c r="H67" s="30" t="s">
        <v>57</v>
      </c>
      <c r="I67" s="41"/>
      <c r="J67" s="33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7" s="33" t="str">
        <f t="shared" ca="1" si="5"/>
        <v>—</v>
      </c>
      <c r="L67" s="22"/>
    </row>
    <row r="68" spans="1:12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IF(A68="","",IFERROR(VLOOKUP(A68,DB_Customers!$A:$N,14,0),""))</f>
        <v/>
      </c>
      <c r="D68" s="42" t="str">
        <f t="shared" ca="1" si="3"/>
        <v/>
      </c>
      <c r="E68" s="32"/>
      <c r="F68" s="31"/>
      <c r="G68" s="43" t="str">
        <f t="shared" si="4"/>
        <v/>
      </c>
      <c r="H68" s="30" t="s">
        <v>57</v>
      </c>
      <c r="I68" s="41"/>
      <c r="J68" s="33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68" s="33" t="str">
        <f t="shared" ca="1" si="5"/>
        <v>—</v>
      </c>
      <c r="L68" s="50"/>
    </row>
    <row r="69" spans="1:12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IF(A69="","",IFERROR(VLOOKUP(A69,DB_Customers!$A:$N,14,0),""))</f>
        <v/>
      </c>
      <c r="D69" s="42" t="str">
        <f t="shared" ca="1" si="3"/>
        <v/>
      </c>
      <c r="E69" s="32"/>
      <c r="F69" s="31"/>
      <c r="G69" s="43" t="str">
        <f t="shared" si="4"/>
        <v/>
      </c>
      <c r="H69" s="30" t="s">
        <v>57</v>
      </c>
      <c r="I69" s="41"/>
      <c r="J69" s="33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69" s="33" t="str">
        <f t="shared" ca="1" si="5"/>
        <v>—</v>
      </c>
      <c r="L69" s="22"/>
    </row>
    <row r="70" spans="1:12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IF(A70="","",IFERROR(VLOOKUP(A70,DB_Customers!$A:$N,14,0),""))</f>
        <v/>
      </c>
      <c r="D70" s="42" t="str">
        <f t="shared" ca="1" si="3"/>
        <v/>
      </c>
      <c r="E70" s="32"/>
      <c r="F70" s="31"/>
      <c r="G70" s="43" t="str">
        <f t="shared" si="4"/>
        <v/>
      </c>
      <c r="H70" s="30" t="s">
        <v>57</v>
      </c>
      <c r="I70" s="41"/>
      <c r="J70" s="33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0" s="33" t="str">
        <f t="shared" ca="1" si="5"/>
        <v>—</v>
      </c>
      <c r="L70" s="50"/>
    </row>
    <row r="71" spans="1:12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IF(A71="","",IFERROR(VLOOKUP(A71,DB_Customers!$A:$N,14,0),""))</f>
        <v/>
      </c>
      <c r="D71" s="42" t="str">
        <f t="shared" ca="1" si="3"/>
        <v/>
      </c>
      <c r="E71" s="32"/>
      <c r="F71" s="31"/>
      <c r="G71" s="43" t="str">
        <f t="shared" si="4"/>
        <v/>
      </c>
      <c r="H71" s="30" t="s">
        <v>57</v>
      </c>
      <c r="I71" s="41"/>
      <c r="J71" s="33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1" s="33" t="str">
        <f t="shared" ca="1" si="5"/>
        <v>—</v>
      </c>
      <c r="L71" s="22"/>
    </row>
    <row r="72" spans="1:12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IF(A72="","",IFERROR(VLOOKUP(A72,DB_Customers!$A:$N,14,0),""))</f>
        <v/>
      </c>
      <c r="D72" s="42" t="str">
        <f t="shared" ca="1" si="3"/>
        <v/>
      </c>
      <c r="E72" s="32"/>
      <c r="F72" s="31"/>
      <c r="G72" s="43" t="str">
        <f t="shared" si="4"/>
        <v/>
      </c>
      <c r="H72" s="30" t="s">
        <v>57</v>
      </c>
      <c r="I72" s="41"/>
      <c r="J72" s="33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2" s="33" t="str">
        <f t="shared" ca="1" si="5"/>
        <v>—</v>
      </c>
      <c r="L72" s="50"/>
    </row>
    <row r="73" spans="1:12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IF(A73="","",IFERROR(VLOOKUP(A73,DB_Customers!$A:$N,14,0),""))</f>
        <v/>
      </c>
      <c r="D73" s="42" t="str">
        <f t="shared" ref="D73:D104" ca="1" si="6">IF(A73="","",TODAY())</f>
        <v/>
      </c>
      <c r="E73" s="32"/>
      <c r="F73" s="31"/>
      <c r="G73" s="43" t="str">
        <f t="shared" ref="G73:G104" si="7">IFERROR(IF(OR(A73="",E73=""),"",C73-E73),"")</f>
        <v/>
      </c>
      <c r="H73" s="30" t="s">
        <v>57</v>
      </c>
      <c r="I73" s="41"/>
      <c r="J73" s="33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3" s="33" t="str">
        <f t="shared" ref="K73:K104" ca="1" si="8">IF(J73="✅ Successful",TEXT(TODAY(),"YYYY-MM-DD")&amp;" Auto","—")</f>
        <v>—</v>
      </c>
      <c r="L73" s="22"/>
    </row>
    <row r="74" spans="1:12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IF(A74="","",IFERROR(VLOOKUP(A74,DB_Customers!$A:$N,14,0),""))</f>
        <v/>
      </c>
      <c r="D74" s="42" t="str">
        <f t="shared" ca="1" si="6"/>
        <v/>
      </c>
      <c r="E74" s="32"/>
      <c r="F74" s="31"/>
      <c r="G74" s="43" t="str">
        <f t="shared" si="7"/>
        <v/>
      </c>
      <c r="H74" s="30" t="s">
        <v>57</v>
      </c>
      <c r="I74" s="41"/>
      <c r="J74" s="33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4" s="33" t="str">
        <f t="shared" ca="1" si="8"/>
        <v>—</v>
      </c>
      <c r="L74" s="50"/>
    </row>
    <row r="75" spans="1:12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IF(A75="","",IFERROR(VLOOKUP(A75,DB_Customers!$A:$N,14,0),""))</f>
        <v/>
      </c>
      <c r="D75" s="42" t="str">
        <f t="shared" ca="1" si="6"/>
        <v/>
      </c>
      <c r="E75" s="32"/>
      <c r="F75" s="31"/>
      <c r="G75" s="43" t="str">
        <f t="shared" si="7"/>
        <v/>
      </c>
      <c r="H75" s="30" t="s">
        <v>57</v>
      </c>
      <c r="I75" s="41"/>
      <c r="J75" s="33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5" s="33" t="str">
        <f t="shared" ca="1" si="8"/>
        <v>—</v>
      </c>
      <c r="L75" s="22"/>
    </row>
    <row r="76" spans="1:12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IF(A76="","",IFERROR(VLOOKUP(A76,DB_Customers!$A:$N,14,0),""))</f>
        <v/>
      </c>
      <c r="D76" s="42" t="str">
        <f t="shared" ca="1" si="6"/>
        <v/>
      </c>
      <c r="E76" s="32"/>
      <c r="F76" s="31"/>
      <c r="G76" s="43" t="str">
        <f t="shared" si="7"/>
        <v/>
      </c>
      <c r="H76" s="30" t="s">
        <v>57</v>
      </c>
      <c r="I76" s="41"/>
      <c r="J76" s="33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6" s="33" t="str">
        <f t="shared" ca="1" si="8"/>
        <v>—</v>
      </c>
      <c r="L76" s="50"/>
    </row>
    <row r="77" spans="1:12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IF(A77="","",IFERROR(VLOOKUP(A77,DB_Customers!$A:$N,14,0),""))</f>
        <v/>
      </c>
      <c r="D77" s="42" t="str">
        <f t="shared" ca="1" si="6"/>
        <v/>
      </c>
      <c r="E77" s="32"/>
      <c r="F77" s="31"/>
      <c r="G77" s="43" t="str">
        <f t="shared" si="7"/>
        <v/>
      </c>
      <c r="H77" s="30" t="s">
        <v>57</v>
      </c>
      <c r="I77" s="41"/>
      <c r="J77" s="33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7" s="33" t="str">
        <f t="shared" ca="1" si="8"/>
        <v>—</v>
      </c>
      <c r="L77" s="22"/>
    </row>
    <row r="78" spans="1:12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IF(A78="","",IFERROR(VLOOKUP(A78,DB_Customers!$A:$N,14,0),""))</f>
        <v/>
      </c>
      <c r="D78" s="42" t="str">
        <f t="shared" ca="1" si="6"/>
        <v/>
      </c>
      <c r="E78" s="32"/>
      <c r="F78" s="31"/>
      <c r="G78" s="43" t="str">
        <f t="shared" si="7"/>
        <v/>
      </c>
      <c r="H78" s="30" t="s">
        <v>57</v>
      </c>
      <c r="I78" s="41"/>
      <c r="J78" s="33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78" s="33" t="str">
        <f t="shared" ca="1" si="8"/>
        <v>—</v>
      </c>
      <c r="L78" s="50"/>
    </row>
    <row r="79" spans="1:12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IF(A79="","",IFERROR(VLOOKUP(A79,DB_Customers!$A:$N,14,0),""))</f>
        <v/>
      </c>
      <c r="D79" s="42" t="str">
        <f t="shared" ca="1" si="6"/>
        <v/>
      </c>
      <c r="E79" s="32"/>
      <c r="F79" s="31"/>
      <c r="G79" s="43" t="str">
        <f t="shared" si="7"/>
        <v/>
      </c>
      <c r="H79" s="30" t="s">
        <v>57</v>
      </c>
      <c r="I79" s="41"/>
      <c r="J79" s="33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79" s="33" t="str">
        <f t="shared" ca="1" si="8"/>
        <v>—</v>
      </c>
      <c r="L79" s="22"/>
    </row>
    <row r="80" spans="1:12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IF(A80="","",IFERROR(VLOOKUP(A80,DB_Customers!$A:$N,14,0),""))</f>
        <v/>
      </c>
      <c r="D80" s="42" t="str">
        <f t="shared" ca="1" si="6"/>
        <v/>
      </c>
      <c r="E80" s="32"/>
      <c r="F80" s="31"/>
      <c r="G80" s="43" t="str">
        <f t="shared" si="7"/>
        <v/>
      </c>
      <c r="H80" s="30" t="s">
        <v>57</v>
      </c>
      <c r="I80" s="41"/>
      <c r="J80" s="33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0" s="33" t="str">
        <f t="shared" ca="1" si="8"/>
        <v>—</v>
      </c>
      <c r="L80" s="50"/>
    </row>
    <row r="81" spans="1:12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IF(A81="","",IFERROR(VLOOKUP(A81,DB_Customers!$A:$N,14,0),""))</f>
        <v/>
      </c>
      <c r="D81" s="42" t="str">
        <f t="shared" ca="1" si="6"/>
        <v/>
      </c>
      <c r="E81" s="32"/>
      <c r="F81" s="31"/>
      <c r="G81" s="43" t="str">
        <f t="shared" si="7"/>
        <v/>
      </c>
      <c r="H81" s="30" t="s">
        <v>57</v>
      </c>
      <c r="I81" s="41"/>
      <c r="J81" s="33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1" s="33" t="str">
        <f t="shared" ca="1" si="8"/>
        <v>—</v>
      </c>
      <c r="L81" s="22"/>
    </row>
    <row r="82" spans="1:12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IF(A82="","",IFERROR(VLOOKUP(A82,DB_Customers!$A:$N,14,0),""))</f>
        <v/>
      </c>
      <c r="D82" s="42" t="str">
        <f t="shared" ca="1" si="6"/>
        <v/>
      </c>
      <c r="E82" s="32"/>
      <c r="F82" s="31"/>
      <c r="G82" s="43" t="str">
        <f t="shared" si="7"/>
        <v/>
      </c>
      <c r="H82" s="30" t="s">
        <v>57</v>
      </c>
      <c r="I82" s="41"/>
      <c r="J82" s="33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2" s="33" t="str">
        <f t="shared" ca="1" si="8"/>
        <v>—</v>
      </c>
      <c r="L82" s="50"/>
    </row>
    <row r="83" spans="1:12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IF(A83="","",IFERROR(VLOOKUP(A83,DB_Customers!$A:$N,14,0),""))</f>
        <v/>
      </c>
      <c r="D83" s="42" t="str">
        <f t="shared" ca="1" si="6"/>
        <v/>
      </c>
      <c r="E83" s="32"/>
      <c r="F83" s="31"/>
      <c r="G83" s="43" t="str">
        <f t="shared" si="7"/>
        <v/>
      </c>
      <c r="H83" s="30" t="s">
        <v>57</v>
      </c>
      <c r="I83" s="41"/>
      <c r="J83" s="33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3" s="33" t="str">
        <f t="shared" ca="1" si="8"/>
        <v>—</v>
      </c>
      <c r="L83" s="22"/>
    </row>
    <row r="84" spans="1:12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IF(A84="","",IFERROR(VLOOKUP(A84,DB_Customers!$A:$N,14,0),""))</f>
        <v/>
      </c>
      <c r="D84" s="42" t="str">
        <f t="shared" ca="1" si="6"/>
        <v/>
      </c>
      <c r="E84" s="32"/>
      <c r="F84" s="31"/>
      <c r="G84" s="43" t="str">
        <f t="shared" si="7"/>
        <v/>
      </c>
      <c r="H84" s="30" t="s">
        <v>57</v>
      </c>
      <c r="I84" s="41"/>
      <c r="J84" s="33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4" s="33" t="str">
        <f t="shared" ca="1" si="8"/>
        <v>—</v>
      </c>
      <c r="L84" s="50"/>
    </row>
    <row r="85" spans="1:12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IF(A85="","",IFERROR(VLOOKUP(A85,DB_Customers!$A:$N,14,0),""))</f>
        <v/>
      </c>
      <c r="D85" s="42" t="str">
        <f t="shared" ca="1" si="6"/>
        <v/>
      </c>
      <c r="E85" s="32"/>
      <c r="F85" s="31"/>
      <c r="G85" s="43" t="str">
        <f t="shared" si="7"/>
        <v/>
      </c>
      <c r="H85" s="30" t="s">
        <v>57</v>
      </c>
      <c r="I85" s="41"/>
      <c r="J85" s="33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5" s="33" t="str">
        <f t="shared" ca="1" si="8"/>
        <v>—</v>
      </c>
      <c r="L85" s="22"/>
    </row>
    <row r="86" spans="1:12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IF(A86="","",IFERROR(VLOOKUP(A86,DB_Customers!$A:$N,14,0),""))</f>
        <v/>
      </c>
      <c r="D86" s="42" t="str">
        <f t="shared" ca="1" si="6"/>
        <v/>
      </c>
      <c r="E86" s="32"/>
      <c r="F86" s="31"/>
      <c r="G86" s="43" t="str">
        <f t="shared" si="7"/>
        <v/>
      </c>
      <c r="H86" s="30" t="s">
        <v>57</v>
      </c>
      <c r="I86" s="41"/>
      <c r="J86" s="33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6" s="33" t="str">
        <f t="shared" ca="1" si="8"/>
        <v>—</v>
      </c>
      <c r="L86" s="50"/>
    </row>
    <row r="87" spans="1:12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IF(A87="","",IFERROR(VLOOKUP(A87,DB_Customers!$A:$N,14,0),""))</f>
        <v/>
      </c>
      <c r="D87" s="42" t="str">
        <f t="shared" ca="1" si="6"/>
        <v/>
      </c>
      <c r="E87" s="32"/>
      <c r="F87" s="31"/>
      <c r="G87" s="43" t="str">
        <f t="shared" si="7"/>
        <v/>
      </c>
      <c r="H87" s="30" t="s">
        <v>57</v>
      </c>
      <c r="I87" s="41"/>
      <c r="J87" s="33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7" s="33" t="str">
        <f t="shared" ca="1" si="8"/>
        <v>—</v>
      </c>
      <c r="L87" s="22"/>
    </row>
    <row r="88" spans="1:12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IF(A88="","",IFERROR(VLOOKUP(A88,DB_Customers!$A:$N,14,0),""))</f>
        <v/>
      </c>
      <c r="D88" s="42" t="str">
        <f t="shared" ca="1" si="6"/>
        <v/>
      </c>
      <c r="E88" s="32"/>
      <c r="F88" s="31"/>
      <c r="G88" s="43" t="str">
        <f t="shared" si="7"/>
        <v/>
      </c>
      <c r="H88" s="30" t="s">
        <v>57</v>
      </c>
      <c r="I88" s="41"/>
      <c r="J88" s="33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88" s="33" t="str">
        <f t="shared" ca="1" si="8"/>
        <v>—</v>
      </c>
      <c r="L88" s="50"/>
    </row>
    <row r="89" spans="1:12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IF(A89="","",IFERROR(VLOOKUP(A89,DB_Customers!$A:$N,14,0),""))</f>
        <v/>
      </c>
      <c r="D89" s="42" t="str">
        <f t="shared" ca="1" si="6"/>
        <v/>
      </c>
      <c r="E89" s="32"/>
      <c r="F89" s="31"/>
      <c r="G89" s="43" t="str">
        <f t="shared" si="7"/>
        <v/>
      </c>
      <c r="H89" s="30" t="s">
        <v>57</v>
      </c>
      <c r="I89" s="41"/>
      <c r="J89" s="33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89" s="33" t="str">
        <f t="shared" ca="1" si="8"/>
        <v>—</v>
      </c>
      <c r="L89" s="22"/>
    </row>
    <row r="90" spans="1:12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IF(A90="","",IFERROR(VLOOKUP(A90,DB_Customers!$A:$N,14,0),""))</f>
        <v/>
      </c>
      <c r="D90" s="42" t="str">
        <f t="shared" ca="1" si="6"/>
        <v/>
      </c>
      <c r="E90" s="32"/>
      <c r="F90" s="31"/>
      <c r="G90" s="43" t="str">
        <f t="shared" si="7"/>
        <v/>
      </c>
      <c r="H90" s="30" t="s">
        <v>57</v>
      </c>
      <c r="I90" s="41"/>
      <c r="J90" s="33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0" s="33" t="str">
        <f t="shared" ca="1" si="8"/>
        <v>—</v>
      </c>
      <c r="L90" s="50"/>
    </row>
    <row r="91" spans="1:12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IF(A91="","",IFERROR(VLOOKUP(A91,DB_Customers!$A:$N,14,0),""))</f>
        <v/>
      </c>
      <c r="D91" s="42" t="str">
        <f t="shared" ca="1" si="6"/>
        <v/>
      </c>
      <c r="E91" s="32"/>
      <c r="F91" s="31"/>
      <c r="G91" s="43" t="str">
        <f t="shared" si="7"/>
        <v/>
      </c>
      <c r="H91" s="30" t="s">
        <v>57</v>
      </c>
      <c r="I91" s="41"/>
      <c r="J91" s="33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1" s="33" t="str">
        <f t="shared" ca="1" si="8"/>
        <v>—</v>
      </c>
      <c r="L91" s="22"/>
    </row>
    <row r="92" spans="1:12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IF(A92="","",IFERROR(VLOOKUP(A92,DB_Customers!$A:$N,14,0),""))</f>
        <v/>
      </c>
      <c r="D92" s="42" t="str">
        <f t="shared" ca="1" si="6"/>
        <v/>
      </c>
      <c r="E92" s="32"/>
      <c r="F92" s="31"/>
      <c r="G92" s="43" t="str">
        <f t="shared" si="7"/>
        <v/>
      </c>
      <c r="H92" s="30" t="s">
        <v>57</v>
      </c>
      <c r="I92" s="41"/>
      <c r="J92" s="33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2" s="33" t="str">
        <f t="shared" ca="1" si="8"/>
        <v>—</v>
      </c>
      <c r="L92" s="50"/>
    </row>
    <row r="93" spans="1:12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IF(A93="","",IFERROR(VLOOKUP(A93,DB_Customers!$A:$N,14,0),""))</f>
        <v/>
      </c>
      <c r="D93" s="42" t="str">
        <f t="shared" ca="1" si="6"/>
        <v/>
      </c>
      <c r="E93" s="32"/>
      <c r="F93" s="31"/>
      <c r="G93" s="43" t="str">
        <f t="shared" si="7"/>
        <v/>
      </c>
      <c r="H93" s="30" t="s">
        <v>57</v>
      </c>
      <c r="I93" s="41"/>
      <c r="J93" s="33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3" s="33" t="str">
        <f t="shared" ca="1" si="8"/>
        <v>—</v>
      </c>
      <c r="L93" s="22"/>
    </row>
    <row r="94" spans="1:12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IF(A94="","",IFERROR(VLOOKUP(A94,DB_Customers!$A:$N,14,0),""))</f>
        <v/>
      </c>
      <c r="D94" s="42" t="str">
        <f t="shared" ca="1" si="6"/>
        <v/>
      </c>
      <c r="E94" s="32"/>
      <c r="F94" s="31"/>
      <c r="G94" s="43" t="str">
        <f t="shared" si="7"/>
        <v/>
      </c>
      <c r="H94" s="30" t="s">
        <v>57</v>
      </c>
      <c r="I94" s="41"/>
      <c r="J94" s="33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4" s="33" t="str">
        <f t="shared" ca="1" si="8"/>
        <v>—</v>
      </c>
      <c r="L94" s="50"/>
    </row>
    <row r="95" spans="1:12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IF(A95="","",IFERROR(VLOOKUP(A95,DB_Customers!$A:$N,14,0),""))</f>
        <v/>
      </c>
      <c r="D95" s="42" t="str">
        <f t="shared" ca="1" si="6"/>
        <v/>
      </c>
      <c r="E95" s="32"/>
      <c r="F95" s="31"/>
      <c r="G95" s="43" t="str">
        <f t="shared" si="7"/>
        <v/>
      </c>
      <c r="H95" s="30" t="s">
        <v>57</v>
      </c>
      <c r="I95" s="41"/>
      <c r="J95" s="33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5" s="33" t="str">
        <f t="shared" ca="1" si="8"/>
        <v>—</v>
      </c>
      <c r="L95" s="22"/>
    </row>
    <row r="96" spans="1:12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IF(A96="","",IFERROR(VLOOKUP(A96,DB_Customers!$A:$N,14,0),""))</f>
        <v/>
      </c>
      <c r="D96" s="42" t="str">
        <f t="shared" ca="1" si="6"/>
        <v/>
      </c>
      <c r="E96" s="32"/>
      <c r="F96" s="31"/>
      <c r="G96" s="43" t="str">
        <f t="shared" si="7"/>
        <v/>
      </c>
      <c r="H96" s="30" t="s">
        <v>57</v>
      </c>
      <c r="I96" s="41"/>
      <c r="J96" s="33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6" s="33" t="str">
        <f t="shared" ca="1" si="8"/>
        <v>—</v>
      </c>
      <c r="L96" s="50"/>
    </row>
    <row r="97" spans="1:12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IF(A97="","",IFERROR(VLOOKUP(A97,DB_Customers!$A:$N,14,0),""))</f>
        <v/>
      </c>
      <c r="D97" s="42" t="str">
        <f t="shared" ca="1" si="6"/>
        <v/>
      </c>
      <c r="E97" s="32"/>
      <c r="F97" s="31"/>
      <c r="G97" s="43" t="str">
        <f t="shared" si="7"/>
        <v/>
      </c>
      <c r="H97" s="30" t="s">
        <v>57</v>
      </c>
      <c r="I97" s="41"/>
      <c r="J97" s="33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7" s="33" t="str">
        <f t="shared" ca="1" si="8"/>
        <v>—</v>
      </c>
      <c r="L97" s="22"/>
    </row>
    <row r="98" spans="1:12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IF(A98="","",IFERROR(VLOOKUP(A98,DB_Customers!$A:$N,14,0),""))</f>
        <v/>
      </c>
      <c r="D98" s="42" t="str">
        <f t="shared" ca="1" si="6"/>
        <v/>
      </c>
      <c r="E98" s="32"/>
      <c r="F98" s="31"/>
      <c r="G98" s="43" t="str">
        <f t="shared" si="7"/>
        <v/>
      </c>
      <c r="H98" s="30" t="s">
        <v>57</v>
      </c>
      <c r="I98" s="41"/>
      <c r="J98" s="33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98" s="33" t="str">
        <f t="shared" ca="1" si="8"/>
        <v>—</v>
      </c>
      <c r="L98" s="50"/>
    </row>
    <row r="99" spans="1:12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IF(A99="","",IFERROR(VLOOKUP(A99,DB_Customers!$A:$N,14,0),""))</f>
        <v/>
      </c>
      <c r="D99" s="42" t="str">
        <f t="shared" ca="1" si="6"/>
        <v/>
      </c>
      <c r="E99" s="32"/>
      <c r="F99" s="31"/>
      <c r="G99" s="43" t="str">
        <f t="shared" si="7"/>
        <v/>
      </c>
      <c r="H99" s="30" t="s">
        <v>57</v>
      </c>
      <c r="I99" s="41"/>
      <c r="J99" s="33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99" s="33" t="str">
        <f t="shared" ca="1" si="8"/>
        <v>—</v>
      </c>
      <c r="L99" s="22"/>
    </row>
    <row r="100" spans="1:12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IF(A100="","",IFERROR(VLOOKUP(A100,DB_Customers!$A:$N,14,0),""))</f>
        <v/>
      </c>
      <c r="D100" s="42" t="str">
        <f t="shared" ca="1" si="6"/>
        <v/>
      </c>
      <c r="E100" s="32"/>
      <c r="F100" s="31"/>
      <c r="G100" s="43" t="str">
        <f t="shared" si="7"/>
        <v/>
      </c>
      <c r="H100" s="30" t="s">
        <v>57</v>
      </c>
      <c r="I100" s="41"/>
      <c r="J100" s="33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0" s="33" t="str">
        <f t="shared" ca="1" si="8"/>
        <v>—</v>
      </c>
      <c r="L100" s="50"/>
    </row>
    <row r="101" spans="1:12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IF(A101="","",IFERROR(VLOOKUP(A101,DB_Customers!$A:$N,14,0),""))</f>
        <v/>
      </c>
      <c r="D101" s="42" t="str">
        <f t="shared" ca="1" si="6"/>
        <v/>
      </c>
      <c r="E101" s="32"/>
      <c r="F101" s="31"/>
      <c r="G101" s="43" t="str">
        <f t="shared" si="7"/>
        <v/>
      </c>
      <c r="H101" s="30" t="s">
        <v>57</v>
      </c>
      <c r="I101" s="41"/>
      <c r="J101" s="33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1" s="33" t="str">
        <f t="shared" ca="1" si="8"/>
        <v>—</v>
      </c>
      <c r="L101" s="22"/>
    </row>
    <row r="102" spans="1:12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IF(A102="","",IFERROR(VLOOKUP(A102,DB_Customers!$A:$N,14,0),""))</f>
        <v/>
      </c>
      <c r="D102" s="42" t="str">
        <f t="shared" ca="1" si="6"/>
        <v/>
      </c>
      <c r="E102" s="32"/>
      <c r="F102" s="31"/>
      <c r="G102" s="43" t="str">
        <f t="shared" si="7"/>
        <v/>
      </c>
      <c r="H102" s="30" t="s">
        <v>57</v>
      </c>
      <c r="I102" s="41"/>
      <c r="J102" s="33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2" s="33" t="str">
        <f t="shared" ca="1" si="8"/>
        <v>—</v>
      </c>
      <c r="L102" s="50"/>
    </row>
    <row r="103" spans="1:12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IF(A103="","",IFERROR(VLOOKUP(A103,DB_Customers!$A:$N,14,0),""))</f>
        <v/>
      </c>
      <c r="D103" s="42" t="str">
        <f t="shared" ca="1" si="6"/>
        <v/>
      </c>
      <c r="E103" s="32"/>
      <c r="F103" s="31"/>
      <c r="G103" s="43" t="str">
        <f t="shared" si="7"/>
        <v/>
      </c>
      <c r="H103" s="30" t="s">
        <v>57</v>
      </c>
      <c r="I103" s="41"/>
      <c r="J103" s="33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3" s="33" t="str">
        <f t="shared" ca="1" si="8"/>
        <v>—</v>
      </c>
      <c r="L103" s="22"/>
    </row>
    <row r="104" spans="1:12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IF(A104="","",IFERROR(VLOOKUP(A104,DB_Customers!$A:$N,14,0),""))</f>
        <v/>
      </c>
      <c r="D104" s="42" t="str">
        <f t="shared" ca="1" si="6"/>
        <v/>
      </c>
      <c r="E104" s="32"/>
      <c r="F104" s="31"/>
      <c r="G104" s="43" t="str">
        <f t="shared" si="7"/>
        <v/>
      </c>
      <c r="H104" s="30" t="s">
        <v>57</v>
      </c>
      <c r="I104" s="41"/>
      <c r="J104" s="33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4" s="33" t="str">
        <f t="shared" ca="1" si="8"/>
        <v>—</v>
      </c>
      <c r="L104" s="50"/>
    </row>
    <row r="105" spans="1:12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IF(A105="","",IFERROR(VLOOKUP(A105,DB_Customers!$A:$N,14,0),""))</f>
        <v/>
      </c>
      <c r="D105" s="42" t="str">
        <f t="shared" ref="D105:D136" ca="1" si="9">IF(A105="","",TODAY())</f>
        <v/>
      </c>
      <c r="E105" s="32"/>
      <c r="F105" s="31"/>
      <c r="G105" s="43" t="str">
        <f t="shared" ref="G105:G136" si="10">IFERROR(IF(OR(A105="",E105=""),"",C105-E105),"")</f>
        <v/>
      </c>
      <c r="H105" s="30" t="s">
        <v>57</v>
      </c>
      <c r="I105" s="41"/>
      <c r="J105" s="33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5" s="33" t="str">
        <f t="shared" ref="K105:K136" ca="1" si="11">IF(J105="✅ Successful",TEXT(TODAY(),"YYYY-MM-DD")&amp;" Auto","—")</f>
        <v>—</v>
      </c>
      <c r="L105" s="22"/>
    </row>
    <row r="106" spans="1:12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IF(A106="","",IFERROR(VLOOKUP(A106,DB_Customers!$A:$N,14,0),""))</f>
        <v/>
      </c>
      <c r="D106" s="42" t="str">
        <f t="shared" ca="1" si="9"/>
        <v/>
      </c>
      <c r="E106" s="32"/>
      <c r="F106" s="31"/>
      <c r="G106" s="43" t="str">
        <f t="shared" si="10"/>
        <v/>
      </c>
      <c r="H106" s="30" t="s">
        <v>57</v>
      </c>
      <c r="I106" s="41"/>
      <c r="J106" s="33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6" s="33" t="str">
        <f t="shared" ca="1" si="11"/>
        <v>—</v>
      </c>
      <c r="L106" s="50"/>
    </row>
    <row r="107" spans="1:12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IF(A107="","",IFERROR(VLOOKUP(A107,DB_Customers!$A:$N,14,0),""))</f>
        <v/>
      </c>
      <c r="D107" s="42" t="str">
        <f t="shared" ca="1" si="9"/>
        <v/>
      </c>
      <c r="E107" s="32"/>
      <c r="F107" s="31"/>
      <c r="G107" s="43" t="str">
        <f t="shared" si="10"/>
        <v/>
      </c>
      <c r="H107" s="30" t="s">
        <v>57</v>
      </c>
      <c r="I107" s="41"/>
      <c r="J107" s="33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7" s="33" t="str">
        <f t="shared" ca="1" si="11"/>
        <v>—</v>
      </c>
      <c r="L107" s="22"/>
    </row>
    <row r="108" spans="1:12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IF(A108="","",IFERROR(VLOOKUP(A108,DB_Customers!$A:$N,14,0),""))</f>
        <v/>
      </c>
      <c r="D108" s="42" t="str">
        <f t="shared" ca="1" si="9"/>
        <v/>
      </c>
      <c r="E108" s="32"/>
      <c r="F108" s="31"/>
      <c r="G108" s="43" t="str">
        <f t="shared" si="10"/>
        <v/>
      </c>
      <c r="H108" s="30" t="s">
        <v>57</v>
      </c>
      <c r="I108" s="41"/>
      <c r="J108" s="33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08" s="33" t="str">
        <f t="shared" ca="1" si="11"/>
        <v>—</v>
      </c>
      <c r="L108" s="50"/>
    </row>
    <row r="109" spans="1:12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IF(A109="","",IFERROR(VLOOKUP(A109,DB_Customers!$A:$N,14,0),""))</f>
        <v/>
      </c>
      <c r="D109" s="42" t="str">
        <f t="shared" ca="1" si="9"/>
        <v/>
      </c>
      <c r="E109" s="32"/>
      <c r="F109" s="31"/>
      <c r="G109" s="43" t="str">
        <f t="shared" si="10"/>
        <v/>
      </c>
      <c r="H109" s="30" t="s">
        <v>57</v>
      </c>
      <c r="I109" s="41"/>
      <c r="J109" s="33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09" s="33" t="str">
        <f t="shared" ca="1" si="11"/>
        <v>—</v>
      </c>
      <c r="L109" s="22"/>
    </row>
    <row r="110" spans="1:12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IF(A110="","",IFERROR(VLOOKUP(A110,DB_Customers!$A:$N,14,0),""))</f>
        <v/>
      </c>
      <c r="D110" s="42" t="str">
        <f t="shared" ca="1" si="9"/>
        <v/>
      </c>
      <c r="E110" s="32"/>
      <c r="F110" s="31"/>
      <c r="G110" s="43" t="str">
        <f t="shared" si="10"/>
        <v/>
      </c>
      <c r="H110" s="30" t="s">
        <v>57</v>
      </c>
      <c r="I110" s="41"/>
      <c r="J110" s="33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0" s="33" t="str">
        <f t="shared" ca="1" si="11"/>
        <v>—</v>
      </c>
      <c r="L110" s="50"/>
    </row>
    <row r="111" spans="1:12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IF(A111="","",IFERROR(VLOOKUP(A111,DB_Customers!$A:$N,14,0),""))</f>
        <v/>
      </c>
      <c r="D111" s="42" t="str">
        <f t="shared" ca="1" si="9"/>
        <v/>
      </c>
      <c r="E111" s="32"/>
      <c r="F111" s="31"/>
      <c r="G111" s="43" t="str">
        <f t="shared" si="10"/>
        <v/>
      </c>
      <c r="H111" s="30" t="s">
        <v>57</v>
      </c>
      <c r="I111" s="41"/>
      <c r="J111" s="33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1" s="33" t="str">
        <f t="shared" ca="1" si="11"/>
        <v>—</v>
      </c>
      <c r="L111" s="22"/>
    </row>
    <row r="112" spans="1:12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IF(A112="","",IFERROR(VLOOKUP(A112,DB_Customers!$A:$N,14,0),""))</f>
        <v/>
      </c>
      <c r="D112" s="42" t="str">
        <f t="shared" ca="1" si="9"/>
        <v/>
      </c>
      <c r="E112" s="32"/>
      <c r="F112" s="31"/>
      <c r="G112" s="43" t="str">
        <f t="shared" si="10"/>
        <v/>
      </c>
      <c r="H112" s="30" t="s">
        <v>57</v>
      </c>
      <c r="I112" s="41"/>
      <c r="J112" s="33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2" s="33" t="str">
        <f t="shared" ca="1" si="11"/>
        <v>—</v>
      </c>
      <c r="L112" s="50"/>
    </row>
    <row r="113" spans="1:12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IF(A113="","",IFERROR(VLOOKUP(A113,DB_Customers!$A:$N,14,0),""))</f>
        <v/>
      </c>
      <c r="D113" s="42" t="str">
        <f t="shared" ca="1" si="9"/>
        <v/>
      </c>
      <c r="E113" s="32"/>
      <c r="F113" s="31"/>
      <c r="G113" s="43" t="str">
        <f t="shared" si="10"/>
        <v/>
      </c>
      <c r="H113" s="30" t="s">
        <v>57</v>
      </c>
      <c r="I113" s="41"/>
      <c r="J113" s="33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3" s="33" t="str">
        <f t="shared" ca="1" si="11"/>
        <v>—</v>
      </c>
      <c r="L113" s="22"/>
    </row>
    <row r="114" spans="1:12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IF(A114="","",IFERROR(VLOOKUP(A114,DB_Customers!$A:$N,14,0),""))</f>
        <v/>
      </c>
      <c r="D114" s="42" t="str">
        <f t="shared" ca="1" si="9"/>
        <v/>
      </c>
      <c r="E114" s="32"/>
      <c r="F114" s="31"/>
      <c r="G114" s="43" t="str">
        <f t="shared" si="10"/>
        <v/>
      </c>
      <c r="H114" s="30" t="s">
        <v>57</v>
      </c>
      <c r="I114" s="41"/>
      <c r="J114" s="33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4" s="33" t="str">
        <f t="shared" ca="1" si="11"/>
        <v>—</v>
      </c>
      <c r="L114" s="50"/>
    </row>
    <row r="115" spans="1:12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IF(A115="","",IFERROR(VLOOKUP(A115,DB_Customers!$A:$N,14,0),""))</f>
        <v/>
      </c>
      <c r="D115" s="42" t="str">
        <f t="shared" ca="1" si="9"/>
        <v/>
      </c>
      <c r="E115" s="32"/>
      <c r="F115" s="31"/>
      <c r="G115" s="43" t="str">
        <f t="shared" si="10"/>
        <v/>
      </c>
      <c r="H115" s="30" t="s">
        <v>57</v>
      </c>
      <c r="I115" s="41"/>
      <c r="J115" s="33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5" s="33" t="str">
        <f t="shared" ca="1" si="11"/>
        <v>—</v>
      </c>
      <c r="L115" s="22"/>
    </row>
    <row r="116" spans="1:12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IF(A116="","",IFERROR(VLOOKUP(A116,DB_Customers!$A:$N,14,0),""))</f>
        <v/>
      </c>
      <c r="D116" s="42" t="str">
        <f t="shared" ca="1" si="9"/>
        <v/>
      </c>
      <c r="E116" s="32"/>
      <c r="F116" s="31"/>
      <c r="G116" s="43" t="str">
        <f t="shared" si="10"/>
        <v/>
      </c>
      <c r="H116" s="30" t="s">
        <v>57</v>
      </c>
      <c r="I116" s="41"/>
      <c r="J116" s="33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6" s="33" t="str">
        <f t="shared" ca="1" si="11"/>
        <v>—</v>
      </c>
      <c r="L116" s="50"/>
    </row>
    <row r="117" spans="1:12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IF(A117="","",IFERROR(VLOOKUP(A117,DB_Customers!$A:$N,14,0),""))</f>
        <v/>
      </c>
      <c r="D117" s="42" t="str">
        <f t="shared" ca="1" si="9"/>
        <v/>
      </c>
      <c r="E117" s="32"/>
      <c r="F117" s="31"/>
      <c r="G117" s="43" t="str">
        <f t="shared" si="10"/>
        <v/>
      </c>
      <c r="H117" s="30" t="s">
        <v>57</v>
      </c>
      <c r="I117" s="41"/>
      <c r="J117" s="33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7" s="33" t="str">
        <f t="shared" ca="1" si="11"/>
        <v>—</v>
      </c>
      <c r="L117" s="22"/>
    </row>
    <row r="118" spans="1:12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IF(A118="","",IFERROR(VLOOKUP(A118,DB_Customers!$A:$N,14,0),""))</f>
        <v/>
      </c>
      <c r="D118" s="42" t="str">
        <f t="shared" ca="1" si="9"/>
        <v/>
      </c>
      <c r="E118" s="32"/>
      <c r="F118" s="31"/>
      <c r="G118" s="43" t="str">
        <f t="shared" si="10"/>
        <v/>
      </c>
      <c r="H118" s="30" t="s">
        <v>57</v>
      </c>
      <c r="I118" s="41"/>
      <c r="J118" s="33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18" s="33" t="str">
        <f t="shared" ca="1" si="11"/>
        <v>—</v>
      </c>
      <c r="L118" s="50"/>
    </row>
    <row r="119" spans="1:12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IF(A119="","",IFERROR(VLOOKUP(A119,DB_Customers!$A:$N,14,0),""))</f>
        <v/>
      </c>
      <c r="D119" s="42" t="str">
        <f t="shared" ca="1" si="9"/>
        <v/>
      </c>
      <c r="E119" s="32"/>
      <c r="F119" s="31"/>
      <c r="G119" s="43" t="str">
        <f t="shared" si="10"/>
        <v/>
      </c>
      <c r="H119" s="30" t="s">
        <v>57</v>
      </c>
      <c r="I119" s="41"/>
      <c r="J119" s="33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19" s="33" t="str">
        <f t="shared" ca="1" si="11"/>
        <v>—</v>
      </c>
      <c r="L119" s="22"/>
    </row>
    <row r="120" spans="1:12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IF(A120="","",IFERROR(VLOOKUP(A120,DB_Customers!$A:$N,14,0),""))</f>
        <v/>
      </c>
      <c r="D120" s="42" t="str">
        <f t="shared" ca="1" si="9"/>
        <v/>
      </c>
      <c r="E120" s="32"/>
      <c r="F120" s="31"/>
      <c r="G120" s="43" t="str">
        <f t="shared" si="10"/>
        <v/>
      </c>
      <c r="H120" s="30" t="s">
        <v>57</v>
      </c>
      <c r="I120" s="41"/>
      <c r="J120" s="33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0" s="33" t="str">
        <f t="shared" ca="1" si="11"/>
        <v>—</v>
      </c>
      <c r="L120" s="50"/>
    </row>
    <row r="121" spans="1:12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IF(A121="","",IFERROR(VLOOKUP(A121,DB_Customers!$A:$N,14,0),""))</f>
        <v/>
      </c>
      <c r="D121" s="42" t="str">
        <f t="shared" ca="1" si="9"/>
        <v/>
      </c>
      <c r="E121" s="32"/>
      <c r="F121" s="31"/>
      <c r="G121" s="43" t="str">
        <f t="shared" si="10"/>
        <v/>
      </c>
      <c r="H121" s="30" t="s">
        <v>57</v>
      </c>
      <c r="I121" s="41"/>
      <c r="J121" s="33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1" s="33" t="str">
        <f t="shared" ca="1" si="11"/>
        <v>—</v>
      </c>
      <c r="L121" s="22"/>
    </row>
    <row r="122" spans="1:12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IF(A122="","",IFERROR(VLOOKUP(A122,DB_Customers!$A:$N,14,0),""))</f>
        <v/>
      </c>
      <c r="D122" s="42" t="str">
        <f t="shared" ca="1" si="9"/>
        <v/>
      </c>
      <c r="E122" s="32"/>
      <c r="F122" s="31"/>
      <c r="G122" s="43" t="str">
        <f t="shared" si="10"/>
        <v/>
      </c>
      <c r="H122" s="30" t="s">
        <v>57</v>
      </c>
      <c r="I122" s="41"/>
      <c r="J122" s="33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2" s="33" t="str">
        <f t="shared" ca="1" si="11"/>
        <v>—</v>
      </c>
      <c r="L122" s="50"/>
    </row>
    <row r="123" spans="1:12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IF(A123="","",IFERROR(VLOOKUP(A123,DB_Customers!$A:$N,14,0),""))</f>
        <v/>
      </c>
      <c r="D123" s="42" t="str">
        <f t="shared" ca="1" si="9"/>
        <v/>
      </c>
      <c r="E123" s="32"/>
      <c r="F123" s="31"/>
      <c r="G123" s="43" t="str">
        <f t="shared" si="10"/>
        <v/>
      </c>
      <c r="H123" s="30" t="s">
        <v>57</v>
      </c>
      <c r="I123" s="41"/>
      <c r="J123" s="33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3" s="33" t="str">
        <f t="shared" ca="1" si="11"/>
        <v>—</v>
      </c>
      <c r="L123" s="22"/>
    </row>
    <row r="124" spans="1:12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IF(A124="","",IFERROR(VLOOKUP(A124,DB_Customers!$A:$N,14,0),""))</f>
        <v/>
      </c>
      <c r="D124" s="42" t="str">
        <f t="shared" ca="1" si="9"/>
        <v/>
      </c>
      <c r="E124" s="32"/>
      <c r="F124" s="31"/>
      <c r="G124" s="43" t="str">
        <f t="shared" si="10"/>
        <v/>
      </c>
      <c r="H124" s="30" t="s">
        <v>57</v>
      </c>
      <c r="I124" s="41"/>
      <c r="J124" s="33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4" s="33" t="str">
        <f t="shared" ca="1" si="11"/>
        <v>—</v>
      </c>
      <c r="L124" s="50"/>
    </row>
    <row r="125" spans="1:12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IF(A125="","",IFERROR(VLOOKUP(A125,DB_Customers!$A:$N,14,0),""))</f>
        <v/>
      </c>
      <c r="D125" s="42" t="str">
        <f t="shared" ca="1" si="9"/>
        <v/>
      </c>
      <c r="E125" s="32"/>
      <c r="F125" s="31"/>
      <c r="G125" s="43" t="str">
        <f t="shared" si="10"/>
        <v/>
      </c>
      <c r="H125" s="30" t="s">
        <v>57</v>
      </c>
      <c r="I125" s="41"/>
      <c r="J125" s="33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5" s="33" t="str">
        <f t="shared" ca="1" si="11"/>
        <v>—</v>
      </c>
      <c r="L125" s="22"/>
    </row>
    <row r="126" spans="1:12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IF(A126="","",IFERROR(VLOOKUP(A126,DB_Customers!$A:$N,14,0),""))</f>
        <v/>
      </c>
      <c r="D126" s="42" t="str">
        <f t="shared" ca="1" si="9"/>
        <v/>
      </c>
      <c r="E126" s="32"/>
      <c r="F126" s="31"/>
      <c r="G126" s="43" t="str">
        <f t="shared" si="10"/>
        <v/>
      </c>
      <c r="H126" s="30" t="s">
        <v>57</v>
      </c>
      <c r="I126" s="41"/>
      <c r="J126" s="33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6" s="33" t="str">
        <f t="shared" ca="1" si="11"/>
        <v>—</v>
      </c>
      <c r="L126" s="50"/>
    </row>
    <row r="127" spans="1:12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IF(A127="","",IFERROR(VLOOKUP(A127,DB_Customers!$A:$N,14,0),""))</f>
        <v/>
      </c>
      <c r="D127" s="42" t="str">
        <f t="shared" ca="1" si="9"/>
        <v/>
      </c>
      <c r="E127" s="32"/>
      <c r="F127" s="31"/>
      <c r="G127" s="43" t="str">
        <f t="shared" si="10"/>
        <v/>
      </c>
      <c r="H127" s="30" t="s">
        <v>57</v>
      </c>
      <c r="I127" s="41"/>
      <c r="J127" s="33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7" s="33" t="str">
        <f t="shared" ca="1" si="11"/>
        <v>—</v>
      </c>
      <c r="L127" s="22"/>
    </row>
    <row r="128" spans="1:12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IF(A128="","",IFERROR(VLOOKUP(A128,DB_Customers!$A:$N,14,0),""))</f>
        <v/>
      </c>
      <c r="D128" s="42" t="str">
        <f t="shared" ca="1" si="9"/>
        <v/>
      </c>
      <c r="E128" s="32"/>
      <c r="F128" s="31"/>
      <c r="G128" s="43" t="str">
        <f t="shared" si="10"/>
        <v/>
      </c>
      <c r="H128" s="30" t="s">
        <v>57</v>
      </c>
      <c r="I128" s="41"/>
      <c r="J128" s="33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28" s="33" t="str">
        <f t="shared" ca="1" si="11"/>
        <v>—</v>
      </c>
      <c r="L128" s="50"/>
    </row>
    <row r="129" spans="1:12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IF(A129="","",IFERROR(VLOOKUP(A129,DB_Customers!$A:$N,14,0),""))</f>
        <v/>
      </c>
      <c r="D129" s="42" t="str">
        <f t="shared" ca="1" si="9"/>
        <v/>
      </c>
      <c r="E129" s="32"/>
      <c r="F129" s="31"/>
      <c r="G129" s="43" t="str">
        <f t="shared" si="10"/>
        <v/>
      </c>
      <c r="H129" s="30" t="s">
        <v>57</v>
      </c>
      <c r="I129" s="41"/>
      <c r="J129" s="33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29" s="33" t="str">
        <f t="shared" ca="1" si="11"/>
        <v>—</v>
      </c>
      <c r="L129" s="22"/>
    </row>
    <row r="130" spans="1:12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IF(A130="","",IFERROR(VLOOKUP(A130,DB_Customers!$A:$N,14,0),""))</f>
        <v/>
      </c>
      <c r="D130" s="42" t="str">
        <f t="shared" ca="1" si="9"/>
        <v/>
      </c>
      <c r="E130" s="32"/>
      <c r="F130" s="31"/>
      <c r="G130" s="43" t="str">
        <f t="shared" si="10"/>
        <v/>
      </c>
      <c r="H130" s="30" t="s">
        <v>57</v>
      </c>
      <c r="I130" s="41"/>
      <c r="J130" s="33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0" s="33" t="str">
        <f t="shared" ca="1" si="11"/>
        <v>—</v>
      </c>
      <c r="L130" s="50"/>
    </row>
    <row r="131" spans="1:12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IF(A131="","",IFERROR(VLOOKUP(A131,DB_Customers!$A:$N,14,0),""))</f>
        <v/>
      </c>
      <c r="D131" s="42" t="str">
        <f t="shared" ca="1" si="9"/>
        <v/>
      </c>
      <c r="E131" s="32"/>
      <c r="F131" s="31"/>
      <c r="G131" s="43" t="str">
        <f t="shared" si="10"/>
        <v/>
      </c>
      <c r="H131" s="30" t="s">
        <v>57</v>
      </c>
      <c r="I131" s="41"/>
      <c r="J131" s="33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1" s="33" t="str">
        <f t="shared" ca="1" si="11"/>
        <v>—</v>
      </c>
      <c r="L131" s="22"/>
    </row>
    <row r="132" spans="1:12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IF(A132="","",IFERROR(VLOOKUP(A132,DB_Customers!$A:$N,14,0),""))</f>
        <v/>
      </c>
      <c r="D132" s="42" t="str">
        <f t="shared" ca="1" si="9"/>
        <v/>
      </c>
      <c r="E132" s="32"/>
      <c r="F132" s="31"/>
      <c r="G132" s="43" t="str">
        <f t="shared" si="10"/>
        <v/>
      </c>
      <c r="H132" s="30" t="s">
        <v>57</v>
      </c>
      <c r="I132" s="41"/>
      <c r="J132" s="33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2" s="33" t="str">
        <f t="shared" ca="1" si="11"/>
        <v>—</v>
      </c>
      <c r="L132" s="50"/>
    </row>
    <row r="133" spans="1:12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IF(A133="","",IFERROR(VLOOKUP(A133,DB_Customers!$A:$N,14,0),""))</f>
        <v/>
      </c>
      <c r="D133" s="42" t="str">
        <f t="shared" ca="1" si="9"/>
        <v/>
      </c>
      <c r="E133" s="32"/>
      <c r="F133" s="31"/>
      <c r="G133" s="43" t="str">
        <f t="shared" si="10"/>
        <v/>
      </c>
      <c r="H133" s="30" t="s">
        <v>57</v>
      </c>
      <c r="I133" s="41"/>
      <c r="J133" s="33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3" s="33" t="str">
        <f t="shared" ca="1" si="11"/>
        <v>—</v>
      </c>
      <c r="L133" s="22"/>
    </row>
    <row r="134" spans="1:12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IF(A134="","",IFERROR(VLOOKUP(A134,DB_Customers!$A:$N,14,0),""))</f>
        <v/>
      </c>
      <c r="D134" s="42" t="str">
        <f t="shared" ca="1" si="9"/>
        <v/>
      </c>
      <c r="E134" s="32"/>
      <c r="F134" s="31"/>
      <c r="G134" s="43" t="str">
        <f t="shared" si="10"/>
        <v/>
      </c>
      <c r="H134" s="30" t="s">
        <v>57</v>
      </c>
      <c r="I134" s="41"/>
      <c r="J134" s="33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4" s="33" t="str">
        <f t="shared" ca="1" si="11"/>
        <v>—</v>
      </c>
      <c r="L134" s="50"/>
    </row>
    <row r="135" spans="1:12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IF(A135="","",IFERROR(VLOOKUP(A135,DB_Customers!$A:$N,14,0),""))</f>
        <v/>
      </c>
      <c r="D135" s="42" t="str">
        <f t="shared" ca="1" si="9"/>
        <v/>
      </c>
      <c r="E135" s="32"/>
      <c r="F135" s="31"/>
      <c r="G135" s="43" t="str">
        <f t="shared" si="10"/>
        <v/>
      </c>
      <c r="H135" s="30" t="s">
        <v>57</v>
      </c>
      <c r="I135" s="41"/>
      <c r="J135" s="33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5" s="33" t="str">
        <f t="shared" ca="1" si="11"/>
        <v>—</v>
      </c>
      <c r="L135" s="22"/>
    </row>
    <row r="136" spans="1:12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IF(A136="","",IFERROR(VLOOKUP(A136,DB_Customers!$A:$N,14,0),""))</f>
        <v/>
      </c>
      <c r="D136" s="42" t="str">
        <f t="shared" ca="1" si="9"/>
        <v/>
      </c>
      <c r="E136" s="32"/>
      <c r="F136" s="31"/>
      <c r="G136" s="43" t="str">
        <f t="shared" si="10"/>
        <v/>
      </c>
      <c r="H136" s="30" t="s">
        <v>57</v>
      </c>
      <c r="I136" s="41"/>
      <c r="J136" s="33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6" s="33" t="str">
        <f t="shared" ca="1" si="11"/>
        <v>—</v>
      </c>
      <c r="L136" s="50"/>
    </row>
    <row r="137" spans="1:12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IF(A137="","",IFERROR(VLOOKUP(A137,DB_Customers!$A:$N,14,0),""))</f>
        <v/>
      </c>
      <c r="D137" s="42" t="str">
        <f t="shared" ref="D137:D168" ca="1" si="12">IF(A137="","",TODAY())</f>
        <v/>
      </c>
      <c r="E137" s="32"/>
      <c r="F137" s="31"/>
      <c r="G137" s="43" t="str">
        <f t="shared" ref="G137:G168" si="13">IFERROR(IF(OR(A137="",E137=""),"",C137-E137),"")</f>
        <v/>
      </c>
      <c r="H137" s="30" t="s">
        <v>57</v>
      </c>
      <c r="I137" s="41"/>
      <c r="J137" s="33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7" s="33" t="str">
        <f t="shared" ref="K137:K168" ca="1" si="14">IF(J137="✅ Successful",TEXT(TODAY(),"YYYY-MM-DD")&amp;" Auto","—")</f>
        <v>—</v>
      </c>
      <c r="L137" s="22"/>
    </row>
    <row r="138" spans="1:12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IF(A138="","",IFERROR(VLOOKUP(A138,DB_Customers!$A:$N,14,0),""))</f>
        <v/>
      </c>
      <c r="D138" s="42" t="str">
        <f t="shared" ca="1" si="12"/>
        <v/>
      </c>
      <c r="E138" s="32"/>
      <c r="F138" s="31"/>
      <c r="G138" s="43" t="str">
        <f t="shared" si="13"/>
        <v/>
      </c>
      <c r="H138" s="30" t="s">
        <v>57</v>
      </c>
      <c r="I138" s="41"/>
      <c r="J138" s="33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38" s="33" t="str">
        <f t="shared" ca="1" si="14"/>
        <v>—</v>
      </c>
      <c r="L138" s="50"/>
    </row>
    <row r="139" spans="1:12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IF(A139="","",IFERROR(VLOOKUP(A139,DB_Customers!$A:$N,14,0),""))</f>
        <v/>
      </c>
      <c r="D139" s="42" t="str">
        <f t="shared" ca="1" si="12"/>
        <v/>
      </c>
      <c r="E139" s="32"/>
      <c r="F139" s="31"/>
      <c r="G139" s="43" t="str">
        <f t="shared" si="13"/>
        <v/>
      </c>
      <c r="H139" s="30" t="s">
        <v>57</v>
      </c>
      <c r="I139" s="41"/>
      <c r="J139" s="33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39" s="33" t="str">
        <f t="shared" ca="1" si="14"/>
        <v>—</v>
      </c>
      <c r="L139" s="22"/>
    </row>
    <row r="140" spans="1:12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IF(A140="","",IFERROR(VLOOKUP(A140,DB_Customers!$A:$N,14,0),""))</f>
        <v/>
      </c>
      <c r="D140" s="42" t="str">
        <f t="shared" ca="1" si="12"/>
        <v/>
      </c>
      <c r="E140" s="32"/>
      <c r="F140" s="31"/>
      <c r="G140" s="43" t="str">
        <f t="shared" si="13"/>
        <v/>
      </c>
      <c r="H140" s="30" t="s">
        <v>57</v>
      </c>
      <c r="I140" s="41"/>
      <c r="J140" s="33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0" s="33" t="str">
        <f t="shared" ca="1" si="14"/>
        <v>—</v>
      </c>
      <c r="L140" s="50"/>
    </row>
    <row r="141" spans="1:12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IF(A141="","",IFERROR(VLOOKUP(A141,DB_Customers!$A:$N,14,0),""))</f>
        <v/>
      </c>
      <c r="D141" s="42" t="str">
        <f t="shared" ca="1" si="12"/>
        <v/>
      </c>
      <c r="E141" s="32"/>
      <c r="F141" s="31"/>
      <c r="G141" s="43" t="str">
        <f t="shared" si="13"/>
        <v/>
      </c>
      <c r="H141" s="30" t="s">
        <v>57</v>
      </c>
      <c r="I141" s="41"/>
      <c r="J141" s="33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1" s="33" t="str">
        <f t="shared" ca="1" si="14"/>
        <v>—</v>
      </c>
      <c r="L141" s="22"/>
    </row>
    <row r="142" spans="1:12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IF(A142="","",IFERROR(VLOOKUP(A142,DB_Customers!$A:$N,14,0),""))</f>
        <v/>
      </c>
      <c r="D142" s="42" t="str">
        <f t="shared" ca="1" si="12"/>
        <v/>
      </c>
      <c r="E142" s="32"/>
      <c r="F142" s="31"/>
      <c r="G142" s="43" t="str">
        <f t="shared" si="13"/>
        <v/>
      </c>
      <c r="H142" s="30" t="s">
        <v>57</v>
      </c>
      <c r="I142" s="41"/>
      <c r="J142" s="33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2" s="33" t="str">
        <f t="shared" ca="1" si="14"/>
        <v>—</v>
      </c>
      <c r="L142" s="50"/>
    </row>
    <row r="143" spans="1:12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IF(A143="","",IFERROR(VLOOKUP(A143,DB_Customers!$A:$N,14,0),""))</f>
        <v/>
      </c>
      <c r="D143" s="42" t="str">
        <f t="shared" ca="1" si="12"/>
        <v/>
      </c>
      <c r="E143" s="32"/>
      <c r="F143" s="31"/>
      <c r="G143" s="43" t="str">
        <f t="shared" si="13"/>
        <v/>
      </c>
      <c r="H143" s="30" t="s">
        <v>57</v>
      </c>
      <c r="I143" s="41"/>
      <c r="J143" s="33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3" s="33" t="str">
        <f t="shared" ca="1" si="14"/>
        <v>—</v>
      </c>
      <c r="L143" s="22"/>
    </row>
    <row r="144" spans="1:12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IF(A144="","",IFERROR(VLOOKUP(A144,DB_Customers!$A:$N,14,0),""))</f>
        <v/>
      </c>
      <c r="D144" s="42" t="str">
        <f t="shared" ca="1" si="12"/>
        <v/>
      </c>
      <c r="E144" s="32"/>
      <c r="F144" s="31"/>
      <c r="G144" s="43" t="str">
        <f t="shared" si="13"/>
        <v/>
      </c>
      <c r="H144" s="30" t="s">
        <v>57</v>
      </c>
      <c r="I144" s="41"/>
      <c r="J144" s="33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4" s="33" t="str">
        <f t="shared" ca="1" si="14"/>
        <v>—</v>
      </c>
      <c r="L144" s="50"/>
    </row>
    <row r="145" spans="1:12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IF(A145="","",IFERROR(VLOOKUP(A145,DB_Customers!$A:$N,14,0),""))</f>
        <v/>
      </c>
      <c r="D145" s="42" t="str">
        <f t="shared" ca="1" si="12"/>
        <v/>
      </c>
      <c r="E145" s="32"/>
      <c r="F145" s="31"/>
      <c r="G145" s="43" t="str">
        <f t="shared" si="13"/>
        <v/>
      </c>
      <c r="H145" s="30" t="s">
        <v>57</v>
      </c>
      <c r="I145" s="41"/>
      <c r="J145" s="33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5" s="33" t="str">
        <f t="shared" ca="1" si="14"/>
        <v>—</v>
      </c>
      <c r="L145" s="22"/>
    </row>
    <row r="146" spans="1:12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IF(A146="","",IFERROR(VLOOKUP(A146,DB_Customers!$A:$N,14,0),""))</f>
        <v/>
      </c>
      <c r="D146" s="42" t="str">
        <f t="shared" ca="1" si="12"/>
        <v/>
      </c>
      <c r="E146" s="32"/>
      <c r="F146" s="31"/>
      <c r="G146" s="43" t="str">
        <f t="shared" si="13"/>
        <v/>
      </c>
      <c r="H146" s="30" t="s">
        <v>57</v>
      </c>
      <c r="I146" s="41"/>
      <c r="J146" s="33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6" s="33" t="str">
        <f t="shared" ca="1" si="14"/>
        <v>—</v>
      </c>
      <c r="L146" s="50"/>
    </row>
    <row r="147" spans="1:12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IF(A147="","",IFERROR(VLOOKUP(A147,DB_Customers!$A:$N,14,0),""))</f>
        <v/>
      </c>
      <c r="D147" s="42" t="str">
        <f t="shared" ca="1" si="12"/>
        <v/>
      </c>
      <c r="E147" s="32"/>
      <c r="F147" s="31"/>
      <c r="G147" s="43" t="str">
        <f t="shared" si="13"/>
        <v/>
      </c>
      <c r="H147" s="30" t="s">
        <v>57</v>
      </c>
      <c r="I147" s="41"/>
      <c r="J147" s="33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7" s="33" t="str">
        <f t="shared" ca="1" si="14"/>
        <v>—</v>
      </c>
      <c r="L147" s="22"/>
    </row>
    <row r="148" spans="1:12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IF(A148="","",IFERROR(VLOOKUP(A148,DB_Customers!$A:$N,14,0),""))</f>
        <v/>
      </c>
      <c r="D148" s="42" t="str">
        <f t="shared" ca="1" si="12"/>
        <v/>
      </c>
      <c r="E148" s="32"/>
      <c r="F148" s="31"/>
      <c r="G148" s="43" t="str">
        <f t="shared" si="13"/>
        <v/>
      </c>
      <c r="H148" s="30" t="s">
        <v>57</v>
      </c>
      <c r="I148" s="41"/>
      <c r="J148" s="33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48" s="33" t="str">
        <f t="shared" ca="1" si="14"/>
        <v>—</v>
      </c>
      <c r="L148" s="50"/>
    </row>
    <row r="149" spans="1:12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IF(A149="","",IFERROR(VLOOKUP(A149,DB_Customers!$A:$N,14,0),""))</f>
        <v/>
      </c>
      <c r="D149" s="42" t="str">
        <f t="shared" ca="1" si="12"/>
        <v/>
      </c>
      <c r="E149" s="32"/>
      <c r="F149" s="31"/>
      <c r="G149" s="43" t="str">
        <f t="shared" si="13"/>
        <v/>
      </c>
      <c r="H149" s="30" t="s">
        <v>57</v>
      </c>
      <c r="I149" s="41"/>
      <c r="J149" s="33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49" s="33" t="str">
        <f t="shared" ca="1" si="14"/>
        <v>—</v>
      </c>
      <c r="L149" s="22"/>
    </row>
    <row r="150" spans="1:12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IF(A150="","",IFERROR(VLOOKUP(A150,DB_Customers!$A:$N,14,0),""))</f>
        <v/>
      </c>
      <c r="D150" s="42" t="str">
        <f t="shared" ca="1" si="12"/>
        <v/>
      </c>
      <c r="E150" s="32"/>
      <c r="F150" s="31"/>
      <c r="G150" s="43" t="str">
        <f t="shared" si="13"/>
        <v/>
      </c>
      <c r="H150" s="30" t="s">
        <v>57</v>
      </c>
      <c r="I150" s="41"/>
      <c r="J150" s="33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0" s="33" t="str">
        <f t="shared" ca="1" si="14"/>
        <v>—</v>
      </c>
      <c r="L150" s="50"/>
    </row>
    <row r="151" spans="1:12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IF(A151="","",IFERROR(VLOOKUP(A151,DB_Customers!$A:$N,14,0),""))</f>
        <v/>
      </c>
      <c r="D151" s="42" t="str">
        <f t="shared" ca="1" si="12"/>
        <v/>
      </c>
      <c r="E151" s="32"/>
      <c r="F151" s="31"/>
      <c r="G151" s="43" t="str">
        <f t="shared" si="13"/>
        <v/>
      </c>
      <c r="H151" s="30" t="s">
        <v>57</v>
      </c>
      <c r="I151" s="41"/>
      <c r="J151" s="33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1" s="33" t="str">
        <f t="shared" ca="1" si="14"/>
        <v>—</v>
      </c>
      <c r="L151" s="22"/>
    </row>
    <row r="152" spans="1:12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IF(A152="","",IFERROR(VLOOKUP(A152,DB_Customers!$A:$N,14,0),""))</f>
        <v/>
      </c>
      <c r="D152" s="42" t="str">
        <f t="shared" ca="1" si="12"/>
        <v/>
      </c>
      <c r="E152" s="32"/>
      <c r="F152" s="31"/>
      <c r="G152" s="43" t="str">
        <f t="shared" si="13"/>
        <v/>
      </c>
      <c r="H152" s="30" t="s">
        <v>57</v>
      </c>
      <c r="I152" s="41"/>
      <c r="J152" s="33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2" s="33" t="str">
        <f t="shared" ca="1" si="14"/>
        <v>—</v>
      </c>
      <c r="L152" s="50"/>
    </row>
    <row r="153" spans="1:12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IF(A153="","",IFERROR(VLOOKUP(A153,DB_Customers!$A:$N,14,0),""))</f>
        <v/>
      </c>
      <c r="D153" s="42" t="str">
        <f t="shared" ca="1" si="12"/>
        <v/>
      </c>
      <c r="E153" s="32"/>
      <c r="F153" s="31"/>
      <c r="G153" s="43" t="str">
        <f t="shared" si="13"/>
        <v/>
      </c>
      <c r="H153" s="30" t="s">
        <v>57</v>
      </c>
      <c r="I153" s="41"/>
      <c r="J153" s="33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3" s="33" t="str">
        <f t="shared" ca="1" si="14"/>
        <v>—</v>
      </c>
      <c r="L153" s="22"/>
    </row>
    <row r="154" spans="1:12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IF(A154="","",IFERROR(VLOOKUP(A154,DB_Customers!$A:$N,14,0),""))</f>
        <v/>
      </c>
      <c r="D154" s="42" t="str">
        <f t="shared" ca="1" si="12"/>
        <v/>
      </c>
      <c r="E154" s="32"/>
      <c r="F154" s="31"/>
      <c r="G154" s="43" t="str">
        <f t="shared" si="13"/>
        <v/>
      </c>
      <c r="H154" s="30" t="s">
        <v>57</v>
      </c>
      <c r="I154" s="41"/>
      <c r="J154" s="33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4" s="33" t="str">
        <f t="shared" ca="1" si="14"/>
        <v>—</v>
      </c>
      <c r="L154" s="50"/>
    </row>
    <row r="155" spans="1:12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IF(A155="","",IFERROR(VLOOKUP(A155,DB_Customers!$A:$N,14,0),""))</f>
        <v/>
      </c>
      <c r="D155" s="42" t="str">
        <f t="shared" ca="1" si="12"/>
        <v/>
      </c>
      <c r="E155" s="32"/>
      <c r="F155" s="31"/>
      <c r="G155" s="43" t="str">
        <f t="shared" si="13"/>
        <v/>
      </c>
      <c r="H155" s="30" t="s">
        <v>57</v>
      </c>
      <c r="I155" s="41"/>
      <c r="J155" s="33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5" s="33" t="str">
        <f t="shared" ca="1" si="14"/>
        <v>—</v>
      </c>
      <c r="L155" s="22"/>
    </row>
    <row r="156" spans="1:12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IF(A156="","",IFERROR(VLOOKUP(A156,DB_Customers!$A:$N,14,0),""))</f>
        <v/>
      </c>
      <c r="D156" s="42" t="str">
        <f t="shared" ca="1" si="12"/>
        <v/>
      </c>
      <c r="E156" s="32"/>
      <c r="F156" s="31"/>
      <c r="G156" s="43" t="str">
        <f t="shared" si="13"/>
        <v/>
      </c>
      <c r="H156" s="30" t="s">
        <v>57</v>
      </c>
      <c r="I156" s="41"/>
      <c r="J156" s="33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6" s="33" t="str">
        <f t="shared" ca="1" si="14"/>
        <v>—</v>
      </c>
      <c r="L156" s="50"/>
    </row>
    <row r="157" spans="1:12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IF(A157="","",IFERROR(VLOOKUP(A157,DB_Customers!$A:$N,14,0),""))</f>
        <v/>
      </c>
      <c r="D157" s="42" t="str">
        <f t="shared" ca="1" si="12"/>
        <v/>
      </c>
      <c r="E157" s="32"/>
      <c r="F157" s="31"/>
      <c r="G157" s="43" t="str">
        <f t="shared" si="13"/>
        <v/>
      </c>
      <c r="H157" s="30" t="s">
        <v>57</v>
      </c>
      <c r="I157" s="41"/>
      <c r="J157" s="33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7" s="33" t="str">
        <f t="shared" ca="1" si="14"/>
        <v>—</v>
      </c>
      <c r="L157" s="22"/>
    </row>
    <row r="158" spans="1:12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IF(A158="","",IFERROR(VLOOKUP(A158,DB_Customers!$A:$N,14,0),""))</f>
        <v/>
      </c>
      <c r="D158" s="42" t="str">
        <f t="shared" ca="1" si="12"/>
        <v/>
      </c>
      <c r="E158" s="32"/>
      <c r="F158" s="31"/>
      <c r="G158" s="43" t="str">
        <f t="shared" si="13"/>
        <v/>
      </c>
      <c r="H158" s="30" t="s">
        <v>57</v>
      </c>
      <c r="I158" s="41"/>
      <c r="J158" s="33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58" s="33" t="str">
        <f t="shared" ca="1" si="14"/>
        <v>—</v>
      </c>
      <c r="L158" s="50"/>
    </row>
    <row r="159" spans="1:12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IF(A159="","",IFERROR(VLOOKUP(A159,DB_Customers!$A:$N,14,0),""))</f>
        <v/>
      </c>
      <c r="D159" s="42" t="str">
        <f t="shared" ca="1" si="12"/>
        <v/>
      </c>
      <c r="E159" s="32"/>
      <c r="F159" s="31"/>
      <c r="G159" s="43" t="str">
        <f t="shared" si="13"/>
        <v/>
      </c>
      <c r="H159" s="30" t="s">
        <v>57</v>
      </c>
      <c r="I159" s="41"/>
      <c r="J159" s="33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59" s="33" t="str">
        <f t="shared" ca="1" si="14"/>
        <v>—</v>
      </c>
      <c r="L159" s="22"/>
    </row>
    <row r="160" spans="1:12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IF(A160="","",IFERROR(VLOOKUP(A160,DB_Customers!$A:$N,14,0),""))</f>
        <v/>
      </c>
      <c r="D160" s="42" t="str">
        <f t="shared" ca="1" si="12"/>
        <v/>
      </c>
      <c r="E160" s="32"/>
      <c r="F160" s="31"/>
      <c r="G160" s="43" t="str">
        <f t="shared" si="13"/>
        <v/>
      </c>
      <c r="H160" s="30" t="s">
        <v>57</v>
      </c>
      <c r="I160" s="41"/>
      <c r="J160" s="33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0" s="33" t="str">
        <f t="shared" ca="1" si="14"/>
        <v>—</v>
      </c>
      <c r="L160" s="50"/>
    </row>
    <row r="161" spans="1:12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IF(A161="","",IFERROR(VLOOKUP(A161,DB_Customers!$A:$N,14,0),""))</f>
        <v/>
      </c>
      <c r="D161" s="42" t="str">
        <f t="shared" ca="1" si="12"/>
        <v/>
      </c>
      <c r="E161" s="32"/>
      <c r="F161" s="31"/>
      <c r="G161" s="43" t="str">
        <f t="shared" si="13"/>
        <v/>
      </c>
      <c r="H161" s="30" t="s">
        <v>57</v>
      </c>
      <c r="I161" s="41"/>
      <c r="J161" s="33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1" s="33" t="str">
        <f t="shared" ca="1" si="14"/>
        <v>—</v>
      </c>
      <c r="L161" s="22"/>
    </row>
    <row r="162" spans="1:12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IF(A162="","",IFERROR(VLOOKUP(A162,DB_Customers!$A:$N,14,0),""))</f>
        <v/>
      </c>
      <c r="D162" s="42" t="str">
        <f t="shared" ca="1" si="12"/>
        <v/>
      </c>
      <c r="E162" s="32"/>
      <c r="F162" s="31"/>
      <c r="G162" s="43" t="str">
        <f t="shared" si="13"/>
        <v/>
      </c>
      <c r="H162" s="30" t="s">
        <v>57</v>
      </c>
      <c r="I162" s="41"/>
      <c r="J162" s="33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2" s="33" t="str">
        <f t="shared" ca="1" si="14"/>
        <v>—</v>
      </c>
      <c r="L162" s="50"/>
    </row>
    <row r="163" spans="1:12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IF(A163="","",IFERROR(VLOOKUP(A163,DB_Customers!$A:$N,14,0),""))</f>
        <v/>
      </c>
      <c r="D163" s="42" t="str">
        <f t="shared" ca="1" si="12"/>
        <v/>
      </c>
      <c r="E163" s="32"/>
      <c r="F163" s="31"/>
      <c r="G163" s="43" t="str">
        <f t="shared" si="13"/>
        <v/>
      </c>
      <c r="H163" s="30" t="s">
        <v>57</v>
      </c>
      <c r="I163" s="41"/>
      <c r="J163" s="33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3" s="33" t="str">
        <f t="shared" ca="1" si="14"/>
        <v>—</v>
      </c>
      <c r="L163" s="22"/>
    </row>
    <row r="164" spans="1:12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IF(A164="","",IFERROR(VLOOKUP(A164,DB_Customers!$A:$N,14,0),""))</f>
        <v/>
      </c>
      <c r="D164" s="42" t="str">
        <f t="shared" ca="1" si="12"/>
        <v/>
      </c>
      <c r="E164" s="32"/>
      <c r="F164" s="31"/>
      <c r="G164" s="43" t="str">
        <f t="shared" si="13"/>
        <v/>
      </c>
      <c r="H164" s="30" t="s">
        <v>57</v>
      </c>
      <c r="I164" s="41"/>
      <c r="J164" s="33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4" s="33" t="str">
        <f t="shared" ca="1" si="14"/>
        <v>—</v>
      </c>
      <c r="L164" s="50"/>
    </row>
    <row r="165" spans="1:12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IF(A165="","",IFERROR(VLOOKUP(A165,DB_Customers!$A:$N,14,0),""))</f>
        <v/>
      </c>
      <c r="D165" s="42" t="str">
        <f t="shared" ca="1" si="12"/>
        <v/>
      </c>
      <c r="E165" s="32"/>
      <c r="F165" s="31"/>
      <c r="G165" s="43" t="str">
        <f t="shared" si="13"/>
        <v/>
      </c>
      <c r="H165" s="30" t="s">
        <v>57</v>
      </c>
      <c r="I165" s="41"/>
      <c r="J165" s="33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5" s="33" t="str">
        <f t="shared" ca="1" si="14"/>
        <v>—</v>
      </c>
      <c r="L165" s="22"/>
    </row>
    <row r="166" spans="1:12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IF(A166="","",IFERROR(VLOOKUP(A166,DB_Customers!$A:$N,14,0),""))</f>
        <v/>
      </c>
      <c r="D166" s="42" t="str">
        <f t="shared" ca="1" si="12"/>
        <v/>
      </c>
      <c r="E166" s="32"/>
      <c r="F166" s="31"/>
      <c r="G166" s="43" t="str">
        <f t="shared" si="13"/>
        <v/>
      </c>
      <c r="H166" s="30" t="s">
        <v>57</v>
      </c>
      <c r="I166" s="41"/>
      <c r="J166" s="33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6" s="33" t="str">
        <f t="shared" ca="1" si="14"/>
        <v>—</v>
      </c>
      <c r="L166" s="50"/>
    </row>
    <row r="167" spans="1:12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IF(A167="","",IFERROR(VLOOKUP(A167,DB_Customers!$A:$N,14,0),""))</f>
        <v/>
      </c>
      <c r="D167" s="42" t="str">
        <f t="shared" ca="1" si="12"/>
        <v/>
      </c>
      <c r="E167" s="32"/>
      <c r="F167" s="31"/>
      <c r="G167" s="43" t="str">
        <f t="shared" si="13"/>
        <v/>
      </c>
      <c r="H167" s="30" t="s">
        <v>57</v>
      </c>
      <c r="I167" s="41"/>
      <c r="J167" s="33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7" s="33" t="str">
        <f t="shared" ca="1" si="14"/>
        <v>—</v>
      </c>
      <c r="L167" s="22"/>
    </row>
    <row r="168" spans="1:12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IF(A168="","",IFERROR(VLOOKUP(A168,DB_Customers!$A:$N,14,0),""))</f>
        <v/>
      </c>
      <c r="D168" s="42" t="str">
        <f t="shared" ca="1" si="12"/>
        <v/>
      </c>
      <c r="E168" s="32"/>
      <c r="F168" s="31"/>
      <c r="G168" s="43" t="str">
        <f t="shared" si="13"/>
        <v/>
      </c>
      <c r="H168" s="30" t="s">
        <v>57</v>
      </c>
      <c r="I168" s="41"/>
      <c r="J168" s="33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68" s="33" t="str">
        <f t="shared" ca="1" si="14"/>
        <v>—</v>
      </c>
      <c r="L168" s="50"/>
    </row>
    <row r="169" spans="1:12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IF(A169="","",IFERROR(VLOOKUP(A169,DB_Customers!$A:$N,14,0),""))</f>
        <v/>
      </c>
      <c r="D169" s="42" t="str">
        <f t="shared" ref="D169:D200" ca="1" si="15">IF(A169="","",TODAY())</f>
        <v/>
      </c>
      <c r="E169" s="32"/>
      <c r="F169" s="31"/>
      <c r="G169" s="43" t="str">
        <f t="shared" ref="G169:G200" si="16">IFERROR(IF(OR(A169="",E169=""),"",C169-E169),"")</f>
        <v/>
      </c>
      <c r="H169" s="30" t="s">
        <v>57</v>
      </c>
      <c r="I169" s="41"/>
      <c r="J169" s="33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69" s="33" t="str">
        <f t="shared" ref="K169:K200" ca="1" si="17">IF(J169="✅ Successful",TEXT(TODAY(),"YYYY-MM-DD")&amp;" Auto","—")</f>
        <v>—</v>
      </c>
      <c r="L169" s="22"/>
    </row>
    <row r="170" spans="1:12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IF(A170="","",IFERROR(VLOOKUP(A170,DB_Customers!$A:$N,14,0),""))</f>
        <v/>
      </c>
      <c r="D170" s="42" t="str">
        <f t="shared" ca="1" si="15"/>
        <v/>
      </c>
      <c r="E170" s="32"/>
      <c r="F170" s="31"/>
      <c r="G170" s="43" t="str">
        <f t="shared" si="16"/>
        <v/>
      </c>
      <c r="H170" s="30" t="s">
        <v>57</v>
      </c>
      <c r="I170" s="41"/>
      <c r="J170" s="33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0" s="33" t="str">
        <f t="shared" ca="1" si="17"/>
        <v>—</v>
      </c>
      <c r="L170" s="50"/>
    </row>
    <row r="171" spans="1:12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IF(A171="","",IFERROR(VLOOKUP(A171,DB_Customers!$A:$N,14,0),""))</f>
        <v/>
      </c>
      <c r="D171" s="42" t="str">
        <f t="shared" ca="1" si="15"/>
        <v/>
      </c>
      <c r="E171" s="32"/>
      <c r="F171" s="31"/>
      <c r="G171" s="43" t="str">
        <f t="shared" si="16"/>
        <v/>
      </c>
      <c r="H171" s="30" t="s">
        <v>57</v>
      </c>
      <c r="I171" s="41"/>
      <c r="J171" s="33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1" s="33" t="str">
        <f t="shared" ca="1" si="17"/>
        <v>—</v>
      </c>
      <c r="L171" s="22"/>
    </row>
    <row r="172" spans="1:12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IF(A172="","",IFERROR(VLOOKUP(A172,DB_Customers!$A:$N,14,0),""))</f>
        <v/>
      </c>
      <c r="D172" s="42" t="str">
        <f t="shared" ca="1" si="15"/>
        <v/>
      </c>
      <c r="E172" s="32"/>
      <c r="F172" s="31"/>
      <c r="G172" s="43" t="str">
        <f t="shared" si="16"/>
        <v/>
      </c>
      <c r="H172" s="30" t="s">
        <v>57</v>
      </c>
      <c r="I172" s="41"/>
      <c r="J172" s="33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2" s="33" t="str">
        <f t="shared" ca="1" si="17"/>
        <v>—</v>
      </c>
      <c r="L172" s="50"/>
    </row>
    <row r="173" spans="1:12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IF(A173="","",IFERROR(VLOOKUP(A173,DB_Customers!$A:$N,14,0),""))</f>
        <v/>
      </c>
      <c r="D173" s="42" t="str">
        <f t="shared" ca="1" si="15"/>
        <v/>
      </c>
      <c r="E173" s="32"/>
      <c r="F173" s="31"/>
      <c r="G173" s="43" t="str">
        <f t="shared" si="16"/>
        <v/>
      </c>
      <c r="H173" s="30" t="s">
        <v>57</v>
      </c>
      <c r="I173" s="41"/>
      <c r="J173" s="33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3" s="33" t="str">
        <f t="shared" ca="1" si="17"/>
        <v>—</v>
      </c>
      <c r="L173" s="22"/>
    </row>
    <row r="174" spans="1:12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IF(A174="","",IFERROR(VLOOKUP(A174,DB_Customers!$A:$N,14,0),""))</f>
        <v/>
      </c>
      <c r="D174" s="42" t="str">
        <f t="shared" ca="1" si="15"/>
        <v/>
      </c>
      <c r="E174" s="32"/>
      <c r="F174" s="31"/>
      <c r="G174" s="43" t="str">
        <f t="shared" si="16"/>
        <v/>
      </c>
      <c r="H174" s="30" t="s">
        <v>57</v>
      </c>
      <c r="I174" s="41"/>
      <c r="J174" s="33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4" s="33" t="str">
        <f t="shared" ca="1" si="17"/>
        <v>—</v>
      </c>
      <c r="L174" s="50"/>
    </row>
    <row r="175" spans="1:12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IF(A175="","",IFERROR(VLOOKUP(A175,DB_Customers!$A:$N,14,0),""))</f>
        <v/>
      </c>
      <c r="D175" s="42" t="str">
        <f t="shared" ca="1" si="15"/>
        <v/>
      </c>
      <c r="E175" s="32"/>
      <c r="F175" s="31"/>
      <c r="G175" s="43" t="str">
        <f t="shared" si="16"/>
        <v/>
      </c>
      <c r="H175" s="30" t="s">
        <v>57</v>
      </c>
      <c r="I175" s="41"/>
      <c r="J175" s="33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5" s="33" t="str">
        <f t="shared" ca="1" si="17"/>
        <v>—</v>
      </c>
      <c r="L175" s="22"/>
    </row>
    <row r="176" spans="1:12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IF(A176="","",IFERROR(VLOOKUP(A176,DB_Customers!$A:$N,14,0),""))</f>
        <v/>
      </c>
      <c r="D176" s="42" t="str">
        <f t="shared" ca="1" si="15"/>
        <v/>
      </c>
      <c r="E176" s="32"/>
      <c r="F176" s="31"/>
      <c r="G176" s="43" t="str">
        <f t="shared" si="16"/>
        <v/>
      </c>
      <c r="H176" s="30" t="s">
        <v>57</v>
      </c>
      <c r="I176" s="41"/>
      <c r="J176" s="33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6" s="33" t="str">
        <f t="shared" ca="1" si="17"/>
        <v>—</v>
      </c>
      <c r="L176" s="50"/>
    </row>
    <row r="177" spans="1:12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IF(A177="","",IFERROR(VLOOKUP(A177,DB_Customers!$A:$N,14,0),""))</f>
        <v/>
      </c>
      <c r="D177" s="42" t="str">
        <f t="shared" ca="1" si="15"/>
        <v/>
      </c>
      <c r="E177" s="32"/>
      <c r="F177" s="31"/>
      <c r="G177" s="43" t="str">
        <f t="shared" si="16"/>
        <v/>
      </c>
      <c r="H177" s="30" t="s">
        <v>57</v>
      </c>
      <c r="I177" s="41"/>
      <c r="J177" s="33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7" s="33" t="str">
        <f t="shared" ca="1" si="17"/>
        <v>—</v>
      </c>
      <c r="L177" s="22"/>
    </row>
    <row r="178" spans="1:12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IF(A178="","",IFERROR(VLOOKUP(A178,DB_Customers!$A:$N,14,0),""))</f>
        <v/>
      </c>
      <c r="D178" s="42" t="str">
        <f t="shared" ca="1" si="15"/>
        <v/>
      </c>
      <c r="E178" s="32"/>
      <c r="F178" s="31"/>
      <c r="G178" s="43" t="str">
        <f t="shared" si="16"/>
        <v/>
      </c>
      <c r="H178" s="30" t="s">
        <v>57</v>
      </c>
      <c r="I178" s="41"/>
      <c r="J178" s="33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78" s="33" t="str">
        <f t="shared" ca="1" si="17"/>
        <v>—</v>
      </c>
      <c r="L178" s="50"/>
    </row>
    <row r="179" spans="1:12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IF(A179="","",IFERROR(VLOOKUP(A179,DB_Customers!$A:$N,14,0),""))</f>
        <v/>
      </c>
      <c r="D179" s="42" t="str">
        <f t="shared" ca="1" si="15"/>
        <v/>
      </c>
      <c r="E179" s="32"/>
      <c r="F179" s="31"/>
      <c r="G179" s="43" t="str">
        <f t="shared" si="16"/>
        <v/>
      </c>
      <c r="H179" s="30" t="s">
        <v>57</v>
      </c>
      <c r="I179" s="41"/>
      <c r="J179" s="33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79" s="33" t="str">
        <f t="shared" ca="1" si="17"/>
        <v>—</v>
      </c>
      <c r="L179" s="22"/>
    </row>
    <row r="180" spans="1:12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IF(A180="","",IFERROR(VLOOKUP(A180,DB_Customers!$A:$N,14,0),""))</f>
        <v/>
      </c>
      <c r="D180" s="42" t="str">
        <f t="shared" ca="1" si="15"/>
        <v/>
      </c>
      <c r="E180" s="32"/>
      <c r="F180" s="31"/>
      <c r="G180" s="43" t="str">
        <f t="shared" si="16"/>
        <v/>
      </c>
      <c r="H180" s="30" t="s">
        <v>57</v>
      </c>
      <c r="I180" s="41"/>
      <c r="J180" s="33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0" s="33" t="str">
        <f t="shared" ca="1" si="17"/>
        <v>—</v>
      </c>
      <c r="L180" s="50"/>
    </row>
    <row r="181" spans="1:12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IF(A181="","",IFERROR(VLOOKUP(A181,DB_Customers!$A:$N,14,0),""))</f>
        <v/>
      </c>
      <c r="D181" s="42" t="str">
        <f t="shared" ca="1" si="15"/>
        <v/>
      </c>
      <c r="E181" s="32"/>
      <c r="F181" s="31"/>
      <c r="G181" s="43" t="str">
        <f t="shared" si="16"/>
        <v/>
      </c>
      <c r="H181" s="30" t="s">
        <v>57</v>
      </c>
      <c r="I181" s="41"/>
      <c r="J181" s="33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1" s="33" t="str">
        <f t="shared" ca="1" si="17"/>
        <v>—</v>
      </c>
      <c r="L181" s="22"/>
    </row>
    <row r="182" spans="1:12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IF(A182="","",IFERROR(VLOOKUP(A182,DB_Customers!$A:$N,14,0),""))</f>
        <v/>
      </c>
      <c r="D182" s="42" t="str">
        <f t="shared" ca="1" si="15"/>
        <v/>
      </c>
      <c r="E182" s="32"/>
      <c r="F182" s="31"/>
      <c r="G182" s="43" t="str">
        <f t="shared" si="16"/>
        <v/>
      </c>
      <c r="H182" s="30" t="s">
        <v>57</v>
      </c>
      <c r="I182" s="41"/>
      <c r="J182" s="33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2" s="33" t="str">
        <f t="shared" ca="1" si="17"/>
        <v>—</v>
      </c>
      <c r="L182" s="50"/>
    </row>
    <row r="183" spans="1:12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IF(A183="","",IFERROR(VLOOKUP(A183,DB_Customers!$A:$N,14,0),""))</f>
        <v/>
      </c>
      <c r="D183" s="42" t="str">
        <f t="shared" ca="1" si="15"/>
        <v/>
      </c>
      <c r="E183" s="32"/>
      <c r="F183" s="31"/>
      <c r="G183" s="43" t="str">
        <f t="shared" si="16"/>
        <v/>
      </c>
      <c r="H183" s="30" t="s">
        <v>57</v>
      </c>
      <c r="I183" s="41"/>
      <c r="J183" s="33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3" s="33" t="str">
        <f t="shared" ca="1" si="17"/>
        <v>—</v>
      </c>
      <c r="L183" s="22"/>
    </row>
    <row r="184" spans="1:12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IF(A184="","",IFERROR(VLOOKUP(A184,DB_Customers!$A:$N,14,0),""))</f>
        <v/>
      </c>
      <c r="D184" s="42" t="str">
        <f t="shared" ca="1" si="15"/>
        <v/>
      </c>
      <c r="E184" s="32"/>
      <c r="F184" s="31"/>
      <c r="G184" s="43" t="str">
        <f t="shared" si="16"/>
        <v/>
      </c>
      <c r="H184" s="30" t="s">
        <v>57</v>
      </c>
      <c r="I184" s="41"/>
      <c r="J184" s="33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4" s="33" t="str">
        <f t="shared" ca="1" si="17"/>
        <v>—</v>
      </c>
      <c r="L184" s="50"/>
    </row>
    <row r="185" spans="1:12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IF(A185="","",IFERROR(VLOOKUP(A185,DB_Customers!$A:$N,14,0),""))</f>
        <v/>
      </c>
      <c r="D185" s="42" t="str">
        <f t="shared" ca="1" si="15"/>
        <v/>
      </c>
      <c r="E185" s="32"/>
      <c r="F185" s="31"/>
      <c r="G185" s="43" t="str">
        <f t="shared" si="16"/>
        <v/>
      </c>
      <c r="H185" s="30" t="s">
        <v>57</v>
      </c>
      <c r="I185" s="41"/>
      <c r="J185" s="33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5" s="33" t="str">
        <f t="shared" ca="1" si="17"/>
        <v>—</v>
      </c>
      <c r="L185" s="22"/>
    </row>
    <row r="186" spans="1:12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IF(A186="","",IFERROR(VLOOKUP(A186,DB_Customers!$A:$N,14,0),""))</f>
        <v/>
      </c>
      <c r="D186" s="42" t="str">
        <f t="shared" ca="1" si="15"/>
        <v/>
      </c>
      <c r="E186" s="32"/>
      <c r="F186" s="31"/>
      <c r="G186" s="43" t="str">
        <f t="shared" si="16"/>
        <v/>
      </c>
      <c r="H186" s="30" t="s">
        <v>57</v>
      </c>
      <c r="I186" s="41"/>
      <c r="J186" s="33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6" s="33" t="str">
        <f t="shared" ca="1" si="17"/>
        <v>—</v>
      </c>
      <c r="L186" s="50"/>
    </row>
    <row r="187" spans="1:12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IF(A187="","",IFERROR(VLOOKUP(A187,DB_Customers!$A:$N,14,0),""))</f>
        <v/>
      </c>
      <c r="D187" s="42" t="str">
        <f t="shared" ca="1" si="15"/>
        <v/>
      </c>
      <c r="E187" s="32"/>
      <c r="F187" s="31"/>
      <c r="G187" s="43" t="str">
        <f t="shared" si="16"/>
        <v/>
      </c>
      <c r="H187" s="30" t="s">
        <v>57</v>
      </c>
      <c r="I187" s="41"/>
      <c r="J187" s="33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7" s="33" t="str">
        <f t="shared" ca="1" si="17"/>
        <v>—</v>
      </c>
      <c r="L187" s="22"/>
    </row>
    <row r="188" spans="1:12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IF(A188="","",IFERROR(VLOOKUP(A188,DB_Customers!$A:$N,14,0),""))</f>
        <v/>
      </c>
      <c r="D188" s="42" t="str">
        <f t="shared" ca="1" si="15"/>
        <v/>
      </c>
      <c r="E188" s="32"/>
      <c r="F188" s="31"/>
      <c r="G188" s="43" t="str">
        <f t="shared" si="16"/>
        <v/>
      </c>
      <c r="H188" s="30" t="s">
        <v>57</v>
      </c>
      <c r="I188" s="41"/>
      <c r="J188" s="33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88" s="33" t="str">
        <f t="shared" ca="1" si="17"/>
        <v>—</v>
      </c>
      <c r="L188" s="50"/>
    </row>
    <row r="189" spans="1:12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IF(A189="","",IFERROR(VLOOKUP(A189,DB_Customers!$A:$N,14,0),""))</f>
        <v/>
      </c>
      <c r="D189" s="42" t="str">
        <f t="shared" ca="1" si="15"/>
        <v/>
      </c>
      <c r="E189" s="32"/>
      <c r="F189" s="31"/>
      <c r="G189" s="43" t="str">
        <f t="shared" si="16"/>
        <v/>
      </c>
      <c r="H189" s="30" t="s">
        <v>57</v>
      </c>
      <c r="I189" s="41"/>
      <c r="J189" s="33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89" s="33" t="str">
        <f t="shared" ca="1" si="17"/>
        <v>—</v>
      </c>
      <c r="L189" s="22"/>
    </row>
    <row r="190" spans="1:12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IF(A190="","",IFERROR(VLOOKUP(A190,DB_Customers!$A:$N,14,0),""))</f>
        <v/>
      </c>
      <c r="D190" s="42" t="str">
        <f t="shared" ca="1" si="15"/>
        <v/>
      </c>
      <c r="E190" s="32"/>
      <c r="F190" s="31"/>
      <c r="G190" s="43" t="str">
        <f t="shared" si="16"/>
        <v/>
      </c>
      <c r="H190" s="30" t="s">
        <v>57</v>
      </c>
      <c r="I190" s="41"/>
      <c r="J190" s="33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0" s="33" t="str">
        <f t="shared" ca="1" si="17"/>
        <v>—</v>
      </c>
      <c r="L190" s="50"/>
    </row>
    <row r="191" spans="1:12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IF(A191="","",IFERROR(VLOOKUP(A191,DB_Customers!$A:$N,14,0),""))</f>
        <v/>
      </c>
      <c r="D191" s="42" t="str">
        <f t="shared" ca="1" si="15"/>
        <v/>
      </c>
      <c r="E191" s="32"/>
      <c r="F191" s="31"/>
      <c r="G191" s="43" t="str">
        <f t="shared" si="16"/>
        <v/>
      </c>
      <c r="H191" s="30" t="s">
        <v>57</v>
      </c>
      <c r="I191" s="41"/>
      <c r="J191" s="33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1" s="33" t="str">
        <f t="shared" ca="1" si="17"/>
        <v>—</v>
      </c>
      <c r="L191" s="22"/>
    </row>
    <row r="192" spans="1:12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IF(A192="","",IFERROR(VLOOKUP(A192,DB_Customers!$A:$N,14,0),""))</f>
        <v/>
      </c>
      <c r="D192" s="42" t="str">
        <f t="shared" ca="1" si="15"/>
        <v/>
      </c>
      <c r="E192" s="32"/>
      <c r="F192" s="31"/>
      <c r="G192" s="43" t="str">
        <f t="shared" si="16"/>
        <v/>
      </c>
      <c r="H192" s="30" t="s">
        <v>57</v>
      </c>
      <c r="I192" s="41"/>
      <c r="J192" s="33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2" s="33" t="str">
        <f t="shared" ca="1" si="17"/>
        <v>—</v>
      </c>
      <c r="L192" s="50"/>
    </row>
    <row r="193" spans="1:12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IF(A193="","",IFERROR(VLOOKUP(A193,DB_Customers!$A:$N,14,0),""))</f>
        <v/>
      </c>
      <c r="D193" s="42" t="str">
        <f t="shared" ca="1" si="15"/>
        <v/>
      </c>
      <c r="E193" s="32"/>
      <c r="F193" s="31"/>
      <c r="G193" s="43" t="str">
        <f t="shared" si="16"/>
        <v/>
      </c>
      <c r="H193" s="30" t="s">
        <v>57</v>
      </c>
      <c r="I193" s="41"/>
      <c r="J193" s="33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3" s="33" t="str">
        <f t="shared" ca="1" si="17"/>
        <v>—</v>
      </c>
      <c r="L193" s="22"/>
    </row>
    <row r="194" spans="1:12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IF(A194="","",IFERROR(VLOOKUP(A194,DB_Customers!$A:$N,14,0),""))</f>
        <v/>
      </c>
      <c r="D194" s="42" t="str">
        <f t="shared" ca="1" si="15"/>
        <v/>
      </c>
      <c r="E194" s="32"/>
      <c r="F194" s="31"/>
      <c r="G194" s="43" t="str">
        <f t="shared" si="16"/>
        <v/>
      </c>
      <c r="H194" s="30" t="s">
        <v>57</v>
      </c>
      <c r="I194" s="41"/>
      <c r="J194" s="33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4" s="33" t="str">
        <f t="shared" ca="1" si="17"/>
        <v>—</v>
      </c>
      <c r="L194" s="50"/>
    </row>
    <row r="195" spans="1:12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IF(A195="","",IFERROR(VLOOKUP(A195,DB_Customers!$A:$N,14,0),""))</f>
        <v/>
      </c>
      <c r="D195" s="42" t="str">
        <f t="shared" ca="1" si="15"/>
        <v/>
      </c>
      <c r="E195" s="32"/>
      <c r="F195" s="31"/>
      <c r="G195" s="43" t="str">
        <f t="shared" si="16"/>
        <v/>
      </c>
      <c r="H195" s="30" t="s">
        <v>57</v>
      </c>
      <c r="I195" s="41"/>
      <c r="J195" s="33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5" s="33" t="str">
        <f t="shared" ca="1" si="17"/>
        <v>—</v>
      </c>
      <c r="L195" s="22"/>
    </row>
    <row r="196" spans="1:12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IF(A196="","",IFERROR(VLOOKUP(A196,DB_Customers!$A:$N,14,0),""))</f>
        <v/>
      </c>
      <c r="D196" s="42" t="str">
        <f t="shared" ca="1" si="15"/>
        <v/>
      </c>
      <c r="E196" s="32"/>
      <c r="F196" s="31"/>
      <c r="G196" s="43" t="str">
        <f t="shared" si="16"/>
        <v/>
      </c>
      <c r="H196" s="30" t="s">
        <v>57</v>
      </c>
      <c r="I196" s="41"/>
      <c r="J196" s="33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6" s="33" t="str">
        <f t="shared" ca="1" si="17"/>
        <v>—</v>
      </c>
      <c r="L196" s="50"/>
    </row>
    <row r="197" spans="1:12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IF(A197="","",IFERROR(VLOOKUP(A197,DB_Customers!$A:$N,14,0),""))</f>
        <v/>
      </c>
      <c r="D197" s="42" t="str">
        <f t="shared" ca="1" si="15"/>
        <v/>
      </c>
      <c r="E197" s="32"/>
      <c r="F197" s="31"/>
      <c r="G197" s="43" t="str">
        <f t="shared" si="16"/>
        <v/>
      </c>
      <c r="H197" s="30" t="s">
        <v>57</v>
      </c>
      <c r="I197" s="41"/>
      <c r="J197" s="33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7" s="33" t="str">
        <f t="shared" ca="1" si="17"/>
        <v>—</v>
      </c>
      <c r="L197" s="22"/>
    </row>
    <row r="198" spans="1:12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IF(A198="","",IFERROR(VLOOKUP(A198,DB_Customers!$A:$N,14,0),""))</f>
        <v/>
      </c>
      <c r="D198" s="42" t="str">
        <f t="shared" ca="1" si="15"/>
        <v/>
      </c>
      <c r="E198" s="32"/>
      <c r="F198" s="31"/>
      <c r="G198" s="43" t="str">
        <f t="shared" si="16"/>
        <v/>
      </c>
      <c r="H198" s="30" t="s">
        <v>57</v>
      </c>
      <c r="I198" s="41"/>
      <c r="J198" s="33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198" s="33" t="str">
        <f t="shared" ca="1" si="17"/>
        <v>—</v>
      </c>
      <c r="L198" s="50"/>
    </row>
    <row r="199" spans="1:12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IF(A199="","",IFERROR(VLOOKUP(A199,DB_Customers!$A:$N,14,0),""))</f>
        <v/>
      </c>
      <c r="D199" s="42" t="str">
        <f t="shared" ca="1" si="15"/>
        <v/>
      </c>
      <c r="E199" s="32"/>
      <c r="F199" s="31"/>
      <c r="G199" s="43" t="str">
        <f t="shared" si="16"/>
        <v/>
      </c>
      <c r="H199" s="30" t="s">
        <v>57</v>
      </c>
      <c r="I199" s="41"/>
      <c r="J199" s="33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199" s="33" t="str">
        <f t="shared" ca="1" si="17"/>
        <v>—</v>
      </c>
      <c r="L199" s="22"/>
    </row>
    <row r="200" spans="1:12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IF(A200="","",IFERROR(VLOOKUP(A200,DB_Customers!$A:$N,14,0),""))</f>
        <v/>
      </c>
      <c r="D200" s="42" t="str">
        <f t="shared" ca="1" si="15"/>
        <v/>
      </c>
      <c r="E200" s="32"/>
      <c r="F200" s="31"/>
      <c r="G200" s="43" t="str">
        <f t="shared" si="16"/>
        <v/>
      </c>
      <c r="H200" s="30" t="s">
        <v>57</v>
      </c>
      <c r="I200" s="41"/>
      <c r="J200" s="33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0" s="33" t="str">
        <f t="shared" ca="1" si="17"/>
        <v>—</v>
      </c>
      <c r="L200" s="50"/>
    </row>
    <row r="201" spans="1:12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IF(A201="","",IFERROR(VLOOKUP(A201,DB_Customers!$A:$N,14,0),""))</f>
        <v/>
      </c>
      <c r="D201" s="42" t="str">
        <f t="shared" ref="D201:D208" ca="1" si="18">IF(A201="","",TODAY())</f>
        <v/>
      </c>
      <c r="E201" s="32"/>
      <c r="F201" s="31"/>
      <c r="G201" s="43" t="str">
        <f t="shared" ref="G201:G208" si="19">IFERROR(IF(OR(A201="",E201=""),"",C201-E201),"")</f>
        <v/>
      </c>
      <c r="H201" s="30" t="s">
        <v>57</v>
      </c>
      <c r="I201" s="41"/>
      <c r="J201" s="33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1" s="33" t="str">
        <f t="shared" ref="K201:K232" ca="1" si="20">IF(J201="✅ Successful",TEXT(TODAY(),"YYYY-MM-DD")&amp;" Auto","—")</f>
        <v>—</v>
      </c>
      <c r="L201" s="22"/>
    </row>
    <row r="202" spans="1:12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IF(A202="","",IFERROR(VLOOKUP(A202,DB_Customers!$A:$N,14,0),""))</f>
        <v/>
      </c>
      <c r="D202" s="42" t="str">
        <f t="shared" ca="1" si="18"/>
        <v/>
      </c>
      <c r="E202" s="32"/>
      <c r="F202" s="31"/>
      <c r="G202" s="43" t="str">
        <f t="shared" si="19"/>
        <v/>
      </c>
      <c r="H202" s="30" t="s">
        <v>57</v>
      </c>
      <c r="I202" s="41"/>
      <c r="J202" s="33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2" s="33" t="str">
        <f t="shared" ca="1" si="20"/>
        <v>—</v>
      </c>
      <c r="L202" s="50"/>
    </row>
    <row r="203" spans="1:12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IF(A203="","",IFERROR(VLOOKUP(A203,DB_Customers!$A:$N,14,0),""))</f>
        <v/>
      </c>
      <c r="D203" s="42" t="str">
        <f t="shared" ca="1" si="18"/>
        <v/>
      </c>
      <c r="E203" s="32"/>
      <c r="F203" s="31"/>
      <c r="G203" s="43" t="str">
        <f t="shared" si="19"/>
        <v/>
      </c>
      <c r="H203" s="30" t="s">
        <v>57</v>
      </c>
      <c r="I203" s="41"/>
      <c r="J203" s="33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3" s="33" t="str">
        <f t="shared" ca="1" si="20"/>
        <v>—</v>
      </c>
      <c r="L203" s="22"/>
    </row>
    <row r="204" spans="1:12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IF(A204="","",IFERROR(VLOOKUP(A204,DB_Customers!$A:$N,14,0),""))</f>
        <v/>
      </c>
      <c r="D204" s="42" t="str">
        <f t="shared" ca="1" si="18"/>
        <v/>
      </c>
      <c r="E204" s="32"/>
      <c r="F204" s="31"/>
      <c r="G204" s="43" t="str">
        <f t="shared" si="19"/>
        <v/>
      </c>
      <c r="H204" s="30" t="s">
        <v>57</v>
      </c>
      <c r="I204" s="41"/>
      <c r="J204" s="33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4" s="33" t="str">
        <f t="shared" ca="1" si="20"/>
        <v>—</v>
      </c>
      <c r="L204" s="50"/>
    </row>
    <row r="205" spans="1:12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IF(A205="","",IFERROR(VLOOKUP(A205,DB_Customers!$A:$N,14,0),""))</f>
        <v/>
      </c>
      <c r="D205" s="42" t="str">
        <f t="shared" ca="1" si="18"/>
        <v/>
      </c>
      <c r="E205" s="32"/>
      <c r="F205" s="31"/>
      <c r="G205" s="43" t="str">
        <f t="shared" si="19"/>
        <v/>
      </c>
      <c r="H205" s="30" t="s">
        <v>57</v>
      </c>
      <c r="I205" s="41"/>
      <c r="J205" s="33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5" s="33" t="str">
        <f t="shared" ca="1" si="20"/>
        <v>—</v>
      </c>
      <c r="L205" s="22"/>
    </row>
    <row r="206" spans="1:12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IF(A206="","",IFERROR(VLOOKUP(A206,DB_Customers!$A:$N,14,0),""))</f>
        <v/>
      </c>
      <c r="D206" s="42" t="str">
        <f t="shared" ca="1" si="18"/>
        <v/>
      </c>
      <c r="E206" s="32"/>
      <c r="F206" s="31"/>
      <c r="G206" s="43" t="str">
        <f t="shared" si="19"/>
        <v/>
      </c>
      <c r="H206" s="30" t="s">
        <v>57</v>
      </c>
      <c r="I206" s="41"/>
      <c r="J206" s="33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6" s="33" t="str">
        <f t="shared" ca="1" si="20"/>
        <v>—</v>
      </c>
      <c r="L206" s="50"/>
    </row>
    <row r="207" spans="1:12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IF(A207="","",IFERROR(VLOOKUP(A207,DB_Customers!$A:$N,14,0),""))</f>
        <v/>
      </c>
      <c r="D207" s="42" t="str">
        <f t="shared" ca="1" si="18"/>
        <v/>
      </c>
      <c r="E207" s="32"/>
      <c r="F207" s="31"/>
      <c r="G207" s="43" t="str">
        <f t="shared" si="19"/>
        <v/>
      </c>
      <c r="H207" s="30" t="s">
        <v>57</v>
      </c>
      <c r="I207" s="41"/>
      <c r="J207" s="33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7" s="33" t="str">
        <f t="shared" ca="1" si="20"/>
        <v>—</v>
      </c>
      <c r="L207" s="22"/>
    </row>
    <row r="208" spans="1:12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IF(A208="","",IFERROR(VLOOKUP(A208,DB_Customers!$A:$N,14,0),""))</f>
        <v/>
      </c>
      <c r="D208" s="42" t="str">
        <f t="shared" ca="1" si="18"/>
        <v/>
      </c>
      <c r="E208" s="32"/>
      <c r="F208" s="31"/>
      <c r="G208" s="43" t="str">
        <f t="shared" si="19"/>
        <v/>
      </c>
      <c r="H208" s="30" t="s">
        <v>57</v>
      </c>
      <c r="I208" s="41"/>
      <c r="J208" s="33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08" s="33" t="str">
        <f t="shared" ca="1" si="20"/>
        <v>—</v>
      </c>
      <c r="L208" s="50"/>
    </row>
  </sheetData>
  <mergeCells count="3">
    <mergeCell ref="A2:L2"/>
    <mergeCell ref="A6:L6"/>
    <mergeCell ref="A1:L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5" t="s">
        <v>179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21.95" customHeight="1" x14ac:dyDescent="0.25">
      <c r="A2" s="97" t="s">
        <v>180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4" spans="1:14" x14ac:dyDescent="0.25">
      <c r="A4" s="51" t="s">
        <v>146</v>
      </c>
    </row>
    <row r="5" spans="1:14" x14ac:dyDescent="0.25">
      <c r="A5" s="52" t="s">
        <v>147</v>
      </c>
      <c r="B5" s="32"/>
    </row>
    <row r="6" spans="1:14" x14ac:dyDescent="0.25">
      <c r="A6" s="52" t="s">
        <v>148</v>
      </c>
      <c r="B6" s="53"/>
    </row>
    <row r="7" spans="1:14" x14ac:dyDescent="0.25">
      <c r="A7" s="52" t="s">
        <v>149</v>
      </c>
      <c r="B7" s="54">
        <v>2.5</v>
      </c>
    </row>
    <row r="8" spans="1:14" x14ac:dyDescent="0.25">
      <c r="A8" s="55" t="s">
        <v>150</v>
      </c>
      <c r="B8" s="43" t="str">
        <f>IF(B5="","",B5*B7/100*B6)</f>
        <v/>
      </c>
    </row>
    <row r="9" spans="1:14" x14ac:dyDescent="0.25">
      <c r="A9" s="55" t="s">
        <v>151</v>
      </c>
      <c r="B9" s="43" t="str">
        <f>IF(B5="","",B5+(B5*B7/100*B6))</f>
        <v/>
      </c>
    </row>
    <row r="10" spans="1:14" x14ac:dyDescent="0.25">
      <c r="A10" s="55" t="s">
        <v>152</v>
      </c>
      <c r="B10" s="43" t="str">
        <f>IFERROR(B9/B6,"")</f>
        <v/>
      </c>
    </row>
    <row r="12" spans="1:14" ht="21.95" customHeight="1" x14ac:dyDescent="0.25">
      <c r="A12" s="97" t="s">
        <v>153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</row>
    <row r="13" spans="1:14" ht="30" customHeight="1" x14ac:dyDescent="0.25">
      <c r="A13" s="19" t="s">
        <v>154</v>
      </c>
      <c r="B13" s="19" t="s">
        <v>131</v>
      </c>
      <c r="C13" s="19" t="s">
        <v>69</v>
      </c>
      <c r="D13" s="19" t="s">
        <v>155</v>
      </c>
      <c r="E13" s="19" t="s">
        <v>156</v>
      </c>
      <c r="F13" s="19" t="s">
        <v>109</v>
      </c>
      <c r="G13" s="19" t="s">
        <v>110</v>
      </c>
      <c r="H13" s="19" t="s">
        <v>157</v>
      </c>
      <c r="I13" s="19" t="s">
        <v>158</v>
      </c>
      <c r="J13" s="19" t="s">
        <v>159</v>
      </c>
      <c r="K13" s="19" t="s">
        <v>77</v>
      </c>
      <c r="L13" s="19" t="s">
        <v>45</v>
      </c>
      <c r="M13" s="19" t="s">
        <v>134</v>
      </c>
      <c r="N13" s="19" t="s">
        <v>95</v>
      </c>
    </row>
    <row r="14" spans="1:14" ht="20.100000000000001" customHeight="1" x14ac:dyDescent="0.25">
      <c r="A14" s="30" t="str">
        <f t="shared" ref="A14:A45" si="0">IF(B14="","",IF(C14="❌ Account Not Found","INVALID","LN"&amp;TEXT(D14,"YYYYMMDD")&amp;TEXT(ROW()-13,"0000")))</f>
        <v/>
      </c>
      <c r="B14" s="41"/>
      <c r="C14" s="35" t="str">
        <f>IF(B14="","",IFERROR(VLOOKUP(B14,DB_Customers!$A:$B,2,0),"❌ Account Not Found"))</f>
        <v/>
      </c>
      <c r="D14" s="42" t="str">
        <f t="shared" ref="D14:D45" ca="1" si="1">IF(B14="","",TODAY())</f>
        <v/>
      </c>
      <c r="E14" s="32"/>
      <c r="F14" s="31"/>
      <c r="G14" s="41"/>
      <c r="H14" s="56">
        <v>2.5</v>
      </c>
      <c r="I14" s="43" t="str">
        <f t="shared" ref="I14:I45" si="2">IF(E14="","",E14+(E14*H14/100*G14))</f>
        <v/>
      </c>
      <c r="J14" s="43" t="str">
        <f t="shared" ref="J14:J45" si="3">IFERROR(I14/G14,"")</f>
        <v/>
      </c>
      <c r="K14" s="33" t="str">
        <f>IF(B14="","Pending",IF(M14="","⚠️ Enter Code",IF(IFERROR(VLOOKUP(L14,DB_Agents!$B:$F,4,0),"")=TEXT(M14,"0"),"Pending Approval","🔒 WRONG CODE")))</f>
        <v>Pending</v>
      </c>
      <c r="L14" s="30" t="s">
        <v>57</v>
      </c>
      <c r="M14" s="41"/>
      <c r="N14" s="57"/>
    </row>
    <row r="15" spans="1:14" ht="20.100000000000001" customHeight="1" x14ac:dyDescent="0.25">
      <c r="A15" s="30" t="str">
        <f t="shared" si="0"/>
        <v/>
      </c>
      <c r="B15" s="41"/>
      <c r="C15" s="35" t="str">
        <f>IF(B15="","",IFERROR(VLOOKUP(B15,DB_Customers!$A:$B,2,0),"❌ Account Not Found"))</f>
        <v/>
      </c>
      <c r="D15" s="42" t="str">
        <f t="shared" ca="1" si="1"/>
        <v/>
      </c>
      <c r="E15" s="32"/>
      <c r="F15" s="31"/>
      <c r="G15" s="41"/>
      <c r="H15" s="56">
        <v>2.5</v>
      </c>
      <c r="I15" s="43" t="str">
        <f t="shared" si="2"/>
        <v/>
      </c>
      <c r="J15" s="43" t="str">
        <f t="shared" si="3"/>
        <v/>
      </c>
      <c r="K15" s="33" t="str">
        <f>IF(B15="","Pending",IF(M15="","⚠️ Enter Code",IF(IFERROR(VLOOKUP(L15,DB_Agents!$B:$F,4,0),"")=TEXT(M15,"0"),"Pending Approval","🔒 WRONG CODE")))</f>
        <v>Pending</v>
      </c>
      <c r="L15" s="30" t="s">
        <v>57</v>
      </c>
      <c r="M15" s="41"/>
      <c r="N15" s="22"/>
    </row>
    <row r="16" spans="1:14" ht="20.100000000000001" customHeight="1" x14ac:dyDescent="0.25">
      <c r="A16" s="30" t="str">
        <f t="shared" si="0"/>
        <v/>
      </c>
      <c r="B16" s="41"/>
      <c r="C16" s="35" t="str">
        <f>IF(B16="","",IFERROR(VLOOKUP(B16,DB_Customers!$A:$B,2,0),"❌ Account Not Found"))</f>
        <v/>
      </c>
      <c r="D16" s="42" t="str">
        <f t="shared" ca="1" si="1"/>
        <v/>
      </c>
      <c r="E16" s="32"/>
      <c r="F16" s="31"/>
      <c r="G16" s="41"/>
      <c r="H16" s="56">
        <v>2.5</v>
      </c>
      <c r="I16" s="43" t="str">
        <f t="shared" si="2"/>
        <v/>
      </c>
      <c r="J16" s="43" t="str">
        <f t="shared" si="3"/>
        <v/>
      </c>
      <c r="K16" s="33" t="str">
        <f>IF(B16="","Pending",IF(M16="","⚠️ Enter Code",IF(IFERROR(VLOOKUP(L16,DB_Agents!$B:$F,4,0),"")=TEXT(M16,"0"),"Pending Approval","🔒 WRONG CODE")))</f>
        <v>Pending</v>
      </c>
      <c r="L16" s="30" t="s">
        <v>57</v>
      </c>
      <c r="M16" s="41"/>
      <c r="N16" s="57"/>
    </row>
    <row r="17" spans="1:14" ht="20.100000000000001" customHeight="1" x14ac:dyDescent="0.25">
      <c r="A17" s="30" t="str">
        <f t="shared" si="0"/>
        <v/>
      </c>
      <c r="B17" s="41"/>
      <c r="C17" s="35" t="str">
        <f>IF(B17="","",IFERROR(VLOOKUP(B17,DB_Customers!$A:$B,2,0),"❌ Account Not Found"))</f>
        <v/>
      </c>
      <c r="D17" s="42" t="str">
        <f t="shared" ca="1" si="1"/>
        <v/>
      </c>
      <c r="E17" s="32"/>
      <c r="F17" s="31"/>
      <c r="G17" s="41"/>
      <c r="H17" s="56">
        <v>2.5</v>
      </c>
      <c r="I17" s="43" t="str">
        <f t="shared" si="2"/>
        <v/>
      </c>
      <c r="J17" s="43" t="str">
        <f t="shared" si="3"/>
        <v/>
      </c>
      <c r="K17" s="33" t="str">
        <f>IF(B17="","Pending",IF(M17="","⚠️ Enter Code",IF(IFERROR(VLOOKUP(L17,DB_Agents!$B:$F,4,0),"")=TEXT(M17,"0"),"Pending Approval","🔒 WRONG CODE")))</f>
        <v>Pending</v>
      </c>
      <c r="L17" s="30" t="s">
        <v>57</v>
      </c>
      <c r="M17" s="41"/>
      <c r="N17" s="22"/>
    </row>
    <row r="18" spans="1:14" ht="20.100000000000001" customHeight="1" x14ac:dyDescent="0.25">
      <c r="A18" s="30" t="str">
        <f t="shared" si="0"/>
        <v/>
      </c>
      <c r="B18" s="41"/>
      <c r="C18" s="35" t="str">
        <f>IF(B18="","",IFERROR(VLOOKUP(B18,DB_Customers!$A:$B,2,0),"❌ Account Not Found"))</f>
        <v/>
      </c>
      <c r="D18" s="42" t="str">
        <f t="shared" ca="1" si="1"/>
        <v/>
      </c>
      <c r="E18" s="32"/>
      <c r="F18" s="31"/>
      <c r="G18" s="41"/>
      <c r="H18" s="56">
        <v>2.5</v>
      </c>
      <c r="I18" s="43" t="str">
        <f t="shared" si="2"/>
        <v/>
      </c>
      <c r="J18" s="43" t="str">
        <f t="shared" si="3"/>
        <v/>
      </c>
      <c r="K18" s="33" t="str">
        <f>IF(B18="","Pending",IF(M18="","⚠️ Enter Code",IF(IFERROR(VLOOKUP(L18,DB_Agents!$B:$F,4,0),"")=TEXT(M18,"0"),"Pending Approval","🔒 WRONG CODE")))</f>
        <v>Pending</v>
      </c>
      <c r="L18" s="30" t="s">
        <v>57</v>
      </c>
      <c r="M18" s="41"/>
      <c r="N18" s="57"/>
    </row>
    <row r="19" spans="1:14" ht="20.100000000000001" customHeight="1" x14ac:dyDescent="0.25">
      <c r="A19" s="30" t="str">
        <f t="shared" si="0"/>
        <v/>
      </c>
      <c r="B19" s="41"/>
      <c r="C19" s="35" t="str">
        <f>IF(B19="","",IFERROR(VLOOKUP(B19,DB_Customers!$A:$B,2,0),"❌ Account Not Found"))</f>
        <v/>
      </c>
      <c r="D19" s="42" t="str">
        <f t="shared" ca="1" si="1"/>
        <v/>
      </c>
      <c r="E19" s="32"/>
      <c r="F19" s="31"/>
      <c r="G19" s="41"/>
      <c r="H19" s="56">
        <v>2.5</v>
      </c>
      <c r="I19" s="43" t="str">
        <f t="shared" si="2"/>
        <v/>
      </c>
      <c r="J19" s="43" t="str">
        <f t="shared" si="3"/>
        <v/>
      </c>
      <c r="K19" s="33" t="str">
        <f>IF(B19="","Pending",IF(M19="","⚠️ Enter Code",IF(IFERROR(VLOOKUP(L19,DB_Agents!$B:$F,4,0),"")=TEXT(M19,"0"),"Pending Approval","🔒 WRONG CODE")))</f>
        <v>Pending</v>
      </c>
      <c r="L19" s="30" t="s">
        <v>57</v>
      </c>
      <c r="M19" s="41"/>
      <c r="N19" s="22"/>
    </row>
    <row r="20" spans="1:14" ht="20.100000000000001" customHeight="1" x14ac:dyDescent="0.25">
      <c r="A20" s="30" t="str">
        <f t="shared" si="0"/>
        <v/>
      </c>
      <c r="B20" s="41"/>
      <c r="C20" s="35" t="str">
        <f>IF(B20="","",IFERROR(VLOOKUP(B20,DB_Customers!$A:$B,2,0),"❌ Account Not Found"))</f>
        <v/>
      </c>
      <c r="D20" s="42" t="str">
        <f t="shared" ca="1" si="1"/>
        <v/>
      </c>
      <c r="E20" s="32"/>
      <c r="F20" s="31"/>
      <c r="G20" s="41"/>
      <c r="H20" s="56">
        <v>2.5</v>
      </c>
      <c r="I20" s="43" t="str">
        <f t="shared" si="2"/>
        <v/>
      </c>
      <c r="J20" s="43" t="str">
        <f t="shared" si="3"/>
        <v/>
      </c>
      <c r="K20" s="33" t="str">
        <f>IF(B20="","Pending",IF(M20="","⚠️ Enter Code",IF(IFERROR(VLOOKUP(L20,DB_Agents!$B:$F,4,0),"")=TEXT(M20,"0"),"Pending Approval","🔒 WRONG CODE")))</f>
        <v>Pending</v>
      </c>
      <c r="L20" s="30" t="s">
        <v>57</v>
      </c>
      <c r="M20" s="41"/>
      <c r="N20" s="57"/>
    </row>
    <row r="21" spans="1:14" ht="20.100000000000001" customHeight="1" x14ac:dyDescent="0.25">
      <c r="A21" s="30" t="str">
        <f t="shared" si="0"/>
        <v/>
      </c>
      <c r="B21" s="41"/>
      <c r="C21" s="35" t="str">
        <f>IF(B21="","",IFERROR(VLOOKUP(B21,DB_Customers!$A:$B,2,0),"❌ Account Not Found"))</f>
        <v/>
      </c>
      <c r="D21" s="42" t="str">
        <f t="shared" ca="1" si="1"/>
        <v/>
      </c>
      <c r="E21" s="32"/>
      <c r="F21" s="31"/>
      <c r="G21" s="41"/>
      <c r="H21" s="56">
        <v>2.5</v>
      </c>
      <c r="I21" s="43" t="str">
        <f t="shared" si="2"/>
        <v/>
      </c>
      <c r="J21" s="43" t="str">
        <f t="shared" si="3"/>
        <v/>
      </c>
      <c r="K21" s="33" t="str">
        <f>IF(B21="","Pending",IF(M21="","⚠️ Enter Code",IF(IFERROR(VLOOKUP(L21,DB_Agents!$B:$F,4,0),"")=TEXT(M21,"0"),"Pending Approval","🔒 WRONG CODE")))</f>
        <v>Pending</v>
      </c>
      <c r="L21" s="30" t="s">
        <v>57</v>
      </c>
      <c r="M21" s="41"/>
      <c r="N21" s="22"/>
    </row>
    <row r="22" spans="1:14" ht="20.100000000000001" customHeight="1" x14ac:dyDescent="0.25">
      <c r="A22" s="30" t="str">
        <f t="shared" si="0"/>
        <v/>
      </c>
      <c r="B22" s="41"/>
      <c r="C22" s="35" t="str">
        <f>IF(B22="","",IFERROR(VLOOKUP(B22,DB_Customers!$A:$B,2,0),"❌ Account Not Found"))</f>
        <v/>
      </c>
      <c r="D22" s="42" t="str">
        <f t="shared" ca="1" si="1"/>
        <v/>
      </c>
      <c r="E22" s="32"/>
      <c r="F22" s="31"/>
      <c r="G22" s="41"/>
      <c r="H22" s="56">
        <v>2.5</v>
      </c>
      <c r="I22" s="43" t="str">
        <f t="shared" si="2"/>
        <v/>
      </c>
      <c r="J22" s="43" t="str">
        <f t="shared" si="3"/>
        <v/>
      </c>
      <c r="K22" s="33" t="str">
        <f>IF(B22="","Pending",IF(M22="","⚠️ Enter Code",IF(IFERROR(VLOOKUP(L22,DB_Agents!$B:$F,4,0),"")=TEXT(M22,"0"),"Pending Approval","🔒 WRONG CODE")))</f>
        <v>Pending</v>
      </c>
      <c r="L22" s="30" t="s">
        <v>57</v>
      </c>
      <c r="M22" s="41"/>
      <c r="N22" s="57"/>
    </row>
    <row r="23" spans="1:14" ht="20.100000000000001" customHeight="1" x14ac:dyDescent="0.25">
      <c r="A23" s="30" t="str">
        <f t="shared" si="0"/>
        <v/>
      </c>
      <c r="B23" s="41"/>
      <c r="C23" s="35" t="str">
        <f>IF(B23="","",IFERROR(VLOOKUP(B23,DB_Customers!$A:$B,2,0),"❌ Account Not Found"))</f>
        <v/>
      </c>
      <c r="D23" s="42" t="str">
        <f t="shared" ca="1" si="1"/>
        <v/>
      </c>
      <c r="E23" s="32"/>
      <c r="F23" s="31"/>
      <c r="G23" s="41"/>
      <c r="H23" s="56">
        <v>2.5</v>
      </c>
      <c r="I23" s="43" t="str">
        <f t="shared" si="2"/>
        <v/>
      </c>
      <c r="J23" s="43" t="str">
        <f t="shared" si="3"/>
        <v/>
      </c>
      <c r="K23" s="33" t="str">
        <f>IF(B23="","Pending",IF(M23="","⚠️ Enter Code",IF(IFERROR(VLOOKUP(L23,DB_Agents!$B:$F,4,0),"")=TEXT(M23,"0"),"Pending Approval","🔒 WRONG CODE")))</f>
        <v>Pending</v>
      </c>
      <c r="L23" s="30" t="s">
        <v>57</v>
      </c>
      <c r="M23" s="41"/>
      <c r="N23" s="22"/>
    </row>
    <row r="24" spans="1:14" ht="20.100000000000001" customHeight="1" x14ac:dyDescent="0.25">
      <c r="A24" s="30" t="str">
        <f t="shared" si="0"/>
        <v/>
      </c>
      <c r="B24" s="41"/>
      <c r="C24" s="35" t="str">
        <f>IF(B24="","",IFERROR(VLOOKUP(B24,DB_Customers!$A:$B,2,0),"❌ Account Not Found"))</f>
        <v/>
      </c>
      <c r="D24" s="42" t="str">
        <f t="shared" ca="1" si="1"/>
        <v/>
      </c>
      <c r="E24" s="32"/>
      <c r="F24" s="31"/>
      <c r="G24" s="41"/>
      <c r="H24" s="56">
        <v>2.5</v>
      </c>
      <c r="I24" s="43" t="str">
        <f t="shared" si="2"/>
        <v/>
      </c>
      <c r="J24" s="43" t="str">
        <f t="shared" si="3"/>
        <v/>
      </c>
      <c r="K24" s="33" t="str">
        <f>IF(B24="","Pending",IF(M24="","⚠️ Enter Code",IF(IFERROR(VLOOKUP(L24,DB_Agents!$B:$F,4,0),"")=TEXT(M24,"0"),"Pending Approval","🔒 WRONG CODE")))</f>
        <v>Pending</v>
      </c>
      <c r="L24" s="30" t="s">
        <v>57</v>
      </c>
      <c r="M24" s="41"/>
      <c r="N24" s="57"/>
    </row>
    <row r="25" spans="1:14" ht="20.100000000000001" customHeight="1" x14ac:dyDescent="0.25">
      <c r="A25" s="30" t="str">
        <f t="shared" si="0"/>
        <v/>
      </c>
      <c r="B25" s="41"/>
      <c r="C25" s="35" t="str">
        <f>IF(B25="","",IFERROR(VLOOKUP(B25,DB_Customers!$A:$B,2,0),"❌ Account Not Found"))</f>
        <v/>
      </c>
      <c r="D25" s="42" t="str">
        <f t="shared" ca="1" si="1"/>
        <v/>
      </c>
      <c r="E25" s="32"/>
      <c r="F25" s="31"/>
      <c r="G25" s="41"/>
      <c r="H25" s="56">
        <v>2.5</v>
      </c>
      <c r="I25" s="43" t="str">
        <f t="shared" si="2"/>
        <v/>
      </c>
      <c r="J25" s="43" t="str">
        <f t="shared" si="3"/>
        <v/>
      </c>
      <c r="K25" s="33" t="str">
        <f>IF(B25="","Pending",IF(M25="","⚠️ Enter Code",IF(IFERROR(VLOOKUP(L25,DB_Agents!$B:$F,4,0),"")=TEXT(M25,"0"),"Pending Approval","🔒 WRONG CODE")))</f>
        <v>Pending</v>
      </c>
      <c r="L25" s="30" t="s">
        <v>57</v>
      </c>
      <c r="M25" s="41"/>
      <c r="N25" s="22"/>
    </row>
    <row r="26" spans="1:14" ht="20.100000000000001" customHeight="1" x14ac:dyDescent="0.25">
      <c r="A26" s="30" t="str">
        <f t="shared" si="0"/>
        <v/>
      </c>
      <c r="B26" s="41"/>
      <c r="C26" s="35" t="str">
        <f>IF(B26="","",IFERROR(VLOOKUP(B26,DB_Customers!$A:$B,2,0),"❌ Account Not Found"))</f>
        <v/>
      </c>
      <c r="D26" s="42" t="str">
        <f t="shared" ca="1" si="1"/>
        <v/>
      </c>
      <c r="E26" s="32"/>
      <c r="F26" s="31"/>
      <c r="G26" s="41"/>
      <c r="H26" s="56">
        <v>2.5</v>
      </c>
      <c r="I26" s="43" t="str">
        <f t="shared" si="2"/>
        <v/>
      </c>
      <c r="J26" s="43" t="str">
        <f t="shared" si="3"/>
        <v/>
      </c>
      <c r="K26" s="33" t="str">
        <f>IF(B26="","Pending",IF(M26="","⚠️ Enter Code",IF(IFERROR(VLOOKUP(L26,DB_Agents!$B:$F,4,0),"")=TEXT(M26,"0"),"Pending Approval","🔒 WRONG CODE")))</f>
        <v>Pending</v>
      </c>
      <c r="L26" s="30" t="s">
        <v>57</v>
      </c>
      <c r="M26" s="41"/>
      <c r="N26" s="57"/>
    </row>
    <row r="27" spans="1:14" ht="20.100000000000001" customHeight="1" x14ac:dyDescent="0.25">
      <c r="A27" s="30" t="str">
        <f t="shared" si="0"/>
        <v/>
      </c>
      <c r="B27" s="41"/>
      <c r="C27" s="35" t="str">
        <f>IF(B27="","",IFERROR(VLOOKUP(B27,DB_Customers!$A:$B,2,0),"❌ Account Not Found"))</f>
        <v/>
      </c>
      <c r="D27" s="42" t="str">
        <f t="shared" ca="1" si="1"/>
        <v/>
      </c>
      <c r="E27" s="32"/>
      <c r="F27" s="31"/>
      <c r="G27" s="41"/>
      <c r="H27" s="56">
        <v>2.5</v>
      </c>
      <c r="I27" s="43" t="str">
        <f t="shared" si="2"/>
        <v/>
      </c>
      <c r="J27" s="43" t="str">
        <f t="shared" si="3"/>
        <v/>
      </c>
      <c r="K27" s="33" t="str">
        <f>IF(B27="","Pending",IF(M27="","⚠️ Enter Code",IF(IFERROR(VLOOKUP(L27,DB_Agents!$B:$F,4,0),"")=TEXT(M27,"0"),"Pending Approval","🔒 WRONG CODE")))</f>
        <v>Pending</v>
      </c>
      <c r="L27" s="30" t="s">
        <v>57</v>
      </c>
      <c r="M27" s="41"/>
      <c r="N27" s="22"/>
    </row>
    <row r="28" spans="1:14" ht="20.100000000000001" customHeight="1" x14ac:dyDescent="0.25">
      <c r="A28" s="30" t="str">
        <f t="shared" si="0"/>
        <v/>
      </c>
      <c r="B28" s="41"/>
      <c r="C28" s="35" t="str">
        <f>IF(B28="","",IFERROR(VLOOKUP(B28,DB_Customers!$A:$B,2,0),"❌ Account Not Found"))</f>
        <v/>
      </c>
      <c r="D28" s="42" t="str">
        <f t="shared" ca="1" si="1"/>
        <v/>
      </c>
      <c r="E28" s="32"/>
      <c r="F28" s="31"/>
      <c r="G28" s="41"/>
      <c r="H28" s="56">
        <v>2.5</v>
      </c>
      <c r="I28" s="43" t="str">
        <f t="shared" si="2"/>
        <v/>
      </c>
      <c r="J28" s="43" t="str">
        <f t="shared" si="3"/>
        <v/>
      </c>
      <c r="K28" s="33" t="str">
        <f>IF(B28="","Pending",IF(M28="","⚠️ Enter Code",IF(IFERROR(VLOOKUP(L28,DB_Agents!$B:$F,4,0),"")=TEXT(M28,"0"),"Pending Approval","🔒 WRONG CODE")))</f>
        <v>Pending</v>
      </c>
      <c r="L28" s="30" t="s">
        <v>57</v>
      </c>
      <c r="M28" s="41"/>
      <c r="N28" s="57"/>
    </row>
    <row r="29" spans="1:14" ht="20.100000000000001" customHeight="1" x14ac:dyDescent="0.25">
      <c r="A29" s="30" t="str">
        <f t="shared" si="0"/>
        <v/>
      </c>
      <c r="B29" s="41"/>
      <c r="C29" s="35" t="str">
        <f>IF(B29="","",IFERROR(VLOOKUP(B29,DB_Customers!$A:$B,2,0),"❌ Account Not Found"))</f>
        <v/>
      </c>
      <c r="D29" s="42" t="str">
        <f t="shared" ca="1" si="1"/>
        <v/>
      </c>
      <c r="E29" s="32"/>
      <c r="F29" s="31"/>
      <c r="G29" s="41"/>
      <c r="H29" s="56">
        <v>2.5</v>
      </c>
      <c r="I29" s="43" t="str">
        <f t="shared" si="2"/>
        <v/>
      </c>
      <c r="J29" s="43" t="str">
        <f t="shared" si="3"/>
        <v/>
      </c>
      <c r="K29" s="33" t="str">
        <f>IF(B29="","Pending",IF(M29="","⚠️ Enter Code",IF(IFERROR(VLOOKUP(L29,DB_Agents!$B:$F,4,0),"")=TEXT(M29,"0"),"Pending Approval","🔒 WRONG CODE")))</f>
        <v>Pending</v>
      </c>
      <c r="L29" s="30" t="s">
        <v>57</v>
      </c>
      <c r="M29" s="41"/>
      <c r="N29" s="22"/>
    </row>
    <row r="30" spans="1:14" ht="20.100000000000001" customHeight="1" x14ac:dyDescent="0.25">
      <c r="A30" s="30" t="str">
        <f t="shared" si="0"/>
        <v/>
      </c>
      <c r="B30" s="41"/>
      <c r="C30" s="35" t="str">
        <f>IF(B30="","",IFERROR(VLOOKUP(B30,DB_Customers!$A:$B,2,0),"❌ Account Not Found"))</f>
        <v/>
      </c>
      <c r="D30" s="42" t="str">
        <f t="shared" ca="1" si="1"/>
        <v/>
      </c>
      <c r="E30" s="32"/>
      <c r="F30" s="31"/>
      <c r="G30" s="41"/>
      <c r="H30" s="56">
        <v>2.5</v>
      </c>
      <c r="I30" s="43" t="str">
        <f t="shared" si="2"/>
        <v/>
      </c>
      <c r="J30" s="43" t="str">
        <f t="shared" si="3"/>
        <v/>
      </c>
      <c r="K30" s="33" t="str">
        <f>IF(B30="","Pending",IF(M30="","⚠️ Enter Code",IF(IFERROR(VLOOKUP(L30,DB_Agents!$B:$F,4,0),"")=TEXT(M30,"0"),"Pending Approval","🔒 WRONG CODE")))</f>
        <v>Pending</v>
      </c>
      <c r="L30" s="30" t="s">
        <v>57</v>
      </c>
      <c r="M30" s="41"/>
      <c r="N30" s="57"/>
    </row>
    <row r="31" spans="1:14" ht="20.100000000000001" customHeight="1" x14ac:dyDescent="0.25">
      <c r="A31" s="30" t="str">
        <f t="shared" si="0"/>
        <v/>
      </c>
      <c r="B31" s="41"/>
      <c r="C31" s="35" t="str">
        <f>IF(B31="","",IFERROR(VLOOKUP(B31,DB_Customers!$A:$B,2,0),"❌ Account Not Found"))</f>
        <v/>
      </c>
      <c r="D31" s="42" t="str">
        <f t="shared" ca="1" si="1"/>
        <v/>
      </c>
      <c r="E31" s="32"/>
      <c r="F31" s="31"/>
      <c r="G31" s="41"/>
      <c r="H31" s="56">
        <v>2.5</v>
      </c>
      <c r="I31" s="43" t="str">
        <f t="shared" si="2"/>
        <v/>
      </c>
      <c r="J31" s="43" t="str">
        <f t="shared" si="3"/>
        <v/>
      </c>
      <c r="K31" s="33" t="str">
        <f>IF(B31="","Pending",IF(M31="","⚠️ Enter Code",IF(IFERROR(VLOOKUP(L31,DB_Agents!$B:$F,4,0),"")=TEXT(M31,"0"),"Pending Approval","🔒 WRONG CODE")))</f>
        <v>Pending</v>
      </c>
      <c r="L31" s="30" t="s">
        <v>57</v>
      </c>
      <c r="M31" s="41"/>
      <c r="N31" s="22"/>
    </row>
    <row r="32" spans="1:14" ht="20.100000000000001" customHeight="1" x14ac:dyDescent="0.25">
      <c r="A32" s="30" t="str">
        <f t="shared" si="0"/>
        <v/>
      </c>
      <c r="B32" s="41"/>
      <c r="C32" s="35" t="str">
        <f>IF(B32="","",IFERROR(VLOOKUP(B32,DB_Customers!$A:$B,2,0),"❌ Account Not Found"))</f>
        <v/>
      </c>
      <c r="D32" s="42" t="str">
        <f t="shared" ca="1" si="1"/>
        <v/>
      </c>
      <c r="E32" s="32"/>
      <c r="F32" s="31"/>
      <c r="G32" s="41"/>
      <c r="H32" s="56">
        <v>2.5</v>
      </c>
      <c r="I32" s="43" t="str">
        <f t="shared" si="2"/>
        <v/>
      </c>
      <c r="J32" s="43" t="str">
        <f t="shared" si="3"/>
        <v/>
      </c>
      <c r="K32" s="33" t="str">
        <f>IF(B32="","Pending",IF(M32="","⚠️ Enter Code",IF(IFERROR(VLOOKUP(L32,DB_Agents!$B:$F,4,0),"")=TEXT(M32,"0"),"Pending Approval","🔒 WRONG CODE")))</f>
        <v>Pending</v>
      </c>
      <c r="L32" s="30" t="s">
        <v>57</v>
      </c>
      <c r="M32" s="41"/>
      <c r="N32" s="57"/>
    </row>
    <row r="33" spans="1:14" ht="20.100000000000001" customHeight="1" x14ac:dyDescent="0.25">
      <c r="A33" s="30" t="str">
        <f t="shared" si="0"/>
        <v/>
      </c>
      <c r="B33" s="41"/>
      <c r="C33" s="35" t="str">
        <f>IF(B33="","",IFERROR(VLOOKUP(B33,DB_Customers!$A:$B,2,0),"❌ Account Not Found"))</f>
        <v/>
      </c>
      <c r="D33" s="42" t="str">
        <f t="shared" ca="1" si="1"/>
        <v/>
      </c>
      <c r="E33" s="32"/>
      <c r="F33" s="31"/>
      <c r="G33" s="41"/>
      <c r="H33" s="56">
        <v>2.5</v>
      </c>
      <c r="I33" s="43" t="str">
        <f t="shared" si="2"/>
        <v/>
      </c>
      <c r="J33" s="43" t="str">
        <f t="shared" si="3"/>
        <v/>
      </c>
      <c r="K33" s="33" t="str">
        <f>IF(B33="","Pending",IF(M33="","⚠️ Enter Code",IF(IFERROR(VLOOKUP(L33,DB_Agents!$B:$F,4,0),"")=TEXT(M33,"0"),"Pending Approval","🔒 WRONG CODE")))</f>
        <v>Pending</v>
      </c>
      <c r="L33" s="30" t="s">
        <v>57</v>
      </c>
      <c r="M33" s="41"/>
      <c r="N33" s="22"/>
    </row>
    <row r="34" spans="1:14" ht="20.100000000000001" customHeight="1" x14ac:dyDescent="0.25">
      <c r="A34" s="30" t="str">
        <f t="shared" si="0"/>
        <v/>
      </c>
      <c r="B34" s="41"/>
      <c r="C34" s="35" t="str">
        <f>IF(B34="","",IFERROR(VLOOKUP(B34,DB_Customers!$A:$B,2,0),"❌ Account Not Found"))</f>
        <v/>
      </c>
      <c r="D34" s="42" t="str">
        <f t="shared" ca="1" si="1"/>
        <v/>
      </c>
      <c r="E34" s="32"/>
      <c r="F34" s="31"/>
      <c r="G34" s="41"/>
      <c r="H34" s="56">
        <v>2.5</v>
      </c>
      <c r="I34" s="43" t="str">
        <f t="shared" si="2"/>
        <v/>
      </c>
      <c r="J34" s="43" t="str">
        <f t="shared" si="3"/>
        <v/>
      </c>
      <c r="K34" s="33" t="str">
        <f>IF(B34="","Pending",IF(M34="","⚠️ Enter Code",IF(IFERROR(VLOOKUP(L34,DB_Agents!$B:$F,4,0),"")=TEXT(M34,"0"),"Pending Approval","🔒 WRONG CODE")))</f>
        <v>Pending</v>
      </c>
      <c r="L34" s="30" t="s">
        <v>57</v>
      </c>
      <c r="M34" s="41"/>
      <c r="N34" s="57"/>
    </row>
    <row r="35" spans="1:14" ht="20.100000000000001" customHeight="1" x14ac:dyDescent="0.25">
      <c r="A35" s="30" t="str">
        <f t="shared" si="0"/>
        <v/>
      </c>
      <c r="B35" s="41"/>
      <c r="C35" s="35" t="str">
        <f>IF(B35="","",IFERROR(VLOOKUP(B35,DB_Customers!$A:$B,2,0),"❌ Account Not Found"))</f>
        <v/>
      </c>
      <c r="D35" s="42" t="str">
        <f t="shared" ca="1" si="1"/>
        <v/>
      </c>
      <c r="E35" s="32"/>
      <c r="F35" s="31"/>
      <c r="G35" s="41"/>
      <c r="H35" s="56">
        <v>2.5</v>
      </c>
      <c r="I35" s="43" t="str">
        <f t="shared" si="2"/>
        <v/>
      </c>
      <c r="J35" s="43" t="str">
        <f t="shared" si="3"/>
        <v/>
      </c>
      <c r="K35" s="33" t="str">
        <f>IF(B35="","Pending",IF(M35="","⚠️ Enter Code",IF(IFERROR(VLOOKUP(L35,DB_Agents!$B:$F,4,0),"")=TEXT(M35,"0"),"Pending Approval","🔒 WRONG CODE")))</f>
        <v>Pending</v>
      </c>
      <c r="L35" s="30" t="s">
        <v>57</v>
      </c>
      <c r="M35" s="41"/>
      <c r="N35" s="22"/>
    </row>
    <row r="36" spans="1:14" ht="20.100000000000001" customHeight="1" x14ac:dyDescent="0.25">
      <c r="A36" s="30" t="str">
        <f t="shared" si="0"/>
        <v/>
      </c>
      <c r="B36" s="41"/>
      <c r="C36" s="35" t="str">
        <f>IF(B36="","",IFERROR(VLOOKUP(B36,DB_Customers!$A:$B,2,0),"❌ Account Not Found"))</f>
        <v/>
      </c>
      <c r="D36" s="42" t="str">
        <f t="shared" ca="1" si="1"/>
        <v/>
      </c>
      <c r="E36" s="32"/>
      <c r="F36" s="31"/>
      <c r="G36" s="41"/>
      <c r="H36" s="56">
        <v>2.5</v>
      </c>
      <c r="I36" s="43" t="str">
        <f t="shared" si="2"/>
        <v/>
      </c>
      <c r="J36" s="43" t="str">
        <f t="shared" si="3"/>
        <v/>
      </c>
      <c r="K36" s="33" t="str">
        <f>IF(B36="","Pending",IF(M36="","⚠️ Enter Code",IF(IFERROR(VLOOKUP(L36,DB_Agents!$B:$F,4,0),"")=TEXT(M36,"0"),"Pending Approval","🔒 WRONG CODE")))</f>
        <v>Pending</v>
      </c>
      <c r="L36" s="30" t="s">
        <v>57</v>
      </c>
      <c r="M36" s="41"/>
      <c r="N36" s="57"/>
    </row>
    <row r="37" spans="1:14" ht="20.100000000000001" customHeight="1" x14ac:dyDescent="0.25">
      <c r="A37" s="30" t="str">
        <f t="shared" si="0"/>
        <v/>
      </c>
      <c r="B37" s="41"/>
      <c r="C37" s="35" t="str">
        <f>IF(B37="","",IFERROR(VLOOKUP(B37,DB_Customers!$A:$B,2,0),"❌ Account Not Found"))</f>
        <v/>
      </c>
      <c r="D37" s="42" t="str">
        <f t="shared" ca="1" si="1"/>
        <v/>
      </c>
      <c r="E37" s="32"/>
      <c r="F37" s="31"/>
      <c r="G37" s="41"/>
      <c r="H37" s="56">
        <v>2.5</v>
      </c>
      <c r="I37" s="43" t="str">
        <f t="shared" si="2"/>
        <v/>
      </c>
      <c r="J37" s="43" t="str">
        <f t="shared" si="3"/>
        <v/>
      </c>
      <c r="K37" s="33" t="str">
        <f>IF(B37="","Pending",IF(M37="","⚠️ Enter Code",IF(IFERROR(VLOOKUP(L37,DB_Agents!$B:$F,4,0),"")=TEXT(M37,"0"),"Pending Approval","🔒 WRONG CODE")))</f>
        <v>Pending</v>
      </c>
      <c r="L37" s="30" t="s">
        <v>57</v>
      </c>
      <c r="M37" s="41"/>
      <c r="N37" s="22"/>
    </row>
    <row r="38" spans="1:14" ht="20.100000000000001" customHeight="1" x14ac:dyDescent="0.25">
      <c r="A38" s="30" t="str">
        <f t="shared" si="0"/>
        <v/>
      </c>
      <c r="B38" s="41"/>
      <c r="C38" s="35" t="str">
        <f>IF(B38="","",IFERROR(VLOOKUP(B38,DB_Customers!$A:$B,2,0),"❌ Account Not Found"))</f>
        <v/>
      </c>
      <c r="D38" s="42" t="str">
        <f t="shared" ca="1" si="1"/>
        <v/>
      </c>
      <c r="E38" s="32"/>
      <c r="F38" s="31"/>
      <c r="G38" s="41"/>
      <c r="H38" s="56">
        <v>2.5</v>
      </c>
      <c r="I38" s="43" t="str">
        <f t="shared" si="2"/>
        <v/>
      </c>
      <c r="J38" s="43" t="str">
        <f t="shared" si="3"/>
        <v/>
      </c>
      <c r="K38" s="33" t="str">
        <f>IF(B38="","Pending",IF(M38="","⚠️ Enter Code",IF(IFERROR(VLOOKUP(L38,DB_Agents!$B:$F,4,0),"")=TEXT(M38,"0"),"Pending Approval","🔒 WRONG CODE")))</f>
        <v>Pending</v>
      </c>
      <c r="L38" s="30" t="s">
        <v>57</v>
      </c>
      <c r="M38" s="41"/>
      <c r="N38" s="57"/>
    </row>
    <row r="39" spans="1:14" ht="20.100000000000001" customHeight="1" x14ac:dyDescent="0.25">
      <c r="A39" s="30" t="str">
        <f t="shared" si="0"/>
        <v/>
      </c>
      <c r="B39" s="41"/>
      <c r="C39" s="35" t="str">
        <f>IF(B39="","",IFERROR(VLOOKUP(B39,DB_Customers!$A:$B,2,0),"❌ Account Not Found"))</f>
        <v/>
      </c>
      <c r="D39" s="42" t="str">
        <f t="shared" ca="1" si="1"/>
        <v/>
      </c>
      <c r="E39" s="32"/>
      <c r="F39" s="31"/>
      <c r="G39" s="41"/>
      <c r="H39" s="56">
        <v>2.5</v>
      </c>
      <c r="I39" s="43" t="str">
        <f t="shared" si="2"/>
        <v/>
      </c>
      <c r="J39" s="43" t="str">
        <f t="shared" si="3"/>
        <v/>
      </c>
      <c r="K39" s="33" t="str">
        <f>IF(B39="","Pending",IF(M39="","⚠️ Enter Code",IF(IFERROR(VLOOKUP(L39,DB_Agents!$B:$F,4,0),"")=TEXT(M39,"0"),"Pending Approval","🔒 WRONG CODE")))</f>
        <v>Pending</v>
      </c>
      <c r="L39" s="30" t="s">
        <v>57</v>
      </c>
      <c r="M39" s="41"/>
      <c r="N39" s="22"/>
    </row>
    <row r="40" spans="1:14" ht="20.100000000000001" customHeight="1" x14ac:dyDescent="0.25">
      <c r="A40" s="30" t="str">
        <f t="shared" si="0"/>
        <v/>
      </c>
      <c r="B40" s="41"/>
      <c r="C40" s="35" t="str">
        <f>IF(B40="","",IFERROR(VLOOKUP(B40,DB_Customers!$A:$B,2,0),"❌ Account Not Found"))</f>
        <v/>
      </c>
      <c r="D40" s="42" t="str">
        <f t="shared" ca="1" si="1"/>
        <v/>
      </c>
      <c r="E40" s="32"/>
      <c r="F40" s="31"/>
      <c r="G40" s="41"/>
      <c r="H40" s="56">
        <v>2.5</v>
      </c>
      <c r="I40" s="43" t="str">
        <f t="shared" si="2"/>
        <v/>
      </c>
      <c r="J40" s="43" t="str">
        <f t="shared" si="3"/>
        <v/>
      </c>
      <c r="K40" s="33" t="str">
        <f>IF(B40="","Pending",IF(M40="","⚠️ Enter Code",IF(IFERROR(VLOOKUP(L40,DB_Agents!$B:$F,4,0),"")=TEXT(M40,"0"),"Pending Approval","🔒 WRONG CODE")))</f>
        <v>Pending</v>
      </c>
      <c r="L40" s="30" t="s">
        <v>57</v>
      </c>
      <c r="M40" s="41"/>
      <c r="N40" s="57"/>
    </row>
    <row r="41" spans="1:14" ht="20.100000000000001" customHeight="1" x14ac:dyDescent="0.25">
      <c r="A41" s="30" t="str">
        <f t="shared" si="0"/>
        <v/>
      </c>
      <c r="B41" s="41"/>
      <c r="C41" s="35" t="str">
        <f>IF(B41="","",IFERROR(VLOOKUP(B41,DB_Customers!$A:$B,2,0),"❌ Account Not Found"))</f>
        <v/>
      </c>
      <c r="D41" s="42" t="str">
        <f t="shared" ca="1" si="1"/>
        <v/>
      </c>
      <c r="E41" s="32"/>
      <c r="F41" s="31"/>
      <c r="G41" s="41"/>
      <c r="H41" s="56">
        <v>2.5</v>
      </c>
      <c r="I41" s="43" t="str">
        <f t="shared" si="2"/>
        <v/>
      </c>
      <c r="J41" s="43" t="str">
        <f t="shared" si="3"/>
        <v/>
      </c>
      <c r="K41" s="33" t="str">
        <f>IF(B41="","Pending",IF(M41="","⚠️ Enter Code",IF(IFERROR(VLOOKUP(L41,DB_Agents!$B:$F,4,0),"")=TEXT(M41,"0"),"Pending Approval","🔒 WRONG CODE")))</f>
        <v>Pending</v>
      </c>
      <c r="L41" s="30" t="s">
        <v>57</v>
      </c>
      <c r="M41" s="41"/>
      <c r="N41" s="22"/>
    </row>
    <row r="42" spans="1:14" ht="20.100000000000001" customHeight="1" x14ac:dyDescent="0.25">
      <c r="A42" s="30" t="str">
        <f t="shared" si="0"/>
        <v/>
      </c>
      <c r="B42" s="41"/>
      <c r="C42" s="35" t="str">
        <f>IF(B42="","",IFERROR(VLOOKUP(B42,DB_Customers!$A:$B,2,0),"❌ Account Not Found"))</f>
        <v/>
      </c>
      <c r="D42" s="42" t="str">
        <f t="shared" ca="1" si="1"/>
        <v/>
      </c>
      <c r="E42" s="32"/>
      <c r="F42" s="31"/>
      <c r="G42" s="41"/>
      <c r="H42" s="56">
        <v>2.5</v>
      </c>
      <c r="I42" s="43" t="str">
        <f t="shared" si="2"/>
        <v/>
      </c>
      <c r="J42" s="43" t="str">
        <f t="shared" si="3"/>
        <v/>
      </c>
      <c r="K42" s="33" t="str">
        <f>IF(B42="","Pending",IF(M42="","⚠️ Enter Code",IF(IFERROR(VLOOKUP(L42,DB_Agents!$B:$F,4,0),"")=TEXT(M42,"0"),"Pending Approval","🔒 WRONG CODE")))</f>
        <v>Pending</v>
      </c>
      <c r="L42" s="30" t="s">
        <v>57</v>
      </c>
      <c r="M42" s="41"/>
      <c r="N42" s="57"/>
    </row>
    <row r="43" spans="1:14" ht="20.100000000000001" customHeight="1" x14ac:dyDescent="0.25">
      <c r="A43" s="30" t="str">
        <f t="shared" si="0"/>
        <v/>
      </c>
      <c r="B43" s="41"/>
      <c r="C43" s="35" t="str">
        <f>IF(B43="","",IFERROR(VLOOKUP(B43,DB_Customers!$A:$B,2,0),"❌ Account Not Found"))</f>
        <v/>
      </c>
      <c r="D43" s="42" t="str">
        <f t="shared" ca="1" si="1"/>
        <v/>
      </c>
      <c r="E43" s="32"/>
      <c r="F43" s="31"/>
      <c r="G43" s="41"/>
      <c r="H43" s="56">
        <v>2.5</v>
      </c>
      <c r="I43" s="43" t="str">
        <f t="shared" si="2"/>
        <v/>
      </c>
      <c r="J43" s="43" t="str">
        <f t="shared" si="3"/>
        <v/>
      </c>
      <c r="K43" s="33" t="str">
        <f>IF(B43="","Pending",IF(M43="","⚠️ Enter Code",IF(IFERROR(VLOOKUP(L43,DB_Agents!$B:$F,4,0),"")=TEXT(M43,"0"),"Pending Approval","🔒 WRONG CODE")))</f>
        <v>Pending</v>
      </c>
      <c r="L43" s="30" t="s">
        <v>57</v>
      </c>
      <c r="M43" s="41"/>
      <c r="N43" s="22"/>
    </row>
    <row r="44" spans="1:14" ht="20.100000000000001" customHeight="1" x14ac:dyDescent="0.25">
      <c r="A44" s="30" t="str">
        <f t="shared" si="0"/>
        <v/>
      </c>
      <c r="B44" s="41"/>
      <c r="C44" s="35" t="str">
        <f>IF(B44="","",IFERROR(VLOOKUP(B44,DB_Customers!$A:$B,2,0),"❌ Account Not Found"))</f>
        <v/>
      </c>
      <c r="D44" s="42" t="str">
        <f t="shared" ca="1" si="1"/>
        <v/>
      </c>
      <c r="E44" s="32"/>
      <c r="F44" s="31"/>
      <c r="G44" s="41"/>
      <c r="H44" s="56">
        <v>2.5</v>
      </c>
      <c r="I44" s="43" t="str">
        <f t="shared" si="2"/>
        <v/>
      </c>
      <c r="J44" s="43" t="str">
        <f t="shared" si="3"/>
        <v/>
      </c>
      <c r="K44" s="33" t="str">
        <f>IF(B44="","Pending",IF(M44="","⚠️ Enter Code",IF(IFERROR(VLOOKUP(L44,DB_Agents!$B:$F,4,0),"")=TEXT(M44,"0"),"Pending Approval","🔒 WRONG CODE")))</f>
        <v>Pending</v>
      </c>
      <c r="L44" s="30" t="s">
        <v>57</v>
      </c>
      <c r="M44" s="41"/>
      <c r="N44" s="57"/>
    </row>
    <row r="45" spans="1:14" ht="20.100000000000001" customHeight="1" x14ac:dyDescent="0.25">
      <c r="A45" s="30" t="str">
        <f t="shared" si="0"/>
        <v/>
      </c>
      <c r="B45" s="41"/>
      <c r="C45" s="35" t="str">
        <f>IF(B45="","",IFERROR(VLOOKUP(B45,DB_Customers!$A:$B,2,0),"❌ Account Not Found"))</f>
        <v/>
      </c>
      <c r="D45" s="42" t="str">
        <f t="shared" ca="1" si="1"/>
        <v/>
      </c>
      <c r="E45" s="32"/>
      <c r="F45" s="31"/>
      <c r="G45" s="41"/>
      <c r="H45" s="56">
        <v>2.5</v>
      </c>
      <c r="I45" s="43" t="str">
        <f t="shared" si="2"/>
        <v/>
      </c>
      <c r="J45" s="43" t="str">
        <f t="shared" si="3"/>
        <v/>
      </c>
      <c r="K45" s="33" t="str">
        <f>IF(B45="","Pending",IF(M45="","⚠️ Enter Code",IF(IFERROR(VLOOKUP(L45,DB_Agents!$B:$F,4,0),"")=TEXT(M45,"0"),"Pending Approval","🔒 WRONG CODE")))</f>
        <v>Pending</v>
      </c>
      <c r="L45" s="30" t="s">
        <v>57</v>
      </c>
      <c r="M45" s="41"/>
      <c r="N45" s="22"/>
    </row>
    <row r="46" spans="1:14" ht="20.100000000000001" customHeight="1" x14ac:dyDescent="0.25">
      <c r="A46" s="30" t="str">
        <f t="shared" ref="A46:A77" si="4">IF(B46="","",IF(C46="❌ Account Not Found","INVALID","LN"&amp;TEXT(D46,"YYYYMMDD")&amp;TEXT(ROW()-13,"0000")))</f>
        <v/>
      </c>
      <c r="B46" s="41"/>
      <c r="C46" s="35" t="str">
        <f>IF(B46="","",IFERROR(VLOOKUP(B46,DB_Customers!$A:$B,2,0),"❌ Account Not Found"))</f>
        <v/>
      </c>
      <c r="D46" s="42" t="str">
        <f t="shared" ref="D46:D77" ca="1" si="5">IF(B46="","",TODAY())</f>
        <v/>
      </c>
      <c r="E46" s="32"/>
      <c r="F46" s="31"/>
      <c r="G46" s="41"/>
      <c r="H46" s="56">
        <v>2.5</v>
      </c>
      <c r="I46" s="43" t="str">
        <f t="shared" ref="I46:I77" si="6">IF(E46="","",E46+(E46*H46/100*G46))</f>
        <v/>
      </c>
      <c r="J46" s="43" t="str">
        <f t="shared" ref="J46:J77" si="7">IFERROR(I46/G46,"")</f>
        <v/>
      </c>
      <c r="K46" s="33" t="str">
        <f>IF(B46="","Pending",IF(M46="","⚠️ Enter Code",IF(IFERROR(VLOOKUP(L46,DB_Agents!$B:$F,4,0),"")=TEXT(M46,"0"),"Pending Approval","🔒 WRONG CODE")))</f>
        <v>Pending</v>
      </c>
      <c r="L46" s="30" t="s">
        <v>57</v>
      </c>
      <c r="M46" s="41"/>
      <c r="N46" s="57"/>
    </row>
    <row r="47" spans="1:14" ht="20.100000000000001" customHeight="1" x14ac:dyDescent="0.25">
      <c r="A47" s="30" t="str">
        <f t="shared" si="4"/>
        <v/>
      </c>
      <c r="B47" s="41"/>
      <c r="C47" s="35" t="str">
        <f>IF(B47="","",IFERROR(VLOOKUP(B47,DB_Customers!$A:$B,2,0),"❌ Account Not Found"))</f>
        <v/>
      </c>
      <c r="D47" s="42" t="str">
        <f t="shared" ca="1" si="5"/>
        <v/>
      </c>
      <c r="E47" s="32"/>
      <c r="F47" s="31"/>
      <c r="G47" s="41"/>
      <c r="H47" s="56">
        <v>2.5</v>
      </c>
      <c r="I47" s="43" t="str">
        <f t="shared" si="6"/>
        <v/>
      </c>
      <c r="J47" s="43" t="str">
        <f t="shared" si="7"/>
        <v/>
      </c>
      <c r="K47" s="33" t="str">
        <f>IF(B47="","Pending",IF(M47="","⚠️ Enter Code",IF(IFERROR(VLOOKUP(L47,DB_Agents!$B:$F,4,0),"")=TEXT(M47,"0"),"Pending Approval","🔒 WRONG CODE")))</f>
        <v>Pending</v>
      </c>
      <c r="L47" s="30" t="s">
        <v>57</v>
      </c>
      <c r="M47" s="41"/>
      <c r="N47" s="22"/>
    </row>
    <row r="48" spans="1:14" ht="20.100000000000001" customHeight="1" x14ac:dyDescent="0.25">
      <c r="A48" s="30" t="str">
        <f t="shared" si="4"/>
        <v/>
      </c>
      <c r="B48" s="41"/>
      <c r="C48" s="35" t="str">
        <f>IF(B48="","",IFERROR(VLOOKUP(B48,DB_Customers!$A:$B,2,0),"❌ Account Not Found"))</f>
        <v/>
      </c>
      <c r="D48" s="42" t="str">
        <f t="shared" ca="1" si="5"/>
        <v/>
      </c>
      <c r="E48" s="32"/>
      <c r="F48" s="31"/>
      <c r="G48" s="41"/>
      <c r="H48" s="56">
        <v>2.5</v>
      </c>
      <c r="I48" s="43" t="str">
        <f t="shared" si="6"/>
        <v/>
      </c>
      <c r="J48" s="43" t="str">
        <f t="shared" si="7"/>
        <v/>
      </c>
      <c r="K48" s="33" t="str">
        <f>IF(B48="","Pending",IF(M48="","⚠️ Enter Code",IF(IFERROR(VLOOKUP(L48,DB_Agents!$B:$F,4,0),"")=TEXT(M48,"0"),"Pending Approval","🔒 WRONG CODE")))</f>
        <v>Pending</v>
      </c>
      <c r="L48" s="30" t="s">
        <v>57</v>
      </c>
      <c r="M48" s="41"/>
      <c r="N48" s="57"/>
    </row>
    <row r="49" spans="1:14" ht="20.100000000000001" customHeight="1" x14ac:dyDescent="0.25">
      <c r="A49" s="30" t="str">
        <f t="shared" si="4"/>
        <v/>
      </c>
      <c r="B49" s="41"/>
      <c r="C49" s="35" t="str">
        <f>IF(B49="","",IFERROR(VLOOKUP(B49,DB_Customers!$A:$B,2,0),"❌ Account Not Found"))</f>
        <v/>
      </c>
      <c r="D49" s="42" t="str">
        <f t="shared" ca="1" si="5"/>
        <v/>
      </c>
      <c r="E49" s="32"/>
      <c r="F49" s="31"/>
      <c r="G49" s="41"/>
      <c r="H49" s="56">
        <v>2.5</v>
      </c>
      <c r="I49" s="43" t="str">
        <f t="shared" si="6"/>
        <v/>
      </c>
      <c r="J49" s="43" t="str">
        <f t="shared" si="7"/>
        <v/>
      </c>
      <c r="K49" s="33" t="str">
        <f>IF(B49="","Pending",IF(M49="","⚠️ Enter Code",IF(IFERROR(VLOOKUP(L49,DB_Agents!$B:$F,4,0),"")=TEXT(M49,"0"),"Pending Approval","🔒 WRONG CODE")))</f>
        <v>Pending</v>
      </c>
      <c r="L49" s="30" t="s">
        <v>57</v>
      </c>
      <c r="M49" s="41"/>
      <c r="N49" s="22"/>
    </row>
    <row r="50" spans="1:14" ht="20.100000000000001" customHeight="1" x14ac:dyDescent="0.25">
      <c r="A50" s="30" t="str">
        <f t="shared" si="4"/>
        <v/>
      </c>
      <c r="B50" s="41"/>
      <c r="C50" s="35" t="str">
        <f>IF(B50="","",IFERROR(VLOOKUP(B50,DB_Customers!$A:$B,2,0),"❌ Account Not Found"))</f>
        <v/>
      </c>
      <c r="D50" s="42" t="str">
        <f t="shared" ca="1" si="5"/>
        <v/>
      </c>
      <c r="E50" s="32"/>
      <c r="F50" s="31"/>
      <c r="G50" s="41"/>
      <c r="H50" s="56">
        <v>2.5</v>
      </c>
      <c r="I50" s="43" t="str">
        <f t="shared" si="6"/>
        <v/>
      </c>
      <c r="J50" s="43" t="str">
        <f t="shared" si="7"/>
        <v/>
      </c>
      <c r="K50" s="33" t="str">
        <f>IF(B50="","Pending",IF(M50="","⚠️ Enter Code",IF(IFERROR(VLOOKUP(L50,DB_Agents!$B:$F,4,0),"")=TEXT(M50,"0"),"Pending Approval","🔒 WRONG CODE")))</f>
        <v>Pending</v>
      </c>
      <c r="L50" s="30" t="s">
        <v>57</v>
      </c>
      <c r="M50" s="41"/>
      <c r="N50" s="57"/>
    </row>
    <row r="51" spans="1:14" ht="20.100000000000001" customHeight="1" x14ac:dyDescent="0.25">
      <c r="A51" s="30" t="str">
        <f t="shared" si="4"/>
        <v/>
      </c>
      <c r="B51" s="41"/>
      <c r="C51" s="35" t="str">
        <f>IF(B51="","",IFERROR(VLOOKUP(B51,DB_Customers!$A:$B,2,0),"❌ Account Not Found"))</f>
        <v/>
      </c>
      <c r="D51" s="42" t="str">
        <f t="shared" ca="1" si="5"/>
        <v/>
      </c>
      <c r="E51" s="32"/>
      <c r="F51" s="31"/>
      <c r="G51" s="41"/>
      <c r="H51" s="56">
        <v>2.5</v>
      </c>
      <c r="I51" s="43" t="str">
        <f t="shared" si="6"/>
        <v/>
      </c>
      <c r="J51" s="43" t="str">
        <f t="shared" si="7"/>
        <v/>
      </c>
      <c r="K51" s="33" t="str">
        <f>IF(B51="","Pending",IF(M51="","⚠️ Enter Code",IF(IFERROR(VLOOKUP(L51,DB_Agents!$B:$F,4,0),"")=TEXT(M51,"0"),"Pending Approval","🔒 WRONG CODE")))</f>
        <v>Pending</v>
      </c>
      <c r="L51" s="30" t="s">
        <v>57</v>
      </c>
      <c r="M51" s="41"/>
      <c r="N51" s="22"/>
    </row>
    <row r="52" spans="1:14" ht="20.100000000000001" customHeight="1" x14ac:dyDescent="0.25">
      <c r="A52" s="30" t="str">
        <f t="shared" si="4"/>
        <v/>
      </c>
      <c r="B52" s="41"/>
      <c r="C52" s="35" t="str">
        <f>IF(B52="","",IFERROR(VLOOKUP(B52,DB_Customers!$A:$B,2,0),"❌ Account Not Found"))</f>
        <v/>
      </c>
      <c r="D52" s="42" t="str">
        <f t="shared" ca="1" si="5"/>
        <v/>
      </c>
      <c r="E52" s="32"/>
      <c r="F52" s="31"/>
      <c r="G52" s="41"/>
      <c r="H52" s="56">
        <v>2.5</v>
      </c>
      <c r="I52" s="43" t="str">
        <f t="shared" si="6"/>
        <v/>
      </c>
      <c r="J52" s="43" t="str">
        <f t="shared" si="7"/>
        <v/>
      </c>
      <c r="K52" s="33" t="str">
        <f>IF(B52="","Pending",IF(M52="","⚠️ Enter Code",IF(IFERROR(VLOOKUP(L52,DB_Agents!$B:$F,4,0),"")=TEXT(M52,"0"),"Pending Approval","🔒 WRONG CODE")))</f>
        <v>Pending</v>
      </c>
      <c r="L52" s="30" t="s">
        <v>57</v>
      </c>
      <c r="M52" s="41"/>
      <c r="N52" s="57"/>
    </row>
    <row r="53" spans="1:14" ht="20.100000000000001" customHeight="1" x14ac:dyDescent="0.25">
      <c r="A53" s="30" t="str">
        <f t="shared" si="4"/>
        <v/>
      </c>
      <c r="B53" s="41"/>
      <c r="C53" s="35" t="str">
        <f>IF(B53="","",IFERROR(VLOOKUP(B53,DB_Customers!$A:$B,2,0),"❌ Account Not Found"))</f>
        <v/>
      </c>
      <c r="D53" s="42" t="str">
        <f t="shared" ca="1" si="5"/>
        <v/>
      </c>
      <c r="E53" s="32"/>
      <c r="F53" s="31"/>
      <c r="G53" s="41"/>
      <c r="H53" s="56">
        <v>2.5</v>
      </c>
      <c r="I53" s="43" t="str">
        <f t="shared" si="6"/>
        <v/>
      </c>
      <c r="J53" s="43" t="str">
        <f t="shared" si="7"/>
        <v/>
      </c>
      <c r="K53" s="33" t="str">
        <f>IF(B53="","Pending",IF(M53="","⚠️ Enter Code",IF(IFERROR(VLOOKUP(L53,DB_Agents!$B:$F,4,0),"")=TEXT(M53,"0"),"Pending Approval","🔒 WRONG CODE")))</f>
        <v>Pending</v>
      </c>
      <c r="L53" s="30" t="s">
        <v>57</v>
      </c>
      <c r="M53" s="41"/>
      <c r="N53" s="22"/>
    </row>
    <row r="54" spans="1:14" ht="20.100000000000001" customHeight="1" x14ac:dyDescent="0.25">
      <c r="A54" s="30" t="str">
        <f t="shared" si="4"/>
        <v/>
      </c>
      <c r="B54" s="41"/>
      <c r="C54" s="35" t="str">
        <f>IF(B54="","",IFERROR(VLOOKUP(B54,DB_Customers!$A:$B,2,0),"❌ Account Not Found"))</f>
        <v/>
      </c>
      <c r="D54" s="42" t="str">
        <f t="shared" ca="1" si="5"/>
        <v/>
      </c>
      <c r="E54" s="32"/>
      <c r="F54" s="31"/>
      <c r="G54" s="41"/>
      <c r="H54" s="56">
        <v>2.5</v>
      </c>
      <c r="I54" s="43" t="str">
        <f t="shared" si="6"/>
        <v/>
      </c>
      <c r="J54" s="43" t="str">
        <f t="shared" si="7"/>
        <v/>
      </c>
      <c r="K54" s="33" t="str">
        <f>IF(B54="","Pending",IF(M54="","⚠️ Enter Code",IF(IFERROR(VLOOKUP(L54,DB_Agents!$B:$F,4,0),"")=TEXT(M54,"0"),"Pending Approval","🔒 WRONG CODE")))</f>
        <v>Pending</v>
      </c>
      <c r="L54" s="30" t="s">
        <v>57</v>
      </c>
      <c r="M54" s="41"/>
      <c r="N54" s="57"/>
    </row>
    <row r="55" spans="1:14" ht="20.100000000000001" customHeight="1" x14ac:dyDescent="0.25">
      <c r="A55" s="30" t="str">
        <f t="shared" si="4"/>
        <v/>
      </c>
      <c r="B55" s="41"/>
      <c r="C55" s="35" t="str">
        <f>IF(B55="","",IFERROR(VLOOKUP(B55,DB_Customers!$A:$B,2,0),"❌ Account Not Found"))</f>
        <v/>
      </c>
      <c r="D55" s="42" t="str">
        <f t="shared" ca="1" si="5"/>
        <v/>
      </c>
      <c r="E55" s="32"/>
      <c r="F55" s="31"/>
      <c r="G55" s="41"/>
      <c r="H55" s="56">
        <v>2.5</v>
      </c>
      <c r="I55" s="43" t="str">
        <f t="shared" si="6"/>
        <v/>
      </c>
      <c r="J55" s="43" t="str">
        <f t="shared" si="7"/>
        <v/>
      </c>
      <c r="K55" s="33" t="str">
        <f>IF(B55="","Pending",IF(M55="","⚠️ Enter Code",IF(IFERROR(VLOOKUP(L55,DB_Agents!$B:$F,4,0),"")=TEXT(M55,"0"),"Pending Approval","🔒 WRONG CODE")))</f>
        <v>Pending</v>
      </c>
      <c r="L55" s="30" t="s">
        <v>57</v>
      </c>
      <c r="M55" s="41"/>
      <c r="N55" s="22"/>
    </row>
    <row r="56" spans="1:14" ht="20.100000000000001" customHeight="1" x14ac:dyDescent="0.25">
      <c r="A56" s="30" t="str">
        <f t="shared" si="4"/>
        <v/>
      </c>
      <c r="B56" s="41"/>
      <c r="C56" s="35" t="str">
        <f>IF(B56="","",IFERROR(VLOOKUP(B56,DB_Customers!$A:$B,2,0),"❌ Account Not Found"))</f>
        <v/>
      </c>
      <c r="D56" s="42" t="str">
        <f t="shared" ca="1" si="5"/>
        <v/>
      </c>
      <c r="E56" s="32"/>
      <c r="F56" s="31"/>
      <c r="G56" s="41"/>
      <c r="H56" s="56">
        <v>2.5</v>
      </c>
      <c r="I56" s="43" t="str">
        <f t="shared" si="6"/>
        <v/>
      </c>
      <c r="J56" s="43" t="str">
        <f t="shared" si="7"/>
        <v/>
      </c>
      <c r="K56" s="33" t="str">
        <f>IF(B56="","Pending",IF(M56="","⚠️ Enter Code",IF(IFERROR(VLOOKUP(L56,DB_Agents!$B:$F,4,0),"")=TEXT(M56,"0"),"Pending Approval","🔒 WRONG CODE")))</f>
        <v>Pending</v>
      </c>
      <c r="L56" s="30" t="s">
        <v>57</v>
      </c>
      <c r="M56" s="41"/>
      <c r="N56" s="57"/>
    </row>
    <row r="57" spans="1:14" ht="20.100000000000001" customHeight="1" x14ac:dyDescent="0.25">
      <c r="A57" s="30" t="str">
        <f t="shared" si="4"/>
        <v/>
      </c>
      <c r="B57" s="41"/>
      <c r="C57" s="35" t="str">
        <f>IF(B57="","",IFERROR(VLOOKUP(B57,DB_Customers!$A:$B,2,0),"❌ Account Not Found"))</f>
        <v/>
      </c>
      <c r="D57" s="42" t="str">
        <f t="shared" ca="1" si="5"/>
        <v/>
      </c>
      <c r="E57" s="32"/>
      <c r="F57" s="31"/>
      <c r="G57" s="41"/>
      <c r="H57" s="56">
        <v>2.5</v>
      </c>
      <c r="I57" s="43" t="str">
        <f t="shared" si="6"/>
        <v/>
      </c>
      <c r="J57" s="43" t="str">
        <f t="shared" si="7"/>
        <v/>
      </c>
      <c r="K57" s="33" t="str">
        <f>IF(B57="","Pending",IF(M57="","⚠️ Enter Code",IF(IFERROR(VLOOKUP(L57,DB_Agents!$B:$F,4,0),"")=TEXT(M57,"0"),"Pending Approval","🔒 WRONG CODE")))</f>
        <v>Pending</v>
      </c>
      <c r="L57" s="30" t="s">
        <v>57</v>
      </c>
      <c r="M57" s="41"/>
      <c r="N57" s="22"/>
    </row>
    <row r="58" spans="1:14" ht="20.100000000000001" customHeight="1" x14ac:dyDescent="0.25">
      <c r="A58" s="30" t="str">
        <f t="shared" si="4"/>
        <v/>
      </c>
      <c r="B58" s="41"/>
      <c r="C58" s="35" t="str">
        <f>IF(B58="","",IFERROR(VLOOKUP(B58,DB_Customers!$A:$B,2,0),"❌ Account Not Found"))</f>
        <v/>
      </c>
      <c r="D58" s="42" t="str">
        <f t="shared" ca="1" si="5"/>
        <v/>
      </c>
      <c r="E58" s="32"/>
      <c r="F58" s="31"/>
      <c r="G58" s="41"/>
      <c r="H58" s="56">
        <v>2.5</v>
      </c>
      <c r="I58" s="43" t="str">
        <f t="shared" si="6"/>
        <v/>
      </c>
      <c r="J58" s="43" t="str">
        <f t="shared" si="7"/>
        <v/>
      </c>
      <c r="K58" s="33" t="str">
        <f>IF(B58="","Pending",IF(M58="","⚠️ Enter Code",IF(IFERROR(VLOOKUP(L58,DB_Agents!$B:$F,4,0),"")=TEXT(M58,"0"),"Pending Approval","🔒 WRONG CODE")))</f>
        <v>Pending</v>
      </c>
      <c r="L58" s="30" t="s">
        <v>57</v>
      </c>
      <c r="M58" s="41"/>
      <c r="N58" s="57"/>
    </row>
    <row r="59" spans="1:14" ht="20.100000000000001" customHeight="1" x14ac:dyDescent="0.25">
      <c r="A59" s="30" t="str">
        <f t="shared" si="4"/>
        <v/>
      </c>
      <c r="B59" s="41"/>
      <c r="C59" s="35" t="str">
        <f>IF(B59="","",IFERROR(VLOOKUP(B59,DB_Customers!$A:$B,2,0),"❌ Account Not Found"))</f>
        <v/>
      </c>
      <c r="D59" s="42" t="str">
        <f t="shared" ca="1" si="5"/>
        <v/>
      </c>
      <c r="E59" s="32"/>
      <c r="F59" s="31"/>
      <c r="G59" s="41"/>
      <c r="H59" s="56">
        <v>2.5</v>
      </c>
      <c r="I59" s="43" t="str">
        <f t="shared" si="6"/>
        <v/>
      </c>
      <c r="J59" s="43" t="str">
        <f t="shared" si="7"/>
        <v/>
      </c>
      <c r="K59" s="33" t="str">
        <f>IF(B59="","Pending",IF(M59="","⚠️ Enter Code",IF(IFERROR(VLOOKUP(L59,DB_Agents!$B:$F,4,0),"")=TEXT(M59,"0"),"Pending Approval","🔒 WRONG CODE")))</f>
        <v>Pending</v>
      </c>
      <c r="L59" s="30" t="s">
        <v>57</v>
      </c>
      <c r="M59" s="41"/>
      <c r="N59" s="22"/>
    </row>
    <row r="60" spans="1:14" ht="20.100000000000001" customHeight="1" x14ac:dyDescent="0.25">
      <c r="A60" s="30" t="str">
        <f t="shared" si="4"/>
        <v/>
      </c>
      <c r="B60" s="41"/>
      <c r="C60" s="35" t="str">
        <f>IF(B60="","",IFERROR(VLOOKUP(B60,DB_Customers!$A:$B,2,0),"❌ Account Not Found"))</f>
        <v/>
      </c>
      <c r="D60" s="42" t="str">
        <f t="shared" ca="1" si="5"/>
        <v/>
      </c>
      <c r="E60" s="32"/>
      <c r="F60" s="31"/>
      <c r="G60" s="41"/>
      <c r="H60" s="56">
        <v>2.5</v>
      </c>
      <c r="I60" s="43" t="str">
        <f t="shared" si="6"/>
        <v/>
      </c>
      <c r="J60" s="43" t="str">
        <f t="shared" si="7"/>
        <v/>
      </c>
      <c r="K60" s="33" t="str">
        <f>IF(B60="","Pending",IF(M60="","⚠️ Enter Code",IF(IFERROR(VLOOKUP(L60,DB_Agents!$B:$F,4,0),"")=TEXT(M60,"0"),"Pending Approval","🔒 WRONG CODE")))</f>
        <v>Pending</v>
      </c>
      <c r="L60" s="30" t="s">
        <v>57</v>
      </c>
      <c r="M60" s="41"/>
      <c r="N60" s="57"/>
    </row>
    <row r="61" spans="1:14" ht="20.100000000000001" customHeight="1" x14ac:dyDescent="0.25">
      <c r="A61" s="30" t="str">
        <f t="shared" si="4"/>
        <v/>
      </c>
      <c r="B61" s="41"/>
      <c r="C61" s="35" t="str">
        <f>IF(B61="","",IFERROR(VLOOKUP(B61,DB_Customers!$A:$B,2,0),"❌ Account Not Found"))</f>
        <v/>
      </c>
      <c r="D61" s="42" t="str">
        <f t="shared" ca="1" si="5"/>
        <v/>
      </c>
      <c r="E61" s="32"/>
      <c r="F61" s="31"/>
      <c r="G61" s="41"/>
      <c r="H61" s="56">
        <v>2.5</v>
      </c>
      <c r="I61" s="43" t="str">
        <f t="shared" si="6"/>
        <v/>
      </c>
      <c r="J61" s="43" t="str">
        <f t="shared" si="7"/>
        <v/>
      </c>
      <c r="K61" s="33" t="str">
        <f>IF(B61="","Pending",IF(M61="","⚠️ Enter Code",IF(IFERROR(VLOOKUP(L61,DB_Agents!$B:$F,4,0),"")=TEXT(M61,"0"),"Pending Approval","🔒 WRONG CODE")))</f>
        <v>Pending</v>
      </c>
      <c r="L61" s="30" t="s">
        <v>57</v>
      </c>
      <c r="M61" s="41"/>
      <c r="N61" s="22"/>
    </row>
    <row r="62" spans="1:14" ht="20.100000000000001" customHeight="1" x14ac:dyDescent="0.25">
      <c r="A62" s="30" t="str">
        <f t="shared" si="4"/>
        <v/>
      </c>
      <c r="B62" s="41"/>
      <c r="C62" s="35" t="str">
        <f>IF(B62="","",IFERROR(VLOOKUP(B62,DB_Customers!$A:$B,2,0),"❌ Account Not Found"))</f>
        <v/>
      </c>
      <c r="D62" s="42" t="str">
        <f t="shared" ca="1" si="5"/>
        <v/>
      </c>
      <c r="E62" s="32"/>
      <c r="F62" s="31"/>
      <c r="G62" s="41"/>
      <c r="H62" s="56">
        <v>2.5</v>
      </c>
      <c r="I62" s="43" t="str">
        <f t="shared" si="6"/>
        <v/>
      </c>
      <c r="J62" s="43" t="str">
        <f t="shared" si="7"/>
        <v/>
      </c>
      <c r="K62" s="33" t="str">
        <f>IF(B62="","Pending",IF(M62="","⚠️ Enter Code",IF(IFERROR(VLOOKUP(L62,DB_Agents!$B:$F,4,0),"")=TEXT(M62,"0"),"Pending Approval","🔒 WRONG CODE")))</f>
        <v>Pending</v>
      </c>
      <c r="L62" s="30" t="s">
        <v>57</v>
      </c>
      <c r="M62" s="41"/>
      <c r="N62" s="57"/>
    </row>
    <row r="63" spans="1:14" ht="20.100000000000001" customHeight="1" x14ac:dyDescent="0.25">
      <c r="A63" s="30" t="str">
        <f t="shared" si="4"/>
        <v/>
      </c>
      <c r="B63" s="41"/>
      <c r="C63" s="35" t="str">
        <f>IF(B63="","",IFERROR(VLOOKUP(B63,DB_Customers!$A:$B,2,0),"❌ Account Not Found"))</f>
        <v/>
      </c>
      <c r="D63" s="42" t="str">
        <f t="shared" ca="1" si="5"/>
        <v/>
      </c>
      <c r="E63" s="32"/>
      <c r="F63" s="31"/>
      <c r="G63" s="41"/>
      <c r="H63" s="56">
        <v>2.5</v>
      </c>
      <c r="I63" s="43" t="str">
        <f t="shared" si="6"/>
        <v/>
      </c>
      <c r="J63" s="43" t="str">
        <f t="shared" si="7"/>
        <v/>
      </c>
      <c r="K63" s="33" t="str">
        <f>IF(B63="","Pending",IF(M63="","⚠️ Enter Code",IF(IFERROR(VLOOKUP(L63,DB_Agents!$B:$F,4,0),"")=TEXT(M63,"0"),"Pending Approval","🔒 WRONG CODE")))</f>
        <v>Pending</v>
      </c>
      <c r="L63" s="30" t="s">
        <v>57</v>
      </c>
      <c r="M63" s="41"/>
      <c r="N63" s="22"/>
    </row>
    <row r="64" spans="1:14" ht="20.100000000000001" customHeight="1" x14ac:dyDescent="0.25">
      <c r="A64" s="30" t="str">
        <f t="shared" si="4"/>
        <v/>
      </c>
      <c r="B64" s="41"/>
      <c r="C64" s="35" t="str">
        <f>IF(B64="","",IFERROR(VLOOKUP(B64,DB_Customers!$A:$B,2,0),"❌ Account Not Found"))</f>
        <v/>
      </c>
      <c r="D64" s="42" t="str">
        <f t="shared" ca="1" si="5"/>
        <v/>
      </c>
      <c r="E64" s="32"/>
      <c r="F64" s="31"/>
      <c r="G64" s="41"/>
      <c r="H64" s="56">
        <v>2.5</v>
      </c>
      <c r="I64" s="43" t="str">
        <f t="shared" si="6"/>
        <v/>
      </c>
      <c r="J64" s="43" t="str">
        <f t="shared" si="7"/>
        <v/>
      </c>
      <c r="K64" s="33" t="str">
        <f>IF(B64="","Pending",IF(M64="","⚠️ Enter Code",IF(IFERROR(VLOOKUP(L64,DB_Agents!$B:$F,4,0),"")=TEXT(M64,"0"),"Pending Approval","🔒 WRONG CODE")))</f>
        <v>Pending</v>
      </c>
      <c r="L64" s="30" t="s">
        <v>57</v>
      </c>
      <c r="M64" s="41"/>
      <c r="N64" s="57"/>
    </row>
    <row r="65" spans="1:14" ht="20.100000000000001" customHeight="1" x14ac:dyDescent="0.25">
      <c r="A65" s="30" t="str">
        <f t="shared" si="4"/>
        <v/>
      </c>
      <c r="B65" s="41"/>
      <c r="C65" s="35" t="str">
        <f>IF(B65="","",IFERROR(VLOOKUP(B65,DB_Customers!$A:$B,2,0),"❌ Account Not Found"))</f>
        <v/>
      </c>
      <c r="D65" s="42" t="str">
        <f t="shared" ca="1" si="5"/>
        <v/>
      </c>
      <c r="E65" s="32"/>
      <c r="F65" s="31"/>
      <c r="G65" s="41"/>
      <c r="H65" s="56">
        <v>2.5</v>
      </c>
      <c r="I65" s="43" t="str">
        <f t="shared" si="6"/>
        <v/>
      </c>
      <c r="J65" s="43" t="str">
        <f t="shared" si="7"/>
        <v/>
      </c>
      <c r="K65" s="33" t="str">
        <f>IF(B65="","Pending",IF(M65="","⚠️ Enter Code",IF(IFERROR(VLOOKUP(L65,DB_Agents!$B:$F,4,0),"")=TEXT(M65,"0"),"Pending Approval","🔒 WRONG CODE")))</f>
        <v>Pending</v>
      </c>
      <c r="L65" s="30" t="s">
        <v>57</v>
      </c>
      <c r="M65" s="41"/>
      <c r="N65" s="22"/>
    </row>
    <row r="66" spans="1:14" ht="20.100000000000001" customHeight="1" x14ac:dyDescent="0.25">
      <c r="A66" s="30" t="str">
        <f t="shared" si="4"/>
        <v/>
      </c>
      <c r="B66" s="41"/>
      <c r="C66" s="35" t="str">
        <f>IF(B66="","",IFERROR(VLOOKUP(B66,DB_Customers!$A:$B,2,0),"❌ Account Not Found"))</f>
        <v/>
      </c>
      <c r="D66" s="42" t="str">
        <f t="shared" ca="1" si="5"/>
        <v/>
      </c>
      <c r="E66" s="32"/>
      <c r="F66" s="31"/>
      <c r="G66" s="41"/>
      <c r="H66" s="56">
        <v>2.5</v>
      </c>
      <c r="I66" s="43" t="str">
        <f t="shared" si="6"/>
        <v/>
      </c>
      <c r="J66" s="43" t="str">
        <f t="shared" si="7"/>
        <v/>
      </c>
      <c r="K66" s="33" t="str">
        <f>IF(B66="","Pending",IF(M66="","⚠️ Enter Code",IF(IFERROR(VLOOKUP(L66,DB_Agents!$B:$F,4,0),"")=TEXT(M66,"0"),"Pending Approval","🔒 WRONG CODE")))</f>
        <v>Pending</v>
      </c>
      <c r="L66" s="30" t="s">
        <v>57</v>
      </c>
      <c r="M66" s="41"/>
      <c r="N66" s="57"/>
    </row>
    <row r="67" spans="1:14" ht="20.100000000000001" customHeight="1" x14ac:dyDescent="0.25">
      <c r="A67" s="30" t="str">
        <f t="shared" si="4"/>
        <v/>
      </c>
      <c r="B67" s="41"/>
      <c r="C67" s="35" t="str">
        <f>IF(B67="","",IFERROR(VLOOKUP(B67,DB_Customers!$A:$B,2,0),"❌ Account Not Found"))</f>
        <v/>
      </c>
      <c r="D67" s="42" t="str">
        <f t="shared" ca="1" si="5"/>
        <v/>
      </c>
      <c r="E67" s="32"/>
      <c r="F67" s="31"/>
      <c r="G67" s="41"/>
      <c r="H67" s="56">
        <v>2.5</v>
      </c>
      <c r="I67" s="43" t="str">
        <f t="shared" si="6"/>
        <v/>
      </c>
      <c r="J67" s="43" t="str">
        <f t="shared" si="7"/>
        <v/>
      </c>
      <c r="K67" s="33" t="str">
        <f>IF(B67="","Pending",IF(M67="","⚠️ Enter Code",IF(IFERROR(VLOOKUP(L67,DB_Agents!$B:$F,4,0),"")=TEXT(M67,"0"),"Pending Approval","🔒 WRONG CODE")))</f>
        <v>Pending</v>
      </c>
      <c r="L67" s="30" t="s">
        <v>57</v>
      </c>
      <c r="M67" s="41"/>
      <c r="N67" s="22"/>
    </row>
    <row r="68" spans="1:14" ht="20.100000000000001" customHeight="1" x14ac:dyDescent="0.25">
      <c r="A68" s="30" t="str">
        <f t="shared" si="4"/>
        <v/>
      </c>
      <c r="B68" s="41"/>
      <c r="C68" s="35" t="str">
        <f>IF(B68="","",IFERROR(VLOOKUP(B68,DB_Customers!$A:$B,2,0),"❌ Account Not Found"))</f>
        <v/>
      </c>
      <c r="D68" s="42" t="str">
        <f t="shared" ca="1" si="5"/>
        <v/>
      </c>
      <c r="E68" s="32"/>
      <c r="F68" s="31"/>
      <c r="G68" s="41"/>
      <c r="H68" s="56">
        <v>2.5</v>
      </c>
      <c r="I68" s="43" t="str">
        <f t="shared" si="6"/>
        <v/>
      </c>
      <c r="J68" s="43" t="str">
        <f t="shared" si="7"/>
        <v/>
      </c>
      <c r="K68" s="33" t="str">
        <f>IF(B68="","Pending",IF(M68="","⚠️ Enter Code",IF(IFERROR(VLOOKUP(L68,DB_Agents!$B:$F,4,0),"")=TEXT(M68,"0"),"Pending Approval","🔒 WRONG CODE")))</f>
        <v>Pending</v>
      </c>
      <c r="L68" s="30" t="s">
        <v>57</v>
      </c>
      <c r="M68" s="41"/>
      <c r="N68" s="57"/>
    </row>
    <row r="69" spans="1:14" ht="20.100000000000001" customHeight="1" x14ac:dyDescent="0.25">
      <c r="A69" s="30" t="str">
        <f t="shared" si="4"/>
        <v/>
      </c>
      <c r="B69" s="41"/>
      <c r="C69" s="35" t="str">
        <f>IF(B69="","",IFERROR(VLOOKUP(B69,DB_Customers!$A:$B,2,0),"❌ Account Not Found"))</f>
        <v/>
      </c>
      <c r="D69" s="42" t="str">
        <f t="shared" ca="1" si="5"/>
        <v/>
      </c>
      <c r="E69" s="32"/>
      <c r="F69" s="31"/>
      <c r="G69" s="41"/>
      <c r="H69" s="56">
        <v>2.5</v>
      </c>
      <c r="I69" s="43" t="str">
        <f t="shared" si="6"/>
        <v/>
      </c>
      <c r="J69" s="43" t="str">
        <f t="shared" si="7"/>
        <v/>
      </c>
      <c r="K69" s="33" t="str">
        <f>IF(B69="","Pending",IF(M69="","⚠️ Enter Code",IF(IFERROR(VLOOKUP(L69,DB_Agents!$B:$F,4,0),"")=TEXT(M69,"0"),"Pending Approval","🔒 WRONG CODE")))</f>
        <v>Pending</v>
      </c>
      <c r="L69" s="30" t="s">
        <v>57</v>
      </c>
      <c r="M69" s="41"/>
      <c r="N69" s="22"/>
    </row>
    <row r="70" spans="1:14" ht="20.100000000000001" customHeight="1" x14ac:dyDescent="0.25">
      <c r="A70" s="30" t="str">
        <f t="shared" si="4"/>
        <v/>
      </c>
      <c r="B70" s="41"/>
      <c r="C70" s="35" t="str">
        <f>IF(B70="","",IFERROR(VLOOKUP(B70,DB_Customers!$A:$B,2,0),"❌ Account Not Found"))</f>
        <v/>
      </c>
      <c r="D70" s="42" t="str">
        <f t="shared" ca="1" si="5"/>
        <v/>
      </c>
      <c r="E70" s="32"/>
      <c r="F70" s="31"/>
      <c r="G70" s="41"/>
      <c r="H70" s="56">
        <v>2.5</v>
      </c>
      <c r="I70" s="43" t="str">
        <f t="shared" si="6"/>
        <v/>
      </c>
      <c r="J70" s="43" t="str">
        <f t="shared" si="7"/>
        <v/>
      </c>
      <c r="K70" s="33" t="str">
        <f>IF(B70="","Pending",IF(M70="","⚠️ Enter Code",IF(IFERROR(VLOOKUP(L70,DB_Agents!$B:$F,4,0),"")=TEXT(M70,"0"),"Pending Approval","🔒 WRONG CODE")))</f>
        <v>Pending</v>
      </c>
      <c r="L70" s="30" t="s">
        <v>57</v>
      </c>
      <c r="M70" s="41"/>
      <c r="N70" s="57"/>
    </row>
    <row r="71" spans="1:14" ht="20.100000000000001" customHeight="1" x14ac:dyDescent="0.25">
      <c r="A71" s="30" t="str">
        <f t="shared" si="4"/>
        <v/>
      </c>
      <c r="B71" s="41"/>
      <c r="C71" s="35" t="str">
        <f>IF(B71="","",IFERROR(VLOOKUP(B71,DB_Customers!$A:$B,2,0),"❌ Account Not Found"))</f>
        <v/>
      </c>
      <c r="D71" s="42" t="str">
        <f t="shared" ca="1" si="5"/>
        <v/>
      </c>
      <c r="E71" s="32"/>
      <c r="F71" s="31"/>
      <c r="G71" s="41"/>
      <c r="H71" s="56">
        <v>2.5</v>
      </c>
      <c r="I71" s="43" t="str">
        <f t="shared" si="6"/>
        <v/>
      </c>
      <c r="J71" s="43" t="str">
        <f t="shared" si="7"/>
        <v/>
      </c>
      <c r="K71" s="33" t="str">
        <f>IF(B71="","Pending",IF(M71="","⚠️ Enter Code",IF(IFERROR(VLOOKUP(L71,DB_Agents!$B:$F,4,0),"")=TEXT(M71,"0"),"Pending Approval","🔒 WRONG CODE")))</f>
        <v>Pending</v>
      </c>
      <c r="L71" s="30" t="s">
        <v>57</v>
      </c>
      <c r="M71" s="41"/>
      <c r="N71" s="22"/>
    </row>
    <row r="72" spans="1:14" ht="20.100000000000001" customHeight="1" x14ac:dyDescent="0.25">
      <c r="A72" s="30" t="str">
        <f t="shared" si="4"/>
        <v/>
      </c>
      <c r="B72" s="41"/>
      <c r="C72" s="35" t="str">
        <f>IF(B72="","",IFERROR(VLOOKUP(B72,DB_Customers!$A:$B,2,0),"❌ Account Not Found"))</f>
        <v/>
      </c>
      <c r="D72" s="42" t="str">
        <f t="shared" ca="1" si="5"/>
        <v/>
      </c>
      <c r="E72" s="32"/>
      <c r="F72" s="31"/>
      <c r="G72" s="41"/>
      <c r="H72" s="56">
        <v>2.5</v>
      </c>
      <c r="I72" s="43" t="str">
        <f t="shared" si="6"/>
        <v/>
      </c>
      <c r="J72" s="43" t="str">
        <f t="shared" si="7"/>
        <v/>
      </c>
      <c r="K72" s="33" t="str">
        <f>IF(B72="","Pending",IF(M72="","⚠️ Enter Code",IF(IFERROR(VLOOKUP(L72,DB_Agents!$B:$F,4,0),"")=TEXT(M72,"0"),"Pending Approval","🔒 WRONG CODE")))</f>
        <v>Pending</v>
      </c>
      <c r="L72" s="30" t="s">
        <v>57</v>
      </c>
      <c r="M72" s="41"/>
      <c r="N72" s="57"/>
    </row>
    <row r="73" spans="1:14" ht="20.100000000000001" customHeight="1" x14ac:dyDescent="0.25">
      <c r="A73" s="30" t="str">
        <f t="shared" si="4"/>
        <v/>
      </c>
      <c r="B73" s="41"/>
      <c r="C73" s="35" t="str">
        <f>IF(B73="","",IFERROR(VLOOKUP(B73,DB_Customers!$A:$B,2,0),"❌ Account Not Found"))</f>
        <v/>
      </c>
      <c r="D73" s="42" t="str">
        <f t="shared" ca="1" si="5"/>
        <v/>
      </c>
      <c r="E73" s="32"/>
      <c r="F73" s="31"/>
      <c r="G73" s="41"/>
      <c r="H73" s="56">
        <v>2.5</v>
      </c>
      <c r="I73" s="43" t="str">
        <f t="shared" si="6"/>
        <v/>
      </c>
      <c r="J73" s="43" t="str">
        <f t="shared" si="7"/>
        <v/>
      </c>
      <c r="K73" s="33" t="str">
        <f>IF(B73="","Pending",IF(M73="","⚠️ Enter Code",IF(IFERROR(VLOOKUP(L73,DB_Agents!$B:$F,4,0),"")=TEXT(M73,"0"),"Pending Approval","🔒 WRONG CODE")))</f>
        <v>Pending</v>
      </c>
      <c r="L73" s="30" t="s">
        <v>57</v>
      </c>
      <c r="M73" s="41"/>
      <c r="N73" s="22"/>
    </row>
    <row r="74" spans="1:14" ht="20.100000000000001" customHeight="1" x14ac:dyDescent="0.25">
      <c r="A74" s="30" t="str">
        <f t="shared" si="4"/>
        <v/>
      </c>
      <c r="B74" s="41"/>
      <c r="C74" s="35" t="str">
        <f>IF(B74="","",IFERROR(VLOOKUP(B74,DB_Customers!$A:$B,2,0),"❌ Account Not Found"))</f>
        <v/>
      </c>
      <c r="D74" s="42" t="str">
        <f t="shared" ca="1" si="5"/>
        <v/>
      </c>
      <c r="E74" s="32"/>
      <c r="F74" s="31"/>
      <c r="G74" s="41"/>
      <c r="H74" s="56">
        <v>2.5</v>
      </c>
      <c r="I74" s="43" t="str">
        <f t="shared" si="6"/>
        <v/>
      </c>
      <c r="J74" s="43" t="str">
        <f t="shared" si="7"/>
        <v/>
      </c>
      <c r="K74" s="33" t="str">
        <f>IF(B74="","Pending",IF(M74="","⚠️ Enter Code",IF(IFERROR(VLOOKUP(L74,DB_Agents!$B:$F,4,0),"")=TEXT(M74,"0"),"Pending Approval","🔒 WRONG CODE")))</f>
        <v>Pending</v>
      </c>
      <c r="L74" s="30" t="s">
        <v>57</v>
      </c>
      <c r="M74" s="41"/>
      <c r="N74" s="57"/>
    </row>
    <row r="75" spans="1:14" ht="20.100000000000001" customHeight="1" x14ac:dyDescent="0.25">
      <c r="A75" s="30" t="str">
        <f t="shared" si="4"/>
        <v/>
      </c>
      <c r="B75" s="41"/>
      <c r="C75" s="35" t="str">
        <f>IF(B75="","",IFERROR(VLOOKUP(B75,DB_Customers!$A:$B,2,0),"❌ Account Not Found"))</f>
        <v/>
      </c>
      <c r="D75" s="42" t="str">
        <f t="shared" ca="1" si="5"/>
        <v/>
      </c>
      <c r="E75" s="32"/>
      <c r="F75" s="31"/>
      <c r="G75" s="41"/>
      <c r="H75" s="56">
        <v>2.5</v>
      </c>
      <c r="I75" s="43" t="str">
        <f t="shared" si="6"/>
        <v/>
      </c>
      <c r="J75" s="43" t="str">
        <f t="shared" si="7"/>
        <v/>
      </c>
      <c r="K75" s="33" t="str">
        <f>IF(B75="","Pending",IF(M75="","⚠️ Enter Code",IF(IFERROR(VLOOKUP(L75,DB_Agents!$B:$F,4,0),"")=TEXT(M75,"0"),"Pending Approval","🔒 WRONG CODE")))</f>
        <v>Pending</v>
      </c>
      <c r="L75" s="30" t="s">
        <v>57</v>
      </c>
      <c r="M75" s="41"/>
      <c r="N75" s="22"/>
    </row>
    <row r="76" spans="1:14" ht="20.100000000000001" customHeight="1" x14ac:dyDescent="0.25">
      <c r="A76" s="30" t="str">
        <f t="shared" si="4"/>
        <v/>
      </c>
      <c r="B76" s="41"/>
      <c r="C76" s="35" t="str">
        <f>IF(B76="","",IFERROR(VLOOKUP(B76,DB_Customers!$A:$B,2,0),"❌ Account Not Found"))</f>
        <v/>
      </c>
      <c r="D76" s="42" t="str">
        <f t="shared" ca="1" si="5"/>
        <v/>
      </c>
      <c r="E76" s="32"/>
      <c r="F76" s="31"/>
      <c r="G76" s="41"/>
      <c r="H76" s="56">
        <v>2.5</v>
      </c>
      <c r="I76" s="43" t="str">
        <f t="shared" si="6"/>
        <v/>
      </c>
      <c r="J76" s="43" t="str">
        <f t="shared" si="7"/>
        <v/>
      </c>
      <c r="K76" s="33" t="str">
        <f>IF(B76="","Pending",IF(M76="","⚠️ Enter Code",IF(IFERROR(VLOOKUP(L76,DB_Agents!$B:$F,4,0),"")=TEXT(M76,"0"),"Pending Approval","🔒 WRONG CODE")))</f>
        <v>Pending</v>
      </c>
      <c r="L76" s="30" t="s">
        <v>57</v>
      </c>
      <c r="M76" s="41"/>
      <c r="N76" s="57"/>
    </row>
    <row r="77" spans="1:14" ht="20.100000000000001" customHeight="1" x14ac:dyDescent="0.25">
      <c r="A77" s="30" t="str">
        <f t="shared" si="4"/>
        <v/>
      </c>
      <c r="B77" s="41"/>
      <c r="C77" s="35" t="str">
        <f>IF(B77="","",IFERROR(VLOOKUP(B77,DB_Customers!$A:$B,2,0),"❌ Account Not Found"))</f>
        <v/>
      </c>
      <c r="D77" s="42" t="str">
        <f t="shared" ca="1" si="5"/>
        <v/>
      </c>
      <c r="E77" s="32"/>
      <c r="F77" s="31"/>
      <c r="G77" s="41"/>
      <c r="H77" s="56">
        <v>2.5</v>
      </c>
      <c r="I77" s="43" t="str">
        <f t="shared" si="6"/>
        <v/>
      </c>
      <c r="J77" s="43" t="str">
        <f t="shared" si="7"/>
        <v/>
      </c>
      <c r="K77" s="33" t="str">
        <f>IF(B77="","Pending",IF(M77="","⚠️ Enter Code",IF(IFERROR(VLOOKUP(L77,DB_Agents!$B:$F,4,0),"")=TEXT(M77,"0"),"Pending Approval","🔒 WRONG CODE")))</f>
        <v>Pending</v>
      </c>
      <c r="L77" s="30" t="s">
        <v>57</v>
      </c>
      <c r="M77" s="41"/>
      <c r="N77" s="22"/>
    </row>
    <row r="78" spans="1:14" ht="20.100000000000001" customHeight="1" x14ac:dyDescent="0.25">
      <c r="A78" s="30" t="str">
        <f t="shared" ref="A78:A109" si="8">IF(B78="","",IF(C78="❌ Account Not Found","INVALID","LN"&amp;TEXT(D78,"YYYYMMDD")&amp;TEXT(ROW()-13,"0000")))</f>
        <v/>
      </c>
      <c r="B78" s="41"/>
      <c r="C78" s="35" t="str">
        <f>IF(B78="","",IFERROR(VLOOKUP(B78,DB_Customers!$A:$B,2,0),"❌ Account Not Found"))</f>
        <v/>
      </c>
      <c r="D78" s="42" t="str">
        <f t="shared" ref="D78:D109" ca="1" si="9">IF(B78="","",TODAY())</f>
        <v/>
      </c>
      <c r="E78" s="32"/>
      <c r="F78" s="31"/>
      <c r="G78" s="41"/>
      <c r="H78" s="56">
        <v>2.5</v>
      </c>
      <c r="I78" s="43" t="str">
        <f t="shared" ref="I78:I109" si="10">IF(E78="","",E78+(E78*H78/100*G78))</f>
        <v/>
      </c>
      <c r="J78" s="43" t="str">
        <f t="shared" ref="J78:J109" si="11">IFERROR(I78/G78,"")</f>
        <v/>
      </c>
      <c r="K78" s="33" t="str">
        <f>IF(B78="","Pending",IF(M78="","⚠️ Enter Code",IF(IFERROR(VLOOKUP(L78,DB_Agents!$B:$F,4,0),"")=TEXT(M78,"0"),"Pending Approval","🔒 WRONG CODE")))</f>
        <v>Pending</v>
      </c>
      <c r="L78" s="30" t="s">
        <v>57</v>
      </c>
      <c r="M78" s="41"/>
      <c r="N78" s="57"/>
    </row>
    <row r="79" spans="1:14" ht="20.100000000000001" customHeight="1" x14ac:dyDescent="0.25">
      <c r="A79" s="30" t="str">
        <f t="shared" si="8"/>
        <v/>
      </c>
      <c r="B79" s="41"/>
      <c r="C79" s="35" t="str">
        <f>IF(B79="","",IFERROR(VLOOKUP(B79,DB_Customers!$A:$B,2,0),"❌ Account Not Found"))</f>
        <v/>
      </c>
      <c r="D79" s="42" t="str">
        <f t="shared" ca="1" si="9"/>
        <v/>
      </c>
      <c r="E79" s="32"/>
      <c r="F79" s="31"/>
      <c r="G79" s="41"/>
      <c r="H79" s="56">
        <v>2.5</v>
      </c>
      <c r="I79" s="43" t="str">
        <f t="shared" si="10"/>
        <v/>
      </c>
      <c r="J79" s="43" t="str">
        <f t="shared" si="11"/>
        <v/>
      </c>
      <c r="K79" s="33" t="str">
        <f>IF(B79="","Pending",IF(M79="","⚠️ Enter Code",IF(IFERROR(VLOOKUP(L79,DB_Agents!$B:$F,4,0),"")=TEXT(M79,"0"),"Pending Approval","🔒 WRONG CODE")))</f>
        <v>Pending</v>
      </c>
      <c r="L79" s="30" t="s">
        <v>57</v>
      </c>
      <c r="M79" s="41"/>
      <c r="N79" s="22"/>
    </row>
    <row r="80" spans="1:14" ht="20.100000000000001" customHeight="1" x14ac:dyDescent="0.25">
      <c r="A80" s="30" t="str">
        <f t="shared" si="8"/>
        <v/>
      </c>
      <c r="B80" s="41"/>
      <c r="C80" s="35" t="str">
        <f>IF(B80="","",IFERROR(VLOOKUP(B80,DB_Customers!$A:$B,2,0),"❌ Account Not Found"))</f>
        <v/>
      </c>
      <c r="D80" s="42" t="str">
        <f t="shared" ca="1" si="9"/>
        <v/>
      </c>
      <c r="E80" s="32"/>
      <c r="F80" s="31"/>
      <c r="G80" s="41"/>
      <c r="H80" s="56">
        <v>2.5</v>
      </c>
      <c r="I80" s="43" t="str">
        <f t="shared" si="10"/>
        <v/>
      </c>
      <c r="J80" s="43" t="str">
        <f t="shared" si="11"/>
        <v/>
      </c>
      <c r="K80" s="33" t="str">
        <f>IF(B80="","Pending",IF(M80="","⚠️ Enter Code",IF(IFERROR(VLOOKUP(L80,DB_Agents!$B:$F,4,0),"")=TEXT(M80,"0"),"Pending Approval","🔒 WRONG CODE")))</f>
        <v>Pending</v>
      </c>
      <c r="L80" s="30" t="s">
        <v>57</v>
      </c>
      <c r="M80" s="41"/>
      <c r="N80" s="57"/>
    </row>
    <row r="81" spans="1:14" ht="20.100000000000001" customHeight="1" x14ac:dyDescent="0.25">
      <c r="A81" s="30" t="str">
        <f t="shared" si="8"/>
        <v/>
      </c>
      <c r="B81" s="41"/>
      <c r="C81" s="35" t="str">
        <f>IF(B81="","",IFERROR(VLOOKUP(B81,DB_Customers!$A:$B,2,0),"❌ Account Not Found"))</f>
        <v/>
      </c>
      <c r="D81" s="42" t="str">
        <f t="shared" ca="1" si="9"/>
        <v/>
      </c>
      <c r="E81" s="32"/>
      <c r="F81" s="31"/>
      <c r="G81" s="41"/>
      <c r="H81" s="56">
        <v>2.5</v>
      </c>
      <c r="I81" s="43" t="str">
        <f t="shared" si="10"/>
        <v/>
      </c>
      <c r="J81" s="43" t="str">
        <f t="shared" si="11"/>
        <v/>
      </c>
      <c r="K81" s="33" t="str">
        <f>IF(B81="","Pending",IF(M81="","⚠️ Enter Code",IF(IFERROR(VLOOKUP(L81,DB_Agents!$B:$F,4,0),"")=TEXT(M81,"0"),"Pending Approval","🔒 WRONG CODE")))</f>
        <v>Pending</v>
      </c>
      <c r="L81" s="30" t="s">
        <v>57</v>
      </c>
      <c r="M81" s="41"/>
      <c r="N81" s="22"/>
    </row>
    <row r="82" spans="1:14" ht="20.100000000000001" customHeight="1" x14ac:dyDescent="0.25">
      <c r="A82" s="30" t="str">
        <f t="shared" si="8"/>
        <v/>
      </c>
      <c r="B82" s="41"/>
      <c r="C82" s="35" t="str">
        <f>IF(B82="","",IFERROR(VLOOKUP(B82,DB_Customers!$A:$B,2,0),"❌ Account Not Found"))</f>
        <v/>
      </c>
      <c r="D82" s="42" t="str">
        <f t="shared" ca="1" si="9"/>
        <v/>
      </c>
      <c r="E82" s="32"/>
      <c r="F82" s="31"/>
      <c r="G82" s="41"/>
      <c r="H82" s="56">
        <v>2.5</v>
      </c>
      <c r="I82" s="43" t="str">
        <f t="shared" si="10"/>
        <v/>
      </c>
      <c r="J82" s="43" t="str">
        <f t="shared" si="11"/>
        <v/>
      </c>
      <c r="K82" s="33" t="str">
        <f>IF(B82="","Pending",IF(M82="","⚠️ Enter Code",IF(IFERROR(VLOOKUP(L82,DB_Agents!$B:$F,4,0),"")=TEXT(M82,"0"),"Pending Approval","🔒 WRONG CODE")))</f>
        <v>Pending</v>
      </c>
      <c r="L82" s="30" t="s">
        <v>57</v>
      </c>
      <c r="M82" s="41"/>
      <c r="N82" s="57"/>
    </row>
    <row r="83" spans="1:14" ht="20.100000000000001" customHeight="1" x14ac:dyDescent="0.25">
      <c r="A83" s="30" t="str">
        <f t="shared" si="8"/>
        <v/>
      </c>
      <c r="B83" s="41"/>
      <c r="C83" s="35" t="str">
        <f>IF(B83="","",IFERROR(VLOOKUP(B83,DB_Customers!$A:$B,2,0),"❌ Account Not Found"))</f>
        <v/>
      </c>
      <c r="D83" s="42" t="str">
        <f t="shared" ca="1" si="9"/>
        <v/>
      </c>
      <c r="E83" s="32"/>
      <c r="F83" s="31"/>
      <c r="G83" s="41"/>
      <c r="H83" s="56">
        <v>2.5</v>
      </c>
      <c r="I83" s="43" t="str">
        <f t="shared" si="10"/>
        <v/>
      </c>
      <c r="J83" s="43" t="str">
        <f t="shared" si="11"/>
        <v/>
      </c>
      <c r="K83" s="33" t="str">
        <f>IF(B83="","Pending",IF(M83="","⚠️ Enter Code",IF(IFERROR(VLOOKUP(L83,DB_Agents!$B:$F,4,0),"")=TEXT(M83,"0"),"Pending Approval","🔒 WRONG CODE")))</f>
        <v>Pending</v>
      </c>
      <c r="L83" s="30" t="s">
        <v>57</v>
      </c>
      <c r="M83" s="41"/>
      <c r="N83" s="22"/>
    </row>
    <row r="84" spans="1:14" ht="20.100000000000001" customHeight="1" x14ac:dyDescent="0.25">
      <c r="A84" s="30" t="str">
        <f t="shared" si="8"/>
        <v/>
      </c>
      <c r="B84" s="41"/>
      <c r="C84" s="35" t="str">
        <f>IF(B84="","",IFERROR(VLOOKUP(B84,DB_Customers!$A:$B,2,0),"❌ Account Not Found"))</f>
        <v/>
      </c>
      <c r="D84" s="42" t="str">
        <f t="shared" ca="1" si="9"/>
        <v/>
      </c>
      <c r="E84" s="32"/>
      <c r="F84" s="31"/>
      <c r="G84" s="41"/>
      <c r="H84" s="56">
        <v>2.5</v>
      </c>
      <c r="I84" s="43" t="str">
        <f t="shared" si="10"/>
        <v/>
      </c>
      <c r="J84" s="43" t="str">
        <f t="shared" si="11"/>
        <v/>
      </c>
      <c r="K84" s="33" t="str">
        <f>IF(B84="","Pending",IF(M84="","⚠️ Enter Code",IF(IFERROR(VLOOKUP(L84,DB_Agents!$B:$F,4,0),"")=TEXT(M84,"0"),"Pending Approval","🔒 WRONG CODE")))</f>
        <v>Pending</v>
      </c>
      <c r="L84" s="30" t="s">
        <v>57</v>
      </c>
      <c r="M84" s="41"/>
      <c r="N84" s="57"/>
    </row>
    <row r="85" spans="1:14" ht="20.100000000000001" customHeight="1" x14ac:dyDescent="0.25">
      <c r="A85" s="30" t="str">
        <f t="shared" si="8"/>
        <v/>
      </c>
      <c r="B85" s="41"/>
      <c r="C85" s="35" t="str">
        <f>IF(B85="","",IFERROR(VLOOKUP(B85,DB_Customers!$A:$B,2,0),"❌ Account Not Found"))</f>
        <v/>
      </c>
      <c r="D85" s="42" t="str">
        <f t="shared" ca="1" si="9"/>
        <v/>
      </c>
      <c r="E85" s="32"/>
      <c r="F85" s="31"/>
      <c r="G85" s="41"/>
      <c r="H85" s="56">
        <v>2.5</v>
      </c>
      <c r="I85" s="43" t="str">
        <f t="shared" si="10"/>
        <v/>
      </c>
      <c r="J85" s="43" t="str">
        <f t="shared" si="11"/>
        <v/>
      </c>
      <c r="K85" s="33" t="str">
        <f>IF(B85="","Pending",IF(M85="","⚠️ Enter Code",IF(IFERROR(VLOOKUP(L85,DB_Agents!$B:$F,4,0),"")=TEXT(M85,"0"),"Pending Approval","🔒 WRONG CODE")))</f>
        <v>Pending</v>
      </c>
      <c r="L85" s="30" t="s">
        <v>57</v>
      </c>
      <c r="M85" s="41"/>
      <c r="N85" s="22"/>
    </row>
    <row r="86" spans="1:14" ht="20.100000000000001" customHeight="1" x14ac:dyDescent="0.25">
      <c r="A86" s="30" t="str">
        <f t="shared" si="8"/>
        <v/>
      </c>
      <c r="B86" s="41"/>
      <c r="C86" s="35" t="str">
        <f>IF(B86="","",IFERROR(VLOOKUP(B86,DB_Customers!$A:$B,2,0),"❌ Account Not Found"))</f>
        <v/>
      </c>
      <c r="D86" s="42" t="str">
        <f t="shared" ca="1" si="9"/>
        <v/>
      </c>
      <c r="E86" s="32"/>
      <c r="F86" s="31"/>
      <c r="G86" s="41"/>
      <c r="H86" s="56">
        <v>2.5</v>
      </c>
      <c r="I86" s="43" t="str">
        <f t="shared" si="10"/>
        <v/>
      </c>
      <c r="J86" s="43" t="str">
        <f t="shared" si="11"/>
        <v/>
      </c>
      <c r="K86" s="33" t="str">
        <f>IF(B86="","Pending",IF(M86="","⚠️ Enter Code",IF(IFERROR(VLOOKUP(L86,DB_Agents!$B:$F,4,0),"")=TEXT(M86,"0"),"Pending Approval","🔒 WRONG CODE")))</f>
        <v>Pending</v>
      </c>
      <c r="L86" s="30" t="s">
        <v>57</v>
      </c>
      <c r="M86" s="41"/>
      <c r="N86" s="57"/>
    </row>
    <row r="87" spans="1:14" ht="20.100000000000001" customHeight="1" x14ac:dyDescent="0.25">
      <c r="A87" s="30" t="str">
        <f t="shared" si="8"/>
        <v/>
      </c>
      <c r="B87" s="41"/>
      <c r="C87" s="35" t="str">
        <f>IF(B87="","",IFERROR(VLOOKUP(B87,DB_Customers!$A:$B,2,0),"❌ Account Not Found"))</f>
        <v/>
      </c>
      <c r="D87" s="42" t="str">
        <f t="shared" ca="1" si="9"/>
        <v/>
      </c>
      <c r="E87" s="32"/>
      <c r="F87" s="31"/>
      <c r="G87" s="41"/>
      <c r="H87" s="56">
        <v>2.5</v>
      </c>
      <c r="I87" s="43" t="str">
        <f t="shared" si="10"/>
        <v/>
      </c>
      <c r="J87" s="43" t="str">
        <f t="shared" si="11"/>
        <v/>
      </c>
      <c r="K87" s="33" t="str">
        <f>IF(B87="","Pending",IF(M87="","⚠️ Enter Code",IF(IFERROR(VLOOKUP(L87,DB_Agents!$B:$F,4,0),"")=TEXT(M87,"0"),"Pending Approval","🔒 WRONG CODE")))</f>
        <v>Pending</v>
      </c>
      <c r="L87" s="30" t="s">
        <v>57</v>
      </c>
      <c r="M87" s="41"/>
      <c r="N87" s="22"/>
    </row>
    <row r="88" spans="1:14" ht="20.100000000000001" customHeight="1" x14ac:dyDescent="0.25">
      <c r="A88" s="30" t="str">
        <f t="shared" si="8"/>
        <v/>
      </c>
      <c r="B88" s="41"/>
      <c r="C88" s="35" t="str">
        <f>IF(B88="","",IFERROR(VLOOKUP(B88,DB_Customers!$A:$B,2,0),"❌ Account Not Found"))</f>
        <v/>
      </c>
      <c r="D88" s="42" t="str">
        <f t="shared" ca="1" si="9"/>
        <v/>
      </c>
      <c r="E88" s="32"/>
      <c r="F88" s="31"/>
      <c r="G88" s="41"/>
      <c r="H88" s="56">
        <v>2.5</v>
      </c>
      <c r="I88" s="43" t="str">
        <f t="shared" si="10"/>
        <v/>
      </c>
      <c r="J88" s="43" t="str">
        <f t="shared" si="11"/>
        <v/>
      </c>
      <c r="K88" s="33" t="str">
        <f>IF(B88="","Pending",IF(M88="","⚠️ Enter Code",IF(IFERROR(VLOOKUP(L88,DB_Agents!$B:$F,4,0),"")=TEXT(M88,"0"),"Pending Approval","🔒 WRONG CODE")))</f>
        <v>Pending</v>
      </c>
      <c r="L88" s="30" t="s">
        <v>57</v>
      </c>
      <c r="M88" s="41"/>
      <c r="N88" s="57"/>
    </row>
    <row r="89" spans="1:14" ht="20.100000000000001" customHeight="1" x14ac:dyDescent="0.25">
      <c r="A89" s="30" t="str">
        <f t="shared" si="8"/>
        <v/>
      </c>
      <c r="B89" s="41"/>
      <c r="C89" s="35" t="str">
        <f>IF(B89="","",IFERROR(VLOOKUP(B89,DB_Customers!$A:$B,2,0),"❌ Account Not Found"))</f>
        <v/>
      </c>
      <c r="D89" s="42" t="str">
        <f t="shared" ca="1" si="9"/>
        <v/>
      </c>
      <c r="E89" s="32"/>
      <c r="F89" s="31"/>
      <c r="G89" s="41"/>
      <c r="H89" s="56">
        <v>2.5</v>
      </c>
      <c r="I89" s="43" t="str">
        <f t="shared" si="10"/>
        <v/>
      </c>
      <c r="J89" s="43" t="str">
        <f t="shared" si="11"/>
        <v/>
      </c>
      <c r="K89" s="33" t="str">
        <f>IF(B89="","Pending",IF(M89="","⚠️ Enter Code",IF(IFERROR(VLOOKUP(L89,DB_Agents!$B:$F,4,0),"")=TEXT(M89,"0"),"Pending Approval","🔒 WRONG CODE")))</f>
        <v>Pending</v>
      </c>
      <c r="L89" s="30" t="s">
        <v>57</v>
      </c>
      <c r="M89" s="41"/>
      <c r="N89" s="22"/>
    </row>
    <row r="90" spans="1:14" ht="20.100000000000001" customHeight="1" x14ac:dyDescent="0.25">
      <c r="A90" s="30" t="str">
        <f t="shared" si="8"/>
        <v/>
      </c>
      <c r="B90" s="41"/>
      <c r="C90" s="35" t="str">
        <f>IF(B90="","",IFERROR(VLOOKUP(B90,DB_Customers!$A:$B,2,0),"❌ Account Not Found"))</f>
        <v/>
      </c>
      <c r="D90" s="42" t="str">
        <f t="shared" ca="1" si="9"/>
        <v/>
      </c>
      <c r="E90" s="32"/>
      <c r="F90" s="31"/>
      <c r="G90" s="41"/>
      <c r="H90" s="56">
        <v>2.5</v>
      </c>
      <c r="I90" s="43" t="str">
        <f t="shared" si="10"/>
        <v/>
      </c>
      <c r="J90" s="43" t="str">
        <f t="shared" si="11"/>
        <v/>
      </c>
      <c r="K90" s="33" t="str">
        <f>IF(B90="","Pending",IF(M90="","⚠️ Enter Code",IF(IFERROR(VLOOKUP(L90,DB_Agents!$B:$F,4,0),"")=TEXT(M90,"0"),"Pending Approval","🔒 WRONG CODE")))</f>
        <v>Pending</v>
      </c>
      <c r="L90" s="30" t="s">
        <v>57</v>
      </c>
      <c r="M90" s="41"/>
      <c r="N90" s="57"/>
    </row>
    <row r="91" spans="1:14" ht="20.100000000000001" customHeight="1" x14ac:dyDescent="0.25">
      <c r="A91" s="30" t="str">
        <f t="shared" si="8"/>
        <v/>
      </c>
      <c r="B91" s="41"/>
      <c r="C91" s="35" t="str">
        <f>IF(B91="","",IFERROR(VLOOKUP(B91,DB_Customers!$A:$B,2,0),"❌ Account Not Found"))</f>
        <v/>
      </c>
      <c r="D91" s="42" t="str">
        <f t="shared" ca="1" si="9"/>
        <v/>
      </c>
      <c r="E91" s="32"/>
      <c r="F91" s="31"/>
      <c r="G91" s="41"/>
      <c r="H91" s="56">
        <v>2.5</v>
      </c>
      <c r="I91" s="43" t="str">
        <f t="shared" si="10"/>
        <v/>
      </c>
      <c r="J91" s="43" t="str">
        <f t="shared" si="11"/>
        <v/>
      </c>
      <c r="K91" s="33" t="str">
        <f>IF(B91="","Pending",IF(M91="","⚠️ Enter Code",IF(IFERROR(VLOOKUP(L91,DB_Agents!$B:$F,4,0),"")=TEXT(M91,"0"),"Pending Approval","🔒 WRONG CODE")))</f>
        <v>Pending</v>
      </c>
      <c r="L91" s="30" t="s">
        <v>57</v>
      </c>
      <c r="M91" s="41"/>
      <c r="N91" s="22"/>
    </row>
    <row r="92" spans="1:14" ht="20.100000000000001" customHeight="1" x14ac:dyDescent="0.25">
      <c r="A92" s="30" t="str">
        <f t="shared" si="8"/>
        <v/>
      </c>
      <c r="B92" s="41"/>
      <c r="C92" s="35" t="str">
        <f>IF(B92="","",IFERROR(VLOOKUP(B92,DB_Customers!$A:$B,2,0),"❌ Account Not Found"))</f>
        <v/>
      </c>
      <c r="D92" s="42" t="str">
        <f t="shared" ca="1" si="9"/>
        <v/>
      </c>
      <c r="E92" s="32"/>
      <c r="F92" s="31"/>
      <c r="G92" s="41"/>
      <c r="H92" s="56">
        <v>2.5</v>
      </c>
      <c r="I92" s="43" t="str">
        <f t="shared" si="10"/>
        <v/>
      </c>
      <c r="J92" s="43" t="str">
        <f t="shared" si="11"/>
        <v/>
      </c>
      <c r="K92" s="33" t="str">
        <f>IF(B92="","Pending",IF(M92="","⚠️ Enter Code",IF(IFERROR(VLOOKUP(L92,DB_Agents!$B:$F,4,0),"")=TEXT(M92,"0"),"Pending Approval","🔒 WRONG CODE")))</f>
        <v>Pending</v>
      </c>
      <c r="L92" s="30" t="s">
        <v>57</v>
      </c>
      <c r="M92" s="41"/>
      <c r="N92" s="57"/>
    </row>
    <row r="93" spans="1:14" ht="20.100000000000001" customHeight="1" x14ac:dyDescent="0.25">
      <c r="A93" s="30" t="str">
        <f t="shared" si="8"/>
        <v/>
      </c>
      <c r="B93" s="41"/>
      <c r="C93" s="35" t="str">
        <f>IF(B93="","",IFERROR(VLOOKUP(B93,DB_Customers!$A:$B,2,0),"❌ Account Not Found"))</f>
        <v/>
      </c>
      <c r="D93" s="42" t="str">
        <f t="shared" ca="1" si="9"/>
        <v/>
      </c>
      <c r="E93" s="32"/>
      <c r="F93" s="31"/>
      <c r="G93" s="41"/>
      <c r="H93" s="56">
        <v>2.5</v>
      </c>
      <c r="I93" s="43" t="str">
        <f t="shared" si="10"/>
        <v/>
      </c>
      <c r="J93" s="43" t="str">
        <f t="shared" si="11"/>
        <v/>
      </c>
      <c r="K93" s="33" t="str">
        <f>IF(B93="","Pending",IF(M93="","⚠️ Enter Code",IF(IFERROR(VLOOKUP(L93,DB_Agents!$B:$F,4,0),"")=TEXT(M93,"0"),"Pending Approval","🔒 WRONG CODE")))</f>
        <v>Pending</v>
      </c>
      <c r="L93" s="30" t="s">
        <v>57</v>
      </c>
      <c r="M93" s="41"/>
      <c r="N93" s="22"/>
    </row>
    <row r="94" spans="1:14" ht="20.100000000000001" customHeight="1" x14ac:dyDescent="0.25">
      <c r="A94" s="30" t="str">
        <f t="shared" si="8"/>
        <v/>
      </c>
      <c r="B94" s="41"/>
      <c r="C94" s="35" t="str">
        <f>IF(B94="","",IFERROR(VLOOKUP(B94,DB_Customers!$A:$B,2,0),"❌ Account Not Found"))</f>
        <v/>
      </c>
      <c r="D94" s="42" t="str">
        <f t="shared" ca="1" si="9"/>
        <v/>
      </c>
      <c r="E94" s="32"/>
      <c r="F94" s="31"/>
      <c r="G94" s="41"/>
      <c r="H94" s="56">
        <v>2.5</v>
      </c>
      <c r="I94" s="43" t="str">
        <f t="shared" si="10"/>
        <v/>
      </c>
      <c r="J94" s="43" t="str">
        <f t="shared" si="11"/>
        <v/>
      </c>
      <c r="K94" s="33" t="str">
        <f>IF(B94="","Pending",IF(M94="","⚠️ Enter Code",IF(IFERROR(VLOOKUP(L94,DB_Agents!$B:$F,4,0),"")=TEXT(M94,"0"),"Pending Approval","🔒 WRONG CODE")))</f>
        <v>Pending</v>
      </c>
      <c r="L94" s="30" t="s">
        <v>57</v>
      </c>
      <c r="M94" s="41"/>
      <c r="N94" s="57"/>
    </row>
    <row r="95" spans="1:14" ht="20.100000000000001" customHeight="1" x14ac:dyDescent="0.25">
      <c r="A95" s="30" t="str">
        <f t="shared" si="8"/>
        <v/>
      </c>
      <c r="B95" s="41"/>
      <c r="C95" s="35" t="str">
        <f>IF(B95="","",IFERROR(VLOOKUP(B95,DB_Customers!$A:$B,2,0),"❌ Account Not Found"))</f>
        <v/>
      </c>
      <c r="D95" s="42" t="str">
        <f t="shared" ca="1" si="9"/>
        <v/>
      </c>
      <c r="E95" s="32"/>
      <c r="F95" s="31"/>
      <c r="G95" s="41"/>
      <c r="H95" s="56">
        <v>2.5</v>
      </c>
      <c r="I95" s="43" t="str">
        <f t="shared" si="10"/>
        <v/>
      </c>
      <c r="J95" s="43" t="str">
        <f t="shared" si="11"/>
        <v/>
      </c>
      <c r="K95" s="33" t="str">
        <f>IF(B95="","Pending",IF(M95="","⚠️ Enter Code",IF(IFERROR(VLOOKUP(L95,DB_Agents!$B:$F,4,0),"")=TEXT(M95,"0"),"Pending Approval","🔒 WRONG CODE")))</f>
        <v>Pending</v>
      </c>
      <c r="L95" s="30" t="s">
        <v>57</v>
      </c>
      <c r="M95" s="41"/>
      <c r="N95" s="22"/>
    </row>
    <row r="96" spans="1:14" ht="20.100000000000001" customHeight="1" x14ac:dyDescent="0.25">
      <c r="A96" s="30" t="str">
        <f t="shared" si="8"/>
        <v/>
      </c>
      <c r="B96" s="41"/>
      <c r="C96" s="35" t="str">
        <f>IF(B96="","",IFERROR(VLOOKUP(B96,DB_Customers!$A:$B,2,0),"❌ Account Not Found"))</f>
        <v/>
      </c>
      <c r="D96" s="42" t="str">
        <f t="shared" ca="1" si="9"/>
        <v/>
      </c>
      <c r="E96" s="32"/>
      <c r="F96" s="31"/>
      <c r="G96" s="41"/>
      <c r="H96" s="56">
        <v>2.5</v>
      </c>
      <c r="I96" s="43" t="str">
        <f t="shared" si="10"/>
        <v/>
      </c>
      <c r="J96" s="43" t="str">
        <f t="shared" si="11"/>
        <v/>
      </c>
      <c r="K96" s="33" t="str">
        <f>IF(B96="","Pending",IF(M96="","⚠️ Enter Code",IF(IFERROR(VLOOKUP(L96,DB_Agents!$B:$F,4,0),"")=TEXT(M96,"0"),"Pending Approval","🔒 WRONG CODE")))</f>
        <v>Pending</v>
      </c>
      <c r="L96" s="30" t="s">
        <v>57</v>
      </c>
      <c r="M96" s="41"/>
      <c r="N96" s="57"/>
    </row>
    <row r="97" spans="1:14" ht="20.100000000000001" customHeight="1" x14ac:dyDescent="0.25">
      <c r="A97" s="30" t="str">
        <f t="shared" si="8"/>
        <v/>
      </c>
      <c r="B97" s="41"/>
      <c r="C97" s="35" t="str">
        <f>IF(B97="","",IFERROR(VLOOKUP(B97,DB_Customers!$A:$B,2,0),"❌ Account Not Found"))</f>
        <v/>
      </c>
      <c r="D97" s="42" t="str">
        <f t="shared" ca="1" si="9"/>
        <v/>
      </c>
      <c r="E97" s="32"/>
      <c r="F97" s="31"/>
      <c r="G97" s="41"/>
      <c r="H97" s="56">
        <v>2.5</v>
      </c>
      <c r="I97" s="43" t="str">
        <f t="shared" si="10"/>
        <v/>
      </c>
      <c r="J97" s="43" t="str">
        <f t="shared" si="11"/>
        <v/>
      </c>
      <c r="K97" s="33" t="str">
        <f>IF(B97="","Pending",IF(M97="","⚠️ Enter Code",IF(IFERROR(VLOOKUP(L97,DB_Agents!$B:$F,4,0),"")=TEXT(M97,"0"),"Pending Approval","🔒 WRONG CODE")))</f>
        <v>Pending</v>
      </c>
      <c r="L97" s="30" t="s">
        <v>57</v>
      </c>
      <c r="M97" s="41"/>
      <c r="N97" s="22"/>
    </row>
    <row r="98" spans="1:14" ht="20.100000000000001" customHeight="1" x14ac:dyDescent="0.25">
      <c r="A98" s="30" t="str">
        <f t="shared" si="8"/>
        <v/>
      </c>
      <c r="B98" s="41"/>
      <c r="C98" s="35" t="str">
        <f>IF(B98="","",IFERROR(VLOOKUP(B98,DB_Customers!$A:$B,2,0),"❌ Account Not Found"))</f>
        <v/>
      </c>
      <c r="D98" s="42" t="str">
        <f t="shared" ca="1" si="9"/>
        <v/>
      </c>
      <c r="E98" s="32"/>
      <c r="F98" s="31"/>
      <c r="G98" s="41"/>
      <c r="H98" s="56">
        <v>2.5</v>
      </c>
      <c r="I98" s="43" t="str">
        <f t="shared" si="10"/>
        <v/>
      </c>
      <c r="J98" s="43" t="str">
        <f t="shared" si="11"/>
        <v/>
      </c>
      <c r="K98" s="33" t="str">
        <f>IF(B98="","Pending",IF(M98="","⚠️ Enter Code",IF(IFERROR(VLOOKUP(L98,DB_Agents!$B:$F,4,0),"")=TEXT(M98,"0"),"Pending Approval","🔒 WRONG CODE")))</f>
        <v>Pending</v>
      </c>
      <c r="L98" s="30" t="s">
        <v>57</v>
      </c>
      <c r="M98" s="41"/>
      <c r="N98" s="57"/>
    </row>
    <row r="99" spans="1:14" ht="20.100000000000001" customHeight="1" x14ac:dyDescent="0.25">
      <c r="A99" s="30" t="str">
        <f t="shared" si="8"/>
        <v/>
      </c>
      <c r="B99" s="41"/>
      <c r="C99" s="35" t="str">
        <f>IF(B99="","",IFERROR(VLOOKUP(B99,DB_Customers!$A:$B,2,0),"❌ Account Not Found"))</f>
        <v/>
      </c>
      <c r="D99" s="42" t="str">
        <f t="shared" ca="1" si="9"/>
        <v/>
      </c>
      <c r="E99" s="32"/>
      <c r="F99" s="31"/>
      <c r="G99" s="41"/>
      <c r="H99" s="56">
        <v>2.5</v>
      </c>
      <c r="I99" s="43" t="str">
        <f t="shared" si="10"/>
        <v/>
      </c>
      <c r="J99" s="43" t="str">
        <f t="shared" si="11"/>
        <v/>
      </c>
      <c r="K99" s="33" t="str">
        <f>IF(B99="","Pending",IF(M99="","⚠️ Enter Code",IF(IFERROR(VLOOKUP(L99,DB_Agents!$B:$F,4,0),"")=TEXT(M99,"0"),"Pending Approval","🔒 WRONG CODE")))</f>
        <v>Pending</v>
      </c>
      <c r="L99" s="30" t="s">
        <v>57</v>
      </c>
      <c r="M99" s="41"/>
      <c r="N99" s="22"/>
    </row>
    <row r="100" spans="1:14" ht="20.100000000000001" customHeight="1" x14ac:dyDescent="0.25">
      <c r="A100" s="30" t="str">
        <f t="shared" si="8"/>
        <v/>
      </c>
      <c r="B100" s="41"/>
      <c r="C100" s="35" t="str">
        <f>IF(B100="","",IFERROR(VLOOKUP(B100,DB_Customers!$A:$B,2,0),"❌ Account Not Found"))</f>
        <v/>
      </c>
      <c r="D100" s="42" t="str">
        <f t="shared" ca="1" si="9"/>
        <v/>
      </c>
      <c r="E100" s="32"/>
      <c r="F100" s="31"/>
      <c r="G100" s="41"/>
      <c r="H100" s="56">
        <v>2.5</v>
      </c>
      <c r="I100" s="43" t="str">
        <f t="shared" si="10"/>
        <v/>
      </c>
      <c r="J100" s="43" t="str">
        <f t="shared" si="11"/>
        <v/>
      </c>
      <c r="K100" s="33" t="str">
        <f>IF(B100="","Pending",IF(M100="","⚠️ Enter Code",IF(IFERROR(VLOOKUP(L100,DB_Agents!$B:$F,4,0),"")=TEXT(M100,"0"),"Pending Approval","🔒 WRONG CODE")))</f>
        <v>Pending</v>
      </c>
      <c r="L100" s="30" t="s">
        <v>57</v>
      </c>
      <c r="M100" s="41"/>
      <c r="N100" s="57"/>
    </row>
    <row r="101" spans="1:14" ht="20.100000000000001" customHeight="1" x14ac:dyDescent="0.25">
      <c r="A101" s="30" t="str">
        <f t="shared" si="8"/>
        <v/>
      </c>
      <c r="B101" s="41"/>
      <c r="C101" s="35" t="str">
        <f>IF(B101="","",IFERROR(VLOOKUP(B101,DB_Customers!$A:$B,2,0),"❌ Account Not Found"))</f>
        <v/>
      </c>
      <c r="D101" s="42" t="str">
        <f t="shared" ca="1" si="9"/>
        <v/>
      </c>
      <c r="E101" s="32"/>
      <c r="F101" s="31"/>
      <c r="G101" s="41"/>
      <c r="H101" s="56">
        <v>2.5</v>
      </c>
      <c r="I101" s="43" t="str">
        <f t="shared" si="10"/>
        <v/>
      </c>
      <c r="J101" s="43" t="str">
        <f t="shared" si="11"/>
        <v/>
      </c>
      <c r="K101" s="33" t="str">
        <f>IF(B101="","Pending",IF(M101="","⚠️ Enter Code",IF(IFERROR(VLOOKUP(L101,DB_Agents!$B:$F,4,0),"")=TEXT(M101,"0"),"Pending Approval","🔒 WRONG CODE")))</f>
        <v>Pending</v>
      </c>
      <c r="L101" s="30" t="s">
        <v>57</v>
      </c>
      <c r="M101" s="41"/>
      <c r="N101" s="22"/>
    </row>
    <row r="102" spans="1:14" ht="20.100000000000001" customHeight="1" x14ac:dyDescent="0.25">
      <c r="A102" s="30" t="str">
        <f t="shared" si="8"/>
        <v/>
      </c>
      <c r="B102" s="41"/>
      <c r="C102" s="35" t="str">
        <f>IF(B102="","",IFERROR(VLOOKUP(B102,DB_Customers!$A:$B,2,0),"❌ Account Not Found"))</f>
        <v/>
      </c>
      <c r="D102" s="42" t="str">
        <f t="shared" ca="1" si="9"/>
        <v/>
      </c>
      <c r="E102" s="32"/>
      <c r="F102" s="31"/>
      <c r="G102" s="41"/>
      <c r="H102" s="56">
        <v>2.5</v>
      </c>
      <c r="I102" s="43" t="str">
        <f t="shared" si="10"/>
        <v/>
      </c>
      <c r="J102" s="43" t="str">
        <f t="shared" si="11"/>
        <v/>
      </c>
      <c r="K102" s="33" t="str">
        <f>IF(B102="","Pending",IF(M102="","⚠️ Enter Code",IF(IFERROR(VLOOKUP(L102,DB_Agents!$B:$F,4,0),"")=TEXT(M102,"0"),"Pending Approval","🔒 WRONG CODE")))</f>
        <v>Pending</v>
      </c>
      <c r="L102" s="30" t="s">
        <v>57</v>
      </c>
      <c r="M102" s="41"/>
      <c r="N102" s="57"/>
    </row>
    <row r="103" spans="1:14" ht="20.100000000000001" customHeight="1" x14ac:dyDescent="0.25">
      <c r="A103" s="30" t="str">
        <f t="shared" si="8"/>
        <v/>
      </c>
      <c r="B103" s="41"/>
      <c r="C103" s="35" t="str">
        <f>IF(B103="","",IFERROR(VLOOKUP(B103,DB_Customers!$A:$B,2,0),"❌ Account Not Found"))</f>
        <v/>
      </c>
      <c r="D103" s="42" t="str">
        <f t="shared" ca="1" si="9"/>
        <v/>
      </c>
      <c r="E103" s="32"/>
      <c r="F103" s="31"/>
      <c r="G103" s="41"/>
      <c r="H103" s="56">
        <v>2.5</v>
      </c>
      <c r="I103" s="43" t="str">
        <f t="shared" si="10"/>
        <v/>
      </c>
      <c r="J103" s="43" t="str">
        <f t="shared" si="11"/>
        <v/>
      </c>
      <c r="K103" s="33" t="str">
        <f>IF(B103="","Pending",IF(M103="","⚠️ Enter Code",IF(IFERROR(VLOOKUP(L103,DB_Agents!$B:$F,4,0),"")=TEXT(M103,"0"),"Pending Approval","🔒 WRONG CODE")))</f>
        <v>Pending</v>
      </c>
      <c r="L103" s="30" t="s">
        <v>57</v>
      </c>
      <c r="M103" s="41"/>
      <c r="N103" s="22"/>
    </row>
    <row r="104" spans="1:14" ht="20.100000000000001" customHeight="1" x14ac:dyDescent="0.25">
      <c r="A104" s="30" t="str">
        <f t="shared" si="8"/>
        <v/>
      </c>
      <c r="B104" s="41"/>
      <c r="C104" s="35" t="str">
        <f>IF(B104="","",IFERROR(VLOOKUP(B104,DB_Customers!$A:$B,2,0),"❌ Account Not Found"))</f>
        <v/>
      </c>
      <c r="D104" s="42" t="str">
        <f t="shared" ca="1" si="9"/>
        <v/>
      </c>
      <c r="E104" s="32"/>
      <c r="F104" s="31"/>
      <c r="G104" s="41"/>
      <c r="H104" s="56">
        <v>2.5</v>
      </c>
      <c r="I104" s="43" t="str">
        <f t="shared" si="10"/>
        <v/>
      </c>
      <c r="J104" s="43" t="str">
        <f t="shared" si="11"/>
        <v/>
      </c>
      <c r="K104" s="33" t="str">
        <f>IF(B104="","Pending",IF(M104="","⚠️ Enter Code",IF(IFERROR(VLOOKUP(L104,DB_Agents!$B:$F,4,0),"")=TEXT(M104,"0"),"Pending Approval","🔒 WRONG CODE")))</f>
        <v>Pending</v>
      </c>
      <c r="L104" s="30" t="s">
        <v>57</v>
      </c>
      <c r="M104" s="41"/>
      <c r="N104" s="57"/>
    </row>
    <row r="105" spans="1:14" ht="20.100000000000001" customHeight="1" x14ac:dyDescent="0.25">
      <c r="A105" s="30" t="str">
        <f t="shared" si="8"/>
        <v/>
      </c>
      <c r="B105" s="41"/>
      <c r="C105" s="35" t="str">
        <f>IF(B105="","",IFERROR(VLOOKUP(B105,DB_Customers!$A:$B,2,0),"❌ Account Not Found"))</f>
        <v/>
      </c>
      <c r="D105" s="42" t="str">
        <f t="shared" ca="1" si="9"/>
        <v/>
      </c>
      <c r="E105" s="32"/>
      <c r="F105" s="31"/>
      <c r="G105" s="41"/>
      <c r="H105" s="56">
        <v>2.5</v>
      </c>
      <c r="I105" s="43" t="str">
        <f t="shared" si="10"/>
        <v/>
      </c>
      <c r="J105" s="43" t="str">
        <f t="shared" si="11"/>
        <v/>
      </c>
      <c r="K105" s="33" t="str">
        <f>IF(B105="","Pending",IF(M105="","⚠️ Enter Code",IF(IFERROR(VLOOKUP(L105,DB_Agents!$B:$F,4,0),"")=TEXT(M105,"0"),"Pending Approval","🔒 WRONG CODE")))</f>
        <v>Pending</v>
      </c>
      <c r="L105" s="30" t="s">
        <v>57</v>
      </c>
      <c r="M105" s="41"/>
      <c r="N105" s="22"/>
    </row>
    <row r="106" spans="1:14" ht="20.100000000000001" customHeight="1" x14ac:dyDescent="0.25">
      <c r="A106" s="30" t="str">
        <f t="shared" si="8"/>
        <v/>
      </c>
      <c r="B106" s="41"/>
      <c r="C106" s="35" t="str">
        <f>IF(B106="","",IFERROR(VLOOKUP(B106,DB_Customers!$A:$B,2,0),"❌ Account Not Found"))</f>
        <v/>
      </c>
      <c r="D106" s="42" t="str">
        <f t="shared" ca="1" si="9"/>
        <v/>
      </c>
      <c r="E106" s="32"/>
      <c r="F106" s="31"/>
      <c r="G106" s="41"/>
      <c r="H106" s="56">
        <v>2.5</v>
      </c>
      <c r="I106" s="43" t="str">
        <f t="shared" si="10"/>
        <v/>
      </c>
      <c r="J106" s="43" t="str">
        <f t="shared" si="11"/>
        <v/>
      </c>
      <c r="K106" s="33" t="str">
        <f>IF(B106="","Pending",IF(M106="","⚠️ Enter Code",IF(IFERROR(VLOOKUP(L106,DB_Agents!$B:$F,4,0),"")=TEXT(M106,"0"),"Pending Approval","🔒 WRONG CODE")))</f>
        <v>Pending</v>
      </c>
      <c r="L106" s="30" t="s">
        <v>57</v>
      </c>
      <c r="M106" s="41"/>
      <c r="N106" s="57"/>
    </row>
    <row r="107" spans="1:14" ht="20.100000000000001" customHeight="1" x14ac:dyDescent="0.25">
      <c r="A107" s="30" t="str">
        <f t="shared" si="8"/>
        <v/>
      </c>
      <c r="B107" s="41"/>
      <c r="C107" s="35" t="str">
        <f>IF(B107="","",IFERROR(VLOOKUP(B107,DB_Customers!$A:$B,2,0),"❌ Account Not Found"))</f>
        <v/>
      </c>
      <c r="D107" s="42" t="str">
        <f t="shared" ca="1" si="9"/>
        <v/>
      </c>
      <c r="E107" s="32"/>
      <c r="F107" s="31"/>
      <c r="G107" s="41"/>
      <c r="H107" s="56">
        <v>2.5</v>
      </c>
      <c r="I107" s="43" t="str">
        <f t="shared" si="10"/>
        <v/>
      </c>
      <c r="J107" s="43" t="str">
        <f t="shared" si="11"/>
        <v/>
      </c>
      <c r="K107" s="33" t="str">
        <f>IF(B107="","Pending",IF(M107="","⚠️ Enter Code",IF(IFERROR(VLOOKUP(L107,DB_Agents!$B:$F,4,0),"")=TEXT(M107,"0"),"Pending Approval","🔒 WRONG CODE")))</f>
        <v>Pending</v>
      </c>
      <c r="L107" s="30" t="s">
        <v>57</v>
      </c>
      <c r="M107" s="41"/>
      <c r="N107" s="22"/>
    </row>
    <row r="108" spans="1:14" ht="20.100000000000001" customHeight="1" x14ac:dyDescent="0.25">
      <c r="A108" s="30" t="str">
        <f t="shared" si="8"/>
        <v/>
      </c>
      <c r="B108" s="41"/>
      <c r="C108" s="35" t="str">
        <f>IF(B108="","",IFERROR(VLOOKUP(B108,DB_Customers!$A:$B,2,0),"❌ Account Not Found"))</f>
        <v/>
      </c>
      <c r="D108" s="42" t="str">
        <f t="shared" ca="1" si="9"/>
        <v/>
      </c>
      <c r="E108" s="32"/>
      <c r="F108" s="31"/>
      <c r="G108" s="41"/>
      <c r="H108" s="56">
        <v>2.5</v>
      </c>
      <c r="I108" s="43" t="str">
        <f t="shared" si="10"/>
        <v/>
      </c>
      <c r="J108" s="43" t="str">
        <f t="shared" si="11"/>
        <v/>
      </c>
      <c r="K108" s="33" t="str">
        <f>IF(B108="","Pending",IF(M108="","⚠️ Enter Code",IF(IFERROR(VLOOKUP(L108,DB_Agents!$B:$F,4,0),"")=TEXT(M108,"0"),"Pending Approval","🔒 WRONG CODE")))</f>
        <v>Pending</v>
      </c>
      <c r="L108" s="30" t="s">
        <v>57</v>
      </c>
      <c r="M108" s="41"/>
      <c r="N108" s="57"/>
    </row>
    <row r="109" spans="1:14" ht="20.100000000000001" customHeight="1" x14ac:dyDescent="0.25">
      <c r="A109" s="30" t="str">
        <f t="shared" si="8"/>
        <v/>
      </c>
      <c r="B109" s="41"/>
      <c r="C109" s="35" t="str">
        <f>IF(B109="","",IFERROR(VLOOKUP(B109,DB_Customers!$A:$B,2,0),"❌ Account Not Found"))</f>
        <v/>
      </c>
      <c r="D109" s="42" t="str">
        <f t="shared" ca="1" si="9"/>
        <v/>
      </c>
      <c r="E109" s="32"/>
      <c r="F109" s="31"/>
      <c r="G109" s="41"/>
      <c r="H109" s="56">
        <v>2.5</v>
      </c>
      <c r="I109" s="43" t="str">
        <f t="shared" si="10"/>
        <v/>
      </c>
      <c r="J109" s="43" t="str">
        <f t="shared" si="11"/>
        <v/>
      </c>
      <c r="K109" s="33" t="str">
        <f>IF(B109="","Pending",IF(M109="","⚠️ Enter Code",IF(IFERROR(VLOOKUP(L109,DB_Agents!$B:$F,4,0),"")=TEXT(M109,"0"),"Pending Approval","🔒 WRONG CODE")))</f>
        <v>Pending</v>
      </c>
      <c r="L109" s="30" t="s">
        <v>57</v>
      </c>
      <c r="M109" s="41"/>
      <c r="N109" s="22"/>
    </row>
    <row r="110" spans="1:14" ht="20.100000000000001" customHeight="1" x14ac:dyDescent="0.25">
      <c r="A110" s="30" t="str">
        <f t="shared" ref="A110:A141" si="12">IF(B110="","",IF(C110="❌ Account Not Found","INVALID","LN"&amp;TEXT(D110,"YYYYMMDD")&amp;TEXT(ROW()-13,"0000")))</f>
        <v/>
      </c>
      <c r="B110" s="41"/>
      <c r="C110" s="35" t="str">
        <f>IF(B110="","",IFERROR(VLOOKUP(B110,DB_Customers!$A:$B,2,0),"❌ Account Not Found"))</f>
        <v/>
      </c>
      <c r="D110" s="42" t="str">
        <f t="shared" ref="D110:D141" ca="1" si="13">IF(B110="","",TODAY())</f>
        <v/>
      </c>
      <c r="E110" s="32"/>
      <c r="F110" s="31"/>
      <c r="G110" s="41"/>
      <c r="H110" s="56">
        <v>2.5</v>
      </c>
      <c r="I110" s="43" t="str">
        <f t="shared" ref="I110:I141" si="14">IF(E110="","",E110+(E110*H110/100*G110))</f>
        <v/>
      </c>
      <c r="J110" s="43" t="str">
        <f t="shared" ref="J110:J141" si="15">IFERROR(I110/G110,"")</f>
        <v/>
      </c>
      <c r="K110" s="33" t="str">
        <f>IF(B110="","Pending",IF(M110="","⚠️ Enter Code",IF(IFERROR(VLOOKUP(L110,DB_Agents!$B:$F,4,0),"")=TEXT(M110,"0"),"Pending Approval","🔒 WRONG CODE")))</f>
        <v>Pending</v>
      </c>
      <c r="L110" s="30" t="s">
        <v>57</v>
      </c>
      <c r="M110" s="41"/>
      <c r="N110" s="57"/>
    </row>
    <row r="111" spans="1:14" ht="20.100000000000001" customHeight="1" x14ac:dyDescent="0.25">
      <c r="A111" s="30" t="str">
        <f t="shared" si="12"/>
        <v/>
      </c>
      <c r="B111" s="41"/>
      <c r="C111" s="35" t="str">
        <f>IF(B111="","",IFERROR(VLOOKUP(B111,DB_Customers!$A:$B,2,0),"❌ Account Not Found"))</f>
        <v/>
      </c>
      <c r="D111" s="42" t="str">
        <f t="shared" ca="1" si="13"/>
        <v/>
      </c>
      <c r="E111" s="32"/>
      <c r="F111" s="31"/>
      <c r="G111" s="41"/>
      <c r="H111" s="56">
        <v>2.5</v>
      </c>
      <c r="I111" s="43" t="str">
        <f t="shared" si="14"/>
        <v/>
      </c>
      <c r="J111" s="43" t="str">
        <f t="shared" si="15"/>
        <v/>
      </c>
      <c r="K111" s="33" t="str">
        <f>IF(B111="","Pending",IF(M111="","⚠️ Enter Code",IF(IFERROR(VLOOKUP(L111,DB_Agents!$B:$F,4,0),"")=TEXT(M111,"0"),"Pending Approval","🔒 WRONG CODE")))</f>
        <v>Pending</v>
      </c>
      <c r="L111" s="30" t="s">
        <v>57</v>
      </c>
      <c r="M111" s="41"/>
      <c r="N111" s="22"/>
    </row>
    <row r="112" spans="1:14" ht="20.100000000000001" customHeight="1" x14ac:dyDescent="0.25">
      <c r="A112" s="30" t="str">
        <f t="shared" si="12"/>
        <v/>
      </c>
      <c r="B112" s="41"/>
      <c r="C112" s="35" t="str">
        <f>IF(B112="","",IFERROR(VLOOKUP(B112,DB_Customers!$A:$B,2,0),"❌ Account Not Found"))</f>
        <v/>
      </c>
      <c r="D112" s="42" t="str">
        <f t="shared" ca="1" si="13"/>
        <v/>
      </c>
      <c r="E112" s="32"/>
      <c r="F112" s="31"/>
      <c r="G112" s="41"/>
      <c r="H112" s="56">
        <v>2.5</v>
      </c>
      <c r="I112" s="43" t="str">
        <f t="shared" si="14"/>
        <v/>
      </c>
      <c r="J112" s="43" t="str">
        <f t="shared" si="15"/>
        <v/>
      </c>
      <c r="K112" s="33" t="str">
        <f>IF(B112="","Pending",IF(M112="","⚠️ Enter Code",IF(IFERROR(VLOOKUP(L112,DB_Agents!$B:$F,4,0),"")=TEXT(M112,"0"),"Pending Approval","🔒 WRONG CODE")))</f>
        <v>Pending</v>
      </c>
      <c r="L112" s="30" t="s">
        <v>57</v>
      </c>
      <c r="M112" s="41"/>
      <c r="N112" s="57"/>
    </row>
    <row r="113" spans="1:14" ht="20.100000000000001" customHeight="1" x14ac:dyDescent="0.25">
      <c r="A113" s="30" t="str">
        <f t="shared" si="12"/>
        <v/>
      </c>
      <c r="B113" s="41"/>
      <c r="C113" s="35" t="str">
        <f>IF(B113="","",IFERROR(VLOOKUP(B113,DB_Customers!$A:$B,2,0),"❌ Account Not Found"))</f>
        <v/>
      </c>
      <c r="D113" s="42" t="str">
        <f t="shared" ca="1" si="13"/>
        <v/>
      </c>
      <c r="E113" s="32"/>
      <c r="F113" s="31"/>
      <c r="G113" s="41"/>
      <c r="H113" s="56">
        <v>2.5</v>
      </c>
      <c r="I113" s="43" t="str">
        <f t="shared" si="14"/>
        <v/>
      </c>
      <c r="J113" s="43" t="str">
        <f t="shared" si="15"/>
        <v/>
      </c>
      <c r="K113" s="33" t="str">
        <f>IF(B113="","Pending",IF(M113="","⚠️ Enter Code",IF(IFERROR(VLOOKUP(L113,DB_Agents!$B:$F,4,0),"")=TEXT(M113,"0"),"Pending Approval","🔒 WRONG CODE")))</f>
        <v>Pending</v>
      </c>
      <c r="L113" s="30" t="s">
        <v>57</v>
      </c>
      <c r="M113" s="41"/>
      <c r="N113" s="22"/>
    </row>
    <row r="114" spans="1:14" ht="20.100000000000001" customHeight="1" x14ac:dyDescent="0.25">
      <c r="A114" s="30" t="str">
        <f t="shared" si="12"/>
        <v/>
      </c>
      <c r="B114" s="41"/>
      <c r="C114" s="35" t="str">
        <f>IF(B114="","",IFERROR(VLOOKUP(B114,DB_Customers!$A:$B,2,0),"❌ Account Not Found"))</f>
        <v/>
      </c>
      <c r="D114" s="42" t="str">
        <f t="shared" ca="1" si="13"/>
        <v/>
      </c>
      <c r="E114" s="32"/>
      <c r="F114" s="31"/>
      <c r="G114" s="41"/>
      <c r="H114" s="56">
        <v>2.5</v>
      </c>
      <c r="I114" s="43" t="str">
        <f t="shared" si="14"/>
        <v/>
      </c>
      <c r="J114" s="43" t="str">
        <f t="shared" si="15"/>
        <v/>
      </c>
      <c r="K114" s="33" t="str">
        <f>IF(B114="","Pending",IF(M114="","⚠️ Enter Code",IF(IFERROR(VLOOKUP(L114,DB_Agents!$B:$F,4,0),"")=TEXT(M114,"0"),"Pending Approval","🔒 WRONG CODE")))</f>
        <v>Pending</v>
      </c>
      <c r="L114" s="30" t="s">
        <v>57</v>
      </c>
      <c r="M114" s="41"/>
      <c r="N114" s="57"/>
    </row>
    <row r="115" spans="1:14" ht="20.100000000000001" customHeight="1" x14ac:dyDescent="0.25">
      <c r="A115" s="30" t="str">
        <f t="shared" si="12"/>
        <v/>
      </c>
      <c r="B115" s="41"/>
      <c r="C115" s="35" t="str">
        <f>IF(B115="","",IFERROR(VLOOKUP(B115,DB_Customers!$A:$B,2,0),"❌ Account Not Found"))</f>
        <v/>
      </c>
      <c r="D115" s="42" t="str">
        <f t="shared" ca="1" si="13"/>
        <v/>
      </c>
      <c r="E115" s="32"/>
      <c r="F115" s="31"/>
      <c r="G115" s="41"/>
      <c r="H115" s="56">
        <v>2.5</v>
      </c>
      <c r="I115" s="43" t="str">
        <f t="shared" si="14"/>
        <v/>
      </c>
      <c r="J115" s="43" t="str">
        <f t="shared" si="15"/>
        <v/>
      </c>
      <c r="K115" s="33" t="str">
        <f>IF(B115="","Pending",IF(M115="","⚠️ Enter Code",IF(IFERROR(VLOOKUP(L115,DB_Agents!$B:$F,4,0),"")=TEXT(M115,"0"),"Pending Approval","🔒 WRONG CODE")))</f>
        <v>Pending</v>
      </c>
      <c r="L115" s="30" t="s">
        <v>57</v>
      </c>
      <c r="M115" s="41"/>
      <c r="N115" s="22"/>
    </row>
    <row r="116" spans="1:14" ht="20.100000000000001" customHeight="1" x14ac:dyDescent="0.25">
      <c r="A116" s="30" t="str">
        <f t="shared" si="12"/>
        <v/>
      </c>
      <c r="B116" s="41"/>
      <c r="C116" s="35" t="str">
        <f>IF(B116="","",IFERROR(VLOOKUP(B116,DB_Customers!$A:$B,2,0),"❌ Account Not Found"))</f>
        <v/>
      </c>
      <c r="D116" s="42" t="str">
        <f t="shared" ca="1" si="13"/>
        <v/>
      </c>
      <c r="E116" s="32"/>
      <c r="F116" s="31"/>
      <c r="G116" s="41"/>
      <c r="H116" s="56">
        <v>2.5</v>
      </c>
      <c r="I116" s="43" t="str">
        <f t="shared" si="14"/>
        <v/>
      </c>
      <c r="J116" s="43" t="str">
        <f t="shared" si="15"/>
        <v/>
      </c>
      <c r="K116" s="33" t="str">
        <f>IF(B116="","Pending",IF(M116="","⚠️ Enter Code",IF(IFERROR(VLOOKUP(L116,DB_Agents!$B:$F,4,0),"")=TEXT(M116,"0"),"Pending Approval","🔒 WRONG CODE")))</f>
        <v>Pending</v>
      </c>
      <c r="L116" s="30" t="s">
        <v>57</v>
      </c>
      <c r="M116" s="41"/>
      <c r="N116" s="57"/>
    </row>
    <row r="117" spans="1:14" ht="20.100000000000001" customHeight="1" x14ac:dyDescent="0.25">
      <c r="A117" s="30" t="str">
        <f t="shared" si="12"/>
        <v/>
      </c>
      <c r="B117" s="41"/>
      <c r="C117" s="35" t="str">
        <f>IF(B117="","",IFERROR(VLOOKUP(B117,DB_Customers!$A:$B,2,0),"❌ Account Not Found"))</f>
        <v/>
      </c>
      <c r="D117" s="42" t="str">
        <f t="shared" ca="1" si="13"/>
        <v/>
      </c>
      <c r="E117" s="32"/>
      <c r="F117" s="31"/>
      <c r="G117" s="41"/>
      <c r="H117" s="56">
        <v>2.5</v>
      </c>
      <c r="I117" s="43" t="str">
        <f t="shared" si="14"/>
        <v/>
      </c>
      <c r="J117" s="43" t="str">
        <f t="shared" si="15"/>
        <v/>
      </c>
      <c r="K117" s="33" t="str">
        <f>IF(B117="","Pending",IF(M117="","⚠️ Enter Code",IF(IFERROR(VLOOKUP(L117,DB_Agents!$B:$F,4,0),"")=TEXT(M117,"0"),"Pending Approval","🔒 WRONG CODE")))</f>
        <v>Pending</v>
      </c>
      <c r="L117" s="30" t="s">
        <v>57</v>
      </c>
      <c r="M117" s="41"/>
      <c r="N117" s="22"/>
    </row>
    <row r="118" spans="1:14" ht="20.100000000000001" customHeight="1" x14ac:dyDescent="0.25">
      <c r="A118" s="30" t="str">
        <f t="shared" si="12"/>
        <v/>
      </c>
      <c r="B118" s="41"/>
      <c r="C118" s="35" t="str">
        <f>IF(B118="","",IFERROR(VLOOKUP(B118,DB_Customers!$A:$B,2,0),"❌ Account Not Found"))</f>
        <v/>
      </c>
      <c r="D118" s="42" t="str">
        <f t="shared" ca="1" si="13"/>
        <v/>
      </c>
      <c r="E118" s="32"/>
      <c r="F118" s="31"/>
      <c r="G118" s="41"/>
      <c r="H118" s="56">
        <v>2.5</v>
      </c>
      <c r="I118" s="43" t="str">
        <f t="shared" si="14"/>
        <v/>
      </c>
      <c r="J118" s="43" t="str">
        <f t="shared" si="15"/>
        <v/>
      </c>
      <c r="K118" s="33" t="str">
        <f>IF(B118="","Pending",IF(M118="","⚠️ Enter Code",IF(IFERROR(VLOOKUP(L118,DB_Agents!$B:$F,4,0),"")=TEXT(M118,"0"),"Pending Approval","🔒 WRONG CODE")))</f>
        <v>Pending</v>
      </c>
      <c r="L118" s="30" t="s">
        <v>57</v>
      </c>
      <c r="M118" s="41"/>
      <c r="N118" s="57"/>
    </row>
    <row r="119" spans="1:14" ht="20.100000000000001" customHeight="1" x14ac:dyDescent="0.25">
      <c r="A119" s="30" t="str">
        <f t="shared" si="12"/>
        <v/>
      </c>
      <c r="B119" s="41"/>
      <c r="C119" s="35" t="str">
        <f>IF(B119="","",IFERROR(VLOOKUP(B119,DB_Customers!$A:$B,2,0),"❌ Account Not Found"))</f>
        <v/>
      </c>
      <c r="D119" s="42" t="str">
        <f t="shared" ca="1" si="13"/>
        <v/>
      </c>
      <c r="E119" s="32"/>
      <c r="F119" s="31"/>
      <c r="G119" s="41"/>
      <c r="H119" s="56">
        <v>2.5</v>
      </c>
      <c r="I119" s="43" t="str">
        <f t="shared" si="14"/>
        <v/>
      </c>
      <c r="J119" s="43" t="str">
        <f t="shared" si="15"/>
        <v/>
      </c>
      <c r="K119" s="33" t="str">
        <f>IF(B119="","Pending",IF(M119="","⚠️ Enter Code",IF(IFERROR(VLOOKUP(L119,DB_Agents!$B:$F,4,0),"")=TEXT(M119,"0"),"Pending Approval","🔒 WRONG CODE")))</f>
        <v>Pending</v>
      </c>
      <c r="L119" s="30" t="s">
        <v>57</v>
      </c>
      <c r="M119" s="41"/>
      <c r="N119" s="22"/>
    </row>
    <row r="120" spans="1:14" ht="20.100000000000001" customHeight="1" x14ac:dyDescent="0.25">
      <c r="A120" s="30" t="str">
        <f t="shared" si="12"/>
        <v/>
      </c>
      <c r="B120" s="41"/>
      <c r="C120" s="35" t="str">
        <f>IF(B120="","",IFERROR(VLOOKUP(B120,DB_Customers!$A:$B,2,0),"❌ Account Not Found"))</f>
        <v/>
      </c>
      <c r="D120" s="42" t="str">
        <f t="shared" ca="1" si="13"/>
        <v/>
      </c>
      <c r="E120" s="32"/>
      <c r="F120" s="31"/>
      <c r="G120" s="41"/>
      <c r="H120" s="56">
        <v>2.5</v>
      </c>
      <c r="I120" s="43" t="str">
        <f t="shared" si="14"/>
        <v/>
      </c>
      <c r="J120" s="43" t="str">
        <f t="shared" si="15"/>
        <v/>
      </c>
      <c r="K120" s="33" t="str">
        <f>IF(B120="","Pending",IF(M120="","⚠️ Enter Code",IF(IFERROR(VLOOKUP(L120,DB_Agents!$B:$F,4,0),"")=TEXT(M120,"0"),"Pending Approval","🔒 WRONG CODE")))</f>
        <v>Pending</v>
      </c>
      <c r="L120" s="30" t="s">
        <v>57</v>
      </c>
      <c r="M120" s="41"/>
      <c r="N120" s="57"/>
    </row>
    <row r="121" spans="1:14" ht="20.100000000000001" customHeight="1" x14ac:dyDescent="0.25">
      <c r="A121" s="30" t="str">
        <f t="shared" si="12"/>
        <v/>
      </c>
      <c r="B121" s="41"/>
      <c r="C121" s="35" t="str">
        <f>IF(B121="","",IFERROR(VLOOKUP(B121,DB_Customers!$A:$B,2,0),"❌ Account Not Found"))</f>
        <v/>
      </c>
      <c r="D121" s="42" t="str">
        <f t="shared" ca="1" si="13"/>
        <v/>
      </c>
      <c r="E121" s="32"/>
      <c r="F121" s="31"/>
      <c r="G121" s="41"/>
      <c r="H121" s="56">
        <v>2.5</v>
      </c>
      <c r="I121" s="43" t="str">
        <f t="shared" si="14"/>
        <v/>
      </c>
      <c r="J121" s="43" t="str">
        <f t="shared" si="15"/>
        <v/>
      </c>
      <c r="K121" s="33" t="str">
        <f>IF(B121="","Pending",IF(M121="","⚠️ Enter Code",IF(IFERROR(VLOOKUP(L121,DB_Agents!$B:$F,4,0),"")=TEXT(M121,"0"),"Pending Approval","🔒 WRONG CODE")))</f>
        <v>Pending</v>
      </c>
      <c r="L121" s="30" t="s">
        <v>57</v>
      </c>
      <c r="M121" s="41"/>
      <c r="N121" s="22"/>
    </row>
    <row r="122" spans="1:14" ht="20.100000000000001" customHeight="1" x14ac:dyDescent="0.25">
      <c r="A122" s="30" t="str">
        <f t="shared" si="12"/>
        <v/>
      </c>
      <c r="B122" s="41"/>
      <c r="C122" s="35" t="str">
        <f>IF(B122="","",IFERROR(VLOOKUP(B122,DB_Customers!$A:$B,2,0),"❌ Account Not Found"))</f>
        <v/>
      </c>
      <c r="D122" s="42" t="str">
        <f t="shared" ca="1" si="13"/>
        <v/>
      </c>
      <c r="E122" s="32"/>
      <c r="F122" s="31"/>
      <c r="G122" s="41"/>
      <c r="H122" s="56">
        <v>2.5</v>
      </c>
      <c r="I122" s="43" t="str">
        <f t="shared" si="14"/>
        <v/>
      </c>
      <c r="J122" s="43" t="str">
        <f t="shared" si="15"/>
        <v/>
      </c>
      <c r="K122" s="33" t="str">
        <f>IF(B122="","Pending",IF(M122="","⚠️ Enter Code",IF(IFERROR(VLOOKUP(L122,DB_Agents!$B:$F,4,0),"")=TEXT(M122,"0"),"Pending Approval","🔒 WRONG CODE")))</f>
        <v>Pending</v>
      </c>
      <c r="L122" s="30" t="s">
        <v>57</v>
      </c>
      <c r="M122" s="41"/>
      <c r="N122" s="57"/>
    </row>
    <row r="123" spans="1:14" ht="20.100000000000001" customHeight="1" x14ac:dyDescent="0.25">
      <c r="A123" s="30" t="str">
        <f t="shared" si="12"/>
        <v/>
      </c>
      <c r="B123" s="41"/>
      <c r="C123" s="35" t="str">
        <f>IF(B123="","",IFERROR(VLOOKUP(B123,DB_Customers!$A:$B,2,0),"❌ Account Not Found"))</f>
        <v/>
      </c>
      <c r="D123" s="42" t="str">
        <f t="shared" ca="1" si="13"/>
        <v/>
      </c>
      <c r="E123" s="32"/>
      <c r="F123" s="31"/>
      <c r="G123" s="41"/>
      <c r="H123" s="56">
        <v>2.5</v>
      </c>
      <c r="I123" s="43" t="str">
        <f t="shared" si="14"/>
        <v/>
      </c>
      <c r="J123" s="43" t="str">
        <f t="shared" si="15"/>
        <v/>
      </c>
      <c r="K123" s="33" t="str">
        <f>IF(B123="","Pending",IF(M123="","⚠️ Enter Code",IF(IFERROR(VLOOKUP(L123,DB_Agents!$B:$F,4,0),"")=TEXT(M123,"0"),"Pending Approval","🔒 WRONG CODE")))</f>
        <v>Pending</v>
      </c>
      <c r="L123" s="30" t="s">
        <v>57</v>
      </c>
      <c r="M123" s="41"/>
      <c r="N123" s="22"/>
    </row>
    <row r="124" spans="1:14" ht="20.100000000000001" customHeight="1" x14ac:dyDescent="0.25">
      <c r="A124" s="30" t="str">
        <f t="shared" si="12"/>
        <v/>
      </c>
      <c r="B124" s="41"/>
      <c r="C124" s="35" t="str">
        <f>IF(B124="","",IFERROR(VLOOKUP(B124,DB_Customers!$A:$B,2,0),"❌ Account Not Found"))</f>
        <v/>
      </c>
      <c r="D124" s="42" t="str">
        <f t="shared" ca="1" si="13"/>
        <v/>
      </c>
      <c r="E124" s="32"/>
      <c r="F124" s="31"/>
      <c r="G124" s="41"/>
      <c r="H124" s="56">
        <v>2.5</v>
      </c>
      <c r="I124" s="43" t="str">
        <f t="shared" si="14"/>
        <v/>
      </c>
      <c r="J124" s="43" t="str">
        <f t="shared" si="15"/>
        <v/>
      </c>
      <c r="K124" s="33" t="str">
        <f>IF(B124="","Pending",IF(M124="","⚠️ Enter Code",IF(IFERROR(VLOOKUP(L124,DB_Agents!$B:$F,4,0),"")=TEXT(M124,"0"),"Pending Approval","🔒 WRONG CODE")))</f>
        <v>Pending</v>
      </c>
      <c r="L124" s="30" t="s">
        <v>57</v>
      </c>
      <c r="M124" s="41"/>
      <c r="N124" s="57"/>
    </row>
    <row r="125" spans="1:14" ht="20.100000000000001" customHeight="1" x14ac:dyDescent="0.25">
      <c r="A125" s="30" t="str">
        <f t="shared" si="12"/>
        <v/>
      </c>
      <c r="B125" s="41"/>
      <c r="C125" s="35" t="str">
        <f>IF(B125="","",IFERROR(VLOOKUP(B125,DB_Customers!$A:$B,2,0),"❌ Account Not Found"))</f>
        <v/>
      </c>
      <c r="D125" s="42" t="str">
        <f t="shared" ca="1" si="13"/>
        <v/>
      </c>
      <c r="E125" s="32"/>
      <c r="F125" s="31"/>
      <c r="G125" s="41"/>
      <c r="H125" s="56">
        <v>2.5</v>
      </c>
      <c r="I125" s="43" t="str">
        <f t="shared" si="14"/>
        <v/>
      </c>
      <c r="J125" s="43" t="str">
        <f t="shared" si="15"/>
        <v/>
      </c>
      <c r="K125" s="33" t="str">
        <f>IF(B125="","Pending",IF(M125="","⚠️ Enter Code",IF(IFERROR(VLOOKUP(L125,DB_Agents!$B:$F,4,0),"")=TEXT(M125,"0"),"Pending Approval","🔒 WRONG CODE")))</f>
        <v>Pending</v>
      </c>
      <c r="L125" s="30" t="s">
        <v>57</v>
      </c>
      <c r="M125" s="41"/>
      <c r="N125" s="22"/>
    </row>
    <row r="126" spans="1:14" ht="20.100000000000001" customHeight="1" x14ac:dyDescent="0.25">
      <c r="A126" s="30" t="str">
        <f t="shared" si="12"/>
        <v/>
      </c>
      <c r="B126" s="41"/>
      <c r="C126" s="35" t="str">
        <f>IF(B126="","",IFERROR(VLOOKUP(B126,DB_Customers!$A:$B,2,0),"❌ Account Not Found"))</f>
        <v/>
      </c>
      <c r="D126" s="42" t="str">
        <f t="shared" ca="1" si="13"/>
        <v/>
      </c>
      <c r="E126" s="32"/>
      <c r="F126" s="31"/>
      <c r="G126" s="41"/>
      <c r="H126" s="56">
        <v>2.5</v>
      </c>
      <c r="I126" s="43" t="str">
        <f t="shared" si="14"/>
        <v/>
      </c>
      <c r="J126" s="43" t="str">
        <f t="shared" si="15"/>
        <v/>
      </c>
      <c r="K126" s="33" t="str">
        <f>IF(B126="","Pending",IF(M126="","⚠️ Enter Code",IF(IFERROR(VLOOKUP(L126,DB_Agents!$B:$F,4,0),"")=TEXT(M126,"0"),"Pending Approval","🔒 WRONG CODE")))</f>
        <v>Pending</v>
      </c>
      <c r="L126" s="30" t="s">
        <v>57</v>
      </c>
      <c r="M126" s="41"/>
      <c r="N126" s="57"/>
    </row>
    <row r="127" spans="1:14" ht="20.100000000000001" customHeight="1" x14ac:dyDescent="0.25">
      <c r="A127" s="30" t="str">
        <f t="shared" si="12"/>
        <v/>
      </c>
      <c r="B127" s="41"/>
      <c r="C127" s="35" t="str">
        <f>IF(B127="","",IFERROR(VLOOKUP(B127,DB_Customers!$A:$B,2,0),"❌ Account Not Found"))</f>
        <v/>
      </c>
      <c r="D127" s="42" t="str">
        <f t="shared" ca="1" si="13"/>
        <v/>
      </c>
      <c r="E127" s="32"/>
      <c r="F127" s="31"/>
      <c r="G127" s="41"/>
      <c r="H127" s="56">
        <v>2.5</v>
      </c>
      <c r="I127" s="43" t="str">
        <f t="shared" si="14"/>
        <v/>
      </c>
      <c r="J127" s="43" t="str">
        <f t="shared" si="15"/>
        <v/>
      </c>
      <c r="K127" s="33" t="str">
        <f>IF(B127="","Pending",IF(M127="","⚠️ Enter Code",IF(IFERROR(VLOOKUP(L127,DB_Agents!$B:$F,4,0),"")=TEXT(M127,"0"),"Pending Approval","🔒 WRONG CODE")))</f>
        <v>Pending</v>
      </c>
      <c r="L127" s="30" t="s">
        <v>57</v>
      </c>
      <c r="M127" s="41"/>
      <c r="N127" s="22"/>
    </row>
    <row r="128" spans="1:14" ht="20.100000000000001" customHeight="1" x14ac:dyDescent="0.25">
      <c r="A128" s="30" t="str">
        <f t="shared" si="12"/>
        <v/>
      </c>
      <c r="B128" s="41"/>
      <c r="C128" s="35" t="str">
        <f>IF(B128="","",IFERROR(VLOOKUP(B128,DB_Customers!$A:$B,2,0),"❌ Account Not Found"))</f>
        <v/>
      </c>
      <c r="D128" s="42" t="str">
        <f t="shared" ca="1" si="13"/>
        <v/>
      </c>
      <c r="E128" s="32"/>
      <c r="F128" s="31"/>
      <c r="G128" s="41"/>
      <c r="H128" s="56">
        <v>2.5</v>
      </c>
      <c r="I128" s="43" t="str">
        <f t="shared" si="14"/>
        <v/>
      </c>
      <c r="J128" s="43" t="str">
        <f t="shared" si="15"/>
        <v/>
      </c>
      <c r="K128" s="33" t="str">
        <f>IF(B128="","Pending",IF(M128="","⚠️ Enter Code",IF(IFERROR(VLOOKUP(L128,DB_Agents!$B:$F,4,0),"")=TEXT(M128,"0"),"Pending Approval","🔒 WRONG CODE")))</f>
        <v>Pending</v>
      </c>
      <c r="L128" s="30" t="s">
        <v>57</v>
      </c>
      <c r="M128" s="41"/>
      <c r="N128" s="57"/>
    </row>
    <row r="129" spans="1:14" ht="20.100000000000001" customHeight="1" x14ac:dyDescent="0.25">
      <c r="A129" s="30" t="str">
        <f t="shared" si="12"/>
        <v/>
      </c>
      <c r="B129" s="41"/>
      <c r="C129" s="35" t="str">
        <f>IF(B129="","",IFERROR(VLOOKUP(B129,DB_Customers!$A:$B,2,0),"❌ Account Not Found"))</f>
        <v/>
      </c>
      <c r="D129" s="42" t="str">
        <f t="shared" ca="1" si="13"/>
        <v/>
      </c>
      <c r="E129" s="32"/>
      <c r="F129" s="31"/>
      <c r="G129" s="41"/>
      <c r="H129" s="56">
        <v>2.5</v>
      </c>
      <c r="I129" s="43" t="str">
        <f t="shared" si="14"/>
        <v/>
      </c>
      <c r="J129" s="43" t="str">
        <f t="shared" si="15"/>
        <v/>
      </c>
      <c r="K129" s="33" t="str">
        <f>IF(B129="","Pending",IF(M129="","⚠️ Enter Code",IF(IFERROR(VLOOKUP(L129,DB_Agents!$B:$F,4,0),"")=TEXT(M129,"0"),"Pending Approval","🔒 WRONG CODE")))</f>
        <v>Pending</v>
      </c>
      <c r="L129" s="30" t="s">
        <v>57</v>
      </c>
      <c r="M129" s="41"/>
      <c r="N129" s="22"/>
    </row>
    <row r="130" spans="1:14" ht="20.100000000000001" customHeight="1" x14ac:dyDescent="0.25">
      <c r="A130" s="30" t="str">
        <f t="shared" si="12"/>
        <v/>
      </c>
      <c r="B130" s="41"/>
      <c r="C130" s="35" t="str">
        <f>IF(B130="","",IFERROR(VLOOKUP(B130,DB_Customers!$A:$B,2,0),"❌ Account Not Found"))</f>
        <v/>
      </c>
      <c r="D130" s="42" t="str">
        <f t="shared" ca="1" si="13"/>
        <v/>
      </c>
      <c r="E130" s="32"/>
      <c r="F130" s="31"/>
      <c r="G130" s="41"/>
      <c r="H130" s="56">
        <v>2.5</v>
      </c>
      <c r="I130" s="43" t="str">
        <f t="shared" si="14"/>
        <v/>
      </c>
      <c r="J130" s="43" t="str">
        <f t="shared" si="15"/>
        <v/>
      </c>
      <c r="K130" s="33" t="str">
        <f>IF(B130="","Pending",IF(M130="","⚠️ Enter Code",IF(IFERROR(VLOOKUP(L130,DB_Agents!$B:$F,4,0),"")=TEXT(M130,"0"),"Pending Approval","🔒 WRONG CODE")))</f>
        <v>Pending</v>
      </c>
      <c r="L130" s="30" t="s">
        <v>57</v>
      </c>
      <c r="M130" s="41"/>
      <c r="N130" s="57"/>
    </row>
    <row r="131" spans="1:14" ht="20.100000000000001" customHeight="1" x14ac:dyDescent="0.25">
      <c r="A131" s="30" t="str">
        <f t="shared" si="12"/>
        <v/>
      </c>
      <c r="B131" s="41"/>
      <c r="C131" s="35" t="str">
        <f>IF(B131="","",IFERROR(VLOOKUP(B131,DB_Customers!$A:$B,2,0),"❌ Account Not Found"))</f>
        <v/>
      </c>
      <c r="D131" s="42" t="str">
        <f t="shared" ca="1" si="13"/>
        <v/>
      </c>
      <c r="E131" s="32"/>
      <c r="F131" s="31"/>
      <c r="G131" s="41"/>
      <c r="H131" s="56">
        <v>2.5</v>
      </c>
      <c r="I131" s="43" t="str">
        <f t="shared" si="14"/>
        <v/>
      </c>
      <c r="J131" s="43" t="str">
        <f t="shared" si="15"/>
        <v/>
      </c>
      <c r="K131" s="33" t="str">
        <f>IF(B131="","Pending",IF(M131="","⚠️ Enter Code",IF(IFERROR(VLOOKUP(L131,DB_Agents!$B:$F,4,0),"")=TEXT(M131,"0"),"Pending Approval","🔒 WRONG CODE")))</f>
        <v>Pending</v>
      </c>
      <c r="L131" s="30" t="s">
        <v>57</v>
      </c>
      <c r="M131" s="41"/>
      <c r="N131" s="22"/>
    </row>
    <row r="132" spans="1:14" ht="20.100000000000001" customHeight="1" x14ac:dyDescent="0.25">
      <c r="A132" s="30" t="str">
        <f t="shared" si="12"/>
        <v/>
      </c>
      <c r="B132" s="41"/>
      <c r="C132" s="35" t="str">
        <f>IF(B132="","",IFERROR(VLOOKUP(B132,DB_Customers!$A:$B,2,0),"❌ Account Not Found"))</f>
        <v/>
      </c>
      <c r="D132" s="42" t="str">
        <f t="shared" ca="1" si="13"/>
        <v/>
      </c>
      <c r="E132" s="32"/>
      <c r="F132" s="31"/>
      <c r="G132" s="41"/>
      <c r="H132" s="56">
        <v>2.5</v>
      </c>
      <c r="I132" s="43" t="str">
        <f t="shared" si="14"/>
        <v/>
      </c>
      <c r="J132" s="43" t="str">
        <f t="shared" si="15"/>
        <v/>
      </c>
      <c r="K132" s="33" t="str">
        <f>IF(B132="","Pending",IF(M132="","⚠️ Enter Code",IF(IFERROR(VLOOKUP(L132,DB_Agents!$B:$F,4,0),"")=TEXT(M132,"0"),"Pending Approval","🔒 WRONG CODE")))</f>
        <v>Pending</v>
      </c>
      <c r="L132" s="30" t="s">
        <v>57</v>
      </c>
      <c r="M132" s="41"/>
      <c r="N132" s="57"/>
    </row>
    <row r="133" spans="1:14" ht="20.100000000000001" customHeight="1" x14ac:dyDescent="0.25">
      <c r="A133" s="30" t="str">
        <f t="shared" si="12"/>
        <v/>
      </c>
      <c r="B133" s="41"/>
      <c r="C133" s="35" t="str">
        <f>IF(B133="","",IFERROR(VLOOKUP(B133,DB_Customers!$A:$B,2,0),"❌ Account Not Found"))</f>
        <v/>
      </c>
      <c r="D133" s="42" t="str">
        <f t="shared" ca="1" si="13"/>
        <v/>
      </c>
      <c r="E133" s="32"/>
      <c r="F133" s="31"/>
      <c r="G133" s="41"/>
      <c r="H133" s="56">
        <v>2.5</v>
      </c>
      <c r="I133" s="43" t="str">
        <f t="shared" si="14"/>
        <v/>
      </c>
      <c r="J133" s="43" t="str">
        <f t="shared" si="15"/>
        <v/>
      </c>
      <c r="K133" s="33" t="str">
        <f>IF(B133="","Pending",IF(M133="","⚠️ Enter Code",IF(IFERROR(VLOOKUP(L133,DB_Agents!$B:$F,4,0),"")=TEXT(M133,"0"),"Pending Approval","🔒 WRONG CODE")))</f>
        <v>Pending</v>
      </c>
      <c r="L133" s="30" t="s">
        <v>57</v>
      </c>
      <c r="M133" s="41"/>
      <c r="N133" s="22"/>
    </row>
    <row r="134" spans="1:14" ht="20.100000000000001" customHeight="1" x14ac:dyDescent="0.25">
      <c r="A134" s="30" t="str">
        <f t="shared" si="12"/>
        <v/>
      </c>
      <c r="B134" s="41"/>
      <c r="C134" s="35" t="str">
        <f>IF(B134="","",IFERROR(VLOOKUP(B134,DB_Customers!$A:$B,2,0),"❌ Account Not Found"))</f>
        <v/>
      </c>
      <c r="D134" s="42" t="str">
        <f t="shared" ca="1" si="13"/>
        <v/>
      </c>
      <c r="E134" s="32"/>
      <c r="F134" s="31"/>
      <c r="G134" s="41"/>
      <c r="H134" s="56">
        <v>2.5</v>
      </c>
      <c r="I134" s="43" t="str">
        <f t="shared" si="14"/>
        <v/>
      </c>
      <c r="J134" s="43" t="str">
        <f t="shared" si="15"/>
        <v/>
      </c>
      <c r="K134" s="33" t="str">
        <f>IF(B134="","Pending",IF(M134="","⚠️ Enter Code",IF(IFERROR(VLOOKUP(L134,DB_Agents!$B:$F,4,0),"")=TEXT(M134,"0"),"Pending Approval","🔒 WRONG CODE")))</f>
        <v>Pending</v>
      </c>
      <c r="L134" s="30" t="s">
        <v>57</v>
      </c>
      <c r="M134" s="41"/>
      <c r="N134" s="57"/>
    </row>
    <row r="135" spans="1:14" ht="20.100000000000001" customHeight="1" x14ac:dyDescent="0.25">
      <c r="A135" s="30" t="str">
        <f t="shared" si="12"/>
        <v/>
      </c>
      <c r="B135" s="41"/>
      <c r="C135" s="35" t="str">
        <f>IF(B135="","",IFERROR(VLOOKUP(B135,DB_Customers!$A:$B,2,0),"❌ Account Not Found"))</f>
        <v/>
      </c>
      <c r="D135" s="42" t="str">
        <f t="shared" ca="1" si="13"/>
        <v/>
      </c>
      <c r="E135" s="32"/>
      <c r="F135" s="31"/>
      <c r="G135" s="41"/>
      <c r="H135" s="56">
        <v>2.5</v>
      </c>
      <c r="I135" s="43" t="str">
        <f t="shared" si="14"/>
        <v/>
      </c>
      <c r="J135" s="43" t="str">
        <f t="shared" si="15"/>
        <v/>
      </c>
      <c r="K135" s="33" t="str">
        <f>IF(B135="","Pending",IF(M135="","⚠️ Enter Code",IF(IFERROR(VLOOKUP(L135,DB_Agents!$B:$F,4,0),"")=TEXT(M135,"0"),"Pending Approval","🔒 WRONG CODE")))</f>
        <v>Pending</v>
      </c>
      <c r="L135" s="30" t="s">
        <v>57</v>
      </c>
      <c r="M135" s="41"/>
      <c r="N135" s="22"/>
    </row>
    <row r="136" spans="1:14" ht="20.100000000000001" customHeight="1" x14ac:dyDescent="0.25">
      <c r="A136" s="30" t="str">
        <f t="shared" si="12"/>
        <v/>
      </c>
      <c r="B136" s="41"/>
      <c r="C136" s="35" t="str">
        <f>IF(B136="","",IFERROR(VLOOKUP(B136,DB_Customers!$A:$B,2,0),"❌ Account Not Found"))</f>
        <v/>
      </c>
      <c r="D136" s="42" t="str">
        <f t="shared" ca="1" si="13"/>
        <v/>
      </c>
      <c r="E136" s="32"/>
      <c r="F136" s="31"/>
      <c r="G136" s="41"/>
      <c r="H136" s="56">
        <v>2.5</v>
      </c>
      <c r="I136" s="43" t="str">
        <f t="shared" si="14"/>
        <v/>
      </c>
      <c r="J136" s="43" t="str">
        <f t="shared" si="15"/>
        <v/>
      </c>
      <c r="K136" s="33" t="str">
        <f>IF(B136="","Pending",IF(M136="","⚠️ Enter Code",IF(IFERROR(VLOOKUP(L136,DB_Agents!$B:$F,4,0),"")=TEXT(M136,"0"),"Pending Approval","🔒 WRONG CODE")))</f>
        <v>Pending</v>
      </c>
      <c r="L136" s="30" t="s">
        <v>57</v>
      </c>
      <c r="M136" s="41"/>
      <c r="N136" s="57"/>
    </row>
    <row r="137" spans="1:14" ht="20.100000000000001" customHeight="1" x14ac:dyDescent="0.25">
      <c r="A137" s="30" t="str">
        <f t="shared" si="12"/>
        <v/>
      </c>
      <c r="B137" s="41"/>
      <c r="C137" s="35" t="str">
        <f>IF(B137="","",IFERROR(VLOOKUP(B137,DB_Customers!$A:$B,2,0),"❌ Account Not Found"))</f>
        <v/>
      </c>
      <c r="D137" s="42" t="str">
        <f t="shared" ca="1" si="13"/>
        <v/>
      </c>
      <c r="E137" s="32"/>
      <c r="F137" s="31"/>
      <c r="G137" s="41"/>
      <c r="H137" s="56">
        <v>2.5</v>
      </c>
      <c r="I137" s="43" t="str">
        <f t="shared" si="14"/>
        <v/>
      </c>
      <c r="J137" s="43" t="str">
        <f t="shared" si="15"/>
        <v/>
      </c>
      <c r="K137" s="33" t="str">
        <f>IF(B137="","Pending",IF(M137="","⚠️ Enter Code",IF(IFERROR(VLOOKUP(L137,DB_Agents!$B:$F,4,0),"")=TEXT(M137,"0"),"Pending Approval","🔒 WRONG CODE")))</f>
        <v>Pending</v>
      </c>
      <c r="L137" s="30" t="s">
        <v>57</v>
      </c>
      <c r="M137" s="41"/>
      <c r="N137" s="22"/>
    </row>
    <row r="138" spans="1:14" ht="20.100000000000001" customHeight="1" x14ac:dyDescent="0.25">
      <c r="A138" s="30" t="str">
        <f t="shared" si="12"/>
        <v/>
      </c>
      <c r="B138" s="41"/>
      <c r="C138" s="35" t="str">
        <f>IF(B138="","",IFERROR(VLOOKUP(B138,DB_Customers!$A:$B,2,0),"❌ Account Not Found"))</f>
        <v/>
      </c>
      <c r="D138" s="42" t="str">
        <f t="shared" ca="1" si="13"/>
        <v/>
      </c>
      <c r="E138" s="32"/>
      <c r="F138" s="31"/>
      <c r="G138" s="41"/>
      <c r="H138" s="56">
        <v>2.5</v>
      </c>
      <c r="I138" s="43" t="str">
        <f t="shared" si="14"/>
        <v/>
      </c>
      <c r="J138" s="43" t="str">
        <f t="shared" si="15"/>
        <v/>
      </c>
      <c r="K138" s="33" t="str">
        <f>IF(B138="","Pending",IF(M138="","⚠️ Enter Code",IF(IFERROR(VLOOKUP(L138,DB_Agents!$B:$F,4,0),"")=TEXT(M138,"0"),"Pending Approval","🔒 WRONG CODE")))</f>
        <v>Pending</v>
      </c>
      <c r="L138" s="30" t="s">
        <v>57</v>
      </c>
      <c r="M138" s="41"/>
      <c r="N138" s="57"/>
    </row>
    <row r="139" spans="1:14" ht="20.100000000000001" customHeight="1" x14ac:dyDescent="0.25">
      <c r="A139" s="30" t="str">
        <f t="shared" si="12"/>
        <v/>
      </c>
      <c r="B139" s="41"/>
      <c r="C139" s="35" t="str">
        <f>IF(B139="","",IFERROR(VLOOKUP(B139,DB_Customers!$A:$B,2,0),"❌ Account Not Found"))</f>
        <v/>
      </c>
      <c r="D139" s="42" t="str">
        <f t="shared" ca="1" si="13"/>
        <v/>
      </c>
      <c r="E139" s="32"/>
      <c r="F139" s="31"/>
      <c r="G139" s="41"/>
      <c r="H139" s="56">
        <v>2.5</v>
      </c>
      <c r="I139" s="43" t="str">
        <f t="shared" si="14"/>
        <v/>
      </c>
      <c r="J139" s="43" t="str">
        <f t="shared" si="15"/>
        <v/>
      </c>
      <c r="K139" s="33" t="str">
        <f>IF(B139="","Pending",IF(M139="","⚠️ Enter Code",IF(IFERROR(VLOOKUP(L139,DB_Agents!$B:$F,4,0),"")=TEXT(M139,"0"),"Pending Approval","🔒 WRONG CODE")))</f>
        <v>Pending</v>
      </c>
      <c r="L139" s="30" t="s">
        <v>57</v>
      </c>
      <c r="M139" s="41"/>
      <c r="N139" s="22"/>
    </row>
    <row r="140" spans="1:14" ht="20.100000000000001" customHeight="1" x14ac:dyDescent="0.25">
      <c r="A140" s="30" t="str">
        <f t="shared" si="12"/>
        <v/>
      </c>
      <c r="B140" s="41"/>
      <c r="C140" s="35" t="str">
        <f>IF(B140="","",IFERROR(VLOOKUP(B140,DB_Customers!$A:$B,2,0),"❌ Account Not Found"))</f>
        <v/>
      </c>
      <c r="D140" s="42" t="str">
        <f t="shared" ca="1" si="13"/>
        <v/>
      </c>
      <c r="E140" s="32"/>
      <c r="F140" s="31"/>
      <c r="G140" s="41"/>
      <c r="H140" s="56">
        <v>2.5</v>
      </c>
      <c r="I140" s="43" t="str">
        <f t="shared" si="14"/>
        <v/>
      </c>
      <c r="J140" s="43" t="str">
        <f t="shared" si="15"/>
        <v/>
      </c>
      <c r="K140" s="33" t="str">
        <f>IF(B140="","Pending",IF(M140="","⚠️ Enter Code",IF(IFERROR(VLOOKUP(L140,DB_Agents!$B:$F,4,0),"")=TEXT(M140,"0"),"Pending Approval","🔒 WRONG CODE")))</f>
        <v>Pending</v>
      </c>
      <c r="L140" s="30" t="s">
        <v>57</v>
      </c>
      <c r="M140" s="41"/>
      <c r="N140" s="57"/>
    </row>
    <row r="141" spans="1:14" ht="20.100000000000001" customHeight="1" x14ac:dyDescent="0.25">
      <c r="A141" s="30" t="str">
        <f t="shared" si="12"/>
        <v/>
      </c>
      <c r="B141" s="41"/>
      <c r="C141" s="35" t="str">
        <f>IF(B141="","",IFERROR(VLOOKUP(B141,DB_Customers!$A:$B,2,0),"❌ Account Not Found"))</f>
        <v/>
      </c>
      <c r="D141" s="42" t="str">
        <f t="shared" ca="1" si="13"/>
        <v/>
      </c>
      <c r="E141" s="32"/>
      <c r="F141" s="31"/>
      <c r="G141" s="41"/>
      <c r="H141" s="56">
        <v>2.5</v>
      </c>
      <c r="I141" s="43" t="str">
        <f t="shared" si="14"/>
        <v/>
      </c>
      <c r="J141" s="43" t="str">
        <f t="shared" si="15"/>
        <v/>
      </c>
      <c r="K141" s="33" t="str">
        <f>IF(B141="","Pending",IF(M141="","⚠️ Enter Code",IF(IFERROR(VLOOKUP(L141,DB_Agents!$B:$F,4,0),"")=TEXT(M141,"0"),"Pending Approval","🔒 WRONG CODE")))</f>
        <v>Pending</v>
      </c>
      <c r="L141" s="30" t="s">
        <v>57</v>
      </c>
      <c r="M141" s="41"/>
      <c r="N141" s="22"/>
    </row>
    <row r="142" spans="1:14" ht="20.100000000000001" customHeight="1" x14ac:dyDescent="0.25">
      <c r="A142" s="30" t="str">
        <f t="shared" ref="A142:A173" si="16">IF(B142="","",IF(C142="❌ Account Not Found","INVALID","LN"&amp;TEXT(D142,"YYYYMMDD")&amp;TEXT(ROW()-13,"0000")))</f>
        <v/>
      </c>
      <c r="B142" s="41"/>
      <c r="C142" s="35" t="str">
        <f>IF(B142="","",IFERROR(VLOOKUP(B142,DB_Customers!$A:$B,2,0),"❌ Account Not Found"))</f>
        <v/>
      </c>
      <c r="D142" s="42" t="str">
        <f t="shared" ref="D142:D173" ca="1" si="17">IF(B142="","",TODAY())</f>
        <v/>
      </c>
      <c r="E142" s="32"/>
      <c r="F142" s="31"/>
      <c r="G142" s="41"/>
      <c r="H142" s="56">
        <v>2.5</v>
      </c>
      <c r="I142" s="43" t="str">
        <f t="shared" ref="I142:I173" si="18">IF(E142="","",E142+(E142*H142/100*G142))</f>
        <v/>
      </c>
      <c r="J142" s="43" t="str">
        <f t="shared" ref="J142:J173" si="19">IFERROR(I142/G142,"")</f>
        <v/>
      </c>
      <c r="K142" s="33" t="str">
        <f>IF(B142="","Pending",IF(M142="","⚠️ Enter Code",IF(IFERROR(VLOOKUP(L142,DB_Agents!$B:$F,4,0),"")=TEXT(M142,"0"),"Pending Approval","🔒 WRONG CODE")))</f>
        <v>Pending</v>
      </c>
      <c r="L142" s="30" t="s">
        <v>57</v>
      </c>
      <c r="M142" s="41"/>
      <c r="N142" s="57"/>
    </row>
    <row r="143" spans="1:14" ht="20.100000000000001" customHeight="1" x14ac:dyDescent="0.25">
      <c r="A143" s="30" t="str">
        <f t="shared" si="16"/>
        <v/>
      </c>
      <c r="B143" s="41"/>
      <c r="C143" s="35" t="str">
        <f>IF(B143="","",IFERROR(VLOOKUP(B143,DB_Customers!$A:$B,2,0),"❌ Account Not Found"))</f>
        <v/>
      </c>
      <c r="D143" s="42" t="str">
        <f t="shared" ca="1" si="17"/>
        <v/>
      </c>
      <c r="E143" s="32"/>
      <c r="F143" s="31"/>
      <c r="G143" s="41"/>
      <c r="H143" s="56">
        <v>2.5</v>
      </c>
      <c r="I143" s="43" t="str">
        <f t="shared" si="18"/>
        <v/>
      </c>
      <c r="J143" s="43" t="str">
        <f t="shared" si="19"/>
        <v/>
      </c>
      <c r="K143" s="33" t="str">
        <f>IF(B143="","Pending",IF(M143="","⚠️ Enter Code",IF(IFERROR(VLOOKUP(L143,DB_Agents!$B:$F,4,0),"")=TEXT(M143,"0"),"Pending Approval","🔒 WRONG CODE")))</f>
        <v>Pending</v>
      </c>
      <c r="L143" s="30" t="s">
        <v>57</v>
      </c>
      <c r="M143" s="41"/>
      <c r="N143" s="22"/>
    </row>
    <row r="144" spans="1:14" ht="20.100000000000001" customHeight="1" x14ac:dyDescent="0.25">
      <c r="A144" s="30" t="str">
        <f t="shared" si="16"/>
        <v/>
      </c>
      <c r="B144" s="41"/>
      <c r="C144" s="35" t="str">
        <f>IF(B144="","",IFERROR(VLOOKUP(B144,DB_Customers!$A:$B,2,0),"❌ Account Not Found"))</f>
        <v/>
      </c>
      <c r="D144" s="42" t="str">
        <f t="shared" ca="1" si="17"/>
        <v/>
      </c>
      <c r="E144" s="32"/>
      <c r="F144" s="31"/>
      <c r="G144" s="41"/>
      <c r="H144" s="56">
        <v>2.5</v>
      </c>
      <c r="I144" s="43" t="str">
        <f t="shared" si="18"/>
        <v/>
      </c>
      <c r="J144" s="43" t="str">
        <f t="shared" si="19"/>
        <v/>
      </c>
      <c r="K144" s="33" t="str">
        <f>IF(B144="","Pending",IF(M144="","⚠️ Enter Code",IF(IFERROR(VLOOKUP(L144,DB_Agents!$B:$F,4,0),"")=TEXT(M144,"0"),"Pending Approval","🔒 WRONG CODE")))</f>
        <v>Pending</v>
      </c>
      <c r="L144" s="30" t="s">
        <v>57</v>
      </c>
      <c r="M144" s="41"/>
      <c r="N144" s="57"/>
    </row>
    <row r="145" spans="1:14" ht="20.100000000000001" customHeight="1" x14ac:dyDescent="0.25">
      <c r="A145" s="30" t="str">
        <f t="shared" si="16"/>
        <v/>
      </c>
      <c r="B145" s="41"/>
      <c r="C145" s="35" t="str">
        <f>IF(B145="","",IFERROR(VLOOKUP(B145,DB_Customers!$A:$B,2,0),"❌ Account Not Found"))</f>
        <v/>
      </c>
      <c r="D145" s="42" t="str">
        <f t="shared" ca="1" si="17"/>
        <v/>
      </c>
      <c r="E145" s="32"/>
      <c r="F145" s="31"/>
      <c r="G145" s="41"/>
      <c r="H145" s="56">
        <v>2.5</v>
      </c>
      <c r="I145" s="43" t="str">
        <f t="shared" si="18"/>
        <v/>
      </c>
      <c r="J145" s="43" t="str">
        <f t="shared" si="19"/>
        <v/>
      </c>
      <c r="K145" s="33" t="str">
        <f>IF(B145="","Pending",IF(M145="","⚠️ Enter Code",IF(IFERROR(VLOOKUP(L145,DB_Agents!$B:$F,4,0),"")=TEXT(M145,"0"),"Pending Approval","🔒 WRONG CODE")))</f>
        <v>Pending</v>
      </c>
      <c r="L145" s="30" t="s">
        <v>57</v>
      </c>
      <c r="M145" s="41"/>
      <c r="N145" s="22"/>
    </row>
    <row r="146" spans="1:14" ht="20.100000000000001" customHeight="1" x14ac:dyDescent="0.25">
      <c r="A146" s="30" t="str">
        <f t="shared" si="16"/>
        <v/>
      </c>
      <c r="B146" s="41"/>
      <c r="C146" s="35" t="str">
        <f>IF(B146="","",IFERROR(VLOOKUP(B146,DB_Customers!$A:$B,2,0),"❌ Account Not Found"))</f>
        <v/>
      </c>
      <c r="D146" s="42" t="str">
        <f t="shared" ca="1" si="17"/>
        <v/>
      </c>
      <c r="E146" s="32"/>
      <c r="F146" s="31"/>
      <c r="G146" s="41"/>
      <c r="H146" s="56">
        <v>2.5</v>
      </c>
      <c r="I146" s="43" t="str">
        <f t="shared" si="18"/>
        <v/>
      </c>
      <c r="J146" s="43" t="str">
        <f t="shared" si="19"/>
        <v/>
      </c>
      <c r="K146" s="33" t="str">
        <f>IF(B146="","Pending",IF(M146="","⚠️ Enter Code",IF(IFERROR(VLOOKUP(L146,DB_Agents!$B:$F,4,0),"")=TEXT(M146,"0"),"Pending Approval","🔒 WRONG CODE")))</f>
        <v>Pending</v>
      </c>
      <c r="L146" s="30" t="s">
        <v>57</v>
      </c>
      <c r="M146" s="41"/>
      <c r="N146" s="57"/>
    </row>
    <row r="147" spans="1:14" ht="20.100000000000001" customHeight="1" x14ac:dyDescent="0.25">
      <c r="A147" s="30" t="str">
        <f t="shared" si="16"/>
        <v/>
      </c>
      <c r="B147" s="41"/>
      <c r="C147" s="35" t="str">
        <f>IF(B147="","",IFERROR(VLOOKUP(B147,DB_Customers!$A:$B,2,0),"❌ Account Not Found"))</f>
        <v/>
      </c>
      <c r="D147" s="42" t="str">
        <f t="shared" ca="1" si="17"/>
        <v/>
      </c>
      <c r="E147" s="32"/>
      <c r="F147" s="31"/>
      <c r="G147" s="41"/>
      <c r="H147" s="56">
        <v>2.5</v>
      </c>
      <c r="I147" s="43" t="str">
        <f t="shared" si="18"/>
        <v/>
      </c>
      <c r="J147" s="43" t="str">
        <f t="shared" si="19"/>
        <v/>
      </c>
      <c r="K147" s="33" t="str">
        <f>IF(B147="","Pending",IF(M147="","⚠️ Enter Code",IF(IFERROR(VLOOKUP(L147,DB_Agents!$B:$F,4,0),"")=TEXT(M147,"0"),"Pending Approval","🔒 WRONG CODE")))</f>
        <v>Pending</v>
      </c>
      <c r="L147" s="30" t="s">
        <v>57</v>
      </c>
      <c r="M147" s="41"/>
      <c r="N147" s="22"/>
    </row>
    <row r="148" spans="1:14" ht="20.100000000000001" customHeight="1" x14ac:dyDescent="0.25">
      <c r="A148" s="30" t="str">
        <f t="shared" si="16"/>
        <v/>
      </c>
      <c r="B148" s="41"/>
      <c r="C148" s="35" t="str">
        <f>IF(B148="","",IFERROR(VLOOKUP(B148,DB_Customers!$A:$B,2,0),"❌ Account Not Found"))</f>
        <v/>
      </c>
      <c r="D148" s="42" t="str">
        <f t="shared" ca="1" si="17"/>
        <v/>
      </c>
      <c r="E148" s="32"/>
      <c r="F148" s="31"/>
      <c r="G148" s="41"/>
      <c r="H148" s="56">
        <v>2.5</v>
      </c>
      <c r="I148" s="43" t="str">
        <f t="shared" si="18"/>
        <v/>
      </c>
      <c r="J148" s="43" t="str">
        <f t="shared" si="19"/>
        <v/>
      </c>
      <c r="K148" s="33" t="str">
        <f>IF(B148="","Pending",IF(M148="","⚠️ Enter Code",IF(IFERROR(VLOOKUP(L148,DB_Agents!$B:$F,4,0),"")=TEXT(M148,"0"),"Pending Approval","🔒 WRONG CODE")))</f>
        <v>Pending</v>
      </c>
      <c r="L148" s="30" t="s">
        <v>57</v>
      </c>
      <c r="M148" s="41"/>
      <c r="N148" s="57"/>
    </row>
    <row r="149" spans="1:14" ht="20.100000000000001" customHeight="1" x14ac:dyDescent="0.25">
      <c r="A149" s="30" t="str">
        <f t="shared" si="16"/>
        <v/>
      </c>
      <c r="B149" s="41"/>
      <c r="C149" s="35" t="str">
        <f>IF(B149="","",IFERROR(VLOOKUP(B149,DB_Customers!$A:$B,2,0),"❌ Account Not Found"))</f>
        <v/>
      </c>
      <c r="D149" s="42" t="str">
        <f t="shared" ca="1" si="17"/>
        <v/>
      </c>
      <c r="E149" s="32"/>
      <c r="F149" s="31"/>
      <c r="G149" s="41"/>
      <c r="H149" s="56">
        <v>2.5</v>
      </c>
      <c r="I149" s="43" t="str">
        <f t="shared" si="18"/>
        <v/>
      </c>
      <c r="J149" s="43" t="str">
        <f t="shared" si="19"/>
        <v/>
      </c>
      <c r="K149" s="33" t="str">
        <f>IF(B149="","Pending",IF(M149="","⚠️ Enter Code",IF(IFERROR(VLOOKUP(L149,DB_Agents!$B:$F,4,0),"")=TEXT(M149,"0"),"Pending Approval","🔒 WRONG CODE")))</f>
        <v>Pending</v>
      </c>
      <c r="L149" s="30" t="s">
        <v>57</v>
      </c>
      <c r="M149" s="41"/>
      <c r="N149" s="22"/>
    </row>
    <row r="150" spans="1:14" ht="20.100000000000001" customHeight="1" x14ac:dyDescent="0.25">
      <c r="A150" s="30" t="str">
        <f t="shared" si="16"/>
        <v/>
      </c>
      <c r="B150" s="41"/>
      <c r="C150" s="35" t="str">
        <f>IF(B150="","",IFERROR(VLOOKUP(B150,DB_Customers!$A:$B,2,0),"❌ Account Not Found"))</f>
        <v/>
      </c>
      <c r="D150" s="42" t="str">
        <f t="shared" ca="1" si="17"/>
        <v/>
      </c>
      <c r="E150" s="32"/>
      <c r="F150" s="31"/>
      <c r="G150" s="41"/>
      <c r="H150" s="56">
        <v>2.5</v>
      </c>
      <c r="I150" s="43" t="str">
        <f t="shared" si="18"/>
        <v/>
      </c>
      <c r="J150" s="43" t="str">
        <f t="shared" si="19"/>
        <v/>
      </c>
      <c r="K150" s="33" t="str">
        <f>IF(B150="","Pending",IF(M150="","⚠️ Enter Code",IF(IFERROR(VLOOKUP(L150,DB_Agents!$B:$F,4,0),"")=TEXT(M150,"0"),"Pending Approval","🔒 WRONG CODE")))</f>
        <v>Pending</v>
      </c>
      <c r="L150" s="30" t="s">
        <v>57</v>
      </c>
      <c r="M150" s="41"/>
      <c r="N150" s="57"/>
    </row>
    <row r="151" spans="1:14" ht="20.100000000000001" customHeight="1" x14ac:dyDescent="0.25">
      <c r="A151" s="30" t="str">
        <f t="shared" si="16"/>
        <v/>
      </c>
      <c r="B151" s="41"/>
      <c r="C151" s="35" t="str">
        <f>IF(B151="","",IFERROR(VLOOKUP(B151,DB_Customers!$A:$B,2,0),"❌ Account Not Found"))</f>
        <v/>
      </c>
      <c r="D151" s="42" t="str">
        <f t="shared" ca="1" si="17"/>
        <v/>
      </c>
      <c r="E151" s="32"/>
      <c r="F151" s="31"/>
      <c r="G151" s="41"/>
      <c r="H151" s="56">
        <v>2.5</v>
      </c>
      <c r="I151" s="43" t="str">
        <f t="shared" si="18"/>
        <v/>
      </c>
      <c r="J151" s="43" t="str">
        <f t="shared" si="19"/>
        <v/>
      </c>
      <c r="K151" s="33" t="str">
        <f>IF(B151="","Pending",IF(M151="","⚠️ Enter Code",IF(IFERROR(VLOOKUP(L151,DB_Agents!$B:$F,4,0),"")=TEXT(M151,"0"),"Pending Approval","🔒 WRONG CODE")))</f>
        <v>Pending</v>
      </c>
      <c r="L151" s="30" t="s">
        <v>57</v>
      </c>
      <c r="M151" s="41"/>
      <c r="N151" s="22"/>
    </row>
    <row r="152" spans="1:14" ht="20.100000000000001" customHeight="1" x14ac:dyDescent="0.25">
      <c r="A152" s="30" t="str">
        <f t="shared" si="16"/>
        <v/>
      </c>
      <c r="B152" s="41"/>
      <c r="C152" s="35" t="str">
        <f>IF(B152="","",IFERROR(VLOOKUP(B152,DB_Customers!$A:$B,2,0),"❌ Account Not Found"))</f>
        <v/>
      </c>
      <c r="D152" s="42" t="str">
        <f t="shared" ca="1" si="17"/>
        <v/>
      </c>
      <c r="E152" s="32"/>
      <c r="F152" s="31"/>
      <c r="G152" s="41"/>
      <c r="H152" s="56">
        <v>2.5</v>
      </c>
      <c r="I152" s="43" t="str">
        <f t="shared" si="18"/>
        <v/>
      </c>
      <c r="J152" s="43" t="str">
        <f t="shared" si="19"/>
        <v/>
      </c>
      <c r="K152" s="33" t="str">
        <f>IF(B152="","Pending",IF(M152="","⚠️ Enter Code",IF(IFERROR(VLOOKUP(L152,DB_Agents!$B:$F,4,0),"")=TEXT(M152,"0"),"Pending Approval","🔒 WRONG CODE")))</f>
        <v>Pending</v>
      </c>
      <c r="L152" s="30" t="s">
        <v>57</v>
      </c>
      <c r="M152" s="41"/>
      <c r="N152" s="57"/>
    </row>
    <row r="153" spans="1:14" ht="20.100000000000001" customHeight="1" x14ac:dyDescent="0.25">
      <c r="A153" s="30" t="str">
        <f t="shared" si="16"/>
        <v/>
      </c>
      <c r="B153" s="41"/>
      <c r="C153" s="35" t="str">
        <f>IF(B153="","",IFERROR(VLOOKUP(B153,DB_Customers!$A:$B,2,0),"❌ Account Not Found"))</f>
        <v/>
      </c>
      <c r="D153" s="42" t="str">
        <f t="shared" ca="1" si="17"/>
        <v/>
      </c>
      <c r="E153" s="32"/>
      <c r="F153" s="31"/>
      <c r="G153" s="41"/>
      <c r="H153" s="56">
        <v>2.5</v>
      </c>
      <c r="I153" s="43" t="str">
        <f t="shared" si="18"/>
        <v/>
      </c>
      <c r="J153" s="43" t="str">
        <f t="shared" si="19"/>
        <v/>
      </c>
      <c r="K153" s="33" t="str">
        <f>IF(B153="","Pending",IF(M153="","⚠️ Enter Code",IF(IFERROR(VLOOKUP(L153,DB_Agents!$B:$F,4,0),"")=TEXT(M153,"0"),"Pending Approval","🔒 WRONG CODE")))</f>
        <v>Pending</v>
      </c>
      <c r="L153" s="30" t="s">
        <v>57</v>
      </c>
      <c r="M153" s="41"/>
      <c r="N153" s="22"/>
    </row>
    <row r="154" spans="1:14" ht="20.100000000000001" customHeight="1" x14ac:dyDescent="0.25">
      <c r="A154" s="30" t="str">
        <f t="shared" si="16"/>
        <v/>
      </c>
      <c r="B154" s="41"/>
      <c r="C154" s="35" t="str">
        <f>IF(B154="","",IFERROR(VLOOKUP(B154,DB_Customers!$A:$B,2,0),"❌ Account Not Found"))</f>
        <v/>
      </c>
      <c r="D154" s="42" t="str">
        <f t="shared" ca="1" si="17"/>
        <v/>
      </c>
      <c r="E154" s="32"/>
      <c r="F154" s="31"/>
      <c r="G154" s="41"/>
      <c r="H154" s="56">
        <v>2.5</v>
      </c>
      <c r="I154" s="43" t="str">
        <f t="shared" si="18"/>
        <v/>
      </c>
      <c r="J154" s="43" t="str">
        <f t="shared" si="19"/>
        <v/>
      </c>
      <c r="K154" s="33" t="str">
        <f>IF(B154="","Pending",IF(M154="","⚠️ Enter Code",IF(IFERROR(VLOOKUP(L154,DB_Agents!$B:$F,4,0),"")=TEXT(M154,"0"),"Pending Approval","🔒 WRONG CODE")))</f>
        <v>Pending</v>
      </c>
      <c r="L154" s="30" t="s">
        <v>57</v>
      </c>
      <c r="M154" s="41"/>
      <c r="N154" s="57"/>
    </row>
    <row r="155" spans="1:14" ht="20.100000000000001" customHeight="1" x14ac:dyDescent="0.25">
      <c r="A155" s="30" t="str">
        <f t="shared" si="16"/>
        <v/>
      </c>
      <c r="B155" s="41"/>
      <c r="C155" s="35" t="str">
        <f>IF(B155="","",IFERROR(VLOOKUP(B155,DB_Customers!$A:$B,2,0),"❌ Account Not Found"))</f>
        <v/>
      </c>
      <c r="D155" s="42" t="str">
        <f t="shared" ca="1" si="17"/>
        <v/>
      </c>
      <c r="E155" s="32"/>
      <c r="F155" s="31"/>
      <c r="G155" s="41"/>
      <c r="H155" s="56">
        <v>2.5</v>
      </c>
      <c r="I155" s="43" t="str">
        <f t="shared" si="18"/>
        <v/>
      </c>
      <c r="J155" s="43" t="str">
        <f t="shared" si="19"/>
        <v/>
      </c>
      <c r="K155" s="33" t="str">
        <f>IF(B155="","Pending",IF(M155="","⚠️ Enter Code",IF(IFERROR(VLOOKUP(L155,DB_Agents!$B:$F,4,0),"")=TEXT(M155,"0"),"Pending Approval","🔒 WRONG CODE")))</f>
        <v>Pending</v>
      </c>
      <c r="L155" s="30" t="s">
        <v>57</v>
      </c>
      <c r="M155" s="41"/>
      <c r="N155" s="22"/>
    </row>
    <row r="156" spans="1:14" ht="20.100000000000001" customHeight="1" x14ac:dyDescent="0.25">
      <c r="A156" s="30" t="str">
        <f t="shared" si="16"/>
        <v/>
      </c>
      <c r="B156" s="41"/>
      <c r="C156" s="35" t="str">
        <f>IF(B156="","",IFERROR(VLOOKUP(B156,DB_Customers!$A:$B,2,0),"❌ Account Not Found"))</f>
        <v/>
      </c>
      <c r="D156" s="42" t="str">
        <f t="shared" ca="1" si="17"/>
        <v/>
      </c>
      <c r="E156" s="32"/>
      <c r="F156" s="31"/>
      <c r="G156" s="41"/>
      <c r="H156" s="56">
        <v>2.5</v>
      </c>
      <c r="I156" s="43" t="str">
        <f t="shared" si="18"/>
        <v/>
      </c>
      <c r="J156" s="43" t="str">
        <f t="shared" si="19"/>
        <v/>
      </c>
      <c r="K156" s="33" t="str">
        <f>IF(B156="","Pending",IF(M156="","⚠️ Enter Code",IF(IFERROR(VLOOKUP(L156,DB_Agents!$B:$F,4,0),"")=TEXT(M156,"0"),"Pending Approval","🔒 WRONG CODE")))</f>
        <v>Pending</v>
      </c>
      <c r="L156" s="30" t="s">
        <v>57</v>
      </c>
      <c r="M156" s="41"/>
      <c r="N156" s="57"/>
    </row>
    <row r="157" spans="1:14" ht="20.100000000000001" customHeight="1" x14ac:dyDescent="0.25">
      <c r="A157" s="30" t="str">
        <f t="shared" si="16"/>
        <v/>
      </c>
      <c r="B157" s="41"/>
      <c r="C157" s="35" t="str">
        <f>IF(B157="","",IFERROR(VLOOKUP(B157,DB_Customers!$A:$B,2,0),"❌ Account Not Found"))</f>
        <v/>
      </c>
      <c r="D157" s="42" t="str">
        <f t="shared" ca="1" si="17"/>
        <v/>
      </c>
      <c r="E157" s="32"/>
      <c r="F157" s="31"/>
      <c r="G157" s="41"/>
      <c r="H157" s="56">
        <v>2.5</v>
      </c>
      <c r="I157" s="43" t="str">
        <f t="shared" si="18"/>
        <v/>
      </c>
      <c r="J157" s="43" t="str">
        <f t="shared" si="19"/>
        <v/>
      </c>
      <c r="K157" s="33" t="str">
        <f>IF(B157="","Pending",IF(M157="","⚠️ Enter Code",IF(IFERROR(VLOOKUP(L157,DB_Agents!$B:$F,4,0),"")=TEXT(M157,"0"),"Pending Approval","🔒 WRONG CODE")))</f>
        <v>Pending</v>
      </c>
      <c r="L157" s="30" t="s">
        <v>57</v>
      </c>
      <c r="M157" s="41"/>
      <c r="N157" s="22"/>
    </row>
    <row r="158" spans="1:14" ht="20.100000000000001" customHeight="1" x14ac:dyDescent="0.25">
      <c r="A158" s="30" t="str">
        <f t="shared" si="16"/>
        <v/>
      </c>
      <c r="B158" s="41"/>
      <c r="C158" s="35" t="str">
        <f>IF(B158="","",IFERROR(VLOOKUP(B158,DB_Customers!$A:$B,2,0),"❌ Account Not Found"))</f>
        <v/>
      </c>
      <c r="D158" s="42" t="str">
        <f t="shared" ca="1" si="17"/>
        <v/>
      </c>
      <c r="E158" s="32"/>
      <c r="F158" s="31"/>
      <c r="G158" s="41"/>
      <c r="H158" s="56">
        <v>2.5</v>
      </c>
      <c r="I158" s="43" t="str">
        <f t="shared" si="18"/>
        <v/>
      </c>
      <c r="J158" s="43" t="str">
        <f t="shared" si="19"/>
        <v/>
      </c>
      <c r="K158" s="33" t="str">
        <f>IF(B158="","Pending",IF(M158="","⚠️ Enter Code",IF(IFERROR(VLOOKUP(L158,DB_Agents!$B:$F,4,0),"")=TEXT(M158,"0"),"Pending Approval","🔒 WRONG CODE")))</f>
        <v>Pending</v>
      </c>
      <c r="L158" s="30" t="s">
        <v>57</v>
      </c>
      <c r="M158" s="41"/>
      <c r="N158" s="57"/>
    </row>
    <row r="159" spans="1:14" ht="20.100000000000001" customHeight="1" x14ac:dyDescent="0.25">
      <c r="A159" s="30" t="str">
        <f t="shared" si="16"/>
        <v/>
      </c>
      <c r="B159" s="41"/>
      <c r="C159" s="35" t="str">
        <f>IF(B159="","",IFERROR(VLOOKUP(B159,DB_Customers!$A:$B,2,0),"❌ Account Not Found"))</f>
        <v/>
      </c>
      <c r="D159" s="42" t="str">
        <f t="shared" ca="1" si="17"/>
        <v/>
      </c>
      <c r="E159" s="32"/>
      <c r="F159" s="31"/>
      <c r="G159" s="41"/>
      <c r="H159" s="56">
        <v>2.5</v>
      </c>
      <c r="I159" s="43" t="str">
        <f t="shared" si="18"/>
        <v/>
      </c>
      <c r="J159" s="43" t="str">
        <f t="shared" si="19"/>
        <v/>
      </c>
      <c r="K159" s="33" t="str">
        <f>IF(B159="","Pending",IF(M159="","⚠️ Enter Code",IF(IFERROR(VLOOKUP(L159,DB_Agents!$B:$F,4,0),"")=TEXT(M159,"0"),"Pending Approval","🔒 WRONG CODE")))</f>
        <v>Pending</v>
      </c>
      <c r="L159" s="30" t="s">
        <v>57</v>
      </c>
      <c r="M159" s="41"/>
      <c r="N159" s="22"/>
    </row>
    <row r="160" spans="1:14" ht="20.100000000000001" customHeight="1" x14ac:dyDescent="0.25">
      <c r="A160" s="30" t="str">
        <f t="shared" si="16"/>
        <v/>
      </c>
      <c r="B160" s="41"/>
      <c r="C160" s="35" t="str">
        <f>IF(B160="","",IFERROR(VLOOKUP(B160,DB_Customers!$A:$B,2,0),"❌ Account Not Found"))</f>
        <v/>
      </c>
      <c r="D160" s="42" t="str">
        <f t="shared" ca="1" si="17"/>
        <v/>
      </c>
      <c r="E160" s="32"/>
      <c r="F160" s="31"/>
      <c r="G160" s="41"/>
      <c r="H160" s="56">
        <v>2.5</v>
      </c>
      <c r="I160" s="43" t="str">
        <f t="shared" si="18"/>
        <v/>
      </c>
      <c r="J160" s="43" t="str">
        <f t="shared" si="19"/>
        <v/>
      </c>
      <c r="K160" s="33" t="str">
        <f>IF(B160="","Pending",IF(M160="","⚠️ Enter Code",IF(IFERROR(VLOOKUP(L160,DB_Agents!$B:$F,4,0),"")=TEXT(M160,"0"),"Pending Approval","🔒 WRONG CODE")))</f>
        <v>Pending</v>
      </c>
      <c r="L160" s="30" t="s">
        <v>57</v>
      </c>
      <c r="M160" s="41"/>
      <c r="N160" s="57"/>
    </row>
    <row r="161" spans="1:14" ht="20.100000000000001" customHeight="1" x14ac:dyDescent="0.25">
      <c r="A161" s="30" t="str">
        <f t="shared" si="16"/>
        <v/>
      </c>
      <c r="B161" s="41"/>
      <c r="C161" s="35" t="str">
        <f>IF(B161="","",IFERROR(VLOOKUP(B161,DB_Customers!$A:$B,2,0),"❌ Account Not Found"))</f>
        <v/>
      </c>
      <c r="D161" s="42" t="str">
        <f t="shared" ca="1" si="17"/>
        <v/>
      </c>
      <c r="E161" s="32"/>
      <c r="F161" s="31"/>
      <c r="G161" s="41"/>
      <c r="H161" s="56">
        <v>2.5</v>
      </c>
      <c r="I161" s="43" t="str">
        <f t="shared" si="18"/>
        <v/>
      </c>
      <c r="J161" s="43" t="str">
        <f t="shared" si="19"/>
        <v/>
      </c>
      <c r="K161" s="33" t="str">
        <f>IF(B161="","Pending",IF(M161="","⚠️ Enter Code",IF(IFERROR(VLOOKUP(L161,DB_Agents!$B:$F,4,0),"")=TEXT(M161,"0"),"Pending Approval","🔒 WRONG CODE")))</f>
        <v>Pending</v>
      </c>
      <c r="L161" s="30" t="s">
        <v>57</v>
      </c>
      <c r="M161" s="41"/>
      <c r="N161" s="22"/>
    </row>
    <row r="162" spans="1:14" ht="20.100000000000001" customHeight="1" x14ac:dyDescent="0.25">
      <c r="A162" s="30" t="str">
        <f t="shared" si="16"/>
        <v/>
      </c>
      <c r="B162" s="41"/>
      <c r="C162" s="35" t="str">
        <f>IF(B162="","",IFERROR(VLOOKUP(B162,DB_Customers!$A:$B,2,0),"❌ Account Not Found"))</f>
        <v/>
      </c>
      <c r="D162" s="42" t="str">
        <f t="shared" ca="1" si="17"/>
        <v/>
      </c>
      <c r="E162" s="32"/>
      <c r="F162" s="31"/>
      <c r="G162" s="41"/>
      <c r="H162" s="56">
        <v>2.5</v>
      </c>
      <c r="I162" s="43" t="str">
        <f t="shared" si="18"/>
        <v/>
      </c>
      <c r="J162" s="43" t="str">
        <f t="shared" si="19"/>
        <v/>
      </c>
      <c r="K162" s="33" t="str">
        <f>IF(B162="","Pending",IF(M162="","⚠️ Enter Code",IF(IFERROR(VLOOKUP(L162,DB_Agents!$B:$F,4,0),"")=TEXT(M162,"0"),"Pending Approval","🔒 WRONG CODE")))</f>
        <v>Pending</v>
      </c>
      <c r="L162" s="30" t="s">
        <v>57</v>
      </c>
      <c r="M162" s="41"/>
      <c r="N162" s="57"/>
    </row>
    <row r="163" spans="1:14" ht="20.100000000000001" customHeight="1" x14ac:dyDescent="0.25">
      <c r="A163" s="30" t="str">
        <f t="shared" si="16"/>
        <v/>
      </c>
      <c r="B163" s="41"/>
      <c r="C163" s="35" t="str">
        <f>IF(B163="","",IFERROR(VLOOKUP(B163,DB_Customers!$A:$B,2,0),"❌ Account Not Found"))</f>
        <v/>
      </c>
      <c r="D163" s="42" t="str">
        <f t="shared" ca="1" si="17"/>
        <v/>
      </c>
      <c r="E163" s="32"/>
      <c r="F163" s="31"/>
      <c r="G163" s="41"/>
      <c r="H163" s="56">
        <v>2.5</v>
      </c>
      <c r="I163" s="43" t="str">
        <f t="shared" si="18"/>
        <v/>
      </c>
      <c r="J163" s="43" t="str">
        <f t="shared" si="19"/>
        <v/>
      </c>
      <c r="K163" s="33" t="str">
        <f>IF(B163="","Pending",IF(M163="","⚠️ Enter Code",IF(IFERROR(VLOOKUP(L163,DB_Agents!$B:$F,4,0),"")=TEXT(M163,"0"),"Pending Approval","🔒 WRONG CODE")))</f>
        <v>Pending</v>
      </c>
      <c r="L163" s="30" t="s">
        <v>57</v>
      </c>
      <c r="M163" s="41"/>
      <c r="N163" s="22"/>
    </row>
    <row r="164" spans="1:14" ht="20.100000000000001" customHeight="1" x14ac:dyDescent="0.25">
      <c r="A164" s="30" t="str">
        <f t="shared" si="16"/>
        <v/>
      </c>
      <c r="B164" s="41"/>
      <c r="C164" s="35" t="str">
        <f>IF(B164="","",IFERROR(VLOOKUP(B164,DB_Customers!$A:$B,2,0),"❌ Account Not Found"))</f>
        <v/>
      </c>
      <c r="D164" s="42" t="str">
        <f t="shared" ca="1" si="17"/>
        <v/>
      </c>
      <c r="E164" s="32"/>
      <c r="F164" s="31"/>
      <c r="G164" s="41"/>
      <c r="H164" s="56">
        <v>2.5</v>
      </c>
      <c r="I164" s="43" t="str">
        <f t="shared" si="18"/>
        <v/>
      </c>
      <c r="J164" s="43" t="str">
        <f t="shared" si="19"/>
        <v/>
      </c>
      <c r="K164" s="33" t="str">
        <f>IF(B164="","Pending",IF(M164="","⚠️ Enter Code",IF(IFERROR(VLOOKUP(L164,DB_Agents!$B:$F,4,0),"")=TEXT(M164,"0"),"Pending Approval","🔒 WRONG CODE")))</f>
        <v>Pending</v>
      </c>
      <c r="L164" s="30" t="s">
        <v>57</v>
      </c>
      <c r="M164" s="41"/>
      <c r="N164" s="57"/>
    </row>
    <row r="165" spans="1:14" ht="20.100000000000001" customHeight="1" x14ac:dyDescent="0.25">
      <c r="A165" s="30" t="str">
        <f t="shared" si="16"/>
        <v/>
      </c>
      <c r="B165" s="41"/>
      <c r="C165" s="35" t="str">
        <f>IF(B165="","",IFERROR(VLOOKUP(B165,DB_Customers!$A:$B,2,0),"❌ Account Not Found"))</f>
        <v/>
      </c>
      <c r="D165" s="42" t="str">
        <f t="shared" ca="1" si="17"/>
        <v/>
      </c>
      <c r="E165" s="32"/>
      <c r="F165" s="31"/>
      <c r="G165" s="41"/>
      <c r="H165" s="56">
        <v>2.5</v>
      </c>
      <c r="I165" s="43" t="str">
        <f t="shared" si="18"/>
        <v/>
      </c>
      <c r="J165" s="43" t="str">
        <f t="shared" si="19"/>
        <v/>
      </c>
      <c r="K165" s="33" t="str">
        <f>IF(B165="","Pending",IF(M165="","⚠️ Enter Code",IF(IFERROR(VLOOKUP(L165,DB_Agents!$B:$F,4,0),"")=TEXT(M165,"0"),"Pending Approval","🔒 WRONG CODE")))</f>
        <v>Pending</v>
      </c>
      <c r="L165" s="30" t="s">
        <v>57</v>
      </c>
      <c r="M165" s="41"/>
      <c r="N165" s="22"/>
    </row>
    <row r="166" spans="1:14" ht="20.100000000000001" customHeight="1" x14ac:dyDescent="0.25">
      <c r="A166" s="30" t="str">
        <f t="shared" si="16"/>
        <v/>
      </c>
      <c r="B166" s="41"/>
      <c r="C166" s="35" t="str">
        <f>IF(B166="","",IFERROR(VLOOKUP(B166,DB_Customers!$A:$B,2,0),"❌ Account Not Found"))</f>
        <v/>
      </c>
      <c r="D166" s="42" t="str">
        <f t="shared" ca="1" si="17"/>
        <v/>
      </c>
      <c r="E166" s="32"/>
      <c r="F166" s="31"/>
      <c r="G166" s="41"/>
      <c r="H166" s="56">
        <v>2.5</v>
      </c>
      <c r="I166" s="43" t="str">
        <f t="shared" si="18"/>
        <v/>
      </c>
      <c r="J166" s="43" t="str">
        <f t="shared" si="19"/>
        <v/>
      </c>
      <c r="K166" s="33" t="str">
        <f>IF(B166="","Pending",IF(M166="","⚠️ Enter Code",IF(IFERROR(VLOOKUP(L166,DB_Agents!$B:$F,4,0),"")=TEXT(M166,"0"),"Pending Approval","🔒 WRONG CODE")))</f>
        <v>Pending</v>
      </c>
      <c r="L166" s="30" t="s">
        <v>57</v>
      </c>
      <c r="M166" s="41"/>
      <c r="N166" s="57"/>
    </row>
    <row r="167" spans="1:14" ht="20.100000000000001" customHeight="1" x14ac:dyDescent="0.25">
      <c r="A167" s="30" t="str">
        <f t="shared" si="16"/>
        <v/>
      </c>
      <c r="B167" s="41"/>
      <c r="C167" s="35" t="str">
        <f>IF(B167="","",IFERROR(VLOOKUP(B167,DB_Customers!$A:$B,2,0),"❌ Account Not Found"))</f>
        <v/>
      </c>
      <c r="D167" s="42" t="str">
        <f t="shared" ca="1" si="17"/>
        <v/>
      </c>
      <c r="E167" s="32"/>
      <c r="F167" s="31"/>
      <c r="G167" s="41"/>
      <c r="H167" s="56">
        <v>2.5</v>
      </c>
      <c r="I167" s="43" t="str">
        <f t="shared" si="18"/>
        <v/>
      </c>
      <c r="J167" s="43" t="str">
        <f t="shared" si="19"/>
        <v/>
      </c>
      <c r="K167" s="33" t="str">
        <f>IF(B167="","Pending",IF(M167="","⚠️ Enter Code",IF(IFERROR(VLOOKUP(L167,DB_Agents!$B:$F,4,0),"")=TEXT(M167,"0"),"Pending Approval","🔒 WRONG CODE")))</f>
        <v>Pending</v>
      </c>
      <c r="L167" s="30" t="s">
        <v>57</v>
      </c>
      <c r="M167" s="41"/>
      <c r="N167" s="22"/>
    </row>
    <row r="168" spans="1:14" ht="20.100000000000001" customHeight="1" x14ac:dyDescent="0.25">
      <c r="A168" s="30" t="str">
        <f t="shared" si="16"/>
        <v/>
      </c>
      <c r="B168" s="41"/>
      <c r="C168" s="35" t="str">
        <f>IF(B168="","",IFERROR(VLOOKUP(B168,DB_Customers!$A:$B,2,0),"❌ Account Not Found"))</f>
        <v/>
      </c>
      <c r="D168" s="42" t="str">
        <f t="shared" ca="1" si="17"/>
        <v/>
      </c>
      <c r="E168" s="32"/>
      <c r="F168" s="31"/>
      <c r="G168" s="41"/>
      <c r="H168" s="56">
        <v>2.5</v>
      </c>
      <c r="I168" s="43" t="str">
        <f t="shared" si="18"/>
        <v/>
      </c>
      <c r="J168" s="43" t="str">
        <f t="shared" si="19"/>
        <v/>
      </c>
      <c r="K168" s="33" t="str">
        <f>IF(B168="","Pending",IF(M168="","⚠️ Enter Code",IF(IFERROR(VLOOKUP(L168,DB_Agents!$B:$F,4,0),"")=TEXT(M168,"0"),"Pending Approval","🔒 WRONG CODE")))</f>
        <v>Pending</v>
      </c>
      <c r="L168" s="30" t="s">
        <v>57</v>
      </c>
      <c r="M168" s="41"/>
      <c r="N168" s="57"/>
    </row>
    <row r="169" spans="1:14" ht="20.100000000000001" customHeight="1" x14ac:dyDescent="0.25">
      <c r="A169" s="30" t="str">
        <f t="shared" si="16"/>
        <v/>
      </c>
      <c r="B169" s="41"/>
      <c r="C169" s="35" t="str">
        <f>IF(B169="","",IFERROR(VLOOKUP(B169,DB_Customers!$A:$B,2,0),"❌ Account Not Found"))</f>
        <v/>
      </c>
      <c r="D169" s="42" t="str">
        <f t="shared" ca="1" si="17"/>
        <v/>
      </c>
      <c r="E169" s="32"/>
      <c r="F169" s="31"/>
      <c r="G169" s="41"/>
      <c r="H169" s="56">
        <v>2.5</v>
      </c>
      <c r="I169" s="43" t="str">
        <f t="shared" si="18"/>
        <v/>
      </c>
      <c r="J169" s="43" t="str">
        <f t="shared" si="19"/>
        <v/>
      </c>
      <c r="K169" s="33" t="str">
        <f>IF(B169="","Pending",IF(M169="","⚠️ Enter Code",IF(IFERROR(VLOOKUP(L169,DB_Agents!$B:$F,4,0),"")=TEXT(M169,"0"),"Pending Approval","🔒 WRONG CODE")))</f>
        <v>Pending</v>
      </c>
      <c r="L169" s="30" t="s">
        <v>57</v>
      </c>
      <c r="M169" s="41"/>
      <c r="N169" s="22"/>
    </row>
    <row r="170" spans="1:14" ht="20.100000000000001" customHeight="1" x14ac:dyDescent="0.25">
      <c r="A170" s="30" t="str">
        <f t="shared" si="16"/>
        <v/>
      </c>
      <c r="B170" s="41"/>
      <c r="C170" s="35" t="str">
        <f>IF(B170="","",IFERROR(VLOOKUP(B170,DB_Customers!$A:$B,2,0),"❌ Account Not Found"))</f>
        <v/>
      </c>
      <c r="D170" s="42" t="str">
        <f t="shared" ca="1" si="17"/>
        <v/>
      </c>
      <c r="E170" s="32"/>
      <c r="F170" s="31"/>
      <c r="G170" s="41"/>
      <c r="H170" s="56">
        <v>2.5</v>
      </c>
      <c r="I170" s="43" t="str">
        <f t="shared" si="18"/>
        <v/>
      </c>
      <c r="J170" s="43" t="str">
        <f t="shared" si="19"/>
        <v/>
      </c>
      <c r="K170" s="33" t="str">
        <f>IF(B170="","Pending",IF(M170="","⚠️ Enter Code",IF(IFERROR(VLOOKUP(L170,DB_Agents!$B:$F,4,0),"")=TEXT(M170,"0"),"Pending Approval","🔒 WRONG CODE")))</f>
        <v>Pending</v>
      </c>
      <c r="L170" s="30" t="s">
        <v>57</v>
      </c>
      <c r="M170" s="41"/>
      <c r="N170" s="57"/>
    </row>
    <row r="171" spans="1:14" ht="20.100000000000001" customHeight="1" x14ac:dyDescent="0.25">
      <c r="A171" s="30" t="str">
        <f t="shared" si="16"/>
        <v/>
      </c>
      <c r="B171" s="41"/>
      <c r="C171" s="35" t="str">
        <f>IF(B171="","",IFERROR(VLOOKUP(B171,DB_Customers!$A:$B,2,0),"❌ Account Not Found"))</f>
        <v/>
      </c>
      <c r="D171" s="42" t="str">
        <f t="shared" ca="1" si="17"/>
        <v/>
      </c>
      <c r="E171" s="32"/>
      <c r="F171" s="31"/>
      <c r="G171" s="41"/>
      <c r="H171" s="56">
        <v>2.5</v>
      </c>
      <c r="I171" s="43" t="str">
        <f t="shared" si="18"/>
        <v/>
      </c>
      <c r="J171" s="43" t="str">
        <f t="shared" si="19"/>
        <v/>
      </c>
      <c r="K171" s="33" t="str">
        <f>IF(B171="","Pending",IF(M171="","⚠️ Enter Code",IF(IFERROR(VLOOKUP(L171,DB_Agents!$B:$F,4,0),"")=TEXT(M171,"0"),"Pending Approval","🔒 WRONG CODE")))</f>
        <v>Pending</v>
      </c>
      <c r="L171" s="30" t="s">
        <v>57</v>
      </c>
      <c r="M171" s="41"/>
      <c r="N171" s="22"/>
    </row>
    <row r="172" spans="1:14" ht="20.100000000000001" customHeight="1" x14ac:dyDescent="0.25">
      <c r="A172" s="30" t="str">
        <f t="shared" si="16"/>
        <v/>
      </c>
      <c r="B172" s="41"/>
      <c r="C172" s="35" t="str">
        <f>IF(B172="","",IFERROR(VLOOKUP(B172,DB_Customers!$A:$B,2,0),"❌ Account Not Found"))</f>
        <v/>
      </c>
      <c r="D172" s="42" t="str">
        <f t="shared" ca="1" si="17"/>
        <v/>
      </c>
      <c r="E172" s="32"/>
      <c r="F172" s="31"/>
      <c r="G172" s="41"/>
      <c r="H172" s="56">
        <v>2.5</v>
      </c>
      <c r="I172" s="43" t="str">
        <f t="shared" si="18"/>
        <v/>
      </c>
      <c r="J172" s="43" t="str">
        <f t="shared" si="19"/>
        <v/>
      </c>
      <c r="K172" s="33" t="str">
        <f>IF(B172="","Pending",IF(M172="","⚠️ Enter Code",IF(IFERROR(VLOOKUP(L172,DB_Agents!$B:$F,4,0),"")=TEXT(M172,"0"),"Pending Approval","🔒 WRONG CODE")))</f>
        <v>Pending</v>
      </c>
      <c r="L172" s="30" t="s">
        <v>57</v>
      </c>
      <c r="M172" s="41"/>
      <c r="N172" s="57"/>
    </row>
    <row r="173" spans="1:14" ht="20.100000000000001" customHeight="1" x14ac:dyDescent="0.25">
      <c r="A173" s="30" t="str">
        <f t="shared" si="16"/>
        <v/>
      </c>
      <c r="B173" s="41"/>
      <c r="C173" s="35" t="str">
        <f>IF(B173="","",IFERROR(VLOOKUP(B173,DB_Customers!$A:$B,2,0),"❌ Account Not Found"))</f>
        <v/>
      </c>
      <c r="D173" s="42" t="str">
        <f t="shared" ca="1" si="17"/>
        <v/>
      </c>
      <c r="E173" s="32"/>
      <c r="F173" s="31"/>
      <c r="G173" s="41"/>
      <c r="H173" s="56">
        <v>2.5</v>
      </c>
      <c r="I173" s="43" t="str">
        <f t="shared" si="18"/>
        <v/>
      </c>
      <c r="J173" s="43" t="str">
        <f t="shared" si="19"/>
        <v/>
      </c>
      <c r="K173" s="33" t="str">
        <f>IF(B173="","Pending",IF(M173="","⚠️ Enter Code",IF(IFERROR(VLOOKUP(L173,DB_Agents!$B:$F,4,0),"")=TEXT(M173,"0"),"Pending Approval","🔒 WRONG CODE")))</f>
        <v>Pending</v>
      </c>
      <c r="L173" s="30" t="s">
        <v>57</v>
      </c>
      <c r="M173" s="41"/>
      <c r="N173" s="22"/>
    </row>
    <row r="174" spans="1:14" ht="20.100000000000001" customHeight="1" x14ac:dyDescent="0.25">
      <c r="A174" s="30" t="str">
        <f t="shared" ref="A174:A205" si="20">IF(B174="","",IF(C174="❌ Account Not Found","INVALID","LN"&amp;TEXT(D174,"YYYYMMDD")&amp;TEXT(ROW()-13,"0000")))</f>
        <v/>
      </c>
      <c r="B174" s="41"/>
      <c r="C174" s="35" t="str">
        <f>IF(B174="","",IFERROR(VLOOKUP(B174,DB_Customers!$A:$B,2,0),"❌ Account Not Found"))</f>
        <v/>
      </c>
      <c r="D174" s="42" t="str">
        <f t="shared" ref="D174:D205" ca="1" si="21">IF(B174="","",TODAY())</f>
        <v/>
      </c>
      <c r="E174" s="32"/>
      <c r="F174" s="31"/>
      <c r="G174" s="41"/>
      <c r="H174" s="56">
        <v>2.5</v>
      </c>
      <c r="I174" s="43" t="str">
        <f t="shared" ref="I174:I205" si="22">IF(E174="","",E174+(E174*H174/100*G174))</f>
        <v/>
      </c>
      <c r="J174" s="43" t="str">
        <f t="shared" ref="J174:J205" si="23">IFERROR(I174/G174,"")</f>
        <v/>
      </c>
      <c r="K174" s="33" t="str">
        <f>IF(B174="","Pending",IF(M174="","⚠️ Enter Code",IF(IFERROR(VLOOKUP(L174,DB_Agents!$B:$F,4,0),"")=TEXT(M174,"0"),"Pending Approval","🔒 WRONG CODE")))</f>
        <v>Pending</v>
      </c>
      <c r="L174" s="30" t="s">
        <v>57</v>
      </c>
      <c r="M174" s="41"/>
      <c r="N174" s="57"/>
    </row>
    <row r="175" spans="1:14" ht="20.100000000000001" customHeight="1" x14ac:dyDescent="0.25">
      <c r="A175" s="30" t="str">
        <f t="shared" si="20"/>
        <v/>
      </c>
      <c r="B175" s="41"/>
      <c r="C175" s="35" t="str">
        <f>IF(B175="","",IFERROR(VLOOKUP(B175,DB_Customers!$A:$B,2,0),"❌ Account Not Found"))</f>
        <v/>
      </c>
      <c r="D175" s="42" t="str">
        <f t="shared" ca="1" si="21"/>
        <v/>
      </c>
      <c r="E175" s="32"/>
      <c r="F175" s="31"/>
      <c r="G175" s="41"/>
      <c r="H175" s="56">
        <v>2.5</v>
      </c>
      <c r="I175" s="43" t="str">
        <f t="shared" si="22"/>
        <v/>
      </c>
      <c r="J175" s="43" t="str">
        <f t="shared" si="23"/>
        <v/>
      </c>
      <c r="K175" s="33" t="str">
        <f>IF(B175="","Pending",IF(M175="","⚠️ Enter Code",IF(IFERROR(VLOOKUP(L175,DB_Agents!$B:$F,4,0),"")=TEXT(M175,"0"),"Pending Approval","🔒 WRONG CODE")))</f>
        <v>Pending</v>
      </c>
      <c r="L175" s="30" t="s">
        <v>57</v>
      </c>
      <c r="M175" s="41"/>
      <c r="N175" s="22"/>
    </row>
    <row r="176" spans="1:14" ht="20.100000000000001" customHeight="1" x14ac:dyDescent="0.25">
      <c r="A176" s="30" t="str">
        <f t="shared" si="20"/>
        <v/>
      </c>
      <c r="B176" s="41"/>
      <c r="C176" s="35" t="str">
        <f>IF(B176="","",IFERROR(VLOOKUP(B176,DB_Customers!$A:$B,2,0),"❌ Account Not Found"))</f>
        <v/>
      </c>
      <c r="D176" s="42" t="str">
        <f t="shared" ca="1" si="21"/>
        <v/>
      </c>
      <c r="E176" s="32"/>
      <c r="F176" s="31"/>
      <c r="G176" s="41"/>
      <c r="H176" s="56">
        <v>2.5</v>
      </c>
      <c r="I176" s="43" t="str">
        <f t="shared" si="22"/>
        <v/>
      </c>
      <c r="J176" s="43" t="str">
        <f t="shared" si="23"/>
        <v/>
      </c>
      <c r="K176" s="33" t="str">
        <f>IF(B176="","Pending",IF(M176="","⚠️ Enter Code",IF(IFERROR(VLOOKUP(L176,DB_Agents!$B:$F,4,0),"")=TEXT(M176,"0"),"Pending Approval","🔒 WRONG CODE")))</f>
        <v>Pending</v>
      </c>
      <c r="L176" s="30" t="s">
        <v>57</v>
      </c>
      <c r="M176" s="41"/>
      <c r="N176" s="57"/>
    </row>
    <row r="177" spans="1:14" ht="20.100000000000001" customHeight="1" x14ac:dyDescent="0.25">
      <c r="A177" s="30" t="str">
        <f t="shared" si="20"/>
        <v/>
      </c>
      <c r="B177" s="41"/>
      <c r="C177" s="35" t="str">
        <f>IF(B177="","",IFERROR(VLOOKUP(B177,DB_Customers!$A:$B,2,0),"❌ Account Not Found"))</f>
        <v/>
      </c>
      <c r="D177" s="42" t="str">
        <f t="shared" ca="1" si="21"/>
        <v/>
      </c>
      <c r="E177" s="32"/>
      <c r="F177" s="31"/>
      <c r="G177" s="41"/>
      <c r="H177" s="56">
        <v>2.5</v>
      </c>
      <c r="I177" s="43" t="str">
        <f t="shared" si="22"/>
        <v/>
      </c>
      <c r="J177" s="43" t="str">
        <f t="shared" si="23"/>
        <v/>
      </c>
      <c r="K177" s="33" t="str">
        <f>IF(B177="","Pending",IF(M177="","⚠️ Enter Code",IF(IFERROR(VLOOKUP(L177,DB_Agents!$B:$F,4,0),"")=TEXT(M177,"0"),"Pending Approval","🔒 WRONG CODE")))</f>
        <v>Pending</v>
      </c>
      <c r="L177" s="30" t="s">
        <v>57</v>
      </c>
      <c r="M177" s="41"/>
      <c r="N177" s="22"/>
    </row>
    <row r="178" spans="1:14" ht="20.100000000000001" customHeight="1" x14ac:dyDescent="0.25">
      <c r="A178" s="30" t="str">
        <f t="shared" si="20"/>
        <v/>
      </c>
      <c r="B178" s="41"/>
      <c r="C178" s="35" t="str">
        <f>IF(B178="","",IFERROR(VLOOKUP(B178,DB_Customers!$A:$B,2,0),"❌ Account Not Found"))</f>
        <v/>
      </c>
      <c r="D178" s="42" t="str">
        <f t="shared" ca="1" si="21"/>
        <v/>
      </c>
      <c r="E178" s="32"/>
      <c r="F178" s="31"/>
      <c r="G178" s="41"/>
      <c r="H178" s="56">
        <v>2.5</v>
      </c>
      <c r="I178" s="43" t="str">
        <f t="shared" si="22"/>
        <v/>
      </c>
      <c r="J178" s="43" t="str">
        <f t="shared" si="23"/>
        <v/>
      </c>
      <c r="K178" s="33" t="str">
        <f>IF(B178="","Pending",IF(M178="","⚠️ Enter Code",IF(IFERROR(VLOOKUP(L178,DB_Agents!$B:$F,4,0),"")=TEXT(M178,"0"),"Pending Approval","🔒 WRONG CODE")))</f>
        <v>Pending</v>
      </c>
      <c r="L178" s="30" t="s">
        <v>57</v>
      </c>
      <c r="M178" s="41"/>
      <c r="N178" s="57"/>
    </row>
    <row r="179" spans="1:14" ht="20.100000000000001" customHeight="1" x14ac:dyDescent="0.25">
      <c r="A179" s="30" t="str">
        <f t="shared" si="20"/>
        <v/>
      </c>
      <c r="B179" s="41"/>
      <c r="C179" s="35" t="str">
        <f>IF(B179="","",IFERROR(VLOOKUP(B179,DB_Customers!$A:$B,2,0),"❌ Account Not Found"))</f>
        <v/>
      </c>
      <c r="D179" s="42" t="str">
        <f t="shared" ca="1" si="21"/>
        <v/>
      </c>
      <c r="E179" s="32"/>
      <c r="F179" s="31"/>
      <c r="G179" s="41"/>
      <c r="H179" s="56">
        <v>2.5</v>
      </c>
      <c r="I179" s="43" t="str">
        <f t="shared" si="22"/>
        <v/>
      </c>
      <c r="J179" s="43" t="str">
        <f t="shared" si="23"/>
        <v/>
      </c>
      <c r="K179" s="33" t="str">
        <f>IF(B179="","Pending",IF(M179="","⚠️ Enter Code",IF(IFERROR(VLOOKUP(L179,DB_Agents!$B:$F,4,0),"")=TEXT(M179,"0"),"Pending Approval","🔒 WRONG CODE")))</f>
        <v>Pending</v>
      </c>
      <c r="L179" s="30" t="s">
        <v>57</v>
      </c>
      <c r="M179" s="41"/>
      <c r="N179" s="22"/>
    </row>
    <row r="180" spans="1:14" ht="20.100000000000001" customHeight="1" x14ac:dyDescent="0.25">
      <c r="A180" s="30" t="str">
        <f t="shared" si="20"/>
        <v/>
      </c>
      <c r="B180" s="41"/>
      <c r="C180" s="35" t="str">
        <f>IF(B180="","",IFERROR(VLOOKUP(B180,DB_Customers!$A:$B,2,0),"❌ Account Not Found"))</f>
        <v/>
      </c>
      <c r="D180" s="42" t="str">
        <f t="shared" ca="1" si="21"/>
        <v/>
      </c>
      <c r="E180" s="32"/>
      <c r="F180" s="31"/>
      <c r="G180" s="41"/>
      <c r="H180" s="56">
        <v>2.5</v>
      </c>
      <c r="I180" s="43" t="str">
        <f t="shared" si="22"/>
        <v/>
      </c>
      <c r="J180" s="43" t="str">
        <f t="shared" si="23"/>
        <v/>
      </c>
      <c r="K180" s="33" t="str">
        <f>IF(B180="","Pending",IF(M180="","⚠️ Enter Code",IF(IFERROR(VLOOKUP(L180,DB_Agents!$B:$F,4,0),"")=TEXT(M180,"0"),"Pending Approval","🔒 WRONG CODE")))</f>
        <v>Pending</v>
      </c>
      <c r="L180" s="30" t="s">
        <v>57</v>
      </c>
      <c r="M180" s="41"/>
      <c r="N180" s="57"/>
    </row>
    <row r="181" spans="1:14" ht="20.100000000000001" customHeight="1" x14ac:dyDescent="0.25">
      <c r="A181" s="30" t="str">
        <f t="shared" si="20"/>
        <v/>
      </c>
      <c r="B181" s="41"/>
      <c r="C181" s="35" t="str">
        <f>IF(B181="","",IFERROR(VLOOKUP(B181,DB_Customers!$A:$B,2,0),"❌ Account Not Found"))</f>
        <v/>
      </c>
      <c r="D181" s="42" t="str">
        <f t="shared" ca="1" si="21"/>
        <v/>
      </c>
      <c r="E181" s="32"/>
      <c r="F181" s="31"/>
      <c r="G181" s="41"/>
      <c r="H181" s="56">
        <v>2.5</v>
      </c>
      <c r="I181" s="43" t="str">
        <f t="shared" si="22"/>
        <v/>
      </c>
      <c r="J181" s="43" t="str">
        <f t="shared" si="23"/>
        <v/>
      </c>
      <c r="K181" s="33" t="str">
        <f>IF(B181="","Pending",IF(M181="","⚠️ Enter Code",IF(IFERROR(VLOOKUP(L181,DB_Agents!$B:$F,4,0),"")=TEXT(M181,"0"),"Pending Approval","🔒 WRONG CODE")))</f>
        <v>Pending</v>
      </c>
      <c r="L181" s="30" t="s">
        <v>57</v>
      </c>
      <c r="M181" s="41"/>
      <c r="N181" s="22"/>
    </row>
    <row r="182" spans="1:14" ht="20.100000000000001" customHeight="1" x14ac:dyDescent="0.25">
      <c r="A182" s="30" t="str">
        <f t="shared" si="20"/>
        <v/>
      </c>
      <c r="B182" s="41"/>
      <c r="C182" s="35" t="str">
        <f>IF(B182="","",IFERROR(VLOOKUP(B182,DB_Customers!$A:$B,2,0),"❌ Account Not Found"))</f>
        <v/>
      </c>
      <c r="D182" s="42" t="str">
        <f t="shared" ca="1" si="21"/>
        <v/>
      </c>
      <c r="E182" s="32"/>
      <c r="F182" s="31"/>
      <c r="G182" s="41"/>
      <c r="H182" s="56">
        <v>2.5</v>
      </c>
      <c r="I182" s="43" t="str">
        <f t="shared" si="22"/>
        <v/>
      </c>
      <c r="J182" s="43" t="str">
        <f t="shared" si="23"/>
        <v/>
      </c>
      <c r="K182" s="33" t="str">
        <f>IF(B182="","Pending",IF(M182="","⚠️ Enter Code",IF(IFERROR(VLOOKUP(L182,DB_Agents!$B:$F,4,0),"")=TEXT(M182,"0"),"Pending Approval","🔒 WRONG CODE")))</f>
        <v>Pending</v>
      </c>
      <c r="L182" s="30" t="s">
        <v>57</v>
      </c>
      <c r="M182" s="41"/>
      <c r="N182" s="57"/>
    </row>
    <row r="183" spans="1:14" ht="20.100000000000001" customHeight="1" x14ac:dyDescent="0.25">
      <c r="A183" s="30" t="str">
        <f t="shared" si="20"/>
        <v/>
      </c>
      <c r="B183" s="41"/>
      <c r="C183" s="35" t="str">
        <f>IF(B183="","",IFERROR(VLOOKUP(B183,DB_Customers!$A:$B,2,0),"❌ Account Not Found"))</f>
        <v/>
      </c>
      <c r="D183" s="42" t="str">
        <f t="shared" ca="1" si="21"/>
        <v/>
      </c>
      <c r="E183" s="32"/>
      <c r="F183" s="31"/>
      <c r="G183" s="41"/>
      <c r="H183" s="56">
        <v>2.5</v>
      </c>
      <c r="I183" s="43" t="str">
        <f t="shared" si="22"/>
        <v/>
      </c>
      <c r="J183" s="43" t="str">
        <f t="shared" si="23"/>
        <v/>
      </c>
      <c r="K183" s="33" t="str">
        <f>IF(B183="","Pending",IF(M183="","⚠️ Enter Code",IF(IFERROR(VLOOKUP(L183,DB_Agents!$B:$F,4,0),"")=TEXT(M183,"0"),"Pending Approval","🔒 WRONG CODE")))</f>
        <v>Pending</v>
      </c>
      <c r="L183" s="30" t="s">
        <v>57</v>
      </c>
      <c r="M183" s="41"/>
      <c r="N183" s="22"/>
    </row>
    <row r="184" spans="1:14" ht="20.100000000000001" customHeight="1" x14ac:dyDescent="0.25">
      <c r="A184" s="30" t="str">
        <f t="shared" si="20"/>
        <v/>
      </c>
      <c r="B184" s="41"/>
      <c r="C184" s="35" t="str">
        <f>IF(B184="","",IFERROR(VLOOKUP(B184,DB_Customers!$A:$B,2,0),"❌ Account Not Found"))</f>
        <v/>
      </c>
      <c r="D184" s="42" t="str">
        <f t="shared" ca="1" si="21"/>
        <v/>
      </c>
      <c r="E184" s="32"/>
      <c r="F184" s="31"/>
      <c r="G184" s="41"/>
      <c r="H184" s="56">
        <v>2.5</v>
      </c>
      <c r="I184" s="43" t="str">
        <f t="shared" si="22"/>
        <v/>
      </c>
      <c r="J184" s="43" t="str">
        <f t="shared" si="23"/>
        <v/>
      </c>
      <c r="K184" s="33" t="str">
        <f>IF(B184="","Pending",IF(M184="","⚠️ Enter Code",IF(IFERROR(VLOOKUP(L184,DB_Agents!$B:$F,4,0),"")=TEXT(M184,"0"),"Pending Approval","🔒 WRONG CODE")))</f>
        <v>Pending</v>
      </c>
      <c r="L184" s="30" t="s">
        <v>57</v>
      </c>
      <c r="M184" s="41"/>
      <c r="N184" s="57"/>
    </row>
    <row r="185" spans="1:14" ht="20.100000000000001" customHeight="1" x14ac:dyDescent="0.25">
      <c r="A185" s="30" t="str">
        <f t="shared" si="20"/>
        <v/>
      </c>
      <c r="B185" s="41"/>
      <c r="C185" s="35" t="str">
        <f>IF(B185="","",IFERROR(VLOOKUP(B185,DB_Customers!$A:$B,2,0),"❌ Account Not Found"))</f>
        <v/>
      </c>
      <c r="D185" s="42" t="str">
        <f t="shared" ca="1" si="21"/>
        <v/>
      </c>
      <c r="E185" s="32"/>
      <c r="F185" s="31"/>
      <c r="G185" s="41"/>
      <c r="H185" s="56">
        <v>2.5</v>
      </c>
      <c r="I185" s="43" t="str">
        <f t="shared" si="22"/>
        <v/>
      </c>
      <c r="J185" s="43" t="str">
        <f t="shared" si="23"/>
        <v/>
      </c>
      <c r="K185" s="33" t="str">
        <f>IF(B185="","Pending",IF(M185="","⚠️ Enter Code",IF(IFERROR(VLOOKUP(L185,DB_Agents!$B:$F,4,0),"")=TEXT(M185,"0"),"Pending Approval","🔒 WRONG CODE")))</f>
        <v>Pending</v>
      </c>
      <c r="L185" s="30" t="s">
        <v>57</v>
      </c>
      <c r="M185" s="41"/>
      <c r="N185" s="22"/>
    </row>
    <row r="186" spans="1:14" ht="20.100000000000001" customHeight="1" x14ac:dyDescent="0.25">
      <c r="A186" s="30" t="str">
        <f t="shared" si="20"/>
        <v/>
      </c>
      <c r="B186" s="41"/>
      <c r="C186" s="35" t="str">
        <f>IF(B186="","",IFERROR(VLOOKUP(B186,DB_Customers!$A:$B,2,0),"❌ Account Not Found"))</f>
        <v/>
      </c>
      <c r="D186" s="42" t="str">
        <f t="shared" ca="1" si="21"/>
        <v/>
      </c>
      <c r="E186" s="32"/>
      <c r="F186" s="31"/>
      <c r="G186" s="41"/>
      <c r="H186" s="56">
        <v>2.5</v>
      </c>
      <c r="I186" s="43" t="str">
        <f t="shared" si="22"/>
        <v/>
      </c>
      <c r="J186" s="43" t="str">
        <f t="shared" si="23"/>
        <v/>
      </c>
      <c r="K186" s="33" t="str">
        <f>IF(B186="","Pending",IF(M186="","⚠️ Enter Code",IF(IFERROR(VLOOKUP(L186,DB_Agents!$B:$F,4,0),"")=TEXT(M186,"0"),"Pending Approval","🔒 WRONG CODE")))</f>
        <v>Pending</v>
      </c>
      <c r="L186" s="30" t="s">
        <v>57</v>
      </c>
      <c r="M186" s="41"/>
      <c r="N186" s="57"/>
    </row>
    <row r="187" spans="1:14" ht="20.100000000000001" customHeight="1" x14ac:dyDescent="0.25">
      <c r="A187" s="30" t="str">
        <f t="shared" si="20"/>
        <v/>
      </c>
      <c r="B187" s="41"/>
      <c r="C187" s="35" t="str">
        <f>IF(B187="","",IFERROR(VLOOKUP(B187,DB_Customers!$A:$B,2,0),"❌ Account Not Found"))</f>
        <v/>
      </c>
      <c r="D187" s="42" t="str">
        <f t="shared" ca="1" si="21"/>
        <v/>
      </c>
      <c r="E187" s="32"/>
      <c r="F187" s="31"/>
      <c r="G187" s="41"/>
      <c r="H187" s="56">
        <v>2.5</v>
      </c>
      <c r="I187" s="43" t="str">
        <f t="shared" si="22"/>
        <v/>
      </c>
      <c r="J187" s="43" t="str">
        <f t="shared" si="23"/>
        <v/>
      </c>
      <c r="K187" s="33" t="str">
        <f>IF(B187="","Pending",IF(M187="","⚠️ Enter Code",IF(IFERROR(VLOOKUP(L187,DB_Agents!$B:$F,4,0),"")=TEXT(M187,"0"),"Pending Approval","🔒 WRONG CODE")))</f>
        <v>Pending</v>
      </c>
      <c r="L187" s="30" t="s">
        <v>57</v>
      </c>
      <c r="M187" s="41"/>
      <c r="N187" s="22"/>
    </row>
    <row r="188" spans="1:14" ht="20.100000000000001" customHeight="1" x14ac:dyDescent="0.25">
      <c r="A188" s="30" t="str">
        <f t="shared" si="20"/>
        <v/>
      </c>
      <c r="B188" s="41"/>
      <c r="C188" s="35" t="str">
        <f>IF(B188="","",IFERROR(VLOOKUP(B188,DB_Customers!$A:$B,2,0),"❌ Account Not Found"))</f>
        <v/>
      </c>
      <c r="D188" s="42" t="str">
        <f t="shared" ca="1" si="21"/>
        <v/>
      </c>
      <c r="E188" s="32"/>
      <c r="F188" s="31"/>
      <c r="G188" s="41"/>
      <c r="H188" s="56">
        <v>2.5</v>
      </c>
      <c r="I188" s="43" t="str">
        <f t="shared" si="22"/>
        <v/>
      </c>
      <c r="J188" s="43" t="str">
        <f t="shared" si="23"/>
        <v/>
      </c>
      <c r="K188" s="33" t="str">
        <f>IF(B188="","Pending",IF(M188="","⚠️ Enter Code",IF(IFERROR(VLOOKUP(L188,DB_Agents!$B:$F,4,0),"")=TEXT(M188,"0"),"Pending Approval","🔒 WRONG CODE")))</f>
        <v>Pending</v>
      </c>
      <c r="L188" s="30" t="s">
        <v>57</v>
      </c>
      <c r="M188" s="41"/>
      <c r="N188" s="57"/>
    </row>
    <row r="189" spans="1:14" ht="20.100000000000001" customHeight="1" x14ac:dyDescent="0.25">
      <c r="A189" s="30" t="str">
        <f t="shared" si="20"/>
        <v/>
      </c>
      <c r="B189" s="41"/>
      <c r="C189" s="35" t="str">
        <f>IF(B189="","",IFERROR(VLOOKUP(B189,DB_Customers!$A:$B,2,0),"❌ Account Not Found"))</f>
        <v/>
      </c>
      <c r="D189" s="42" t="str">
        <f t="shared" ca="1" si="21"/>
        <v/>
      </c>
      <c r="E189" s="32"/>
      <c r="F189" s="31"/>
      <c r="G189" s="41"/>
      <c r="H189" s="56">
        <v>2.5</v>
      </c>
      <c r="I189" s="43" t="str">
        <f t="shared" si="22"/>
        <v/>
      </c>
      <c r="J189" s="43" t="str">
        <f t="shared" si="23"/>
        <v/>
      </c>
      <c r="K189" s="33" t="str">
        <f>IF(B189="","Pending",IF(M189="","⚠️ Enter Code",IF(IFERROR(VLOOKUP(L189,DB_Agents!$B:$F,4,0),"")=TEXT(M189,"0"),"Pending Approval","🔒 WRONG CODE")))</f>
        <v>Pending</v>
      </c>
      <c r="L189" s="30" t="s">
        <v>57</v>
      </c>
      <c r="M189" s="41"/>
      <c r="N189" s="22"/>
    </row>
    <row r="190" spans="1:14" ht="20.100000000000001" customHeight="1" x14ac:dyDescent="0.25">
      <c r="A190" s="30" t="str">
        <f t="shared" si="20"/>
        <v/>
      </c>
      <c r="B190" s="41"/>
      <c r="C190" s="35" t="str">
        <f>IF(B190="","",IFERROR(VLOOKUP(B190,DB_Customers!$A:$B,2,0),"❌ Account Not Found"))</f>
        <v/>
      </c>
      <c r="D190" s="42" t="str">
        <f t="shared" ca="1" si="21"/>
        <v/>
      </c>
      <c r="E190" s="32"/>
      <c r="F190" s="31"/>
      <c r="G190" s="41"/>
      <c r="H190" s="56">
        <v>2.5</v>
      </c>
      <c r="I190" s="43" t="str">
        <f t="shared" si="22"/>
        <v/>
      </c>
      <c r="J190" s="43" t="str">
        <f t="shared" si="23"/>
        <v/>
      </c>
      <c r="K190" s="33" t="str">
        <f>IF(B190="","Pending",IF(M190="","⚠️ Enter Code",IF(IFERROR(VLOOKUP(L190,DB_Agents!$B:$F,4,0),"")=TEXT(M190,"0"),"Pending Approval","🔒 WRONG CODE")))</f>
        <v>Pending</v>
      </c>
      <c r="L190" s="30" t="s">
        <v>57</v>
      </c>
      <c r="M190" s="41"/>
      <c r="N190" s="57"/>
    </row>
    <row r="191" spans="1:14" ht="20.100000000000001" customHeight="1" x14ac:dyDescent="0.25">
      <c r="A191" s="30" t="str">
        <f t="shared" si="20"/>
        <v/>
      </c>
      <c r="B191" s="41"/>
      <c r="C191" s="35" t="str">
        <f>IF(B191="","",IFERROR(VLOOKUP(B191,DB_Customers!$A:$B,2,0),"❌ Account Not Found"))</f>
        <v/>
      </c>
      <c r="D191" s="42" t="str">
        <f t="shared" ca="1" si="21"/>
        <v/>
      </c>
      <c r="E191" s="32"/>
      <c r="F191" s="31"/>
      <c r="G191" s="41"/>
      <c r="H191" s="56">
        <v>2.5</v>
      </c>
      <c r="I191" s="43" t="str">
        <f t="shared" si="22"/>
        <v/>
      </c>
      <c r="J191" s="43" t="str">
        <f t="shared" si="23"/>
        <v/>
      </c>
      <c r="K191" s="33" t="str">
        <f>IF(B191="","Pending",IF(M191="","⚠️ Enter Code",IF(IFERROR(VLOOKUP(L191,DB_Agents!$B:$F,4,0),"")=TEXT(M191,"0"),"Pending Approval","🔒 WRONG CODE")))</f>
        <v>Pending</v>
      </c>
      <c r="L191" s="30" t="s">
        <v>57</v>
      </c>
      <c r="M191" s="41"/>
      <c r="N191" s="22"/>
    </row>
    <row r="192" spans="1:14" ht="20.100000000000001" customHeight="1" x14ac:dyDescent="0.25">
      <c r="A192" s="30" t="str">
        <f t="shared" si="20"/>
        <v/>
      </c>
      <c r="B192" s="41"/>
      <c r="C192" s="35" t="str">
        <f>IF(B192="","",IFERROR(VLOOKUP(B192,DB_Customers!$A:$B,2,0),"❌ Account Not Found"))</f>
        <v/>
      </c>
      <c r="D192" s="42" t="str">
        <f t="shared" ca="1" si="21"/>
        <v/>
      </c>
      <c r="E192" s="32"/>
      <c r="F192" s="31"/>
      <c r="G192" s="41"/>
      <c r="H192" s="56">
        <v>2.5</v>
      </c>
      <c r="I192" s="43" t="str">
        <f t="shared" si="22"/>
        <v/>
      </c>
      <c r="J192" s="43" t="str">
        <f t="shared" si="23"/>
        <v/>
      </c>
      <c r="K192" s="33" t="str">
        <f>IF(B192="","Pending",IF(M192="","⚠️ Enter Code",IF(IFERROR(VLOOKUP(L192,DB_Agents!$B:$F,4,0),"")=TEXT(M192,"0"),"Pending Approval","🔒 WRONG CODE")))</f>
        <v>Pending</v>
      </c>
      <c r="L192" s="30" t="s">
        <v>57</v>
      </c>
      <c r="M192" s="41"/>
      <c r="N192" s="57"/>
    </row>
    <row r="193" spans="1:14" ht="20.100000000000001" customHeight="1" x14ac:dyDescent="0.25">
      <c r="A193" s="30" t="str">
        <f t="shared" si="20"/>
        <v/>
      </c>
      <c r="B193" s="41"/>
      <c r="C193" s="35" t="str">
        <f>IF(B193="","",IFERROR(VLOOKUP(B193,DB_Customers!$A:$B,2,0),"❌ Account Not Found"))</f>
        <v/>
      </c>
      <c r="D193" s="42" t="str">
        <f t="shared" ca="1" si="21"/>
        <v/>
      </c>
      <c r="E193" s="32"/>
      <c r="F193" s="31"/>
      <c r="G193" s="41"/>
      <c r="H193" s="56">
        <v>2.5</v>
      </c>
      <c r="I193" s="43" t="str">
        <f t="shared" si="22"/>
        <v/>
      </c>
      <c r="J193" s="43" t="str">
        <f t="shared" si="23"/>
        <v/>
      </c>
      <c r="K193" s="33" t="str">
        <f>IF(B193="","Pending",IF(M193="","⚠️ Enter Code",IF(IFERROR(VLOOKUP(L193,DB_Agents!$B:$F,4,0),"")=TEXT(M193,"0"),"Pending Approval","🔒 WRONG CODE")))</f>
        <v>Pending</v>
      </c>
      <c r="L193" s="30" t="s">
        <v>57</v>
      </c>
      <c r="M193" s="41"/>
      <c r="N193" s="22"/>
    </row>
    <row r="194" spans="1:14" ht="20.100000000000001" customHeight="1" x14ac:dyDescent="0.25">
      <c r="A194" s="30" t="str">
        <f t="shared" si="20"/>
        <v/>
      </c>
      <c r="B194" s="41"/>
      <c r="C194" s="35" t="str">
        <f>IF(B194="","",IFERROR(VLOOKUP(B194,DB_Customers!$A:$B,2,0),"❌ Account Not Found"))</f>
        <v/>
      </c>
      <c r="D194" s="42" t="str">
        <f t="shared" ca="1" si="21"/>
        <v/>
      </c>
      <c r="E194" s="32"/>
      <c r="F194" s="31"/>
      <c r="G194" s="41"/>
      <c r="H194" s="56">
        <v>2.5</v>
      </c>
      <c r="I194" s="43" t="str">
        <f t="shared" si="22"/>
        <v/>
      </c>
      <c r="J194" s="43" t="str">
        <f t="shared" si="23"/>
        <v/>
      </c>
      <c r="K194" s="33" t="str">
        <f>IF(B194="","Pending",IF(M194="","⚠️ Enter Code",IF(IFERROR(VLOOKUP(L194,DB_Agents!$B:$F,4,0),"")=TEXT(M194,"0"),"Pending Approval","🔒 WRONG CODE")))</f>
        <v>Pending</v>
      </c>
      <c r="L194" s="30" t="s">
        <v>57</v>
      </c>
      <c r="M194" s="41"/>
      <c r="N194" s="57"/>
    </row>
    <row r="195" spans="1:14" ht="20.100000000000001" customHeight="1" x14ac:dyDescent="0.25">
      <c r="A195" s="30" t="str">
        <f t="shared" si="20"/>
        <v/>
      </c>
      <c r="B195" s="41"/>
      <c r="C195" s="35" t="str">
        <f>IF(B195="","",IFERROR(VLOOKUP(B195,DB_Customers!$A:$B,2,0),"❌ Account Not Found"))</f>
        <v/>
      </c>
      <c r="D195" s="42" t="str">
        <f t="shared" ca="1" si="21"/>
        <v/>
      </c>
      <c r="E195" s="32"/>
      <c r="F195" s="31"/>
      <c r="G195" s="41"/>
      <c r="H195" s="56">
        <v>2.5</v>
      </c>
      <c r="I195" s="43" t="str">
        <f t="shared" si="22"/>
        <v/>
      </c>
      <c r="J195" s="43" t="str">
        <f t="shared" si="23"/>
        <v/>
      </c>
      <c r="K195" s="33" t="str">
        <f>IF(B195="","Pending",IF(M195="","⚠️ Enter Code",IF(IFERROR(VLOOKUP(L195,DB_Agents!$B:$F,4,0),"")=TEXT(M195,"0"),"Pending Approval","🔒 WRONG CODE")))</f>
        <v>Pending</v>
      </c>
      <c r="L195" s="30" t="s">
        <v>57</v>
      </c>
      <c r="M195" s="41"/>
      <c r="N195" s="22"/>
    </row>
    <row r="196" spans="1:14" ht="20.100000000000001" customHeight="1" x14ac:dyDescent="0.25">
      <c r="A196" s="30" t="str">
        <f t="shared" si="20"/>
        <v/>
      </c>
      <c r="B196" s="41"/>
      <c r="C196" s="35" t="str">
        <f>IF(B196="","",IFERROR(VLOOKUP(B196,DB_Customers!$A:$B,2,0),"❌ Account Not Found"))</f>
        <v/>
      </c>
      <c r="D196" s="42" t="str">
        <f t="shared" ca="1" si="21"/>
        <v/>
      </c>
      <c r="E196" s="32"/>
      <c r="F196" s="31"/>
      <c r="G196" s="41"/>
      <c r="H196" s="56">
        <v>2.5</v>
      </c>
      <c r="I196" s="43" t="str">
        <f t="shared" si="22"/>
        <v/>
      </c>
      <c r="J196" s="43" t="str">
        <f t="shared" si="23"/>
        <v/>
      </c>
      <c r="K196" s="33" t="str">
        <f>IF(B196="","Pending",IF(M196="","⚠️ Enter Code",IF(IFERROR(VLOOKUP(L196,DB_Agents!$B:$F,4,0),"")=TEXT(M196,"0"),"Pending Approval","🔒 WRONG CODE")))</f>
        <v>Pending</v>
      </c>
      <c r="L196" s="30" t="s">
        <v>57</v>
      </c>
      <c r="M196" s="41"/>
      <c r="N196" s="57"/>
    </row>
    <row r="197" spans="1:14" ht="20.100000000000001" customHeight="1" x14ac:dyDescent="0.25">
      <c r="A197" s="30" t="str">
        <f t="shared" si="20"/>
        <v/>
      </c>
      <c r="B197" s="41"/>
      <c r="C197" s="35" t="str">
        <f>IF(B197="","",IFERROR(VLOOKUP(B197,DB_Customers!$A:$B,2,0),"❌ Account Not Found"))</f>
        <v/>
      </c>
      <c r="D197" s="42" t="str">
        <f t="shared" ca="1" si="21"/>
        <v/>
      </c>
      <c r="E197" s="32"/>
      <c r="F197" s="31"/>
      <c r="G197" s="41"/>
      <c r="H197" s="56">
        <v>2.5</v>
      </c>
      <c r="I197" s="43" t="str">
        <f t="shared" si="22"/>
        <v/>
      </c>
      <c r="J197" s="43" t="str">
        <f t="shared" si="23"/>
        <v/>
      </c>
      <c r="K197" s="33" t="str">
        <f>IF(B197="","Pending",IF(M197="","⚠️ Enter Code",IF(IFERROR(VLOOKUP(L197,DB_Agents!$B:$F,4,0),"")=TEXT(M197,"0"),"Pending Approval","🔒 WRONG CODE")))</f>
        <v>Pending</v>
      </c>
      <c r="L197" s="30" t="s">
        <v>57</v>
      </c>
      <c r="M197" s="41"/>
      <c r="N197" s="22"/>
    </row>
    <row r="198" spans="1:14" ht="20.100000000000001" customHeight="1" x14ac:dyDescent="0.25">
      <c r="A198" s="30" t="str">
        <f t="shared" si="20"/>
        <v/>
      </c>
      <c r="B198" s="41"/>
      <c r="C198" s="35" t="str">
        <f>IF(B198="","",IFERROR(VLOOKUP(B198,DB_Customers!$A:$B,2,0),"❌ Account Not Found"))</f>
        <v/>
      </c>
      <c r="D198" s="42" t="str">
        <f t="shared" ca="1" si="21"/>
        <v/>
      </c>
      <c r="E198" s="32"/>
      <c r="F198" s="31"/>
      <c r="G198" s="41"/>
      <c r="H198" s="56">
        <v>2.5</v>
      </c>
      <c r="I198" s="43" t="str">
        <f t="shared" si="22"/>
        <v/>
      </c>
      <c r="J198" s="43" t="str">
        <f t="shared" si="23"/>
        <v/>
      </c>
      <c r="K198" s="33" t="str">
        <f>IF(B198="","Pending",IF(M198="","⚠️ Enter Code",IF(IFERROR(VLOOKUP(L198,DB_Agents!$B:$F,4,0),"")=TEXT(M198,"0"),"Pending Approval","🔒 WRONG CODE")))</f>
        <v>Pending</v>
      </c>
      <c r="L198" s="30" t="s">
        <v>57</v>
      </c>
      <c r="M198" s="41"/>
      <c r="N198" s="57"/>
    </row>
    <row r="199" spans="1:14" ht="20.100000000000001" customHeight="1" x14ac:dyDescent="0.25">
      <c r="A199" s="30" t="str">
        <f t="shared" si="20"/>
        <v/>
      </c>
      <c r="B199" s="41"/>
      <c r="C199" s="35" t="str">
        <f>IF(B199="","",IFERROR(VLOOKUP(B199,DB_Customers!$A:$B,2,0),"❌ Account Not Found"))</f>
        <v/>
      </c>
      <c r="D199" s="42" t="str">
        <f t="shared" ca="1" si="21"/>
        <v/>
      </c>
      <c r="E199" s="32"/>
      <c r="F199" s="31"/>
      <c r="G199" s="41"/>
      <c r="H199" s="56">
        <v>2.5</v>
      </c>
      <c r="I199" s="43" t="str">
        <f t="shared" si="22"/>
        <v/>
      </c>
      <c r="J199" s="43" t="str">
        <f t="shared" si="23"/>
        <v/>
      </c>
      <c r="K199" s="33" t="str">
        <f>IF(B199="","Pending",IF(M199="","⚠️ Enter Code",IF(IFERROR(VLOOKUP(L199,DB_Agents!$B:$F,4,0),"")=TEXT(M199,"0"),"Pending Approval","🔒 WRONG CODE")))</f>
        <v>Pending</v>
      </c>
      <c r="L199" s="30" t="s">
        <v>57</v>
      </c>
      <c r="M199" s="41"/>
      <c r="N199" s="22"/>
    </row>
    <row r="200" spans="1:14" ht="20.100000000000001" customHeight="1" x14ac:dyDescent="0.25">
      <c r="A200" s="30" t="str">
        <f t="shared" si="20"/>
        <v/>
      </c>
      <c r="B200" s="41"/>
      <c r="C200" s="35" t="str">
        <f>IF(B200="","",IFERROR(VLOOKUP(B200,DB_Customers!$A:$B,2,0),"❌ Account Not Found"))</f>
        <v/>
      </c>
      <c r="D200" s="42" t="str">
        <f t="shared" ca="1" si="21"/>
        <v/>
      </c>
      <c r="E200" s="32"/>
      <c r="F200" s="31"/>
      <c r="G200" s="41"/>
      <c r="H200" s="56">
        <v>2.5</v>
      </c>
      <c r="I200" s="43" t="str">
        <f t="shared" si="22"/>
        <v/>
      </c>
      <c r="J200" s="43" t="str">
        <f t="shared" si="23"/>
        <v/>
      </c>
      <c r="K200" s="33" t="str">
        <f>IF(B200="","Pending",IF(M200="","⚠️ Enter Code",IF(IFERROR(VLOOKUP(L200,DB_Agents!$B:$F,4,0),"")=TEXT(M200,"0"),"Pending Approval","🔒 WRONG CODE")))</f>
        <v>Pending</v>
      </c>
      <c r="L200" s="30" t="s">
        <v>57</v>
      </c>
      <c r="M200" s="41"/>
      <c r="N200" s="57"/>
    </row>
    <row r="201" spans="1:14" ht="20.100000000000001" customHeight="1" x14ac:dyDescent="0.25">
      <c r="A201" s="30" t="str">
        <f t="shared" si="20"/>
        <v/>
      </c>
      <c r="B201" s="41"/>
      <c r="C201" s="35" t="str">
        <f>IF(B201="","",IFERROR(VLOOKUP(B201,DB_Customers!$A:$B,2,0),"❌ Account Not Found"))</f>
        <v/>
      </c>
      <c r="D201" s="42" t="str">
        <f t="shared" ca="1" si="21"/>
        <v/>
      </c>
      <c r="E201" s="32"/>
      <c r="F201" s="31"/>
      <c r="G201" s="41"/>
      <c r="H201" s="56">
        <v>2.5</v>
      </c>
      <c r="I201" s="43" t="str">
        <f t="shared" si="22"/>
        <v/>
      </c>
      <c r="J201" s="43" t="str">
        <f t="shared" si="23"/>
        <v/>
      </c>
      <c r="K201" s="33" t="str">
        <f>IF(B201="","Pending",IF(M201="","⚠️ Enter Code",IF(IFERROR(VLOOKUP(L201,DB_Agents!$B:$F,4,0),"")=TEXT(M201,"0"),"Pending Approval","🔒 WRONG CODE")))</f>
        <v>Pending</v>
      </c>
      <c r="L201" s="30" t="s">
        <v>57</v>
      </c>
      <c r="M201" s="41"/>
      <c r="N201" s="22"/>
    </row>
    <row r="202" spans="1:14" ht="20.100000000000001" customHeight="1" x14ac:dyDescent="0.25">
      <c r="A202" s="30" t="str">
        <f t="shared" si="20"/>
        <v/>
      </c>
      <c r="B202" s="41"/>
      <c r="C202" s="35" t="str">
        <f>IF(B202="","",IFERROR(VLOOKUP(B202,DB_Customers!$A:$B,2,0),"❌ Account Not Found"))</f>
        <v/>
      </c>
      <c r="D202" s="42" t="str">
        <f t="shared" ca="1" si="21"/>
        <v/>
      </c>
      <c r="E202" s="32"/>
      <c r="F202" s="31"/>
      <c r="G202" s="41"/>
      <c r="H202" s="56">
        <v>2.5</v>
      </c>
      <c r="I202" s="43" t="str">
        <f t="shared" si="22"/>
        <v/>
      </c>
      <c r="J202" s="43" t="str">
        <f t="shared" si="23"/>
        <v/>
      </c>
      <c r="K202" s="33" t="str">
        <f>IF(B202="","Pending",IF(M202="","⚠️ Enter Code",IF(IFERROR(VLOOKUP(L202,DB_Agents!$B:$F,4,0),"")=TEXT(M202,"0"),"Pending Approval","🔒 WRONG CODE")))</f>
        <v>Pending</v>
      </c>
      <c r="L202" s="30" t="s">
        <v>57</v>
      </c>
      <c r="M202" s="41"/>
      <c r="N202" s="57"/>
    </row>
    <row r="203" spans="1:14" ht="20.100000000000001" customHeight="1" x14ac:dyDescent="0.25">
      <c r="A203" s="30" t="str">
        <f t="shared" si="20"/>
        <v/>
      </c>
      <c r="B203" s="41"/>
      <c r="C203" s="35" t="str">
        <f>IF(B203="","",IFERROR(VLOOKUP(B203,DB_Customers!$A:$B,2,0),"❌ Account Not Found"))</f>
        <v/>
      </c>
      <c r="D203" s="42" t="str">
        <f t="shared" ca="1" si="21"/>
        <v/>
      </c>
      <c r="E203" s="32"/>
      <c r="F203" s="31"/>
      <c r="G203" s="41"/>
      <c r="H203" s="56">
        <v>2.5</v>
      </c>
      <c r="I203" s="43" t="str">
        <f t="shared" si="22"/>
        <v/>
      </c>
      <c r="J203" s="43" t="str">
        <f t="shared" si="23"/>
        <v/>
      </c>
      <c r="K203" s="33" t="str">
        <f>IF(B203="","Pending",IF(M203="","⚠️ Enter Code",IF(IFERROR(VLOOKUP(L203,DB_Agents!$B:$F,4,0),"")=TEXT(M203,"0"),"Pending Approval","🔒 WRONG CODE")))</f>
        <v>Pending</v>
      </c>
      <c r="L203" s="30" t="s">
        <v>57</v>
      </c>
      <c r="M203" s="41"/>
      <c r="N203" s="22"/>
    </row>
    <row r="204" spans="1:14" ht="20.100000000000001" customHeight="1" x14ac:dyDescent="0.25">
      <c r="A204" s="30" t="str">
        <f t="shared" si="20"/>
        <v/>
      </c>
      <c r="B204" s="41"/>
      <c r="C204" s="35" t="str">
        <f>IF(B204="","",IFERROR(VLOOKUP(B204,DB_Customers!$A:$B,2,0),"❌ Account Not Found"))</f>
        <v/>
      </c>
      <c r="D204" s="42" t="str">
        <f t="shared" ca="1" si="21"/>
        <v/>
      </c>
      <c r="E204" s="32"/>
      <c r="F204" s="31"/>
      <c r="G204" s="41"/>
      <c r="H204" s="56">
        <v>2.5</v>
      </c>
      <c r="I204" s="43" t="str">
        <f t="shared" si="22"/>
        <v/>
      </c>
      <c r="J204" s="43" t="str">
        <f t="shared" si="23"/>
        <v/>
      </c>
      <c r="K204" s="33" t="str">
        <f>IF(B204="","Pending",IF(M204="","⚠️ Enter Code",IF(IFERROR(VLOOKUP(L204,DB_Agents!$B:$F,4,0),"")=TEXT(M204,"0"),"Pending Approval","🔒 WRONG CODE")))</f>
        <v>Pending</v>
      </c>
      <c r="L204" s="30" t="s">
        <v>57</v>
      </c>
      <c r="M204" s="41"/>
      <c r="N204" s="57"/>
    </row>
    <row r="205" spans="1:14" ht="20.100000000000001" customHeight="1" x14ac:dyDescent="0.25">
      <c r="A205" s="30" t="str">
        <f t="shared" si="20"/>
        <v/>
      </c>
      <c r="B205" s="41"/>
      <c r="C205" s="35" t="str">
        <f>IF(B205="","",IFERROR(VLOOKUP(B205,DB_Customers!$A:$B,2,0),"❌ Account Not Found"))</f>
        <v/>
      </c>
      <c r="D205" s="42" t="str">
        <f t="shared" ca="1" si="21"/>
        <v/>
      </c>
      <c r="E205" s="32"/>
      <c r="F205" s="31"/>
      <c r="G205" s="41"/>
      <c r="H205" s="56">
        <v>2.5</v>
      </c>
      <c r="I205" s="43" t="str">
        <f t="shared" si="22"/>
        <v/>
      </c>
      <c r="J205" s="43" t="str">
        <f t="shared" si="23"/>
        <v/>
      </c>
      <c r="K205" s="33" t="str">
        <f>IF(B205="","Pending",IF(M205="","⚠️ Enter Code",IF(IFERROR(VLOOKUP(L205,DB_Agents!$B:$F,4,0),"")=TEXT(M205,"0"),"Pending Approval","🔒 WRONG CODE")))</f>
        <v>Pending</v>
      </c>
      <c r="L205" s="30" t="s">
        <v>57</v>
      </c>
      <c r="M205" s="41"/>
      <c r="N205" s="22"/>
    </row>
    <row r="206" spans="1:14" ht="20.100000000000001" customHeight="1" x14ac:dyDescent="0.25">
      <c r="A206" s="30" t="str">
        <f t="shared" ref="A206:A237" si="24">IF(B206="","",IF(C206="❌ Account Not Found","INVALID","LN"&amp;TEXT(D206,"YYYYMMDD")&amp;TEXT(ROW()-13,"0000")))</f>
        <v/>
      </c>
      <c r="B206" s="41"/>
      <c r="C206" s="35" t="str">
        <f>IF(B206="","",IFERROR(VLOOKUP(B206,DB_Customers!$A:$B,2,0),"❌ Account Not Found"))</f>
        <v/>
      </c>
      <c r="D206" s="42" t="str">
        <f t="shared" ref="D206:D213" ca="1" si="25">IF(B206="","",TODAY())</f>
        <v/>
      </c>
      <c r="E206" s="32"/>
      <c r="F206" s="31"/>
      <c r="G206" s="41"/>
      <c r="H206" s="56">
        <v>2.5</v>
      </c>
      <c r="I206" s="43" t="str">
        <f t="shared" ref="I206:I237" si="26">IF(E206="","",E206+(E206*H206/100*G206))</f>
        <v/>
      </c>
      <c r="J206" s="43" t="str">
        <f t="shared" ref="J206:J237" si="27">IFERROR(I206/G206,"")</f>
        <v/>
      </c>
      <c r="K206" s="33" t="str">
        <f>IF(B206="","Pending",IF(M206="","⚠️ Enter Code",IF(IFERROR(VLOOKUP(L206,DB_Agents!$B:$F,4,0),"")=TEXT(M206,"0"),"Pending Approval","🔒 WRONG CODE")))</f>
        <v>Pending</v>
      </c>
      <c r="L206" s="30" t="s">
        <v>57</v>
      </c>
      <c r="M206" s="41"/>
      <c r="N206" s="57"/>
    </row>
    <row r="207" spans="1:14" ht="20.100000000000001" customHeight="1" x14ac:dyDescent="0.25">
      <c r="A207" s="30" t="str">
        <f t="shared" si="24"/>
        <v/>
      </c>
      <c r="B207" s="41"/>
      <c r="C207" s="35" t="str">
        <f>IF(B207="","",IFERROR(VLOOKUP(B207,DB_Customers!$A:$B,2,0),"❌ Account Not Found"))</f>
        <v/>
      </c>
      <c r="D207" s="42" t="str">
        <f t="shared" ca="1" si="25"/>
        <v/>
      </c>
      <c r="E207" s="32"/>
      <c r="F207" s="31"/>
      <c r="G207" s="41"/>
      <c r="H207" s="56">
        <v>2.5</v>
      </c>
      <c r="I207" s="43" t="str">
        <f t="shared" si="26"/>
        <v/>
      </c>
      <c r="J207" s="43" t="str">
        <f t="shared" si="27"/>
        <v/>
      </c>
      <c r="K207" s="33" t="str">
        <f>IF(B207="","Pending",IF(M207="","⚠️ Enter Code",IF(IFERROR(VLOOKUP(L207,DB_Agents!$B:$F,4,0),"")=TEXT(M207,"0"),"Pending Approval","🔒 WRONG CODE")))</f>
        <v>Pending</v>
      </c>
      <c r="L207" s="30" t="s">
        <v>57</v>
      </c>
      <c r="M207" s="41"/>
      <c r="N207" s="22"/>
    </row>
    <row r="208" spans="1:14" ht="20.100000000000001" customHeight="1" x14ac:dyDescent="0.25">
      <c r="A208" s="30" t="str">
        <f t="shared" si="24"/>
        <v/>
      </c>
      <c r="B208" s="41"/>
      <c r="C208" s="35" t="str">
        <f>IF(B208="","",IFERROR(VLOOKUP(B208,DB_Customers!$A:$B,2,0),"❌ Account Not Found"))</f>
        <v/>
      </c>
      <c r="D208" s="42" t="str">
        <f t="shared" ca="1" si="25"/>
        <v/>
      </c>
      <c r="E208" s="32"/>
      <c r="F208" s="31"/>
      <c r="G208" s="41"/>
      <c r="H208" s="56">
        <v>2.5</v>
      </c>
      <c r="I208" s="43" t="str">
        <f t="shared" si="26"/>
        <v/>
      </c>
      <c r="J208" s="43" t="str">
        <f t="shared" si="27"/>
        <v/>
      </c>
      <c r="K208" s="33" t="str">
        <f>IF(B208="","Pending",IF(M208="","⚠️ Enter Code",IF(IFERROR(VLOOKUP(L208,DB_Agents!$B:$F,4,0),"")=TEXT(M208,"0"),"Pending Approval","🔒 WRONG CODE")))</f>
        <v>Pending</v>
      </c>
      <c r="L208" s="30" t="s">
        <v>57</v>
      </c>
      <c r="M208" s="41"/>
      <c r="N208" s="57"/>
    </row>
    <row r="209" spans="1:14" ht="20.100000000000001" customHeight="1" x14ac:dyDescent="0.25">
      <c r="A209" s="30" t="str">
        <f t="shared" si="24"/>
        <v/>
      </c>
      <c r="B209" s="41"/>
      <c r="C209" s="35" t="str">
        <f>IF(B209="","",IFERROR(VLOOKUP(B209,DB_Customers!$A:$B,2,0),"❌ Account Not Found"))</f>
        <v/>
      </c>
      <c r="D209" s="42" t="str">
        <f t="shared" ca="1" si="25"/>
        <v/>
      </c>
      <c r="E209" s="32"/>
      <c r="F209" s="31"/>
      <c r="G209" s="41"/>
      <c r="H209" s="56">
        <v>2.5</v>
      </c>
      <c r="I209" s="43" t="str">
        <f t="shared" si="26"/>
        <v/>
      </c>
      <c r="J209" s="43" t="str">
        <f t="shared" si="27"/>
        <v/>
      </c>
      <c r="K209" s="33" t="str">
        <f>IF(B209="","Pending",IF(M209="","⚠️ Enter Code",IF(IFERROR(VLOOKUP(L209,DB_Agents!$B:$F,4,0),"")=TEXT(M209,"0"),"Pending Approval","🔒 WRONG CODE")))</f>
        <v>Pending</v>
      </c>
      <c r="L209" s="30" t="s">
        <v>57</v>
      </c>
      <c r="M209" s="41"/>
      <c r="N209" s="22"/>
    </row>
    <row r="210" spans="1:14" ht="20.100000000000001" customHeight="1" x14ac:dyDescent="0.25">
      <c r="A210" s="30" t="str">
        <f t="shared" si="24"/>
        <v/>
      </c>
      <c r="B210" s="41"/>
      <c r="C210" s="35" t="str">
        <f>IF(B210="","",IFERROR(VLOOKUP(B210,DB_Customers!$A:$B,2,0),"❌ Account Not Found"))</f>
        <v/>
      </c>
      <c r="D210" s="42" t="str">
        <f t="shared" ca="1" si="25"/>
        <v/>
      </c>
      <c r="E210" s="32"/>
      <c r="F210" s="31"/>
      <c r="G210" s="41"/>
      <c r="H210" s="56">
        <v>2.5</v>
      </c>
      <c r="I210" s="43" t="str">
        <f t="shared" si="26"/>
        <v/>
      </c>
      <c r="J210" s="43" t="str">
        <f t="shared" si="27"/>
        <v/>
      </c>
      <c r="K210" s="33" t="str">
        <f>IF(B210="","Pending",IF(M210="","⚠️ Enter Code",IF(IFERROR(VLOOKUP(L210,DB_Agents!$B:$F,4,0),"")=TEXT(M210,"0"),"Pending Approval","🔒 WRONG CODE")))</f>
        <v>Pending</v>
      </c>
      <c r="L210" s="30" t="s">
        <v>57</v>
      </c>
      <c r="M210" s="41"/>
      <c r="N210" s="57"/>
    </row>
    <row r="211" spans="1:14" ht="20.100000000000001" customHeight="1" x14ac:dyDescent="0.25">
      <c r="A211" s="30" t="str">
        <f t="shared" si="24"/>
        <v/>
      </c>
      <c r="B211" s="41"/>
      <c r="C211" s="35" t="str">
        <f>IF(B211="","",IFERROR(VLOOKUP(B211,DB_Customers!$A:$B,2,0),"❌ Account Not Found"))</f>
        <v/>
      </c>
      <c r="D211" s="42" t="str">
        <f t="shared" ca="1" si="25"/>
        <v/>
      </c>
      <c r="E211" s="32"/>
      <c r="F211" s="31"/>
      <c r="G211" s="41"/>
      <c r="H211" s="56">
        <v>2.5</v>
      </c>
      <c r="I211" s="43" t="str">
        <f t="shared" si="26"/>
        <v/>
      </c>
      <c r="J211" s="43" t="str">
        <f t="shared" si="27"/>
        <v/>
      </c>
      <c r="K211" s="33" t="str">
        <f>IF(B211="","Pending",IF(M211="","⚠️ Enter Code",IF(IFERROR(VLOOKUP(L211,DB_Agents!$B:$F,4,0),"")=TEXT(M211,"0"),"Pending Approval","🔒 WRONG CODE")))</f>
        <v>Pending</v>
      </c>
      <c r="L211" s="30" t="s">
        <v>57</v>
      </c>
      <c r="M211" s="41"/>
      <c r="N211" s="22"/>
    </row>
    <row r="212" spans="1:14" ht="20.100000000000001" customHeight="1" x14ac:dyDescent="0.25">
      <c r="A212" s="30" t="str">
        <f t="shared" si="24"/>
        <v/>
      </c>
      <c r="B212" s="41"/>
      <c r="C212" s="35" t="str">
        <f>IF(B212="","",IFERROR(VLOOKUP(B212,DB_Customers!$A:$B,2,0),"❌ Account Not Found"))</f>
        <v/>
      </c>
      <c r="D212" s="42" t="str">
        <f t="shared" ca="1" si="25"/>
        <v/>
      </c>
      <c r="E212" s="32"/>
      <c r="F212" s="31"/>
      <c r="G212" s="41"/>
      <c r="H212" s="56">
        <v>2.5</v>
      </c>
      <c r="I212" s="43" t="str">
        <f t="shared" si="26"/>
        <v/>
      </c>
      <c r="J212" s="43" t="str">
        <f t="shared" si="27"/>
        <v/>
      </c>
      <c r="K212" s="33" t="str">
        <f>IF(B212="","Pending",IF(M212="","⚠️ Enter Code",IF(IFERROR(VLOOKUP(L212,DB_Agents!$B:$F,4,0),"")=TEXT(M212,"0"),"Pending Approval","🔒 WRONG CODE")))</f>
        <v>Pending</v>
      </c>
      <c r="L212" s="30" t="s">
        <v>57</v>
      </c>
      <c r="M212" s="41"/>
      <c r="N212" s="57"/>
    </row>
    <row r="213" spans="1:14" ht="20.100000000000001" customHeight="1" x14ac:dyDescent="0.25">
      <c r="A213" s="30" t="str">
        <f t="shared" si="24"/>
        <v/>
      </c>
      <c r="B213" s="41"/>
      <c r="C213" s="35" t="str">
        <f>IF(B213="","",IFERROR(VLOOKUP(B213,DB_Customers!$A:$B,2,0),"❌ Account Not Found"))</f>
        <v/>
      </c>
      <c r="D213" s="42" t="str">
        <f t="shared" ca="1" si="25"/>
        <v/>
      </c>
      <c r="E213" s="32"/>
      <c r="F213" s="31"/>
      <c r="G213" s="41"/>
      <c r="H213" s="56">
        <v>2.5</v>
      </c>
      <c r="I213" s="43" t="str">
        <f t="shared" si="26"/>
        <v/>
      </c>
      <c r="J213" s="43" t="str">
        <f t="shared" si="27"/>
        <v/>
      </c>
      <c r="K213" s="33" t="str">
        <f>IF(B213="","Pending",IF(M213="","⚠️ Enter Code",IF(IFERROR(VLOOKUP(L213,DB_Agents!$B:$F,4,0),"")=TEXT(M213,"0"),"Pending Approval","🔒 WRONG CODE")))</f>
        <v>Pending</v>
      </c>
      <c r="L213" s="30" t="s">
        <v>57</v>
      </c>
      <c r="M213" s="41"/>
      <c r="N213" s="22"/>
    </row>
  </sheetData>
  <mergeCells count="3">
    <mergeCell ref="A12:N12"/>
    <mergeCell ref="A2:N2"/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2.1" customHeight="1" x14ac:dyDescent="0.25">
      <c r="A1" s="93" t="s">
        <v>181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1.95" customHeight="1" x14ac:dyDescent="0.25">
      <c r="A2" s="97" t="s">
        <v>182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20.100000000000001" customHeight="1" x14ac:dyDescent="0.25">
      <c r="A3" s="44" t="s">
        <v>126</v>
      </c>
      <c r="D3" s="44" t="s">
        <v>127</v>
      </c>
      <c r="G3" s="44" t="s">
        <v>128</v>
      </c>
    </row>
    <row r="4" spans="1:11" ht="24" customHeight="1" x14ac:dyDescent="0.25">
      <c r="A4" s="45">
        <f ca="1">IFERROR(SUMIFS(DB_Savings!$F:$F,DB_Savings!$D:$D,"Agent 05",DB_Savings!$E:$E,TODAY()),0)</f>
        <v>0</v>
      </c>
      <c r="D4" s="45">
        <f ca="1">IFERROR(COUNTIFS(DB_Savings!$D:$D,"Agent 05",DB_Savings!$E:$E,TODAY()),0)</f>
        <v>0</v>
      </c>
      <c r="G4" s="45" t="str">
        <f ca="1">TEXT(TODAY(),"DDDD, DD MMMM YYYY")</f>
        <v>Saturday, 25 April 2026</v>
      </c>
    </row>
    <row r="6" spans="1:11" ht="26.1" customHeight="1" x14ac:dyDescent="0.25">
      <c r="A6" s="97" t="s">
        <v>129</v>
      </c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ht="21.95" customHeight="1" x14ac:dyDescent="0.25">
      <c r="A7" s="90" t="s">
        <v>183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spans="1:11" ht="30" customHeight="1" x14ac:dyDescent="0.25">
      <c r="A8" s="19" t="s">
        <v>131</v>
      </c>
      <c r="B8" s="19" t="s">
        <v>69</v>
      </c>
      <c r="C8" s="19" t="s">
        <v>84</v>
      </c>
      <c r="D8" s="19" t="s">
        <v>91</v>
      </c>
      <c r="E8" s="19" t="s">
        <v>132</v>
      </c>
      <c r="F8" s="19" t="s">
        <v>133</v>
      </c>
      <c r="G8" s="19" t="s">
        <v>45</v>
      </c>
      <c r="H8" s="19" t="s">
        <v>134</v>
      </c>
      <c r="I8" s="19" t="s">
        <v>77</v>
      </c>
      <c r="J8" s="19" t="s">
        <v>135</v>
      </c>
      <c r="K8" s="19" t="s">
        <v>95</v>
      </c>
    </row>
    <row r="9" spans="1:11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IF(A9="","",IFERROR(VLOOKUP(A9,DB_Customers!$A:$M,13,0),""))</f>
        <v/>
      </c>
      <c r="D9" s="42" t="str">
        <f t="shared" ref="D9:D40" ca="1" si="0">IF(A9="","",TODAY())</f>
        <v/>
      </c>
      <c r="E9" s="32"/>
      <c r="F9" s="43" t="str">
        <f t="shared" ref="F9:F40" si="1">IFERROR(IF(OR(A9="",E9=""),"",C9+E9),"")</f>
        <v/>
      </c>
      <c r="G9" s="30" t="s">
        <v>58</v>
      </c>
      <c r="H9" s="41"/>
      <c r="I9" s="33" t="str">
        <f>IF(A9="","",IF(H9="","⚠️ Enter Agent Code",IF(IFERROR(VLOOKUP(G9,DB_Agents!$B:$F,4,0),"")=TEXT(H9,"0"),IF(AND(A9&lt;&gt;"",E9&lt;&gt;""),"✅ Saved","Pending"),"🔒 WRONG CODE")))</f>
        <v/>
      </c>
      <c r="J9" s="33" t="str">
        <f t="shared" ref="J9:J40" ca="1" si="2">IF(I9="✅ Saved",TEXT(TODAY(),"YYYY-MM-DD")&amp;" Auto","—")</f>
        <v>—</v>
      </c>
      <c r="K9" s="22"/>
    </row>
    <row r="10" spans="1:11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IF(A10="","",IFERROR(VLOOKUP(A10,DB_Customers!$A:$M,13,0),""))</f>
        <v/>
      </c>
      <c r="D10" s="42" t="str">
        <f t="shared" ca="1" si="0"/>
        <v/>
      </c>
      <c r="E10" s="32"/>
      <c r="F10" s="43" t="str">
        <f t="shared" si="1"/>
        <v/>
      </c>
      <c r="G10" s="30" t="s">
        <v>58</v>
      </c>
      <c r="H10" s="41"/>
      <c r="I10" s="33" t="str">
        <f>IF(A10="","",IF(H10="","⚠️ Enter Agent Code",IF(IFERROR(VLOOKUP(G10,DB_Agents!$B:$F,4,0),"")=TEXT(H10,"0"),IF(AND(A10&lt;&gt;"",E10&lt;&gt;""),"✅ Saved","Pending"),"🔒 WRONG CODE")))</f>
        <v/>
      </c>
      <c r="J10" s="33" t="str">
        <f t="shared" ca="1" si="2"/>
        <v>—</v>
      </c>
      <c r="K10" s="46"/>
    </row>
    <row r="11" spans="1:11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IF(A11="","",IFERROR(VLOOKUP(A11,DB_Customers!$A:$M,13,0),""))</f>
        <v/>
      </c>
      <c r="D11" s="42" t="str">
        <f t="shared" ca="1" si="0"/>
        <v/>
      </c>
      <c r="E11" s="32"/>
      <c r="F11" s="43" t="str">
        <f t="shared" si="1"/>
        <v/>
      </c>
      <c r="G11" s="30" t="s">
        <v>58</v>
      </c>
      <c r="H11" s="41"/>
      <c r="I11" s="33" t="str">
        <f>IF(A11="","",IF(H11="","⚠️ Enter Agent Code",IF(IFERROR(VLOOKUP(G11,DB_Agents!$B:$F,4,0),"")=TEXT(H11,"0"),IF(AND(A11&lt;&gt;"",E11&lt;&gt;""),"✅ Saved","Pending"),"🔒 WRONG CODE")))</f>
        <v/>
      </c>
      <c r="J11" s="33" t="str">
        <f t="shared" ca="1" si="2"/>
        <v>—</v>
      </c>
      <c r="K11" s="22"/>
    </row>
    <row r="12" spans="1:11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IF(A12="","",IFERROR(VLOOKUP(A12,DB_Customers!$A:$M,13,0),""))</f>
        <v/>
      </c>
      <c r="D12" s="42" t="str">
        <f t="shared" ca="1" si="0"/>
        <v/>
      </c>
      <c r="E12" s="32"/>
      <c r="F12" s="43" t="str">
        <f t="shared" si="1"/>
        <v/>
      </c>
      <c r="G12" s="30" t="s">
        <v>58</v>
      </c>
      <c r="H12" s="41"/>
      <c r="I12" s="33" t="str">
        <f>IF(A12="","",IF(H12="","⚠️ Enter Agent Code",IF(IFERROR(VLOOKUP(G12,DB_Agents!$B:$F,4,0),"")=TEXT(H12,"0"),IF(AND(A12&lt;&gt;"",E12&lt;&gt;""),"✅ Saved","Pending"),"🔒 WRONG CODE")))</f>
        <v/>
      </c>
      <c r="J12" s="33" t="str">
        <f t="shared" ca="1" si="2"/>
        <v>—</v>
      </c>
      <c r="K12" s="46"/>
    </row>
    <row r="13" spans="1:11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IF(A13="","",IFERROR(VLOOKUP(A13,DB_Customers!$A:$M,13,0),""))</f>
        <v/>
      </c>
      <c r="D13" s="42" t="str">
        <f t="shared" ca="1" si="0"/>
        <v/>
      </c>
      <c r="E13" s="32"/>
      <c r="F13" s="43" t="str">
        <f t="shared" si="1"/>
        <v/>
      </c>
      <c r="G13" s="30" t="s">
        <v>58</v>
      </c>
      <c r="H13" s="41"/>
      <c r="I13" s="33" t="str">
        <f>IF(A13="","",IF(H13="","⚠️ Enter Agent Code",IF(IFERROR(VLOOKUP(G13,DB_Agents!$B:$F,4,0),"")=TEXT(H13,"0"),IF(AND(A13&lt;&gt;"",E13&lt;&gt;""),"✅ Saved","Pending"),"🔒 WRONG CODE")))</f>
        <v/>
      </c>
      <c r="J13" s="33" t="str">
        <f t="shared" ca="1" si="2"/>
        <v>—</v>
      </c>
      <c r="K13" s="22"/>
    </row>
    <row r="14" spans="1:11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IF(A14="","",IFERROR(VLOOKUP(A14,DB_Customers!$A:$M,13,0),""))</f>
        <v/>
      </c>
      <c r="D14" s="42" t="str">
        <f t="shared" ca="1" si="0"/>
        <v/>
      </c>
      <c r="E14" s="32"/>
      <c r="F14" s="43" t="str">
        <f t="shared" si="1"/>
        <v/>
      </c>
      <c r="G14" s="30" t="s">
        <v>58</v>
      </c>
      <c r="H14" s="41"/>
      <c r="I14" s="33" t="str">
        <f>IF(A14="","",IF(H14="","⚠️ Enter Agent Code",IF(IFERROR(VLOOKUP(G14,DB_Agents!$B:$F,4,0),"")=TEXT(H14,"0"),IF(AND(A14&lt;&gt;"",E14&lt;&gt;""),"✅ Saved","Pending"),"🔒 WRONG CODE")))</f>
        <v/>
      </c>
      <c r="J14" s="33" t="str">
        <f t="shared" ca="1" si="2"/>
        <v>—</v>
      </c>
      <c r="K14" s="46"/>
    </row>
    <row r="15" spans="1:11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IF(A15="","",IFERROR(VLOOKUP(A15,DB_Customers!$A:$M,13,0),""))</f>
        <v/>
      </c>
      <c r="D15" s="42" t="str">
        <f t="shared" ca="1" si="0"/>
        <v/>
      </c>
      <c r="E15" s="32"/>
      <c r="F15" s="43" t="str">
        <f t="shared" si="1"/>
        <v/>
      </c>
      <c r="G15" s="30" t="s">
        <v>58</v>
      </c>
      <c r="H15" s="41"/>
      <c r="I15" s="33" t="str">
        <f>IF(A15="","",IF(H15="","⚠️ Enter Agent Code",IF(IFERROR(VLOOKUP(G15,DB_Agents!$B:$F,4,0),"")=TEXT(H15,"0"),IF(AND(A15&lt;&gt;"",E15&lt;&gt;""),"✅ Saved","Pending"),"🔒 WRONG CODE")))</f>
        <v/>
      </c>
      <c r="J15" s="33" t="str">
        <f t="shared" ca="1" si="2"/>
        <v>—</v>
      </c>
      <c r="K15" s="22"/>
    </row>
    <row r="16" spans="1:11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IF(A16="","",IFERROR(VLOOKUP(A16,DB_Customers!$A:$M,13,0),""))</f>
        <v/>
      </c>
      <c r="D16" s="42" t="str">
        <f t="shared" ca="1" si="0"/>
        <v/>
      </c>
      <c r="E16" s="32"/>
      <c r="F16" s="43" t="str">
        <f t="shared" si="1"/>
        <v/>
      </c>
      <c r="G16" s="30" t="s">
        <v>58</v>
      </c>
      <c r="H16" s="41"/>
      <c r="I16" s="33" t="str">
        <f>IF(A16="","",IF(H16="","⚠️ Enter Agent Code",IF(IFERROR(VLOOKUP(G16,DB_Agents!$B:$F,4,0),"")=TEXT(H16,"0"),IF(AND(A16&lt;&gt;"",E16&lt;&gt;""),"✅ Saved","Pending"),"🔒 WRONG CODE")))</f>
        <v/>
      </c>
      <c r="J16" s="33" t="str">
        <f t="shared" ca="1" si="2"/>
        <v>—</v>
      </c>
      <c r="K16" s="46"/>
    </row>
    <row r="17" spans="1:11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IF(A17="","",IFERROR(VLOOKUP(A17,DB_Customers!$A:$M,13,0),""))</f>
        <v/>
      </c>
      <c r="D17" s="42" t="str">
        <f t="shared" ca="1" si="0"/>
        <v/>
      </c>
      <c r="E17" s="32"/>
      <c r="F17" s="43" t="str">
        <f t="shared" si="1"/>
        <v/>
      </c>
      <c r="G17" s="30" t="s">
        <v>58</v>
      </c>
      <c r="H17" s="41"/>
      <c r="I17" s="33" t="str">
        <f>IF(A17="","",IF(H17="","⚠️ Enter Agent Code",IF(IFERROR(VLOOKUP(G17,DB_Agents!$B:$F,4,0),"")=TEXT(H17,"0"),IF(AND(A17&lt;&gt;"",E17&lt;&gt;""),"✅ Saved","Pending"),"🔒 WRONG CODE")))</f>
        <v/>
      </c>
      <c r="J17" s="33" t="str">
        <f t="shared" ca="1" si="2"/>
        <v>—</v>
      </c>
      <c r="K17" s="22"/>
    </row>
    <row r="18" spans="1:11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IF(A18="","",IFERROR(VLOOKUP(A18,DB_Customers!$A:$M,13,0),""))</f>
        <v/>
      </c>
      <c r="D18" s="42" t="str">
        <f t="shared" ca="1" si="0"/>
        <v/>
      </c>
      <c r="E18" s="32"/>
      <c r="F18" s="43" t="str">
        <f t="shared" si="1"/>
        <v/>
      </c>
      <c r="G18" s="30" t="s">
        <v>58</v>
      </c>
      <c r="H18" s="41"/>
      <c r="I18" s="33" t="str">
        <f>IF(A18="","",IF(H18="","⚠️ Enter Agent Code",IF(IFERROR(VLOOKUP(G18,DB_Agents!$B:$F,4,0),"")=TEXT(H18,"0"),IF(AND(A18&lt;&gt;"",E18&lt;&gt;""),"✅ Saved","Pending"),"🔒 WRONG CODE")))</f>
        <v/>
      </c>
      <c r="J18" s="33" t="str">
        <f t="shared" ca="1" si="2"/>
        <v>—</v>
      </c>
      <c r="K18" s="46"/>
    </row>
    <row r="19" spans="1:11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IF(A19="","",IFERROR(VLOOKUP(A19,DB_Customers!$A:$M,13,0),""))</f>
        <v/>
      </c>
      <c r="D19" s="42" t="str">
        <f t="shared" ca="1" si="0"/>
        <v/>
      </c>
      <c r="E19" s="32"/>
      <c r="F19" s="43" t="str">
        <f t="shared" si="1"/>
        <v/>
      </c>
      <c r="G19" s="30" t="s">
        <v>58</v>
      </c>
      <c r="H19" s="41"/>
      <c r="I19" s="33" t="str">
        <f>IF(A19="","",IF(H19="","⚠️ Enter Agent Code",IF(IFERROR(VLOOKUP(G19,DB_Agents!$B:$F,4,0),"")=TEXT(H19,"0"),IF(AND(A19&lt;&gt;"",E19&lt;&gt;""),"✅ Saved","Pending"),"🔒 WRONG CODE")))</f>
        <v/>
      </c>
      <c r="J19" s="33" t="str">
        <f t="shared" ca="1" si="2"/>
        <v>—</v>
      </c>
      <c r="K19" s="22"/>
    </row>
    <row r="20" spans="1:11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IF(A20="","",IFERROR(VLOOKUP(A20,DB_Customers!$A:$M,13,0),""))</f>
        <v/>
      </c>
      <c r="D20" s="42" t="str">
        <f t="shared" ca="1" si="0"/>
        <v/>
      </c>
      <c r="E20" s="32"/>
      <c r="F20" s="43" t="str">
        <f t="shared" si="1"/>
        <v/>
      </c>
      <c r="G20" s="30" t="s">
        <v>58</v>
      </c>
      <c r="H20" s="41"/>
      <c r="I20" s="33" t="str">
        <f>IF(A20="","",IF(H20="","⚠️ Enter Agent Code",IF(IFERROR(VLOOKUP(G20,DB_Agents!$B:$F,4,0),"")=TEXT(H20,"0"),IF(AND(A20&lt;&gt;"",E20&lt;&gt;""),"✅ Saved","Pending"),"🔒 WRONG CODE")))</f>
        <v/>
      </c>
      <c r="J20" s="33" t="str">
        <f t="shared" ca="1" si="2"/>
        <v>—</v>
      </c>
      <c r="K20" s="46"/>
    </row>
    <row r="21" spans="1:11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IF(A21="","",IFERROR(VLOOKUP(A21,DB_Customers!$A:$M,13,0),""))</f>
        <v/>
      </c>
      <c r="D21" s="42" t="str">
        <f t="shared" ca="1" si="0"/>
        <v/>
      </c>
      <c r="E21" s="32"/>
      <c r="F21" s="43" t="str">
        <f t="shared" si="1"/>
        <v/>
      </c>
      <c r="G21" s="30" t="s">
        <v>58</v>
      </c>
      <c r="H21" s="41"/>
      <c r="I21" s="33" t="str">
        <f>IF(A21="","",IF(H21="","⚠️ Enter Agent Code",IF(IFERROR(VLOOKUP(G21,DB_Agents!$B:$F,4,0),"")=TEXT(H21,"0"),IF(AND(A21&lt;&gt;"",E21&lt;&gt;""),"✅ Saved","Pending"),"🔒 WRONG CODE")))</f>
        <v/>
      </c>
      <c r="J21" s="33" t="str">
        <f t="shared" ca="1" si="2"/>
        <v>—</v>
      </c>
      <c r="K21" s="22"/>
    </row>
    <row r="22" spans="1:11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IF(A22="","",IFERROR(VLOOKUP(A22,DB_Customers!$A:$M,13,0),""))</f>
        <v/>
      </c>
      <c r="D22" s="42" t="str">
        <f t="shared" ca="1" si="0"/>
        <v/>
      </c>
      <c r="E22" s="32"/>
      <c r="F22" s="43" t="str">
        <f t="shared" si="1"/>
        <v/>
      </c>
      <c r="G22" s="30" t="s">
        <v>58</v>
      </c>
      <c r="H22" s="41"/>
      <c r="I22" s="33" t="str">
        <f>IF(A22="","",IF(H22="","⚠️ Enter Agent Code",IF(IFERROR(VLOOKUP(G22,DB_Agents!$B:$F,4,0),"")=TEXT(H22,"0"),IF(AND(A22&lt;&gt;"",E22&lt;&gt;""),"✅ Saved","Pending"),"🔒 WRONG CODE")))</f>
        <v/>
      </c>
      <c r="J22" s="33" t="str">
        <f t="shared" ca="1" si="2"/>
        <v>—</v>
      </c>
      <c r="K22" s="46"/>
    </row>
    <row r="23" spans="1:11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IF(A23="","",IFERROR(VLOOKUP(A23,DB_Customers!$A:$M,13,0),""))</f>
        <v/>
      </c>
      <c r="D23" s="42" t="str">
        <f t="shared" ca="1" si="0"/>
        <v/>
      </c>
      <c r="E23" s="32"/>
      <c r="F23" s="43" t="str">
        <f t="shared" si="1"/>
        <v/>
      </c>
      <c r="G23" s="30" t="s">
        <v>58</v>
      </c>
      <c r="H23" s="41"/>
      <c r="I23" s="33" t="str">
        <f>IF(A23="","",IF(H23="","⚠️ Enter Agent Code",IF(IFERROR(VLOOKUP(G23,DB_Agents!$B:$F,4,0),"")=TEXT(H23,"0"),IF(AND(A23&lt;&gt;"",E23&lt;&gt;""),"✅ Saved","Pending"),"🔒 WRONG CODE")))</f>
        <v/>
      </c>
      <c r="J23" s="33" t="str">
        <f t="shared" ca="1" si="2"/>
        <v>—</v>
      </c>
      <c r="K23" s="22"/>
    </row>
    <row r="24" spans="1:11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IF(A24="","",IFERROR(VLOOKUP(A24,DB_Customers!$A:$M,13,0),""))</f>
        <v/>
      </c>
      <c r="D24" s="42" t="str">
        <f t="shared" ca="1" si="0"/>
        <v/>
      </c>
      <c r="E24" s="32"/>
      <c r="F24" s="43" t="str">
        <f t="shared" si="1"/>
        <v/>
      </c>
      <c r="G24" s="30" t="s">
        <v>58</v>
      </c>
      <c r="H24" s="41"/>
      <c r="I24" s="33" t="str">
        <f>IF(A24="","",IF(H24="","⚠️ Enter Agent Code",IF(IFERROR(VLOOKUP(G24,DB_Agents!$B:$F,4,0),"")=TEXT(H24,"0"),IF(AND(A24&lt;&gt;"",E24&lt;&gt;""),"✅ Saved","Pending"),"🔒 WRONG CODE")))</f>
        <v/>
      </c>
      <c r="J24" s="33" t="str">
        <f t="shared" ca="1" si="2"/>
        <v>—</v>
      </c>
      <c r="K24" s="46"/>
    </row>
    <row r="25" spans="1:11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IF(A25="","",IFERROR(VLOOKUP(A25,DB_Customers!$A:$M,13,0),""))</f>
        <v/>
      </c>
      <c r="D25" s="42" t="str">
        <f t="shared" ca="1" si="0"/>
        <v/>
      </c>
      <c r="E25" s="32"/>
      <c r="F25" s="43" t="str">
        <f t="shared" si="1"/>
        <v/>
      </c>
      <c r="G25" s="30" t="s">
        <v>58</v>
      </c>
      <c r="H25" s="41"/>
      <c r="I25" s="33" t="str">
        <f>IF(A25="","",IF(H25="","⚠️ Enter Agent Code",IF(IFERROR(VLOOKUP(G25,DB_Agents!$B:$F,4,0),"")=TEXT(H25,"0"),IF(AND(A25&lt;&gt;"",E25&lt;&gt;""),"✅ Saved","Pending"),"🔒 WRONG CODE")))</f>
        <v/>
      </c>
      <c r="J25" s="33" t="str">
        <f t="shared" ca="1" si="2"/>
        <v>—</v>
      </c>
      <c r="K25" s="22"/>
    </row>
    <row r="26" spans="1:11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IF(A26="","",IFERROR(VLOOKUP(A26,DB_Customers!$A:$M,13,0),""))</f>
        <v/>
      </c>
      <c r="D26" s="42" t="str">
        <f t="shared" ca="1" si="0"/>
        <v/>
      </c>
      <c r="E26" s="32"/>
      <c r="F26" s="43" t="str">
        <f t="shared" si="1"/>
        <v/>
      </c>
      <c r="G26" s="30" t="s">
        <v>58</v>
      </c>
      <c r="H26" s="41"/>
      <c r="I26" s="33" t="str">
        <f>IF(A26="","",IF(H26="","⚠️ Enter Agent Code",IF(IFERROR(VLOOKUP(G26,DB_Agents!$B:$F,4,0),"")=TEXT(H26,"0"),IF(AND(A26&lt;&gt;"",E26&lt;&gt;""),"✅ Saved","Pending"),"🔒 WRONG CODE")))</f>
        <v/>
      </c>
      <c r="J26" s="33" t="str">
        <f t="shared" ca="1" si="2"/>
        <v>—</v>
      </c>
      <c r="K26" s="46"/>
    </row>
    <row r="27" spans="1:11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IF(A27="","",IFERROR(VLOOKUP(A27,DB_Customers!$A:$M,13,0),""))</f>
        <v/>
      </c>
      <c r="D27" s="42" t="str">
        <f t="shared" ca="1" si="0"/>
        <v/>
      </c>
      <c r="E27" s="32"/>
      <c r="F27" s="43" t="str">
        <f t="shared" si="1"/>
        <v/>
      </c>
      <c r="G27" s="30" t="s">
        <v>58</v>
      </c>
      <c r="H27" s="41"/>
      <c r="I27" s="33" t="str">
        <f>IF(A27="","",IF(H27="","⚠️ Enter Agent Code",IF(IFERROR(VLOOKUP(G27,DB_Agents!$B:$F,4,0),"")=TEXT(H27,"0"),IF(AND(A27&lt;&gt;"",E27&lt;&gt;""),"✅ Saved","Pending"),"🔒 WRONG CODE")))</f>
        <v/>
      </c>
      <c r="J27" s="33" t="str">
        <f t="shared" ca="1" si="2"/>
        <v>—</v>
      </c>
      <c r="K27" s="22"/>
    </row>
    <row r="28" spans="1:11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IF(A28="","",IFERROR(VLOOKUP(A28,DB_Customers!$A:$M,13,0),""))</f>
        <v/>
      </c>
      <c r="D28" s="42" t="str">
        <f t="shared" ca="1" si="0"/>
        <v/>
      </c>
      <c r="E28" s="32"/>
      <c r="F28" s="43" t="str">
        <f t="shared" si="1"/>
        <v/>
      </c>
      <c r="G28" s="30" t="s">
        <v>58</v>
      </c>
      <c r="H28" s="41"/>
      <c r="I28" s="33" t="str">
        <f>IF(A28="","",IF(H28="","⚠️ Enter Agent Code",IF(IFERROR(VLOOKUP(G28,DB_Agents!$B:$F,4,0),"")=TEXT(H28,"0"),IF(AND(A28&lt;&gt;"",E28&lt;&gt;""),"✅ Saved","Pending"),"🔒 WRONG CODE")))</f>
        <v/>
      </c>
      <c r="J28" s="33" t="str">
        <f t="shared" ca="1" si="2"/>
        <v>—</v>
      </c>
      <c r="K28" s="46"/>
    </row>
    <row r="29" spans="1:11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IF(A29="","",IFERROR(VLOOKUP(A29,DB_Customers!$A:$M,13,0),""))</f>
        <v/>
      </c>
      <c r="D29" s="42" t="str">
        <f t="shared" ca="1" si="0"/>
        <v/>
      </c>
      <c r="E29" s="32"/>
      <c r="F29" s="43" t="str">
        <f t="shared" si="1"/>
        <v/>
      </c>
      <c r="G29" s="30" t="s">
        <v>58</v>
      </c>
      <c r="H29" s="41"/>
      <c r="I29" s="33" t="str">
        <f>IF(A29="","",IF(H29="","⚠️ Enter Agent Code",IF(IFERROR(VLOOKUP(G29,DB_Agents!$B:$F,4,0),"")=TEXT(H29,"0"),IF(AND(A29&lt;&gt;"",E29&lt;&gt;""),"✅ Saved","Pending"),"🔒 WRONG CODE")))</f>
        <v/>
      </c>
      <c r="J29" s="33" t="str">
        <f t="shared" ca="1" si="2"/>
        <v>—</v>
      </c>
      <c r="K29" s="22"/>
    </row>
    <row r="30" spans="1:11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IF(A30="","",IFERROR(VLOOKUP(A30,DB_Customers!$A:$M,13,0),""))</f>
        <v/>
      </c>
      <c r="D30" s="42" t="str">
        <f t="shared" ca="1" si="0"/>
        <v/>
      </c>
      <c r="E30" s="32"/>
      <c r="F30" s="43" t="str">
        <f t="shared" si="1"/>
        <v/>
      </c>
      <c r="G30" s="30" t="s">
        <v>58</v>
      </c>
      <c r="H30" s="41"/>
      <c r="I30" s="33" t="str">
        <f>IF(A30="","",IF(H30="","⚠️ Enter Agent Code",IF(IFERROR(VLOOKUP(G30,DB_Agents!$B:$F,4,0),"")=TEXT(H30,"0"),IF(AND(A30&lt;&gt;"",E30&lt;&gt;""),"✅ Saved","Pending"),"🔒 WRONG CODE")))</f>
        <v/>
      </c>
      <c r="J30" s="33" t="str">
        <f t="shared" ca="1" si="2"/>
        <v>—</v>
      </c>
      <c r="K30" s="46"/>
    </row>
    <row r="31" spans="1:11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IF(A31="","",IFERROR(VLOOKUP(A31,DB_Customers!$A:$M,13,0),""))</f>
        <v/>
      </c>
      <c r="D31" s="42" t="str">
        <f t="shared" ca="1" si="0"/>
        <v/>
      </c>
      <c r="E31" s="32"/>
      <c r="F31" s="43" t="str">
        <f t="shared" si="1"/>
        <v/>
      </c>
      <c r="G31" s="30" t="s">
        <v>58</v>
      </c>
      <c r="H31" s="41"/>
      <c r="I31" s="33" t="str">
        <f>IF(A31="","",IF(H31="","⚠️ Enter Agent Code",IF(IFERROR(VLOOKUP(G31,DB_Agents!$B:$F,4,0),"")=TEXT(H31,"0"),IF(AND(A31&lt;&gt;"",E31&lt;&gt;""),"✅ Saved","Pending"),"🔒 WRONG CODE")))</f>
        <v/>
      </c>
      <c r="J31" s="33" t="str">
        <f t="shared" ca="1" si="2"/>
        <v>—</v>
      </c>
      <c r="K31" s="22"/>
    </row>
    <row r="32" spans="1:11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IF(A32="","",IFERROR(VLOOKUP(A32,DB_Customers!$A:$M,13,0),""))</f>
        <v/>
      </c>
      <c r="D32" s="42" t="str">
        <f t="shared" ca="1" si="0"/>
        <v/>
      </c>
      <c r="E32" s="32"/>
      <c r="F32" s="43" t="str">
        <f t="shared" si="1"/>
        <v/>
      </c>
      <c r="G32" s="30" t="s">
        <v>58</v>
      </c>
      <c r="H32" s="41"/>
      <c r="I32" s="33" t="str">
        <f>IF(A32="","",IF(H32="","⚠️ Enter Agent Code",IF(IFERROR(VLOOKUP(G32,DB_Agents!$B:$F,4,0),"")=TEXT(H32,"0"),IF(AND(A32&lt;&gt;"",E32&lt;&gt;""),"✅ Saved","Pending"),"🔒 WRONG CODE")))</f>
        <v/>
      </c>
      <c r="J32" s="33" t="str">
        <f t="shared" ca="1" si="2"/>
        <v>—</v>
      </c>
      <c r="K32" s="46"/>
    </row>
    <row r="33" spans="1:11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IF(A33="","",IFERROR(VLOOKUP(A33,DB_Customers!$A:$M,13,0),""))</f>
        <v/>
      </c>
      <c r="D33" s="42" t="str">
        <f t="shared" ca="1" si="0"/>
        <v/>
      </c>
      <c r="E33" s="32"/>
      <c r="F33" s="43" t="str">
        <f t="shared" si="1"/>
        <v/>
      </c>
      <c r="G33" s="30" t="s">
        <v>58</v>
      </c>
      <c r="H33" s="41"/>
      <c r="I33" s="33" t="str">
        <f>IF(A33="","",IF(H33="","⚠️ Enter Agent Code",IF(IFERROR(VLOOKUP(G33,DB_Agents!$B:$F,4,0),"")=TEXT(H33,"0"),IF(AND(A33&lt;&gt;"",E33&lt;&gt;""),"✅ Saved","Pending"),"🔒 WRONG CODE")))</f>
        <v/>
      </c>
      <c r="J33" s="33" t="str">
        <f t="shared" ca="1" si="2"/>
        <v>—</v>
      </c>
      <c r="K33" s="22"/>
    </row>
    <row r="34" spans="1:11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IF(A34="","",IFERROR(VLOOKUP(A34,DB_Customers!$A:$M,13,0),""))</f>
        <v/>
      </c>
      <c r="D34" s="42" t="str">
        <f t="shared" ca="1" si="0"/>
        <v/>
      </c>
      <c r="E34" s="32"/>
      <c r="F34" s="43" t="str">
        <f t="shared" si="1"/>
        <v/>
      </c>
      <c r="G34" s="30" t="s">
        <v>58</v>
      </c>
      <c r="H34" s="41"/>
      <c r="I34" s="33" t="str">
        <f>IF(A34="","",IF(H34="","⚠️ Enter Agent Code",IF(IFERROR(VLOOKUP(G34,DB_Agents!$B:$F,4,0),"")=TEXT(H34,"0"),IF(AND(A34&lt;&gt;"",E34&lt;&gt;""),"✅ Saved","Pending"),"🔒 WRONG CODE")))</f>
        <v/>
      </c>
      <c r="J34" s="33" t="str">
        <f t="shared" ca="1" si="2"/>
        <v>—</v>
      </c>
      <c r="K34" s="46"/>
    </row>
    <row r="35" spans="1:11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IF(A35="","",IFERROR(VLOOKUP(A35,DB_Customers!$A:$M,13,0),""))</f>
        <v/>
      </c>
      <c r="D35" s="42" t="str">
        <f t="shared" ca="1" si="0"/>
        <v/>
      </c>
      <c r="E35" s="32"/>
      <c r="F35" s="43" t="str">
        <f t="shared" si="1"/>
        <v/>
      </c>
      <c r="G35" s="30" t="s">
        <v>58</v>
      </c>
      <c r="H35" s="41"/>
      <c r="I35" s="33" t="str">
        <f>IF(A35="","",IF(H35="","⚠️ Enter Agent Code",IF(IFERROR(VLOOKUP(G35,DB_Agents!$B:$F,4,0),"")=TEXT(H35,"0"),IF(AND(A35&lt;&gt;"",E35&lt;&gt;""),"✅ Saved","Pending"),"🔒 WRONG CODE")))</f>
        <v/>
      </c>
      <c r="J35" s="33" t="str">
        <f t="shared" ca="1" si="2"/>
        <v>—</v>
      </c>
      <c r="K35" s="22"/>
    </row>
    <row r="36" spans="1:11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IF(A36="","",IFERROR(VLOOKUP(A36,DB_Customers!$A:$M,13,0),""))</f>
        <v/>
      </c>
      <c r="D36" s="42" t="str">
        <f t="shared" ca="1" si="0"/>
        <v/>
      </c>
      <c r="E36" s="32"/>
      <c r="F36" s="43" t="str">
        <f t="shared" si="1"/>
        <v/>
      </c>
      <c r="G36" s="30" t="s">
        <v>58</v>
      </c>
      <c r="H36" s="41"/>
      <c r="I36" s="33" t="str">
        <f>IF(A36="","",IF(H36="","⚠️ Enter Agent Code",IF(IFERROR(VLOOKUP(G36,DB_Agents!$B:$F,4,0),"")=TEXT(H36,"0"),IF(AND(A36&lt;&gt;"",E36&lt;&gt;""),"✅ Saved","Pending"),"🔒 WRONG CODE")))</f>
        <v/>
      </c>
      <c r="J36" s="33" t="str">
        <f t="shared" ca="1" si="2"/>
        <v>—</v>
      </c>
      <c r="K36" s="46"/>
    </row>
    <row r="37" spans="1:11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IF(A37="","",IFERROR(VLOOKUP(A37,DB_Customers!$A:$M,13,0),""))</f>
        <v/>
      </c>
      <c r="D37" s="42" t="str">
        <f t="shared" ca="1" si="0"/>
        <v/>
      </c>
      <c r="E37" s="32"/>
      <c r="F37" s="43" t="str">
        <f t="shared" si="1"/>
        <v/>
      </c>
      <c r="G37" s="30" t="s">
        <v>58</v>
      </c>
      <c r="H37" s="41"/>
      <c r="I37" s="33" t="str">
        <f>IF(A37="","",IF(H37="","⚠️ Enter Agent Code",IF(IFERROR(VLOOKUP(G37,DB_Agents!$B:$F,4,0),"")=TEXT(H37,"0"),IF(AND(A37&lt;&gt;"",E37&lt;&gt;""),"✅ Saved","Pending"),"🔒 WRONG CODE")))</f>
        <v/>
      </c>
      <c r="J37" s="33" t="str">
        <f t="shared" ca="1" si="2"/>
        <v>—</v>
      </c>
      <c r="K37" s="22"/>
    </row>
    <row r="38" spans="1:11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IF(A38="","",IFERROR(VLOOKUP(A38,DB_Customers!$A:$M,13,0),""))</f>
        <v/>
      </c>
      <c r="D38" s="42" t="str">
        <f t="shared" ca="1" si="0"/>
        <v/>
      </c>
      <c r="E38" s="32"/>
      <c r="F38" s="43" t="str">
        <f t="shared" si="1"/>
        <v/>
      </c>
      <c r="G38" s="30" t="s">
        <v>58</v>
      </c>
      <c r="H38" s="41"/>
      <c r="I38" s="33" t="str">
        <f>IF(A38="","",IF(H38="","⚠️ Enter Agent Code",IF(IFERROR(VLOOKUP(G38,DB_Agents!$B:$F,4,0),"")=TEXT(H38,"0"),IF(AND(A38&lt;&gt;"",E38&lt;&gt;""),"✅ Saved","Pending"),"🔒 WRONG CODE")))</f>
        <v/>
      </c>
      <c r="J38" s="33" t="str">
        <f t="shared" ca="1" si="2"/>
        <v>—</v>
      </c>
      <c r="K38" s="46"/>
    </row>
    <row r="39" spans="1:11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IF(A39="","",IFERROR(VLOOKUP(A39,DB_Customers!$A:$M,13,0),""))</f>
        <v/>
      </c>
      <c r="D39" s="42" t="str">
        <f t="shared" ca="1" si="0"/>
        <v/>
      </c>
      <c r="E39" s="32"/>
      <c r="F39" s="43" t="str">
        <f t="shared" si="1"/>
        <v/>
      </c>
      <c r="G39" s="30" t="s">
        <v>58</v>
      </c>
      <c r="H39" s="41"/>
      <c r="I39" s="33" t="str">
        <f>IF(A39="","",IF(H39="","⚠️ Enter Agent Code",IF(IFERROR(VLOOKUP(G39,DB_Agents!$B:$F,4,0),"")=TEXT(H39,"0"),IF(AND(A39&lt;&gt;"",E39&lt;&gt;""),"✅ Saved","Pending"),"🔒 WRONG CODE")))</f>
        <v/>
      </c>
      <c r="J39" s="33" t="str">
        <f t="shared" ca="1" si="2"/>
        <v>—</v>
      </c>
      <c r="K39" s="22"/>
    </row>
    <row r="40" spans="1:11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IF(A40="","",IFERROR(VLOOKUP(A40,DB_Customers!$A:$M,13,0),""))</f>
        <v/>
      </c>
      <c r="D40" s="42" t="str">
        <f t="shared" ca="1" si="0"/>
        <v/>
      </c>
      <c r="E40" s="32"/>
      <c r="F40" s="43" t="str">
        <f t="shared" si="1"/>
        <v/>
      </c>
      <c r="G40" s="30" t="s">
        <v>58</v>
      </c>
      <c r="H40" s="41"/>
      <c r="I40" s="33" t="str">
        <f>IF(A40="","",IF(H40="","⚠️ Enter Agent Code",IF(IFERROR(VLOOKUP(G40,DB_Agents!$B:$F,4,0),"")=TEXT(H40,"0"),IF(AND(A40&lt;&gt;"",E40&lt;&gt;""),"✅ Saved","Pending"),"🔒 WRONG CODE")))</f>
        <v/>
      </c>
      <c r="J40" s="33" t="str">
        <f t="shared" ca="1" si="2"/>
        <v>—</v>
      </c>
      <c r="K40" s="46"/>
    </row>
    <row r="41" spans="1:11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IF(A41="","",IFERROR(VLOOKUP(A41,DB_Customers!$A:$M,13,0),""))</f>
        <v/>
      </c>
      <c r="D41" s="42" t="str">
        <f t="shared" ref="D41:D72" ca="1" si="3">IF(A41="","",TODAY())</f>
        <v/>
      </c>
      <c r="E41" s="32"/>
      <c r="F41" s="43" t="str">
        <f t="shared" ref="F41:F72" si="4">IFERROR(IF(OR(A41="",E41=""),"",C41+E41),"")</f>
        <v/>
      </c>
      <c r="G41" s="30" t="s">
        <v>58</v>
      </c>
      <c r="H41" s="41"/>
      <c r="I41" s="33" t="str">
        <f>IF(A41="","",IF(H41="","⚠️ Enter Agent Code",IF(IFERROR(VLOOKUP(G41,DB_Agents!$B:$F,4,0),"")=TEXT(H41,"0"),IF(AND(A41&lt;&gt;"",E41&lt;&gt;""),"✅ Saved","Pending"),"🔒 WRONG CODE")))</f>
        <v/>
      </c>
      <c r="J41" s="33" t="str">
        <f t="shared" ref="J41:J72" ca="1" si="5">IF(I41="✅ Saved",TEXT(TODAY(),"YYYY-MM-DD")&amp;" Auto","—")</f>
        <v>—</v>
      </c>
      <c r="K41" s="22"/>
    </row>
    <row r="42" spans="1:11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IF(A42="","",IFERROR(VLOOKUP(A42,DB_Customers!$A:$M,13,0),""))</f>
        <v/>
      </c>
      <c r="D42" s="42" t="str">
        <f t="shared" ca="1" si="3"/>
        <v/>
      </c>
      <c r="E42" s="32"/>
      <c r="F42" s="43" t="str">
        <f t="shared" si="4"/>
        <v/>
      </c>
      <c r="G42" s="30" t="s">
        <v>58</v>
      </c>
      <c r="H42" s="41"/>
      <c r="I42" s="33" t="str">
        <f>IF(A42="","",IF(H42="","⚠️ Enter Agent Code",IF(IFERROR(VLOOKUP(G42,DB_Agents!$B:$F,4,0),"")=TEXT(H42,"0"),IF(AND(A42&lt;&gt;"",E42&lt;&gt;""),"✅ Saved","Pending"),"🔒 WRONG CODE")))</f>
        <v/>
      </c>
      <c r="J42" s="33" t="str">
        <f t="shared" ca="1" si="5"/>
        <v>—</v>
      </c>
      <c r="K42" s="46"/>
    </row>
    <row r="43" spans="1:11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IF(A43="","",IFERROR(VLOOKUP(A43,DB_Customers!$A:$M,13,0),""))</f>
        <v/>
      </c>
      <c r="D43" s="42" t="str">
        <f t="shared" ca="1" si="3"/>
        <v/>
      </c>
      <c r="E43" s="32"/>
      <c r="F43" s="43" t="str">
        <f t="shared" si="4"/>
        <v/>
      </c>
      <c r="G43" s="30" t="s">
        <v>58</v>
      </c>
      <c r="H43" s="41"/>
      <c r="I43" s="33" t="str">
        <f>IF(A43="","",IF(H43="","⚠️ Enter Agent Code",IF(IFERROR(VLOOKUP(G43,DB_Agents!$B:$F,4,0),"")=TEXT(H43,"0"),IF(AND(A43&lt;&gt;"",E43&lt;&gt;""),"✅ Saved","Pending"),"🔒 WRONG CODE")))</f>
        <v/>
      </c>
      <c r="J43" s="33" t="str">
        <f t="shared" ca="1" si="5"/>
        <v>—</v>
      </c>
      <c r="K43" s="22"/>
    </row>
    <row r="44" spans="1:11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IF(A44="","",IFERROR(VLOOKUP(A44,DB_Customers!$A:$M,13,0),""))</f>
        <v/>
      </c>
      <c r="D44" s="42" t="str">
        <f t="shared" ca="1" si="3"/>
        <v/>
      </c>
      <c r="E44" s="32"/>
      <c r="F44" s="43" t="str">
        <f t="shared" si="4"/>
        <v/>
      </c>
      <c r="G44" s="30" t="s">
        <v>58</v>
      </c>
      <c r="H44" s="41"/>
      <c r="I44" s="33" t="str">
        <f>IF(A44="","",IF(H44="","⚠️ Enter Agent Code",IF(IFERROR(VLOOKUP(G44,DB_Agents!$B:$F,4,0),"")=TEXT(H44,"0"),IF(AND(A44&lt;&gt;"",E44&lt;&gt;""),"✅ Saved","Pending"),"🔒 WRONG CODE")))</f>
        <v/>
      </c>
      <c r="J44" s="33" t="str">
        <f t="shared" ca="1" si="5"/>
        <v>—</v>
      </c>
      <c r="K44" s="46"/>
    </row>
    <row r="45" spans="1:11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IF(A45="","",IFERROR(VLOOKUP(A45,DB_Customers!$A:$M,13,0),""))</f>
        <v/>
      </c>
      <c r="D45" s="42" t="str">
        <f t="shared" ca="1" si="3"/>
        <v/>
      </c>
      <c r="E45" s="32"/>
      <c r="F45" s="43" t="str">
        <f t="shared" si="4"/>
        <v/>
      </c>
      <c r="G45" s="30" t="s">
        <v>58</v>
      </c>
      <c r="H45" s="41"/>
      <c r="I45" s="33" t="str">
        <f>IF(A45="","",IF(H45="","⚠️ Enter Agent Code",IF(IFERROR(VLOOKUP(G45,DB_Agents!$B:$F,4,0),"")=TEXT(H45,"0"),IF(AND(A45&lt;&gt;"",E45&lt;&gt;""),"✅ Saved","Pending"),"🔒 WRONG CODE")))</f>
        <v/>
      </c>
      <c r="J45" s="33" t="str">
        <f t="shared" ca="1" si="5"/>
        <v>—</v>
      </c>
      <c r="K45" s="22"/>
    </row>
    <row r="46" spans="1:11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IF(A46="","",IFERROR(VLOOKUP(A46,DB_Customers!$A:$M,13,0),""))</f>
        <v/>
      </c>
      <c r="D46" s="42" t="str">
        <f t="shared" ca="1" si="3"/>
        <v/>
      </c>
      <c r="E46" s="32"/>
      <c r="F46" s="43" t="str">
        <f t="shared" si="4"/>
        <v/>
      </c>
      <c r="G46" s="30" t="s">
        <v>58</v>
      </c>
      <c r="H46" s="41"/>
      <c r="I46" s="33" t="str">
        <f>IF(A46="","",IF(H46="","⚠️ Enter Agent Code",IF(IFERROR(VLOOKUP(G46,DB_Agents!$B:$F,4,0),"")=TEXT(H46,"0"),IF(AND(A46&lt;&gt;"",E46&lt;&gt;""),"✅ Saved","Pending"),"🔒 WRONG CODE")))</f>
        <v/>
      </c>
      <c r="J46" s="33" t="str">
        <f t="shared" ca="1" si="5"/>
        <v>—</v>
      </c>
      <c r="K46" s="46"/>
    </row>
    <row r="47" spans="1:11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IF(A47="","",IFERROR(VLOOKUP(A47,DB_Customers!$A:$M,13,0),""))</f>
        <v/>
      </c>
      <c r="D47" s="42" t="str">
        <f t="shared" ca="1" si="3"/>
        <v/>
      </c>
      <c r="E47" s="32"/>
      <c r="F47" s="43" t="str">
        <f t="shared" si="4"/>
        <v/>
      </c>
      <c r="G47" s="30" t="s">
        <v>58</v>
      </c>
      <c r="H47" s="41"/>
      <c r="I47" s="33" t="str">
        <f>IF(A47="","",IF(H47="","⚠️ Enter Agent Code",IF(IFERROR(VLOOKUP(G47,DB_Agents!$B:$F,4,0),"")=TEXT(H47,"0"),IF(AND(A47&lt;&gt;"",E47&lt;&gt;""),"✅ Saved","Pending"),"🔒 WRONG CODE")))</f>
        <v/>
      </c>
      <c r="J47" s="33" t="str">
        <f t="shared" ca="1" si="5"/>
        <v>—</v>
      </c>
      <c r="K47" s="22"/>
    </row>
    <row r="48" spans="1:11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IF(A48="","",IFERROR(VLOOKUP(A48,DB_Customers!$A:$M,13,0),""))</f>
        <v/>
      </c>
      <c r="D48" s="42" t="str">
        <f t="shared" ca="1" si="3"/>
        <v/>
      </c>
      <c r="E48" s="32"/>
      <c r="F48" s="43" t="str">
        <f t="shared" si="4"/>
        <v/>
      </c>
      <c r="G48" s="30" t="s">
        <v>58</v>
      </c>
      <c r="H48" s="41"/>
      <c r="I48" s="33" t="str">
        <f>IF(A48="","",IF(H48="","⚠️ Enter Agent Code",IF(IFERROR(VLOOKUP(G48,DB_Agents!$B:$F,4,0),"")=TEXT(H48,"0"),IF(AND(A48&lt;&gt;"",E48&lt;&gt;""),"✅ Saved","Pending"),"🔒 WRONG CODE")))</f>
        <v/>
      </c>
      <c r="J48" s="33" t="str">
        <f t="shared" ca="1" si="5"/>
        <v>—</v>
      </c>
      <c r="K48" s="46"/>
    </row>
    <row r="49" spans="1:11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IF(A49="","",IFERROR(VLOOKUP(A49,DB_Customers!$A:$M,13,0),""))</f>
        <v/>
      </c>
      <c r="D49" s="42" t="str">
        <f t="shared" ca="1" si="3"/>
        <v/>
      </c>
      <c r="E49" s="32"/>
      <c r="F49" s="43" t="str">
        <f t="shared" si="4"/>
        <v/>
      </c>
      <c r="G49" s="30" t="s">
        <v>58</v>
      </c>
      <c r="H49" s="41"/>
      <c r="I49" s="33" t="str">
        <f>IF(A49="","",IF(H49="","⚠️ Enter Agent Code",IF(IFERROR(VLOOKUP(G49,DB_Agents!$B:$F,4,0),"")=TEXT(H49,"0"),IF(AND(A49&lt;&gt;"",E49&lt;&gt;""),"✅ Saved","Pending"),"🔒 WRONG CODE")))</f>
        <v/>
      </c>
      <c r="J49" s="33" t="str">
        <f t="shared" ca="1" si="5"/>
        <v>—</v>
      </c>
      <c r="K49" s="22"/>
    </row>
    <row r="50" spans="1:11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IF(A50="","",IFERROR(VLOOKUP(A50,DB_Customers!$A:$M,13,0),""))</f>
        <v/>
      </c>
      <c r="D50" s="42" t="str">
        <f t="shared" ca="1" si="3"/>
        <v/>
      </c>
      <c r="E50" s="32"/>
      <c r="F50" s="43" t="str">
        <f t="shared" si="4"/>
        <v/>
      </c>
      <c r="G50" s="30" t="s">
        <v>58</v>
      </c>
      <c r="H50" s="41"/>
      <c r="I50" s="33" t="str">
        <f>IF(A50="","",IF(H50="","⚠️ Enter Agent Code",IF(IFERROR(VLOOKUP(G50,DB_Agents!$B:$F,4,0),"")=TEXT(H50,"0"),IF(AND(A50&lt;&gt;"",E50&lt;&gt;""),"✅ Saved","Pending"),"🔒 WRONG CODE")))</f>
        <v/>
      </c>
      <c r="J50" s="33" t="str">
        <f t="shared" ca="1" si="5"/>
        <v>—</v>
      </c>
      <c r="K50" s="46"/>
    </row>
    <row r="51" spans="1:11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IF(A51="","",IFERROR(VLOOKUP(A51,DB_Customers!$A:$M,13,0),""))</f>
        <v/>
      </c>
      <c r="D51" s="42" t="str">
        <f t="shared" ca="1" si="3"/>
        <v/>
      </c>
      <c r="E51" s="32"/>
      <c r="F51" s="43" t="str">
        <f t="shared" si="4"/>
        <v/>
      </c>
      <c r="G51" s="30" t="s">
        <v>58</v>
      </c>
      <c r="H51" s="41"/>
      <c r="I51" s="33" t="str">
        <f>IF(A51="","",IF(H51="","⚠️ Enter Agent Code",IF(IFERROR(VLOOKUP(G51,DB_Agents!$B:$F,4,0),"")=TEXT(H51,"0"),IF(AND(A51&lt;&gt;"",E51&lt;&gt;""),"✅ Saved","Pending"),"🔒 WRONG CODE")))</f>
        <v/>
      </c>
      <c r="J51" s="33" t="str">
        <f t="shared" ca="1" si="5"/>
        <v>—</v>
      </c>
      <c r="K51" s="22"/>
    </row>
    <row r="52" spans="1:11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IF(A52="","",IFERROR(VLOOKUP(A52,DB_Customers!$A:$M,13,0),""))</f>
        <v/>
      </c>
      <c r="D52" s="42" t="str">
        <f t="shared" ca="1" si="3"/>
        <v/>
      </c>
      <c r="E52" s="32"/>
      <c r="F52" s="43" t="str">
        <f t="shared" si="4"/>
        <v/>
      </c>
      <c r="G52" s="30" t="s">
        <v>58</v>
      </c>
      <c r="H52" s="41"/>
      <c r="I52" s="33" t="str">
        <f>IF(A52="","",IF(H52="","⚠️ Enter Agent Code",IF(IFERROR(VLOOKUP(G52,DB_Agents!$B:$F,4,0),"")=TEXT(H52,"0"),IF(AND(A52&lt;&gt;"",E52&lt;&gt;""),"✅ Saved","Pending"),"🔒 WRONG CODE")))</f>
        <v/>
      </c>
      <c r="J52" s="33" t="str">
        <f t="shared" ca="1" si="5"/>
        <v>—</v>
      </c>
      <c r="K52" s="46"/>
    </row>
    <row r="53" spans="1:11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IF(A53="","",IFERROR(VLOOKUP(A53,DB_Customers!$A:$M,13,0),""))</f>
        <v/>
      </c>
      <c r="D53" s="42" t="str">
        <f t="shared" ca="1" si="3"/>
        <v/>
      </c>
      <c r="E53" s="32"/>
      <c r="F53" s="43" t="str">
        <f t="shared" si="4"/>
        <v/>
      </c>
      <c r="G53" s="30" t="s">
        <v>58</v>
      </c>
      <c r="H53" s="41"/>
      <c r="I53" s="33" t="str">
        <f>IF(A53="","",IF(H53="","⚠️ Enter Agent Code",IF(IFERROR(VLOOKUP(G53,DB_Agents!$B:$F,4,0),"")=TEXT(H53,"0"),IF(AND(A53&lt;&gt;"",E53&lt;&gt;""),"✅ Saved","Pending"),"🔒 WRONG CODE")))</f>
        <v/>
      </c>
      <c r="J53" s="33" t="str">
        <f t="shared" ca="1" si="5"/>
        <v>—</v>
      </c>
      <c r="K53" s="22"/>
    </row>
    <row r="54" spans="1:11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IF(A54="","",IFERROR(VLOOKUP(A54,DB_Customers!$A:$M,13,0),""))</f>
        <v/>
      </c>
      <c r="D54" s="42" t="str">
        <f t="shared" ca="1" si="3"/>
        <v/>
      </c>
      <c r="E54" s="32"/>
      <c r="F54" s="43" t="str">
        <f t="shared" si="4"/>
        <v/>
      </c>
      <c r="G54" s="30" t="s">
        <v>58</v>
      </c>
      <c r="H54" s="41"/>
      <c r="I54" s="33" t="str">
        <f>IF(A54="","",IF(H54="","⚠️ Enter Agent Code",IF(IFERROR(VLOOKUP(G54,DB_Agents!$B:$F,4,0),"")=TEXT(H54,"0"),IF(AND(A54&lt;&gt;"",E54&lt;&gt;""),"✅ Saved","Pending"),"🔒 WRONG CODE")))</f>
        <v/>
      </c>
      <c r="J54" s="33" t="str">
        <f t="shared" ca="1" si="5"/>
        <v>—</v>
      </c>
      <c r="K54" s="46"/>
    </row>
    <row r="55" spans="1:11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IF(A55="","",IFERROR(VLOOKUP(A55,DB_Customers!$A:$M,13,0),""))</f>
        <v/>
      </c>
      <c r="D55" s="42" t="str">
        <f t="shared" ca="1" si="3"/>
        <v/>
      </c>
      <c r="E55" s="32"/>
      <c r="F55" s="43" t="str">
        <f t="shared" si="4"/>
        <v/>
      </c>
      <c r="G55" s="30" t="s">
        <v>58</v>
      </c>
      <c r="H55" s="41"/>
      <c r="I55" s="33" t="str">
        <f>IF(A55="","",IF(H55="","⚠️ Enter Agent Code",IF(IFERROR(VLOOKUP(G55,DB_Agents!$B:$F,4,0),"")=TEXT(H55,"0"),IF(AND(A55&lt;&gt;"",E55&lt;&gt;""),"✅ Saved","Pending"),"🔒 WRONG CODE")))</f>
        <v/>
      </c>
      <c r="J55" s="33" t="str">
        <f t="shared" ca="1" si="5"/>
        <v>—</v>
      </c>
      <c r="K55" s="22"/>
    </row>
    <row r="56" spans="1:11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IF(A56="","",IFERROR(VLOOKUP(A56,DB_Customers!$A:$M,13,0),""))</f>
        <v/>
      </c>
      <c r="D56" s="42" t="str">
        <f t="shared" ca="1" si="3"/>
        <v/>
      </c>
      <c r="E56" s="32"/>
      <c r="F56" s="43" t="str">
        <f t="shared" si="4"/>
        <v/>
      </c>
      <c r="G56" s="30" t="s">
        <v>58</v>
      </c>
      <c r="H56" s="41"/>
      <c r="I56" s="33" t="str">
        <f>IF(A56="","",IF(H56="","⚠️ Enter Agent Code",IF(IFERROR(VLOOKUP(G56,DB_Agents!$B:$F,4,0),"")=TEXT(H56,"0"),IF(AND(A56&lt;&gt;"",E56&lt;&gt;""),"✅ Saved","Pending"),"🔒 WRONG CODE")))</f>
        <v/>
      </c>
      <c r="J56" s="33" t="str">
        <f t="shared" ca="1" si="5"/>
        <v>—</v>
      </c>
      <c r="K56" s="46"/>
    </row>
    <row r="57" spans="1:11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IF(A57="","",IFERROR(VLOOKUP(A57,DB_Customers!$A:$M,13,0),""))</f>
        <v/>
      </c>
      <c r="D57" s="42" t="str">
        <f t="shared" ca="1" si="3"/>
        <v/>
      </c>
      <c r="E57" s="32"/>
      <c r="F57" s="43" t="str">
        <f t="shared" si="4"/>
        <v/>
      </c>
      <c r="G57" s="30" t="s">
        <v>58</v>
      </c>
      <c r="H57" s="41"/>
      <c r="I57" s="33" t="str">
        <f>IF(A57="","",IF(H57="","⚠️ Enter Agent Code",IF(IFERROR(VLOOKUP(G57,DB_Agents!$B:$F,4,0),"")=TEXT(H57,"0"),IF(AND(A57&lt;&gt;"",E57&lt;&gt;""),"✅ Saved","Pending"),"🔒 WRONG CODE")))</f>
        <v/>
      </c>
      <c r="J57" s="33" t="str">
        <f t="shared" ca="1" si="5"/>
        <v>—</v>
      </c>
      <c r="K57" s="22"/>
    </row>
    <row r="58" spans="1:11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IF(A58="","",IFERROR(VLOOKUP(A58,DB_Customers!$A:$M,13,0),""))</f>
        <v/>
      </c>
      <c r="D58" s="42" t="str">
        <f t="shared" ca="1" si="3"/>
        <v/>
      </c>
      <c r="E58" s="32"/>
      <c r="F58" s="43" t="str">
        <f t="shared" si="4"/>
        <v/>
      </c>
      <c r="G58" s="30" t="s">
        <v>58</v>
      </c>
      <c r="H58" s="41"/>
      <c r="I58" s="33" t="str">
        <f>IF(A58="","",IF(H58="","⚠️ Enter Agent Code",IF(IFERROR(VLOOKUP(G58,DB_Agents!$B:$F,4,0),"")=TEXT(H58,"0"),IF(AND(A58&lt;&gt;"",E58&lt;&gt;""),"✅ Saved","Pending"),"🔒 WRONG CODE")))</f>
        <v/>
      </c>
      <c r="J58" s="33" t="str">
        <f t="shared" ca="1" si="5"/>
        <v>—</v>
      </c>
      <c r="K58" s="46"/>
    </row>
    <row r="59" spans="1:11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IF(A59="","",IFERROR(VLOOKUP(A59,DB_Customers!$A:$M,13,0),""))</f>
        <v/>
      </c>
      <c r="D59" s="42" t="str">
        <f t="shared" ca="1" si="3"/>
        <v/>
      </c>
      <c r="E59" s="32"/>
      <c r="F59" s="43" t="str">
        <f t="shared" si="4"/>
        <v/>
      </c>
      <c r="G59" s="30" t="s">
        <v>58</v>
      </c>
      <c r="H59" s="41"/>
      <c r="I59" s="33" t="str">
        <f>IF(A59="","",IF(H59="","⚠️ Enter Agent Code",IF(IFERROR(VLOOKUP(G59,DB_Agents!$B:$F,4,0),"")=TEXT(H59,"0"),IF(AND(A59&lt;&gt;"",E59&lt;&gt;""),"✅ Saved","Pending"),"🔒 WRONG CODE")))</f>
        <v/>
      </c>
      <c r="J59" s="33" t="str">
        <f t="shared" ca="1" si="5"/>
        <v>—</v>
      </c>
      <c r="K59" s="22"/>
    </row>
    <row r="60" spans="1:11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IF(A60="","",IFERROR(VLOOKUP(A60,DB_Customers!$A:$M,13,0),""))</f>
        <v/>
      </c>
      <c r="D60" s="42" t="str">
        <f t="shared" ca="1" si="3"/>
        <v/>
      </c>
      <c r="E60" s="32"/>
      <c r="F60" s="43" t="str">
        <f t="shared" si="4"/>
        <v/>
      </c>
      <c r="G60" s="30" t="s">
        <v>58</v>
      </c>
      <c r="H60" s="41"/>
      <c r="I60" s="33" t="str">
        <f>IF(A60="","",IF(H60="","⚠️ Enter Agent Code",IF(IFERROR(VLOOKUP(G60,DB_Agents!$B:$F,4,0),"")=TEXT(H60,"0"),IF(AND(A60&lt;&gt;"",E60&lt;&gt;""),"✅ Saved","Pending"),"🔒 WRONG CODE")))</f>
        <v/>
      </c>
      <c r="J60" s="33" t="str">
        <f t="shared" ca="1" si="5"/>
        <v>—</v>
      </c>
      <c r="K60" s="46"/>
    </row>
    <row r="61" spans="1:11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IF(A61="","",IFERROR(VLOOKUP(A61,DB_Customers!$A:$M,13,0),""))</f>
        <v/>
      </c>
      <c r="D61" s="42" t="str">
        <f t="shared" ca="1" si="3"/>
        <v/>
      </c>
      <c r="E61" s="32"/>
      <c r="F61" s="43" t="str">
        <f t="shared" si="4"/>
        <v/>
      </c>
      <c r="G61" s="30" t="s">
        <v>58</v>
      </c>
      <c r="H61" s="41"/>
      <c r="I61" s="33" t="str">
        <f>IF(A61="","",IF(H61="","⚠️ Enter Agent Code",IF(IFERROR(VLOOKUP(G61,DB_Agents!$B:$F,4,0),"")=TEXT(H61,"0"),IF(AND(A61&lt;&gt;"",E61&lt;&gt;""),"✅ Saved","Pending"),"🔒 WRONG CODE")))</f>
        <v/>
      </c>
      <c r="J61" s="33" t="str">
        <f t="shared" ca="1" si="5"/>
        <v>—</v>
      </c>
      <c r="K61" s="22"/>
    </row>
    <row r="62" spans="1:11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IF(A62="","",IFERROR(VLOOKUP(A62,DB_Customers!$A:$M,13,0),""))</f>
        <v/>
      </c>
      <c r="D62" s="42" t="str">
        <f t="shared" ca="1" si="3"/>
        <v/>
      </c>
      <c r="E62" s="32"/>
      <c r="F62" s="43" t="str">
        <f t="shared" si="4"/>
        <v/>
      </c>
      <c r="G62" s="30" t="s">
        <v>58</v>
      </c>
      <c r="H62" s="41"/>
      <c r="I62" s="33" t="str">
        <f>IF(A62="","",IF(H62="","⚠️ Enter Agent Code",IF(IFERROR(VLOOKUP(G62,DB_Agents!$B:$F,4,0),"")=TEXT(H62,"0"),IF(AND(A62&lt;&gt;"",E62&lt;&gt;""),"✅ Saved","Pending"),"🔒 WRONG CODE")))</f>
        <v/>
      </c>
      <c r="J62" s="33" t="str">
        <f t="shared" ca="1" si="5"/>
        <v>—</v>
      </c>
      <c r="K62" s="46"/>
    </row>
    <row r="63" spans="1:11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IF(A63="","",IFERROR(VLOOKUP(A63,DB_Customers!$A:$M,13,0),""))</f>
        <v/>
      </c>
      <c r="D63" s="42" t="str">
        <f t="shared" ca="1" si="3"/>
        <v/>
      </c>
      <c r="E63" s="32"/>
      <c r="F63" s="43" t="str">
        <f t="shared" si="4"/>
        <v/>
      </c>
      <c r="G63" s="30" t="s">
        <v>58</v>
      </c>
      <c r="H63" s="41"/>
      <c r="I63" s="33" t="str">
        <f>IF(A63="","",IF(H63="","⚠️ Enter Agent Code",IF(IFERROR(VLOOKUP(G63,DB_Agents!$B:$F,4,0),"")=TEXT(H63,"0"),IF(AND(A63&lt;&gt;"",E63&lt;&gt;""),"✅ Saved","Pending"),"🔒 WRONG CODE")))</f>
        <v/>
      </c>
      <c r="J63" s="33" t="str">
        <f t="shared" ca="1" si="5"/>
        <v>—</v>
      </c>
      <c r="K63" s="22"/>
    </row>
    <row r="64" spans="1:11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IF(A64="","",IFERROR(VLOOKUP(A64,DB_Customers!$A:$M,13,0),""))</f>
        <v/>
      </c>
      <c r="D64" s="42" t="str">
        <f t="shared" ca="1" si="3"/>
        <v/>
      </c>
      <c r="E64" s="32"/>
      <c r="F64" s="43" t="str">
        <f t="shared" si="4"/>
        <v/>
      </c>
      <c r="G64" s="30" t="s">
        <v>58</v>
      </c>
      <c r="H64" s="41"/>
      <c r="I64" s="33" t="str">
        <f>IF(A64="","",IF(H64="","⚠️ Enter Agent Code",IF(IFERROR(VLOOKUP(G64,DB_Agents!$B:$F,4,0),"")=TEXT(H64,"0"),IF(AND(A64&lt;&gt;"",E64&lt;&gt;""),"✅ Saved","Pending"),"🔒 WRONG CODE")))</f>
        <v/>
      </c>
      <c r="J64" s="33" t="str">
        <f t="shared" ca="1" si="5"/>
        <v>—</v>
      </c>
      <c r="K64" s="46"/>
    </row>
    <row r="65" spans="1:11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IF(A65="","",IFERROR(VLOOKUP(A65,DB_Customers!$A:$M,13,0),""))</f>
        <v/>
      </c>
      <c r="D65" s="42" t="str">
        <f t="shared" ca="1" si="3"/>
        <v/>
      </c>
      <c r="E65" s="32"/>
      <c r="F65" s="43" t="str">
        <f t="shared" si="4"/>
        <v/>
      </c>
      <c r="G65" s="30" t="s">
        <v>58</v>
      </c>
      <c r="H65" s="41"/>
      <c r="I65" s="33" t="str">
        <f>IF(A65="","",IF(H65="","⚠️ Enter Agent Code",IF(IFERROR(VLOOKUP(G65,DB_Agents!$B:$F,4,0),"")=TEXT(H65,"0"),IF(AND(A65&lt;&gt;"",E65&lt;&gt;""),"✅ Saved","Pending"),"🔒 WRONG CODE")))</f>
        <v/>
      </c>
      <c r="J65" s="33" t="str">
        <f t="shared" ca="1" si="5"/>
        <v>—</v>
      </c>
      <c r="K65" s="22"/>
    </row>
    <row r="66" spans="1:11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IF(A66="","",IFERROR(VLOOKUP(A66,DB_Customers!$A:$M,13,0),""))</f>
        <v/>
      </c>
      <c r="D66" s="42" t="str">
        <f t="shared" ca="1" si="3"/>
        <v/>
      </c>
      <c r="E66" s="32"/>
      <c r="F66" s="43" t="str">
        <f t="shared" si="4"/>
        <v/>
      </c>
      <c r="G66" s="30" t="s">
        <v>58</v>
      </c>
      <c r="H66" s="41"/>
      <c r="I66" s="33" t="str">
        <f>IF(A66="","",IF(H66="","⚠️ Enter Agent Code",IF(IFERROR(VLOOKUP(G66,DB_Agents!$B:$F,4,0),"")=TEXT(H66,"0"),IF(AND(A66&lt;&gt;"",E66&lt;&gt;""),"✅ Saved","Pending"),"🔒 WRONG CODE")))</f>
        <v/>
      </c>
      <c r="J66" s="33" t="str">
        <f t="shared" ca="1" si="5"/>
        <v>—</v>
      </c>
      <c r="K66" s="46"/>
    </row>
    <row r="67" spans="1:11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IF(A67="","",IFERROR(VLOOKUP(A67,DB_Customers!$A:$M,13,0),""))</f>
        <v/>
      </c>
      <c r="D67" s="42" t="str">
        <f t="shared" ca="1" si="3"/>
        <v/>
      </c>
      <c r="E67" s="32"/>
      <c r="F67" s="43" t="str">
        <f t="shared" si="4"/>
        <v/>
      </c>
      <c r="G67" s="30" t="s">
        <v>58</v>
      </c>
      <c r="H67" s="41"/>
      <c r="I67" s="33" t="str">
        <f>IF(A67="","",IF(H67="","⚠️ Enter Agent Code",IF(IFERROR(VLOOKUP(G67,DB_Agents!$B:$F,4,0),"")=TEXT(H67,"0"),IF(AND(A67&lt;&gt;"",E67&lt;&gt;""),"✅ Saved","Pending"),"🔒 WRONG CODE")))</f>
        <v/>
      </c>
      <c r="J67" s="33" t="str">
        <f t="shared" ca="1" si="5"/>
        <v>—</v>
      </c>
      <c r="K67" s="22"/>
    </row>
    <row r="68" spans="1:11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IF(A68="","",IFERROR(VLOOKUP(A68,DB_Customers!$A:$M,13,0),""))</f>
        <v/>
      </c>
      <c r="D68" s="42" t="str">
        <f t="shared" ca="1" si="3"/>
        <v/>
      </c>
      <c r="E68" s="32"/>
      <c r="F68" s="43" t="str">
        <f t="shared" si="4"/>
        <v/>
      </c>
      <c r="G68" s="30" t="s">
        <v>58</v>
      </c>
      <c r="H68" s="41"/>
      <c r="I68" s="33" t="str">
        <f>IF(A68="","",IF(H68="","⚠️ Enter Agent Code",IF(IFERROR(VLOOKUP(G68,DB_Agents!$B:$F,4,0),"")=TEXT(H68,"0"),IF(AND(A68&lt;&gt;"",E68&lt;&gt;""),"✅ Saved","Pending"),"🔒 WRONG CODE")))</f>
        <v/>
      </c>
      <c r="J68" s="33" t="str">
        <f t="shared" ca="1" si="5"/>
        <v>—</v>
      </c>
      <c r="K68" s="46"/>
    </row>
    <row r="69" spans="1:11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IF(A69="","",IFERROR(VLOOKUP(A69,DB_Customers!$A:$M,13,0),""))</f>
        <v/>
      </c>
      <c r="D69" s="42" t="str">
        <f t="shared" ca="1" si="3"/>
        <v/>
      </c>
      <c r="E69" s="32"/>
      <c r="F69" s="43" t="str">
        <f t="shared" si="4"/>
        <v/>
      </c>
      <c r="G69" s="30" t="s">
        <v>58</v>
      </c>
      <c r="H69" s="41"/>
      <c r="I69" s="33" t="str">
        <f>IF(A69="","",IF(H69="","⚠️ Enter Agent Code",IF(IFERROR(VLOOKUP(G69,DB_Agents!$B:$F,4,0),"")=TEXT(H69,"0"),IF(AND(A69&lt;&gt;"",E69&lt;&gt;""),"✅ Saved","Pending"),"🔒 WRONG CODE")))</f>
        <v/>
      </c>
      <c r="J69" s="33" t="str">
        <f t="shared" ca="1" si="5"/>
        <v>—</v>
      </c>
      <c r="K69" s="22"/>
    </row>
    <row r="70" spans="1:11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IF(A70="","",IFERROR(VLOOKUP(A70,DB_Customers!$A:$M,13,0),""))</f>
        <v/>
      </c>
      <c r="D70" s="42" t="str">
        <f t="shared" ca="1" si="3"/>
        <v/>
      </c>
      <c r="E70" s="32"/>
      <c r="F70" s="43" t="str">
        <f t="shared" si="4"/>
        <v/>
      </c>
      <c r="G70" s="30" t="s">
        <v>58</v>
      </c>
      <c r="H70" s="41"/>
      <c r="I70" s="33" t="str">
        <f>IF(A70="","",IF(H70="","⚠️ Enter Agent Code",IF(IFERROR(VLOOKUP(G70,DB_Agents!$B:$F,4,0),"")=TEXT(H70,"0"),IF(AND(A70&lt;&gt;"",E70&lt;&gt;""),"✅ Saved","Pending"),"🔒 WRONG CODE")))</f>
        <v/>
      </c>
      <c r="J70" s="33" t="str">
        <f t="shared" ca="1" si="5"/>
        <v>—</v>
      </c>
      <c r="K70" s="46"/>
    </row>
    <row r="71" spans="1:11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IF(A71="","",IFERROR(VLOOKUP(A71,DB_Customers!$A:$M,13,0),""))</f>
        <v/>
      </c>
      <c r="D71" s="42" t="str">
        <f t="shared" ca="1" si="3"/>
        <v/>
      </c>
      <c r="E71" s="32"/>
      <c r="F71" s="43" t="str">
        <f t="shared" si="4"/>
        <v/>
      </c>
      <c r="G71" s="30" t="s">
        <v>58</v>
      </c>
      <c r="H71" s="41"/>
      <c r="I71" s="33" t="str">
        <f>IF(A71="","",IF(H71="","⚠️ Enter Agent Code",IF(IFERROR(VLOOKUP(G71,DB_Agents!$B:$F,4,0),"")=TEXT(H71,"0"),IF(AND(A71&lt;&gt;"",E71&lt;&gt;""),"✅ Saved","Pending"),"🔒 WRONG CODE")))</f>
        <v/>
      </c>
      <c r="J71" s="33" t="str">
        <f t="shared" ca="1" si="5"/>
        <v>—</v>
      </c>
      <c r="K71" s="22"/>
    </row>
    <row r="72" spans="1:11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IF(A72="","",IFERROR(VLOOKUP(A72,DB_Customers!$A:$M,13,0),""))</f>
        <v/>
      </c>
      <c r="D72" s="42" t="str">
        <f t="shared" ca="1" si="3"/>
        <v/>
      </c>
      <c r="E72" s="32"/>
      <c r="F72" s="43" t="str">
        <f t="shared" si="4"/>
        <v/>
      </c>
      <c r="G72" s="30" t="s">
        <v>58</v>
      </c>
      <c r="H72" s="41"/>
      <c r="I72" s="33" t="str">
        <f>IF(A72="","",IF(H72="","⚠️ Enter Agent Code",IF(IFERROR(VLOOKUP(G72,DB_Agents!$B:$F,4,0),"")=TEXT(H72,"0"),IF(AND(A72&lt;&gt;"",E72&lt;&gt;""),"✅ Saved","Pending"),"🔒 WRONG CODE")))</f>
        <v/>
      </c>
      <c r="J72" s="33" t="str">
        <f t="shared" ca="1" si="5"/>
        <v>—</v>
      </c>
      <c r="K72" s="46"/>
    </row>
    <row r="73" spans="1:11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IF(A73="","",IFERROR(VLOOKUP(A73,DB_Customers!$A:$M,13,0),""))</f>
        <v/>
      </c>
      <c r="D73" s="42" t="str">
        <f t="shared" ref="D73:D104" ca="1" si="6">IF(A73="","",TODAY())</f>
        <v/>
      </c>
      <c r="E73" s="32"/>
      <c r="F73" s="43" t="str">
        <f t="shared" ref="F73:F104" si="7">IFERROR(IF(OR(A73="",E73=""),"",C73+E73),"")</f>
        <v/>
      </c>
      <c r="G73" s="30" t="s">
        <v>58</v>
      </c>
      <c r="H73" s="41"/>
      <c r="I73" s="33" t="str">
        <f>IF(A73="","",IF(H73="","⚠️ Enter Agent Code",IF(IFERROR(VLOOKUP(G73,DB_Agents!$B:$F,4,0),"")=TEXT(H73,"0"),IF(AND(A73&lt;&gt;"",E73&lt;&gt;""),"✅ Saved","Pending"),"🔒 WRONG CODE")))</f>
        <v/>
      </c>
      <c r="J73" s="33" t="str">
        <f t="shared" ref="J73:J104" ca="1" si="8">IF(I73="✅ Saved",TEXT(TODAY(),"YYYY-MM-DD")&amp;" Auto","—")</f>
        <v>—</v>
      </c>
      <c r="K73" s="22"/>
    </row>
    <row r="74" spans="1:11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IF(A74="","",IFERROR(VLOOKUP(A74,DB_Customers!$A:$M,13,0),""))</f>
        <v/>
      </c>
      <c r="D74" s="42" t="str">
        <f t="shared" ca="1" si="6"/>
        <v/>
      </c>
      <c r="E74" s="32"/>
      <c r="F74" s="43" t="str">
        <f t="shared" si="7"/>
        <v/>
      </c>
      <c r="G74" s="30" t="s">
        <v>58</v>
      </c>
      <c r="H74" s="41"/>
      <c r="I74" s="33" t="str">
        <f>IF(A74="","",IF(H74="","⚠️ Enter Agent Code",IF(IFERROR(VLOOKUP(G74,DB_Agents!$B:$F,4,0),"")=TEXT(H74,"0"),IF(AND(A74&lt;&gt;"",E74&lt;&gt;""),"✅ Saved","Pending"),"🔒 WRONG CODE")))</f>
        <v/>
      </c>
      <c r="J74" s="33" t="str">
        <f t="shared" ca="1" si="8"/>
        <v>—</v>
      </c>
      <c r="K74" s="46"/>
    </row>
    <row r="75" spans="1:11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IF(A75="","",IFERROR(VLOOKUP(A75,DB_Customers!$A:$M,13,0),""))</f>
        <v/>
      </c>
      <c r="D75" s="42" t="str">
        <f t="shared" ca="1" si="6"/>
        <v/>
      </c>
      <c r="E75" s="32"/>
      <c r="F75" s="43" t="str">
        <f t="shared" si="7"/>
        <v/>
      </c>
      <c r="G75" s="30" t="s">
        <v>58</v>
      </c>
      <c r="H75" s="41"/>
      <c r="I75" s="33" t="str">
        <f>IF(A75="","",IF(H75="","⚠️ Enter Agent Code",IF(IFERROR(VLOOKUP(G75,DB_Agents!$B:$F,4,0),"")=TEXT(H75,"0"),IF(AND(A75&lt;&gt;"",E75&lt;&gt;""),"✅ Saved","Pending"),"🔒 WRONG CODE")))</f>
        <v/>
      </c>
      <c r="J75" s="33" t="str">
        <f t="shared" ca="1" si="8"/>
        <v>—</v>
      </c>
      <c r="K75" s="22"/>
    </row>
    <row r="76" spans="1:11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IF(A76="","",IFERROR(VLOOKUP(A76,DB_Customers!$A:$M,13,0),""))</f>
        <v/>
      </c>
      <c r="D76" s="42" t="str">
        <f t="shared" ca="1" si="6"/>
        <v/>
      </c>
      <c r="E76" s="32"/>
      <c r="F76" s="43" t="str">
        <f t="shared" si="7"/>
        <v/>
      </c>
      <c r="G76" s="30" t="s">
        <v>58</v>
      </c>
      <c r="H76" s="41"/>
      <c r="I76" s="33" t="str">
        <f>IF(A76="","",IF(H76="","⚠️ Enter Agent Code",IF(IFERROR(VLOOKUP(G76,DB_Agents!$B:$F,4,0),"")=TEXT(H76,"0"),IF(AND(A76&lt;&gt;"",E76&lt;&gt;""),"✅ Saved","Pending"),"🔒 WRONG CODE")))</f>
        <v/>
      </c>
      <c r="J76" s="33" t="str">
        <f t="shared" ca="1" si="8"/>
        <v>—</v>
      </c>
      <c r="K76" s="46"/>
    </row>
    <row r="77" spans="1:11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IF(A77="","",IFERROR(VLOOKUP(A77,DB_Customers!$A:$M,13,0),""))</f>
        <v/>
      </c>
      <c r="D77" s="42" t="str">
        <f t="shared" ca="1" si="6"/>
        <v/>
      </c>
      <c r="E77" s="32"/>
      <c r="F77" s="43" t="str">
        <f t="shared" si="7"/>
        <v/>
      </c>
      <c r="G77" s="30" t="s">
        <v>58</v>
      </c>
      <c r="H77" s="41"/>
      <c r="I77" s="33" t="str">
        <f>IF(A77="","",IF(H77="","⚠️ Enter Agent Code",IF(IFERROR(VLOOKUP(G77,DB_Agents!$B:$F,4,0),"")=TEXT(H77,"0"),IF(AND(A77&lt;&gt;"",E77&lt;&gt;""),"✅ Saved","Pending"),"🔒 WRONG CODE")))</f>
        <v/>
      </c>
      <c r="J77" s="33" t="str">
        <f t="shared" ca="1" si="8"/>
        <v>—</v>
      </c>
      <c r="K77" s="22"/>
    </row>
    <row r="78" spans="1:11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IF(A78="","",IFERROR(VLOOKUP(A78,DB_Customers!$A:$M,13,0),""))</f>
        <v/>
      </c>
      <c r="D78" s="42" t="str">
        <f t="shared" ca="1" si="6"/>
        <v/>
      </c>
      <c r="E78" s="32"/>
      <c r="F78" s="43" t="str">
        <f t="shared" si="7"/>
        <v/>
      </c>
      <c r="G78" s="30" t="s">
        <v>58</v>
      </c>
      <c r="H78" s="41"/>
      <c r="I78" s="33" t="str">
        <f>IF(A78="","",IF(H78="","⚠️ Enter Agent Code",IF(IFERROR(VLOOKUP(G78,DB_Agents!$B:$F,4,0),"")=TEXT(H78,"0"),IF(AND(A78&lt;&gt;"",E78&lt;&gt;""),"✅ Saved","Pending"),"🔒 WRONG CODE")))</f>
        <v/>
      </c>
      <c r="J78" s="33" t="str">
        <f t="shared" ca="1" si="8"/>
        <v>—</v>
      </c>
      <c r="K78" s="46"/>
    </row>
    <row r="79" spans="1:11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IF(A79="","",IFERROR(VLOOKUP(A79,DB_Customers!$A:$M,13,0),""))</f>
        <v/>
      </c>
      <c r="D79" s="42" t="str">
        <f t="shared" ca="1" si="6"/>
        <v/>
      </c>
      <c r="E79" s="32"/>
      <c r="F79" s="43" t="str">
        <f t="shared" si="7"/>
        <v/>
      </c>
      <c r="G79" s="30" t="s">
        <v>58</v>
      </c>
      <c r="H79" s="41"/>
      <c r="I79" s="33" t="str">
        <f>IF(A79="","",IF(H79="","⚠️ Enter Agent Code",IF(IFERROR(VLOOKUP(G79,DB_Agents!$B:$F,4,0),"")=TEXT(H79,"0"),IF(AND(A79&lt;&gt;"",E79&lt;&gt;""),"✅ Saved","Pending"),"🔒 WRONG CODE")))</f>
        <v/>
      </c>
      <c r="J79" s="33" t="str">
        <f t="shared" ca="1" si="8"/>
        <v>—</v>
      </c>
      <c r="K79" s="22"/>
    </row>
    <row r="80" spans="1:11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IF(A80="","",IFERROR(VLOOKUP(A80,DB_Customers!$A:$M,13,0),""))</f>
        <v/>
      </c>
      <c r="D80" s="42" t="str">
        <f t="shared" ca="1" si="6"/>
        <v/>
      </c>
      <c r="E80" s="32"/>
      <c r="F80" s="43" t="str">
        <f t="shared" si="7"/>
        <v/>
      </c>
      <c r="G80" s="30" t="s">
        <v>58</v>
      </c>
      <c r="H80" s="41"/>
      <c r="I80" s="33" t="str">
        <f>IF(A80="","",IF(H80="","⚠️ Enter Agent Code",IF(IFERROR(VLOOKUP(G80,DB_Agents!$B:$F,4,0),"")=TEXT(H80,"0"),IF(AND(A80&lt;&gt;"",E80&lt;&gt;""),"✅ Saved","Pending"),"🔒 WRONG CODE")))</f>
        <v/>
      </c>
      <c r="J80" s="33" t="str">
        <f t="shared" ca="1" si="8"/>
        <v>—</v>
      </c>
      <c r="K80" s="46"/>
    </row>
    <row r="81" spans="1:11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IF(A81="","",IFERROR(VLOOKUP(A81,DB_Customers!$A:$M,13,0),""))</f>
        <v/>
      </c>
      <c r="D81" s="42" t="str">
        <f t="shared" ca="1" si="6"/>
        <v/>
      </c>
      <c r="E81" s="32"/>
      <c r="F81" s="43" t="str">
        <f t="shared" si="7"/>
        <v/>
      </c>
      <c r="G81" s="30" t="s">
        <v>58</v>
      </c>
      <c r="H81" s="41"/>
      <c r="I81" s="33" t="str">
        <f>IF(A81="","",IF(H81="","⚠️ Enter Agent Code",IF(IFERROR(VLOOKUP(G81,DB_Agents!$B:$F,4,0),"")=TEXT(H81,"0"),IF(AND(A81&lt;&gt;"",E81&lt;&gt;""),"✅ Saved","Pending"),"🔒 WRONG CODE")))</f>
        <v/>
      </c>
      <c r="J81" s="33" t="str">
        <f t="shared" ca="1" si="8"/>
        <v>—</v>
      </c>
      <c r="K81" s="22"/>
    </row>
    <row r="82" spans="1:11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IF(A82="","",IFERROR(VLOOKUP(A82,DB_Customers!$A:$M,13,0),""))</f>
        <v/>
      </c>
      <c r="D82" s="42" t="str">
        <f t="shared" ca="1" si="6"/>
        <v/>
      </c>
      <c r="E82" s="32"/>
      <c r="F82" s="43" t="str">
        <f t="shared" si="7"/>
        <v/>
      </c>
      <c r="G82" s="30" t="s">
        <v>58</v>
      </c>
      <c r="H82" s="41"/>
      <c r="I82" s="33" t="str">
        <f>IF(A82="","",IF(H82="","⚠️ Enter Agent Code",IF(IFERROR(VLOOKUP(G82,DB_Agents!$B:$F,4,0),"")=TEXT(H82,"0"),IF(AND(A82&lt;&gt;"",E82&lt;&gt;""),"✅ Saved","Pending"),"🔒 WRONG CODE")))</f>
        <v/>
      </c>
      <c r="J82" s="33" t="str">
        <f t="shared" ca="1" si="8"/>
        <v>—</v>
      </c>
      <c r="K82" s="46"/>
    </row>
    <row r="83" spans="1:11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IF(A83="","",IFERROR(VLOOKUP(A83,DB_Customers!$A:$M,13,0),""))</f>
        <v/>
      </c>
      <c r="D83" s="42" t="str">
        <f t="shared" ca="1" si="6"/>
        <v/>
      </c>
      <c r="E83" s="32"/>
      <c r="F83" s="43" t="str">
        <f t="shared" si="7"/>
        <v/>
      </c>
      <c r="G83" s="30" t="s">
        <v>58</v>
      </c>
      <c r="H83" s="41"/>
      <c r="I83" s="33" t="str">
        <f>IF(A83="","",IF(H83="","⚠️ Enter Agent Code",IF(IFERROR(VLOOKUP(G83,DB_Agents!$B:$F,4,0),"")=TEXT(H83,"0"),IF(AND(A83&lt;&gt;"",E83&lt;&gt;""),"✅ Saved","Pending"),"🔒 WRONG CODE")))</f>
        <v/>
      </c>
      <c r="J83" s="33" t="str">
        <f t="shared" ca="1" si="8"/>
        <v>—</v>
      </c>
      <c r="K83" s="22"/>
    </row>
    <row r="84" spans="1:11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IF(A84="","",IFERROR(VLOOKUP(A84,DB_Customers!$A:$M,13,0),""))</f>
        <v/>
      </c>
      <c r="D84" s="42" t="str">
        <f t="shared" ca="1" si="6"/>
        <v/>
      </c>
      <c r="E84" s="32"/>
      <c r="F84" s="43" t="str">
        <f t="shared" si="7"/>
        <v/>
      </c>
      <c r="G84" s="30" t="s">
        <v>58</v>
      </c>
      <c r="H84" s="41"/>
      <c r="I84" s="33" t="str">
        <f>IF(A84="","",IF(H84="","⚠️ Enter Agent Code",IF(IFERROR(VLOOKUP(G84,DB_Agents!$B:$F,4,0),"")=TEXT(H84,"0"),IF(AND(A84&lt;&gt;"",E84&lt;&gt;""),"✅ Saved","Pending"),"🔒 WRONG CODE")))</f>
        <v/>
      </c>
      <c r="J84" s="33" t="str">
        <f t="shared" ca="1" si="8"/>
        <v>—</v>
      </c>
      <c r="K84" s="46"/>
    </row>
    <row r="85" spans="1:11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IF(A85="","",IFERROR(VLOOKUP(A85,DB_Customers!$A:$M,13,0),""))</f>
        <v/>
      </c>
      <c r="D85" s="42" t="str">
        <f t="shared" ca="1" si="6"/>
        <v/>
      </c>
      <c r="E85" s="32"/>
      <c r="F85" s="43" t="str">
        <f t="shared" si="7"/>
        <v/>
      </c>
      <c r="G85" s="30" t="s">
        <v>58</v>
      </c>
      <c r="H85" s="41"/>
      <c r="I85" s="33" t="str">
        <f>IF(A85="","",IF(H85="","⚠️ Enter Agent Code",IF(IFERROR(VLOOKUP(G85,DB_Agents!$B:$F,4,0),"")=TEXT(H85,"0"),IF(AND(A85&lt;&gt;"",E85&lt;&gt;""),"✅ Saved","Pending"),"🔒 WRONG CODE")))</f>
        <v/>
      </c>
      <c r="J85" s="33" t="str">
        <f t="shared" ca="1" si="8"/>
        <v>—</v>
      </c>
      <c r="K85" s="22"/>
    </row>
    <row r="86" spans="1:11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IF(A86="","",IFERROR(VLOOKUP(A86,DB_Customers!$A:$M,13,0),""))</f>
        <v/>
      </c>
      <c r="D86" s="42" t="str">
        <f t="shared" ca="1" si="6"/>
        <v/>
      </c>
      <c r="E86" s="32"/>
      <c r="F86" s="43" t="str">
        <f t="shared" si="7"/>
        <v/>
      </c>
      <c r="G86" s="30" t="s">
        <v>58</v>
      </c>
      <c r="H86" s="41"/>
      <c r="I86" s="33" t="str">
        <f>IF(A86="","",IF(H86="","⚠️ Enter Agent Code",IF(IFERROR(VLOOKUP(G86,DB_Agents!$B:$F,4,0),"")=TEXT(H86,"0"),IF(AND(A86&lt;&gt;"",E86&lt;&gt;""),"✅ Saved","Pending"),"🔒 WRONG CODE")))</f>
        <v/>
      </c>
      <c r="J86" s="33" t="str">
        <f t="shared" ca="1" si="8"/>
        <v>—</v>
      </c>
      <c r="K86" s="46"/>
    </row>
    <row r="87" spans="1:11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IF(A87="","",IFERROR(VLOOKUP(A87,DB_Customers!$A:$M,13,0),""))</f>
        <v/>
      </c>
      <c r="D87" s="42" t="str">
        <f t="shared" ca="1" si="6"/>
        <v/>
      </c>
      <c r="E87" s="32"/>
      <c r="F87" s="43" t="str">
        <f t="shared" si="7"/>
        <v/>
      </c>
      <c r="G87" s="30" t="s">
        <v>58</v>
      </c>
      <c r="H87" s="41"/>
      <c r="I87" s="33" t="str">
        <f>IF(A87="","",IF(H87="","⚠️ Enter Agent Code",IF(IFERROR(VLOOKUP(G87,DB_Agents!$B:$F,4,0),"")=TEXT(H87,"0"),IF(AND(A87&lt;&gt;"",E87&lt;&gt;""),"✅ Saved","Pending"),"🔒 WRONG CODE")))</f>
        <v/>
      </c>
      <c r="J87" s="33" t="str">
        <f t="shared" ca="1" si="8"/>
        <v>—</v>
      </c>
      <c r="K87" s="22"/>
    </row>
    <row r="88" spans="1:11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IF(A88="","",IFERROR(VLOOKUP(A88,DB_Customers!$A:$M,13,0),""))</f>
        <v/>
      </c>
      <c r="D88" s="42" t="str">
        <f t="shared" ca="1" si="6"/>
        <v/>
      </c>
      <c r="E88" s="32"/>
      <c r="F88" s="43" t="str">
        <f t="shared" si="7"/>
        <v/>
      </c>
      <c r="G88" s="30" t="s">
        <v>58</v>
      </c>
      <c r="H88" s="41"/>
      <c r="I88" s="33" t="str">
        <f>IF(A88="","",IF(H88="","⚠️ Enter Agent Code",IF(IFERROR(VLOOKUP(G88,DB_Agents!$B:$F,4,0),"")=TEXT(H88,"0"),IF(AND(A88&lt;&gt;"",E88&lt;&gt;""),"✅ Saved","Pending"),"🔒 WRONG CODE")))</f>
        <v/>
      </c>
      <c r="J88" s="33" t="str">
        <f t="shared" ca="1" si="8"/>
        <v>—</v>
      </c>
      <c r="K88" s="46"/>
    </row>
    <row r="89" spans="1:11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IF(A89="","",IFERROR(VLOOKUP(A89,DB_Customers!$A:$M,13,0),""))</f>
        <v/>
      </c>
      <c r="D89" s="42" t="str">
        <f t="shared" ca="1" si="6"/>
        <v/>
      </c>
      <c r="E89" s="32"/>
      <c r="F89" s="43" t="str">
        <f t="shared" si="7"/>
        <v/>
      </c>
      <c r="G89" s="30" t="s">
        <v>58</v>
      </c>
      <c r="H89" s="41"/>
      <c r="I89" s="33" t="str">
        <f>IF(A89="","",IF(H89="","⚠️ Enter Agent Code",IF(IFERROR(VLOOKUP(G89,DB_Agents!$B:$F,4,0),"")=TEXT(H89,"0"),IF(AND(A89&lt;&gt;"",E89&lt;&gt;""),"✅ Saved","Pending"),"🔒 WRONG CODE")))</f>
        <v/>
      </c>
      <c r="J89" s="33" t="str">
        <f t="shared" ca="1" si="8"/>
        <v>—</v>
      </c>
      <c r="K89" s="22"/>
    </row>
    <row r="90" spans="1:11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IF(A90="","",IFERROR(VLOOKUP(A90,DB_Customers!$A:$M,13,0),""))</f>
        <v/>
      </c>
      <c r="D90" s="42" t="str">
        <f t="shared" ca="1" si="6"/>
        <v/>
      </c>
      <c r="E90" s="32"/>
      <c r="F90" s="43" t="str">
        <f t="shared" si="7"/>
        <v/>
      </c>
      <c r="G90" s="30" t="s">
        <v>58</v>
      </c>
      <c r="H90" s="41"/>
      <c r="I90" s="33" t="str">
        <f>IF(A90="","",IF(H90="","⚠️ Enter Agent Code",IF(IFERROR(VLOOKUP(G90,DB_Agents!$B:$F,4,0),"")=TEXT(H90,"0"),IF(AND(A90&lt;&gt;"",E90&lt;&gt;""),"✅ Saved","Pending"),"🔒 WRONG CODE")))</f>
        <v/>
      </c>
      <c r="J90" s="33" t="str">
        <f t="shared" ca="1" si="8"/>
        <v>—</v>
      </c>
      <c r="K90" s="46"/>
    </row>
    <row r="91" spans="1:11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IF(A91="","",IFERROR(VLOOKUP(A91,DB_Customers!$A:$M,13,0),""))</f>
        <v/>
      </c>
      <c r="D91" s="42" t="str">
        <f t="shared" ca="1" si="6"/>
        <v/>
      </c>
      <c r="E91" s="32"/>
      <c r="F91" s="43" t="str">
        <f t="shared" si="7"/>
        <v/>
      </c>
      <c r="G91" s="30" t="s">
        <v>58</v>
      </c>
      <c r="H91" s="41"/>
      <c r="I91" s="33" t="str">
        <f>IF(A91="","",IF(H91="","⚠️ Enter Agent Code",IF(IFERROR(VLOOKUP(G91,DB_Agents!$B:$F,4,0),"")=TEXT(H91,"0"),IF(AND(A91&lt;&gt;"",E91&lt;&gt;""),"✅ Saved","Pending"),"🔒 WRONG CODE")))</f>
        <v/>
      </c>
      <c r="J91" s="33" t="str">
        <f t="shared" ca="1" si="8"/>
        <v>—</v>
      </c>
      <c r="K91" s="22"/>
    </row>
    <row r="92" spans="1:11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IF(A92="","",IFERROR(VLOOKUP(A92,DB_Customers!$A:$M,13,0),""))</f>
        <v/>
      </c>
      <c r="D92" s="42" t="str">
        <f t="shared" ca="1" si="6"/>
        <v/>
      </c>
      <c r="E92" s="32"/>
      <c r="F92" s="43" t="str">
        <f t="shared" si="7"/>
        <v/>
      </c>
      <c r="G92" s="30" t="s">
        <v>58</v>
      </c>
      <c r="H92" s="41"/>
      <c r="I92" s="33" t="str">
        <f>IF(A92="","",IF(H92="","⚠️ Enter Agent Code",IF(IFERROR(VLOOKUP(G92,DB_Agents!$B:$F,4,0),"")=TEXT(H92,"0"),IF(AND(A92&lt;&gt;"",E92&lt;&gt;""),"✅ Saved","Pending"),"🔒 WRONG CODE")))</f>
        <v/>
      </c>
      <c r="J92" s="33" t="str">
        <f t="shared" ca="1" si="8"/>
        <v>—</v>
      </c>
      <c r="K92" s="46"/>
    </row>
    <row r="93" spans="1:11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IF(A93="","",IFERROR(VLOOKUP(A93,DB_Customers!$A:$M,13,0),""))</f>
        <v/>
      </c>
      <c r="D93" s="42" t="str">
        <f t="shared" ca="1" si="6"/>
        <v/>
      </c>
      <c r="E93" s="32"/>
      <c r="F93" s="43" t="str">
        <f t="shared" si="7"/>
        <v/>
      </c>
      <c r="G93" s="30" t="s">
        <v>58</v>
      </c>
      <c r="H93" s="41"/>
      <c r="I93" s="33" t="str">
        <f>IF(A93="","",IF(H93="","⚠️ Enter Agent Code",IF(IFERROR(VLOOKUP(G93,DB_Agents!$B:$F,4,0),"")=TEXT(H93,"0"),IF(AND(A93&lt;&gt;"",E93&lt;&gt;""),"✅ Saved","Pending"),"🔒 WRONG CODE")))</f>
        <v/>
      </c>
      <c r="J93" s="33" t="str">
        <f t="shared" ca="1" si="8"/>
        <v>—</v>
      </c>
      <c r="K93" s="22"/>
    </row>
    <row r="94" spans="1:11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IF(A94="","",IFERROR(VLOOKUP(A94,DB_Customers!$A:$M,13,0),""))</f>
        <v/>
      </c>
      <c r="D94" s="42" t="str">
        <f t="shared" ca="1" si="6"/>
        <v/>
      </c>
      <c r="E94" s="32"/>
      <c r="F94" s="43" t="str">
        <f t="shared" si="7"/>
        <v/>
      </c>
      <c r="G94" s="30" t="s">
        <v>58</v>
      </c>
      <c r="H94" s="41"/>
      <c r="I94" s="33" t="str">
        <f>IF(A94="","",IF(H94="","⚠️ Enter Agent Code",IF(IFERROR(VLOOKUP(G94,DB_Agents!$B:$F,4,0),"")=TEXT(H94,"0"),IF(AND(A94&lt;&gt;"",E94&lt;&gt;""),"✅ Saved","Pending"),"🔒 WRONG CODE")))</f>
        <v/>
      </c>
      <c r="J94" s="33" t="str">
        <f t="shared" ca="1" si="8"/>
        <v>—</v>
      </c>
      <c r="K94" s="46"/>
    </row>
    <row r="95" spans="1:11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IF(A95="","",IFERROR(VLOOKUP(A95,DB_Customers!$A:$M,13,0),""))</f>
        <v/>
      </c>
      <c r="D95" s="42" t="str">
        <f t="shared" ca="1" si="6"/>
        <v/>
      </c>
      <c r="E95" s="32"/>
      <c r="F95" s="43" t="str">
        <f t="shared" si="7"/>
        <v/>
      </c>
      <c r="G95" s="30" t="s">
        <v>58</v>
      </c>
      <c r="H95" s="41"/>
      <c r="I95" s="33" t="str">
        <f>IF(A95="","",IF(H95="","⚠️ Enter Agent Code",IF(IFERROR(VLOOKUP(G95,DB_Agents!$B:$F,4,0),"")=TEXT(H95,"0"),IF(AND(A95&lt;&gt;"",E95&lt;&gt;""),"✅ Saved","Pending"),"🔒 WRONG CODE")))</f>
        <v/>
      </c>
      <c r="J95" s="33" t="str">
        <f t="shared" ca="1" si="8"/>
        <v>—</v>
      </c>
      <c r="K95" s="22"/>
    </row>
    <row r="96" spans="1:11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IF(A96="","",IFERROR(VLOOKUP(A96,DB_Customers!$A:$M,13,0),""))</f>
        <v/>
      </c>
      <c r="D96" s="42" t="str">
        <f t="shared" ca="1" si="6"/>
        <v/>
      </c>
      <c r="E96" s="32"/>
      <c r="F96" s="43" t="str">
        <f t="shared" si="7"/>
        <v/>
      </c>
      <c r="G96" s="30" t="s">
        <v>58</v>
      </c>
      <c r="H96" s="41"/>
      <c r="I96" s="33" t="str">
        <f>IF(A96="","",IF(H96="","⚠️ Enter Agent Code",IF(IFERROR(VLOOKUP(G96,DB_Agents!$B:$F,4,0),"")=TEXT(H96,"0"),IF(AND(A96&lt;&gt;"",E96&lt;&gt;""),"✅ Saved","Pending"),"🔒 WRONG CODE")))</f>
        <v/>
      </c>
      <c r="J96" s="33" t="str">
        <f t="shared" ca="1" si="8"/>
        <v>—</v>
      </c>
      <c r="K96" s="46"/>
    </row>
    <row r="97" spans="1:11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IF(A97="","",IFERROR(VLOOKUP(A97,DB_Customers!$A:$M,13,0),""))</f>
        <v/>
      </c>
      <c r="D97" s="42" t="str">
        <f t="shared" ca="1" si="6"/>
        <v/>
      </c>
      <c r="E97" s="32"/>
      <c r="F97" s="43" t="str">
        <f t="shared" si="7"/>
        <v/>
      </c>
      <c r="G97" s="30" t="s">
        <v>58</v>
      </c>
      <c r="H97" s="41"/>
      <c r="I97" s="33" t="str">
        <f>IF(A97="","",IF(H97="","⚠️ Enter Agent Code",IF(IFERROR(VLOOKUP(G97,DB_Agents!$B:$F,4,0),"")=TEXT(H97,"0"),IF(AND(A97&lt;&gt;"",E97&lt;&gt;""),"✅ Saved","Pending"),"🔒 WRONG CODE")))</f>
        <v/>
      </c>
      <c r="J97" s="33" t="str">
        <f t="shared" ca="1" si="8"/>
        <v>—</v>
      </c>
      <c r="K97" s="22"/>
    </row>
    <row r="98" spans="1:11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IF(A98="","",IFERROR(VLOOKUP(A98,DB_Customers!$A:$M,13,0),""))</f>
        <v/>
      </c>
      <c r="D98" s="42" t="str">
        <f t="shared" ca="1" si="6"/>
        <v/>
      </c>
      <c r="E98" s="32"/>
      <c r="F98" s="43" t="str">
        <f t="shared" si="7"/>
        <v/>
      </c>
      <c r="G98" s="30" t="s">
        <v>58</v>
      </c>
      <c r="H98" s="41"/>
      <c r="I98" s="33" t="str">
        <f>IF(A98="","",IF(H98="","⚠️ Enter Agent Code",IF(IFERROR(VLOOKUP(G98,DB_Agents!$B:$F,4,0),"")=TEXT(H98,"0"),IF(AND(A98&lt;&gt;"",E98&lt;&gt;""),"✅ Saved","Pending"),"🔒 WRONG CODE")))</f>
        <v/>
      </c>
      <c r="J98" s="33" t="str">
        <f t="shared" ca="1" si="8"/>
        <v>—</v>
      </c>
      <c r="K98" s="46"/>
    </row>
    <row r="99" spans="1:11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IF(A99="","",IFERROR(VLOOKUP(A99,DB_Customers!$A:$M,13,0),""))</f>
        <v/>
      </c>
      <c r="D99" s="42" t="str">
        <f t="shared" ca="1" si="6"/>
        <v/>
      </c>
      <c r="E99" s="32"/>
      <c r="F99" s="43" t="str">
        <f t="shared" si="7"/>
        <v/>
      </c>
      <c r="G99" s="30" t="s">
        <v>58</v>
      </c>
      <c r="H99" s="41"/>
      <c r="I99" s="33" t="str">
        <f>IF(A99="","",IF(H99="","⚠️ Enter Agent Code",IF(IFERROR(VLOOKUP(G99,DB_Agents!$B:$F,4,0),"")=TEXT(H99,"0"),IF(AND(A99&lt;&gt;"",E99&lt;&gt;""),"✅ Saved","Pending"),"🔒 WRONG CODE")))</f>
        <v/>
      </c>
      <c r="J99" s="33" t="str">
        <f t="shared" ca="1" si="8"/>
        <v>—</v>
      </c>
      <c r="K99" s="22"/>
    </row>
    <row r="100" spans="1:11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IF(A100="","",IFERROR(VLOOKUP(A100,DB_Customers!$A:$M,13,0),""))</f>
        <v/>
      </c>
      <c r="D100" s="42" t="str">
        <f t="shared" ca="1" si="6"/>
        <v/>
      </c>
      <c r="E100" s="32"/>
      <c r="F100" s="43" t="str">
        <f t="shared" si="7"/>
        <v/>
      </c>
      <c r="G100" s="30" t="s">
        <v>58</v>
      </c>
      <c r="H100" s="41"/>
      <c r="I100" s="33" t="str">
        <f>IF(A100="","",IF(H100="","⚠️ Enter Agent Code",IF(IFERROR(VLOOKUP(G100,DB_Agents!$B:$F,4,0),"")=TEXT(H100,"0"),IF(AND(A100&lt;&gt;"",E100&lt;&gt;""),"✅ Saved","Pending"),"🔒 WRONG CODE")))</f>
        <v/>
      </c>
      <c r="J100" s="33" t="str">
        <f t="shared" ca="1" si="8"/>
        <v>—</v>
      </c>
      <c r="K100" s="46"/>
    </row>
    <row r="101" spans="1:11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IF(A101="","",IFERROR(VLOOKUP(A101,DB_Customers!$A:$M,13,0),""))</f>
        <v/>
      </c>
      <c r="D101" s="42" t="str">
        <f t="shared" ca="1" si="6"/>
        <v/>
      </c>
      <c r="E101" s="32"/>
      <c r="F101" s="43" t="str">
        <f t="shared" si="7"/>
        <v/>
      </c>
      <c r="G101" s="30" t="s">
        <v>58</v>
      </c>
      <c r="H101" s="41"/>
      <c r="I101" s="33" t="str">
        <f>IF(A101="","",IF(H101="","⚠️ Enter Agent Code",IF(IFERROR(VLOOKUP(G101,DB_Agents!$B:$F,4,0),"")=TEXT(H101,"0"),IF(AND(A101&lt;&gt;"",E101&lt;&gt;""),"✅ Saved","Pending"),"🔒 WRONG CODE")))</f>
        <v/>
      </c>
      <c r="J101" s="33" t="str">
        <f t="shared" ca="1" si="8"/>
        <v>—</v>
      </c>
      <c r="K101" s="22"/>
    </row>
    <row r="102" spans="1:11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IF(A102="","",IFERROR(VLOOKUP(A102,DB_Customers!$A:$M,13,0),""))</f>
        <v/>
      </c>
      <c r="D102" s="42" t="str">
        <f t="shared" ca="1" si="6"/>
        <v/>
      </c>
      <c r="E102" s="32"/>
      <c r="F102" s="43" t="str">
        <f t="shared" si="7"/>
        <v/>
      </c>
      <c r="G102" s="30" t="s">
        <v>58</v>
      </c>
      <c r="H102" s="41"/>
      <c r="I102" s="33" t="str">
        <f>IF(A102="","",IF(H102="","⚠️ Enter Agent Code",IF(IFERROR(VLOOKUP(G102,DB_Agents!$B:$F,4,0),"")=TEXT(H102,"0"),IF(AND(A102&lt;&gt;"",E102&lt;&gt;""),"✅ Saved","Pending"),"🔒 WRONG CODE")))</f>
        <v/>
      </c>
      <c r="J102" s="33" t="str">
        <f t="shared" ca="1" si="8"/>
        <v>—</v>
      </c>
      <c r="K102" s="46"/>
    </row>
    <row r="103" spans="1:11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IF(A103="","",IFERROR(VLOOKUP(A103,DB_Customers!$A:$M,13,0),""))</f>
        <v/>
      </c>
      <c r="D103" s="42" t="str">
        <f t="shared" ca="1" si="6"/>
        <v/>
      </c>
      <c r="E103" s="32"/>
      <c r="F103" s="43" t="str">
        <f t="shared" si="7"/>
        <v/>
      </c>
      <c r="G103" s="30" t="s">
        <v>58</v>
      </c>
      <c r="H103" s="41"/>
      <c r="I103" s="33" t="str">
        <f>IF(A103="","",IF(H103="","⚠️ Enter Agent Code",IF(IFERROR(VLOOKUP(G103,DB_Agents!$B:$F,4,0),"")=TEXT(H103,"0"),IF(AND(A103&lt;&gt;"",E103&lt;&gt;""),"✅ Saved","Pending"),"🔒 WRONG CODE")))</f>
        <v/>
      </c>
      <c r="J103" s="33" t="str">
        <f t="shared" ca="1" si="8"/>
        <v>—</v>
      </c>
      <c r="K103" s="22"/>
    </row>
    <row r="104" spans="1:11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IF(A104="","",IFERROR(VLOOKUP(A104,DB_Customers!$A:$M,13,0),""))</f>
        <v/>
      </c>
      <c r="D104" s="42" t="str">
        <f t="shared" ca="1" si="6"/>
        <v/>
      </c>
      <c r="E104" s="32"/>
      <c r="F104" s="43" t="str">
        <f t="shared" si="7"/>
        <v/>
      </c>
      <c r="G104" s="30" t="s">
        <v>58</v>
      </c>
      <c r="H104" s="41"/>
      <c r="I104" s="33" t="str">
        <f>IF(A104="","",IF(H104="","⚠️ Enter Agent Code",IF(IFERROR(VLOOKUP(G104,DB_Agents!$B:$F,4,0),"")=TEXT(H104,"0"),IF(AND(A104&lt;&gt;"",E104&lt;&gt;""),"✅ Saved","Pending"),"🔒 WRONG CODE")))</f>
        <v/>
      </c>
      <c r="J104" s="33" t="str">
        <f t="shared" ca="1" si="8"/>
        <v>—</v>
      </c>
      <c r="K104" s="46"/>
    </row>
    <row r="105" spans="1:11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IF(A105="","",IFERROR(VLOOKUP(A105,DB_Customers!$A:$M,13,0),""))</f>
        <v/>
      </c>
      <c r="D105" s="42" t="str">
        <f t="shared" ref="D105:D136" ca="1" si="9">IF(A105="","",TODAY())</f>
        <v/>
      </c>
      <c r="E105" s="32"/>
      <c r="F105" s="43" t="str">
        <f t="shared" ref="F105:F136" si="10">IFERROR(IF(OR(A105="",E105=""),"",C105+E105),"")</f>
        <v/>
      </c>
      <c r="G105" s="30" t="s">
        <v>58</v>
      </c>
      <c r="H105" s="41"/>
      <c r="I105" s="33" t="str">
        <f>IF(A105="","",IF(H105="","⚠️ Enter Agent Code",IF(IFERROR(VLOOKUP(G105,DB_Agents!$B:$F,4,0),"")=TEXT(H105,"0"),IF(AND(A105&lt;&gt;"",E105&lt;&gt;""),"✅ Saved","Pending"),"🔒 WRONG CODE")))</f>
        <v/>
      </c>
      <c r="J105" s="33" t="str">
        <f t="shared" ref="J105:J136" ca="1" si="11">IF(I105="✅ Saved",TEXT(TODAY(),"YYYY-MM-DD")&amp;" Auto","—")</f>
        <v>—</v>
      </c>
      <c r="K105" s="22"/>
    </row>
    <row r="106" spans="1:11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IF(A106="","",IFERROR(VLOOKUP(A106,DB_Customers!$A:$M,13,0),""))</f>
        <v/>
      </c>
      <c r="D106" s="42" t="str">
        <f t="shared" ca="1" si="9"/>
        <v/>
      </c>
      <c r="E106" s="32"/>
      <c r="F106" s="43" t="str">
        <f t="shared" si="10"/>
        <v/>
      </c>
      <c r="G106" s="30" t="s">
        <v>58</v>
      </c>
      <c r="H106" s="41"/>
      <c r="I106" s="33" t="str">
        <f>IF(A106="","",IF(H106="","⚠️ Enter Agent Code",IF(IFERROR(VLOOKUP(G106,DB_Agents!$B:$F,4,0),"")=TEXT(H106,"0"),IF(AND(A106&lt;&gt;"",E106&lt;&gt;""),"✅ Saved","Pending"),"🔒 WRONG CODE")))</f>
        <v/>
      </c>
      <c r="J106" s="33" t="str">
        <f t="shared" ca="1" si="11"/>
        <v>—</v>
      </c>
      <c r="K106" s="46"/>
    </row>
    <row r="107" spans="1:11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IF(A107="","",IFERROR(VLOOKUP(A107,DB_Customers!$A:$M,13,0),""))</f>
        <v/>
      </c>
      <c r="D107" s="42" t="str">
        <f t="shared" ca="1" si="9"/>
        <v/>
      </c>
      <c r="E107" s="32"/>
      <c r="F107" s="43" t="str">
        <f t="shared" si="10"/>
        <v/>
      </c>
      <c r="G107" s="30" t="s">
        <v>58</v>
      </c>
      <c r="H107" s="41"/>
      <c r="I107" s="33" t="str">
        <f>IF(A107="","",IF(H107="","⚠️ Enter Agent Code",IF(IFERROR(VLOOKUP(G107,DB_Agents!$B:$F,4,0),"")=TEXT(H107,"0"),IF(AND(A107&lt;&gt;"",E107&lt;&gt;""),"✅ Saved","Pending"),"🔒 WRONG CODE")))</f>
        <v/>
      </c>
      <c r="J107" s="33" t="str">
        <f t="shared" ca="1" si="11"/>
        <v>—</v>
      </c>
      <c r="K107" s="22"/>
    </row>
    <row r="108" spans="1:11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IF(A108="","",IFERROR(VLOOKUP(A108,DB_Customers!$A:$M,13,0),""))</f>
        <v/>
      </c>
      <c r="D108" s="42" t="str">
        <f t="shared" ca="1" si="9"/>
        <v/>
      </c>
      <c r="E108" s="32"/>
      <c r="F108" s="43" t="str">
        <f t="shared" si="10"/>
        <v/>
      </c>
      <c r="G108" s="30" t="s">
        <v>58</v>
      </c>
      <c r="H108" s="41"/>
      <c r="I108" s="33" t="str">
        <f>IF(A108="","",IF(H108="","⚠️ Enter Agent Code",IF(IFERROR(VLOOKUP(G108,DB_Agents!$B:$F,4,0),"")=TEXT(H108,"0"),IF(AND(A108&lt;&gt;"",E108&lt;&gt;""),"✅ Saved","Pending"),"🔒 WRONG CODE")))</f>
        <v/>
      </c>
      <c r="J108" s="33" t="str">
        <f t="shared" ca="1" si="11"/>
        <v>—</v>
      </c>
      <c r="K108" s="46"/>
    </row>
    <row r="109" spans="1:11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IF(A109="","",IFERROR(VLOOKUP(A109,DB_Customers!$A:$M,13,0),""))</f>
        <v/>
      </c>
      <c r="D109" s="42" t="str">
        <f t="shared" ca="1" si="9"/>
        <v/>
      </c>
      <c r="E109" s="32"/>
      <c r="F109" s="43" t="str">
        <f t="shared" si="10"/>
        <v/>
      </c>
      <c r="G109" s="30" t="s">
        <v>58</v>
      </c>
      <c r="H109" s="41"/>
      <c r="I109" s="33" t="str">
        <f>IF(A109="","",IF(H109="","⚠️ Enter Agent Code",IF(IFERROR(VLOOKUP(G109,DB_Agents!$B:$F,4,0),"")=TEXT(H109,"0"),IF(AND(A109&lt;&gt;"",E109&lt;&gt;""),"✅ Saved","Pending"),"🔒 WRONG CODE")))</f>
        <v/>
      </c>
      <c r="J109" s="33" t="str">
        <f t="shared" ca="1" si="11"/>
        <v>—</v>
      </c>
      <c r="K109" s="22"/>
    </row>
    <row r="110" spans="1:11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IF(A110="","",IFERROR(VLOOKUP(A110,DB_Customers!$A:$M,13,0),""))</f>
        <v/>
      </c>
      <c r="D110" s="42" t="str">
        <f t="shared" ca="1" si="9"/>
        <v/>
      </c>
      <c r="E110" s="32"/>
      <c r="F110" s="43" t="str">
        <f t="shared" si="10"/>
        <v/>
      </c>
      <c r="G110" s="30" t="s">
        <v>58</v>
      </c>
      <c r="H110" s="41"/>
      <c r="I110" s="33" t="str">
        <f>IF(A110="","",IF(H110="","⚠️ Enter Agent Code",IF(IFERROR(VLOOKUP(G110,DB_Agents!$B:$F,4,0),"")=TEXT(H110,"0"),IF(AND(A110&lt;&gt;"",E110&lt;&gt;""),"✅ Saved","Pending"),"🔒 WRONG CODE")))</f>
        <v/>
      </c>
      <c r="J110" s="33" t="str">
        <f t="shared" ca="1" si="11"/>
        <v>—</v>
      </c>
      <c r="K110" s="46"/>
    </row>
    <row r="111" spans="1:11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IF(A111="","",IFERROR(VLOOKUP(A111,DB_Customers!$A:$M,13,0),""))</f>
        <v/>
      </c>
      <c r="D111" s="42" t="str">
        <f t="shared" ca="1" si="9"/>
        <v/>
      </c>
      <c r="E111" s="32"/>
      <c r="F111" s="43" t="str">
        <f t="shared" si="10"/>
        <v/>
      </c>
      <c r="G111" s="30" t="s">
        <v>58</v>
      </c>
      <c r="H111" s="41"/>
      <c r="I111" s="33" t="str">
        <f>IF(A111="","",IF(H111="","⚠️ Enter Agent Code",IF(IFERROR(VLOOKUP(G111,DB_Agents!$B:$F,4,0),"")=TEXT(H111,"0"),IF(AND(A111&lt;&gt;"",E111&lt;&gt;""),"✅ Saved","Pending"),"🔒 WRONG CODE")))</f>
        <v/>
      </c>
      <c r="J111" s="33" t="str">
        <f t="shared" ca="1" si="11"/>
        <v>—</v>
      </c>
      <c r="K111" s="22"/>
    </row>
    <row r="112" spans="1:11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IF(A112="","",IFERROR(VLOOKUP(A112,DB_Customers!$A:$M,13,0),""))</f>
        <v/>
      </c>
      <c r="D112" s="42" t="str">
        <f t="shared" ca="1" si="9"/>
        <v/>
      </c>
      <c r="E112" s="32"/>
      <c r="F112" s="43" t="str">
        <f t="shared" si="10"/>
        <v/>
      </c>
      <c r="G112" s="30" t="s">
        <v>58</v>
      </c>
      <c r="H112" s="41"/>
      <c r="I112" s="33" t="str">
        <f>IF(A112="","",IF(H112="","⚠️ Enter Agent Code",IF(IFERROR(VLOOKUP(G112,DB_Agents!$B:$F,4,0),"")=TEXT(H112,"0"),IF(AND(A112&lt;&gt;"",E112&lt;&gt;""),"✅ Saved","Pending"),"🔒 WRONG CODE")))</f>
        <v/>
      </c>
      <c r="J112" s="33" t="str">
        <f t="shared" ca="1" si="11"/>
        <v>—</v>
      </c>
      <c r="K112" s="46"/>
    </row>
    <row r="113" spans="1:11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IF(A113="","",IFERROR(VLOOKUP(A113,DB_Customers!$A:$M,13,0),""))</f>
        <v/>
      </c>
      <c r="D113" s="42" t="str">
        <f t="shared" ca="1" si="9"/>
        <v/>
      </c>
      <c r="E113" s="32"/>
      <c r="F113" s="43" t="str">
        <f t="shared" si="10"/>
        <v/>
      </c>
      <c r="G113" s="30" t="s">
        <v>58</v>
      </c>
      <c r="H113" s="41"/>
      <c r="I113" s="33" t="str">
        <f>IF(A113="","",IF(H113="","⚠️ Enter Agent Code",IF(IFERROR(VLOOKUP(G113,DB_Agents!$B:$F,4,0),"")=TEXT(H113,"0"),IF(AND(A113&lt;&gt;"",E113&lt;&gt;""),"✅ Saved","Pending"),"🔒 WRONG CODE")))</f>
        <v/>
      </c>
      <c r="J113" s="33" t="str">
        <f t="shared" ca="1" si="11"/>
        <v>—</v>
      </c>
      <c r="K113" s="22"/>
    </row>
    <row r="114" spans="1:11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IF(A114="","",IFERROR(VLOOKUP(A114,DB_Customers!$A:$M,13,0),""))</f>
        <v/>
      </c>
      <c r="D114" s="42" t="str">
        <f t="shared" ca="1" si="9"/>
        <v/>
      </c>
      <c r="E114" s="32"/>
      <c r="F114" s="43" t="str">
        <f t="shared" si="10"/>
        <v/>
      </c>
      <c r="G114" s="30" t="s">
        <v>58</v>
      </c>
      <c r="H114" s="41"/>
      <c r="I114" s="33" t="str">
        <f>IF(A114="","",IF(H114="","⚠️ Enter Agent Code",IF(IFERROR(VLOOKUP(G114,DB_Agents!$B:$F,4,0),"")=TEXT(H114,"0"),IF(AND(A114&lt;&gt;"",E114&lt;&gt;""),"✅ Saved","Pending"),"🔒 WRONG CODE")))</f>
        <v/>
      </c>
      <c r="J114" s="33" t="str">
        <f t="shared" ca="1" si="11"/>
        <v>—</v>
      </c>
      <c r="K114" s="46"/>
    </row>
    <row r="115" spans="1:11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IF(A115="","",IFERROR(VLOOKUP(A115,DB_Customers!$A:$M,13,0),""))</f>
        <v/>
      </c>
      <c r="D115" s="42" t="str">
        <f t="shared" ca="1" si="9"/>
        <v/>
      </c>
      <c r="E115" s="32"/>
      <c r="F115" s="43" t="str">
        <f t="shared" si="10"/>
        <v/>
      </c>
      <c r="G115" s="30" t="s">
        <v>58</v>
      </c>
      <c r="H115" s="41"/>
      <c r="I115" s="33" t="str">
        <f>IF(A115="","",IF(H115="","⚠️ Enter Agent Code",IF(IFERROR(VLOOKUP(G115,DB_Agents!$B:$F,4,0),"")=TEXT(H115,"0"),IF(AND(A115&lt;&gt;"",E115&lt;&gt;""),"✅ Saved","Pending"),"🔒 WRONG CODE")))</f>
        <v/>
      </c>
      <c r="J115" s="33" t="str">
        <f t="shared" ca="1" si="11"/>
        <v>—</v>
      </c>
      <c r="K115" s="22"/>
    </row>
    <row r="116" spans="1:11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IF(A116="","",IFERROR(VLOOKUP(A116,DB_Customers!$A:$M,13,0),""))</f>
        <v/>
      </c>
      <c r="D116" s="42" t="str">
        <f t="shared" ca="1" si="9"/>
        <v/>
      </c>
      <c r="E116" s="32"/>
      <c r="F116" s="43" t="str">
        <f t="shared" si="10"/>
        <v/>
      </c>
      <c r="G116" s="30" t="s">
        <v>58</v>
      </c>
      <c r="H116" s="41"/>
      <c r="I116" s="33" t="str">
        <f>IF(A116="","",IF(H116="","⚠️ Enter Agent Code",IF(IFERROR(VLOOKUP(G116,DB_Agents!$B:$F,4,0),"")=TEXT(H116,"0"),IF(AND(A116&lt;&gt;"",E116&lt;&gt;""),"✅ Saved","Pending"),"🔒 WRONG CODE")))</f>
        <v/>
      </c>
      <c r="J116" s="33" t="str">
        <f t="shared" ca="1" si="11"/>
        <v>—</v>
      </c>
      <c r="K116" s="46"/>
    </row>
    <row r="117" spans="1:11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IF(A117="","",IFERROR(VLOOKUP(A117,DB_Customers!$A:$M,13,0),""))</f>
        <v/>
      </c>
      <c r="D117" s="42" t="str">
        <f t="shared" ca="1" si="9"/>
        <v/>
      </c>
      <c r="E117" s="32"/>
      <c r="F117" s="43" t="str">
        <f t="shared" si="10"/>
        <v/>
      </c>
      <c r="G117" s="30" t="s">
        <v>58</v>
      </c>
      <c r="H117" s="41"/>
      <c r="I117" s="33" t="str">
        <f>IF(A117="","",IF(H117="","⚠️ Enter Agent Code",IF(IFERROR(VLOOKUP(G117,DB_Agents!$B:$F,4,0),"")=TEXT(H117,"0"),IF(AND(A117&lt;&gt;"",E117&lt;&gt;""),"✅ Saved","Pending"),"🔒 WRONG CODE")))</f>
        <v/>
      </c>
      <c r="J117" s="33" t="str">
        <f t="shared" ca="1" si="11"/>
        <v>—</v>
      </c>
      <c r="K117" s="22"/>
    </row>
    <row r="118" spans="1:11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IF(A118="","",IFERROR(VLOOKUP(A118,DB_Customers!$A:$M,13,0),""))</f>
        <v/>
      </c>
      <c r="D118" s="42" t="str">
        <f t="shared" ca="1" si="9"/>
        <v/>
      </c>
      <c r="E118" s="32"/>
      <c r="F118" s="43" t="str">
        <f t="shared" si="10"/>
        <v/>
      </c>
      <c r="G118" s="30" t="s">
        <v>58</v>
      </c>
      <c r="H118" s="41"/>
      <c r="I118" s="33" t="str">
        <f>IF(A118="","",IF(H118="","⚠️ Enter Agent Code",IF(IFERROR(VLOOKUP(G118,DB_Agents!$B:$F,4,0),"")=TEXT(H118,"0"),IF(AND(A118&lt;&gt;"",E118&lt;&gt;""),"✅ Saved","Pending"),"🔒 WRONG CODE")))</f>
        <v/>
      </c>
      <c r="J118" s="33" t="str">
        <f t="shared" ca="1" si="11"/>
        <v>—</v>
      </c>
      <c r="K118" s="46"/>
    </row>
    <row r="119" spans="1:11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IF(A119="","",IFERROR(VLOOKUP(A119,DB_Customers!$A:$M,13,0),""))</f>
        <v/>
      </c>
      <c r="D119" s="42" t="str">
        <f t="shared" ca="1" si="9"/>
        <v/>
      </c>
      <c r="E119" s="32"/>
      <c r="F119" s="43" t="str">
        <f t="shared" si="10"/>
        <v/>
      </c>
      <c r="G119" s="30" t="s">
        <v>58</v>
      </c>
      <c r="H119" s="41"/>
      <c r="I119" s="33" t="str">
        <f>IF(A119="","",IF(H119="","⚠️ Enter Agent Code",IF(IFERROR(VLOOKUP(G119,DB_Agents!$B:$F,4,0),"")=TEXT(H119,"0"),IF(AND(A119&lt;&gt;"",E119&lt;&gt;""),"✅ Saved","Pending"),"🔒 WRONG CODE")))</f>
        <v/>
      </c>
      <c r="J119" s="33" t="str">
        <f t="shared" ca="1" si="11"/>
        <v>—</v>
      </c>
      <c r="K119" s="22"/>
    </row>
    <row r="120" spans="1:11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IF(A120="","",IFERROR(VLOOKUP(A120,DB_Customers!$A:$M,13,0),""))</f>
        <v/>
      </c>
      <c r="D120" s="42" t="str">
        <f t="shared" ca="1" si="9"/>
        <v/>
      </c>
      <c r="E120" s="32"/>
      <c r="F120" s="43" t="str">
        <f t="shared" si="10"/>
        <v/>
      </c>
      <c r="G120" s="30" t="s">
        <v>58</v>
      </c>
      <c r="H120" s="41"/>
      <c r="I120" s="33" t="str">
        <f>IF(A120="","",IF(H120="","⚠️ Enter Agent Code",IF(IFERROR(VLOOKUP(G120,DB_Agents!$B:$F,4,0),"")=TEXT(H120,"0"),IF(AND(A120&lt;&gt;"",E120&lt;&gt;""),"✅ Saved","Pending"),"🔒 WRONG CODE")))</f>
        <v/>
      </c>
      <c r="J120" s="33" t="str">
        <f t="shared" ca="1" si="11"/>
        <v>—</v>
      </c>
      <c r="K120" s="46"/>
    </row>
    <row r="121" spans="1:11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IF(A121="","",IFERROR(VLOOKUP(A121,DB_Customers!$A:$M,13,0),""))</f>
        <v/>
      </c>
      <c r="D121" s="42" t="str">
        <f t="shared" ca="1" si="9"/>
        <v/>
      </c>
      <c r="E121" s="32"/>
      <c r="F121" s="43" t="str">
        <f t="shared" si="10"/>
        <v/>
      </c>
      <c r="G121" s="30" t="s">
        <v>58</v>
      </c>
      <c r="H121" s="41"/>
      <c r="I121" s="33" t="str">
        <f>IF(A121="","",IF(H121="","⚠️ Enter Agent Code",IF(IFERROR(VLOOKUP(G121,DB_Agents!$B:$F,4,0),"")=TEXT(H121,"0"),IF(AND(A121&lt;&gt;"",E121&lt;&gt;""),"✅ Saved","Pending"),"🔒 WRONG CODE")))</f>
        <v/>
      </c>
      <c r="J121" s="33" t="str">
        <f t="shared" ca="1" si="11"/>
        <v>—</v>
      </c>
      <c r="K121" s="22"/>
    </row>
    <row r="122" spans="1:11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IF(A122="","",IFERROR(VLOOKUP(A122,DB_Customers!$A:$M,13,0),""))</f>
        <v/>
      </c>
      <c r="D122" s="42" t="str">
        <f t="shared" ca="1" si="9"/>
        <v/>
      </c>
      <c r="E122" s="32"/>
      <c r="F122" s="43" t="str">
        <f t="shared" si="10"/>
        <v/>
      </c>
      <c r="G122" s="30" t="s">
        <v>58</v>
      </c>
      <c r="H122" s="41"/>
      <c r="I122" s="33" t="str">
        <f>IF(A122="","",IF(H122="","⚠️ Enter Agent Code",IF(IFERROR(VLOOKUP(G122,DB_Agents!$B:$F,4,0),"")=TEXT(H122,"0"),IF(AND(A122&lt;&gt;"",E122&lt;&gt;""),"✅ Saved","Pending"),"🔒 WRONG CODE")))</f>
        <v/>
      </c>
      <c r="J122" s="33" t="str">
        <f t="shared" ca="1" si="11"/>
        <v>—</v>
      </c>
      <c r="K122" s="46"/>
    </row>
    <row r="123" spans="1:11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IF(A123="","",IFERROR(VLOOKUP(A123,DB_Customers!$A:$M,13,0),""))</f>
        <v/>
      </c>
      <c r="D123" s="42" t="str">
        <f t="shared" ca="1" si="9"/>
        <v/>
      </c>
      <c r="E123" s="32"/>
      <c r="F123" s="43" t="str">
        <f t="shared" si="10"/>
        <v/>
      </c>
      <c r="G123" s="30" t="s">
        <v>58</v>
      </c>
      <c r="H123" s="41"/>
      <c r="I123" s="33" t="str">
        <f>IF(A123="","",IF(H123="","⚠️ Enter Agent Code",IF(IFERROR(VLOOKUP(G123,DB_Agents!$B:$F,4,0),"")=TEXT(H123,"0"),IF(AND(A123&lt;&gt;"",E123&lt;&gt;""),"✅ Saved","Pending"),"🔒 WRONG CODE")))</f>
        <v/>
      </c>
      <c r="J123" s="33" t="str">
        <f t="shared" ca="1" si="11"/>
        <v>—</v>
      </c>
      <c r="K123" s="22"/>
    </row>
    <row r="124" spans="1:11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IF(A124="","",IFERROR(VLOOKUP(A124,DB_Customers!$A:$M,13,0),""))</f>
        <v/>
      </c>
      <c r="D124" s="42" t="str">
        <f t="shared" ca="1" si="9"/>
        <v/>
      </c>
      <c r="E124" s="32"/>
      <c r="F124" s="43" t="str">
        <f t="shared" si="10"/>
        <v/>
      </c>
      <c r="G124" s="30" t="s">
        <v>58</v>
      </c>
      <c r="H124" s="41"/>
      <c r="I124" s="33" t="str">
        <f>IF(A124="","",IF(H124="","⚠️ Enter Agent Code",IF(IFERROR(VLOOKUP(G124,DB_Agents!$B:$F,4,0),"")=TEXT(H124,"0"),IF(AND(A124&lt;&gt;"",E124&lt;&gt;""),"✅ Saved","Pending"),"🔒 WRONG CODE")))</f>
        <v/>
      </c>
      <c r="J124" s="33" t="str">
        <f t="shared" ca="1" si="11"/>
        <v>—</v>
      </c>
      <c r="K124" s="46"/>
    </row>
    <row r="125" spans="1:11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IF(A125="","",IFERROR(VLOOKUP(A125,DB_Customers!$A:$M,13,0),""))</f>
        <v/>
      </c>
      <c r="D125" s="42" t="str">
        <f t="shared" ca="1" si="9"/>
        <v/>
      </c>
      <c r="E125" s="32"/>
      <c r="F125" s="43" t="str">
        <f t="shared" si="10"/>
        <v/>
      </c>
      <c r="G125" s="30" t="s">
        <v>58</v>
      </c>
      <c r="H125" s="41"/>
      <c r="I125" s="33" t="str">
        <f>IF(A125="","",IF(H125="","⚠️ Enter Agent Code",IF(IFERROR(VLOOKUP(G125,DB_Agents!$B:$F,4,0),"")=TEXT(H125,"0"),IF(AND(A125&lt;&gt;"",E125&lt;&gt;""),"✅ Saved","Pending"),"🔒 WRONG CODE")))</f>
        <v/>
      </c>
      <c r="J125" s="33" t="str">
        <f t="shared" ca="1" si="11"/>
        <v>—</v>
      </c>
      <c r="K125" s="22"/>
    </row>
    <row r="126" spans="1:11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IF(A126="","",IFERROR(VLOOKUP(A126,DB_Customers!$A:$M,13,0),""))</f>
        <v/>
      </c>
      <c r="D126" s="42" t="str">
        <f t="shared" ca="1" si="9"/>
        <v/>
      </c>
      <c r="E126" s="32"/>
      <c r="F126" s="43" t="str">
        <f t="shared" si="10"/>
        <v/>
      </c>
      <c r="G126" s="30" t="s">
        <v>58</v>
      </c>
      <c r="H126" s="41"/>
      <c r="I126" s="33" t="str">
        <f>IF(A126="","",IF(H126="","⚠️ Enter Agent Code",IF(IFERROR(VLOOKUP(G126,DB_Agents!$B:$F,4,0),"")=TEXT(H126,"0"),IF(AND(A126&lt;&gt;"",E126&lt;&gt;""),"✅ Saved","Pending"),"🔒 WRONG CODE")))</f>
        <v/>
      </c>
      <c r="J126" s="33" t="str">
        <f t="shared" ca="1" si="11"/>
        <v>—</v>
      </c>
      <c r="K126" s="46"/>
    </row>
    <row r="127" spans="1:11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IF(A127="","",IFERROR(VLOOKUP(A127,DB_Customers!$A:$M,13,0),""))</f>
        <v/>
      </c>
      <c r="D127" s="42" t="str">
        <f t="shared" ca="1" si="9"/>
        <v/>
      </c>
      <c r="E127" s="32"/>
      <c r="F127" s="43" t="str">
        <f t="shared" si="10"/>
        <v/>
      </c>
      <c r="G127" s="30" t="s">
        <v>58</v>
      </c>
      <c r="H127" s="41"/>
      <c r="I127" s="33" t="str">
        <f>IF(A127="","",IF(H127="","⚠️ Enter Agent Code",IF(IFERROR(VLOOKUP(G127,DB_Agents!$B:$F,4,0),"")=TEXT(H127,"0"),IF(AND(A127&lt;&gt;"",E127&lt;&gt;""),"✅ Saved","Pending"),"🔒 WRONG CODE")))</f>
        <v/>
      </c>
      <c r="J127" s="33" t="str">
        <f t="shared" ca="1" si="11"/>
        <v>—</v>
      </c>
      <c r="K127" s="22"/>
    </row>
    <row r="128" spans="1:11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IF(A128="","",IFERROR(VLOOKUP(A128,DB_Customers!$A:$M,13,0),""))</f>
        <v/>
      </c>
      <c r="D128" s="42" t="str">
        <f t="shared" ca="1" si="9"/>
        <v/>
      </c>
      <c r="E128" s="32"/>
      <c r="F128" s="43" t="str">
        <f t="shared" si="10"/>
        <v/>
      </c>
      <c r="G128" s="30" t="s">
        <v>58</v>
      </c>
      <c r="H128" s="41"/>
      <c r="I128" s="33" t="str">
        <f>IF(A128="","",IF(H128="","⚠️ Enter Agent Code",IF(IFERROR(VLOOKUP(G128,DB_Agents!$B:$F,4,0),"")=TEXT(H128,"0"),IF(AND(A128&lt;&gt;"",E128&lt;&gt;""),"✅ Saved","Pending"),"🔒 WRONG CODE")))</f>
        <v/>
      </c>
      <c r="J128" s="33" t="str">
        <f t="shared" ca="1" si="11"/>
        <v>—</v>
      </c>
      <c r="K128" s="46"/>
    </row>
    <row r="129" spans="1:11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IF(A129="","",IFERROR(VLOOKUP(A129,DB_Customers!$A:$M,13,0),""))</f>
        <v/>
      </c>
      <c r="D129" s="42" t="str">
        <f t="shared" ca="1" si="9"/>
        <v/>
      </c>
      <c r="E129" s="32"/>
      <c r="F129" s="43" t="str">
        <f t="shared" si="10"/>
        <v/>
      </c>
      <c r="G129" s="30" t="s">
        <v>58</v>
      </c>
      <c r="H129" s="41"/>
      <c r="I129" s="33" t="str">
        <f>IF(A129="","",IF(H129="","⚠️ Enter Agent Code",IF(IFERROR(VLOOKUP(G129,DB_Agents!$B:$F,4,0),"")=TEXT(H129,"0"),IF(AND(A129&lt;&gt;"",E129&lt;&gt;""),"✅ Saved","Pending"),"🔒 WRONG CODE")))</f>
        <v/>
      </c>
      <c r="J129" s="33" t="str">
        <f t="shared" ca="1" si="11"/>
        <v>—</v>
      </c>
      <c r="K129" s="22"/>
    </row>
    <row r="130" spans="1:11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IF(A130="","",IFERROR(VLOOKUP(A130,DB_Customers!$A:$M,13,0),""))</f>
        <v/>
      </c>
      <c r="D130" s="42" t="str">
        <f t="shared" ca="1" si="9"/>
        <v/>
      </c>
      <c r="E130" s="32"/>
      <c r="F130" s="43" t="str">
        <f t="shared" si="10"/>
        <v/>
      </c>
      <c r="G130" s="30" t="s">
        <v>58</v>
      </c>
      <c r="H130" s="41"/>
      <c r="I130" s="33" t="str">
        <f>IF(A130="","",IF(H130="","⚠️ Enter Agent Code",IF(IFERROR(VLOOKUP(G130,DB_Agents!$B:$F,4,0),"")=TEXT(H130,"0"),IF(AND(A130&lt;&gt;"",E130&lt;&gt;""),"✅ Saved","Pending"),"🔒 WRONG CODE")))</f>
        <v/>
      </c>
      <c r="J130" s="33" t="str">
        <f t="shared" ca="1" si="11"/>
        <v>—</v>
      </c>
      <c r="K130" s="46"/>
    </row>
    <row r="131" spans="1:11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IF(A131="","",IFERROR(VLOOKUP(A131,DB_Customers!$A:$M,13,0),""))</f>
        <v/>
      </c>
      <c r="D131" s="42" t="str">
        <f t="shared" ca="1" si="9"/>
        <v/>
      </c>
      <c r="E131" s="32"/>
      <c r="F131" s="43" t="str">
        <f t="shared" si="10"/>
        <v/>
      </c>
      <c r="G131" s="30" t="s">
        <v>58</v>
      </c>
      <c r="H131" s="41"/>
      <c r="I131" s="33" t="str">
        <f>IF(A131="","",IF(H131="","⚠️ Enter Agent Code",IF(IFERROR(VLOOKUP(G131,DB_Agents!$B:$F,4,0),"")=TEXT(H131,"0"),IF(AND(A131&lt;&gt;"",E131&lt;&gt;""),"✅ Saved","Pending"),"🔒 WRONG CODE")))</f>
        <v/>
      </c>
      <c r="J131" s="33" t="str">
        <f t="shared" ca="1" si="11"/>
        <v>—</v>
      </c>
      <c r="K131" s="22"/>
    </row>
    <row r="132" spans="1:11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IF(A132="","",IFERROR(VLOOKUP(A132,DB_Customers!$A:$M,13,0),""))</f>
        <v/>
      </c>
      <c r="D132" s="42" t="str">
        <f t="shared" ca="1" si="9"/>
        <v/>
      </c>
      <c r="E132" s="32"/>
      <c r="F132" s="43" t="str">
        <f t="shared" si="10"/>
        <v/>
      </c>
      <c r="G132" s="30" t="s">
        <v>58</v>
      </c>
      <c r="H132" s="41"/>
      <c r="I132" s="33" t="str">
        <f>IF(A132="","",IF(H132="","⚠️ Enter Agent Code",IF(IFERROR(VLOOKUP(G132,DB_Agents!$B:$F,4,0),"")=TEXT(H132,"0"),IF(AND(A132&lt;&gt;"",E132&lt;&gt;""),"✅ Saved","Pending"),"🔒 WRONG CODE")))</f>
        <v/>
      </c>
      <c r="J132" s="33" t="str">
        <f t="shared" ca="1" si="11"/>
        <v>—</v>
      </c>
      <c r="K132" s="46"/>
    </row>
    <row r="133" spans="1:11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IF(A133="","",IFERROR(VLOOKUP(A133,DB_Customers!$A:$M,13,0),""))</f>
        <v/>
      </c>
      <c r="D133" s="42" t="str">
        <f t="shared" ca="1" si="9"/>
        <v/>
      </c>
      <c r="E133" s="32"/>
      <c r="F133" s="43" t="str">
        <f t="shared" si="10"/>
        <v/>
      </c>
      <c r="G133" s="30" t="s">
        <v>58</v>
      </c>
      <c r="H133" s="41"/>
      <c r="I133" s="33" t="str">
        <f>IF(A133="","",IF(H133="","⚠️ Enter Agent Code",IF(IFERROR(VLOOKUP(G133,DB_Agents!$B:$F,4,0),"")=TEXT(H133,"0"),IF(AND(A133&lt;&gt;"",E133&lt;&gt;""),"✅ Saved","Pending"),"🔒 WRONG CODE")))</f>
        <v/>
      </c>
      <c r="J133" s="33" t="str">
        <f t="shared" ca="1" si="11"/>
        <v>—</v>
      </c>
      <c r="K133" s="22"/>
    </row>
    <row r="134" spans="1:11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IF(A134="","",IFERROR(VLOOKUP(A134,DB_Customers!$A:$M,13,0),""))</f>
        <v/>
      </c>
      <c r="D134" s="42" t="str">
        <f t="shared" ca="1" si="9"/>
        <v/>
      </c>
      <c r="E134" s="32"/>
      <c r="F134" s="43" t="str">
        <f t="shared" si="10"/>
        <v/>
      </c>
      <c r="G134" s="30" t="s">
        <v>58</v>
      </c>
      <c r="H134" s="41"/>
      <c r="I134" s="33" t="str">
        <f>IF(A134="","",IF(H134="","⚠️ Enter Agent Code",IF(IFERROR(VLOOKUP(G134,DB_Agents!$B:$F,4,0),"")=TEXT(H134,"0"),IF(AND(A134&lt;&gt;"",E134&lt;&gt;""),"✅ Saved","Pending"),"🔒 WRONG CODE")))</f>
        <v/>
      </c>
      <c r="J134" s="33" t="str">
        <f t="shared" ca="1" si="11"/>
        <v>—</v>
      </c>
      <c r="K134" s="46"/>
    </row>
    <row r="135" spans="1:11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IF(A135="","",IFERROR(VLOOKUP(A135,DB_Customers!$A:$M,13,0),""))</f>
        <v/>
      </c>
      <c r="D135" s="42" t="str">
        <f t="shared" ca="1" si="9"/>
        <v/>
      </c>
      <c r="E135" s="32"/>
      <c r="F135" s="43" t="str">
        <f t="shared" si="10"/>
        <v/>
      </c>
      <c r="G135" s="30" t="s">
        <v>58</v>
      </c>
      <c r="H135" s="41"/>
      <c r="I135" s="33" t="str">
        <f>IF(A135="","",IF(H135="","⚠️ Enter Agent Code",IF(IFERROR(VLOOKUP(G135,DB_Agents!$B:$F,4,0),"")=TEXT(H135,"0"),IF(AND(A135&lt;&gt;"",E135&lt;&gt;""),"✅ Saved","Pending"),"🔒 WRONG CODE")))</f>
        <v/>
      </c>
      <c r="J135" s="33" t="str">
        <f t="shared" ca="1" si="11"/>
        <v>—</v>
      </c>
      <c r="K135" s="22"/>
    </row>
    <row r="136" spans="1:11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IF(A136="","",IFERROR(VLOOKUP(A136,DB_Customers!$A:$M,13,0),""))</f>
        <v/>
      </c>
      <c r="D136" s="42" t="str">
        <f t="shared" ca="1" si="9"/>
        <v/>
      </c>
      <c r="E136" s="32"/>
      <c r="F136" s="43" t="str">
        <f t="shared" si="10"/>
        <v/>
      </c>
      <c r="G136" s="30" t="s">
        <v>58</v>
      </c>
      <c r="H136" s="41"/>
      <c r="I136" s="33" t="str">
        <f>IF(A136="","",IF(H136="","⚠️ Enter Agent Code",IF(IFERROR(VLOOKUP(G136,DB_Agents!$B:$F,4,0),"")=TEXT(H136,"0"),IF(AND(A136&lt;&gt;"",E136&lt;&gt;""),"✅ Saved","Pending"),"🔒 WRONG CODE")))</f>
        <v/>
      </c>
      <c r="J136" s="33" t="str">
        <f t="shared" ca="1" si="11"/>
        <v>—</v>
      </c>
      <c r="K136" s="46"/>
    </row>
    <row r="137" spans="1:11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IF(A137="","",IFERROR(VLOOKUP(A137,DB_Customers!$A:$M,13,0),""))</f>
        <v/>
      </c>
      <c r="D137" s="42" t="str">
        <f t="shared" ref="D137:D168" ca="1" si="12">IF(A137="","",TODAY())</f>
        <v/>
      </c>
      <c r="E137" s="32"/>
      <c r="F137" s="43" t="str">
        <f t="shared" ref="F137:F168" si="13">IFERROR(IF(OR(A137="",E137=""),"",C137+E137),"")</f>
        <v/>
      </c>
      <c r="G137" s="30" t="s">
        <v>58</v>
      </c>
      <c r="H137" s="41"/>
      <c r="I137" s="33" t="str">
        <f>IF(A137="","",IF(H137="","⚠️ Enter Agent Code",IF(IFERROR(VLOOKUP(G137,DB_Agents!$B:$F,4,0),"")=TEXT(H137,"0"),IF(AND(A137&lt;&gt;"",E137&lt;&gt;""),"✅ Saved","Pending"),"🔒 WRONG CODE")))</f>
        <v/>
      </c>
      <c r="J137" s="33" t="str">
        <f t="shared" ref="J137:J168" ca="1" si="14">IF(I137="✅ Saved",TEXT(TODAY(),"YYYY-MM-DD")&amp;" Auto","—")</f>
        <v>—</v>
      </c>
      <c r="K137" s="22"/>
    </row>
    <row r="138" spans="1:11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IF(A138="","",IFERROR(VLOOKUP(A138,DB_Customers!$A:$M,13,0),""))</f>
        <v/>
      </c>
      <c r="D138" s="42" t="str">
        <f t="shared" ca="1" si="12"/>
        <v/>
      </c>
      <c r="E138" s="32"/>
      <c r="F138" s="43" t="str">
        <f t="shared" si="13"/>
        <v/>
      </c>
      <c r="G138" s="30" t="s">
        <v>58</v>
      </c>
      <c r="H138" s="41"/>
      <c r="I138" s="33" t="str">
        <f>IF(A138="","",IF(H138="","⚠️ Enter Agent Code",IF(IFERROR(VLOOKUP(G138,DB_Agents!$B:$F,4,0),"")=TEXT(H138,"0"),IF(AND(A138&lt;&gt;"",E138&lt;&gt;""),"✅ Saved","Pending"),"🔒 WRONG CODE")))</f>
        <v/>
      </c>
      <c r="J138" s="33" t="str">
        <f t="shared" ca="1" si="14"/>
        <v>—</v>
      </c>
      <c r="K138" s="46"/>
    </row>
    <row r="139" spans="1:11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IF(A139="","",IFERROR(VLOOKUP(A139,DB_Customers!$A:$M,13,0),""))</f>
        <v/>
      </c>
      <c r="D139" s="42" t="str">
        <f t="shared" ca="1" si="12"/>
        <v/>
      </c>
      <c r="E139" s="32"/>
      <c r="F139" s="43" t="str">
        <f t="shared" si="13"/>
        <v/>
      </c>
      <c r="G139" s="30" t="s">
        <v>58</v>
      </c>
      <c r="H139" s="41"/>
      <c r="I139" s="33" t="str">
        <f>IF(A139="","",IF(H139="","⚠️ Enter Agent Code",IF(IFERROR(VLOOKUP(G139,DB_Agents!$B:$F,4,0),"")=TEXT(H139,"0"),IF(AND(A139&lt;&gt;"",E139&lt;&gt;""),"✅ Saved","Pending"),"🔒 WRONG CODE")))</f>
        <v/>
      </c>
      <c r="J139" s="33" t="str">
        <f t="shared" ca="1" si="14"/>
        <v>—</v>
      </c>
      <c r="K139" s="22"/>
    </row>
    <row r="140" spans="1:11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IF(A140="","",IFERROR(VLOOKUP(A140,DB_Customers!$A:$M,13,0),""))</f>
        <v/>
      </c>
      <c r="D140" s="42" t="str">
        <f t="shared" ca="1" si="12"/>
        <v/>
      </c>
      <c r="E140" s="32"/>
      <c r="F140" s="43" t="str">
        <f t="shared" si="13"/>
        <v/>
      </c>
      <c r="G140" s="30" t="s">
        <v>58</v>
      </c>
      <c r="H140" s="41"/>
      <c r="I140" s="33" t="str">
        <f>IF(A140="","",IF(H140="","⚠️ Enter Agent Code",IF(IFERROR(VLOOKUP(G140,DB_Agents!$B:$F,4,0),"")=TEXT(H140,"0"),IF(AND(A140&lt;&gt;"",E140&lt;&gt;""),"✅ Saved","Pending"),"🔒 WRONG CODE")))</f>
        <v/>
      </c>
      <c r="J140" s="33" t="str">
        <f t="shared" ca="1" si="14"/>
        <v>—</v>
      </c>
      <c r="K140" s="46"/>
    </row>
    <row r="141" spans="1:11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IF(A141="","",IFERROR(VLOOKUP(A141,DB_Customers!$A:$M,13,0),""))</f>
        <v/>
      </c>
      <c r="D141" s="42" t="str">
        <f t="shared" ca="1" si="12"/>
        <v/>
      </c>
      <c r="E141" s="32"/>
      <c r="F141" s="43" t="str">
        <f t="shared" si="13"/>
        <v/>
      </c>
      <c r="G141" s="30" t="s">
        <v>58</v>
      </c>
      <c r="H141" s="41"/>
      <c r="I141" s="33" t="str">
        <f>IF(A141="","",IF(H141="","⚠️ Enter Agent Code",IF(IFERROR(VLOOKUP(G141,DB_Agents!$B:$F,4,0),"")=TEXT(H141,"0"),IF(AND(A141&lt;&gt;"",E141&lt;&gt;""),"✅ Saved","Pending"),"🔒 WRONG CODE")))</f>
        <v/>
      </c>
      <c r="J141" s="33" t="str">
        <f t="shared" ca="1" si="14"/>
        <v>—</v>
      </c>
      <c r="K141" s="22"/>
    </row>
    <row r="142" spans="1:11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IF(A142="","",IFERROR(VLOOKUP(A142,DB_Customers!$A:$M,13,0),""))</f>
        <v/>
      </c>
      <c r="D142" s="42" t="str">
        <f t="shared" ca="1" si="12"/>
        <v/>
      </c>
      <c r="E142" s="32"/>
      <c r="F142" s="43" t="str">
        <f t="shared" si="13"/>
        <v/>
      </c>
      <c r="G142" s="30" t="s">
        <v>58</v>
      </c>
      <c r="H142" s="41"/>
      <c r="I142" s="33" t="str">
        <f>IF(A142="","",IF(H142="","⚠️ Enter Agent Code",IF(IFERROR(VLOOKUP(G142,DB_Agents!$B:$F,4,0),"")=TEXT(H142,"0"),IF(AND(A142&lt;&gt;"",E142&lt;&gt;""),"✅ Saved","Pending"),"🔒 WRONG CODE")))</f>
        <v/>
      </c>
      <c r="J142" s="33" t="str">
        <f t="shared" ca="1" si="14"/>
        <v>—</v>
      </c>
      <c r="K142" s="46"/>
    </row>
    <row r="143" spans="1:11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IF(A143="","",IFERROR(VLOOKUP(A143,DB_Customers!$A:$M,13,0),""))</f>
        <v/>
      </c>
      <c r="D143" s="42" t="str">
        <f t="shared" ca="1" si="12"/>
        <v/>
      </c>
      <c r="E143" s="32"/>
      <c r="F143" s="43" t="str">
        <f t="shared" si="13"/>
        <v/>
      </c>
      <c r="G143" s="30" t="s">
        <v>58</v>
      </c>
      <c r="H143" s="41"/>
      <c r="I143" s="33" t="str">
        <f>IF(A143="","",IF(H143="","⚠️ Enter Agent Code",IF(IFERROR(VLOOKUP(G143,DB_Agents!$B:$F,4,0),"")=TEXT(H143,"0"),IF(AND(A143&lt;&gt;"",E143&lt;&gt;""),"✅ Saved","Pending"),"🔒 WRONG CODE")))</f>
        <v/>
      </c>
      <c r="J143" s="33" t="str">
        <f t="shared" ca="1" si="14"/>
        <v>—</v>
      </c>
      <c r="K143" s="22"/>
    </row>
    <row r="144" spans="1:11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IF(A144="","",IFERROR(VLOOKUP(A144,DB_Customers!$A:$M,13,0),""))</f>
        <v/>
      </c>
      <c r="D144" s="42" t="str">
        <f t="shared" ca="1" si="12"/>
        <v/>
      </c>
      <c r="E144" s="32"/>
      <c r="F144" s="43" t="str">
        <f t="shared" si="13"/>
        <v/>
      </c>
      <c r="G144" s="30" t="s">
        <v>58</v>
      </c>
      <c r="H144" s="41"/>
      <c r="I144" s="33" t="str">
        <f>IF(A144="","",IF(H144="","⚠️ Enter Agent Code",IF(IFERROR(VLOOKUP(G144,DB_Agents!$B:$F,4,0),"")=TEXT(H144,"0"),IF(AND(A144&lt;&gt;"",E144&lt;&gt;""),"✅ Saved","Pending"),"🔒 WRONG CODE")))</f>
        <v/>
      </c>
      <c r="J144" s="33" t="str">
        <f t="shared" ca="1" si="14"/>
        <v>—</v>
      </c>
      <c r="K144" s="46"/>
    </row>
    <row r="145" spans="1:11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IF(A145="","",IFERROR(VLOOKUP(A145,DB_Customers!$A:$M,13,0),""))</f>
        <v/>
      </c>
      <c r="D145" s="42" t="str">
        <f t="shared" ca="1" si="12"/>
        <v/>
      </c>
      <c r="E145" s="32"/>
      <c r="F145" s="43" t="str">
        <f t="shared" si="13"/>
        <v/>
      </c>
      <c r="G145" s="30" t="s">
        <v>58</v>
      </c>
      <c r="H145" s="41"/>
      <c r="I145" s="33" t="str">
        <f>IF(A145="","",IF(H145="","⚠️ Enter Agent Code",IF(IFERROR(VLOOKUP(G145,DB_Agents!$B:$F,4,0),"")=TEXT(H145,"0"),IF(AND(A145&lt;&gt;"",E145&lt;&gt;""),"✅ Saved","Pending"),"🔒 WRONG CODE")))</f>
        <v/>
      </c>
      <c r="J145" s="33" t="str">
        <f t="shared" ca="1" si="14"/>
        <v>—</v>
      </c>
      <c r="K145" s="22"/>
    </row>
    <row r="146" spans="1:11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IF(A146="","",IFERROR(VLOOKUP(A146,DB_Customers!$A:$M,13,0),""))</f>
        <v/>
      </c>
      <c r="D146" s="42" t="str">
        <f t="shared" ca="1" si="12"/>
        <v/>
      </c>
      <c r="E146" s="32"/>
      <c r="F146" s="43" t="str">
        <f t="shared" si="13"/>
        <v/>
      </c>
      <c r="G146" s="30" t="s">
        <v>58</v>
      </c>
      <c r="H146" s="41"/>
      <c r="I146" s="33" t="str">
        <f>IF(A146="","",IF(H146="","⚠️ Enter Agent Code",IF(IFERROR(VLOOKUP(G146,DB_Agents!$B:$F,4,0),"")=TEXT(H146,"0"),IF(AND(A146&lt;&gt;"",E146&lt;&gt;""),"✅ Saved","Pending"),"🔒 WRONG CODE")))</f>
        <v/>
      </c>
      <c r="J146" s="33" t="str">
        <f t="shared" ca="1" si="14"/>
        <v>—</v>
      </c>
      <c r="K146" s="46"/>
    </row>
    <row r="147" spans="1:11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IF(A147="","",IFERROR(VLOOKUP(A147,DB_Customers!$A:$M,13,0),""))</f>
        <v/>
      </c>
      <c r="D147" s="42" t="str">
        <f t="shared" ca="1" si="12"/>
        <v/>
      </c>
      <c r="E147" s="32"/>
      <c r="F147" s="43" t="str">
        <f t="shared" si="13"/>
        <v/>
      </c>
      <c r="G147" s="30" t="s">
        <v>58</v>
      </c>
      <c r="H147" s="41"/>
      <c r="I147" s="33" t="str">
        <f>IF(A147="","",IF(H147="","⚠️ Enter Agent Code",IF(IFERROR(VLOOKUP(G147,DB_Agents!$B:$F,4,0),"")=TEXT(H147,"0"),IF(AND(A147&lt;&gt;"",E147&lt;&gt;""),"✅ Saved","Pending"),"🔒 WRONG CODE")))</f>
        <v/>
      </c>
      <c r="J147" s="33" t="str">
        <f t="shared" ca="1" si="14"/>
        <v>—</v>
      </c>
      <c r="K147" s="22"/>
    </row>
    <row r="148" spans="1:11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IF(A148="","",IFERROR(VLOOKUP(A148,DB_Customers!$A:$M,13,0),""))</f>
        <v/>
      </c>
      <c r="D148" s="42" t="str">
        <f t="shared" ca="1" si="12"/>
        <v/>
      </c>
      <c r="E148" s="32"/>
      <c r="F148" s="43" t="str">
        <f t="shared" si="13"/>
        <v/>
      </c>
      <c r="G148" s="30" t="s">
        <v>58</v>
      </c>
      <c r="H148" s="41"/>
      <c r="I148" s="33" t="str">
        <f>IF(A148="","",IF(H148="","⚠️ Enter Agent Code",IF(IFERROR(VLOOKUP(G148,DB_Agents!$B:$F,4,0),"")=TEXT(H148,"0"),IF(AND(A148&lt;&gt;"",E148&lt;&gt;""),"✅ Saved","Pending"),"🔒 WRONG CODE")))</f>
        <v/>
      </c>
      <c r="J148" s="33" t="str">
        <f t="shared" ca="1" si="14"/>
        <v>—</v>
      </c>
      <c r="K148" s="46"/>
    </row>
    <row r="149" spans="1:11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IF(A149="","",IFERROR(VLOOKUP(A149,DB_Customers!$A:$M,13,0),""))</f>
        <v/>
      </c>
      <c r="D149" s="42" t="str">
        <f t="shared" ca="1" si="12"/>
        <v/>
      </c>
      <c r="E149" s="32"/>
      <c r="F149" s="43" t="str">
        <f t="shared" si="13"/>
        <v/>
      </c>
      <c r="G149" s="30" t="s">
        <v>58</v>
      </c>
      <c r="H149" s="41"/>
      <c r="I149" s="33" t="str">
        <f>IF(A149="","",IF(H149="","⚠️ Enter Agent Code",IF(IFERROR(VLOOKUP(G149,DB_Agents!$B:$F,4,0),"")=TEXT(H149,"0"),IF(AND(A149&lt;&gt;"",E149&lt;&gt;""),"✅ Saved","Pending"),"🔒 WRONG CODE")))</f>
        <v/>
      </c>
      <c r="J149" s="33" t="str">
        <f t="shared" ca="1" si="14"/>
        <v>—</v>
      </c>
      <c r="K149" s="22"/>
    </row>
    <row r="150" spans="1:11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IF(A150="","",IFERROR(VLOOKUP(A150,DB_Customers!$A:$M,13,0),""))</f>
        <v/>
      </c>
      <c r="D150" s="42" t="str">
        <f t="shared" ca="1" si="12"/>
        <v/>
      </c>
      <c r="E150" s="32"/>
      <c r="F150" s="43" t="str">
        <f t="shared" si="13"/>
        <v/>
      </c>
      <c r="G150" s="30" t="s">
        <v>58</v>
      </c>
      <c r="H150" s="41"/>
      <c r="I150" s="33" t="str">
        <f>IF(A150="","",IF(H150="","⚠️ Enter Agent Code",IF(IFERROR(VLOOKUP(G150,DB_Agents!$B:$F,4,0),"")=TEXT(H150,"0"),IF(AND(A150&lt;&gt;"",E150&lt;&gt;""),"✅ Saved","Pending"),"🔒 WRONG CODE")))</f>
        <v/>
      </c>
      <c r="J150" s="33" t="str">
        <f t="shared" ca="1" si="14"/>
        <v>—</v>
      </c>
      <c r="K150" s="46"/>
    </row>
    <row r="151" spans="1:11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IF(A151="","",IFERROR(VLOOKUP(A151,DB_Customers!$A:$M,13,0),""))</f>
        <v/>
      </c>
      <c r="D151" s="42" t="str">
        <f t="shared" ca="1" si="12"/>
        <v/>
      </c>
      <c r="E151" s="32"/>
      <c r="F151" s="43" t="str">
        <f t="shared" si="13"/>
        <v/>
      </c>
      <c r="G151" s="30" t="s">
        <v>58</v>
      </c>
      <c r="H151" s="41"/>
      <c r="I151" s="33" t="str">
        <f>IF(A151="","",IF(H151="","⚠️ Enter Agent Code",IF(IFERROR(VLOOKUP(G151,DB_Agents!$B:$F,4,0),"")=TEXT(H151,"0"),IF(AND(A151&lt;&gt;"",E151&lt;&gt;""),"✅ Saved","Pending"),"🔒 WRONG CODE")))</f>
        <v/>
      </c>
      <c r="J151" s="33" t="str">
        <f t="shared" ca="1" si="14"/>
        <v>—</v>
      </c>
      <c r="K151" s="22"/>
    </row>
    <row r="152" spans="1:11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IF(A152="","",IFERROR(VLOOKUP(A152,DB_Customers!$A:$M,13,0),""))</f>
        <v/>
      </c>
      <c r="D152" s="42" t="str">
        <f t="shared" ca="1" si="12"/>
        <v/>
      </c>
      <c r="E152" s="32"/>
      <c r="F152" s="43" t="str">
        <f t="shared" si="13"/>
        <v/>
      </c>
      <c r="G152" s="30" t="s">
        <v>58</v>
      </c>
      <c r="H152" s="41"/>
      <c r="I152" s="33" t="str">
        <f>IF(A152="","",IF(H152="","⚠️ Enter Agent Code",IF(IFERROR(VLOOKUP(G152,DB_Agents!$B:$F,4,0),"")=TEXT(H152,"0"),IF(AND(A152&lt;&gt;"",E152&lt;&gt;""),"✅ Saved","Pending"),"🔒 WRONG CODE")))</f>
        <v/>
      </c>
      <c r="J152" s="33" t="str">
        <f t="shared" ca="1" si="14"/>
        <v>—</v>
      </c>
      <c r="K152" s="46"/>
    </row>
    <row r="153" spans="1:11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IF(A153="","",IFERROR(VLOOKUP(A153,DB_Customers!$A:$M,13,0),""))</f>
        <v/>
      </c>
      <c r="D153" s="42" t="str">
        <f t="shared" ca="1" si="12"/>
        <v/>
      </c>
      <c r="E153" s="32"/>
      <c r="F153" s="43" t="str">
        <f t="shared" si="13"/>
        <v/>
      </c>
      <c r="G153" s="30" t="s">
        <v>58</v>
      </c>
      <c r="H153" s="41"/>
      <c r="I153" s="33" t="str">
        <f>IF(A153="","",IF(H153="","⚠️ Enter Agent Code",IF(IFERROR(VLOOKUP(G153,DB_Agents!$B:$F,4,0),"")=TEXT(H153,"0"),IF(AND(A153&lt;&gt;"",E153&lt;&gt;""),"✅ Saved","Pending"),"🔒 WRONG CODE")))</f>
        <v/>
      </c>
      <c r="J153" s="33" t="str">
        <f t="shared" ca="1" si="14"/>
        <v>—</v>
      </c>
      <c r="K153" s="22"/>
    </row>
    <row r="154" spans="1:11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IF(A154="","",IFERROR(VLOOKUP(A154,DB_Customers!$A:$M,13,0),""))</f>
        <v/>
      </c>
      <c r="D154" s="42" t="str">
        <f t="shared" ca="1" si="12"/>
        <v/>
      </c>
      <c r="E154" s="32"/>
      <c r="F154" s="43" t="str">
        <f t="shared" si="13"/>
        <v/>
      </c>
      <c r="G154" s="30" t="s">
        <v>58</v>
      </c>
      <c r="H154" s="41"/>
      <c r="I154" s="33" t="str">
        <f>IF(A154="","",IF(H154="","⚠️ Enter Agent Code",IF(IFERROR(VLOOKUP(G154,DB_Agents!$B:$F,4,0),"")=TEXT(H154,"0"),IF(AND(A154&lt;&gt;"",E154&lt;&gt;""),"✅ Saved","Pending"),"🔒 WRONG CODE")))</f>
        <v/>
      </c>
      <c r="J154" s="33" t="str">
        <f t="shared" ca="1" si="14"/>
        <v>—</v>
      </c>
      <c r="K154" s="46"/>
    </row>
    <row r="155" spans="1:11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IF(A155="","",IFERROR(VLOOKUP(A155,DB_Customers!$A:$M,13,0),""))</f>
        <v/>
      </c>
      <c r="D155" s="42" t="str">
        <f t="shared" ca="1" si="12"/>
        <v/>
      </c>
      <c r="E155" s="32"/>
      <c r="F155" s="43" t="str">
        <f t="shared" si="13"/>
        <v/>
      </c>
      <c r="G155" s="30" t="s">
        <v>58</v>
      </c>
      <c r="H155" s="41"/>
      <c r="I155" s="33" t="str">
        <f>IF(A155="","",IF(H155="","⚠️ Enter Agent Code",IF(IFERROR(VLOOKUP(G155,DB_Agents!$B:$F,4,0),"")=TEXT(H155,"0"),IF(AND(A155&lt;&gt;"",E155&lt;&gt;""),"✅ Saved","Pending"),"🔒 WRONG CODE")))</f>
        <v/>
      </c>
      <c r="J155" s="33" t="str">
        <f t="shared" ca="1" si="14"/>
        <v>—</v>
      </c>
      <c r="K155" s="22"/>
    </row>
    <row r="156" spans="1:11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IF(A156="","",IFERROR(VLOOKUP(A156,DB_Customers!$A:$M,13,0),""))</f>
        <v/>
      </c>
      <c r="D156" s="42" t="str">
        <f t="shared" ca="1" si="12"/>
        <v/>
      </c>
      <c r="E156" s="32"/>
      <c r="F156" s="43" t="str">
        <f t="shared" si="13"/>
        <v/>
      </c>
      <c r="G156" s="30" t="s">
        <v>58</v>
      </c>
      <c r="H156" s="41"/>
      <c r="I156" s="33" t="str">
        <f>IF(A156="","",IF(H156="","⚠️ Enter Agent Code",IF(IFERROR(VLOOKUP(G156,DB_Agents!$B:$F,4,0),"")=TEXT(H156,"0"),IF(AND(A156&lt;&gt;"",E156&lt;&gt;""),"✅ Saved","Pending"),"🔒 WRONG CODE")))</f>
        <v/>
      </c>
      <c r="J156" s="33" t="str">
        <f t="shared" ca="1" si="14"/>
        <v>—</v>
      </c>
      <c r="K156" s="46"/>
    </row>
    <row r="157" spans="1:11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IF(A157="","",IFERROR(VLOOKUP(A157,DB_Customers!$A:$M,13,0),""))</f>
        <v/>
      </c>
      <c r="D157" s="42" t="str">
        <f t="shared" ca="1" si="12"/>
        <v/>
      </c>
      <c r="E157" s="32"/>
      <c r="F157" s="43" t="str">
        <f t="shared" si="13"/>
        <v/>
      </c>
      <c r="G157" s="30" t="s">
        <v>58</v>
      </c>
      <c r="H157" s="41"/>
      <c r="I157" s="33" t="str">
        <f>IF(A157="","",IF(H157="","⚠️ Enter Agent Code",IF(IFERROR(VLOOKUP(G157,DB_Agents!$B:$F,4,0),"")=TEXT(H157,"0"),IF(AND(A157&lt;&gt;"",E157&lt;&gt;""),"✅ Saved","Pending"),"🔒 WRONG CODE")))</f>
        <v/>
      </c>
      <c r="J157" s="33" t="str">
        <f t="shared" ca="1" si="14"/>
        <v>—</v>
      </c>
      <c r="K157" s="22"/>
    </row>
    <row r="158" spans="1:11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IF(A158="","",IFERROR(VLOOKUP(A158,DB_Customers!$A:$M,13,0),""))</f>
        <v/>
      </c>
      <c r="D158" s="42" t="str">
        <f t="shared" ca="1" si="12"/>
        <v/>
      </c>
      <c r="E158" s="32"/>
      <c r="F158" s="43" t="str">
        <f t="shared" si="13"/>
        <v/>
      </c>
      <c r="G158" s="30" t="s">
        <v>58</v>
      </c>
      <c r="H158" s="41"/>
      <c r="I158" s="33" t="str">
        <f>IF(A158="","",IF(H158="","⚠️ Enter Agent Code",IF(IFERROR(VLOOKUP(G158,DB_Agents!$B:$F,4,0),"")=TEXT(H158,"0"),IF(AND(A158&lt;&gt;"",E158&lt;&gt;""),"✅ Saved","Pending"),"🔒 WRONG CODE")))</f>
        <v/>
      </c>
      <c r="J158" s="33" t="str">
        <f t="shared" ca="1" si="14"/>
        <v>—</v>
      </c>
      <c r="K158" s="46"/>
    </row>
    <row r="159" spans="1:11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IF(A159="","",IFERROR(VLOOKUP(A159,DB_Customers!$A:$M,13,0),""))</f>
        <v/>
      </c>
      <c r="D159" s="42" t="str">
        <f t="shared" ca="1" si="12"/>
        <v/>
      </c>
      <c r="E159" s="32"/>
      <c r="F159" s="43" t="str">
        <f t="shared" si="13"/>
        <v/>
      </c>
      <c r="G159" s="30" t="s">
        <v>58</v>
      </c>
      <c r="H159" s="41"/>
      <c r="I159" s="33" t="str">
        <f>IF(A159="","",IF(H159="","⚠️ Enter Agent Code",IF(IFERROR(VLOOKUP(G159,DB_Agents!$B:$F,4,0),"")=TEXT(H159,"0"),IF(AND(A159&lt;&gt;"",E159&lt;&gt;""),"✅ Saved","Pending"),"🔒 WRONG CODE")))</f>
        <v/>
      </c>
      <c r="J159" s="33" t="str">
        <f t="shared" ca="1" si="14"/>
        <v>—</v>
      </c>
      <c r="K159" s="22"/>
    </row>
    <row r="160" spans="1:11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IF(A160="","",IFERROR(VLOOKUP(A160,DB_Customers!$A:$M,13,0),""))</f>
        <v/>
      </c>
      <c r="D160" s="42" t="str">
        <f t="shared" ca="1" si="12"/>
        <v/>
      </c>
      <c r="E160" s="32"/>
      <c r="F160" s="43" t="str">
        <f t="shared" si="13"/>
        <v/>
      </c>
      <c r="G160" s="30" t="s">
        <v>58</v>
      </c>
      <c r="H160" s="41"/>
      <c r="I160" s="33" t="str">
        <f>IF(A160="","",IF(H160="","⚠️ Enter Agent Code",IF(IFERROR(VLOOKUP(G160,DB_Agents!$B:$F,4,0),"")=TEXT(H160,"0"),IF(AND(A160&lt;&gt;"",E160&lt;&gt;""),"✅ Saved","Pending"),"🔒 WRONG CODE")))</f>
        <v/>
      </c>
      <c r="J160" s="33" t="str">
        <f t="shared" ca="1" si="14"/>
        <v>—</v>
      </c>
      <c r="K160" s="46"/>
    </row>
    <row r="161" spans="1:11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IF(A161="","",IFERROR(VLOOKUP(A161,DB_Customers!$A:$M,13,0),""))</f>
        <v/>
      </c>
      <c r="D161" s="42" t="str">
        <f t="shared" ca="1" si="12"/>
        <v/>
      </c>
      <c r="E161" s="32"/>
      <c r="F161" s="43" t="str">
        <f t="shared" si="13"/>
        <v/>
      </c>
      <c r="G161" s="30" t="s">
        <v>58</v>
      </c>
      <c r="H161" s="41"/>
      <c r="I161" s="33" t="str">
        <f>IF(A161="","",IF(H161="","⚠️ Enter Agent Code",IF(IFERROR(VLOOKUP(G161,DB_Agents!$B:$F,4,0),"")=TEXT(H161,"0"),IF(AND(A161&lt;&gt;"",E161&lt;&gt;""),"✅ Saved","Pending"),"🔒 WRONG CODE")))</f>
        <v/>
      </c>
      <c r="J161" s="33" t="str">
        <f t="shared" ca="1" si="14"/>
        <v>—</v>
      </c>
      <c r="K161" s="22"/>
    </row>
    <row r="162" spans="1:11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IF(A162="","",IFERROR(VLOOKUP(A162,DB_Customers!$A:$M,13,0),""))</f>
        <v/>
      </c>
      <c r="D162" s="42" t="str">
        <f t="shared" ca="1" si="12"/>
        <v/>
      </c>
      <c r="E162" s="32"/>
      <c r="F162" s="43" t="str">
        <f t="shared" si="13"/>
        <v/>
      </c>
      <c r="G162" s="30" t="s">
        <v>58</v>
      </c>
      <c r="H162" s="41"/>
      <c r="I162" s="33" t="str">
        <f>IF(A162="","",IF(H162="","⚠️ Enter Agent Code",IF(IFERROR(VLOOKUP(G162,DB_Agents!$B:$F,4,0),"")=TEXT(H162,"0"),IF(AND(A162&lt;&gt;"",E162&lt;&gt;""),"✅ Saved","Pending"),"🔒 WRONG CODE")))</f>
        <v/>
      </c>
      <c r="J162" s="33" t="str">
        <f t="shared" ca="1" si="14"/>
        <v>—</v>
      </c>
      <c r="K162" s="46"/>
    </row>
    <row r="163" spans="1:11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IF(A163="","",IFERROR(VLOOKUP(A163,DB_Customers!$A:$M,13,0),""))</f>
        <v/>
      </c>
      <c r="D163" s="42" t="str">
        <f t="shared" ca="1" si="12"/>
        <v/>
      </c>
      <c r="E163" s="32"/>
      <c r="F163" s="43" t="str">
        <f t="shared" si="13"/>
        <v/>
      </c>
      <c r="G163" s="30" t="s">
        <v>58</v>
      </c>
      <c r="H163" s="41"/>
      <c r="I163" s="33" t="str">
        <f>IF(A163="","",IF(H163="","⚠️ Enter Agent Code",IF(IFERROR(VLOOKUP(G163,DB_Agents!$B:$F,4,0),"")=TEXT(H163,"0"),IF(AND(A163&lt;&gt;"",E163&lt;&gt;""),"✅ Saved","Pending"),"🔒 WRONG CODE")))</f>
        <v/>
      </c>
      <c r="J163" s="33" t="str">
        <f t="shared" ca="1" si="14"/>
        <v>—</v>
      </c>
      <c r="K163" s="22"/>
    </row>
    <row r="164" spans="1:11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IF(A164="","",IFERROR(VLOOKUP(A164,DB_Customers!$A:$M,13,0),""))</f>
        <v/>
      </c>
      <c r="D164" s="42" t="str">
        <f t="shared" ca="1" si="12"/>
        <v/>
      </c>
      <c r="E164" s="32"/>
      <c r="F164" s="43" t="str">
        <f t="shared" si="13"/>
        <v/>
      </c>
      <c r="G164" s="30" t="s">
        <v>58</v>
      </c>
      <c r="H164" s="41"/>
      <c r="I164" s="33" t="str">
        <f>IF(A164="","",IF(H164="","⚠️ Enter Agent Code",IF(IFERROR(VLOOKUP(G164,DB_Agents!$B:$F,4,0),"")=TEXT(H164,"0"),IF(AND(A164&lt;&gt;"",E164&lt;&gt;""),"✅ Saved","Pending"),"🔒 WRONG CODE")))</f>
        <v/>
      </c>
      <c r="J164" s="33" t="str">
        <f t="shared" ca="1" si="14"/>
        <v>—</v>
      </c>
      <c r="K164" s="46"/>
    </row>
    <row r="165" spans="1:11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IF(A165="","",IFERROR(VLOOKUP(A165,DB_Customers!$A:$M,13,0),""))</f>
        <v/>
      </c>
      <c r="D165" s="42" t="str">
        <f t="shared" ca="1" si="12"/>
        <v/>
      </c>
      <c r="E165" s="32"/>
      <c r="F165" s="43" t="str">
        <f t="shared" si="13"/>
        <v/>
      </c>
      <c r="G165" s="30" t="s">
        <v>58</v>
      </c>
      <c r="H165" s="41"/>
      <c r="I165" s="33" t="str">
        <f>IF(A165="","",IF(H165="","⚠️ Enter Agent Code",IF(IFERROR(VLOOKUP(G165,DB_Agents!$B:$F,4,0),"")=TEXT(H165,"0"),IF(AND(A165&lt;&gt;"",E165&lt;&gt;""),"✅ Saved","Pending"),"🔒 WRONG CODE")))</f>
        <v/>
      </c>
      <c r="J165" s="33" t="str">
        <f t="shared" ca="1" si="14"/>
        <v>—</v>
      </c>
      <c r="K165" s="22"/>
    </row>
    <row r="166" spans="1:11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IF(A166="","",IFERROR(VLOOKUP(A166,DB_Customers!$A:$M,13,0),""))</f>
        <v/>
      </c>
      <c r="D166" s="42" t="str">
        <f t="shared" ca="1" si="12"/>
        <v/>
      </c>
      <c r="E166" s="32"/>
      <c r="F166" s="43" t="str">
        <f t="shared" si="13"/>
        <v/>
      </c>
      <c r="G166" s="30" t="s">
        <v>58</v>
      </c>
      <c r="H166" s="41"/>
      <c r="I166" s="33" t="str">
        <f>IF(A166="","",IF(H166="","⚠️ Enter Agent Code",IF(IFERROR(VLOOKUP(G166,DB_Agents!$B:$F,4,0),"")=TEXT(H166,"0"),IF(AND(A166&lt;&gt;"",E166&lt;&gt;""),"✅ Saved","Pending"),"🔒 WRONG CODE")))</f>
        <v/>
      </c>
      <c r="J166" s="33" t="str">
        <f t="shared" ca="1" si="14"/>
        <v>—</v>
      </c>
      <c r="K166" s="46"/>
    </row>
    <row r="167" spans="1:11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IF(A167="","",IFERROR(VLOOKUP(A167,DB_Customers!$A:$M,13,0),""))</f>
        <v/>
      </c>
      <c r="D167" s="42" t="str">
        <f t="shared" ca="1" si="12"/>
        <v/>
      </c>
      <c r="E167" s="32"/>
      <c r="F167" s="43" t="str">
        <f t="shared" si="13"/>
        <v/>
      </c>
      <c r="G167" s="30" t="s">
        <v>58</v>
      </c>
      <c r="H167" s="41"/>
      <c r="I167" s="33" t="str">
        <f>IF(A167="","",IF(H167="","⚠️ Enter Agent Code",IF(IFERROR(VLOOKUP(G167,DB_Agents!$B:$F,4,0),"")=TEXT(H167,"0"),IF(AND(A167&lt;&gt;"",E167&lt;&gt;""),"✅ Saved","Pending"),"🔒 WRONG CODE")))</f>
        <v/>
      </c>
      <c r="J167" s="33" t="str">
        <f t="shared" ca="1" si="14"/>
        <v>—</v>
      </c>
      <c r="K167" s="22"/>
    </row>
    <row r="168" spans="1:11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IF(A168="","",IFERROR(VLOOKUP(A168,DB_Customers!$A:$M,13,0),""))</f>
        <v/>
      </c>
      <c r="D168" s="42" t="str">
        <f t="shared" ca="1" si="12"/>
        <v/>
      </c>
      <c r="E168" s="32"/>
      <c r="F168" s="43" t="str">
        <f t="shared" si="13"/>
        <v/>
      </c>
      <c r="G168" s="30" t="s">
        <v>58</v>
      </c>
      <c r="H168" s="41"/>
      <c r="I168" s="33" t="str">
        <f>IF(A168="","",IF(H168="","⚠️ Enter Agent Code",IF(IFERROR(VLOOKUP(G168,DB_Agents!$B:$F,4,0),"")=TEXT(H168,"0"),IF(AND(A168&lt;&gt;"",E168&lt;&gt;""),"✅ Saved","Pending"),"🔒 WRONG CODE")))</f>
        <v/>
      </c>
      <c r="J168" s="33" t="str">
        <f t="shared" ca="1" si="14"/>
        <v>—</v>
      </c>
      <c r="K168" s="46"/>
    </row>
    <row r="169" spans="1:11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IF(A169="","",IFERROR(VLOOKUP(A169,DB_Customers!$A:$M,13,0),""))</f>
        <v/>
      </c>
      <c r="D169" s="42" t="str">
        <f t="shared" ref="D169:D200" ca="1" si="15">IF(A169="","",TODAY())</f>
        <v/>
      </c>
      <c r="E169" s="32"/>
      <c r="F169" s="43" t="str">
        <f t="shared" ref="F169:F200" si="16">IFERROR(IF(OR(A169="",E169=""),"",C169+E169),"")</f>
        <v/>
      </c>
      <c r="G169" s="30" t="s">
        <v>58</v>
      </c>
      <c r="H169" s="41"/>
      <c r="I169" s="33" t="str">
        <f>IF(A169="","",IF(H169="","⚠️ Enter Agent Code",IF(IFERROR(VLOOKUP(G169,DB_Agents!$B:$F,4,0),"")=TEXT(H169,"0"),IF(AND(A169&lt;&gt;"",E169&lt;&gt;""),"✅ Saved","Pending"),"🔒 WRONG CODE")))</f>
        <v/>
      </c>
      <c r="J169" s="33" t="str">
        <f t="shared" ref="J169:J200" ca="1" si="17">IF(I169="✅ Saved",TEXT(TODAY(),"YYYY-MM-DD")&amp;" Auto","—")</f>
        <v>—</v>
      </c>
      <c r="K169" s="22"/>
    </row>
    <row r="170" spans="1:11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IF(A170="","",IFERROR(VLOOKUP(A170,DB_Customers!$A:$M,13,0),""))</f>
        <v/>
      </c>
      <c r="D170" s="42" t="str">
        <f t="shared" ca="1" si="15"/>
        <v/>
      </c>
      <c r="E170" s="32"/>
      <c r="F170" s="43" t="str">
        <f t="shared" si="16"/>
        <v/>
      </c>
      <c r="G170" s="30" t="s">
        <v>58</v>
      </c>
      <c r="H170" s="41"/>
      <c r="I170" s="33" t="str">
        <f>IF(A170="","",IF(H170="","⚠️ Enter Agent Code",IF(IFERROR(VLOOKUP(G170,DB_Agents!$B:$F,4,0),"")=TEXT(H170,"0"),IF(AND(A170&lt;&gt;"",E170&lt;&gt;""),"✅ Saved","Pending"),"🔒 WRONG CODE")))</f>
        <v/>
      </c>
      <c r="J170" s="33" t="str">
        <f t="shared" ca="1" si="17"/>
        <v>—</v>
      </c>
      <c r="K170" s="46"/>
    </row>
    <row r="171" spans="1:11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IF(A171="","",IFERROR(VLOOKUP(A171,DB_Customers!$A:$M,13,0),""))</f>
        <v/>
      </c>
      <c r="D171" s="42" t="str">
        <f t="shared" ca="1" si="15"/>
        <v/>
      </c>
      <c r="E171" s="32"/>
      <c r="F171" s="43" t="str">
        <f t="shared" si="16"/>
        <v/>
      </c>
      <c r="G171" s="30" t="s">
        <v>58</v>
      </c>
      <c r="H171" s="41"/>
      <c r="I171" s="33" t="str">
        <f>IF(A171="","",IF(H171="","⚠️ Enter Agent Code",IF(IFERROR(VLOOKUP(G171,DB_Agents!$B:$F,4,0),"")=TEXT(H171,"0"),IF(AND(A171&lt;&gt;"",E171&lt;&gt;""),"✅ Saved","Pending"),"🔒 WRONG CODE")))</f>
        <v/>
      </c>
      <c r="J171" s="33" t="str">
        <f t="shared" ca="1" si="17"/>
        <v>—</v>
      </c>
      <c r="K171" s="22"/>
    </row>
    <row r="172" spans="1:11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IF(A172="","",IFERROR(VLOOKUP(A172,DB_Customers!$A:$M,13,0),""))</f>
        <v/>
      </c>
      <c r="D172" s="42" t="str">
        <f t="shared" ca="1" si="15"/>
        <v/>
      </c>
      <c r="E172" s="32"/>
      <c r="F172" s="43" t="str">
        <f t="shared" si="16"/>
        <v/>
      </c>
      <c r="G172" s="30" t="s">
        <v>58</v>
      </c>
      <c r="H172" s="41"/>
      <c r="I172" s="33" t="str">
        <f>IF(A172="","",IF(H172="","⚠️ Enter Agent Code",IF(IFERROR(VLOOKUP(G172,DB_Agents!$B:$F,4,0),"")=TEXT(H172,"0"),IF(AND(A172&lt;&gt;"",E172&lt;&gt;""),"✅ Saved","Pending"),"🔒 WRONG CODE")))</f>
        <v/>
      </c>
      <c r="J172" s="33" t="str">
        <f t="shared" ca="1" si="17"/>
        <v>—</v>
      </c>
      <c r="K172" s="46"/>
    </row>
    <row r="173" spans="1:11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IF(A173="","",IFERROR(VLOOKUP(A173,DB_Customers!$A:$M,13,0),""))</f>
        <v/>
      </c>
      <c r="D173" s="42" t="str">
        <f t="shared" ca="1" si="15"/>
        <v/>
      </c>
      <c r="E173" s="32"/>
      <c r="F173" s="43" t="str">
        <f t="shared" si="16"/>
        <v/>
      </c>
      <c r="G173" s="30" t="s">
        <v>58</v>
      </c>
      <c r="H173" s="41"/>
      <c r="I173" s="33" t="str">
        <f>IF(A173="","",IF(H173="","⚠️ Enter Agent Code",IF(IFERROR(VLOOKUP(G173,DB_Agents!$B:$F,4,0),"")=TEXT(H173,"0"),IF(AND(A173&lt;&gt;"",E173&lt;&gt;""),"✅ Saved","Pending"),"🔒 WRONG CODE")))</f>
        <v/>
      </c>
      <c r="J173" s="33" t="str">
        <f t="shared" ca="1" si="17"/>
        <v>—</v>
      </c>
      <c r="K173" s="22"/>
    </row>
    <row r="174" spans="1:11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IF(A174="","",IFERROR(VLOOKUP(A174,DB_Customers!$A:$M,13,0),""))</f>
        <v/>
      </c>
      <c r="D174" s="42" t="str">
        <f t="shared" ca="1" si="15"/>
        <v/>
      </c>
      <c r="E174" s="32"/>
      <c r="F174" s="43" t="str">
        <f t="shared" si="16"/>
        <v/>
      </c>
      <c r="G174" s="30" t="s">
        <v>58</v>
      </c>
      <c r="H174" s="41"/>
      <c r="I174" s="33" t="str">
        <f>IF(A174="","",IF(H174="","⚠️ Enter Agent Code",IF(IFERROR(VLOOKUP(G174,DB_Agents!$B:$F,4,0),"")=TEXT(H174,"0"),IF(AND(A174&lt;&gt;"",E174&lt;&gt;""),"✅ Saved","Pending"),"🔒 WRONG CODE")))</f>
        <v/>
      </c>
      <c r="J174" s="33" t="str">
        <f t="shared" ca="1" si="17"/>
        <v>—</v>
      </c>
      <c r="K174" s="46"/>
    </row>
    <row r="175" spans="1:11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IF(A175="","",IFERROR(VLOOKUP(A175,DB_Customers!$A:$M,13,0),""))</f>
        <v/>
      </c>
      <c r="D175" s="42" t="str">
        <f t="shared" ca="1" si="15"/>
        <v/>
      </c>
      <c r="E175" s="32"/>
      <c r="F175" s="43" t="str">
        <f t="shared" si="16"/>
        <v/>
      </c>
      <c r="G175" s="30" t="s">
        <v>58</v>
      </c>
      <c r="H175" s="41"/>
      <c r="I175" s="33" t="str">
        <f>IF(A175="","",IF(H175="","⚠️ Enter Agent Code",IF(IFERROR(VLOOKUP(G175,DB_Agents!$B:$F,4,0),"")=TEXT(H175,"0"),IF(AND(A175&lt;&gt;"",E175&lt;&gt;""),"✅ Saved","Pending"),"🔒 WRONG CODE")))</f>
        <v/>
      </c>
      <c r="J175" s="33" t="str">
        <f t="shared" ca="1" si="17"/>
        <v>—</v>
      </c>
      <c r="K175" s="22"/>
    </row>
    <row r="176" spans="1:11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IF(A176="","",IFERROR(VLOOKUP(A176,DB_Customers!$A:$M,13,0),""))</f>
        <v/>
      </c>
      <c r="D176" s="42" t="str">
        <f t="shared" ca="1" si="15"/>
        <v/>
      </c>
      <c r="E176" s="32"/>
      <c r="F176" s="43" t="str">
        <f t="shared" si="16"/>
        <v/>
      </c>
      <c r="G176" s="30" t="s">
        <v>58</v>
      </c>
      <c r="H176" s="41"/>
      <c r="I176" s="33" t="str">
        <f>IF(A176="","",IF(H176="","⚠️ Enter Agent Code",IF(IFERROR(VLOOKUP(G176,DB_Agents!$B:$F,4,0),"")=TEXT(H176,"0"),IF(AND(A176&lt;&gt;"",E176&lt;&gt;""),"✅ Saved","Pending"),"🔒 WRONG CODE")))</f>
        <v/>
      </c>
      <c r="J176" s="33" t="str">
        <f t="shared" ca="1" si="17"/>
        <v>—</v>
      </c>
      <c r="K176" s="46"/>
    </row>
    <row r="177" spans="1:11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IF(A177="","",IFERROR(VLOOKUP(A177,DB_Customers!$A:$M,13,0),""))</f>
        <v/>
      </c>
      <c r="D177" s="42" t="str">
        <f t="shared" ca="1" si="15"/>
        <v/>
      </c>
      <c r="E177" s="32"/>
      <c r="F177" s="43" t="str">
        <f t="shared" si="16"/>
        <v/>
      </c>
      <c r="G177" s="30" t="s">
        <v>58</v>
      </c>
      <c r="H177" s="41"/>
      <c r="I177" s="33" t="str">
        <f>IF(A177="","",IF(H177="","⚠️ Enter Agent Code",IF(IFERROR(VLOOKUP(G177,DB_Agents!$B:$F,4,0),"")=TEXT(H177,"0"),IF(AND(A177&lt;&gt;"",E177&lt;&gt;""),"✅ Saved","Pending"),"🔒 WRONG CODE")))</f>
        <v/>
      </c>
      <c r="J177" s="33" t="str">
        <f t="shared" ca="1" si="17"/>
        <v>—</v>
      </c>
      <c r="K177" s="22"/>
    </row>
    <row r="178" spans="1:11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IF(A178="","",IFERROR(VLOOKUP(A178,DB_Customers!$A:$M,13,0),""))</f>
        <v/>
      </c>
      <c r="D178" s="42" t="str">
        <f t="shared" ca="1" si="15"/>
        <v/>
      </c>
      <c r="E178" s="32"/>
      <c r="F178" s="43" t="str">
        <f t="shared" si="16"/>
        <v/>
      </c>
      <c r="G178" s="30" t="s">
        <v>58</v>
      </c>
      <c r="H178" s="41"/>
      <c r="I178" s="33" t="str">
        <f>IF(A178="","",IF(H178="","⚠️ Enter Agent Code",IF(IFERROR(VLOOKUP(G178,DB_Agents!$B:$F,4,0),"")=TEXT(H178,"0"),IF(AND(A178&lt;&gt;"",E178&lt;&gt;""),"✅ Saved","Pending"),"🔒 WRONG CODE")))</f>
        <v/>
      </c>
      <c r="J178" s="33" t="str">
        <f t="shared" ca="1" si="17"/>
        <v>—</v>
      </c>
      <c r="K178" s="46"/>
    </row>
    <row r="179" spans="1:11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IF(A179="","",IFERROR(VLOOKUP(A179,DB_Customers!$A:$M,13,0),""))</f>
        <v/>
      </c>
      <c r="D179" s="42" t="str">
        <f t="shared" ca="1" si="15"/>
        <v/>
      </c>
      <c r="E179" s="32"/>
      <c r="F179" s="43" t="str">
        <f t="shared" si="16"/>
        <v/>
      </c>
      <c r="G179" s="30" t="s">
        <v>58</v>
      </c>
      <c r="H179" s="41"/>
      <c r="I179" s="33" t="str">
        <f>IF(A179="","",IF(H179="","⚠️ Enter Agent Code",IF(IFERROR(VLOOKUP(G179,DB_Agents!$B:$F,4,0),"")=TEXT(H179,"0"),IF(AND(A179&lt;&gt;"",E179&lt;&gt;""),"✅ Saved","Pending"),"🔒 WRONG CODE")))</f>
        <v/>
      </c>
      <c r="J179" s="33" t="str">
        <f t="shared" ca="1" si="17"/>
        <v>—</v>
      </c>
      <c r="K179" s="22"/>
    </row>
    <row r="180" spans="1:11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IF(A180="","",IFERROR(VLOOKUP(A180,DB_Customers!$A:$M,13,0),""))</f>
        <v/>
      </c>
      <c r="D180" s="42" t="str">
        <f t="shared" ca="1" si="15"/>
        <v/>
      </c>
      <c r="E180" s="32"/>
      <c r="F180" s="43" t="str">
        <f t="shared" si="16"/>
        <v/>
      </c>
      <c r="G180" s="30" t="s">
        <v>58</v>
      </c>
      <c r="H180" s="41"/>
      <c r="I180" s="33" t="str">
        <f>IF(A180="","",IF(H180="","⚠️ Enter Agent Code",IF(IFERROR(VLOOKUP(G180,DB_Agents!$B:$F,4,0),"")=TEXT(H180,"0"),IF(AND(A180&lt;&gt;"",E180&lt;&gt;""),"✅ Saved","Pending"),"🔒 WRONG CODE")))</f>
        <v/>
      </c>
      <c r="J180" s="33" t="str">
        <f t="shared" ca="1" si="17"/>
        <v>—</v>
      </c>
      <c r="K180" s="46"/>
    </row>
    <row r="181" spans="1:11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IF(A181="","",IFERROR(VLOOKUP(A181,DB_Customers!$A:$M,13,0),""))</f>
        <v/>
      </c>
      <c r="D181" s="42" t="str">
        <f t="shared" ca="1" si="15"/>
        <v/>
      </c>
      <c r="E181" s="32"/>
      <c r="F181" s="43" t="str">
        <f t="shared" si="16"/>
        <v/>
      </c>
      <c r="G181" s="30" t="s">
        <v>58</v>
      </c>
      <c r="H181" s="41"/>
      <c r="I181" s="33" t="str">
        <f>IF(A181="","",IF(H181="","⚠️ Enter Agent Code",IF(IFERROR(VLOOKUP(G181,DB_Agents!$B:$F,4,0),"")=TEXT(H181,"0"),IF(AND(A181&lt;&gt;"",E181&lt;&gt;""),"✅ Saved","Pending"),"🔒 WRONG CODE")))</f>
        <v/>
      </c>
      <c r="J181" s="33" t="str">
        <f t="shared" ca="1" si="17"/>
        <v>—</v>
      </c>
      <c r="K181" s="22"/>
    </row>
    <row r="182" spans="1:11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IF(A182="","",IFERROR(VLOOKUP(A182,DB_Customers!$A:$M,13,0),""))</f>
        <v/>
      </c>
      <c r="D182" s="42" t="str">
        <f t="shared" ca="1" si="15"/>
        <v/>
      </c>
      <c r="E182" s="32"/>
      <c r="F182" s="43" t="str">
        <f t="shared" si="16"/>
        <v/>
      </c>
      <c r="G182" s="30" t="s">
        <v>58</v>
      </c>
      <c r="H182" s="41"/>
      <c r="I182" s="33" t="str">
        <f>IF(A182="","",IF(H182="","⚠️ Enter Agent Code",IF(IFERROR(VLOOKUP(G182,DB_Agents!$B:$F,4,0),"")=TEXT(H182,"0"),IF(AND(A182&lt;&gt;"",E182&lt;&gt;""),"✅ Saved","Pending"),"🔒 WRONG CODE")))</f>
        <v/>
      </c>
      <c r="J182" s="33" t="str">
        <f t="shared" ca="1" si="17"/>
        <v>—</v>
      </c>
      <c r="K182" s="46"/>
    </row>
    <row r="183" spans="1:11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IF(A183="","",IFERROR(VLOOKUP(A183,DB_Customers!$A:$M,13,0),""))</f>
        <v/>
      </c>
      <c r="D183" s="42" t="str">
        <f t="shared" ca="1" si="15"/>
        <v/>
      </c>
      <c r="E183" s="32"/>
      <c r="F183" s="43" t="str">
        <f t="shared" si="16"/>
        <v/>
      </c>
      <c r="G183" s="30" t="s">
        <v>58</v>
      </c>
      <c r="H183" s="41"/>
      <c r="I183" s="33" t="str">
        <f>IF(A183="","",IF(H183="","⚠️ Enter Agent Code",IF(IFERROR(VLOOKUP(G183,DB_Agents!$B:$F,4,0),"")=TEXT(H183,"0"),IF(AND(A183&lt;&gt;"",E183&lt;&gt;""),"✅ Saved","Pending"),"🔒 WRONG CODE")))</f>
        <v/>
      </c>
      <c r="J183" s="33" t="str">
        <f t="shared" ca="1" si="17"/>
        <v>—</v>
      </c>
      <c r="K183" s="22"/>
    </row>
    <row r="184" spans="1:11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IF(A184="","",IFERROR(VLOOKUP(A184,DB_Customers!$A:$M,13,0),""))</f>
        <v/>
      </c>
      <c r="D184" s="42" t="str">
        <f t="shared" ca="1" si="15"/>
        <v/>
      </c>
      <c r="E184" s="32"/>
      <c r="F184" s="43" t="str">
        <f t="shared" si="16"/>
        <v/>
      </c>
      <c r="G184" s="30" t="s">
        <v>58</v>
      </c>
      <c r="H184" s="41"/>
      <c r="I184" s="33" t="str">
        <f>IF(A184="","",IF(H184="","⚠️ Enter Agent Code",IF(IFERROR(VLOOKUP(G184,DB_Agents!$B:$F,4,0),"")=TEXT(H184,"0"),IF(AND(A184&lt;&gt;"",E184&lt;&gt;""),"✅ Saved","Pending"),"🔒 WRONG CODE")))</f>
        <v/>
      </c>
      <c r="J184" s="33" t="str">
        <f t="shared" ca="1" si="17"/>
        <v>—</v>
      </c>
      <c r="K184" s="46"/>
    </row>
    <row r="185" spans="1:11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IF(A185="","",IFERROR(VLOOKUP(A185,DB_Customers!$A:$M,13,0),""))</f>
        <v/>
      </c>
      <c r="D185" s="42" t="str">
        <f t="shared" ca="1" si="15"/>
        <v/>
      </c>
      <c r="E185" s="32"/>
      <c r="F185" s="43" t="str">
        <f t="shared" si="16"/>
        <v/>
      </c>
      <c r="G185" s="30" t="s">
        <v>58</v>
      </c>
      <c r="H185" s="41"/>
      <c r="I185" s="33" t="str">
        <f>IF(A185="","",IF(H185="","⚠️ Enter Agent Code",IF(IFERROR(VLOOKUP(G185,DB_Agents!$B:$F,4,0),"")=TEXT(H185,"0"),IF(AND(A185&lt;&gt;"",E185&lt;&gt;""),"✅ Saved","Pending"),"🔒 WRONG CODE")))</f>
        <v/>
      </c>
      <c r="J185" s="33" t="str">
        <f t="shared" ca="1" si="17"/>
        <v>—</v>
      </c>
      <c r="K185" s="22"/>
    </row>
    <row r="186" spans="1:11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IF(A186="","",IFERROR(VLOOKUP(A186,DB_Customers!$A:$M,13,0),""))</f>
        <v/>
      </c>
      <c r="D186" s="42" t="str">
        <f t="shared" ca="1" si="15"/>
        <v/>
      </c>
      <c r="E186" s="32"/>
      <c r="F186" s="43" t="str">
        <f t="shared" si="16"/>
        <v/>
      </c>
      <c r="G186" s="30" t="s">
        <v>58</v>
      </c>
      <c r="H186" s="41"/>
      <c r="I186" s="33" t="str">
        <f>IF(A186="","",IF(H186="","⚠️ Enter Agent Code",IF(IFERROR(VLOOKUP(G186,DB_Agents!$B:$F,4,0),"")=TEXT(H186,"0"),IF(AND(A186&lt;&gt;"",E186&lt;&gt;""),"✅ Saved","Pending"),"🔒 WRONG CODE")))</f>
        <v/>
      </c>
      <c r="J186" s="33" t="str">
        <f t="shared" ca="1" si="17"/>
        <v>—</v>
      </c>
      <c r="K186" s="46"/>
    </row>
    <row r="187" spans="1:11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IF(A187="","",IFERROR(VLOOKUP(A187,DB_Customers!$A:$M,13,0),""))</f>
        <v/>
      </c>
      <c r="D187" s="42" t="str">
        <f t="shared" ca="1" si="15"/>
        <v/>
      </c>
      <c r="E187" s="32"/>
      <c r="F187" s="43" t="str">
        <f t="shared" si="16"/>
        <v/>
      </c>
      <c r="G187" s="30" t="s">
        <v>58</v>
      </c>
      <c r="H187" s="41"/>
      <c r="I187" s="33" t="str">
        <f>IF(A187="","",IF(H187="","⚠️ Enter Agent Code",IF(IFERROR(VLOOKUP(G187,DB_Agents!$B:$F,4,0),"")=TEXT(H187,"0"),IF(AND(A187&lt;&gt;"",E187&lt;&gt;""),"✅ Saved","Pending"),"🔒 WRONG CODE")))</f>
        <v/>
      </c>
      <c r="J187" s="33" t="str">
        <f t="shared" ca="1" si="17"/>
        <v>—</v>
      </c>
      <c r="K187" s="22"/>
    </row>
    <row r="188" spans="1:11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IF(A188="","",IFERROR(VLOOKUP(A188,DB_Customers!$A:$M,13,0),""))</f>
        <v/>
      </c>
      <c r="D188" s="42" t="str">
        <f t="shared" ca="1" si="15"/>
        <v/>
      </c>
      <c r="E188" s="32"/>
      <c r="F188" s="43" t="str">
        <f t="shared" si="16"/>
        <v/>
      </c>
      <c r="G188" s="30" t="s">
        <v>58</v>
      </c>
      <c r="H188" s="41"/>
      <c r="I188" s="33" t="str">
        <f>IF(A188="","",IF(H188="","⚠️ Enter Agent Code",IF(IFERROR(VLOOKUP(G188,DB_Agents!$B:$F,4,0),"")=TEXT(H188,"0"),IF(AND(A188&lt;&gt;"",E188&lt;&gt;""),"✅ Saved","Pending"),"🔒 WRONG CODE")))</f>
        <v/>
      </c>
      <c r="J188" s="33" t="str">
        <f t="shared" ca="1" si="17"/>
        <v>—</v>
      </c>
      <c r="K188" s="46"/>
    </row>
    <row r="189" spans="1:11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IF(A189="","",IFERROR(VLOOKUP(A189,DB_Customers!$A:$M,13,0),""))</f>
        <v/>
      </c>
      <c r="D189" s="42" t="str">
        <f t="shared" ca="1" si="15"/>
        <v/>
      </c>
      <c r="E189" s="32"/>
      <c r="F189" s="43" t="str">
        <f t="shared" si="16"/>
        <v/>
      </c>
      <c r="G189" s="30" t="s">
        <v>58</v>
      </c>
      <c r="H189" s="41"/>
      <c r="I189" s="33" t="str">
        <f>IF(A189="","",IF(H189="","⚠️ Enter Agent Code",IF(IFERROR(VLOOKUP(G189,DB_Agents!$B:$F,4,0),"")=TEXT(H189,"0"),IF(AND(A189&lt;&gt;"",E189&lt;&gt;""),"✅ Saved","Pending"),"🔒 WRONG CODE")))</f>
        <v/>
      </c>
      <c r="J189" s="33" t="str">
        <f t="shared" ca="1" si="17"/>
        <v>—</v>
      </c>
      <c r="K189" s="22"/>
    </row>
    <row r="190" spans="1:11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IF(A190="","",IFERROR(VLOOKUP(A190,DB_Customers!$A:$M,13,0),""))</f>
        <v/>
      </c>
      <c r="D190" s="42" t="str">
        <f t="shared" ca="1" si="15"/>
        <v/>
      </c>
      <c r="E190" s="32"/>
      <c r="F190" s="43" t="str">
        <f t="shared" si="16"/>
        <v/>
      </c>
      <c r="G190" s="30" t="s">
        <v>58</v>
      </c>
      <c r="H190" s="41"/>
      <c r="I190" s="33" t="str">
        <f>IF(A190="","",IF(H190="","⚠️ Enter Agent Code",IF(IFERROR(VLOOKUP(G190,DB_Agents!$B:$F,4,0),"")=TEXT(H190,"0"),IF(AND(A190&lt;&gt;"",E190&lt;&gt;""),"✅ Saved","Pending"),"🔒 WRONG CODE")))</f>
        <v/>
      </c>
      <c r="J190" s="33" t="str">
        <f t="shared" ca="1" si="17"/>
        <v>—</v>
      </c>
      <c r="K190" s="46"/>
    </row>
    <row r="191" spans="1:11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IF(A191="","",IFERROR(VLOOKUP(A191,DB_Customers!$A:$M,13,0),""))</f>
        <v/>
      </c>
      <c r="D191" s="42" t="str">
        <f t="shared" ca="1" si="15"/>
        <v/>
      </c>
      <c r="E191" s="32"/>
      <c r="F191" s="43" t="str">
        <f t="shared" si="16"/>
        <v/>
      </c>
      <c r="G191" s="30" t="s">
        <v>58</v>
      </c>
      <c r="H191" s="41"/>
      <c r="I191" s="33" t="str">
        <f>IF(A191="","",IF(H191="","⚠️ Enter Agent Code",IF(IFERROR(VLOOKUP(G191,DB_Agents!$B:$F,4,0),"")=TEXT(H191,"0"),IF(AND(A191&lt;&gt;"",E191&lt;&gt;""),"✅ Saved","Pending"),"🔒 WRONG CODE")))</f>
        <v/>
      </c>
      <c r="J191" s="33" t="str">
        <f t="shared" ca="1" si="17"/>
        <v>—</v>
      </c>
      <c r="K191" s="22"/>
    </row>
    <row r="192" spans="1:11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IF(A192="","",IFERROR(VLOOKUP(A192,DB_Customers!$A:$M,13,0),""))</f>
        <v/>
      </c>
      <c r="D192" s="42" t="str">
        <f t="shared" ca="1" si="15"/>
        <v/>
      </c>
      <c r="E192" s="32"/>
      <c r="F192" s="43" t="str">
        <f t="shared" si="16"/>
        <v/>
      </c>
      <c r="G192" s="30" t="s">
        <v>58</v>
      </c>
      <c r="H192" s="41"/>
      <c r="I192" s="33" t="str">
        <f>IF(A192="","",IF(H192="","⚠️ Enter Agent Code",IF(IFERROR(VLOOKUP(G192,DB_Agents!$B:$F,4,0),"")=TEXT(H192,"0"),IF(AND(A192&lt;&gt;"",E192&lt;&gt;""),"✅ Saved","Pending"),"🔒 WRONG CODE")))</f>
        <v/>
      </c>
      <c r="J192" s="33" t="str">
        <f t="shared" ca="1" si="17"/>
        <v>—</v>
      </c>
      <c r="K192" s="46"/>
    </row>
    <row r="193" spans="1:11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IF(A193="","",IFERROR(VLOOKUP(A193,DB_Customers!$A:$M,13,0),""))</f>
        <v/>
      </c>
      <c r="D193" s="42" t="str">
        <f t="shared" ca="1" si="15"/>
        <v/>
      </c>
      <c r="E193" s="32"/>
      <c r="F193" s="43" t="str">
        <f t="shared" si="16"/>
        <v/>
      </c>
      <c r="G193" s="30" t="s">
        <v>58</v>
      </c>
      <c r="H193" s="41"/>
      <c r="I193" s="33" t="str">
        <f>IF(A193="","",IF(H193="","⚠️ Enter Agent Code",IF(IFERROR(VLOOKUP(G193,DB_Agents!$B:$F,4,0),"")=TEXT(H193,"0"),IF(AND(A193&lt;&gt;"",E193&lt;&gt;""),"✅ Saved","Pending"),"🔒 WRONG CODE")))</f>
        <v/>
      </c>
      <c r="J193" s="33" t="str">
        <f t="shared" ca="1" si="17"/>
        <v>—</v>
      </c>
      <c r="K193" s="22"/>
    </row>
    <row r="194" spans="1:11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IF(A194="","",IFERROR(VLOOKUP(A194,DB_Customers!$A:$M,13,0),""))</f>
        <v/>
      </c>
      <c r="D194" s="42" t="str">
        <f t="shared" ca="1" si="15"/>
        <v/>
      </c>
      <c r="E194" s="32"/>
      <c r="F194" s="43" t="str">
        <f t="shared" si="16"/>
        <v/>
      </c>
      <c r="G194" s="30" t="s">
        <v>58</v>
      </c>
      <c r="H194" s="41"/>
      <c r="I194" s="33" t="str">
        <f>IF(A194="","",IF(H194="","⚠️ Enter Agent Code",IF(IFERROR(VLOOKUP(G194,DB_Agents!$B:$F,4,0),"")=TEXT(H194,"0"),IF(AND(A194&lt;&gt;"",E194&lt;&gt;""),"✅ Saved","Pending"),"🔒 WRONG CODE")))</f>
        <v/>
      </c>
      <c r="J194" s="33" t="str">
        <f t="shared" ca="1" si="17"/>
        <v>—</v>
      </c>
      <c r="K194" s="46"/>
    </row>
    <row r="195" spans="1:11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IF(A195="","",IFERROR(VLOOKUP(A195,DB_Customers!$A:$M,13,0),""))</f>
        <v/>
      </c>
      <c r="D195" s="42" t="str">
        <f t="shared" ca="1" si="15"/>
        <v/>
      </c>
      <c r="E195" s="32"/>
      <c r="F195" s="43" t="str">
        <f t="shared" si="16"/>
        <v/>
      </c>
      <c r="G195" s="30" t="s">
        <v>58</v>
      </c>
      <c r="H195" s="41"/>
      <c r="I195" s="33" t="str">
        <f>IF(A195="","",IF(H195="","⚠️ Enter Agent Code",IF(IFERROR(VLOOKUP(G195,DB_Agents!$B:$F,4,0),"")=TEXT(H195,"0"),IF(AND(A195&lt;&gt;"",E195&lt;&gt;""),"✅ Saved","Pending"),"🔒 WRONG CODE")))</f>
        <v/>
      </c>
      <c r="J195" s="33" t="str">
        <f t="shared" ca="1" si="17"/>
        <v>—</v>
      </c>
      <c r="K195" s="22"/>
    </row>
    <row r="196" spans="1:11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IF(A196="","",IFERROR(VLOOKUP(A196,DB_Customers!$A:$M,13,0),""))</f>
        <v/>
      </c>
      <c r="D196" s="42" t="str">
        <f t="shared" ca="1" si="15"/>
        <v/>
      </c>
      <c r="E196" s="32"/>
      <c r="F196" s="43" t="str">
        <f t="shared" si="16"/>
        <v/>
      </c>
      <c r="G196" s="30" t="s">
        <v>58</v>
      </c>
      <c r="H196" s="41"/>
      <c r="I196" s="33" t="str">
        <f>IF(A196="","",IF(H196="","⚠️ Enter Agent Code",IF(IFERROR(VLOOKUP(G196,DB_Agents!$B:$F,4,0),"")=TEXT(H196,"0"),IF(AND(A196&lt;&gt;"",E196&lt;&gt;""),"✅ Saved","Pending"),"🔒 WRONG CODE")))</f>
        <v/>
      </c>
      <c r="J196" s="33" t="str">
        <f t="shared" ca="1" si="17"/>
        <v>—</v>
      </c>
      <c r="K196" s="46"/>
    </row>
    <row r="197" spans="1:11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IF(A197="","",IFERROR(VLOOKUP(A197,DB_Customers!$A:$M,13,0),""))</f>
        <v/>
      </c>
      <c r="D197" s="42" t="str">
        <f t="shared" ca="1" si="15"/>
        <v/>
      </c>
      <c r="E197" s="32"/>
      <c r="F197" s="43" t="str">
        <f t="shared" si="16"/>
        <v/>
      </c>
      <c r="G197" s="30" t="s">
        <v>58</v>
      </c>
      <c r="H197" s="41"/>
      <c r="I197" s="33" t="str">
        <f>IF(A197="","",IF(H197="","⚠️ Enter Agent Code",IF(IFERROR(VLOOKUP(G197,DB_Agents!$B:$F,4,0),"")=TEXT(H197,"0"),IF(AND(A197&lt;&gt;"",E197&lt;&gt;""),"✅ Saved","Pending"),"🔒 WRONG CODE")))</f>
        <v/>
      </c>
      <c r="J197" s="33" t="str">
        <f t="shared" ca="1" si="17"/>
        <v>—</v>
      </c>
      <c r="K197" s="22"/>
    </row>
    <row r="198" spans="1:11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IF(A198="","",IFERROR(VLOOKUP(A198,DB_Customers!$A:$M,13,0),""))</f>
        <v/>
      </c>
      <c r="D198" s="42" t="str">
        <f t="shared" ca="1" si="15"/>
        <v/>
      </c>
      <c r="E198" s="32"/>
      <c r="F198" s="43" t="str">
        <f t="shared" si="16"/>
        <v/>
      </c>
      <c r="G198" s="30" t="s">
        <v>58</v>
      </c>
      <c r="H198" s="41"/>
      <c r="I198" s="33" t="str">
        <f>IF(A198="","",IF(H198="","⚠️ Enter Agent Code",IF(IFERROR(VLOOKUP(G198,DB_Agents!$B:$F,4,0),"")=TEXT(H198,"0"),IF(AND(A198&lt;&gt;"",E198&lt;&gt;""),"✅ Saved","Pending"),"🔒 WRONG CODE")))</f>
        <v/>
      </c>
      <c r="J198" s="33" t="str">
        <f t="shared" ca="1" si="17"/>
        <v>—</v>
      </c>
      <c r="K198" s="46"/>
    </row>
    <row r="199" spans="1:11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IF(A199="","",IFERROR(VLOOKUP(A199,DB_Customers!$A:$M,13,0),""))</f>
        <v/>
      </c>
      <c r="D199" s="42" t="str">
        <f t="shared" ca="1" si="15"/>
        <v/>
      </c>
      <c r="E199" s="32"/>
      <c r="F199" s="43" t="str">
        <f t="shared" si="16"/>
        <v/>
      </c>
      <c r="G199" s="30" t="s">
        <v>58</v>
      </c>
      <c r="H199" s="41"/>
      <c r="I199" s="33" t="str">
        <f>IF(A199="","",IF(H199="","⚠️ Enter Agent Code",IF(IFERROR(VLOOKUP(G199,DB_Agents!$B:$F,4,0),"")=TEXT(H199,"0"),IF(AND(A199&lt;&gt;"",E199&lt;&gt;""),"✅ Saved","Pending"),"🔒 WRONG CODE")))</f>
        <v/>
      </c>
      <c r="J199" s="33" t="str">
        <f t="shared" ca="1" si="17"/>
        <v>—</v>
      </c>
      <c r="K199" s="22"/>
    </row>
    <row r="200" spans="1:11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IF(A200="","",IFERROR(VLOOKUP(A200,DB_Customers!$A:$M,13,0),""))</f>
        <v/>
      </c>
      <c r="D200" s="42" t="str">
        <f t="shared" ca="1" si="15"/>
        <v/>
      </c>
      <c r="E200" s="32"/>
      <c r="F200" s="43" t="str">
        <f t="shared" si="16"/>
        <v/>
      </c>
      <c r="G200" s="30" t="s">
        <v>58</v>
      </c>
      <c r="H200" s="41"/>
      <c r="I200" s="33" t="str">
        <f>IF(A200="","",IF(H200="","⚠️ Enter Agent Code",IF(IFERROR(VLOOKUP(G200,DB_Agents!$B:$F,4,0),"")=TEXT(H200,"0"),IF(AND(A200&lt;&gt;"",E200&lt;&gt;""),"✅ Saved","Pending"),"🔒 WRONG CODE")))</f>
        <v/>
      </c>
      <c r="J200" s="33" t="str">
        <f t="shared" ca="1" si="17"/>
        <v>—</v>
      </c>
      <c r="K200" s="46"/>
    </row>
    <row r="201" spans="1:11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IF(A201="","",IFERROR(VLOOKUP(A201,DB_Customers!$A:$M,13,0),""))</f>
        <v/>
      </c>
      <c r="D201" s="42" t="str">
        <f t="shared" ref="D201:D208" ca="1" si="18">IF(A201="","",TODAY())</f>
        <v/>
      </c>
      <c r="E201" s="32"/>
      <c r="F201" s="43" t="str">
        <f t="shared" ref="F201:F232" si="19">IFERROR(IF(OR(A201="",E201=""),"",C201+E201),"")</f>
        <v/>
      </c>
      <c r="G201" s="30" t="s">
        <v>58</v>
      </c>
      <c r="H201" s="41"/>
      <c r="I201" s="33" t="str">
        <f>IF(A201="","",IF(H201="","⚠️ Enter Agent Code",IF(IFERROR(VLOOKUP(G201,DB_Agents!$B:$F,4,0),"")=TEXT(H201,"0"),IF(AND(A201&lt;&gt;"",E201&lt;&gt;""),"✅ Saved","Pending"),"🔒 WRONG CODE")))</f>
        <v/>
      </c>
      <c r="J201" s="33" t="str">
        <f t="shared" ref="J201:J232" ca="1" si="20">IF(I201="✅ Saved",TEXT(TODAY(),"YYYY-MM-DD")&amp;" Auto","—")</f>
        <v>—</v>
      </c>
      <c r="K201" s="22"/>
    </row>
    <row r="202" spans="1:11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IF(A202="","",IFERROR(VLOOKUP(A202,DB_Customers!$A:$M,13,0),""))</f>
        <v/>
      </c>
      <c r="D202" s="42" t="str">
        <f t="shared" ca="1" si="18"/>
        <v/>
      </c>
      <c r="E202" s="32"/>
      <c r="F202" s="43" t="str">
        <f t="shared" si="19"/>
        <v/>
      </c>
      <c r="G202" s="30" t="s">
        <v>58</v>
      </c>
      <c r="H202" s="41"/>
      <c r="I202" s="33" t="str">
        <f>IF(A202="","",IF(H202="","⚠️ Enter Agent Code",IF(IFERROR(VLOOKUP(G202,DB_Agents!$B:$F,4,0),"")=TEXT(H202,"0"),IF(AND(A202&lt;&gt;"",E202&lt;&gt;""),"✅ Saved","Pending"),"🔒 WRONG CODE")))</f>
        <v/>
      </c>
      <c r="J202" s="33" t="str">
        <f t="shared" ca="1" si="20"/>
        <v>—</v>
      </c>
      <c r="K202" s="46"/>
    </row>
    <row r="203" spans="1:11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IF(A203="","",IFERROR(VLOOKUP(A203,DB_Customers!$A:$M,13,0),""))</f>
        <v/>
      </c>
      <c r="D203" s="42" t="str">
        <f t="shared" ca="1" si="18"/>
        <v/>
      </c>
      <c r="E203" s="32"/>
      <c r="F203" s="43" t="str">
        <f t="shared" si="19"/>
        <v/>
      </c>
      <c r="G203" s="30" t="s">
        <v>58</v>
      </c>
      <c r="H203" s="41"/>
      <c r="I203" s="33" t="str">
        <f>IF(A203="","",IF(H203="","⚠️ Enter Agent Code",IF(IFERROR(VLOOKUP(G203,DB_Agents!$B:$F,4,0),"")=TEXT(H203,"0"),IF(AND(A203&lt;&gt;"",E203&lt;&gt;""),"✅ Saved","Pending"),"🔒 WRONG CODE")))</f>
        <v/>
      </c>
      <c r="J203" s="33" t="str">
        <f t="shared" ca="1" si="20"/>
        <v>—</v>
      </c>
      <c r="K203" s="22"/>
    </row>
    <row r="204" spans="1:11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IF(A204="","",IFERROR(VLOOKUP(A204,DB_Customers!$A:$M,13,0),""))</f>
        <v/>
      </c>
      <c r="D204" s="42" t="str">
        <f t="shared" ca="1" si="18"/>
        <v/>
      </c>
      <c r="E204" s="32"/>
      <c r="F204" s="43" t="str">
        <f t="shared" si="19"/>
        <v/>
      </c>
      <c r="G204" s="30" t="s">
        <v>58</v>
      </c>
      <c r="H204" s="41"/>
      <c r="I204" s="33" t="str">
        <f>IF(A204="","",IF(H204="","⚠️ Enter Agent Code",IF(IFERROR(VLOOKUP(G204,DB_Agents!$B:$F,4,0),"")=TEXT(H204,"0"),IF(AND(A204&lt;&gt;"",E204&lt;&gt;""),"✅ Saved","Pending"),"🔒 WRONG CODE")))</f>
        <v/>
      </c>
      <c r="J204" s="33" t="str">
        <f t="shared" ca="1" si="20"/>
        <v>—</v>
      </c>
      <c r="K204" s="46"/>
    </row>
    <row r="205" spans="1:11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IF(A205="","",IFERROR(VLOOKUP(A205,DB_Customers!$A:$M,13,0),""))</f>
        <v/>
      </c>
      <c r="D205" s="42" t="str">
        <f t="shared" ca="1" si="18"/>
        <v/>
      </c>
      <c r="E205" s="32"/>
      <c r="F205" s="43" t="str">
        <f t="shared" si="19"/>
        <v/>
      </c>
      <c r="G205" s="30" t="s">
        <v>58</v>
      </c>
      <c r="H205" s="41"/>
      <c r="I205" s="33" t="str">
        <f>IF(A205="","",IF(H205="","⚠️ Enter Agent Code",IF(IFERROR(VLOOKUP(G205,DB_Agents!$B:$F,4,0),"")=TEXT(H205,"0"),IF(AND(A205&lt;&gt;"",E205&lt;&gt;""),"✅ Saved","Pending"),"🔒 WRONG CODE")))</f>
        <v/>
      </c>
      <c r="J205" s="33" t="str">
        <f t="shared" ca="1" si="20"/>
        <v>—</v>
      </c>
      <c r="K205" s="22"/>
    </row>
    <row r="206" spans="1:11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IF(A206="","",IFERROR(VLOOKUP(A206,DB_Customers!$A:$M,13,0),""))</f>
        <v/>
      </c>
      <c r="D206" s="42" t="str">
        <f t="shared" ca="1" si="18"/>
        <v/>
      </c>
      <c r="E206" s="32"/>
      <c r="F206" s="43" t="str">
        <f t="shared" si="19"/>
        <v/>
      </c>
      <c r="G206" s="30" t="s">
        <v>58</v>
      </c>
      <c r="H206" s="41"/>
      <c r="I206" s="33" t="str">
        <f>IF(A206="","",IF(H206="","⚠️ Enter Agent Code",IF(IFERROR(VLOOKUP(G206,DB_Agents!$B:$F,4,0),"")=TEXT(H206,"0"),IF(AND(A206&lt;&gt;"",E206&lt;&gt;""),"✅ Saved","Pending"),"🔒 WRONG CODE")))</f>
        <v/>
      </c>
      <c r="J206" s="33" t="str">
        <f t="shared" ca="1" si="20"/>
        <v>—</v>
      </c>
      <c r="K206" s="46"/>
    </row>
    <row r="207" spans="1:11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IF(A207="","",IFERROR(VLOOKUP(A207,DB_Customers!$A:$M,13,0),""))</f>
        <v/>
      </c>
      <c r="D207" s="42" t="str">
        <f t="shared" ca="1" si="18"/>
        <v/>
      </c>
      <c r="E207" s="32"/>
      <c r="F207" s="43" t="str">
        <f t="shared" si="19"/>
        <v/>
      </c>
      <c r="G207" s="30" t="s">
        <v>58</v>
      </c>
      <c r="H207" s="41"/>
      <c r="I207" s="33" t="str">
        <f>IF(A207="","",IF(H207="","⚠️ Enter Agent Code",IF(IFERROR(VLOOKUP(G207,DB_Agents!$B:$F,4,0),"")=TEXT(H207,"0"),IF(AND(A207&lt;&gt;"",E207&lt;&gt;""),"✅ Saved","Pending"),"🔒 WRONG CODE")))</f>
        <v/>
      </c>
      <c r="J207" s="33" t="str">
        <f t="shared" ca="1" si="20"/>
        <v>—</v>
      </c>
      <c r="K207" s="22"/>
    </row>
    <row r="208" spans="1:11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IF(A208="","",IFERROR(VLOOKUP(A208,DB_Customers!$A:$M,13,0),""))</f>
        <v/>
      </c>
      <c r="D208" s="42" t="str">
        <f t="shared" ca="1" si="18"/>
        <v/>
      </c>
      <c r="E208" s="32"/>
      <c r="F208" s="43" t="str">
        <f t="shared" si="19"/>
        <v/>
      </c>
      <c r="G208" s="30" t="s">
        <v>58</v>
      </c>
      <c r="H208" s="41"/>
      <c r="I208" s="33" t="str">
        <f>IF(A208="","",IF(H208="","⚠️ Enter Agent Code",IF(IFERROR(VLOOKUP(G208,DB_Agents!$B:$F,4,0),"")=TEXT(H208,"0"),IF(AND(A208&lt;&gt;"",E208&lt;&gt;""),"✅ Saved","Pending"),"🔒 WRONG CODE")))</f>
        <v/>
      </c>
      <c r="J208" s="33" t="str">
        <f t="shared" ca="1" si="20"/>
        <v>—</v>
      </c>
      <c r="K208" s="46"/>
    </row>
  </sheetData>
  <mergeCells count="4">
    <mergeCell ref="A2:K2"/>
    <mergeCell ref="A6:K6"/>
    <mergeCell ref="A1:K1"/>
    <mergeCell ref="A7:K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2.1" customHeight="1" x14ac:dyDescent="0.25">
      <c r="A1" s="94" t="s">
        <v>184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26.1" customHeight="1" x14ac:dyDescent="0.25">
      <c r="A2" s="97" t="s">
        <v>185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20.100000000000001" customHeight="1" x14ac:dyDescent="0.25">
      <c r="A3" s="47" t="s">
        <v>138</v>
      </c>
      <c r="D3" s="44" t="s">
        <v>139</v>
      </c>
      <c r="G3" s="48" t="s">
        <v>140</v>
      </c>
      <c r="J3" s="47" t="s">
        <v>128</v>
      </c>
    </row>
    <row r="4" spans="1:12" ht="24" customHeight="1" x14ac:dyDescent="0.25">
      <c r="A4" s="49">
        <f ca="1">IFERROR(SUMIFS(DB_Withdrawals!$G:$G,DB_Withdrawals!$I:$I,"Agent 05",DB_Withdrawals!$E:$E,TODAY()),0)</f>
        <v>0</v>
      </c>
      <c r="D4" s="49">
        <f ca="1">IFERROR(COUNTIFS(DB_Withdrawals!$I:$I,"Agent 05",DB_Withdrawals!$J:$J,"✅ Successful",DB_Withdrawals!$E:$E,TODAY()),0)</f>
        <v>0</v>
      </c>
      <c r="G4" s="49">
        <f ca="1">IFERROR(COUNTIFS(DB_Withdrawals!$I:$I,"Agent 05",DB_Withdrawals!$J:$J,"❌ Insufficient Funds",DB_Withdrawals!$E:$E,TODAY()),0)</f>
        <v>0</v>
      </c>
      <c r="J4" s="49" t="str">
        <f ca="1">TEXT(TODAY(),"DD MMM YYYY")</f>
        <v>25 Apr 2026</v>
      </c>
    </row>
    <row r="6" spans="1:12" ht="26.1" customHeight="1" x14ac:dyDescent="0.25">
      <c r="A6" s="90" t="s">
        <v>141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</row>
    <row r="8" spans="1:12" ht="30" customHeight="1" x14ac:dyDescent="0.25">
      <c r="A8" s="19" t="s">
        <v>131</v>
      </c>
      <c r="B8" s="19" t="s">
        <v>69</v>
      </c>
      <c r="C8" s="19" t="s">
        <v>85</v>
      </c>
      <c r="D8" s="19" t="s">
        <v>91</v>
      </c>
      <c r="E8" s="19" t="s">
        <v>142</v>
      </c>
      <c r="F8" s="19" t="s">
        <v>143</v>
      </c>
      <c r="G8" s="19" t="s">
        <v>133</v>
      </c>
      <c r="H8" s="19" t="s">
        <v>45</v>
      </c>
      <c r="I8" s="19" t="s">
        <v>134</v>
      </c>
      <c r="J8" s="19" t="s">
        <v>77</v>
      </c>
      <c r="K8" s="19" t="s">
        <v>135</v>
      </c>
      <c r="L8" s="19" t="s">
        <v>95</v>
      </c>
    </row>
    <row r="9" spans="1:12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IF(A9="","",IFERROR(VLOOKUP(A9,DB_Customers!$A:$N,14,0),""))</f>
        <v/>
      </c>
      <c r="D9" s="42" t="str">
        <f t="shared" ref="D9:D40" ca="1" si="0">IF(A9="","",TODAY())</f>
        <v/>
      </c>
      <c r="E9" s="32"/>
      <c r="F9" s="31"/>
      <c r="G9" s="43" t="str">
        <f t="shared" ref="G9:G40" si="1">IFERROR(IF(OR(A9="",E9=""),"",C9-E9),"")</f>
        <v/>
      </c>
      <c r="H9" s="30" t="s">
        <v>58</v>
      </c>
      <c r="I9" s="41"/>
      <c r="J9" s="33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9" s="33" t="str">
        <f t="shared" ref="K9:K40" ca="1" si="2">IF(J9="✅ Successful",TEXT(TODAY(),"YYYY-MM-DD")&amp;" Auto","—")</f>
        <v>—</v>
      </c>
      <c r="L9" s="22"/>
    </row>
    <row r="10" spans="1:12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IF(A10="","",IFERROR(VLOOKUP(A10,DB_Customers!$A:$N,14,0),""))</f>
        <v/>
      </c>
      <c r="D10" s="42" t="str">
        <f t="shared" ca="1" si="0"/>
        <v/>
      </c>
      <c r="E10" s="32"/>
      <c r="F10" s="31"/>
      <c r="G10" s="43" t="str">
        <f t="shared" si="1"/>
        <v/>
      </c>
      <c r="H10" s="30" t="s">
        <v>58</v>
      </c>
      <c r="I10" s="41"/>
      <c r="J10" s="33" t="str">
        <f>IF(AND(A10&lt;&gt;"",E10&lt;&gt;""),IF(I10="","⚠️ Enter Code",IF(IFERROR(VLOOKUP(H10,DB_Agents!$B:$F,4,0),"")=TEXT(I10,"0"),IF(C10&gt;=E10,"✅ Successful","❌ Insufficient Funds"),"🔒 WRONG CODE")),"Pending")</f>
        <v>Pending</v>
      </c>
      <c r="K10" s="33" t="str">
        <f t="shared" ca="1" si="2"/>
        <v>—</v>
      </c>
      <c r="L10" s="50"/>
    </row>
    <row r="11" spans="1:12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IF(A11="","",IFERROR(VLOOKUP(A11,DB_Customers!$A:$N,14,0),""))</f>
        <v/>
      </c>
      <c r="D11" s="42" t="str">
        <f t="shared" ca="1" si="0"/>
        <v/>
      </c>
      <c r="E11" s="32"/>
      <c r="F11" s="31"/>
      <c r="G11" s="43" t="str">
        <f t="shared" si="1"/>
        <v/>
      </c>
      <c r="H11" s="30" t="s">
        <v>58</v>
      </c>
      <c r="I11" s="41"/>
      <c r="J11" s="33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1" s="33" t="str">
        <f t="shared" ca="1" si="2"/>
        <v>—</v>
      </c>
      <c r="L11" s="22"/>
    </row>
    <row r="12" spans="1:12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IF(A12="","",IFERROR(VLOOKUP(A12,DB_Customers!$A:$N,14,0),""))</f>
        <v/>
      </c>
      <c r="D12" s="42" t="str">
        <f t="shared" ca="1" si="0"/>
        <v/>
      </c>
      <c r="E12" s="32"/>
      <c r="F12" s="31"/>
      <c r="G12" s="43" t="str">
        <f t="shared" si="1"/>
        <v/>
      </c>
      <c r="H12" s="30" t="s">
        <v>58</v>
      </c>
      <c r="I12" s="41"/>
      <c r="J12" s="33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2" s="33" t="str">
        <f t="shared" ca="1" si="2"/>
        <v>—</v>
      </c>
      <c r="L12" s="50"/>
    </row>
    <row r="13" spans="1:12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IF(A13="","",IFERROR(VLOOKUP(A13,DB_Customers!$A:$N,14,0),""))</f>
        <v/>
      </c>
      <c r="D13" s="42" t="str">
        <f t="shared" ca="1" si="0"/>
        <v/>
      </c>
      <c r="E13" s="32"/>
      <c r="F13" s="31"/>
      <c r="G13" s="43" t="str">
        <f t="shared" si="1"/>
        <v/>
      </c>
      <c r="H13" s="30" t="s">
        <v>58</v>
      </c>
      <c r="I13" s="41"/>
      <c r="J13" s="33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3" s="33" t="str">
        <f t="shared" ca="1" si="2"/>
        <v>—</v>
      </c>
      <c r="L13" s="22"/>
    </row>
    <row r="14" spans="1:12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IF(A14="","",IFERROR(VLOOKUP(A14,DB_Customers!$A:$N,14,0),""))</f>
        <v/>
      </c>
      <c r="D14" s="42" t="str">
        <f t="shared" ca="1" si="0"/>
        <v/>
      </c>
      <c r="E14" s="32"/>
      <c r="F14" s="31"/>
      <c r="G14" s="43" t="str">
        <f t="shared" si="1"/>
        <v/>
      </c>
      <c r="H14" s="30" t="s">
        <v>58</v>
      </c>
      <c r="I14" s="41"/>
      <c r="J14" s="33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4" s="33" t="str">
        <f t="shared" ca="1" si="2"/>
        <v>—</v>
      </c>
      <c r="L14" s="50"/>
    </row>
    <row r="15" spans="1:12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IF(A15="","",IFERROR(VLOOKUP(A15,DB_Customers!$A:$N,14,0),""))</f>
        <v/>
      </c>
      <c r="D15" s="42" t="str">
        <f t="shared" ca="1" si="0"/>
        <v/>
      </c>
      <c r="E15" s="32"/>
      <c r="F15" s="31"/>
      <c r="G15" s="43" t="str">
        <f t="shared" si="1"/>
        <v/>
      </c>
      <c r="H15" s="30" t="s">
        <v>58</v>
      </c>
      <c r="I15" s="41"/>
      <c r="J15" s="33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5" s="33" t="str">
        <f t="shared" ca="1" si="2"/>
        <v>—</v>
      </c>
      <c r="L15" s="22"/>
    </row>
    <row r="16" spans="1:12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IF(A16="","",IFERROR(VLOOKUP(A16,DB_Customers!$A:$N,14,0),""))</f>
        <v/>
      </c>
      <c r="D16" s="42" t="str">
        <f t="shared" ca="1" si="0"/>
        <v/>
      </c>
      <c r="E16" s="32"/>
      <c r="F16" s="31"/>
      <c r="G16" s="43" t="str">
        <f t="shared" si="1"/>
        <v/>
      </c>
      <c r="H16" s="30" t="s">
        <v>58</v>
      </c>
      <c r="I16" s="41"/>
      <c r="J16" s="33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6" s="33" t="str">
        <f t="shared" ca="1" si="2"/>
        <v>—</v>
      </c>
      <c r="L16" s="50"/>
    </row>
    <row r="17" spans="1:12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IF(A17="","",IFERROR(VLOOKUP(A17,DB_Customers!$A:$N,14,0),""))</f>
        <v/>
      </c>
      <c r="D17" s="42" t="str">
        <f t="shared" ca="1" si="0"/>
        <v/>
      </c>
      <c r="E17" s="32"/>
      <c r="F17" s="31"/>
      <c r="G17" s="43" t="str">
        <f t="shared" si="1"/>
        <v/>
      </c>
      <c r="H17" s="30" t="s">
        <v>58</v>
      </c>
      <c r="I17" s="41"/>
      <c r="J17" s="33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7" s="33" t="str">
        <f t="shared" ca="1" si="2"/>
        <v>—</v>
      </c>
      <c r="L17" s="22"/>
    </row>
    <row r="18" spans="1:12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IF(A18="","",IFERROR(VLOOKUP(A18,DB_Customers!$A:$N,14,0),""))</f>
        <v/>
      </c>
      <c r="D18" s="42" t="str">
        <f t="shared" ca="1" si="0"/>
        <v/>
      </c>
      <c r="E18" s="32"/>
      <c r="F18" s="31"/>
      <c r="G18" s="43" t="str">
        <f t="shared" si="1"/>
        <v/>
      </c>
      <c r="H18" s="30" t="s">
        <v>58</v>
      </c>
      <c r="I18" s="41"/>
      <c r="J18" s="33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18" s="33" t="str">
        <f t="shared" ca="1" si="2"/>
        <v>—</v>
      </c>
      <c r="L18" s="50"/>
    </row>
    <row r="19" spans="1:12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IF(A19="","",IFERROR(VLOOKUP(A19,DB_Customers!$A:$N,14,0),""))</f>
        <v/>
      </c>
      <c r="D19" s="42" t="str">
        <f t="shared" ca="1" si="0"/>
        <v/>
      </c>
      <c r="E19" s="32"/>
      <c r="F19" s="31"/>
      <c r="G19" s="43" t="str">
        <f t="shared" si="1"/>
        <v/>
      </c>
      <c r="H19" s="30" t="s">
        <v>58</v>
      </c>
      <c r="I19" s="41"/>
      <c r="J19" s="33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19" s="33" t="str">
        <f t="shared" ca="1" si="2"/>
        <v>—</v>
      </c>
      <c r="L19" s="22"/>
    </row>
    <row r="20" spans="1:12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IF(A20="","",IFERROR(VLOOKUP(A20,DB_Customers!$A:$N,14,0),""))</f>
        <v/>
      </c>
      <c r="D20" s="42" t="str">
        <f t="shared" ca="1" si="0"/>
        <v/>
      </c>
      <c r="E20" s="32"/>
      <c r="F20" s="31"/>
      <c r="G20" s="43" t="str">
        <f t="shared" si="1"/>
        <v/>
      </c>
      <c r="H20" s="30" t="s">
        <v>58</v>
      </c>
      <c r="I20" s="41"/>
      <c r="J20" s="33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0" s="33" t="str">
        <f t="shared" ca="1" si="2"/>
        <v>—</v>
      </c>
      <c r="L20" s="50"/>
    </row>
    <row r="21" spans="1:12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IF(A21="","",IFERROR(VLOOKUP(A21,DB_Customers!$A:$N,14,0),""))</f>
        <v/>
      </c>
      <c r="D21" s="42" t="str">
        <f t="shared" ca="1" si="0"/>
        <v/>
      </c>
      <c r="E21" s="32"/>
      <c r="F21" s="31"/>
      <c r="G21" s="43" t="str">
        <f t="shared" si="1"/>
        <v/>
      </c>
      <c r="H21" s="30" t="s">
        <v>58</v>
      </c>
      <c r="I21" s="41"/>
      <c r="J21" s="33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1" s="33" t="str">
        <f t="shared" ca="1" si="2"/>
        <v>—</v>
      </c>
      <c r="L21" s="22"/>
    </row>
    <row r="22" spans="1:12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IF(A22="","",IFERROR(VLOOKUP(A22,DB_Customers!$A:$N,14,0),""))</f>
        <v/>
      </c>
      <c r="D22" s="42" t="str">
        <f t="shared" ca="1" si="0"/>
        <v/>
      </c>
      <c r="E22" s="32"/>
      <c r="F22" s="31"/>
      <c r="G22" s="43" t="str">
        <f t="shared" si="1"/>
        <v/>
      </c>
      <c r="H22" s="30" t="s">
        <v>58</v>
      </c>
      <c r="I22" s="41"/>
      <c r="J22" s="33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2" s="33" t="str">
        <f t="shared" ca="1" si="2"/>
        <v>—</v>
      </c>
      <c r="L22" s="50"/>
    </row>
    <row r="23" spans="1:12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IF(A23="","",IFERROR(VLOOKUP(A23,DB_Customers!$A:$N,14,0),""))</f>
        <v/>
      </c>
      <c r="D23" s="42" t="str">
        <f t="shared" ca="1" si="0"/>
        <v/>
      </c>
      <c r="E23" s="32"/>
      <c r="F23" s="31"/>
      <c r="G23" s="43" t="str">
        <f t="shared" si="1"/>
        <v/>
      </c>
      <c r="H23" s="30" t="s">
        <v>58</v>
      </c>
      <c r="I23" s="41"/>
      <c r="J23" s="33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3" s="33" t="str">
        <f t="shared" ca="1" si="2"/>
        <v>—</v>
      </c>
      <c r="L23" s="22"/>
    </row>
    <row r="24" spans="1:12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IF(A24="","",IFERROR(VLOOKUP(A24,DB_Customers!$A:$N,14,0),""))</f>
        <v/>
      </c>
      <c r="D24" s="42" t="str">
        <f t="shared" ca="1" si="0"/>
        <v/>
      </c>
      <c r="E24" s="32"/>
      <c r="F24" s="31"/>
      <c r="G24" s="43" t="str">
        <f t="shared" si="1"/>
        <v/>
      </c>
      <c r="H24" s="30" t="s">
        <v>58</v>
      </c>
      <c r="I24" s="41"/>
      <c r="J24" s="33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4" s="33" t="str">
        <f t="shared" ca="1" si="2"/>
        <v>—</v>
      </c>
      <c r="L24" s="50"/>
    </row>
    <row r="25" spans="1:12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IF(A25="","",IFERROR(VLOOKUP(A25,DB_Customers!$A:$N,14,0),""))</f>
        <v/>
      </c>
      <c r="D25" s="42" t="str">
        <f t="shared" ca="1" si="0"/>
        <v/>
      </c>
      <c r="E25" s="32"/>
      <c r="F25" s="31"/>
      <c r="G25" s="43" t="str">
        <f t="shared" si="1"/>
        <v/>
      </c>
      <c r="H25" s="30" t="s">
        <v>58</v>
      </c>
      <c r="I25" s="41"/>
      <c r="J25" s="33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5" s="33" t="str">
        <f t="shared" ca="1" si="2"/>
        <v>—</v>
      </c>
      <c r="L25" s="22"/>
    </row>
    <row r="26" spans="1:12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IF(A26="","",IFERROR(VLOOKUP(A26,DB_Customers!$A:$N,14,0),""))</f>
        <v/>
      </c>
      <c r="D26" s="42" t="str">
        <f t="shared" ca="1" si="0"/>
        <v/>
      </c>
      <c r="E26" s="32"/>
      <c r="F26" s="31"/>
      <c r="G26" s="43" t="str">
        <f t="shared" si="1"/>
        <v/>
      </c>
      <c r="H26" s="30" t="s">
        <v>58</v>
      </c>
      <c r="I26" s="41"/>
      <c r="J26" s="33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6" s="33" t="str">
        <f t="shared" ca="1" si="2"/>
        <v>—</v>
      </c>
      <c r="L26" s="50"/>
    </row>
    <row r="27" spans="1:12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IF(A27="","",IFERROR(VLOOKUP(A27,DB_Customers!$A:$N,14,0),""))</f>
        <v/>
      </c>
      <c r="D27" s="42" t="str">
        <f t="shared" ca="1" si="0"/>
        <v/>
      </c>
      <c r="E27" s="32"/>
      <c r="F27" s="31"/>
      <c r="G27" s="43" t="str">
        <f t="shared" si="1"/>
        <v/>
      </c>
      <c r="H27" s="30" t="s">
        <v>58</v>
      </c>
      <c r="I27" s="41"/>
      <c r="J27" s="33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7" s="33" t="str">
        <f t="shared" ca="1" si="2"/>
        <v>—</v>
      </c>
      <c r="L27" s="22"/>
    </row>
    <row r="28" spans="1:12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IF(A28="","",IFERROR(VLOOKUP(A28,DB_Customers!$A:$N,14,0),""))</f>
        <v/>
      </c>
      <c r="D28" s="42" t="str">
        <f t="shared" ca="1" si="0"/>
        <v/>
      </c>
      <c r="E28" s="32"/>
      <c r="F28" s="31"/>
      <c r="G28" s="43" t="str">
        <f t="shared" si="1"/>
        <v/>
      </c>
      <c r="H28" s="30" t="s">
        <v>58</v>
      </c>
      <c r="I28" s="41"/>
      <c r="J28" s="33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28" s="33" t="str">
        <f t="shared" ca="1" si="2"/>
        <v>—</v>
      </c>
      <c r="L28" s="50"/>
    </row>
    <row r="29" spans="1:12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IF(A29="","",IFERROR(VLOOKUP(A29,DB_Customers!$A:$N,14,0),""))</f>
        <v/>
      </c>
      <c r="D29" s="42" t="str">
        <f t="shared" ca="1" si="0"/>
        <v/>
      </c>
      <c r="E29" s="32"/>
      <c r="F29" s="31"/>
      <c r="G29" s="43" t="str">
        <f t="shared" si="1"/>
        <v/>
      </c>
      <c r="H29" s="30" t="s">
        <v>58</v>
      </c>
      <c r="I29" s="41"/>
      <c r="J29" s="33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29" s="33" t="str">
        <f t="shared" ca="1" si="2"/>
        <v>—</v>
      </c>
      <c r="L29" s="22"/>
    </row>
    <row r="30" spans="1:12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IF(A30="","",IFERROR(VLOOKUP(A30,DB_Customers!$A:$N,14,0),""))</f>
        <v/>
      </c>
      <c r="D30" s="42" t="str">
        <f t="shared" ca="1" si="0"/>
        <v/>
      </c>
      <c r="E30" s="32"/>
      <c r="F30" s="31"/>
      <c r="G30" s="43" t="str">
        <f t="shared" si="1"/>
        <v/>
      </c>
      <c r="H30" s="30" t="s">
        <v>58</v>
      </c>
      <c r="I30" s="41"/>
      <c r="J30" s="33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0" s="33" t="str">
        <f t="shared" ca="1" si="2"/>
        <v>—</v>
      </c>
      <c r="L30" s="50"/>
    </row>
    <row r="31" spans="1:12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IF(A31="","",IFERROR(VLOOKUP(A31,DB_Customers!$A:$N,14,0),""))</f>
        <v/>
      </c>
      <c r="D31" s="42" t="str">
        <f t="shared" ca="1" si="0"/>
        <v/>
      </c>
      <c r="E31" s="32"/>
      <c r="F31" s="31"/>
      <c r="G31" s="43" t="str">
        <f t="shared" si="1"/>
        <v/>
      </c>
      <c r="H31" s="30" t="s">
        <v>58</v>
      </c>
      <c r="I31" s="41"/>
      <c r="J31" s="33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1" s="33" t="str">
        <f t="shared" ca="1" si="2"/>
        <v>—</v>
      </c>
      <c r="L31" s="22"/>
    </row>
    <row r="32" spans="1:12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IF(A32="","",IFERROR(VLOOKUP(A32,DB_Customers!$A:$N,14,0),""))</f>
        <v/>
      </c>
      <c r="D32" s="42" t="str">
        <f t="shared" ca="1" si="0"/>
        <v/>
      </c>
      <c r="E32" s="32"/>
      <c r="F32" s="31"/>
      <c r="G32" s="43" t="str">
        <f t="shared" si="1"/>
        <v/>
      </c>
      <c r="H32" s="30" t="s">
        <v>58</v>
      </c>
      <c r="I32" s="41"/>
      <c r="J32" s="33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2" s="33" t="str">
        <f t="shared" ca="1" si="2"/>
        <v>—</v>
      </c>
      <c r="L32" s="50"/>
    </row>
    <row r="33" spans="1:12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IF(A33="","",IFERROR(VLOOKUP(A33,DB_Customers!$A:$N,14,0),""))</f>
        <v/>
      </c>
      <c r="D33" s="42" t="str">
        <f t="shared" ca="1" si="0"/>
        <v/>
      </c>
      <c r="E33" s="32"/>
      <c r="F33" s="31"/>
      <c r="G33" s="43" t="str">
        <f t="shared" si="1"/>
        <v/>
      </c>
      <c r="H33" s="30" t="s">
        <v>58</v>
      </c>
      <c r="I33" s="41"/>
      <c r="J33" s="33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3" s="33" t="str">
        <f t="shared" ca="1" si="2"/>
        <v>—</v>
      </c>
      <c r="L33" s="22"/>
    </row>
    <row r="34" spans="1:12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IF(A34="","",IFERROR(VLOOKUP(A34,DB_Customers!$A:$N,14,0),""))</f>
        <v/>
      </c>
      <c r="D34" s="42" t="str">
        <f t="shared" ca="1" si="0"/>
        <v/>
      </c>
      <c r="E34" s="32"/>
      <c r="F34" s="31"/>
      <c r="G34" s="43" t="str">
        <f t="shared" si="1"/>
        <v/>
      </c>
      <c r="H34" s="30" t="s">
        <v>58</v>
      </c>
      <c r="I34" s="41"/>
      <c r="J34" s="33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4" s="33" t="str">
        <f t="shared" ca="1" si="2"/>
        <v>—</v>
      </c>
      <c r="L34" s="50"/>
    </row>
    <row r="35" spans="1:12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IF(A35="","",IFERROR(VLOOKUP(A35,DB_Customers!$A:$N,14,0),""))</f>
        <v/>
      </c>
      <c r="D35" s="42" t="str">
        <f t="shared" ca="1" si="0"/>
        <v/>
      </c>
      <c r="E35" s="32"/>
      <c r="F35" s="31"/>
      <c r="G35" s="43" t="str">
        <f t="shared" si="1"/>
        <v/>
      </c>
      <c r="H35" s="30" t="s">
        <v>58</v>
      </c>
      <c r="I35" s="41"/>
      <c r="J35" s="33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5" s="33" t="str">
        <f t="shared" ca="1" si="2"/>
        <v>—</v>
      </c>
      <c r="L35" s="22"/>
    </row>
    <row r="36" spans="1:12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IF(A36="","",IFERROR(VLOOKUP(A36,DB_Customers!$A:$N,14,0),""))</f>
        <v/>
      </c>
      <c r="D36" s="42" t="str">
        <f t="shared" ca="1" si="0"/>
        <v/>
      </c>
      <c r="E36" s="32"/>
      <c r="F36" s="31"/>
      <c r="G36" s="43" t="str">
        <f t="shared" si="1"/>
        <v/>
      </c>
      <c r="H36" s="30" t="s">
        <v>58</v>
      </c>
      <c r="I36" s="41"/>
      <c r="J36" s="33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6" s="33" t="str">
        <f t="shared" ca="1" si="2"/>
        <v>—</v>
      </c>
      <c r="L36" s="50"/>
    </row>
    <row r="37" spans="1:12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IF(A37="","",IFERROR(VLOOKUP(A37,DB_Customers!$A:$N,14,0),""))</f>
        <v/>
      </c>
      <c r="D37" s="42" t="str">
        <f t="shared" ca="1" si="0"/>
        <v/>
      </c>
      <c r="E37" s="32"/>
      <c r="F37" s="31"/>
      <c r="G37" s="43" t="str">
        <f t="shared" si="1"/>
        <v/>
      </c>
      <c r="H37" s="30" t="s">
        <v>58</v>
      </c>
      <c r="I37" s="41"/>
      <c r="J37" s="33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7" s="33" t="str">
        <f t="shared" ca="1" si="2"/>
        <v>—</v>
      </c>
      <c r="L37" s="22"/>
    </row>
    <row r="38" spans="1:12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IF(A38="","",IFERROR(VLOOKUP(A38,DB_Customers!$A:$N,14,0),""))</f>
        <v/>
      </c>
      <c r="D38" s="42" t="str">
        <f t="shared" ca="1" si="0"/>
        <v/>
      </c>
      <c r="E38" s="32"/>
      <c r="F38" s="31"/>
      <c r="G38" s="43" t="str">
        <f t="shared" si="1"/>
        <v/>
      </c>
      <c r="H38" s="30" t="s">
        <v>58</v>
      </c>
      <c r="I38" s="41"/>
      <c r="J38" s="33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38" s="33" t="str">
        <f t="shared" ca="1" si="2"/>
        <v>—</v>
      </c>
      <c r="L38" s="50"/>
    </row>
    <row r="39" spans="1:12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IF(A39="","",IFERROR(VLOOKUP(A39,DB_Customers!$A:$N,14,0),""))</f>
        <v/>
      </c>
      <c r="D39" s="42" t="str">
        <f t="shared" ca="1" si="0"/>
        <v/>
      </c>
      <c r="E39" s="32"/>
      <c r="F39" s="31"/>
      <c r="G39" s="43" t="str">
        <f t="shared" si="1"/>
        <v/>
      </c>
      <c r="H39" s="30" t="s">
        <v>58</v>
      </c>
      <c r="I39" s="41"/>
      <c r="J39" s="33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39" s="33" t="str">
        <f t="shared" ca="1" si="2"/>
        <v>—</v>
      </c>
      <c r="L39" s="22"/>
    </row>
    <row r="40" spans="1:12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IF(A40="","",IFERROR(VLOOKUP(A40,DB_Customers!$A:$N,14,0),""))</f>
        <v/>
      </c>
      <c r="D40" s="42" t="str">
        <f t="shared" ca="1" si="0"/>
        <v/>
      </c>
      <c r="E40" s="32"/>
      <c r="F40" s="31"/>
      <c r="G40" s="43" t="str">
        <f t="shared" si="1"/>
        <v/>
      </c>
      <c r="H40" s="30" t="s">
        <v>58</v>
      </c>
      <c r="I40" s="41"/>
      <c r="J40" s="33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0" s="33" t="str">
        <f t="shared" ca="1" si="2"/>
        <v>—</v>
      </c>
      <c r="L40" s="50"/>
    </row>
    <row r="41" spans="1:12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IF(A41="","",IFERROR(VLOOKUP(A41,DB_Customers!$A:$N,14,0),""))</f>
        <v/>
      </c>
      <c r="D41" s="42" t="str">
        <f t="shared" ref="D41:D72" ca="1" si="3">IF(A41="","",TODAY())</f>
        <v/>
      </c>
      <c r="E41" s="32"/>
      <c r="F41" s="31"/>
      <c r="G41" s="43" t="str">
        <f t="shared" ref="G41:G72" si="4">IFERROR(IF(OR(A41="",E41=""),"",C41-E41),"")</f>
        <v/>
      </c>
      <c r="H41" s="30" t="s">
        <v>58</v>
      </c>
      <c r="I41" s="41"/>
      <c r="J41" s="33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1" s="33" t="str">
        <f t="shared" ref="K41:K72" ca="1" si="5">IF(J41="✅ Successful",TEXT(TODAY(),"YYYY-MM-DD")&amp;" Auto","—")</f>
        <v>—</v>
      </c>
      <c r="L41" s="22"/>
    </row>
    <row r="42" spans="1:12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IF(A42="","",IFERROR(VLOOKUP(A42,DB_Customers!$A:$N,14,0),""))</f>
        <v/>
      </c>
      <c r="D42" s="42" t="str">
        <f t="shared" ca="1" si="3"/>
        <v/>
      </c>
      <c r="E42" s="32"/>
      <c r="F42" s="31"/>
      <c r="G42" s="43" t="str">
        <f t="shared" si="4"/>
        <v/>
      </c>
      <c r="H42" s="30" t="s">
        <v>58</v>
      </c>
      <c r="I42" s="41"/>
      <c r="J42" s="33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2" s="33" t="str">
        <f t="shared" ca="1" si="5"/>
        <v>—</v>
      </c>
      <c r="L42" s="50"/>
    </row>
    <row r="43" spans="1:12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IF(A43="","",IFERROR(VLOOKUP(A43,DB_Customers!$A:$N,14,0),""))</f>
        <v/>
      </c>
      <c r="D43" s="42" t="str">
        <f t="shared" ca="1" si="3"/>
        <v/>
      </c>
      <c r="E43" s="32"/>
      <c r="F43" s="31"/>
      <c r="G43" s="43" t="str">
        <f t="shared" si="4"/>
        <v/>
      </c>
      <c r="H43" s="30" t="s">
        <v>58</v>
      </c>
      <c r="I43" s="41"/>
      <c r="J43" s="33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3" s="33" t="str">
        <f t="shared" ca="1" si="5"/>
        <v>—</v>
      </c>
      <c r="L43" s="22"/>
    </row>
    <row r="44" spans="1:12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IF(A44="","",IFERROR(VLOOKUP(A44,DB_Customers!$A:$N,14,0),""))</f>
        <v/>
      </c>
      <c r="D44" s="42" t="str">
        <f t="shared" ca="1" si="3"/>
        <v/>
      </c>
      <c r="E44" s="32"/>
      <c r="F44" s="31"/>
      <c r="G44" s="43" t="str">
        <f t="shared" si="4"/>
        <v/>
      </c>
      <c r="H44" s="30" t="s">
        <v>58</v>
      </c>
      <c r="I44" s="41"/>
      <c r="J44" s="33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4" s="33" t="str">
        <f t="shared" ca="1" si="5"/>
        <v>—</v>
      </c>
      <c r="L44" s="50"/>
    </row>
    <row r="45" spans="1:12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IF(A45="","",IFERROR(VLOOKUP(A45,DB_Customers!$A:$N,14,0),""))</f>
        <v/>
      </c>
      <c r="D45" s="42" t="str">
        <f t="shared" ca="1" si="3"/>
        <v/>
      </c>
      <c r="E45" s="32"/>
      <c r="F45" s="31"/>
      <c r="G45" s="43" t="str">
        <f t="shared" si="4"/>
        <v/>
      </c>
      <c r="H45" s="30" t="s">
        <v>58</v>
      </c>
      <c r="I45" s="41"/>
      <c r="J45" s="33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5" s="33" t="str">
        <f t="shared" ca="1" si="5"/>
        <v>—</v>
      </c>
      <c r="L45" s="22"/>
    </row>
    <row r="46" spans="1:12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IF(A46="","",IFERROR(VLOOKUP(A46,DB_Customers!$A:$N,14,0),""))</f>
        <v/>
      </c>
      <c r="D46" s="42" t="str">
        <f t="shared" ca="1" si="3"/>
        <v/>
      </c>
      <c r="E46" s="32"/>
      <c r="F46" s="31"/>
      <c r="G46" s="43" t="str">
        <f t="shared" si="4"/>
        <v/>
      </c>
      <c r="H46" s="30" t="s">
        <v>58</v>
      </c>
      <c r="I46" s="41"/>
      <c r="J46" s="33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6" s="33" t="str">
        <f t="shared" ca="1" si="5"/>
        <v>—</v>
      </c>
      <c r="L46" s="50"/>
    </row>
    <row r="47" spans="1:12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IF(A47="","",IFERROR(VLOOKUP(A47,DB_Customers!$A:$N,14,0),""))</f>
        <v/>
      </c>
      <c r="D47" s="42" t="str">
        <f t="shared" ca="1" si="3"/>
        <v/>
      </c>
      <c r="E47" s="32"/>
      <c r="F47" s="31"/>
      <c r="G47" s="43" t="str">
        <f t="shared" si="4"/>
        <v/>
      </c>
      <c r="H47" s="30" t="s">
        <v>58</v>
      </c>
      <c r="I47" s="41"/>
      <c r="J47" s="33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7" s="33" t="str">
        <f t="shared" ca="1" si="5"/>
        <v>—</v>
      </c>
      <c r="L47" s="22"/>
    </row>
    <row r="48" spans="1:12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IF(A48="","",IFERROR(VLOOKUP(A48,DB_Customers!$A:$N,14,0),""))</f>
        <v/>
      </c>
      <c r="D48" s="42" t="str">
        <f t="shared" ca="1" si="3"/>
        <v/>
      </c>
      <c r="E48" s="32"/>
      <c r="F48" s="31"/>
      <c r="G48" s="43" t="str">
        <f t="shared" si="4"/>
        <v/>
      </c>
      <c r="H48" s="30" t="s">
        <v>58</v>
      </c>
      <c r="I48" s="41"/>
      <c r="J48" s="33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48" s="33" t="str">
        <f t="shared" ca="1" si="5"/>
        <v>—</v>
      </c>
      <c r="L48" s="50"/>
    </row>
    <row r="49" spans="1:12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IF(A49="","",IFERROR(VLOOKUP(A49,DB_Customers!$A:$N,14,0),""))</f>
        <v/>
      </c>
      <c r="D49" s="42" t="str">
        <f t="shared" ca="1" si="3"/>
        <v/>
      </c>
      <c r="E49" s="32"/>
      <c r="F49" s="31"/>
      <c r="G49" s="43" t="str">
        <f t="shared" si="4"/>
        <v/>
      </c>
      <c r="H49" s="30" t="s">
        <v>58</v>
      </c>
      <c r="I49" s="41"/>
      <c r="J49" s="33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49" s="33" t="str">
        <f t="shared" ca="1" si="5"/>
        <v>—</v>
      </c>
      <c r="L49" s="22"/>
    </row>
    <row r="50" spans="1:12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IF(A50="","",IFERROR(VLOOKUP(A50,DB_Customers!$A:$N,14,0),""))</f>
        <v/>
      </c>
      <c r="D50" s="42" t="str">
        <f t="shared" ca="1" si="3"/>
        <v/>
      </c>
      <c r="E50" s="32"/>
      <c r="F50" s="31"/>
      <c r="G50" s="43" t="str">
        <f t="shared" si="4"/>
        <v/>
      </c>
      <c r="H50" s="30" t="s">
        <v>58</v>
      </c>
      <c r="I50" s="41"/>
      <c r="J50" s="33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0" s="33" t="str">
        <f t="shared" ca="1" si="5"/>
        <v>—</v>
      </c>
      <c r="L50" s="50"/>
    </row>
    <row r="51" spans="1:12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IF(A51="","",IFERROR(VLOOKUP(A51,DB_Customers!$A:$N,14,0),""))</f>
        <v/>
      </c>
      <c r="D51" s="42" t="str">
        <f t="shared" ca="1" si="3"/>
        <v/>
      </c>
      <c r="E51" s="32"/>
      <c r="F51" s="31"/>
      <c r="G51" s="43" t="str">
        <f t="shared" si="4"/>
        <v/>
      </c>
      <c r="H51" s="30" t="s">
        <v>58</v>
      </c>
      <c r="I51" s="41"/>
      <c r="J51" s="33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1" s="33" t="str">
        <f t="shared" ca="1" si="5"/>
        <v>—</v>
      </c>
      <c r="L51" s="22"/>
    </row>
    <row r="52" spans="1:12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IF(A52="","",IFERROR(VLOOKUP(A52,DB_Customers!$A:$N,14,0),""))</f>
        <v/>
      </c>
      <c r="D52" s="42" t="str">
        <f t="shared" ca="1" si="3"/>
        <v/>
      </c>
      <c r="E52" s="32"/>
      <c r="F52" s="31"/>
      <c r="G52" s="43" t="str">
        <f t="shared" si="4"/>
        <v/>
      </c>
      <c r="H52" s="30" t="s">
        <v>58</v>
      </c>
      <c r="I52" s="41"/>
      <c r="J52" s="33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2" s="33" t="str">
        <f t="shared" ca="1" si="5"/>
        <v>—</v>
      </c>
      <c r="L52" s="50"/>
    </row>
    <row r="53" spans="1:12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IF(A53="","",IFERROR(VLOOKUP(A53,DB_Customers!$A:$N,14,0),""))</f>
        <v/>
      </c>
      <c r="D53" s="42" t="str">
        <f t="shared" ca="1" si="3"/>
        <v/>
      </c>
      <c r="E53" s="32"/>
      <c r="F53" s="31"/>
      <c r="G53" s="43" t="str">
        <f t="shared" si="4"/>
        <v/>
      </c>
      <c r="H53" s="30" t="s">
        <v>58</v>
      </c>
      <c r="I53" s="41"/>
      <c r="J53" s="33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3" s="33" t="str">
        <f t="shared" ca="1" si="5"/>
        <v>—</v>
      </c>
      <c r="L53" s="22"/>
    </row>
    <row r="54" spans="1:12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IF(A54="","",IFERROR(VLOOKUP(A54,DB_Customers!$A:$N,14,0),""))</f>
        <v/>
      </c>
      <c r="D54" s="42" t="str">
        <f t="shared" ca="1" si="3"/>
        <v/>
      </c>
      <c r="E54" s="32"/>
      <c r="F54" s="31"/>
      <c r="G54" s="43" t="str">
        <f t="shared" si="4"/>
        <v/>
      </c>
      <c r="H54" s="30" t="s">
        <v>58</v>
      </c>
      <c r="I54" s="41"/>
      <c r="J54" s="33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4" s="33" t="str">
        <f t="shared" ca="1" si="5"/>
        <v>—</v>
      </c>
      <c r="L54" s="50"/>
    </row>
    <row r="55" spans="1:12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IF(A55="","",IFERROR(VLOOKUP(A55,DB_Customers!$A:$N,14,0),""))</f>
        <v/>
      </c>
      <c r="D55" s="42" t="str">
        <f t="shared" ca="1" si="3"/>
        <v/>
      </c>
      <c r="E55" s="32"/>
      <c r="F55" s="31"/>
      <c r="G55" s="43" t="str">
        <f t="shared" si="4"/>
        <v/>
      </c>
      <c r="H55" s="30" t="s">
        <v>58</v>
      </c>
      <c r="I55" s="41"/>
      <c r="J55" s="33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5" s="33" t="str">
        <f t="shared" ca="1" si="5"/>
        <v>—</v>
      </c>
      <c r="L55" s="22"/>
    </row>
    <row r="56" spans="1:12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IF(A56="","",IFERROR(VLOOKUP(A56,DB_Customers!$A:$N,14,0),""))</f>
        <v/>
      </c>
      <c r="D56" s="42" t="str">
        <f t="shared" ca="1" si="3"/>
        <v/>
      </c>
      <c r="E56" s="32"/>
      <c r="F56" s="31"/>
      <c r="G56" s="43" t="str">
        <f t="shared" si="4"/>
        <v/>
      </c>
      <c r="H56" s="30" t="s">
        <v>58</v>
      </c>
      <c r="I56" s="41"/>
      <c r="J56" s="33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6" s="33" t="str">
        <f t="shared" ca="1" si="5"/>
        <v>—</v>
      </c>
      <c r="L56" s="50"/>
    </row>
    <row r="57" spans="1:12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IF(A57="","",IFERROR(VLOOKUP(A57,DB_Customers!$A:$N,14,0),""))</f>
        <v/>
      </c>
      <c r="D57" s="42" t="str">
        <f t="shared" ca="1" si="3"/>
        <v/>
      </c>
      <c r="E57" s="32"/>
      <c r="F57" s="31"/>
      <c r="G57" s="43" t="str">
        <f t="shared" si="4"/>
        <v/>
      </c>
      <c r="H57" s="30" t="s">
        <v>58</v>
      </c>
      <c r="I57" s="41"/>
      <c r="J57" s="33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7" s="33" t="str">
        <f t="shared" ca="1" si="5"/>
        <v>—</v>
      </c>
      <c r="L57" s="22"/>
    </row>
    <row r="58" spans="1:12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IF(A58="","",IFERROR(VLOOKUP(A58,DB_Customers!$A:$N,14,0),""))</f>
        <v/>
      </c>
      <c r="D58" s="42" t="str">
        <f t="shared" ca="1" si="3"/>
        <v/>
      </c>
      <c r="E58" s="32"/>
      <c r="F58" s="31"/>
      <c r="G58" s="43" t="str">
        <f t="shared" si="4"/>
        <v/>
      </c>
      <c r="H58" s="30" t="s">
        <v>58</v>
      </c>
      <c r="I58" s="41"/>
      <c r="J58" s="33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58" s="33" t="str">
        <f t="shared" ca="1" si="5"/>
        <v>—</v>
      </c>
      <c r="L58" s="50"/>
    </row>
    <row r="59" spans="1:12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IF(A59="","",IFERROR(VLOOKUP(A59,DB_Customers!$A:$N,14,0),""))</f>
        <v/>
      </c>
      <c r="D59" s="42" t="str">
        <f t="shared" ca="1" si="3"/>
        <v/>
      </c>
      <c r="E59" s="32"/>
      <c r="F59" s="31"/>
      <c r="G59" s="43" t="str">
        <f t="shared" si="4"/>
        <v/>
      </c>
      <c r="H59" s="30" t="s">
        <v>58</v>
      </c>
      <c r="I59" s="41"/>
      <c r="J59" s="33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59" s="33" t="str">
        <f t="shared" ca="1" si="5"/>
        <v>—</v>
      </c>
      <c r="L59" s="22"/>
    </row>
    <row r="60" spans="1:12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IF(A60="","",IFERROR(VLOOKUP(A60,DB_Customers!$A:$N,14,0),""))</f>
        <v/>
      </c>
      <c r="D60" s="42" t="str">
        <f t="shared" ca="1" si="3"/>
        <v/>
      </c>
      <c r="E60" s="32"/>
      <c r="F60" s="31"/>
      <c r="G60" s="43" t="str">
        <f t="shared" si="4"/>
        <v/>
      </c>
      <c r="H60" s="30" t="s">
        <v>58</v>
      </c>
      <c r="I60" s="41"/>
      <c r="J60" s="33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0" s="33" t="str">
        <f t="shared" ca="1" si="5"/>
        <v>—</v>
      </c>
      <c r="L60" s="50"/>
    </row>
    <row r="61" spans="1:12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IF(A61="","",IFERROR(VLOOKUP(A61,DB_Customers!$A:$N,14,0),""))</f>
        <v/>
      </c>
      <c r="D61" s="42" t="str">
        <f t="shared" ca="1" si="3"/>
        <v/>
      </c>
      <c r="E61" s="32"/>
      <c r="F61" s="31"/>
      <c r="G61" s="43" t="str">
        <f t="shared" si="4"/>
        <v/>
      </c>
      <c r="H61" s="30" t="s">
        <v>58</v>
      </c>
      <c r="I61" s="41"/>
      <c r="J61" s="33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1" s="33" t="str">
        <f t="shared" ca="1" si="5"/>
        <v>—</v>
      </c>
      <c r="L61" s="22"/>
    </row>
    <row r="62" spans="1:12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IF(A62="","",IFERROR(VLOOKUP(A62,DB_Customers!$A:$N,14,0),""))</f>
        <v/>
      </c>
      <c r="D62" s="42" t="str">
        <f t="shared" ca="1" si="3"/>
        <v/>
      </c>
      <c r="E62" s="32"/>
      <c r="F62" s="31"/>
      <c r="G62" s="43" t="str">
        <f t="shared" si="4"/>
        <v/>
      </c>
      <c r="H62" s="30" t="s">
        <v>58</v>
      </c>
      <c r="I62" s="41"/>
      <c r="J62" s="33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2" s="33" t="str">
        <f t="shared" ca="1" si="5"/>
        <v>—</v>
      </c>
      <c r="L62" s="50"/>
    </row>
    <row r="63" spans="1:12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IF(A63="","",IFERROR(VLOOKUP(A63,DB_Customers!$A:$N,14,0),""))</f>
        <v/>
      </c>
      <c r="D63" s="42" t="str">
        <f t="shared" ca="1" si="3"/>
        <v/>
      </c>
      <c r="E63" s="32"/>
      <c r="F63" s="31"/>
      <c r="G63" s="43" t="str">
        <f t="shared" si="4"/>
        <v/>
      </c>
      <c r="H63" s="30" t="s">
        <v>58</v>
      </c>
      <c r="I63" s="41"/>
      <c r="J63" s="33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3" s="33" t="str">
        <f t="shared" ca="1" si="5"/>
        <v>—</v>
      </c>
      <c r="L63" s="22"/>
    </row>
    <row r="64" spans="1:12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IF(A64="","",IFERROR(VLOOKUP(A64,DB_Customers!$A:$N,14,0),""))</f>
        <v/>
      </c>
      <c r="D64" s="42" t="str">
        <f t="shared" ca="1" si="3"/>
        <v/>
      </c>
      <c r="E64" s="32"/>
      <c r="F64" s="31"/>
      <c r="G64" s="43" t="str">
        <f t="shared" si="4"/>
        <v/>
      </c>
      <c r="H64" s="30" t="s">
        <v>58</v>
      </c>
      <c r="I64" s="41"/>
      <c r="J64" s="33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4" s="33" t="str">
        <f t="shared" ca="1" si="5"/>
        <v>—</v>
      </c>
      <c r="L64" s="50"/>
    </row>
    <row r="65" spans="1:12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IF(A65="","",IFERROR(VLOOKUP(A65,DB_Customers!$A:$N,14,0),""))</f>
        <v/>
      </c>
      <c r="D65" s="42" t="str">
        <f t="shared" ca="1" si="3"/>
        <v/>
      </c>
      <c r="E65" s="32"/>
      <c r="F65" s="31"/>
      <c r="G65" s="43" t="str">
        <f t="shared" si="4"/>
        <v/>
      </c>
      <c r="H65" s="30" t="s">
        <v>58</v>
      </c>
      <c r="I65" s="41"/>
      <c r="J65" s="33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5" s="33" t="str">
        <f t="shared" ca="1" si="5"/>
        <v>—</v>
      </c>
      <c r="L65" s="22"/>
    </row>
    <row r="66" spans="1:12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IF(A66="","",IFERROR(VLOOKUP(A66,DB_Customers!$A:$N,14,0),""))</f>
        <v/>
      </c>
      <c r="D66" s="42" t="str">
        <f t="shared" ca="1" si="3"/>
        <v/>
      </c>
      <c r="E66" s="32"/>
      <c r="F66" s="31"/>
      <c r="G66" s="43" t="str">
        <f t="shared" si="4"/>
        <v/>
      </c>
      <c r="H66" s="30" t="s">
        <v>58</v>
      </c>
      <c r="I66" s="41"/>
      <c r="J66" s="33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6" s="33" t="str">
        <f t="shared" ca="1" si="5"/>
        <v>—</v>
      </c>
      <c r="L66" s="50"/>
    </row>
    <row r="67" spans="1:12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IF(A67="","",IFERROR(VLOOKUP(A67,DB_Customers!$A:$N,14,0),""))</f>
        <v/>
      </c>
      <c r="D67" s="42" t="str">
        <f t="shared" ca="1" si="3"/>
        <v/>
      </c>
      <c r="E67" s="32"/>
      <c r="F67" s="31"/>
      <c r="G67" s="43" t="str">
        <f t="shared" si="4"/>
        <v/>
      </c>
      <c r="H67" s="30" t="s">
        <v>58</v>
      </c>
      <c r="I67" s="41"/>
      <c r="J67" s="33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7" s="33" t="str">
        <f t="shared" ca="1" si="5"/>
        <v>—</v>
      </c>
      <c r="L67" s="22"/>
    </row>
    <row r="68" spans="1:12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IF(A68="","",IFERROR(VLOOKUP(A68,DB_Customers!$A:$N,14,0),""))</f>
        <v/>
      </c>
      <c r="D68" s="42" t="str">
        <f t="shared" ca="1" si="3"/>
        <v/>
      </c>
      <c r="E68" s="32"/>
      <c r="F68" s="31"/>
      <c r="G68" s="43" t="str">
        <f t="shared" si="4"/>
        <v/>
      </c>
      <c r="H68" s="30" t="s">
        <v>58</v>
      </c>
      <c r="I68" s="41"/>
      <c r="J68" s="33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68" s="33" t="str">
        <f t="shared" ca="1" si="5"/>
        <v>—</v>
      </c>
      <c r="L68" s="50"/>
    </row>
    <row r="69" spans="1:12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IF(A69="","",IFERROR(VLOOKUP(A69,DB_Customers!$A:$N,14,0),""))</f>
        <v/>
      </c>
      <c r="D69" s="42" t="str">
        <f t="shared" ca="1" si="3"/>
        <v/>
      </c>
      <c r="E69" s="32"/>
      <c r="F69" s="31"/>
      <c r="G69" s="43" t="str">
        <f t="shared" si="4"/>
        <v/>
      </c>
      <c r="H69" s="30" t="s">
        <v>58</v>
      </c>
      <c r="I69" s="41"/>
      <c r="J69" s="33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69" s="33" t="str">
        <f t="shared" ca="1" si="5"/>
        <v>—</v>
      </c>
      <c r="L69" s="22"/>
    </row>
    <row r="70" spans="1:12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IF(A70="","",IFERROR(VLOOKUP(A70,DB_Customers!$A:$N,14,0),""))</f>
        <v/>
      </c>
      <c r="D70" s="42" t="str">
        <f t="shared" ca="1" si="3"/>
        <v/>
      </c>
      <c r="E70" s="32"/>
      <c r="F70" s="31"/>
      <c r="G70" s="43" t="str">
        <f t="shared" si="4"/>
        <v/>
      </c>
      <c r="H70" s="30" t="s">
        <v>58</v>
      </c>
      <c r="I70" s="41"/>
      <c r="J70" s="33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0" s="33" t="str">
        <f t="shared" ca="1" si="5"/>
        <v>—</v>
      </c>
      <c r="L70" s="50"/>
    </row>
    <row r="71" spans="1:12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IF(A71="","",IFERROR(VLOOKUP(A71,DB_Customers!$A:$N,14,0),""))</f>
        <v/>
      </c>
      <c r="D71" s="42" t="str">
        <f t="shared" ca="1" si="3"/>
        <v/>
      </c>
      <c r="E71" s="32"/>
      <c r="F71" s="31"/>
      <c r="G71" s="43" t="str">
        <f t="shared" si="4"/>
        <v/>
      </c>
      <c r="H71" s="30" t="s">
        <v>58</v>
      </c>
      <c r="I71" s="41"/>
      <c r="J71" s="33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1" s="33" t="str">
        <f t="shared" ca="1" si="5"/>
        <v>—</v>
      </c>
      <c r="L71" s="22"/>
    </row>
    <row r="72" spans="1:12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IF(A72="","",IFERROR(VLOOKUP(A72,DB_Customers!$A:$N,14,0),""))</f>
        <v/>
      </c>
      <c r="D72" s="42" t="str">
        <f t="shared" ca="1" si="3"/>
        <v/>
      </c>
      <c r="E72" s="32"/>
      <c r="F72" s="31"/>
      <c r="G72" s="43" t="str">
        <f t="shared" si="4"/>
        <v/>
      </c>
      <c r="H72" s="30" t="s">
        <v>58</v>
      </c>
      <c r="I72" s="41"/>
      <c r="J72" s="33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2" s="33" t="str">
        <f t="shared" ca="1" si="5"/>
        <v>—</v>
      </c>
      <c r="L72" s="50"/>
    </row>
    <row r="73" spans="1:12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IF(A73="","",IFERROR(VLOOKUP(A73,DB_Customers!$A:$N,14,0),""))</f>
        <v/>
      </c>
      <c r="D73" s="42" t="str">
        <f t="shared" ref="D73:D104" ca="1" si="6">IF(A73="","",TODAY())</f>
        <v/>
      </c>
      <c r="E73" s="32"/>
      <c r="F73" s="31"/>
      <c r="G73" s="43" t="str">
        <f t="shared" ref="G73:G104" si="7">IFERROR(IF(OR(A73="",E73=""),"",C73-E73),"")</f>
        <v/>
      </c>
      <c r="H73" s="30" t="s">
        <v>58</v>
      </c>
      <c r="I73" s="41"/>
      <c r="J73" s="33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3" s="33" t="str">
        <f t="shared" ref="K73:K104" ca="1" si="8">IF(J73="✅ Successful",TEXT(TODAY(),"YYYY-MM-DD")&amp;" Auto","—")</f>
        <v>—</v>
      </c>
      <c r="L73" s="22"/>
    </row>
    <row r="74" spans="1:12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IF(A74="","",IFERROR(VLOOKUP(A74,DB_Customers!$A:$N,14,0),""))</f>
        <v/>
      </c>
      <c r="D74" s="42" t="str">
        <f t="shared" ca="1" si="6"/>
        <v/>
      </c>
      <c r="E74" s="32"/>
      <c r="F74" s="31"/>
      <c r="G74" s="43" t="str">
        <f t="shared" si="7"/>
        <v/>
      </c>
      <c r="H74" s="30" t="s">
        <v>58</v>
      </c>
      <c r="I74" s="41"/>
      <c r="J74" s="33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4" s="33" t="str">
        <f t="shared" ca="1" si="8"/>
        <v>—</v>
      </c>
      <c r="L74" s="50"/>
    </row>
    <row r="75" spans="1:12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IF(A75="","",IFERROR(VLOOKUP(A75,DB_Customers!$A:$N,14,0),""))</f>
        <v/>
      </c>
      <c r="D75" s="42" t="str">
        <f t="shared" ca="1" si="6"/>
        <v/>
      </c>
      <c r="E75" s="32"/>
      <c r="F75" s="31"/>
      <c r="G75" s="43" t="str">
        <f t="shared" si="7"/>
        <v/>
      </c>
      <c r="H75" s="30" t="s">
        <v>58</v>
      </c>
      <c r="I75" s="41"/>
      <c r="J75" s="33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5" s="33" t="str">
        <f t="shared" ca="1" si="8"/>
        <v>—</v>
      </c>
      <c r="L75" s="22"/>
    </row>
    <row r="76" spans="1:12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IF(A76="","",IFERROR(VLOOKUP(A76,DB_Customers!$A:$N,14,0),""))</f>
        <v/>
      </c>
      <c r="D76" s="42" t="str">
        <f t="shared" ca="1" si="6"/>
        <v/>
      </c>
      <c r="E76" s="32"/>
      <c r="F76" s="31"/>
      <c r="G76" s="43" t="str">
        <f t="shared" si="7"/>
        <v/>
      </c>
      <c r="H76" s="30" t="s">
        <v>58</v>
      </c>
      <c r="I76" s="41"/>
      <c r="J76" s="33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6" s="33" t="str">
        <f t="shared" ca="1" si="8"/>
        <v>—</v>
      </c>
      <c r="L76" s="50"/>
    </row>
    <row r="77" spans="1:12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IF(A77="","",IFERROR(VLOOKUP(A77,DB_Customers!$A:$N,14,0),""))</f>
        <v/>
      </c>
      <c r="D77" s="42" t="str">
        <f t="shared" ca="1" si="6"/>
        <v/>
      </c>
      <c r="E77" s="32"/>
      <c r="F77" s="31"/>
      <c r="G77" s="43" t="str">
        <f t="shared" si="7"/>
        <v/>
      </c>
      <c r="H77" s="30" t="s">
        <v>58</v>
      </c>
      <c r="I77" s="41"/>
      <c r="J77" s="33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7" s="33" t="str">
        <f t="shared" ca="1" si="8"/>
        <v>—</v>
      </c>
      <c r="L77" s="22"/>
    </row>
    <row r="78" spans="1:12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IF(A78="","",IFERROR(VLOOKUP(A78,DB_Customers!$A:$N,14,0),""))</f>
        <v/>
      </c>
      <c r="D78" s="42" t="str">
        <f t="shared" ca="1" si="6"/>
        <v/>
      </c>
      <c r="E78" s="32"/>
      <c r="F78" s="31"/>
      <c r="G78" s="43" t="str">
        <f t="shared" si="7"/>
        <v/>
      </c>
      <c r="H78" s="30" t="s">
        <v>58</v>
      </c>
      <c r="I78" s="41"/>
      <c r="J78" s="33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78" s="33" t="str">
        <f t="shared" ca="1" si="8"/>
        <v>—</v>
      </c>
      <c r="L78" s="50"/>
    </row>
    <row r="79" spans="1:12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IF(A79="","",IFERROR(VLOOKUP(A79,DB_Customers!$A:$N,14,0),""))</f>
        <v/>
      </c>
      <c r="D79" s="42" t="str">
        <f t="shared" ca="1" si="6"/>
        <v/>
      </c>
      <c r="E79" s="32"/>
      <c r="F79" s="31"/>
      <c r="G79" s="43" t="str">
        <f t="shared" si="7"/>
        <v/>
      </c>
      <c r="H79" s="30" t="s">
        <v>58</v>
      </c>
      <c r="I79" s="41"/>
      <c r="J79" s="33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79" s="33" t="str">
        <f t="shared" ca="1" si="8"/>
        <v>—</v>
      </c>
      <c r="L79" s="22"/>
    </row>
    <row r="80" spans="1:12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IF(A80="","",IFERROR(VLOOKUP(A80,DB_Customers!$A:$N,14,0),""))</f>
        <v/>
      </c>
      <c r="D80" s="42" t="str">
        <f t="shared" ca="1" si="6"/>
        <v/>
      </c>
      <c r="E80" s="32"/>
      <c r="F80" s="31"/>
      <c r="G80" s="43" t="str">
        <f t="shared" si="7"/>
        <v/>
      </c>
      <c r="H80" s="30" t="s">
        <v>58</v>
      </c>
      <c r="I80" s="41"/>
      <c r="J80" s="33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0" s="33" t="str">
        <f t="shared" ca="1" si="8"/>
        <v>—</v>
      </c>
      <c r="L80" s="50"/>
    </row>
    <row r="81" spans="1:12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IF(A81="","",IFERROR(VLOOKUP(A81,DB_Customers!$A:$N,14,0),""))</f>
        <v/>
      </c>
      <c r="D81" s="42" t="str">
        <f t="shared" ca="1" si="6"/>
        <v/>
      </c>
      <c r="E81" s="32"/>
      <c r="F81" s="31"/>
      <c r="G81" s="43" t="str">
        <f t="shared" si="7"/>
        <v/>
      </c>
      <c r="H81" s="30" t="s">
        <v>58</v>
      </c>
      <c r="I81" s="41"/>
      <c r="J81" s="33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1" s="33" t="str">
        <f t="shared" ca="1" si="8"/>
        <v>—</v>
      </c>
      <c r="L81" s="22"/>
    </row>
    <row r="82" spans="1:12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IF(A82="","",IFERROR(VLOOKUP(A82,DB_Customers!$A:$N,14,0),""))</f>
        <v/>
      </c>
      <c r="D82" s="42" t="str">
        <f t="shared" ca="1" si="6"/>
        <v/>
      </c>
      <c r="E82" s="32"/>
      <c r="F82" s="31"/>
      <c r="G82" s="43" t="str">
        <f t="shared" si="7"/>
        <v/>
      </c>
      <c r="H82" s="30" t="s">
        <v>58</v>
      </c>
      <c r="I82" s="41"/>
      <c r="J82" s="33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2" s="33" t="str">
        <f t="shared" ca="1" si="8"/>
        <v>—</v>
      </c>
      <c r="L82" s="50"/>
    </row>
    <row r="83" spans="1:12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IF(A83="","",IFERROR(VLOOKUP(A83,DB_Customers!$A:$N,14,0),""))</f>
        <v/>
      </c>
      <c r="D83" s="42" t="str">
        <f t="shared" ca="1" si="6"/>
        <v/>
      </c>
      <c r="E83" s="32"/>
      <c r="F83" s="31"/>
      <c r="G83" s="43" t="str">
        <f t="shared" si="7"/>
        <v/>
      </c>
      <c r="H83" s="30" t="s">
        <v>58</v>
      </c>
      <c r="I83" s="41"/>
      <c r="J83" s="33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3" s="33" t="str">
        <f t="shared" ca="1" si="8"/>
        <v>—</v>
      </c>
      <c r="L83" s="22"/>
    </row>
    <row r="84" spans="1:12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IF(A84="","",IFERROR(VLOOKUP(A84,DB_Customers!$A:$N,14,0),""))</f>
        <v/>
      </c>
      <c r="D84" s="42" t="str">
        <f t="shared" ca="1" si="6"/>
        <v/>
      </c>
      <c r="E84" s="32"/>
      <c r="F84" s="31"/>
      <c r="G84" s="43" t="str">
        <f t="shared" si="7"/>
        <v/>
      </c>
      <c r="H84" s="30" t="s">
        <v>58</v>
      </c>
      <c r="I84" s="41"/>
      <c r="J84" s="33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4" s="33" t="str">
        <f t="shared" ca="1" si="8"/>
        <v>—</v>
      </c>
      <c r="L84" s="50"/>
    </row>
    <row r="85" spans="1:12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IF(A85="","",IFERROR(VLOOKUP(A85,DB_Customers!$A:$N,14,0),""))</f>
        <v/>
      </c>
      <c r="D85" s="42" t="str">
        <f t="shared" ca="1" si="6"/>
        <v/>
      </c>
      <c r="E85" s="32"/>
      <c r="F85" s="31"/>
      <c r="G85" s="43" t="str">
        <f t="shared" si="7"/>
        <v/>
      </c>
      <c r="H85" s="30" t="s">
        <v>58</v>
      </c>
      <c r="I85" s="41"/>
      <c r="J85" s="33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5" s="33" t="str">
        <f t="shared" ca="1" si="8"/>
        <v>—</v>
      </c>
      <c r="L85" s="22"/>
    </row>
    <row r="86" spans="1:12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IF(A86="","",IFERROR(VLOOKUP(A86,DB_Customers!$A:$N,14,0),""))</f>
        <v/>
      </c>
      <c r="D86" s="42" t="str">
        <f t="shared" ca="1" si="6"/>
        <v/>
      </c>
      <c r="E86" s="32"/>
      <c r="F86" s="31"/>
      <c r="G86" s="43" t="str">
        <f t="shared" si="7"/>
        <v/>
      </c>
      <c r="H86" s="30" t="s">
        <v>58</v>
      </c>
      <c r="I86" s="41"/>
      <c r="J86" s="33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6" s="33" t="str">
        <f t="shared" ca="1" si="8"/>
        <v>—</v>
      </c>
      <c r="L86" s="50"/>
    </row>
    <row r="87" spans="1:12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IF(A87="","",IFERROR(VLOOKUP(A87,DB_Customers!$A:$N,14,0),""))</f>
        <v/>
      </c>
      <c r="D87" s="42" t="str">
        <f t="shared" ca="1" si="6"/>
        <v/>
      </c>
      <c r="E87" s="32"/>
      <c r="F87" s="31"/>
      <c r="G87" s="43" t="str">
        <f t="shared" si="7"/>
        <v/>
      </c>
      <c r="H87" s="30" t="s">
        <v>58</v>
      </c>
      <c r="I87" s="41"/>
      <c r="J87" s="33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7" s="33" t="str">
        <f t="shared" ca="1" si="8"/>
        <v>—</v>
      </c>
      <c r="L87" s="22"/>
    </row>
    <row r="88" spans="1:12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IF(A88="","",IFERROR(VLOOKUP(A88,DB_Customers!$A:$N,14,0),""))</f>
        <v/>
      </c>
      <c r="D88" s="42" t="str">
        <f t="shared" ca="1" si="6"/>
        <v/>
      </c>
      <c r="E88" s="32"/>
      <c r="F88" s="31"/>
      <c r="G88" s="43" t="str">
        <f t="shared" si="7"/>
        <v/>
      </c>
      <c r="H88" s="30" t="s">
        <v>58</v>
      </c>
      <c r="I88" s="41"/>
      <c r="J88" s="33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88" s="33" t="str">
        <f t="shared" ca="1" si="8"/>
        <v>—</v>
      </c>
      <c r="L88" s="50"/>
    </row>
    <row r="89" spans="1:12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IF(A89="","",IFERROR(VLOOKUP(A89,DB_Customers!$A:$N,14,0),""))</f>
        <v/>
      </c>
      <c r="D89" s="42" t="str">
        <f t="shared" ca="1" si="6"/>
        <v/>
      </c>
      <c r="E89" s="32"/>
      <c r="F89" s="31"/>
      <c r="G89" s="43" t="str">
        <f t="shared" si="7"/>
        <v/>
      </c>
      <c r="H89" s="30" t="s">
        <v>58</v>
      </c>
      <c r="I89" s="41"/>
      <c r="J89" s="33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89" s="33" t="str">
        <f t="shared" ca="1" si="8"/>
        <v>—</v>
      </c>
      <c r="L89" s="22"/>
    </row>
    <row r="90" spans="1:12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IF(A90="","",IFERROR(VLOOKUP(A90,DB_Customers!$A:$N,14,0),""))</f>
        <v/>
      </c>
      <c r="D90" s="42" t="str">
        <f t="shared" ca="1" si="6"/>
        <v/>
      </c>
      <c r="E90" s="32"/>
      <c r="F90" s="31"/>
      <c r="G90" s="43" t="str">
        <f t="shared" si="7"/>
        <v/>
      </c>
      <c r="H90" s="30" t="s">
        <v>58</v>
      </c>
      <c r="I90" s="41"/>
      <c r="J90" s="33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0" s="33" t="str">
        <f t="shared" ca="1" si="8"/>
        <v>—</v>
      </c>
      <c r="L90" s="50"/>
    </row>
    <row r="91" spans="1:12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IF(A91="","",IFERROR(VLOOKUP(A91,DB_Customers!$A:$N,14,0),""))</f>
        <v/>
      </c>
      <c r="D91" s="42" t="str">
        <f t="shared" ca="1" si="6"/>
        <v/>
      </c>
      <c r="E91" s="32"/>
      <c r="F91" s="31"/>
      <c r="G91" s="43" t="str">
        <f t="shared" si="7"/>
        <v/>
      </c>
      <c r="H91" s="30" t="s">
        <v>58</v>
      </c>
      <c r="I91" s="41"/>
      <c r="J91" s="33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1" s="33" t="str">
        <f t="shared" ca="1" si="8"/>
        <v>—</v>
      </c>
      <c r="L91" s="22"/>
    </row>
    <row r="92" spans="1:12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IF(A92="","",IFERROR(VLOOKUP(A92,DB_Customers!$A:$N,14,0),""))</f>
        <v/>
      </c>
      <c r="D92" s="42" t="str">
        <f t="shared" ca="1" si="6"/>
        <v/>
      </c>
      <c r="E92" s="32"/>
      <c r="F92" s="31"/>
      <c r="G92" s="43" t="str">
        <f t="shared" si="7"/>
        <v/>
      </c>
      <c r="H92" s="30" t="s">
        <v>58</v>
      </c>
      <c r="I92" s="41"/>
      <c r="J92" s="33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2" s="33" t="str">
        <f t="shared" ca="1" si="8"/>
        <v>—</v>
      </c>
      <c r="L92" s="50"/>
    </row>
    <row r="93" spans="1:12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IF(A93="","",IFERROR(VLOOKUP(A93,DB_Customers!$A:$N,14,0),""))</f>
        <v/>
      </c>
      <c r="D93" s="42" t="str">
        <f t="shared" ca="1" si="6"/>
        <v/>
      </c>
      <c r="E93" s="32"/>
      <c r="F93" s="31"/>
      <c r="G93" s="43" t="str">
        <f t="shared" si="7"/>
        <v/>
      </c>
      <c r="H93" s="30" t="s">
        <v>58</v>
      </c>
      <c r="I93" s="41"/>
      <c r="J93" s="33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3" s="33" t="str">
        <f t="shared" ca="1" si="8"/>
        <v>—</v>
      </c>
      <c r="L93" s="22"/>
    </row>
    <row r="94" spans="1:12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IF(A94="","",IFERROR(VLOOKUP(A94,DB_Customers!$A:$N,14,0),""))</f>
        <v/>
      </c>
      <c r="D94" s="42" t="str">
        <f t="shared" ca="1" si="6"/>
        <v/>
      </c>
      <c r="E94" s="32"/>
      <c r="F94" s="31"/>
      <c r="G94" s="43" t="str">
        <f t="shared" si="7"/>
        <v/>
      </c>
      <c r="H94" s="30" t="s">
        <v>58</v>
      </c>
      <c r="I94" s="41"/>
      <c r="J94" s="33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4" s="33" t="str">
        <f t="shared" ca="1" si="8"/>
        <v>—</v>
      </c>
      <c r="L94" s="50"/>
    </row>
    <row r="95" spans="1:12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IF(A95="","",IFERROR(VLOOKUP(A95,DB_Customers!$A:$N,14,0),""))</f>
        <v/>
      </c>
      <c r="D95" s="42" t="str">
        <f t="shared" ca="1" si="6"/>
        <v/>
      </c>
      <c r="E95" s="32"/>
      <c r="F95" s="31"/>
      <c r="G95" s="43" t="str">
        <f t="shared" si="7"/>
        <v/>
      </c>
      <c r="H95" s="30" t="s">
        <v>58</v>
      </c>
      <c r="I95" s="41"/>
      <c r="J95" s="33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5" s="33" t="str">
        <f t="shared" ca="1" si="8"/>
        <v>—</v>
      </c>
      <c r="L95" s="22"/>
    </row>
    <row r="96" spans="1:12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IF(A96="","",IFERROR(VLOOKUP(A96,DB_Customers!$A:$N,14,0),""))</f>
        <v/>
      </c>
      <c r="D96" s="42" t="str">
        <f t="shared" ca="1" si="6"/>
        <v/>
      </c>
      <c r="E96" s="32"/>
      <c r="F96" s="31"/>
      <c r="G96" s="43" t="str">
        <f t="shared" si="7"/>
        <v/>
      </c>
      <c r="H96" s="30" t="s">
        <v>58</v>
      </c>
      <c r="I96" s="41"/>
      <c r="J96" s="33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6" s="33" t="str">
        <f t="shared" ca="1" si="8"/>
        <v>—</v>
      </c>
      <c r="L96" s="50"/>
    </row>
    <row r="97" spans="1:12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IF(A97="","",IFERROR(VLOOKUP(A97,DB_Customers!$A:$N,14,0),""))</f>
        <v/>
      </c>
      <c r="D97" s="42" t="str">
        <f t="shared" ca="1" si="6"/>
        <v/>
      </c>
      <c r="E97" s="32"/>
      <c r="F97" s="31"/>
      <c r="G97" s="43" t="str">
        <f t="shared" si="7"/>
        <v/>
      </c>
      <c r="H97" s="30" t="s">
        <v>58</v>
      </c>
      <c r="I97" s="41"/>
      <c r="J97" s="33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7" s="33" t="str">
        <f t="shared" ca="1" si="8"/>
        <v>—</v>
      </c>
      <c r="L97" s="22"/>
    </row>
    <row r="98" spans="1:12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IF(A98="","",IFERROR(VLOOKUP(A98,DB_Customers!$A:$N,14,0),""))</f>
        <v/>
      </c>
      <c r="D98" s="42" t="str">
        <f t="shared" ca="1" si="6"/>
        <v/>
      </c>
      <c r="E98" s="32"/>
      <c r="F98" s="31"/>
      <c r="G98" s="43" t="str">
        <f t="shared" si="7"/>
        <v/>
      </c>
      <c r="H98" s="30" t="s">
        <v>58</v>
      </c>
      <c r="I98" s="41"/>
      <c r="J98" s="33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98" s="33" t="str">
        <f t="shared" ca="1" si="8"/>
        <v>—</v>
      </c>
      <c r="L98" s="50"/>
    </row>
    <row r="99" spans="1:12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IF(A99="","",IFERROR(VLOOKUP(A99,DB_Customers!$A:$N,14,0),""))</f>
        <v/>
      </c>
      <c r="D99" s="42" t="str">
        <f t="shared" ca="1" si="6"/>
        <v/>
      </c>
      <c r="E99" s="32"/>
      <c r="F99" s="31"/>
      <c r="G99" s="43" t="str">
        <f t="shared" si="7"/>
        <v/>
      </c>
      <c r="H99" s="30" t="s">
        <v>58</v>
      </c>
      <c r="I99" s="41"/>
      <c r="J99" s="33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99" s="33" t="str">
        <f t="shared" ca="1" si="8"/>
        <v>—</v>
      </c>
      <c r="L99" s="22"/>
    </row>
    <row r="100" spans="1:12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IF(A100="","",IFERROR(VLOOKUP(A100,DB_Customers!$A:$N,14,0),""))</f>
        <v/>
      </c>
      <c r="D100" s="42" t="str">
        <f t="shared" ca="1" si="6"/>
        <v/>
      </c>
      <c r="E100" s="32"/>
      <c r="F100" s="31"/>
      <c r="G100" s="43" t="str">
        <f t="shared" si="7"/>
        <v/>
      </c>
      <c r="H100" s="30" t="s">
        <v>58</v>
      </c>
      <c r="I100" s="41"/>
      <c r="J100" s="33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0" s="33" t="str">
        <f t="shared" ca="1" si="8"/>
        <v>—</v>
      </c>
      <c r="L100" s="50"/>
    </row>
    <row r="101" spans="1:12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IF(A101="","",IFERROR(VLOOKUP(A101,DB_Customers!$A:$N,14,0),""))</f>
        <v/>
      </c>
      <c r="D101" s="42" t="str">
        <f t="shared" ca="1" si="6"/>
        <v/>
      </c>
      <c r="E101" s="32"/>
      <c r="F101" s="31"/>
      <c r="G101" s="43" t="str">
        <f t="shared" si="7"/>
        <v/>
      </c>
      <c r="H101" s="30" t="s">
        <v>58</v>
      </c>
      <c r="I101" s="41"/>
      <c r="J101" s="33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1" s="33" t="str">
        <f t="shared" ca="1" si="8"/>
        <v>—</v>
      </c>
      <c r="L101" s="22"/>
    </row>
    <row r="102" spans="1:12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IF(A102="","",IFERROR(VLOOKUP(A102,DB_Customers!$A:$N,14,0),""))</f>
        <v/>
      </c>
      <c r="D102" s="42" t="str">
        <f t="shared" ca="1" si="6"/>
        <v/>
      </c>
      <c r="E102" s="32"/>
      <c r="F102" s="31"/>
      <c r="G102" s="43" t="str">
        <f t="shared" si="7"/>
        <v/>
      </c>
      <c r="H102" s="30" t="s">
        <v>58</v>
      </c>
      <c r="I102" s="41"/>
      <c r="J102" s="33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2" s="33" t="str">
        <f t="shared" ca="1" si="8"/>
        <v>—</v>
      </c>
      <c r="L102" s="50"/>
    </row>
    <row r="103" spans="1:12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IF(A103="","",IFERROR(VLOOKUP(A103,DB_Customers!$A:$N,14,0),""))</f>
        <v/>
      </c>
      <c r="D103" s="42" t="str">
        <f t="shared" ca="1" si="6"/>
        <v/>
      </c>
      <c r="E103" s="32"/>
      <c r="F103" s="31"/>
      <c r="G103" s="43" t="str">
        <f t="shared" si="7"/>
        <v/>
      </c>
      <c r="H103" s="30" t="s">
        <v>58</v>
      </c>
      <c r="I103" s="41"/>
      <c r="J103" s="33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3" s="33" t="str">
        <f t="shared" ca="1" si="8"/>
        <v>—</v>
      </c>
      <c r="L103" s="22"/>
    </row>
    <row r="104" spans="1:12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IF(A104="","",IFERROR(VLOOKUP(A104,DB_Customers!$A:$N,14,0),""))</f>
        <v/>
      </c>
      <c r="D104" s="42" t="str">
        <f t="shared" ca="1" si="6"/>
        <v/>
      </c>
      <c r="E104" s="32"/>
      <c r="F104" s="31"/>
      <c r="G104" s="43" t="str">
        <f t="shared" si="7"/>
        <v/>
      </c>
      <c r="H104" s="30" t="s">
        <v>58</v>
      </c>
      <c r="I104" s="41"/>
      <c r="J104" s="33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4" s="33" t="str">
        <f t="shared" ca="1" si="8"/>
        <v>—</v>
      </c>
      <c r="L104" s="50"/>
    </row>
    <row r="105" spans="1:12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IF(A105="","",IFERROR(VLOOKUP(A105,DB_Customers!$A:$N,14,0),""))</f>
        <v/>
      </c>
      <c r="D105" s="42" t="str">
        <f t="shared" ref="D105:D136" ca="1" si="9">IF(A105="","",TODAY())</f>
        <v/>
      </c>
      <c r="E105" s="32"/>
      <c r="F105" s="31"/>
      <c r="G105" s="43" t="str">
        <f t="shared" ref="G105:G136" si="10">IFERROR(IF(OR(A105="",E105=""),"",C105-E105),"")</f>
        <v/>
      </c>
      <c r="H105" s="30" t="s">
        <v>58</v>
      </c>
      <c r="I105" s="41"/>
      <c r="J105" s="33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5" s="33" t="str">
        <f t="shared" ref="K105:K136" ca="1" si="11">IF(J105="✅ Successful",TEXT(TODAY(),"YYYY-MM-DD")&amp;" Auto","—")</f>
        <v>—</v>
      </c>
      <c r="L105" s="22"/>
    </row>
    <row r="106" spans="1:12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IF(A106="","",IFERROR(VLOOKUP(A106,DB_Customers!$A:$N,14,0),""))</f>
        <v/>
      </c>
      <c r="D106" s="42" t="str">
        <f t="shared" ca="1" si="9"/>
        <v/>
      </c>
      <c r="E106" s="32"/>
      <c r="F106" s="31"/>
      <c r="G106" s="43" t="str">
        <f t="shared" si="10"/>
        <v/>
      </c>
      <c r="H106" s="30" t="s">
        <v>58</v>
      </c>
      <c r="I106" s="41"/>
      <c r="J106" s="33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6" s="33" t="str">
        <f t="shared" ca="1" si="11"/>
        <v>—</v>
      </c>
      <c r="L106" s="50"/>
    </row>
    <row r="107" spans="1:12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IF(A107="","",IFERROR(VLOOKUP(A107,DB_Customers!$A:$N,14,0),""))</f>
        <v/>
      </c>
      <c r="D107" s="42" t="str">
        <f t="shared" ca="1" si="9"/>
        <v/>
      </c>
      <c r="E107" s="32"/>
      <c r="F107" s="31"/>
      <c r="G107" s="43" t="str">
        <f t="shared" si="10"/>
        <v/>
      </c>
      <c r="H107" s="30" t="s">
        <v>58</v>
      </c>
      <c r="I107" s="41"/>
      <c r="J107" s="33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7" s="33" t="str">
        <f t="shared" ca="1" si="11"/>
        <v>—</v>
      </c>
      <c r="L107" s="22"/>
    </row>
    <row r="108" spans="1:12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IF(A108="","",IFERROR(VLOOKUP(A108,DB_Customers!$A:$N,14,0),""))</f>
        <v/>
      </c>
      <c r="D108" s="42" t="str">
        <f t="shared" ca="1" si="9"/>
        <v/>
      </c>
      <c r="E108" s="32"/>
      <c r="F108" s="31"/>
      <c r="G108" s="43" t="str">
        <f t="shared" si="10"/>
        <v/>
      </c>
      <c r="H108" s="30" t="s">
        <v>58</v>
      </c>
      <c r="I108" s="41"/>
      <c r="J108" s="33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08" s="33" t="str">
        <f t="shared" ca="1" si="11"/>
        <v>—</v>
      </c>
      <c r="L108" s="50"/>
    </row>
    <row r="109" spans="1:12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IF(A109="","",IFERROR(VLOOKUP(A109,DB_Customers!$A:$N,14,0),""))</f>
        <v/>
      </c>
      <c r="D109" s="42" t="str">
        <f t="shared" ca="1" si="9"/>
        <v/>
      </c>
      <c r="E109" s="32"/>
      <c r="F109" s="31"/>
      <c r="G109" s="43" t="str">
        <f t="shared" si="10"/>
        <v/>
      </c>
      <c r="H109" s="30" t="s">
        <v>58</v>
      </c>
      <c r="I109" s="41"/>
      <c r="J109" s="33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09" s="33" t="str">
        <f t="shared" ca="1" si="11"/>
        <v>—</v>
      </c>
      <c r="L109" s="22"/>
    </row>
    <row r="110" spans="1:12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IF(A110="","",IFERROR(VLOOKUP(A110,DB_Customers!$A:$N,14,0),""))</f>
        <v/>
      </c>
      <c r="D110" s="42" t="str">
        <f t="shared" ca="1" si="9"/>
        <v/>
      </c>
      <c r="E110" s="32"/>
      <c r="F110" s="31"/>
      <c r="G110" s="43" t="str">
        <f t="shared" si="10"/>
        <v/>
      </c>
      <c r="H110" s="30" t="s">
        <v>58</v>
      </c>
      <c r="I110" s="41"/>
      <c r="J110" s="33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0" s="33" t="str">
        <f t="shared" ca="1" si="11"/>
        <v>—</v>
      </c>
      <c r="L110" s="50"/>
    </row>
    <row r="111" spans="1:12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IF(A111="","",IFERROR(VLOOKUP(A111,DB_Customers!$A:$N,14,0),""))</f>
        <v/>
      </c>
      <c r="D111" s="42" t="str">
        <f t="shared" ca="1" si="9"/>
        <v/>
      </c>
      <c r="E111" s="32"/>
      <c r="F111" s="31"/>
      <c r="G111" s="43" t="str">
        <f t="shared" si="10"/>
        <v/>
      </c>
      <c r="H111" s="30" t="s">
        <v>58</v>
      </c>
      <c r="I111" s="41"/>
      <c r="J111" s="33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1" s="33" t="str">
        <f t="shared" ca="1" si="11"/>
        <v>—</v>
      </c>
      <c r="L111" s="22"/>
    </row>
    <row r="112" spans="1:12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IF(A112="","",IFERROR(VLOOKUP(A112,DB_Customers!$A:$N,14,0),""))</f>
        <v/>
      </c>
      <c r="D112" s="42" t="str">
        <f t="shared" ca="1" si="9"/>
        <v/>
      </c>
      <c r="E112" s="32"/>
      <c r="F112" s="31"/>
      <c r="G112" s="43" t="str">
        <f t="shared" si="10"/>
        <v/>
      </c>
      <c r="H112" s="30" t="s">
        <v>58</v>
      </c>
      <c r="I112" s="41"/>
      <c r="J112" s="33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2" s="33" t="str">
        <f t="shared" ca="1" si="11"/>
        <v>—</v>
      </c>
      <c r="L112" s="50"/>
    </row>
    <row r="113" spans="1:12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IF(A113="","",IFERROR(VLOOKUP(A113,DB_Customers!$A:$N,14,0),""))</f>
        <v/>
      </c>
      <c r="D113" s="42" t="str">
        <f t="shared" ca="1" si="9"/>
        <v/>
      </c>
      <c r="E113" s="32"/>
      <c r="F113" s="31"/>
      <c r="G113" s="43" t="str">
        <f t="shared" si="10"/>
        <v/>
      </c>
      <c r="H113" s="30" t="s">
        <v>58</v>
      </c>
      <c r="I113" s="41"/>
      <c r="J113" s="33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3" s="33" t="str">
        <f t="shared" ca="1" si="11"/>
        <v>—</v>
      </c>
      <c r="L113" s="22"/>
    </row>
    <row r="114" spans="1:12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IF(A114="","",IFERROR(VLOOKUP(A114,DB_Customers!$A:$N,14,0),""))</f>
        <v/>
      </c>
      <c r="D114" s="42" t="str">
        <f t="shared" ca="1" si="9"/>
        <v/>
      </c>
      <c r="E114" s="32"/>
      <c r="F114" s="31"/>
      <c r="G114" s="43" t="str">
        <f t="shared" si="10"/>
        <v/>
      </c>
      <c r="H114" s="30" t="s">
        <v>58</v>
      </c>
      <c r="I114" s="41"/>
      <c r="J114" s="33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4" s="33" t="str">
        <f t="shared" ca="1" si="11"/>
        <v>—</v>
      </c>
      <c r="L114" s="50"/>
    </row>
    <row r="115" spans="1:12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IF(A115="","",IFERROR(VLOOKUP(A115,DB_Customers!$A:$N,14,0),""))</f>
        <v/>
      </c>
      <c r="D115" s="42" t="str">
        <f t="shared" ca="1" si="9"/>
        <v/>
      </c>
      <c r="E115" s="32"/>
      <c r="F115" s="31"/>
      <c r="G115" s="43" t="str">
        <f t="shared" si="10"/>
        <v/>
      </c>
      <c r="H115" s="30" t="s">
        <v>58</v>
      </c>
      <c r="I115" s="41"/>
      <c r="J115" s="33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5" s="33" t="str">
        <f t="shared" ca="1" si="11"/>
        <v>—</v>
      </c>
      <c r="L115" s="22"/>
    </row>
    <row r="116" spans="1:12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IF(A116="","",IFERROR(VLOOKUP(A116,DB_Customers!$A:$N,14,0),""))</f>
        <v/>
      </c>
      <c r="D116" s="42" t="str">
        <f t="shared" ca="1" si="9"/>
        <v/>
      </c>
      <c r="E116" s="32"/>
      <c r="F116" s="31"/>
      <c r="G116" s="43" t="str">
        <f t="shared" si="10"/>
        <v/>
      </c>
      <c r="H116" s="30" t="s">
        <v>58</v>
      </c>
      <c r="I116" s="41"/>
      <c r="J116" s="33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6" s="33" t="str">
        <f t="shared" ca="1" si="11"/>
        <v>—</v>
      </c>
      <c r="L116" s="50"/>
    </row>
    <row r="117" spans="1:12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IF(A117="","",IFERROR(VLOOKUP(A117,DB_Customers!$A:$N,14,0),""))</f>
        <v/>
      </c>
      <c r="D117" s="42" t="str">
        <f t="shared" ca="1" si="9"/>
        <v/>
      </c>
      <c r="E117" s="32"/>
      <c r="F117" s="31"/>
      <c r="G117" s="43" t="str">
        <f t="shared" si="10"/>
        <v/>
      </c>
      <c r="H117" s="30" t="s">
        <v>58</v>
      </c>
      <c r="I117" s="41"/>
      <c r="J117" s="33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7" s="33" t="str">
        <f t="shared" ca="1" si="11"/>
        <v>—</v>
      </c>
      <c r="L117" s="22"/>
    </row>
    <row r="118" spans="1:12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IF(A118="","",IFERROR(VLOOKUP(A118,DB_Customers!$A:$N,14,0),""))</f>
        <v/>
      </c>
      <c r="D118" s="42" t="str">
        <f t="shared" ca="1" si="9"/>
        <v/>
      </c>
      <c r="E118" s="32"/>
      <c r="F118" s="31"/>
      <c r="G118" s="43" t="str">
        <f t="shared" si="10"/>
        <v/>
      </c>
      <c r="H118" s="30" t="s">
        <v>58</v>
      </c>
      <c r="I118" s="41"/>
      <c r="J118" s="33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18" s="33" t="str">
        <f t="shared" ca="1" si="11"/>
        <v>—</v>
      </c>
      <c r="L118" s="50"/>
    </row>
    <row r="119" spans="1:12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IF(A119="","",IFERROR(VLOOKUP(A119,DB_Customers!$A:$N,14,0),""))</f>
        <v/>
      </c>
      <c r="D119" s="42" t="str">
        <f t="shared" ca="1" si="9"/>
        <v/>
      </c>
      <c r="E119" s="32"/>
      <c r="F119" s="31"/>
      <c r="G119" s="43" t="str">
        <f t="shared" si="10"/>
        <v/>
      </c>
      <c r="H119" s="30" t="s">
        <v>58</v>
      </c>
      <c r="I119" s="41"/>
      <c r="J119" s="33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19" s="33" t="str">
        <f t="shared" ca="1" si="11"/>
        <v>—</v>
      </c>
      <c r="L119" s="22"/>
    </row>
    <row r="120" spans="1:12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IF(A120="","",IFERROR(VLOOKUP(A120,DB_Customers!$A:$N,14,0),""))</f>
        <v/>
      </c>
      <c r="D120" s="42" t="str">
        <f t="shared" ca="1" si="9"/>
        <v/>
      </c>
      <c r="E120" s="32"/>
      <c r="F120" s="31"/>
      <c r="G120" s="43" t="str">
        <f t="shared" si="10"/>
        <v/>
      </c>
      <c r="H120" s="30" t="s">
        <v>58</v>
      </c>
      <c r="I120" s="41"/>
      <c r="J120" s="33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0" s="33" t="str">
        <f t="shared" ca="1" si="11"/>
        <v>—</v>
      </c>
      <c r="L120" s="50"/>
    </row>
    <row r="121" spans="1:12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IF(A121="","",IFERROR(VLOOKUP(A121,DB_Customers!$A:$N,14,0),""))</f>
        <v/>
      </c>
      <c r="D121" s="42" t="str">
        <f t="shared" ca="1" si="9"/>
        <v/>
      </c>
      <c r="E121" s="32"/>
      <c r="F121" s="31"/>
      <c r="G121" s="43" t="str">
        <f t="shared" si="10"/>
        <v/>
      </c>
      <c r="H121" s="30" t="s">
        <v>58</v>
      </c>
      <c r="I121" s="41"/>
      <c r="J121" s="33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1" s="33" t="str">
        <f t="shared" ca="1" si="11"/>
        <v>—</v>
      </c>
      <c r="L121" s="22"/>
    </row>
    <row r="122" spans="1:12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IF(A122="","",IFERROR(VLOOKUP(A122,DB_Customers!$A:$N,14,0),""))</f>
        <v/>
      </c>
      <c r="D122" s="42" t="str">
        <f t="shared" ca="1" si="9"/>
        <v/>
      </c>
      <c r="E122" s="32"/>
      <c r="F122" s="31"/>
      <c r="G122" s="43" t="str">
        <f t="shared" si="10"/>
        <v/>
      </c>
      <c r="H122" s="30" t="s">
        <v>58</v>
      </c>
      <c r="I122" s="41"/>
      <c r="J122" s="33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2" s="33" t="str">
        <f t="shared" ca="1" si="11"/>
        <v>—</v>
      </c>
      <c r="L122" s="50"/>
    </row>
    <row r="123" spans="1:12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IF(A123="","",IFERROR(VLOOKUP(A123,DB_Customers!$A:$N,14,0),""))</f>
        <v/>
      </c>
      <c r="D123" s="42" t="str">
        <f t="shared" ca="1" si="9"/>
        <v/>
      </c>
      <c r="E123" s="32"/>
      <c r="F123" s="31"/>
      <c r="G123" s="43" t="str">
        <f t="shared" si="10"/>
        <v/>
      </c>
      <c r="H123" s="30" t="s">
        <v>58</v>
      </c>
      <c r="I123" s="41"/>
      <c r="J123" s="33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3" s="33" t="str">
        <f t="shared" ca="1" si="11"/>
        <v>—</v>
      </c>
      <c r="L123" s="22"/>
    </row>
    <row r="124" spans="1:12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IF(A124="","",IFERROR(VLOOKUP(A124,DB_Customers!$A:$N,14,0),""))</f>
        <v/>
      </c>
      <c r="D124" s="42" t="str">
        <f t="shared" ca="1" si="9"/>
        <v/>
      </c>
      <c r="E124" s="32"/>
      <c r="F124" s="31"/>
      <c r="G124" s="43" t="str">
        <f t="shared" si="10"/>
        <v/>
      </c>
      <c r="H124" s="30" t="s">
        <v>58</v>
      </c>
      <c r="I124" s="41"/>
      <c r="J124" s="33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4" s="33" t="str">
        <f t="shared" ca="1" si="11"/>
        <v>—</v>
      </c>
      <c r="L124" s="50"/>
    </row>
    <row r="125" spans="1:12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IF(A125="","",IFERROR(VLOOKUP(A125,DB_Customers!$A:$N,14,0),""))</f>
        <v/>
      </c>
      <c r="D125" s="42" t="str">
        <f t="shared" ca="1" si="9"/>
        <v/>
      </c>
      <c r="E125" s="32"/>
      <c r="F125" s="31"/>
      <c r="G125" s="43" t="str">
        <f t="shared" si="10"/>
        <v/>
      </c>
      <c r="H125" s="30" t="s">
        <v>58</v>
      </c>
      <c r="I125" s="41"/>
      <c r="J125" s="33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5" s="33" t="str">
        <f t="shared" ca="1" si="11"/>
        <v>—</v>
      </c>
      <c r="L125" s="22"/>
    </row>
    <row r="126" spans="1:12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IF(A126="","",IFERROR(VLOOKUP(A126,DB_Customers!$A:$N,14,0),""))</f>
        <v/>
      </c>
      <c r="D126" s="42" t="str">
        <f t="shared" ca="1" si="9"/>
        <v/>
      </c>
      <c r="E126" s="32"/>
      <c r="F126" s="31"/>
      <c r="G126" s="43" t="str">
        <f t="shared" si="10"/>
        <v/>
      </c>
      <c r="H126" s="30" t="s">
        <v>58</v>
      </c>
      <c r="I126" s="41"/>
      <c r="J126" s="33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6" s="33" t="str">
        <f t="shared" ca="1" si="11"/>
        <v>—</v>
      </c>
      <c r="L126" s="50"/>
    </row>
    <row r="127" spans="1:12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IF(A127="","",IFERROR(VLOOKUP(A127,DB_Customers!$A:$N,14,0),""))</f>
        <v/>
      </c>
      <c r="D127" s="42" t="str">
        <f t="shared" ca="1" si="9"/>
        <v/>
      </c>
      <c r="E127" s="32"/>
      <c r="F127" s="31"/>
      <c r="G127" s="43" t="str">
        <f t="shared" si="10"/>
        <v/>
      </c>
      <c r="H127" s="30" t="s">
        <v>58</v>
      </c>
      <c r="I127" s="41"/>
      <c r="J127" s="33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7" s="33" t="str">
        <f t="shared" ca="1" si="11"/>
        <v>—</v>
      </c>
      <c r="L127" s="22"/>
    </row>
    <row r="128" spans="1:12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IF(A128="","",IFERROR(VLOOKUP(A128,DB_Customers!$A:$N,14,0),""))</f>
        <v/>
      </c>
      <c r="D128" s="42" t="str">
        <f t="shared" ca="1" si="9"/>
        <v/>
      </c>
      <c r="E128" s="32"/>
      <c r="F128" s="31"/>
      <c r="G128" s="43" t="str">
        <f t="shared" si="10"/>
        <v/>
      </c>
      <c r="H128" s="30" t="s">
        <v>58</v>
      </c>
      <c r="I128" s="41"/>
      <c r="J128" s="33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28" s="33" t="str">
        <f t="shared" ca="1" si="11"/>
        <v>—</v>
      </c>
      <c r="L128" s="50"/>
    </row>
    <row r="129" spans="1:12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IF(A129="","",IFERROR(VLOOKUP(A129,DB_Customers!$A:$N,14,0),""))</f>
        <v/>
      </c>
      <c r="D129" s="42" t="str">
        <f t="shared" ca="1" si="9"/>
        <v/>
      </c>
      <c r="E129" s="32"/>
      <c r="F129" s="31"/>
      <c r="G129" s="43" t="str">
        <f t="shared" si="10"/>
        <v/>
      </c>
      <c r="H129" s="30" t="s">
        <v>58</v>
      </c>
      <c r="I129" s="41"/>
      <c r="J129" s="33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29" s="33" t="str">
        <f t="shared" ca="1" si="11"/>
        <v>—</v>
      </c>
      <c r="L129" s="22"/>
    </row>
    <row r="130" spans="1:12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IF(A130="","",IFERROR(VLOOKUP(A130,DB_Customers!$A:$N,14,0),""))</f>
        <v/>
      </c>
      <c r="D130" s="42" t="str">
        <f t="shared" ca="1" si="9"/>
        <v/>
      </c>
      <c r="E130" s="32"/>
      <c r="F130" s="31"/>
      <c r="G130" s="43" t="str">
        <f t="shared" si="10"/>
        <v/>
      </c>
      <c r="H130" s="30" t="s">
        <v>58</v>
      </c>
      <c r="I130" s="41"/>
      <c r="J130" s="33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0" s="33" t="str">
        <f t="shared" ca="1" si="11"/>
        <v>—</v>
      </c>
      <c r="L130" s="50"/>
    </row>
    <row r="131" spans="1:12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IF(A131="","",IFERROR(VLOOKUP(A131,DB_Customers!$A:$N,14,0),""))</f>
        <v/>
      </c>
      <c r="D131" s="42" t="str">
        <f t="shared" ca="1" si="9"/>
        <v/>
      </c>
      <c r="E131" s="32"/>
      <c r="F131" s="31"/>
      <c r="G131" s="43" t="str">
        <f t="shared" si="10"/>
        <v/>
      </c>
      <c r="H131" s="30" t="s">
        <v>58</v>
      </c>
      <c r="I131" s="41"/>
      <c r="J131" s="33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1" s="33" t="str">
        <f t="shared" ca="1" si="11"/>
        <v>—</v>
      </c>
      <c r="L131" s="22"/>
    </row>
    <row r="132" spans="1:12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IF(A132="","",IFERROR(VLOOKUP(A132,DB_Customers!$A:$N,14,0),""))</f>
        <v/>
      </c>
      <c r="D132" s="42" t="str">
        <f t="shared" ca="1" si="9"/>
        <v/>
      </c>
      <c r="E132" s="32"/>
      <c r="F132" s="31"/>
      <c r="G132" s="43" t="str">
        <f t="shared" si="10"/>
        <v/>
      </c>
      <c r="H132" s="30" t="s">
        <v>58</v>
      </c>
      <c r="I132" s="41"/>
      <c r="J132" s="33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2" s="33" t="str">
        <f t="shared" ca="1" si="11"/>
        <v>—</v>
      </c>
      <c r="L132" s="50"/>
    </row>
    <row r="133" spans="1:12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IF(A133="","",IFERROR(VLOOKUP(A133,DB_Customers!$A:$N,14,0),""))</f>
        <v/>
      </c>
      <c r="D133" s="42" t="str">
        <f t="shared" ca="1" si="9"/>
        <v/>
      </c>
      <c r="E133" s="32"/>
      <c r="F133" s="31"/>
      <c r="G133" s="43" t="str">
        <f t="shared" si="10"/>
        <v/>
      </c>
      <c r="H133" s="30" t="s">
        <v>58</v>
      </c>
      <c r="I133" s="41"/>
      <c r="J133" s="33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3" s="33" t="str">
        <f t="shared" ca="1" si="11"/>
        <v>—</v>
      </c>
      <c r="L133" s="22"/>
    </row>
    <row r="134" spans="1:12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IF(A134="","",IFERROR(VLOOKUP(A134,DB_Customers!$A:$N,14,0),""))</f>
        <v/>
      </c>
      <c r="D134" s="42" t="str">
        <f t="shared" ca="1" si="9"/>
        <v/>
      </c>
      <c r="E134" s="32"/>
      <c r="F134" s="31"/>
      <c r="G134" s="43" t="str">
        <f t="shared" si="10"/>
        <v/>
      </c>
      <c r="H134" s="30" t="s">
        <v>58</v>
      </c>
      <c r="I134" s="41"/>
      <c r="J134" s="33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4" s="33" t="str">
        <f t="shared" ca="1" si="11"/>
        <v>—</v>
      </c>
      <c r="L134" s="50"/>
    </row>
    <row r="135" spans="1:12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IF(A135="","",IFERROR(VLOOKUP(A135,DB_Customers!$A:$N,14,0),""))</f>
        <v/>
      </c>
      <c r="D135" s="42" t="str">
        <f t="shared" ca="1" si="9"/>
        <v/>
      </c>
      <c r="E135" s="32"/>
      <c r="F135" s="31"/>
      <c r="G135" s="43" t="str">
        <f t="shared" si="10"/>
        <v/>
      </c>
      <c r="H135" s="30" t="s">
        <v>58</v>
      </c>
      <c r="I135" s="41"/>
      <c r="J135" s="33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5" s="33" t="str">
        <f t="shared" ca="1" si="11"/>
        <v>—</v>
      </c>
      <c r="L135" s="22"/>
    </row>
    <row r="136" spans="1:12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IF(A136="","",IFERROR(VLOOKUP(A136,DB_Customers!$A:$N,14,0),""))</f>
        <v/>
      </c>
      <c r="D136" s="42" t="str">
        <f t="shared" ca="1" si="9"/>
        <v/>
      </c>
      <c r="E136" s="32"/>
      <c r="F136" s="31"/>
      <c r="G136" s="43" t="str">
        <f t="shared" si="10"/>
        <v/>
      </c>
      <c r="H136" s="30" t="s">
        <v>58</v>
      </c>
      <c r="I136" s="41"/>
      <c r="J136" s="33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6" s="33" t="str">
        <f t="shared" ca="1" si="11"/>
        <v>—</v>
      </c>
      <c r="L136" s="50"/>
    </row>
    <row r="137" spans="1:12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IF(A137="","",IFERROR(VLOOKUP(A137,DB_Customers!$A:$N,14,0),""))</f>
        <v/>
      </c>
      <c r="D137" s="42" t="str">
        <f t="shared" ref="D137:D168" ca="1" si="12">IF(A137="","",TODAY())</f>
        <v/>
      </c>
      <c r="E137" s="32"/>
      <c r="F137" s="31"/>
      <c r="G137" s="43" t="str">
        <f t="shared" ref="G137:G168" si="13">IFERROR(IF(OR(A137="",E137=""),"",C137-E137),"")</f>
        <v/>
      </c>
      <c r="H137" s="30" t="s">
        <v>58</v>
      </c>
      <c r="I137" s="41"/>
      <c r="J137" s="33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7" s="33" t="str">
        <f t="shared" ref="K137:K168" ca="1" si="14">IF(J137="✅ Successful",TEXT(TODAY(),"YYYY-MM-DD")&amp;" Auto","—")</f>
        <v>—</v>
      </c>
      <c r="L137" s="22"/>
    </row>
    <row r="138" spans="1:12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IF(A138="","",IFERROR(VLOOKUP(A138,DB_Customers!$A:$N,14,0),""))</f>
        <v/>
      </c>
      <c r="D138" s="42" t="str">
        <f t="shared" ca="1" si="12"/>
        <v/>
      </c>
      <c r="E138" s="32"/>
      <c r="F138" s="31"/>
      <c r="G138" s="43" t="str">
        <f t="shared" si="13"/>
        <v/>
      </c>
      <c r="H138" s="30" t="s">
        <v>58</v>
      </c>
      <c r="I138" s="41"/>
      <c r="J138" s="33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38" s="33" t="str">
        <f t="shared" ca="1" si="14"/>
        <v>—</v>
      </c>
      <c r="L138" s="50"/>
    </row>
    <row r="139" spans="1:12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IF(A139="","",IFERROR(VLOOKUP(A139,DB_Customers!$A:$N,14,0),""))</f>
        <v/>
      </c>
      <c r="D139" s="42" t="str">
        <f t="shared" ca="1" si="12"/>
        <v/>
      </c>
      <c r="E139" s="32"/>
      <c r="F139" s="31"/>
      <c r="G139" s="43" t="str">
        <f t="shared" si="13"/>
        <v/>
      </c>
      <c r="H139" s="30" t="s">
        <v>58</v>
      </c>
      <c r="I139" s="41"/>
      <c r="J139" s="33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39" s="33" t="str">
        <f t="shared" ca="1" si="14"/>
        <v>—</v>
      </c>
      <c r="L139" s="22"/>
    </row>
    <row r="140" spans="1:12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IF(A140="","",IFERROR(VLOOKUP(A140,DB_Customers!$A:$N,14,0),""))</f>
        <v/>
      </c>
      <c r="D140" s="42" t="str">
        <f t="shared" ca="1" si="12"/>
        <v/>
      </c>
      <c r="E140" s="32"/>
      <c r="F140" s="31"/>
      <c r="G140" s="43" t="str">
        <f t="shared" si="13"/>
        <v/>
      </c>
      <c r="H140" s="30" t="s">
        <v>58</v>
      </c>
      <c r="I140" s="41"/>
      <c r="J140" s="33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0" s="33" t="str">
        <f t="shared" ca="1" si="14"/>
        <v>—</v>
      </c>
      <c r="L140" s="50"/>
    </row>
    <row r="141" spans="1:12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IF(A141="","",IFERROR(VLOOKUP(A141,DB_Customers!$A:$N,14,0),""))</f>
        <v/>
      </c>
      <c r="D141" s="42" t="str">
        <f t="shared" ca="1" si="12"/>
        <v/>
      </c>
      <c r="E141" s="32"/>
      <c r="F141" s="31"/>
      <c r="G141" s="43" t="str">
        <f t="shared" si="13"/>
        <v/>
      </c>
      <c r="H141" s="30" t="s">
        <v>58</v>
      </c>
      <c r="I141" s="41"/>
      <c r="J141" s="33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1" s="33" t="str">
        <f t="shared" ca="1" si="14"/>
        <v>—</v>
      </c>
      <c r="L141" s="22"/>
    </row>
    <row r="142" spans="1:12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IF(A142="","",IFERROR(VLOOKUP(A142,DB_Customers!$A:$N,14,0),""))</f>
        <v/>
      </c>
      <c r="D142" s="42" t="str">
        <f t="shared" ca="1" si="12"/>
        <v/>
      </c>
      <c r="E142" s="32"/>
      <c r="F142" s="31"/>
      <c r="G142" s="43" t="str">
        <f t="shared" si="13"/>
        <v/>
      </c>
      <c r="H142" s="30" t="s">
        <v>58</v>
      </c>
      <c r="I142" s="41"/>
      <c r="J142" s="33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2" s="33" t="str">
        <f t="shared" ca="1" si="14"/>
        <v>—</v>
      </c>
      <c r="L142" s="50"/>
    </row>
    <row r="143" spans="1:12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IF(A143="","",IFERROR(VLOOKUP(A143,DB_Customers!$A:$N,14,0),""))</f>
        <v/>
      </c>
      <c r="D143" s="42" t="str">
        <f t="shared" ca="1" si="12"/>
        <v/>
      </c>
      <c r="E143" s="32"/>
      <c r="F143" s="31"/>
      <c r="G143" s="43" t="str">
        <f t="shared" si="13"/>
        <v/>
      </c>
      <c r="H143" s="30" t="s">
        <v>58</v>
      </c>
      <c r="I143" s="41"/>
      <c r="J143" s="33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3" s="33" t="str">
        <f t="shared" ca="1" si="14"/>
        <v>—</v>
      </c>
      <c r="L143" s="22"/>
    </row>
    <row r="144" spans="1:12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IF(A144="","",IFERROR(VLOOKUP(A144,DB_Customers!$A:$N,14,0),""))</f>
        <v/>
      </c>
      <c r="D144" s="42" t="str">
        <f t="shared" ca="1" si="12"/>
        <v/>
      </c>
      <c r="E144" s="32"/>
      <c r="F144" s="31"/>
      <c r="G144" s="43" t="str">
        <f t="shared" si="13"/>
        <v/>
      </c>
      <c r="H144" s="30" t="s">
        <v>58</v>
      </c>
      <c r="I144" s="41"/>
      <c r="J144" s="33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4" s="33" t="str">
        <f t="shared" ca="1" si="14"/>
        <v>—</v>
      </c>
      <c r="L144" s="50"/>
    </row>
    <row r="145" spans="1:12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IF(A145="","",IFERROR(VLOOKUP(A145,DB_Customers!$A:$N,14,0),""))</f>
        <v/>
      </c>
      <c r="D145" s="42" t="str">
        <f t="shared" ca="1" si="12"/>
        <v/>
      </c>
      <c r="E145" s="32"/>
      <c r="F145" s="31"/>
      <c r="G145" s="43" t="str">
        <f t="shared" si="13"/>
        <v/>
      </c>
      <c r="H145" s="30" t="s">
        <v>58</v>
      </c>
      <c r="I145" s="41"/>
      <c r="J145" s="33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5" s="33" t="str">
        <f t="shared" ca="1" si="14"/>
        <v>—</v>
      </c>
      <c r="L145" s="22"/>
    </row>
    <row r="146" spans="1:12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IF(A146="","",IFERROR(VLOOKUP(A146,DB_Customers!$A:$N,14,0),""))</f>
        <v/>
      </c>
      <c r="D146" s="42" t="str">
        <f t="shared" ca="1" si="12"/>
        <v/>
      </c>
      <c r="E146" s="32"/>
      <c r="F146" s="31"/>
      <c r="G146" s="43" t="str">
        <f t="shared" si="13"/>
        <v/>
      </c>
      <c r="H146" s="30" t="s">
        <v>58</v>
      </c>
      <c r="I146" s="41"/>
      <c r="J146" s="33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6" s="33" t="str">
        <f t="shared" ca="1" si="14"/>
        <v>—</v>
      </c>
      <c r="L146" s="50"/>
    </row>
    <row r="147" spans="1:12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IF(A147="","",IFERROR(VLOOKUP(A147,DB_Customers!$A:$N,14,0),""))</f>
        <v/>
      </c>
      <c r="D147" s="42" t="str">
        <f t="shared" ca="1" si="12"/>
        <v/>
      </c>
      <c r="E147" s="32"/>
      <c r="F147" s="31"/>
      <c r="G147" s="43" t="str">
        <f t="shared" si="13"/>
        <v/>
      </c>
      <c r="H147" s="30" t="s">
        <v>58</v>
      </c>
      <c r="I147" s="41"/>
      <c r="J147" s="33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7" s="33" t="str">
        <f t="shared" ca="1" si="14"/>
        <v>—</v>
      </c>
      <c r="L147" s="22"/>
    </row>
    <row r="148" spans="1:12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IF(A148="","",IFERROR(VLOOKUP(A148,DB_Customers!$A:$N,14,0),""))</f>
        <v/>
      </c>
      <c r="D148" s="42" t="str">
        <f t="shared" ca="1" si="12"/>
        <v/>
      </c>
      <c r="E148" s="32"/>
      <c r="F148" s="31"/>
      <c r="G148" s="43" t="str">
        <f t="shared" si="13"/>
        <v/>
      </c>
      <c r="H148" s="30" t="s">
        <v>58</v>
      </c>
      <c r="I148" s="41"/>
      <c r="J148" s="33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48" s="33" t="str">
        <f t="shared" ca="1" si="14"/>
        <v>—</v>
      </c>
      <c r="L148" s="50"/>
    </row>
    <row r="149" spans="1:12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IF(A149="","",IFERROR(VLOOKUP(A149,DB_Customers!$A:$N,14,0),""))</f>
        <v/>
      </c>
      <c r="D149" s="42" t="str">
        <f t="shared" ca="1" si="12"/>
        <v/>
      </c>
      <c r="E149" s="32"/>
      <c r="F149" s="31"/>
      <c r="G149" s="43" t="str">
        <f t="shared" si="13"/>
        <v/>
      </c>
      <c r="H149" s="30" t="s">
        <v>58</v>
      </c>
      <c r="I149" s="41"/>
      <c r="J149" s="33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49" s="33" t="str">
        <f t="shared" ca="1" si="14"/>
        <v>—</v>
      </c>
      <c r="L149" s="22"/>
    </row>
    <row r="150" spans="1:12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IF(A150="","",IFERROR(VLOOKUP(A150,DB_Customers!$A:$N,14,0),""))</f>
        <v/>
      </c>
      <c r="D150" s="42" t="str">
        <f t="shared" ca="1" si="12"/>
        <v/>
      </c>
      <c r="E150" s="32"/>
      <c r="F150" s="31"/>
      <c r="G150" s="43" t="str">
        <f t="shared" si="13"/>
        <v/>
      </c>
      <c r="H150" s="30" t="s">
        <v>58</v>
      </c>
      <c r="I150" s="41"/>
      <c r="J150" s="33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0" s="33" t="str">
        <f t="shared" ca="1" si="14"/>
        <v>—</v>
      </c>
      <c r="L150" s="50"/>
    </row>
    <row r="151" spans="1:12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IF(A151="","",IFERROR(VLOOKUP(A151,DB_Customers!$A:$N,14,0),""))</f>
        <v/>
      </c>
      <c r="D151" s="42" t="str">
        <f t="shared" ca="1" si="12"/>
        <v/>
      </c>
      <c r="E151" s="32"/>
      <c r="F151" s="31"/>
      <c r="G151" s="43" t="str">
        <f t="shared" si="13"/>
        <v/>
      </c>
      <c r="H151" s="30" t="s">
        <v>58</v>
      </c>
      <c r="I151" s="41"/>
      <c r="J151" s="33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1" s="33" t="str">
        <f t="shared" ca="1" si="14"/>
        <v>—</v>
      </c>
      <c r="L151" s="22"/>
    </row>
    <row r="152" spans="1:12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IF(A152="","",IFERROR(VLOOKUP(A152,DB_Customers!$A:$N,14,0),""))</f>
        <v/>
      </c>
      <c r="D152" s="42" t="str">
        <f t="shared" ca="1" si="12"/>
        <v/>
      </c>
      <c r="E152" s="32"/>
      <c r="F152" s="31"/>
      <c r="G152" s="43" t="str">
        <f t="shared" si="13"/>
        <v/>
      </c>
      <c r="H152" s="30" t="s">
        <v>58</v>
      </c>
      <c r="I152" s="41"/>
      <c r="J152" s="33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2" s="33" t="str">
        <f t="shared" ca="1" si="14"/>
        <v>—</v>
      </c>
      <c r="L152" s="50"/>
    </row>
    <row r="153" spans="1:12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IF(A153="","",IFERROR(VLOOKUP(A153,DB_Customers!$A:$N,14,0),""))</f>
        <v/>
      </c>
      <c r="D153" s="42" t="str">
        <f t="shared" ca="1" si="12"/>
        <v/>
      </c>
      <c r="E153" s="32"/>
      <c r="F153" s="31"/>
      <c r="G153" s="43" t="str">
        <f t="shared" si="13"/>
        <v/>
      </c>
      <c r="H153" s="30" t="s">
        <v>58</v>
      </c>
      <c r="I153" s="41"/>
      <c r="J153" s="33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3" s="33" t="str">
        <f t="shared" ca="1" si="14"/>
        <v>—</v>
      </c>
      <c r="L153" s="22"/>
    </row>
    <row r="154" spans="1:12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IF(A154="","",IFERROR(VLOOKUP(A154,DB_Customers!$A:$N,14,0),""))</f>
        <v/>
      </c>
      <c r="D154" s="42" t="str">
        <f t="shared" ca="1" si="12"/>
        <v/>
      </c>
      <c r="E154" s="32"/>
      <c r="F154" s="31"/>
      <c r="G154" s="43" t="str">
        <f t="shared" si="13"/>
        <v/>
      </c>
      <c r="H154" s="30" t="s">
        <v>58</v>
      </c>
      <c r="I154" s="41"/>
      <c r="J154" s="33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4" s="33" t="str">
        <f t="shared" ca="1" si="14"/>
        <v>—</v>
      </c>
      <c r="L154" s="50"/>
    </row>
    <row r="155" spans="1:12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IF(A155="","",IFERROR(VLOOKUP(A155,DB_Customers!$A:$N,14,0),""))</f>
        <v/>
      </c>
      <c r="D155" s="42" t="str">
        <f t="shared" ca="1" si="12"/>
        <v/>
      </c>
      <c r="E155" s="32"/>
      <c r="F155" s="31"/>
      <c r="G155" s="43" t="str">
        <f t="shared" si="13"/>
        <v/>
      </c>
      <c r="H155" s="30" t="s">
        <v>58</v>
      </c>
      <c r="I155" s="41"/>
      <c r="J155" s="33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5" s="33" t="str">
        <f t="shared" ca="1" si="14"/>
        <v>—</v>
      </c>
      <c r="L155" s="22"/>
    </row>
    <row r="156" spans="1:12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IF(A156="","",IFERROR(VLOOKUP(A156,DB_Customers!$A:$N,14,0),""))</f>
        <v/>
      </c>
      <c r="D156" s="42" t="str">
        <f t="shared" ca="1" si="12"/>
        <v/>
      </c>
      <c r="E156" s="32"/>
      <c r="F156" s="31"/>
      <c r="G156" s="43" t="str">
        <f t="shared" si="13"/>
        <v/>
      </c>
      <c r="H156" s="30" t="s">
        <v>58</v>
      </c>
      <c r="I156" s="41"/>
      <c r="J156" s="33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6" s="33" t="str">
        <f t="shared" ca="1" si="14"/>
        <v>—</v>
      </c>
      <c r="L156" s="50"/>
    </row>
    <row r="157" spans="1:12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IF(A157="","",IFERROR(VLOOKUP(A157,DB_Customers!$A:$N,14,0),""))</f>
        <v/>
      </c>
      <c r="D157" s="42" t="str">
        <f t="shared" ca="1" si="12"/>
        <v/>
      </c>
      <c r="E157" s="32"/>
      <c r="F157" s="31"/>
      <c r="G157" s="43" t="str">
        <f t="shared" si="13"/>
        <v/>
      </c>
      <c r="H157" s="30" t="s">
        <v>58</v>
      </c>
      <c r="I157" s="41"/>
      <c r="J157" s="33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7" s="33" t="str">
        <f t="shared" ca="1" si="14"/>
        <v>—</v>
      </c>
      <c r="L157" s="22"/>
    </row>
    <row r="158" spans="1:12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IF(A158="","",IFERROR(VLOOKUP(A158,DB_Customers!$A:$N,14,0),""))</f>
        <v/>
      </c>
      <c r="D158" s="42" t="str">
        <f t="shared" ca="1" si="12"/>
        <v/>
      </c>
      <c r="E158" s="32"/>
      <c r="F158" s="31"/>
      <c r="G158" s="43" t="str">
        <f t="shared" si="13"/>
        <v/>
      </c>
      <c r="H158" s="30" t="s">
        <v>58</v>
      </c>
      <c r="I158" s="41"/>
      <c r="J158" s="33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58" s="33" t="str">
        <f t="shared" ca="1" si="14"/>
        <v>—</v>
      </c>
      <c r="L158" s="50"/>
    </row>
    <row r="159" spans="1:12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IF(A159="","",IFERROR(VLOOKUP(A159,DB_Customers!$A:$N,14,0),""))</f>
        <v/>
      </c>
      <c r="D159" s="42" t="str">
        <f t="shared" ca="1" si="12"/>
        <v/>
      </c>
      <c r="E159" s="32"/>
      <c r="F159" s="31"/>
      <c r="G159" s="43" t="str">
        <f t="shared" si="13"/>
        <v/>
      </c>
      <c r="H159" s="30" t="s">
        <v>58</v>
      </c>
      <c r="I159" s="41"/>
      <c r="J159" s="33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59" s="33" t="str">
        <f t="shared" ca="1" si="14"/>
        <v>—</v>
      </c>
      <c r="L159" s="22"/>
    </row>
    <row r="160" spans="1:12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IF(A160="","",IFERROR(VLOOKUP(A160,DB_Customers!$A:$N,14,0),""))</f>
        <v/>
      </c>
      <c r="D160" s="42" t="str">
        <f t="shared" ca="1" si="12"/>
        <v/>
      </c>
      <c r="E160" s="32"/>
      <c r="F160" s="31"/>
      <c r="G160" s="43" t="str">
        <f t="shared" si="13"/>
        <v/>
      </c>
      <c r="H160" s="30" t="s">
        <v>58</v>
      </c>
      <c r="I160" s="41"/>
      <c r="J160" s="33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0" s="33" t="str">
        <f t="shared" ca="1" si="14"/>
        <v>—</v>
      </c>
      <c r="L160" s="50"/>
    </row>
    <row r="161" spans="1:12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IF(A161="","",IFERROR(VLOOKUP(A161,DB_Customers!$A:$N,14,0),""))</f>
        <v/>
      </c>
      <c r="D161" s="42" t="str">
        <f t="shared" ca="1" si="12"/>
        <v/>
      </c>
      <c r="E161" s="32"/>
      <c r="F161" s="31"/>
      <c r="G161" s="43" t="str">
        <f t="shared" si="13"/>
        <v/>
      </c>
      <c r="H161" s="30" t="s">
        <v>58</v>
      </c>
      <c r="I161" s="41"/>
      <c r="J161" s="33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1" s="33" t="str">
        <f t="shared" ca="1" si="14"/>
        <v>—</v>
      </c>
      <c r="L161" s="22"/>
    </row>
    <row r="162" spans="1:12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IF(A162="","",IFERROR(VLOOKUP(A162,DB_Customers!$A:$N,14,0),""))</f>
        <v/>
      </c>
      <c r="D162" s="42" t="str">
        <f t="shared" ca="1" si="12"/>
        <v/>
      </c>
      <c r="E162" s="32"/>
      <c r="F162" s="31"/>
      <c r="G162" s="43" t="str">
        <f t="shared" si="13"/>
        <v/>
      </c>
      <c r="H162" s="30" t="s">
        <v>58</v>
      </c>
      <c r="I162" s="41"/>
      <c r="J162" s="33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2" s="33" t="str">
        <f t="shared" ca="1" si="14"/>
        <v>—</v>
      </c>
      <c r="L162" s="50"/>
    </row>
    <row r="163" spans="1:12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IF(A163="","",IFERROR(VLOOKUP(A163,DB_Customers!$A:$N,14,0),""))</f>
        <v/>
      </c>
      <c r="D163" s="42" t="str">
        <f t="shared" ca="1" si="12"/>
        <v/>
      </c>
      <c r="E163" s="32"/>
      <c r="F163" s="31"/>
      <c r="G163" s="43" t="str">
        <f t="shared" si="13"/>
        <v/>
      </c>
      <c r="H163" s="30" t="s">
        <v>58</v>
      </c>
      <c r="I163" s="41"/>
      <c r="J163" s="33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3" s="33" t="str">
        <f t="shared" ca="1" si="14"/>
        <v>—</v>
      </c>
      <c r="L163" s="22"/>
    </row>
    <row r="164" spans="1:12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IF(A164="","",IFERROR(VLOOKUP(A164,DB_Customers!$A:$N,14,0),""))</f>
        <v/>
      </c>
      <c r="D164" s="42" t="str">
        <f t="shared" ca="1" si="12"/>
        <v/>
      </c>
      <c r="E164" s="32"/>
      <c r="F164" s="31"/>
      <c r="G164" s="43" t="str">
        <f t="shared" si="13"/>
        <v/>
      </c>
      <c r="H164" s="30" t="s">
        <v>58</v>
      </c>
      <c r="I164" s="41"/>
      <c r="J164" s="33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4" s="33" t="str">
        <f t="shared" ca="1" si="14"/>
        <v>—</v>
      </c>
      <c r="L164" s="50"/>
    </row>
    <row r="165" spans="1:12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IF(A165="","",IFERROR(VLOOKUP(A165,DB_Customers!$A:$N,14,0),""))</f>
        <v/>
      </c>
      <c r="D165" s="42" t="str">
        <f t="shared" ca="1" si="12"/>
        <v/>
      </c>
      <c r="E165" s="32"/>
      <c r="F165" s="31"/>
      <c r="G165" s="43" t="str">
        <f t="shared" si="13"/>
        <v/>
      </c>
      <c r="H165" s="30" t="s">
        <v>58</v>
      </c>
      <c r="I165" s="41"/>
      <c r="J165" s="33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5" s="33" t="str">
        <f t="shared" ca="1" si="14"/>
        <v>—</v>
      </c>
      <c r="L165" s="22"/>
    </row>
    <row r="166" spans="1:12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IF(A166="","",IFERROR(VLOOKUP(A166,DB_Customers!$A:$N,14,0),""))</f>
        <v/>
      </c>
      <c r="D166" s="42" t="str">
        <f t="shared" ca="1" si="12"/>
        <v/>
      </c>
      <c r="E166" s="32"/>
      <c r="F166" s="31"/>
      <c r="G166" s="43" t="str">
        <f t="shared" si="13"/>
        <v/>
      </c>
      <c r="H166" s="30" t="s">
        <v>58</v>
      </c>
      <c r="I166" s="41"/>
      <c r="J166" s="33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6" s="33" t="str">
        <f t="shared" ca="1" si="14"/>
        <v>—</v>
      </c>
      <c r="L166" s="50"/>
    </row>
    <row r="167" spans="1:12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IF(A167="","",IFERROR(VLOOKUP(A167,DB_Customers!$A:$N,14,0),""))</f>
        <v/>
      </c>
      <c r="D167" s="42" t="str">
        <f t="shared" ca="1" si="12"/>
        <v/>
      </c>
      <c r="E167" s="32"/>
      <c r="F167" s="31"/>
      <c r="G167" s="43" t="str">
        <f t="shared" si="13"/>
        <v/>
      </c>
      <c r="H167" s="30" t="s">
        <v>58</v>
      </c>
      <c r="I167" s="41"/>
      <c r="J167" s="33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7" s="33" t="str">
        <f t="shared" ca="1" si="14"/>
        <v>—</v>
      </c>
      <c r="L167" s="22"/>
    </row>
    <row r="168" spans="1:12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IF(A168="","",IFERROR(VLOOKUP(A168,DB_Customers!$A:$N,14,0),""))</f>
        <v/>
      </c>
      <c r="D168" s="42" t="str">
        <f t="shared" ca="1" si="12"/>
        <v/>
      </c>
      <c r="E168" s="32"/>
      <c r="F168" s="31"/>
      <c r="G168" s="43" t="str">
        <f t="shared" si="13"/>
        <v/>
      </c>
      <c r="H168" s="30" t="s">
        <v>58</v>
      </c>
      <c r="I168" s="41"/>
      <c r="J168" s="33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68" s="33" t="str">
        <f t="shared" ca="1" si="14"/>
        <v>—</v>
      </c>
      <c r="L168" s="50"/>
    </row>
    <row r="169" spans="1:12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IF(A169="","",IFERROR(VLOOKUP(A169,DB_Customers!$A:$N,14,0),""))</f>
        <v/>
      </c>
      <c r="D169" s="42" t="str">
        <f t="shared" ref="D169:D200" ca="1" si="15">IF(A169="","",TODAY())</f>
        <v/>
      </c>
      <c r="E169" s="32"/>
      <c r="F169" s="31"/>
      <c r="G169" s="43" t="str">
        <f t="shared" ref="G169:G200" si="16">IFERROR(IF(OR(A169="",E169=""),"",C169-E169),"")</f>
        <v/>
      </c>
      <c r="H169" s="30" t="s">
        <v>58</v>
      </c>
      <c r="I169" s="41"/>
      <c r="J169" s="33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69" s="33" t="str">
        <f t="shared" ref="K169:K200" ca="1" si="17">IF(J169="✅ Successful",TEXT(TODAY(),"YYYY-MM-DD")&amp;" Auto","—")</f>
        <v>—</v>
      </c>
      <c r="L169" s="22"/>
    </row>
    <row r="170" spans="1:12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IF(A170="","",IFERROR(VLOOKUP(A170,DB_Customers!$A:$N,14,0),""))</f>
        <v/>
      </c>
      <c r="D170" s="42" t="str">
        <f t="shared" ca="1" si="15"/>
        <v/>
      </c>
      <c r="E170" s="32"/>
      <c r="F170" s="31"/>
      <c r="G170" s="43" t="str">
        <f t="shared" si="16"/>
        <v/>
      </c>
      <c r="H170" s="30" t="s">
        <v>58</v>
      </c>
      <c r="I170" s="41"/>
      <c r="J170" s="33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0" s="33" t="str">
        <f t="shared" ca="1" si="17"/>
        <v>—</v>
      </c>
      <c r="L170" s="50"/>
    </row>
    <row r="171" spans="1:12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IF(A171="","",IFERROR(VLOOKUP(A171,DB_Customers!$A:$N,14,0),""))</f>
        <v/>
      </c>
      <c r="D171" s="42" t="str">
        <f t="shared" ca="1" si="15"/>
        <v/>
      </c>
      <c r="E171" s="32"/>
      <c r="F171" s="31"/>
      <c r="G171" s="43" t="str">
        <f t="shared" si="16"/>
        <v/>
      </c>
      <c r="H171" s="30" t="s">
        <v>58</v>
      </c>
      <c r="I171" s="41"/>
      <c r="J171" s="33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1" s="33" t="str">
        <f t="shared" ca="1" si="17"/>
        <v>—</v>
      </c>
      <c r="L171" s="22"/>
    </row>
    <row r="172" spans="1:12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IF(A172="","",IFERROR(VLOOKUP(A172,DB_Customers!$A:$N,14,0),""))</f>
        <v/>
      </c>
      <c r="D172" s="42" t="str">
        <f t="shared" ca="1" si="15"/>
        <v/>
      </c>
      <c r="E172" s="32"/>
      <c r="F172" s="31"/>
      <c r="G172" s="43" t="str">
        <f t="shared" si="16"/>
        <v/>
      </c>
      <c r="H172" s="30" t="s">
        <v>58</v>
      </c>
      <c r="I172" s="41"/>
      <c r="J172" s="33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2" s="33" t="str">
        <f t="shared" ca="1" si="17"/>
        <v>—</v>
      </c>
      <c r="L172" s="50"/>
    </row>
    <row r="173" spans="1:12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IF(A173="","",IFERROR(VLOOKUP(A173,DB_Customers!$A:$N,14,0),""))</f>
        <v/>
      </c>
      <c r="D173" s="42" t="str">
        <f t="shared" ca="1" si="15"/>
        <v/>
      </c>
      <c r="E173" s="32"/>
      <c r="F173" s="31"/>
      <c r="G173" s="43" t="str">
        <f t="shared" si="16"/>
        <v/>
      </c>
      <c r="H173" s="30" t="s">
        <v>58</v>
      </c>
      <c r="I173" s="41"/>
      <c r="J173" s="33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3" s="33" t="str">
        <f t="shared" ca="1" si="17"/>
        <v>—</v>
      </c>
      <c r="L173" s="22"/>
    </row>
    <row r="174" spans="1:12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IF(A174="","",IFERROR(VLOOKUP(A174,DB_Customers!$A:$N,14,0),""))</f>
        <v/>
      </c>
      <c r="D174" s="42" t="str">
        <f t="shared" ca="1" si="15"/>
        <v/>
      </c>
      <c r="E174" s="32"/>
      <c r="F174" s="31"/>
      <c r="G174" s="43" t="str">
        <f t="shared" si="16"/>
        <v/>
      </c>
      <c r="H174" s="30" t="s">
        <v>58</v>
      </c>
      <c r="I174" s="41"/>
      <c r="J174" s="33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4" s="33" t="str">
        <f t="shared" ca="1" si="17"/>
        <v>—</v>
      </c>
      <c r="L174" s="50"/>
    </row>
    <row r="175" spans="1:12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IF(A175="","",IFERROR(VLOOKUP(A175,DB_Customers!$A:$N,14,0),""))</f>
        <v/>
      </c>
      <c r="D175" s="42" t="str">
        <f t="shared" ca="1" si="15"/>
        <v/>
      </c>
      <c r="E175" s="32"/>
      <c r="F175" s="31"/>
      <c r="G175" s="43" t="str">
        <f t="shared" si="16"/>
        <v/>
      </c>
      <c r="H175" s="30" t="s">
        <v>58</v>
      </c>
      <c r="I175" s="41"/>
      <c r="J175" s="33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5" s="33" t="str">
        <f t="shared" ca="1" si="17"/>
        <v>—</v>
      </c>
      <c r="L175" s="22"/>
    </row>
    <row r="176" spans="1:12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IF(A176="","",IFERROR(VLOOKUP(A176,DB_Customers!$A:$N,14,0),""))</f>
        <v/>
      </c>
      <c r="D176" s="42" t="str">
        <f t="shared" ca="1" si="15"/>
        <v/>
      </c>
      <c r="E176" s="32"/>
      <c r="F176" s="31"/>
      <c r="G176" s="43" t="str">
        <f t="shared" si="16"/>
        <v/>
      </c>
      <c r="H176" s="30" t="s">
        <v>58</v>
      </c>
      <c r="I176" s="41"/>
      <c r="J176" s="33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6" s="33" t="str">
        <f t="shared" ca="1" si="17"/>
        <v>—</v>
      </c>
      <c r="L176" s="50"/>
    </row>
    <row r="177" spans="1:12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IF(A177="","",IFERROR(VLOOKUP(A177,DB_Customers!$A:$N,14,0),""))</f>
        <v/>
      </c>
      <c r="D177" s="42" t="str">
        <f t="shared" ca="1" si="15"/>
        <v/>
      </c>
      <c r="E177" s="32"/>
      <c r="F177" s="31"/>
      <c r="G177" s="43" t="str">
        <f t="shared" si="16"/>
        <v/>
      </c>
      <c r="H177" s="30" t="s">
        <v>58</v>
      </c>
      <c r="I177" s="41"/>
      <c r="J177" s="33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7" s="33" t="str">
        <f t="shared" ca="1" si="17"/>
        <v>—</v>
      </c>
      <c r="L177" s="22"/>
    </row>
    <row r="178" spans="1:12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IF(A178="","",IFERROR(VLOOKUP(A178,DB_Customers!$A:$N,14,0),""))</f>
        <v/>
      </c>
      <c r="D178" s="42" t="str">
        <f t="shared" ca="1" si="15"/>
        <v/>
      </c>
      <c r="E178" s="32"/>
      <c r="F178" s="31"/>
      <c r="G178" s="43" t="str">
        <f t="shared" si="16"/>
        <v/>
      </c>
      <c r="H178" s="30" t="s">
        <v>58</v>
      </c>
      <c r="I178" s="41"/>
      <c r="J178" s="33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78" s="33" t="str">
        <f t="shared" ca="1" si="17"/>
        <v>—</v>
      </c>
      <c r="L178" s="50"/>
    </row>
    <row r="179" spans="1:12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IF(A179="","",IFERROR(VLOOKUP(A179,DB_Customers!$A:$N,14,0),""))</f>
        <v/>
      </c>
      <c r="D179" s="42" t="str">
        <f t="shared" ca="1" si="15"/>
        <v/>
      </c>
      <c r="E179" s="32"/>
      <c r="F179" s="31"/>
      <c r="G179" s="43" t="str">
        <f t="shared" si="16"/>
        <v/>
      </c>
      <c r="H179" s="30" t="s">
        <v>58</v>
      </c>
      <c r="I179" s="41"/>
      <c r="J179" s="33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79" s="33" t="str">
        <f t="shared" ca="1" si="17"/>
        <v>—</v>
      </c>
      <c r="L179" s="22"/>
    </row>
    <row r="180" spans="1:12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IF(A180="","",IFERROR(VLOOKUP(A180,DB_Customers!$A:$N,14,0),""))</f>
        <v/>
      </c>
      <c r="D180" s="42" t="str">
        <f t="shared" ca="1" si="15"/>
        <v/>
      </c>
      <c r="E180" s="32"/>
      <c r="F180" s="31"/>
      <c r="G180" s="43" t="str">
        <f t="shared" si="16"/>
        <v/>
      </c>
      <c r="H180" s="30" t="s">
        <v>58</v>
      </c>
      <c r="I180" s="41"/>
      <c r="J180" s="33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0" s="33" t="str">
        <f t="shared" ca="1" si="17"/>
        <v>—</v>
      </c>
      <c r="L180" s="50"/>
    </row>
    <row r="181" spans="1:12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IF(A181="","",IFERROR(VLOOKUP(A181,DB_Customers!$A:$N,14,0),""))</f>
        <v/>
      </c>
      <c r="D181" s="42" t="str">
        <f t="shared" ca="1" si="15"/>
        <v/>
      </c>
      <c r="E181" s="32"/>
      <c r="F181" s="31"/>
      <c r="G181" s="43" t="str">
        <f t="shared" si="16"/>
        <v/>
      </c>
      <c r="H181" s="30" t="s">
        <v>58</v>
      </c>
      <c r="I181" s="41"/>
      <c r="J181" s="33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1" s="33" t="str">
        <f t="shared" ca="1" si="17"/>
        <v>—</v>
      </c>
      <c r="L181" s="22"/>
    </row>
    <row r="182" spans="1:12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IF(A182="","",IFERROR(VLOOKUP(A182,DB_Customers!$A:$N,14,0),""))</f>
        <v/>
      </c>
      <c r="D182" s="42" t="str">
        <f t="shared" ca="1" si="15"/>
        <v/>
      </c>
      <c r="E182" s="32"/>
      <c r="F182" s="31"/>
      <c r="G182" s="43" t="str">
        <f t="shared" si="16"/>
        <v/>
      </c>
      <c r="H182" s="30" t="s">
        <v>58</v>
      </c>
      <c r="I182" s="41"/>
      <c r="J182" s="33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2" s="33" t="str">
        <f t="shared" ca="1" si="17"/>
        <v>—</v>
      </c>
      <c r="L182" s="50"/>
    </row>
    <row r="183" spans="1:12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IF(A183="","",IFERROR(VLOOKUP(A183,DB_Customers!$A:$N,14,0),""))</f>
        <v/>
      </c>
      <c r="D183" s="42" t="str">
        <f t="shared" ca="1" si="15"/>
        <v/>
      </c>
      <c r="E183" s="32"/>
      <c r="F183" s="31"/>
      <c r="G183" s="43" t="str">
        <f t="shared" si="16"/>
        <v/>
      </c>
      <c r="H183" s="30" t="s">
        <v>58</v>
      </c>
      <c r="I183" s="41"/>
      <c r="J183" s="33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3" s="33" t="str">
        <f t="shared" ca="1" si="17"/>
        <v>—</v>
      </c>
      <c r="L183" s="22"/>
    </row>
    <row r="184" spans="1:12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IF(A184="","",IFERROR(VLOOKUP(A184,DB_Customers!$A:$N,14,0),""))</f>
        <v/>
      </c>
      <c r="D184" s="42" t="str">
        <f t="shared" ca="1" si="15"/>
        <v/>
      </c>
      <c r="E184" s="32"/>
      <c r="F184" s="31"/>
      <c r="G184" s="43" t="str">
        <f t="shared" si="16"/>
        <v/>
      </c>
      <c r="H184" s="30" t="s">
        <v>58</v>
      </c>
      <c r="I184" s="41"/>
      <c r="J184" s="33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4" s="33" t="str">
        <f t="shared" ca="1" si="17"/>
        <v>—</v>
      </c>
      <c r="L184" s="50"/>
    </row>
    <row r="185" spans="1:12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IF(A185="","",IFERROR(VLOOKUP(A185,DB_Customers!$A:$N,14,0),""))</f>
        <v/>
      </c>
      <c r="D185" s="42" t="str">
        <f t="shared" ca="1" si="15"/>
        <v/>
      </c>
      <c r="E185" s="32"/>
      <c r="F185" s="31"/>
      <c r="G185" s="43" t="str">
        <f t="shared" si="16"/>
        <v/>
      </c>
      <c r="H185" s="30" t="s">
        <v>58</v>
      </c>
      <c r="I185" s="41"/>
      <c r="J185" s="33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5" s="33" t="str">
        <f t="shared" ca="1" si="17"/>
        <v>—</v>
      </c>
      <c r="L185" s="22"/>
    </row>
    <row r="186" spans="1:12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IF(A186="","",IFERROR(VLOOKUP(A186,DB_Customers!$A:$N,14,0),""))</f>
        <v/>
      </c>
      <c r="D186" s="42" t="str">
        <f t="shared" ca="1" si="15"/>
        <v/>
      </c>
      <c r="E186" s="32"/>
      <c r="F186" s="31"/>
      <c r="G186" s="43" t="str">
        <f t="shared" si="16"/>
        <v/>
      </c>
      <c r="H186" s="30" t="s">
        <v>58</v>
      </c>
      <c r="I186" s="41"/>
      <c r="J186" s="33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6" s="33" t="str">
        <f t="shared" ca="1" si="17"/>
        <v>—</v>
      </c>
      <c r="L186" s="50"/>
    </row>
    <row r="187" spans="1:12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IF(A187="","",IFERROR(VLOOKUP(A187,DB_Customers!$A:$N,14,0),""))</f>
        <v/>
      </c>
      <c r="D187" s="42" t="str">
        <f t="shared" ca="1" si="15"/>
        <v/>
      </c>
      <c r="E187" s="32"/>
      <c r="F187" s="31"/>
      <c r="G187" s="43" t="str">
        <f t="shared" si="16"/>
        <v/>
      </c>
      <c r="H187" s="30" t="s">
        <v>58</v>
      </c>
      <c r="I187" s="41"/>
      <c r="J187" s="33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7" s="33" t="str">
        <f t="shared" ca="1" si="17"/>
        <v>—</v>
      </c>
      <c r="L187" s="22"/>
    </row>
    <row r="188" spans="1:12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IF(A188="","",IFERROR(VLOOKUP(A188,DB_Customers!$A:$N,14,0),""))</f>
        <v/>
      </c>
      <c r="D188" s="42" t="str">
        <f t="shared" ca="1" si="15"/>
        <v/>
      </c>
      <c r="E188" s="32"/>
      <c r="F188" s="31"/>
      <c r="G188" s="43" t="str">
        <f t="shared" si="16"/>
        <v/>
      </c>
      <c r="H188" s="30" t="s">
        <v>58</v>
      </c>
      <c r="I188" s="41"/>
      <c r="J188" s="33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88" s="33" t="str">
        <f t="shared" ca="1" si="17"/>
        <v>—</v>
      </c>
      <c r="L188" s="50"/>
    </row>
    <row r="189" spans="1:12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IF(A189="","",IFERROR(VLOOKUP(A189,DB_Customers!$A:$N,14,0),""))</f>
        <v/>
      </c>
      <c r="D189" s="42" t="str">
        <f t="shared" ca="1" si="15"/>
        <v/>
      </c>
      <c r="E189" s="32"/>
      <c r="F189" s="31"/>
      <c r="G189" s="43" t="str">
        <f t="shared" si="16"/>
        <v/>
      </c>
      <c r="H189" s="30" t="s">
        <v>58</v>
      </c>
      <c r="I189" s="41"/>
      <c r="J189" s="33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89" s="33" t="str">
        <f t="shared" ca="1" si="17"/>
        <v>—</v>
      </c>
      <c r="L189" s="22"/>
    </row>
    <row r="190" spans="1:12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IF(A190="","",IFERROR(VLOOKUP(A190,DB_Customers!$A:$N,14,0),""))</f>
        <v/>
      </c>
      <c r="D190" s="42" t="str">
        <f t="shared" ca="1" si="15"/>
        <v/>
      </c>
      <c r="E190" s="32"/>
      <c r="F190" s="31"/>
      <c r="G190" s="43" t="str">
        <f t="shared" si="16"/>
        <v/>
      </c>
      <c r="H190" s="30" t="s">
        <v>58</v>
      </c>
      <c r="I190" s="41"/>
      <c r="J190" s="33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0" s="33" t="str">
        <f t="shared" ca="1" si="17"/>
        <v>—</v>
      </c>
      <c r="L190" s="50"/>
    </row>
    <row r="191" spans="1:12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IF(A191="","",IFERROR(VLOOKUP(A191,DB_Customers!$A:$N,14,0),""))</f>
        <v/>
      </c>
      <c r="D191" s="42" t="str">
        <f t="shared" ca="1" si="15"/>
        <v/>
      </c>
      <c r="E191" s="32"/>
      <c r="F191" s="31"/>
      <c r="G191" s="43" t="str">
        <f t="shared" si="16"/>
        <v/>
      </c>
      <c r="H191" s="30" t="s">
        <v>58</v>
      </c>
      <c r="I191" s="41"/>
      <c r="J191" s="33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1" s="33" t="str">
        <f t="shared" ca="1" si="17"/>
        <v>—</v>
      </c>
      <c r="L191" s="22"/>
    </row>
    <row r="192" spans="1:12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IF(A192="","",IFERROR(VLOOKUP(A192,DB_Customers!$A:$N,14,0),""))</f>
        <v/>
      </c>
      <c r="D192" s="42" t="str">
        <f t="shared" ca="1" si="15"/>
        <v/>
      </c>
      <c r="E192" s="32"/>
      <c r="F192" s="31"/>
      <c r="G192" s="43" t="str">
        <f t="shared" si="16"/>
        <v/>
      </c>
      <c r="H192" s="30" t="s">
        <v>58</v>
      </c>
      <c r="I192" s="41"/>
      <c r="J192" s="33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2" s="33" t="str">
        <f t="shared" ca="1" si="17"/>
        <v>—</v>
      </c>
      <c r="L192" s="50"/>
    </row>
    <row r="193" spans="1:12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IF(A193="","",IFERROR(VLOOKUP(A193,DB_Customers!$A:$N,14,0),""))</f>
        <v/>
      </c>
      <c r="D193" s="42" t="str">
        <f t="shared" ca="1" si="15"/>
        <v/>
      </c>
      <c r="E193" s="32"/>
      <c r="F193" s="31"/>
      <c r="G193" s="43" t="str">
        <f t="shared" si="16"/>
        <v/>
      </c>
      <c r="H193" s="30" t="s">
        <v>58</v>
      </c>
      <c r="I193" s="41"/>
      <c r="J193" s="33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3" s="33" t="str">
        <f t="shared" ca="1" si="17"/>
        <v>—</v>
      </c>
      <c r="L193" s="22"/>
    </row>
    <row r="194" spans="1:12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IF(A194="","",IFERROR(VLOOKUP(A194,DB_Customers!$A:$N,14,0),""))</f>
        <v/>
      </c>
      <c r="D194" s="42" t="str">
        <f t="shared" ca="1" si="15"/>
        <v/>
      </c>
      <c r="E194" s="32"/>
      <c r="F194" s="31"/>
      <c r="G194" s="43" t="str">
        <f t="shared" si="16"/>
        <v/>
      </c>
      <c r="H194" s="30" t="s">
        <v>58</v>
      </c>
      <c r="I194" s="41"/>
      <c r="J194" s="33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4" s="33" t="str">
        <f t="shared" ca="1" si="17"/>
        <v>—</v>
      </c>
      <c r="L194" s="50"/>
    </row>
    <row r="195" spans="1:12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IF(A195="","",IFERROR(VLOOKUP(A195,DB_Customers!$A:$N,14,0),""))</f>
        <v/>
      </c>
      <c r="D195" s="42" t="str">
        <f t="shared" ca="1" si="15"/>
        <v/>
      </c>
      <c r="E195" s="32"/>
      <c r="F195" s="31"/>
      <c r="G195" s="43" t="str">
        <f t="shared" si="16"/>
        <v/>
      </c>
      <c r="H195" s="30" t="s">
        <v>58</v>
      </c>
      <c r="I195" s="41"/>
      <c r="J195" s="33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5" s="33" t="str">
        <f t="shared" ca="1" si="17"/>
        <v>—</v>
      </c>
      <c r="L195" s="22"/>
    </row>
    <row r="196" spans="1:12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IF(A196="","",IFERROR(VLOOKUP(A196,DB_Customers!$A:$N,14,0),""))</f>
        <v/>
      </c>
      <c r="D196" s="42" t="str">
        <f t="shared" ca="1" si="15"/>
        <v/>
      </c>
      <c r="E196" s="32"/>
      <c r="F196" s="31"/>
      <c r="G196" s="43" t="str">
        <f t="shared" si="16"/>
        <v/>
      </c>
      <c r="H196" s="30" t="s">
        <v>58</v>
      </c>
      <c r="I196" s="41"/>
      <c r="J196" s="33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6" s="33" t="str">
        <f t="shared" ca="1" si="17"/>
        <v>—</v>
      </c>
      <c r="L196" s="50"/>
    </row>
    <row r="197" spans="1:12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IF(A197="","",IFERROR(VLOOKUP(A197,DB_Customers!$A:$N,14,0),""))</f>
        <v/>
      </c>
      <c r="D197" s="42" t="str">
        <f t="shared" ca="1" si="15"/>
        <v/>
      </c>
      <c r="E197" s="32"/>
      <c r="F197" s="31"/>
      <c r="G197" s="43" t="str">
        <f t="shared" si="16"/>
        <v/>
      </c>
      <c r="H197" s="30" t="s">
        <v>58</v>
      </c>
      <c r="I197" s="41"/>
      <c r="J197" s="33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7" s="33" t="str">
        <f t="shared" ca="1" si="17"/>
        <v>—</v>
      </c>
      <c r="L197" s="22"/>
    </row>
    <row r="198" spans="1:12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IF(A198="","",IFERROR(VLOOKUP(A198,DB_Customers!$A:$N,14,0),""))</f>
        <v/>
      </c>
      <c r="D198" s="42" t="str">
        <f t="shared" ca="1" si="15"/>
        <v/>
      </c>
      <c r="E198" s="32"/>
      <c r="F198" s="31"/>
      <c r="G198" s="43" t="str">
        <f t="shared" si="16"/>
        <v/>
      </c>
      <c r="H198" s="30" t="s">
        <v>58</v>
      </c>
      <c r="I198" s="41"/>
      <c r="J198" s="33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198" s="33" t="str">
        <f t="shared" ca="1" si="17"/>
        <v>—</v>
      </c>
      <c r="L198" s="50"/>
    </row>
    <row r="199" spans="1:12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IF(A199="","",IFERROR(VLOOKUP(A199,DB_Customers!$A:$N,14,0),""))</f>
        <v/>
      </c>
      <c r="D199" s="42" t="str">
        <f t="shared" ca="1" si="15"/>
        <v/>
      </c>
      <c r="E199" s="32"/>
      <c r="F199" s="31"/>
      <c r="G199" s="43" t="str">
        <f t="shared" si="16"/>
        <v/>
      </c>
      <c r="H199" s="30" t="s">
        <v>58</v>
      </c>
      <c r="I199" s="41"/>
      <c r="J199" s="33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199" s="33" t="str">
        <f t="shared" ca="1" si="17"/>
        <v>—</v>
      </c>
      <c r="L199" s="22"/>
    </row>
    <row r="200" spans="1:12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IF(A200="","",IFERROR(VLOOKUP(A200,DB_Customers!$A:$N,14,0),""))</f>
        <v/>
      </c>
      <c r="D200" s="42" t="str">
        <f t="shared" ca="1" si="15"/>
        <v/>
      </c>
      <c r="E200" s="32"/>
      <c r="F200" s="31"/>
      <c r="G200" s="43" t="str">
        <f t="shared" si="16"/>
        <v/>
      </c>
      <c r="H200" s="30" t="s">
        <v>58</v>
      </c>
      <c r="I200" s="41"/>
      <c r="J200" s="33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0" s="33" t="str">
        <f t="shared" ca="1" si="17"/>
        <v>—</v>
      </c>
      <c r="L200" s="50"/>
    </row>
    <row r="201" spans="1:12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IF(A201="","",IFERROR(VLOOKUP(A201,DB_Customers!$A:$N,14,0),""))</f>
        <v/>
      </c>
      <c r="D201" s="42" t="str">
        <f t="shared" ref="D201:D208" ca="1" si="18">IF(A201="","",TODAY())</f>
        <v/>
      </c>
      <c r="E201" s="32"/>
      <c r="F201" s="31"/>
      <c r="G201" s="43" t="str">
        <f t="shared" ref="G201:G208" si="19">IFERROR(IF(OR(A201="",E201=""),"",C201-E201),"")</f>
        <v/>
      </c>
      <c r="H201" s="30" t="s">
        <v>58</v>
      </c>
      <c r="I201" s="41"/>
      <c r="J201" s="33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1" s="33" t="str">
        <f t="shared" ref="K201:K232" ca="1" si="20">IF(J201="✅ Successful",TEXT(TODAY(),"YYYY-MM-DD")&amp;" Auto","—")</f>
        <v>—</v>
      </c>
      <c r="L201" s="22"/>
    </row>
    <row r="202" spans="1:12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IF(A202="","",IFERROR(VLOOKUP(A202,DB_Customers!$A:$N,14,0),""))</f>
        <v/>
      </c>
      <c r="D202" s="42" t="str">
        <f t="shared" ca="1" si="18"/>
        <v/>
      </c>
      <c r="E202" s="32"/>
      <c r="F202" s="31"/>
      <c r="G202" s="43" t="str">
        <f t="shared" si="19"/>
        <v/>
      </c>
      <c r="H202" s="30" t="s">
        <v>58</v>
      </c>
      <c r="I202" s="41"/>
      <c r="J202" s="33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2" s="33" t="str">
        <f t="shared" ca="1" si="20"/>
        <v>—</v>
      </c>
      <c r="L202" s="50"/>
    </row>
    <row r="203" spans="1:12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IF(A203="","",IFERROR(VLOOKUP(A203,DB_Customers!$A:$N,14,0),""))</f>
        <v/>
      </c>
      <c r="D203" s="42" t="str">
        <f t="shared" ca="1" si="18"/>
        <v/>
      </c>
      <c r="E203" s="32"/>
      <c r="F203" s="31"/>
      <c r="G203" s="43" t="str">
        <f t="shared" si="19"/>
        <v/>
      </c>
      <c r="H203" s="30" t="s">
        <v>58</v>
      </c>
      <c r="I203" s="41"/>
      <c r="J203" s="33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3" s="33" t="str">
        <f t="shared" ca="1" si="20"/>
        <v>—</v>
      </c>
      <c r="L203" s="22"/>
    </row>
    <row r="204" spans="1:12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IF(A204="","",IFERROR(VLOOKUP(A204,DB_Customers!$A:$N,14,0),""))</f>
        <v/>
      </c>
      <c r="D204" s="42" t="str">
        <f t="shared" ca="1" si="18"/>
        <v/>
      </c>
      <c r="E204" s="32"/>
      <c r="F204" s="31"/>
      <c r="G204" s="43" t="str">
        <f t="shared" si="19"/>
        <v/>
      </c>
      <c r="H204" s="30" t="s">
        <v>58</v>
      </c>
      <c r="I204" s="41"/>
      <c r="J204" s="33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4" s="33" t="str">
        <f t="shared" ca="1" si="20"/>
        <v>—</v>
      </c>
      <c r="L204" s="50"/>
    </row>
    <row r="205" spans="1:12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IF(A205="","",IFERROR(VLOOKUP(A205,DB_Customers!$A:$N,14,0),""))</f>
        <v/>
      </c>
      <c r="D205" s="42" t="str">
        <f t="shared" ca="1" si="18"/>
        <v/>
      </c>
      <c r="E205" s="32"/>
      <c r="F205" s="31"/>
      <c r="G205" s="43" t="str">
        <f t="shared" si="19"/>
        <v/>
      </c>
      <c r="H205" s="30" t="s">
        <v>58</v>
      </c>
      <c r="I205" s="41"/>
      <c r="J205" s="33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5" s="33" t="str">
        <f t="shared" ca="1" si="20"/>
        <v>—</v>
      </c>
      <c r="L205" s="22"/>
    </row>
    <row r="206" spans="1:12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IF(A206="","",IFERROR(VLOOKUP(A206,DB_Customers!$A:$N,14,0),""))</f>
        <v/>
      </c>
      <c r="D206" s="42" t="str">
        <f t="shared" ca="1" si="18"/>
        <v/>
      </c>
      <c r="E206" s="32"/>
      <c r="F206" s="31"/>
      <c r="G206" s="43" t="str">
        <f t="shared" si="19"/>
        <v/>
      </c>
      <c r="H206" s="30" t="s">
        <v>58</v>
      </c>
      <c r="I206" s="41"/>
      <c r="J206" s="33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6" s="33" t="str">
        <f t="shared" ca="1" si="20"/>
        <v>—</v>
      </c>
      <c r="L206" s="50"/>
    </row>
    <row r="207" spans="1:12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IF(A207="","",IFERROR(VLOOKUP(A207,DB_Customers!$A:$N,14,0),""))</f>
        <v/>
      </c>
      <c r="D207" s="42" t="str">
        <f t="shared" ca="1" si="18"/>
        <v/>
      </c>
      <c r="E207" s="32"/>
      <c r="F207" s="31"/>
      <c r="G207" s="43" t="str">
        <f t="shared" si="19"/>
        <v/>
      </c>
      <c r="H207" s="30" t="s">
        <v>58</v>
      </c>
      <c r="I207" s="41"/>
      <c r="J207" s="33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7" s="33" t="str">
        <f t="shared" ca="1" si="20"/>
        <v>—</v>
      </c>
      <c r="L207" s="22"/>
    </row>
    <row r="208" spans="1:12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IF(A208="","",IFERROR(VLOOKUP(A208,DB_Customers!$A:$N,14,0),""))</f>
        <v/>
      </c>
      <c r="D208" s="42" t="str">
        <f t="shared" ca="1" si="18"/>
        <v/>
      </c>
      <c r="E208" s="32"/>
      <c r="F208" s="31"/>
      <c r="G208" s="43" t="str">
        <f t="shared" si="19"/>
        <v/>
      </c>
      <c r="H208" s="30" t="s">
        <v>58</v>
      </c>
      <c r="I208" s="41"/>
      <c r="J208" s="33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08" s="33" t="str">
        <f t="shared" ca="1" si="20"/>
        <v>—</v>
      </c>
      <c r="L208" s="50"/>
    </row>
  </sheetData>
  <mergeCells count="3">
    <mergeCell ref="A2:L2"/>
    <mergeCell ref="A6:L6"/>
    <mergeCell ref="A1:L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5" t="s">
        <v>186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21.95" customHeight="1" x14ac:dyDescent="0.25">
      <c r="A2" s="97" t="s">
        <v>187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4" spans="1:14" x14ac:dyDescent="0.25">
      <c r="A4" s="51" t="s">
        <v>146</v>
      </c>
    </row>
    <row r="5" spans="1:14" x14ac:dyDescent="0.25">
      <c r="A5" s="52" t="s">
        <v>147</v>
      </c>
      <c r="B5" s="32"/>
    </row>
    <row r="6" spans="1:14" x14ac:dyDescent="0.25">
      <c r="A6" s="52" t="s">
        <v>148</v>
      </c>
      <c r="B6" s="53"/>
    </row>
    <row r="7" spans="1:14" x14ac:dyDescent="0.25">
      <c r="A7" s="52" t="s">
        <v>149</v>
      </c>
      <c r="B7" s="54">
        <v>2.5</v>
      </c>
    </row>
    <row r="8" spans="1:14" x14ac:dyDescent="0.25">
      <c r="A8" s="55" t="s">
        <v>150</v>
      </c>
      <c r="B8" s="43" t="str">
        <f>IF(B5="","",B5*B7/100*B6)</f>
        <v/>
      </c>
    </row>
    <row r="9" spans="1:14" x14ac:dyDescent="0.25">
      <c r="A9" s="55" t="s">
        <v>151</v>
      </c>
      <c r="B9" s="43" t="str">
        <f>IF(B5="","",B5+(B5*B7/100*B6))</f>
        <v/>
      </c>
    </row>
    <row r="10" spans="1:14" x14ac:dyDescent="0.25">
      <c r="A10" s="55" t="s">
        <v>152</v>
      </c>
      <c r="B10" s="43" t="str">
        <f>IFERROR(B9/B6,"")</f>
        <v/>
      </c>
    </row>
    <row r="12" spans="1:14" ht="21.95" customHeight="1" x14ac:dyDescent="0.25">
      <c r="A12" s="97" t="s">
        <v>153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</row>
    <row r="13" spans="1:14" ht="30" customHeight="1" x14ac:dyDescent="0.25">
      <c r="A13" s="19" t="s">
        <v>154</v>
      </c>
      <c r="B13" s="19" t="s">
        <v>131</v>
      </c>
      <c r="C13" s="19" t="s">
        <v>69</v>
      </c>
      <c r="D13" s="19" t="s">
        <v>155</v>
      </c>
      <c r="E13" s="19" t="s">
        <v>156</v>
      </c>
      <c r="F13" s="19" t="s">
        <v>109</v>
      </c>
      <c r="G13" s="19" t="s">
        <v>110</v>
      </c>
      <c r="H13" s="19" t="s">
        <v>157</v>
      </c>
      <c r="I13" s="19" t="s">
        <v>158</v>
      </c>
      <c r="J13" s="19" t="s">
        <v>159</v>
      </c>
      <c r="K13" s="19" t="s">
        <v>77</v>
      </c>
      <c r="L13" s="19" t="s">
        <v>45</v>
      </c>
      <c r="M13" s="19" t="s">
        <v>134</v>
      </c>
      <c r="N13" s="19" t="s">
        <v>95</v>
      </c>
    </row>
    <row r="14" spans="1:14" ht="20.100000000000001" customHeight="1" x14ac:dyDescent="0.25">
      <c r="A14" s="30" t="str">
        <f t="shared" ref="A14:A45" si="0">IF(B14="","",IF(C14="❌ Account Not Found","INVALID","LN"&amp;TEXT(D14,"YYYYMMDD")&amp;TEXT(ROW()-13,"0000")))</f>
        <v/>
      </c>
      <c r="B14" s="41"/>
      <c r="C14" s="35" t="str">
        <f>IF(B14="","",IFERROR(VLOOKUP(B14,DB_Customers!$A:$B,2,0),"❌ Account Not Found"))</f>
        <v/>
      </c>
      <c r="D14" s="42" t="str">
        <f t="shared" ref="D14:D45" ca="1" si="1">IF(B14="","",TODAY())</f>
        <v/>
      </c>
      <c r="E14" s="32"/>
      <c r="F14" s="31"/>
      <c r="G14" s="41"/>
      <c r="H14" s="56">
        <v>2.5</v>
      </c>
      <c r="I14" s="43" t="str">
        <f t="shared" ref="I14:I45" si="2">IF(E14="","",E14+(E14*H14/100*G14))</f>
        <v/>
      </c>
      <c r="J14" s="43" t="str">
        <f t="shared" ref="J14:J45" si="3">IFERROR(I14/G14,"")</f>
        <v/>
      </c>
      <c r="K14" s="33" t="str">
        <f>IF(B14="","Pending",IF(M14="","⚠️ Enter Code",IF(IFERROR(VLOOKUP(L14,DB_Agents!$B:$F,4,0),"")=TEXT(M14,"0"),"Pending Approval","🔒 WRONG CODE")))</f>
        <v>Pending</v>
      </c>
      <c r="L14" s="30" t="s">
        <v>58</v>
      </c>
      <c r="M14" s="41"/>
      <c r="N14" s="57"/>
    </row>
    <row r="15" spans="1:14" ht="20.100000000000001" customHeight="1" x14ac:dyDescent="0.25">
      <c r="A15" s="30" t="str">
        <f t="shared" si="0"/>
        <v/>
      </c>
      <c r="B15" s="41"/>
      <c r="C15" s="35" t="str">
        <f>IF(B15="","",IFERROR(VLOOKUP(B15,DB_Customers!$A:$B,2,0),"❌ Account Not Found"))</f>
        <v/>
      </c>
      <c r="D15" s="42" t="str">
        <f t="shared" ca="1" si="1"/>
        <v/>
      </c>
      <c r="E15" s="32"/>
      <c r="F15" s="31"/>
      <c r="G15" s="41"/>
      <c r="H15" s="56">
        <v>2.5</v>
      </c>
      <c r="I15" s="43" t="str">
        <f t="shared" si="2"/>
        <v/>
      </c>
      <c r="J15" s="43" t="str">
        <f t="shared" si="3"/>
        <v/>
      </c>
      <c r="K15" s="33" t="str">
        <f>IF(B15="","Pending",IF(M15="","⚠️ Enter Code",IF(IFERROR(VLOOKUP(L15,DB_Agents!$B:$F,4,0),"")=TEXT(M15,"0"),"Pending Approval","🔒 WRONG CODE")))</f>
        <v>Pending</v>
      </c>
      <c r="L15" s="30" t="s">
        <v>58</v>
      </c>
      <c r="M15" s="41"/>
      <c r="N15" s="22"/>
    </row>
    <row r="16" spans="1:14" ht="20.100000000000001" customHeight="1" x14ac:dyDescent="0.25">
      <c r="A16" s="30" t="str">
        <f t="shared" si="0"/>
        <v/>
      </c>
      <c r="B16" s="41"/>
      <c r="C16" s="35" t="str">
        <f>IF(B16="","",IFERROR(VLOOKUP(B16,DB_Customers!$A:$B,2,0),"❌ Account Not Found"))</f>
        <v/>
      </c>
      <c r="D16" s="42" t="str">
        <f t="shared" ca="1" si="1"/>
        <v/>
      </c>
      <c r="E16" s="32"/>
      <c r="F16" s="31"/>
      <c r="G16" s="41"/>
      <c r="H16" s="56">
        <v>2.5</v>
      </c>
      <c r="I16" s="43" t="str">
        <f t="shared" si="2"/>
        <v/>
      </c>
      <c r="J16" s="43" t="str">
        <f t="shared" si="3"/>
        <v/>
      </c>
      <c r="K16" s="33" t="str">
        <f>IF(B16="","Pending",IF(M16="","⚠️ Enter Code",IF(IFERROR(VLOOKUP(L16,DB_Agents!$B:$F,4,0),"")=TEXT(M16,"0"),"Pending Approval","🔒 WRONG CODE")))</f>
        <v>Pending</v>
      </c>
      <c r="L16" s="30" t="s">
        <v>58</v>
      </c>
      <c r="M16" s="41"/>
      <c r="N16" s="57"/>
    </row>
    <row r="17" spans="1:14" ht="20.100000000000001" customHeight="1" x14ac:dyDescent="0.25">
      <c r="A17" s="30" t="str">
        <f t="shared" si="0"/>
        <v/>
      </c>
      <c r="B17" s="41"/>
      <c r="C17" s="35" t="str">
        <f>IF(B17="","",IFERROR(VLOOKUP(B17,DB_Customers!$A:$B,2,0),"❌ Account Not Found"))</f>
        <v/>
      </c>
      <c r="D17" s="42" t="str">
        <f t="shared" ca="1" si="1"/>
        <v/>
      </c>
      <c r="E17" s="32"/>
      <c r="F17" s="31"/>
      <c r="G17" s="41"/>
      <c r="H17" s="56">
        <v>2.5</v>
      </c>
      <c r="I17" s="43" t="str">
        <f t="shared" si="2"/>
        <v/>
      </c>
      <c r="J17" s="43" t="str">
        <f t="shared" si="3"/>
        <v/>
      </c>
      <c r="K17" s="33" t="str">
        <f>IF(B17="","Pending",IF(M17="","⚠️ Enter Code",IF(IFERROR(VLOOKUP(L17,DB_Agents!$B:$F,4,0),"")=TEXT(M17,"0"),"Pending Approval","🔒 WRONG CODE")))</f>
        <v>Pending</v>
      </c>
      <c r="L17" s="30" t="s">
        <v>58</v>
      </c>
      <c r="M17" s="41"/>
      <c r="N17" s="22"/>
    </row>
    <row r="18" spans="1:14" ht="20.100000000000001" customHeight="1" x14ac:dyDescent="0.25">
      <c r="A18" s="30" t="str">
        <f t="shared" si="0"/>
        <v/>
      </c>
      <c r="B18" s="41"/>
      <c r="C18" s="35" t="str">
        <f>IF(B18="","",IFERROR(VLOOKUP(B18,DB_Customers!$A:$B,2,0),"❌ Account Not Found"))</f>
        <v/>
      </c>
      <c r="D18" s="42" t="str">
        <f t="shared" ca="1" si="1"/>
        <v/>
      </c>
      <c r="E18" s="32"/>
      <c r="F18" s="31"/>
      <c r="G18" s="41"/>
      <c r="H18" s="56">
        <v>2.5</v>
      </c>
      <c r="I18" s="43" t="str">
        <f t="shared" si="2"/>
        <v/>
      </c>
      <c r="J18" s="43" t="str">
        <f t="shared" si="3"/>
        <v/>
      </c>
      <c r="K18" s="33" t="str">
        <f>IF(B18="","Pending",IF(M18="","⚠️ Enter Code",IF(IFERROR(VLOOKUP(L18,DB_Agents!$B:$F,4,0),"")=TEXT(M18,"0"),"Pending Approval","🔒 WRONG CODE")))</f>
        <v>Pending</v>
      </c>
      <c r="L18" s="30" t="s">
        <v>58</v>
      </c>
      <c r="M18" s="41"/>
      <c r="N18" s="57"/>
    </row>
    <row r="19" spans="1:14" ht="20.100000000000001" customHeight="1" x14ac:dyDescent="0.25">
      <c r="A19" s="30" t="str">
        <f t="shared" si="0"/>
        <v/>
      </c>
      <c r="B19" s="41"/>
      <c r="C19" s="35" t="str">
        <f>IF(B19="","",IFERROR(VLOOKUP(B19,DB_Customers!$A:$B,2,0),"❌ Account Not Found"))</f>
        <v/>
      </c>
      <c r="D19" s="42" t="str">
        <f t="shared" ca="1" si="1"/>
        <v/>
      </c>
      <c r="E19" s="32"/>
      <c r="F19" s="31"/>
      <c r="G19" s="41"/>
      <c r="H19" s="56">
        <v>2.5</v>
      </c>
      <c r="I19" s="43" t="str">
        <f t="shared" si="2"/>
        <v/>
      </c>
      <c r="J19" s="43" t="str">
        <f t="shared" si="3"/>
        <v/>
      </c>
      <c r="K19" s="33" t="str">
        <f>IF(B19="","Pending",IF(M19="","⚠️ Enter Code",IF(IFERROR(VLOOKUP(L19,DB_Agents!$B:$F,4,0),"")=TEXT(M19,"0"),"Pending Approval","🔒 WRONG CODE")))</f>
        <v>Pending</v>
      </c>
      <c r="L19" s="30" t="s">
        <v>58</v>
      </c>
      <c r="M19" s="41"/>
      <c r="N19" s="22"/>
    </row>
    <row r="20" spans="1:14" ht="20.100000000000001" customHeight="1" x14ac:dyDescent="0.25">
      <c r="A20" s="30" t="str">
        <f t="shared" si="0"/>
        <v/>
      </c>
      <c r="B20" s="41"/>
      <c r="C20" s="35" t="str">
        <f>IF(B20="","",IFERROR(VLOOKUP(B20,DB_Customers!$A:$B,2,0),"❌ Account Not Found"))</f>
        <v/>
      </c>
      <c r="D20" s="42" t="str">
        <f t="shared" ca="1" si="1"/>
        <v/>
      </c>
      <c r="E20" s="32"/>
      <c r="F20" s="31"/>
      <c r="G20" s="41"/>
      <c r="H20" s="56">
        <v>2.5</v>
      </c>
      <c r="I20" s="43" t="str">
        <f t="shared" si="2"/>
        <v/>
      </c>
      <c r="J20" s="43" t="str">
        <f t="shared" si="3"/>
        <v/>
      </c>
      <c r="K20" s="33" t="str">
        <f>IF(B20="","Pending",IF(M20="","⚠️ Enter Code",IF(IFERROR(VLOOKUP(L20,DB_Agents!$B:$F,4,0),"")=TEXT(M20,"0"),"Pending Approval","🔒 WRONG CODE")))</f>
        <v>Pending</v>
      </c>
      <c r="L20" s="30" t="s">
        <v>58</v>
      </c>
      <c r="M20" s="41"/>
      <c r="N20" s="57"/>
    </row>
    <row r="21" spans="1:14" ht="20.100000000000001" customHeight="1" x14ac:dyDescent="0.25">
      <c r="A21" s="30" t="str">
        <f t="shared" si="0"/>
        <v/>
      </c>
      <c r="B21" s="41"/>
      <c r="C21" s="35" t="str">
        <f>IF(B21="","",IFERROR(VLOOKUP(B21,DB_Customers!$A:$B,2,0),"❌ Account Not Found"))</f>
        <v/>
      </c>
      <c r="D21" s="42" t="str">
        <f t="shared" ca="1" si="1"/>
        <v/>
      </c>
      <c r="E21" s="32"/>
      <c r="F21" s="31"/>
      <c r="G21" s="41"/>
      <c r="H21" s="56">
        <v>2.5</v>
      </c>
      <c r="I21" s="43" t="str">
        <f t="shared" si="2"/>
        <v/>
      </c>
      <c r="J21" s="43" t="str">
        <f t="shared" si="3"/>
        <v/>
      </c>
      <c r="K21" s="33" t="str">
        <f>IF(B21="","Pending",IF(M21="","⚠️ Enter Code",IF(IFERROR(VLOOKUP(L21,DB_Agents!$B:$F,4,0),"")=TEXT(M21,"0"),"Pending Approval","🔒 WRONG CODE")))</f>
        <v>Pending</v>
      </c>
      <c r="L21" s="30" t="s">
        <v>58</v>
      </c>
      <c r="M21" s="41"/>
      <c r="N21" s="22"/>
    </row>
    <row r="22" spans="1:14" ht="20.100000000000001" customHeight="1" x14ac:dyDescent="0.25">
      <c r="A22" s="30" t="str">
        <f t="shared" si="0"/>
        <v/>
      </c>
      <c r="B22" s="41"/>
      <c r="C22" s="35" t="str">
        <f>IF(B22="","",IFERROR(VLOOKUP(B22,DB_Customers!$A:$B,2,0),"❌ Account Not Found"))</f>
        <v/>
      </c>
      <c r="D22" s="42" t="str">
        <f t="shared" ca="1" si="1"/>
        <v/>
      </c>
      <c r="E22" s="32"/>
      <c r="F22" s="31"/>
      <c r="G22" s="41"/>
      <c r="H22" s="56">
        <v>2.5</v>
      </c>
      <c r="I22" s="43" t="str">
        <f t="shared" si="2"/>
        <v/>
      </c>
      <c r="J22" s="43" t="str">
        <f t="shared" si="3"/>
        <v/>
      </c>
      <c r="K22" s="33" t="str">
        <f>IF(B22="","Pending",IF(M22="","⚠️ Enter Code",IF(IFERROR(VLOOKUP(L22,DB_Agents!$B:$F,4,0),"")=TEXT(M22,"0"),"Pending Approval","🔒 WRONG CODE")))</f>
        <v>Pending</v>
      </c>
      <c r="L22" s="30" t="s">
        <v>58</v>
      </c>
      <c r="M22" s="41"/>
      <c r="N22" s="57"/>
    </row>
    <row r="23" spans="1:14" ht="20.100000000000001" customHeight="1" x14ac:dyDescent="0.25">
      <c r="A23" s="30" t="str">
        <f t="shared" si="0"/>
        <v/>
      </c>
      <c r="B23" s="41"/>
      <c r="C23" s="35" t="str">
        <f>IF(B23="","",IFERROR(VLOOKUP(B23,DB_Customers!$A:$B,2,0),"❌ Account Not Found"))</f>
        <v/>
      </c>
      <c r="D23" s="42" t="str">
        <f t="shared" ca="1" si="1"/>
        <v/>
      </c>
      <c r="E23" s="32"/>
      <c r="F23" s="31"/>
      <c r="G23" s="41"/>
      <c r="H23" s="56">
        <v>2.5</v>
      </c>
      <c r="I23" s="43" t="str">
        <f t="shared" si="2"/>
        <v/>
      </c>
      <c r="J23" s="43" t="str">
        <f t="shared" si="3"/>
        <v/>
      </c>
      <c r="K23" s="33" t="str">
        <f>IF(B23="","Pending",IF(M23="","⚠️ Enter Code",IF(IFERROR(VLOOKUP(L23,DB_Agents!$B:$F,4,0),"")=TEXT(M23,"0"),"Pending Approval","🔒 WRONG CODE")))</f>
        <v>Pending</v>
      </c>
      <c r="L23" s="30" t="s">
        <v>58</v>
      </c>
      <c r="M23" s="41"/>
      <c r="N23" s="22"/>
    </row>
    <row r="24" spans="1:14" ht="20.100000000000001" customHeight="1" x14ac:dyDescent="0.25">
      <c r="A24" s="30" t="str">
        <f t="shared" si="0"/>
        <v/>
      </c>
      <c r="B24" s="41"/>
      <c r="C24" s="35" t="str">
        <f>IF(B24="","",IFERROR(VLOOKUP(B24,DB_Customers!$A:$B,2,0),"❌ Account Not Found"))</f>
        <v/>
      </c>
      <c r="D24" s="42" t="str">
        <f t="shared" ca="1" si="1"/>
        <v/>
      </c>
      <c r="E24" s="32"/>
      <c r="F24" s="31"/>
      <c r="G24" s="41"/>
      <c r="H24" s="56">
        <v>2.5</v>
      </c>
      <c r="I24" s="43" t="str">
        <f t="shared" si="2"/>
        <v/>
      </c>
      <c r="J24" s="43" t="str">
        <f t="shared" si="3"/>
        <v/>
      </c>
      <c r="K24" s="33" t="str">
        <f>IF(B24="","Pending",IF(M24="","⚠️ Enter Code",IF(IFERROR(VLOOKUP(L24,DB_Agents!$B:$F,4,0),"")=TEXT(M24,"0"),"Pending Approval","🔒 WRONG CODE")))</f>
        <v>Pending</v>
      </c>
      <c r="L24" s="30" t="s">
        <v>58</v>
      </c>
      <c r="M24" s="41"/>
      <c r="N24" s="57"/>
    </row>
    <row r="25" spans="1:14" ht="20.100000000000001" customHeight="1" x14ac:dyDescent="0.25">
      <c r="A25" s="30" t="str">
        <f t="shared" si="0"/>
        <v/>
      </c>
      <c r="B25" s="41"/>
      <c r="C25" s="35" t="str">
        <f>IF(B25="","",IFERROR(VLOOKUP(B25,DB_Customers!$A:$B,2,0),"❌ Account Not Found"))</f>
        <v/>
      </c>
      <c r="D25" s="42" t="str">
        <f t="shared" ca="1" si="1"/>
        <v/>
      </c>
      <c r="E25" s="32"/>
      <c r="F25" s="31"/>
      <c r="G25" s="41"/>
      <c r="H25" s="56">
        <v>2.5</v>
      </c>
      <c r="I25" s="43" t="str">
        <f t="shared" si="2"/>
        <v/>
      </c>
      <c r="J25" s="43" t="str">
        <f t="shared" si="3"/>
        <v/>
      </c>
      <c r="K25" s="33" t="str">
        <f>IF(B25="","Pending",IF(M25="","⚠️ Enter Code",IF(IFERROR(VLOOKUP(L25,DB_Agents!$B:$F,4,0),"")=TEXT(M25,"0"),"Pending Approval","🔒 WRONG CODE")))</f>
        <v>Pending</v>
      </c>
      <c r="L25" s="30" t="s">
        <v>58</v>
      </c>
      <c r="M25" s="41"/>
      <c r="N25" s="22"/>
    </row>
    <row r="26" spans="1:14" ht="20.100000000000001" customHeight="1" x14ac:dyDescent="0.25">
      <c r="A26" s="30" t="str">
        <f t="shared" si="0"/>
        <v/>
      </c>
      <c r="B26" s="41"/>
      <c r="C26" s="35" t="str">
        <f>IF(B26="","",IFERROR(VLOOKUP(B26,DB_Customers!$A:$B,2,0),"❌ Account Not Found"))</f>
        <v/>
      </c>
      <c r="D26" s="42" t="str">
        <f t="shared" ca="1" si="1"/>
        <v/>
      </c>
      <c r="E26" s="32"/>
      <c r="F26" s="31"/>
      <c r="G26" s="41"/>
      <c r="H26" s="56">
        <v>2.5</v>
      </c>
      <c r="I26" s="43" t="str">
        <f t="shared" si="2"/>
        <v/>
      </c>
      <c r="J26" s="43" t="str">
        <f t="shared" si="3"/>
        <v/>
      </c>
      <c r="K26" s="33" t="str">
        <f>IF(B26="","Pending",IF(M26="","⚠️ Enter Code",IF(IFERROR(VLOOKUP(L26,DB_Agents!$B:$F,4,0),"")=TEXT(M26,"0"),"Pending Approval","🔒 WRONG CODE")))</f>
        <v>Pending</v>
      </c>
      <c r="L26" s="30" t="s">
        <v>58</v>
      </c>
      <c r="M26" s="41"/>
      <c r="N26" s="57"/>
    </row>
    <row r="27" spans="1:14" ht="20.100000000000001" customHeight="1" x14ac:dyDescent="0.25">
      <c r="A27" s="30" t="str">
        <f t="shared" si="0"/>
        <v/>
      </c>
      <c r="B27" s="41"/>
      <c r="C27" s="35" t="str">
        <f>IF(B27="","",IFERROR(VLOOKUP(B27,DB_Customers!$A:$B,2,0),"❌ Account Not Found"))</f>
        <v/>
      </c>
      <c r="D27" s="42" t="str">
        <f t="shared" ca="1" si="1"/>
        <v/>
      </c>
      <c r="E27" s="32"/>
      <c r="F27" s="31"/>
      <c r="G27" s="41"/>
      <c r="H27" s="56">
        <v>2.5</v>
      </c>
      <c r="I27" s="43" t="str">
        <f t="shared" si="2"/>
        <v/>
      </c>
      <c r="J27" s="43" t="str">
        <f t="shared" si="3"/>
        <v/>
      </c>
      <c r="K27" s="33" t="str">
        <f>IF(B27="","Pending",IF(M27="","⚠️ Enter Code",IF(IFERROR(VLOOKUP(L27,DB_Agents!$B:$F,4,0),"")=TEXT(M27,"0"),"Pending Approval","🔒 WRONG CODE")))</f>
        <v>Pending</v>
      </c>
      <c r="L27" s="30" t="s">
        <v>58</v>
      </c>
      <c r="M27" s="41"/>
      <c r="N27" s="22"/>
    </row>
    <row r="28" spans="1:14" ht="20.100000000000001" customHeight="1" x14ac:dyDescent="0.25">
      <c r="A28" s="30" t="str">
        <f t="shared" si="0"/>
        <v/>
      </c>
      <c r="B28" s="41"/>
      <c r="C28" s="35" t="str">
        <f>IF(B28="","",IFERROR(VLOOKUP(B28,DB_Customers!$A:$B,2,0),"❌ Account Not Found"))</f>
        <v/>
      </c>
      <c r="D28" s="42" t="str">
        <f t="shared" ca="1" si="1"/>
        <v/>
      </c>
      <c r="E28" s="32"/>
      <c r="F28" s="31"/>
      <c r="G28" s="41"/>
      <c r="H28" s="56">
        <v>2.5</v>
      </c>
      <c r="I28" s="43" t="str">
        <f t="shared" si="2"/>
        <v/>
      </c>
      <c r="J28" s="43" t="str">
        <f t="shared" si="3"/>
        <v/>
      </c>
      <c r="K28" s="33" t="str">
        <f>IF(B28="","Pending",IF(M28="","⚠️ Enter Code",IF(IFERROR(VLOOKUP(L28,DB_Agents!$B:$F,4,0),"")=TEXT(M28,"0"),"Pending Approval","🔒 WRONG CODE")))</f>
        <v>Pending</v>
      </c>
      <c r="L28" s="30" t="s">
        <v>58</v>
      </c>
      <c r="M28" s="41"/>
      <c r="N28" s="57"/>
    </row>
    <row r="29" spans="1:14" ht="20.100000000000001" customHeight="1" x14ac:dyDescent="0.25">
      <c r="A29" s="30" t="str">
        <f t="shared" si="0"/>
        <v/>
      </c>
      <c r="B29" s="41"/>
      <c r="C29" s="35" t="str">
        <f>IF(B29="","",IFERROR(VLOOKUP(B29,DB_Customers!$A:$B,2,0),"❌ Account Not Found"))</f>
        <v/>
      </c>
      <c r="D29" s="42" t="str">
        <f t="shared" ca="1" si="1"/>
        <v/>
      </c>
      <c r="E29" s="32"/>
      <c r="F29" s="31"/>
      <c r="G29" s="41"/>
      <c r="H29" s="56">
        <v>2.5</v>
      </c>
      <c r="I29" s="43" t="str">
        <f t="shared" si="2"/>
        <v/>
      </c>
      <c r="J29" s="43" t="str">
        <f t="shared" si="3"/>
        <v/>
      </c>
      <c r="K29" s="33" t="str">
        <f>IF(B29="","Pending",IF(M29="","⚠️ Enter Code",IF(IFERROR(VLOOKUP(L29,DB_Agents!$B:$F,4,0),"")=TEXT(M29,"0"),"Pending Approval","🔒 WRONG CODE")))</f>
        <v>Pending</v>
      </c>
      <c r="L29" s="30" t="s">
        <v>58</v>
      </c>
      <c r="M29" s="41"/>
      <c r="N29" s="22"/>
    </row>
    <row r="30" spans="1:14" ht="20.100000000000001" customHeight="1" x14ac:dyDescent="0.25">
      <c r="A30" s="30" t="str">
        <f t="shared" si="0"/>
        <v/>
      </c>
      <c r="B30" s="41"/>
      <c r="C30" s="35" t="str">
        <f>IF(B30="","",IFERROR(VLOOKUP(B30,DB_Customers!$A:$B,2,0),"❌ Account Not Found"))</f>
        <v/>
      </c>
      <c r="D30" s="42" t="str">
        <f t="shared" ca="1" si="1"/>
        <v/>
      </c>
      <c r="E30" s="32"/>
      <c r="F30" s="31"/>
      <c r="G30" s="41"/>
      <c r="H30" s="56">
        <v>2.5</v>
      </c>
      <c r="I30" s="43" t="str">
        <f t="shared" si="2"/>
        <v/>
      </c>
      <c r="J30" s="43" t="str">
        <f t="shared" si="3"/>
        <v/>
      </c>
      <c r="K30" s="33" t="str">
        <f>IF(B30="","Pending",IF(M30="","⚠️ Enter Code",IF(IFERROR(VLOOKUP(L30,DB_Agents!$B:$F,4,0),"")=TEXT(M30,"0"),"Pending Approval","🔒 WRONG CODE")))</f>
        <v>Pending</v>
      </c>
      <c r="L30" s="30" t="s">
        <v>58</v>
      </c>
      <c r="M30" s="41"/>
      <c r="N30" s="57"/>
    </row>
    <row r="31" spans="1:14" ht="20.100000000000001" customHeight="1" x14ac:dyDescent="0.25">
      <c r="A31" s="30" t="str">
        <f t="shared" si="0"/>
        <v/>
      </c>
      <c r="B31" s="41"/>
      <c r="C31" s="35" t="str">
        <f>IF(B31="","",IFERROR(VLOOKUP(B31,DB_Customers!$A:$B,2,0),"❌ Account Not Found"))</f>
        <v/>
      </c>
      <c r="D31" s="42" t="str">
        <f t="shared" ca="1" si="1"/>
        <v/>
      </c>
      <c r="E31" s="32"/>
      <c r="F31" s="31"/>
      <c r="G31" s="41"/>
      <c r="H31" s="56">
        <v>2.5</v>
      </c>
      <c r="I31" s="43" t="str">
        <f t="shared" si="2"/>
        <v/>
      </c>
      <c r="J31" s="43" t="str">
        <f t="shared" si="3"/>
        <v/>
      </c>
      <c r="K31" s="33" t="str">
        <f>IF(B31="","Pending",IF(M31="","⚠️ Enter Code",IF(IFERROR(VLOOKUP(L31,DB_Agents!$B:$F,4,0),"")=TEXT(M31,"0"),"Pending Approval","🔒 WRONG CODE")))</f>
        <v>Pending</v>
      </c>
      <c r="L31" s="30" t="s">
        <v>58</v>
      </c>
      <c r="M31" s="41"/>
      <c r="N31" s="22"/>
    </row>
    <row r="32" spans="1:14" ht="20.100000000000001" customHeight="1" x14ac:dyDescent="0.25">
      <c r="A32" s="30" t="str">
        <f t="shared" si="0"/>
        <v/>
      </c>
      <c r="B32" s="41"/>
      <c r="C32" s="35" t="str">
        <f>IF(B32="","",IFERROR(VLOOKUP(B32,DB_Customers!$A:$B,2,0),"❌ Account Not Found"))</f>
        <v/>
      </c>
      <c r="D32" s="42" t="str">
        <f t="shared" ca="1" si="1"/>
        <v/>
      </c>
      <c r="E32" s="32"/>
      <c r="F32" s="31"/>
      <c r="G32" s="41"/>
      <c r="H32" s="56">
        <v>2.5</v>
      </c>
      <c r="I32" s="43" t="str">
        <f t="shared" si="2"/>
        <v/>
      </c>
      <c r="J32" s="43" t="str">
        <f t="shared" si="3"/>
        <v/>
      </c>
      <c r="K32" s="33" t="str">
        <f>IF(B32="","Pending",IF(M32="","⚠️ Enter Code",IF(IFERROR(VLOOKUP(L32,DB_Agents!$B:$F,4,0),"")=TEXT(M32,"0"),"Pending Approval","🔒 WRONG CODE")))</f>
        <v>Pending</v>
      </c>
      <c r="L32" s="30" t="s">
        <v>58</v>
      </c>
      <c r="M32" s="41"/>
      <c r="N32" s="57"/>
    </row>
    <row r="33" spans="1:14" ht="20.100000000000001" customHeight="1" x14ac:dyDescent="0.25">
      <c r="A33" s="30" t="str">
        <f t="shared" si="0"/>
        <v/>
      </c>
      <c r="B33" s="41"/>
      <c r="C33" s="35" t="str">
        <f>IF(B33="","",IFERROR(VLOOKUP(B33,DB_Customers!$A:$B,2,0),"❌ Account Not Found"))</f>
        <v/>
      </c>
      <c r="D33" s="42" t="str">
        <f t="shared" ca="1" si="1"/>
        <v/>
      </c>
      <c r="E33" s="32"/>
      <c r="F33" s="31"/>
      <c r="G33" s="41"/>
      <c r="H33" s="56">
        <v>2.5</v>
      </c>
      <c r="I33" s="43" t="str">
        <f t="shared" si="2"/>
        <v/>
      </c>
      <c r="J33" s="43" t="str">
        <f t="shared" si="3"/>
        <v/>
      </c>
      <c r="K33" s="33" t="str">
        <f>IF(B33="","Pending",IF(M33="","⚠️ Enter Code",IF(IFERROR(VLOOKUP(L33,DB_Agents!$B:$F,4,0),"")=TEXT(M33,"0"),"Pending Approval","🔒 WRONG CODE")))</f>
        <v>Pending</v>
      </c>
      <c r="L33" s="30" t="s">
        <v>58</v>
      </c>
      <c r="M33" s="41"/>
      <c r="N33" s="22"/>
    </row>
    <row r="34" spans="1:14" ht="20.100000000000001" customHeight="1" x14ac:dyDescent="0.25">
      <c r="A34" s="30" t="str">
        <f t="shared" si="0"/>
        <v/>
      </c>
      <c r="B34" s="41"/>
      <c r="C34" s="35" t="str">
        <f>IF(B34="","",IFERROR(VLOOKUP(B34,DB_Customers!$A:$B,2,0),"❌ Account Not Found"))</f>
        <v/>
      </c>
      <c r="D34" s="42" t="str">
        <f t="shared" ca="1" si="1"/>
        <v/>
      </c>
      <c r="E34" s="32"/>
      <c r="F34" s="31"/>
      <c r="G34" s="41"/>
      <c r="H34" s="56">
        <v>2.5</v>
      </c>
      <c r="I34" s="43" t="str">
        <f t="shared" si="2"/>
        <v/>
      </c>
      <c r="J34" s="43" t="str">
        <f t="shared" si="3"/>
        <v/>
      </c>
      <c r="K34" s="33" t="str">
        <f>IF(B34="","Pending",IF(M34="","⚠️ Enter Code",IF(IFERROR(VLOOKUP(L34,DB_Agents!$B:$F,4,0),"")=TEXT(M34,"0"),"Pending Approval","🔒 WRONG CODE")))</f>
        <v>Pending</v>
      </c>
      <c r="L34" s="30" t="s">
        <v>58</v>
      </c>
      <c r="M34" s="41"/>
      <c r="N34" s="57"/>
    </row>
    <row r="35" spans="1:14" ht="20.100000000000001" customHeight="1" x14ac:dyDescent="0.25">
      <c r="A35" s="30" t="str">
        <f t="shared" si="0"/>
        <v/>
      </c>
      <c r="B35" s="41"/>
      <c r="C35" s="35" t="str">
        <f>IF(B35="","",IFERROR(VLOOKUP(B35,DB_Customers!$A:$B,2,0),"❌ Account Not Found"))</f>
        <v/>
      </c>
      <c r="D35" s="42" t="str">
        <f t="shared" ca="1" si="1"/>
        <v/>
      </c>
      <c r="E35" s="32"/>
      <c r="F35" s="31"/>
      <c r="G35" s="41"/>
      <c r="H35" s="56">
        <v>2.5</v>
      </c>
      <c r="I35" s="43" t="str">
        <f t="shared" si="2"/>
        <v/>
      </c>
      <c r="J35" s="43" t="str">
        <f t="shared" si="3"/>
        <v/>
      </c>
      <c r="K35" s="33" t="str">
        <f>IF(B35="","Pending",IF(M35="","⚠️ Enter Code",IF(IFERROR(VLOOKUP(L35,DB_Agents!$B:$F,4,0),"")=TEXT(M35,"0"),"Pending Approval","🔒 WRONG CODE")))</f>
        <v>Pending</v>
      </c>
      <c r="L35" s="30" t="s">
        <v>58</v>
      </c>
      <c r="M35" s="41"/>
      <c r="N35" s="22"/>
    </row>
    <row r="36" spans="1:14" ht="20.100000000000001" customHeight="1" x14ac:dyDescent="0.25">
      <c r="A36" s="30" t="str">
        <f t="shared" si="0"/>
        <v/>
      </c>
      <c r="B36" s="41"/>
      <c r="C36" s="35" t="str">
        <f>IF(B36="","",IFERROR(VLOOKUP(B36,DB_Customers!$A:$B,2,0),"❌ Account Not Found"))</f>
        <v/>
      </c>
      <c r="D36" s="42" t="str">
        <f t="shared" ca="1" si="1"/>
        <v/>
      </c>
      <c r="E36" s="32"/>
      <c r="F36" s="31"/>
      <c r="G36" s="41"/>
      <c r="H36" s="56">
        <v>2.5</v>
      </c>
      <c r="I36" s="43" t="str">
        <f t="shared" si="2"/>
        <v/>
      </c>
      <c r="J36" s="43" t="str">
        <f t="shared" si="3"/>
        <v/>
      </c>
      <c r="K36" s="33" t="str">
        <f>IF(B36="","Pending",IF(M36="","⚠️ Enter Code",IF(IFERROR(VLOOKUP(L36,DB_Agents!$B:$F,4,0),"")=TEXT(M36,"0"),"Pending Approval","🔒 WRONG CODE")))</f>
        <v>Pending</v>
      </c>
      <c r="L36" s="30" t="s">
        <v>58</v>
      </c>
      <c r="M36" s="41"/>
      <c r="N36" s="57"/>
    </row>
    <row r="37" spans="1:14" ht="20.100000000000001" customHeight="1" x14ac:dyDescent="0.25">
      <c r="A37" s="30" t="str">
        <f t="shared" si="0"/>
        <v/>
      </c>
      <c r="B37" s="41"/>
      <c r="C37" s="35" t="str">
        <f>IF(B37="","",IFERROR(VLOOKUP(B37,DB_Customers!$A:$B,2,0),"❌ Account Not Found"))</f>
        <v/>
      </c>
      <c r="D37" s="42" t="str">
        <f t="shared" ca="1" si="1"/>
        <v/>
      </c>
      <c r="E37" s="32"/>
      <c r="F37" s="31"/>
      <c r="G37" s="41"/>
      <c r="H37" s="56">
        <v>2.5</v>
      </c>
      <c r="I37" s="43" t="str">
        <f t="shared" si="2"/>
        <v/>
      </c>
      <c r="J37" s="43" t="str">
        <f t="shared" si="3"/>
        <v/>
      </c>
      <c r="K37" s="33" t="str">
        <f>IF(B37="","Pending",IF(M37="","⚠️ Enter Code",IF(IFERROR(VLOOKUP(L37,DB_Agents!$B:$F,4,0),"")=TEXT(M37,"0"),"Pending Approval","🔒 WRONG CODE")))</f>
        <v>Pending</v>
      </c>
      <c r="L37" s="30" t="s">
        <v>58</v>
      </c>
      <c r="M37" s="41"/>
      <c r="N37" s="22"/>
    </row>
    <row r="38" spans="1:14" ht="20.100000000000001" customHeight="1" x14ac:dyDescent="0.25">
      <c r="A38" s="30" t="str">
        <f t="shared" si="0"/>
        <v/>
      </c>
      <c r="B38" s="41"/>
      <c r="C38" s="35" t="str">
        <f>IF(B38="","",IFERROR(VLOOKUP(B38,DB_Customers!$A:$B,2,0),"❌ Account Not Found"))</f>
        <v/>
      </c>
      <c r="D38" s="42" t="str">
        <f t="shared" ca="1" si="1"/>
        <v/>
      </c>
      <c r="E38" s="32"/>
      <c r="F38" s="31"/>
      <c r="G38" s="41"/>
      <c r="H38" s="56">
        <v>2.5</v>
      </c>
      <c r="I38" s="43" t="str">
        <f t="shared" si="2"/>
        <v/>
      </c>
      <c r="J38" s="43" t="str">
        <f t="shared" si="3"/>
        <v/>
      </c>
      <c r="K38" s="33" t="str">
        <f>IF(B38="","Pending",IF(M38="","⚠️ Enter Code",IF(IFERROR(VLOOKUP(L38,DB_Agents!$B:$F,4,0),"")=TEXT(M38,"0"),"Pending Approval","🔒 WRONG CODE")))</f>
        <v>Pending</v>
      </c>
      <c r="L38" s="30" t="s">
        <v>58</v>
      </c>
      <c r="M38" s="41"/>
      <c r="N38" s="57"/>
    </row>
    <row r="39" spans="1:14" ht="20.100000000000001" customHeight="1" x14ac:dyDescent="0.25">
      <c r="A39" s="30" t="str">
        <f t="shared" si="0"/>
        <v/>
      </c>
      <c r="B39" s="41"/>
      <c r="C39" s="35" t="str">
        <f>IF(B39="","",IFERROR(VLOOKUP(B39,DB_Customers!$A:$B,2,0),"❌ Account Not Found"))</f>
        <v/>
      </c>
      <c r="D39" s="42" t="str">
        <f t="shared" ca="1" si="1"/>
        <v/>
      </c>
      <c r="E39" s="32"/>
      <c r="F39" s="31"/>
      <c r="G39" s="41"/>
      <c r="H39" s="56">
        <v>2.5</v>
      </c>
      <c r="I39" s="43" t="str">
        <f t="shared" si="2"/>
        <v/>
      </c>
      <c r="J39" s="43" t="str">
        <f t="shared" si="3"/>
        <v/>
      </c>
      <c r="K39" s="33" t="str">
        <f>IF(B39="","Pending",IF(M39="","⚠️ Enter Code",IF(IFERROR(VLOOKUP(L39,DB_Agents!$B:$F,4,0),"")=TEXT(M39,"0"),"Pending Approval","🔒 WRONG CODE")))</f>
        <v>Pending</v>
      </c>
      <c r="L39" s="30" t="s">
        <v>58</v>
      </c>
      <c r="M39" s="41"/>
      <c r="N39" s="22"/>
    </row>
    <row r="40" spans="1:14" ht="20.100000000000001" customHeight="1" x14ac:dyDescent="0.25">
      <c r="A40" s="30" t="str">
        <f t="shared" si="0"/>
        <v/>
      </c>
      <c r="B40" s="41"/>
      <c r="C40" s="35" t="str">
        <f>IF(B40="","",IFERROR(VLOOKUP(B40,DB_Customers!$A:$B,2,0),"❌ Account Not Found"))</f>
        <v/>
      </c>
      <c r="D40" s="42" t="str">
        <f t="shared" ca="1" si="1"/>
        <v/>
      </c>
      <c r="E40" s="32"/>
      <c r="F40" s="31"/>
      <c r="G40" s="41"/>
      <c r="H40" s="56">
        <v>2.5</v>
      </c>
      <c r="I40" s="43" t="str">
        <f t="shared" si="2"/>
        <v/>
      </c>
      <c r="J40" s="43" t="str">
        <f t="shared" si="3"/>
        <v/>
      </c>
      <c r="K40" s="33" t="str">
        <f>IF(B40="","Pending",IF(M40="","⚠️ Enter Code",IF(IFERROR(VLOOKUP(L40,DB_Agents!$B:$F,4,0),"")=TEXT(M40,"0"),"Pending Approval","🔒 WRONG CODE")))</f>
        <v>Pending</v>
      </c>
      <c r="L40" s="30" t="s">
        <v>58</v>
      </c>
      <c r="M40" s="41"/>
      <c r="N40" s="57"/>
    </row>
    <row r="41" spans="1:14" ht="20.100000000000001" customHeight="1" x14ac:dyDescent="0.25">
      <c r="A41" s="30" t="str">
        <f t="shared" si="0"/>
        <v/>
      </c>
      <c r="B41" s="41"/>
      <c r="C41" s="35" t="str">
        <f>IF(B41="","",IFERROR(VLOOKUP(B41,DB_Customers!$A:$B,2,0),"❌ Account Not Found"))</f>
        <v/>
      </c>
      <c r="D41" s="42" t="str">
        <f t="shared" ca="1" si="1"/>
        <v/>
      </c>
      <c r="E41" s="32"/>
      <c r="F41" s="31"/>
      <c r="G41" s="41"/>
      <c r="H41" s="56">
        <v>2.5</v>
      </c>
      <c r="I41" s="43" t="str">
        <f t="shared" si="2"/>
        <v/>
      </c>
      <c r="J41" s="43" t="str">
        <f t="shared" si="3"/>
        <v/>
      </c>
      <c r="K41" s="33" t="str">
        <f>IF(B41="","Pending",IF(M41="","⚠️ Enter Code",IF(IFERROR(VLOOKUP(L41,DB_Agents!$B:$F,4,0),"")=TEXT(M41,"0"),"Pending Approval","🔒 WRONG CODE")))</f>
        <v>Pending</v>
      </c>
      <c r="L41" s="30" t="s">
        <v>58</v>
      </c>
      <c r="M41" s="41"/>
      <c r="N41" s="22"/>
    </row>
    <row r="42" spans="1:14" ht="20.100000000000001" customHeight="1" x14ac:dyDescent="0.25">
      <c r="A42" s="30" t="str">
        <f t="shared" si="0"/>
        <v/>
      </c>
      <c r="B42" s="41"/>
      <c r="C42" s="35" t="str">
        <f>IF(B42="","",IFERROR(VLOOKUP(B42,DB_Customers!$A:$B,2,0),"❌ Account Not Found"))</f>
        <v/>
      </c>
      <c r="D42" s="42" t="str">
        <f t="shared" ca="1" si="1"/>
        <v/>
      </c>
      <c r="E42" s="32"/>
      <c r="F42" s="31"/>
      <c r="G42" s="41"/>
      <c r="H42" s="56">
        <v>2.5</v>
      </c>
      <c r="I42" s="43" t="str">
        <f t="shared" si="2"/>
        <v/>
      </c>
      <c r="J42" s="43" t="str">
        <f t="shared" si="3"/>
        <v/>
      </c>
      <c r="K42" s="33" t="str">
        <f>IF(B42="","Pending",IF(M42="","⚠️ Enter Code",IF(IFERROR(VLOOKUP(L42,DB_Agents!$B:$F,4,0),"")=TEXT(M42,"0"),"Pending Approval","🔒 WRONG CODE")))</f>
        <v>Pending</v>
      </c>
      <c r="L42" s="30" t="s">
        <v>58</v>
      </c>
      <c r="M42" s="41"/>
      <c r="N42" s="57"/>
    </row>
    <row r="43" spans="1:14" ht="20.100000000000001" customHeight="1" x14ac:dyDescent="0.25">
      <c r="A43" s="30" t="str">
        <f t="shared" si="0"/>
        <v/>
      </c>
      <c r="B43" s="41"/>
      <c r="C43" s="35" t="str">
        <f>IF(B43="","",IFERROR(VLOOKUP(B43,DB_Customers!$A:$B,2,0),"❌ Account Not Found"))</f>
        <v/>
      </c>
      <c r="D43" s="42" t="str">
        <f t="shared" ca="1" si="1"/>
        <v/>
      </c>
      <c r="E43" s="32"/>
      <c r="F43" s="31"/>
      <c r="G43" s="41"/>
      <c r="H43" s="56">
        <v>2.5</v>
      </c>
      <c r="I43" s="43" t="str">
        <f t="shared" si="2"/>
        <v/>
      </c>
      <c r="J43" s="43" t="str">
        <f t="shared" si="3"/>
        <v/>
      </c>
      <c r="K43" s="33" t="str">
        <f>IF(B43="","Pending",IF(M43="","⚠️ Enter Code",IF(IFERROR(VLOOKUP(L43,DB_Agents!$B:$F,4,0),"")=TEXT(M43,"0"),"Pending Approval","🔒 WRONG CODE")))</f>
        <v>Pending</v>
      </c>
      <c r="L43" s="30" t="s">
        <v>58</v>
      </c>
      <c r="M43" s="41"/>
      <c r="N43" s="22"/>
    </row>
    <row r="44" spans="1:14" ht="20.100000000000001" customHeight="1" x14ac:dyDescent="0.25">
      <c r="A44" s="30" t="str">
        <f t="shared" si="0"/>
        <v/>
      </c>
      <c r="B44" s="41"/>
      <c r="C44" s="35" t="str">
        <f>IF(B44="","",IFERROR(VLOOKUP(B44,DB_Customers!$A:$B,2,0),"❌ Account Not Found"))</f>
        <v/>
      </c>
      <c r="D44" s="42" t="str">
        <f t="shared" ca="1" si="1"/>
        <v/>
      </c>
      <c r="E44" s="32"/>
      <c r="F44" s="31"/>
      <c r="G44" s="41"/>
      <c r="H44" s="56">
        <v>2.5</v>
      </c>
      <c r="I44" s="43" t="str">
        <f t="shared" si="2"/>
        <v/>
      </c>
      <c r="J44" s="43" t="str">
        <f t="shared" si="3"/>
        <v/>
      </c>
      <c r="K44" s="33" t="str">
        <f>IF(B44="","Pending",IF(M44="","⚠️ Enter Code",IF(IFERROR(VLOOKUP(L44,DB_Agents!$B:$F,4,0),"")=TEXT(M44,"0"),"Pending Approval","🔒 WRONG CODE")))</f>
        <v>Pending</v>
      </c>
      <c r="L44" s="30" t="s">
        <v>58</v>
      </c>
      <c r="M44" s="41"/>
      <c r="N44" s="57"/>
    </row>
    <row r="45" spans="1:14" ht="20.100000000000001" customHeight="1" x14ac:dyDescent="0.25">
      <c r="A45" s="30" t="str">
        <f t="shared" si="0"/>
        <v/>
      </c>
      <c r="B45" s="41"/>
      <c r="C45" s="35" t="str">
        <f>IF(B45="","",IFERROR(VLOOKUP(B45,DB_Customers!$A:$B,2,0),"❌ Account Not Found"))</f>
        <v/>
      </c>
      <c r="D45" s="42" t="str">
        <f t="shared" ca="1" si="1"/>
        <v/>
      </c>
      <c r="E45" s="32"/>
      <c r="F45" s="31"/>
      <c r="G45" s="41"/>
      <c r="H45" s="56">
        <v>2.5</v>
      </c>
      <c r="I45" s="43" t="str">
        <f t="shared" si="2"/>
        <v/>
      </c>
      <c r="J45" s="43" t="str">
        <f t="shared" si="3"/>
        <v/>
      </c>
      <c r="K45" s="33" t="str">
        <f>IF(B45="","Pending",IF(M45="","⚠️ Enter Code",IF(IFERROR(VLOOKUP(L45,DB_Agents!$B:$F,4,0),"")=TEXT(M45,"0"),"Pending Approval","🔒 WRONG CODE")))</f>
        <v>Pending</v>
      </c>
      <c r="L45" s="30" t="s">
        <v>58</v>
      </c>
      <c r="M45" s="41"/>
      <c r="N45" s="22"/>
    </row>
    <row r="46" spans="1:14" ht="20.100000000000001" customHeight="1" x14ac:dyDescent="0.25">
      <c r="A46" s="30" t="str">
        <f t="shared" ref="A46:A77" si="4">IF(B46="","",IF(C46="❌ Account Not Found","INVALID","LN"&amp;TEXT(D46,"YYYYMMDD")&amp;TEXT(ROW()-13,"0000")))</f>
        <v/>
      </c>
      <c r="B46" s="41"/>
      <c r="C46" s="35" t="str">
        <f>IF(B46="","",IFERROR(VLOOKUP(B46,DB_Customers!$A:$B,2,0),"❌ Account Not Found"))</f>
        <v/>
      </c>
      <c r="D46" s="42" t="str">
        <f t="shared" ref="D46:D77" ca="1" si="5">IF(B46="","",TODAY())</f>
        <v/>
      </c>
      <c r="E46" s="32"/>
      <c r="F46" s="31"/>
      <c r="G46" s="41"/>
      <c r="H46" s="56">
        <v>2.5</v>
      </c>
      <c r="I46" s="43" t="str">
        <f t="shared" ref="I46:I77" si="6">IF(E46="","",E46+(E46*H46/100*G46))</f>
        <v/>
      </c>
      <c r="J46" s="43" t="str">
        <f t="shared" ref="J46:J77" si="7">IFERROR(I46/G46,"")</f>
        <v/>
      </c>
      <c r="K46" s="33" t="str">
        <f>IF(B46="","Pending",IF(M46="","⚠️ Enter Code",IF(IFERROR(VLOOKUP(L46,DB_Agents!$B:$F,4,0),"")=TEXT(M46,"0"),"Pending Approval","🔒 WRONG CODE")))</f>
        <v>Pending</v>
      </c>
      <c r="L46" s="30" t="s">
        <v>58</v>
      </c>
      <c r="M46" s="41"/>
      <c r="N46" s="57"/>
    </row>
    <row r="47" spans="1:14" ht="20.100000000000001" customHeight="1" x14ac:dyDescent="0.25">
      <c r="A47" s="30" t="str">
        <f t="shared" si="4"/>
        <v/>
      </c>
      <c r="B47" s="41"/>
      <c r="C47" s="35" t="str">
        <f>IF(B47="","",IFERROR(VLOOKUP(B47,DB_Customers!$A:$B,2,0),"❌ Account Not Found"))</f>
        <v/>
      </c>
      <c r="D47" s="42" t="str">
        <f t="shared" ca="1" si="5"/>
        <v/>
      </c>
      <c r="E47" s="32"/>
      <c r="F47" s="31"/>
      <c r="G47" s="41"/>
      <c r="H47" s="56">
        <v>2.5</v>
      </c>
      <c r="I47" s="43" t="str">
        <f t="shared" si="6"/>
        <v/>
      </c>
      <c r="J47" s="43" t="str">
        <f t="shared" si="7"/>
        <v/>
      </c>
      <c r="K47" s="33" t="str">
        <f>IF(B47="","Pending",IF(M47="","⚠️ Enter Code",IF(IFERROR(VLOOKUP(L47,DB_Agents!$B:$F,4,0),"")=TEXT(M47,"0"),"Pending Approval","🔒 WRONG CODE")))</f>
        <v>Pending</v>
      </c>
      <c r="L47" s="30" t="s">
        <v>58</v>
      </c>
      <c r="M47" s="41"/>
      <c r="N47" s="22"/>
    </row>
    <row r="48" spans="1:14" ht="20.100000000000001" customHeight="1" x14ac:dyDescent="0.25">
      <c r="A48" s="30" t="str">
        <f t="shared" si="4"/>
        <v/>
      </c>
      <c r="B48" s="41"/>
      <c r="C48" s="35" t="str">
        <f>IF(B48="","",IFERROR(VLOOKUP(B48,DB_Customers!$A:$B,2,0),"❌ Account Not Found"))</f>
        <v/>
      </c>
      <c r="D48" s="42" t="str">
        <f t="shared" ca="1" si="5"/>
        <v/>
      </c>
      <c r="E48" s="32"/>
      <c r="F48" s="31"/>
      <c r="G48" s="41"/>
      <c r="H48" s="56">
        <v>2.5</v>
      </c>
      <c r="I48" s="43" t="str">
        <f t="shared" si="6"/>
        <v/>
      </c>
      <c r="J48" s="43" t="str">
        <f t="shared" si="7"/>
        <v/>
      </c>
      <c r="K48" s="33" t="str">
        <f>IF(B48="","Pending",IF(M48="","⚠️ Enter Code",IF(IFERROR(VLOOKUP(L48,DB_Agents!$B:$F,4,0),"")=TEXT(M48,"0"),"Pending Approval","🔒 WRONG CODE")))</f>
        <v>Pending</v>
      </c>
      <c r="L48" s="30" t="s">
        <v>58</v>
      </c>
      <c r="M48" s="41"/>
      <c r="N48" s="57"/>
    </row>
    <row r="49" spans="1:14" ht="20.100000000000001" customHeight="1" x14ac:dyDescent="0.25">
      <c r="A49" s="30" t="str">
        <f t="shared" si="4"/>
        <v/>
      </c>
      <c r="B49" s="41"/>
      <c r="C49" s="35" t="str">
        <f>IF(B49="","",IFERROR(VLOOKUP(B49,DB_Customers!$A:$B,2,0),"❌ Account Not Found"))</f>
        <v/>
      </c>
      <c r="D49" s="42" t="str">
        <f t="shared" ca="1" si="5"/>
        <v/>
      </c>
      <c r="E49" s="32"/>
      <c r="F49" s="31"/>
      <c r="G49" s="41"/>
      <c r="H49" s="56">
        <v>2.5</v>
      </c>
      <c r="I49" s="43" t="str">
        <f t="shared" si="6"/>
        <v/>
      </c>
      <c r="J49" s="43" t="str">
        <f t="shared" si="7"/>
        <v/>
      </c>
      <c r="K49" s="33" t="str">
        <f>IF(B49="","Pending",IF(M49="","⚠️ Enter Code",IF(IFERROR(VLOOKUP(L49,DB_Agents!$B:$F,4,0),"")=TEXT(M49,"0"),"Pending Approval","🔒 WRONG CODE")))</f>
        <v>Pending</v>
      </c>
      <c r="L49" s="30" t="s">
        <v>58</v>
      </c>
      <c r="M49" s="41"/>
      <c r="N49" s="22"/>
    </row>
    <row r="50" spans="1:14" ht="20.100000000000001" customHeight="1" x14ac:dyDescent="0.25">
      <c r="A50" s="30" t="str">
        <f t="shared" si="4"/>
        <v/>
      </c>
      <c r="B50" s="41"/>
      <c r="C50" s="35" t="str">
        <f>IF(B50="","",IFERROR(VLOOKUP(B50,DB_Customers!$A:$B,2,0),"❌ Account Not Found"))</f>
        <v/>
      </c>
      <c r="D50" s="42" t="str">
        <f t="shared" ca="1" si="5"/>
        <v/>
      </c>
      <c r="E50" s="32"/>
      <c r="F50" s="31"/>
      <c r="G50" s="41"/>
      <c r="H50" s="56">
        <v>2.5</v>
      </c>
      <c r="I50" s="43" t="str">
        <f t="shared" si="6"/>
        <v/>
      </c>
      <c r="J50" s="43" t="str">
        <f t="shared" si="7"/>
        <v/>
      </c>
      <c r="K50" s="33" t="str">
        <f>IF(B50="","Pending",IF(M50="","⚠️ Enter Code",IF(IFERROR(VLOOKUP(L50,DB_Agents!$B:$F,4,0),"")=TEXT(M50,"0"),"Pending Approval","🔒 WRONG CODE")))</f>
        <v>Pending</v>
      </c>
      <c r="L50" s="30" t="s">
        <v>58</v>
      </c>
      <c r="M50" s="41"/>
      <c r="N50" s="57"/>
    </row>
    <row r="51" spans="1:14" ht="20.100000000000001" customHeight="1" x14ac:dyDescent="0.25">
      <c r="A51" s="30" t="str">
        <f t="shared" si="4"/>
        <v/>
      </c>
      <c r="B51" s="41"/>
      <c r="C51" s="35" t="str">
        <f>IF(B51="","",IFERROR(VLOOKUP(B51,DB_Customers!$A:$B,2,0),"❌ Account Not Found"))</f>
        <v/>
      </c>
      <c r="D51" s="42" t="str">
        <f t="shared" ca="1" si="5"/>
        <v/>
      </c>
      <c r="E51" s="32"/>
      <c r="F51" s="31"/>
      <c r="G51" s="41"/>
      <c r="H51" s="56">
        <v>2.5</v>
      </c>
      <c r="I51" s="43" t="str">
        <f t="shared" si="6"/>
        <v/>
      </c>
      <c r="J51" s="43" t="str">
        <f t="shared" si="7"/>
        <v/>
      </c>
      <c r="K51" s="33" t="str">
        <f>IF(B51="","Pending",IF(M51="","⚠️ Enter Code",IF(IFERROR(VLOOKUP(L51,DB_Agents!$B:$F,4,0),"")=TEXT(M51,"0"),"Pending Approval","🔒 WRONG CODE")))</f>
        <v>Pending</v>
      </c>
      <c r="L51" s="30" t="s">
        <v>58</v>
      </c>
      <c r="M51" s="41"/>
      <c r="N51" s="22"/>
    </row>
    <row r="52" spans="1:14" ht="20.100000000000001" customHeight="1" x14ac:dyDescent="0.25">
      <c r="A52" s="30" t="str">
        <f t="shared" si="4"/>
        <v/>
      </c>
      <c r="B52" s="41"/>
      <c r="C52" s="35" t="str">
        <f>IF(B52="","",IFERROR(VLOOKUP(B52,DB_Customers!$A:$B,2,0),"❌ Account Not Found"))</f>
        <v/>
      </c>
      <c r="D52" s="42" t="str">
        <f t="shared" ca="1" si="5"/>
        <v/>
      </c>
      <c r="E52" s="32"/>
      <c r="F52" s="31"/>
      <c r="G52" s="41"/>
      <c r="H52" s="56">
        <v>2.5</v>
      </c>
      <c r="I52" s="43" t="str">
        <f t="shared" si="6"/>
        <v/>
      </c>
      <c r="J52" s="43" t="str">
        <f t="shared" si="7"/>
        <v/>
      </c>
      <c r="K52" s="33" t="str">
        <f>IF(B52="","Pending",IF(M52="","⚠️ Enter Code",IF(IFERROR(VLOOKUP(L52,DB_Agents!$B:$F,4,0),"")=TEXT(M52,"0"),"Pending Approval","🔒 WRONG CODE")))</f>
        <v>Pending</v>
      </c>
      <c r="L52" s="30" t="s">
        <v>58</v>
      </c>
      <c r="M52" s="41"/>
      <c r="N52" s="57"/>
    </row>
    <row r="53" spans="1:14" ht="20.100000000000001" customHeight="1" x14ac:dyDescent="0.25">
      <c r="A53" s="30" t="str">
        <f t="shared" si="4"/>
        <v/>
      </c>
      <c r="B53" s="41"/>
      <c r="C53" s="35" t="str">
        <f>IF(B53="","",IFERROR(VLOOKUP(B53,DB_Customers!$A:$B,2,0),"❌ Account Not Found"))</f>
        <v/>
      </c>
      <c r="D53" s="42" t="str">
        <f t="shared" ca="1" si="5"/>
        <v/>
      </c>
      <c r="E53" s="32"/>
      <c r="F53" s="31"/>
      <c r="G53" s="41"/>
      <c r="H53" s="56">
        <v>2.5</v>
      </c>
      <c r="I53" s="43" t="str">
        <f t="shared" si="6"/>
        <v/>
      </c>
      <c r="J53" s="43" t="str">
        <f t="shared" si="7"/>
        <v/>
      </c>
      <c r="K53" s="33" t="str">
        <f>IF(B53="","Pending",IF(M53="","⚠️ Enter Code",IF(IFERROR(VLOOKUP(L53,DB_Agents!$B:$F,4,0),"")=TEXT(M53,"0"),"Pending Approval","🔒 WRONG CODE")))</f>
        <v>Pending</v>
      </c>
      <c r="L53" s="30" t="s">
        <v>58</v>
      </c>
      <c r="M53" s="41"/>
      <c r="N53" s="22"/>
    </row>
    <row r="54" spans="1:14" ht="20.100000000000001" customHeight="1" x14ac:dyDescent="0.25">
      <c r="A54" s="30" t="str">
        <f t="shared" si="4"/>
        <v/>
      </c>
      <c r="B54" s="41"/>
      <c r="C54" s="35" t="str">
        <f>IF(B54="","",IFERROR(VLOOKUP(B54,DB_Customers!$A:$B,2,0),"❌ Account Not Found"))</f>
        <v/>
      </c>
      <c r="D54" s="42" t="str">
        <f t="shared" ca="1" si="5"/>
        <v/>
      </c>
      <c r="E54" s="32"/>
      <c r="F54" s="31"/>
      <c r="G54" s="41"/>
      <c r="H54" s="56">
        <v>2.5</v>
      </c>
      <c r="I54" s="43" t="str">
        <f t="shared" si="6"/>
        <v/>
      </c>
      <c r="J54" s="43" t="str">
        <f t="shared" si="7"/>
        <v/>
      </c>
      <c r="K54" s="33" t="str">
        <f>IF(B54="","Pending",IF(M54="","⚠️ Enter Code",IF(IFERROR(VLOOKUP(L54,DB_Agents!$B:$F,4,0),"")=TEXT(M54,"0"),"Pending Approval","🔒 WRONG CODE")))</f>
        <v>Pending</v>
      </c>
      <c r="L54" s="30" t="s">
        <v>58</v>
      </c>
      <c r="M54" s="41"/>
      <c r="N54" s="57"/>
    </row>
    <row r="55" spans="1:14" ht="20.100000000000001" customHeight="1" x14ac:dyDescent="0.25">
      <c r="A55" s="30" t="str">
        <f t="shared" si="4"/>
        <v/>
      </c>
      <c r="B55" s="41"/>
      <c r="C55" s="35" t="str">
        <f>IF(B55="","",IFERROR(VLOOKUP(B55,DB_Customers!$A:$B,2,0),"❌ Account Not Found"))</f>
        <v/>
      </c>
      <c r="D55" s="42" t="str">
        <f t="shared" ca="1" si="5"/>
        <v/>
      </c>
      <c r="E55" s="32"/>
      <c r="F55" s="31"/>
      <c r="G55" s="41"/>
      <c r="H55" s="56">
        <v>2.5</v>
      </c>
      <c r="I55" s="43" t="str">
        <f t="shared" si="6"/>
        <v/>
      </c>
      <c r="J55" s="43" t="str">
        <f t="shared" si="7"/>
        <v/>
      </c>
      <c r="K55" s="33" t="str">
        <f>IF(B55="","Pending",IF(M55="","⚠️ Enter Code",IF(IFERROR(VLOOKUP(L55,DB_Agents!$B:$F,4,0),"")=TEXT(M55,"0"),"Pending Approval","🔒 WRONG CODE")))</f>
        <v>Pending</v>
      </c>
      <c r="L55" s="30" t="s">
        <v>58</v>
      </c>
      <c r="M55" s="41"/>
      <c r="N55" s="22"/>
    </row>
    <row r="56" spans="1:14" ht="20.100000000000001" customHeight="1" x14ac:dyDescent="0.25">
      <c r="A56" s="30" t="str">
        <f t="shared" si="4"/>
        <v/>
      </c>
      <c r="B56" s="41"/>
      <c r="C56" s="35" t="str">
        <f>IF(B56="","",IFERROR(VLOOKUP(B56,DB_Customers!$A:$B,2,0),"❌ Account Not Found"))</f>
        <v/>
      </c>
      <c r="D56" s="42" t="str">
        <f t="shared" ca="1" si="5"/>
        <v/>
      </c>
      <c r="E56" s="32"/>
      <c r="F56" s="31"/>
      <c r="G56" s="41"/>
      <c r="H56" s="56">
        <v>2.5</v>
      </c>
      <c r="I56" s="43" t="str">
        <f t="shared" si="6"/>
        <v/>
      </c>
      <c r="J56" s="43" t="str">
        <f t="shared" si="7"/>
        <v/>
      </c>
      <c r="K56" s="33" t="str">
        <f>IF(B56="","Pending",IF(M56="","⚠️ Enter Code",IF(IFERROR(VLOOKUP(L56,DB_Agents!$B:$F,4,0),"")=TEXT(M56,"0"),"Pending Approval","🔒 WRONG CODE")))</f>
        <v>Pending</v>
      </c>
      <c r="L56" s="30" t="s">
        <v>58</v>
      </c>
      <c r="M56" s="41"/>
      <c r="N56" s="57"/>
    </row>
    <row r="57" spans="1:14" ht="20.100000000000001" customHeight="1" x14ac:dyDescent="0.25">
      <c r="A57" s="30" t="str">
        <f t="shared" si="4"/>
        <v/>
      </c>
      <c r="B57" s="41"/>
      <c r="C57" s="35" t="str">
        <f>IF(B57="","",IFERROR(VLOOKUP(B57,DB_Customers!$A:$B,2,0),"❌ Account Not Found"))</f>
        <v/>
      </c>
      <c r="D57" s="42" t="str">
        <f t="shared" ca="1" si="5"/>
        <v/>
      </c>
      <c r="E57" s="32"/>
      <c r="F57" s="31"/>
      <c r="G57" s="41"/>
      <c r="H57" s="56">
        <v>2.5</v>
      </c>
      <c r="I57" s="43" t="str">
        <f t="shared" si="6"/>
        <v/>
      </c>
      <c r="J57" s="43" t="str">
        <f t="shared" si="7"/>
        <v/>
      </c>
      <c r="K57" s="33" t="str">
        <f>IF(B57="","Pending",IF(M57="","⚠️ Enter Code",IF(IFERROR(VLOOKUP(L57,DB_Agents!$B:$F,4,0),"")=TEXT(M57,"0"),"Pending Approval","🔒 WRONG CODE")))</f>
        <v>Pending</v>
      </c>
      <c r="L57" s="30" t="s">
        <v>58</v>
      </c>
      <c r="M57" s="41"/>
      <c r="N57" s="22"/>
    </row>
    <row r="58" spans="1:14" ht="20.100000000000001" customHeight="1" x14ac:dyDescent="0.25">
      <c r="A58" s="30" t="str">
        <f t="shared" si="4"/>
        <v/>
      </c>
      <c r="B58" s="41"/>
      <c r="C58" s="35" t="str">
        <f>IF(B58="","",IFERROR(VLOOKUP(B58,DB_Customers!$A:$B,2,0),"❌ Account Not Found"))</f>
        <v/>
      </c>
      <c r="D58" s="42" t="str">
        <f t="shared" ca="1" si="5"/>
        <v/>
      </c>
      <c r="E58" s="32"/>
      <c r="F58" s="31"/>
      <c r="G58" s="41"/>
      <c r="H58" s="56">
        <v>2.5</v>
      </c>
      <c r="I58" s="43" t="str">
        <f t="shared" si="6"/>
        <v/>
      </c>
      <c r="J58" s="43" t="str">
        <f t="shared" si="7"/>
        <v/>
      </c>
      <c r="K58" s="33" t="str">
        <f>IF(B58="","Pending",IF(M58="","⚠️ Enter Code",IF(IFERROR(VLOOKUP(L58,DB_Agents!$B:$F,4,0),"")=TEXT(M58,"0"),"Pending Approval","🔒 WRONG CODE")))</f>
        <v>Pending</v>
      </c>
      <c r="L58" s="30" t="s">
        <v>58</v>
      </c>
      <c r="M58" s="41"/>
      <c r="N58" s="57"/>
    </row>
    <row r="59" spans="1:14" ht="20.100000000000001" customHeight="1" x14ac:dyDescent="0.25">
      <c r="A59" s="30" t="str">
        <f t="shared" si="4"/>
        <v/>
      </c>
      <c r="B59" s="41"/>
      <c r="C59" s="35" t="str">
        <f>IF(B59="","",IFERROR(VLOOKUP(B59,DB_Customers!$A:$B,2,0),"❌ Account Not Found"))</f>
        <v/>
      </c>
      <c r="D59" s="42" t="str">
        <f t="shared" ca="1" si="5"/>
        <v/>
      </c>
      <c r="E59" s="32"/>
      <c r="F59" s="31"/>
      <c r="G59" s="41"/>
      <c r="H59" s="56">
        <v>2.5</v>
      </c>
      <c r="I59" s="43" t="str">
        <f t="shared" si="6"/>
        <v/>
      </c>
      <c r="J59" s="43" t="str">
        <f t="shared" si="7"/>
        <v/>
      </c>
      <c r="K59" s="33" t="str">
        <f>IF(B59="","Pending",IF(M59="","⚠️ Enter Code",IF(IFERROR(VLOOKUP(L59,DB_Agents!$B:$F,4,0),"")=TEXT(M59,"0"),"Pending Approval","🔒 WRONG CODE")))</f>
        <v>Pending</v>
      </c>
      <c r="L59" s="30" t="s">
        <v>58</v>
      </c>
      <c r="M59" s="41"/>
      <c r="N59" s="22"/>
    </row>
    <row r="60" spans="1:14" ht="20.100000000000001" customHeight="1" x14ac:dyDescent="0.25">
      <c r="A60" s="30" t="str">
        <f t="shared" si="4"/>
        <v/>
      </c>
      <c r="B60" s="41"/>
      <c r="C60" s="35" t="str">
        <f>IF(B60="","",IFERROR(VLOOKUP(B60,DB_Customers!$A:$B,2,0),"❌ Account Not Found"))</f>
        <v/>
      </c>
      <c r="D60" s="42" t="str">
        <f t="shared" ca="1" si="5"/>
        <v/>
      </c>
      <c r="E60" s="32"/>
      <c r="F60" s="31"/>
      <c r="G60" s="41"/>
      <c r="H60" s="56">
        <v>2.5</v>
      </c>
      <c r="I60" s="43" t="str">
        <f t="shared" si="6"/>
        <v/>
      </c>
      <c r="J60" s="43" t="str">
        <f t="shared" si="7"/>
        <v/>
      </c>
      <c r="K60" s="33" t="str">
        <f>IF(B60="","Pending",IF(M60="","⚠️ Enter Code",IF(IFERROR(VLOOKUP(L60,DB_Agents!$B:$F,4,0),"")=TEXT(M60,"0"),"Pending Approval","🔒 WRONG CODE")))</f>
        <v>Pending</v>
      </c>
      <c r="L60" s="30" t="s">
        <v>58</v>
      </c>
      <c r="M60" s="41"/>
      <c r="N60" s="57"/>
    </row>
    <row r="61" spans="1:14" ht="20.100000000000001" customHeight="1" x14ac:dyDescent="0.25">
      <c r="A61" s="30" t="str">
        <f t="shared" si="4"/>
        <v/>
      </c>
      <c r="B61" s="41"/>
      <c r="C61" s="35" t="str">
        <f>IF(B61="","",IFERROR(VLOOKUP(B61,DB_Customers!$A:$B,2,0),"❌ Account Not Found"))</f>
        <v/>
      </c>
      <c r="D61" s="42" t="str">
        <f t="shared" ca="1" si="5"/>
        <v/>
      </c>
      <c r="E61" s="32"/>
      <c r="F61" s="31"/>
      <c r="G61" s="41"/>
      <c r="H61" s="56">
        <v>2.5</v>
      </c>
      <c r="I61" s="43" t="str">
        <f t="shared" si="6"/>
        <v/>
      </c>
      <c r="J61" s="43" t="str">
        <f t="shared" si="7"/>
        <v/>
      </c>
      <c r="K61" s="33" t="str">
        <f>IF(B61="","Pending",IF(M61="","⚠️ Enter Code",IF(IFERROR(VLOOKUP(L61,DB_Agents!$B:$F,4,0),"")=TEXT(M61,"0"),"Pending Approval","🔒 WRONG CODE")))</f>
        <v>Pending</v>
      </c>
      <c r="L61" s="30" t="s">
        <v>58</v>
      </c>
      <c r="M61" s="41"/>
      <c r="N61" s="22"/>
    </row>
    <row r="62" spans="1:14" ht="20.100000000000001" customHeight="1" x14ac:dyDescent="0.25">
      <c r="A62" s="30" t="str">
        <f t="shared" si="4"/>
        <v/>
      </c>
      <c r="B62" s="41"/>
      <c r="C62" s="35" t="str">
        <f>IF(B62="","",IFERROR(VLOOKUP(B62,DB_Customers!$A:$B,2,0),"❌ Account Not Found"))</f>
        <v/>
      </c>
      <c r="D62" s="42" t="str">
        <f t="shared" ca="1" si="5"/>
        <v/>
      </c>
      <c r="E62" s="32"/>
      <c r="F62" s="31"/>
      <c r="G62" s="41"/>
      <c r="H62" s="56">
        <v>2.5</v>
      </c>
      <c r="I62" s="43" t="str">
        <f t="shared" si="6"/>
        <v/>
      </c>
      <c r="J62" s="43" t="str">
        <f t="shared" si="7"/>
        <v/>
      </c>
      <c r="K62" s="33" t="str">
        <f>IF(B62="","Pending",IF(M62="","⚠️ Enter Code",IF(IFERROR(VLOOKUP(L62,DB_Agents!$B:$F,4,0),"")=TEXT(M62,"0"),"Pending Approval","🔒 WRONG CODE")))</f>
        <v>Pending</v>
      </c>
      <c r="L62" s="30" t="s">
        <v>58</v>
      </c>
      <c r="M62" s="41"/>
      <c r="N62" s="57"/>
    </row>
    <row r="63" spans="1:14" ht="20.100000000000001" customHeight="1" x14ac:dyDescent="0.25">
      <c r="A63" s="30" t="str">
        <f t="shared" si="4"/>
        <v/>
      </c>
      <c r="B63" s="41"/>
      <c r="C63" s="35" t="str">
        <f>IF(B63="","",IFERROR(VLOOKUP(B63,DB_Customers!$A:$B,2,0),"❌ Account Not Found"))</f>
        <v/>
      </c>
      <c r="D63" s="42" t="str">
        <f t="shared" ca="1" si="5"/>
        <v/>
      </c>
      <c r="E63" s="32"/>
      <c r="F63" s="31"/>
      <c r="G63" s="41"/>
      <c r="H63" s="56">
        <v>2.5</v>
      </c>
      <c r="I63" s="43" t="str">
        <f t="shared" si="6"/>
        <v/>
      </c>
      <c r="J63" s="43" t="str">
        <f t="shared" si="7"/>
        <v/>
      </c>
      <c r="K63" s="33" t="str">
        <f>IF(B63="","Pending",IF(M63="","⚠️ Enter Code",IF(IFERROR(VLOOKUP(L63,DB_Agents!$B:$F,4,0),"")=TEXT(M63,"0"),"Pending Approval","🔒 WRONG CODE")))</f>
        <v>Pending</v>
      </c>
      <c r="L63" s="30" t="s">
        <v>58</v>
      </c>
      <c r="M63" s="41"/>
      <c r="N63" s="22"/>
    </row>
    <row r="64" spans="1:14" ht="20.100000000000001" customHeight="1" x14ac:dyDescent="0.25">
      <c r="A64" s="30" t="str">
        <f t="shared" si="4"/>
        <v/>
      </c>
      <c r="B64" s="41"/>
      <c r="C64" s="35" t="str">
        <f>IF(B64="","",IFERROR(VLOOKUP(B64,DB_Customers!$A:$B,2,0),"❌ Account Not Found"))</f>
        <v/>
      </c>
      <c r="D64" s="42" t="str">
        <f t="shared" ca="1" si="5"/>
        <v/>
      </c>
      <c r="E64" s="32"/>
      <c r="F64" s="31"/>
      <c r="G64" s="41"/>
      <c r="H64" s="56">
        <v>2.5</v>
      </c>
      <c r="I64" s="43" t="str">
        <f t="shared" si="6"/>
        <v/>
      </c>
      <c r="J64" s="43" t="str">
        <f t="shared" si="7"/>
        <v/>
      </c>
      <c r="K64" s="33" t="str">
        <f>IF(B64="","Pending",IF(M64="","⚠️ Enter Code",IF(IFERROR(VLOOKUP(L64,DB_Agents!$B:$F,4,0),"")=TEXT(M64,"0"),"Pending Approval","🔒 WRONG CODE")))</f>
        <v>Pending</v>
      </c>
      <c r="L64" s="30" t="s">
        <v>58</v>
      </c>
      <c r="M64" s="41"/>
      <c r="N64" s="57"/>
    </row>
    <row r="65" spans="1:14" ht="20.100000000000001" customHeight="1" x14ac:dyDescent="0.25">
      <c r="A65" s="30" t="str">
        <f t="shared" si="4"/>
        <v/>
      </c>
      <c r="B65" s="41"/>
      <c r="C65" s="35" t="str">
        <f>IF(B65="","",IFERROR(VLOOKUP(B65,DB_Customers!$A:$B,2,0),"❌ Account Not Found"))</f>
        <v/>
      </c>
      <c r="D65" s="42" t="str">
        <f t="shared" ca="1" si="5"/>
        <v/>
      </c>
      <c r="E65" s="32"/>
      <c r="F65" s="31"/>
      <c r="G65" s="41"/>
      <c r="H65" s="56">
        <v>2.5</v>
      </c>
      <c r="I65" s="43" t="str">
        <f t="shared" si="6"/>
        <v/>
      </c>
      <c r="J65" s="43" t="str">
        <f t="shared" si="7"/>
        <v/>
      </c>
      <c r="K65" s="33" t="str">
        <f>IF(B65="","Pending",IF(M65="","⚠️ Enter Code",IF(IFERROR(VLOOKUP(L65,DB_Agents!$B:$F,4,0),"")=TEXT(M65,"0"),"Pending Approval","🔒 WRONG CODE")))</f>
        <v>Pending</v>
      </c>
      <c r="L65" s="30" t="s">
        <v>58</v>
      </c>
      <c r="M65" s="41"/>
      <c r="N65" s="22"/>
    </row>
    <row r="66" spans="1:14" ht="20.100000000000001" customHeight="1" x14ac:dyDescent="0.25">
      <c r="A66" s="30" t="str">
        <f t="shared" si="4"/>
        <v/>
      </c>
      <c r="B66" s="41"/>
      <c r="C66" s="35" t="str">
        <f>IF(B66="","",IFERROR(VLOOKUP(B66,DB_Customers!$A:$B,2,0),"❌ Account Not Found"))</f>
        <v/>
      </c>
      <c r="D66" s="42" t="str">
        <f t="shared" ca="1" si="5"/>
        <v/>
      </c>
      <c r="E66" s="32"/>
      <c r="F66" s="31"/>
      <c r="G66" s="41"/>
      <c r="H66" s="56">
        <v>2.5</v>
      </c>
      <c r="I66" s="43" t="str">
        <f t="shared" si="6"/>
        <v/>
      </c>
      <c r="J66" s="43" t="str">
        <f t="shared" si="7"/>
        <v/>
      </c>
      <c r="K66" s="33" t="str">
        <f>IF(B66="","Pending",IF(M66="","⚠️ Enter Code",IF(IFERROR(VLOOKUP(L66,DB_Agents!$B:$F,4,0),"")=TEXT(M66,"0"),"Pending Approval","🔒 WRONG CODE")))</f>
        <v>Pending</v>
      </c>
      <c r="L66" s="30" t="s">
        <v>58</v>
      </c>
      <c r="M66" s="41"/>
      <c r="N66" s="57"/>
    </row>
    <row r="67" spans="1:14" ht="20.100000000000001" customHeight="1" x14ac:dyDescent="0.25">
      <c r="A67" s="30" t="str">
        <f t="shared" si="4"/>
        <v/>
      </c>
      <c r="B67" s="41"/>
      <c r="C67" s="35" t="str">
        <f>IF(B67="","",IFERROR(VLOOKUP(B67,DB_Customers!$A:$B,2,0),"❌ Account Not Found"))</f>
        <v/>
      </c>
      <c r="D67" s="42" t="str">
        <f t="shared" ca="1" si="5"/>
        <v/>
      </c>
      <c r="E67" s="32"/>
      <c r="F67" s="31"/>
      <c r="G67" s="41"/>
      <c r="H67" s="56">
        <v>2.5</v>
      </c>
      <c r="I67" s="43" t="str">
        <f t="shared" si="6"/>
        <v/>
      </c>
      <c r="J67" s="43" t="str">
        <f t="shared" si="7"/>
        <v/>
      </c>
      <c r="K67" s="33" t="str">
        <f>IF(B67="","Pending",IF(M67="","⚠️ Enter Code",IF(IFERROR(VLOOKUP(L67,DB_Agents!$B:$F,4,0),"")=TEXT(M67,"0"),"Pending Approval","🔒 WRONG CODE")))</f>
        <v>Pending</v>
      </c>
      <c r="L67" s="30" t="s">
        <v>58</v>
      </c>
      <c r="M67" s="41"/>
      <c r="N67" s="22"/>
    </row>
    <row r="68" spans="1:14" ht="20.100000000000001" customHeight="1" x14ac:dyDescent="0.25">
      <c r="A68" s="30" t="str">
        <f t="shared" si="4"/>
        <v/>
      </c>
      <c r="B68" s="41"/>
      <c r="C68" s="35" t="str">
        <f>IF(B68="","",IFERROR(VLOOKUP(B68,DB_Customers!$A:$B,2,0),"❌ Account Not Found"))</f>
        <v/>
      </c>
      <c r="D68" s="42" t="str">
        <f t="shared" ca="1" si="5"/>
        <v/>
      </c>
      <c r="E68" s="32"/>
      <c r="F68" s="31"/>
      <c r="G68" s="41"/>
      <c r="H68" s="56">
        <v>2.5</v>
      </c>
      <c r="I68" s="43" t="str">
        <f t="shared" si="6"/>
        <v/>
      </c>
      <c r="J68" s="43" t="str">
        <f t="shared" si="7"/>
        <v/>
      </c>
      <c r="K68" s="33" t="str">
        <f>IF(B68="","Pending",IF(M68="","⚠️ Enter Code",IF(IFERROR(VLOOKUP(L68,DB_Agents!$B:$F,4,0),"")=TEXT(M68,"0"),"Pending Approval","🔒 WRONG CODE")))</f>
        <v>Pending</v>
      </c>
      <c r="L68" s="30" t="s">
        <v>58</v>
      </c>
      <c r="M68" s="41"/>
      <c r="N68" s="57"/>
    </row>
    <row r="69" spans="1:14" ht="20.100000000000001" customHeight="1" x14ac:dyDescent="0.25">
      <c r="A69" s="30" t="str">
        <f t="shared" si="4"/>
        <v/>
      </c>
      <c r="B69" s="41"/>
      <c r="C69" s="35" t="str">
        <f>IF(B69="","",IFERROR(VLOOKUP(B69,DB_Customers!$A:$B,2,0),"❌ Account Not Found"))</f>
        <v/>
      </c>
      <c r="D69" s="42" t="str">
        <f t="shared" ca="1" si="5"/>
        <v/>
      </c>
      <c r="E69" s="32"/>
      <c r="F69" s="31"/>
      <c r="G69" s="41"/>
      <c r="H69" s="56">
        <v>2.5</v>
      </c>
      <c r="I69" s="43" t="str">
        <f t="shared" si="6"/>
        <v/>
      </c>
      <c r="J69" s="43" t="str">
        <f t="shared" si="7"/>
        <v/>
      </c>
      <c r="K69" s="33" t="str">
        <f>IF(B69="","Pending",IF(M69="","⚠️ Enter Code",IF(IFERROR(VLOOKUP(L69,DB_Agents!$B:$F,4,0),"")=TEXT(M69,"0"),"Pending Approval","🔒 WRONG CODE")))</f>
        <v>Pending</v>
      </c>
      <c r="L69" s="30" t="s">
        <v>58</v>
      </c>
      <c r="M69" s="41"/>
      <c r="N69" s="22"/>
    </row>
    <row r="70" spans="1:14" ht="20.100000000000001" customHeight="1" x14ac:dyDescent="0.25">
      <c r="A70" s="30" t="str">
        <f t="shared" si="4"/>
        <v/>
      </c>
      <c r="B70" s="41"/>
      <c r="C70" s="35" t="str">
        <f>IF(B70="","",IFERROR(VLOOKUP(B70,DB_Customers!$A:$B,2,0),"❌ Account Not Found"))</f>
        <v/>
      </c>
      <c r="D70" s="42" t="str">
        <f t="shared" ca="1" si="5"/>
        <v/>
      </c>
      <c r="E70" s="32"/>
      <c r="F70" s="31"/>
      <c r="G70" s="41"/>
      <c r="H70" s="56">
        <v>2.5</v>
      </c>
      <c r="I70" s="43" t="str">
        <f t="shared" si="6"/>
        <v/>
      </c>
      <c r="J70" s="43" t="str">
        <f t="shared" si="7"/>
        <v/>
      </c>
      <c r="K70" s="33" t="str">
        <f>IF(B70="","Pending",IF(M70="","⚠️ Enter Code",IF(IFERROR(VLOOKUP(L70,DB_Agents!$B:$F,4,0),"")=TEXT(M70,"0"),"Pending Approval","🔒 WRONG CODE")))</f>
        <v>Pending</v>
      </c>
      <c r="L70" s="30" t="s">
        <v>58</v>
      </c>
      <c r="M70" s="41"/>
      <c r="N70" s="57"/>
    </row>
    <row r="71" spans="1:14" ht="20.100000000000001" customHeight="1" x14ac:dyDescent="0.25">
      <c r="A71" s="30" t="str">
        <f t="shared" si="4"/>
        <v/>
      </c>
      <c r="B71" s="41"/>
      <c r="C71" s="35" t="str">
        <f>IF(B71="","",IFERROR(VLOOKUP(B71,DB_Customers!$A:$B,2,0),"❌ Account Not Found"))</f>
        <v/>
      </c>
      <c r="D71" s="42" t="str">
        <f t="shared" ca="1" si="5"/>
        <v/>
      </c>
      <c r="E71" s="32"/>
      <c r="F71" s="31"/>
      <c r="G71" s="41"/>
      <c r="H71" s="56">
        <v>2.5</v>
      </c>
      <c r="I71" s="43" t="str">
        <f t="shared" si="6"/>
        <v/>
      </c>
      <c r="J71" s="43" t="str">
        <f t="shared" si="7"/>
        <v/>
      </c>
      <c r="K71" s="33" t="str">
        <f>IF(B71="","Pending",IF(M71="","⚠️ Enter Code",IF(IFERROR(VLOOKUP(L71,DB_Agents!$B:$F,4,0),"")=TEXT(M71,"0"),"Pending Approval","🔒 WRONG CODE")))</f>
        <v>Pending</v>
      </c>
      <c r="L71" s="30" t="s">
        <v>58</v>
      </c>
      <c r="M71" s="41"/>
      <c r="N71" s="22"/>
    </row>
    <row r="72" spans="1:14" ht="20.100000000000001" customHeight="1" x14ac:dyDescent="0.25">
      <c r="A72" s="30" t="str">
        <f t="shared" si="4"/>
        <v/>
      </c>
      <c r="B72" s="41"/>
      <c r="C72" s="35" t="str">
        <f>IF(B72="","",IFERROR(VLOOKUP(B72,DB_Customers!$A:$B,2,0),"❌ Account Not Found"))</f>
        <v/>
      </c>
      <c r="D72" s="42" t="str">
        <f t="shared" ca="1" si="5"/>
        <v/>
      </c>
      <c r="E72" s="32"/>
      <c r="F72" s="31"/>
      <c r="G72" s="41"/>
      <c r="H72" s="56">
        <v>2.5</v>
      </c>
      <c r="I72" s="43" t="str">
        <f t="shared" si="6"/>
        <v/>
      </c>
      <c r="J72" s="43" t="str">
        <f t="shared" si="7"/>
        <v/>
      </c>
      <c r="K72" s="33" t="str">
        <f>IF(B72="","Pending",IF(M72="","⚠️ Enter Code",IF(IFERROR(VLOOKUP(L72,DB_Agents!$B:$F,4,0),"")=TEXT(M72,"0"),"Pending Approval","🔒 WRONG CODE")))</f>
        <v>Pending</v>
      </c>
      <c r="L72" s="30" t="s">
        <v>58</v>
      </c>
      <c r="M72" s="41"/>
      <c r="N72" s="57"/>
    </row>
    <row r="73" spans="1:14" ht="20.100000000000001" customHeight="1" x14ac:dyDescent="0.25">
      <c r="A73" s="30" t="str">
        <f t="shared" si="4"/>
        <v/>
      </c>
      <c r="B73" s="41"/>
      <c r="C73" s="35" t="str">
        <f>IF(B73="","",IFERROR(VLOOKUP(B73,DB_Customers!$A:$B,2,0),"❌ Account Not Found"))</f>
        <v/>
      </c>
      <c r="D73" s="42" t="str">
        <f t="shared" ca="1" si="5"/>
        <v/>
      </c>
      <c r="E73" s="32"/>
      <c r="F73" s="31"/>
      <c r="G73" s="41"/>
      <c r="H73" s="56">
        <v>2.5</v>
      </c>
      <c r="I73" s="43" t="str">
        <f t="shared" si="6"/>
        <v/>
      </c>
      <c r="J73" s="43" t="str">
        <f t="shared" si="7"/>
        <v/>
      </c>
      <c r="K73" s="33" t="str">
        <f>IF(B73="","Pending",IF(M73="","⚠️ Enter Code",IF(IFERROR(VLOOKUP(L73,DB_Agents!$B:$F,4,0),"")=TEXT(M73,"0"),"Pending Approval","🔒 WRONG CODE")))</f>
        <v>Pending</v>
      </c>
      <c r="L73" s="30" t="s">
        <v>58</v>
      </c>
      <c r="M73" s="41"/>
      <c r="N73" s="22"/>
    </row>
    <row r="74" spans="1:14" ht="20.100000000000001" customHeight="1" x14ac:dyDescent="0.25">
      <c r="A74" s="30" t="str">
        <f t="shared" si="4"/>
        <v/>
      </c>
      <c r="B74" s="41"/>
      <c r="C74" s="35" t="str">
        <f>IF(B74="","",IFERROR(VLOOKUP(B74,DB_Customers!$A:$B,2,0),"❌ Account Not Found"))</f>
        <v/>
      </c>
      <c r="D74" s="42" t="str">
        <f t="shared" ca="1" si="5"/>
        <v/>
      </c>
      <c r="E74" s="32"/>
      <c r="F74" s="31"/>
      <c r="G74" s="41"/>
      <c r="H74" s="56">
        <v>2.5</v>
      </c>
      <c r="I74" s="43" t="str">
        <f t="shared" si="6"/>
        <v/>
      </c>
      <c r="J74" s="43" t="str">
        <f t="shared" si="7"/>
        <v/>
      </c>
      <c r="K74" s="33" t="str">
        <f>IF(B74="","Pending",IF(M74="","⚠️ Enter Code",IF(IFERROR(VLOOKUP(L74,DB_Agents!$B:$F,4,0),"")=TEXT(M74,"0"),"Pending Approval","🔒 WRONG CODE")))</f>
        <v>Pending</v>
      </c>
      <c r="L74" s="30" t="s">
        <v>58</v>
      </c>
      <c r="M74" s="41"/>
      <c r="N74" s="57"/>
    </row>
    <row r="75" spans="1:14" ht="20.100000000000001" customHeight="1" x14ac:dyDescent="0.25">
      <c r="A75" s="30" t="str">
        <f t="shared" si="4"/>
        <v/>
      </c>
      <c r="B75" s="41"/>
      <c r="C75" s="35" t="str">
        <f>IF(B75="","",IFERROR(VLOOKUP(B75,DB_Customers!$A:$B,2,0),"❌ Account Not Found"))</f>
        <v/>
      </c>
      <c r="D75" s="42" t="str">
        <f t="shared" ca="1" si="5"/>
        <v/>
      </c>
      <c r="E75" s="32"/>
      <c r="F75" s="31"/>
      <c r="G75" s="41"/>
      <c r="H75" s="56">
        <v>2.5</v>
      </c>
      <c r="I75" s="43" t="str">
        <f t="shared" si="6"/>
        <v/>
      </c>
      <c r="J75" s="43" t="str">
        <f t="shared" si="7"/>
        <v/>
      </c>
      <c r="K75" s="33" t="str">
        <f>IF(B75="","Pending",IF(M75="","⚠️ Enter Code",IF(IFERROR(VLOOKUP(L75,DB_Agents!$B:$F,4,0),"")=TEXT(M75,"0"),"Pending Approval","🔒 WRONG CODE")))</f>
        <v>Pending</v>
      </c>
      <c r="L75" s="30" t="s">
        <v>58</v>
      </c>
      <c r="M75" s="41"/>
      <c r="N75" s="22"/>
    </row>
    <row r="76" spans="1:14" ht="20.100000000000001" customHeight="1" x14ac:dyDescent="0.25">
      <c r="A76" s="30" t="str">
        <f t="shared" si="4"/>
        <v/>
      </c>
      <c r="B76" s="41"/>
      <c r="C76" s="35" t="str">
        <f>IF(B76="","",IFERROR(VLOOKUP(B76,DB_Customers!$A:$B,2,0),"❌ Account Not Found"))</f>
        <v/>
      </c>
      <c r="D76" s="42" t="str">
        <f t="shared" ca="1" si="5"/>
        <v/>
      </c>
      <c r="E76" s="32"/>
      <c r="F76" s="31"/>
      <c r="G76" s="41"/>
      <c r="H76" s="56">
        <v>2.5</v>
      </c>
      <c r="I76" s="43" t="str">
        <f t="shared" si="6"/>
        <v/>
      </c>
      <c r="J76" s="43" t="str">
        <f t="shared" si="7"/>
        <v/>
      </c>
      <c r="K76" s="33" t="str">
        <f>IF(B76="","Pending",IF(M76="","⚠️ Enter Code",IF(IFERROR(VLOOKUP(L76,DB_Agents!$B:$F,4,0),"")=TEXT(M76,"0"),"Pending Approval","🔒 WRONG CODE")))</f>
        <v>Pending</v>
      </c>
      <c r="L76" s="30" t="s">
        <v>58</v>
      </c>
      <c r="M76" s="41"/>
      <c r="N76" s="57"/>
    </row>
    <row r="77" spans="1:14" ht="20.100000000000001" customHeight="1" x14ac:dyDescent="0.25">
      <c r="A77" s="30" t="str">
        <f t="shared" si="4"/>
        <v/>
      </c>
      <c r="B77" s="41"/>
      <c r="C77" s="35" t="str">
        <f>IF(B77="","",IFERROR(VLOOKUP(B77,DB_Customers!$A:$B,2,0),"❌ Account Not Found"))</f>
        <v/>
      </c>
      <c r="D77" s="42" t="str">
        <f t="shared" ca="1" si="5"/>
        <v/>
      </c>
      <c r="E77" s="32"/>
      <c r="F77" s="31"/>
      <c r="G77" s="41"/>
      <c r="H77" s="56">
        <v>2.5</v>
      </c>
      <c r="I77" s="43" t="str">
        <f t="shared" si="6"/>
        <v/>
      </c>
      <c r="J77" s="43" t="str">
        <f t="shared" si="7"/>
        <v/>
      </c>
      <c r="K77" s="33" t="str">
        <f>IF(B77="","Pending",IF(M77="","⚠️ Enter Code",IF(IFERROR(VLOOKUP(L77,DB_Agents!$B:$F,4,0),"")=TEXT(M77,"0"),"Pending Approval","🔒 WRONG CODE")))</f>
        <v>Pending</v>
      </c>
      <c r="L77" s="30" t="s">
        <v>58</v>
      </c>
      <c r="M77" s="41"/>
      <c r="N77" s="22"/>
    </row>
    <row r="78" spans="1:14" ht="20.100000000000001" customHeight="1" x14ac:dyDescent="0.25">
      <c r="A78" s="30" t="str">
        <f t="shared" ref="A78:A109" si="8">IF(B78="","",IF(C78="❌ Account Not Found","INVALID","LN"&amp;TEXT(D78,"YYYYMMDD")&amp;TEXT(ROW()-13,"0000")))</f>
        <v/>
      </c>
      <c r="B78" s="41"/>
      <c r="C78" s="35" t="str">
        <f>IF(B78="","",IFERROR(VLOOKUP(B78,DB_Customers!$A:$B,2,0),"❌ Account Not Found"))</f>
        <v/>
      </c>
      <c r="D78" s="42" t="str">
        <f t="shared" ref="D78:D109" ca="1" si="9">IF(B78="","",TODAY())</f>
        <v/>
      </c>
      <c r="E78" s="32"/>
      <c r="F78" s="31"/>
      <c r="G78" s="41"/>
      <c r="H78" s="56">
        <v>2.5</v>
      </c>
      <c r="I78" s="43" t="str">
        <f t="shared" ref="I78:I109" si="10">IF(E78="","",E78+(E78*H78/100*G78))</f>
        <v/>
      </c>
      <c r="J78" s="43" t="str">
        <f t="shared" ref="J78:J109" si="11">IFERROR(I78/G78,"")</f>
        <v/>
      </c>
      <c r="K78" s="33" t="str">
        <f>IF(B78="","Pending",IF(M78="","⚠️ Enter Code",IF(IFERROR(VLOOKUP(L78,DB_Agents!$B:$F,4,0),"")=TEXT(M78,"0"),"Pending Approval","🔒 WRONG CODE")))</f>
        <v>Pending</v>
      </c>
      <c r="L78" s="30" t="s">
        <v>58</v>
      </c>
      <c r="M78" s="41"/>
      <c r="N78" s="57"/>
    </row>
    <row r="79" spans="1:14" ht="20.100000000000001" customHeight="1" x14ac:dyDescent="0.25">
      <c r="A79" s="30" t="str">
        <f t="shared" si="8"/>
        <v/>
      </c>
      <c r="B79" s="41"/>
      <c r="C79" s="35" t="str">
        <f>IF(B79="","",IFERROR(VLOOKUP(B79,DB_Customers!$A:$B,2,0),"❌ Account Not Found"))</f>
        <v/>
      </c>
      <c r="D79" s="42" t="str">
        <f t="shared" ca="1" si="9"/>
        <v/>
      </c>
      <c r="E79" s="32"/>
      <c r="F79" s="31"/>
      <c r="G79" s="41"/>
      <c r="H79" s="56">
        <v>2.5</v>
      </c>
      <c r="I79" s="43" t="str">
        <f t="shared" si="10"/>
        <v/>
      </c>
      <c r="J79" s="43" t="str">
        <f t="shared" si="11"/>
        <v/>
      </c>
      <c r="K79" s="33" t="str">
        <f>IF(B79="","Pending",IF(M79="","⚠️ Enter Code",IF(IFERROR(VLOOKUP(L79,DB_Agents!$B:$F,4,0),"")=TEXT(M79,"0"),"Pending Approval","🔒 WRONG CODE")))</f>
        <v>Pending</v>
      </c>
      <c r="L79" s="30" t="s">
        <v>58</v>
      </c>
      <c r="M79" s="41"/>
      <c r="N79" s="22"/>
    </row>
    <row r="80" spans="1:14" ht="20.100000000000001" customHeight="1" x14ac:dyDescent="0.25">
      <c r="A80" s="30" t="str">
        <f t="shared" si="8"/>
        <v/>
      </c>
      <c r="B80" s="41"/>
      <c r="C80" s="35" t="str">
        <f>IF(B80="","",IFERROR(VLOOKUP(B80,DB_Customers!$A:$B,2,0),"❌ Account Not Found"))</f>
        <v/>
      </c>
      <c r="D80" s="42" t="str">
        <f t="shared" ca="1" si="9"/>
        <v/>
      </c>
      <c r="E80" s="32"/>
      <c r="F80" s="31"/>
      <c r="G80" s="41"/>
      <c r="H80" s="56">
        <v>2.5</v>
      </c>
      <c r="I80" s="43" t="str">
        <f t="shared" si="10"/>
        <v/>
      </c>
      <c r="J80" s="43" t="str">
        <f t="shared" si="11"/>
        <v/>
      </c>
      <c r="K80" s="33" t="str">
        <f>IF(B80="","Pending",IF(M80="","⚠️ Enter Code",IF(IFERROR(VLOOKUP(L80,DB_Agents!$B:$F,4,0),"")=TEXT(M80,"0"),"Pending Approval","🔒 WRONG CODE")))</f>
        <v>Pending</v>
      </c>
      <c r="L80" s="30" t="s">
        <v>58</v>
      </c>
      <c r="M80" s="41"/>
      <c r="N80" s="57"/>
    </row>
    <row r="81" spans="1:14" ht="20.100000000000001" customHeight="1" x14ac:dyDescent="0.25">
      <c r="A81" s="30" t="str">
        <f t="shared" si="8"/>
        <v/>
      </c>
      <c r="B81" s="41"/>
      <c r="C81" s="35" t="str">
        <f>IF(B81="","",IFERROR(VLOOKUP(B81,DB_Customers!$A:$B,2,0),"❌ Account Not Found"))</f>
        <v/>
      </c>
      <c r="D81" s="42" t="str">
        <f t="shared" ca="1" si="9"/>
        <v/>
      </c>
      <c r="E81" s="32"/>
      <c r="F81" s="31"/>
      <c r="G81" s="41"/>
      <c r="H81" s="56">
        <v>2.5</v>
      </c>
      <c r="I81" s="43" t="str">
        <f t="shared" si="10"/>
        <v/>
      </c>
      <c r="J81" s="43" t="str">
        <f t="shared" si="11"/>
        <v/>
      </c>
      <c r="K81" s="33" t="str">
        <f>IF(B81="","Pending",IF(M81="","⚠️ Enter Code",IF(IFERROR(VLOOKUP(L81,DB_Agents!$B:$F,4,0),"")=TEXT(M81,"0"),"Pending Approval","🔒 WRONG CODE")))</f>
        <v>Pending</v>
      </c>
      <c r="L81" s="30" t="s">
        <v>58</v>
      </c>
      <c r="M81" s="41"/>
      <c r="N81" s="22"/>
    </row>
    <row r="82" spans="1:14" ht="20.100000000000001" customHeight="1" x14ac:dyDescent="0.25">
      <c r="A82" s="30" t="str">
        <f t="shared" si="8"/>
        <v/>
      </c>
      <c r="B82" s="41"/>
      <c r="C82" s="35" t="str">
        <f>IF(B82="","",IFERROR(VLOOKUP(B82,DB_Customers!$A:$B,2,0),"❌ Account Not Found"))</f>
        <v/>
      </c>
      <c r="D82" s="42" t="str">
        <f t="shared" ca="1" si="9"/>
        <v/>
      </c>
      <c r="E82" s="32"/>
      <c r="F82" s="31"/>
      <c r="G82" s="41"/>
      <c r="H82" s="56">
        <v>2.5</v>
      </c>
      <c r="I82" s="43" t="str">
        <f t="shared" si="10"/>
        <v/>
      </c>
      <c r="J82" s="43" t="str">
        <f t="shared" si="11"/>
        <v/>
      </c>
      <c r="K82" s="33" t="str">
        <f>IF(B82="","Pending",IF(M82="","⚠️ Enter Code",IF(IFERROR(VLOOKUP(L82,DB_Agents!$B:$F,4,0),"")=TEXT(M82,"0"),"Pending Approval","🔒 WRONG CODE")))</f>
        <v>Pending</v>
      </c>
      <c r="L82" s="30" t="s">
        <v>58</v>
      </c>
      <c r="M82" s="41"/>
      <c r="N82" s="57"/>
    </row>
    <row r="83" spans="1:14" ht="20.100000000000001" customHeight="1" x14ac:dyDescent="0.25">
      <c r="A83" s="30" t="str">
        <f t="shared" si="8"/>
        <v/>
      </c>
      <c r="B83" s="41"/>
      <c r="C83" s="35" t="str">
        <f>IF(B83="","",IFERROR(VLOOKUP(B83,DB_Customers!$A:$B,2,0),"❌ Account Not Found"))</f>
        <v/>
      </c>
      <c r="D83" s="42" t="str">
        <f t="shared" ca="1" si="9"/>
        <v/>
      </c>
      <c r="E83" s="32"/>
      <c r="F83" s="31"/>
      <c r="G83" s="41"/>
      <c r="H83" s="56">
        <v>2.5</v>
      </c>
      <c r="I83" s="43" t="str">
        <f t="shared" si="10"/>
        <v/>
      </c>
      <c r="J83" s="43" t="str">
        <f t="shared" si="11"/>
        <v/>
      </c>
      <c r="K83" s="33" t="str">
        <f>IF(B83="","Pending",IF(M83="","⚠️ Enter Code",IF(IFERROR(VLOOKUP(L83,DB_Agents!$B:$F,4,0),"")=TEXT(M83,"0"),"Pending Approval","🔒 WRONG CODE")))</f>
        <v>Pending</v>
      </c>
      <c r="L83" s="30" t="s">
        <v>58</v>
      </c>
      <c r="M83" s="41"/>
      <c r="N83" s="22"/>
    </row>
    <row r="84" spans="1:14" ht="20.100000000000001" customHeight="1" x14ac:dyDescent="0.25">
      <c r="A84" s="30" t="str">
        <f t="shared" si="8"/>
        <v/>
      </c>
      <c r="B84" s="41"/>
      <c r="C84" s="35" t="str">
        <f>IF(B84="","",IFERROR(VLOOKUP(B84,DB_Customers!$A:$B,2,0),"❌ Account Not Found"))</f>
        <v/>
      </c>
      <c r="D84" s="42" t="str">
        <f t="shared" ca="1" si="9"/>
        <v/>
      </c>
      <c r="E84" s="32"/>
      <c r="F84" s="31"/>
      <c r="G84" s="41"/>
      <c r="H84" s="56">
        <v>2.5</v>
      </c>
      <c r="I84" s="43" t="str">
        <f t="shared" si="10"/>
        <v/>
      </c>
      <c r="J84" s="43" t="str">
        <f t="shared" si="11"/>
        <v/>
      </c>
      <c r="K84" s="33" t="str">
        <f>IF(B84="","Pending",IF(M84="","⚠️ Enter Code",IF(IFERROR(VLOOKUP(L84,DB_Agents!$B:$F,4,0),"")=TEXT(M84,"0"),"Pending Approval","🔒 WRONG CODE")))</f>
        <v>Pending</v>
      </c>
      <c r="L84" s="30" t="s">
        <v>58</v>
      </c>
      <c r="M84" s="41"/>
      <c r="N84" s="57"/>
    </row>
    <row r="85" spans="1:14" ht="20.100000000000001" customHeight="1" x14ac:dyDescent="0.25">
      <c r="A85" s="30" t="str">
        <f t="shared" si="8"/>
        <v/>
      </c>
      <c r="B85" s="41"/>
      <c r="C85" s="35" t="str">
        <f>IF(B85="","",IFERROR(VLOOKUP(B85,DB_Customers!$A:$B,2,0),"❌ Account Not Found"))</f>
        <v/>
      </c>
      <c r="D85" s="42" t="str">
        <f t="shared" ca="1" si="9"/>
        <v/>
      </c>
      <c r="E85" s="32"/>
      <c r="F85" s="31"/>
      <c r="G85" s="41"/>
      <c r="H85" s="56">
        <v>2.5</v>
      </c>
      <c r="I85" s="43" t="str">
        <f t="shared" si="10"/>
        <v/>
      </c>
      <c r="J85" s="43" t="str">
        <f t="shared" si="11"/>
        <v/>
      </c>
      <c r="K85" s="33" t="str">
        <f>IF(B85="","Pending",IF(M85="","⚠️ Enter Code",IF(IFERROR(VLOOKUP(L85,DB_Agents!$B:$F,4,0),"")=TEXT(M85,"0"),"Pending Approval","🔒 WRONG CODE")))</f>
        <v>Pending</v>
      </c>
      <c r="L85" s="30" t="s">
        <v>58</v>
      </c>
      <c r="M85" s="41"/>
      <c r="N85" s="22"/>
    </row>
    <row r="86" spans="1:14" ht="20.100000000000001" customHeight="1" x14ac:dyDescent="0.25">
      <c r="A86" s="30" t="str">
        <f t="shared" si="8"/>
        <v/>
      </c>
      <c r="B86" s="41"/>
      <c r="C86" s="35" t="str">
        <f>IF(B86="","",IFERROR(VLOOKUP(B86,DB_Customers!$A:$B,2,0),"❌ Account Not Found"))</f>
        <v/>
      </c>
      <c r="D86" s="42" t="str">
        <f t="shared" ca="1" si="9"/>
        <v/>
      </c>
      <c r="E86" s="32"/>
      <c r="F86" s="31"/>
      <c r="G86" s="41"/>
      <c r="H86" s="56">
        <v>2.5</v>
      </c>
      <c r="I86" s="43" t="str">
        <f t="shared" si="10"/>
        <v/>
      </c>
      <c r="J86" s="43" t="str">
        <f t="shared" si="11"/>
        <v/>
      </c>
      <c r="K86" s="33" t="str">
        <f>IF(B86="","Pending",IF(M86="","⚠️ Enter Code",IF(IFERROR(VLOOKUP(L86,DB_Agents!$B:$F,4,0),"")=TEXT(M86,"0"),"Pending Approval","🔒 WRONG CODE")))</f>
        <v>Pending</v>
      </c>
      <c r="L86" s="30" t="s">
        <v>58</v>
      </c>
      <c r="M86" s="41"/>
      <c r="N86" s="57"/>
    </row>
    <row r="87" spans="1:14" ht="20.100000000000001" customHeight="1" x14ac:dyDescent="0.25">
      <c r="A87" s="30" t="str">
        <f t="shared" si="8"/>
        <v/>
      </c>
      <c r="B87" s="41"/>
      <c r="C87" s="35" t="str">
        <f>IF(B87="","",IFERROR(VLOOKUP(B87,DB_Customers!$A:$B,2,0),"❌ Account Not Found"))</f>
        <v/>
      </c>
      <c r="D87" s="42" t="str">
        <f t="shared" ca="1" si="9"/>
        <v/>
      </c>
      <c r="E87" s="32"/>
      <c r="F87" s="31"/>
      <c r="G87" s="41"/>
      <c r="H87" s="56">
        <v>2.5</v>
      </c>
      <c r="I87" s="43" t="str">
        <f t="shared" si="10"/>
        <v/>
      </c>
      <c r="J87" s="43" t="str">
        <f t="shared" si="11"/>
        <v/>
      </c>
      <c r="K87" s="33" t="str">
        <f>IF(B87="","Pending",IF(M87="","⚠️ Enter Code",IF(IFERROR(VLOOKUP(L87,DB_Agents!$B:$F,4,0),"")=TEXT(M87,"0"),"Pending Approval","🔒 WRONG CODE")))</f>
        <v>Pending</v>
      </c>
      <c r="L87" s="30" t="s">
        <v>58</v>
      </c>
      <c r="M87" s="41"/>
      <c r="N87" s="22"/>
    </row>
    <row r="88" spans="1:14" ht="20.100000000000001" customHeight="1" x14ac:dyDescent="0.25">
      <c r="A88" s="30" t="str">
        <f t="shared" si="8"/>
        <v/>
      </c>
      <c r="B88" s="41"/>
      <c r="C88" s="35" t="str">
        <f>IF(B88="","",IFERROR(VLOOKUP(B88,DB_Customers!$A:$B,2,0),"❌ Account Not Found"))</f>
        <v/>
      </c>
      <c r="D88" s="42" t="str">
        <f t="shared" ca="1" si="9"/>
        <v/>
      </c>
      <c r="E88" s="32"/>
      <c r="F88" s="31"/>
      <c r="G88" s="41"/>
      <c r="H88" s="56">
        <v>2.5</v>
      </c>
      <c r="I88" s="43" t="str">
        <f t="shared" si="10"/>
        <v/>
      </c>
      <c r="J88" s="43" t="str">
        <f t="shared" si="11"/>
        <v/>
      </c>
      <c r="K88" s="33" t="str">
        <f>IF(B88="","Pending",IF(M88="","⚠️ Enter Code",IF(IFERROR(VLOOKUP(L88,DB_Agents!$B:$F,4,0),"")=TEXT(M88,"0"),"Pending Approval","🔒 WRONG CODE")))</f>
        <v>Pending</v>
      </c>
      <c r="L88" s="30" t="s">
        <v>58</v>
      </c>
      <c r="M88" s="41"/>
      <c r="N88" s="57"/>
    </row>
    <row r="89" spans="1:14" ht="20.100000000000001" customHeight="1" x14ac:dyDescent="0.25">
      <c r="A89" s="30" t="str">
        <f t="shared" si="8"/>
        <v/>
      </c>
      <c r="B89" s="41"/>
      <c r="C89" s="35" t="str">
        <f>IF(B89="","",IFERROR(VLOOKUP(B89,DB_Customers!$A:$B,2,0),"❌ Account Not Found"))</f>
        <v/>
      </c>
      <c r="D89" s="42" t="str">
        <f t="shared" ca="1" si="9"/>
        <v/>
      </c>
      <c r="E89" s="32"/>
      <c r="F89" s="31"/>
      <c r="G89" s="41"/>
      <c r="H89" s="56">
        <v>2.5</v>
      </c>
      <c r="I89" s="43" t="str">
        <f t="shared" si="10"/>
        <v/>
      </c>
      <c r="J89" s="43" t="str">
        <f t="shared" si="11"/>
        <v/>
      </c>
      <c r="K89" s="33" t="str">
        <f>IF(B89="","Pending",IF(M89="","⚠️ Enter Code",IF(IFERROR(VLOOKUP(L89,DB_Agents!$B:$F,4,0),"")=TEXT(M89,"0"),"Pending Approval","🔒 WRONG CODE")))</f>
        <v>Pending</v>
      </c>
      <c r="L89" s="30" t="s">
        <v>58</v>
      </c>
      <c r="M89" s="41"/>
      <c r="N89" s="22"/>
    </row>
    <row r="90" spans="1:14" ht="20.100000000000001" customHeight="1" x14ac:dyDescent="0.25">
      <c r="A90" s="30" t="str">
        <f t="shared" si="8"/>
        <v/>
      </c>
      <c r="B90" s="41"/>
      <c r="C90" s="35" t="str">
        <f>IF(B90="","",IFERROR(VLOOKUP(B90,DB_Customers!$A:$B,2,0),"❌ Account Not Found"))</f>
        <v/>
      </c>
      <c r="D90" s="42" t="str">
        <f t="shared" ca="1" si="9"/>
        <v/>
      </c>
      <c r="E90" s="32"/>
      <c r="F90" s="31"/>
      <c r="G90" s="41"/>
      <c r="H90" s="56">
        <v>2.5</v>
      </c>
      <c r="I90" s="43" t="str">
        <f t="shared" si="10"/>
        <v/>
      </c>
      <c r="J90" s="43" t="str">
        <f t="shared" si="11"/>
        <v/>
      </c>
      <c r="K90" s="33" t="str">
        <f>IF(B90="","Pending",IF(M90="","⚠️ Enter Code",IF(IFERROR(VLOOKUP(L90,DB_Agents!$B:$F,4,0),"")=TEXT(M90,"0"),"Pending Approval","🔒 WRONG CODE")))</f>
        <v>Pending</v>
      </c>
      <c r="L90" s="30" t="s">
        <v>58</v>
      </c>
      <c r="M90" s="41"/>
      <c r="N90" s="57"/>
    </row>
    <row r="91" spans="1:14" ht="20.100000000000001" customHeight="1" x14ac:dyDescent="0.25">
      <c r="A91" s="30" t="str">
        <f t="shared" si="8"/>
        <v/>
      </c>
      <c r="B91" s="41"/>
      <c r="C91" s="35" t="str">
        <f>IF(B91="","",IFERROR(VLOOKUP(B91,DB_Customers!$A:$B,2,0),"❌ Account Not Found"))</f>
        <v/>
      </c>
      <c r="D91" s="42" t="str">
        <f t="shared" ca="1" si="9"/>
        <v/>
      </c>
      <c r="E91" s="32"/>
      <c r="F91" s="31"/>
      <c r="G91" s="41"/>
      <c r="H91" s="56">
        <v>2.5</v>
      </c>
      <c r="I91" s="43" t="str">
        <f t="shared" si="10"/>
        <v/>
      </c>
      <c r="J91" s="43" t="str">
        <f t="shared" si="11"/>
        <v/>
      </c>
      <c r="K91" s="33" t="str">
        <f>IF(B91="","Pending",IF(M91="","⚠️ Enter Code",IF(IFERROR(VLOOKUP(L91,DB_Agents!$B:$F,4,0),"")=TEXT(M91,"0"),"Pending Approval","🔒 WRONG CODE")))</f>
        <v>Pending</v>
      </c>
      <c r="L91" s="30" t="s">
        <v>58</v>
      </c>
      <c r="M91" s="41"/>
      <c r="N91" s="22"/>
    </row>
    <row r="92" spans="1:14" ht="20.100000000000001" customHeight="1" x14ac:dyDescent="0.25">
      <c r="A92" s="30" t="str">
        <f t="shared" si="8"/>
        <v/>
      </c>
      <c r="B92" s="41"/>
      <c r="C92" s="35" t="str">
        <f>IF(B92="","",IFERROR(VLOOKUP(B92,DB_Customers!$A:$B,2,0),"❌ Account Not Found"))</f>
        <v/>
      </c>
      <c r="D92" s="42" t="str">
        <f t="shared" ca="1" si="9"/>
        <v/>
      </c>
      <c r="E92" s="32"/>
      <c r="F92" s="31"/>
      <c r="G92" s="41"/>
      <c r="H92" s="56">
        <v>2.5</v>
      </c>
      <c r="I92" s="43" t="str">
        <f t="shared" si="10"/>
        <v/>
      </c>
      <c r="J92" s="43" t="str">
        <f t="shared" si="11"/>
        <v/>
      </c>
      <c r="K92" s="33" t="str">
        <f>IF(B92="","Pending",IF(M92="","⚠️ Enter Code",IF(IFERROR(VLOOKUP(L92,DB_Agents!$B:$F,4,0),"")=TEXT(M92,"0"),"Pending Approval","🔒 WRONG CODE")))</f>
        <v>Pending</v>
      </c>
      <c r="L92" s="30" t="s">
        <v>58</v>
      </c>
      <c r="M92" s="41"/>
      <c r="N92" s="57"/>
    </row>
    <row r="93" spans="1:14" ht="20.100000000000001" customHeight="1" x14ac:dyDescent="0.25">
      <c r="A93" s="30" t="str">
        <f t="shared" si="8"/>
        <v/>
      </c>
      <c r="B93" s="41"/>
      <c r="C93" s="35" t="str">
        <f>IF(B93="","",IFERROR(VLOOKUP(B93,DB_Customers!$A:$B,2,0),"❌ Account Not Found"))</f>
        <v/>
      </c>
      <c r="D93" s="42" t="str">
        <f t="shared" ca="1" si="9"/>
        <v/>
      </c>
      <c r="E93" s="32"/>
      <c r="F93" s="31"/>
      <c r="G93" s="41"/>
      <c r="H93" s="56">
        <v>2.5</v>
      </c>
      <c r="I93" s="43" t="str">
        <f t="shared" si="10"/>
        <v/>
      </c>
      <c r="J93" s="43" t="str">
        <f t="shared" si="11"/>
        <v/>
      </c>
      <c r="K93" s="33" t="str">
        <f>IF(B93="","Pending",IF(M93="","⚠️ Enter Code",IF(IFERROR(VLOOKUP(L93,DB_Agents!$B:$F,4,0),"")=TEXT(M93,"0"),"Pending Approval","🔒 WRONG CODE")))</f>
        <v>Pending</v>
      </c>
      <c r="L93" s="30" t="s">
        <v>58</v>
      </c>
      <c r="M93" s="41"/>
      <c r="N93" s="22"/>
    </row>
    <row r="94" spans="1:14" ht="20.100000000000001" customHeight="1" x14ac:dyDescent="0.25">
      <c r="A94" s="30" t="str">
        <f t="shared" si="8"/>
        <v/>
      </c>
      <c r="B94" s="41"/>
      <c r="C94" s="35" t="str">
        <f>IF(B94="","",IFERROR(VLOOKUP(B94,DB_Customers!$A:$B,2,0),"❌ Account Not Found"))</f>
        <v/>
      </c>
      <c r="D94" s="42" t="str">
        <f t="shared" ca="1" si="9"/>
        <v/>
      </c>
      <c r="E94" s="32"/>
      <c r="F94" s="31"/>
      <c r="G94" s="41"/>
      <c r="H94" s="56">
        <v>2.5</v>
      </c>
      <c r="I94" s="43" t="str">
        <f t="shared" si="10"/>
        <v/>
      </c>
      <c r="J94" s="43" t="str">
        <f t="shared" si="11"/>
        <v/>
      </c>
      <c r="K94" s="33" t="str">
        <f>IF(B94="","Pending",IF(M94="","⚠️ Enter Code",IF(IFERROR(VLOOKUP(L94,DB_Agents!$B:$F,4,0),"")=TEXT(M94,"0"),"Pending Approval","🔒 WRONG CODE")))</f>
        <v>Pending</v>
      </c>
      <c r="L94" s="30" t="s">
        <v>58</v>
      </c>
      <c r="M94" s="41"/>
      <c r="N94" s="57"/>
    </row>
    <row r="95" spans="1:14" ht="20.100000000000001" customHeight="1" x14ac:dyDescent="0.25">
      <c r="A95" s="30" t="str">
        <f t="shared" si="8"/>
        <v/>
      </c>
      <c r="B95" s="41"/>
      <c r="C95" s="35" t="str">
        <f>IF(B95="","",IFERROR(VLOOKUP(B95,DB_Customers!$A:$B,2,0),"❌ Account Not Found"))</f>
        <v/>
      </c>
      <c r="D95" s="42" t="str">
        <f t="shared" ca="1" si="9"/>
        <v/>
      </c>
      <c r="E95" s="32"/>
      <c r="F95" s="31"/>
      <c r="G95" s="41"/>
      <c r="H95" s="56">
        <v>2.5</v>
      </c>
      <c r="I95" s="43" t="str">
        <f t="shared" si="10"/>
        <v/>
      </c>
      <c r="J95" s="43" t="str">
        <f t="shared" si="11"/>
        <v/>
      </c>
      <c r="K95" s="33" t="str">
        <f>IF(B95="","Pending",IF(M95="","⚠️ Enter Code",IF(IFERROR(VLOOKUP(L95,DB_Agents!$B:$F,4,0),"")=TEXT(M95,"0"),"Pending Approval","🔒 WRONG CODE")))</f>
        <v>Pending</v>
      </c>
      <c r="L95" s="30" t="s">
        <v>58</v>
      </c>
      <c r="M95" s="41"/>
      <c r="N95" s="22"/>
    </row>
    <row r="96" spans="1:14" ht="20.100000000000001" customHeight="1" x14ac:dyDescent="0.25">
      <c r="A96" s="30" t="str">
        <f t="shared" si="8"/>
        <v/>
      </c>
      <c r="B96" s="41"/>
      <c r="C96" s="35" t="str">
        <f>IF(B96="","",IFERROR(VLOOKUP(B96,DB_Customers!$A:$B,2,0),"❌ Account Not Found"))</f>
        <v/>
      </c>
      <c r="D96" s="42" t="str">
        <f t="shared" ca="1" si="9"/>
        <v/>
      </c>
      <c r="E96" s="32"/>
      <c r="F96" s="31"/>
      <c r="G96" s="41"/>
      <c r="H96" s="56">
        <v>2.5</v>
      </c>
      <c r="I96" s="43" t="str">
        <f t="shared" si="10"/>
        <v/>
      </c>
      <c r="J96" s="43" t="str">
        <f t="shared" si="11"/>
        <v/>
      </c>
      <c r="K96" s="33" t="str">
        <f>IF(B96="","Pending",IF(M96="","⚠️ Enter Code",IF(IFERROR(VLOOKUP(L96,DB_Agents!$B:$F,4,0),"")=TEXT(M96,"0"),"Pending Approval","🔒 WRONG CODE")))</f>
        <v>Pending</v>
      </c>
      <c r="L96" s="30" t="s">
        <v>58</v>
      </c>
      <c r="M96" s="41"/>
      <c r="N96" s="57"/>
    </row>
    <row r="97" spans="1:14" ht="20.100000000000001" customHeight="1" x14ac:dyDescent="0.25">
      <c r="A97" s="30" t="str">
        <f t="shared" si="8"/>
        <v/>
      </c>
      <c r="B97" s="41"/>
      <c r="C97" s="35" t="str">
        <f>IF(B97="","",IFERROR(VLOOKUP(B97,DB_Customers!$A:$B,2,0),"❌ Account Not Found"))</f>
        <v/>
      </c>
      <c r="D97" s="42" t="str">
        <f t="shared" ca="1" si="9"/>
        <v/>
      </c>
      <c r="E97" s="32"/>
      <c r="F97" s="31"/>
      <c r="G97" s="41"/>
      <c r="H97" s="56">
        <v>2.5</v>
      </c>
      <c r="I97" s="43" t="str">
        <f t="shared" si="10"/>
        <v/>
      </c>
      <c r="J97" s="43" t="str">
        <f t="shared" si="11"/>
        <v/>
      </c>
      <c r="K97" s="33" t="str">
        <f>IF(B97="","Pending",IF(M97="","⚠️ Enter Code",IF(IFERROR(VLOOKUP(L97,DB_Agents!$B:$F,4,0),"")=TEXT(M97,"0"),"Pending Approval","🔒 WRONG CODE")))</f>
        <v>Pending</v>
      </c>
      <c r="L97" s="30" t="s">
        <v>58</v>
      </c>
      <c r="M97" s="41"/>
      <c r="N97" s="22"/>
    </row>
    <row r="98" spans="1:14" ht="20.100000000000001" customHeight="1" x14ac:dyDescent="0.25">
      <c r="A98" s="30" t="str">
        <f t="shared" si="8"/>
        <v/>
      </c>
      <c r="B98" s="41"/>
      <c r="C98" s="35" t="str">
        <f>IF(B98="","",IFERROR(VLOOKUP(B98,DB_Customers!$A:$B,2,0),"❌ Account Not Found"))</f>
        <v/>
      </c>
      <c r="D98" s="42" t="str">
        <f t="shared" ca="1" si="9"/>
        <v/>
      </c>
      <c r="E98" s="32"/>
      <c r="F98" s="31"/>
      <c r="G98" s="41"/>
      <c r="H98" s="56">
        <v>2.5</v>
      </c>
      <c r="I98" s="43" t="str">
        <f t="shared" si="10"/>
        <v/>
      </c>
      <c r="J98" s="43" t="str">
        <f t="shared" si="11"/>
        <v/>
      </c>
      <c r="K98" s="33" t="str">
        <f>IF(B98="","Pending",IF(M98="","⚠️ Enter Code",IF(IFERROR(VLOOKUP(L98,DB_Agents!$B:$F,4,0),"")=TEXT(M98,"0"),"Pending Approval","🔒 WRONG CODE")))</f>
        <v>Pending</v>
      </c>
      <c r="L98" s="30" t="s">
        <v>58</v>
      </c>
      <c r="M98" s="41"/>
      <c r="N98" s="57"/>
    </row>
    <row r="99" spans="1:14" ht="20.100000000000001" customHeight="1" x14ac:dyDescent="0.25">
      <c r="A99" s="30" t="str">
        <f t="shared" si="8"/>
        <v/>
      </c>
      <c r="B99" s="41"/>
      <c r="C99" s="35" t="str">
        <f>IF(B99="","",IFERROR(VLOOKUP(B99,DB_Customers!$A:$B,2,0),"❌ Account Not Found"))</f>
        <v/>
      </c>
      <c r="D99" s="42" t="str">
        <f t="shared" ca="1" si="9"/>
        <v/>
      </c>
      <c r="E99" s="32"/>
      <c r="F99" s="31"/>
      <c r="G99" s="41"/>
      <c r="H99" s="56">
        <v>2.5</v>
      </c>
      <c r="I99" s="43" t="str">
        <f t="shared" si="10"/>
        <v/>
      </c>
      <c r="J99" s="43" t="str">
        <f t="shared" si="11"/>
        <v/>
      </c>
      <c r="K99" s="33" t="str">
        <f>IF(B99="","Pending",IF(M99="","⚠️ Enter Code",IF(IFERROR(VLOOKUP(L99,DB_Agents!$B:$F,4,0),"")=TEXT(M99,"0"),"Pending Approval","🔒 WRONG CODE")))</f>
        <v>Pending</v>
      </c>
      <c r="L99" s="30" t="s">
        <v>58</v>
      </c>
      <c r="M99" s="41"/>
      <c r="N99" s="22"/>
    </row>
    <row r="100" spans="1:14" ht="20.100000000000001" customHeight="1" x14ac:dyDescent="0.25">
      <c r="A100" s="30" t="str">
        <f t="shared" si="8"/>
        <v/>
      </c>
      <c r="B100" s="41"/>
      <c r="C100" s="35" t="str">
        <f>IF(B100="","",IFERROR(VLOOKUP(B100,DB_Customers!$A:$B,2,0),"❌ Account Not Found"))</f>
        <v/>
      </c>
      <c r="D100" s="42" t="str">
        <f t="shared" ca="1" si="9"/>
        <v/>
      </c>
      <c r="E100" s="32"/>
      <c r="F100" s="31"/>
      <c r="G100" s="41"/>
      <c r="H100" s="56">
        <v>2.5</v>
      </c>
      <c r="I100" s="43" t="str">
        <f t="shared" si="10"/>
        <v/>
      </c>
      <c r="J100" s="43" t="str">
        <f t="shared" si="11"/>
        <v/>
      </c>
      <c r="K100" s="33" t="str">
        <f>IF(B100="","Pending",IF(M100="","⚠️ Enter Code",IF(IFERROR(VLOOKUP(L100,DB_Agents!$B:$F,4,0),"")=TEXT(M100,"0"),"Pending Approval","🔒 WRONG CODE")))</f>
        <v>Pending</v>
      </c>
      <c r="L100" s="30" t="s">
        <v>58</v>
      </c>
      <c r="M100" s="41"/>
      <c r="N100" s="57"/>
    </row>
    <row r="101" spans="1:14" ht="20.100000000000001" customHeight="1" x14ac:dyDescent="0.25">
      <c r="A101" s="30" t="str">
        <f t="shared" si="8"/>
        <v/>
      </c>
      <c r="B101" s="41"/>
      <c r="C101" s="35" t="str">
        <f>IF(B101="","",IFERROR(VLOOKUP(B101,DB_Customers!$A:$B,2,0),"❌ Account Not Found"))</f>
        <v/>
      </c>
      <c r="D101" s="42" t="str">
        <f t="shared" ca="1" si="9"/>
        <v/>
      </c>
      <c r="E101" s="32"/>
      <c r="F101" s="31"/>
      <c r="G101" s="41"/>
      <c r="H101" s="56">
        <v>2.5</v>
      </c>
      <c r="I101" s="43" t="str">
        <f t="shared" si="10"/>
        <v/>
      </c>
      <c r="J101" s="43" t="str">
        <f t="shared" si="11"/>
        <v/>
      </c>
      <c r="K101" s="33" t="str">
        <f>IF(B101="","Pending",IF(M101="","⚠️ Enter Code",IF(IFERROR(VLOOKUP(L101,DB_Agents!$B:$F,4,0),"")=TEXT(M101,"0"),"Pending Approval","🔒 WRONG CODE")))</f>
        <v>Pending</v>
      </c>
      <c r="L101" s="30" t="s">
        <v>58</v>
      </c>
      <c r="M101" s="41"/>
      <c r="N101" s="22"/>
    </row>
    <row r="102" spans="1:14" ht="20.100000000000001" customHeight="1" x14ac:dyDescent="0.25">
      <c r="A102" s="30" t="str">
        <f t="shared" si="8"/>
        <v/>
      </c>
      <c r="B102" s="41"/>
      <c r="C102" s="35" t="str">
        <f>IF(B102="","",IFERROR(VLOOKUP(B102,DB_Customers!$A:$B,2,0),"❌ Account Not Found"))</f>
        <v/>
      </c>
      <c r="D102" s="42" t="str">
        <f t="shared" ca="1" si="9"/>
        <v/>
      </c>
      <c r="E102" s="32"/>
      <c r="F102" s="31"/>
      <c r="G102" s="41"/>
      <c r="H102" s="56">
        <v>2.5</v>
      </c>
      <c r="I102" s="43" t="str">
        <f t="shared" si="10"/>
        <v/>
      </c>
      <c r="J102" s="43" t="str">
        <f t="shared" si="11"/>
        <v/>
      </c>
      <c r="K102" s="33" t="str">
        <f>IF(B102="","Pending",IF(M102="","⚠️ Enter Code",IF(IFERROR(VLOOKUP(L102,DB_Agents!$B:$F,4,0),"")=TEXT(M102,"0"),"Pending Approval","🔒 WRONG CODE")))</f>
        <v>Pending</v>
      </c>
      <c r="L102" s="30" t="s">
        <v>58</v>
      </c>
      <c r="M102" s="41"/>
      <c r="N102" s="57"/>
    </row>
    <row r="103" spans="1:14" ht="20.100000000000001" customHeight="1" x14ac:dyDescent="0.25">
      <c r="A103" s="30" t="str">
        <f t="shared" si="8"/>
        <v/>
      </c>
      <c r="B103" s="41"/>
      <c r="C103" s="35" t="str">
        <f>IF(B103="","",IFERROR(VLOOKUP(B103,DB_Customers!$A:$B,2,0),"❌ Account Not Found"))</f>
        <v/>
      </c>
      <c r="D103" s="42" t="str">
        <f t="shared" ca="1" si="9"/>
        <v/>
      </c>
      <c r="E103" s="32"/>
      <c r="F103" s="31"/>
      <c r="G103" s="41"/>
      <c r="H103" s="56">
        <v>2.5</v>
      </c>
      <c r="I103" s="43" t="str">
        <f t="shared" si="10"/>
        <v/>
      </c>
      <c r="J103" s="43" t="str">
        <f t="shared" si="11"/>
        <v/>
      </c>
      <c r="K103" s="33" t="str">
        <f>IF(B103="","Pending",IF(M103="","⚠️ Enter Code",IF(IFERROR(VLOOKUP(L103,DB_Agents!$B:$F,4,0),"")=TEXT(M103,"0"),"Pending Approval","🔒 WRONG CODE")))</f>
        <v>Pending</v>
      </c>
      <c r="L103" s="30" t="s">
        <v>58</v>
      </c>
      <c r="M103" s="41"/>
      <c r="N103" s="22"/>
    </row>
    <row r="104" spans="1:14" ht="20.100000000000001" customHeight="1" x14ac:dyDescent="0.25">
      <c r="A104" s="30" t="str">
        <f t="shared" si="8"/>
        <v/>
      </c>
      <c r="B104" s="41"/>
      <c r="C104" s="35" t="str">
        <f>IF(B104="","",IFERROR(VLOOKUP(B104,DB_Customers!$A:$B,2,0),"❌ Account Not Found"))</f>
        <v/>
      </c>
      <c r="D104" s="42" t="str">
        <f t="shared" ca="1" si="9"/>
        <v/>
      </c>
      <c r="E104" s="32"/>
      <c r="F104" s="31"/>
      <c r="G104" s="41"/>
      <c r="H104" s="56">
        <v>2.5</v>
      </c>
      <c r="I104" s="43" t="str">
        <f t="shared" si="10"/>
        <v/>
      </c>
      <c r="J104" s="43" t="str">
        <f t="shared" si="11"/>
        <v/>
      </c>
      <c r="K104" s="33" t="str">
        <f>IF(B104="","Pending",IF(M104="","⚠️ Enter Code",IF(IFERROR(VLOOKUP(L104,DB_Agents!$B:$F,4,0),"")=TEXT(M104,"0"),"Pending Approval","🔒 WRONG CODE")))</f>
        <v>Pending</v>
      </c>
      <c r="L104" s="30" t="s">
        <v>58</v>
      </c>
      <c r="M104" s="41"/>
      <c r="N104" s="57"/>
    </row>
    <row r="105" spans="1:14" ht="20.100000000000001" customHeight="1" x14ac:dyDescent="0.25">
      <c r="A105" s="30" t="str">
        <f t="shared" si="8"/>
        <v/>
      </c>
      <c r="B105" s="41"/>
      <c r="C105" s="35" t="str">
        <f>IF(B105="","",IFERROR(VLOOKUP(B105,DB_Customers!$A:$B,2,0),"❌ Account Not Found"))</f>
        <v/>
      </c>
      <c r="D105" s="42" t="str">
        <f t="shared" ca="1" si="9"/>
        <v/>
      </c>
      <c r="E105" s="32"/>
      <c r="F105" s="31"/>
      <c r="G105" s="41"/>
      <c r="H105" s="56">
        <v>2.5</v>
      </c>
      <c r="I105" s="43" t="str">
        <f t="shared" si="10"/>
        <v/>
      </c>
      <c r="J105" s="43" t="str">
        <f t="shared" si="11"/>
        <v/>
      </c>
      <c r="K105" s="33" t="str">
        <f>IF(B105="","Pending",IF(M105="","⚠️ Enter Code",IF(IFERROR(VLOOKUP(L105,DB_Agents!$B:$F,4,0),"")=TEXT(M105,"0"),"Pending Approval","🔒 WRONG CODE")))</f>
        <v>Pending</v>
      </c>
      <c r="L105" s="30" t="s">
        <v>58</v>
      </c>
      <c r="M105" s="41"/>
      <c r="N105" s="22"/>
    </row>
    <row r="106" spans="1:14" ht="20.100000000000001" customHeight="1" x14ac:dyDescent="0.25">
      <c r="A106" s="30" t="str">
        <f t="shared" si="8"/>
        <v/>
      </c>
      <c r="B106" s="41"/>
      <c r="C106" s="35" t="str">
        <f>IF(B106="","",IFERROR(VLOOKUP(B106,DB_Customers!$A:$B,2,0),"❌ Account Not Found"))</f>
        <v/>
      </c>
      <c r="D106" s="42" t="str">
        <f t="shared" ca="1" si="9"/>
        <v/>
      </c>
      <c r="E106" s="32"/>
      <c r="F106" s="31"/>
      <c r="G106" s="41"/>
      <c r="H106" s="56">
        <v>2.5</v>
      </c>
      <c r="I106" s="43" t="str">
        <f t="shared" si="10"/>
        <v/>
      </c>
      <c r="J106" s="43" t="str">
        <f t="shared" si="11"/>
        <v/>
      </c>
      <c r="K106" s="33" t="str">
        <f>IF(B106="","Pending",IF(M106="","⚠️ Enter Code",IF(IFERROR(VLOOKUP(L106,DB_Agents!$B:$F,4,0),"")=TEXT(M106,"0"),"Pending Approval","🔒 WRONG CODE")))</f>
        <v>Pending</v>
      </c>
      <c r="L106" s="30" t="s">
        <v>58</v>
      </c>
      <c r="M106" s="41"/>
      <c r="N106" s="57"/>
    </row>
    <row r="107" spans="1:14" ht="20.100000000000001" customHeight="1" x14ac:dyDescent="0.25">
      <c r="A107" s="30" t="str">
        <f t="shared" si="8"/>
        <v/>
      </c>
      <c r="B107" s="41"/>
      <c r="C107" s="35" t="str">
        <f>IF(B107="","",IFERROR(VLOOKUP(B107,DB_Customers!$A:$B,2,0),"❌ Account Not Found"))</f>
        <v/>
      </c>
      <c r="D107" s="42" t="str">
        <f t="shared" ca="1" si="9"/>
        <v/>
      </c>
      <c r="E107" s="32"/>
      <c r="F107" s="31"/>
      <c r="G107" s="41"/>
      <c r="H107" s="56">
        <v>2.5</v>
      </c>
      <c r="I107" s="43" t="str">
        <f t="shared" si="10"/>
        <v/>
      </c>
      <c r="J107" s="43" t="str">
        <f t="shared" si="11"/>
        <v/>
      </c>
      <c r="K107" s="33" t="str">
        <f>IF(B107="","Pending",IF(M107="","⚠️ Enter Code",IF(IFERROR(VLOOKUP(L107,DB_Agents!$B:$F,4,0),"")=TEXT(M107,"0"),"Pending Approval","🔒 WRONG CODE")))</f>
        <v>Pending</v>
      </c>
      <c r="L107" s="30" t="s">
        <v>58</v>
      </c>
      <c r="M107" s="41"/>
      <c r="N107" s="22"/>
    </row>
    <row r="108" spans="1:14" ht="20.100000000000001" customHeight="1" x14ac:dyDescent="0.25">
      <c r="A108" s="30" t="str">
        <f t="shared" si="8"/>
        <v/>
      </c>
      <c r="B108" s="41"/>
      <c r="C108" s="35" t="str">
        <f>IF(B108="","",IFERROR(VLOOKUP(B108,DB_Customers!$A:$B,2,0),"❌ Account Not Found"))</f>
        <v/>
      </c>
      <c r="D108" s="42" t="str">
        <f t="shared" ca="1" si="9"/>
        <v/>
      </c>
      <c r="E108" s="32"/>
      <c r="F108" s="31"/>
      <c r="G108" s="41"/>
      <c r="H108" s="56">
        <v>2.5</v>
      </c>
      <c r="I108" s="43" t="str">
        <f t="shared" si="10"/>
        <v/>
      </c>
      <c r="J108" s="43" t="str">
        <f t="shared" si="11"/>
        <v/>
      </c>
      <c r="K108" s="33" t="str">
        <f>IF(B108="","Pending",IF(M108="","⚠️ Enter Code",IF(IFERROR(VLOOKUP(L108,DB_Agents!$B:$F,4,0),"")=TEXT(M108,"0"),"Pending Approval","🔒 WRONG CODE")))</f>
        <v>Pending</v>
      </c>
      <c r="L108" s="30" t="s">
        <v>58</v>
      </c>
      <c r="M108" s="41"/>
      <c r="N108" s="57"/>
    </row>
    <row r="109" spans="1:14" ht="20.100000000000001" customHeight="1" x14ac:dyDescent="0.25">
      <c r="A109" s="30" t="str">
        <f t="shared" si="8"/>
        <v/>
      </c>
      <c r="B109" s="41"/>
      <c r="C109" s="35" t="str">
        <f>IF(B109="","",IFERROR(VLOOKUP(B109,DB_Customers!$A:$B,2,0),"❌ Account Not Found"))</f>
        <v/>
      </c>
      <c r="D109" s="42" t="str">
        <f t="shared" ca="1" si="9"/>
        <v/>
      </c>
      <c r="E109" s="32"/>
      <c r="F109" s="31"/>
      <c r="G109" s="41"/>
      <c r="H109" s="56">
        <v>2.5</v>
      </c>
      <c r="I109" s="43" t="str">
        <f t="shared" si="10"/>
        <v/>
      </c>
      <c r="J109" s="43" t="str">
        <f t="shared" si="11"/>
        <v/>
      </c>
      <c r="K109" s="33" t="str">
        <f>IF(B109="","Pending",IF(M109="","⚠️ Enter Code",IF(IFERROR(VLOOKUP(L109,DB_Agents!$B:$F,4,0),"")=TEXT(M109,"0"),"Pending Approval","🔒 WRONG CODE")))</f>
        <v>Pending</v>
      </c>
      <c r="L109" s="30" t="s">
        <v>58</v>
      </c>
      <c r="M109" s="41"/>
      <c r="N109" s="22"/>
    </row>
    <row r="110" spans="1:14" ht="20.100000000000001" customHeight="1" x14ac:dyDescent="0.25">
      <c r="A110" s="30" t="str">
        <f t="shared" ref="A110:A141" si="12">IF(B110="","",IF(C110="❌ Account Not Found","INVALID","LN"&amp;TEXT(D110,"YYYYMMDD")&amp;TEXT(ROW()-13,"0000")))</f>
        <v/>
      </c>
      <c r="B110" s="41"/>
      <c r="C110" s="35" t="str">
        <f>IF(B110="","",IFERROR(VLOOKUP(B110,DB_Customers!$A:$B,2,0),"❌ Account Not Found"))</f>
        <v/>
      </c>
      <c r="D110" s="42" t="str">
        <f t="shared" ref="D110:D141" ca="1" si="13">IF(B110="","",TODAY())</f>
        <v/>
      </c>
      <c r="E110" s="32"/>
      <c r="F110" s="31"/>
      <c r="G110" s="41"/>
      <c r="H110" s="56">
        <v>2.5</v>
      </c>
      <c r="I110" s="43" t="str">
        <f t="shared" ref="I110:I141" si="14">IF(E110="","",E110+(E110*H110/100*G110))</f>
        <v/>
      </c>
      <c r="J110" s="43" t="str">
        <f t="shared" ref="J110:J141" si="15">IFERROR(I110/G110,"")</f>
        <v/>
      </c>
      <c r="K110" s="33" t="str">
        <f>IF(B110="","Pending",IF(M110="","⚠️ Enter Code",IF(IFERROR(VLOOKUP(L110,DB_Agents!$B:$F,4,0),"")=TEXT(M110,"0"),"Pending Approval","🔒 WRONG CODE")))</f>
        <v>Pending</v>
      </c>
      <c r="L110" s="30" t="s">
        <v>58</v>
      </c>
      <c r="M110" s="41"/>
      <c r="N110" s="57"/>
    </row>
    <row r="111" spans="1:14" ht="20.100000000000001" customHeight="1" x14ac:dyDescent="0.25">
      <c r="A111" s="30" t="str">
        <f t="shared" si="12"/>
        <v/>
      </c>
      <c r="B111" s="41"/>
      <c r="C111" s="35" t="str">
        <f>IF(B111="","",IFERROR(VLOOKUP(B111,DB_Customers!$A:$B,2,0),"❌ Account Not Found"))</f>
        <v/>
      </c>
      <c r="D111" s="42" t="str">
        <f t="shared" ca="1" si="13"/>
        <v/>
      </c>
      <c r="E111" s="32"/>
      <c r="F111" s="31"/>
      <c r="G111" s="41"/>
      <c r="H111" s="56">
        <v>2.5</v>
      </c>
      <c r="I111" s="43" t="str">
        <f t="shared" si="14"/>
        <v/>
      </c>
      <c r="J111" s="43" t="str">
        <f t="shared" si="15"/>
        <v/>
      </c>
      <c r="K111" s="33" t="str">
        <f>IF(B111="","Pending",IF(M111="","⚠️ Enter Code",IF(IFERROR(VLOOKUP(L111,DB_Agents!$B:$F,4,0),"")=TEXT(M111,"0"),"Pending Approval","🔒 WRONG CODE")))</f>
        <v>Pending</v>
      </c>
      <c r="L111" s="30" t="s">
        <v>58</v>
      </c>
      <c r="M111" s="41"/>
      <c r="N111" s="22"/>
    </row>
    <row r="112" spans="1:14" ht="20.100000000000001" customHeight="1" x14ac:dyDescent="0.25">
      <c r="A112" s="30" t="str">
        <f t="shared" si="12"/>
        <v/>
      </c>
      <c r="B112" s="41"/>
      <c r="C112" s="35" t="str">
        <f>IF(B112="","",IFERROR(VLOOKUP(B112,DB_Customers!$A:$B,2,0),"❌ Account Not Found"))</f>
        <v/>
      </c>
      <c r="D112" s="42" t="str">
        <f t="shared" ca="1" si="13"/>
        <v/>
      </c>
      <c r="E112" s="32"/>
      <c r="F112" s="31"/>
      <c r="G112" s="41"/>
      <c r="H112" s="56">
        <v>2.5</v>
      </c>
      <c r="I112" s="43" t="str">
        <f t="shared" si="14"/>
        <v/>
      </c>
      <c r="J112" s="43" t="str">
        <f t="shared" si="15"/>
        <v/>
      </c>
      <c r="K112" s="33" t="str">
        <f>IF(B112="","Pending",IF(M112="","⚠️ Enter Code",IF(IFERROR(VLOOKUP(L112,DB_Agents!$B:$F,4,0),"")=TEXT(M112,"0"),"Pending Approval","🔒 WRONG CODE")))</f>
        <v>Pending</v>
      </c>
      <c r="L112" s="30" t="s">
        <v>58</v>
      </c>
      <c r="M112" s="41"/>
      <c r="N112" s="57"/>
    </row>
    <row r="113" spans="1:14" ht="20.100000000000001" customHeight="1" x14ac:dyDescent="0.25">
      <c r="A113" s="30" t="str">
        <f t="shared" si="12"/>
        <v/>
      </c>
      <c r="B113" s="41"/>
      <c r="C113" s="35" t="str">
        <f>IF(B113="","",IFERROR(VLOOKUP(B113,DB_Customers!$A:$B,2,0),"❌ Account Not Found"))</f>
        <v/>
      </c>
      <c r="D113" s="42" t="str">
        <f t="shared" ca="1" si="13"/>
        <v/>
      </c>
      <c r="E113" s="32"/>
      <c r="F113" s="31"/>
      <c r="G113" s="41"/>
      <c r="H113" s="56">
        <v>2.5</v>
      </c>
      <c r="I113" s="43" t="str">
        <f t="shared" si="14"/>
        <v/>
      </c>
      <c r="J113" s="43" t="str">
        <f t="shared" si="15"/>
        <v/>
      </c>
      <c r="K113" s="33" t="str">
        <f>IF(B113="","Pending",IF(M113="","⚠️ Enter Code",IF(IFERROR(VLOOKUP(L113,DB_Agents!$B:$F,4,0),"")=TEXT(M113,"0"),"Pending Approval","🔒 WRONG CODE")))</f>
        <v>Pending</v>
      </c>
      <c r="L113" s="30" t="s">
        <v>58</v>
      </c>
      <c r="M113" s="41"/>
      <c r="N113" s="22"/>
    </row>
    <row r="114" spans="1:14" ht="20.100000000000001" customHeight="1" x14ac:dyDescent="0.25">
      <c r="A114" s="30" t="str">
        <f t="shared" si="12"/>
        <v/>
      </c>
      <c r="B114" s="41"/>
      <c r="C114" s="35" t="str">
        <f>IF(B114="","",IFERROR(VLOOKUP(B114,DB_Customers!$A:$B,2,0),"❌ Account Not Found"))</f>
        <v/>
      </c>
      <c r="D114" s="42" t="str">
        <f t="shared" ca="1" si="13"/>
        <v/>
      </c>
      <c r="E114" s="32"/>
      <c r="F114" s="31"/>
      <c r="G114" s="41"/>
      <c r="H114" s="56">
        <v>2.5</v>
      </c>
      <c r="I114" s="43" t="str">
        <f t="shared" si="14"/>
        <v/>
      </c>
      <c r="J114" s="43" t="str">
        <f t="shared" si="15"/>
        <v/>
      </c>
      <c r="K114" s="33" t="str">
        <f>IF(B114="","Pending",IF(M114="","⚠️ Enter Code",IF(IFERROR(VLOOKUP(L114,DB_Agents!$B:$F,4,0),"")=TEXT(M114,"0"),"Pending Approval","🔒 WRONG CODE")))</f>
        <v>Pending</v>
      </c>
      <c r="L114" s="30" t="s">
        <v>58</v>
      </c>
      <c r="M114" s="41"/>
      <c r="N114" s="57"/>
    </row>
    <row r="115" spans="1:14" ht="20.100000000000001" customHeight="1" x14ac:dyDescent="0.25">
      <c r="A115" s="30" t="str">
        <f t="shared" si="12"/>
        <v/>
      </c>
      <c r="B115" s="41"/>
      <c r="C115" s="35" t="str">
        <f>IF(B115="","",IFERROR(VLOOKUP(B115,DB_Customers!$A:$B,2,0),"❌ Account Not Found"))</f>
        <v/>
      </c>
      <c r="D115" s="42" t="str">
        <f t="shared" ca="1" si="13"/>
        <v/>
      </c>
      <c r="E115" s="32"/>
      <c r="F115" s="31"/>
      <c r="G115" s="41"/>
      <c r="H115" s="56">
        <v>2.5</v>
      </c>
      <c r="I115" s="43" t="str">
        <f t="shared" si="14"/>
        <v/>
      </c>
      <c r="J115" s="43" t="str">
        <f t="shared" si="15"/>
        <v/>
      </c>
      <c r="K115" s="33" t="str">
        <f>IF(B115="","Pending",IF(M115="","⚠️ Enter Code",IF(IFERROR(VLOOKUP(L115,DB_Agents!$B:$F,4,0),"")=TEXT(M115,"0"),"Pending Approval","🔒 WRONG CODE")))</f>
        <v>Pending</v>
      </c>
      <c r="L115" s="30" t="s">
        <v>58</v>
      </c>
      <c r="M115" s="41"/>
      <c r="N115" s="22"/>
    </row>
    <row r="116" spans="1:14" ht="20.100000000000001" customHeight="1" x14ac:dyDescent="0.25">
      <c r="A116" s="30" t="str">
        <f t="shared" si="12"/>
        <v/>
      </c>
      <c r="B116" s="41"/>
      <c r="C116" s="35" t="str">
        <f>IF(B116="","",IFERROR(VLOOKUP(B116,DB_Customers!$A:$B,2,0),"❌ Account Not Found"))</f>
        <v/>
      </c>
      <c r="D116" s="42" t="str">
        <f t="shared" ca="1" si="13"/>
        <v/>
      </c>
      <c r="E116" s="32"/>
      <c r="F116" s="31"/>
      <c r="G116" s="41"/>
      <c r="H116" s="56">
        <v>2.5</v>
      </c>
      <c r="I116" s="43" t="str">
        <f t="shared" si="14"/>
        <v/>
      </c>
      <c r="J116" s="43" t="str">
        <f t="shared" si="15"/>
        <v/>
      </c>
      <c r="K116" s="33" t="str">
        <f>IF(B116="","Pending",IF(M116="","⚠️ Enter Code",IF(IFERROR(VLOOKUP(L116,DB_Agents!$B:$F,4,0),"")=TEXT(M116,"0"),"Pending Approval","🔒 WRONG CODE")))</f>
        <v>Pending</v>
      </c>
      <c r="L116" s="30" t="s">
        <v>58</v>
      </c>
      <c r="M116" s="41"/>
      <c r="N116" s="57"/>
    </row>
    <row r="117" spans="1:14" ht="20.100000000000001" customHeight="1" x14ac:dyDescent="0.25">
      <c r="A117" s="30" t="str">
        <f t="shared" si="12"/>
        <v/>
      </c>
      <c r="B117" s="41"/>
      <c r="C117" s="35" t="str">
        <f>IF(B117="","",IFERROR(VLOOKUP(B117,DB_Customers!$A:$B,2,0),"❌ Account Not Found"))</f>
        <v/>
      </c>
      <c r="D117" s="42" t="str">
        <f t="shared" ca="1" si="13"/>
        <v/>
      </c>
      <c r="E117" s="32"/>
      <c r="F117" s="31"/>
      <c r="G117" s="41"/>
      <c r="H117" s="56">
        <v>2.5</v>
      </c>
      <c r="I117" s="43" t="str">
        <f t="shared" si="14"/>
        <v/>
      </c>
      <c r="J117" s="43" t="str">
        <f t="shared" si="15"/>
        <v/>
      </c>
      <c r="K117" s="33" t="str">
        <f>IF(B117="","Pending",IF(M117="","⚠️ Enter Code",IF(IFERROR(VLOOKUP(L117,DB_Agents!$B:$F,4,0),"")=TEXT(M117,"0"),"Pending Approval","🔒 WRONG CODE")))</f>
        <v>Pending</v>
      </c>
      <c r="L117" s="30" t="s">
        <v>58</v>
      </c>
      <c r="M117" s="41"/>
      <c r="N117" s="22"/>
    </row>
    <row r="118" spans="1:14" ht="20.100000000000001" customHeight="1" x14ac:dyDescent="0.25">
      <c r="A118" s="30" t="str">
        <f t="shared" si="12"/>
        <v/>
      </c>
      <c r="B118" s="41"/>
      <c r="C118" s="35" t="str">
        <f>IF(B118="","",IFERROR(VLOOKUP(B118,DB_Customers!$A:$B,2,0),"❌ Account Not Found"))</f>
        <v/>
      </c>
      <c r="D118" s="42" t="str">
        <f t="shared" ca="1" si="13"/>
        <v/>
      </c>
      <c r="E118" s="32"/>
      <c r="F118" s="31"/>
      <c r="G118" s="41"/>
      <c r="H118" s="56">
        <v>2.5</v>
      </c>
      <c r="I118" s="43" t="str">
        <f t="shared" si="14"/>
        <v/>
      </c>
      <c r="J118" s="43" t="str">
        <f t="shared" si="15"/>
        <v/>
      </c>
      <c r="K118" s="33" t="str">
        <f>IF(B118="","Pending",IF(M118="","⚠️ Enter Code",IF(IFERROR(VLOOKUP(L118,DB_Agents!$B:$F,4,0),"")=TEXT(M118,"0"),"Pending Approval","🔒 WRONG CODE")))</f>
        <v>Pending</v>
      </c>
      <c r="L118" s="30" t="s">
        <v>58</v>
      </c>
      <c r="M118" s="41"/>
      <c r="N118" s="57"/>
    </row>
    <row r="119" spans="1:14" ht="20.100000000000001" customHeight="1" x14ac:dyDescent="0.25">
      <c r="A119" s="30" t="str">
        <f t="shared" si="12"/>
        <v/>
      </c>
      <c r="B119" s="41"/>
      <c r="C119" s="35" t="str">
        <f>IF(B119="","",IFERROR(VLOOKUP(B119,DB_Customers!$A:$B,2,0),"❌ Account Not Found"))</f>
        <v/>
      </c>
      <c r="D119" s="42" t="str">
        <f t="shared" ca="1" si="13"/>
        <v/>
      </c>
      <c r="E119" s="32"/>
      <c r="F119" s="31"/>
      <c r="G119" s="41"/>
      <c r="H119" s="56">
        <v>2.5</v>
      </c>
      <c r="I119" s="43" t="str">
        <f t="shared" si="14"/>
        <v/>
      </c>
      <c r="J119" s="43" t="str">
        <f t="shared" si="15"/>
        <v/>
      </c>
      <c r="K119" s="33" t="str">
        <f>IF(B119="","Pending",IF(M119="","⚠️ Enter Code",IF(IFERROR(VLOOKUP(L119,DB_Agents!$B:$F,4,0),"")=TEXT(M119,"0"),"Pending Approval","🔒 WRONG CODE")))</f>
        <v>Pending</v>
      </c>
      <c r="L119" s="30" t="s">
        <v>58</v>
      </c>
      <c r="M119" s="41"/>
      <c r="N119" s="22"/>
    </row>
    <row r="120" spans="1:14" ht="20.100000000000001" customHeight="1" x14ac:dyDescent="0.25">
      <c r="A120" s="30" t="str">
        <f t="shared" si="12"/>
        <v/>
      </c>
      <c r="B120" s="41"/>
      <c r="C120" s="35" t="str">
        <f>IF(B120="","",IFERROR(VLOOKUP(B120,DB_Customers!$A:$B,2,0),"❌ Account Not Found"))</f>
        <v/>
      </c>
      <c r="D120" s="42" t="str">
        <f t="shared" ca="1" si="13"/>
        <v/>
      </c>
      <c r="E120" s="32"/>
      <c r="F120" s="31"/>
      <c r="G120" s="41"/>
      <c r="H120" s="56">
        <v>2.5</v>
      </c>
      <c r="I120" s="43" t="str">
        <f t="shared" si="14"/>
        <v/>
      </c>
      <c r="J120" s="43" t="str">
        <f t="shared" si="15"/>
        <v/>
      </c>
      <c r="K120" s="33" t="str">
        <f>IF(B120="","Pending",IF(M120="","⚠️ Enter Code",IF(IFERROR(VLOOKUP(L120,DB_Agents!$B:$F,4,0),"")=TEXT(M120,"0"),"Pending Approval","🔒 WRONG CODE")))</f>
        <v>Pending</v>
      </c>
      <c r="L120" s="30" t="s">
        <v>58</v>
      </c>
      <c r="M120" s="41"/>
      <c r="N120" s="57"/>
    </row>
    <row r="121" spans="1:14" ht="20.100000000000001" customHeight="1" x14ac:dyDescent="0.25">
      <c r="A121" s="30" t="str">
        <f t="shared" si="12"/>
        <v/>
      </c>
      <c r="B121" s="41"/>
      <c r="C121" s="35" t="str">
        <f>IF(B121="","",IFERROR(VLOOKUP(B121,DB_Customers!$A:$B,2,0),"❌ Account Not Found"))</f>
        <v/>
      </c>
      <c r="D121" s="42" t="str">
        <f t="shared" ca="1" si="13"/>
        <v/>
      </c>
      <c r="E121" s="32"/>
      <c r="F121" s="31"/>
      <c r="G121" s="41"/>
      <c r="H121" s="56">
        <v>2.5</v>
      </c>
      <c r="I121" s="43" t="str">
        <f t="shared" si="14"/>
        <v/>
      </c>
      <c r="J121" s="43" t="str">
        <f t="shared" si="15"/>
        <v/>
      </c>
      <c r="K121" s="33" t="str">
        <f>IF(B121="","Pending",IF(M121="","⚠️ Enter Code",IF(IFERROR(VLOOKUP(L121,DB_Agents!$B:$F,4,0),"")=TEXT(M121,"0"),"Pending Approval","🔒 WRONG CODE")))</f>
        <v>Pending</v>
      </c>
      <c r="L121" s="30" t="s">
        <v>58</v>
      </c>
      <c r="M121" s="41"/>
      <c r="N121" s="22"/>
    </row>
    <row r="122" spans="1:14" ht="20.100000000000001" customHeight="1" x14ac:dyDescent="0.25">
      <c r="A122" s="30" t="str">
        <f t="shared" si="12"/>
        <v/>
      </c>
      <c r="B122" s="41"/>
      <c r="C122" s="35" t="str">
        <f>IF(B122="","",IFERROR(VLOOKUP(B122,DB_Customers!$A:$B,2,0),"❌ Account Not Found"))</f>
        <v/>
      </c>
      <c r="D122" s="42" t="str">
        <f t="shared" ca="1" si="13"/>
        <v/>
      </c>
      <c r="E122" s="32"/>
      <c r="F122" s="31"/>
      <c r="G122" s="41"/>
      <c r="H122" s="56">
        <v>2.5</v>
      </c>
      <c r="I122" s="43" t="str">
        <f t="shared" si="14"/>
        <v/>
      </c>
      <c r="J122" s="43" t="str">
        <f t="shared" si="15"/>
        <v/>
      </c>
      <c r="K122" s="33" t="str">
        <f>IF(B122="","Pending",IF(M122="","⚠️ Enter Code",IF(IFERROR(VLOOKUP(L122,DB_Agents!$B:$F,4,0),"")=TEXT(M122,"0"),"Pending Approval","🔒 WRONG CODE")))</f>
        <v>Pending</v>
      </c>
      <c r="L122" s="30" t="s">
        <v>58</v>
      </c>
      <c r="M122" s="41"/>
      <c r="N122" s="57"/>
    </row>
    <row r="123" spans="1:14" ht="20.100000000000001" customHeight="1" x14ac:dyDescent="0.25">
      <c r="A123" s="30" t="str">
        <f t="shared" si="12"/>
        <v/>
      </c>
      <c r="B123" s="41"/>
      <c r="C123" s="35" t="str">
        <f>IF(B123="","",IFERROR(VLOOKUP(B123,DB_Customers!$A:$B,2,0),"❌ Account Not Found"))</f>
        <v/>
      </c>
      <c r="D123" s="42" t="str">
        <f t="shared" ca="1" si="13"/>
        <v/>
      </c>
      <c r="E123" s="32"/>
      <c r="F123" s="31"/>
      <c r="G123" s="41"/>
      <c r="H123" s="56">
        <v>2.5</v>
      </c>
      <c r="I123" s="43" t="str">
        <f t="shared" si="14"/>
        <v/>
      </c>
      <c r="J123" s="43" t="str">
        <f t="shared" si="15"/>
        <v/>
      </c>
      <c r="K123" s="33" t="str">
        <f>IF(B123="","Pending",IF(M123="","⚠️ Enter Code",IF(IFERROR(VLOOKUP(L123,DB_Agents!$B:$F,4,0),"")=TEXT(M123,"0"),"Pending Approval","🔒 WRONG CODE")))</f>
        <v>Pending</v>
      </c>
      <c r="L123" s="30" t="s">
        <v>58</v>
      </c>
      <c r="M123" s="41"/>
      <c r="N123" s="22"/>
    </row>
    <row r="124" spans="1:14" ht="20.100000000000001" customHeight="1" x14ac:dyDescent="0.25">
      <c r="A124" s="30" t="str">
        <f t="shared" si="12"/>
        <v/>
      </c>
      <c r="B124" s="41"/>
      <c r="C124" s="35" t="str">
        <f>IF(B124="","",IFERROR(VLOOKUP(B124,DB_Customers!$A:$B,2,0),"❌ Account Not Found"))</f>
        <v/>
      </c>
      <c r="D124" s="42" t="str">
        <f t="shared" ca="1" si="13"/>
        <v/>
      </c>
      <c r="E124" s="32"/>
      <c r="F124" s="31"/>
      <c r="G124" s="41"/>
      <c r="H124" s="56">
        <v>2.5</v>
      </c>
      <c r="I124" s="43" t="str">
        <f t="shared" si="14"/>
        <v/>
      </c>
      <c r="J124" s="43" t="str">
        <f t="shared" si="15"/>
        <v/>
      </c>
      <c r="K124" s="33" t="str">
        <f>IF(B124="","Pending",IF(M124="","⚠️ Enter Code",IF(IFERROR(VLOOKUP(L124,DB_Agents!$B:$F,4,0),"")=TEXT(M124,"0"),"Pending Approval","🔒 WRONG CODE")))</f>
        <v>Pending</v>
      </c>
      <c r="L124" s="30" t="s">
        <v>58</v>
      </c>
      <c r="M124" s="41"/>
      <c r="N124" s="57"/>
    </row>
    <row r="125" spans="1:14" ht="20.100000000000001" customHeight="1" x14ac:dyDescent="0.25">
      <c r="A125" s="30" t="str">
        <f t="shared" si="12"/>
        <v/>
      </c>
      <c r="B125" s="41"/>
      <c r="C125" s="35" t="str">
        <f>IF(B125="","",IFERROR(VLOOKUP(B125,DB_Customers!$A:$B,2,0),"❌ Account Not Found"))</f>
        <v/>
      </c>
      <c r="D125" s="42" t="str">
        <f t="shared" ca="1" si="13"/>
        <v/>
      </c>
      <c r="E125" s="32"/>
      <c r="F125" s="31"/>
      <c r="G125" s="41"/>
      <c r="H125" s="56">
        <v>2.5</v>
      </c>
      <c r="I125" s="43" t="str">
        <f t="shared" si="14"/>
        <v/>
      </c>
      <c r="J125" s="43" t="str">
        <f t="shared" si="15"/>
        <v/>
      </c>
      <c r="K125" s="33" t="str">
        <f>IF(B125="","Pending",IF(M125="","⚠️ Enter Code",IF(IFERROR(VLOOKUP(L125,DB_Agents!$B:$F,4,0),"")=TEXT(M125,"0"),"Pending Approval","🔒 WRONG CODE")))</f>
        <v>Pending</v>
      </c>
      <c r="L125" s="30" t="s">
        <v>58</v>
      </c>
      <c r="M125" s="41"/>
      <c r="N125" s="22"/>
    </row>
    <row r="126" spans="1:14" ht="20.100000000000001" customHeight="1" x14ac:dyDescent="0.25">
      <c r="A126" s="30" t="str">
        <f t="shared" si="12"/>
        <v/>
      </c>
      <c r="B126" s="41"/>
      <c r="C126" s="35" t="str">
        <f>IF(B126="","",IFERROR(VLOOKUP(B126,DB_Customers!$A:$B,2,0),"❌ Account Not Found"))</f>
        <v/>
      </c>
      <c r="D126" s="42" t="str">
        <f t="shared" ca="1" si="13"/>
        <v/>
      </c>
      <c r="E126" s="32"/>
      <c r="F126" s="31"/>
      <c r="G126" s="41"/>
      <c r="H126" s="56">
        <v>2.5</v>
      </c>
      <c r="I126" s="43" t="str">
        <f t="shared" si="14"/>
        <v/>
      </c>
      <c r="J126" s="43" t="str">
        <f t="shared" si="15"/>
        <v/>
      </c>
      <c r="K126" s="33" t="str">
        <f>IF(B126="","Pending",IF(M126="","⚠️ Enter Code",IF(IFERROR(VLOOKUP(L126,DB_Agents!$B:$F,4,0),"")=TEXT(M126,"0"),"Pending Approval","🔒 WRONG CODE")))</f>
        <v>Pending</v>
      </c>
      <c r="L126" s="30" t="s">
        <v>58</v>
      </c>
      <c r="M126" s="41"/>
      <c r="N126" s="57"/>
    </row>
    <row r="127" spans="1:14" ht="20.100000000000001" customHeight="1" x14ac:dyDescent="0.25">
      <c r="A127" s="30" t="str">
        <f t="shared" si="12"/>
        <v/>
      </c>
      <c r="B127" s="41"/>
      <c r="C127" s="35" t="str">
        <f>IF(B127="","",IFERROR(VLOOKUP(B127,DB_Customers!$A:$B,2,0),"❌ Account Not Found"))</f>
        <v/>
      </c>
      <c r="D127" s="42" t="str">
        <f t="shared" ca="1" si="13"/>
        <v/>
      </c>
      <c r="E127" s="32"/>
      <c r="F127" s="31"/>
      <c r="G127" s="41"/>
      <c r="H127" s="56">
        <v>2.5</v>
      </c>
      <c r="I127" s="43" t="str">
        <f t="shared" si="14"/>
        <v/>
      </c>
      <c r="J127" s="43" t="str">
        <f t="shared" si="15"/>
        <v/>
      </c>
      <c r="K127" s="33" t="str">
        <f>IF(B127="","Pending",IF(M127="","⚠️ Enter Code",IF(IFERROR(VLOOKUP(L127,DB_Agents!$B:$F,4,0),"")=TEXT(M127,"0"),"Pending Approval","🔒 WRONG CODE")))</f>
        <v>Pending</v>
      </c>
      <c r="L127" s="30" t="s">
        <v>58</v>
      </c>
      <c r="M127" s="41"/>
      <c r="N127" s="22"/>
    </row>
    <row r="128" spans="1:14" ht="20.100000000000001" customHeight="1" x14ac:dyDescent="0.25">
      <c r="A128" s="30" t="str">
        <f t="shared" si="12"/>
        <v/>
      </c>
      <c r="B128" s="41"/>
      <c r="C128" s="35" t="str">
        <f>IF(B128="","",IFERROR(VLOOKUP(B128,DB_Customers!$A:$B,2,0),"❌ Account Not Found"))</f>
        <v/>
      </c>
      <c r="D128" s="42" t="str">
        <f t="shared" ca="1" si="13"/>
        <v/>
      </c>
      <c r="E128" s="32"/>
      <c r="F128" s="31"/>
      <c r="G128" s="41"/>
      <c r="H128" s="56">
        <v>2.5</v>
      </c>
      <c r="I128" s="43" t="str">
        <f t="shared" si="14"/>
        <v/>
      </c>
      <c r="J128" s="43" t="str">
        <f t="shared" si="15"/>
        <v/>
      </c>
      <c r="K128" s="33" t="str">
        <f>IF(B128="","Pending",IF(M128="","⚠️ Enter Code",IF(IFERROR(VLOOKUP(L128,DB_Agents!$B:$F,4,0),"")=TEXT(M128,"0"),"Pending Approval","🔒 WRONG CODE")))</f>
        <v>Pending</v>
      </c>
      <c r="L128" s="30" t="s">
        <v>58</v>
      </c>
      <c r="M128" s="41"/>
      <c r="N128" s="57"/>
    </row>
    <row r="129" spans="1:14" ht="20.100000000000001" customHeight="1" x14ac:dyDescent="0.25">
      <c r="A129" s="30" t="str">
        <f t="shared" si="12"/>
        <v/>
      </c>
      <c r="B129" s="41"/>
      <c r="C129" s="35" t="str">
        <f>IF(B129="","",IFERROR(VLOOKUP(B129,DB_Customers!$A:$B,2,0),"❌ Account Not Found"))</f>
        <v/>
      </c>
      <c r="D129" s="42" t="str">
        <f t="shared" ca="1" si="13"/>
        <v/>
      </c>
      <c r="E129" s="32"/>
      <c r="F129" s="31"/>
      <c r="G129" s="41"/>
      <c r="H129" s="56">
        <v>2.5</v>
      </c>
      <c r="I129" s="43" t="str">
        <f t="shared" si="14"/>
        <v/>
      </c>
      <c r="J129" s="43" t="str">
        <f t="shared" si="15"/>
        <v/>
      </c>
      <c r="K129" s="33" t="str">
        <f>IF(B129="","Pending",IF(M129="","⚠️ Enter Code",IF(IFERROR(VLOOKUP(L129,DB_Agents!$B:$F,4,0),"")=TEXT(M129,"0"),"Pending Approval","🔒 WRONG CODE")))</f>
        <v>Pending</v>
      </c>
      <c r="L129" s="30" t="s">
        <v>58</v>
      </c>
      <c r="M129" s="41"/>
      <c r="N129" s="22"/>
    </row>
    <row r="130" spans="1:14" ht="20.100000000000001" customHeight="1" x14ac:dyDescent="0.25">
      <c r="A130" s="30" t="str">
        <f t="shared" si="12"/>
        <v/>
      </c>
      <c r="B130" s="41"/>
      <c r="C130" s="35" t="str">
        <f>IF(B130="","",IFERROR(VLOOKUP(B130,DB_Customers!$A:$B,2,0),"❌ Account Not Found"))</f>
        <v/>
      </c>
      <c r="D130" s="42" t="str">
        <f t="shared" ca="1" si="13"/>
        <v/>
      </c>
      <c r="E130" s="32"/>
      <c r="F130" s="31"/>
      <c r="G130" s="41"/>
      <c r="H130" s="56">
        <v>2.5</v>
      </c>
      <c r="I130" s="43" t="str">
        <f t="shared" si="14"/>
        <v/>
      </c>
      <c r="J130" s="43" t="str">
        <f t="shared" si="15"/>
        <v/>
      </c>
      <c r="K130" s="33" t="str">
        <f>IF(B130="","Pending",IF(M130="","⚠️ Enter Code",IF(IFERROR(VLOOKUP(L130,DB_Agents!$B:$F,4,0),"")=TEXT(M130,"0"),"Pending Approval","🔒 WRONG CODE")))</f>
        <v>Pending</v>
      </c>
      <c r="L130" s="30" t="s">
        <v>58</v>
      </c>
      <c r="M130" s="41"/>
      <c r="N130" s="57"/>
    </row>
    <row r="131" spans="1:14" ht="20.100000000000001" customHeight="1" x14ac:dyDescent="0.25">
      <c r="A131" s="30" t="str">
        <f t="shared" si="12"/>
        <v/>
      </c>
      <c r="B131" s="41"/>
      <c r="C131" s="35" t="str">
        <f>IF(B131="","",IFERROR(VLOOKUP(B131,DB_Customers!$A:$B,2,0),"❌ Account Not Found"))</f>
        <v/>
      </c>
      <c r="D131" s="42" t="str">
        <f t="shared" ca="1" si="13"/>
        <v/>
      </c>
      <c r="E131" s="32"/>
      <c r="F131" s="31"/>
      <c r="G131" s="41"/>
      <c r="H131" s="56">
        <v>2.5</v>
      </c>
      <c r="I131" s="43" t="str">
        <f t="shared" si="14"/>
        <v/>
      </c>
      <c r="J131" s="43" t="str">
        <f t="shared" si="15"/>
        <v/>
      </c>
      <c r="K131" s="33" t="str">
        <f>IF(B131="","Pending",IF(M131="","⚠️ Enter Code",IF(IFERROR(VLOOKUP(L131,DB_Agents!$B:$F,4,0),"")=TEXT(M131,"0"),"Pending Approval","🔒 WRONG CODE")))</f>
        <v>Pending</v>
      </c>
      <c r="L131" s="30" t="s">
        <v>58</v>
      </c>
      <c r="M131" s="41"/>
      <c r="N131" s="22"/>
    </row>
    <row r="132" spans="1:14" ht="20.100000000000001" customHeight="1" x14ac:dyDescent="0.25">
      <c r="A132" s="30" t="str">
        <f t="shared" si="12"/>
        <v/>
      </c>
      <c r="B132" s="41"/>
      <c r="C132" s="35" t="str">
        <f>IF(B132="","",IFERROR(VLOOKUP(B132,DB_Customers!$A:$B,2,0),"❌ Account Not Found"))</f>
        <v/>
      </c>
      <c r="D132" s="42" t="str">
        <f t="shared" ca="1" si="13"/>
        <v/>
      </c>
      <c r="E132" s="32"/>
      <c r="F132" s="31"/>
      <c r="G132" s="41"/>
      <c r="H132" s="56">
        <v>2.5</v>
      </c>
      <c r="I132" s="43" t="str">
        <f t="shared" si="14"/>
        <v/>
      </c>
      <c r="J132" s="43" t="str">
        <f t="shared" si="15"/>
        <v/>
      </c>
      <c r="K132" s="33" t="str">
        <f>IF(B132="","Pending",IF(M132="","⚠️ Enter Code",IF(IFERROR(VLOOKUP(L132,DB_Agents!$B:$F,4,0),"")=TEXT(M132,"0"),"Pending Approval","🔒 WRONG CODE")))</f>
        <v>Pending</v>
      </c>
      <c r="L132" s="30" t="s">
        <v>58</v>
      </c>
      <c r="M132" s="41"/>
      <c r="N132" s="57"/>
    </row>
    <row r="133" spans="1:14" ht="20.100000000000001" customHeight="1" x14ac:dyDescent="0.25">
      <c r="A133" s="30" t="str">
        <f t="shared" si="12"/>
        <v/>
      </c>
      <c r="B133" s="41"/>
      <c r="C133" s="35" t="str">
        <f>IF(B133="","",IFERROR(VLOOKUP(B133,DB_Customers!$A:$B,2,0),"❌ Account Not Found"))</f>
        <v/>
      </c>
      <c r="D133" s="42" t="str">
        <f t="shared" ca="1" si="13"/>
        <v/>
      </c>
      <c r="E133" s="32"/>
      <c r="F133" s="31"/>
      <c r="G133" s="41"/>
      <c r="H133" s="56">
        <v>2.5</v>
      </c>
      <c r="I133" s="43" t="str">
        <f t="shared" si="14"/>
        <v/>
      </c>
      <c r="J133" s="43" t="str">
        <f t="shared" si="15"/>
        <v/>
      </c>
      <c r="K133" s="33" t="str">
        <f>IF(B133="","Pending",IF(M133="","⚠️ Enter Code",IF(IFERROR(VLOOKUP(L133,DB_Agents!$B:$F,4,0),"")=TEXT(M133,"0"),"Pending Approval","🔒 WRONG CODE")))</f>
        <v>Pending</v>
      </c>
      <c r="L133" s="30" t="s">
        <v>58</v>
      </c>
      <c r="M133" s="41"/>
      <c r="N133" s="22"/>
    </row>
    <row r="134" spans="1:14" ht="20.100000000000001" customHeight="1" x14ac:dyDescent="0.25">
      <c r="A134" s="30" t="str">
        <f t="shared" si="12"/>
        <v/>
      </c>
      <c r="B134" s="41"/>
      <c r="C134" s="35" t="str">
        <f>IF(B134="","",IFERROR(VLOOKUP(B134,DB_Customers!$A:$B,2,0),"❌ Account Not Found"))</f>
        <v/>
      </c>
      <c r="D134" s="42" t="str">
        <f t="shared" ca="1" si="13"/>
        <v/>
      </c>
      <c r="E134" s="32"/>
      <c r="F134" s="31"/>
      <c r="G134" s="41"/>
      <c r="H134" s="56">
        <v>2.5</v>
      </c>
      <c r="I134" s="43" t="str">
        <f t="shared" si="14"/>
        <v/>
      </c>
      <c r="J134" s="43" t="str">
        <f t="shared" si="15"/>
        <v/>
      </c>
      <c r="K134" s="33" t="str">
        <f>IF(B134="","Pending",IF(M134="","⚠️ Enter Code",IF(IFERROR(VLOOKUP(L134,DB_Agents!$B:$F,4,0),"")=TEXT(M134,"0"),"Pending Approval","🔒 WRONG CODE")))</f>
        <v>Pending</v>
      </c>
      <c r="L134" s="30" t="s">
        <v>58</v>
      </c>
      <c r="M134" s="41"/>
      <c r="N134" s="57"/>
    </row>
    <row r="135" spans="1:14" ht="20.100000000000001" customHeight="1" x14ac:dyDescent="0.25">
      <c r="A135" s="30" t="str">
        <f t="shared" si="12"/>
        <v/>
      </c>
      <c r="B135" s="41"/>
      <c r="C135" s="35" t="str">
        <f>IF(B135="","",IFERROR(VLOOKUP(B135,DB_Customers!$A:$B,2,0),"❌ Account Not Found"))</f>
        <v/>
      </c>
      <c r="D135" s="42" t="str">
        <f t="shared" ca="1" si="13"/>
        <v/>
      </c>
      <c r="E135" s="32"/>
      <c r="F135" s="31"/>
      <c r="G135" s="41"/>
      <c r="H135" s="56">
        <v>2.5</v>
      </c>
      <c r="I135" s="43" t="str">
        <f t="shared" si="14"/>
        <v/>
      </c>
      <c r="J135" s="43" t="str">
        <f t="shared" si="15"/>
        <v/>
      </c>
      <c r="K135" s="33" t="str">
        <f>IF(B135="","Pending",IF(M135="","⚠️ Enter Code",IF(IFERROR(VLOOKUP(L135,DB_Agents!$B:$F,4,0),"")=TEXT(M135,"0"),"Pending Approval","🔒 WRONG CODE")))</f>
        <v>Pending</v>
      </c>
      <c r="L135" s="30" t="s">
        <v>58</v>
      </c>
      <c r="M135" s="41"/>
      <c r="N135" s="22"/>
    </row>
    <row r="136" spans="1:14" ht="20.100000000000001" customHeight="1" x14ac:dyDescent="0.25">
      <c r="A136" s="30" t="str">
        <f t="shared" si="12"/>
        <v/>
      </c>
      <c r="B136" s="41"/>
      <c r="C136" s="35" t="str">
        <f>IF(B136="","",IFERROR(VLOOKUP(B136,DB_Customers!$A:$B,2,0),"❌ Account Not Found"))</f>
        <v/>
      </c>
      <c r="D136" s="42" t="str">
        <f t="shared" ca="1" si="13"/>
        <v/>
      </c>
      <c r="E136" s="32"/>
      <c r="F136" s="31"/>
      <c r="G136" s="41"/>
      <c r="H136" s="56">
        <v>2.5</v>
      </c>
      <c r="I136" s="43" t="str">
        <f t="shared" si="14"/>
        <v/>
      </c>
      <c r="J136" s="43" t="str">
        <f t="shared" si="15"/>
        <v/>
      </c>
      <c r="K136" s="33" t="str">
        <f>IF(B136="","Pending",IF(M136="","⚠️ Enter Code",IF(IFERROR(VLOOKUP(L136,DB_Agents!$B:$F,4,0),"")=TEXT(M136,"0"),"Pending Approval","🔒 WRONG CODE")))</f>
        <v>Pending</v>
      </c>
      <c r="L136" s="30" t="s">
        <v>58</v>
      </c>
      <c r="M136" s="41"/>
      <c r="N136" s="57"/>
    </row>
    <row r="137" spans="1:14" ht="20.100000000000001" customHeight="1" x14ac:dyDescent="0.25">
      <c r="A137" s="30" t="str">
        <f t="shared" si="12"/>
        <v/>
      </c>
      <c r="B137" s="41"/>
      <c r="C137" s="35" t="str">
        <f>IF(B137="","",IFERROR(VLOOKUP(B137,DB_Customers!$A:$B,2,0),"❌ Account Not Found"))</f>
        <v/>
      </c>
      <c r="D137" s="42" t="str">
        <f t="shared" ca="1" si="13"/>
        <v/>
      </c>
      <c r="E137" s="32"/>
      <c r="F137" s="31"/>
      <c r="G137" s="41"/>
      <c r="H137" s="56">
        <v>2.5</v>
      </c>
      <c r="I137" s="43" t="str">
        <f t="shared" si="14"/>
        <v/>
      </c>
      <c r="J137" s="43" t="str">
        <f t="shared" si="15"/>
        <v/>
      </c>
      <c r="K137" s="33" t="str">
        <f>IF(B137="","Pending",IF(M137="","⚠️ Enter Code",IF(IFERROR(VLOOKUP(L137,DB_Agents!$B:$F,4,0),"")=TEXT(M137,"0"),"Pending Approval","🔒 WRONG CODE")))</f>
        <v>Pending</v>
      </c>
      <c r="L137" s="30" t="s">
        <v>58</v>
      </c>
      <c r="M137" s="41"/>
      <c r="N137" s="22"/>
    </row>
    <row r="138" spans="1:14" ht="20.100000000000001" customHeight="1" x14ac:dyDescent="0.25">
      <c r="A138" s="30" t="str">
        <f t="shared" si="12"/>
        <v/>
      </c>
      <c r="B138" s="41"/>
      <c r="C138" s="35" t="str">
        <f>IF(B138="","",IFERROR(VLOOKUP(B138,DB_Customers!$A:$B,2,0),"❌ Account Not Found"))</f>
        <v/>
      </c>
      <c r="D138" s="42" t="str">
        <f t="shared" ca="1" si="13"/>
        <v/>
      </c>
      <c r="E138" s="32"/>
      <c r="F138" s="31"/>
      <c r="G138" s="41"/>
      <c r="H138" s="56">
        <v>2.5</v>
      </c>
      <c r="I138" s="43" t="str">
        <f t="shared" si="14"/>
        <v/>
      </c>
      <c r="J138" s="43" t="str">
        <f t="shared" si="15"/>
        <v/>
      </c>
      <c r="K138" s="33" t="str">
        <f>IF(B138="","Pending",IF(M138="","⚠️ Enter Code",IF(IFERROR(VLOOKUP(L138,DB_Agents!$B:$F,4,0),"")=TEXT(M138,"0"),"Pending Approval","🔒 WRONG CODE")))</f>
        <v>Pending</v>
      </c>
      <c r="L138" s="30" t="s">
        <v>58</v>
      </c>
      <c r="M138" s="41"/>
      <c r="N138" s="57"/>
    </row>
    <row r="139" spans="1:14" ht="20.100000000000001" customHeight="1" x14ac:dyDescent="0.25">
      <c r="A139" s="30" t="str">
        <f t="shared" si="12"/>
        <v/>
      </c>
      <c r="B139" s="41"/>
      <c r="C139" s="35" t="str">
        <f>IF(B139="","",IFERROR(VLOOKUP(B139,DB_Customers!$A:$B,2,0),"❌ Account Not Found"))</f>
        <v/>
      </c>
      <c r="D139" s="42" t="str">
        <f t="shared" ca="1" si="13"/>
        <v/>
      </c>
      <c r="E139" s="32"/>
      <c r="F139" s="31"/>
      <c r="G139" s="41"/>
      <c r="H139" s="56">
        <v>2.5</v>
      </c>
      <c r="I139" s="43" t="str">
        <f t="shared" si="14"/>
        <v/>
      </c>
      <c r="J139" s="43" t="str">
        <f t="shared" si="15"/>
        <v/>
      </c>
      <c r="K139" s="33" t="str">
        <f>IF(B139="","Pending",IF(M139="","⚠️ Enter Code",IF(IFERROR(VLOOKUP(L139,DB_Agents!$B:$F,4,0),"")=TEXT(M139,"0"),"Pending Approval","🔒 WRONG CODE")))</f>
        <v>Pending</v>
      </c>
      <c r="L139" s="30" t="s">
        <v>58</v>
      </c>
      <c r="M139" s="41"/>
      <c r="N139" s="22"/>
    </row>
    <row r="140" spans="1:14" ht="20.100000000000001" customHeight="1" x14ac:dyDescent="0.25">
      <c r="A140" s="30" t="str">
        <f t="shared" si="12"/>
        <v/>
      </c>
      <c r="B140" s="41"/>
      <c r="C140" s="35" t="str">
        <f>IF(B140="","",IFERROR(VLOOKUP(B140,DB_Customers!$A:$B,2,0),"❌ Account Not Found"))</f>
        <v/>
      </c>
      <c r="D140" s="42" t="str">
        <f t="shared" ca="1" si="13"/>
        <v/>
      </c>
      <c r="E140" s="32"/>
      <c r="F140" s="31"/>
      <c r="G140" s="41"/>
      <c r="H140" s="56">
        <v>2.5</v>
      </c>
      <c r="I140" s="43" t="str">
        <f t="shared" si="14"/>
        <v/>
      </c>
      <c r="J140" s="43" t="str">
        <f t="shared" si="15"/>
        <v/>
      </c>
      <c r="K140" s="33" t="str">
        <f>IF(B140="","Pending",IF(M140="","⚠️ Enter Code",IF(IFERROR(VLOOKUP(L140,DB_Agents!$B:$F,4,0),"")=TEXT(M140,"0"),"Pending Approval","🔒 WRONG CODE")))</f>
        <v>Pending</v>
      </c>
      <c r="L140" s="30" t="s">
        <v>58</v>
      </c>
      <c r="M140" s="41"/>
      <c r="N140" s="57"/>
    </row>
    <row r="141" spans="1:14" ht="20.100000000000001" customHeight="1" x14ac:dyDescent="0.25">
      <c r="A141" s="30" t="str">
        <f t="shared" si="12"/>
        <v/>
      </c>
      <c r="B141" s="41"/>
      <c r="C141" s="35" t="str">
        <f>IF(B141="","",IFERROR(VLOOKUP(B141,DB_Customers!$A:$B,2,0),"❌ Account Not Found"))</f>
        <v/>
      </c>
      <c r="D141" s="42" t="str">
        <f t="shared" ca="1" si="13"/>
        <v/>
      </c>
      <c r="E141" s="32"/>
      <c r="F141" s="31"/>
      <c r="G141" s="41"/>
      <c r="H141" s="56">
        <v>2.5</v>
      </c>
      <c r="I141" s="43" t="str">
        <f t="shared" si="14"/>
        <v/>
      </c>
      <c r="J141" s="43" t="str">
        <f t="shared" si="15"/>
        <v/>
      </c>
      <c r="K141" s="33" t="str">
        <f>IF(B141="","Pending",IF(M141="","⚠️ Enter Code",IF(IFERROR(VLOOKUP(L141,DB_Agents!$B:$F,4,0),"")=TEXT(M141,"0"),"Pending Approval","🔒 WRONG CODE")))</f>
        <v>Pending</v>
      </c>
      <c r="L141" s="30" t="s">
        <v>58</v>
      </c>
      <c r="M141" s="41"/>
      <c r="N141" s="22"/>
    </row>
    <row r="142" spans="1:14" ht="20.100000000000001" customHeight="1" x14ac:dyDescent="0.25">
      <c r="A142" s="30" t="str">
        <f t="shared" ref="A142:A173" si="16">IF(B142="","",IF(C142="❌ Account Not Found","INVALID","LN"&amp;TEXT(D142,"YYYYMMDD")&amp;TEXT(ROW()-13,"0000")))</f>
        <v/>
      </c>
      <c r="B142" s="41"/>
      <c r="C142" s="35" t="str">
        <f>IF(B142="","",IFERROR(VLOOKUP(B142,DB_Customers!$A:$B,2,0),"❌ Account Not Found"))</f>
        <v/>
      </c>
      <c r="D142" s="42" t="str">
        <f t="shared" ref="D142:D173" ca="1" si="17">IF(B142="","",TODAY())</f>
        <v/>
      </c>
      <c r="E142" s="32"/>
      <c r="F142" s="31"/>
      <c r="G142" s="41"/>
      <c r="H142" s="56">
        <v>2.5</v>
      </c>
      <c r="I142" s="43" t="str">
        <f t="shared" ref="I142:I173" si="18">IF(E142="","",E142+(E142*H142/100*G142))</f>
        <v/>
      </c>
      <c r="J142" s="43" t="str">
        <f t="shared" ref="J142:J173" si="19">IFERROR(I142/G142,"")</f>
        <v/>
      </c>
      <c r="K142" s="33" t="str">
        <f>IF(B142="","Pending",IF(M142="","⚠️ Enter Code",IF(IFERROR(VLOOKUP(L142,DB_Agents!$B:$F,4,0),"")=TEXT(M142,"0"),"Pending Approval","🔒 WRONG CODE")))</f>
        <v>Pending</v>
      </c>
      <c r="L142" s="30" t="s">
        <v>58</v>
      </c>
      <c r="M142" s="41"/>
      <c r="N142" s="57"/>
    </row>
    <row r="143" spans="1:14" ht="20.100000000000001" customHeight="1" x14ac:dyDescent="0.25">
      <c r="A143" s="30" t="str">
        <f t="shared" si="16"/>
        <v/>
      </c>
      <c r="B143" s="41"/>
      <c r="C143" s="35" t="str">
        <f>IF(B143="","",IFERROR(VLOOKUP(B143,DB_Customers!$A:$B,2,0),"❌ Account Not Found"))</f>
        <v/>
      </c>
      <c r="D143" s="42" t="str">
        <f t="shared" ca="1" si="17"/>
        <v/>
      </c>
      <c r="E143" s="32"/>
      <c r="F143" s="31"/>
      <c r="G143" s="41"/>
      <c r="H143" s="56">
        <v>2.5</v>
      </c>
      <c r="I143" s="43" t="str">
        <f t="shared" si="18"/>
        <v/>
      </c>
      <c r="J143" s="43" t="str">
        <f t="shared" si="19"/>
        <v/>
      </c>
      <c r="K143" s="33" t="str">
        <f>IF(B143="","Pending",IF(M143="","⚠️ Enter Code",IF(IFERROR(VLOOKUP(L143,DB_Agents!$B:$F,4,0),"")=TEXT(M143,"0"),"Pending Approval","🔒 WRONG CODE")))</f>
        <v>Pending</v>
      </c>
      <c r="L143" s="30" t="s">
        <v>58</v>
      </c>
      <c r="M143" s="41"/>
      <c r="N143" s="22"/>
    </row>
    <row r="144" spans="1:14" ht="20.100000000000001" customHeight="1" x14ac:dyDescent="0.25">
      <c r="A144" s="30" t="str">
        <f t="shared" si="16"/>
        <v/>
      </c>
      <c r="B144" s="41"/>
      <c r="C144" s="35" t="str">
        <f>IF(B144="","",IFERROR(VLOOKUP(B144,DB_Customers!$A:$B,2,0),"❌ Account Not Found"))</f>
        <v/>
      </c>
      <c r="D144" s="42" t="str">
        <f t="shared" ca="1" si="17"/>
        <v/>
      </c>
      <c r="E144" s="32"/>
      <c r="F144" s="31"/>
      <c r="G144" s="41"/>
      <c r="H144" s="56">
        <v>2.5</v>
      </c>
      <c r="I144" s="43" t="str">
        <f t="shared" si="18"/>
        <v/>
      </c>
      <c r="J144" s="43" t="str">
        <f t="shared" si="19"/>
        <v/>
      </c>
      <c r="K144" s="33" t="str">
        <f>IF(B144="","Pending",IF(M144="","⚠️ Enter Code",IF(IFERROR(VLOOKUP(L144,DB_Agents!$B:$F,4,0),"")=TEXT(M144,"0"),"Pending Approval","🔒 WRONG CODE")))</f>
        <v>Pending</v>
      </c>
      <c r="L144" s="30" t="s">
        <v>58</v>
      </c>
      <c r="M144" s="41"/>
      <c r="N144" s="57"/>
    </row>
    <row r="145" spans="1:14" ht="20.100000000000001" customHeight="1" x14ac:dyDescent="0.25">
      <c r="A145" s="30" t="str">
        <f t="shared" si="16"/>
        <v/>
      </c>
      <c r="B145" s="41"/>
      <c r="C145" s="35" t="str">
        <f>IF(B145="","",IFERROR(VLOOKUP(B145,DB_Customers!$A:$B,2,0),"❌ Account Not Found"))</f>
        <v/>
      </c>
      <c r="D145" s="42" t="str">
        <f t="shared" ca="1" si="17"/>
        <v/>
      </c>
      <c r="E145" s="32"/>
      <c r="F145" s="31"/>
      <c r="G145" s="41"/>
      <c r="H145" s="56">
        <v>2.5</v>
      </c>
      <c r="I145" s="43" t="str">
        <f t="shared" si="18"/>
        <v/>
      </c>
      <c r="J145" s="43" t="str">
        <f t="shared" si="19"/>
        <v/>
      </c>
      <c r="K145" s="33" t="str">
        <f>IF(B145="","Pending",IF(M145="","⚠️ Enter Code",IF(IFERROR(VLOOKUP(L145,DB_Agents!$B:$F,4,0),"")=TEXT(M145,"0"),"Pending Approval","🔒 WRONG CODE")))</f>
        <v>Pending</v>
      </c>
      <c r="L145" s="30" t="s">
        <v>58</v>
      </c>
      <c r="M145" s="41"/>
      <c r="N145" s="22"/>
    </row>
    <row r="146" spans="1:14" ht="20.100000000000001" customHeight="1" x14ac:dyDescent="0.25">
      <c r="A146" s="30" t="str">
        <f t="shared" si="16"/>
        <v/>
      </c>
      <c r="B146" s="41"/>
      <c r="C146" s="35" t="str">
        <f>IF(B146="","",IFERROR(VLOOKUP(B146,DB_Customers!$A:$B,2,0),"❌ Account Not Found"))</f>
        <v/>
      </c>
      <c r="D146" s="42" t="str">
        <f t="shared" ca="1" si="17"/>
        <v/>
      </c>
      <c r="E146" s="32"/>
      <c r="F146" s="31"/>
      <c r="G146" s="41"/>
      <c r="H146" s="56">
        <v>2.5</v>
      </c>
      <c r="I146" s="43" t="str">
        <f t="shared" si="18"/>
        <v/>
      </c>
      <c r="J146" s="43" t="str">
        <f t="shared" si="19"/>
        <v/>
      </c>
      <c r="K146" s="33" t="str">
        <f>IF(B146="","Pending",IF(M146="","⚠️ Enter Code",IF(IFERROR(VLOOKUP(L146,DB_Agents!$B:$F,4,0),"")=TEXT(M146,"0"),"Pending Approval","🔒 WRONG CODE")))</f>
        <v>Pending</v>
      </c>
      <c r="L146" s="30" t="s">
        <v>58</v>
      </c>
      <c r="M146" s="41"/>
      <c r="N146" s="57"/>
    </row>
    <row r="147" spans="1:14" ht="20.100000000000001" customHeight="1" x14ac:dyDescent="0.25">
      <c r="A147" s="30" t="str">
        <f t="shared" si="16"/>
        <v/>
      </c>
      <c r="B147" s="41"/>
      <c r="C147" s="35" t="str">
        <f>IF(B147="","",IFERROR(VLOOKUP(B147,DB_Customers!$A:$B,2,0),"❌ Account Not Found"))</f>
        <v/>
      </c>
      <c r="D147" s="42" t="str">
        <f t="shared" ca="1" si="17"/>
        <v/>
      </c>
      <c r="E147" s="32"/>
      <c r="F147" s="31"/>
      <c r="G147" s="41"/>
      <c r="H147" s="56">
        <v>2.5</v>
      </c>
      <c r="I147" s="43" t="str">
        <f t="shared" si="18"/>
        <v/>
      </c>
      <c r="J147" s="43" t="str">
        <f t="shared" si="19"/>
        <v/>
      </c>
      <c r="K147" s="33" t="str">
        <f>IF(B147="","Pending",IF(M147="","⚠️ Enter Code",IF(IFERROR(VLOOKUP(L147,DB_Agents!$B:$F,4,0),"")=TEXT(M147,"0"),"Pending Approval","🔒 WRONG CODE")))</f>
        <v>Pending</v>
      </c>
      <c r="L147" s="30" t="s">
        <v>58</v>
      </c>
      <c r="M147" s="41"/>
      <c r="N147" s="22"/>
    </row>
    <row r="148" spans="1:14" ht="20.100000000000001" customHeight="1" x14ac:dyDescent="0.25">
      <c r="A148" s="30" t="str">
        <f t="shared" si="16"/>
        <v/>
      </c>
      <c r="B148" s="41"/>
      <c r="C148" s="35" t="str">
        <f>IF(B148="","",IFERROR(VLOOKUP(B148,DB_Customers!$A:$B,2,0),"❌ Account Not Found"))</f>
        <v/>
      </c>
      <c r="D148" s="42" t="str">
        <f t="shared" ca="1" si="17"/>
        <v/>
      </c>
      <c r="E148" s="32"/>
      <c r="F148" s="31"/>
      <c r="G148" s="41"/>
      <c r="H148" s="56">
        <v>2.5</v>
      </c>
      <c r="I148" s="43" t="str">
        <f t="shared" si="18"/>
        <v/>
      </c>
      <c r="J148" s="43" t="str">
        <f t="shared" si="19"/>
        <v/>
      </c>
      <c r="K148" s="33" t="str">
        <f>IF(B148="","Pending",IF(M148="","⚠️ Enter Code",IF(IFERROR(VLOOKUP(L148,DB_Agents!$B:$F,4,0),"")=TEXT(M148,"0"),"Pending Approval","🔒 WRONG CODE")))</f>
        <v>Pending</v>
      </c>
      <c r="L148" s="30" t="s">
        <v>58</v>
      </c>
      <c r="M148" s="41"/>
      <c r="N148" s="57"/>
    </row>
    <row r="149" spans="1:14" ht="20.100000000000001" customHeight="1" x14ac:dyDescent="0.25">
      <c r="A149" s="30" t="str">
        <f t="shared" si="16"/>
        <v/>
      </c>
      <c r="B149" s="41"/>
      <c r="C149" s="35" t="str">
        <f>IF(B149="","",IFERROR(VLOOKUP(B149,DB_Customers!$A:$B,2,0),"❌ Account Not Found"))</f>
        <v/>
      </c>
      <c r="D149" s="42" t="str">
        <f t="shared" ca="1" si="17"/>
        <v/>
      </c>
      <c r="E149" s="32"/>
      <c r="F149" s="31"/>
      <c r="G149" s="41"/>
      <c r="H149" s="56">
        <v>2.5</v>
      </c>
      <c r="I149" s="43" t="str">
        <f t="shared" si="18"/>
        <v/>
      </c>
      <c r="J149" s="43" t="str">
        <f t="shared" si="19"/>
        <v/>
      </c>
      <c r="K149" s="33" t="str">
        <f>IF(B149="","Pending",IF(M149="","⚠️ Enter Code",IF(IFERROR(VLOOKUP(L149,DB_Agents!$B:$F,4,0),"")=TEXT(M149,"0"),"Pending Approval","🔒 WRONG CODE")))</f>
        <v>Pending</v>
      </c>
      <c r="L149" s="30" t="s">
        <v>58</v>
      </c>
      <c r="M149" s="41"/>
      <c r="N149" s="22"/>
    </row>
    <row r="150" spans="1:14" ht="20.100000000000001" customHeight="1" x14ac:dyDescent="0.25">
      <c r="A150" s="30" t="str">
        <f t="shared" si="16"/>
        <v/>
      </c>
      <c r="B150" s="41"/>
      <c r="C150" s="35" t="str">
        <f>IF(B150="","",IFERROR(VLOOKUP(B150,DB_Customers!$A:$B,2,0),"❌ Account Not Found"))</f>
        <v/>
      </c>
      <c r="D150" s="42" t="str">
        <f t="shared" ca="1" si="17"/>
        <v/>
      </c>
      <c r="E150" s="32"/>
      <c r="F150" s="31"/>
      <c r="G150" s="41"/>
      <c r="H150" s="56">
        <v>2.5</v>
      </c>
      <c r="I150" s="43" t="str">
        <f t="shared" si="18"/>
        <v/>
      </c>
      <c r="J150" s="43" t="str">
        <f t="shared" si="19"/>
        <v/>
      </c>
      <c r="K150" s="33" t="str">
        <f>IF(B150="","Pending",IF(M150="","⚠️ Enter Code",IF(IFERROR(VLOOKUP(L150,DB_Agents!$B:$F,4,0),"")=TEXT(M150,"0"),"Pending Approval","🔒 WRONG CODE")))</f>
        <v>Pending</v>
      </c>
      <c r="L150" s="30" t="s">
        <v>58</v>
      </c>
      <c r="M150" s="41"/>
      <c r="N150" s="57"/>
    </row>
    <row r="151" spans="1:14" ht="20.100000000000001" customHeight="1" x14ac:dyDescent="0.25">
      <c r="A151" s="30" t="str">
        <f t="shared" si="16"/>
        <v/>
      </c>
      <c r="B151" s="41"/>
      <c r="C151" s="35" t="str">
        <f>IF(B151="","",IFERROR(VLOOKUP(B151,DB_Customers!$A:$B,2,0),"❌ Account Not Found"))</f>
        <v/>
      </c>
      <c r="D151" s="42" t="str">
        <f t="shared" ca="1" si="17"/>
        <v/>
      </c>
      <c r="E151" s="32"/>
      <c r="F151" s="31"/>
      <c r="G151" s="41"/>
      <c r="H151" s="56">
        <v>2.5</v>
      </c>
      <c r="I151" s="43" t="str">
        <f t="shared" si="18"/>
        <v/>
      </c>
      <c r="J151" s="43" t="str">
        <f t="shared" si="19"/>
        <v/>
      </c>
      <c r="K151" s="33" t="str">
        <f>IF(B151="","Pending",IF(M151="","⚠️ Enter Code",IF(IFERROR(VLOOKUP(L151,DB_Agents!$B:$F,4,0),"")=TEXT(M151,"0"),"Pending Approval","🔒 WRONG CODE")))</f>
        <v>Pending</v>
      </c>
      <c r="L151" s="30" t="s">
        <v>58</v>
      </c>
      <c r="M151" s="41"/>
      <c r="N151" s="22"/>
    </row>
    <row r="152" spans="1:14" ht="20.100000000000001" customHeight="1" x14ac:dyDescent="0.25">
      <c r="A152" s="30" t="str">
        <f t="shared" si="16"/>
        <v/>
      </c>
      <c r="B152" s="41"/>
      <c r="C152" s="35" t="str">
        <f>IF(B152="","",IFERROR(VLOOKUP(B152,DB_Customers!$A:$B,2,0),"❌ Account Not Found"))</f>
        <v/>
      </c>
      <c r="D152" s="42" t="str">
        <f t="shared" ca="1" si="17"/>
        <v/>
      </c>
      <c r="E152" s="32"/>
      <c r="F152" s="31"/>
      <c r="G152" s="41"/>
      <c r="H152" s="56">
        <v>2.5</v>
      </c>
      <c r="I152" s="43" t="str">
        <f t="shared" si="18"/>
        <v/>
      </c>
      <c r="J152" s="43" t="str">
        <f t="shared" si="19"/>
        <v/>
      </c>
      <c r="K152" s="33" t="str">
        <f>IF(B152="","Pending",IF(M152="","⚠️ Enter Code",IF(IFERROR(VLOOKUP(L152,DB_Agents!$B:$F,4,0),"")=TEXT(M152,"0"),"Pending Approval","🔒 WRONG CODE")))</f>
        <v>Pending</v>
      </c>
      <c r="L152" s="30" t="s">
        <v>58</v>
      </c>
      <c r="M152" s="41"/>
      <c r="N152" s="57"/>
    </row>
    <row r="153" spans="1:14" ht="20.100000000000001" customHeight="1" x14ac:dyDescent="0.25">
      <c r="A153" s="30" t="str">
        <f t="shared" si="16"/>
        <v/>
      </c>
      <c r="B153" s="41"/>
      <c r="C153" s="35" t="str">
        <f>IF(B153="","",IFERROR(VLOOKUP(B153,DB_Customers!$A:$B,2,0),"❌ Account Not Found"))</f>
        <v/>
      </c>
      <c r="D153" s="42" t="str">
        <f t="shared" ca="1" si="17"/>
        <v/>
      </c>
      <c r="E153" s="32"/>
      <c r="F153" s="31"/>
      <c r="G153" s="41"/>
      <c r="H153" s="56">
        <v>2.5</v>
      </c>
      <c r="I153" s="43" t="str">
        <f t="shared" si="18"/>
        <v/>
      </c>
      <c r="J153" s="43" t="str">
        <f t="shared" si="19"/>
        <v/>
      </c>
      <c r="K153" s="33" t="str">
        <f>IF(B153="","Pending",IF(M153="","⚠️ Enter Code",IF(IFERROR(VLOOKUP(L153,DB_Agents!$B:$F,4,0),"")=TEXT(M153,"0"),"Pending Approval","🔒 WRONG CODE")))</f>
        <v>Pending</v>
      </c>
      <c r="L153" s="30" t="s">
        <v>58</v>
      </c>
      <c r="M153" s="41"/>
      <c r="N153" s="22"/>
    </row>
    <row r="154" spans="1:14" ht="20.100000000000001" customHeight="1" x14ac:dyDescent="0.25">
      <c r="A154" s="30" t="str">
        <f t="shared" si="16"/>
        <v/>
      </c>
      <c r="B154" s="41"/>
      <c r="C154" s="35" t="str">
        <f>IF(B154="","",IFERROR(VLOOKUP(B154,DB_Customers!$A:$B,2,0),"❌ Account Not Found"))</f>
        <v/>
      </c>
      <c r="D154" s="42" t="str">
        <f t="shared" ca="1" si="17"/>
        <v/>
      </c>
      <c r="E154" s="32"/>
      <c r="F154" s="31"/>
      <c r="G154" s="41"/>
      <c r="H154" s="56">
        <v>2.5</v>
      </c>
      <c r="I154" s="43" t="str">
        <f t="shared" si="18"/>
        <v/>
      </c>
      <c r="J154" s="43" t="str">
        <f t="shared" si="19"/>
        <v/>
      </c>
      <c r="K154" s="33" t="str">
        <f>IF(B154="","Pending",IF(M154="","⚠️ Enter Code",IF(IFERROR(VLOOKUP(L154,DB_Agents!$B:$F,4,0),"")=TEXT(M154,"0"),"Pending Approval","🔒 WRONG CODE")))</f>
        <v>Pending</v>
      </c>
      <c r="L154" s="30" t="s">
        <v>58</v>
      </c>
      <c r="M154" s="41"/>
      <c r="N154" s="57"/>
    </row>
    <row r="155" spans="1:14" ht="20.100000000000001" customHeight="1" x14ac:dyDescent="0.25">
      <c r="A155" s="30" t="str">
        <f t="shared" si="16"/>
        <v/>
      </c>
      <c r="B155" s="41"/>
      <c r="C155" s="35" t="str">
        <f>IF(B155="","",IFERROR(VLOOKUP(B155,DB_Customers!$A:$B,2,0),"❌ Account Not Found"))</f>
        <v/>
      </c>
      <c r="D155" s="42" t="str">
        <f t="shared" ca="1" si="17"/>
        <v/>
      </c>
      <c r="E155" s="32"/>
      <c r="F155" s="31"/>
      <c r="G155" s="41"/>
      <c r="H155" s="56">
        <v>2.5</v>
      </c>
      <c r="I155" s="43" t="str">
        <f t="shared" si="18"/>
        <v/>
      </c>
      <c r="J155" s="43" t="str">
        <f t="shared" si="19"/>
        <v/>
      </c>
      <c r="K155" s="33" t="str">
        <f>IF(B155="","Pending",IF(M155="","⚠️ Enter Code",IF(IFERROR(VLOOKUP(L155,DB_Agents!$B:$F,4,0),"")=TEXT(M155,"0"),"Pending Approval","🔒 WRONG CODE")))</f>
        <v>Pending</v>
      </c>
      <c r="L155" s="30" t="s">
        <v>58</v>
      </c>
      <c r="M155" s="41"/>
      <c r="N155" s="22"/>
    </row>
    <row r="156" spans="1:14" ht="20.100000000000001" customHeight="1" x14ac:dyDescent="0.25">
      <c r="A156" s="30" t="str">
        <f t="shared" si="16"/>
        <v/>
      </c>
      <c r="B156" s="41"/>
      <c r="C156" s="35" t="str">
        <f>IF(B156="","",IFERROR(VLOOKUP(B156,DB_Customers!$A:$B,2,0),"❌ Account Not Found"))</f>
        <v/>
      </c>
      <c r="D156" s="42" t="str">
        <f t="shared" ca="1" si="17"/>
        <v/>
      </c>
      <c r="E156" s="32"/>
      <c r="F156" s="31"/>
      <c r="G156" s="41"/>
      <c r="H156" s="56">
        <v>2.5</v>
      </c>
      <c r="I156" s="43" t="str">
        <f t="shared" si="18"/>
        <v/>
      </c>
      <c r="J156" s="43" t="str">
        <f t="shared" si="19"/>
        <v/>
      </c>
      <c r="K156" s="33" t="str">
        <f>IF(B156="","Pending",IF(M156="","⚠️ Enter Code",IF(IFERROR(VLOOKUP(L156,DB_Agents!$B:$F,4,0),"")=TEXT(M156,"0"),"Pending Approval","🔒 WRONG CODE")))</f>
        <v>Pending</v>
      </c>
      <c r="L156" s="30" t="s">
        <v>58</v>
      </c>
      <c r="M156" s="41"/>
      <c r="N156" s="57"/>
    </row>
    <row r="157" spans="1:14" ht="20.100000000000001" customHeight="1" x14ac:dyDescent="0.25">
      <c r="A157" s="30" t="str">
        <f t="shared" si="16"/>
        <v/>
      </c>
      <c r="B157" s="41"/>
      <c r="C157" s="35" t="str">
        <f>IF(B157="","",IFERROR(VLOOKUP(B157,DB_Customers!$A:$B,2,0),"❌ Account Not Found"))</f>
        <v/>
      </c>
      <c r="D157" s="42" t="str">
        <f t="shared" ca="1" si="17"/>
        <v/>
      </c>
      <c r="E157" s="32"/>
      <c r="F157" s="31"/>
      <c r="G157" s="41"/>
      <c r="H157" s="56">
        <v>2.5</v>
      </c>
      <c r="I157" s="43" t="str">
        <f t="shared" si="18"/>
        <v/>
      </c>
      <c r="J157" s="43" t="str">
        <f t="shared" si="19"/>
        <v/>
      </c>
      <c r="K157" s="33" t="str">
        <f>IF(B157="","Pending",IF(M157="","⚠️ Enter Code",IF(IFERROR(VLOOKUP(L157,DB_Agents!$B:$F,4,0),"")=TEXT(M157,"0"),"Pending Approval","🔒 WRONG CODE")))</f>
        <v>Pending</v>
      </c>
      <c r="L157" s="30" t="s">
        <v>58</v>
      </c>
      <c r="M157" s="41"/>
      <c r="N157" s="22"/>
    </row>
    <row r="158" spans="1:14" ht="20.100000000000001" customHeight="1" x14ac:dyDescent="0.25">
      <c r="A158" s="30" t="str">
        <f t="shared" si="16"/>
        <v/>
      </c>
      <c r="B158" s="41"/>
      <c r="C158" s="35" t="str">
        <f>IF(B158="","",IFERROR(VLOOKUP(B158,DB_Customers!$A:$B,2,0),"❌ Account Not Found"))</f>
        <v/>
      </c>
      <c r="D158" s="42" t="str">
        <f t="shared" ca="1" si="17"/>
        <v/>
      </c>
      <c r="E158" s="32"/>
      <c r="F158" s="31"/>
      <c r="G158" s="41"/>
      <c r="H158" s="56">
        <v>2.5</v>
      </c>
      <c r="I158" s="43" t="str">
        <f t="shared" si="18"/>
        <v/>
      </c>
      <c r="J158" s="43" t="str">
        <f t="shared" si="19"/>
        <v/>
      </c>
      <c r="K158" s="33" t="str">
        <f>IF(B158="","Pending",IF(M158="","⚠️ Enter Code",IF(IFERROR(VLOOKUP(L158,DB_Agents!$B:$F,4,0),"")=TEXT(M158,"0"),"Pending Approval","🔒 WRONG CODE")))</f>
        <v>Pending</v>
      </c>
      <c r="L158" s="30" t="s">
        <v>58</v>
      </c>
      <c r="M158" s="41"/>
      <c r="N158" s="57"/>
    </row>
    <row r="159" spans="1:14" ht="20.100000000000001" customHeight="1" x14ac:dyDescent="0.25">
      <c r="A159" s="30" t="str">
        <f t="shared" si="16"/>
        <v/>
      </c>
      <c r="B159" s="41"/>
      <c r="C159" s="35" t="str">
        <f>IF(B159="","",IFERROR(VLOOKUP(B159,DB_Customers!$A:$B,2,0),"❌ Account Not Found"))</f>
        <v/>
      </c>
      <c r="D159" s="42" t="str">
        <f t="shared" ca="1" si="17"/>
        <v/>
      </c>
      <c r="E159" s="32"/>
      <c r="F159" s="31"/>
      <c r="G159" s="41"/>
      <c r="H159" s="56">
        <v>2.5</v>
      </c>
      <c r="I159" s="43" t="str">
        <f t="shared" si="18"/>
        <v/>
      </c>
      <c r="J159" s="43" t="str">
        <f t="shared" si="19"/>
        <v/>
      </c>
      <c r="K159" s="33" t="str">
        <f>IF(B159="","Pending",IF(M159="","⚠️ Enter Code",IF(IFERROR(VLOOKUP(L159,DB_Agents!$B:$F,4,0),"")=TEXT(M159,"0"),"Pending Approval","🔒 WRONG CODE")))</f>
        <v>Pending</v>
      </c>
      <c r="L159" s="30" t="s">
        <v>58</v>
      </c>
      <c r="M159" s="41"/>
      <c r="N159" s="22"/>
    </row>
    <row r="160" spans="1:14" ht="20.100000000000001" customHeight="1" x14ac:dyDescent="0.25">
      <c r="A160" s="30" t="str">
        <f t="shared" si="16"/>
        <v/>
      </c>
      <c r="B160" s="41"/>
      <c r="C160" s="35" t="str">
        <f>IF(B160="","",IFERROR(VLOOKUP(B160,DB_Customers!$A:$B,2,0),"❌ Account Not Found"))</f>
        <v/>
      </c>
      <c r="D160" s="42" t="str">
        <f t="shared" ca="1" si="17"/>
        <v/>
      </c>
      <c r="E160" s="32"/>
      <c r="F160" s="31"/>
      <c r="G160" s="41"/>
      <c r="H160" s="56">
        <v>2.5</v>
      </c>
      <c r="I160" s="43" t="str">
        <f t="shared" si="18"/>
        <v/>
      </c>
      <c r="J160" s="43" t="str">
        <f t="shared" si="19"/>
        <v/>
      </c>
      <c r="K160" s="33" t="str">
        <f>IF(B160="","Pending",IF(M160="","⚠️ Enter Code",IF(IFERROR(VLOOKUP(L160,DB_Agents!$B:$F,4,0),"")=TEXT(M160,"0"),"Pending Approval","🔒 WRONG CODE")))</f>
        <v>Pending</v>
      </c>
      <c r="L160" s="30" t="s">
        <v>58</v>
      </c>
      <c r="M160" s="41"/>
      <c r="N160" s="57"/>
    </row>
    <row r="161" spans="1:14" ht="20.100000000000001" customHeight="1" x14ac:dyDescent="0.25">
      <c r="A161" s="30" t="str">
        <f t="shared" si="16"/>
        <v/>
      </c>
      <c r="B161" s="41"/>
      <c r="C161" s="35" t="str">
        <f>IF(B161="","",IFERROR(VLOOKUP(B161,DB_Customers!$A:$B,2,0),"❌ Account Not Found"))</f>
        <v/>
      </c>
      <c r="D161" s="42" t="str">
        <f t="shared" ca="1" si="17"/>
        <v/>
      </c>
      <c r="E161" s="32"/>
      <c r="F161" s="31"/>
      <c r="G161" s="41"/>
      <c r="H161" s="56">
        <v>2.5</v>
      </c>
      <c r="I161" s="43" t="str">
        <f t="shared" si="18"/>
        <v/>
      </c>
      <c r="J161" s="43" t="str">
        <f t="shared" si="19"/>
        <v/>
      </c>
      <c r="K161" s="33" t="str">
        <f>IF(B161="","Pending",IF(M161="","⚠️ Enter Code",IF(IFERROR(VLOOKUP(L161,DB_Agents!$B:$F,4,0),"")=TEXT(M161,"0"),"Pending Approval","🔒 WRONG CODE")))</f>
        <v>Pending</v>
      </c>
      <c r="L161" s="30" t="s">
        <v>58</v>
      </c>
      <c r="M161" s="41"/>
      <c r="N161" s="22"/>
    </row>
    <row r="162" spans="1:14" ht="20.100000000000001" customHeight="1" x14ac:dyDescent="0.25">
      <c r="A162" s="30" t="str">
        <f t="shared" si="16"/>
        <v/>
      </c>
      <c r="B162" s="41"/>
      <c r="C162" s="35" t="str">
        <f>IF(B162="","",IFERROR(VLOOKUP(B162,DB_Customers!$A:$B,2,0),"❌ Account Not Found"))</f>
        <v/>
      </c>
      <c r="D162" s="42" t="str">
        <f t="shared" ca="1" si="17"/>
        <v/>
      </c>
      <c r="E162" s="32"/>
      <c r="F162" s="31"/>
      <c r="G162" s="41"/>
      <c r="H162" s="56">
        <v>2.5</v>
      </c>
      <c r="I162" s="43" t="str">
        <f t="shared" si="18"/>
        <v/>
      </c>
      <c r="J162" s="43" t="str">
        <f t="shared" si="19"/>
        <v/>
      </c>
      <c r="K162" s="33" t="str">
        <f>IF(B162="","Pending",IF(M162="","⚠️ Enter Code",IF(IFERROR(VLOOKUP(L162,DB_Agents!$B:$F,4,0),"")=TEXT(M162,"0"),"Pending Approval","🔒 WRONG CODE")))</f>
        <v>Pending</v>
      </c>
      <c r="L162" s="30" t="s">
        <v>58</v>
      </c>
      <c r="M162" s="41"/>
      <c r="N162" s="57"/>
    </row>
    <row r="163" spans="1:14" ht="20.100000000000001" customHeight="1" x14ac:dyDescent="0.25">
      <c r="A163" s="30" t="str">
        <f t="shared" si="16"/>
        <v/>
      </c>
      <c r="B163" s="41"/>
      <c r="C163" s="35" t="str">
        <f>IF(B163="","",IFERROR(VLOOKUP(B163,DB_Customers!$A:$B,2,0),"❌ Account Not Found"))</f>
        <v/>
      </c>
      <c r="D163" s="42" t="str">
        <f t="shared" ca="1" si="17"/>
        <v/>
      </c>
      <c r="E163" s="32"/>
      <c r="F163" s="31"/>
      <c r="G163" s="41"/>
      <c r="H163" s="56">
        <v>2.5</v>
      </c>
      <c r="I163" s="43" t="str">
        <f t="shared" si="18"/>
        <v/>
      </c>
      <c r="J163" s="43" t="str">
        <f t="shared" si="19"/>
        <v/>
      </c>
      <c r="K163" s="33" t="str">
        <f>IF(B163="","Pending",IF(M163="","⚠️ Enter Code",IF(IFERROR(VLOOKUP(L163,DB_Agents!$B:$F,4,0),"")=TEXT(M163,"0"),"Pending Approval","🔒 WRONG CODE")))</f>
        <v>Pending</v>
      </c>
      <c r="L163" s="30" t="s">
        <v>58</v>
      </c>
      <c r="M163" s="41"/>
      <c r="N163" s="22"/>
    </row>
    <row r="164" spans="1:14" ht="20.100000000000001" customHeight="1" x14ac:dyDescent="0.25">
      <c r="A164" s="30" t="str">
        <f t="shared" si="16"/>
        <v/>
      </c>
      <c r="B164" s="41"/>
      <c r="C164" s="35" t="str">
        <f>IF(B164="","",IFERROR(VLOOKUP(B164,DB_Customers!$A:$B,2,0),"❌ Account Not Found"))</f>
        <v/>
      </c>
      <c r="D164" s="42" t="str">
        <f t="shared" ca="1" si="17"/>
        <v/>
      </c>
      <c r="E164" s="32"/>
      <c r="F164" s="31"/>
      <c r="G164" s="41"/>
      <c r="H164" s="56">
        <v>2.5</v>
      </c>
      <c r="I164" s="43" t="str">
        <f t="shared" si="18"/>
        <v/>
      </c>
      <c r="J164" s="43" t="str">
        <f t="shared" si="19"/>
        <v/>
      </c>
      <c r="K164" s="33" t="str">
        <f>IF(B164="","Pending",IF(M164="","⚠️ Enter Code",IF(IFERROR(VLOOKUP(L164,DB_Agents!$B:$F,4,0),"")=TEXT(M164,"0"),"Pending Approval","🔒 WRONG CODE")))</f>
        <v>Pending</v>
      </c>
      <c r="L164" s="30" t="s">
        <v>58</v>
      </c>
      <c r="M164" s="41"/>
      <c r="N164" s="57"/>
    </row>
    <row r="165" spans="1:14" ht="20.100000000000001" customHeight="1" x14ac:dyDescent="0.25">
      <c r="A165" s="30" t="str">
        <f t="shared" si="16"/>
        <v/>
      </c>
      <c r="B165" s="41"/>
      <c r="C165" s="35" t="str">
        <f>IF(B165="","",IFERROR(VLOOKUP(B165,DB_Customers!$A:$B,2,0),"❌ Account Not Found"))</f>
        <v/>
      </c>
      <c r="D165" s="42" t="str">
        <f t="shared" ca="1" si="17"/>
        <v/>
      </c>
      <c r="E165" s="32"/>
      <c r="F165" s="31"/>
      <c r="G165" s="41"/>
      <c r="H165" s="56">
        <v>2.5</v>
      </c>
      <c r="I165" s="43" t="str">
        <f t="shared" si="18"/>
        <v/>
      </c>
      <c r="J165" s="43" t="str">
        <f t="shared" si="19"/>
        <v/>
      </c>
      <c r="K165" s="33" t="str">
        <f>IF(B165="","Pending",IF(M165="","⚠️ Enter Code",IF(IFERROR(VLOOKUP(L165,DB_Agents!$B:$F,4,0),"")=TEXT(M165,"0"),"Pending Approval","🔒 WRONG CODE")))</f>
        <v>Pending</v>
      </c>
      <c r="L165" s="30" t="s">
        <v>58</v>
      </c>
      <c r="M165" s="41"/>
      <c r="N165" s="22"/>
    </row>
    <row r="166" spans="1:14" ht="20.100000000000001" customHeight="1" x14ac:dyDescent="0.25">
      <c r="A166" s="30" t="str">
        <f t="shared" si="16"/>
        <v/>
      </c>
      <c r="B166" s="41"/>
      <c r="C166" s="35" t="str">
        <f>IF(B166="","",IFERROR(VLOOKUP(B166,DB_Customers!$A:$B,2,0),"❌ Account Not Found"))</f>
        <v/>
      </c>
      <c r="D166" s="42" t="str">
        <f t="shared" ca="1" si="17"/>
        <v/>
      </c>
      <c r="E166" s="32"/>
      <c r="F166" s="31"/>
      <c r="G166" s="41"/>
      <c r="H166" s="56">
        <v>2.5</v>
      </c>
      <c r="I166" s="43" t="str">
        <f t="shared" si="18"/>
        <v/>
      </c>
      <c r="J166" s="43" t="str">
        <f t="shared" si="19"/>
        <v/>
      </c>
      <c r="K166" s="33" t="str">
        <f>IF(B166="","Pending",IF(M166="","⚠️ Enter Code",IF(IFERROR(VLOOKUP(L166,DB_Agents!$B:$F,4,0),"")=TEXT(M166,"0"),"Pending Approval","🔒 WRONG CODE")))</f>
        <v>Pending</v>
      </c>
      <c r="L166" s="30" t="s">
        <v>58</v>
      </c>
      <c r="M166" s="41"/>
      <c r="N166" s="57"/>
    </row>
    <row r="167" spans="1:14" ht="20.100000000000001" customHeight="1" x14ac:dyDescent="0.25">
      <c r="A167" s="30" t="str">
        <f t="shared" si="16"/>
        <v/>
      </c>
      <c r="B167" s="41"/>
      <c r="C167" s="35" t="str">
        <f>IF(B167="","",IFERROR(VLOOKUP(B167,DB_Customers!$A:$B,2,0),"❌ Account Not Found"))</f>
        <v/>
      </c>
      <c r="D167" s="42" t="str">
        <f t="shared" ca="1" si="17"/>
        <v/>
      </c>
      <c r="E167" s="32"/>
      <c r="F167" s="31"/>
      <c r="G167" s="41"/>
      <c r="H167" s="56">
        <v>2.5</v>
      </c>
      <c r="I167" s="43" t="str">
        <f t="shared" si="18"/>
        <v/>
      </c>
      <c r="J167" s="43" t="str">
        <f t="shared" si="19"/>
        <v/>
      </c>
      <c r="K167" s="33" t="str">
        <f>IF(B167="","Pending",IF(M167="","⚠️ Enter Code",IF(IFERROR(VLOOKUP(L167,DB_Agents!$B:$F,4,0),"")=TEXT(M167,"0"),"Pending Approval","🔒 WRONG CODE")))</f>
        <v>Pending</v>
      </c>
      <c r="L167" s="30" t="s">
        <v>58</v>
      </c>
      <c r="M167" s="41"/>
      <c r="N167" s="22"/>
    </row>
    <row r="168" spans="1:14" ht="20.100000000000001" customHeight="1" x14ac:dyDescent="0.25">
      <c r="A168" s="30" t="str">
        <f t="shared" si="16"/>
        <v/>
      </c>
      <c r="B168" s="41"/>
      <c r="C168" s="35" t="str">
        <f>IF(B168="","",IFERROR(VLOOKUP(B168,DB_Customers!$A:$B,2,0),"❌ Account Not Found"))</f>
        <v/>
      </c>
      <c r="D168" s="42" t="str">
        <f t="shared" ca="1" si="17"/>
        <v/>
      </c>
      <c r="E168" s="32"/>
      <c r="F168" s="31"/>
      <c r="G168" s="41"/>
      <c r="H168" s="56">
        <v>2.5</v>
      </c>
      <c r="I168" s="43" t="str">
        <f t="shared" si="18"/>
        <v/>
      </c>
      <c r="J168" s="43" t="str">
        <f t="shared" si="19"/>
        <v/>
      </c>
      <c r="K168" s="33" t="str">
        <f>IF(B168="","Pending",IF(M168="","⚠️ Enter Code",IF(IFERROR(VLOOKUP(L168,DB_Agents!$B:$F,4,0),"")=TEXT(M168,"0"),"Pending Approval","🔒 WRONG CODE")))</f>
        <v>Pending</v>
      </c>
      <c r="L168" s="30" t="s">
        <v>58</v>
      </c>
      <c r="M168" s="41"/>
      <c r="N168" s="57"/>
    </row>
    <row r="169" spans="1:14" ht="20.100000000000001" customHeight="1" x14ac:dyDescent="0.25">
      <c r="A169" s="30" t="str">
        <f t="shared" si="16"/>
        <v/>
      </c>
      <c r="B169" s="41"/>
      <c r="C169" s="35" t="str">
        <f>IF(B169="","",IFERROR(VLOOKUP(B169,DB_Customers!$A:$B,2,0),"❌ Account Not Found"))</f>
        <v/>
      </c>
      <c r="D169" s="42" t="str">
        <f t="shared" ca="1" si="17"/>
        <v/>
      </c>
      <c r="E169" s="32"/>
      <c r="F169" s="31"/>
      <c r="G169" s="41"/>
      <c r="H169" s="56">
        <v>2.5</v>
      </c>
      <c r="I169" s="43" t="str">
        <f t="shared" si="18"/>
        <v/>
      </c>
      <c r="J169" s="43" t="str">
        <f t="shared" si="19"/>
        <v/>
      </c>
      <c r="K169" s="33" t="str">
        <f>IF(B169="","Pending",IF(M169="","⚠️ Enter Code",IF(IFERROR(VLOOKUP(L169,DB_Agents!$B:$F,4,0),"")=TEXT(M169,"0"),"Pending Approval","🔒 WRONG CODE")))</f>
        <v>Pending</v>
      </c>
      <c r="L169" s="30" t="s">
        <v>58</v>
      </c>
      <c r="M169" s="41"/>
      <c r="N169" s="22"/>
    </row>
    <row r="170" spans="1:14" ht="20.100000000000001" customHeight="1" x14ac:dyDescent="0.25">
      <c r="A170" s="30" t="str">
        <f t="shared" si="16"/>
        <v/>
      </c>
      <c r="B170" s="41"/>
      <c r="C170" s="35" t="str">
        <f>IF(B170="","",IFERROR(VLOOKUP(B170,DB_Customers!$A:$B,2,0),"❌ Account Not Found"))</f>
        <v/>
      </c>
      <c r="D170" s="42" t="str">
        <f t="shared" ca="1" si="17"/>
        <v/>
      </c>
      <c r="E170" s="32"/>
      <c r="F170" s="31"/>
      <c r="G170" s="41"/>
      <c r="H170" s="56">
        <v>2.5</v>
      </c>
      <c r="I170" s="43" t="str">
        <f t="shared" si="18"/>
        <v/>
      </c>
      <c r="J170" s="43" t="str">
        <f t="shared" si="19"/>
        <v/>
      </c>
      <c r="K170" s="33" t="str">
        <f>IF(B170="","Pending",IF(M170="","⚠️ Enter Code",IF(IFERROR(VLOOKUP(L170,DB_Agents!$B:$F,4,0),"")=TEXT(M170,"0"),"Pending Approval","🔒 WRONG CODE")))</f>
        <v>Pending</v>
      </c>
      <c r="L170" s="30" t="s">
        <v>58</v>
      </c>
      <c r="M170" s="41"/>
      <c r="N170" s="57"/>
    </row>
    <row r="171" spans="1:14" ht="20.100000000000001" customHeight="1" x14ac:dyDescent="0.25">
      <c r="A171" s="30" t="str">
        <f t="shared" si="16"/>
        <v/>
      </c>
      <c r="B171" s="41"/>
      <c r="C171" s="35" t="str">
        <f>IF(B171="","",IFERROR(VLOOKUP(B171,DB_Customers!$A:$B,2,0),"❌ Account Not Found"))</f>
        <v/>
      </c>
      <c r="D171" s="42" t="str">
        <f t="shared" ca="1" si="17"/>
        <v/>
      </c>
      <c r="E171" s="32"/>
      <c r="F171" s="31"/>
      <c r="G171" s="41"/>
      <c r="H171" s="56">
        <v>2.5</v>
      </c>
      <c r="I171" s="43" t="str">
        <f t="shared" si="18"/>
        <v/>
      </c>
      <c r="J171" s="43" t="str">
        <f t="shared" si="19"/>
        <v/>
      </c>
      <c r="K171" s="33" t="str">
        <f>IF(B171="","Pending",IF(M171="","⚠️ Enter Code",IF(IFERROR(VLOOKUP(L171,DB_Agents!$B:$F,4,0),"")=TEXT(M171,"0"),"Pending Approval","🔒 WRONG CODE")))</f>
        <v>Pending</v>
      </c>
      <c r="L171" s="30" t="s">
        <v>58</v>
      </c>
      <c r="M171" s="41"/>
      <c r="N171" s="22"/>
    </row>
    <row r="172" spans="1:14" ht="20.100000000000001" customHeight="1" x14ac:dyDescent="0.25">
      <c r="A172" s="30" t="str">
        <f t="shared" si="16"/>
        <v/>
      </c>
      <c r="B172" s="41"/>
      <c r="C172" s="35" t="str">
        <f>IF(B172="","",IFERROR(VLOOKUP(B172,DB_Customers!$A:$B,2,0),"❌ Account Not Found"))</f>
        <v/>
      </c>
      <c r="D172" s="42" t="str">
        <f t="shared" ca="1" si="17"/>
        <v/>
      </c>
      <c r="E172" s="32"/>
      <c r="F172" s="31"/>
      <c r="G172" s="41"/>
      <c r="H172" s="56">
        <v>2.5</v>
      </c>
      <c r="I172" s="43" t="str">
        <f t="shared" si="18"/>
        <v/>
      </c>
      <c r="J172" s="43" t="str">
        <f t="shared" si="19"/>
        <v/>
      </c>
      <c r="K172" s="33" t="str">
        <f>IF(B172="","Pending",IF(M172="","⚠️ Enter Code",IF(IFERROR(VLOOKUP(L172,DB_Agents!$B:$F,4,0),"")=TEXT(M172,"0"),"Pending Approval","🔒 WRONG CODE")))</f>
        <v>Pending</v>
      </c>
      <c r="L172" s="30" t="s">
        <v>58</v>
      </c>
      <c r="M172" s="41"/>
      <c r="N172" s="57"/>
    </row>
    <row r="173" spans="1:14" ht="20.100000000000001" customHeight="1" x14ac:dyDescent="0.25">
      <c r="A173" s="30" t="str">
        <f t="shared" si="16"/>
        <v/>
      </c>
      <c r="B173" s="41"/>
      <c r="C173" s="35" t="str">
        <f>IF(B173="","",IFERROR(VLOOKUP(B173,DB_Customers!$A:$B,2,0),"❌ Account Not Found"))</f>
        <v/>
      </c>
      <c r="D173" s="42" t="str">
        <f t="shared" ca="1" si="17"/>
        <v/>
      </c>
      <c r="E173" s="32"/>
      <c r="F173" s="31"/>
      <c r="G173" s="41"/>
      <c r="H173" s="56">
        <v>2.5</v>
      </c>
      <c r="I173" s="43" t="str">
        <f t="shared" si="18"/>
        <v/>
      </c>
      <c r="J173" s="43" t="str">
        <f t="shared" si="19"/>
        <v/>
      </c>
      <c r="K173" s="33" t="str">
        <f>IF(B173="","Pending",IF(M173="","⚠️ Enter Code",IF(IFERROR(VLOOKUP(L173,DB_Agents!$B:$F,4,0),"")=TEXT(M173,"0"),"Pending Approval","🔒 WRONG CODE")))</f>
        <v>Pending</v>
      </c>
      <c r="L173" s="30" t="s">
        <v>58</v>
      </c>
      <c r="M173" s="41"/>
      <c r="N173" s="22"/>
    </row>
    <row r="174" spans="1:14" ht="20.100000000000001" customHeight="1" x14ac:dyDescent="0.25">
      <c r="A174" s="30" t="str">
        <f t="shared" ref="A174:A205" si="20">IF(B174="","",IF(C174="❌ Account Not Found","INVALID","LN"&amp;TEXT(D174,"YYYYMMDD")&amp;TEXT(ROW()-13,"0000")))</f>
        <v/>
      </c>
      <c r="B174" s="41"/>
      <c r="C174" s="35" t="str">
        <f>IF(B174="","",IFERROR(VLOOKUP(B174,DB_Customers!$A:$B,2,0),"❌ Account Not Found"))</f>
        <v/>
      </c>
      <c r="D174" s="42" t="str">
        <f t="shared" ref="D174:D205" ca="1" si="21">IF(B174="","",TODAY())</f>
        <v/>
      </c>
      <c r="E174" s="32"/>
      <c r="F174" s="31"/>
      <c r="G174" s="41"/>
      <c r="H174" s="56">
        <v>2.5</v>
      </c>
      <c r="I174" s="43" t="str">
        <f t="shared" ref="I174:I205" si="22">IF(E174="","",E174+(E174*H174/100*G174))</f>
        <v/>
      </c>
      <c r="J174" s="43" t="str">
        <f t="shared" ref="J174:J205" si="23">IFERROR(I174/G174,"")</f>
        <v/>
      </c>
      <c r="K174" s="33" t="str">
        <f>IF(B174="","Pending",IF(M174="","⚠️ Enter Code",IF(IFERROR(VLOOKUP(L174,DB_Agents!$B:$F,4,0),"")=TEXT(M174,"0"),"Pending Approval","🔒 WRONG CODE")))</f>
        <v>Pending</v>
      </c>
      <c r="L174" s="30" t="s">
        <v>58</v>
      </c>
      <c r="M174" s="41"/>
      <c r="N174" s="57"/>
    </row>
    <row r="175" spans="1:14" ht="20.100000000000001" customHeight="1" x14ac:dyDescent="0.25">
      <c r="A175" s="30" t="str">
        <f t="shared" si="20"/>
        <v/>
      </c>
      <c r="B175" s="41"/>
      <c r="C175" s="35" t="str">
        <f>IF(B175="","",IFERROR(VLOOKUP(B175,DB_Customers!$A:$B,2,0),"❌ Account Not Found"))</f>
        <v/>
      </c>
      <c r="D175" s="42" t="str">
        <f t="shared" ca="1" si="21"/>
        <v/>
      </c>
      <c r="E175" s="32"/>
      <c r="F175" s="31"/>
      <c r="G175" s="41"/>
      <c r="H175" s="56">
        <v>2.5</v>
      </c>
      <c r="I175" s="43" t="str">
        <f t="shared" si="22"/>
        <v/>
      </c>
      <c r="J175" s="43" t="str">
        <f t="shared" si="23"/>
        <v/>
      </c>
      <c r="K175" s="33" t="str">
        <f>IF(B175="","Pending",IF(M175="","⚠️ Enter Code",IF(IFERROR(VLOOKUP(L175,DB_Agents!$B:$F,4,0),"")=TEXT(M175,"0"),"Pending Approval","🔒 WRONG CODE")))</f>
        <v>Pending</v>
      </c>
      <c r="L175" s="30" t="s">
        <v>58</v>
      </c>
      <c r="M175" s="41"/>
      <c r="N175" s="22"/>
    </row>
    <row r="176" spans="1:14" ht="20.100000000000001" customHeight="1" x14ac:dyDescent="0.25">
      <c r="A176" s="30" t="str">
        <f t="shared" si="20"/>
        <v/>
      </c>
      <c r="B176" s="41"/>
      <c r="C176" s="35" t="str">
        <f>IF(B176="","",IFERROR(VLOOKUP(B176,DB_Customers!$A:$B,2,0),"❌ Account Not Found"))</f>
        <v/>
      </c>
      <c r="D176" s="42" t="str">
        <f t="shared" ca="1" si="21"/>
        <v/>
      </c>
      <c r="E176" s="32"/>
      <c r="F176" s="31"/>
      <c r="G176" s="41"/>
      <c r="H176" s="56">
        <v>2.5</v>
      </c>
      <c r="I176" s="43" t="str">
        <f t="shared" si="22"/>
        <v/>
      </c>
      <c r="J176" s="43" t="str">
        <f t="shared" si="23"/>
        <v/>
      </c>
      <c r="K176" s="33" t="str">
        <f>IF(B176="","Pending",IF(M176="","⚠️ Enter Code",IF(IFERROR(VLOOKUP(L176,DB_Agents!$B:$F,4,0),"")=TEXT(M176,"0"),"Pending Approval","🔒 WRONG CODE")))</f>
        <v>Pending</v>
      </c>
      <c r="L176" s="30" t="s">
        <v>58</v>
      </c>
      <c r="M176" s="41"/>
      <c r="N176" s="57"/>
    </row>
    <row r="177" spans="1:14" ht="20.100000000000001" customHeight="1" x14ac:dyDescent="0.25">
      <c r="A177" s="30" t="str">
        <f t="shared" si="20"/>
        <v/>
      </c>
      <c r="B177" s="41"/>
      <c r="C177" s="35" t="str">
        <f>IF(B177="","",IFERROR(VLOOKUP(B177,DB_Customers!$A:$B,2,0),"❌ Account Not Found"))</f>
        <v/>
      </c>
      <c r="D177" s="42" t="str">
        <f t="shared" ca="1" si="21"/>
        <v/>
      </c>
      <c r="E177" s="32"/>
      <c r="F177" s="31"/>
      <c r="G177" s="41"/>
      <c r="H177" s="56">
        <v>2.5</v>
      </c>
      <c r="I177" s="43" t="str">
        <f t="shared" si="22"/>
        <v/>
      </c>
      <c r="J177" s="43" t="str">
        <f t="shared" si="23"/>
        <v/>
      </c>
      <c r="K177" s="33" t="str">
        <f>IF(B177="","Pending",IF(M177="","⚠️ Enter Code",IF(IFERROR(VLOOKUP(L177,DB_Agents!$B:$F,4,0),"")=TEXT(M177,"0"),"Pending Approval","🔒 WRONG CODE")))</f>
        <v>Pending</v>
      </c>
      <c r="L177" s="30" t="s">
        <v>58</v>
      </c>
      <c r="M177" s="41"/>
      <c r="N177" s="22"/>
    </row>
    <row r="178" spans="1:14" ht="20.100000000000001" customHeight="1" x14ac:dyDescent="0.25">
      <c r="A178" s="30" t="str">
        <f t="shared" si="20"/>
        <v/>
      </c>
      <c r="B178" s="41"/>
      <c r="C178" s="35" t="str">
        <f>IF(B178="","",IFERROR(VLOOKUP(B178,DB_Customers!$A:$B,2,0),"❌ Account Not Found"))</f>
        <v/>
      </c>
      <c r="D178" s="42" t="str">
        <f t="shared" ca="1" si="21"/>
        <v/>
      </c>
      <c r="E178" s="32"/>
      <c r="F178" s="31"/>
      <c r="G178" s="41"/>
      <c r="H178" s="56">
        <v>2.5</v>
      </c>
      <c r="I178" s="43" t="str">
        <f t="shared" si="22"/>
        <v/>
      </c>
      <c r="J178" s="43" t="str">
        <f t="shared" si="23"/>
        <v/>
      </c>
      <c r="K178" s="33" t="str">
        <f>IF(B178="","Pending",IF(M178="","⚠️ Enter Code",IF(IFERROR(VLOOKUP(L178,DB_Agents!$B:$F,4,0),"")=TEXT(M178,"0"),"Pending Approval","🔒 WRONG CODE")))</f>
        <v>Pending</v>
      </c>
      <c r="L178" s="30" t="s">
        <v>58</v>
      </c>
      <c r="M178" s="41"/>
      <c r="N178" s="57"/>
    </row>
    <row r="179" spans="1:14" ht="20.100000000000001" customHeight="1" x14ac:dyDescent="0.25">
      <c r="A179" s="30" t="str">
        <f t="shared" si="20"/>
        <v/>
      </c>
      <c r="B179" s="41"/>
      <c r="C179" s="35" t="str">
        <f>IF(B179="","",IFERROR(VLOOKUP(B179,DB_Customers!$A:$B,2,0),"❌ Account Not Found"))</f>
        <v/>
      </c>
      <c r="D179" s="42" t="str">
        <f t="shared" ca="1" si="21"/>
        <v/>
      </c>
      <c r="E179" s="32"/>
      <c r="F179" s="31"/>
      <c r="G179" s="41"/>
      <c r="H179" s="56">
        <v>2.5</v>
      </c>
      <c r="I179" s="43" t="str">
        <f t="shared" si="22"/>
        <v/>
      </c>
      <c r="J179" s="43" t="str">
        <f t="shared" si="23"/>
        <v/>
      </c>
      <c r="K179" s="33" t="str">
        <f>IF(B179="","Pending",IF(M179="","⚠️ Enter Code",IF(IFERROR(VLOOKUP(L179,DB_Agents!$B:$F,4,0),"")=TEXT(M179,"0"),"Pending Approval","🔒 WRONG CODE")))</f>
        <v>Pending</v>
      </c>
      <c r="L179" s="30" t="s">
        <v>58</v>
      </c>
      <c r="M179" s="41"/>
      <c r="N179" s="22"/>
    </row>
    <row r="180" spans="1:14" ht="20.100000000000001" customHeight="1" x14ac:dyDescent="0.25">
      <c r="A180" s="30" t="str">
        <f t="shared" si="20"/>
        <v/>
      </c>
      <c r="B180" s="41"/>
      <c r="C180" s="35" t="str">
        <f>IF(B180="","",IFERROR(VLOOKUP(B180,DB_Customers!$A:$B,2,0),"❌ Account Not Found"))</f>
        <v/>
      </c>
      <c r="D180" s="42" t="str">
        <f t="shared" ca="1" si="21"/>
        <v/>
      </c>
      <c r="E180" s="32"/>
      <c r="F180" s="31"/>
      <c r="G180" s="41"/>
      <c r="H180" s="56">
        <v>2.5</v>
      </c>
      <c r="I180" s="43" t="str">
        <f t="shared" si="22"/>
        <v/>
      </c>
      <c r="J180" s="43" t="str">
        <f t="shared" si="23"/>
        <v/>
      </c>
      <c r="K180" s="33" t="str">
        <f>IF(B180="","Pending",IF(M180="","⚠️ Enter Code",IF(IFERROR(VLOOKUP(L180,DB_Agents!$B:$F,4,0),"")=TEXT(M180,"0"),"Pending Approval","🔒 WRONG CODE")))</f>
        <v>Pending</v>
      </c>
      <c r="L180" s="30" t="s">
        <v>58</v>
      </c>
      <c r="M180" s="41"/>
      <c r="N180" s="57"/>
    </row>
    <row r="181" spans="1:14" ht="20.100000000000001" customHeight="1" x14ac:dyDescent="0.25">
      <c r="A181" s="30" t="str">
        <f t="shared" si="20"/>
        <v/>
      </c>
      <c r="B181" s="41"/>
      <c r="C181" s="35" t="str">
        <f>IF(B181="","",IFERROR(VLOOKUP(B181,DB_Customers!$A:$B,2,0),"❌ Account Not Found"))</f>
        <v/>
      </c>
      <c r="D181" s="42" t="str">
        <f t="shared" ca="1" si="21"/>
        <v/>
      </c>
      <c r="E181" s="32"/>
      <c r="F181" s="31"/>
      <c r="G181" s="41"/>
      <c r="H181" s="56">
        <v>2.5</v>
      </c>
      <c r="I181" s="43" t="str">
        <f t="shared" si="22"/>
        <v/>
      </c>
      <c r="J181" s="43" t="str">
        <f t="shared" si="23"/>
        <v/>
      </c>
      <c r="K181" s="33" t="str">
        <f>IF(B181="","Pending",IF(M181="","⚠️ Enter Code",IF(IFERROR(VLOOKUP(L181,DB_Agents!$B:$F,4,0),"")=TEXT(M181,"0"),"Pending Approval","🔒 WRONG CODE")))</f>
        <v>Pending</v>
      </c>
      <c r="L181" s="30" t="s">
        <v>58</v>
      </c>
      <c r="M181" s="41"/>
      <c r="N181" s="22"/>
    </row>
    <row r="182" spans="1:14" ht="20.100000000000001" customHeight="1" x14ac:dyDescent="0.25">
      <c r="A182" s="30" t="str">
        <f t="shared" si="20"/>
        <v/>
      </c>
      <c r="B182" s="41"/>
      <c r="C182" s="35" t="str">
        <f>IF(B182="","",IFERROR(VLOOKUP(B182,DB_Customers!$A:$B,2,0),"❌ Account Not Found"))</f>
        <v/>
      </c>
      <c r="D182" s="42" t="str">
        <f t="shared" ca="1" si="21"/>
        <v/>
      </c>
      <c r="E182" s="32"/>
      <c r="F182" s="31"/>
      <c r="G182" s="41"/>
      <c r="H182" s="56">
        <v>2.5</v>
      </c>
      <c r="I182" s="43" t="str">
        <f t="shared" si="22"/>
        <v/>
      </c>
      <c r="J182" s="43" t="str">
        <f t="shared" si="23"/>
        <v/>
      </c>
      <c r="K182" s="33" t="str">
        <f>IF(B182="","Pending",IF(M182="","⚠️ Enter Code",IF(IFERROR(VLOOKUP(L182,DB_Agents!$B:$F,4,0),"")=TEXT(M182,"0"),"Pending Approval","🔒 WRONG CODE")))</f>
        <v>Pending</v>
      </c>
      <c r="L182" s="30" t="s">
        <v>58</v>
      </c>
      <c r="M182" s="41"/>
      <c r="N182" s="57"/>
    </row>
    <row r="183" spans="1:14" ht="20.100000000000001" customHeight="1" x14ac:dyDescent="0.25">
      <c r="A183" s="30" t="str">
        <f t="shared" si="20"/>
        <v/>
      </c>
      <c r="B183" s="41"/>
      <c r="C183" s="35" t="str">
        <f>IF(B183="","",IFERROR(VLOOKUP(B183,DB_Customers!$A:$B,2,0),"❌ Account Not Found"))</f>
        <v/>
      </c>
      <c r="D183" s="42" t="str">
        <f t="shared" ca="1" si="21"/>
        <v/>
      </c>
      <c r="E183" s="32"/>
      <c r="F183" s="31"/>
      <c r="G183" s="41"/>
      <c r="H183" s="56">
        <v>2.5</v>
      </c>
      <c r="I183" s="43" t="str">
        <f t="shared" si="22"/>
        <v/>
      </c>
      <c r="J183" s="43" t="str">
        <f t="shared" si="23"/>
        <v/>
      </c>
      <c r="K183" s="33" t="str">
        <f>IF(B183="","Pending",IF(M183="","⚠️ Enter Code",IF(IFERROR(VLOOKUP(L183,DB_Agents!$B:$F,4,0),"")=TEXT(M183,"0"),"Pending Approval","🔒 WRONG CODE")))</f>
        <v>Pending</v>
      </c>
      <c r="L183" s="30" t="s">
        <v>58</v>
      </c>
      <c r="M183" s="41"/>
      <c r="N183" s="22"/>
    </row>
    <row r="184" spans="1:14" ht="20.100000000000001" customHeight="1" x14ac:dyDescent="0.25">
      <c r="A184" s="30" t="str">
        <f t="shared" si="20"/>
        <v/>
      </c>
      <c r="B184" s="41"/>
      <c r="C184" s="35" t="str">
        <f>IF(B184="","",IFERROR(VLOOKUP(B184,DB_Customers!$A:$B,2,0),"❌ Account Not Found"))</f>
        <v/>
      </c>
      <c r="D184" s="42" t="str">
        <f t="shared" ca="1" si="21"/>
        <v/>
      </c>
      <c r="E184" s="32"/>
      <c r="F184" s="31"/>
      <c r="G184" s="41"/>
      <c r="H184" s="56">
        <v>2.5</v>
      </c>
      <c r="I184" s="43" t="str">
        <f t="shared" si="22"/>
        <v/>
      </c>
      <c r="J184" s="43" t="str">
        <f t="shared" si="23"/>
        <v/>
      </c>
      <c r="K184" s="33" t="str">
        <f>IF(B184="","Pending",IF(M184="","⚠️ Enter Code",IF(IFERROR(VLOOKUP(L184,DB_Agents!$B:$F,4,0),"")=TEXT(M184,"0"),"Pending Approval","🔒 WRONG CODE")))</f>
        <v>Pending</v>
      </c>
      <c r="L184" s="30" t="s">
        <v>58</v>
      </c>
      <c r="M184" s="41"/>
      <c r="N184" s="57"/>
    </row>
    <row r="185" spans="1:14" ht="20.100000000000001" customHeight="1" x14ac:dyDescent="0.25">
      <c r="A185" s="30" t="str">
        <f t="shared" si="20"/>
        <v/>
      </c>
      <c r="B185" s="41"/>
      <c r="C185" s="35" t="str">
        <f>IF(B185="","",IFERROR(VLOOKUP(B185,DB_Customers!$A:$B,2,0),"❌ Account Not Found"))</f>
        <v/>
      </c>
      <c r="D185" s="42" t="str">
        <f t="shared" ca="1" si="21"/>
        <v/>
      </c>
      <c r="E185" s="32"/>
      <c r="F185" s="31"/>
      <c r="G185" s="41"/>
      <c r="H185" s="56">
        <v>2.5</v>
      </c>
      <c r="I185" s="43" t="str">
        <f t="shared" si="22"/>
        <v/>
      </c>
      <c r="J185" s="43" t="str">
        <f t="shared" si="23"/>
        <v/>
      </c>
      <c r="K185" s="33" t="str">
        <f>IF(B185="","Pending",IF(M185="","⚠️ Enter Code",IF(IFERROR(VLOOKUP(L185,DB_Agents!$B:$F,4,0),"")=TEXT(M185,"0"),"Pending Approval","🔒 WRONG CODE")))</f>
        <v>Pending</v>
      </c>
      <c r="L185" s="30" t="s">
        <v>58</v>
      </c>
      <c r="M185" s="41"/>
      <c r="N185" s="22"/>
    </row>
    <row r="186" spans="1:14" ht="20.100000000000001" customHeight="1" x14ac:dyDescent="0.25">
      <c r="A186" s="30" t="str">
        <f t="shared" si="20"/>
        <v/>
      </c>
      <c r="B186" s="41"/>
      <c r="C186" s="35" t="str">
        <f>IF(B186="","",IFERROR(VLOOKUP(B186,DB_Customers!$A:$B,2,0),"❌ Account Not Found"))</f>
        <v/>
      </c>
      <c r="D186" s="42" t="str">
        <f t="shared" ca="1" si="21"/>
        <v/>
      </c>
      <c r="E186" s="32"/>
      <c r="F186" s="31"/>
      <c r="G186" s="41"/>
      <c r="H186" s="56">
        <v>2.5</v>
      </c>
      <c r="I186" s="43" t="str">
        <f t="shared" si="22"/>
        <v/>
      </c>
      <c r="J186" s="43" t="str">
        <f t="shared" si="23"/>
        <v/>
      </c>
      <c r="K186" s="33" t="str">
        <f>IF(B186="","Pending",IF(M186="","⚠️ Enter Code",IF(IFERROR(VLOOKUP(L186,DB_Agents!$B:$F,4,0),"")=TEXT(M186,"0"),"Pending Approval","🔒 WRONG CODE")))</f>
        <v>Pending</v>
      </c>
      <c r="L186" s="30" t="s">
        <v>58</v>
      </c>
      <c r="M186" s="41"/>
      <c r="N186" s="57"/>
    </row>
    <row r="187" spans="1:14" ht="20.100000000000001" customHeight="1" x14ac:dyDescent="0.25">
      <c r="A187" s="30" t="str">
        <f t="shared" si="20"/>
        <v/>
      </c>
      <c r="B187" s="41"/>
      <c r="C187" s="35" t="str">
        <f>IF(B187="","",IFERROR(VLOOKUP(B187,DB_Customers!$A:$B,2,0),"❌ Account Not Found"))</f>
        <v/>
      </c>
      <c r="D187" s="42" t="str">
        <f t="shared" ca="1" si="21"/>
        <v/>
      </c>
      <c r="E187" s="32"/>
      <c r="F187" s="31"/>
      <c r="G187" s="41"/>
      <c r="H187" s="56">
        <v>2.5</v>
      </c>
      <c r="I187" s="43" t="str">
        <f t="shared" si="22"/>
        <v/>
      </c>
      <c r="J187" s="43" t="str">
        <f t="shared" si="23"/>
        <v/>
      </c>
      <c r="K187" s="33" t="str">
        <f>IF(B187="","Pending",IF(M187="","⚠️ Enter Code",IF(IFERROR(VLOOKUP(L187,DB_Agents!$B:$F,4,0),"")=TEXT(M187,"0"),"Pending Approval","🔒 WRONG CODE")))</f>
        <v>Pending</v>
      </c>
      <c r="L187" s="30" t="s">
        <v>58</v>
      </c>
      <c r="M187" s="41"/>
      <c r="N187" s="22"/>
    </row>
    <row r="188" spans="1:14" ht="20.100000000000001" customHeight="1" x14ac:dyDescent="0.25">
      <c r="A188" s="30" t="str">
        <f t="shared" si="20"/>
        <v/>
      </c>
      <c r="B188" s="41"/>
      <c r="C188" s="35" t="str">
        <f>IF(B188="","",IFERROR(VLOOKUP(B188,DB_Customers!$A:$B,2,0),"❌ Account Not Found"))</f>
        <v/>
      </c>
      <c r="D188" s="42" t="str">
        <f t="shared" ca="1" si="21"/>
        <v/>
      </c>
      <c r="E188" s="32"/>
      <c r="F188" s="31"/>
      <c r="G188" s="41"/>
      <c r="H188" s="56">
        <v>2.5</v>
      </c>
      <c r="I188" s="43" t="str">
        <f t="shared" si="22"/>
        <v/>
      </c>
      <c r="J188" s="43" t="str">
        <f t="shared" si="23"/>
        <v/>
      </c>
      <c r="K188" s="33" t="str">
        <f>IF(B188="","Pending",IF(M188="","⚠️ Enter Code",IF(IFERROR(VLOOKUP(L188,DB_Agents!$B:$F,4,0),"")=TEXT(M188,"0"),"Pending Approval","🔒 WRONG CODE")))</f>
        <v>Pending</v>
      </c>
      <c r="L188" s="30" t="s">
        <v>58</v>
      </c>
      <c r="M188" s="41"/>
      <c r="N188" s="57"/>
    </row>
    <row r="189" spans="1:14" ht="20.100000000000001" customHeight="1" x14ac:dyDescent="0.25">
      <c r="A189" s="30" t="str">
        <f t="shared" si="20"/>
        <v/>
      </c>
      <c r="B189" s="41"/>
      <c r="C189" s="35" t="str">
        <f>IF(B189="","",IFERROR(VLOOKUP(B189,DB_Customers!$A:$B,2,0),"❌ Account Not Found"))</f>
        <v/>
      </c>
      <c r="D189" s="42" t="str">
        <f t="shared" ca="1" si="21"/>
        <v/>
      </c>
      <c r="E189" s="32"/>
      <c r="F189" s="31"/>
      <c r="G189" s="41"/>
      <c r="H189" s="56">
        <v>2.5</v>
      </c>
      <c r="I189" s="43" t="str">
        <f t="shared" si="22"/>
        <v/>
      </c>
      <c r="J189" s="43" t="str">
        <f t="shared" si="23"/>
        <v/>
      </c>
      <c r="K189" s="33" t="str">
        <f>IF(B189="","Pending",IF(M189="","⚠️ Enter Code",IF(IFERROR(VLOOKUP(L189,DB_Agents!$B:$F,4,0),"")=TEXT(M189,"0"),"Pending Approval","🔒 WRONG CODE")))</f>
        <v>Pending</v>
      </c>
      <c r="L189" s="30" t="s">
        <v>58</v>
      </c>
      <c r="M189" s="41"/>
      <c r="N189" s="22"/>
    </row>
    <row r="190" spans="1:14" ht="20.100000000000001" customHeight="1" x14ac:dyDescent="0.25">
      <c r="A190" s="30" t="str">
        <f t="shared" si="20"/>
        <v/>
      </c>
      <c r="B190" s="41"/>
      <c r="C190" s="35" t="str">
        <f>IF(B190="","",IFERROR(VLOOKUP(B190,DB_Customers!$A:$B,2,0),"❌ Account Not Found"))</f>
        <v/>
      </c>
      <c r="D190" s="42" t="str">
        <f t="shared" ca="1" si="21"/>
        <v/>
      </c>
      <c r="E190" s="32"/>
      <c r="F190" s="31"/>
      <c r="G190" s="41"/>
      <c r="H190" s="56">
        <v>2.5</v>
      </c>
      <c r="I190" s="43" t="str">
        <f t="shared" si="22"/>
        <v/>
      </c>
      <c r="J190" s="43" t="str">
        <f t="shared" si="23"/>
        <v/>
      </c>
      <c r="K190" s="33" t="str">
        <f>IF(B190="","Pending",IF(M190="","⚠️ Enter Code",IF(IFERROR(VLOOKUP(L190,DB_Agents!$B:$F,4,0),"")=TEXT(M190,"0"),"Pending Approval","🔒 WRONG CODE")))</f>
        <v>Pending</v>
      </c>
      <c r="L190" s="30" t="s">
        <v>58</v>
      </c>
      <c r="M190" s="41"/>
      <c r="N190" s="57"/>
    </row>
    <row r="191" spans="1:14" ht="20.100000000000001" customHeight="1" x14ac:dyDescent="0.25">
      <c r="A191" s="30" t="str">
        <f t="shared" si="20"/>
        <v/>
      </c>
      <c r="B191" s="41"/>
      <c r="C191" s="35" t="str">
        <f>IF(B191="","",IFERROR(VLOOKUP(B191,DB_Customers!$A:$B,2,0),"❌ Account Not Found"))</f>
        <v/>
      </c>
      <c r="D191" s="42" t="str">
        <f t="shared" ca="1" si="21"/>
        <v/>
      </c>
      <c r="E191" s="32"/>
      <c r="F191" s="31"/>
      <c r="G191" s="41"/>
      <c r="H191" s="56">
        <v>2.5</v>
      </c>
      <c r="I191" s="43" t="str">
        <f t="shared" si="22"/>
        <v/>
      </c>
      <c r="J191" s="43" t="str">
        <f t="shared" si="23"/>
        <v/>
      </c>
      <c r="K191" s="33" t="str">
        <f>IF(B191="","Pending",IF(M191="","⚠️ Enter Code",IF(IFERROR(VLOOKUP(L191,DB_Agents!$B:$F,4,0),"")=TEXT(M191,"0"),"Pending Approval","🔒 WRONG CODE")))</f>
        <v>Pending</v>
      </c>
      <c r="L191" s="30" t="s">
        <v>58</v>
      </c>
      <c r="M191" s="41"/>
      <c r="N191" s="22"/>
    </row>
    <row r="192" spans="1:14" ht="20.100000000000001" customHeight="1" x14ac:dyDescent="0.25">
      <c r="A192" s="30" t="str">
        <f t="shared" si="20"/>
        <v/>
      </c>
      <c r="B192" s="41"/>
      <c r="C192" s="35" t="str">
        <f>IF(B192="","",IFERROR(VLOOKUP(B192,DB_Customers!$A:$B,2,0),"❌ Account Not Found"))</f>
        <v/>
      </c>
      <c r="D192" s="42" t="str">
        <f t="shared" ca="1" si="21"/>
        <v/>
      </c>
      <c r="E192" s="32"/>
      <c r="F192" s="31"/>
      <c r="G192" s="41"/>
      <c r="H192" s="56">
        <v>2.5</v>
      </c>
      <c r="I192" s="43" t="str">
        <f t="shared" si="22"/>
        <v/>
      </c>
      <c r="J192" s="43" t="str">
        <f t="shared" si="23"/>
        <v/>
      </c>
      <c r="K192" s="33" t="str">
        <f>IF(B192="","Pending",IF(M192="","⚠️ Enter Code",IF(IFERROR(VLOOKUP(L192,DB_Agents!$B:$F,4,0),"")=TEXT(M192,"0"),"Pending Approval","🔒 WRONG CODE")))</f>
        <v>Pending</v>
      </c>
      <c r="L192" s="30" t="s">
        <v>58</v>
      </c>
      <c r="M192" s="41"/>
      <c r="N192" s="57"/>
    </row>
    <row r="193" spans="1:14" ht="20.100000000000001" customHeight="1" x14ac:dyDescent="0.25">
      <c r="A193" s="30" t="str">
        <f t="shared" si="20"/>
        <v/>
      </c>
      <c r="B193" s="41"/>
      <c r="C193" s="35" t="str">
        <f>IF(B193="","",IFERROR(VLOOKUP(B193,DB_Customers!$A:$B,2,0),"❌ Account Not Found"))</f>
        <v/>
      </c>
      <c r="D193" s="42" t="str">
        <f t="shared" ca="1" si="21"/>
        <v/>
      </c>
      <c r="E193" s="32"/>
      <c r="F193" s="31"/>
      <c r="G193" s="41"/>
      <c r="H193" s="56">
        <v>2.5</v>
      </c>
      <c r="I193" s="43" t="str">
        <f t="shared" si="22"/>
        <v/>
      </c>
      <c r="J193" s="43" t="str">
        <f t="shared" si="23"/>
        <v/>
      </c>
      <c r="K193" s="33" t="str">
        <f>IF(B193="","Pending",IF(M193="","⚠️ Enter Code",IF(IFERROR(VLOOKUP(L193,DB_Agents!$B:$F,4,0),"")=TEXT(M193,"0"),"Pending Approval","🔒 WRONG CODE")))</f>
        <v>Pending</v>
      </c>
      <c r="L193" s="30" t="s">
        <v>58</v>
      </c>
      <c r="M193" s="41"/>
      <c r="N193" s="22"/>
    </row>
    <row r="194" spans="1:14" ht="20.100000000000001" customHeight="1" x14ac:dyDescent="0.25">
      <c r="A194" s="30" t="str">
        <f t="shared" si="20"/>
        <v/>
      </c>
      <c r="B194" s="41"/>
      <c r="C194" s="35" t="str">
        <f>IF(B194="","",IFERROR(VLOOKUP(B194,DB_Customers!$A:$B,2,0),"❌ Account Not Found"))</f>
        <v/>
      </c>
      <c r="D194" s="42" t="str">
        <f t="shared" ca="1" si="21"/>
        <v/>
      </c>
      <c r="E194" s="32"/>
      <c r="F194" s="31"/>
      <c r="G194" s="41"/>
      <c r="H194" s="56">
        <v>2.5</v>
      </c>
      <c r="I194" s="43" t="str">
        <f t="shared" si="22"/>
        <v/>
      </c>
      <c r="J194" s="43" t="str">
        <f t="shared" si="23"/>
        <v/>
      </c>
      <c r="K194" s="33" t="str">
        <f>IF(B194="","Pending",IF(M194="","⚠️ Enter Code",IF(IFERROR(VLOOKUP(L194,DB_Agents!$B:$F,4,0),"")=TEXT(M194,"0"),"Pending Approval","🔒 WRONG CODE")))</f>
        <v>Pending</v>
      </c>
      <c r="L194" s="30" t="s">
        <v>58</v>
      </c>
      <c r="M194" s="41"/>
      <c r="N194" s="57"/>
    </row>
    <row r="195" spans="1:14" ht="20.100000000000001" customHeight="1" x14ac:dyDescent="0.25">
      <c r="A195" s="30" t="str">
        <f t="shared" si="20"/>
        <v/>
      </c>
      <c r="B195" s="41"/>
      <c r="C195" s="35" t="str">
        <f>IF(B195="","",IFERROR(VLOOKUP(B195,DB_Customers!$A:$B,2,0),"❌ Account Not Found"))</f>
        <v/>
      </c>
      <c r="D195" s="42" t="str">
        <f t="shared" ca="1" si="21"/>
        <v/>
      </c>
      <c r="E195" s="32"/>
      <c r="F195" s="31"/>
      <c r="G195" s="41"/>
      <c r="H195" s="56">
        <v>2.5</v>
      </c>
      <c r="I195" s="43" t="str">
        <f t="shared" si="22"/>
        <v/>
      </c>
      <c r="J195" s="43" t="str">
        <f t="shared" si="23"/>
        <v/>
      </c>
      <c r="K195" s="33" t="str">
        <f>IF(B195="","Pending",IF(M195="","⚠️ Enter Code",IF(IFERROR(VLOOKUP(L195,DB_Agents!$B:$F,4,0),"")=TEXT(M195,"0"),"Pending Approval","🔒 WRONG CODE")))</f>
        <v>Pending</v>
      </c>
      <c r="L195" s="30" t="s">
        <v>58</v>
      </c>
      <c r="M195" s="41"/>
      <c r="N195" s="22"/>
    </row>
    <row r="196" spans="1:14" ht="20.100000000000001" customHeight="1" x14ac:dyDescent="0.25">
      <c r="A196" s="30" t="str">
        <f t="shared" si="20"/>
        <v/>
      </c>
      <c r="B196" s="41"/>
      <c r="C196" s="35" t="str">
        <f>IF(B196="","",IFERROR(VLOOKUP(B196,DB_Customers!$A:$B,2,0),"❌ Account Not Found"))</f>
        <v/>
      </c>
      <c r="D196" s="42" t="str">
        <f t="shared" ca="1" si="21"/>
        <v/>
      </c>
      <c r="E196" s="32"/>
      <c r="F196" s="31"/>
      <c r="G196" s="41"/>
      <c r="H196" s="56">
        <v>2.5</v>
      </c>
      <c r="I196" s="43" t="str">
        <f t="shared" si="22"/>
        <v/>
      </c>
      <c r="J196" s="43" t="str">
        <f t="shared" si="23"/>
        <v/>
      </c>
      <c r="K196" s="33" t="str">
        <f>IF(B196="","Pending",IF(M196="","⚠️ Enter Code",IF(IFERROR(VLOOKUP(L196,DB_Agents!$B:$F,4,0),"")=TEXT(M196,"0"),"Pending Approval","🔒 WRONG CODE")))</f>
        <v>Pending</v>
      </c>
      <c r="L196" s="30" t="s">
        <v>58</v>
      </c>
      <c r="M196" s="41"/>
      <c r="N196" s="57"/>
    </row>
    <row r="197" spans="1:14" ht="20.100000000000001" customHeight="1" x14ac:dyDescent="0.25">
      <c r="A197" s="30" t="str">
        <f t="shared" si="20"/>
        <v/>
      </c>
      <c r="B197" s="41"/>
      <c r="C197" s="35" t="str">
        <f>IF(B197="","",IFERROR(VLOOKUP(B197,DB_Customers!$A:$B,2,0),"❌ Account Not Found"))</f>
        <v/>
      </c>
      <c r="D197" s="42" t="str">
        <f t="shared" ca="1" si="21"/>
        <v/>
      </c>
      <c r="E197" s="32"/>
      <c r="F197" s="31"/>
      <c r="G197" s="41"/>
      <c r="H197" s="56">
        <v>2.5</v>
      </c>
      <c r="I197" s="43" t="str">
        <f t="shared" si="22"/>
        <v/>
      </c>
      <c r="J197" s="43" t="str">
        <f t="shared" si="23"/>
        <v/>
      </c>
      <c r="K197" s="33" t="str">
        <f>IF(B197="","Pending",IF(M197="","⚠️ Enter Code",IF(IFERROR(VLOOKUP(L197,DB_Agents!$B:$F,4,0),"")=TEXT(M197,"0"),"Pending Approval","🔒 WRONG CODE")))</f>
        <v>Pending</v>
      </c>
      <c r="L197" s="30" t="s">
        <v>58</v>
      </c>
      <c r="M197" s="41"/>
      <c r="N197" s="22"/>
    </row>
    <row r="198" spans="1:14" ht="20.100000000000001" customHeight="1" x14ac:dyDescent="0.25">
      <c r="A198" s="30" t="str">
        <f t="shared" si="20"/>
        <v/>
      </c>
      <c r="B198" s="41"/>
      <c r="C198" s="35" t="str">
        <f>IF(B198="","",IFERROR(VLOOKUP(B198,DB_Customers!$A:$B,2,0),"❌ Account Not Found"))</f>
        <v/>
      </c>
      <c r="D198" s="42" t="str">
        <f t="shared" ca="1" si="21"/>
        <v/>
      </c>
      <c r="E198" s="32"/>
      <c r="F198" s="31"/>
      <c r="G198" s="41"/>
      <c r="H198" s="56">
        <v>2.5</v>
      </c>
      <c r="I198" s="43" t="str">
        <f t="shared" si="22"/>
        <v/>
      </c>
      <c r="J198" s="43" t="str">
        <f t="shared" si="23"/>
        <v/>
      </c>
      <c r="K198" s="33" t="str">
        <f>IF(B198="","Pending",IF(M198="","⚠️ Enter Code",IF(IFERROR(VLOOKUP(L198,DB_Agents!$B:$F,4,0),"")=TEXT(M198,"0"),"Pending Approval","🔒 WRONG CODE")))</f>
        <v>Pending</v>
      </c>
      <c r="L198" s="30" t="s">
        <v>58</v>
      </c>
      <c r="M198" s="41"/>
      <c r="N198" s="57"/>
    </row>
    <row r="199" spans="1:14" ht="20.100000000000001" customHeight="1" x14ac:dyDescent="0.25">
      <c r="A199" s="30" t="str">
        <f t="shared" si="20"/>
        <v/>
      </c>
      <c r="B199" s="41"/>
      <c r="C199" s="35" t="str">
        <f>IF(B199="","",IFERROR(VLOOKUP(B199,DB_Customers!$A:$B,2,0),"❌ Account Not Found"))</f>
        <v/>
      </c>
      <c r="D199" s="42" t="str">
        <f t="shared" ca="1" si="21"/>
        <v/>
      </c>
      <c r="E199" s="32"/>
      <c r="F199" s="31"/>
      <c r="G199" s="41"/>
      <c r="H199" s="56">
        <v>2.5</v>
      </c>
      <c r="I199" s="43" t="str">
        <f t="shared" si="22"/>
        <v/>
      </c>
      <c r="J199" s="43" t="str">
        <f t="shared" si="23"/>
        <v/>
      </c>
      <c r="K199" s="33" t="str">
        <f>IF(B199="","Pending",IF(M199="","⚠️ Enter Code",IF(IFERROR(VLOOKUP(L199,DB_Agents!$B:$F,4,0),"")=TEXT(M199,"0"),"Pending Approval","🔒 WRONG CODE")))</f>
        <v>Pending</v>
      </c>
      <c r="L199" s="30" t="s">
        <v>58</v>
      </c>
      <c r="M199" s="41"/>
      <c r="N199" s="22"/>
    </row>
    <row r="200" spans="1:14" ht="20.100000000000001" customHeight="1" x14ac:dyDescent="0.25">
      <c r="A200" s="30" t="str">
        <f t="shared" si="20"/>
        <v/>
      </c>
      <c r="B200" s="41"/>
      <c r="C200" s="35" t="str">
        <f>IF(B200="","",IFERROR(VLOOKUP(B200,DB_Customers!$A:$B,2,0),"❌ Account Not Found"))</f>
        <v/>
      </c>
      <c r="D200" s="42" t="str">
        <f t="shared" ca="1" si="21"/>
        <v/>
      </c>
      <c r="E200" s="32"/>
      <c r="F200" s="31"/>
      <c r="G200" s="41"/>
      <c r="H200" s="56">
        <v>2.5</v>
      </c>
      <c r="I200" s="43" t="str">
        <f t="shared" si="22"/>
        <v/>
      </c>
      <c r="J200" s="43" t="str">
        <f t="shared" si="23"/>
        <v/>
      </c>
      <c r="K200" s="33" t="str">
        <f>IF(B200="","Pending",IF(M200="","⚠️ Enter Code",IF(IFERROR(VLOOKUP(L200,DB_Agents!$B:$F,4,0),"")=TEXT(M200,"0"),"Pending Approval","🔒 WRONG CODE")))</f>
        <v>Pending</v>
      </c>
      <c r="L200" s="30" t="s">
        <v>58</v>
      </c>
      <c r="M200" s="41"/>
      <c r="N200" s="57"/>
    </row>
    <row r="201" spans="1:14" ht="20.100000000000001" customHeight="1" x14ac:dyDescent="0.25">
      <c r="A201" s="30" t="str">
        <f t="shared" si="20"/>
        <v/>
      </c>
      <c r="B201" s="41"/>
      <c r="C201" s="35" t="str">
        <f>IF(B201="","",IFERROR(VLOOKUP(B201,DB_Customers!$A:$B,2,0),"❌ Account Not Found"))</f>
        <v/>
      </c>
      <c r="D201" s="42" t="str">
        <f t="shared" ca="1" si="21"/>
        <v/>
      </c>
      <c r="E201" s="32"/>
      <c r="F201" s="31"/>
      <c r="G201" s="41"/>
      <c r="H201" s="56">
        <v>2.5</v>
      </c>
      <c r="I201" s="43" t="str">
        <f t="shared" si="22"/>
        <v/>
      </c>
      <c r="J201" s="43" t="str">
        <f t="shared" si="23"/>
        <v/>
      </c>
      <c r="K201" s="33" t="str">
        <f>IF(B201="","Pending",IF(M201="","⚠️ Enter Code",IF(IFERROR(VLOOKUP(L201,DB_Agents!$B:$F,4,0),"")=TEXT(M201,"0"),"Pending Approval","🔒 WRONG CODE")))</f>
        <v>Pending</v>
      </c>
      <c r="L201" s="30" t="s">
        <v>58</v>
      </c>
      <c r="M201" s="41"/>
      <c r="N201" s="22"/>
    </row>
    <row r="202" spans="1:14" ht="20.100000000000001" customHeight="1" x14ac:dyDescent="0.25">
      <c r="A202" s="30" t="str">
        <f t="shared" si="20"/>
        <v/>
      </c>
      <c r="B202" s="41"/>
      <c r="C202" s="35" t="str">
        <f>IF(B202="","",IFERROR(VLOOKUP(B202,DB_Customers!$A:$B,2,0),"❌ Account Not Found"))</f>
        <v/>
      </c>
      <c r="D202" s="42" t="str">
        <f t="shared" ca="1" si="21"/>
        <v/>
      </c>
      <c r="E202" s="32"/>
      <c r="F202" s="31"/>
      <c r="G202" s="41"/>
      <c r="H202" s="56">
        <v>2.5</v>
      </c>
      <c r="I202" s="43" t="str">
        <f t="shared" si="22"/>
        <v/>
      </c>
      <c r="J202" s="43" t="str">
        <f t="shared" si="23"/>
        <v/>
      </c>
      <c r="K202" s="33" t="str">
        <f>IF(B202="","Pending",IF(M202="","⚠️ Enter Code",IF(IFERROR(VLOOKUP(L202,DB_Agents!$B:$F,4,0),"")=TEXT(M202,"0"),"Pending Approval","🔒 WRONG CODE")))</f>
        <v>Pending</v>
      </c>
      <c r="L202" s="30" t="s">
        <v>58</v>
      </c>
      <c r="M202" s="41"/>
      <c r="N202" s="57"/>
    </row>
    <row r="203" spans="1:14" ht="20.100000000000001" customHeight="1" x14ac:dyDescent="0.25">
      <c r="A203" s="30" t="str">
        <f t="shared" si="20"/>
        <v/>
      </c>
      <c r="B203" s="41"/>
      <c r="C203" s="35" t="str">
        <f>IF(B203="","",IFERROR(VLOOKUP(B203,DB_Customers!$A:$B,2,0),"❌ Account Not Found"))</f>
        <v/>
      </c>
      <c r="D203" s="42" t="str">
        <f t="shared" ca="1" si="21"/>
        <v/>
      </c>
      <c r="E203" s="32"/>
      <c r="F203" s="31"/>
      <c r="G203" s="41"/>
      <c r="H203" s="56">
        <v>2.5</v>
      </c>
      <c r="I203" s="43" t="str">
        <f t="shared" si="22"/>
        <v/>
      </c>
      <c r="J203" s="43" t="str">
        <f t="shared" si="23"/>
        <v/>
      </c>
      <c r="K203" s="33" t="str">
        <f>IF(B203="","Pending",IF(M203="","⚠️ Enter Code",IF(IFERROR(VLOOKUP(L203,DB_Agents!$B:$F,4,0),"")=TEXT(M203,"0"),"Pending Approval","🔒 WRONG CODE")))</f>
        <v>Pending</v>
      </c>
      <c r="L203" s="30" t="s">
        <v>58</v>
      </c>
      <c r="M203" s="41"/>
      <c r="N203" s="22"/>
    </row>
    <row r="204" spans="1:14" ht="20.100000000000001" customHeight="1" x14ac:dyDescent="0.25">
      <c r="A204" s="30" t="str">
        <f t="shared" si="20"/>
        <v/>
      </c>
      <c r="B204" s="41"/>
      <c r="C204" s="35" t="str">
        <f>IF(B204="","",IFERROR(VLOOKUP(B204,DB_Customers!$A:$B,2,0),"❌ Account Not Found"))</f>
        <v/>
      </c>
      <c r="D204" s="42" t="str">
        <f t="shared" ca="1" si="21"/>
        <v/>
      </c>
      <c r="E204" s="32"/>
      <c r="F204" s="31"/>
      <c r="G204" s="41"/>
      <c r="H204" s="56">
        <v>2.5</v>
      </c>
      <c r="I204" s="43" t="str">
        <f t="shared" si="22"/>
        <v/>
      </c>
      <c r="J204" s="43" t="str">
        <f t="shared" si="23"/>
        <v/>
      </c>
      <c r="K204" s="33" t="str">
        <f>IF(B204="","Pending",IF(M204="","⚠️ Enter Code",IF(IFERROR(VLOOKUP(L204,DB_Agents!$B:$F,4,0),"")=TEXT(M204,"0"),"Pending Approval","🔒 WRONG CODE")))</f>
        <v>Pending</v>
      </c>
      <c r="L204" s="30" t="s">
        <v>58</v>
      </c>
      <c r="M204" s="41"/>
      <c r="N204" s="57"/>
    </row>
    <row r="205" spans="1:14" ht="20.100000000000001" customHeight="1" x14ac:dyDescent="0.25">
      <c r="A205" s="30" t="str">
        <f t="shared" si="20"/>
        <v/>
      </c>
      <c r="B205" s="41"/>
      <c r="C205" s="35" t="str">
        <f>IF(B205="","",IFERROR(VLOOKUP(B205,DB_Customers!$A:$B,2,0),"❌ Account Not Found"))</f>
        <v/>
      </c>
      <c r="D205" s="42" t="str">
        <f t="shared" ca="1" si="21"/>
        <v/>
      </c>
      <c r="E205" s="32"/>
      <c r="F205" s="31"/>
      <c r="G205" s="41"/>
      <c r="H205" s="56">
        <v>2.5</v>
      </c>
      <c r="I205" s="43" t="str">
        <f t="shared" si="22"/>
        <v/>
      </c>
      <c r="J205" s="43" t="str">
        <f t="shared" si="23"/>
        <v/>
      </c>
      <c r="K205" s="33" t="str">
        <f>IF(B205="","Pending",IF(M205="","⚠️ Enter Code",IF(IFERROR(VLOOKUP(L205,DB_Agents!$B:$F,4,0),"")=TEXT(M205,"0"),"Pending Approval","🔒 WRONG CODE")))</f>
        <v>Pending</v>
      </c>
      <c r="L205" s="30" t="s">
        <v>58</v>
      </c>
      <c r="M205" s="41"/>
      <c r="N205" s="22"/>
    </row>
    <row r="206" spans="1:14" ht="20.100000000000001" customHeight="1" x14ac:dyDescent="0.25">
      <c r="A206" s="30" t="str">
        <f t="shared" ref="A206:A237" si="24">IF(B206="","",IF(C206="❌ Account Not Found","INVALID","LN"&amp;TEXT(D206,"YYYYMMDD")&amp;TEXT(ROW()-13,"0000")))</f>
        <v/>
      </c>
      <c r="B206" s="41"/>
      <c r="C206" s="35" t="str">
        <f>IF(B206="","",IFERROR(VLOOKUP(B206,DB_Customers!$A:$B,2,0),"❌ Account Not Found"))</f>
        <v/>
      </c>
      <c r="D206" s="42" t="str">
        <f t="shared" ref="D206:D213" ca="1" si="25">IF(B206="","",TODAY())</f>
        <v/>
      </c>
      <c r="E206" s="32"/>
      <c r="F206" s="31"/>
      <c r="G206" s="41"/>
      <c r="H206" s="56">
        <v>2.5</v>
      </c>
      <c r="I206" s="43" t="str">
        <f t="shared" ref="I206:I237" si="26">IF(E206="","",E206+(E206*H206/100*G206))</f>
        <v/>
      </c>
      <c r="J206" s="43" t="str">
        <f t="shared" ref="J206:J237" si="27">IFERROR(I206/G206,"")</f>
        <v/>
      </c>
      <c r="K206" s="33" t="str">
        <f>IF(B206="","Pending",IF(M206="","⚠️ Enter Code",IF(IFERROR(VLOOKUP(L206,DB_Agents!$B:$F,4,0),"")=TEXT(M206,"0"),"Pending Approval","🔒 WRONG CODE")))</f>
        <v>Pending</v>
      </c>
      <c r="L206" s="30" t="s">
        <v>58</v>
      </c>
      <c r="M206" s="41"/>
      <c r="N206" s="57"/>
    </row>
    <row r="207" spans="1:14" ht="20.100000000000001" customHeight="1" x14ac:dyDescent="0.25">
      <c r="A207" s="30" t="str">
        <f t="shared" si="24"/>
        <v/>
      </c>
      <c r="B207" s="41"/>
      <c r="C207" s="35" t="str">
        <f>IF(B207="","",IFERROR(VLOOKUP(B207,DB_Customers!$A:$B,2,0),"❌ Account Not Found"))</f>
        <v/>
      </c>
      <c r="D207" s="42" t="str">
        <f t="shared" ca="1" si="25"/>
        <v/>
      </c>
      <c r="E207" s="32"/>
      <c r="F207" s="31"/>
      <c r="G207" s="41"/>
      <c r="H207" s="56">
        <v>2.5</v>
      </c>
      <c r="I207" s="43" t="str">
        <f t="shared" si="26"/>
        <v/>
      </c>
      <c r="J207" s="43" t="str">
        <f t="shared" si="27"/>
        <v/>
      </c>
      <c r="K207" s="33" t="str">
        <f>IF(B207="","Pending",IF(M207="","⚠️ Enter Code",IF(IFERROR(VLOOKUP(L207,DB_Agents!$B:$F,4,0),"")=TEXT(M207,"0"),"Pending Approval","🔒 WRONG CODE")))</f>
        <v>Pending</v>
      </c>
      <c r="L207" s="30" t="s">
        <v>58</v>
      </c>
      <c r="M207" s="41"/>
      <c r="N207" s="22"/>
    </row>
    <row r="208" spans="1:14" ht="20.100000000000001" customHeight="1" x14ac:dyDescent="0.25">
      <c r="A208" s="30" t="str">
        <f t="shared" si="24"/>
        <v/>
      </c>
      <c r="B208" s="41"/>
      <c r="C208" s="35" t="str">
        <f>IF(B208="","",IFERROR(VLOOKUP(B208,DB_Customers!$A:$B,2,0),"❌ Account Not Found"))</f>
        <v/>
      </c>
      <c r="D208" s="42" t="str">
        <f t="shared" ca="1" si="25"/>
        <v/>
      </c>
      <c r="E208" s="32"/>
      <c r="F208" s="31"/>
      <c r="G208" s="41"/>
      <c r="H208" s="56">
        <v>2.5</v>
      </c>
      <c r="I208" s="43" t="str">
        <f t="shared" si="26"/>
        <v/>
      </c>
      <c r="J208" s="43" t="str">
        <f t="shared" si="27"/>
        <v/>
      </c>
      <c r="K208" s="33" t="str">
        <f>IF(B208="","Pending",IF(M208="","⚠️ Enter Code",IF(IFERROR(VLOOKUP(L208,DB_Agents!$B:$F,4,0),"")=TEXT(M208,"0"),"Pending Approval","🔒 WRONG CODE")))</f>
        <v>Pending</v>
      </c>
      <c r="L208" s="30" t="s">
        <v>58</v>
      </c>
      <c r="M208" s="41"/>
      <c r="N208" s="57"/>
    </row>
    <row r="209" spans="1:14" ht="20.100000000000001" customHeight="1" x14ac:dyDescent="0.25">
      <c r="A209" s="30" t="str">
        <f t="shared" si="24"/>
        <v/>
      </c>
      <c r="B209" s="41"/>
      <c r="C209" s="35" t="str">
        <f>IF(B209="","",IFERROR(VLOOKUP(B209,DB_Customers!$A:$B,2,0),"❌ Account Not Found"))</f>
        <v/>
      </c>
      <c r="D209" s="42" t="str">
        <f t="shared" ca="1" si="25"/>
        <v/>
      </c>
      <c r="E209" s="32"/>
      <c r="F209" s="31"/>
      <c r="G209" s="41"/>
      <c r="H209" s="56">
        <v>2.5</v>
      </c>
      <c r="I209" s="43" t="str">
        <f t="shared" si="26"/>
        <v/>
      </c>
      <c r="J209" s="43" t="str">
        <f t="shared" si="27"/>
        <v/>
      </c>
      <c r="K209" s="33" t="str">
        <f>IF(B209="","Pending",IF(M209="","⚠️ Enter Code",IF(IFERROR(VLOOKUP(L209,DB_Agents!$B:$F,4,0),"")=TEXT(M209,"0"),"Pending Approval","🔒 WRONG CODE")))</f>
        <v>Pending</v>
      </c>
      <c r="L209" s="30" t="s">
        <v>58</v>
      </c>
      <c r="M209" s="41"/>
      <c r="N209" s="22"/>
    </row>
    <row r="210" spans="1:14" ht="20.100000000000001" customHeight="1" x14ac:dyDescent="0.25">
      <c r="A210" s="30" t="str">
        <f t="shared" si="24"/>
        <v/>
      </c>
      <c r="B210" s="41"/>
      <c r="C210" s="35" t="str">
        <f>IF(B210="","",IFERROR(VLOOKUP(B210,DB_Customers!$A:$B,2,0),"❌ Account Not Found"))</f>
        <v/>
      </c>
      <c r="D210" s="42" t="str">
        <f t="shared" ca="1" si="25"/>
        <v/>
      </c>
      <c r="E210" s="32"/>
      <c r="F210" s="31"/>
      <c r="G210" s="41"/>
      <c r="H210" s="56">
        <v>2.5</v>
      </c>
      <c r="I210" s="43" t="str">
        <f t="shared" si="26"/>
        <v/>
      </c>
      <c r="J210" s="43" t="str">
        <f t="shared" si="27"/>
        <v/>
      </c>
      <c r="K210" s="33" t="str">
        <f>IF(B210="","Pending",IF(M210="","⚠️ Enter Code",IF(IFERROR(VLOOKUP(L210,DB_Agents!$B:$F,4,0),"")=TEXT(M210,"0"),"Pending Approval","🔒 WRONG CODE")))</f>
        <v>Pending</v>
      </c>
      <c r="L210" s="30" t="s">
        <v>58</v>
      </c>
      <c r="M210" s="41"/>
      <c r="N210" s="57"/>
    </row>
    <row r="211" spans="1:14" ht="20.100000000000001" customHeight="1" x14ac:dyDescent="0.25">
      <c r="A211" s="30" t="str">
        <f t="shared" si="24"/>
        <v/>
      </c>
      <c r="B211" s="41"/>
      <c r="C211" s="35" t="str">
        <f>IF(B211="","",IFERROR(VLOOKUP(B211,DB_Customers!$A:$B,2,0),"❌ Account Not Found"))</f>
        <v/>
      </c>
      <c r="D211" s="42" t="str">
        <f t="shared" ca="1" si="25"/>
        <v/>
      </c>
      <c r="E211" s="32"/>
      <c r="F211" s="31"/>
      <c r="G211" s="41"/>
      <c r="H211" s="56">
        <v>2.5</v>
      </c>
      <c r="I211" s="43" t="str">
        <f t="shared" si="26"/>
        <v/>
      </c>
      <c r="J211" s="43" t="str">
        <f t="shared" si="27"/>
        <v/>
      </c>
      <c r="K211" s="33" t="str">
        <f>IF(B211="","Pending",IF(M211="","⚠️ Enter Code",IF(IFERROR(VLOOKUP(L211,DB_Agents!$B:$F,4,0),"")=TEXT(M211,"0"),"Pending Approval","🔒 WRONG CODE")))</f>
        <v>Pending</v>
      </c>
      <c r="L211" s="30" t="s">
        <v>58</v>
      </c>
      <c r="M211" s="41"/>
      <c r="N211" s="22"/>
    </row>
    <row r="212" spans="1:14" ht="20.100000000000001" customHeight="1" x14ac:dyDescent="0.25">
      <c r="A212" s="30" t="str">
        <f t="shared" si="24"/>
        <v/>
      </c>
      <c r="B212" s="41"/>
      <c r="C212" s="35" t="str">
        <f>IF(B212="","",IFERROR(VLOOKUP(B212,DB_Customers!$A:$B,2,0),"❌ Account Not Found"))</f>
        <v/>
      </c>
      <c r="D212" s="42" t="str">
        <f t="shared" ca="1" si="25"/>
        <v/>
      </c>
      <c r="E212" s="32"/>
      <c r="F212" s="31"/>
      <c r="G212" s="41"/>
      <c r="H212" s="56">
        <v>2.5</v>
      </c>
      <c r="I212" s="43" t="str">
        <f t="shared" si="26"/>
        <v/>
      </c>
      <c r="J212" s="43" t="str">
        <f t="shared" si="27"/>
        <v/>
      </c>
      <c r="K212" s="33" t="str">
        <f>IF(B212="","Pending",IF(M212="","⚠️ Enter Code",IF(IFERROR(VLOOKUP(L212,DB_Agents!$B:$F,4,0),"")=TEXT(M212,"0"),"Pending Approval","🔒 WRONG CODE")))</f>
        <v>Pending</v>
      </c>
      <c r="L212" s="30" t="s">
        <v>58</v>
      </c>
      <c r="M212" s="41"/>
      <c r="N212" s="57"/>
    </row>
    <row r="213" spans="1:14" ht="20.100000000000001" customHeight="1" x14ac:dyDescent="0.25">
      <c r="A213" s="30" t="str">
        <f t="shared" si="24"/>
        <v/>
      </c>
      <c r="B213" s="41"/>
      <c r="C213" s="35" t="str">
        <f>IF(B213="","",IFERROR(VLOOKUP(B213,DB_Customers!$A:$B,2,0),"❌ Account Not Found"))</f>
        <v/>
      </c>
      <c r="D213" s="42" t="str">
        <f t="shared" ca="1" si="25"/>
        <v/>
      </c>
      <c r="E213" s="32"/>
      <c r="F213" s="31"/>
      <c r="G213" s="41"/>
      <c r="H213" s="56">
        <v>2.5</v>
      </c>
      <c r="I213" s="43" t="str">
        <f t="shared" si="26"/>
        <v/>
      </c>
      <c r="J213" s="43" t="str">
        <f t="shared" si="27"/>
        <v/>
      </c>
      <c r="K213" s="33" t="str">
        <f>IF(B213="","Pending",IF(M213="","⚠️ Enter Code",IF(IFERROR(VLOOKUP(L213,DB_Agents!$B:$F,4,0),"")=TEXT(M213,"0"),"Pending Approval","🔒 WRONG CODE")))</f>
        <v>Pending</v>
      </c>
      <c r="L213" s="30" t="s">
        <v>58</v>
      </c>
      <c r="M213" s="41"/>
      <c r="N213" s="22"/>
    </row>
  </sheetData>
  <mergeCells count="3">
    <mergeCell ref="A12:N12"/>
    <mergeCell ref="A2:N2"/>
    <mergeCell ref="A1:N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2.1" customHeight="1" x14ac:dyDescent="0.25">
      <c r="A1" s="93" t="s">
        <v>188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1.95" customHeight="1" x14ac:dyDescent="0.25">
      <c r="A2" s="97" t="s">
        <v>189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20.100000000000001" customHeight="1" x14ac:dyDescent="0.25">
      <c r="A3" s="44" t="s">
        <v>126</v>
      </c>
      <c r="D3" s="44" t="s">
        <v>127</v>
      </c>
      <c r="G3" s="44" t="s">
        <v>128</v>
      </c>
    </row>
    <row r="4" spans="1:11" ht="24" customHeight="1" x14ac:dyDescent="0.25">
      <c r="A4" s="45">
        <f ca="1">IFERROR(SUMIFS(DB_Savings!$F:$F,DB_Savings!$D:$D,"Agent 06",DB_Savings!$E:$E,TODAY()),0)</f>
        <v>0</v>
      </c>
      <c r="D4" s="45">
        <f ca="1">IFERROR(COUNTIFS(DB_Savings!$D:$D,"Agent 06",DB_Savings!$E:$E,TODAY()),0)</f>
        <v>0</v>
      </c>
      <c r="G4" s="45" t="str">
        <f ca="1">TEXT(TODAY(),"DDDD, DD MMMM YYYY")</f>
        <v>Saturday, 25 April 2026</v>
      </c>
    </row>
    <row r="6" spans="1:11" ht="26.1" customHeight="1" x14ac:dyDescent="0.25">
      <c r="A6" s="97" t="s">
        <v>129</v>
      </c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ht="21.95" customHeight="1" x14ac:dyDescent="0.25">
      <c r="A7" s="90" t="s">
        <v>190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spans="1:11" ht="30" customHeight="1" x14ac:dyDescent="0.25">
      <c r="A8" s="19" t="s">
        <v>131</v>
      </c>
      <c r="B8" s="19" t="s">
        <v>69</v>
      </c>
      <c r="C8" s="19" t="s">
        <v>84</v>
      </c>
      <c r="D8" s="19" t="s">
        <v>91</v>
      </c>
      <c r="E8" s="19" t="s">
        <v>132</v>
      </c>
      <c r="F8" s="19" t="s">
        <v>133</v>
      </c>
      <c r="G8" s="19" t="s">
        <v>45</v>
      </c>
      <c r="H8" s="19" t="s">
        <v>134</v>
      </c>
      <c r="I8" s="19" t="s">
        <v>77</v>
      </c>
      <c r="J8" s="19" t="s">
        <v>135</v>
      </c>
      <c r="K8" s="19" t="s">
        <v>95</v>
      </c>
    </row>
    <row r="9" spans="1:11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IF(A9="","",IFERROR(VLOOKUP(A9,DB_Customers!$A:$M,13,0),""))</f>
        <v/>
      </c>
      <c r="D9" s="42" t="str">
        <f t="shared" ref="D9:D40" ca="1" si="0">IF(A9="","",TODAY())</f>
        <v/>
      </c>
      <c r="E9" s="32"/>
      <c r="F9" s="43" t="str">
        <f t="shared" ref="F9:F40" si="1">IFERROR(IF(OR(A9="",E9=""),"",C9+E9),"")</f>
        <v/>
      </c>
      <c r="G9" s="30" t="s">
        <v>59</v>
      </c>
      <c r="H9" s="41"/>
      <c r="I9" s="33" t="str">
        <f>IF(A9="","",IF(H9="","⚠️ Enter Agent Code",IF(IFERROR(VLOOKUP(G9,DB_Agents!$B:$F,4,0),"")=TEXT(H9,"0"),IF(AND(A9&lt;&gt;"",E9&lt;&gt;""),"✅ Saved","Pending"),"🔒 WRONG CODE")))</f>
        <v/>
      </c>
      <c r="J9" s="33" t="str">
        <f t="shared" ref="J9:J40" ca="1" si="2">IF(I9="✅ Saved",TEXT(TODAY(),"YYYY-MM-DD")&amp;" Auto","—")</f>
        <v>—</v>
      </c>
      <c r="K9" s="22"/>
    </row>
    <row r="10" spans="1:11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IF(A10="","",IFERROR(VLOOKUP(A10,DB_Customers!$A:$M,13,0),""))</f>
        <v/>
      </c>
      <c r="D10" s="42" t="str">
        <f t="shared" ca="1" si="0"/>
        <v/>
      </c>
      <c r="E10" s="32"/>
      <c r="F10" s="43" t="str">
        <f t="shared" si="1"/>
        <v/>
      </c>
      <c r="G10" s="30" t="s">
        <v>59</v>
      </c>
      <c r="H10" s="41"/>
      <c r="I10" s="33" t="str">
        <f>IF(A10="","",IF(H10="","⚠️ Enter Agent Code",IF(IFERROR(VLOOKUP(G10,DB_Agents!$B:$F,4,0),"")=TEXT(H10,"0"),IF(AND(A10&lt;&gt;"",E10&lt;&gt;""),"✅ Saved","Pending"),"🔒 WRONG CODE")))</f>
        <v/>
      </c>
      <c r="J10" s="33" t="str">
        <f t="shared" ca="1" si="2"/>
        <v>—</v>
      </c>
      <c r="K10" s="46"/>
    </row>
    <row r="11" spans="1:11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IF(A11="","",IFERROR(VLOOKUP(A11,DB_Customers!$A:$M,13,0),""))</f>
        <v/>
      </c>
      <c r="D11" s="42" t="str">
        <f t="shared" ca="1" si="0"/>
        <v/>
      </c>
      <c r="E11" s="32"/>
      <c r="F11" s="43" t="str">
        <f t="shared" si="1"/>
        <v/>
      </c>
      <c r="G11" s="30" t="s">
        <v>59</v>
      </c>
      <c r="H11" s="41"/>
      <c r="I11" s="33" t="str">
        <f>IF(A11="","",IF(H11="","⚠️ Enter Agent Code",IF(IFERROR(VLOOKUP(G11,DB_Agents!$B:$F,4,0),"")=TEXT(H11,"0"),IF(AND(A11&lt;&gt;"",E11&lt;&gt;""),"✅ Saved","Pending"),"🔒 WRONG CODE")))</f>
        <v/>
      </c>
      <c r="J11" s="33" t="str">
        <f t="shared" ca="1" si="2"/>
        <v>—</v>
      </c>
      <c r="K11" s="22"/>
    </row>
    <row r="12" spans="1:11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IF(A12="","",IFERROR(VLOOKUP(A12,DB_Customers!$A:$M,13,0),""))</f>
        <v/>
      </c>
      <c r="D12" s="42" t="str">
        <f t="shared" ca="1" si="0"/>
        <v/>
      </c>
      <c r="E12" s="32"/>
      <c r="F12" s="43" t="str">
        <f t="shared" si="1"/>
        <v/>
      </c>
      <c r="G12" s="30" t="s">
        <v>59</v>
      </c>
      <c r="H12" s="41"/>
      <c r="I12" s="33" t="str">
        <f>IF(A12="","",IF(H12="","⚠️ Enter Agent Code",IF(IFERROR(VLOOKUP(G12,DB_Agents!$B:$F,4,0),"")=TEXT(H12,"0"),IF(AND(A12&lt;&gt;"",E12&lt;&gt;""),"✅ Saved","Pending"),"🔒 WRONG CODE")))</f>
        <v/>
      </c>
      <c r="J12" s="33" t="str">
        <f t="shared" ca="1" si="2"/>
        <v>—</v>
      </c>
      <c r="K12" s="46"/>
    </row>
    <row r="13" spans="1:11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IF(A13="","",IFERROR(VLOOKUP(A13,DB_Customers!$A:$M,13,0),""))</f>
        <v/>
      </c>
      <c r="D13" s="42" t="str">
        <f t="shared" ca="1" si="0"/>
        <v/>
      </c>
      <c r="E13" s="32"/>
      <c r="F13" s="43" t="str">
        <f t="shared" si="1"/>
        <v/>
      </c>
      <c r="G13" s="30" t="s">
        <v>59</v>
      </c>
      <c r="H13" s="41"/>
      <c r="I13" s="33" t="str">
        <f>IF(A13="","",IF(H13="","⚠️ Enter Agent Code",IF(IFERROR(VLOOKUP(G13,DB_Agents!$B:$F,4,0),"")=TEXT(H13,"0"),IF(AND(A13&lt;&gt;"",E13&lt;&gt;""),"✅ Saved","Pending"),"🔒 WRONG CODE")))</f>
        <v/>
      </c>
      <c r="J13" s="33" t="str">
        <f t="shared" ca="1" si="2"/>
        <v>—</v>
      </c>
      <c r="K13" s="22"/>
    </row>
    <row r="14" spans="1:11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IF(A14="","",IFERROR(VLOOKUP(A14,DB_Customers!$A:$M,13,0),""))</f>
        <v/>
      </c>
      <c r="D14" s="42" t="str">
        <f t="shared" ca="1" si="0"/>
        <v/>
      </c>
      <c r="E14" s="32"/>
      <c r="F14" s="43" t="str">
        <f t="shared" si="1"/>
        <v/>
      </c>
      <c r="G14" s="30" t="s">
        <v>59</v>
      </c>
      <c r="H14" s="41"/>
      <c r="I14" s="33" t="str">
        <f>IF(A14="","",IF(H14="","⚠️ Enter Agent Code",IF(IFERROR(VLOOKUP(G14,DB_Agents!$B:$F,4,0),"")=TEXT(H14,"0"),IF(AND(A14&lt;&gt;"",E14&lt;&gt;""),"✅ Saved","Pending"),"🔒 WRONG CODE")))</f>
        <v/>
      </c>
      <c r="J14" s="33" t="str">
        <f t="shared" ca="1" si="2"/>
        <v>—</v>
      </c>
      <c r="K14" s="46"/>
    </row>
    <row r="15" spans="1:11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IF(A15="","",IFERROR(VLOOKUP(A15,DB_Customers!$A:$M,13,0),""))</f>
        <v/>
      </c>
      <c r="D15" s="42" t="str">
        <f t="shared" ca="1" si="0"/>
        <v/>
      </c>
      <c r="E15" s="32"/>
      <c r="F15" s="43" t="str">
        <f t="shared" si="1"/>
        <v/>
      </c>
      <c r="G15" s="30" t="s">
        <v>59</v>
      </c>
      <c r="H15" s="41"/>
      <c r="I15" s="33" t="str">
        <f>IF(A15="","",IF(H15="","⚠️ Enter Agent Code",IF(IFERROR(VLOOKUP(G15,DB_Agents!$B:$F,4,0),"")=TEXT(H15,"0"),IF(AND(A15&lt;&gt;"",E15&lt;&gt;""),"✅ Saved","Pending"),"🔒 WRONG CODE")))</f>
        <v/>
      </c>
      <c r="J15" s="33" t="str">
        <f t="shared" ca="1" si="2"/>
        <v>—</v>
      </c>
      <c r="K15" s="22"/>
    </row>
    <row r="16" spans="1:11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IF(A16="","",IFERROR(VLOOKUP(A16,DB_Customers!$A:$M,13,0),""))</f>
        <v/>
      </c>
      <c r="D16" s="42" t="str">
        <f t="shared" ca="1" si="0"/>
        <v/>
      </c>
      <c r="E16" s="32"/>
      <c r="F16" s="43" t="str">
        <f t="shared" si="1"/>
        <v/>
      </c>
      <c r="G16" s="30" t="s">
        <v>59</v>
      </c>
      <c r="H16" s="41"/>
      <c r="I16" s="33" t="str">
        <f>IF(A16="","",IF(H16="","⚠️ Enter Agent Code",IF(IFERROR(VLOOKUP(G16,DB_Agents!$B:$F,4,0),"")=TEXT(H16,"0"),IF(AND(A16&lt;&gt;"",E16&lt;&gt;""),"✅ Saved","Pending"),"🔒 WRONG CODE")))</f>
        <v/>
      </c>
      <c r="J16" s="33" t="str">
        <f t="shared" ca="1" si="2"/>
        <v>—</v>
      </c>
      <c r="K16" s="46"/>
    </row>
    <row r="17" spans="1:11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IF(A17="","",IFERROR(VLOOKUP(A17,DB_Customers!$A:$M,13,0),""))</f>
        <v/>
      </c>
      <c r="D17" s="42" t="str">
        <f t="shared" ca="1" si="0"/>
        <v/>
      </c>
      <c r="E17" s="32"/>
      <c r="F17" s="43" t="str">
        <f t="shared" si="1"/>
        <v/>
      </c>
      <c r="G17" s="30" t="s">
        <v>59</v>
      </c>
      <c r="H17" s="41"/>
      <c r="I17" s="33" t="str">
        <f>IF(A17="","",IF(H17="","⚠️ Enter Agent Code",IF(IFERROR(VLOOKUP(G17,DB_Agents!$B:$F,4,0),"")=TEXT(H17,"0"),IF(AND(A17&lt;&gt;"",E17&lt;&gt;""),"✅ Saved","Pending"),"🔒 WRONG CODE")))</f>
        <v/>
      </c>
      <c r="J17" s="33" t="str">
        <f t="shared" ca="1" si="2"/>
        <v>—</v>
      </c>
      <c r="K17" s="22"/>
    </row>
    <row r="18" spans="1:11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IF(A18="","",IFERROR(VLOOKUP(A18,DB_Customers!$A:$M,13,0),""))</f>
        <v/>
      </c>
      <c r="D18" s="42" t="str">
        <f t="shared" ca="1" si="0"/>
        <v/>
      </c>
      <c r="E18" s="32"/>
      <c r="F18" s="43" t="str">
        <f t="shared" si="1"/>
        <v/>
      </c>
      <c r="G18" s="30" t="s">
        <v>59</v>
      </c>
      <c r="H18" s="41"/>
      <c r="I18" s="33" t="str">
        <f>IF(A18="","",IF(H18="","⚠️ Enter Agent Code",IF(IFERROR(VLOOKUP(G18,DB_Agents!$B:$F,4,0),"")=TEXT(H18,"0"),IF(AND(A18&lt;&gt;"",E18&lt;&gt;""),"✅ Saved","Pending"),"🔒 WRONG CODE")))</f>
        <v/>
      </c>
      <c r="J18" s="33" t="str">
        <f t="shared" ca="1" si="2"/>
        <v>—</v>
      </c>
      <c r="K18" s="46"/>
    </row>
    <row r="19" spans="1:11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IF(A19="","",IFERROR(VLOOKUP(A19,DB_Customers!$A:$M,13,0),""))</f>
        <v/>
      </c>
      <c r="D19" s="42" t="str">
        <f t="shared" ca="1" si="0"/>
        <v/>
      </c>
      <c r="E19" s="32"/>
      <c r="F19" s="43" t="str">
        <f t="shared" si="1"/>
        <v/>
      </c>
      <c r="G19" s="30" t="s">
        <v>59</v>
      </c>
      <c r="H19" s="41"/>
      <c r="I19" s="33" t="str">
        <f>IF(A19="","",IF(H19="","⚠️ Enter Agent Code",IF(IFERROR(VLOOKUP(G19,DB_Agents!$B:$F,4,0),"")=TEXT(H19,"0"),IF(AND(A19&lt;&gt;"",E19&lt;&gt;""),"✅ Saved","Pending"),"🔒 WRONG CODE")))</f>
        <v/>
      </c>
      <c r="J19" s="33" t="str">
        <f t="shared" ca="1" si="2"/>
        <v>—</v>
      </c>
      <c r="K19" s="22"/>
    </row>
    <row r="20" spans="1:11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IF(A20="","",IFERROR(VLOOKUP(A20,DB_Customers!$A:$M,13,0),""))</f>
        <v/>
      </c>
      <c r="D20" s="42" t="str">
        <f t="shared" ca="1" si="0"/>
        <v/>
      </c>
      <c r="E20" s="32"/>
      <c r="F20" s="43" t="str">
        <f t="shared" si="1"/>
        <v/>
      </c>
      <c r="G20" s="30" t="s">
        <v>59</v>
      </c>
      <c r="H20" s="41"/>
      <c r="I20" s="33" t="str">
        <f>IF(A20="","",IF(H20="","⚠️ Enter Agent Code",IF(IFERROR(VLOOKUP(G20,DB_Agents!$B:$F,4,0),"")=TEXT(H20,"0"),IF(AND(A20&lt;&gt;"",E20&lt;&gt;""),"✅ Saved","Pending"),"🔒 WRONG CODE")))</f>
        <v/>
      </c>
      <c r="J20" s="33" t="str">
        <f t="shared" ca="1" si="2"/>
        <v>—</v>
      </c>
      <c r="K20" s="46"/>
    </row>
    <row r="21" spans="1:11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IF(A21="","",IFERROR(VLOOKUP(A21,DB_Customers!$A:$M,13,0),""))</f>
        <v/>
      </c>
      <c r="D21" s="42" t="str">
        <f t="shared" ca="1" si="0"/>
        <v/>
      </c>
      <c r="E21" s="32"/>
      <c r="F21" s="43" t="str">
        <f t="shared" si="1"/>
        <v/>
      </c>
      <c r="G21" s="30" t="s">
        <v>59</v>
      </c>
      <c r="H21" s="41"/>
      <c r="I21" s="33" t="str">
        <f>IF(A21="","",IF(H21="","⚠️ Enter Agent Code",IF(IFERROR(VLOOKUP(G21,DB_Agents!$B:$F,4,0),"")=TEXT(H21,"0"),IF(AND(A21&lt;&gt;"",E21&lt;&gt;""),"✅ Saved","Pending"),"🔒 WRONG CODE")))</f>
        <v/>
      </c>
      <c r="J21" s="33" t="str">
        <f t="shared" ca="1" si="2"/>
        <v>—</v>
      </c>
      <c r="K21" s="22"/>
    </row>
    <row r="22" spans="1:11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IF(A22="","",IFERROR(VLOOKUP(A22,DB_Customers!$A:$M,13,0),""))</f>
        <v/>
      </c>
      <c r="D22" s="42" t="str">
        <f t="shared" ca="1" si="0"/>
        <v/>
      </c>
      <c r="E22" s="32"/>
      <c r="F22" s="43" t="str">
        <f t="shared" si="1"/>
        <v/>
      </c>
      <c r="G22" s="30" t="s">
        <v>59</v>
      </c>
      <c r="H22" s="41"/>
      <c r="I22" s="33" t="str">
        <f>IF(A22="","",IF(H22="","⚠️ Enter Agent Code",IF(IFERROR(VLOOKUP(G22,DB_Agents!$B:$F,4,0),"")=TEXT(H22,"0"),IF(AND(A22&lt;&gt;"",E22&lt;&gt;""),"✅ Saved","Pending"),"🔒 WRONG CODE")))</f>
        <v/>
      </c>
      <c r="J22" s="33" t="str">
        <f t="shared" ca="1" si="2"/>
        <v>—</v>
      </c>
      <c r="K22" s="46"/>
    </row>
    <row r="23" spans="1:11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IF(A23="","",IFERROR(VLOOKUP(A23,DB_Customers!$A:$M,13,0),""))</f>
        <v/>
      </c>
      <c r="D23" s="42" t="str">
        <f t="shared" ca="1" si="0"/>
        <v/>
      </c>
      <c r="E23" s="32"/>
      <c r="F23" s="43" t="str">
        <f t="shared" si="1"/>
        <v/>
      </c>
      <c r="G23" s="30" t="s">
        <v>59</v>
      </c>
      <c r="H23" s="41"/>
      <c r="I23" s="33" t="str">
        <f>IF(A23="","",IF(H23="","⚠️ Enter Agent Code",IF(IFERROR(VLOOKUP(G23,DB_Agents!$B:$F,4,0),"")=TEXT(H23,"0"),IF(AND(A23&lt;&gt;"",E23&lt;&gt;""),"✅ Saved","Pending"),"🔒 WRONG CODE")))</f>
        <v/>
      </c>
      <c r="J23" s="33" t="str">
        <f t="shared" ca="1" si="2"/>
        <v>—</v>
      </c>
      <c r="K23" s="22"/>
    </row>
    <row r="24" spans="1:11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IF(A24="","",IFERROR(VLOOKUP(A24,DB_Customers!$A:$M,13,0),""))</f>
        <v/>
      </c>
      <c r="D24" s="42" t="str">
        <f t="shared" ca="1" si="0"/>
        <v/>
      </c>
      <c r="E24" s="32"/>
      <c r="F24" s="43" t="str">
        <f t="shared" si="1"/>
        <v/>
      </c>
      <c r="G24" s="30" t="s">
        <v>59</v>
      </c>
      <c r="H24" s="41"/>
      <c r="I24" s="33" t="str">
        <f>IF(A24="","",IF(H24="","⚠️ Enter Agent Code",IF(IFERROR(VLOOKUP(G24,DB_Agents!$B:$F,4,0),"")=TEXT(H24,"0"),IF(AND(A24&lt;&gt;"",E24&lt;&gt;""),"✅ Saved","Pending"),"🔒 WRONG CODE")))</f>
        <v/>
      </c>
      <c r="J24" s="33" t="str">
        <f t="shared" ca="1" si="2"/>
        <v>—</v>
      </c>
      <c r="K24" s="46"/>
    </row>
    <row r="25" spans="1:11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IF(A25="","",IFERROR(VLOOKUP(A25,DB_Customers!$A:$M,13,0),""))</f>
        <v/>
      </c>
      <c r="D25" s="42" t="str">
        <f t="shared" ca="1" si="0"/>
        <v/>
      </c>
      <c r="E25" s="32"/>
      <c r="F25" s="43" t="str">
        <f t="shared" si="1"/>
        <v/>
      </c>
      <c r="G25" s="30" t="s">
        <v>59</v>
      </c>
      <c r="H25" s="41"/>
      <c r="I25" s="33" t="str">
        <f>IF(A25="","",IF(H25="","⚠️ Enter Agent Code",IF(IFERROR(VLOOKUP(G25,DB_Agents!$B:$F,4,0),"")=TEXT(H25,"0"),IF(AND(A25&lt;&gt;"",E25&lt;&gt;""),"✅ Saved","Pending"),"🔒 WRONG CODE")))</f>
        <v/>
      </c>
      <c r="J25" s="33" t="str">
        <f t="shared" ca="1" si="2"/>
        <v>—</v>
      </c>
      <c r="K25" s="22"/>
    </row>
    <row r="26" spans="1:11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IF(A26="","",IFERROR(VLOOKUP(A26,DB_Customers!$A:$M,13,0),""))</f>
        <v/>
      </c>
      <c r="D26" s="42" t="str">
        <f t="shared" ca="1" si="0"/>
        <v/>
      </c>
      <c r="E26" s="32"/>
      <c r="F26" s="43" t="str">
        <f t="shared" si="1"/>
        <v/>
      </c>
      <c r="G26" s="30" t="s">
        <v>59</v>
      </c>
      <c r="H26" s="41"/>
      <c r="I26" s="33" t="str">
        <f>IF(A26="","",IF(H26="","⚠️ Enter Agent Code",IF(IFERROR(VLOOKUP(G26,DB_Agents!$B:$F,4,0),"")=TEXT(H26,"0"),IF(AND(A26&lt;&gt;"",E26&lt;&gt;""),"✅ Saved","Pending"),"🔒 WRONG CODE")))</f>
        <v/>
      </c>
      <c r="J26" s="33" t="str">
        <f t="shared" ca="1" si="2"/>
        <v>—</v>
      </c>
      <c r="K26" s="46"/>
    </row>
    <row r="27" spans="1:11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IF(A27="","",IFERROR(VLOOKUP(A27,DB_Customers!$A:$M,13,0),""))</f>
        <v/>
      </c>
      <c r="D27" s="42" t="str">
        <f t="shared" ca="1" si="0"/>
        <v/>
      </c>
      <c r="E27" s="32"/>
      <c r="F27" s="43" t="str">
        <f t="shared" si="1"/>
        <v/>
      </c>
      <c r="G27" s="30" t="s">
        <v>59</v>
      </c>
      <c r="H27" s="41"/>
      <c r="I27" s="33" t="str">
        <f>IF(A27="","",IF(H27="","⚠️ Enter Agent Code",IF(IFERROR(VLOOKUP(G27,DB_Agents!$B:$F,4,0),"")=TEXT(H27,"0"),IF(AND(A27&lt;&gt;"",E27&lt;&gt;""),"✅ Saved","Pending"),"🔒 WRONG CODE")))</f>
        <v/>
      </c>
      <c r="J27" s="33" t="str">
        <f t="shared" ca="1" si="2"/>
        <v>—</v>
      </c>
      <c r="K27" s="22"/>
    </row>
    <row r="28" spans="1:11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IF(A28="","",IFERROR(VLOOKUP(A28,DB_Customers!$A:$M,13,0),""))</f>
        <v/>
      </c>
      <c r="D28" s="42" t="str">
        <f t="shared" ca="1" si="0"/>
        <v/>
      </c>
      <c r="E28" s="32"/>
      <c r="F28" s="43" t="str">
        <f t="shared" si="1"/>
        <v/>
      </c>
      <c r="G28" s="30" t="s">
        <v>59</v>
      </c>
      <c r="H28" s="41"/>
      <c r="I28" s="33" t="str">
        <f>IF(A28="","",IF(H28="","⚠️ Enter Agent Code",IF(IFERROR(VLOOKUP(G28,DB_Agents!$B:$F,4,0),"")=TEXT(H28,"0"),IF(AND(A28&lt;&gt;"",E28&lt;&gt;""),"✅ Saved","Pending"),"🔒 WRONG CODE")))</f>
        <v/>
      </c>
      <c r="J28" s="33" t="str">
        <f t="shared" ca="1" si="2"/>
        <v>—</v>
      </c>
      <c r="K28" s="46"/>
    </row>
    <row r="29" spans="1:11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IF(A29="","",IFERROR(VLOOKUP(A29,DB_Customers!$A:$M,13,0),""))</f>
        <v/>
      </c>
      <c r="D29" s="42" t="str">
        <f t="shared" ca="1" si="0"/>
        <v/>
      </c>
      <c r="E29" s="32"/>
      <c r="F29" s="43" t="str">
        <f t="shared" si="1"/>
        <v/>
      </c>
      <c r="G29" s="30" t="s">
        <v>59</v>
      </c>
      <c r="H29" s="41"/>
      <c r="I29" s="33" t="str">
        <f>IF(A29="","",IF(H29="","⚠️ Enter Agent Code",IF(IFERROR(VLOOKUP(G29,DB_Agents!$B:$F,4,0),"")=TEXT(H29,"0"),IF(AND(A29&lt;&gt;"",E29&lt;&gt;""),"✅ Saved","Pending"),"🔒 WRONG CODE")))</f>
        <v/>
      </c>
      <c r="J29" s="33" t="str">
        <f t="shared" ca="1" si="2"/>
        <v>—</v>
      </c>
      <c r="K29" s="22"/>
    </row>
    <row r="30" spans="1:11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IF(A30="","",IFERROR(VLOOKUP(A30,DB_Customers!$A:$M,13,0),""))</f>
        <v/>
      </c>
      <c r="D30" s="42" t="str">
        <f t="shared" ca="1" si="0"/>
        <v/>
      </c>
      <c r="E30" s="32"/>
      <c r="F30" s="43" t="str">
        <f t="shared" si="1"/>
        <v/>
      </c>
      <c r="G30" s="30" t="s">
        <v>59</v>
      </c>
      <c r="H30" s="41"/>
      <c r="I30" s="33" t="str">
        <f>IF(A30="","",IF(H30="","⚠️ Enter Agent Code",IF(IFERROR(VLOOKUP(G30,DB_Agents!$B:$F,4,0),"")=TEXT(H30,"0"),IF(AND(A30&lt;&gt;"",E30&lt;&gt;""),"✅ Saved","Pending"),"🔒 WRONG CODE")))</f>
        <v/>
      </c>
      <c r="J30" s="33" t="str">
        <f t="shared" ca="1" si="2"/>
        <v>—</v>
      </c>
      <c r="K30" s="46"/>
    </row>
    <row r="31" spans="1:11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IF(A31="","",IFERROR(VLOOKUP(A31,DB_Customers!$A:$M,13,0),""))</f>
        <v/>
      </c>
      <c r="D31" s="42" t="str">
        <f t="shared" ca="1" si="0"/>
        <v/>
      </c>
      <c r="E31" s="32"/>
      <c r="F31" s="43" t="str">
        <f t="shared" si="1"/>
        <v/>
      </c>
      <c r="G31" s="30" t="s">
        <v>59</v>
      </c>
      <c r="H31" s="41"/>
      <c r="I31" s="33" t="str">
        <f>IF(A31="","",IF(H31="","⚠️ Enter Agent Code",IF(IFERROR(VLOOKUP(G31,DB_Agents!$B:$F,4,0),"")=TEXT(H31,"0"),IF(AND(A31&lt;&gt;"",E31&lt;&gt;""),"✅ Saved","Pending"),"🔒 WRONG CODE")))</f>
        <v/>
      </c>
      <c r="J31" s="33" t="str">
        <f t="shared" ca="1" si="2"/>
        <v>—</v>
      </c>
      <c r="K31" s="22"/>
    </row>
    <row r="32" spans="1:11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IF(A32="","",IFERROR(VLOOKUP(A32,DB_Customers!$A:$M,13,0),""))</f>
        <v/>
      </c>
      <c r="D32" s="42" t="str">
        <f t="shared" ca="1" si="0"/>
        <v/>
      </c>
      <c r="E32" s="32"/>
      <c r="F32" s="43" t="str">
        <f t="shared" si="1"/>
        <v/>
      </c>
      <c r="G32" s="30" t="s">
        <v>59</v>
      </c>
      <c r="H32" s="41"/>
      <c r="I32" s="33" t="str">
        <f>IF(A32="","",IF(H32="","⚠️ Enter Agent Code",IF(IFERROR(VLOOKUP(G32,DB_Agents!$B:$F,4,0),"")=TEXT(H32,"0"),IF(AND(A32&lt;&gt;"",E32&lt;&gt;""),"✅ Saved","Pending"),"🔒 WRONG CODE")))</f>
        <v/>
      </c>
      <c r="J32" s="33" t="str">
        <f t="shared" ca="1" si="2"/>
        <v>—</v>
      </c>
      <c r="K32" s="46"/>
    </row>
    <row r="33" spans="1:11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IF(A33="","",IFERROR(VLOOKUP(A33,DB_Customers!$A:$M,13,0),""))</f>
        <v/>
      </c>
      <c r="D33" s="42" t="str">
        <f t="shared" ca="1" si="0"/>
        <v/>
      </c>
      <c r="E33" s="32"/>
      <c r="F33" s="43" t="str">
        <f t="shared" si="1"/>
        <v/>
      </c>
      <c r="G33" s="30" t="s">
        <v>59</v>
      </c>
      <c r="H33" s="41"/>
      <c r="I33" s="33" t="str">
        <f>IF(A33="","",IF(H33="","⚠️ Enter Agent Code",IF(IFERROR(VLOOKUP(G33,DB_Agents!$B:$F,4,0),"")=TEXT(H33,"0"),IF(AND(A33&lt;&gt;"",E33&lt;&gt;""),"✅ Saved","Pending"),"🔒 WRONG CODE")))</f>
        <v/>
      </c>
      <c r="J33" s="33" t="str">
        <f t="shared" ca="1" si="2"/>
        <v>—</v>
      </c>
      <c r="K33" s="22"/>
    </row>
    <row r="34" spans="1:11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IF(A34="","",IFERROR(VLOOKUP(A34,DB_Customers!$A:$M,13,0),""))</f>
        <v/>
      </c>
      <c r="D34" s="42" t="str">
        <f t="shared" ca="1" si="0"/>
        <v/>
      </c>
      <c r="E34" s="32"/>
      <c r="F34" s="43" t="str">
        <f t="shared" si="1"/>
        <v/>
      </c>
      <c r="G34" s="30" t="s">
        <v>59</v>
      </c>
      <c r="H34" s="41"/>
      <c r="I34" s="33" t="str">
        <f>IF(A34="","",IF(H34="","⚠️ Enter Agent Code",IF(IFERROR(VLOOKUP(G34,DB_Agents!$B:$F,4,0),"")=TEXT(H34,"0"),IF(AND(A34&lt;&gt;"",E34&lt;&gt;""),"✅ Saved","Pending"),"🔒 WRONG CODE")))</f>
        <v/>
      </c>
      <c r="J34" s="33" t="str">
        <f t="shared" ca="1" si="2"/>
        <v>—</v>
      </c>
      <c r="K34" s="46"/>
    </row>
    <row r="35" spans="1:11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IF(A35="","",IFERROR(VLOOKUP(A35,DB_Customers!$A:$M,13,0),""))</f>
        <v/>
      </c>
      <c r="D35" s="42" t="str">
        <f t="shared" ca="1" si="0"/>
        <v/>
      </c>
      <c r="E35" s="32"/>
      <c r="F35" s="43" t="str">
        <f t="shared" si="1"/>
        <v/>
      </c>
      <c r="G35" s="30" t="s">
        <v>59</v>
      </c>
      <c r="H35" s="41"/>
      <c r="I35" s="33" t="str">
        <f>IF(A35="","",IF(H35="","⚠️ Enter Agent Code",IF(IFERROR(VLOOKUP(G35,DB_Agents!$B:$F,4,0),"")=TEXT(H35,"0"),IF(AND(A35&lt;&gt;"",E35&lt;&gt;""),"✅ Saved","Pending"),"🔒 WRONG CODE")))</f>
        <v/>
      </c>
      <c r="J35" s="33" t="str">
        <f t="shared" ca="1" si="2"/>
        <v>—</v>
      </c>
      <c r="K35" s="22"/>
    </row>
    <row r="36" spans="1:11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IF(A36="","",IFERROR(VLOOKUP(A36,DB_Customers!$A:$M,13,0),""))</f>
        <v/>
      </c>
      <c r="D36" s="42" t="str">
        <f t="shared" ca="1" si="0"/>
        <v/>
      </c>
      <c r="E36" s="32"/>
      <c r="F36" s="43" t="str">
        <f t="shared" si="1"/>
        <v/>
      </c>
      <c r="G36" s="30" t="s">
        <v>59</v>
      </c>
      <c r="H36" s="41"/>
      <c r="I36" s="33" t="str">
        <f>IF(A36="","",IF(H36="","⚠️ Enter Agent Code",IF(IFERROR(VLOOKUP(G36,DB_Agents!$B:$F,4,0),"")=TEXT(H36,"0"),IF(AND(A36&lt;&gt;"",E36&lt;&gt;""),"✅ Saved","Pending"),"🔒 WRONG CODE")))</f>
        <v/>
      </c>
      <c r="J36" s="33" t="str">
        <f t="shared" ca="1" si="2"/>
        <v>—</v>
      </c>
      <c r="K36" s="46"/>
    </row>
    <row r="37" spans="1:11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IF(A37="","",IFERROR(VLOOKUP(A37,DB_Customers!$A:$M,13,0),""))</f>
        <v/>
      </c>
      <c r="D37" s="42" t="str">
        <f t="shared" ca="1" si="0"/>
        <v/>
      </c>
      <c r="E37" s="32"/>
      <c r="F37" s="43" t="str">
        <f t="shared" si="1"/>
        <v/>
      </c>
      <c r="G37" s="30" t="s">
        <v>59</v>
      </c>
      <c r="H37" s="41"/>
      <c r="I37" s="33" t="str">
        <f>IF(A37="","",IF(H37="","⚠️ Enter Agent Code",IF(IFERROR(VLOOKUP(G37,DB_Agents!$B:$F,4,0),"")=TEXT(H37,"0"),IF(AND(A37&lt;&gt;"",E37&lt;&gt;""),"✅ Saved","Pending"),"🔒 WRONG CODE")))</f>
        <v/>
      </c>
      <c r="J37" s="33" t="str">
        <f t="shared" ca="1" si="2"/>
        <v>—</v>
      </c>
      <c r="K37" s="22"/>
    </row>
    <row r="38" spans="1:11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IF(A38="","",IFERROR(VLOOKUP(A38,DB_Customers!$A:$M,13,0),""))</f>
        <v/>
      </c>
      <c r="D38" s="42" t="str">
        <f t="shared" ca="1" si="0"/>
        <v/>
      </c>
      <c r="E38" s="32"/>
      <c r="F38" s="43" t="str">
        <f t="shared" si="1"/>
        <v/>
      </c>
      <c r="G38" s="30" t="s">
        <v>59</v>
      </c>
      <c r="H38" s="41"/>
      <c r="I38" s="33" t="str">
        <f>IF(A38="","",IF(H38="","⚠️ Enter Agent Code",IF(IFERROR(VLOOKUP(G38,DB_Agents!$B:$F,4,0),"")=TEXT(H38,"0"),IF(AND(A38&lt;&gt;"",E38&lt;&gt;""),"✅ Saved","Pending"),"🔒 WRONG CODE")))</f>
        <v/>
      </c>
      <c r="J38" s="33" t="str">
        <f t="shared" ca="1" si="2"/>
        <v>—</v>
      </c>
      <c r="K38" s="46"/>
    </row>
    <row r="39" spans="1:11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IF(A39="","",IFERROR(VLOOKUP(A39,DB_Customers!$A:$M,13,0),""))</f>
        <v/>
      </c>
      <c r="D39" s="42" t="str">
        <f t="shared" ca="1" si="0"/>
        <v/>
      </c>
      <c r="E39" s="32"/>
      <c r="F39" s="43" t="str">
        <f t="shared" si="1"/>
        <v/>
      </c>
      <c r="G39" s="30" t="s">
        <v>59</v>
      </c>
      <c r="H39" s="41"/>
      <c r="I39" s="33" t="str">
        <f>IF(A39="","",IF(H39="","⚠️ Enter Agent Code",IF(IFERROR(VLOOKUP(G39,DB_Agents!$B:$F,4,0),"")=TEXT(H39,"0"),IF(AND(A39&lt;&gt;"",E39&lt;&gt;""),"✅ Saved","Pending"),"🔒 WRONG CODE")))</f>
        <v/>
      </c>
      <c r="J39" s="33" t="str">
        <f t="shared" ca="1" si="2"/>
        <v>—</v>
      </c>
      <c r="K39" s="22"/>
    </row>
    <row r="40" spans="1:11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IF(A40="","",IFERROR(VLOOKUP(A40,DB_Customers!$A:$M,13,0),""))</f>
        <v/>
      </c>
      <c r="D40" s="42" t="str">
        <f t="shared" ca="1" si="0"/>
        <v/>
      </c>
      <c r="E40" s="32"/>
      <c r="F40" s="43" t="str">
        <f t="shared" si="1"/>
        <v/>
      </c>
      <c r="G40" s="30" t="s">
        <v>59</v>
      </c>
      <c r="H40" s="41"/>
      <c r="I40" s="33" t="str">
        <f>IF(A40="","",IF(H40="","⚠️ Enter Agent Code",IF(IFERROR(VLOOKUP(G40,DB_Agents!$B:$F,4,0),"")=TEXT(H40,"0"),IF(AND(A40&lt;&gt;"",E40&lt;&gt;""),"✅ Saved","Pending"),"🔒 WRONG CODE")))</f>
        <v/>
      </c>
      <c r="J40" s="33" t="str">
        <f t="shared" ca="1" si="2"/>
        <v>—</v>
      </c>
      <c r="K40" s="46"/>
    </row>
    <row r="41" spans="1:11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IF(A41="","",IFERROR(VLOOKUP(A41,DB_Customers!$A:$M,13,0),""))</f>
        <v/>
      </c>
      <c r="D41" s="42" t="str">
        <f t="shared" ref="D41:D72" ca="1" si="3">IF(A41="","",TODAY())</f>
        <v/>
      </c>
      <c r="E41" s="32"/>
      <c r="F41" s="43" t="str">
        <f t="shared" ref="F41:F72" si="4">IFERROR(IF(OR(A41="",E41=""),"",C41+E41),"")</f>
        <v/>
      </c>
      <c r="G41" s="30" t="s">
        <v>59</v>
      </c>
      <c r="H41" s="41"/>
      <c r="I41" s="33" t="str">
        <f>IF(A41="","",IF(H41="","⚠️ Enter Agent Code",IF(IFERROR(VLOOKUP(G41,DB_Agents!$B:$F,4,0),"")=TEXT(H41,"0"),IF(AND(A41&lt;&gt;"",E41&lt;&gt;""),"✅ Saved","Pending"),"🔒 WRONG CODE")))</f>
        <v/>
      </c>
      <c r="J41" s="33" t="str">
        <f t="shared" ref="J41:J72" ca="1" si="5">IF(I41="✅ Saved",TEXT(TODAY(),"YYYY-MM-DD")&amp;" Auto","—")</f>
        <v>—</v>
      </c>
      <c r="K41" s="22"/>
    </row>
    <row r="42" spans="1:11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IF(A42="","",IFERROR(VLOOKUP(A42,DB_Customers!$A:$M,13,0),""))</f>
        <v/>
      </c>
      <c r="D42" s="42" t="str">
        <f t="shared" ca="1" si="3"/>
        <v/>
      </c>
      <c r="E42" s="32"/>
      <c r="F42" s="43" t="str">
        <f t="shared" si="4"/>
        <v/>
      </c>
      <c r="G42" s="30" t="s">
        <v>59</v>
      </c>
      <c r="H42" s="41"/>
      <c r="I42" s="33" t="str">
        <f>IF(A42="","",IF(H42="","⚠️ Enter Agent Code",IF(IFERROR(VLOOKUP(G42,DB_Agents!$B:$F,4,0),"")=TEXT(H42,"0"),IF(AND(A42&lt;&gt;"",E42&lt;&gt;""),"✅ Saved","Pending"),"🔒 WRONG CODE")))</f>
        <v/>
      </c>
      <c r="J42" s="33" t="str">
        <f t="shared" ca="1" si="5"/>
        <v>—</v>
      </c>
      <c r="K42" s="46"/>
    </row>
    <row r="43" spans="1:11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IF(A43="","",IFERROR(VLOOKUP(A43,DB_Customers!$A:$M,13,0),""))</f>
        <v/>
      </c>
      <c r="D43" s="42" t="str">
        <f t="shared" ca="1" si="3"/>
        <v/>
      </c>
      <c r="E43" s="32"/>
      <c r="F43" s="43" t="str">
        <f t="shared" si="4"/>
        <v/>
      </c>
      <c r="G43" s="30" t="s">
        <v>59</v>
      </c>
      <c r="H43" s="41"/>
      <c r="I43" s="33" t="str">
        <f>IF(A43="","",IF(H43="","⚠️ Enter Agent Code",IF(IFERROR(VLOOKUP(G43,DB_Agents!$B:$F,4,0),"")=TEXT(H43,"0"),IF(AND(A43&lt;&gt;"",E43&lt;&gt;""),"✅ Saved","Pending"),"🔒 WRONG CODE")))</f>
        <v/>
      </c>
      <c r="J43" s="33" t="str">
        <f t="shared" ca="1" si="5"/>
        <v>—</v>
      </c>
      <c r="K43" s="22"/>
    </row>
    <row r="44" spans="1:11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IF(A44="","",IFERROR(VLOOKUP(A44,DB_Customers!$A:$M,13,0),""))</f>
        <v/>
      </c>
      <c r="D44" s="42" t="str">
        <f t="shared" ca="1" si="3"/>
        <v/>
      </c>
      <c r="E44" s="32"/>
      <c r="F44" s="43" t="str">
        <f t="shared" si="4"/>
        <v/>
      </c>
      <c r="G44" s="30" t="s">
        <v>59</v>
      </c>
      <c r="H44" s="41"/>
      <c r="I44" s="33" t="str">
        <f>IF(A44="","",IF(H44="","⚠️ Enter Agent Code",IF(IFERROR(VLOOKUP(G44,DB_Agents!$B:$F,4,0),"")=TEXT(H44,"0"),IF(AND(A44&lt;&gt;"",E44&lt;&gt;""),"✅ Saved","Pending"),"🔒 WRONG CODE")))</f>
        <v/>
      </c>
      <c r="J44" s="33" t="str">
        <f t="shared" ca="1" si="5"/>
        <v>—</v>
      </c>
      <c r="K44" s="46"/>
    </row>
    <row r="45" spans="1:11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IF(A45="","",IFERROR(VLOOKUP(A45,DB_Customers!$A:$M,13,0),""))</f>
        <v/>
      </c>
      <c r="D45" s="42" t="str">
        <f t="shared" ca="1" si="3"/>
        <v/>
      </c>
      <c r="E45" s="32"/>
      <c r="F45" s="43" t="str">
        <f t="shared" si="4"/>
        <v/>
      </c>
      <c r="G45" s="30" t="s">
        <v>59</v>
      </c>
      <c r="H45" s="41"/>
      <c r="I45" s="33" t="str">
        <f>IF(A45="","",IF(H45="","⚠️ Enter Agent Code",IF(IFERROR(VLOOKUP(G45,DB_Agents!$B:$F,4,0),"")=TEXT(H45,"0"),IF(AND(A45&lt;&gt;"",E45&lt;&gt;""),"✅ Saved","Pending"),"🔒 WRONG CODE")))</f>
        <v/>
      </c>
      <c r="J45" s="33" t="str">
        <f t="shared" ca="1" si="5"/>
        <v>—</v>
      </c>
      <c r="K45" s="22"/>
    </row>
    <row r="46" spans="1:11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IF(A46="","",IFERROR(VLOOKUP(A46,DB_Customers!$A:$M,13,0),""))</f>
        <v/>
      </c>
      <c r="D46" s="42" t="str">
        <f t="shared" ca="1" si="3"/>
        <v/>
      </c>
      <c r="E46" s="32"/>
      <c r="F46" s="43" t="str">
        <f t="shared" si="4"/>
        <v/>
      </c>
      <c r="G46" s="30" t="s">
        <v>59</v>
      </c>
      <c r="H46" s="41"/>
      <c r="I46" s="33" t="str">
        <f>IF(A46="","",IF(H46="","⚠️ Enter Agent Code",IF(IFERROR(VLOOKUP(G46,DB_Agents!$B:$F,4,0),"")=TEXT(H46,"0"),IF(AND(A46&lt;&gt;"",E46&lt;&gt;""),"✅ Saved","Pending"),"🔒 WRONG CODE")))</f>
        <v/>
      </c>
      <c r="J46" s="33" t="str">
        <f t="shared" ca="1" si="5"/>
        <v>—</v>
      </c>
      <c r="K46" s="46"/>
    </row>
    <row r="47" spans="1:11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IF(A47="","",IFERROR(VLOOKUP(A47,DB_Customers!$A:$M,13,0),""))</f>
        <v/>
      </c>
      <c r="D47" s="42" t="str">
        <f t="shared" ca="1" si="3"/>
        <v/>
      </c>
      <c r="E47" s="32"/>
      <c r="F47" s="43" t="str">
        <f t="shared" si="4"/>
        <v/>
      </c>
      <c r="G47" s="30" t="s">
        <v>59</v>
      </c>
      <c r="H47" s="41"/>
      <c r="I47" s="33" t="str">
        <f>IF(A47="","",IF(H47="","⚠️ Enter Agent Code",IF(IFERROR(VLOOKUP(G47,DB_Agents!$B:$F,4,0),"")=TEXT(H47,"0"),IF(AND(A47&lt;&gt;"",E47&lt;&gt;""),"✅ Saved","Pending"),"🔒 WRONG CODE")))</f>
        <v/>
      </c>
      <c r="J47" s="33" t="str">
        <f t="shared" ca="1" si="5"/>
        <v>—</v>
      </c>
      <c r="K47" s="22"/>
    </row>
    <row r="48" spans="1:11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IF(A48="","",IFERROR(VLOOKUP(A48,DB_Customers!$A:$M,13,0),""))</f>
        <v/>
      </c>
      <c r="D48" s="42" t="str">
        <f t="shared" ca="1" si="3"/>
        <v/>
      </c>
      <c r="E48" s="32"/>
      <c r="F48" s="43" t="str">
        <f t="shared" si="4"/>
        <v/>
      </c>
      <c r="G48" s="30" t="s">
        <v>59</v>
      </c>
      <c r="H48" s="41"/>
      <c r="I48" s="33" t="str">
        <f>IF(A48="","",IF(H48="","⚠️ Enter Agent Code",IF(IFERROR(VLOOKUP(G48,DB_Agents!$B:$F,4,0),"")=TEXT(H48,"0"),IF(AND(A48&lt;&gt;"",E48&lt;&gt;""),"✅ Saved","Pending"),"🔒 WRONG CODE")))</f>
        <v/>
      </c>
      <c r="J48" s="33" t="str">
        <f t="shared" ca="1" si="5"/>
        <v>—</v>
      </c>
      <c r="K48" s="46"/>
    </row>
    <row r="49" spans="1:11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IF(A49="","",IFERROR(VLOOKUP(A49,DB_Customers!$A:$M,13,0),""))</f>
        <v/>
      </c>
      <c r="D49" s="42" t="str">
        <f t="shared" ca="1" si="3"/>
        <v/>
      </c>
      <c r="E49" s="32"/>
      <c r="F49" s="43" t="str">
        <f t="shared" si="4"/>
        <v/>
      </c>
      <c r="G49" s="30" t="s">
        <v>59</v>
      </c>
      <c r="H49" s="41"/>
      <c r="I49" s="33" t="str">
        <f>IF(A49="","",IF(H49="","⚠️ Enter Agent Code",IF(IFERROR(VLOOKUP(G49,DB_Agents!$B:$F,4,0),"")=TEXT(H49,"0"),IF(AND(A49&lt;&gt;"",E49&lt;&gt;""),"✅ Saved","Pending"),"🔒 WRONG CODE")))</f>
        <v/>
      </c>
      <c r="J49" s="33" t="str">
        <f t="shared" ca="1" si="5"/>
        <v>—</v>
      </c>
      <c r="K49" s="22"/>
    </row>
    <row r="50" spans="1:11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IF(A50="","",IFERROR(VLOOKUP(A50,DB_Customers!$A:$M,13,0),""))</f>
        <v/>
      </c>
      <c r="D50" s="42" t="str">
        <f t="shared" ca="1" si="3"/>
        <v/>
      </c>
      <c r="E50" s="32"/>
      <c r="F50" s="43" t="str">
        <f t="shared" si="4"/>
        <v/>
      </c>
      <c r="G50" s="30" t="s">
        <v>59</v>
      </c>
      <c r="H50" s="41"/>
      <c r="I50" s="33" t="str">
        <f>IF(A50="","",IF(H50="","⚠️ Enter Agent Code",IF(IFERROR(VLOOKUP(G50,DB_Agents!$B:$F,4,0),"")=TEXT(H50,"0"),IF(AND(A50&lt;&gt;"",E50&lt;&gt;""),"✅ Saved","Pending"),"🔒 WRONG CODE")))</f>
        <v/>
      </c>
      <c r="J50" s="33" t="str">
        <f t="shared" ca="1" si="5"/>
        <v>—</v>
      </c>
      <c r="K50" s="46"/>
    </row>
    <row r="51" spans="1:11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IF(A51="","",IFERROR(VLOOKUP(A51,DB_Customers!$A:$M,13,0),""))</f>
        <v/>
      </c>
      <c r="D51" s="42" t="str">
        <f t="shared" ca="1" si="3"/>
        <v/>
      </c>
      <c r="E51" s="32"/>
      <c r="F51" s="43" t="str">
        <f t="shared" si="4"/>
        <v/>
      </c>
      <c r="G51" s="30" t="s">
        <v>59</v>
      </c>
      <c r="H51" s="41"/>
      <c r="I51" s="33" t="str">
        <f>IF(A51="","",IF(H51="","⚠️ Enter Agent Code",IF(IFERROR(VLOOKUP(G51,DB_Agents!$B:$F,4,0),"")=TEXT(H51,"0"),IF(AND(A51&lt;&gt;"",E51&lt;&gt;""),"✅ Saved","Pending"),"🔒 WRONG CODE")))</f>
        <v/>
      </c>
      <c r="J51" s="33" t="str">
        <f t="shared" ca="1" si="5"/>
        <v>—</v>
      </c>
      <c r="K51" s="22"/>
    </row>
    <row r="52" spans="1:11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IF(A52="","",IFERROR(VLOOKUP(A52,DB_Customers!$A:$M,13,0),""))</f>
        <v/>
      </c>
      <c r="D52" s="42" t="str">
        <f t="shared" ca="1" si="3"/>
        <v/>
      </c>
      <c r="E52" s="32"/>
      <c r="F52" s="43" t="str">
        <f t="shared" si="4"/>
        <v/>
      </c>
      <c r="G52" s="30" t="s">
        <v>59</v>
      </c>
      <c r="H52" s="41"/>
      <c r="I52" s="33" t="str">
        <f>IF(A52="","",IF(H52="","⚠️ Enter Agent Code",IF(IFERROR(VLOOKUP(G52,DB_Agents!$B:$F,4,0),"")=TEXT(H52,"0"),IF(AND(A52&lt;&gt;"",E52&lt;&gt;""),"✅ Saved","Pending"),"🔒 WRONG CODE")))</f>
        <v/>
      </c>
      <c r="J52" s="33" t="str">
        <f t="shared" ca="1" si="5"/>
        <v>—</v>
      </c>
      <c r="K52" s="46"/>
    </row>
    <row r="53" spans="1:11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IF(A53="","",IFERROR(VLOOKUP(A53,DB_Customers!$A:$M,13,0),""))</f>
        <v/>
      </c>
      <c r="D53" s="42" t="str">
        <f t="shared" ca="1" si="3"/>
        <v/>
      </c>
      <c r="E53" s="32"/>
      <c r="F53" s="43" t="str">
        <f t="shared" si="4"/>
        <v/>
      </c>
      <c r="G53" s="30" t="s">
        <v>59</v>
      </c>
      <c r="H53" s="41"/>
      <c r="I53" s="33" t="str">
        <f>IF(A53="","",IF(H53="","⚠️ Enter Agent Code",IF(IFERROR(VLOOKUP(G53,DB_Agents!$B:$F,4,0),"")=TEXT(H53,"0"),IF(AND(A53&lt;&gt;"",E53&lt;&gt;""),"✅ Saved","Pending"),"🔒 WRONG CODE")))</f>
        <v/>
      </c>
      <c r="J53" s="33" t="str">
        <f t="shared" ca="1" si="5"/>
        <v>—</v>
      </c>
      <c r="K53" s="22"/>
    </row>
    <row r="54" spans="1:11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IF(A54="","",IFERROR(VLOOKUP(A54,DB_Customers!$A:$M,13,0),""))</f>
        <v/>
      </c>
      <c r="D54" s="42" t="str">
        <f t="shared" ca="1" si="3"/>
        <v/>
      </c>
      <c r="E54" s="32"/>
      <c r="F54" s="43" t="str">
        <f t="shared" si="4"/>
        <v/>
      </c>
      <c r="G54" s="30" t="s">
        <v>59</v>
      </c>
      <c r="H54" s="41"/>
      <c r="I54" s="33" t="str">
        <f>IF(A54="","",IF(H54="","⚠️ Enter Agent Code",IF(IFERROR(VLOOKUP(G54,DB_Agents!$B:$F,4,0),"")=TEXT(H54,"0"),IF(AND(A54&lt;&gt;"",E54&lt;&gt;""),"✅ Saved","Pending"),"🔒 WRONG CODE")))</f>
        <v/>
      </c>
      <c r="J54" s="33" t="str">
        <f t="shared" ca="1" si="5"/>
        <v>—</v>
      </c>
      <c r="K54" s="46"/>
    </row>
    <row r="55" spans="1:11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IF(A55="","",IFERROR(VLOOKUP(A55,DB_Customers!$A:$M,13,0),""))</f>
        <v/>
      </c>
      <c r="D55" s="42" t="str">
        <f t="shared" ca="1" si="3"/>
        <v/>
      </c>
      <c r="E55" s="32"/>
      <c r="F55" s="43" t="str">
        <f t="shared" si="4"/>
        <v/>
      </c>
      <c r="G55" s="30" t="s">
        <v>59</v>
      </c>
      <c r="H55" s="41"/>
      <c r="I55" s="33" t="str">
        <f>IF(A55="","",IF(H55="","⚠️ Enter Agent Code",IF(IFERROR(VLOOKUP(G55,DB_Agents!$B:$F,4,0),"")=TEXT(H55,"0"),IF(AND(A55&lt;&gt;"",E55&lt;&gt;""),"✅ Saved","Pending"),"🔒 WRONG CODE")))</f>
        <v/>
      </c>
      <c r="J55" s="33" t="str">
        <f t="shared" ca="1" si="5"/>
        <v>—</v>
      </c>
      <c r="K55" s="22"/>
    </row>
    <row r="56" spans="1:11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IF(A56="","",IFERROR(VLOOKUP(A56,DB_Customers!$A:$M,13,0),""))</f>
        <v/>
      </c>
      <c r="D56" s="42" t="str">
        <f t="shared" ca="1" si="3"/>
        <v/>
      </c>
      <c r="E56" s="32"/>
      <c r="F56" s="43" t="str">
        <f t="shared" si="4"/>
        <v/>
      </c>
      <c r="G56" s="30" t="s">
        <v>59</v>
      </c>
      <c r="H56" s="41"/>
      <c r="I56" s="33" t="str">
        <f>IF(A56="","",IF(H56="","⚠️ Enter Agent Code",IF(IFERROR(VLOOKUP(G56,DB_Agents!$B:$F,4,0),"")=TEXT(H56,"0"),IF(AND(A56&lt;&gt;"",E56&lt;&gt;""),"✅ Saved","Pending"),"🔒 WRONG CODE")))</f>
        <v/>
      </c>
      <c r="J56" s="33" t="str">
        <f t="shared" ca="1" si="5"/>
        <v>—</v>
      </c>
      <c r="K56" s="46"/>
    </row>
    <row r="57" spans="1:11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IF(A57="","",IFERROR(VLOOKUP(A57,DB_Customers!$A:$M,13,0),""))</f>
        <v/>
      </c>
      <c r="D57" s="42" t="str">
        <f t="shared" ca="1" si="3"/>
        <v/>
      </c>
      <c r="E57" s="32"/>
      <c r="F57" s="43" t="str">
        <f t="shared" si="4"/>
        <v/>
      </c>
      <c r="G57" s="30" t="s">
        <v>59</v>
      </c>
      <c r="H57" s="41"/>
      <c r="I57" s="33" t="str">
        <f>IF(A57="","",IF(H57="","⚠️ Enter Agent Code",IF(IFERROR(VLOOKUP(G57,DB_Agents!$B:$F,4,0),"")=TEXT(H57,"0"),IF(AND(A57&lt;&gt;"",E57&lt;&gt;""),"✅ Saved","Pending"),"🔒 WRONG CODE")))</f>
        <v/>
      </c>
      <c r="J57" s="33" t="str">
        <f t="shared" ca="1" si="5"/>
        <v>—</v>
      </c>
      <c r="K57" s="22"/>
    </row>
    <row r="58" spans="1:11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IF(A58="","",IFERROR(VLOOKUP(A58,DB_Customers!$A:$M,13,0),""))</f>
        <v/>
      </c>
      <c r="D58" s="42" t="str">
        <f t="shared" ca="1" si="3"/>
        <v/>
      </c>
      <c r="E58" s="32"/>
      <c r="F58" s="43" t="str">
        <f t="shared" si="4"/>
        <v/>
      </c>
      <c r="G58" s="30" t="s">
        <v>59</v>
      </c>
      <c r="H58" s="41"/>
      <c r="I58" s="33" t="str">
        <f>IF(A58="","",IF(H58="","⚠️ Enter Agent Code",IF(IFERROR(VLOOKUP(G58,DB_Agents!$B:$F,4,0),"")=TEXT(H58,"0"),IF(AND(A58&lt;&gt;"",E58&lt;&gt;""),"✅ Saved","Pending"),"🔒 WRONG CODE")))</f>
        <v/>
      </c>
      <c r="J58" s="33" t="str">
        <f t="shared" ca="1" si="5"/>
        <v>—</v>
      </c>
      <c r="K58" s="46"/>
    </row>
    <row r="59" spans="1:11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IF(A59="","",IFERROR(VLOOKUP(A59,DB_Customers!$A:$M,13,0),""))</f>
        <v/>
      </c>
      <c r="D59" s="42" t="str">
        <f t="shared" ca="1" si="3"/>
        <v/>
      </c>
      <c r="E59" s="32"/>
      <c r="F59" s="43" t="str">
        <f t="shared" si="4"/>
        <v/>
      </c>
      <c r="G59" s="30" t="s">
        <v>59</v>
      </c>
      <c r="H59" s="41"/>
      <c r="I59" s="33" t="str">
        <f>IF(A59="","",IF(H59="","⚠️ Enter Agent Code",IF(IFERROR(VLOOKUP(G59,DB_Agents!$B:$F,4,0),"")=TEXT(H59,"0"),IF(AND(A59&lt;&gt;"",E59&lt;&gt;""),"✅ Saved","Pending"),"🔒 WRONG CODE")))</f>
        <v/>
      </c>
      <c r="J59" s="33" t="str">
        <f t="shared" ca="1" si="5"/>
        <v>—</v>
      </c>
      <c r="K59" s="22"/>
    </row>
    <row r="60" spans="1:11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IF(A60="","",IFERROR(VLOOKUP(A60,DB_Customers!$A:$M,13,0),""))</f>
        <v/>
      </c>
      <c r="D60" s="42" t="str">
        <f t="shared" ca="1" si="3"/>
        <v/>
      </c>
      <c r="E60" s="32"/>
      <c r="F60" s="43" t="str">
        <f t="shared" si="4"/>
        <v/>
      </c>
      <c r="G60" s="30" t="s">
        <v>59</v>
      </c>
      <c r="H60" s="41"/>
      <c r="I60" s="33" t="str">
        <f>IF(A60="","",IF(H60="","⚠️ Enter Agent Code",IF(IFERROR(VLOOKUP(G60,DB_Agents!$B:$F,4,0),"")=TEXT(H60,"0"),IF(AND(A60&lt;&gt;"",E60&lt;&gt;""),"✅ Saved","Pending"),"🔒 WRONG CODE")))</f>
        <v/>
      </c>
      <c r="J60" s="33" t="str">
        <f t="shared" ca="1" si="5"/>
        <v>—</v>
      </c>
      <c r="K60" s="46"/>
    </row>
    <row r="61" spans="1:11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IF(A61="","",IFERROR(VLOOKUP(A61,DB_Customers!$A:$M,13,0),""))</f>
        <v/>
      </c>
      <c r="D61" s="42" t="str">
        <f t="shared" ca="1" si="3"/>
        <v/>
      </c>
      <c r="E61" s="32"/>
      <c r="F61" s="43" t="str">
        <f t="shared" si="4"/>
        <v/>
      </c>
      <c r="G61" s="30" t="s">
        <v>59</v>
      </c>
      <c r="H61" s="41"/>
      <c r="I61" s="33" t="str">
        <f>IF(A61="","",IF(H61="","⚠️ Enter Agent Code",IF(IFERROR(VLOOKUP(G61,DB_Agents!$B:$F,4,0),"")=TEXT(H61,"0"),IF(AND(A61&lt;&gt;"",E61&lt;&gt;""),"✅ Saved","Pending"),"🔒 WRONG CODE")))</f>
        <v/>
      </c>
      <c r="J61" s="33" t="str">
        <f t="shared" ca="1" si="5"/>
        <v>—</v>
      </c>
      <c r="K61" s="22"/>
    </row>
    <row r="62" spans="1:11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IF(A62="","",IFERROR(VLOOKUP(A62,DB_Customers!$A:$M,13,0),""))</f>
        <v/>
      </c>
      <c r="D62" s="42" t="str">
        <f t="shared" ca="1" si="3"/>
        <v/>
      </c>
      <c r="E62" s="32"/>
      <c r="F62" s="43" t="str">
        <f t="shared" si="4"/>
        <v/>
      </c>
      <c r="G62" s="30" t="s">
        <v>59</v>
      </c>
      <c r="H62" s="41"/>
      <c r="I62" s="33" t="str">
        <f>IF(A62="","",IF(H62="","⚠️ Enter Agent Code",IF(IFERROR(VLOOKUP(G62,DB_Agents!$B:$F,4,0),"")=TEXT(H62,"0"),IF(AND(A62&lt;&gt;"",E62&lt;&gt;""),"✅ Saved","Pending"),"🔒 WRONG CODE")))</f>
        <v/>
      </c>
      <c r="J62" s="33" t="str">
        <f t="shared" ca="1" si="5"/>
        <v>—</v>
      </c>
      <c r="K62" s="46"/>
    </row>
    <row r="63" spans="1:11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IF(A63="","",IFERROR(VLOOKUP(A63,DB_Customers!$A:$M,13,0),""))</f>
        <v/>
      </c>
      <c r="D63" s="42" t="str">
        <f t="shared" ca="1" si="3"/>
        <v/>
      </c>
      <c r="E63" s="32"/>
      <c r="F63" s="43" t="str">
        <f t="shared" si="4"/>
        <v/>
      </c>
      <c r="G63" s="30" t="s">
        <v>59</v>
      </c>
      <c r="H63" s="41"/>
      <c r="I63" s="33" t="str">
        <f>IF(A63="","",IF(H63="","⚠️ Enter Agent Code",IF(IFERROR(VLOOKUP(G63,DB_Agents!$B:$F,4,0),"")=TEXT(H63,"0"),IF(AND(A63&lt;&gt;"",E63&lt;&gt;""),"✅ Saved","Pending"),"🔒 WRONG CODE")))</f>
        <v/>
      </c>
      <c r="J63" s="33" t="str">
        <f t="shared" ca="1" si="5"/>
        <v>—</v>
      </c>
      <c r="K63" s="22"/>
    </row>
    <row r="64" spans="1:11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IF(A64="","",IFERROR(VLOOKUP(A64,DB_Customers!$A:$M,13,0),""))</f>
        <v/>
      </c>
      <c r="D64" s="42" t="str">
        <f t="shared" ca="1" si="3"/>
        <v/>
      </c>
      <c r="E64" s="32"/>
      <c r="F64" s="43" t="str">
        <f t="shared" si="4"/>
        <v/>
      </c>
      <c r="G64" s="30" t="s">
        <v>59</v>
      </c>
      <c r="H64" s="41"/>
      <c r="I64" s="33" t="str">
        <f>IF(A64="","",IF(H64="","⚠️ Enter Agent Code",IF(IFERROR(VLOOKUP(G64,DB_Agents!$B:$F,4,0),"")=TEXT(H64,"0"),IF(AND(A64&lt;&gt;"",E64&lt;&gt;""),"✅ Saved","Pending"),"🔒 WRONG CODE")))</f>
        <v/>
      </c>
      <c r="J64" s="33" t="str">
        <f t="shared" ca="1" si="5"/>
        <v>—</v>
      </c>
      <c r="K64" s="46"/>
    </row>
    <row r="65" spans="1:11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IF(A65="","",IFERROR(VLOOKUP(A65,DB_Customers!$A:$M,13,0),""))</f>
        <v/>
      </c>
      <c r="D65" s="42" t="str">
        <f t="shared" ca="1" si="3"/>
        <v/>
      </c>
      <c r="E65" s="32"/>
      <c r="F65" s="43" t="str">
        <f t="shared" si="4"/>
        <v/>
      </c>
      <c r="G65" s="30" t="s">
        <v>59</v>
      </c>
      <c r="H65" s="41"/>
      <c r="I65" s="33" t="str">
        <f>IF(A65="","",IF(H65="","⚠️ Enter Agent Code",IF(IFERROR(VLOOKUP(G65,DB_Agents!$B:$F,4,0),"")=TEXT(H65,"0"),IF(AND(A65&lt;&gt;"",E65&lt;&gt;""),"✅ Saved","Pending"),"🔒 WRONG CODE")))</f>
        <v/>
      </c>
      <c r="J65" s="33" t="str">
        <f t="shared" ca="1" si="5"/>
        <v>—</v>
      </c>
      <c r="K65" s="22"/>
    </row>
    <row r="66" spans="1:11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IF(A66="","",IFERROR(VLOOKUP(A66,DB_Customers!$A:$M,13,0),""))</f>
        <v/>
      </c>
      <c r="D66" s="42" t="str">
        <f t="shared" ca="1" si="3"/>
        <v/>
      </c>
      <c r="E66" s="32"/>
      <c r="F66" s="43" t="str">
        <f t="shared" si="4"/>
        <v/>
      </c>
      <c r="G66" s="30" t="s">
        <v>59</v>
      </c>
      <c r="H66" s="41"/>
      <c r="I66" s="33" t="str">
        <f>IF(A66="","",IF(H66="","⚠️ Enter Agent Code",IF(IFERROR(VLOOKUP(G66,DB_Agents!$B:$F,4,0),"")=TEXT(H66,"0"),IF(AND(A66&lt;&gt;"",E66&lt;&gt;""),"✅ Saved","Pending"),"🔒 WRONG CODE")))</f>
        <v/>
      </c>
      <c r="J66" s="33" t="str">
        <f t="shared" ca="1" si="5"/>
        <v>—</v>
      </c>
      <c r="K66" s="46"/>
    </row>
    <row r="67" spans="1:11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IF(A67="","",IFERROR(VLOOKUP(A67,DB_Customers!$A:$M,13,0),""))</f>
        <v/>
      </c>
      <c r="D67" s="42" t="str">
        <f t="shared" ca="1" si="3"/>
        <v/>
      </c>
      <c r="E67" s="32"/>
      <c r="F67" s="43" t="str">
        <f t="shared" si="4"/>
        <v/>
      </c>
      <c r="G67" s="30" t="s">
        <v>59</v>
      </c>
      <c r="H67" s="41"/>
      <c r="I67" s="33" t="str">
        <f>IF(A67="","",IF(H67="","⚠️ Enter Agent Code",IF(IFERROR(VLOOKUP(G67,DB_Agents!$B:$F,4,0),"")=TEXT(H67,"0"),IF(AND(A67&lt;&gt;"",E67&lt;&gt;""),"✅ Saved","Pending"),"🔒 WRONG CODE")))</f>
        <v/>
      </c>
      <c r="J67" s="33" t="str">
        <f t="shared" ca="1" si="5"/>
        <v>—</v>
      </c>
      <c r="K67" s="22"/>
    </row>
    <row r="68" spans="1:11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IF(A68="","",IFERROR(VLOOKUP(A68,DB_Customers!$A:$M,13,0),""))</f>
        <v/>
      </c>
      <c r="D68" s="42" t="str">
        <f t="shared" ca="1" si="3"/>
        <v/>
      </c>
      <c r="E68" s="32"/>
      <c r="F68" s="43" t="str">
        <f t="shared" si="4"/>
        <v/>
      </c>
      <c r="G68" s="30" t="s">
        <v>59</v>
      </c>
      <c r="H68" s="41"/>
      <c r="I68" s="33" t="str">
        <f>IF(A68="","",IF(H68="","⚠️ Enter Agent Code",IF(IFERROR(VLOOKUP(G68,DB_Agents!$B:$F,4,0),"")=TEXT(H68,"0"),IF(AND(A68&lt;&gt;"",E68&lt;&gt;""),"✅ Saved","Pending"),"🔒 WRONG CODE")))</f>
        <v/>
      </c>
      <c r="J68" s="33" t="str">
        <f t="shared" ca="1" si="5"/>
        <v>—</v>
      </c>
      <c r="K68" s="46"/>
    </row>
    <row r="69" spans="1:11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IF(A69="","",IFERROR(VLOOKUP(A69,DB_Customers!$A:$M,13,0),""))</f>
        <v/>
      </c>
      <c r="D69" s="42" t="str">
        <f t="shared" ca="1" si="3"/>
        <v/>
      </c>
      <c r="E69" s="32"/>
      <c r="F69" s="43" t="str">
        <f t="shared" si="4"/>
        <v/>
      </c>
      <c r="G69" s="30" t="s">
        <v>59</v>
      </c>
      <c r="H69" s="41"/>
      <c r="I69" s="33" t="str">
        <f>IF(A69="","",IF(H69="","⚠️ Enter Agent Code",IF(IFERROR(VLOOKUP(G69,DB_Agents!$B:$F,4,0),"")=TEXT(H69,"0"),IF(AND(A69&lt;&gt;"",E69&lt;&gt;""),"✅ Saved","Pending"),"🔒 WRONG CODE")))</f>
        <v/>
      </c>
      <c r="J69" s="33" t="str">
        <f t="shared" ca="1" si="5"/>
        <v>—</v>
      </c>
      <c r="K69" s="22"/>
    </row>
    <row r="70" spans="1:11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IF(A70="","",IFERROR(VLOOKUP(A70,DB_Customers!$A:$M,13,0),""))</f>
        <v/>
      </c>
      <c r="D70" s="42" t="str">
        <f t="shared" ca="1" si="3"/>
        <v/>
      </c>
      <c r="E70" s="32"/>
      <c r="F70" s="43" t="str">
        <f t="shared" si="4"/>
        <v/>
      </c>
      <c r="G70" s="30" t="s">
        <v>59</v>
      </c>
      <c r="H70" s="41"/>
      <c r="I70" s="33" t="str">
        <f>IF(A70="","",IF(H70="","⚠️ Enter Agent Code",IF(IFERROR(VLOOKUP(G70,DB_Agents!$B:$F,4,0),"")=TEXT(H70,"0"),IF(AND(A70&lt;&gt;"",E70&lt;&gt;""),"✅ Saved","Pending"),"🔒 WRONG CODE")))</f>
        <v/>
      </c>
      <c r="J70" s="33" t="str">
        <f t="shared" ca="1" si="5"/>
        <v>—</v>
      </c>
      <c r="K70" s="46"/>
    </row>
    <row r="71" spans="1:11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IF(A71="","",IFERROR(VLOOKUP(A71,DB_Customers!$A:$M,13,0),""))</f>
        <v/>
      </c>
      <c r="D71" s="42" t="str">
        <f t="shared" ca="1" si="3"/>
        <v/>
      </c>
      <c r="E71" s="32"/>
      <c r="F71" s="43" t="str">
        <f t="shared" si="4"/>
        <v/>
      </c>
      <c r="G71" s="30" t="s">
        <v>59</v>
      </c>
      <c r="H71" s="41"/>
      <c r="I71" s="33" t="str">
        <f>IF(A71="","",IF(H71="","⚠️ Enter Agent Code",IF(IFERROR(VLOOKUP(G71,DB_Agents!$B:$F,4,0),"")=TEXT(H71,"0"),IF(AND(A71&lt;&gt;"",E71&lt;&gt;""),"✅ Saved","Pending"),"🔒 WRONG CODE")))</f>
        <v/>
      </c>
      <c r="J71" s="33" t="str">
        <f t="shared" ca="1" si="5"/>
        <v>—</v>
      </c>
      <c r="K71" s="22"/>
    </row>
    <row r="72" spans="1:11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IF(A72="","",IFERROR(VLOOKUP(A72,DB_Customers!$A:$M,13,0),""))</f>
        <v/>
      </c>
      <c r="D72" s="42" t="str">
        <f t="shared" ca="1" si="3"/>
        <v/>
      </c>
      <c r="E72" s="32"/>
      <c r="F72" s="43" t="str">
        <f t="shared" si="4"/>
        <v/>
      </c>
      <c r="G72" s="30" t="s">
        <v>59</v>
      </c>
      <c r="H72" s="41"/>
      <c r="I72" s="33" t="str">
        <f>IF(A72="","",IF(H72="","⚠️ Enter Agent Code",IF(IFERROR(VLOOKUP(G72,DB_Agents!$B:$F,4,0),"")=TEXT(H72,"0"),IF(AND(A72&lt;&gt;"",E72&lt;&gt;""),"✅ Saved","Pending"),"🔒 WRONG CODE")))</f>
        <v/>
      </c>
      <c r="J72" s="33" t="str">
        <f t="shared" ca="1" si="5"/>
        <v>—</v>
      </c>
      <c r="K72" s="46"/>
    </row>
    <row r="73" spans="1:11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IF(A73="","",IFERROR(VLOOKUP(A73,DB_Customers!$A:$M,13,0),""))</f>
        <v/>
      </c>
      <c r="D73" s="42" t="str">
        <f t="shared" ref="D73:D104" ca="1" si="6">IF(A73="","",TODAY())</f>
        <v/>
      </c>
      <c r="E73" s="32"/>
      <c r="F73" s="43" t="str">
        <f t="shared" ref="F73:F104" si="7">IFERROR(IF(OR(A73="",E73=""),"",C73+E73),"")</f>
        <v/>
      </c>
      <c r="G73" s="30" t="s">
        <v>59</v>
      </c>
      <c r="H73" s="41"/>
      <c r="I73" s="33" t="str">
        <f>IF(A73="","",IF(H73="","⚠️ Enter Agent Code",IF(IFERROR(VLOOKUP(G73,DB_Agents!$B:$F,4,0),"")=TEXT(H73,"0"),IF(AND(A73&lt;&gt;"",E73&lt;&gt;""),"✅ Saved","Pending"),"🔒 WRONG CODE")))</f>
        <v/>
      </c>
      <c r="J73" s="33" t="str">
        <f t="shared" ref="J73:J104" ca="1" si="8">IF(I73="✅ Saved",TEXT(TODAY(),"YYYY-MM-DD")&amp;" Auto","—")</f>
        <v>—</v>
      </c>
      <c r="K73" s="22"/>
    </row>
    <row r="74" spans="1:11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IF(A74="","",IFERROR(VLOOKUP(A74,DB_Customers!$A:$M,13,0),""))</f>
        <v/>
      </c>
      <c r="D74" s="42" t="str">
        <f t="shared" ca="1" si="6"/>
        <v/>
      </c>
      <c r="E74" s="32"/>
      <c r="F74" s="43" t="str">
        <f t="shared" si="7"/>
        <v/>
      </c>
      <c r="G74" s="30" t="s">
        <v>59</v>
      </c>
      <c r="H74" s="41"/>
      <c r="I74" s="33" t="str">
        <f>IF(A74="","",IF(H74="","⚠️ Enter Agent Code",IF(IFERROR(VLOOKUP(G74,DB_Agents!$B:$F,4,0),"")=TEXT(H74,"0"),IF(AND(A74&lt;&gt;"",E74&lt;&gt;""),"✅ Saved","Pending"),"🔒 WRONG CODE")))</f>
        <v/>
      </c>
      <c r="J74" s="33" t="str">
        <f t="shared" ca="1" si="8"/>
        <v>—</v>
      </c>
      <c r="K74" s="46"/>
    </row>
    <row r="75" spans="1:11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IF(A75="","",IFERROR(VLOOKUP(A75,DB_Customers!$A:$M,13,0),""))</f>
        <v/>
      </c>
      <c r="D75" s="42" t="str">
        <f t="shared" ca="1" si="6"/>
        <v/>
      </c>
      <c r="E75" s="32"/>
      <c r="F75" s="43" t="str">
        <f t="shared" si="7"/>
        <v/>
      </c>
      <c r="G75" s="30" t="s">
        <v>59</v>
      </c>
      <c r="H75" s="41"/>
      <c r="I75" s="33" t="str">
        <f>IF(A75="","",IF(H75="","⚠️ Enter Agent Code",IF(IFERROR(VLOOKUP(G75,DB_Agents!$B:$F,4,0),"")=TEXT(H75,"0"),IF(AND(A75&lt;&gt;"",E75&lt;&gt;""),"✅ Saved","Pending"),"🔒 WRONG CODE")))</f>
        <v/>
      </c>
      <c r="J75" s="33" t="str">
        <f t="shared" ca="1" si="8"/>
        <v>—</v>
      </c>
      <c r="K75" s="22"/>
    </row>
    <row r="76" spans="1:11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IF(A76="","",IFERROR(VLOOKUP(A76,DB_Customers!$A:$M,13,0),""))</f>
        <v/>
      </c>
      <c r="D76" s="42" t="str">
        <f t="shared" ca="1" si="6"/>
        <v/>
      </c>
      <c r="E76" s="32"/>
      <c r="F76" s="43" t="str">
        <f t="shared" si="7"/>
        <v/>
      </c>
      <c r="G76" s="30" t="s">
        <v>59</v>
      </c>
      <c r="H76" s="41"/>
      <c r="I76" s="33" t="str">
        <f>IF(A76="","",IF(H76="","⚠️ Enter Agent Code",IF(IFERROR(VLOOKUP(G76,DB_Agents!$B:$F,4,0),"")=TEXT(H76,"0"),IF(AND(A76&lt;&gt;"",E76&lt;&gt;""),"✅ Saved","Pending"),"🔒 WRONG CODE")))</f>
        <v/>
      </c>
      <c r="J76" s="33" t="str">
        <f t="shared" ca="1" si="8"/>
        <v>—</v>
      </c>
      <c r="K76" s="46"/>
    </row>
    <row r="77" spans="1:11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IF(A77="","",IFERROR(VLOOKUP(A77,DB_Customers!$A:$M,13,0),""))</f>
        <v/>
      </c>
      <c r="D77" s="42" t="str">
        <f t="shared" ca="1" si="6"/>
        <v/>
      </c>
      <c r="E77" s="32"/>
      <c r="F77" s="43" t="str">
        <f t="shared" si="7"/>
        <v/>
      </c>
      <c r="G77" s="30" t="s">
        <v>59</v>
      </c>
      <c r="H77" s="41"/>
      <c r="I77" s="33" t="str">
        <f>IF(A77="","",IF(H77="","⚠️ Enter Agent Code",IF(IFERROR(VLOOKUP(G77,DB_Agents!$B:$F,4,0),"")=TEXT(H77,"0"),IF(AND(A77&lt;&gt;"",E77&lt;&gt;""),"✅ Saved","Pending"),"🔒 WRONG CODE")))</f>
        <v/>
      </c>
      <c r="J77" s="33" t="str">
        <f t="shared" ca="1" si="8"/>
        <v>—</v>
      </c>
      <c r="K77" s="22"/>
    </row>
    <row r="78" spans="1:11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IF(A78="","",IFERROR(VLOOKUP(A78,DB_Customers!$A:$M,13,0),""))</f>
        <v/>
      </c>
      <c r="D78" s="42" t="str">
        <f t="shared" ca="1" si="6"/>
        <v/>
      </c>
      <c r="E78" s="32"/>
      <c r="F78" s="43" t="str">
        <f t="shared" si="7"/>
        <v/>
      </c>
      <c r="G78" s="30" t="s">
        <v>59</v>
      </c>
      <c r="H78" s="41"/>
      <c r="I78" s="33" t="str">
        <f>IF(A78="","",IF(H78="","⚠️ Enter Agent Code",IF(IFERROR(VLOOKUP(G78,DB_Agents!$B:$F,4,0),"")=TEXT(H78,"0"),IF(AND(A78&lt;&gt;"",E78&lt;&gt;""),"✅ Saved","Pending"),"🔒 WRONG CODE")))</f>
        <v/>
      </c>
      <c r="J78" s="33" t="str">
        <f t="shared" ca="1" si="8"/>
        <v>—</v>
      </c>
      <c r="K78" s="46"/>
    </row>
    <row r="79" spans="1:11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IF(A79="","",IFERROR(VLOOKUP(A79,DB_Customers!$A:$M,13,0),""))</f>
        <v/>
      </c>
      <c r="D79" s="42" t="str">
        <f t="shared" ca="1" si="6"/>
        <v/>
      </c>
      <c r="E79" s="32"/>
      <c r="F79" s="43" t="str">
        <f t="shared" si="7"/>
        <v/>
      </c>
      <c r="G79" s="30" t="s">
        <v>59</v>
      </c>
      <c r="H79" s="41"/>
      <c r="I79" s="33" t="str">
        <f>IF(A79="","",IF(H79="","⚠️ Enter Agent Code",IF(IFERROR(VLOOKUP(G79,DB_Agents!$B:$F,4,0),"")=TEXT(H79,"0"),IF(AND(A79&lt;&gt;"",E79&lt;&gt;""),"✅ Saved","Pending"),"🔒 WRONG CODE")))</f>
        <v/>
      </c>
      <c r="J79" s="33" t="str">
        <f t="shared" ca="1" si="8"/>
        <v>—</v>
      </c>
      <c r="K79" s="22"/>
    </row>
    <row r="80" spans="1:11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IF(A80="","",IFERROR(VLOOKUP(A80,DB_Customers!$A:$M,13,0),""))</f>
        <v/>
      </c>
      <c r="D80" s="42" t="str">
        <f t="shared" ca="1" si="6"/>
        <v/>
      </c>
      <c r="E80" s="32"/>
      <c r="F80" s="43" t="str">
        <f t="shared" si="7"/>
        <v/>
      </c>
      <c r="G80" s="30" t="s">
        <v>59</v>
      </c>
      <c r="H80" s="41"/>
      <c r="I80" s="33" t="str">
        <f>IF(A80="","",IF(H80="","⚠️ Enter Agent Code",IF(IFERROR(VLOOKUP(G80,DB_Agents!$B:$F,4,0),"")=TEXT(H80,"0"),IF(AND(A80&lt;&gt;"",E80&lt;&gt;""),"✅ Saved","Pending"),"🔒 WRONG CODE")))</f>
        <v/>
      </c>
      <c r="J80" s="33" t="str">
        <f t="shared" ca="1" si="8"/>
        <v>—</v>
      </c>
      <c r="K80" s="46"/>
    </row>
    <row r="81" spans="1:11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IF(A81="","",IFERROR(VLOOKUP(A81,DB_Customers!$A:$M,13,0),""))</f>
        <v/>
      </c>
      <c r="D81" s="42" t="str">
        <f t="shared" ca="1" si="6"/>
        <v/>
      </c>
      <c r="E81" s="32"/>
      <c r="F81" s="43" t="str">
        <f t="shared" si="7"/>
        <v/>
      </c>
      <c r="G81" s="30" t="s">
        <v>59</v>
      </c>
      <c r="H81" s="41"/>
      <c r="I81" s="33" t="str">
        <f>IF(A81="","",IF(H81="","⚠️ Enter Agent Code",IF(IFERROR(VLOOKUP(G81,DB_Agents!$B:$F,4,0),"")=TEXT(H81,"0"),IF(AND(A81&lt;&gt;"",E81&lt;&gt;""),"✅ Saved","Pending"),"🔒 WRONG CODE")))</f>
        <v/>
      </c>
      <c r="J81" s="33" t="str">
        <f t="shared" ca="1" si="8"/>
        <v>—</v>
      </c>
      <c r="K81" s="22"/>
    </row>
    <row r="82" spans="1:11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IF(A82="","",IFERROR(VLOOKUP(A82,DB_Customers!$A:$M,13,0),""))</f>
        <v/>
      </c>
      <c r="D82" s="42" t="str">
        <f t="shared" ca="1" si="6"/>
        <v/>
      </c>
      <c r="E82" s="32"/>
      <c r="F82" s="43" t="str">
        <f t="shared" si="7"/>
        <v/>
      </c>
      <c r="G82" s="30" t="s">
        <v>59</v>
      </c>
      <c r="H82" s="41"/>
      <c r="I82" s="33" t="str">
        <f>IF(A82="","",IF(H82="","⚠️ Enter Agent Code",IF(IFERROR(VLOOKUP(G82,DB_Agents!$B:$F,4,0),"")=TEXT(H82,"0"),IF(AND(A82&lt;&gt;"",E82&lt;&gt;""),"✅ Saved","Pending"),"🔒 WRONG CODE")))</f>
        <v/>
      </c>
      <c r="J82" s="33" t="str">
        <f t="shared" ca="1" si="8"/>
        <v>—</v>
      </c>
      <c r="K82" s="46"/>
    </row>
    <row r="83" spans="1:11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IF(A83="","",IFERROR(VLOOKUP(A83,DB_Customers!$A:$M,13,0),""))</f>
        <v/>
      </c>
      <c r="D83" s="42" t="str">
        <f t="shared" ca="1" si="6"/>
        <v/>
      </c>
      <c r="E83" s="32"/>
      <c r="F83" s="43" t="str">
        <f t="shared" si="7"/>
        <v/>
      </c>
      <c r="G83" s="30" t="s">
        <v>59</v>
      </c>
      <c r="H83" s="41"/>
      <c r="I83" s="33" t="str">
        <f>IF(A83="","",IF(H83="","⚠️ Enter Agent Code",IF(IFERROR(VLOOKUP(G83,DB_Agents!$B:$F,4,0),"")=TEXT(H83,"0"),IF(AND(A83&lt;&gt;"",E83&lt;&gt;""),"✅ Saved","Pending"),"🔒 WRONG CODE")))</f>
        <v/>
      </c>
      <c r="J83" s="33" t="str">
        <f t="shared" ca="1" si="8"/>
        <v>—</v>
      </c>
      <c r="K83" s="22"/>
    </row>
    <row r="84" spans="1:11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IF(A84="","",IFERROR(VLOOKUP(A84,DB_Customers!$A:$M,13,0),""))</f>
        <v/>
      </c>
      <c r="D84" s="42" t="str">
        <f t="shared" ca="1" si="6"/>
        <v/>
      </c>
      <c r="E84" s="32"/>
      <c r="F84" s="43" t="str">
        <f t="shared" si="7"/>
        <v/>
      </c>
      <c r="G84" s="30" t="s">
        <v>59</v>
      </c>
      <c r="H84" s="41"/>
      <c r="I84" s="33" t="str">
        <f>IF(A84="","",IF(H84="","⚠️ Enter Agent Code",IF(IFERROR(VLOOKUP(G84,DB_Agents!$B:$F,4,0),"")=TEXT(H84,"0"),IF(AND(A84&lt;&gt;"",E84&lt;&gt;""),"✅ Saved","Pending"),"🔒 WRONG CODE")))</f>
        <v/>
      </c>
      <c r="J84" s="33" t="str">
        <f t="shared" ca="1" si="8"/>
        <v>—</v>
      </c>
      <c r="K84" s="46"/>
    </row>
    <row r="85" spans="1:11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IF(A85="","",IFERROR(VLOOKUP(A85,DB_Customers!$A:$M,13,0),""))</f>
        <v/>
      </c>
      <c r="D85" s="42" t="str">
        <f t="shared" ca="1" si="6"/>
        <v/>
      </c>
      <c r="E85" s="32"/>
      <c r="F85" s="43" t="str">
        <f t="shared" si="7"/>
        <v/>
      </c>
      <c r="G85" s="30" t="s">
        <v>59</v>
      </c>
      <c r="H85" s="41"/>
      <c r="I85" s="33" t="str">
        <f>IF(A85="","",IF(H85="","⚠️ Enter Agent Code",IF(IFERROR(VLOOKUP(G85,DB_Agents!$B:$F,4,0),"")=TEXT(H85,"0"),IF(AND(A85&lt;&gt;"",E85&lt;&gt;""),"✅ Saved","Pending"),"🔒 WRONG CODE")))</f>
        <v/>
      </c>
      <c r="J85" s="33" t="str">
        <f t="shared" ca="1" si="8"/>
        <v>—</v>
      </c>
      <c r="K85" s="22"/>
    </row>
    <row r="86" spans="1:11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IF(A86="","",IFERROR(VLOOKUP(A86,DB_Customers!$A:$M,13,0),""))</f>
        <v/>
      </c>
      <c r="D86" s="42" t="str">
        <f t="shared" ca="1" si="6"/>
        <v/>
      </c>
      <c r="E86" s="32"/>
      <c r="F86" s="43" t="str">
        <f t="shared" si="7"/>
        <v/>
      </c>
      <c r="G86" s="30" t="s">
        <v>59</v>
      </c>
      <c r="H86" s="41"/>
      <c r="I86" s="33" t="str">
        <f>IF(A86="","",IF(H86="","⚠️ Enter Agent Code",IF(IFERROR(VLOOKUP(G86,DB_Agents!$B:$F,4,0),"")=TEXT(H86,"0"),IF(AND(A86&lt;&gt;"",E86&lt;&gt;""),"✅ Saved","Pending"),"🔒 WRONG CODE")))</f>
        <v/>
      </c>
      <c r="J86" s="33" t="str">
        <f t="shared" ca="1" si="8"/>
        <v>—</v>
      </c>
      <c r="K86" s="46"/>
    </row>
    <row r="87" spans="1:11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IF(A87="","",IFERROR(VLOOKUP(A87,DB_Customers!$A:$M,13,0),""))</f>
        <v/>
      </c>
      <c r="D87" s="42" t="str">
        <f t="shared" ca="1" si="6"/>
        <v/>
      </c>
      <c r="E87" s="32"/>
      <c r="F87" s="43" t="str">
        <f t="shared" si="7"/>
        <v/>
      </c>
      <c r="G87" s="30" t="s">
        <v>59</v>
      </c>
      <c r="H87" s="41"/>
      <c r="I87" s="33" t="str">
        <f>IF(A87="","",IF(H87="","⚠️ Enter Agent Code",IF(IFERROR(VLOOKUP(G87,DB_Agents!$B:$F,4,0),"")=TEXT(H87,"0"),IF(AND(A87&lt;&gt;"",E87&lt;&gt;""),"✅ Saved","Pending"),"🔒 WRONG CODE")))</f>
        <v/>
      </c>
      <c r="J87" s="33" t="str">
        <f t="shared" ca="1" si="8"/>
        <v>—</v>
      </c>
      <c r="K87" s="22"/>
    </row>
    <row r="88" spans="1:11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IF(A88="","",IFERROR(VLOOKUP(A88,DB_Customers!$A:$M,13,0),""))</f>
        <v/>
      </c>
      <c r="D88" s="42" t="str">
        <f t="shared" ca="1" si="6"/>
        <v/>
      </c>
      <c r="E88" s="32"/>
      <c r="F88" s="43" t="str">
        <f t="shared" si="7"/>
        <v/>
      </c>
      <c r="G88" s="30" t="s">
        <v>59</v>
      </c>
      <c r="H88" s="41"/>
      <c r="I88" s="33" t="str">
        <f>IF(A88="","",IF(H88="","⚠️ Enter Agent Code",IF(IFERROR(VLOOKUP(G88,DB_Agents!$B:$F,4,0),"")=TEXT(H88,"0"),IF(AND(A88&lt;&gt;"",E88&lt;&gt;""),"✅ Saved","Pending"),"🔒 WRONG CODE")))</f>
        <v/>
      </c>
      <c r="J88" s="33" t="str">
        <f t="shared" ca="1" si="8"/>
        <v>—</v>
      </c>
      <c r="K88" s="46"/>
    </row>
    <row r="89" spans="1:11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IF(A89="","",IFERROR(VLOOKUP(A89,DB_Customers!$A:$M,13,0),""))</f>
        <v/>
      </c>
      <c r="D89" s="42" t="str">
        <f t="shared" ca="1" si="6"/>
        <v/>
      </c>
      <c r="E89" s="32"/>
      <c r="F89" s="43" t="str">
        <f t="shared" si="7"/>
        <v/>
      </c>
      <c r="G89" s="30" t="s">
        <v>59</v>
      </c>
      <c r="H89" s="41"/>
      <c r="I89" s="33" t="str">
        <f>IF(A89="","",IF(H89="","⚠️ Enter Agent Code",IF(IFERROR(VLOOKUP(G89,DB_Agents!$B:$F,4,0),"")=TEXT(H89,"0"),IF(AND(A89&lt;&gt;"",E89&lt;&gt;""),"✅ Saved","Pending"),"🔒 WRONG CODE")))</f>
        <v/>
      </c>
      <c r="J89" s="33" t="str">
        <f t="shared" ca="1" si="8"/>
        <v>—</v>
      </c>
      <c r="K89" s="22"/>
    </row>
    <row r="90" spans="1:11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IF(A90="","",IFERROR(VLOOKUP(A90,DB_Customers!$A:$M,13,0),""))</f>
        <v/>
      </c>
      <c r="D90" s="42" t="str">
        <f t="shared" ca="1" si="6"/>
        <v/>
      </c>
      <c r="E90" s="32"/>
      <c r="F90" s="43" t="str">
        <f t="shared" si="7"/>
        <v/>
      </c>
      <c r="G90" s="30" t="s">
        <v>59</v>
      </c>
      <c r="H90" s="41"/>
      <c r="I90" s="33" t="str">
        <f>IF(A90="","",IF(H90="","⚠️ Enter Agent Code",IF(IFERROR(VLOOKUP(G90,DB_Agents!$B:$F,4,0),"")=TEXT(H90,"0"),IF(AND(A90&lt;&gt;"",E90&lt;&gt;""),"✅ Saved","Pending"),"🔒 WRONG CODE")))</f>
        <v/>
      </c>
      <c r="J90" s="33" t="str">
        <f t="shared" ca="1" si="8"/>
        <v>—</v>
      </c>
      <c r="K90" s="46"/>
    </row>
    <row r="91" spans="1:11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IF(A91="","",IFERROR(VLOOKUP(A91,DB_Customers!$A:$M,13,0),""))</f>
        <v/>
      </c>
      <c r="D91" s="42" t="str">
        <f t="shared" ca="1" si="6"/>
        <v/>
      </c>
      <c r="E91" s="32"/>
      <c r="F91" s="43" t="str">
        <f t="shared" si="7"/>
        <v/>
      </c>
      <c r="G91" s="30" t="s">
        <v>59</v>
      </c>
      <c r="H91" s="41"/>
      <c r="I91" s="33" t="str">
        <f>IF(A91="","",IF(H91="","⚠️ Enter Agent Code",IF(IFERROR(VLOOKUP(G91,DB_Agents!$B:$F,4,0),"")=TEXT(H91,"0"),IF(AND(A91&lt;&gt;"",E91&lt;&gt;""),"✅ Saved","Pending"),"🔒 WRONG CODE")))</f>
        <v/>
      </c>
      <c r="J91" s="33" t="str">
        <f t="shared" ca="1" si="8"/>
        <v>—</v>
      </c>
      <c r="K91" s="22"/>
    </row>
    <row r="92" spans="1:11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IF(A92="","",IFERROR(VLOOKUP(A92,DB_Customers!$A:$M,13,0),""))</f>
        <v/>
      </c>
      <c r="D92" s="42" t="str">
        <f t="shared" ca="1" si="6"/>
        <v/>
      </c>
      <c r="E92" s="32"/>
      <c r="F92" s="43" t="str">
        <f t="shared" si="7"/>
        <v/>
      </c>
      <c r="G92" s="30" t="s">
        <v>59</v>
      </c>
      <c r="H92" s="41"/>
      <c r="I92" s="33" t="str">
        <f>IF(A92="","",IF(H92="","⚠️ Enter Agent Code",IF(IFERROR(VLOOKUP(G92,DB_Agents!$B:$F,4,0),"")=TEXT(H92,"0"),IF(AND(A92&lt;&gt;"",E92&lt;&gt;""),"✅ Saved","Pending"),"🔒 WRONG CODE")))</f>
        <v/>
      </c>
      <c r="J92" s="33" t="str">
        <f t="shared" ca="1" si="8"/>
        <v>—</v>
      </c>
      <c r="K92" s="46"/>
    </row>
    <row r="93" spans="1:11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IF(A93="","",IFERROR(VLOOKUP(A93,DB_Customers!$A:$M,13,0),""))</f>
        <v/>
      </c>
      <c r="D93" s="42" t="str">
        <f t="shared" ca="1" si="6"/>
        <v/>
      </c>
      <c r="E93" s="32"/>
      <c r="F93" s="43" t="str">
        <f t="shared" si="7"/>
        <v/>
      </c>
      <c r="G93" s="30" t="s">
        <v>59</v>
      </c>
      <c r="H93" s="41"/>
      <c r="I93" s="33" t="str">
        <f>IF(A93="","",IF(H93="","⚠️ Enter Agent Code",IF(IFERROR(VLOOKUP(G93,DB_Agents!$B:$F,4,0),"")=TEXT(H93,"0"),IF(AND(A93&lt;&gt;"",E93&lt;&gt;""),"✅ Saved","Pending"),"🔒 WRONG CODE")))</f>
        <v/>
      </c>
      <c r="J93" s="33" t="str">
        <f t="shared" ca="1" si="8"/>
        <v>—</v>
      </c>
      <c r="K93" s="22"/>
    </row>
    <row r="94" spans="1:11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IF(A94="","",IFERROR(VLOOKUP(A94,DB_Customers!$A:$M,13,0),""))</f>
        <v/>
      </c>
      <c r="D94" s="42" t="str">
        <f t="shared" ca="1" si="6"/>
        <v/>
      </c>
      <c r="E94" s="32"/>
      <c r="F94" s="43" t="str">
        <f t="shared" si="7"/>
        <v/>
      </c>
      <c r="G94" s="30" t="s">
        <v>59</v>
      </c>
      <c r="H94" s="41"/>
      <c r="I94" s="33" t="str">
        <f>IF(A94="","",IF(H94="","⚠️ Enter Agent Code",IF(IFERROR(VLOOKUP(G94,DB_Agents!$B:$F,4,0),"")=TEXT(H94,"0"),IF(AND(A94&lt;&gt;"",E94&lt;&gt;""),"✅ Saved","Pending"),"🔒 WRONG CODE")))</f>
        <v/>
      </c>
      <c r="J94" s="33" t="str">
        <f t="shared" ca="1" si="8"/>
        <v>—</v>
      </c>
      <c r="K94" s="46"/>
    </row>
    <row r="95" spans="1:11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IF(A95="","",IFERROR(VLOOKUP(A95,DB_Customers!$A:$M,13,0),""))</f>
        <v/>
      </c>
      <c r="D95" s="42" t="str">
        <f t="shared" ca="1" si="6"/>
        <v/>
      </c>
      <c r="E95" s="32"/>
      <c r="F95" s="43" t="str">
        <f t="shared" si="7"/>
        <v/>
      </c>
      <c r="G95" s="30" t="s">
        <v>59</v>
      </c>
      <c r="H95" s="41"/>
      <c r="I95" s="33" t="str">
        <f>IF(A95="","",IF(H95="","⚠️ Enter Agent Code",IF(IFERROR(VLOOKUP(G95,DB_Agents!$B:$F,4,0),"")=TEXT(H95,"0"),IF(AND(A95&lt;&gt;"",E95&lt;&gt;""),"✅ Saved","Pending"),"🔒 WRONG CODE")))</f>
        <v/>
      </c>
      <c r="J95" s="33" t="str">
        <f t="shared" ca="1" si="8"/>
        <v>—</v>
      </c>
      <c r="K95" s="22"/>
    </row>
    <row r="96" spans="1:11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IF(A96="","",IFERROR(VLOOKUP(A96,DB_Customers!$A:$M,13,0),""))</f>
        <v/>
      </c>
      <c r="D96" s="42" t="str">
        <f t="shared" ca="1" si="6"/>
        <v/>
      </c>
      <c r="E96" s="32"/>
      <c r="F96" s="43" t="str">
        <f t="shared" si="7"/>
        <v/>
      </c>
      <c r="G96" s="30" t="s">
        <v>59</v>
      </c>
      <c r="H96" s="41"/>
      <c r="I96" s="33" t="str">
        <f>IF(A96="","",IF(H96="","⚠️ Enter Agent Code",IF(IFERROR(VLOOKUP(G96,DB_Agents!$B:$F,4,0),"")=TEXT(H96,"0"),IF(AND(A96&lt;&gt;"",E96&lt;&gt;""),"✅ Saved","Pending"),"🔒 WRONG CODE")))</f>
        <v/>
      </c>
      <c r="J96" s="33" t="str">
        <f t="shared" ca="1" si="8"/>
        <v>—</v>
      </c>
      <c r="K96" s="46"/>
    </row>
    <row r="97" spans="1:11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IF(A97="","",IFERROR(VLOOKUP(A97,DB_Customers!$A:$M,13,0),""))</f>
        <v/>
      </c>
      <c r="D97" s="42" t="str">
        <f t="shared" ca="1" si="6"/>
        <v/>
      </c>
      <c r="E97" s="32"/>
      <c r="F97" s="43" t="str">
        <f t="shared" si="7"/>
        <v/>
      </c>
      <c r="G97" s="30" t="s">
        <v>59</v>
      </c>
      <c r="H97" s="41"/>
      <c r="I97" s="33" t="str">
        <f>IF(A97="","",IF(H97="","⚠️ Enter Agent Code",IF(IFERROR(VLOOKUP(G97,DB_Agents!$B:$F,4,0),"")=TEXT(H97,"0"),IF(AND(A97&lt;&gt;"",E97&lt;&gt;""),"✅ Saved","Pending"),"🔒 WRONG CODE")))</f>
        <v/>
      </c>
      <c r="J97" s="33" t="str">
        <f t="shared" ca="1" si="8"/>
        <v>—</v>
      </c>
      <c r="K97" s="22"/>
    </row>
    <row r="98" spans="1:11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IF(A98="","",IFERROR(VLOOKUP(A98,DB_Customers!$A:$M,13,0),""))</f>
        <v/>
      </c>
      <c r="D98" s="42" t="str">
        <f t="shared" ca="1" si="6"/>
        <v/>
      </c>
      <c r="E98" s="32"/>
      <c r="F98" s="43" t="str">
        <f t="shared" si="7"/>
        <v/>
      </c>
      <c r="G98" s="30" t="s">
        <v>59</v>
      </c>
      <c r="H98" s="41"/>
      <c r="I98" s="33" t="str">
        <f>IF(A98="","",IF(H98="","⚠️ Enter Agent Code",IF(IFERROR(VLOOKUP(G98,DB_Agents!$B:$F,4,0),"")=TEXT(H98,"0"),IF(AND(A98&lt;&gt;"",E98&lt;&gt;""),"✅ Saved","Pending"),"🔒 WRONG CODE")))</f>
        <v/>
      </c>
      <c r="J98" s="33" t="str">
        <f t="shared" ca="1" si="8"/>
        <v>—</v>
      </c>
      <c r="K98" s="46"/>
    </row>
    <row r="99" spans="1:11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IF(A99="","",IFERROR(VLOOKUP(A99,DB_Customers!$A:$M,13,0),""))</f>
        <v/>
      </c>
      <c r="D99" s="42" t="str">
        <f t="shared" ca="1" si="6"/>
        <v/>
      </c>
      <c r="E99" s="32"/>
      <c r="F99" s="43" t="str">
        <f t="shared" si="7"/>
        <v/>
      </c>
      <c r="G99" s="30" t="s">
        <v>59</v>
      </c>
      <c r="H99" s="41"/>
      <c r="I99" s="33" t="str">
        <f>IF(A99="","",IF(H99="","⚠️ Enter Agent Code",IF(IFERROR(VLOOKUP(G99,DB_Agents!$B:$F,4,0),"")=TEXT(H99,"0"),IF(AND(A99&lt;&gt;"",E99&lt;&gt;""),"✅ Saved","Pending"),"🔒 WRONG CODE")))</f>
        <v/>
      </c>
      <c r="J99" s="33" t="str">
        <f t="shared" ca="1" si="8"/>
        <v>—</v>
      </c>
      <c r="K99" s="22"/>
    </row>
    <row r="100" spans="1:11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IF(A100="","",IFERROR(VLOOKUP(A100,DB_Customers!$A:$M,13,0),""))</f>
        <v/>
      </c>
      <c r="D100" s="42" t="str">
        <f t="shared" ca="1" si="6"/>
        <v/>
      </c>
      <c r="E100" s="32"/>
      <c r="F100" s="43" t="str">
        <f t="shared" si="7"/>
        <v/>
      </c>
      <c r="G100" s="30" t="s">
        <v>59</v>
      </c>
      <c r="H100" s="41"/>
      <c r="I100" s="33" t="str">
        <f>IF(A100="","",IF(H100="","⚠️ Enter Agent Code",IF(IFERROR(VLOOKUP(G100,DB_Agents!$B:$F,4,0),"")=TEXT(H100,"0"),IF(AND(A100&lt;&gt;"",E100&lt;&gt;""),"✅ Saved","Pending"),"🔒 WRONG CODE")))</f>
        <v/>
      </c>
      <c r="J100" s="33" t="str">
        <f t="shared" ca="1" si="8"/>
        <v>—</v>
      </c>
      <c r="K100" s="46"/>
    </row>
    <row r="101" spans="1:11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IF(A101="","",IFERROR(VLOOKUP(A101,DB_Customers!$A:$M,13,0),""))</f>
        <v/>
      </c>
      <c r="D101" s="42" t="str">
        <f t="shared" ca="1" si="6"/>
        <v/>
      </c>
      <c r="E101" s="32"/>
      <c r="F101" s="43" t="str">
        <f t="shared" si="7"/>
        <v/>
      </c>
      <c r="G101" s="30" t="s">
        <v>59</v>
      </c>
      <c r="H101" s="41"/>
      <c r="I101" s="33" t="str">
        <f>IF(A101="","",IF(H101="","⚠️ Enter Agent Code",IF(IFERROR(VLOOKUP(G101,DB_Agents!$B:$F,4,0),"")=TEXT(H101,"0"),IF(AND(A101&lt;&gt;"",E101&lt;&gt;""),"✅ Saved","Pending"),"🔒 WRONG CODE")))</f>
        <v/>
      </c>
      <c r="J101" s="33" t="str">
        <f t="shared" ca="1" si="8"/>
        <v>—</v>
      </c>
      <c r="K101" s="22"/>
    </row>
    <row r="102" spans="1:11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IF(A102="","",IFERROR(VLOOKUP(A102,DB_Customers!$A:$M,13,0),""))</f>
        <v/>
      </c>
      <c r="D102" s="42" t="str">
        <f t="shared" ca="1" si="6"/>
        <v/>
      </c>
      <c r="E102" s="32"/>
      <c r="F102" s="43" t="str">
        <f t="shared" si="7"/>
        <v/>
      </c>
      <c r="G102" s="30" t="s">
        <v>59</v>
      </c>
      <c r="H102" s="41"/>
      <c r="I102" s="33" t="str">
        <f>IF(A102="","",IF(H102="","⚠️ Enter Agent Code",IF(IFERROR(VLOOKUP(G102,DB_Agents!$B:$F,4,0),"")=TEXT(H102,"0"),IF(AND(A102&lt;&gt;"",E102&lt;&gt;""),"✅ Saved","Pending"),"🔒 WRONG CODE")))</f>
        <v/>
      </c>
      <c r="J102" s="33" t="str">
        <f t="shared" ca="1" si="8"/>
        <v>—</v>
      </c>
      <c r="K102" s="46"/>
    </row>
    <row r="103" spans="1:11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IF(A103="","",IFERROR(VLOOKUP(A103,DB_Customers!$A:$M,13,0),""))</f>
        <v/>
      </c>
      <c r="D103" s="42" t="str">
        <f t="shared" ca="1" si="6"/>
        <v/>
      </c>
      <c r="E103" s="32"/>
      <c r="F103" s="43" t="str">
        <f t="shared" si="7"/>
        <v/>
      </c>
      <c r="G103" s="30" t="s">
        <v>59</v>
      </c>
      <c r="H103" s="41"/>
      <c r="I103" s="33" t="str">
        <f>IF(A103="","",IF(H103="","⚠️ Enter Agent Code",IF(IFERROR(VLOOKUP(G103,DB_Agents!$B:$F,4,0),"")=TEXT(H103,"0"),IF(AND(A103&lt;&gt;"",E103&lt;&gt;""),"✅ Saved","Pending"),"🔒 WRONG CODE")))</f>
        <v/>
      </c>
      <c r="J103" s="33" t="str">
        <f t="shared" ca="1" si="8"/>
        <v>—</v>
      </c>
      <c r="K103" s="22"/>
    </row>
    <row r="104" spans="1:11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IF(A104="","",IFERROR(VLOOKUP(A104,DB_Customers!$A:$M,13,0),""))</f>
        <v/>
      </c>
      <c r="D104" s="42" t="str">
        <f t="shared" ca="1" si="6"/>
        <v/>
      </c>
      <c r="E104" s="32"/>
      <c r="F104" s="43" t="str">
        <f t="shared" si="7"/>
        <v/>
      </c>
      <c r="G104" s="30" t="s">
        <v>59</v>
      </c>
      <c r="H104" s="41"/>
      <c r="I104" s="33" t="str">
        <f>IF(A104="","",IF(H104="","⚠️ Enter Agent Code",IF(IFERROR(VLOOKUP(G104,DB_Agents!$B:$F,4,0),"")=TEXT(H104,"0"),IF(AND(A104&lt;&gt;"",E104&lt;&gt;""),"✅ Saved","Pending"),"🔒 WRONG CODE")))</f>
        <v/>
      </c>
      <c r="J104" s="33" t="str">
        <f t="shared" ca="1" si="8"/>
        <v>—</v>
      </c>
      <c r="K104" s="46"/>
    </row>
    <row r="105" spans="1:11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IF(A105="","",IFERROR(VLOOKUP(A105,DB_Customers!$A:$M,13,0),""))</f>
        <v/>
      </c>
      <c r="D105" s="42" t="str">
        <f t="shared" ref="D105:D136" ca="1" si="9">IF(A105="","",TODAY())</f>
        <v/>
      </c>
      <c r="E105" s="32"/>
      <c r="F105" s="43" t="str">
        <f t="shared" ref="F105:F136" si="10">IFERROR(IF(OR(A105="",E105=""),"",C105+E105),"")</f>
        <v/>
      </c>
      <c r="G105" s="30" t="s">
        <v>59</v>
      </c>
      <c r="H105" s="41"/>
      <c r="I105" s="33" t="str">
        <f>IF(A105="","",IF(H105="","⚠️ Enter Agent Code",IF(IFERROR(VLOOKUP(G105,DB_Agents!$B:$F,4,0),"")=TEXT(H105,"0"),IF(AND(A105&lt;&gt;"",E105&lt;&gt;""),"✅ Saved","Pending"),"🔒 WRONG CODE")))</f>
        <v/>
      </c>
      <c r="J105" s="33" t="str">
        <f t="shared" ref="J105:J136" ca="1" si="11">IF(I105="✅ Saved",TEXT(TODAY(),"YYYY-MM-DD")&amp;" Auto","—")</f>
        <v>—</v>
      </c>
      <c r="K105" s="22"/>
    </row>
    <row r="106" spans="1:11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IF(A106="","",IFERROR(VLOOKUP(A106,DB_Customers!$A:$M,13,0),""))</f>
        <v/>
      </c>
      <c r="D106" s="42" t="str">
        <f t="shared" ca="1" si="9"/>
        <v/>
      </c>
      <c r="E106" s="32"/>
      <c r="F106" s="43" t="str">
        <f t="shared" si="10"/>
        <v/>
      </c>
      <c r="G106" s="30" t="s">
        <v>59</v>
      </c>
      <c r="H106" s="41"/>
      <c r="I106" s="33" t="str">
        <f>IF(A106="","",IF(H106="","⚠️ Enter Agent Code",IF(IFERROR(VLOOKUP(G106,DB_Agents!$B:$F,4,0),"")=TEXT(H106,"0"),IF(AND(A106&lt;&gt;"",E106&lt;&gt;""),"✅ Saved","Pending"),"🔒 WRONG CODE")))</f>
        <v/>
      </c>
      <c r="J106" s="33" t="str">
        <f t="shared" ca="1" si="11"/>
        <v>—</v>
      </c>
      <c r="K106" s="46"/>
    </row>
    <row r="107" spans="1:11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IF(A107="","",IFERROR(VLOOKUP(A107,DB_Customers!$A:$M,13,0),""))</f>
        <v/>
      </c>
      <c r="D107" s="42" t="str">
        <f t="shared" ca="1" si="9"/>
        <v/>
      </c>
      <c r="E107" s="32"/>
      <c r="F107" s="43" t="str">
        <f t="shared" si="10"/>
        <v/>
      </c>
      <c r="G107" s="30" t="s">
        <v>59</v>
      </c>
      <c r="H107" s="41"/>
      <c r="I107" s="33" t="str">
        <f>IF(A107="","",IF(H107="","⚠️ Enter Agent Code",IF(IFERROR(VLOOKUP(G107,DB_Agents!$B:$F,4,0),"")=TEXT(H107,"0"),IF(AND(A107&lt;&gt;"",E107&lt;&gt;""),"✅ Saved","Pending"),"🔒 WRONG CODE")))</f>
        <v/>
      </c>
      <c r="J107" s="33" t="str">
        <f t="shared" ca="1" si="11"/>
        <v>—</v>
      </c>
      <c r="K107" s="22"/>
    </row>
    <row r="108" spans="1:11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IF(A108="","",IFERROR(VLOOKUP(A108,DB_Customers!$A:$M,13,0),""))</f>
        <v/>
      </c>
      <c r="D108" s="42" t="str">
        <f t="shared" ca="1" si="9"/>
        <v/>
      </c>
      <c r="E108" s="32"/>
      <c r="F108" s="43" t="str">
        <f t="shared" si="10"/>
        <v/>
      </c>
      <c r="G108" s="30" t="s">
        <v>59</v>
      </c>
      <c r="H108" s="41"/>
      <c r="I108" s="33" t="str">
        <f>IF(A108="","",IF(H108="","⚠️ Enter Agent Code",IF(IFERROR(VLOOKUP(G108,DB_Agents!$B:$F,4,0),"")=TEXT(H108,"0"),IF(AND(A108&lt;&gt;"",E108&lt;&gt;""),"✅ Saved","Pending"),"🔒 WRONG CODE")))</f>
        <v/>
      </c>
      <c r="J108" s="33" t="str">
        <f t="shared" ca="1" si="11"/>
        <v>—</v>
      </c>
      <c r="K108" s="46"/>
    </row>
    <row r="109" spans="1:11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IF(A109="","",IFERROR(VLOOKUP(A109,DB_Customers!$A:$M,13,0),""))</f>
        <v/>
      </c>
      <c r="D109" s="42" t="str">
        <f t="shared" ca="1" si="9"/>
        <v/>
      </c>
      <c r="E109" s="32"/>
      <c r="F109" s="43" t="str">
        <f t="shared" si="10"/>
        <v/>
      </c>
      <c r="G109" s="30" t="s">
        <v>59</v>
      </c>
      <c r="H109" s="41"/>
      <c r="I109" s="33" t="str">
        <f>IF(A109="","",IF(H109="","⚠️ Enter Agent Code",IF(IFERROR(VLOOKUP(G109,DB_Agents!$B:$F,4,0),"")=TEXT(H109,"0"),IF(AND(A109&lt;&gt;"",E109&lt;&gt;""),"✅ Saved","Pending"),"🔒 WRONG CODE")))</f>
        <v/>
      </c>
      <c r="J109" s="33" t="str">
        <f t="shared" ca="1" si="11"/>
        <v>—</v>
      </c>
      <c r="K109" s="22"/>
    </row>
    <row r="110" spans="1:11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IF(A110="","",IFERROR(VLOOKUP(A110,DB_Customers!$A:$M,13,0),""))</f>
        <v/>
      </c>
      <c r="D110" s="42" t="str">
        <f t="shared" ca="1" si="9"/>
        <v/>
      </c>
      <c r="E110" s="32"/>
      <c r="F110" s="43" t="str">
        <f t="shared" si="10"/>
        <v/>
      </c>
      <c r="G110" s="30" t="s">
        <v>59</v>
      </c>
      <c r="H110" s="41"/>
      <c r="I110" s="33" t="str">
        <f>IF(A110="","",IF(H110="","⚠️ Enter Agent Code",IF(IFERROR(VLOOKUP(G110,DB_Agents!$B:$F,4,0),"")=TEXT(H110,"0"),IF(AND(A110&lt;&gt;"",E110&lt;&gt;""),"✅ Saved","Pending"),"🔒 WRONG CODE")))</f>
        <v/>
      </c>
      <c r="J110" s="33" t="str">
        <f t="shared" ca="1" si="11"/>
        <v>—</v>
      </c>
      <c r="K110" s="46"/>
    </row>
    <row r="111" spans="1:11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IF(A111="","",IFERROR(VLOOKUP(A111,DB_Customers!$A:$M,13,0),""))</f>
        <v/>
      </c>
      <c r="D111" s="42" t="str">
        <f t="shared" ca="1" si="9"/>
        <v/>
      </c>
      <c r="E111" s="32"/>
      <c r="F111" s="43" t="str">
        <f t="shared" si="10"/>
        <v/>
      </c>
      <c r="G111" s="30" t="s">
        <v>59</v>
      </c>
      <c r="H111" s="41"/>
      <c r="I111" s="33" t="str">
        <f>IF(A111="","",IF(H111="","⚠️ Enter Agent Code",IF(IFERROR(VLOOKUP(G111,DB_Agents!$B:$F,4,0),"")=TEXT(H111,"0"),IF(AND(A111&lt;&gt;"",E111&lt;&gt;""),"✅ Saved","Pending"),"🔒 WRONG CODE")))</f>
        <v/>
      </c>
      <c r="J111" s="33" t="str">
        <f t="shared" ca="1" si="11"/>
        <v>—</v>
      </c>
      <c r="K111" s="22"/>
    </row>
    <row r="112" spans="1:11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IF(A112="","",IFERROR(VLOOKUP(A112,DB_Customers!$A:$M,13,0),""))</f>
        <v/>
      </c>
      <c r="D112" s="42" t="str">
        <f t="shared" ca="1" si="9"/>
        <v/>
      </c>
      <c r="E112" s="32"/>
      <c r="F112" s="43" t="str">
        <f t="shared" si="10"/>
        <v/>
      </c>
      <c r="G112" s="30" t="s">
        <v>59</v>
      </c>
      <c r="H112" s="41"/>
      <c r="I112" s="33" t="str">
        <f>IF(A112="","",IF(H112="","⚠️ Enter Agent Code",IF(IFERROR(VLOOKUP(G112,DB_Agents!$B:$F,4,0),"")=TEXT(H112,"0"),IF(AND(A112&lt;&gt;"",E112&lt;&gt;""),"✅ Saved","Pending"),"🔒 WRONG CODE")))</f>
        <v/>
      </c>
      <c r="J112" s="33" t="str">
        <f t="shared" ca="1" si="11"/>
        <v>—</v>
      </c>
      <c r="K112" s="46"/>
    </row>
    <row r="113" spans="1:11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IF(A113="","",IFERROR(VLOOKUP(A113,DB_Customers!$A:$M,13,0),""))</f>
        <v/>
      </c>
      <c r="D113" s="42" t="str">
        <f t="shared" ca="1" si="9"/>
        <v/>
      </c>
      <c r="E113" s="32"/>
      <c r="F113" s="43" t="str">
        <f t="shared" si="10"/>
        <v/>
      </c>
      <c r="G113" s="30" t="s">
        <v>59</v>
      </c>
      <c r="H113" s="41"/>
      <c r="I113" s="33" t="str">
        <f>IF(A113="","",IF(H113="","⚠️ Enter Agent Code",IF(IFERROR(VLOOKUP(G113,DB_Agents!$B:$F,4,0),"")=TEXT(H113,"0"),IF(AND(A113&lt;&gt;"",E113&lt;&gt;""),"✅ Saved","Pending"),"🔒 WRONG CODE")))</f>
        <v/>
      </c>
      <c r="J113" s="33" t="str">
        <f t="shared" ca="1" si="11"/>
        <v>—</v>
      </c>
      <c r="K113" s="22"/>
    </row>
    <row r="114" spans="1:11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IF(A114="","",IFERROR(VLOOKUP(A114,DB_Customers!$A:$M,13,0),""))</f>
        <v/>
      </c>
      <c r="D114" s="42" t="str">
        <f t="shared" ca="1" si="9"/>
        <v/>
      </c>
      <c r="E114" s="32"/>
      <c r="F114" s="43" t="str">
        <f t="shared" si="10"/>
        <v/>
      </c>
      <c r="G114" s="30" t="s">
        <v>59</v>
      </c>
      <c r="H114" s="41"/>
      <c r="I114" s="33" t="str">
        <f>IF(A114="","",IF(H114="","⚠️ Enter Agent Code",IF(IFERROR(VLOOKUP(G114,DB_Agents!$B:$F,4,0),"")=TEXT(H114,"0"),IF(AND(A114&lt;&gt;"",E114&lt;&gt;""),"✅ Saved","Pending"),"🔒 WRONG CODE")))</f>
        <v/>
      </c>
      <c r="J114" s="33" t="str">
        <f t="shared" ca="1" si="11"/>
        <v>—</v>
      </c>
      <c r="K114" s="46"/>
    </row>
    <row r="115" spans="1:11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IF(A115="","",IFERROR(VLOOKUP(A115,DB_Customers!$A:$M,13,0),""))</f>
        <v/>
      </c>
      <c r="D115" s="42" t="str">
        <f t="shared" ca="1" si="9"/>
        <v/>
      </c>
      <c r="E115" s="32"/>
      <c r="F115" s="43" t="str">
        <f t="shared" si="10"/>
        <v/>
      </c>
      <c r="G115" s="30" t="s">
        <v>59</v>
      </c>
      <c r="H115" s="41"/>
      <c r="I115" s="33" t="str">
        <f>IF(A115="","",IF(H115="","⚠️ Enter Agent Code",IF(IFERROR(VLOOKUP(G115,DB_Agents!$B:$F,4,0),"")=TEXT(H115,"0"),IF(AND(A115&lt;&gt;"",E115&lt;&gt;""),"✅ Saved","Pending"),"🔒 WRONG CODE")))</f>
        <v/>
      </c>
      <c r="J115" s="33" t="str">
        <f t="shared" ca="1" si="11"/>
        <v>—</v>
      </c>
      <c r="K115" s="22"/>
    </row>
    <row r="116" spans="1:11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IF(A116="","",IFERROR(VLOOKUP(A116,DB_Customers!$A:$M,13,0),""))</f>
        <v/>
      </c>
      <c r="D116" s="42" t="str">
        <f t="shared" ca="1" si="9"/>
        <v/>
      </c>
      <c r="E116" s="32"/>
      <c r="F116" s="43" t="str">
        <f t="shared" si="10"/>
        <v/>
      </c>
      <c r="G116" s="30" t="s">
        <v>59</v>
      </c>
      <c r="H116" s="41"/>
      <c r="I116" s="33" t="str">
        <f>IF(A116="","",IF(H116="","⚠️ Enter Agent Code",IF(IFERROR(VLOOKUP(G116,DB_Agents!$B:$F,4,0),"")=TEXT(H116,"0"),IF(AND(A116&lt;&gt;"",E116&lt;&gt;""),"✅ Saved","Pending"),"🔒 WRONG CODE")))</f>
        <v/>
      </c>
      <c r="J116" s="33" t="str">
        <f t="shared" ca="1" si="11"/>
        <v>—</v>
      </c>
      <c r="K116" s="46"/>
    </row>
    <row r="117" spans="1:11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IF(A117="","",IFERROR(VLOOKUP(A117,DB_Customers!$A:$M,13,0),""))</f>
        <v/>
      </c>
      <c r="D117" s="42" t="str">
        <f t="shared" ca="1" si="9"/>
        <v/>
      </c>
      <c r="E117" s="32"/>
      <c r="F117" s="43" t="str">
        <f t="shared" si="10"/>
        <v/>
      </c>
      <c r="G117" s="30" t="s">
        <v>59</v>
      </c>
      <c r="H117" s="41"/>
      <c r="I117" s="33" t="str">
        <f>IF(A117="","",IF(H117="","⚠️ Enter Agent Code",IF(IFERROR(VLOOKUP(G117,DB_Agents!$B:$F,4,0),"")=TEXT(H117,"0"),IF(AND(A117&lt;&gt;"",E117&lt;&gt;""),"✅ Saved","Pending"),"🔒 WRONG CODE")))</f>
        <v/>
      </c>
      <c r="J117" s="33" t="str">
        <f t="shared" ca="1" si="11"/>
        <v>—</v>
      </c>
      <c r="K117" s="22"/>
    </row>
    <row r="118" spans="1:11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IF(A118="","",IFERROR(VLOOKUP(A118,DB_Customers!$A:$M,13,0),""))</f>
        <v/>
      </c>
      <c r="D118" s="42" t="str">
        <f t="shared" ca="1" si="9"/>
        <v/>
      </c>
      <c r="E118" s="32"/>
      <c r="F118" s="43" t="str">
        <f t="shared" si="10"/>
        <v/>
      </c>
      <c r="G118" s="30" t="s">
        <v>59</v>
      </c>
      <c r="H118" s="41"/>
      <c r="I118" s="33" t="str">
        <f>IF(A118="","",IF(H118="","⚠️ Enter Agent Code",IF(IFERROR(VLOOKUP(G118,DB_Agents!$B:$F,4,0),"")=TEXT(H118,"0"),IF(AND(A118&lt;&gt;"",E118&lt;&gt;""),"✅ Saved","Pending"),"🔒 WRONG CODE")))</f>
        <v/>
      </c>
      <c r="J118" s="33" t="str">
        <f t="shared" ca="1" si="11"/>
        <v>—</v>
      </c>
      <c r="K118" s="46"/>
    </row>
    <row r="119" spans="1:11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IF(A119="","",IFERROR(VLOOKUP(A119,DB_Customers!$A:$M,13,0),""))</f>
        <v/>
      </c>
      <c r="D119" s="42" t="str">
        <f t="shared" ca="1" si="9"/>
        <v/>
      </c>
      <c r="E119" s="32"/>
      <c r="F119" s="43" t="str">
        <f t="shared" si="10"/>
        <v/>
      </c>
      <c r="G119" s="30" t="s">
        <v>59</v>
      </c>
      <c r="H119" s="41"/>
      <c r="I119" s="33" t="str">
        <f>IF(A119="","",IF(H119="","⚠️ Enter Agent Code",IF(IFERROR(VLOOKUP(G119,DB_Agents!$B:$F,4,0),"")=TEXT(H119,"0"),IF(AND(A119&lt;&gt;"",E119&lt;&gt;""),"✅ Saved","Pending"),"🔒 WRONG CODE")))</f>
        <v/>
      </c>
      <c r="J119" s="33" t="str">
        <f t="shared" ca="1" si="11"/>
        <v>—</v>
      </c>
      <c r="K119" s="22"/>
    </row>
    <row r="120" spans="1:11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IF(A120="","",IFERROR(VLOOKUP(A120,DB_Customers!$A:$M,13,0),""))</f>
        <v/>
      </c>
      <c r="D120" s="42" t="str">
        <f t="shared" ca="1" si="9"/>
        <v/>
      </c>
      <c r="E120" s="32"/>
      <c r="F120" s="43" t="str">
        <f t="shared" si="10"/>
        <v/>
      </c>
      <c r="G120" s="30" t="s">
        <v>59</v>
      </c>
      <c r="H120" s="41"/>
      <c r="I120" s="33" t="str">
        <f>IF(A120="","",IF(H120="","⚠️ Enter Agent Code",IF(IFERROR(VLOOKUP(G120,DB_Agents!$B:$F,4,0),"")=TEXT(H120,"0"),IF(AND(A120&lt;&gt;"",E120&lt;&gt;""),"✅ Saved","Pending"),"🔒 WRONG CODE")))</f>
        <v/>
      </c>
      <c r="J120" s="33" t="str">
        <f t="shared" ca="1" si="11"/>
        <v>—</v>
      </c>
      <c r="K120" s="46"/>
    </row>
    <row r="121" spans="1:11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IF(A121="","",IFERROR(VLOOKUP(A121,DB_Customers!$A:$M,13,0),""))</f>
        <v/>
      </c>
      <c r="D121" s="42" t="str">
        <f t="shared" ca="1" si="9"/>
        <v/>
      </c>
      <c r="E121" s="32"/>
      <c r="F121" s="43" t="str">
        <f t="shared" si="10"/>
        <v/>
      </c>
      <c r="G121" s="30" t="s">
        <v>59</v>
      </c>
      <c r="H121" s="41"/>
      <c r="I121" s="33" t="str">
        <f>IF(A121="","",IF(H121="","⚠️ Enter Agent Code",IF(IFERROR(VLOOKUP(G121,DB_Agents!$B:$F,4,0),"")=TEXT(H121,"0"),IF(AND(A121&lt;&gt;"",E121&lt;&gt;""),"✅ Saved","Pending"),"🔒 WRONG CODE")))</f>
        <v/>
      </c>
      <c r="J121" s="33" t="str">
        <f t="shared" ca="1" si="11"/>
        <v>—</v>
      </c>
      <c r="K121" s="22"/>
    </row>
    <row r="122" spans="1:11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IF(A122="","",IFERROR(VLOOKUP(A122,DB_Customers!$A:$M,13,0),""))</f>
        <v/>
      </c>
      <c r="D122" s="42" t="str">
        <f t="shared" ca="1" si="9"/>
        <v/>
      </c>
      <c r="E122" s="32"/>
      <c r="F122" s="43" t="str">
        <f t="shared" si="10"/>
        <v/>
      </c>
      <c r="G122" s="30" t="s">
        <v>59</v>
      </c>
      <c r="H122" s="41"/>
      <c r="I122" s="33" t="str">
        <f>IF(A122="","",IF(H122="","⚠️ Enter Agent Code",IF(IFERROR(VLOOKUP(G122,DB_Agents!$B:$F,4,0),"")=TEXT(H122,"0"),IF(AND(A122&lt;&gt;"",E122&lt;&gt;""),"✅ Saved","Pending"),"🔒 WRONG CODE")))</f>
        <v/>
      </c>
      <c r="J122" s="33" t="str">
        <f t="shared" ca="1" si="11"/>
        <v>—</v>
      </c>
      <c r="K122" s="46"/>
    </row>
    <row r="123" spans="1:11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IF(A123="","",IFERROR(VLOOKUP(A123,DB_Customers!$A:$M,13,0),""))</f>
        <v/>
      </c>
      <c r="D123" s="42" t="str">
        <f t="shared" ca="1" si="9"/>
        <v/>
      </c>
      <c r="E123" s="32"/>
      <c r="F123" s="43" t="str">
        <f t="shared" si="10"/>
        <v/>
      </c>
      <c r="G123" s="30" t="s">
        <v>59</v>
      </c>
      <c r="H123" s="41"/>
      <c r="I123" s="33" t="str">
        <f>IF(A123="","",IF(H123="","⚠️ Enter Agent Code",IF(IFERROR(VLOOKUP(G123,DB_Agents!$B:$F,4,0),"")=TEXT(H123,"0"),IF(AND(A123&lt;&gt;"",E123&lt;&gt;""),"✅ Saved","Pending"),"🔒 WRONG CODE")))</f>
        <v/>
      </c>
      <c r="J123" s="33" t="str">
        <f t="shared" ca="1" si="11"/>
        <v>—</v>
      </c>
      <c r="K123" s="22"/>
    </row>
    <row r="124" spans="1:11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IF(A124="","",IFERROR(VLOOKUP(A124,DB_Customers!$A:$M,13,0),""))</f>
        <v/>
      </c>
      <c r="D124" s="42" t="str">
        <f t="shared" ca="1" si="9"/>
        <v/>
      </c>
      <c r="E124" s="32"/>
      <c r="F124" s="43" t="str">
        <f t="shared" si="10"/>
        <v/>
      </c>
      <c r="G124" s="30" t="s">
        <v>59</v>
      </c>
      <c r="H124" s="41"/>
      <c r="I124" s="33" t="str">
        <f>IF(A124="","",IF(H124="","⚠️ Enter Agent Code",IF(IFERROR(VLOOKUP(G124,DB_Agents!$B:$F,4,0),"")=TEXT(H124,"0"),IF(AND(A124&lt;&gt;"",E124&lt;&gt;""),"✅ Saved","Pending"),"🔒 WRONG CODE")))</f>
        <v/>
      </c>
      <c r="J124" s="33" t="str">
        <f t="shared" ca="1" si="11"/>
        <v>—</v>
      </c>
      <c r="K124" s="46"/>
    </row>
    <row r="125" spans="1:11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IF(A125="","",IFERROR(VLOOKUP(A125,DB_Customers!$A:$M,13,0),""))</f>
        <v/>
      </c>
      <c r="D125" s="42" t="str">
        <f t="shared" ca="1" si="9"/>
        <v/>
      </c>
      <c r="E125" s="32"/>
      <c r="F125" s="43" t="str">
        <f t="shared" si="10"/>
        <v/>
      </c>
      <c r="G125" s="30" t="s">
        <v>59</v>
      </c>
      <c r="H125" s="41"/>
      <c r="I125" s="33" t="str">
        <f>IF(A125="","",IF(H125="","⚠️ Enter Agent Code",IF(IFERROR(VLOOKUP(G125,DB_Agents!$B:$F,4,0),"")=TEXT(H125,"0"),IF(AND(A125&lt;&gt;"",E125&lt;&gt;""),"✅ Saved","Pending"),"🔒 WRONG CODE")))</f>
        <v/>
      </c>
      <c r="J125" s="33" t="str">
        <f t="shared" ca="1" si="11"/>
        <v>—</v>
      </c>
      <c r="K125" s="22"/>
    </row>
    <row r="126" spans="1:11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IF(A126="","",IFERROR(VLOOKUP(A126,DB_Customers!$A:$M,13,0),""))</f>
        <v/>
      </c>
      <c r="D126" s="42" t="str">
        <f t="shared" ca="1" si="9"/>
        <v/>
      </c>
      <c r="E126" s="32"/>
      <c r="F126" s="43" t="str">
        <f t="shared" si="10"/>
        <v/>
      </c>
      <c r="G126" s="30" t="s">
        <v>59</v>
      </c>
      <c r="H126" s="41"/>
      <c r="I126" s="33" t="str">
        <f>IF(A126="","",IF(H126="","⚠️ Enter Agent Code",IF(IFERROR(VLOOKUP(G126,DB_Agents!$B:$F,4,0),"")=TEXT(H126,"0"),IF(AND(A126&lt;&gt;"",E126&lt;&gt;""),"✅ Saved","Pending"),"🔒 WRONG CODE")))</f>
        <v/>
      </c>
      <c r="J126" s="33" t="str">
        <f t="shared" ca="1" si="11"/>
        <v>—</v>
      </c>
      <c r="K126" s="46"/>
    </row>
    <row r="127" spans="1:11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IF(A127="","",IFERROR(VLOOKUP(A127,DB_Customers!$A:$M,13,0),""))</f>
        <v/>
      </c>
      <c r="D127" s="42" t="str">
        <f t="shared" ca="1" si="9"/>
        <v/>
      </c>
      <c r="E127" s="32"/>
      <c r="F127" s="43" t="str">
        <f t="shared" si="10"/>
        <v/>
      </c>
      <c r="G127" s="30" t="s">
        <v>59</v>
      </c>
      <c r="H127" s="41"/>
      <c r="I127" s="33" t="str">
        <f>IF(A127="","",IF(H127="","⚠️ Enter Agent Code",IF(IFERROR(VLOOKUP(G127,DB_Agents!$B:$F,4,0),"")=TEXT(H127,"0"),IF(AND(A127&lt;&gt;"",E127&lt;&gt;""),"✅ Saved","Pending"),"🔒 WRONG CODE")))</f>
        <v/>
      </c>
      <c r="J127" s="33" t="str">
        <f t="shared" ca="1" si="11"/>
        <v>—</v>
      </c>
      <c r="K127" s="22"/>
    </row>
    <row r="128" spans="1:11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IF(A128="","",IFERROR(VLOOKUP(A128,DB_Customers!$A:$M,13,0),""))</f>
        <v/>
      </c>
      <c r="D128" s="42" t="str">
        <f t="shared" ca="1" si="9"/>
        <v/>
      </c>
      <c r="E128" s="32"/>
      <c r="F128" s="43" t="str">
        <f t="shared" si="10"/>
        <v/>
      </c>
      <c r="G128" s="30" t="s">
        <v>59</v>
      </c>
      <c r="H128" s="41"/>
      <c r="I128" s="33" t="str">
        <f>IF(A128="","",IF(H128="","⚠️ Enter Agent Code",IF(IFERROR(VLOOKUP(G128,DB_Agents!$B:$F,4,0),"")=TEXT(H128,"0"),IF(AND(A128&lt;&gt;"",E128&lt;&gt;""),"✅ Saved","Pending"),"🔒 WRONG CODE")))</f>
        <v/>
      </c>
      <c r="J128" s="33" t="str">
        <f t="shared" ca="1" si="11"/>
        <v>—</v>
      </c>
      <c r="K128" s="46"/>
    </row>
    <row r="129" spans="1:11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IF(A129="","",IFERROR(VLOOKUP(A129,DB_Customers!$A:$M,13,0),""))</f>
        <v/>
      </c>
      <c r="D129" s="42" t="str">
        <f t="shared" ca="1" si="9"/>
        <v/>
      </c>
      <c r="E129" s="32"/>
      <c r="F129" s="43" t="str">
        <f t="shared" si="10"/>
        <v/>
      </c>
      <c r="G129" s="30" t="s">
        <v>59</v>
      </c>
      <c r="H129" s="41"/>
      <c r="I129" s="33" t="str">
        <f>IF(A129="","",IF(H129="","⚠️ Enter Agent Code",IF(IFERROR(VLOOKUP(G129,DB_Agents!$B:$F,4,0),"")=TEXT(H129,"0"),IF(AND(A129&lt;&gt;"",E129&lt;&gt;""),"✅ Saved","Pending"),"🔒 WRONG CODE")))</f>
        <v/>
      </c>
      <c r="J129" s="33" t="str">
        <f t="shared" ca="1" si="11"/>
        <v>—</v>
      </c>
      <c r="K129" s="22"/>
    </row>
    <row r="130" spans="1:11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IF(A130="","",IFERROR(VLOOKUP(A130,DB_Customers!$A:$M,13,0),""))</f>
        <v/>
      </c>
      <c r="D130" s="42" t="str">
        <f t="shared" ca="1" si="9"/>
        <v/>
      </c>
      <c r="E130" s="32"/>
      <c r="F130" s="43" t="str">
        <f t="shared" si="10"/>
        <v/>
      </c>
      <c r="G130" s="30" t="s">
        <v>59</v>
      </c>
      <c r="H130" s="41"/>
      <c r="I130" s="33" t="str">
        <f>IF(A130="","",IF(H130="","⚠️ Enter Agent Code",IF(IFERROR(VLOOKUP(G130,DB_Agents!$B:$F,4,0),"")=TEXT(H130,"0"),IF(AND(A130&lt;&gt;"",E130&lt;&gt;""),"✅ Saved","Pending"),"🔒 WRONG CODE")))</f>
        <v/>
      </c>
      <c r="J130" s="33" t="str">
        <f t="shared" ca="1" si="11"/>
        <v>—</v>
      </c>
      <c r="K130" s="46"/>
    </row>
    <row r="131" spans="1:11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IF(A131="","",IFERROR(VLOOKUP(A131,DB_Customers!$A:$M,13,0),""))</f>
        <v/>
      </c>
      <c r="D131" s="42" t="str">
        <f t="shared" ca="1" si="9"/>
        <v/>
      </c>
      <c r="E131" s="32"/>
      <c r="F131" s="43" t="str">
        <f t="shared" si="10"/>
        <v/>
      </c>
      <c r="G131" s="30" t="s">
        <v>59</v>
      </c>
      <c r="H131" s="41"/>
      <c r="I131" s="33" t="str">
        <f>IF(A131="","",IF(H131="","⚠️ Enter Agent Code",IF(IFERROR(VLOOKUP(G131,DB_Agents!$B:$F,4,0),"")=TEXT(H131,"0"),IF(AND(A131&lt;&gt;"",E131&lt;&gt;""),"✅ Saved","Pending"),"🔒 WRONG CODE")))</f>
        <v/>
      </c>
      <c r="J131" s="33" t="str">
        <f t="shared" ca="1" si="11"/>
        <v>—</v>
      </c>
      <c r="K131" s="22"/>
    </row>
    <row r="132" spans="1:11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IF(A132="","",IFERROR(VLOOKUP(A132,DB_Customers!$A:$M,13,0),""))</f>
        <v/>
      </c>
      <c r="D132" s="42" t="str">
        <f t="shared" ca="1" si="9"/>
        <v/>
      </c>
      <c r="E132" s="32"/>
      <c r="F132" s="43" t="str">
        <f t="shared" si="10"/>
        <v/>
      </c>
      <c r="G132" s="30" t="s">
        <v>59</v>
      </c>
      <c r="H132" s="41"/>
      <c r="I132" s="33" t="str">
        <f>IF(A132="","",IF(H132="","⚠️ Enter Agent Code",IF(IFERROR(VLOOKUP(G132,DB_Agents!$B:$F,4,0),"")=TEXT(H132,"0"),IF(AND(A132&lt;&gt;"",E132&lt;&gt;""),"✅ Saved","Pending"),"🔒 WRONG CODE")))</f>
        <v/>
      </c>
      <c r="J132" s="33" t="str">
        <f t="shared" ca="1" si="11"/>
        <v>—</v>
      </c>
      <c r="K132" s="46"/>
    </row>
    <row r="133" spans="1:11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IF(A133="","",IFERROR(VLOOKUP(A133,DB_Customers!$A:$M,13,0),""))</f>
        <v/>
      </c>
      <c r="D133" s="42" t="str">
        <f t="shared" ca="1" si="9"/>
        <v/>
      </c>
      <c r="E133" s="32"/>
      <c r="F133" s="43" t="str">
        <f t="shared" si="10"/>
        <v/>
      </c>
      <c r="G133" s="30" t="s">
        <v>59</v>
      </c>
      <c r="H133" s="41"/>
      <c r="I133" s="33" t="str">
        <f>IF(A133="","",IF(H133="","⚠️ Enter Agent Code",IF(IFERROR(VLOOKUP(G133,DB_Agents!$B:$F,4,0),"")=TEXT(H133,"0"),IF(AND(A133&lt;&gt;"",E133&lt;&gt;""),"✅ Saved","Pending"),"🔒 WRONG CODE")))</f>
        <v/>
      </c>
      <c r="J133" s="33" t="str">
        <f t="shared" ca="1" si="11"/>
        <v>—</v>
      </c>
      <c r="K133" s="22"/>
    </row>
    <row r="134" spans="1:11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IF(A134="","",IFERROR(VLOOKUP(A134,DB_Customers!$A:$M,13,0),""))</f>
        <v/>
      </c>
      <c r="D134" s="42" t="str">
        <f t="shared" ca="1" si="9"/>
        <v/>
      </c>
      <c r="E134" s="32"/>
      <c r="F134" s="43" t="str">
        <f t="shared" si="10"/>
        <v/>
      </c>
      <c r="G134" s="30" t="s">
        <v>59</v>
      </c>
      <c r="H134" s="41"/>
      <c r="I134" s="33" t="str">
        <f>IF(A134="","",IF(H134="","⚠️ Enter Agent Code",IF(IFERROR(VLOOKUP(G134,DB_Agents!$B:$F,4,0),"")=TEXT(H134,"0"),IF(AND(A134&lt;&gt;"",E134&lt;&gt;""),"✅ Saved","Pending"),"🔒 WRONG CODE")))</f>
        <v/>
      </c>
      <c r="J134" s="33" t="str">
        <f t="shared" ca="1" si="11"/>
        <v>—</v>
      </c>
      <c r="K134" s="46"/>
    </row>
    <row r="135" spans="1:11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IF(A135="","",IFERROR(VLOOKUP(A135,DB_Customers!$A:$M,13,0),""))</f>
        <v/>
      </c>
      <c r="D135" s="42" t="str">
        <f t="shared" ca="1" si="9"/>
        <v/>
      </c>
      <c r="E135" s="32"/>
      <c r="F135" s="43" t="str">
        <f t="shared" si="10"/>
        <v/>
      </c>
      <c r="G135" s="30" t="s">
        <v>59</v>
      </c>
      <c r="H135" s="41"/>
      <c r="I135" s="33" t="str">
        <f>IF(A135="","",IF(H135="","⚠️ Enter Agent Code",IF(IFERROR(VLOOKUP(G135,DB_Agents!$B:$F,4,0),"")=TEXT(H135,"0"),IF(AND(A135&lt;&gt;"",E135&lt;&gt;""),"✅ Saved","Pending"),"🔒 WRONG CODE")))</f>
        <v/>
      </c>
      <c r="J135" s="33" t="str">
        <f t="shared" ca="1" si="11"/>
        <v>—</v>
      </c>
      <c r="K135" s="22"/>
    </row>
    <row r="136" spans="1:11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IF(A136="","",IFERROR(VLOOKUP(A136,DB_Customers!$A:$M,13,0),""))</f>
        <v/>
      </c>
      <c r="D136" s="42" t="str">
        <f t="shared" ca="1" si="9"/>
        <v/>
      </c>
      <c r="E136" s="32"/>
      <c r="F136" s="43" t="str">
        <f t="shared" si="10"/>
        <v/>
      </c>
      <c r="G136" s="30" t="s">
        <v>59</v>
      </c>
      <c r="H136" s="41"/>
      <c r="I136" s="33" t="str">
        <f>IF(A136="","",IF(H136="","⚠️ Enter Agent Code",IF(IFERROR(VLOOKUP(G136,DB_Agents!$B:$F,4,0),"")=TEXT(H136,"0"),IF(AND(A136&lt;&gt;"",E136&lt;&gt;""),"✅ Saved","Pending"),"🔒 WRONG CODE")))</f>
        <v/>
      </c>
      <c r="J136" s="33" t="str">
        <f t="shared" ca="1" si="11"/>
        <v>—</v>
      </c>
      <c r="K136" s="46"/>
    </row>
    <row r="137" spans="1:11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IF(A137="","",IFERROR(VLOOKUP(A137,DB_Customers!$A:$M,13,0),""))</f>
        <v/>
      </c>
      <c r="D137" s="42" t="str">
        <f t="shared" ref="D137:D168" ca="1" si="12">IF(A137="","",TODAY())</f>
        <v/>
      </c>
      <c r="E137" s="32"/>
      <c r="F137" s="43" t="str">
        <f t="shared" ref="F137:F168" si="13">IFERROR(IF(OR(A137="",E137=""),"",C137+E137),"")</f>
        <v/>
      </c>
      <c r="G137" s="30" t="s">
        <v>59</v>
      </c>
      <c r="H137" s="41"/>
      <c r="I137" s="33" t="str">
        <f>IF(A137="","",IF(H137="","⚠️ Enter Agent Code",IF(IFERROR(VLOOKUP(G137,DB_Agents!$B:$F,4,0),"")=TEXT(H137,"0"),IF(AND(A137&lt;&gt;"",E137&lt;&gt;""),"✅ Saved","Pending"),"🔒 WRONG CODE")))</f>
        <v/>
      </c>
      <c r="J137" s="33" t="str">
        <f t="shared" ref="J137:J168" ca="1" si="14">IF(I137="✅ Saved",TEXT(TODAY(),"YYYY-MM-DD")&amp;" Auto","—")</f>
        <v>—</v>
      </c>
      <c r="K137" s="22"/>
    </row>
    <row r="138" spans="1:11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IF(A138="","",IFERROR(VLOOKUP(A138,DB_Customers!$A:$M,13,0),""))</f>
        <v/>
      </c>
      <c r="D138" s="42" t="str">
        <f t="shared" ca="1" si="12"/>
        <v/>
      </c>
      <c r="E138" s="32"/>
      <c r="F138" s="43" t="str">
        <f t="shared" si="13"/>
        <v/>
      </c>
      <c r="G138" s="30" t="s">
        <v>59</v>
      </c>
      <c r="H138" s="41"/>
      <c r="I138" s="33" t="str">
        <f>IF(A138="","",IF(H138="","⚠️ Enter Agent Code",IF(IFERROR(VLOOKUP(G138,DB_Agents!$B:$F,4,0),"")=TEXT(H138,"0"),IF(AND(A138&lt;&gt;"",E138&lt;&gt;""),"✅ Saved","Pending"),"🔒 WRONG CODE")))</f>
        <v/>
      </c>
      <c r="J138" s="33" t="str">
        <f t="shared" ca="1" si="14"/>
        <v>—</v>
      </c>
      <c r="K138" s="46"/>
    </row>
    <row r="139" spans="1:11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IF(A139="","",IFERROR(VLOOKUP(A139,DB_Customers!$A:$M,13,0),""))</f>
        <v/>
      </c>
      <c r="D139" s="42" t="str">
        <f t="shared" ca="1" si="12"/>
        <v/>
      </c>
      <c r="E139" s="32"/>
      <c r="F139" s="43" t="str">
        <f t="shared" si="13"/>
        <v/>
      </c>
      <c r="G139" s="30" t="s">
        <v>59</v>
      </c>
      <c r="H139" s="41"/>
      <c r="I139" s="33" t="str">
        <f>IF(A139="","",IF(H139="","⚠️ Enter Agent Code",IF(IFERROR(VLOOKUP(G139,DB_Agents!$B:$F,4,0),"")=TEXT(H139,"0"),IF(AND(A139&lt;&gt;"",E139&lt;&gt;""),"✅ Saved","Pending"),"🔒 WRONG CODE")))</f>
        <v/>
      </c>
      <c r="J139" s="33" t="str">
        <f t="shared" ca="1" si="14"/>
        <v>—</v>
      </c>
      <c r="K139" s="22"/>
    </row>
    <row r="140" spans="1:11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IF(A140="","",IFERROR(VLOOKUP(A140,DB_Customers!$A:$M,13,0),""))</f>
        <v/>
      </c>
      <c r="D140" s="42" t="str">
        <f t="shared" ca="1" si="12"/>
        <v/>
      </c>
      <c r="E140" s="32"/>
      <c r="F140" s="43" t="str">
        <f t="shared" si="13"/>
        <v/>
      </c>
      <c r="G140" s="30" t="s">
        <v>59</v>
      </c>
      <c r="H140" s="41"/>
      <c r="I140" s="33" t="str">
        <f>IF(A140="","",IF(H140="","⚠️ Enter Agent Code",IF(IFERROR(VLOOKUP(G140,DB_Agents!$B:$F,4,0),"")=TEXT(H140,"0"),IF(AND(A140&lt;&gt;"",E140&lt;&gt;""),"✅ Saved","Pending"),"🔒 WRONG CODE")))</f>
        <v/>
      </c>
      <c r="J140" s="33" t="str">
        <f t="shared" ca="1" si="14"/>
        <v>—</v>
      </c>
      <c r="K140" s="46"/>
    </row>
    <row r="141" spans="1:11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IF(A141="","",IFERROR(VLOOKUP(A141,DB_Customers!$A:$M,13,0),""))</f>
        <v/>
      </c>
      <c r="D141" s="42" t="str">
        <f t="shared" ca="1" si="12"/>
        <v/>
      </c>
      <c r="E141" s="32"/>
      <c r="F141" s="43" t="str">
        <f t="shared" si="13"/>
        <v/>
      </c>
      <c r="G141" s="30" t="s">
        <v>59</v>
      </c>
      <c r="H141" s="41"/>
      <c r="I141" s="33" t="str">
        <f>IF(A141="","",IF(H141="","⚠️ Enter Agent Code",IF(IFERROR(VLOOKUP(G141,DB_Agents!$B:$F,4,0),"")=TEXT(H141,"0"),IF(AND(A141&lt;&gt;"",E141&lt;&gt;""),"✅ Saved","Pending"),"🔒 WRONG CODE")))</f>
        <v/>
      </c>
      <c r="J141" s="33" t="str">
        <f t="shared" ca="1" si="14"/>
        <v>—</v>
      </c>
      <c r="K141" s="22"/>
    </row>
    <row r="142" spans="1:11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IF(A142="","",IFERROR(VLOOKUP(A142,DB_Customers!$A:$M,13,0),""))</f>
        <v/>
      </c>
      <c r="D142" s="42" t="str">
        <f t="shared" ca="1" si="12"/>
        <v/>
      </c>
      <c r="E142" s="32"/>
      <c r="F142" s="43" t="str">
        <f t="shared" si="13"/>
        <v/>
      </c>
      <c r="G142" s="30" t="s">
        <v>59</v>
      </c>
      <c r="H142" s="41"/>
      <c r="I142" s="33" t="str">
        <f>IF(A142="","",IF(H142="","⚠️ Enter Agent Code",IF(IFERROR(VLOOKUP(G142,DB_Agents!$B:$F,4,0),"")=TEXT(H142,"0"),IF(AND(A142&lt;&gt;"",E142&lt;&gt;""),"✅ Saved","Pending"),"🔒 WRONG CODE")))</f>
        <v/>
      </c>
      <c r="J142" s="33" t="str">
        <f t="shared" ca="1" si="14"/>
        <v>—</v>
      </c>
      <c r="K142" s="46"/>
    </row>
    <row r="143" spans="1:11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IF(A143="","",IFERROR(VLOOKUP(A143,DB_Customers!$A:$M,13,0),""))</f>
        <v/>
      </c>
      <c r="D143" s="42" t="str">
        <f t="shared" ca="1" si="12"/>
        <v/>
      </c>
      <c r="E143" s="32"/>
      <c r="F143" s="43" t="str">
        <f t="shared" si="13"/>
        <v/>
      </c>
      <c r="G143" s="30" t="s">
        <v>59</v>
      </c>
      <c r="H143" s="41"/>
      <c r="I143" s="33" t="str">
        <f>IF(A143="","",IF(H143="","⚠️ Enter Agent Code",IF(IFERROR(VLOOKUP(G143,DB_Agents!$B:$F,4,0),"")=TEXT(H143,"0"),IF(AND(A143&lt;&gt;"",E143&lt;&gt;""),"✅ Saved","Pending"),"🔒 WRONG CODE")))</f>
        <v/>
      </c>
      <c r="J143" s="33" t="str">
        <f t="shared" ca="1" si="14"/>
        <v>—</v>
      </c>
      <c r="K143" s="22"/>
    </row>
    <row r="144" spans="1:11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IF(A144="","",IFERROR(VLOOKUP(A144,DB_Customers!$A:$M,13,0),""))</f>
        <v/>
      </c>
      <c r="D144" s="42" t="str">
        <f t="shared" ca="1" si="12"/>
        <v/>
      </c>
      <c r="E144" s="32"/>
      <c r="F144" s="43" t="str">
        <f t="shared" si="13"/>
        <v/>
      </c>
      <c r="G144" s="30" t="s">
        <v>59</v>
      </c>
      <c r="H144" s="41"/>
      <c r="I144" s="33" t="str">
        <f>IF(A144="","",IF(H144="","⚠️ Enter Agent Code",IF(IFERROR(VLOOKUP(G144,DB_Agents!$B:$F,4,0),"")=TEXT(H144,"0"),IF(AND(A144&lt;&gt;"",E144&lt;&gt;""),"✅ Saved","Pending"),"🔒 WRONG CODE")))</f>
        <v/>
      </c>
      <c r="J144" s="33" t="str">
        <f t="shared" ca="1" si="14"/>
        <v>—</v>
      </c>
      <c r="K144" s="46"/>
    </row>
    <row r="145" spans="1:11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IF(A145="","",IFERROR(VLOOKUP(A145,DB_Customers!$A:$M,13,0),""))</f>
        <v/>
      </c>
      <c r="D145" s="42" t="str">
        <f t="shared" ca="1" si="12"/>
        <v/>
      </c>
      <c r="E145" s="32"/>
      <c r="F145" s="43" t="str">
        <f t="shared" si="13"/>
        <v/>
      </c>
      <c r="G145" s="30" t="s">
        <v>59</v>
      </c>
      <c r="H145" s="41"/>
      <c r="I145" s="33" t="str">
        <f>IF(A145="","",IF(H145="","⚠️ Enter Agent Code",IF(IFERROR(VLOOKUP(G145,DB_Agents!$B:$F,4,0),"")=TEXT(H145,"0"),IF(AND(A145&lt;&gt;"",E145&lt;&gt;""),"✅ Saved","Pending"),"🔒 WRONG CODE")))</f>
        <v/>
      </c>
      <c r="J145" s="33" t="str">
        <f t="shared" ca="1" si="14"/>
        <v>—</v>
      </c>
      <c r="K145" s="22"/>
    </row>
    <row r="146" spans="1:11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IF(A146="","",IFERROR(VLOOKUP(A146,DB_Customers!$A:$M,13,0),""))</f>
        <v/>
      </c>
      <c r="D146" s="42" t="str">
        <f t="shared" ca="1" si="12"/>
        <v/>
      </c>
      <c r="E146" s="32"/>
      <c r="F146" s="43" t="str">
        <f t="shared" si="13"/>
        <v/>
      </c>
      <c r="G146" s="30" t="s">
        <v>59</v>
      </c>
      <c r="H146" s="41"/>
      <c r="I146" s="33" t="str">
        <f>IF(A146="","",IF(H146="","⚠️ Enter Agent Code",IF(IFERROR(VLOOKUP(G146,DB_Agents!$B:$F,4,0),"")=TEXT(H146,"0"),IF(AND(A146&lt;&gt;"",E146&lt;&gt;""),"✅ Saved","Pending"),"🔒 WRONG CODE")))</f>
        <v/>
      </c>
      <c r="J146" s="33" t="str">
        <f t="shared" ca="1" si="14"/>
        <v>—</v>
      </c>
      <c r="K146" s="46"/>
    </row>
    <row r="147" spans="1:11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IF(A147="","",IFERROR(VLOOKUP(A147,DB_Customers!$A:$M,13,0),""))</f>
        <v/>
      </c>
      <c r="D147" s="42" t="str">
        <f t="shared" ca="1" si="12"/>
        <v/>
      </c>
      <c r="E147" s="32"/>
      <c r="F147" s="43" t="str">
        <f t="shared" si="13"/>
        <v/>
      </c>
      <c r="G147" s="30" t="s">
        <v>59</v>
      </c>
      <c r="H147" s="41"/>
      <c r="I147" s="33" t="str">
        <f>IF(A147="","",IF(H147="","⚠️ Enter Agent Code",IF(IFERROR(VLOOKUP(G147,DB_Agents!$B:$F,4,0),"")=TEXT(H147,"0"),IF(AND(A147&lt;&gt;"",E147&lt;&gt;""),"✅ Saved","Pending"),"🔒 WRONG CODE")))</f>
        <v/>
      </c>
      <c r="J147" s="33" t="str">
        <f t="shared" ca="1" si="14"/>
        <v>—</v>
      </c>
      <c r="K147" s="22"/>
    </row>
    <row r="148" spans="1:11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IF(A148="","",IFERROR(VLOOKUP(A148,DB_Customers!$A:$M,13,0),""))</f>
        <v/>
      </c>
      <c r="D148" s="42" t="str">
        <f t="shared" ca="1" si="12"/>
        <v/>
      </c>
      <c r="E148" s="32"/>
      <c r="F148" s="43" t="str">
        <f t="shared" si="13"/>
        <v/>
      </c>
      <c r="G148" s="30" t="s">
        <v>59</v>
      </c>
      <c r="H148" s="41"/>
      <c r="I148" s="33" t="str">
        <f>IF(A148="","",IF(H148="","⚠️ Enter Agent Code",IF(IFERROR(VLOOKUP(G148,DB_Agents!$B:$F,4,0),"")=TEXT(H148,"0"),IF(AND(A148&lt;&gt;"",E148&lt;&gt;""),"✅ Saved","Pending"),"🔒 WRONG CODE")))</f>
        <v/>
      </c>
      <c r="J148" s="33" t="str">
        <f t="shared" ca="1" si="14"/>
        <v>—</v>
      </c>
      <c r="K148" s="46"/>
    </row>
    <row r="149" spans="1:11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IF(A149="","",IFERROR(VLOOKUP(A149,DB_Customers!$A:$M,13,0),""))</f>
        <v/>
      </c>
      <c r="D149" s="42" t="str">
        <f t="shared" ca="1" si="12"/>
        <v/>
      </c>
      <c r="E149" s="32"/>
      <c r="F149" s="43" t="str">
        <f t="shared" si="13"/>
        <v/>
      </c>
      <c r="G149" s="30" t="s">
        <v>59</v>
      </c>
      <c r="H149" s="41"/>
      <c r="I149" s="33" t="str">
        <f>IF(A149="","",IF(H149="","⚠️ Enter Agent Code",IF(IFERROR(VLOOKUP(G149,DB_Agents!$B:$F,4,0),"")=TEXT(H149,"0"),IF(AND(A149&lt;&gt;"",E149&lt;&gt;""),"✅ Saved","Pending"),"🔒 WRONG CODE")))</f>
        <v/>
      </c>
      <c r="J149" s="33" t="str">
        <f t="shared" ca="1" si="14"/>
        <v>—</v>
      </c>
      <c r="K149" s="22"/>
    </row>
    <row r="150" spans="1:11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IF(A150="","",IFERROR(VLOOKUP(A150,DB_Customers!$A:$M,13,0),""))</f>
        <v/>
      </c>
      <c r="D150" s="42" t="str">
        <f t="shared" ca="1" si="12"/>
        <v/>
      </c>
      <c r="E150" s="32"/>
      <c r="F150" s="43" t="str">
        <f t="shared" si="13"/>
        <v/>
      </c>
      <c r="G150" s="30" t="s">
        <v>59</v>
      </c>
      <c r="H150" s="41"/>
      <c r="I150" s="33" t="str">
        <f>IF(A150="","",IF(H150="","⚠️ Enter Agent Code",IF(IFERROR(VLOOKUP(G150,DB_Agents!$B:$F,4,0),"")=TEXT(H150,"0"),IF(AND(A150&lt;&gt;"",E150&lt;&gt;""),"✅ Saved","Pending"),"🔒 WRONG CODE")))</f>
        <v/>
      </c>
      <c r="J150" s="33" t="str">
        <f t="shared" ca="1" si="14"/>
        <v>—</v>
      </c>
      <c r="K150" s="46"/>
    </row>
    <row r="151" spans="1:11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IF(A151="","",IFERROR(VLOOKUP(A151,DB_Customers!$A:$M,13,0),""))</f>
        <v/>
      </c>
      <c r="D151" s="42" t="str">
        <f t="shared" ca="1" si="12"/>
        <v/>
      </c>
      <c r="E151" s="32"/>
      <c r="F151" s="43" t="str">
        <f t="shared" si="13"/>
        <v/>
      </c>
      <c r="G151" s="30" t="s">
        <v>59</v>
      </c>
      <c r="H151" s="41"/>
      <c r="I151" s="33" t="str">
        <f>IF(A151="","",IF(H151="","⚠️ Enter Agent Code",IF(IFERROR(VLOOKUP(G151,DB_Agents!$B:$F,4,0),"")=TEXT(H151,"0"),IF(AND(A151&lt;&gt;"",E151&lt;&gt;""),"✅ Saved","Pending"),"🔒 WRONG CODE")))</f>
        <v/>
      </c>
      <c r="J151" s="33" t="str">
        <f t="shared" ca="1" si="14"/>
        <v>—</v>
      </c>
      <c r="K151" s="22"/>
    </row>
    <row r="152" spans="1:11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IF(A152="","",IFERROR(VLOOKUP(A152,DB_Customers!$A:$M,13,0),""))</f>
        <v/>
      </c>
      <c r="D152" s="42" t="str">
        <f t="shared" ca="1" si="12"/>
        <v/>
      </c>
      <c r="E152" s="32"/>
      <c r="F152" s="43" t="str">
        <f t="shared" si="13"/>
        <v/>
      </c>
      <c r="G152" s="30" t="s">
        <v>59</v>
      </c>
      <c r="H152" s="41"/>
      <c r="I152" s="33" t="str">
        <f>IF(A152="","",IF(H152="","⚠️ Enter Agent Code",IF(IFERROR(VLOOKUP(G152,DB_Agents!$B:$F,4,0),"")=TEXT(H152,"0"),IF(AND(A152&lt;&gt;"",E152&lt;&gt;""),"✅ Saved","Pending"),"🔒 WRONG CODE")))</f>
        <v/>
      </c>
      <c r="J152" s="33" t="str">
        <f t="shared" ca="1" si="14"/>
        <v>—</v>
      </c>
      <c r="K152" s="46"/>
    </row>
    <row r="153" spans="1:11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IF(A153="","",IFERROR(VLOOKUP(A153,DB_Customers!$A:$M,13,0),""))</f>
        <v/>
      </c>
      <c r="D153" s="42" t="str">
        <f t="shared" ca="1" si="12"/>
        <v/>
      </c>
      <c r="E153" s="32"/>
      <c r="F153" s="43" t="str">
        <f t="shared" si="13"/>
        <v/>
      </c>
      <c r="G153" s="30" t="s">
        <v>59</v>
      </c>
      <c r="H153" s="41"/>
      <c r="I153" s="33" t="str">
        <f>IF(A153="","",IF(H153="","⚠️ Enter Agent Code",IF(IFERROR(VLOOKUP(G153,DB_Agents!$B:$F,4,0),"")=TEXT(H153,"0"),IF(AND(A153&lt;&gt;"",E153&lt;&gt;""),"✅ Saved","Pending"),"🔒 WRONG CODE")))</f>
        <v/>
      </c>
      <c r="J153" s="33" t="str">
        <f t="shared" ca="1" si="14"/>
        <v>—</v>
      </c>
      <c r="K153" s="22"/>
    </row>
    <row r="154" spans="1:11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IF(A154="","",IFERROR(VLOOKUP(A154,DB_Customers!$A:$M,13,0),""))</f>
        <v/>
      </c>
      <c r="D154" s="42" t="str">
        <f t="shared" ca="1" si="12"/>
        <v/>
      </c>
      <c r="E154" s="32"/>
      <c r="F154" s="43" t="str">
        <f t="shared" si="13"/>
        <v/>
      </c>
      <c r="G154" s="30" t="s">
        <v>59</v>
      </c>
      <c r="H154" s="41"/>
      <c r="I154" s="33" t="str">
        <f>IF(A154="","",IF(H154="","⚠️ Enter Agent Code",IF(IFERROR(VLOOKUP(G154,DB_Agents!$B:$F,4,0),"")=TEXT(H154,"0"),IF(AND(A154&lt;&gt;"",E154&lt;&gt;""),"✅ Saved","Pending"),"🔒 WRONG CODE")))</f>
        <v/>
      </c>
      <c r="J154" s="33" t="str">
        <f t="shared" ca="1" si="14"/>
        <v>—</v>
      </c>
      <c r="K154" s="46"/>
    </row>
    <row r="155" spans="1:11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IF(A155="","",IFERROR(VLOOKUP(A155,DB_Customers!$A:$M,13,0),""))</f>
        <v/>
      </c>
      <c r="D155" s="42" t="str">
        <f t="shared" ca="1" si="12"/>
        <v/>
      </c>
      <c r="E155" s="32"/>
      <c r="F155" s="43" t="str">
        <f t="shared" si="13"/>
        <v/>
      </c>
      <c r="G155" s="30" t="s">
        <v>59</v>
      </c>
      <c r="H155" s="41"/>
      <c r="I155" s="33" t="str">
        <f>IF(A155="","",IF(H155="","⚠️ Enter Agent Code",IF(IFERROR(VLOOKUP(G155,DB_Agents!$B:$F,4,0),"")=TEXT(H155,"0"),IF(AND(A155&lt;&gt;"",E155&lt;&gt;""),"✅ Saved","Pending"),"🔒 WRONG CODE")))</f>
        <v/>
      </c>
      <c r="J155" s="33" t="str">
        <f t="shared" ca="1" si="14"/>
        <v>—</v>
      </c>
      <c r="K155" s="22"/>
    </row>
    <row r="156" spans="1:11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IF(A156="","",IFERROR(VLOOKUP(A156,DB_Customers!$A:$M,13,0),""))</f>
        <v/>
      </c>
      <c r="D156" s="42" t="str">
        <f t="shared" ca="1" si="12"/>
        <v/>
      </c>
      <c r="E156" s="32"/>
      <c r="F156" s="43" t="str">
        <f t="shared" si="13"/>
        <v/>
      </c>
      <c r="G156" s="30" t="s">
        <v>59</v>
      </c>
      <c r="H156" s="41"/>
      <c r="I156" s="33" t="str">
        <f>IF(A156="","",IF(H156="","⚠️ Enter Agent Code",IF(IFERROR(VLOOKUP(G156,DB_Agents!$B:$F,4,0),"")=TEXT(H156,"0"),IF(AND(A156&lt;&gt;"",E156&lt;&gt;""),"✅ Saved","Pending"),"🔒 WRONG CODE")))</f>
        <v/>
      </c>
      <c r="J156" s="33" t="str">
        <f t="shared" ca="1" si="14"/>
        <v>—</v>
      </c>
      <c r="K156" s="46"/>
    </row>
    <row r="157" spans="1:11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IF(A157="","",IFERROR(VLOOKUP(A157,DB_Customers!$A:$M,13,0),""))</f>
        <v/>
      </c>
      <c r="D157" s="42" t="str">
        <f t="shared" ca="1" si="12"/>
        <v/>
      </c>
      <c r="E157" s="32"/>
      <c r="F157" s="43" t="str">
        <f t="shared" si="13"/>
        <v/>
      </c>
      <c r="G157" s="30" t="s">
        <v>59</v>
      </c>
      <c r="H157" s="41"/>
      <c r="I157" s="33" t="str">
        <f>IF(A157="","",IF(H157="","⚠️ Enter Agent Code",IF(IFERROR(VLOOKUP(G157,DB_Agents!$B:$F,4,0),"")=TEXT(H157,"0"),IF(AND(A157&lt;&gt;"",E157&lt;&gt;""),"✅ Saved","Pending"),"🔒 WRONG CODE")))</f>
        <v/>
      </c>
      <c r="J157" s="33" t="str">
        <f t="shared" ca="1" si="14"/>
        <v>—</v>
      </c>
      <c r="K157" s="22"/>
    </row>
    <row r="158" spans="1:11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IF(A158="","",IFERROR(VLOOKUP(A158,DB_Customers!$A:$M,13,0),""))</f>
        <v/>
      </c>
      <c r="D158" s="42" t="str">
        <f t="shared" ca="1" si="12"/>
        <v/>
      </c>
      <c r="E158" s="32"/>
      <c r="F158" s="43" t="str">
        <f t="shared" si="13"/>
        <v/>
      </c>
      <c r="G158" s="30" t="s">
        <v>59</v>
      </c>
      <c r="H158" s="41"/>
      <c r="I158" s="33" t="str">
        <f>IF(A158="","",IF(H158="","⚠️ Enter Agent Code",IF(IFERROR(VLOOKUP(G158,DB_Agents!$B:$F,4,0),"")=TEXT(H158,"0"),IF(AND(A158&lt;&gt;"",E158&lt;&gt;""),"✅ Saved","Pending"),"🔒 WRONG CODE")))</f>
        <v/>
      </c>
      <c r="J158" s="33" t="str">
        <f t="shared" ca="1" si="14"/>
        <v>—</v>
      </c>
      <c r="K158" s="46"/>
    </row>
    <row r="159" spans="1:11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IF(A159="","",IFERROR(VLOOKUP(A159,DB_Customers!$A:$M,13,0),""))</f>
        <v/>
      </c>
      <c r="D159" s="42" t="str">
        <f t="shared" ca="1" si="12"/>
        <v/>
      </c>
      <c r="E159" s="32"/>
      <c r="F159" s="43" t="str">
        <f t="shared" si="13"/>
        <v/>
      </c>
      <c r="G159" s="30" t="s">
        <v>59</v>
      </c>
      <c r="H159" s="41"/>
      <c r="I159" s="33" t="str">
        <f>IF(A159="","",IF(H159="","⚠️ Enter Agent Code",IF(IFERROR(VLOOKUP(G159,DB_Agents!$B:$F,4,0),"")=TEXT(H159,"0"),IF(AND(A159&lt;&gt;"",E159&lt;&gt;""),"✅ Saved","Pending"),"🔒 WRONG CODE")))</f>
        <v/>
      </c>
      <c r="J159" s="33" t="str">
        <f t="shared" ca="1" si="14"/>
        <v>—</v>
      </c>
      <c r="K159" s="22"/>
    </row>
    <row r="160" spans="1:11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IF(A160="","",IFERROR(VLOOKUP(A160,DB_Customers!$A:$M,13,0),""))</f>
        <v/>
      </c>
      <c r="D160" s="42" t="str">
        <f t="shared" ca="1" si="12"/>
        <v/>
      </c>
      <c r="E160" s="32"/>
      <c r="F160" s="43" t="str">
        <f t="shared" si="13"/>
        <v/>
      </c>
      <c r="G160" s="30" t="s">
        <v>59</v>
      </c>
      <c r="H160" s="41"/>
      <c r="I160" s="33" t="str">
        <f>IF(A160="","",IF(H160="","⚠️ Enter Agent Code",IF(IFERROR(VLOOKUP(G160,DB_Agents!$B:$F,4,0),"")=TEXT(H160,"0"),IF(AND(A160&lt;&gt;"",E160&lt;&gt;""),"✅ Saved","Pending"),"🔒 WRONG CODE")))</f>
        <v/>
      </c>
      <c r="J160" s="33" t="str">
        <f t="shared" ca="1" si="14"/>
        <v>—</v>
      </c>
      <c r="K160" s="46"/>
    </row>
    <row r="161" spans="1:11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IF(A161="","",IFERROR(VLOOKUP(A161,DB_Customers!$A:$M,13,0),""))</f>
        <v/>
      </c>
      <c r="D161" s="42" t="str">
        <f t="shared" ca="1" si="12"/>
        <v/>
      </c>
      <c r="E161" s="32"/>
      <c r="F161" s="43" t="str">
        <f t="shared" si="13"/>
        <v/>
      </c>
      <c r="G161" s="30" t="s">
        <v>59</v>
      </c>
      <c r="H161" s="41"/>
      <c r="I161" s="33" t="str">
        <f>IF(A161="","",IF(H161="","⚠️ Enter Agent Code",IF(IFERROR(VLOOKUP(G161,DB_Agents!$B:$F,4,0),"")=TEXT(H161,"0"),IF(AND(A161&lt;&gt;"",E161&lt;&gt;""),"✅ Saved","Pending"),"🔒 WRONG CODE")))</f>
        <v/>
      </c>
      <c r="J161" s="33" t="str">
        <f t="shared" ca="1" si="14"/>
        <v>—</v>
      </c>
      <c r="K161" s="22"/>
    </row>
    <row r="162" spans="1:11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IF(A162="","",IFERROR(VLOOKUP(A162,DB_Customers!$A:$M,13,0),""))</f>
        <v/>
      </c>
      <c r="D162" s="42" t="str">
        <f t="shared" ca="1" si="12"/>
        <v/>
      </c>
      <c r="E162" s="32"/>
      <c r="F162" s="43" t="str">
        <f t="shared" si="13"/>
        <v/>
      </c>
      <c r="G162" s="30" t="s">
        <v>59</v>
      </c>
      <c r="H162" s="41"/>
      <c r="I162" s="33" t="str">
        <f>IF(A162="","",IF(H162="","⚠️ Enter Agent Code",IF(IFERROR(VLOOKUP(G162,DB_Agents!$B:$F,4,0),"")=TEXT(H162,"0"),IF(AND(A162&lt;&gt;"",E162&lt;&gt;""),"✅ Saved","Pending"),"🔒 WRONG CODE")))</f>
        <v/>
      </c>
      <c r="J162" s="33" t="str">
        <f t="shared" ca="1" si="14"/>
        <v>—</v>
      </c>
      <c r="K162" s="46"/>
    </row>
    <row r="163" spans="1:11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IF(A163="","",IFERROR(VLOOKUP(A163,DB_Customers!$A:$M,13,0),""))</f>
        <v/>
      </c>
      <c r="D163" s="42" t="str">
        <f t="shared" ca="1" si="12"/>
        <v/>
      </c>
      <c r="E163" s="32"/>
      <c r="F163" s="43" t="str">
        <f t="shared" si="13"/>
        <v/>
      </c>
      <c r="G163" s="30" t="s">
        <v>59</v>
      </c>
      <c r="H163" s="41"/>
      <c r="I163" s="33" t="str">
        <f>IF(A163="","",IF(H163="","⚠️ Enter Agent Code",IF(IFERROR(VLOOKUP(G163,DB_Agents!$B:$F,4,0),"")=TEXT(H163,"0"),IF(AND(A163&lt;&gt;"",E163&lt;&gt;""),"✅ Saved","Pending"),"🔒 WRONG CODE")))</f>
        <v/>
      </c>
      <c r="J163" s="33" t="str">
        <f t="shared" ca="1" si="14"/>
        <v>—</v>
      </c>
      <c r="K163" s="22"/>
    </row>
    <row r="164" spans="1:11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IF(A164="","",IFERROR(VLOOKUP(A164,DB_Customers!$A:$M,13,0),""))</f>
        <v/>
      </c>
      <c r="D164" s="42" t="str">
        <f t="shared" ca="1" si="12"/>
        <v/>
      </c>
      <c r="E164" s="32"/>
      <c r="F164" s="43" t="str">
        <f t="shared" si="13"/>
        <v/>
      </c>
      <c r="G164" s="30" t="s">
        <v>59</v>
      </c>
      <c r="H164" s="41"/>
      <c r="I164" s="33" t="str">
        <f>IF(A164="","",IF(H164="","⚠️ Enter Agent Code",IF(IFERROR(VLOOKUP(G164,DB_Agents!$B:$F,4,0),"")=TEXT(H164,"0"),IF(AND(A164&lt;&gt;"",E164&lt;&gt;""),"✅ Saved","Pending"),"🔒 WRONG CODE")))</f>
        <v/>
      </c>
      <c r="J164" s="33" t="str">
        <f t="shared" ca="1" si="14"/>
        <v>—</v>
      </c>
      <c r="K164" s="46"/>
    </row>
    <row r="165" spans="1:11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IF(A165="","",IFERROR(VLOOKUP(A165,DB_Customers!$A:$M,13,0),""))</f>
        <v/>
      </c>
      <c r="D165" s="42" t="str">
        <f t="shared" ca="1" si="12"/>
        <v/>
      </c>
      <c r="E165" s="32"/>
      <c r="F165" s="43" t="str">
        <f t="shared" si="13"/>
        <v/>
      </c>
      <c r="G165" s="30" t="s">
        <v>59</v>
      </c>
      <c r="H165" s="41"/>
      <c r="I165" s="33" t="str">
        <f>IF(A165="","",IF(H165="","⚠️ Enter Agent Code",IF(IFERROR(VLOOKUP(G165,DB_Agents!$B:$F,4,0),"")=TEXT(H165,"0"),IF(AND(A165&lt;&gt;"",E165&lt;&gt;""),"✅ Saved","Pending"),"🔒 WRONG CODE")))</f>
        <v/>
      </c>
      <c r="J165" s="33" t="str">
        <f t="shared" ca="1" si="14"/>
        <v>—</v>
      </c>
      <c r="K165" s="22"/>
    </row>
    <row r="166" spans="1:11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IF(A166="","",IFERROR(VLOOKUP(A166,DB_Customers!$A:$M,13,0),""))</f>
        <v/>
      </c>
      <c r="D166" s="42" t="str">
        <f t="shared" ca="1" si="12"/>
        <v/>
      </c>
      <c r="E166" s="32"/>
      <c r="F166" s="43" t="str">
        <f t="shared" si="13"/>
        <v/>
      </c>
      <c r="G166" s="30" t="s">
        <v>59</v>
      </c>
      <c r="H166" s="41"/>
      <c r="I166" s="33" t="str">
        <f>IF(A166="","",IF(H166="","⚠️ Enter Agent Code",IF(IFERROR(VLOOKUP(G166,DB_Agents!$B:$F,4,0),"")=TEXT(H166,"0"),IF(AND(A166&lt;&gt;"",E166&lt;&gt;""),"✅ Saved","Pending"),"🔒 WRONG CODE")))</f>
        <v/>
      </c>
      <c r="J166" s="33" t="str">
        <f t="shared" ca="1" si="14"/>
        <v>—</v>
      </c>
      <c r="K166" s="46"/>
    </row>
    <row r="167" spans="1:11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IF(A167="","",IFERROR(VLOOKUP(A167,DB_Customers!$A:$M,13,0),""))</f>
        <v/>
      </c>
      <c r="D167" s="42" t="str">
        <f t="shared" ca="1" si="12"/>
        <v/>
      </c>
      <c r="E167" s="32"/>
      <c r="F167" s="43" t="str">
        <f t="shared" si="13"/>
        <v/>
      </c>
      <c r="G167" s="30" t="s">
        <v>59</v>
      </c>
      <c r="H167" s="41"/>
      <c r="I167" s="33" t="str">
        <f>IF(A167="","",IF(H167="","⚠️ Enter Agent Code",IF(IFERROR(VLOOKUP(G167,DB_Agents!$B:$F,4,0),"")=TEXT(H167,"0"),IF(AND(A167&lt;&gt;"",E167&lt;&gt;""),"✅ Saved","Pending"),"🔒 WRONG CODE")))</f>
        <v/>
      </c>
      <c r="J167" s="33" t="str">
        <f t="shared" ca="1" si="14"/>
        <v>—</v>
      </c>
      <c r="K167" s="22"/>
    </row>
    <row r="168" spans="1:11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IF(A168="","",IFERROR(VLOOKUP(A168,DB_Customers!$A:$M,13,0),""))</f>
        <v/>
      </c>
      <c r="D168" s="42" t="str">
        <f t="shared" ca="1" si="12"/>
        <v/>
      </c>
      <c r="E168" s="32"/>
      <c r="F168" s="43" t="str">
        <f t="shared" si="13"/>
        <v/>
      </c>
      <c r="G168" s="30" t="s">
        <v>59</v>
      </c>
      <c r="H168" s="41"/>
      <c r="I168" s="33" t="str">
        <f>IF(A168="","",IF(H168="","⚠️ Enter Agent Code",IF(IFERROR(VLOOKUP(G168,DB_Agents!$B:$F,4,0),"")=TEXT(H168,"0"),IF(AND(A168&lt;&gt;"",E168&lt;&gt;""),"✅ Saved","Pending"),"🔒 WRONG CODE")))</f>
        <v/>
      </c>
      <c r="J168" s="33" t="str">
        <f t="shared" ca="1" si="14"/>
        <v>—</v>
      </c>
      <c r="K168" s="46"/>
    </row>
    <row r="169" spans="1:11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IF(A169="","",IFERROR(VLOOKUP(A169,DB_Customers!$A:$M,13,0),""))</f>
        <v/>
      </c>
      <c r="D169" s="42" t="str">
        <f t="shared" ref="D169:D200" ca="1" si="15">IF(A169="","",TODAY())</f>
        <v/>
      </c>
      <c r="E169" s="32"/>
      <c r="F169" s="43" t="str">
        <f t="shared" ref="F169:F200" si="16">IFERROR(IF(OR(A169="",E169=""),"",C169+E169),"")</f>
        <v/>
      </c>
      <c r="G169" s="30" t="s">
        <v>59</v>
      </c>
      <c r="H169" s="41"/>
      <c r="I169" s="33" t="str">
        <f>IF(A169="","",IF(H169="","⚠️ Enter Agent Code",IF(IFERROR(VLOOKUP(G169,DB_Agents!$B:$F,4,0),"")=TEXT(H169,"0"),IF(AND(A169&lt;&gt;"",E169&lt;&gt;""),"✅ Saved","Pending"),"🔒 WRONG CODE")))</f>
        <v/>
      </c>
      <c r="J169" s="33" t="str">
        <f t="shared" ref="J169:J200" ca="1" si="17">IF(I169="✅ Saved",TEXT(TODAY(),"YYYY-MM-DD")&amp;" Auto","—")</f>
        <v>—</v>
      </c>
      <c r="K169" s="22"/>
    </row>
    <row r="170" spans="1:11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IF(A170="","",IFERROR(VLOOKUP(A170,DB_Customers!$A:$M,13,0),""))</f>
        <v/>
      </c>
      <c r="D170" s="42" t="str">
        <f t="shared" ca="1" si="15"/>
        <v/>
      </c>
      <c r="E170" s="32"/>
      <c r="F170" s="43" t="str">
        <f t="shared" si="16"/>
        <v/>
      </c>
      <c r="G170" s="30" t="s">
        <v>59</v>
      </c>
      <c r="H170" s="41"/>
      <c r="I170" s="33" t="str">
        <f>IF(A170="","",IF(H170="","⚠️ Enter Agent Code",IF(IFERROR(VLOOKUP(G170,DB_Agents!$B:$F,4,0),"")=TEXT(H170,"0"),IF(AND(A170&lt;&gt;"",E170&lt;&gt;""),"✅ Saved","Pending"),"🔒 WRONG CODE")))</f>
        <v/>
      </c>
      <c r="J170" s="33" t="str">
        <f t="shared" ca="1" si="17"/>
        <v>—</v>
      </c>
      <c r="K170" s="46"/>
    </row>
    <row r="171" spans="1:11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IF(A171="","",IFERROR(VLOOKUP(A171,DB_Customers!$A:$M,13,0),""))</f>
        <v/>
      </c>
      <c r="D171" s="42" t="str">
        <f t="shared" ca="1" si="15"/>
        <v/>
      </c>
      <c r="E171" s="32"/>
      <c r="F171" s="43" t="str">
        <f t="shared" si="16"/>
        <v/>
      </c>
      <c r="G171" s="30" t="s">
        <v>59</v>
      </c>
      <c r="H171" s="41"/>
      <c r="I171" s="33" t="str">
        <f>IF(A171="","",IF(H171="","⚠️ Enter Agent Code",IF(IFERROR(VLOOKUP(G171,DB_Agents!$B:$F,4,0),"")=TEXT(H171,"0"),IF(AND(A171&lt;&gt;"",E171&lt;&gt;""),"✅ Saved","Pending"),"🔒 WRONG CODE")))</f>
        <v/>
      </c>
      <c r="J171" s="33" t="str">
        <f t="shared" ca="1" si="17"/>
        <v>—</v>
      </c>
      <c r="K171" s="22"/>
    </row>
    <row r="172" spans="1:11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IF(A172="","",IFERROR(VLOOKUP(A172,DB_Customers!$A:$M,13,0),""))</f>
        <v/>
      </c>
      <c r="D172" s="42" t="str">
        <f t="shared" ca="1" si="15"/>
        <v/>
      </c>
      <c r="E172" s="32"/>
      <c r="F172" s="43" t="str">
        <f t="shared" si="16"/>
        <v/>
      </c>
      <c r="G172" s="30" t="s">
        <v>59</v>
      </c>
      <c r="H172" s="41"/>
      <c r="I172" s="33" t="str">
        <f>IF(A172="","",IF(H172="","⚠️ Enter Agent Code",IF(IFERROR(VLOOKUP(G172,DB_Agents!$B:$F,4,0),"")=TEXT(H172,"0"),IF(AND(A172&lt;&gt;"",E172&lt;&gt;""),"✅ Saved","Pending"),"🔒 WRONG CODE")))</f>
        <v/>
      </c>
      <c r="J172" s="33" t="str">
        <f t="shared" ca="1" si="17"/>
        <v>—</v>
      </c>
      <c r="K172" s="46"/>
    </row>
    <row r="173" spans="1:11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IF(A173="","",IFERROR(VLOOKUP(A173,DB_Customers!$A:$M,13,0),""))</f>
        <v/>
      </c>
      <c r="D173" s="42" t="str">
        <f t="shared" ca="1" si="15"/>
        <v/>
      </c>
      <c r="E173" s="32"/>
      <c r="F173" s="43" t="str">
        <f t="shared" si="16"/>
        <v/>
      </c>
      <c r="G173" s="30" t="s">
        <v>59</v>
      </c>
      <c r="H173" s="41"/>
      <c r="I173" s="33" t="str">
        <f>IF(A173="","",IF(H173="","⚠️ Enter Agent Code",IF(IFERROR(VLOOKUP(G173,DB_Agents!$B:$F,4,0),"")=TEXT(H173,"0"),IF(AND(A173&lt;&gt;"",E173&lt;&gt;""),"✅ Saved","Pending"),"🔒 WRONG CODE")))</f>
        <v/>
      </c>
      <c r="J173" s="33" t="str">
        <f t="shared" ca="1" si="17"/>
        <v>—</v>
      </c>
      <c r="K173" s="22"/>
    </row>
    <row r="174" spans="1:11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IF(A174="","",IFERROR(VLOOKUP(A174,DB_Customers!$A:$M,13,0),""))</f>
        <v/>
      </c>
      <c r="D174" s="42" t="str">
        <f t="shared" ca="1" si="15"/>
        <v/>
      </c>
      <c r="E174" s="32"/>
      <c r="F174" s="43" t="str">
        <f t="shared" si="16"/>
        <v/>
      </c>
      <c r="G174" s="30" t="s">
        <v>59</v>
      </c>
      <c r="H174" s="41"/>
      <c r="I174" s="33" t="str">
        <f>IF(A174="","",IF(H174="","⚠️ Enter Agent Code",IF(IFERROR(VLOOKUP(G174,DB_Agents!$B:$F,4,0),"")=TEXT(H174,"0"),IF(AND(A174&lt;&gt;"",E174&lt;&gt;""),"✅ Saved","Pending"),"🔒 WRONG CODE")))</f>
        <v/>
      </c>
      <c r="J174" s="33" t="str">
        <f t="shared" ca="1" si="17"/>
        <v>—</v>
      </c>
      <c r="K174" s="46"/>
    </row>
    <row r="175" spans="1:11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IF(A175="","",IFERROR(VLOOKUP(A175,DB_Customers!$A:$M,13,0),""))</f>
        <v/>
      </c>
      <c r="D175" s="42" t="str">
        <f t="shared" ca="1" si="15"/>
        <v/>
      </c>
      <c r="E175" s="32"/>
      <c r="F175" s="43" t="str">
        <f t="shared" si="16"/>
        <v/>
      </c>
      <c r="G175" s="30" t="s">
        <v>59</v>
      </c>
      <c r="H175" s="41"/>
      <c r="I175" s="33" t="str">
        <f>IF(A175="","",IF(H175="","⚠️ Enter Agent Code",IF(IFERROR(VLOOKUP(G175,DB_Agents!$B:$F,4,0),"")=TEXT(H175,"0"),IF(AND(A175&lt;&gt;"",E175&lt;&gt;""),"✅ Saved","Pending"),"🔒 WRONG CODE")))</f>
        <v/>
      </c>
      <c r="J175" s="33" t="str">
        <f t="shared" ca="1" si="17"/>
        <v>—</v>
      </c>
      <c r="K175" s="22"/>
    </row>
    <row r="176" spans="1:11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IF(A176="","",IFERROR(VLOOKUP(A176,DB_Customers!$A:$M,13,0),""))</f>
        <v/>
      </c>
      <c r="D176" s="42" t="str">
        <f t="shared" ca="1" si="15"/>
        <v/>
      </c>
      <c r="E176" s="32"/>
      <c r="F176" s="43" t="str">
        <f t="shared" si="16"/>
        <v/>
      </c>
      <c r="G176" s="30" t="s">
        <v>59</v>
      </c>
      <c r="H176" s="41"/>
      <c r="I176" s="33" t="str">
        <f>IF(A176="","",IF(H176="","⚠️ Enter Agent Code",IF(IFERROR(VLOOKUP(G176,DB_Agents!$B:$F,4,0),"")=TEXT(H176,"0"),IF(AND(A176&lt;&gt;"",E176&lt;&gt;""),"✅ Saved","Pending"),"🔒 WRONG CODE")))</f>
        <v/>
      </c>
      <c r="J176" s="33" t="str">
        <f t="shared" ca="1" si="17"/>
        <v>—</v>
      </c>
      <c r="K176" s="46"/>
    </row>
    <row r="177" spans="1:11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IF(A177="","",IFERROR(VLOOKUP(A177,DB_Customers!$A:$M,13,0),""))</f>
        <v/>
      </c>
      <c r="D177" s="42" t="str">
        <f t="shared" ca="1" si="15"/>
        <v/>
      </c>
      <c r="E177" s="32"/>
      <c r="F177" s="43" t="str">
        <f t="shared" si="16"/>
        <v/>
      </c>
      <c r="G177" s="30" t="s">
        <v>59</v>
      </c>
      <c r="H177" s="41"/>
      <c r="I177" s="33" t="str">
        <f>IF(A177="","",IF(H177="","⚠️ Enter Agent Code",IF(IFERROR(VLOOKUP(G177,DB_Agents!$B:$F,4,0),"")=TEXT(H177,"0"),IF(AND(A177&lt;&gt;"",E177&lt;&gt;""),"✅ Saved","Pending"),"🔒 WRONG CODE")))</f>
        <v/>
      </c>
      <c r="J177" s="33" t="str">
        <f t="shared" ca="1" si="17"/>
        <v>—</v>
      </c>
      <c r="K177" s="22"/>
    </row>
    <row r="178" spans="1:11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IF(A178="","",IFERROR(VLOOKUP(A178,DB_Customers!$A:$M,13,0),""))</f>
        <v/>
      </c>
      <c r="D178" s="42" t="str">
        <f t="shared" ca="1" si="15"/>
        <v/>
      </c>
      <c r="E178" s="32"/>
      <c r="F178" s="43" t="str">
        <f t="shared" si="16"/>
        <v/>
      </c>
      <c r="G178" s="30" t="s">
        <v>59</v>
      </c>
      <c r="H178" s="41"/>
      <c r="I178" s="33" t="str">
        <f>IF(A178="","",IF(H178="","⚠️ Enter Agent Code",IF(IFERROR(VLOOKUP(G178,DB_Agents!$B:$F,4,0),"")=TEXT(H178,"0"),IF(AND(A178&lt;&gt;"",E178&lt;&gt;""),"✅ Saved","Pending"),"🔒 WRONG CODE")))</f>
        <v/>
      </c>
      <c r="J178" s="33" t="str">
        <f t="shared" ca="1" si="17"/>
        <v>—</v>
      </c>
      <c r="K178" s="46"/>
    </row>
    <row r="179" spans="1:11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IF(A179="","",IFERROR(VLOOKUP(A179,DB_Customers!$A:$M,13,0),""))</f>
        <v/>
      </c>
      <c r="D179" s="42" t="str">
        <f t="shared" ca="1" si="15"/>
        <v/>
      </c>
      <c r="E179" s="32"/>
      <c r="F179" s="43" t="str">
        <f t="shared" si="16"/>
        <v/>
      </c>
      <c r="G179" s="30" t="s">
        <v>59</v>
      </c>
      <c r="H179" s="41"/>
      <c r="I179" s="33" t="str">
        <f>IF(A179="","",IF(H179="","⚠️ Enter Agent Code",IF(IFERROR(VLOOKUP(G179,DB_Agents!$B:$F,4,0),"")=TEXT(H179,"0"),IF(AND(A179&lt;&gt;"",E179&lt;&gt;""),"✅ Saved","Pending"),"🔒 WRONG CODE")))</f>
        <v/>
      </c>
      <c r="J179" s="33" t="str">
        <f t="shared" ca="1" si="17"/>
        <v>—</v>
      </c>
      <c r="K179" s="22"/>
    </row>
    <row r="180" spans="1:11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IF(A180="","",IFERROR(VLOOKUP(A180,DB_Customers!$A:$M,13,0),""))</f>
        <v/>
      </c>
      <c r="D180" s="42" t="str">
        <f t="shared" ca="1" si="15"/>
        <v/>
      </c>
      <c r="E180" s="32"/>
      <c r="F180" s="43" t="str">
        <f t="shared" si="16"/>
        <v/>
      </c>
      <c r="G180" s="30" t="s">
        <v>59</v>
      </c>
      <c r="H180" s="41"/>
      <c r="I180" s="33" t="str">
        <f>IF(A180="","",IF(H180="","⚠️ Enter Agent Code",IF(IFERROR(VLOOKUP(G180,DB_Agents!$B:$F,4,0),"")=TEXT(H180,"0"),IF(AND(A180&lt;&gt;"",E180&lt;&gt;""),"✅ Saved","Pending"),"🔒 WRONG CODE")))</f>
        <v/>
      </c>
      <c r="J180" s="33" t="str">
        <f t="shared" ca="1" si="17"/>
        <v>—</v>
      </c>
      <c r="K180" s="46"/>
    </row>
    <row r="181" spans="1:11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IF(A181="","",IFERROR(VLOOKUP(A181,DB_Customers!$A:$M,13,0),""))</f>
        <v/>
      </c>
      <c r="D181" s="42" t="str">
        <f t="shared" ca="1" si="15"/>
        <v/>
      </c>
      <c r="E181" s="32"/>
      <c r="F181" s="43" t="str">
        <f t="shared" si="16"/>
        <v/>
      </c>
      <c r="G181" s="30" t="s">
        <v>59</v>
      </c>
      <c r="H181" s="41"/>
      <c r="I181" s="33" t="str">
        <f>IF(A181="","",IF(H181="","⚠️ Enter Agent Code",IF(IFERROR(VLOOKUP(G181,DB_Agents!$B:$F,4,0),"")=TEXT(H181,"0"),IF(AND(A181&lt;&gt;"",E181&lt;&gt;""),"✅ Saved","Pending"),"🔒 WRONG CODE")))</f>
        <v/>
      </c>
      <c r="J181" s="33" t="str">
        <f t="shared" ca="1" si="17"/>
        <v>—</v>
      </c>
      <c r="K181" s="22"/>
    </row>
    <row r="182" spans="1:11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IF(A182="","",IFERROR(VLOOKUP(A182,DB_Customers!$A:$M,13,0),""))</f>
        <v/>
      </c>
      <c r="D182" s="42" t="str">
        <f t="shared" ca="1" si="15"/>
        <v/>
      </c>
      <c r="E182" s="32"/>
      <c r="F182" s="43" t="str">
        <f t="shared" si="16"/>
        <v/>
      </c>
      <c r="G182" s="30" t="s">
        <v>59</v>
      </c>
      <c r="H182" s="41"/>
      <c r="I182" s="33" t="str">
        <f>IF(A182="","",IF(H182="","⚠️ Enter Agent Code",IF(IFERROR(VLOOKUP(G182,DB_Agents!$B:$F,4,0),"")=TEXT(H182,"0"),IF(AND(A182&lt;&gt;"",E182&lt;&gt;""),"✅ Saved","Pending"),"🔒 WRONG CODE")))</f>
        <v/>
      </c>
      <c r="J182" s="33" t="str">
        <f t="shared" ca="1" si="17"/>
        <v>—</v>
      </c>
      <c r="K182" s="46"/>
    </row>
    <row r="183" spans="1:11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IF(A183="","",IFERROR(VLOOKUP(A183,DB_Customers!$A:$M,13,0),""))</f>
        <v/>
      </c>
      <c r="D183" s="42" t="str">
        <f t="shared" ca="1" si="15"/>
        <v/>
      </c>
      <c r="E183" s="32"/>
      <c r="F183" s="43" t="str">
        <f t="shared" si="16"/>
        <v/>
      </c>
      <c r="G183" s="30" t="s">
        <v>59</v>
      </c>
      <c r="H183" s="41"/>
      <c r="I183" s="33" t="str">
        <f>IF(A183="","",IF(H183="","⚠️ Enter Agent Code",IF(IFERROR(VLOOKUP(G183,DB_Agents!$B:$F,4,0),"")=TEXT(H183,"0"),IF(AND(A183&lt;&gt;"",E183&lt;&gt;""),"✅ Saved","Pending"),"🔒 WRONG CODE")))</f>
        <v/>
      </c>
      <c r="J183" s="33" t="str">
        <f t="shared" ca="1" si="17"/>
        <v>—</v>
      </c>
      <c r="K183" s="22"/>
    </row>
    <row r="184" spans="1:11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IF(A184="","",IFERROR(VLOOKUP(A184,DB_Customers!$A:$M,13,0),""))</f>
        <v/>
      </c>
      <c r="D184" s="42" t="str">
        <f t="shared" ca="1" si="15"/>
        <v/>
      </c>
      <c r="E184" s="32"/>
      <c r="F184" s="43" t="str">
        <f t="shared" si="16"/>
        <v/>
      </c>
      <c r="G184" s="30" t="s">
        <v>59</v>
      </c>
      <c r="H184" s="41"/>
      <c r="I184" s="33" t="str">
        <f>IF(A184="","",IF(H184="","⚠️ Enter Agent Code",IF(IFERROR(VLOOKUP(G184,DB_Agents!$B:$F,4,0),"")=TEXT(H184,"0"),IF(AND(A184&lt;&gt;"",E184&lt;&gt;""),"✅ Saved","Pending"),"🔒 WRONG CODE")))</f>
        <v/>
      </c>
      <c r="J184" s="33" t="str">
        <f t="shared" ca="1" si="17"/>
        <v>—</v>
      </c>
      <c r="K184" s="46"/>
    </row>
    <row r="185" spans="1:11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IF(A185="","",IFERROR(VLOOKUP(A185,DB_Customers!$A:$M,13,0),""))</f>
        <v/>
      </c>
      <c r="D185" s="42" t="str">
        <f t="shared" ca="1" si="15"/>
        <v/>
      </c>
      <c r="E185" s="32"/>
      <c r="F185" s="43" t="str">
        <f t="shared" si="16"/>
        <v/>
      </c>
      <c r="G185" s="30" t="s">
        <v>59</v>
      </c>
      <c r="H185" s="41"/>
      <c r="I185" s="33" t="str">
        <f>IF(A185="","",IF(H185="","⚠️ Enter Agent Code",IF(IFERROR(VLOOKUP(G185,DB_Agents!$B:$F,4,0),"")=TEXT(H185,"0"),IF(AND(A185&lt;&gt;"",E185&lt;&gt;""),"✅ Saved","Pending"),"🔒 WRONG CODE")))</f>
        <v/>
      </c>
      <c r="J185" s="33" t="str">
        <f t="shared" ca="1" si="17"/>
        <v>—</v>
      </c>
      <c r="K185" s="22"/>
    </row>
    <row r="186" spans="1:11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IF(A186="","",IFERROR(VLOOKUP(A186,DB_Customers!$A:$M,13,0),""))</f>
        <v/>
      </c>
      <c r="D186" s="42" t="str">
        <f t="shared" ca="1" si="15"/>
        <v/>
      </c>
      <c r="E186" s="32"/>
      <c r="F186" s="43" t="str">
        <f t="shared" si="16"/>
        <v/>
      </c>
      <c r="G186" s="30" t="s">
        <v>59</v>
      </c>
      <c r="H186" s="41"/>
      <c r="I186" s="33" t="str">
        <f>IF(A186="","",IF(H186="","⚠️ Enter Agent Code",IF(IFERROR(VLOOKUP(G186,DB_Agents!$B:$F,4,0),"")=TEXT(H186,"0"),IF(AND(A186&lt;&gt;"",E186&lt;&gt;""),"✅ Saved","Pending"),"🔒 WRONG CODE")))</f>
        <v/>
      </c>
      <c r="J186" s="33" t="str">
        <f t="shared" ca="1" si="17"/>
        <v>—</v>
      </c>
      <c r="K186" s="46"/>
    </row>
    <row r="187" spans="1:11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IF(A187="","",IFERROR(VLOOKUP(A187,DB_Customers!$A:$M,13,0),""))</f>
        <v/>
      </c>
      <c r="D187" s="42" t="str">
        <f t="shared" ca="1" si="15"/>
        <v/>
      </c>
      <c r="E187" s="32"/>
      <c r="F187" s="43" t="str">
        <f t="shared" si="16"/>
        <v/>
      </c>
      <c r="G187" s="30" t="s">
        <v>59</v>
      </c>
      <c r="H187" s="41"/>
      <c r="I187" s="33" t="str">
        <f>IF(A187="","",IF(H187="","⚠️ Enter Agent Code",IF(IFERROR(VLOOKUP(G187,DB_Agents!$B:$F,4,0),"")=TEXT(H187,"0"),IF(AND(A187&lt;&gt;"",E187&lt;&gt;""),"✅ Saved","Pending"),"🔒 WRONG CODE")))</f>
        <v/>
      </c>
      <c r="J187" s="33" t="str">
        <f t="shared" ca="1" si="17"/>
        <v>—</v>
      </c>
      <c r="K187" s="22"/>
    </row>
    <row r="188" spans="1:11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IF(A188="","",IFERROR(VLOOKUP(A188,DB_Customers!$A:$M,13,0),""))</f>
        <v/>
      </c>
      <c r="D188" s="42" t="str">
        <f t="shared" ca="1" si="15"/>
        <v/>
      </c>
      <c r="E188" s="32"/>
      <c r="F188" s="43" t="str">
        <f t="shared" si="16"/>
        <v/>
      </c>
      <c r="G188" s="30" t="s">
        <v>59</v>
      </c>
      <c r="H188" s="41"/>
      <c r="I188" s="33" t="str">
        <f>IF(A188="","",IF(H188="","⚠️ Enter Agent Code",IF(IFERROR(VLOOKUP(G188,DB_Agents!$B:$F,4,0),"")=TEXT(H188,"0"),IF(AND(A188&lt;&gt;"",E188&lt;&gt;""),"✅ Saved","Pending"),"🔒 WRONG CODE")))</f>
        <v/>
      </c>
      <c r="J188" s="33" t="str">
        <f t="shared" ca="1" si="17"/>
        <v>—</v>
      </c>
      <c r="K188" s="46"/>
    </row>
    <row r="189" spans="1:11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IF(A189="","",IFERROR(VLOOKUP(A189,DB_Customers!$A:$M,13,0),""))</f>
        <v/>
      </c>
      <c r="D189" s="42" t="str">
        <f t="shared" ca="1" si="15"/>
        <v/>
      </c>
      <c r="E189" s="32"/>
      <c r="F189" s="43" t="str">
        <f t="shared" si="16"/>
        <v/>
      </c>
      <c r="G189" s="30" t="s">
        <v>59</v>
      </c>
      <c r="H189" s="41"/>
      <c r="I189" s="33" t="str">
        <f>IF(A189="","",IF(H189="","⚠️ Enter Agent Code",IF(IFERROR(VLOOKUP(G189,DB_Agents!$B:$F,4,0),"")=TEXT(H189,"0"),IF(AND(A189&lt;&gt;"",E189&lt;&gt;""),"✅ Saved","Pending"),"🔒 WRONG CODE")))</f>
        <v/>
      </c>
      <c r="J189" s="33" t="str">
        <f t="shared" ca="1" si="17"/>
        <v>—</v>
      </c>
      <c r="K189" s="22"/>
    </row>
    <row r="190" spans="1:11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IF(A190="","",IFERROR(VLOOKUP(A190,DB_Customers!$A:$M,13,0),""))</f>
        <v/>
      </c>
      <c r="D190" s="42" t="str">
        <f t="shared" ca="1" si="15"/>
        <v/>
      </c>
      <c r="E190" s="32"/>
      <c r="F190" s="43" t="str">
        <f t="shared" si="16"/>
        <v/>
      </c>
      <c r="G190" s="30" t="s">
        <v>59</v>
      </c>
      <c r="H190" s="41"/>
      <c r="I190" s="33" t="str">
        <f>IF(A190="","",IF(H190="","⚠️ Enter Agent Code",IF(IFERROR(VLOOKUP(G190,DB_Agents!$B:$F,4,0),"")=TEXT(H190,"0"),IF(AND(A190&lt;&gt;"",E190&lt;&gt;""),"✅ Saved","Pending"),"🔒 WRONG CODE")))</f>
        <v/>
      </c>
      <c r="J190" s="33" t="str">
        <f t="shared" ca="1" si="17"/>
        <v>—</v>
      </c>
      <c r="K190" s="46"/>
    </row>
    <row r="191" spans="1:11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IF(A191="","",IFERROR(VLOOKUP(A191,DB_Customers!$A:$M,13,0),""))</f>
        <v/>
      </c>
      <c r="D191" s="42" t="str">
        <f t="shared" ca="1" si="15"/>
        <v/>
      </c>
      <c r="E191" s="32"/>
      <c r="F191" s="43" t="str">
        <f t="shared" si="16"/>
        <v/>
      </c>
      <c r="G191" s="30" t="s">
        <v>59</v>
      </c>
      <c r="H191" s="41"/>
      <c r="I191" s="33" t="str">
        <f>IF(A191="","",IF(H191="","⚠️ Enter Agent Code",IF(IFERROR(VLOOKUP(G191,DB_Agents!$B:$F,4,0),"")=TEXT(H191,"0"),IF(AND(A191&lt;&gt;"",E191&lt;&gt;""),"✅ Saved","Pending"),"🔒 WRONG CODE")))</f>
        <v/>
      </c>
      <c r="J191" s="33" t="str">
        <f t="shared" ca="1" si="17"/>
        <v>—</v>
      </c>
      <c r="K191" s="22"/>
    </row>
    <row r="192" spans="1:11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IF(A192="","",IFERROR(VLOOKUP(A192,DB_Customers!$A:$M,13,0),""))</f>
        <v/>
      </c>
      <c r="D192" s="42" t="str">
        <f t="shared" ca="1" si="15"/>
        <v/>
      </c>
      <c r="E192" s="32"/>
      <c r="F192" s="43" t="str">
        <f t="shared" si="16"/>
        <v/>
      </c>
      <c r="G192" s="30" t="s">
        <v>59</v>
      </c>
      <c r="H192" s="41"/>
      <c r="I192" s="33" t="str">
        <f>IF(A192="","",IF(H192="","⚠️ Enter Agent Code",IF(IFERROR(VLOOKUP(G192,DB_Agents!$B:$F,4,0),"")=TEXT(H192,"0"),IF(AND(A192&lt;&gt;"",E192&lt;&gt;""),"✅ Saved","Pending"),"🔒 WRONG CODE")))</f>
        <v/>
      </c>
      <c r="J192" s="33" t="str">
        <f t="shared" ca="1" si="17"/>
        <v>—</v>
      </c>
      <c r="K192" s="46"/>
    </row>
    <row r="193" spans="1:11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IF(A193="","",IFERROR(VLOOKUP(A193,DB_Customers!$A:$M,13,0),""))</f>
        <v/>
      </c>
      <c r="D193" s="42" t="str">
        <f t="shared" ca="1" si="15"/>
        <v/>
      </c>
      <c r="E193" s="32"/>
      <c r="F193" s="43" t="str">
        <f t="shared" si="16"/>
        <v/>
      </c>
      <c r="G193" s="30" t="s">
        <v>59</v>
      </c>
      <c r="H193" s="41"/>
      <c r="I193" s="33" t="str">
        <f>IF(A193="","",IF(H193="","⚠️ Enter Agent Code",IF(IFERROR(VLOOKUP(G193,DB_Agents!$B:$F,4,0),"")=TEXT(H193,"0"),IF(AND(A193&lt;&gt;"",E193&lt;&gt;""),"✅ Saved","Pending"),"🔒 WRONG CODE")))</f>
        <v/>
      </c>
      <c r="J193" s="33" t="str">
        <f t="shared" ca="1" si="17"/>
        <v>—</v>
      </c>
      <c r="K193" s="22"/>
    </row>
    <row r="194" spans="1:11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IF(A194="","",IFERROR(VLOOKUP(A194,DB_Customers!$A:$M,13,0),""))</f>
        <v/>
      </c>
      <c r="D194" s="42" t="str">
        <f t="shared" ca="1" si="15"/>
        <v/>
      </c>
      <c r="E194" s="32"/>
      <c r="F194" s="43" t="str">
        <f t="shared" si="16"/>
        <v/>
      </c>
      <c r="G194" s="30" t="s">
        <v>59</v>
      </c>
      <c r="H194" s="41"/>
      <c r="I194" s="33" t="str">
        <f>IF(A194="","",IF(H194="","⚠️ Enter Agent Code",IF(IFERROR(VLOOKUP(G194,DB_Agents!$B:$F,4,0),"")=TEXT(H194,"0"),IF(AND(A194&lt;&gt;"",E194&lt;&gt;""),"✅ Saved","Pending"),"🔒 WRONG CODE")))</f>
        <v/>
      </c>
      <c r="J194" s="33" t="str">
        <f t="shared" ca="1" si="17"/>
        <v>—</v>
      </c>
      <c r="K194" s="46"/>
    </row>
    <row r="195" spans="1:11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IF(A195="","",IFERROR(VLOOKUP(A195,DB_Customers!$A:$M,13,0),""))</f>
        <v/>
      </c>
      <c r="D195" s="42" t="str">
        <f t="shared" ca="1" si="15"/>
        <v/>
      </c>
      <c r="E195" s="32"/>
      <c r="F195" s="43" t="str">
        <f t="shared" si="16"/>
        <v/>
      </c>
      <c r="G195" s="30" t="s">
        <v>59</v>
      </c>
      <c r="H195" s="41"/>
      <c r="I195" s="33" t="str">
        <f>IF(A195="","",IF(H195="","⚠️ Enter Agent Code",IF(IFERROR(VLOOKUP(G195,DB_Agents!$B:$F,4,0),"")=TEXT(H195,"0"),IF(AND(A195&lt;&gt;"",E195&lt;&gt;""),"✅ Saved","Pending"),"🔒 WRONG CODE")))</f>
        <v/>
      </c>
      <c r="J195" s="33" t="str">
        <f t="shared" ca="1" si="17"/>
        <v>—</v>
      </c>
      <c r="K195" s="22"/>
    </row>
    <row r="196" spans="1:11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IF(A196="","",IFERROR(VLOOKUP(A196,DB_Customers!$A:$M,13,0),""))</f>
        <v/>
      </c>
      <c r="D196" s="42" t="str">
        <f t="shared" ca="1" si="15"/>
        <v/>
      </c>
      <c r="E196" s="32"/>
      <c r="F196" s="43" t="str">
        <f t="shared" si="16"/>
        <v/>
      </c>
      <c r="G196" s="30" t="s">
        <v>59</v>
      </c>
      <c r="H196" s="41"/>
      <c r="I196" s="33" t="str">
        <f>IF(A196="","",IF(H196="","⚠️ Enter Agent Code",IF(IFERROR(VLOOKUP(G196,DB_Agents!$B:$F,4,0),"")=TEXT(H196,"0"),IF(AND(A196&lt;&gt;"",E196&lt;&gt;""),"✅ Saved","Pending"),"🔒 WRONG CODE")))</f>
        <v/>
      </c>
      <c r="J196" s="33" t="str">
        <f t="shared" ca="1" si="17"/>
        <v>—</v>
      </c>
      <c r="K196" s="46"/>
    </row>
    <row r="197" spans="1:11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IF(A197="","",IFERROR(VLOOKUP(A197,DB_Customers!$A:$M,13,0),""))</f>
        <v/>
      </c>
      <c r="D197" s="42" t="str">
        <f t="shared" ca="1" si="15"/>
        <v/>
      </c>
      <c r="E197" s="32"/>
      <c r="F197" s="43" t="str">
        <f t="shared" si="16"/>
        <v/>
      </c>
      <c r="G197" s="30" t="s">
        <v>59</v>
      </c>
      <c r="H197" s="41"/>
      <c r="I197" s="33" t="str">
        <f>IF(A197="","",IF(H197="","⚠️ Enter Agent Code",IF(IFERROR(VLOOKUP(G197,DB_Agents!$B:$F,4,0),"")=TEXT(H197,"0"),IF(AND(A197&lt;&gt;"",E197&lt;&gt;""),"✅ Saved","Pending"),"🔒 WRONG CODE")))</f>
        <v/>
      </c>
      <c r="J197" s="33" t="str">
        <f t="shared" ca="1" si="17"/>
        <v>—</v>
      </c>
      <c r="K197" s="22"/>
    </row>
    <row r="198" spans="1:11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IF(A198="","",IFERROR(VLOOKUP(A198,DB_Customers!$A:$M,13,0),""))</f>
        <v/>
      </c>
      <c r="D198" s="42" t="str">
        <f t="shared" ca="1" si="15"/>
        <v/>
      </c>
      <c r="E198" s="32"/>
      <c r="F198" s="43" t="str">
        <f t="shared" si="16"/>
        <v/>
      </c>
      <c r="G198" s="30" t="s">
        <v>59</v>
      </c>
      <c r="H198" s="41"/>
      <c r="I198" s="33" t="str">
        <f>IF(A198="","",IF(H198="","⚠️ Enter Agent Code",IF(IFERROR(VLOOKUP(G198,DB_Agents!$B:$F,4,0),"")=TEXT(H198,"0"),IF(AND(A198&lt;&gt;"",E198&lt;&gt;""),"✅ Saved","Pending"),"🔒 WRONG CODE")))</f>
        <v/>
      </c>
      <c r="J198" s="33" t="str">
        <f t="shared" ca="1" si="17"/>
        <v>—</v>
      </c>
      <c r="K198" s="46"/>
    </row>
    <row r="199" spans="1:11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IF(A199="","",IFERROR(VLOOKUP(A199,DB_Customers!$A:$M,13,0),""))</f>
        <v/>
      </c>
      <c r="D199" s="42" t="str">
        <f t="shared" ca="1" si="15"/>
        <v/>
      </c>
      <c r="E199" s="32"/>
      <c r="F199" s="43" t="str">
        <f t="shared" si="16"/>
        <v/>
      </c>
      <c r="G199" s="30" t="s">
        <v>59</v>
      </c>
      <c r="H199" s="41"/>
      <c r="I199" s="33" t="str">
        <f>IF(A199="","",IF(H199="","⚠️ Enter Agent Code",IF(IFERROR(VLOOKUP(G199,DB_Agents!$B:$F,4,0),"")=TEXT(H199,"0"),IF(AND(A199&lt;&gt;"",E199&lt;&gt;""),"✅ Saved","Pending"),"🔒 WRONG CODE")))</f>
        <v/>
      </c>
      <c r="J199" s="33" t="str">
        <f t="shared" ca="1" si="17"/>
        <v>—</v>
      </c>
      <c r="K199" s="22"/>
    </row>
    <row r="200" spans="1:11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IF(A200="","",IFERROR(VLOOKUP(A200,DB_Customers!$A:$M,13,0),""))</f>
        <v/>
      </c>
      <c r="D200" s="42" t="str">
        <f t="shared" ca="1" si="15"/>
        <v/>
      </c>
      <c r="E200" s="32"/>
      <c r="F200" s="43" t="str">
        <f t="shared" si="16"/>
        <v/>
      </c>
      <c r="G200" s="30" t="s">
        <v>59</v>
      </c>
      <c r="H200" s="41"/>
      <c r="I200" s="33" t="str">
        <f>IF(A200="","",IF(H200="","⚠️ Enter Agent Code",IF(IFERROR(VLOOKUP(G200,DB_Agents!$B:$F,4,0),"")=TEXT(H200,"0"),IF(AND(A200&lt;&gt;"",E200&lt;&gt;""),"✅ Saved","Pending"),"🔒 WRONG CODE")))</f>
        <v/>
      </c>
      <c r="J200" s="33" t="str">
        <f t="shared" ca="1" si="17"/>
        <v>—</v>
      </c>
      <c r="K200" s="46"/>
    </row>
    <row r="201" spans="1:11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IF(A201="","",IFERROR(VLOOKUP(A201,DB_Customers!$A:$M,13,0),""))</f>
        <v/>
      </c>
      <c r="D201" s="42" t="str">
        <f t="shared" ref="D201:D208" ca="1" si="18">IF(A201="","",TODAY())</f>
        <v/>
      </c>
      <c r="E201" s="32"/>
      <c r="F201" s="43" t="str">
        <f t="shared" ref="F201:F232" si="19">IFERROR(IF(OR(A201="",E201=""),"",C201+E201),"")</f>
        <v/>
      </c>
      <c r="G201" s="30" t="s">
        <v>59</v>
      </c>
      <c r="H201" s="41"/>
      <c r="I201" s="33" t="str">
        <f>IF(A201="","",IF(H201="","⚠️ Enter Agent Code",IF(IFERROR(VLOOKUP(G201,DB_Agents!$B:$F,4,0),"")=TEXT(H201,"0"),IF(AND(A201&lt;&gt;"",E201&lt;&gt;""),"✅ Saved","Pending"),"🔒 WRONG CODE")))</f>
        <v/>
      </c>
      <c r="J201" s="33" t="str">
        <f t="shared" ref="J201:J232" ca="1" si="20">IF(I201="✅ Saved",TEXT(TODAY(),"YYYY-MM-DD")&amp;" Auto","—")</f>
        <v>—</v>
      </c>
      <c r="K201" s="22"/>
    </row>
    <row r="202" spans="1:11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IF(A202="","",IFERROR(VLOOKUP(A202,DB_Customers!$A:$M,13,0),""))</f>
        <v/>
      </c>
      <c r="D202" s="42" t="str">
        <f t="shared" ca="1" si="18"/>
        <v/>
      </c>
      <c r="E202" s="32"/>
      <c r="F202" s="43" t="str">
        <f t="shared" si="19"/>
        <v/>
      </c>
      <c r="G202" s="30" t="s">
        <v>59</v>
      </c>
      <c r="H202" s="41"/>
      <c r="I202" s="33" t="str">
        <f>IF(A202="","",IF(H202="","⚠️ Enter Agent Code",IF(IFERROR(VLOOKUP(G202,DB_Agents!$B:$F,4,0),"")=TEXT(H202,"0"),IF(AND(A202&lt;&gt;"",E202&lt;&gt;""),"✅ Saved","Pending"),"🔒 WRONG CODE")))</f>
        <v/>
      </c>
      <c r="J202" s="33" t="str">
        <f t="shared" ca="1" si="20"/>
        <v>—</v>
      </c>
      <c r="K202" s="46"/>
    </row>
    <row r="203" spans="1:11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IF(A203="","",IFERROR(VLOOKUP(A203,DB_Customers!$A:$M,13,0),""))</f>
        <v/>
      </c>
      <c r="D203" s="42" t="str">
        <f t="shared" ca="1" si="18"/>
        <v/>
      </c>
      <c r="E203" s="32"/>
      <c r="F203" s="43" t="str">
        <f t="shared" si="19"/>
        <v/>
      </c>
      <c r="G203" s="30" t="s">
        <v>59</v>
      </c>
      <c r="H203" s="41"/>
      <c r="I203" s="33" t="str">
        <f>IF(A203="","",IF(H203="","⚠️ Enter Agent Code",IF(IFERROR(VLOOKUP(G203,DB_Agents!$B:$F,4,0),"")=TEXT(H203,"0"),IF(AND(A203&lt;&gt;"",E203&lt;&gt;""),"✅ Saved","Pending"),"🔒 WRONG CODE")))</f>
        <v/>
      </c>
      <c r="J203" s="33" t="str">
        <f t="shared" ca="1" si="20"/>
        <v>—</v>
      </c>
      <c r="K203" s="22"/>
    </row>
    <row r="204" spans="1:11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IF(A204="","",IFERROR(VLOOKUP(A204,DB_Customers!$A:$M,13,0),""))</f>
        <v/>
      </c>
      <c r="D204" s="42" t="str">
        <f t="shared" ca="1" si="18"/>
        <v/>
      </c>
      <c r="E204" s="32"/>
      <c r="F204" s="43" t="str">
        <f t="shared" si="19"/>
        <v/>
      </c>
      <c r="G204" s="30" t="s">
        <v>59</v>
      </c>
      <c r="H204" s="41"/>
      <c r="I204" s="33" t="str">
        <f>IF(A204="","",IF(H204="","⚠️ Enter Agent Code",IF(IFERROR(VLOOKUP(G204,DB_Agents!$B:$F,4,0),"")=TEXT(H204,"0"),IF(AND(A204&lt;&gt;"",E204&lt;&gt;""),"✅ Saved","Pending"),"🔒 WRONG CODE")))</f>
        <v/>
      </c>
      <c r="J204" s="33" t="str">
        <f t="shared" ca="1" si="20"/>
        <v>—</v>
      </c>
      <c r="K204" s="46"/>
    </row>
    <row r="205" spans="1:11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IF(A205="","",IFERROR(VLOOKUP(A205,DB_Customers!$A:$M,13,0),""))</f>
        <v/>
      </c>
      <c r="D205" s="42" t="str">
        <f t="shared" ca="1" si="18"/>
        <v/>
      </c>
      <c r="E205" s="32"/>
      <c r="F205" s="43" t="str">
        <f t="shared" si="19"/>
        <v/>
      </c>
      <c r="G205" s="30" t="s">
        <v>59</v>
      </c>
      <c r="H205" s="41"/>
      <c r="I205" s="33" t="str">
        <f>IF(A205="","",IF(H205="","⚠️ Enter Agent Code",IF(IFERROR(VLOOKUP(G205,DB_Agents!$B:$F,4,0),"")=TEXT(H205,"0"),IF(AND(A205&lt;&gt;"",E205&lt;&gt;""),"✅ Saved","Pending"),"🔒 WRONG CODE")))</f>
        <v/>
      </c>
      <c r="J205" s="33" t="str">
        <f t="shared" ca="1" si="20"/>
        <v>—</v>
      </c>
      <c r="K205" s="22"/>
    </row>
    <row r="206" spans="1:11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IF(A206="","",IFERROR(VLOOKUP(A206,DB_Customers!$A:$M,13,0),""))</f>
        <v/>
      </c>
      <c r="D206" s="42" t="str">
        <f t="shared" ca="1" si="18"/>
        <v/>
      </c>
      <c r="E206" s="32"/>
      <c r="F206" s="43" t="str">
        <f t="shared" si="19"/>
        <v/>
      </c>
      <c r="G206" s="30" t="s">
        <v>59</v>
      </c>
      <c r="H206" s="41"/>
      <c r="I206" s="33" t="str">
        <f>IF(A206="","",IF(H206="","⚠️ Enter Agent Code",IF(IFERROR(VLOOKUP(G206,DB_Agents!$B:$F,4,0),"")=TEXT(H206,"0"),IF(AND(A206&lt;&gt;"",E206&lt;&gt;""),"✅ Saved","Pending"),"🔒 WRONG CODE")))</f>
        <v/>
      </c>
      <c r="J206" s="33" t="str">
        <f t="shared" ca="1" si="20"/>
        <v>—</v>
      </c>
      <c r="K206" s="46"/>
    </row>
    <row r="207" spans="1:11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IF(A207="","",IFERROR(VLOOKUP(A207,DB_Customers!$A:$M,13,0),""))</f>
        <v/>
      </c>
      <c r="D207" s="42" t="str">
        <f t="shared" ca="1" si="18"/>
        <v/>
      </c>
      <c r="E207" s="32"/>
      <c r="F207" s="43" t="str">
        <f t="shared" si="19"/>
        <v/>
      </c>
      <c r="G207" s="30" t="s">
        <v>59</v>
      </c>
      <c r="H207" s="41"/>
      <c r="I207" s="33" t="str">
        <f>IF(A207="","",IF(H207="","⚠️ Enter Agent Code",IF(IFERROR(VLOOKUP(G207,DB_Agents!$B:$F,4,0),"")=TEXT(H207,"0"),IF(AND(A207&lt;&gt;"",E207&lt;&gt;""),"✅ Saved","Pending"),"🔒 WRONG CODE")))</f>
        <v/>
      </c>
      <c r="J207" s="33" t="str">
        <f t="shared" ca="1" si="20"/>
        <v>—</v>
      </c>
      <c r="K207" s="22"/>
    </row>
    <row r="208" spans="1:11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IF(A208="","",IFERROR(VLOOKUP(A208,DB_Customers!$A:$M,13,0),""))</f>
        <v/>
      </c>
      <c r="D208" s="42" t="str">
        <f t="shared" ca="1" si="18"/>
        <v/>
      </c>
      <c r="E208" s="32"/>
      <c r="F208" s="43" t="str">
        <f t="shared" si="19"/>
        <v/>
      </c>
      <c r="G208" s="30" t="s">
        <v>59</v>
      </c>
      <c r="H208" s="41"/>
      <c r="I208" s="33" t="str">
        <f>IF(A208="","",IF(H208="","⚠️ Enter Agent Code",IF(IFERROR(VLOOKUP(G208,DB_Agents!$B:$F,4,0),"")=TEXT(H208,"0"),IF(AND(A208&lt;&gt;"",E208&lt;&gt;""),"✅ Saved","Pending"),"🔒 WRONG CODE")))</f>
        <v/>
      </c>
      <c r="J208" s="33" t="str">
        <f t="shared" ca="1" si="20"/>
        <v>—</v>
      </c>
      <c r="K208" s="46"/>
    </row>
  </sheetData>
  <mergeCells count="4">
    <mergeCell ref="A2:K2"/>
    <mergeCell ref="A6:K6"/>
    <mergeCell ref="A1:K1"/>
    <mergeCell ref="A7:K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2.1" customHeight="1" x14ac:dyDescent="0.25">
      <c r="A1" s="94" t="s">
        <v>191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26.1" customHeight="1" x14ac:dyDescent="0.25">
      <c r="A2" s="97" t="s">
        <v>192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20.100000000000001" customHeight="1" x14ac:dyDescent="0.25">
      <c r="A3" s="47" t="s">
        <v>138</v>
      </c>
      <c r="D3" s="44" t="s">
        <v>139</v>
      </c>
      <c r="G3" s="48" t="s">
        <v>140</v>
      </c>
      <c r="J3" s="47" t="s">
        <v>128</v>
      </c>
    </row>
    <row r="4" spans="1:12" ht="24" customHeight="1" x14ac:dyDescent="0.25">
      <c r="A4" s="49">
        <f ca="1">IFERROR(SUMIFS(DB_Withdrawals!$G:$G,DB_Withdrawals!$I:$I,"Agent 06",DB_Withdrawals!$E:$E,TODAY()),0)</f>
        <v>0</v>
      </c>
      <c r="D4" s="49">
        <f ca="1">IFERROR(COUNTIFS(DB_Withdrawals!$I:$I,"Agent 06",DB_Withdrawals!$J:$J,"✅ Successful",DB_Withdrawals!$E:$E,TODAY()),0)</f>
        <v>0</v>
      </c>
      <c r="G4" s="49">
        <f ca="1">IFERROR(COUNTIFS(DB_Withdrawals!$I:$I,"Agent 06",DB_Withdrawals!$J:$J,"❌ Insufficient Funds",DB_Withdrawals!$E:$E,TODAY()),0)</f>
        <v>0</v>
      </c>
      <c r="J4" s="49" t="str">
        <f ca="1">TEXT(TODAY(),"DD MMM YYYY")</f>
        <v>25 Apr 2026</v>
      </c>
    </row>
    <row r="6" spans="1:12" ht="26.1" customHeight="1" x14ac:dyDescent="0.25">
      <c r="A6" s="90" t="s">
        <v>141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</row>
    <row r="8" spans="1:12" ht="30" customHeight="1" x14ac:dyDescent="0.25">
      <c r="A8" s="19" t="s">
        <v>131</v>
      </c>
      <c r="B8" s="19" t="s">
        <v>69</v>
      </c>
      <c r="C8" s="19" t="s">
        <v>85</v>
      </c>
      <c r="D8" s="19" t="s">
        <v>91</v>
      </c>
      <c r="E8" s="19" t="s">
        <v>142</v>
      </c>
      <c r="F8" s="19" t="s">
        <v>143</v>
      </c>
      <c r="G8" s="19" t="s">
        <v>133</v>
      </c>
      <c r="H8" s="19" t="s">
        <v>45</v>
      </c>
      <c r="I8" s="19" t="s">
        <v>134</v>
      </c>
      <c r="J8" s="19" t="s">
        <v>77</v>
      </c>
      <c r="K8" s="19" t="s">
        <v>135</v>
      </c>
      <c r="L8" s="19" t="s">
        <v>95</v>
      </c>
    </row>
    <row r="9" spans="1:12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IF(A9="","",IFERROR(VLOOKUP(A9,DB_Customers!$A:$N,14,0),""))</f>
        <v/>
      </c>
      <c r="D9" s="42" t="str">
        <f t="shared" ref="D9:D40" ca="1" si="0">IF(A9="","",TODAY())</f>
        <v/>
      </c>
      <c r="E9" s="32"/>
      <c r="F9" s="31"/>
      <c r="G9" s="43" t="str">
        <f t="shared" ref="G9:G40" si="1">IFERROR(IF(OR(A9="",E9=""),"",C9-E9),"")</f>
        <v/>
      </c>
      <c r="H9" s="30" t="s">
        <v>59</v>
      </c>
      <c r="I9" s="41"/>
      <c r="J9" s="33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9" s="33" t="str">
        <f t="shared" ref="K9:K40" ca="1" si="2">IF(J9="✅ Successful",TEXT(TODAY(),"YYYY-MM-DD")&amp;" Auto","—")</f>
        <v>—</v>
      </c>
      <c r="L9" s="22"/>
    </row>
    <row r="10" spans="1:12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IF(A10="","",IFERROR(VLOOKUP(A10,DB_Customers!$A:$N,14,0),""))</f>
        <v/>
      </c>
      <c r="D10" s="42" t="str">
        <f t="shared" ca="1" si="0"/>
        <v/>
      </c>
      <c r="E10" s="32"/>
      <c r="F10" s="31"/>
      <c r="G10" s="43" t="str">
        <f t="shared" si="1"/>
        <v/>
      </c>
      <c r="H10" s="30" t="s">
        <v>59</v>
      </c>
      <c r="I10" s="41"/>
      <c r="J10" s="33" t="str">
        <f>IF(AND(A10&lt;&gt;"",E10&lt;&gt;""),IF(I10="","⚠️ Enter Code",IF(IFERROR(VLOOKUP(H10,DB_Agents!$B:$F,4,0),"")=TEXT(I10,"0"),IF(C10&gt;=E10,"✅ Successful","❌ Insufficient Funds"),"🔒 WRONG CODE")),"Pending")</f>
        <v>Pending</v>
      </c>
      <c r="K10" s="33" t="str">
        <f t="shared" ca="1" si="2"/>
        <v>—</v>
      </c>
      <c r="L10" s="50"/>
    </row>
    <row r="11" spans="1:12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IF(A11="","",IFERROR(VLOOKUP(A11,DB_Customers!$A:$N,14,0),""))</f>
        <v/>
      </c>
      <c r="D11" s="42" t="str">
        <f t="shared" ca="1" si="0"/>
        <v/>
      </c>
      <c r="E11" s="32"/>
      <c r="F11" s="31"/>
      <c r="G11" s="43" t="str">
        <f t="shared" si="1"/>
        <v/>
      </c>
      <c r="H11" s="30" t="s">
        <v>59</v>
      </c>
      <c r="I11" s="41"/>
      <c r="J11" s="33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1" s="33" t="str">
        <f t="shared" ca="1" si="2"/>
        <v>—</v>
      </c>
      <c r="L11" s="22"/>
    </row>
    <row r="12" spans="1:12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IF(A12="","",IFERROR(VLOOKUP(A12,DB_Customers!$A:$N,14,0),""))</f>
        <v/>
      </c>
      <c r="D12" s="42" t="str">
        <f t="shared" ca="1" si="0"/>
        <v/>
      </c>
      <c r="E12" s="32"/>
      <c r="F12" s="31"/>
      <c r="G12" s="43" t="str">
        <f t="shared" si="1"/>
        <v/>
      </c>
      <c r="H12" s="30" t="s">
        <v>59</v>
      </c>
      <c r="I12" s="41"/>
      <c r="J12" s="33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2" s="33" t="str">
        <f t="shared" ca="1" si="2"/>
        <v>—</v>
      </c>
      <c r="L12" s="50"/>
    </row>
    <row r="13" spans="1:12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IF(A13="","",IFERROR(VLOOKUP(A13,DB_Customers!$A:$N,14,0),""))</f>
        <v/>
      </c>
      <c r="D13" s="42" t="str">
        <f t="shared" ca="1" si="0"/>
        <v/>
      </c>
      <c r="E13" s="32"/>
      <c r="F13" s="31"/>
      <c r="G13" s="43" t="str">
        <f t="shared" si="1"/>
        <v/>
      </c>
      <c r="H13" s="30" t="s">
        <v>59</v>
      </c>
      <c r="I13" s="41"/>
      <c r="J13" s="33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3" s="33" t="str">
        <f t="shared" ca="1" si="2"/>
        <v>—</v>
      </c>
      <c r="L13" s="22"/>
    </row>
    <row r="14" spans="1:12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IF(A14="","",IFERROR(VLOOKUP(A14,DB_Customers!$A:$N,14,0),""))</f>
        <v/>
      </c>
      <c r="D14" s="42" t="str">
        <f t="shared" ca="1" si="0"/>
        <v/>
      </c>
      <c r="E14" s="32"/>
      <c r="F14" s="31"/>
      <c r="G14" s="43" t="str">
        <f t="shared" si="1"/>
        <v/>
      </c>
      <c r="H14" s="30" t="s">
        <v>59</v>
      </c>
      <c r="I14" s="41"/>
      <c r="J14" s="33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4" s="33" t="str">
        <f t="shared" ca="1" si="2"/>
        <v>—</v>
      </c>
      <c r="L14" s="50"/>
    </row>
    <row r="15" spans="1:12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IF(A15="","",IFERROR(VLOOKUP(A15,DB_Customers!$A:$N,14,0),""))</f>
        <v/>
      </c>
      <c r="D15" s="42" t="str">
        <f t="shared" ca="1" si="0"/>
        <v/>
      </c>
      <c r="E15" s="32"/>
      <c r="F15" s="31"/>
      <c r="G15" s="43" t="str">
        <f t="shared" si="1"/>
        <v/>
      </c>
      <c r="H15" s="30" t="s">
        <v>59</v>
      </c>
      <c r="I15" s="41"/>
      <c r="J15" s="33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5" s="33" t="str">
        <f t="shared" ca="1" si="2"/>
        <v>—</v>
      </c>
      <c r="L15" s="22"/>
    </row>
    <row r="16" spans="1:12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IF(A16="","",IFERROR(VLOOKUP(A16,DB_Customers!$A:$N,14,0),""))</f>
        <v/>
      </c>
      <c r="D16" s="42" t="str">
        <f t="shared" ca="1" si="0"/>
        <v/>
      </c>
      <c r="E16" s="32"/>
      <c r="F16" s="31"/>
      <c r="G16" s="43" t="str">
        <f t="shared" si="1"/>
        <v/>
      </c>
      <c r="H16" s="30" t="s">
        <v>59</v>
      </c>
      <c r="I16" s="41"/>
      <c r="J16" s="33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6" s="33" t="str">
        <f t="shared" ca="1" si="2"/>
        <v>—</v>
      </c>
      <c r="L16" s="50"/>
    </row>
    <row r="17" spans="1:12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IF(A17="","",IFERROR(VLOOKUP(A17,DB_Customers!$A:$N,14,0),""))</f>
        <v/>
      </c>
      <c r="D17" s="42" t="str">
        <f t="shared" ca="1" si="0"/>
        <v/>
      </c>
      <c r="E17" s="32"/>
      <c r="F17" s="31"/>
      <c r="G17" s="43" t="str">
        <f t="shared" si="1"/>
        <v/>
      </c>
      <c r="H17" s="30" t="s">
        <v>59</v>
      </c>
      <c r="I17" s="41"/>
      <c r="J17" s="33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7" s="33" t="str">
        <f t="shared" ca="1" si="2"/>
        <v>—</v>
      </c>
      <c r="L17" s="22"/>
    </row>
    <row r="18" spans="1:12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IF(A18="","",IFERROR(VLOOKUP(A18,DB_Customers!$A:$N,14,0),""))</f>
        <v/>
      </c>
      <c r="D18" s="42" t="str">
        <f t="shared" ca="1" si="0"/>
        <v/>
      </c>
      <c r="E18" s="32"/>
      <c r="F18" s="31"/>
      <c r="G18" s="43" t="str">
        <f t="shared" si="1"/>
        <v/>
      </c>
      <c r="H18" s="30" t="s">
        <v>59</v>
      </c>
      <c r="I18" s="41"/>
      <c r="J18" s="33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18" s="33" t="str">
        <f t="shared" ca="1" si="2"/>
        <v>—</v>
      </c>
      <c r="L18" s="50"/>
    </row>
    <row r="19" spans="1:12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IF(A19="","",IFERROR(VLOOKUP(A19,DB_Customers!$A:$N,14,0),""))</f>
        <v/>
      </c>
      <c r="D19" s="42" t="str">
        <f t="shared" ca="1" si="0"/>
        <v/>
      </c>
      <c r="E19" s="32"/>
      <c r="F19" s="31"/>
      <c r="G19" s="43" t="str">
        <f t="shared" si="1"/>
        <v/>
      </c>
      <c r="H19" s="30" t="s">
        <v>59</v>
      </c>
      <c r="I19" s="41"/>
      <c r="J19" s="33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19" s="33" t="str">
        <f t="shared" ca="1" si="2"/>
        <v>—</v>
      </c>
      <c r="L19" s="22"/>
    </row>
    <row r="20" spans="1:12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IF(A20="","",IFERROR(VLOOKUP(A20,DB_Customers!$A:$N,14,0),""))</f>
        <v/>
      </c>
      <c r="D20" s="42" t="str">
        <f t="shared" ca="1" si="0"/>
        <v/>
      </c>
      <c r="E20" s="32"/>
      <c r="F20" s="31"/>
      <c r="G20" s="43" t="str">
        <f t="shared" si="1"/>
        <v/>
      </c>
      <c r="H20" s="30" t="s">
        <v>59</v>
      </c>
      <c r="I20" s="41"/>
      <c r="J20" s="33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0" s="33" t="str">
        <f t="shared" ca="1" si="2"/>
        <v>—</v>
      </c>
      <c r="L20" s="50"/>
    </row>
    <row r="21" spans="1:12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IF(A21="","",IFERROR(VLOOKUP(A21,DB_Customers!$A:$N,14,0),""))</f>
        <v/>
      </c>
      <c r="D21" s="42" t="str">
        <f t="shared" ca="1" si="0"/>
        <v/>
      </c>
      <c r="E21" s="32"/>
      <c r="F21" s="31"/>
      <c r="G21" s="43" t="str">
        <f t="shared" si="1"/>
        <v/>
      </c>
      <c r="H21" s="30" t="s">
        <v>59</v>
      </c>
      <c r="I21" s="41"/>
      <c r="J21" s="33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1" s="33" t="str">
        <f t="shared" ca="1" si="2"/>
        <v>—</v>
      </c>
      <c r="L21" s="22"/>
    </row>
    <row r="22" spans="1:12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IF(A22="","",IFERROR(VLOOKUP(A22,DB_Customers!$A:$N,14,0),""))</f>
        <v/>
      </c>
      <c r="D22" s="42" t="str">
        <f t="shared" ca="1" si="0"/>
        <v/>
      </c>
      <c r="E22" s="32"/>
      <c r="F22" s="31"/>
      <c r="G22" s="43" t="str">
        <f t="shared" si="1"/>
        <v/>
      </c>
      <c r="H22" s="30" t="s">
        <v>59</v>
      </c>
      <c r="I22" s="41"/>
      <c r="J22" s="33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2" s="33" t="str">
        <f t="shared" ca="1" si="2"/>
        <v>—</v>
      </c>
      <c r="L22" s="50"/>
    </row>
    <row r="23" spans="1:12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IF(A23="","",IFERROR(VLOOKUP(A23,DB_Customers!$A:$N,14,0),""))</f>
        <v/>
      </c>
      <c r="D23" s="42" t="str">
        <f t="shared" ca="1" si="0"/>
        <v/>
      </c>
      <c r="E23" s="32"/>
      <c r="F23" s="31"/>
      <c r="G23" s="43" t="str">
        <f t="shared" si="1"/>
        <v/>
      </c>
      <c r="H23" s="30" t="s">
        <v>59</v>
      </c>
      <c r="I23" s="41"/>
      <c r="J23" s="33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3" s="33" t="str">
        <f t="shared" ca="1" si="2"/>
        <v>—</v>
      </c>
      <c r="L23" s="22"/>
    </row>
    <row r="24" spans="1:12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IF(A24="","",IFERROR(VLOOKUP(A24,DB_Customers!$A:$N,14,0),""))</f>
        <v/>
      </c>
      <c r="D24" s="42" t="str">
        <f t="shared" ca="1" si="0"/>
        <v/>
      </c>
      <c r="E24" s="32"/>
      <c r="F24" s="31"/>
      <c r="G24" s="43" t="str">
        <f t="shared" si="1"/>
        <v/>
      </c>
      <c r="H24" s="30" t="s">
        <v>59</v>
      </c>
      <c r="I24" s="41"/>
      <c r="J24" s="33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4" s="33" t="str">
        <f t="shared" ca="1" si="2"/>
        <v>—</v>
      </c>
      <c r="L24" s="50"/>
    </row>
    <row r="25" spans="1:12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IF(A25="","",IFERROR(VLOOKUP(A25,DB_Customers!$A:$N,14,0),""))</f>
        <v/>
      </c>
      <c r="D25" s="42" t="str">
        <f t="shared" ca="1" si="0"/>
        <v/>
      </c>
      <c r="E25" s="32"/>
      <c r="F25" s="31"/>
      <c r="G25" s="43" t="str">
        <f t="shared" si="1"/>
        <v/>
      </c>
      <c r="H25" s="30" t="s">
        <v>59</v>
      </c>
      <c r="I25" s="41"/>
      <c r="J25" s="33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5" s="33" t="str">
        <f t="shared" ca="1" si="2"/>
        <v>—</v>
      </c>
      <c r="L25" s="22"/>
    </row>
    <row r="26" spans="1:12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IF(A26="","",IFERROR(VLOOKUP(A26,DB_Customers!$A:$N,14,0),""))</f>
        <v/>
      </c>
      <c r="D26" s="42" t="str">
        <f t="shared" ca="1" si="0"/>
        <v/>
      </c>
      <c r="E26" s="32"/>
      <c r="F26" s="31"/>
      <c r="G26" s="43" t="str">
        <f t="shared" si="1"/>
        <v/>
      </c>
      <c r="H26" s="30" t="s">
        <v>59</v>
      </c>
      <c r="I26" s="41"/>
      <c r="J26" s="33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6" s="33" t="str">
        <f t="shared" ca="1" si="2"/>
        <v>—</v>
      </c>
      <c r="L26" s="50"/>
    </row>
    <row r="27" spans="1:12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IF(A27="","",IFERROR(VLOOKUP(A27,DB_Customers!$A:$N,14,0),""))</f>
        <v/>
      </c>
      <c r="D27" s="42" t="str">
        <f t="shared" ca="1" si="0"/>
        <v/>
      </c>
      <c r="E27" s="32"/>
      <c r="F27" s="31"/>
      <c r="G27" s="43" t="str">
        <f t="shared" si="1"/>
        <v/>
      </c>
      <c r="H27" s="30" t="s">
        <v>59</v>
      </c>
      <c r="I27" s="41"/>
      <c r="J27" s="33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7" s="33" t="str">
        <f t="shared" ca="1" si="2"/>
        <v>—</v>
      </c>
      <c r="L27" s="22"/>
    </row>
    <row r="28" spans="1:12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IF(A28="","",IFERROR(VLOOKUP(A28,DB_Customers!$A:$N,14,0),""))</f>
        <v/>
      </c>
      <c r="D28" s="42" t="str">
        <f t="shared" ca="1" si="0"/>
        <v/>
      </c>
      <c r="E28" s="32"/>
      <c r="F28" s="31"/>
      <c r="G28" s="43" t="str">
        <f t="shared" si="1"/>
        <v/>
      </c>
      <c r="H28" s="30" t="s">
        <v>59</v>
      </c>
      <c r="I28" s="41"/>
      <c r="J28" s="33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28" s="33" t="str">
        <f t="shared" ca="1" si="2"/>
        <v>—</v>
      </c>
      <c r="L28" s="50"/>
    </row>
    <row r="29" spans="1:12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IF(A29="","",IFERROR(VLOOKUP(A29,DB_Customers!$A:$N,14,0),""))</f>
        <v/>
      </c>
      <c r="D29" s="42" t="str">
        <f t="shared" ca="1" si="0"/>
        <v/>
      </c>
      <c r="E29" s="32"/>
      <c r="F29" s="31"/>
      <c r="G29" s="43" t="str">
        <f t="shared" si="1"/>
        <v/>
      </c>
      <c r="H29" s="30" t="s">
        <v>59</v>
      </c>
      <c r="I29" s="41"/>
      <c r="J29" s="33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29" s="33" t="str">
        <f t="shared" ca="1" si="2"/>
        <v>—</v>
      </c>
      <c r="L29" s="22"/>
    </row>
    <row r="30" spans="1:12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IF(A30="","",IFERROR(VLOOKUP(A30,DB_Customers!$A:$N,14,0),""))</f>
        <v/>
      </c>
      <c r="D30" s="42" t="str">
        <f t="shared" ca="1" si="0"/>
        <v/>
      </c>
      <c r="E30" s="32"/>
      <c r="F30" s="31"/>
      <c r="G30" s="43" t="str">
        <f t="shared" si="1"/>
        <v/>
      </c>
      <c r="H30" s="30" t="s">
        <v>59</v>
      </c>
      <c r="I30" s="41"/>
      <c r="J30" s="33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0" s="33" t="str">
        <f t="shared" ca="1" si="2"/>
        <v>—</v>
      </c>
      <c r="L30" s="50"/>
    </row>
    <row r="31" spans="1:12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IF(A31="","",IFERROR(VLOOKUP(A31,DB_Customers!$A:$N,14,0),""))</f>
        <v/>
      </c>
      <c r="D31" s="42" t="str">
        <f t="shared" ca="1" si="0"/>
        <v/>
      </c>
      <c r="E31" s="32"/>
      <c r="F31" s="31"/>
      <c r="G31" s="43" t="str">
        <f t="shared" si="1"/>
        <v/>
      </c>
      <c r="H31" s="30" t="s">
        <v>59</v>
      </c>
      <c r="I31" s="41"/>
      <c r="J31" s="33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1" s="33" t="str">
        <f t="shared" ca="1" si="2"/>
        <v>—</v>
      </c>
      <c r="L31" s="22"/>
    </row>
    <row r="32" spans="1:12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IF(A32="","",IFERROR(VLOOKUP(A32,DB_Customers!$A:$N,14,0),""))</f>
        <v/>
      </c>
      <c r="D32" s="42" t="str">
        <f t="shared" ca="1" si="0"/>
        <v/>
      </c>
      <c r="E32" s="32"/>
      <c r="F32" s="31"/>
      <c r="G32" s="43" t="str">
        <f t="shared" si="1"/>
        <v/>
      </c>
      <c r="H32" s="30" t="s">
        <v>59</v>
      </c>
      <c r="I32" s="41"/>
      <c r="J32" s="33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2" s="33" t="str">
        <f t="shared" ca="1" si="2"/>
        <v>—</v>
      </c>
      <c r="L32" s="50"/>
    </row>
    <row r="33" spans="1:12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IF(A33="","",IFERROR(VLOOKUP(A33,DB_Customers!$A:$N,14,0),""))</f>
        <v/>
      </c>
      <c r="D33" s="42" t="str">
        <f t="shared" ca="1" si="0"/>
        <v/>
      </c>
      <c r="E33" s="32"/>
      <c r="F33" s="31"/>
      <c r="G33" s="43" t="str">
        <f t="shared" si="1"/>
        <v/>
      </c>
      <c r="H33" s="30" t="s">
        <v>59</v>
      </c>
      <c r="I33" s="41"/>
      <c r="J33" s="33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3" s="33" t="str">
        <f t="shared" ca="1" si="2"/>
        <v>—</v>
      </c>
      <c r="L33" s="22"/>
    </row>
    <row r="34" spans="1:12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IF(A34="","",IFERROR(VLOOKUP(A34,DB_Customers!$A:$N,14,0),""))</f>
        <v/>
      </c>
      <c r="D34" s="42" t="str">
        <f t="shared" ca="1" si="0"/>
        <v/>
      </c>
      <c r="E34" s="32"/>
      <c r="F34" s="31"/>
      <c r="G34" s="43" t="str">
        <f t="shared" si="1"/>
        <v/>
      </c>
      <c r="H34" s="30" t="s">
        <v>59</v>
      </c>
      <c r="I34" s="41"/>
      <c r="J34" s="33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4" s="33" t="str">
        <f t="shared" ca="1" si="2"/>
        <v>—</v>
      </c>
      <c r="L34" s="50"/>
    </row>
    <row r="35" spans="1:12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IF(A35="","",IFERROR(VLOOKUP(A35,DB_Customers!$A:$N,14,0),""))</f>
        <v/>
      </c>
      <c r="D35" s="42" t="str">
        <f t="shared" ca="1" si="0"/>
        <v/>
      </c>
      <c r="E35" s="32"/>
      <c r="F35" s="31"/>
      <c r="G35" s="43" t="str">
        <f t="shared" si="1"/>
        <v/>
      </c>
      <c r="H35" s="30" t="s">
        <v>59</v>
      </c>
      <c r="I35" s="41"/>
      <c r="J35" s="33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5" s="33" t="str">
        <f t="shared" ca="1" si="2"/>
        <v>—</v>
      </c>
      <c r="L35" s="22"/>
    </row>
    <row r="36" spans="1:12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IF(A36="","",IFERROR(VLOOKUP(A36,DB_Customers!$A:$N,14,0),""))</f>
        <v/>
      </c>
      <c r="D36" s="42" t="str">
        <f t="shared" ca="1" si="0"/>
        <v/>
      </c>
      <c r="E36" s="32"/>
      <c r="F36" s="31"/>
      <c r="G36" s="43" t="str">
        <f t="shared" si="1"/>
        <v/>
      </c>
      <c r="H36" s="30" t="s">
        <v>59</v>
      </c>
      <c r="I36" s="41"/>
      <c r="J36" s="33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6" s="33" t="str">
        <f t="shared" ca="1" si="2"/>
        <v>—</v>
      </c>
      <c r="L36" s="50"/>
    </row>
    <row r="37" spans="1:12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IF(A37="","",IFERROR(VLOOKUP(A37,DB_Customers!$A:$N,14,0),""))</f>
        <v/>
      </c>
      <c r="D37" s="42" t="str">
        <f t="shared" ca="1" si="0"/>
        <v/>
      </c>
      <c r="E37" s="32"/>
      <c r="F37" s="31"/>
      <c r="G37" s="43" t="str">
        <f t="shared" si="1"/>
        <v/>
      </c>
      <c r="H37" s="30" t="s">
        <v>59</v>
      </c>
      <c r="I37" s="41"/>
      <c r="J37" s="33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7" s="33" t="str">
        <f t="shared" ca="1" si="2"/>
        <v>—</v>
      </c>
      <c r="L37" s="22"/>
    </row>
    <row r="38" spans="1:12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IF(A38="","",IFERROR(VLOOKUP(A38,DB_Customers!$A:$N,14,0),""))</f>
        <v/>
      </c>
      <c r="D38" s="42" t="str">
        <f t="shared" ca="1" si="0"/>
        <v/>
      </c>
      <c r="E38" s="32"/>
      <c r="F38" s="31"/>
      <c r="G38" s="43" t="str">
        <f t="shared" si="1"/>
        <v/>
      </c>
      <c r="H38" s="30" t="s">
        <v>59</v>
      </c>
      <c r="I38" s="41"/>
      <c r="J38" s="33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38" s="33" t="str">
        <f t="shared" ca="1" si="2"/>
        <v>—</v>
      </c>
      <c r="L38" s="50"/>
    </row>
    <row r="39" spans="1:12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IF(A39="","",IFERROR(VLOOKUP(A39,DB_Customers!$A:$N,14,0),""))</f>
        <v/>
      </c>
      <c r="D39" s="42" t="str">
        <f t="shared" ca="1" si="0"/>
        <v/>
      </c>
      <c r="E39" s="32"/>
      <c r="F39" s="31"/>
      <c r="G39" s="43" t="str">
        <f t="shared" si="1"/>
        <v/>
      </c>
      <c r="H39" s="30" t="s">
        <v>59</v>
      </c>
      <c r="I39" s="41"/>
      <c r="J39" s="33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39" s="33" t="str">
        <f t="shared" ca="1" si="2"/>
        <v>—</v>
      </c>
      <c r="L39" s="22"/>
    </row>
    <row r="40" spans="1:12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IF(A40="","",IFERROR(VLOOKUP(A40,DB_Customers!$A:$N,14,0),""))</f>
        <v/>
      </c>
      <c r="D40" s="42" t="str">
        <f t="shared" ca="1" si="0"/>
        <v/>
      </c>
      <c r="E40" s="32"/>
      <c r="F40" s="31"/>
      <c r="G40" s="43" t="str">
        <f t="shared" si="1"/>
        <v/>
      </c>
      <c r="H40" s="30" t="s">
        <v>59</v>
      </c>
      <c r="I40" s="41"/>
      <c r="J40" s="33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0" s="33" t="str">
        <f t="shared" ca="1" si="2"/>
        <v>—</v>
      </c>
      <c r="L40" s="50"/>
    </row>
    <row r="41" spans="1:12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IF(A41="","",IFERROR(VLOOKUP(A41,DB_Customers!$A:$N,14,0),""))</f>
        <v/>
      </c>
      <c r="D41" s="42" t="str">
        <f t="shared" ref="D41:D72" ca="1" si="3">IF(A41="","",TODAY())</f>
        <v/>
      </c>
      <c r="E41" s="32"/>
      <c r="F41" s="31"/>
      <c r="G41" s="43" t="str">
        <f t="shared" ref="G41:G72" si="4">IFERROR(IF(OR(A41="",E41=""),"",C41-E41),"")</f>
        <v/>
      </c>
      <c r="H41" s="30" t="s">
        <v>59</v>
      </c>
      <c r="I41" s="41"/>
      <c r="J41" s="33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1" s="33" t="str">
        <f t="shared" ref="K41:K72" ca="1" si="5">IF(J41="✅ Successful",TEXT(TODAY(),"YYYY-MM-DD")&amp;" Auto","—")</f>
        <v>—</v>
      </c>
      <c r="L41" s="22"/>
    </row>
    <row r="42" spans="1:12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IF(A42="","",IFERROR(VLOOKUP(A42,DB_Customers!$A:$N,14,0),""))</f>
        <v/>
      </c>
      <c r="D42" s="42" t="str">
        <f t="shared" ca="1" si="3"/>
        <v/>
      </c>
      <c r="E42" s="32"/>
      <c r="F42" s="31"/>
      <c r="G42" s="43" t="str">
        <f t="shared" si="4"/>
        <v/>
      </c>
      <c r="H42" s="30" t="s">
        <v>59</v>
      </c>
      <c r="I42" s="41"/>
      <c r="J42" s="33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2" s="33" t="str">
        <f t="shared" ca="1" si="5"/>
        <v>—</v>
      </c>
      <c r="L42" s="50"/>
    </row>
    <row r="43" spans="1:12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IF(A43="","",IFERROR(VLOOKUP(A43,DB_Customers!$A:$N,14,0),""))</f>
        <v/>
      </c>
      <c r="D43" s="42" t="str">
        <f t="shared" ca="1" si="3"/>
        <v/>
      </c>
      <c r="E43" s="32"/>
      <c r="F43" s="31"/>
      <c r="G43" s="43" t="str">
        <f t="shared" si="4"/>
        <v/>
      </c>
      <c r="H43" s="30" t="s">
        <v>59</v>
      </c>
      <c r="I43" s="41"/>
      <c r="J43" s="33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3" s="33" t="str">
        <f t="shared" ca="1" si="5"/>
        <v>—</v>
      </c>
      <c r="L43" s="22"/>
    </row>
    <row r="44" spans="1:12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IF(A44="","",IFERROR(VLOOKUP(A44,DB_Customers!$A:$N,14,0),""))</f>
        <v/>
      </c>
      <c r="D44" s="42" t="str">
        <f t="shared" ca="1" si="3"/>
        <v/>
      </c>
      <c r="E44" s="32"/>
      <c r="F44" s="31"/>
      <c r="G44" s="43" t="str">
        <f t="shared" si="4"/>
        <v/>
      </c>
      <c r="H44" s="30" t="s">
        <v>59</v>
      </c>
      <c r="I44" s="41"/>
      <c r="J44" s="33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4" s="33" t="str">
        <f t="shared" ca="1" si="5"/>
        <v>—</v>
      </c>
      <c r="L44" s="50"/>
    </row>
    <row r="45" spans="1:12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IF(A45="","",IFERROR(VLOOKUP(A45,DB_Customers!$A:$N,14,0),""))</f>
        <v/>
      </c>
      <c r="D45" s="42" t="str">
        <f t="shared" ca="1" si="3"/>
        <v/>
      </c>
      <c r="E45" s="32"/>
      <c r="F45" s="31"/>
      <c r="G45" s="43" t="str">
        <f t="shared" si="4"/>
        <v/>
      </c>
      <c r="H45" s="30" t="s">
        <v>59</v>
      </c>
      <c r="I45" s="41"/>
      <c r="J45" s="33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5" s="33" t="str">
        <f t="shared" ca="1" si="5"/>
        <v>—</v>
      </c>
      <c r="L45" s="22"/>
    </row>
    <row r="46" spans="1:12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IF(A46="","",IFERROR(VLOOKUP(A46,DB_Customers!$A:$N,14,0),""))</f>
        <v/>
      </c>
      <c r="D46" s="42" t="str">
        <f t="shared" ca="1" si="3"/>
        <v/>
      </c>
      <c r="E46" s="32"/>
      <c r="F46" s="31"/>
      <c r="G46" s="43" t="str">
        <f t="shared" si="4"/>
        <v/>
      </c>
      <c r="H46" s="30" t="s">
        <v>59</v>
      </c>
      <c r="I46" s="41"/>
      <c r="J46" s="33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6" s="33" t="str">
        <f t="shared" ca="1" si="5"/>
        <v>—</v>
      </c>
      <c r="L46" s="50"/>
    </row>
    <row r="47" spans="1:12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IF(A47="","",IFERROR(VLOOKUP(A47,DB_Customers!$A:$N,14,0),""))</f>
        <v/>
      </c>
      <c r="D47" s="42" t="str">
        <f t="shared" ca="1" si="3"/>
        <v/>
      </c>
      <c r="E47" s="32"/>
      <c r="F47" s="31"/>
      <c r="G47" s="43" t="str">
        <f t="shared" si="4"/>
        <v/>
      </c>
      <c r="H47" s="30" t="s">
        <v>59</v>
      </c>
      <c r="I47" s="41"/>
      <c r="J47" s="33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7" s="33" t="str">
        <f t="shared" ca="1" si="5"/>
        <v>—</v>
      </c>
      <c r="L47" s="22"/>
    </row>
    <row r="48" spans="1:12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IF(A48="","",IFERROR(VLOOKUP(A48,DB_Customers!$A:$N,14,0),""))</f>
        <v/>
      </c>
      <c r="D48" s="42" t="str">
        <f t="shared" ca="1" si="3"/>
        <v/>
      </c>
      <c r="E48" s="32"/>
      <c r="F48" s="31"/>
      <c r="G48" s="43" t="str">
        <f t="shared" si="4"/>
        <v/>
      </c>
      <c r="H48" s="30" t="s">
        <v>59</v>
      </c>
      <c r="I48" s="41"/>
      <c r="J48" s="33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48" s="33" t="str">
        <f t="shared" ca="1" si="5"/>
        <v>—</v>
      </c>
      <c r="L48" s="50"/>
    </row>
    <row r="49" spans="1:12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IF(A49="","",IFERROR(VLOOKUP(A49,DB_Customers!$A:$N,14,0),""))</f>
        <v/>
      </c>
      <c r="D49" s="42" t="str">
        <f t="shared" ca="1" si="3"/>
        <v/>
      </c>
      <c r="E49" s="32"/>
      <c r="F49" s="31"/>
      <c r="G49" s="43" t="str">
        <f t="shared" si="4"/>
        <v/>
      </c>
      <c r="H49" s="30" t="s">
        <v>59</v>
      </c>
      <c r="I49" s="41"/>
      <c r="J49" s="33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49" s="33" t="str">
        <f t="shared" ca="1" si="5"/>
        <v>—</v>
      </c>
      <c r="L49" s="22"/>
    </row>
    <row r="50" spans="1:12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IF(A50="","",IFERROR(VLOOKUP(A50,DB_Customers!$A:$N,14,0),""))</f>
        <v/>
      </c>
      <c r="D50" s="42" t="str">
        <f t="shared" ca="1" si="3"/>
        <v/>
      </c>
      <c r="E50" s="32"/>
      <c r="F50" s="31"/>
      <c r="G50" s="43" t="str">
        <f t="shared" si="4"/>
        <v/>
      </c>
      <c r="H50" s="30" t="s">
        <v>59</v>
      </c>
      <c r="I50" s="41"/>
      <c r="J50" s="33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0" s="33" t="str">
        <f t="shared" ca="1" si="5"/>
        <v>—</v>
      </c>
      <c r="L50" s="50"/>
    </row>
    <row r="51" spans="1:12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IF(A51="","",IFERROR(VLOOKUP(A51,DB_Customers!$A:$N,14,0),""))</f>
        <v/>
      </c>
      <c r="D51" s="42" t="str">
        <f t="shared" ca="1" si="3"/>
        <v/>
      </c>
      <c r="E51" s="32"/>
      <c r="F51" s="31"/>
      <c r="G51" s="43" t="str">
        <f t="shared" si="4"/>
        <v/>
      </c>
      <c r="H51" s="30" t="s">
        <v>59</v>
      </c>
      <c r="I51" s="41"/>
      <c r="J51" s="33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1" s="33" t="str">
        <f t="shared" ca="1" si="5"/>
        <v>—</v>
      </c>
      <c r="L51" s="22"/>
    </row>
    <row r="52" spans="1:12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IF(A52="","",IFERROR(VLOOKUP(A52,DB_Customers!$A:$N,14,0),""))</f>
        <v/>
      </c>
      <c r="D52" s="42" t="str">
        <f t="shared" ca="1" si="3"/>
        <v/>
      </c>
      <c r="E52" s="32"/>
      <c r="F52" s="31"/>
      <c r="G52" s="43" t="str">
        <f t="shared" si="4"/>
        <v/>
      </c>
      <c r="H52" s="30" t="s">
        <v>59</v>
      </c>
      <c r="I52" s="41"/>
      <c r="J52" s="33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2" s="33" t="str">
        <f t="shared" ca="1" si="5"/>
        <v>—</v>
      </c>
      <c r="L52" s="50"/>
    </row>
    <row r="53" spans="1:12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IF(A53="","",IFERROR(VLOOKUP(A53,DB_Customers!$A:$N,14,0),""))</f>
        <v/>
      </c>
      <c r="D53" s="42" t="str">
        <f t="shared" ca="1" si="3"/>
        <v/>
      </c>
      <c r="E53" s="32"/>
      <c r="F53" s="31"/>
      <c r="G53" s="43" t="str">
        <f t="shared" si="4"/>
        <v/>
      </c>
      <c r="H53" s="30" t="s">
        <v>59</v>
      </c>
      <c r="I53" s="41"/>
      <c r="J53" s="33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3" s="33" t="str">
        <f t="shared" ca="1" si="5"/>
        <v>—</v>
      </c>
      <c r="L53" s="22"/>
    </row>
    <row r="54" spans="1:12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IF(A54="","",IFERROR(VLOOKUP(A54,DB_Customers!$A:$N,14,0),""))</f>
        <v/>
      </c>
      <c r="D54" s="42" t="str">
        <f t="shared" ca="1" si="3"/>
        <v/>
      </c>
      <c r="E54" s="32"/>
      <c r="F54" s="31"/>
      <c r="G54" s="43" t="str">
        <f t="shared" si="4"/>
        <v/>
      </c>
      <c r="H54" s="30" t="s">
        <v>59</v>
      </c>
      <c r="I54" s="41"/>
      <c r="J54" s="33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4" s="33" t="str">
        <f t="shared" ca="1" si="5"/>
        <v>—</v>
      </c>
      <c r="L54" s="50"/>
    </row>
    <row r="55" spans="1:12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IF(A55="","",IFERROR(VLOOKUP(A55,DB_Customers!$A:$N,14,0),""))</f>
        <v/>
      </c>
      <c r="D55" s="42" t="str">
        <f t="shared" ca="1" si="3"/>
        <v/>
      </c>
      <c r="E55" s="32"/>
      <c r="F55" s="31"/>
      <c r="G55" s="43" t="str">
        <f t="shared" si="4"/>
        <v/>
      </c>
      <c r="H55" s="30" t="s">
        <v>59</v>
      </c>
      <c r="I55" s="41"/>
      <c r="J55" s="33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5" s="33" t="str">
        <f t="shared" ca="1" si="5"/>
        <v>—</v>
      </c>
      <c r="L55" s="22"/>
    </row>
    <row r="56" spans="1:12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IF(A56="","",IFERROR(VLOOKUP(A56,DB_Customers!$A:$N,14,0),""))</f>
        <v/>
      </c>
      <c r="D56" s="42" t="str">
        <f t="shared" ca="1" si="3"/>
        <v/>
      </c>
      <c r="E56" s="32"/>
      <c r="F56" s="31"/>
      <c r="G56" s="43" t="str">
        <f t="shared" si="4"/>
        <v/>
      </c>
      <c r="H56" s="30" t="s">
        <v>59</v>
      </c>
      <c r="I56" s="41"/>
      <c r="J56" s="33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6" s="33" t="str">
        <f t="shared" ca="1" si="5"/>
        <v>—</v>
      </c>
      <c r="L56" s="50"/>
    </row>
    <row r="57" spans="1:12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IF(A57="","",IFERROR(VLOOKUP(A57,DB_Customers!$A:$N,14,0),""))</f>
        <v/>
      </c>
      <c r="D57" s="42" t="str">
        <f t="shared" ca="1" si="3"/>
        <v/>
      </c>
      <c r="E57" s="32"/>
      <c r="F57" s="31"/>
      <c r="G57" s="43" t="str">
        <f t="shared" si="4"/>
        <v/>
      </c>
      <c r="H57" s="30" t="s">
        <v>59</v>
      </c>
      <c r="I57" s="41"/>
      <c r="J57" s="33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7" s="33" t="str">
        <f t="shared" ca="1" si="5"/>
        <v>—</v>
      </c>
      <c r="L57" s="22"/>
    </row>
    <row r="58" spans="1:12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IF(A58="","",IFERROR(VLOOKUP(A58,DB_Customers!$A:$N,14,0),""))</f>
        <v/>
      </c>
      <c r="D58" s="42" t="str">
        <f t="shared" ca="1" si="3"/>
        <v/>
      </c>
      <c r="E58" s="32"/>
      <c r="F58" s="31"/>
      <c r="G58" s="43" t="str">
        <f t="shared" si="4"/>
        <v/>
      </c>
      <c r="H58" s="30" t="s">
        <v>59</v>
      </c>
      <c r="I58" s="41"/>
      <c r="J58" s="33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58" s="33" t="str">
        <f t="shared" ca="1" si="5"/>
        <v>—</v>
      </c>
      <c r="L58" s="50"/>
    </row>
    <row r="59" spans="1:12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IF(A59="","",IFERROR(VLOOKUP(A59,DB_Customers!$A:$N,14,0),""))</f>
        <v/>
      </c>
      <c r="D59" s="42" t="str">
        <f t="shared" ca="1" si="3"/>
        <v/>
      </c>
      <c r="E59" s="32"/>
      <c r="F59" s="31"/>
      <c r="G59" s="43" t="str">
        <f t="shared" si="4"/>
        <v/>
      </c>
      <c r="H59" s="30" t="s">
        <v>59</v>
      </c>
      <c r="I59" s="41"/>
      <c r="J59" s="33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59" s="33" t="str">
        <f t="shared" ca="1" si="5"/>
        <v>—</v>
      </c>
      <c r="L59" s="22"/>
    </row>
    <row r="60" spans="1:12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IF(A60="","",IFERROR(VLOOKUP(A60,DB_Customers!$A:$N,14,0),""))</f>
        <v/>
      </c>
      <c r="D60" s="42" t="str">
        <f t="shared" ca="1" si="3"/>
        <v/>
      </c>
      <c r="E60" s="32"/>
      <c r="F60" s="31"/>
      <c r="G60" s="43" t="str">
        <f t="shared" si="4"/>
        <v/>
      </c>
      <c r="H60" s="30" t="s">
        <v>59</v>
      </c>
      <c r="I60" s="41"/>
      <c r="J60" s="33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0" s="33" t="str">
        <f t="shared" ca="1" si="5"/>
        <v>—</v>
      </c>
      <c r="L60" s="50"/>
    </row>
    <row r="61" spans="1:12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IF(A61="","",IFERROR(VLOOKUP(A61,DB_Customers!$A:$N,14,0),""))</f>
        <v/>
      </c>
      <c r="D61" s="42" t="str">
        <f t="shared" ca="1" si="3"/>
        <v/>
      </c>
      <c r="E61" s="32"/>
      <c r="F61" s="31"/>
      <c r="G61" s="43" t="str">
        <f t="shared" si="4"/>
        <v/>
      </c>
      <c r="H61" s="30" t="s">
        <v>59</v>
      </c>
      <c r="I61" s="41"/>
      <c r="J61" s="33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1" s="33" t="str">
        <f t="shared" ca="1" si="5"/>
        <v>—</v>
      </c>
      <c r="L61" s="22"/>
    </row>
    <row r="62" spans="1:12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IF(A62="","",IFERROR(VLOOKUP(A62,DB_Customers!$A:$N,14,0),""))</f>
        <v/>
      </c>
      <c r="D62" s="42" t="str">
        <f t="shared" ca="1" si="3"/>
        <v/>
      </c>
      <c r="E62" s="32"/>
      <c r="F62" s="31"/>
      <c r="G62" s="43" t="str">
        <f t="shared" si="4"/>
        <v/>
      </c>
      <c r="H62" s="30" t="s">
        <v>59</v>
      </c>
      <c r="I62" s="41"/>
      <c r="J62" s="33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2" s="33" t="str">
        <f t="shared" ca="1" si="5"/>
        <v>—</v>
      </c>
      <c r="L62" s="50"/>
    </row>
    <row r="63" spans="1:12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IF(A63="","",IFERROR(VLOOKUP(A63,DB_Customers!$A:$N,14,0),""))</f>
        <v/>
      </c>
      <c r="D63" s="42" t="str">
        <f t="shared" ca="1" si="3"/>
        <v/>
      </c>
      <c r="E63" s="32"/>
      <c r="F63" s="31"/>
      <c r="G63" s="43" t="str">
        <f t="shared" si="4"/>
        <v/>
      </c>
      <c r="H63" s="30" t="s">
        <v>59</v>
      </c>
      <c r="I63" s="41"/>
      <c r="J63" s="33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3" s="33" t="str">
        <f t="shared" ca="1" si="5"/>
        <v>—</v>
      </c>
      <c r="L63" s="22"/>
    </row>
    <row r="64" spans="1:12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IF(A64="","",IFERROR(VLOOKUP(A64,DB_Customers!$A:$N,14,0),""))</f>
        <v/>
      </c>
      <c r="D64" s="42" t="str">
        <f t="shared" ca="1" si="3"/>
        <v/>
      </c>
      <c r="E64" s="32"/>
      <c r="F64" s="31"/>
      <c r="G64" s="43" t="str">
        <f t="shared" si="4"/>
        <v/>
      </c>
      <c r="H64" s="30" t="s">
        <v>59</v>
      </c>
      <c r="I64" s="41"/>
      <c r="J64" s="33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4" s="33" t="str">
        <f t="shared" ca="1" si="5"/>
        <v>—</v>
      </c>
      <c r="L64" s="50"/>
    </row>
    <row r="65" spans="1:12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IF(A65="","",IFERROR(VLOOKUP(A65,DB_Customers!$A:$N,14,0),""))</f>
        <v/>
      </c>
      <c r="D65" s="42" t="str">
        <f t="shared" ca="1" si="3"/>
        <v/>
      </c>
      <c r="E65" s="32"/>
      <c r="F65" s="31"/>
      <c r="G65" s="43" t="str">
        <f t="shared" si="4"/>
        <v/>
      </c>
      <c r="H65" s="30" t="s">
        <v>59</v>
      </c>
      <c r="I65" s="41"/>
      <c r="J65" s="33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5" s="33" t="str">
        <f t="shared" ca="1" si="5"/>
        <v>—</v>
      </c>
      <c r="L65" s="22"/>
    </row>
    <row r="66" spans="1:12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IF(A66="","",IFERROR(VLOOKUP(A66,DB_Customers!$A:$N,14,0),""))</f>
        <v/>
      </c>
      <c r="D66" s="42" t="str">
        <f t="shared" ca="1" si="3"/>
        <v/>
      </c>
      <c r="E66" s="32"/>
      <c r="F66" s="31"/>
      <c r="G66" s="43" t="str">
        <f t="shared" si="4"/>
        <v/>
      </c>
      <c r="H66" s="30" t="s">
        <v>59</v>
      </c>
      <c r="I66" s="41"/>
      <c r="J66" s="33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6" s="33" t="str">
        <f t="shared" ca="1" si="5"/>
        <v>—</v>
      </c>
      <c r="L66" s="50"/>
    </row>
    <row r="67" spans="1:12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IF(A67="","",IFERROR(VLOOKUP(A67,DB_Customers!$A:$N,14,0),""))</f>
        <v/>
      </c>
      <c r="D67" s="42" t="str">
        <f t="shared" ca="1" si="3"/>
        <v/>
      </c>
      <c r="E67" s="32"/>
      <c r="F67" s="31"/>
      <c r="G67" s="43" t="str">
        <f t="shared" si="4"/>
        <v/>
      </c>
      <c r="H67" s="30" t="s">
        <v>59</v>
      </c>
      <c r="I67" s="41"/>
      <c r="J67" s="33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7" s="33" t="str">
        <f t="shared" ca="1" si="5"/>
        <v>—</v>
      </c>
      <c r="L67" s="22"/>
    </row>
    <row r="68" spans="1:12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IF(A68="","",IFERROR(VLOOKUP(A68,DB_Customers!$A:$N,14,0),""))</f>
        <v/>
      </c>
      <c r="D68" s="42" t="str">
        <f t="shared" ca="1" si="3"/>
        <v/>
      </c>
      <c r="E68" s="32"/>
      <c r="F68" s="31"/>
      <c r="G68" s="43" t="str">
        <f t="shared" si="4"/>
        <v/>
      </c>
      <c r="H68" s="30" t="s">
        <v>59</v>
      </c>
      <c r="I68" s="41"/>
      <c r="J68" s="33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68" s="33" t="str">
        <f t="shared" ca="1" si="5"/>
        <v>—</v>
      </c>
      <c r="L68" s="50"/>
    </row>
    <row r="69" spans="1:12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IF(A69="","",IFERROR(VLOOKUP(A69,DB_Customers!$A:$N,14,0),""))</f>
        <v/>
      </c>
      <c r="D69" s="42" t="str">
        <f t="shared" ca="1" si="3"/>
        <v/>
      </c>
      <c r="E69" s="32"/>
      <c r="F69" s="31"/>
      <c r="G69" s="43" t="str">
        <f t="shared" si="4"/>
        <v/>
      </c>
      <c r="H69" s="30" t="s">
        <v>59</v>
      </c>
      <c r="I69" s="41"/>
      <c r="J69" s="33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69" s="33" t="str">
        <f t="shared" ca="1" si="5"/>
        <v>—</v>
      </c>
      <c r="L69" s="22"/>
    </row>
    <row r="70" spans="1:12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IF(A70="","",IFERROR(VLOOKUP(A70,DB_Customers!$A:$N,14,0),""))</f>
        <v/>
      </c>
      <c r="D70" s="42" t="str">
        <f t="shared" ca="1" si="3"/>
        <v/>
      </c>
      <c r="E70" s="32"/>
      <c r="F70" s="31"/>
      <c r="G70" s="43" t="str">
        <f t="shared" si="4"/>
        <v/>
      </c>
      <c r="H70" s="30" t="s">
        <v>59</v>
      </c>
      <c r="I70" s="41"/>
      <c r="J70" s="33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0" s="33" t="str">
        <f t="shared" ca="1" si="5"/>
        <v>—</v>
      </c>
      <c r="L70" s="50"/>
    </row>
    <row r="71" spans="1:12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IF(A71="","",IFERROR(VLOOKUP(A71,DB_Customers!$A:$N,14,0),""))</f>
        <v/>
      </c>
      <c r="D71" s="42" t="str">
        <f t="shared" ca="1" si="3"/>
        <v/>
      </c>
      <c r="E71" s="32"/>
      <c r="F71" s="31"/>
      <c r="G71" s="43" t="str">
        <f t="shared" si="4"/>
        <v/>
      </c>
      <c r="H71" s="30" t="s">
        <v>59</v>
      </c>
      <c r="I71" s="41"/>
      <c r="J71" s="33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1" s="33" t="str">
        <f t="shared" ca="1" si="5"/>
        <v>—</v>
      </c>
      <c r="L71" s="22"/>
    </row>
    <row r="72" spans="1:12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IF(A72="","",IFERROR(VLOOKUP(A72,DB_Customers!$A:$N,14,0),""))</f>
        <v/>
      </c>
      <c r="D72" s="42" t="str">
        <f t="shared" ca="1" si="3"/>
        <v/>
      </c>
      <c r="E72" s="32"/>
      <c r="F72" s="31"/>
      <c r="G72" s="43" t="str">
        <f t="shared" si="4"/>
        <v/>
      </c>
      <c r="H72" s="30" t="s">
        <v>59</v>
      </c>
      <c r="I72" s="41"/>
      <c r="J72" s="33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2" s="33" t="str">
        <f t="shared" ca="1" si="5"/>
        <v>—</v>
      </c>
      <c r="L72" s="50"/>
    </row>
    <row r="73" spans="1:12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IF(A73="","",IFERROR(VLOOKUP(A73,DB_Customers!$A:$N,14,0),""))</f>
        <v/>
      </c>
      <c r="D73" s="42" t="str">
        <f t="shared" ref="D73:D104" ca="1" si="6">IF(A73="","",TODAY())</f>
        <v/>
      </c>
      <c r="E73" s="32"/>
      <c r="F73" s="31"/>
      <c r="G73" s="43" t="str">
        <f t="shared" ref="G73:G104" si="7">IFERROR(IF(OR(A73="",E73=""),"",C73-E73),"")</f>
        <v/>
      </c>
      <c r="H73" s="30" t="s">
        <v>59</v>
      </c>
      <c r="I73" s="41"/>
      <c r="J73" s="33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3" s="33" t="str">
        <f t="shared" ref="K73:K104" ca="1" si="8">IF(J73="✅ Successful",TEXT(TODAY(),"YYYY-MM-DD")&amp;" Auto","—")</f>
        <v>—</v>
      </c>
      <c r="L73" s="22"/>
    </row>
    <row r="74" spans="1:12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IF(A74="","",IFERROR(VLOOKUP(A74,DB_Customers!$A:$N,14,0),""))</f>
        <v/>
      </c>
      <c r="D74" s="42" t="str">
        <f t="shared" ca="1" si="6"/>
        <v/>
      </c>
      <c r="E74" s="32"/>
      <c r="F74" s="31"/>
      <c r="G74" s="43" t="str">
        <f t="shared" si="7"/>
        <v/>
      </c>
      <c r="H74" s="30" t="s">
        <v>59</v>
      </c>
      <c r="I74" s="41"/>
      <c r="J74" s="33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4" s="33" t="str">
        <f t="shared" ca="1" si="8"/>
        <v>—</v>
      </c>
      <c r="L74" s="50"/>
    </row>
    <row r="75" spans="1:12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IF(A75="","",IFERROR(VLOOKUP(A75,DB_Customers!$A:$N,14,0),""))</f>
        <v/>
      </c>
      <c r="D75" s="42" t="str">
        <f t="shared" ca="1" si="6"/>
        <v/>
      </c>
      <c r="E75" s="32"/>
      <c r="F75" s="31"/>
      <c r="G75" s="43" t="str">
        <f t="shared" si="7"/>
        <v/>
      </c>
      <c r="H75" s="30" t="s">
        <v>59</v>
      </c>
      <c r="I75" s="41"/>
      <c r="J75" s="33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5" s="33" t="str">
        <f t="shared" ca="1" si="8"/>
        <v>—</v>
      </c>
      <c r="L75" s="22"/>
    </row>
    <row r="76" spans="1:12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IF(A76="","",IFERROR(VLOOKUP(A76,DB_Customers!$A:$N,14,0),""))</f>
        <v/>
      </c>
      <c r="D76" s="42" t="str">
        <f t="shared" ca="1" si="6"/>
        <v/>
      </c>
      <c r="E76" s="32"/>
      <c r="F76" s="31"/>
      <c r="G76" s="43" t="str">
        <f t="shared" si="7"/>
        <v/>
      </c>
      <c r="H76" s="30" t="s">
        <v>59</v>
      </c>
      <c r="I76" s="41"/>
      <c r="J76" s="33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6" s="33" t="str">
        <f t="shared" ca="1" si="8"/>
        <v>—</v>
      </c>
      <c r="L76" s="50"/>
    </row>
    <row r="77" spans="1:12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IF(A77="","",IFERROR(VLOOKUP(A77,DB_Customers!$A:$N,14,0),""))</f>
        <v/>
      </c>
      <c r="D77" s="42" t="str">
        <f t="shared" ca="1" si="6"/>
        <v/>
      </c>
      <c r="E77" s="32"/>
      <c r="F77" s="31"/>
      <c r="G77" s="43" t="str">
        <f t="shared" si="7"/>
        <v/>
      </c>
      <c r="H77" s="30" t="s">
        <v>59</v>
      </c>
      <c r="I77" s="41"/>
      <c r="J77" s="33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7" s="33" t="str">
        <f t="shared" ca="1" si="8"/>
        <v>—</v>
      </c>
      <c r="L77" s="22"/>
    </row>
    <row r="78" spans="1:12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IF(A78="","",IFERROR(VLOOKUP(A78,DB_Customers!$A:$N,14,0),""))</f>
        <v/>
      </c>
      <c r="D78" s="42" t="str">
        <f t="shared" ca="1" si="6"/>
        <v/>
      </c>
      <c r="E78" s="32"/>
      <c r="F78" s="31"/>
      <c r="G78" s="43" t="str">
        <f t="shared" si="7"/>
        <v/>
      </c>
      <c r="H78" s="30" t="s">
        <v>59</v>
      </c>
      <c r="I78" s="41"/>
      <c r="J78" s="33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78" s="33" t="str">
        <f t="shared" ca="1" si="8"/>
        <v>—</v>
      </c>
      <c r="L78" s="50"/>
    </row>
    <row r="79" spans="1:12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IF(A79="","",IFERROR(VLOOKUP(A79,DB_Customers!$A:$N,14,0),""))</f>
        <v/>
      </c>
      <c r="D79" s="42" t="str">
        <f t="shared" ca="1" si="6"/>
        <v/>
      </c>
      <c r="E79" s="32"/>
      <c r="F79" s="31"/>
      <c r="G79" s="43" t="str">
        <f t="shared" si="7"/>
        <v/>
      </c>
      <c r="H79" s="30" t="s">
        <v>59</v>
      </c>
      <c r="I79" s="41"/>
      <c r="J79" s="33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79" s="33" t="str">
        <f t="shared" ca="1" si="8"/>
        <v>—</v>
      </c>
      <c r="L79" s="22"/>
    </row>
    <row r="80" spans="1:12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IF(A80="","",IFERROR(VLOOKUP(A80,DB_Customers!$A:$N,14,0),""))</f>
        <v/>
      </c>
      <c r="D80" s="42" t="str">
        <f t="shared" ca="1" si="6"/>
        <v/>
      </c>
      <c r="E80" s="32"/>
      <c r="F80" s="31"/>
      <c r="G80" s="43" t="str">
        <f t="shared" si="7"/>
        <v/>
      </c>
      <c r="H80" s="30" t="s">
        <v>59</v>
      </c>
      <c r="I80" s="41"/>
      <c r="J80" s="33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0" s="33" t="str">
        <f t="shared" ca="1" si="8"/>
        <v>—</v>
      </c>
      <c r="L80" s="50"/>
    </row>
    <row r="81" spans="1:12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IF(A81="","",IFERROR(VLOOKUP(A81,DB_Customers!$A:$N,14,0),""))</f>
        <v/>
      </c>
      <c r="D81" s="42" t="str">
        <f t="shared" ca="1" si="6"/>
        <v/>
      </c>
      <c r="E81" s="32"/>
      <c r="F81" s="31"/>
      <c r="G81" s="43" t="str">
        <f t="shared" si="7"/>
        <v/>
      </c>
      <c r="H81" s="30" t="s">
        <v>59</v>
      </c>
      <c r="I81" s="41"/>
      <c r="J81" s="33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1" s="33" t="str">
        <f t="shared" ca="1" si="8"/>
        <v>—</v>
      </c>
      <c r="L81" s="22"/>
    </row>
    <row r="82" spans="1:12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IF(A82="","",IFERROR(VLOOKUP(A82,DB_Customers!$A:$N,14,0),""))</f>
        <v/>
      </c>
      <c r="D82" s="42" t="str">
        <f t="shared" ca="1" si="6"/>
        <v/>
      </c>
      <c r="E82" s="32"/>
      <c r="F82" s="31"/>
      <c r="G82" s="43" t="str">
        <f t="shared" si="7"/>
        <v/>
      </c>
      <c r="H82" s="30" t="s">
        <v>59</v>
      </c>
      <c r="I82" s="41"/>
      <c r="J82" s="33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2" s="33" t="str">
        <f t="shared" ca="1" si="8"/>
        <v>—</v>
      </c>
      <c r="L82" s="50"/>
    </row>
    <row r="83" spans="1:12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IF(A83="","",IFERROR(VLOOKUP(A83,DB_Customers!$A:$N,14,0),""))</f>
        <v/>
      </c>
      <c r="D83" s="42" t="str">
        <f t="shared" ca="1" si="6"/>
        <v/>
      </c>
      <c r="E83" s="32"/>
      <c r="F83" s="31"/>
      <c r="G83" s="43" t="str">
        <f t="shared" si="7"/>
        <v/>
      </c>
      <c r="H83" s="30" t="s">
        <v>59</v>
      </c>
      <c r="I83" s="41"/>
      <c r="J83" s="33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3" s="33" t="str">
        <f t="shared" ca="1" si="8"/>
        <v>—</v>
      </c>
      <c r="L83" s="22"/>
    </row>
    <row r="84" spans="1:12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IF(A84="","",IFERROR(VLOOKUP(A84,DB_Customers!$A:$N,14,0),""))</f>
        <v/>
      </c>
      <c r="D84" s="42" t="str">
        <f t="shared" ca="1" si="6"/>
        <v/>
      </c>
      <c r="E84" s="32"/>
      <c r="F84" s="31"/>
      <c r="G84" s="43" t="str">
        <f t="shared" si="7"/>
        <v/>
      </c>
      <c r="H84" s="30" t="s">
        <v>59</v>
      </c>
      <c r="I84" s="41"/>
      <c r="J84" s="33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4" s="33" t="str">
        <f t="shared" ca="1" si="8"/>
        <v>—</v>
      </c>
      <c r="L84" s="50"/>
    </row>
    <row r="85" spans="1:12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IF(A85="","",IFERROR(VLOOKUP(A85,DB_Customers!$A:$N,14,0),""))</f>
        <v/>
      </c>
      <c r="D85" s="42" t="str">
        <f t="shared" ca="1" si="6"/>
        <v/>
      </c>
      <c r="E85" s="32"/>
      <c r="F85" s="31"/>
      <c r="G85" s="43" t="str">
        <f t="shared" si="7"/>
        <v/>
      </c>
      <c r="H85" s="30" t="s">
        <v>59</v>
      </c>
      <c r="I85" s="41"/>
      <c r="J85" s="33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5" s="33" t="str">
        <f t="shared" ca="1" si="8"/>
        <v>—</v>
      </c>
      <c r="L85" s="22"/>
    </row>
    <row r="86" spans="1:12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IF(A86="","",IFERROR(VLOOKUP(A86,DB_Customers!$A:$N,14,0),""))</f>
        <v/>
      </c>
      <c r="D86" s="42" t="str">
        <f t="shared" ca="1" si="6"/>
        <v/>
      </c>
      <c r="E86" s="32"/>
      <c r="F86" s="31"/>
      <c r="G86" s="43" t="str">
        <f t="shared" si="7"/>
        <v/>
      </c>
      <c r="H86" s="30" t="s">
        <v>59</v>
      </c>
      <c r="I86" s="41"/>
      <c r="J86" s="33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6" s="33" t="str">
        <f t="shared" ca="1" si="8"/>
        <v>—</v>
      </c>
      <c r="L86" s="50"/>
    </row>
    <row r="87" spans="1:12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IF(A87="","",IFERROR(VLOOKUP(A87,DB_Customers!$A:$N,14,0),""))</f>
        <v/>
      </c>
      <c r="D87" s="42" t="str">
        <f t="shared" ca="1" si="6"/>
        <v/>
      </c>
      <c r="E87" s="32"/>
      <c r="F87" s="31"/>
      <c r="G87" s="43" t="str">
        <f t="shared" si="7"/>
        <v/>
      </c>
      <c r="H87" s="30" t="s">
        <v>59</v>
      </c>
      <c r="I87" s="41"/>
      <c r="J87" s="33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7" s="33" t="str">
        <f t="shared" ca="1" si="8"/>
        <v>—</v>
      </c>
      <c r="L87" s="22"/>
    </row>
    <row r="88" spans="1:12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IF(A88="","",IFERROR(VLOOKUP(A88,DB_Customers!$A:$N,14,0),""))</f>
        <v/>
      </c>
      <c r="D88" s="42" t="str">
        <f t="shared" ca="1" si="6"/>
        <v/>
      </c>
      <c r="E88" s="32"/>
      <c r="F88" s="31"/>
      <c r="G88" s="43" t="str">
        <f t="shared" si="7"/>
        <v/>
      </c>
      <c r="H88" s="30" t="s">
        <v>59</v>
      </c>
      <c r="I88" s="41"/>
      <c r="J88" s="33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88" s="33" t="str">
        <f t="shared" ca="1" si="8"/>
        <v>—</v>
      </c>
      <c r="L88" s="50"/>
    </row>
    <row r="89" spans="1:12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IF(A89="","",IFERROR(VLOOKUP(A89,DB_Customers!$A:$N,14,0),""))</f>
        <v/>
      </c>
      <c r="D89" s="42" t="str">
        <f t="shared" ca="1" si="6"/>
        <v/>
      </c>
      <c r="E89" s="32"/>
      <c r="F89" s="31"/>
      <c r="G89" s="43" t="str">
        <f t="shared" si="7"/>
        <v/>
      </c>
      <c r="H89" s="30" t="s">
        <v>59</v>
      </c>
      <c r="I89" s="41"/>
      <c r="J89" s="33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89" s="33" t="str">
        <f t="shared" ca="1" si="8"/>
        <v>—</v>
      </c>
      <c r="L89" s="22"/>
    </row>
    <row r="90" spans="1:12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IF(A90="","",IFERROR(VLOOKUP(A90,DB_Customers!$A:$N,14,0),""))</f>
        <v/>
      </c>
      <c r="D90" s="42" t="str">
        <f t="shared" ca="1" si="6"/>
        <v/>
      </c>
      <c r="E90" s="32"/>
      <c r="F90" s="31"/>
      <c r="G90" s="43" t="str">
        <f t="shared" si="7"/>
        <v/>
      </c>
      <c r="H90" s="30" t="s">
        <v>59</v>
      </c>
      <c r="I90" s="41"/>
      <c r="J90" s="33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0" s="33" t="str">
        <f t="shared" ca="1" si="8"/>
        <v>—</v>
      </c>
      <c r="L90" s="50"/>
    </row>
    <row r="91" spans="1:12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IF(A91="","",IFERROR(VLOOKUP(A91,DB_Customers!$A:$N,14,0),""))</f>
        <v/>
      </c>
      <c r="D91" s="42" t="str">
        <f t="shared" ca="1" si="6"/>
        <v/>
      </c>
      <c r="E91" s="32"/>
      <c r="F91" s="31"/>
      <c r="G91" s="43" t="str">
        <f t="shared" si="7"/>
        <v/>
      </c>
      <c r="H91" s="30" t="s">
        <v>59</v>
      </c>
      <c r="I91" s="41"/>
      <c r="J91" s="33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1" s="33" t="str">
        <f t="shared" ca="1" si="8"/>
        <v>—</v>
      </c>
      <c r="L91" s="22"/>
    </row>
    <row r="92" spans="1:12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IF(A92="","",IFERROR(VLOOKUP(A92,DB_Customers!$A:$N,14,0),""))</f>
        <v/>
      </c>
      <c r="D92" s="42" t="str">
        <f t="shared" ca="1" si="6"/>
        <v/>
      </c>
      <c r="E92" s="32"/>
      <c r="F92" s="31"/>
      <c r="G92" s="43" t="str">
        <f t="shared" si="7"/>
        <v/>
      </c>
      <c r="H92" s="30" t="s">
        <v>59</v>
      </c>
      <c r="I92" s="41"/>
      <c r="J92" s="33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2" s="33" t="str">
        <f t="shared" ca="1" si="8"/>
        <v>—</v>
      </c>
      <c r="L92" s="50"/>
    </row>
    <row r="93" spans="1:12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IF(A93="","",IFERROR(VLOOKUP(A93,DB_Customers!$A:$N,14,0),""))</f>
        <v/>
      </c>
      <c r="D93" s="42" t="str">
        <f t="shared" ca="1" si="6"/>
        <v/>
      </c>
      <c r="E93" s="32"/>
      <c r="F93" s="31"/>
      <c r="G93" s="43" t="str">
        <f t="shared" si="7"/>
        <v/>
      </c>
      <c r="H93" s="30" t="s">
        <v>59</v>
      </c>
      <c r="I93" s="41"/>
      <c r="J93" s="33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3" s="33" t="str">
        <f t="shared" ca="1" si="8"/>
        <v>—</v>
      </c>
      <c r="L93" s="22"/>
    </row>
    <row r="94" spans="1:12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IF(A94="","",IFERROR(VLOOKUP(A94,DB_Customers!$A:$N,14,0),""))</f>
        <v/>
      </c>
      <c r="D94" s="42" t="str">
        <f t="shared" ca="1" si="6"/>
        <v/>
      </c>
      <c r="E94" s="32"/>
      <c r="F94" s="31"/>
      <c r="G94" s="43" t="str">
        <f t="shared" si="7"/>
        <v/>
      </c>
      <c r="H94" s="30" t="s">
        <v>59</v>
      </c>
      <c r="I94" s="41"/>
      <c r="J94" s="33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4" s="33" t="str">
        <f t="shared" ca="1" si="8"/>
        <v>—</v>
      </c>
      <c r="L94" s="50"/>
    </row>
    <row r="95" spans="1:12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IF(A95="","",IFERROR(VLOOKUP(A95,DB_Customers!$A:$N,14,0),""))</f>
        <v/>
      </c>
      <c r="D95" s="42" t="str">
        <f t="shared" ca="1" si="6"/>
        <v/>
      </c>
      <c r="E95" s="32"/>
      <c r="F95" s="31"/>
      <c r="G95" s="43" t="str">
        <f t="shared" si="7"/>
        <v/>
      </c>
      <c r="H95" s="30" t="s">
        <v>59</v>
      </c>
      <c r="I95" s="41"/>
      <c r="J95" s="33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5" s="33" t="str">
        <f t="shared" ca="1" si="8"/>
        <v>—</v>
      </c>
      <c r="L95" s="22"/>
    </row>
    <row r="96" spans="1:12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IF(A96="","",IFERROR(VLOOKUP(A96,DB_Customers!$A:$N,14,0),""))</f>
        <v/>
      </c>
      <c r="D96" s="42" t="str">
        <f t="shared" ca="1" si="6"/>
        <v/>
      </c>
      <c r="E96" s="32"/>
      <c r="F96" s="31"/>
      <c r="G96" s="43" t="str">
        <f t="shared" si="7"/>
        <v/>
      </c>
      <c r="H96" s="30" t="s">
        <v>59</v>
      </c>
      <c r="I96" s="41"/>
      <c r="J96" s="33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6" s="33" t="str">
        <f t="shared" ca="1" si="8"/>
        <v>—</v>
      </c>
      <c r="L96" s="50"/>
    </row>
    <row r="97" spans="1:12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IF(A97="","",IFERROR(VLOOKUP(A97,DB_Customers!$A:$N,14,0),""))</f>
        <v/>
      </c>
      <c r="D97" s="42" t="str">
        <f t="shared" ca="1" si="6"/>
        <v/>
      </c>
      <c r="E97" s="32"/>
      <c r="F97" s="31"/>
      <c r="G97" s="43" t="str">
        <f t="shared" si="7"/>
        <v/>
      </c>
      <c r="H97" s="30" t="s">
        <v>59</v>
      </c>
      <c r="I97" s="41"/>
      <c r="J97" s="33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7" s="33" t="str">
        <f t="shared" ca="1" si="8"/>
        <v>—</v>
      </c>
      <c r="L97" s="22"/>
    </row>
    <row r="98" spans="1:12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IF(A98="","",IFERROR(VLOOKUP(A98,DB_Customers!$A:$N,14,0),""))</f>
        <v/>
      </c>
      <c r="D98" s="42" t="str">
        <f t="shared" ca="1" si="6"/>
        <v/>
      </c>
      <c r="E98" s="32"/>
      <c r="F98" s="31"/>
      <c r="G98" s="43" t="str">
        <f t="shared" si="7"/>
        <v/>
      </c>
      <c r="H98" s="30" t="s">
        <v>59</v>
      </c>
      <c r="I98" s="41"/>
      <c r="J98" s="33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98" s="33" t="str">
        <f t="shared" ca="1" si="8"/>
        <v>—</v>
      </c>
      <c r="L98" s="50"/>
    </row>
    <row r="99" spans="1:12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IF(A99="","",IFERROR(VLOOKUP(A99,DB_Customers!$A:$N,14,0),""))</f>
        <v/>
      </c>
      <c r="D99" s="42" t="str">
        <f t="shared" ca="1" si="6"/>
        <v/>
      </c>
      <c r="E99" s="32"/>
      <c r="F99" s="31"/>
      <c r="G99" s="43" t="str">
        <f t="shared" si="7"/>
        <v/>
      </c>
      <c r="H99" s="30" t="s">
        <v>59</v>
      </c>
      <c r="I99" s="41"/>
      <c r="J99" s="33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99" s="33" t="str">
        <f t="shared" ca="1" si="8"/>
        <v>—</v>
      </c>
      <c r="L99" s="22"/>
    </row>
    <row r="100" spans="1:12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IF(A100="","",IFERROR(VLOOKUP(A100,DB_Customers!$A:$N,14,0),""))</f>
        <v/>
      </c>
      <c r="D100" s="42" t="str">
        <f t="shared" ca="1" si="6"/>
        <v/>
      </c>
      <c r="E100" s="32"/>
      <c r="F100" s="31"/>
      <c r="G100" s="43" t="str">
        <f t="shared" si="7"/>
        <v/>
      </c>
      <c r="H100" s="30" t="s">
        <v>59</v>
      </c>
      <c r="I100" s="41"/>
      <c r="J100" s="33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0" s="33" t="str">
        <f t="shared" ca="1" si="8"/>
        <v>—</v>
      </c>
      <c r="L100" s="50"/>
    </row>
    <row r="101" spans="1:12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IF(A101="","",IFERROR(VLOOKUP(A101,DB_Customers!$A:$N,14,0),""))</f>
        <v/>
      </c>
      <c r="D101" s="42" t="str">
        <f t="shared" ca="1" si="6"/>
        <v/>
      </c>
      <c r="E101" s="32"/>
      <c r="F101" s="31"/>
      <c r="G101" s="43" t="str">
        <f t="shared" si="7"/>
        <v/>
      </c>
      <c r="H101" s="30" t="s">
        <v>59</v>
      </c>
      <c r="I101" s="41"/>
      <c r="J101" s="33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1" s="33" t="str">
        <f t="shared" ca="1" si="8"/>
        <v>—</v>
      </c>
      <c r="L101" s="22"/>
    </row>
    <row r="102" spans="1:12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IF(A102="","",IFERROR(VLOOKUP(A102,DB_Customers!$A:$N,14,0),""))</f>
        <v/>
      </c>
      <c r="D102" s="42" t="str">
        <f t="shared" ca="1" si="6"/>
        <v/>
      </c>
      <c r="E102" s="32"/>
      <c r="F102" s="31"/>
      <c r="G102" s="43" t="str">
        <f t="shared" si="7"/>
        <v/>
      </c>
      <c r="H102" s="30" t="s">
        <v>59</v>
      </c>
      <c r="I102" s="41"/>
      <c r="J102" s="33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2" s="33" t="str">
        <f t="shared" ca="1" si="8"/>
        <v>—</v>
      </c>
      <c r="L102" s="50"/>
    </row>
    <row r="103" spans="1:12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IF(A103="","",IFERROR(VLOOKUP(A103,DB_Customers!$A:$N,14,0),""))</f>
        <v/>
      </c>
      <c r="D103" s="42" t="str">
        <f t="shared" ca="1" si="6"/>
        <v/>
      </c>
      <c r="E103" s="32"/>
      <c r="F103" s="31"/>
      <c r="G103" s="43" t="str">
        <f t="shared" si="7"/>
        <v/>
      </c>
      <c r="H103" s="30" t="s">
        <v>59</v>
      </c>
      <c r="I103" s="41"/>
      <c r="J103" s="33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3" s="33" t="str">
        <f t="shared" ca="1" si="8"/>
        <v>—</v>
      </c>
      <c r="L103" s="22"/>
    </row>
    <row r="104" spans="1:12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IF(A104="","",IFERROR(VLOOKUP(A104,DB_Customers!$A:$N,14,0),""))</f>
        <v/>
      </c>
      <c r="D104" s="42" t="str">
        <f t="shared" ca="1" si="6"/>
        <v/>
      </c>
      <c r="E104" s="32"/>
      <c r="F104" s="31"/>
      <c r="G104" s="43" t="str">
        <f t="shared" si="7"/>
        <v/>
      </c>
      <c r="H104" s="30" t="s">
        <v>59</v>
      </c>
      <c r="I104" s="41"/>
      <c r="J104" s="33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4" s="33" t="str">
        <f t="shared" ca="1" si="8"/>
        <v>—</v>
      </c>
      <c r="L104" s="50"/>
    </row>
    <row r="105" spans="1:12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IF(A105="","",IFERROR(VLOOKUP(A105,DB_Customers!$A:$N,14,0),""))</f>
        <v/>
      </c>
      <c r="D105" s="42" t="str">
        <f t="shared" ref="D105:D136" ca="1" si="9">IF(A105="","",TODAY())</f>
        <v/>
      </c>
      <c r="E105" s="32"/>
      <c r="F105" s="31"/>
      <c r="G105" s="43" t="str">
        <f t="shared" ref="G105:G136" si="10">IFERROR(IF(OR(A105="",E105=""),"",C105-E105),"")</f>
        <v/>
      </c>
      <c r="H105" s="30" t="s">
        <v>59</v>
      </c>
      <c r="I105" s="41"/>
      <c r="J105" s="33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5" s="33" t="str">
        <f t="shared" ref="K105:K136" ca="1" si="11">IF(J105="✅ Successful",TEXT(TODAY(),"YYYY-MM-DD")&amp;" Auto","—")</f>
        <v>—</v>
      </c>
      <c r="L105" s="22"/>
    </row>
    <row r="106" spans="1:12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IF(A106="","",IFERROR(VLOOKUP(A106,DB_Customers!$A:$N,14,0),""))</f>
        <v/>
      </c>
      <c r="D106" s="42" t="str">
        <f t="shared" ca="1" si="9"/>
        <v/>
      </c>
      <c r="E106" s="32"/>
      <c r="F106" s="31"/>
      <c r="G106" s="43" t="str">
        <f t="shared" si="10"/>
        <v/>
      </c>
      <c r="H106" s="30" t="s">
        <v>59</v>
      </c>
      <c r="I106" s="41"/>
      <c r="J106" s="33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6" s="33" t="str">
        <f t="shared" ca="1" si="11"/>
        <v>—</v>
      </c>
      <c r="L106" s="50"/>
    </row>
    <row r="107" spans="1:12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IF(A107="","",IFERROR(VLOOKUP(A107,DB_Customers!$A:$N,14,0),""))</f>
        <v/>
      </c>
      <c r="D107" s="42" t="str">
        <f t="shared" ca="1" si="9"/>
        <v/>
      </c>
      <c r="E107" s="32"/>
      <c r="F107" s="31"/>
      <c r="G107" s="43" t="str">
        <f t="shared" si="10"/>
        <v/>
      </c>
      <c r="H107" s="30" t="s">
        <v>59</v>
      </c>
      <c r="I107" s="41"/>
      <c r="J107" s="33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7" s="33" t="str">
        <f t="shared" ca="1" si="11"/>
        <v>—</v>
      </c>
      <c r="L107" s="22"/>
    </row>
    <row r="108" spans="1:12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IF(A108="","",IFERROR(VLOOKUP(A108,DB_Customers!$A:$N,14,0),""))</f>
        <v/>
      </c>
      <c r="D108" s="42" t="str">
        <f t="shared" ca="1" si="9"/>
        <v/>
      </c>
      <c r="E108" s="32"/>
      <c r="F108" s="31"/>
      <c r="G108" s="43" t="str">
        <f t="shared" si="10"/>
        <v/>
      </c>
      <c r="H108" s="30" t="s">
        <v>59</v>
      </c>
      <c r="I108" s="41"/>
      <c r="J108" s="33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08" s="33" t="str">
        <f t="shared" ca="1" si="11"/>
        <v>—</v>
      </c>
      <c r="L108" s="50"/>
    </row>
    <row r="109" spans="1:12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IF(A109="","",IFERROR(VLOOKUP(A109,DB_Customers!$A:$N,14,0),""))</f>
        <v/>
      </c>
      <c r="D109" s="42" t="str">
        <f t="shared" ca="1" si="9"/>
        <v/>
      </c>
      <c r="E109" s="32"/>
      <c r="F109" s="31"/>
      <c r="G109" s="43" t="str">
        <f t="shared" si="10"/>
        <v/>
      </c>
      <c r="H109" s="30" t="s">
        <v>59</v>
      </c>
      <c r="I109" s="41"/>
      <c r="J109" s="33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09" s="33" t="str">
        <f t="shared" ca="1" si="11"/>
        <v>—</v>
      </c>
      <c r="L109" s="22"/>
    </row>
    <row r="110" spans="1:12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IF(A110="","",IFERROR(VLOOKUP(A110,DB_Customers!$A:$N,14,0),""))</f>
        <v/>
      </c>
      <c r="D110" s="42" t="str">
        <f t="shared" ca="1" si="9"/>
        <v/>
      </c>
      <c r="E110" s="32"/>
      <c r="F110" s="31"/>
      <c r="G110" s="43" t="str">
        <f t="shared" si="10"/>
        <v/>
      </c>
      <c r="H110" s="30" t="s">
        <v>59</v>
      </c>
      <c r="I110" s="41"/>
      <c r="J110" s="33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0" s="33" t="str">
        <f t="shared" ca="1" si="11"/>
        <v>—</v>
      </c>
      <c r="L110" s="50"/>
    </row>
    <row r="111" spans="1:12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IF(A111="","",IFERROR(VLOOKUP(A111,DB_Customers!$A:$N,14,0),""))</f>
        <v/>
      </c>
      <c r="D111" s="42" t="str">
        <f t="shared" ca="1" si="9"/>
        <v/>
      </c>
      <c r="E111" s="32"/>
      <c r="F111" s="31"/>
      <c r="G111" s="43" t="str">
        <f t="shared" si="10"/>
        <v/>
      </c>
      <c r="H111" s="30" t="s">
        <v>59</v>
      </c>
      <c r="I111" s="41"/>
      <c r="J111" s="33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1" s="33" t="str">
        <f t="shared" ca="1" si="11"/>
        <v>—</v>
      </c>
      <c r="L111" s="22"/>
    </row>
    <row r="112" spans="1:12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IF(A112="","",IFERROR(VLOOKUP(A112,DB_Customers!$A:$N,14,0),""))</f>
        <v/>
      </c>
      <c r="D112" s="42" t="str">
        <f t="shared" ca="1" si="9"/>
        <v/>
      </c>
      <c r="E112" s="32"/>
      <c r="F112" s="31"/>
      <c r="G112" s="43" t="str">
        <f t="shared" si="10"/>
        <v/>
      </c>
      <c r="H112" s="30" t="s">
        <v>59</v>
      </c>
      <c r="I112" s="41"/>
      <c r="J112" s="33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2" s="33" t="str">
        <f t="shared" ca="1" si="11"/>
        <v>—</v>
      </c>
      <c r="L112" s="50"/>
    </row>
    <row r="113" spans="1:12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IF(A113="","",IFERROR(VLOOKUP(A113,DB_Customers!$A:$N,14,0),""))</f>
        <v/>
      </c>
      <c r="D113" s="42" t="str">
        <f t="shared" ca="1" si="9"/>
        <v/>
      </c>
      <c r="E113" s="32"/>
      <c r="F113" s="31"/>
      <c r="G113" s="43" t="str">
        <f t="shared" si="10"/>
        <v/>
      </c>
      <c r="H113" s="30" t="s">
        <v>59</v>
      </c>
      <c r="I113" s="41"/>
      <c r="J113" s="33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3" s="33" t="str">
        <f t="shared" ca="1" si="11"/>
        <v>—</v>
      </c>
      <c r="L113" s="22"/>
    </row>
    <row r="114" spans="1:12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IF(A114="","",IFERROR(VLOOKUP(A114,DB_Customers!$A:$N,14,0),""))</f>
        <v/>
      </c>
      <c r="D114" s="42" t="str">
        <f t="shared" ca="1" si="9"/>
        <v/>
      </c>
      <c r="E114" s="32"/>
      <c r="F114" s="31"/>
      <c r="G114" s="43" t="str">
        <f t="shared" si="10"/>
        <v/>
      </c>
      <c r="H114" s="30" t="s">
        <v>59</v>
      </c>
      <c r="I114" s="41"/>
      <c r="J114" s="33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4" s="33" t="str">
        <f t="shared" ca="1" si="11"/>
        <v>—</v>
      </c>
      <c r="L114" s="50"/>
    </row>
    <row r="115" spans="1:12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IF(A115="","",IFERROR(VLOOKUP(A115,DB_Customers!$A:$N,14,0),""))</f>
        <v/>
      </c>
      <c r="D115" s="42" t="str">
        <f t="shared" ca="1" si="9"/>
        <v/>
      </c>
      <c r="E115" s="32"/>
      <c r="F115" s="31"/>
      <c r="G115" s="43" t="str">
        <f t="shared" si="10"/>
        <v/>
      </c>
      <c r="H115" s="30" t="s">
        <v>59</v>
      </c>
      <c r="I115" s="41"/>
      <c r="J115" s="33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5" s="33" t="str">
        <f t="shared" ca="1" si="11"/>
        <v>—</v>
      </c>
      <c r="L115" s="22"/>
    </row>
    <row r="116" spans="1:12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IF(A116="","",IFERROR(VLOOKUP(A116,DB_Customers!$A:$N,14,0),""))</f>
        <v/>
      </c>
      <c r="D116" s="42" t="str">
        <f t="shared" ca="1" si="9"/>
        <v/>
      </c>
      <c r="E116" s="32"/>
      <c r="F116" s="31"/>
      <c r="G116" s="43" t="str">
        <f t="shared" si="10"/>
        <v/>
      </c>
      <c r="H116" s="30" t="s">
        <v>59</v>
      </c>
      <c r="I116" s="41"/>
      <c r="J116" s="33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6" s="33" t="str">
        <f t="shared" ca="1" si="11"/>
        <v>—</v>
      </c>
      <c r="L116" s="50"/>
    </row>
    <row r="117" spans="1:12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IF(A117="","",IFERROR(VLOOKUP(A117,DB_Customers!$A:$N,14,0),""))</f>
        <v/>
      </c>
      <c r="D117" s="42" t="str">
        <f t="shared" ca="1" si="9"/>
        <v/>
      </c>
      <c r="E117" s="32"/>
      <c r="F117" s="31"/>
      <c r="G117" s="43" t="str">
        <f t="shared" si="10"/>
        <v/>
      </c>
      <c r="H117" s="30" t="s">
        <v>59</v>
      </c>
      <c r="I117" s="41"/>
      <c r="J117" s="33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7" s="33" t="str">
        <f t="shared" ca="1" si="11"/>
        <v>—</v>
      </c>
      <c r="L117" s="22"/>
    </row>
    <row r="118" spans="1:12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IF(A118="","",IFERROR(VLOOKUP(A118,DB_Customers!$A:$N,14,0),""))</f>
        <v/>
      </c>
      <c r="D118" s="42" t="str">
        <f t="shared" ca="1" si="9"/>
        <v/>
      </c>
      <c r="E118" s="32"/>
      <c r="F118" s="31"/>
      <c r="G118" s="43" t="str">
        <f t="shared" si="10"/>
        <v/>
      </c>
      <c r="H118" s="30" t="s">
        <v>59</v>
      </c>
      <c r="I118" s="41"/>
      <c r="J118" s="33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18" s="33" t="str">
        <f t="shared" ca="1" si="11"/>
        <v>—</v>
      </c>
      <c r="L118" s="50"/>
    </row>
    <row r="119" spans="1:12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IF(A119="","",IFERROR(VLOOKUP(A119,DB_Customers!$A:$N,14,0),""))</f>
        <v/>
      </c>
      <c r="D119" s="42" t="str">
        <f t="shared" ca="1" si="9"/>
        <v/>
      </c>
      <c r="E119" s="32"/>
      <c r="F119" s="31"/>
      <c r="G119" s="43" t="str">
        <f t="shared" si="10"/>
        <v/>
      </c>
      <c r="H119" s="30" t="s">
        <v>59</v>
      </c>
      <c r="I119" s="41"/>
      <c r="J119" s="33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19" s="33" t="str">
        <f t="shared" ca="1" si="11"/>
        <v>—</v>
      </c>
      <c r="L119" s="22"/>
    </row>
    <row r="120" spans="1:12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IF(A120="","",IFERROR(VLOOKUP(A120,DB_Customers!$A:$N,14,0),""))</f>
        <v/>
      </c>
      <c r="D120" s="42" t="str">
        <f t="shared" ca="1" si="9"/>
        <v/>
      </c>
      <c r="E120" s="32"/>
      <c r="F120" s="31"/>
      <c r="G120" s="43" t="str">
        <f t="shared" si="10"/>
        <v/>
      </c>
      <c r="H120" s="30" t="s">
        <v>59</v>
      </c>
      <c r="I120" s="41"/>
      <c r="J120" s="33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0" s="33" t="str">
        <f t="shared" ca="1" si="11"/>
        <v>—</v>
      </c>
      <c r="L120" s="50"/>
    </row>
    <row r="121" spans="1:12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IF(A121="","",IFERROR(VLOOKUP(A121,DB_Customers!$A:$N,14,0),""))</f>
        <v/>
      </c>
      <c r="D121" s="42" t="str">
        <f t="shared" ca="1" si="9"/>
        <v/>
      </c>
      <c r="E121" s="32"/>
      <c r="F121" s="31"/>
      <c r="G121" s="43" t="str">
        <f t="shared" si="10"/>
        <v/>
      </c>
      <c r="H121" s="30" t="s">
        <v>59</v>
      </c>
      <c r="I121" s="41"/>
      <c r="J121" s="33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1" s="33" t="str">
        <f t="shared" ca="1" si="11"/>
        <v>—</v>
      </c>
      <c r="L121" s="22"/>
    </row>
    <row r="122" spans="1:12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IF(A122="","",IFERROR(VLOOKUP(A122,DB_Customers!$A:$N,14,0),""))</f>
        <v/>
      </c>
      <c r="D122" s="42" t="str">
        <f t="shared" ca="1" si="9"/>
        <v/>
      </c>
      <c r="E122" s="32"/>
      <c r="F122" s="31"/>
      <c r="G122" s="43" t="str">
        <f t="shared" si="10"/>
        <v/>
      </c>
      <c r="H122" s="30" t="s">
        <v>59</v>
      </c>
      <c r="I122" s="41"/>
      <c r="J122" s="33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2" s="33" t="str">
        <f t="shared" ca="1" si="11"/>
        <v>—</v>
      </c>
      <c r="L122" s="50"/>
    </row>
    <row r="123" spans="1:12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IF(A123="","",IFERROR(VLOOKUP(A123,DB_Customers!$A:$N,14,0),""))</f>
        <v/>
      </c>
      <c r="D123" s="42" t="str">
        <f t="shared" ca="1" si="9"/>
        <v/>
      </c>
      <c r="E123" s="32"/>
      <c r="F123" s="31"/>
      <c r="G123" s="43" t="str">
        <f t="shared" si="10"/>
        <v/>
      </c>
      <c r="H123" s="30" t="s">
        <v>59</v>
      </c>
      <c r="I123" s="41"/>
      <c r="J123" s="33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3" s="33" t="str">
        <f t="shared" ca="1" si="11"/>
        <v>—</v>
      </c>
      <c r="L123" s="22"/>
    </row>
    <row r="124" spans="1:12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IF(A124="","",IFERROR(VLOOKUP(A124,DB_Customers!$A:$N,14,0),""))</f>
        <v/>
      </c>
      <c r="D124" s="42" t="str">
        <f t="shared" ca="1" si="9"/>
        <v/>
      </c>
      <c r="E124" s="32"/>
      <c r="F124" s="31"/>
      <c r="G124" s="43" t="str">
        <f t="shared" si="10"/>
        <v/>
      </c>
      <c r="H124" s="30" t="s">
        <v>59</v>
      </c>
      <c r="I124" s="41"/>
      <c r="J124" s="33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4" s="33" t="str">
        <f t="shared" ca="1" si="11"/>
        <v>—</v>
      </c>
      <c r="L124" s="50"/>
    </row>
    <row r="125" spans="1:12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IF(A125="","",IFERROR(VLOOKUP(A125,DB_Customers!$A:$N,14,0),""))</f>
        <v/>
      </c>
      <c r="D125" s="42" t="str">
        <f t="shared" ca="1" si="9"/>
        <v/>
      </c>
      <c r="E125" s="32"/>
      <c r="F125" s="31"/>
      <c r="G125" s="43" t="str">
        <f t="shared" si="10"/>
        <v/>
      </c>
      <c r="H125" s="30" t="s">
        <v>59</v>
      </c>
      <c r="I125" s="41"/>
      <c r="J125" s="33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5" s="33" t="str">
        <f t="shared" ca="1" si="11"/>
        <v>—</v>
      </c>
      <c r="L125" s="22"/>
    </row>
    <row r="126" spans="1:12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IF(A126="","",IFERROR(VLOOKUP(A126,DB_Customers!$A:$N,14,0),""))</f>
        <v/>
      </c>
      <c r="D126" s="42" t="str">
        <f t="shared" ca="1" si="9"/>
        <v/>
      </c>
      <c r="E126" s="32"/>
      <c r="F126" s="31"/>
      <c r="G126" s="43" t="str">
        <f t="shared" si="10"/>
        <v/>
      </c>
      <c r="H126" s="30" t="s">
        <v>59</v>
      </c>
      <c r="I126" s="41"/>
      <c r="J126" s="33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6" s="33" t="str">
        <f t="shared" ca="1" si="11"/>
        <v>—</v>
      </c>
      <c r="L126" s="50"/>
    </row>
    <row r="127" spans="1:12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IF(A127="","",IFERROR(VLOOKUP(A127,DB_Customers!$A:$N,14,0),""))</f>
        <v/>
      </c>
      <c r="D127" s="42" t="str">
        <f t="shared" ca="1" si="9"/>
        <v/>
      </c>
      <c r="E127" s="32"/>
      <c r="F127" s="31"/>
      <c r="G127" s="43" t="str">
        <f t="shared" si="10"/>
        <v/>
      </c>
      <c r="H127" s="30" t="s">
        <v>59</v>
      </c>
      <c r="I127" s="41"/>
      <c r="J127" s="33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7" s="33" t="str">
        <f t="shared" ca="1" si="11"/>
        <v>—</v>
      </c>
      <c r="L127" s="22"/>
    </row>
    <row r="128" spans="1:12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IF(A128="","",IFERROR(VLOOKUP(A128,DB_Customers!$A:$N,14,0),""))</f>
        <v/>
      </c>
      <c r="D128" s="42" t="str">
        <f t="shared" ca="1" si="9"/>
        <v/>
      </c>
      <c r="E128" s="32"/>
      <c r="F128" s="31"/>
      <c r="G128" s="43" t="str">
        <f t="shared" si="10"/>
        <v/>
      </c>
      <c r="H128" s="30" t="s">
        <v>59</v>
      </c>
      <c r="I128" s="41"/>
      <c r="J128" s="33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28" s="33" t="str">
        <f t="shared" ca="1" si="11"/>
        <v>—</v>
      </c>
      <c r="L128" s="50"/>
    </row>
    <row r="129" spans="1:12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IF(A129="","",IFERROR(VLOOKUP(A129,DB_Customers!$A:$N,14,0),""))</f>
        <v/>
      </c>
      <c r="D129" s="42" t="str">
        <f t="shared" ca="1" si="9"/>
        <v/>
      </c>
      <c r="E129" s="32"/>
      <c r="F129" s="31"/>
      <c r="G129" s="43" t="str">
        <f t="shared" si="10"/>
        <v/>
      </c>
      <c r="H129" s="30" t="s">
        <v>59</v>
      </c>
      <c r="I129" s="41"/>
      <c r="J129" s="33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29" s="33" t="str">
        <f t="shared" ca="1" si="11"/>
        <v>—</v>
      </c>
      <c r="L129" s="22"/>
    </row>
    <row r="130" spans="1:12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IF(A130="","",IFERROR(VLOOKUP(A130,DB_Customers!$A:$N,14,0),""))</f>
        <v/>
      </c>
      <c r="D130" s="42" t="str">
        <f t="shared" ca="1" si="9"/>
        <v/>
      </c>
      <c r="E130" s="32"/>
      <c r="F130" s="31"/>
      <c r="G130" s="43" t="str">
        <f t="shared" si="10"/>
        <v/>
      </c>
      <c r="H130" s="30" t="s">
        <v>59</v>
      </c>
      <c r="I130" s="41"/>
      <c r="J130" s="33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0" s="33" t="str">
        <f t="shared" ca="1" si="11"/>
        <v>—</v>
      </c>
      <c r="L130" s="50"/>
    </row>
    <row r="131" spans="1:12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IF(A131="","",IFERROR(VLOOKUP(A131,DB_Customers!$A:$N,14,0),""))</f>
        <v/>
      </c>
      <c r="D131" s="42" t="str">
        <f t="shared" ca="1" si="9"/>
        <v/>
      </c>
      <c r="E131" s="32"/>
      <c r="F131" s="31"/>
      <c r="G131" s="43" t="str">
        <f t="shared" si="10"/>
        <v/>
      </c>
      <c r="H131" s="30" t="s">
        <v>59</v>
      </c>
      <c r="I131" s="41"/>
      <c r="J131" s="33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1" s="33" t="str">
        <f t="shared" ca="1" si="11"/>
        <v>—</v>
      </c>
      <c r="L131" s="22"/>
    </row>
    <row r="132" spans="1:12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IF(A132="","",IFERROR(VLOOKUP(A132,DB_Customers!$A:$N,14,0),""))</f>
        <v/>
      </c>
      <c r="D132" s="42" t="str">
        <f t="shared" ca="1" si="9"/>
        <v/>
      </c>
      <c r="E132" s="32"/>
      <c r="F132" s="31"/>
      <c r="G132" s="43" t="str">
        <f t="shared" si="10"/>
        <v/>
      </c>
      <c r="H132" s="30" t="s">
        <v>59</v>
      </c>
      <c r="I132" s="41"/>
      <c r="J132" s="33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2" s="33" t="str">
        <f t="shared" ca="1" si="11"/>
        <v>—</v>
      </c>
      <c r="L132" s="50"/>
    </row>
    <row r="133" spans="1:12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IF(A133="","",IFERROR(VLOOKUP(A133,DB_Customers!$A:$N,14,0),""))</f>
        <v/>
      </c>
      <c r="D133" s="42" t="str">
        <f t="shared" ca="1" si="9"/>
        <v/>
      </c>
      <c r="E133" s="32"/>
      <c r="F133" s="31"/>
      <c r="G133" s="43" t="str">
        <f t="shared" si="10"/>
        <v/>
      </c>
      <c r="H133" s="30" t="s">
        <v>59</v>
      </c>
      <c r="I133" s="41"/>
      <c r="J133" s="33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3" s="33" t="str">
        <f t="shared" ca="1" si="11"/>
        <v>—</v>
      </c>
      <c r="L133" s="22"/>
    </row>
    <row r="134" spans="1:12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IF(A134="","",IFERROR(VLOOKUP(A134,DB_Customers!$A:$N,14,0),""))</f>
        <v/>
      </c>
      <c r="D134" s="42" t="str">
        <f t="shared" ca="1" si="9"/>
        <v/>
      </c>
      <c r="E134" s="32"/>
      <c r="F134" s="31"/>
      <c r="G134" s="43" t="str">
        <f t="shared" si="10"/>
        <v/>
      </c>
      <c r="H134" s="30" t="s">
        <v>59</v>
      </c>
      <c r="I134" s="41"/>
      <c r="J134" s="33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4" s="33" t="str">
        <f t="shared" ca="1" si="11"/>
        <v>—</v>
      </c>
      <c r="L134" s="50"/>
    </row>
    <row r="135" spans="1:12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IF(A135="","",IFERROR(VLOOKUP(A135,DB_Customers!$A:$N,14,0),""))</f>
        <v/>
      </c>
      <c r="D135" s="42" t="str">
        <f t="shared" ca="1" si="9"/>
        <v/>
      </c>
      <c r="E135" s="32"/>
      <c r="F135" s="31"/>
      <c r="G135" s="43" t="str">
        <f t="shared" si="10"/>
        <v/>
      </c>
      <c r="H135" s="30" t="s">
        <v>59</v>
      </c>
      <c r="I135" s="41"/>
      <c r="J135" s="33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5" s="33" t="str">
        <f t="shared" ca="1" si="11"/>
        <v>—</v>
      </c>
      <c r="L135" s="22"/>
    </row>
    <row r="136" spans="1:12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IF(A136="","",IFERROR(VLOOKUP(A136,DB_Customers!$A:$N,14,0),""))</f>
        <v/>
      </c>
      <c r="D136" s="42" t="str">
        <f t="shared" ca="1" si="9"/>
        <v/>
      </c>
      <c r="E136" s="32"/>
      <c r="F136" s="31"/>
      <c r="G136" s="43" t="str">
        <f t="shared" si="10"/>
        <v/>
      </c>
      <c r="H136" s="30" t="s">
        <v>59</v>
      </c>
      <c r="I136" s="41"/>
      <c r="J136" s="33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6" s="33" t="str">
        <f t="shared" ca="1" si="11"/>
        <v>—</v>
      </c>
      <c r="L136" s="50"/>
    </row>
    <row r="137" spans="1:12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IF(A137="","",IFERROR(VLOOKUP(A137,DB_Customers!$A:$N,14,0),""))</f>
        <v/>
      </c>
      <c r="D137" s="42" t="str">
        <f t="shared" ref="D137:D168" ca="1" si="12">IF(A137="","",TODAY())</f>
        <v/>
      </c>
      <c r="E137" s="32"/>
      <c r="F137" s="31"/>
      <c r="G137" s="43" t="str">
        <f t="shared" ref="G137:G168" si="13">IFERROR(IF(OR(A137="",E137=""),"",C137-E137),"")</f>
        <v/>
      </c>
      <c r="H137" s="30" t="s">
        <v>59</v>
      </c>
      <c r="I137" s="41"/>
      <c r="J137" s="33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7" s="33" t="str">
        <f t="shared" ref="K137:K168" ca="1" si="14">IF(J137="✅ Successful",TEXT(TODAY(),"YYYY-MM-DD")&amp;" Auto","—")</f>
        <v>—</v>
      </c>
      <c r="L137" s="22"/>
    </row>
    <row r="138" spans="1:12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IF(A138="","",IFERROR(VLOOKUP(A138,DB_Customers!$A:$N,14,0),""))</f>
        <v/>
      </c>
      <c r="D138" s="42" t="str">
        <f t="shared" ca="1" si="12"/>
        <v/>
      </c>
      <c r="E138" s="32"/>
      <c r="F138" s="31"/>
      <c r="G138" s="43" t="str">
        <f t="shared" si="13"/>
        <v/>
      </c>
      <c r="H138" s="30" t="s">
        <v>59</v>
      </c>
      <c r="I138" s="41"/>
      <c r="J138" s="33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38" s="33" t="str">
        <f t="shared" ca="1" si="14"/>
        <v>—</v>
      </c>
      <c r="L138" s="50"/>
    </row>
    <row r="139" spans="1:12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IF(A139="","",IFERROR(VLOOKUP(A139,DB_Customers!$A:$N,14,0),""))</f>
        <v/>
      </c>
      <c r="D139" s="42" t="str">
        <f t="shared" ca="1" si="12"/>
        <v/>
      </c>
      <c r="E139" s="32"/>
      <c r="F139" s="31"/>
      <c r="G139" s="43" t="str">
        <f t="shared" si="13"/>
        <v/>
      </c>
      <c r="H139" s="30" t="s">
        <v>59</v>
      </c>
      <c r="I139" s="41"/>
      <c r="J139" s="33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39" s="33" t="str">
        <f t="shared" ca="1" si="14"/>
        <v>—</v>
      </c>
      <c r="L139" s="22"/>
    </row>
    <row r="140" spans="1:12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IF(A140="","",IFERROR(VLOOKUP(A140,DB_Customers!$A:$N,14,0),""))</f>
        <v/>
      </c>
      <c r="D140" s="42" t="str">
        <f t="shared" ca="1" si="12"/>
        <v/>
      </c>
      <c r="E140" s="32"/>
      <c r="F140" s="31"/>
      <c r="G140" s="43" t="str">
        <f t="shared" si="13"/>
        <v/>
      </c>
      <c r="H140" s="30" t="s">
        <v>59</v>
      </c>
      <c r="I140" s="41"/>
      <c r="J140" s="33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0" s="33" t="str">
        <f t="shared" ca="1" si="14"/>
        <v>—</v>
      </c>
      <c r="L140" s="50"/>
    </row>
    <row r="141" spans="1:12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IF(A141="","",IFERROR(VLOOKUP(A141,DB_Customers!$A:$N,14,0),""))</f>
        <v/>
      </c>
      <c r="D141" s="42" t="str">
        <f t="shared" ca="1" si="12"/>
        <v/>
      </c>
      <c r="E141" s="32"/>
      <c r="F141" s="31"/>
      <c r="G141" s="43" t="str">
        <f t="shared" si="13"/>
        <v/>
      </c>
      <c r="H141" s="30" t="s">
        <v>59</v>
      </c>
      <c r="I141" s="41"/>
      <c r="J141" s="33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1" s="33" t="str">
        <f t="shared" ca="1" si="14"/>
        <v>—</v>
      </c>
      <c r="L141" s="22"/>
    </row>
    <row r="142" spans="1:12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IF(A142="","",IFERROR(VLOOKUP(A142,DB_Customers!$A:$N,14,0),""))</f>
        <v/>
      </c>
      <c r="D142" s="42" t="str">
        <f t="shared" ca="1" si="12"/>
        <v/>
      </c>
      <c r="E142" s="32"/>
      <c r="F142" s="31"/>
      <c r="G142" s="43" t="str">
        <f t="shared" si="13"/>
        <v/>
      </c>
      <c r="H142" s="30" t="s">
        <v>59</v>
      </c>
      <c r="I142" s="41"/>
      <c r="J142" s="33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2" s="33" t="str">
        <f t="shared" ca="1" si="14"/>
        <v>—</v>
      </c>
      <c r="L142" s="50"/>
    </row>
    <row r="143" spans="1:12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IF(A143="","",IFERROR(VLOOKUP(A143,DB_Customers!$A:$N,14,0),""))</f>
        <v/>
      </c>
      <c r="D143" s="42" t="str">
        <f t="shared" ca="1" si="12"/>
        <v/>
      </c>
      <c r="E143" s="32"/>
      <c r="F143" s="31"/>
      <c r="G143" s="43" t="str">
        <f t="shared" si="13"/>
        <v/>
      </c>
      <c r="H143" s="30" t="s">
        <v>59</v>
      </c>
      <c r="I143" s="41"/>
      <c r="J143" s="33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3" s="33" t="str">
        <f t="shared" ca="1" si="14"/>
        <v>—</v>
      </c>
      <c r="L143" s="22"/>
    </row>
    <row r="144" spans="1:12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IF(A144="","",IFERROR(VLOOKUP(A144,DB_Customers!$A:$N,14,0),""))</f>
        <v/>
      </c>
      <c r="D144" s="42" t="str">
        <f t="shared" ca="1" si="12"/>
        <v/>
      </c>
      <c r="E144" s="32"/>
      <c r="F144" s="31"/>
      <c r="G144" s="43" t="str">
        <f t="shared" si="13"/>
        <v/>
      </c>
      <c r="H144" s="30" t="s">
        <v>59</v>
      </c>
      <c r="I144" s="41"/>
      <c r="J144" s="33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4" s="33" t="str">
        <f t="shared" ca="1" si="14"/>
        <v>—</v>
      </c>
      <c r="L144" s="50"/>
    </row>
    <row r="145" spans="1:12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IF(A145="","",IFERROR(VLOOKUP(A145,DB_Customers!$A:$N,14,0),""))</f>
        <v/>
      </c>
      <c r="D145" s="42" t="str">
        <f t="shared" ca="1" si="12"/>
        <v/>
      </c>
      <c r="E145" s="32"/>
      <c r="F145" s="31"/>
      <c r="G145" s="43" t="str">
        <f t="shared" si="13"/>
        <v/>
      </c>
      <c r="H145" s="30" t="s">
        <v>59</v>
      </c>
      <c r="I145" s="41"/>
      <c r="J145" s="33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5" s="33" t="str">
        <f t="shared" ca="1" si="14"/>
        <v>—</v>
      </c>
      <c r="L145" s="22"/>
    </row>
    <row r="146" spans="1:12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IF(A146="","",IFERROR(VLOOKUP(A146,DB_Customers!$A:$N,14,0),""))</f>
        <v/>
      </c>
      <c r="D146" s="42" t="str">
        <f t="shared" ca="1" si="12"/>
        <v/>
      </c>
      <c r="E146" s="32"/>
      <c r="F146" s="31"/>
      <c r="G146" s="43" t="str">
        <f t="shared" si="13"/>
        <v/>
      </c>
      <c r="H146" s="30" t="s">
        <v>59</v>
      </c>
      <c r="I146" s="41"/>
      <c r="J146" s="33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6" s="33" t="str">
        <f t="shared" ca="1" si="14"/>
        <v>—</v>
      </c>
      <c r="L146" s="50"/>
    </row>
    <row r="147" spans="1:12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IF(A147="","",IFERROR(VLOOKUP(A147,DB_Customers!$A:$N,14,0),""))</f>
        <v/>
      </c>
      <c r="D147" s="42" t="str">
        <f t="shared" ca="1" si="12"/>
        <v/>
      </c>
      <c r="E147" s="32"/>
      <c r="F147" s="31"/>
      <c r="G147" s="43" t="str">
        <f t="shared" si="13"/>
        <v/>
      </c>
      <c r="H147" s="30" t="s">
        <v>59</v>
      </c>
      <c r="I147" s="41"/>
      <c r="J147" s="33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7" s="33" t="str">
        <f t="shared" ca="1" si="14"/>
        <v>—</v>
      </c>
      <c r="L147" s="22"/>
    </row>
    <row r="148" spans="1:12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IF(A148="","",IFERROR(VLOOKUP(A148,DB_Customers!$A:$N,14,0),""))</f>
        <v/>
      </c>
      <c r="D148" s="42" t="str">
        <f t="shared" ca="1" si="12"/>
        <v/>
      </c>
      <c r="E148" s="32"/>
      <c r="F148" s="31"/>
      <c r="G148" s="43" t="str">
        <f t="shared" si="13"/>
        <v/>
      </c>
      <c r="H148" s="30" t="s">
        <v>59</v>
      </c>
      <c r="I148" s="41"/>
      <c r="J148" s="33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48" s="33" t="str">
        <f t="shared" ca="1" si="14"/>
        <v>—</v>
      </c>
      <c r="L148" s="50"/>
    </row>
    <row r="149" spans="1:12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IF(A149="","",IFERROR(VLOOKUP(A149,DB_Customers!$A:$N,14,0),""))</f>
        <v/>
      </c>
      <c r="D149" s="42" t="str">
        <f t="shared" ca="1" si="12"/>
        <v/>
      </c>
      <c r="E149" s="32"/>
      <c r="F149" s="31"/>
      <c r="G149" s="43" t="str">
        <f t="shared" si="13"/>
        <v/>
      </c>
      <c r="H149" s="30" t="s">
        <v>59</v>
      </c>
      <c r="I149" s="41"/>
      <c r="J149" s="33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49" s="33" t="str">
        <f t="shared" ca="1" si="14"/>
        <v>—</v>
      </c>
      <c r="L149" s="22"/>
    </row>
    <row r="150" spans="1:12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IF(A150="","",IFERROR(VLOOKUP(A150,DB_Customers!$A:$N,14,0),""))</f>
        <v/>
      </c>
      <c r="D150" s="42" t="str">
        <f t="shared" ca="1" si="12"/>
        <v/>
      </c>
      <c r="E150" s="32"/>
      <c r="F150" s="31"/>
      <c r="G150" s="43" t="str">
        <f t="shared" si="13"/>
        <v/>
      </c>
      <c r="H150" s="30" t="s">
        <v>59</v>
      </c>
      <c r="I150" s="41"/>
      <c r="J150" s="33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0" s="33" t="str">
        <f t="shared" ca="1" si="14"/>
        <v>—</v>
      </c>
      <c r="L150" s="50"/>
    </row>
    <row r="151" spans="1:12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IF(A151="","",IFERROR(VLOOKUP(A151,DB_Customers!$A:$N,14,0),""))</f>
        <v/>
      </c>
      <c r="D151" s="42" t="str">
        <f t="shared" ca="1" si="12"/>
        <v/>
      </c>
      <c r="E151" s="32"/>
      <c r="F151" s="31"/>
      <c r="G151" s="43" t="str">
        <f t="shared" si="13"/>
        <v/>
      </c>
      <c r="H151" s="30" t="s">
        <v>59</v>
      </c>
      <c r="I151" s="41"/>
      <c r="J151" s="33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1" s="33" t="str">
        <f t="shared" ca="1" si="14"/>
        <v>—</v>
      </c>
      <c r="L151" s="22"/>
    </row>
    <row r="152" spans="1:12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IF(A152="","",IFERROR(VLOOKUP(A152,DB_Customers!$A:$N,14,0),""))</f>
        <v/>
      </c>
      <c r="D152" s="42" t="str">
        <f t="shared" ca="1" si="12"/>
        <v/>
      </c>
      <c r="E152" s="32"/>
      <c r="F152" s="31"/>
      <c r="G152" s="43" t="str">
        <f t="shared" si="13"/>
        <v/>
      </c>
      <c r="H152" s="30" t="s">
        <v>59</v>
      </c>
      <c r="I152" s="41"/>
      <c r="J152" s="33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2" s="33" t="str">
        <f t="shared" ca="1" si="14"/>
        <v>—</v>
      </c>
      <c r="L152" s="50"/>
    </row>
    <row r="153" spans="1:12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IF(A153="","",IFERROR(VLOOKUP(A153,DB_Customers!$A:$N,14,0),""))</f>
        <v/>
      </c>
      <c r="D153" s="42" t="str">
        <f t="shared" ca="1" si="12"/>
        <v/>
      </c>
      <c r="E153" s="32"/>
      <c r="F153" s="31"/>
      <c r="G153" s="43" t="str">
        <f t="shared" si="13"/>
        <v/>
      </c>
      <c r="H153" s="30" t="s">
        <v>59</v>
      </c>
      <c r="I153" s="41"/>
      <c r="J153" s="33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3" s="33" t="str">
        <f t="shared" ca="1" si="14"/>
        <v>—</v>
      </c>
      <c r="L153" s="22"/>
    </row>
    <row r="154" spans="1:12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IF(A154="","",IFERROR(VLOOKUP(A154,DB_Customers!$A:$N,14,0),""))</f>
        <v/>
      </c>
      <c r="D154" s="42" t="str">
        <f t="shared" ca="1" si="12"/>
        <v/>
      </c>
      <c r="E154" s="32"/>
      <c r="F154" s="31"/>
      <c r="G154" s="43" t="str">
        <f t="shared" si="13"/>
        <v/>
      </c>
      <c r="H154" s="30" t="s">
        <v>59</v>
      </c>
      <c r="I154" s="41"/>
      <c r="J154" s="33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4" s="33" t="str">
        <f t="shared" ca="1" si="14"/>
        <v>—</v>
      </c>
      <c r="L154" s="50"/>
    </row>
    <row r="155" spans="1:12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IF(A155="","",IFERROR(VLOOKUP(A155,DB_Customers!$A:$N,14,0),""))</f>
        <v/>
      </c>
      <c r="D155" s="42" t="str">
        <f t="shared" ca="1" si="12"/>
        <v/>
      </c>
      <c r="E155" s="32"/>
      <c r="F155" s="31"/>
      <c r="G155" s="43" t="str">
        <f t="shared" si="13"/>
        <v/>
      </c>
      <c r="H155" s="30" t="s">
        <v>59</v>
      </c>
      <c r="I155" s="41"/>
      <c r="J155" s="33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5" s="33" t="str">
        <f t="shared" ca="1" si="14"/>
        <v>—</v>
      </c>
      <c r="L155" s="22"/>
    </row>
    <row r="156" spans="1:12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IF(A156="","",IFERROR(VLOOKUP(A156,DB_Customers!$A:$N,14,0),""))</f>
        <v/>
      </c>
      <c r="D156" s="42" t="str">
        <f t="shared" ca="1" si="12"/>
        <v/>
      </c>
      <c r="E156" s="32"/>
      <c r="F156" s="31"/>
      <c r="G156" s="43" t="str">
        <f t="shared" si="13"/>
        <v/>
      </c>
      <c r="H156" s="30" t="s">
        <v>59</v>
      </c>
      <c r="I156" s="41"/>
      <c r="J156" s="33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6" s="33" t="str">
        <f t="shared" ca="1" si="14"/>
        <v>—</v>
      </c>
      <c r="L156" s="50"/>
    </row>
    <row r="157" spans="1:12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IF(A157="","",IFERROR(VLOOKUP(A157,DB_Customers!$A:$N,14,0),""))</f>
        <v/>
      </c>
      <c r="D157" s="42" t="str">
        <f t="shared" ca="1" si="12"/>
        <v/>
      </c>
      <c r="E157" s="32"/>
      <c r="F157" s="31"/>
      <c r="G157" s="43" t="str">
        <f t="shared" si="13"/>
        <v/>
      </c>
      <c r="H157" s="30" t="s">
        <v>59</v>
      </c>
      <c r="I157" s="41"/>
      <c r="J157" s="33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7" s="33" t="str">
        <f t="shared" ca="1" si="14"/>
        <v>—</v>
      </c>
      <c r="L157" s="22"/>
    </row>
    <row r="158" spans="1:12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IF(A158="","",IFERROR(VLOOKUP(A158,DB_Customers!$A:$N,14,0),""))</f>
        <v/>
      </c>
      <c r="D158" s="42" t="str">
        <f t="shared" ca="1" si="12"/>
        <v/>
      </c>
      <c r="E158" s="32"/>
      <c r="F158" s="31"/>
      <c r="G158" s="43" t="str">
        <f t="shared" si="13"/>
        <v/>
      </c>
      <c r="H158" s="30" t="s">
        <v>59</v>
      </c>
      <c r="I158" s="41"/>
      <c r="J158" s="33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58" s="33" t="str">
        <f t="shared" ca="1" si="14"/>
        <v>—</v>
      </c>
      <c r="L158" s="50"/>
    </row>
    <row r="159" spans="1:12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IF(A159="","",IFERROR(VLOOKUP(A159,DB_Customers!$A:$N,14,0),""))</f>
        <v/>
      </c>
      <c r="D159" s="42" t="str">
        <f t="shared" ca="1" si="12"/>
        <v/>
      </c>
      <c r="E159" s="32"/>
      <c r="F159" s="31"/>
      <c r="G159" s="43" t="str">
        <f t="shared" si="13"/>
        <v/>
      </c>
      <c r="H159" s="30" t="s">
        <v>59</v>
      </c>
      <c r="I159" s="41"/>
      <c r="J159" s="33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59" s="33" t="str">
        <f t="shared" ca="1" si="14"/>
        <v>—</v>
      </c>
      <c r="L159" s="22"/>
    </row>
    <row r="160" spans="1:12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IF(A160="","",IFERROR(VLOOKUP(A160,DB_Customers!$A:$N,14,0),""))</f>
        <v/>
      </c>
      <c r="D160" s="42" t="str">
        <f t="shared" ca="1" si="12"/>
        <v/>
      </c>
      <c r="E160" s="32"/>
      <c r="F160" s="31"/>
      <c r="G160" s="43" t="str">
        <f t="shared" si="13"/>
        <v/>
      </c>
      <c r="H160" s="30" t="s">
        <v>59</v>
      </c>
      <c r="I160" s="41"/>
      <c r="J160" s="33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0" s="33" t="str">
        <f t="shared" ca="1" si="14"/>
        <v>—</v>
      </c>
      <c r="L160" s="50"/>
    </row>
    <row r="161" spans="1:12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IF(A161="","",IFERROR(VLOOKUP(A161,DB_Customers!$A:$N,14,0),""))</f>
        <v/>
      </c>
      <c r="D161" s="42" t="str">
        <f t="shared" ca="1" si="12"/>
        <v/>
      </c>
      <c r="E161" s="32"/>
      <c r="F161" s="31"/>
      <c r="G161" s="43" t="str">
        <f t="shared" si="13"/>
        <v/>
      </c>
      <c r="H161" s="30" t="s">
        <v>59</v>
      </c>
      <c r="I161" s="41"/>
      <c r="J161" s="33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1" s="33" t="str">
        <f t="shared" ca="1" si="14"/>
        <v>—</v>
      </c>
      <c r="L161" s="22"/>
    </row>
    <row r="162" spans="1:12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IF(A162="","",IFERROR(VLOOKUP(A162,DB_Customers!$A:$N,14,0),""))</f>
        <v/>
      </c>
      <c r="D162" s="42" t="str">
        <f t="shared" ca="1" si="12"/>
        <v/>
      </c>
      <c r="E162" s="32"/>
      <c r="F162" s="31"/>
      <c r="G162" s="43" t="str">
        <f t="shared" si="13"/>
        <v/>
      </c>
      <c r="H162" s="30" t="s">
        <v>59</v>
      </c>
      <c r="I162" s="41"/>
      <c r="J162" s="33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2" s="33" t="str">
        <f t="shared" ca="1" si="14"/>
        <v>—</v>
      </c>
      <c r="L162" s="50"/>
    </row>
    <row r="163" spans="1:12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IF(A163="","",IFERROR(VLOOKUP(A163,DB_Customers!$A:$N,14,0),""))</f>
        <v/>
      </c>
      <c r="D163" s="42" t="str">
        <f t="shared" ca="1" si="12"/>
        <v/>
      </c>
      <c r="E163" s="32"/>
      <c r="F163" s="31"/>
      <c r="G163" s="43" t="str">
        <f t="shared" si="13"/>
        <v/>
      </c>
      <c r="H163" s="30" t="s">
        <v>59</v>
      </c>
      <c r="I163" s="41"/>
      <c r="J163" s="33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3" s="33" t="str">
        <f t="shared" ca="1" si="14"/>
        <v>—</v>
      </c>
      <c r="L163" s="22"/>
    </row>
    <row r="164" spans="1:12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IF(A164="","",IFERROR(VLOOKUP(A164,DB_Customers!$A:$N,14,0),""))</f>
        <v/>
      </c>
      <c r="D164" s="42" t="str">
        <f t="shared" ca="1" si="12"/>
        <v/>
      </c>
      <c r="E164" s="32"/>
      <c r="F164" s="31"/>
      <c r="G164" s="43" t="str">
        <f t="shared" si="13"/>
        <v/>
      </c>
      <c r="H164" s="30" t="s">
        <v>59</v>
      </c>
      <c r="I164" s="41"/>
      <c r="J164" s="33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4" s="33" t="str">
        <f t="shared" ca="1" si="14"/>
        <v>—</v>
      </c>
      <c r="L164" s="50"/>
    </row>
    <row r="165" spans="1:12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IF(A165="","",IFERROR(VLOOKUP(A165,DB_Customers!$A:$N,14,0),""))</f>
        <v/>
      </c>
      <c r="D165" s="42" t="str">
        <f t="shared" ca="1" si="12"/>
        <v/>
      </c>
      <c r="E165" s="32"/>
      <c r="F165" s="31"/>
      <c r="G165" s="43" t="str">
        <f t="shared" si="13"/>
        <v/>
      </c>
      <c r="H165" s="30" t="s">
        <v>59</v>
      </c>
      <c r="I165" s="41"/>
      <c r="J165" s="33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5" s="33" t="str">
        <f t="shared" ca="1" si="14"/>
        <v>—</v>
      </c>
      <c r="L165" s="22"/>
    </row>
    <row r="166" spans="1:12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IF(A166="","",IFERROR(VLOOKUP(A166,DB_Customers!$A:$N,14,0),""))</f>
        <v/>
      </c>
      <c r="D166" s="42" t="str">
        <f t="shared" ca="1" si="12"/>
        <v/>
      </c>
      <c r="E166" s="32"/>
      <c r="F166" s="31"/>
      <c r="G166" s="43" t="str">
        <f t="shared" si="13"/>
        <v/>
      </c>
      <c r="H166" s="30" t="s">
        <v>59</v>
      </c>
      <c r="I166" s="41"/>
      <c r="J166" s="33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6" s="33" t="str">
        <f t="shared" ca="1" si="14"/>
        <v>—</v>
      </c>
      <c r="L166" s="50"/>
    </row>
    <row r="167" spans="1:12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IF(A167="","",IFERROR(VLOOKUP(A167,DB_Customers!$A:$N,14,0),""))</f>
        <v/>
      </c>
      <c r="D167" s="42" t="str">
        <f t="shared" ca="1" si="12"/>
        <v/>
      </c>
      <c r="E167" s="32"/>
      <c r="F167" s="31"/>
      <c r="G167" s="43" t="str">
        <f t="shared" si="13"/>
        <v/>
      </c>
      <c r="H167" s="30" t="s">
        <v>59</v>
      </c>
      <c r="I167" s="41"/>
      <c r="J167" s="33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7" s="33" t="str">
        <f t="shared" ca="1" si="14"/>
        <v>—</v>
      </c>
      <c r="L167" s="22"/>
    </row>
    <row r="168" spans="1:12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IF(A168="","",IFERROR(VLOOKUP(A168,DB_Customers!$A:$N,14,0),""))</f>
        <v/>
      </c>
      <c r="D168" s="42" t="str">
        <f t="shared" ca="1" si="12"/>
        <v/>
      </c>
      <c r="E168" s="32"/>
      <c r="F168" s="31"/>
      <c r="G168" s="43" t="str">
        <f t="shared" si="13"/>
        <v/>
      </c>
      <c r="H168" s="30" t="s">
        <v>59</v>
      </c>
      <c r="I168" s="41"/>
      <c r="J168" s="33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68" s="33" t="str">
        <f t="shared" ca="1" si="14"/>
        <v>—</v>
      </c>
      <c r="L168" s="50"/>
    </row>
    <row r="169" spans="1:12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IF(A169="","",IFERROR(VLOOKUP(A169,DB_Customers!$A:$N,14,0),""))</f>
        <v/>
      </c>
      <c r="D169" s="42" t="str">
        <f t="shared" ref="D169:D200" ca="1" si="15">IF(A169="","",TODAY())</f>
        <v/>
      </c>
      <c r="E169" s="32"/>
      <c r="F169" s="31"/>
      <c r="G169" s="43" t="str">
        <f t="shared" ref="G169:G200" si="16">IFERROR(IF(OR(A169="",E169=""),"",C169-E169),"")</f>
        <v/>
      </c>
      <c r="H169" s="30" t="s">
        <v>59</v>
      </c>
      <c r="I169" s="41"/>
      <c r="J169" s="33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69" s="33" t="str">
        <f t="shared" ref="K169:K200" ca="1" si="17">IF(J169="✅ Successful",TEXT(TODAY(),"YYYY-MM-DD")&amp;" Auto","—")</f>
        <v>—</v>
      </c>
      <c r="L169" s="22"/>
    </row>
    <row r="170" spans="1:12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IF(A170="","",IFERROR(VLOOKUP(A170,DB_Customers!$A:$N,14,0),""))</f>
        <v/>
      </c>
      <c r="D170" s="42" t="str">
        <f t="shared" ca="1" si="15"/>
        <v/>
      </c>
      <c r="E170" s="32"/>
      <c r="F170" s="31"/>
      <c r="G170" s="43" t="str">
        <f t="shared" si="16"/>
        <v/>
      </c>
      <c r="H170" s="30" t="s">
        <v>59</v>
      </c>
      <c r="I170" s="41"/>
      <c r="J170" s="33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0" s="33" t="str">
        <f t="shared" ca="1" si="17"/>
        <v>—</v>
      </c>
      <c r="L170" s="50"/>
    </row>
    <row r="171" spans="1:12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IF(A171="","",IFERROR(VLOOKUP(A171,DB_Customers!$A:$N,14,0),""))</f>
        <v/>
      </c>
      <c r="D171" s="42" t="str">
        <f t="shared" ca="1" si="15"/>
        <v/>
      </c>
      <c r="E171" s="32"/>
      <c r="F171" s="31"/>
      <c r="G171" s="43" t="str">
        <f t="shared" si="16"/>
        <v/>
      </c>
      <c r="H171" s="30" t="s">
        <v>59</v>
      </c>
      <c r="I171" s="41"/>
      <c r="J171" s="33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1" s="33" t="str">
        <f t="shared" ca="1" si="17"/>
        <v>—</v>
      </c>
      <c r="L171" s="22"/>
    </row>
    <row r="172" spans="1:12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IF(A172="","",IFERROR(VLOOKUP(A172,DB_Customers!$A:$N,14,0),""))</f>
        <v/>
      </c>
      <c r="D172" s="42" t="str">
        <f t="shared" ca="1" si="15"/>
        <v/>
      </c>
      <c r="E172" s="32"/>
      <c r="F172" s="31"/>
      <c r="G172" s="43" t="str">
        <f t="shared" si="16"/>
        <v/>
      </c>
      <c r="H172" s="30" t="s">
        <v>59</v>
      </c>
      <c r="I172" s="41"/>
      <c r="J172" s="33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2" s="33" t="str">
        <f t="shared" ca="1" si="17"/>
        <v>—</v>
      </c>
      <c r="L172" s="50"/>
    </row>
    <row r="173" spans="1:12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IF(A173="","",IFERROR(VLOOKUP(A173,DB_Customers!$A:$N,14,0),""))</f>
        <v/>
      </c>
      <c r="D173" s="42" t="str">
        <f t="shared" ca="1" si="15"/>
        <v/>
      </c>
      <c r="E173" s="32"/>
      <c r="F173" s="31"/>
      <c r="G173" s="43" t="str">
        <f t="shared" si="16"/>
        <v/>
      </c>
      <c r="H173" s="30" t="s">
        <v>59</v>
      </c>
      <c r="I173" s="41"/>
      <c r="J173" s="33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3" s="33" t="str">
        <f t="shared" ca="1" si="17"/>
        <v>—</v>
      </c>
      <c r="L173" s="22"/>
    </row>
    <row r="174" spans="1:12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IF(A174="","",IFERROR(VLOOKUP(A174,DB_Customers!$A:$N,14,0),""))</f>
        <v/>
      </c>
      <c r="D174" s="42" t="str">
        <f t="shared" ca="1" si="15"/>
        <v/>
      </c>
      <c r="E174" s="32"/>
      <c r="F174" s="31"/>
      <c r="G174" s="43" t="str">
        <f t="shared" si="16"/>
        <v/>
      </c>
      <c r="H174" s="30" t="s">
        <v>59</v>
      </c>
      <c r="I174" s="41"/>
      <c r="J174" s="33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4" s="33" t="str">
        <f t="shared" ca="1" si="17"/>
        <v>—</v>
      </c>
      <c r="L174" s="50"/>
    </row>
    <row r="175" spans="1:12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IF(A175="","",IFERROR(VLOOKUP(A175,DB_Customers!$A:$N,14,0),""))</f>
        <v/>
      </c>
      <c r="D175" s="42" t="str">
        <f t="shared" ca="1" si="15"/>
        <v/>
      </c>
      <c r="E175" s="32"/>
      <c r="F175" s="31"/>
      <c r="G175" s="43" t="str">
        <f t="shared" si="16"/>
        <v/>
      </c>
      <c r="H175" s="30" t="s">
        <v>59</v>
      </c>
      <c r="I175" s="41"/>
      <c r="J175" s="33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5" s="33" t="str">
        <f t="shared" ca="1" si="17"/>
        <v>—</v>
      </c>
      <c r="L175" s="22"/>
    </row>
    <row r="176" spans="1:12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IF(A176="","",IFERROR(VLOOKUP(A176,DB_Customers!$A:$N,14,0),""))</f>
        <v/>
      </c>
      <c r="D176" s="42" t="str">
        <f t="shared" ca="1" si="15"/>
        <v/>
      </c>
      <c r="E176" s="32"/>
      <c r="F176" s="31"/>
      <c r="G176" s="43" t="str">
        <f t="shared" si="16"/>
        <v/>
      </c>
      <c r="H176" s="30" t="s">
        <v>59</v>
      </c>
      <c r="I176" s="41"/>
      <c r="J176" s="33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6" s="33" t="str">
        <f t="shared" ca="1" si="17"/>
        <v>—</v>
      </c>
      <c r="L176" s="50"/>
    </row>
    <row r="177" spans="1:12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IF(A177="","",IFERROR(VLOOKUP(A177,DB_Customers!$A:$N,14,0),""))</f>
        <v/>
      </c>
      <c r="D177" s="42" t="str">
        <f t="shared" ca="1" si="15"/>
        <v/>
      </c>
      <c r="E177" s="32"/>
      <c r="F177" s="31"/>
      <c r="G177" s="43" t="str">
        <f t="shared" si="16"/>
        <v/>
      </c>
      <c r="H177" s="30" t="s">
        <v>59</v>
      </c>
      <c r="I177" s="41"/>
      <c r="J177" s="33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7" s="33" t="str">
        <f t="shared" ca="1" si="17"/>
        <v>—</v>
      </c>
      <c r="L177" s="22"/>
    </row>
    <row r="178" spans="1:12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IF(A178="","",IFERROR(VLOOKUP(A178,DB_Customers!$A:$N,14,0),""))</f>
        <v/>
      </c>
      <c r="D178" s="42" t="str">
        <f t="shared" ca="1" si="15"/>
        <v/>
      </c>
      <c r="E178" s="32"/>
      <c r="F178" s="31"/>
      <c r="G178" s="43" t="str">
        <f t="shared" si="16"/>
        <v/>
      </c>
      <c r="H178" s="30" t="s">
        <v>59</v>
      </c>
      <c r="I178" s="41"/>
      <c r="J178" s="33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78" s="33" t="str">
        <f t="shared" ca="1" si="17"/>
        <v>—</v>
      </c>
      <c r="L178" s="50"/>
    </row>
    <row r="179" spans="1:12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IF(A179="","",IFERROR(VLOOKUP(A179,DB_Customers!$A:$N,14,0),""))</f>
        <v/>
      </c>
      <c r="D179" s="42" t="str">
        <f t="shared" ca="1" si="15"/>
        <v/>
      </c>
      <c r="E179" s="32"/>
      <c r="F179" s="31"/>
      <c r="G179" s="43" t="str">
        <f t="shared" si="16"/>
        <v/>
      </c>
      <c r="H179" s="30" t="s">
        <v>59</v>
      </c>
      <c r="I179" s="41"/>
      <c r="J179" s="33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79" s="33" t="str">
        <f t="shared" ca="1" si="17"/>
        <v>—</v>
      </c>
      <c r="L179" s="22"/>
    </row>
    <row r="180" spans="1:12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IF(A180="","",IFERROR(VLOOKUP(A180,DB_Customers!$A:$N,14,0),""))</f>
        <v/>
      </c>
      <c r="D180" s="42" t="str">
        <f t="shared" ca="1" si="15"/>
        <v/>
      </c>
      <c r="E180" s="32"/>
      <c r="F180" s="31"/>
      <c r="G180" s="43" t="str">
        <f t="shared" si="16"/>
        <v/>
      </c>
      <c r="H180" s="30" t="s">
        <v>59</v>
      </c>
      <c r="I180" s="41"/>
      <c r="J180" s="33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0" s="33" t="str">
        <f t="shared" ca="1" si="17"/>
        <v>—</v>
      </c>
      <c r="L180" s="50"/>
    </row>
    <row r="181" spans="1:12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IF(A181="","",IFERROR(VLOOKUP(A181,DB_Customers!$A:$N,14,0),""))</f>
        <v/>
      </c>
      <c r="D181" s="42" t="str">
        <f t="shared" ca="1" si="15"/>
        <v/>
      </c>
      <c r="E181" s="32"/>
      <c r="F181" s="31"/>
      <c r="G181" s="43" t="str">
        <f t="shared" si="16"/>
        <v/>
      </c>
      <c r="H181" s="30" t="s">
        <v>59</v>
      </c>
      <c r="I181" s="41"/>
      <c r="J181" s="33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1" s="33" t="str">
        <f t="shared" ca="1" si="17"/>
        <v>—</v>
      </c>
      <c r="L181" s="22"/>
    </row>
    <row r="182" spans="1:12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IF(A182="","",IFERROR(VLOOKUP(A182,DB_Customers!$A:$N,14,0),""))</f>
        <v/>
      </c>
      <c r="D182" s="42" t="str">
        <f t="shared" ca="1" si="15"/>
        <v/>
      </c>
      <c r="E182" s="32"/>
      <c r="F182" s="31"/>
      <c r="G182" s="43" t="str">
        <f t="shared" si="16"/>
        <v/>
      </c>
      <c r="H182" s="30" t="s">
        <v>59</v>
      </c>
      <c r="I182" s="41"/>
      <c r="J182" s="33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2" s="33" t="str">
        <f t="shared" ca="1" si="17"/>
        <v>—</v>
      </c>
      <c r="L182" s="50"/>
    </row>
    <row r="183" spans="1:12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IF(A183="","",IFERROR(VLOOKUP(A183,DB_Customers!$A:$N,14,0),""))</f>
        <v/>
      </c>
      <c r="D183" s="42" t="str">
        <f t="shared" ca="1" si="15"/>
        <v/>
      </c>
      <c r="E183" s="32"/>
      <c r="F183" s="31"/>
      <c r="G183" s="43" t="str">
        <f t="shared" si="16"/>
        <v/>
      </c>
      <c r="H183" s="30" t="s">
        <v>59</v>
      </c>
      <c r="I183" s="41"/>
      <c r="J183" s="33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3" s="33" t="str">
        <f t="shared" ca="1" si="17"/>
        <v>—</v>
      </c>
      <c r="L183" s="22"/>
    </row>
    <row r="184" spans="1:12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IF(A184="","",IFERROR(VLOOKUP(A184,DB_Customers!$A:$N,14,0),""))</f>
        <v/>
      </c>
      <c r="D184" s="42" t="str">
        <f t="shared" ca="1" si="15"/>
        <v/>
      </c>
      <c r="E184" s="32"/>
      <c r="F184" s="31"/>
      <c r="G184" s="43" t="str">
        <f t="shared" si="16"/>
        <v/>
      </c>
      <c r="H184" s="30" t="s">
        <v>59</v>
      </c>
      <c r="I184" s="41"/>
      <c r="J184" s="33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4" s="33" t="str">
        <f t="shared" ca="1" si="17"/>
        <v>—</v>
      </c>
      <c r="L184" s="50"/>
    </row>
    <row r="185" spans="1:12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IF(A185="","",IFERROR(VLOOKUP(A185,DB_Customers!$A:$N,14,0),""))</f>
        <v/>
      </c>
      <c r="D185" s="42" t="str">
        <f t="shared" ca="1" si="15"/>
        <v/>
      </c>
      <c r="E185" s="32"/>
      <c r="F185" s="31"/>
      <c r="G185" s="43" t="str">
        <f t="shared" si="16"/>
        <v/>
      </c>
      <c r="H185" s="30" t="s">
        <v>59</v>
      </c>
      <c r="I185" s="41"/>
      <c r="J185" s="33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5" s="33" t="str">
        <f t="shared" ca="1" si="17"/>
        <v>—</v>
      </c>
      <c r="L185" s="22"/>
    </row>
    <row r="186" spans="1:12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IF(A186="","",IFERROR(VLOOKUP(A186,DB_Customers!$A:$N,14,0),""))</f>
        <v/>
      </c>
      <c r="D186" s="42" t="str">
        <f t="shared" ca="1" si="15"/>
        <v/>
      </c>
      <c r="E186" s="32"/>
      <c r="F186" s="31"/>
      <c r="G186" s="43" t="str">
        <f t="shared" si="16"/>
        <v/>
      </c>
      <c r="H186" s="30" t="s">
        <v>59</v>
      </c>
      <c r="I186" s="41"/>
      <c r="J186" s="33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6" s="33" t="str">
        <f t="shared" ca="1" si="17"/>
        <v>—</v>
      </c>
      <c r="L186" s="50"/>
    </row>
    <row r="187" spans="1:12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IF(A187="","",IFERROR(VLOOKUP(A187,DB_Customers!$A:$N,14,0),""))</f>
        <v/>
      </c>
      <c r="D187" s="42" t="str">
        <f t="shared" ca="1" si="15"/>
        <v/>
      </c>
      <c r="E187" s="32"/>
      <c r="F187" s="31"/>
      <c r="G187" s="43" t="str">
        <f t="shared" si="16"/>
        <v/>
      </c>
      <c r="H187" s="30" t="s">
        <v>59</v>
      </c>
      <c r="I187" s="41"/>
      <c r="J187" s="33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7" s="33" t="str">
        <f t="shared" ca="1" si="17"/>
        <v>—</v>
      </c>
      <c r="L187" s="22"/>
    </row>
    <row r="188" spans="1:12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IF(A188="","",IFERROR(VLOOKUP(A188,DB_Customers!$A:$N,14,0),""))</f>
        <v/>
      </c>
      <c r="D188" s="42" t="str">
        <f t="shared" ca="1" si="15"/>
        <v/>
      </c>
      <c r="E188" s="32"/>
      <c r="F188" s="31"/>
      <c r="G188" s="43" t="str">
        <f t="shared" si="16"/>
        <v/>
      </c>
      <c r="H188" s="30" t="s">
        <v>59</v>
      </c>
      <c r="I188" s="41"/>
      <c r="J188" s="33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88" s="33" t="str">
        <f t="shared" ca="1" si="17"/>
        <v>—</v>
      </c>
      <c r="L188" s="50"/>
    </row>
    <row r="189" spans="1:12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IF(A189="","",IFERROR(VLOOKUP(A189,DB_Customers!$A:$N,14,0),""))</f>
        <v/>
      </c>
      <c r="D189" s="42" t="str">
        <f t="shared" ca="1" si="15"/>
        <v/>
      </c>
      <c r="E189" s="32"/>
      <c r="F189" s="31"/>
      <c r="G189" s="43" t="str">
        <f t="shared" si="16"/>
        <v/>
      </c>
      <c r="H189" s="30" t="s">
        <v>59</v>
      </c>
      <c r="I189" s="41"/>
      <c r="J189" s="33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89" s="33" t="str">
        <f t="shared" ca="1" si="17"/>
        <v>—</v>
      </c>
      <c r="L189" s="22"/>
    </row>
    <row r="190" spans="1:12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IF(A190="","",IFERROR(VLOOKUP(A190,DB_Customers!$A:$N,14,0),""))</f>
        <v/>
      </c>
      <c r="D190" s="42" t="str">
        <f t="shared" ca="1" si="15"/>
        <v/>
      </c>
      <c r="E190" s="32"/>
      <c r="F190" s="31"/>
      <c r="G190" s="43" t="str">
        <f t="shared" si="16"/>
        <v/>
      </c>
      <c r="H190" s="30" t="s">
        <v>59</v>
      </c>
      <c r="I190" s="41"/>
      <c r="J190" s="33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0" s="33" t="str">
        <f t="shared" ca="1" si="17"/>
        <v>—</v>
      </c>
      <c r="L190" s="50"/>
    </row>
    <row r="191" spans="1:12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IF(A191="","",IFERROR(VLOOKUP(A191,DB_Customers!$A:$N,14,0),""))</f>
        <v/>
      </c>
      <c r="D191" s="42" t="str">
        <f t="shared" ca="1" si="15"/>
        <v/>
      </c>
      <c r="E191" s="32"/>
      <c r="F191" s="31"/>
      <c r="G191" s="43" t="str">
        <f t="shared" si="16"/>
        <v/>
      </c>
      <c r="H191" s="30" t="s">
        <v>59</v>
      </c>
      <c r="I191" s="41"/>
      <c r="J191" s="33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1" s="33" t="str">
        <f t="shared" ca="1" si="17"/>
        <v>—</v>
      </c>
      <c r="L191" s="22"/>
    </row>
    <row r="192" spans="1:12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IF(A192="","",IFERROR(VLOOKUP(A192,DB_Customers!$A:$N,14,0),""))</f>
        <v/>
      </c>
      <c r="D192" s="42" t="str">
        <f t="shared" ca="1" si="15"/>
        <v/>
      </c>
      <c r="E192" s="32"/>
      <c r="F192" s="31"/>
      <c r="G192" s="43" t="str">
        <f t="shared" si="16"/>
        <v/>
      </c>
      <c r="H192" s="30" t="s">
        <v>59</v>
      </c>
      <c r="I192" s="41"/>
      <c r="J192" s="33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2" s="33" t="str">
        <f t="shared" ca="1" si="17"/>
        <v>—</v>
      </c>
      <c r="L192" s="50"/>
    </row>
    <row r="193" spans="1:12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IF(A193="","",IFERROR(VLOOKUP(A193,DB_Customers!$A:$N,14,0),""))</f>
        <v/>
      </c>
      <c r="D193" s="42" t="str">
        <f t="shared" ca="1" si="15"/>
        <v/>
      </c>
      <c r="E193" s="32"/>
      <c r="F193" s="31"/>
      <c r="G193" s="43" t="str">
        <f t="shared" si="16"/>
        <v/>
      </c>
      <c r="H193" s="30" t="s">
        <v>59</v>
      </c>
      <c r="I193" s="41"/>
      <c r="J193" s="33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3" s="33" t="str">
        <f t="shared" ca="1" si="17"/>
        <v>—</v>
      </c>
      <c r="L193" s="22"/>
    </row>
    <row r="194" spans="1:12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IF(A194="","",IFERROR(VLOOKUP(A194,DB_Customers!$A:$N,14,0),""))</f>
        <v/>
      </c>
      <c r="D194" s="42" t="str">
        <f t="shared" ca="1" si="15"/>
        <v/>
      </c>
      <c r="E194" s="32"/>
      <c r="F194" s="31"/>
      <c r="G194" s="43" t="str">
        <f t="shared" si="16"/>
        <v/>
      </c>
      <c r="H194" s="30" t="s">
        <v>59</v>
      </c>
      <c r="I194" s="41"/>
      <c r="J194" s="33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4" s="33" t="str">
        <f t="shared" ca="1" si="17"/>
        <v>—</v>
      </c>
      <c r="L194" s="50"/>
    </row>
    <row r="195" spans="1:12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IF(A195="","",IFERROR(VLOOKUP(A195,DB_Customers!$A:$N,14,0),""))</f>
        <v/>
      </c>
      <c r="D195" s="42" t="str">
        <f t="shared" ca="1" si="15"/>
        <v/>
      </c>
      <c r="E195" s="32"/>
      <c r="F195" s="31"/>
      <c r="G195" s="43" t="str">
        <f t="shared" si="16"/>
        <v/>
      </c>
      <c r="H195" s="30" t="s">
        <v>59</v>
      </c>
      <c r="I195" s="41"/>
      <c r="J195" s="33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5" s="33" t="str">
        <f t="shared" ca="1" si="17"/>
        <v>—</v>
      </c>
      <c r="L195" s="22"/>
    </row>
    <row r="196" spans="1:12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IF(A196="","",IFERROR(VLOOKUP(A196,DB_Customers!$A:$N,14,0),""))</f>
        <v/>
      </c>
      <c r="D196" s="42" t="str">
        <f t="shared" ca="1" si="15"/>
        <v/>
      </c>
      <c r="E196" s="32"/>
      <c r="F196" s="31"/>
      <c r="G196" s="43" t="str">
        <f t="shared" si="16"/>
        <v/>
      </c>
      <c r="H196" s="30" t="s">
        <v>59</v>
      </c>
      <c r="I196" s="41"/>
      <c r="J196" s="33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6" s="33" t="str">
        <f t="shared" ca="1" si="17"/>
        <v>—</v>
      </c>
      <c r="L196" s="50"/>
    </row>
    <row r="197" spans="1:12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IF(A197="","",IFERROR(VLOOKUP(A197,DB_Customers!$A:$N,14,0),""))</f>
        <v/>
      </c>
      <c r="D197" s="42" t="str">
        <f t="shared" ca="1" si="15"/>
        <v/>
      </c>
      <c r="E197" s="32"/>
      <c r="F197" s="31"/>
      <c r="G197" s="43" t="str">
        <f t="shared" si="16"/>
        <v/>
      </c>
      <c r="H197" s="30" t="s">
        <v>59</v>
      </c>
      <c r="I197" s="41"/>
      <c r="J197" s="33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7" s="33" t="str">
        <f t="shared" ca="1" si="17"/>
        <v>—</v>
      </c>
      <c r="L197" s="22"/>
    </row>
    <row r="198" spans="1:12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IF(A198="","",IFERROR(VLOOKUP(A198,DB_Customers!$A:$N,14,0),""))</f>
        <v/>
      </c>
      <c r="D198" s="42" t="str">
        <f t="shared" ca="1" si="15"/>
        <v/>
      </c>
      <c r="E198" s="32"/>
      <c r="F198" s="31"/>
      <c r="G198" s="43" t="str">
        <f t="shared" si="16"/>
        <v/>
      </c>
      <c r="H198" s="30" t="s">
        <v>59</v>
      </c>
      <c r="I198" s="41"/>
      <c r="J198" s="33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198" s="33" t="str">
        <f t="shared" ca="1" si="17"/>
        <v>—</v>
      </c>
      <c r="L198" s="50"/>
    </row>
    <row r="199" spans="1:12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IF(A199="","",IFERROR(VLOOKUP(A199,DB_Customers!$A:$N,14,0),""))</f>
        <v/>
      </c>
      <c r="D199" s="42" t="str">
        <f t="shared" ca="1" si="15"/>
        <v/>
      </c>
      <c r="E199" s="32"/>
      <c r="F199" s="31"/>
      <c r="G199" s="43" t="str">
        <f t="shared" si="16"/>
        <v/>
      </c>
      <c r="H199" s="30" t="s">
        <v>59</v>
      </c>
      <c r="I199" s="41"/>
      <c r="J199" s="33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199" s="33" t="str">
        <f t="shared" ca="1" si="17"/>
        <v>—</v>
      </c>
      <c r="L199" s="22"/>
    </row>
    <row r="200" spans="1:12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IF(A200="","",IFERROR(VLOOKUP(A200,DB_Customers!$A:$N,14,0),""))</f>
        <v/>
      </c>
      <c r="D200" s="42" t="str">
        <f t="shared" ca="1" si="15"/>
        <v/>
      </c>
      <c r="E200" s="32"/>
      <c r="F200" s="31"/>
      <c r="G200" s="43" t="str">
        <f t="shared" si="16"/>
        <v/>
      </c>
      <c r="H200" s="30" t="s">
        <v>59</v>
      </c>
      <c r="I200" s="41"/>
      <c r="J200" s="33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0" s="33" t="str">
        <f t="shared" ca="1" si="17"/>
        <v>—</v>
      </c>
      <c r="L200" s="50"/>
    </row>
    <row r="201" spans="1:12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IF(A201="","",IFERROR(VLOOKUP(A201,DB_Customers!$A:$N,14,0),""))</f>
        <v/>
      </c>
      <c r="D201" s="42" t="str">
        <f t="shared" ref="D201:D208" ca="1" si="18">IF(A201="","",TODAY())</f>
        <v/>
      </c>
      <c r="E201" s="32"/>
      <c r="F201" s="31"/>
      <c r="G201" s="43" t="str">
        <f t="shared" ref="G201:G208" si="19">IFERROR(IF(OR(A201="",E201=""),"",C201-E201),"")</f>
        <v/>
      </c>
      <c r="H201" s="30" t="s">
        <v>59</v>
      </c>
      <c r="I201" s="41"/>
      <c r="J201" s="33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1" s="33" t="str">
        <f t="shared" ref="K201:K232" ca="1" si="20">IF(J201="✅ Successful",TEXT(TODAY(),"YYYY-MM-DD")&amp;" Auto","—")</f>
        <v>—</v>
      </c>
      <c r="L201" s="22"/>
    </row>
    <row r="202" spans="1:12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IF(A202="","",IFERROR(VLOOKUP(A202,DB_Customers!$A:$N,14,0),""))</f>
        <v/>
      </c>
      <c r="D202" s="42" t="str">
        <f t="shared" ca="1" si="18"/>
        <v/>
      </c>
      <c r="E202" s="32"/>
      <c r="F202" s="31"/>
      <c r="G202" s="43" t="str">
        <f t="shared" si="19"/>
        <v/>
      </c>
      <c r="H202" s="30" t="s">
        <v>59</v>
      </c>
      <c r="I202" s="41"/>
      <c r="J202" s="33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2" s="33" t="str">
        <f t="shared" ca="1" si="20"/>
        <v>—</v>
      </c>
      <c r="L202" s="50"/>
    </row>
    <row r="203" spans="1:12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IF(A203="","",IFERROR(VLOOKUP(A203,DB_Customers!$A:$N,14,0),""))</f>
        <v/>
      </c>
      <c r="D203" s="42" t="str">
        <f t="shared" ca="1" si="18"/>
        <v/>
      </c>
      <c r="E203" s="32"/>
      <c r="F203" s="31"/>
      <c r="G203" s="43" t="str">
        <f t="shared" si="19"/>
        <v/>
      </c>
      <c r="H203" s="30" t="s">
        <v>59</v>
      </c>
      <c r="I203" s="41"/>
      <c r="J203" s="33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3" s="33" t="str">
        <f t="shared" ca="1" si="20"/>
        <v>—</v>
      </c>
      <c r="L203" s="22"/>
    </row>
    <row r="204" spans="1:12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IF(A204="","",IFERROR(VLOOKUP(A204,DB_Customers!$A:$N,14,0),""))</f>
        <v/>
      </c>
      <c r="D204" s="42" t="str">
        <f t="shared" ca="1" si="18"/>
        <v/>
      </c>
      <c r="E204" s="32"/>
      <c r="F204" s="31"/>
      <c r="G204" s="43" t="str">
        <f t="shared" si="19"/>
        <v/>
      </c>
      <c r="H204" s="30" t="s">
        <v>59</v>
      </c>
      <c r="I204" s="41"/>
      <c r="J204" s="33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4" s="33" t="str">
        <f t="shared" ca="1" si="20"/>
        <v>—</v>
      </c>
      <c r="L204" s="50"/>
    </row>
    <row r="205" spans="1:12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IF(A205="","",IFERROR(VLOOKUP(A205,DB_Customers!$A:$N,14,0),""))</f>
        <v/>
      </c>
      <c r="D205" s="42" t="str">
        <f t="shared" ca="1" si="18"/>
        <v/>
      </c>
      <c r="E205" s="32"/>
      <c r="F205" s="31"/>
      <c r="G205" s="43" t="str">
        <f t="shared" si="19"/>
        <v/>
      </c>
      <c r="H205" s="30" t="s">
        <v>59</v>
      </c>
      <c r="I205" s="41"/>
      <c r="J205" s="33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5" s="33" t="str">
        <f t="shared" ca="1" si="20"/>
        <v>—</v>
      </c>
      <c r="L205" s="22"/>
    </row>
    <row r="206" spans="1:12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IF(A206="","",IFERROR(VLOOKUP(A206,DB_Customers!$A:$N,14,0),""))</f>
        <v/>
      </c>
      <c r="D206" s="42" t="str">
        <f t="shared" ca="1" si="18"/>
        <v/>
      </c>
      <c r="E206" s="32"/>
      <c r="F206" s="31"/>
      <c r="G206" s="43" t="str">
        <f t="shared" si="19"/>
        <v/>
      </c>
      <c r="H206" s="30" t="s">
        <v>59</v>
      </c>
      <c r="I206" s="41"/>
      <c r="J206" s="33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6" s="33" t="str">
        <f t="shared" ca="1" si="20"/>
        <v>—</v>
      </c>
      <c r="L206" s="50"/>
    </row>
    <row r="207" spans="1:12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IF(A207="","",IFERROR(VLOOKUP(A207,DB_Customers!$A:$N,14,0),""))</f>
        <v/>
      </c>
      <c r="D207" s="42" t="str">
        <f t="shared" ca="1" si="18"/>
        <v/>
      </c>
      <c r="E207" s="32"/>
      <c r="F207" s="31"/>
      <c r="G207" s="43" t="str">
        <f t="shared" si="19"/>
        <v/>
      </c>
      <c r="H207" s="30" t="s">
        <v>59</v>
      </c>
      <c r="I207" s="41"/>
      <c r="J207" s="33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7" s="33" t="str">
        <f t="shared" ca="1" si="20"/>
        <v>—</v>
      </c>
      <c r="L207" s="22"/>
    </row>
    <row r="208" spans="1:12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IF(A208="","",IFERROR(VLOOKUP(A208,DB_Customers!$A:$N,14,0),""))</f>
        <v/>
      </c>
      <c r="D208" s="42" t="str">
        <f t="shared" ca="1" si="18"/>
        <v/>
      </c>
      <c r="E208" s="32"/>
      <c r="F208" s="31"/>
      <c r="G208" s="43" t="str">
        <f t="shared" si="19"/>
        <v/>
      </c>
      <c r="H208" s="30" t="s">
        <v>59</v>
      </c>
      <c r="I208" s="41"/>
      <c r="J208" s="33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08" s="33" t="str">
        <f t="shared" ca="1" si="20"/>
        <v>—</v>
      </c>
      <c r="L208" s="50"/>
    </row>
  </sheetData>
  <mergeCells count="3">
    <mergeCell ref="A2:L2"/>
    <mergeCell ref="A6:L6"/>
    <mergeCell ref="A1:L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5" t="s">
        <v>193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21.95" customHeight="1" x14ac:dyDescent="0.25">
      <c r="A2" s="97" t="s">
        <v>194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4" spans="1:14" x14ac:dyDescent="0.25">
      <c r="A4" s="51" t="s">
        <v>146</v>
      </c>
    </row>
    <row r="5" spans="1:14" x14ac:dyDescent="0.25">
      <c r="A5" s="52" t="s">
        <v>147</v>
      </c>
      <c r="B5" s="32"/>
    </row>
    <row r="6" spans="1:14" x14ac:dyDescent="0.25">
      <c r="A6" s="52" t="s">
        <v>148</v>
      </c>
      <c r="B6" s="53"/>
    </row>
    <row r="7" spans="1:14" x14ac:dyDescent="0.25">
      <c r="A7" s="52" t="s">
        <v>149</v>
      </c>
      <c r="B7" s="54">
        <v>2.5</v>
      </c>
    </row>
    <row r="8" spans="1:14" x14ac:dyDescent="0.25">
      <c r="A8" s="55" t="s">
        <v>150</v>
      </c>
      <c r="B8" s="43" t="str">
        <f>IF(B5="","",B5*B7/100*B6)</f>
        <v/>
      </c>
    </row>
    <row r="9" spans="1:14" x14ac:dyDescent="0.25">
      <c r="A9" s="55" t="s">
        <v>151</v>
      </c>
      <c r="B9" s="43" t="str">
        <f>IF(B5="","",B5+(B5*B7/100*B6))</f>
        <v/>
      </c>
    </row>
    <row r="10" spans="1:14" x14ac:dyDescent="0.25">
      <c r="A10" s="55" t="s">
        <v>152</v>
      </c>
      <c r="B10" s="43" t="str">
        <f>IFERROR(B9/B6,"")</f>
        <v/>
      </c>
    </row>
    <row r="12" spans="1:14" ht="21.95" customHeight="1" x14ac:dyDescent="0.25">
      <c r="A12" s="97" t="s">
        <v>153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</row>
    <row r="13" spans="1:14" ht="30" customHeight="1" x14ac:dyDescent="0.25">
      <c r="A13" s="19" t="s">
        <v>154</v>
      </c>
      <c r="B13" s="19" t="s">
        <v>131</v>
      </c>
      <c r="C13" s="19" t="s">
        <v>69</v>
      </c>
      <c r="D13" s="19" t="s">
        <v>155</v>
      </c>
      <c r="E13" s="19" t="s">
        <v>156</v>
      </c>
      <c r="F13" s="19" t="s">
        <v>109</v>
      </c>
      <c r="G13" s="19" t="s">
        <v>110</v>
      </c>
      <c r="H13" s="19" t="s">
        <v>157</v>
      </c>
      <c r="I13" s="19" t="s">
        <v>158</v>
      </c>
      <c r="J13" s="19" t="s">
        <v>159</v>
      </c>
      <c r="K13" s="19" t="s">
        <v>77</v>
      </c>
      <c r="L13" s="19" t="s">
        <v>45</v>
      </c>
      <c r="M13" s="19" t="s">
        <v>134</v>
      </c>
      <c r="N13" s="19" t="s">
        <v>95</v>
      </c>
    </row>
    <row r="14" spans="1:14" ht="20.100000000000001" customHeight="1" x14ac:dyDescent="0.25">
      <c r="A14" s="30" t="str">
        <f t="shared" ref="A14:A45" si="0">IF(B14="","",IF(C14="❌ Account Not Found","INVALID","LN"&amp;TEXT(D14,"YYYYMMDD")&amp;TEXT(ROW()-13,"0000")))</f>
        <v/>
      </c>
      <c r="B14" s="41"/>
      <c r="C14" s="35" t="str">
        <f>IF(B14="","",IFERROR(VLOOKUP(B14,DB_Customers!$A:$B,2,0),"❌ Account Not Found"))</f>
        <v/>
      </c>
      <c r="D14" s="42" t="str">
        <f t="shared" ref="D14:D45" ca="1" si="1">IF(B14="","",TODAY())</f>
        <v/>
      </c>
      <c r="E14" s="32"/>
      <c r="F14" s="31"/>
      <c r="G14" s="41"/>
      <c r="H14" s="56">
        <v>2.5</v>
      </c>
      <c r="I14" s="43" t="str">
        <f t="shared" ref="I14:I45" si="2">IF(E14="","",E14+(E14*H14/100*G14))</f>
        <v/>
      </c>
      <c r="J14" s="43" t="str">
        <f t="shared" ref="J14:J45" si="3">IFERROR(I14/G14,"")</f>
        <v/>
      </c>
      <c r="K14" s="33" t="str">
        <f>IF(B14="","Pending",IF(M14="","⚠️ Enter Code",IF(IFERROR(VLOOKUP(L14,DB_Agents!$B:$F,4,0),"")=TEXT(M14,"0"),"Pending Approval","🔒 WRONG CODE")))</f>
        <v>Pending</v>
      </c>
      <c r="L14" s="30" t="s">
        <v>59</v>
      </c>
      <c r="M14" s="41"/>
      <c r="N14" s="57"/>
    </row>
    <row r="15" spans="1:14" ht="20.100000000000001" customHeight="1" x14ac:dyDescent="0.25">
      <c r="A15" s="30" t="str">
        <f t="shared" si="0"/>
        <v/>
      </c>
      <c r="B15" s="41"/>
      <c r="C15" s="35" t="str">
        <f>IF(B15="","",IFERROR(VLOOKUP(B15,DB_Customers!$A:$B,2,0),"❌ Account Not Found"))</f>
        <v/>
      </c>
      <c r="D15" s="42" t="str">
        <f t="shared" ca="1" si="1"/>
        <v/>
      </c>
      <c r="E15" s="32"/>
      <c r="F15" s="31"/>
      <c r="G15" s="41"/>
      <c r="H15" s="56">
        <v>2.5</v>
      </c>
      <c r="I15" s="43" t="str">
        <f t="shared" si="2"/>
        <v/>
      </c>
      <c r="J15" s="43" t="str">
        <f t="shared" si="3"/>
        <v/>
      </c>
      <c r="K15" s="33" t="str">
        <f>IF(B15="","Pending",IF(M15="","⚠️ Enter Code",IF(IFERROR(VLOOKUP(L15,DB_Agents!$B:$F,4,0),"")=TEXT(M15,"0"),"Pending Approval","🔒 WRONG CODE")))</f>
        <v>Pending</v>
      </c>
      <c r="L15" s="30" t="s">
        <v>59</v>
      </c>
      <c r="M15" s="41"/>
      <c r="N15" s="22"/>
    </row>
    <row r="16" spans="1:14" ht="20.100000000000001" customHeight="1" x14ac:dyDescent="0.25">
      <c r="A16" s="30" t="str">
        <f t="shared" si="0"/>
        <v/>
      </c>
      <c r="B16" s="41"/>
      <c r="C16" s="35" t="str">
        <f>IF(B16="","",IFERROR(VLOOKUP(B16,DB_Customers!$A:$B,2,0),"❌ Account Not Found"))</f>
        <v/>
      </c>
      <c r="D16" s="42" t="str">
        <f t="shared" ca="1" si="1"/>
        <v/>
      </c>
      <c r="E16" s="32"/>
      <c r="F16" s="31"/>
      <c r="G16" s="41"/>
      <c r="H16" s="56">
        <v>2.5</v>
      </c>
      <c r="I16" s="43" t="str">
        <f t="shared" si="2"/>
        <v/>
      </c>
      <c r="J16" s="43" t="str">
        <f t="shared" si="3"/>
        <v/>
      </c>
      <c r="K16" s="33" t="str">
        <f>IF(B16="","Pending",IF(M16="","⚠️ Enter Code",IF(IFERROR(VLOOKUP(L16,DB_Agents!$B:$F,4,0),"")=TEXT(M16,"0"),"Pending Approval","🔒 WRONG CODE")))</f>
        <v>Pending</v>
      </c>
      <c r="L16" s="30" t="s">
        <v>59</v>
      </c>
      <c r="M16" s="41"/>
      <c r="N16" s="57"/>
    </row>
    <row r="17" spans="1:14" ht="20.100000000000001" customHeight="1" x14ac:dyDescent="0.25">
      <c r="A17" s="30" t="str">
        <f t="shared" si="0"/>
        <v/>
      </c>
      <c r="B17" s="41"/>
      <c r="C17" s="35" t="str">
        <f>IF(B17="","",IFERROR(VLOOKUP(B17,DB_Customers!$A:$B,2,0),"❌ Account Not Found"))</f>
        <v/>
      </c>
      <c r="D17" s="42" t="str">
        <f t="shared" ca="1" si="1"/>
        <v/>
      </c>
      <c r="E17" s="32"/>
      <c r="F17" s="31"/>
      <c r="G17" s="41"/>
      <c r="H17" s="56">
        <v>2.5</v>
      </c>
      <c r="I17" s="43" t="str">
        <f t="shared" si="2"/>
        <v/>
      </c>
      <c r="J17" s="43" t="str">
        <f t="shared" si="3"/>
        <v/>
      </c>
      <c r="K17" s="33" t="str">
        <f>IF(B17="","Pending",IF(M17="","⚠️ Enter Code",IF(IFERROR(VLOOKUP(L17,DB_Agents!$B:$F,4,0),"")=TEXT(M17,"0"),"Pending Approval","🔒 WRONG CODE")))</f>
        <v>Pending</v>
      </c>
      <c r="L17" s="30" t="s">
        <v>59</v>
      </c>
      <c r="M17" s="41"/>
      <c r="N17" s="22"/>
    </row>
    <row r="18" spans="1:14" ht="20.100000000000001" customHeight="1" x14ac:dyDescent="0.25">
      <c r="A18" s="30" t="str">
        <f t="shared" si="0"/>
        <v/>
      </c>
      <c r="B18" s="41"/>
      <c r="C18" s="35" t="str">
        <f>IF(B18="","",IFERROR(VLOOKUP(B18,DB_Customers!$A:$B,2,0),"❌ Account Not Found"))</f>
        <v/>
      </c>
      <c r="D18" s="42" t="str">
        <f t="shared" ca="1" si="1"/>
        <v/>
      </c>
      <c r="E18" s="32"/>
      <c r="F18" s="31"/>
      <c r="G18" s="41"/>
      <c r="H18" s="56">
        <v>2.5</v>
      </c>
      <c r="I18" s="43" t="str">
        <f t="shared" si="2"/>
        <v/>
      </c>
      <c r="J18" s="43" t="str">
        <f t="shared" si="3"/>
        <v/>
      </c>
      <c r="K18" s="33" t="str">
        <f>IF(B18="","Pending",IF(M18="","⚠️ Enter Code",IF(IFERROR(VLOOKUP(L18,DB_Agents!$B:$F,4,0),"")=TEXT(M18,"0"),"Pending Approval","🔒 WRONG CODE")))</f>
        <v>Pending</v>
      </c>
      <c r="L18" s="30" t="s">
        <v>59</v>
      </c>
      <c r="M18" s="41"/>
      <c r="N18" s="57"/>
    </row>
    <row r="19" spans="1:14" ht="20.100000000000001" customHeight="1" x14ac:dyDescent="0.25">
      <c r="A19" s="30" t="str">
        <f t="shared" si="0"/>
        <v/>
      </c>
      <c r="B19" s="41"/>
      <c r="C19" s="35" t="str">
        <f>IF(B19="","",IFERROR(VLOOKUP(B19,DB_Customers!$A:$B,2,0),"❌ Account Not Found"))</f>
        <v/>
      </c>
      <c r="D19" s="42" t="str">
        <f t="shared" ca="1" si="1"/>
        <v/>
      </c>
      <c r="E19" s="32"/>
      <c r="F19" s="31"/>
      <c r="G19" s="41"/>
      <c r="H19" s="56">
        <v>2.5</v>
      </c>
      <c r="I19" s="43" t="str">
        <f t="shared" si="2"/>
        <v/>
      </c>
      <c r="J19" s="43" t="str">
        <f t="shared" si="3"/>
        <v/>
      </c>
      <c r="K19" s="33" t="str">
        <f>IF(B19="","Pending",IF(M19="","⚠️ Enter Code",IF(IFERROR(VLOOKUP(L19,DB_Agents!$B:$F,4,0),"")=TEXT(M19,"0"),"Pending Approval","🔒 WRONG CODE")))</f>
        <v>Pending</v>
      </c>
      <c r="L19" s="30" t="s">
        <v>59</v>
      </c>
      <c r="M19" s="41"/>
      <c r="N19" s="22"/>
    </row>
    <row r="20" spans="1:14" ht="20.100000000000001" customHeight="1" x14ac:dyDescent="0.25">
      <c r="A20" s="30" t="str">
        <f t="shared" si="0"/>
        <v/>
      </c>
      <c r="B20" s="41"/>
      <c r="C20" s="35" t="str">
        <f>IF(B20="","",IFERROR(VLOOKUP(B20,DB_Customers!$A:$B,2,0),"❌ Account Not Found"))</f>
        <v/>
      </c>
      <c r="D20" s="42" t="str">
        <f t="shared" ca="1" si="1"/>
        <v/>
      </c>
      <c r="E20" s="32"/>
      <c r="F20" s="31"/>
      <c r="G20" s="41"/>
      <c r="H20" s="56">
        <v>2.5</v>
      </c>
      <c r="I20" s="43" t="str">
        <f t="shared" si="2"/>
        <v/>
      </c>
      <c r="J20" s="43" t="str">
        <f t="shared" si="3"/>
        <v/>
      </c>
      <c r="K20" s="33" t="str">
        <f>IF(B20="","Pending",IF(M20="","⚠️ Enter Code",IF(IFERROR(VLOOKUP(L20,DB_Agents!$B:$F,4,0),"")=TEXT(M20,"0"),"Pending Approval","🔒 WRONG CODE")))</f>
        <v>Pending</v>
      </c>
      <c r="L20" s="30" t="s">
        <v>59</v>
      </c>
      <c r="M20" s="41"/>
      <c r="N20" s="57"/>
    </row>
    <row r="21" spans="1:14" ht="20.100000000000001" customHeight="1" x14ac:dyDescent="0.25">
      <c r="A21" s="30" t="str">
        <f t="shared" si="0"/>
        <v/>
      </c>
      <c r="B21" s="41"/>
      <c r="C21" s="35" t="str">
        <f>IF(B21="","",IFERROR(VLOOKUP(B21,DB_Customers!$A:$B,2,0),"❌ Account Not Found"))</f>
        <v/>
      </c>
      <c r="D21" s="42" t="str">
        <f t="shared" ca="1" si="1"/>
        <v/>
      </c>
      <c r="E21" s="32"/>
      <c r="F21" s="31"/>
      <c r="G21" s="41"/>
      <c r="H21" s="56">
        <v>2.5</v>
      </c>
      <c r="I21" s="43" t="str">
        <f t="shared" si="2"/>
        <v/>
      </c>
      <c r="J21" s="43" t="str">
        <f t="shared" si="3"/>
        <v/>
      </c>
      <c r="K21" s="33" t="str">
        <f>IF(B21="","Pending",IF(M21="","⚠️ Enter Code",IF(IFERROR(VLOOKUP(L21,DB_Agents!$B:$F,4,0),"")=TEXT(M21,"0"),"Pending Approval","🔒 WRONG CODE")))</f>
        <v>Pending</v>
      </c>
      <c r="L21" s="30" t="s">
        <v>59</v>
      </c>
      <c r="M21" s="41"/>
      <c r="N21" s="22"/>
    </row>
    <row r="22" spans="1:14" ht="20.100000000000001" customHeight="1" x14ac:dyDescent="0.25">
      <c r="A22" s="30" t="str">
        <f t="shared" si="0"/>
        <v/>
      </c>
      <c r="B22" s="41"/>
      <c r="C22" s="35" t="str">
        <f>IF(B22="","",IFERROR(VLOOKUP(B22,DB_Customers!$A:$B,2,0),"❌ Account Not Found"))</f>
        <v/>
      </c>
      <c r="D22" s="42" t="str">
        <f t="shared" ca="1" si="1"/>
        <v/>
      </c>
      <c r="E22" s="32"/>
      <c r="F22" s="31"/>
      <c r="G22" s="41"/>
      <c r="H22" s="56">
        <v>2.5</v>
      </c>
      <c r="I22" s="43" t="str">
        <f t="shared" si="2"/>
        <v/>
      </c>
      <c r="J22" s="43" t="str">
        <f t="shared" si="3"/>
        <v/>
      </c>
      <c r="K22" s="33" t="str">
        <f>IF(B22="","Pending",IF(M22="","⚠️ Enter Code",IF(IFERROR(VLOOKUP(L22,DB_Agents!$B:$F,4,0),"")=TEXT(M22,"0"),"Pending Approval","🔒 WRONG CODE")))</f>
        <v>Pending</v>
      </c>
      <c r="L22" s="30" t="s">
        <v>59</v>
      </c>
      <c r="M22" s="41"/>
      <c r="N22" s="57"/>
    </row>
    <row r="23" spans="1:14" ht="20.100000000000001" customHeight="1" x14ac:dyDescent="0.25">
      <c r="A23" s="30" t="str">
        <f t="shared" si="0"/>
        <v/>
      </c>
      <c r="B23" s="41"/>
      <c r="C23" s="35" t="str">
        <f>IF(B23="","",IFERROR(VLOOKUP(B23,DB_Customers!$A:$B,2,0),"❌ Account Not Found"))</f>
        <v/>
      </c>
      <c r="D23" s="42" t="str">
        <f t="shared" ca="1" si="1"/>
        <v/>
      </c>
      <c r="E23" s="32"/>
      <c r="F23" s="31"/>
      <c r="G23" s="41"/>
      <c r="H23" s="56">
        <v>2.5</v>
      </c>
      <c r="I23" s="43" t="str">
        <f t="shared" si="2"/>
        <v/>
      </c>
      <c r="J23" s="43" t="str">
        <f t="shared" si="3"/>
        <v/>
      </c>
      <c r="K23" s="33" t="str">
        <f>IF(B23="","Pending",IF(M23="","⚠️ Enter Code",IF(IFERROR(VLOOKUP(L23,DB_Agents!$B:$F,4,0),"")=TEXT(M23,"0"),"Pending Approval","🔒 WRONG CODE")))</f>
        <v>Pending</v>
      </c>
      <c r="L23" s="30" t="s">
        <v>59</v>
      </c>
      <c r="M23" s="41"/>
      <c r="N23" s="22"/>
    </row>
    <row r="24" spans="1:14" ht="20.100000000000001" customHeight="1" x14ac:dyDescent="0.25">
      <c r="A24" s="30" t="str">
        <f t="shared" si="0"/>
        <v/>
      </c>
      <c r="B24" s="41"/>
      <c r="C24" s="35" t="str">
        <f>IF(B24="","",IFERROR(VLOOKUP(B24,DB_Customers!$A:$B,2,0),"❌ Account Not Found"))</f>
        <v/>
      </c>
      <c r="D24" s="42" t="str">
        <f t="shared" ca="1" si="1"/>
        <v/>
      </c>
      <c r="E24" s="32"/>
      <c r="F24" s="31"/>
      <c r="G24" s="41"/>
      <c r="H24" s="56">
        <v>2.5</v>
      </c>
      <c r="I24" s="43" t="str">
        <f t="shared" si="2"/>
        <v/>
      </c>
      <c r="J24" s="43" t="str">
        <f t="shared" si="3"/>
        <v/>
      </c>
      <c r="K24" s="33" t="str">
        <f>IF(B24="","Pending",IF(M24="","⚠️ Enter Code",IF(IFERROR(VLOOKUP(L24,DB_Agents!$B:$F,4,0),"")=TEXT(M24,"0"),"Pending Approval","🔒 WRONG CODE")))</f>
        <v>Pending</v>
      </c>
      <c r="L24" s="30" t="s">
        <v>59</v>
      </c>
      <c r="M24" s="41"/>
      <c r="N24" s="57"/>
    </row>
    <row r="25" spans="1:14" ht="20.100000000000001" customHeight="1" x14ac:dyDescent="0.25">
      <c r="A25" s="30" t="str">
        <f t="shared" si="0"/>
        <v/>
      </c>
      <c r="B25" s="41"/>
      <c r="C25" s="35" t="str">
        <f>IF(B25="","",IFERROR(VLOOKUP(B25,DB_Customers!$A:$B,2,0),"❌ Account Not Found"))</f>
        <v/>
      </c>
      <c r="D25" s="42" t="str">
        <f t="shared" ca="1" si="1"/>
        <v/>
      </c>
      <c r="E25" s="32"/>
      <c r="F25" s="31"/>
      <c r="G25" s="41"/>
      <c r="H25" s="56">
        <v>2.5</v>
      </c>
      <c r="I25" s="43" t="str">
        <f t="shared" si="2"/>
        <v/>
      </c>
      <c r="J25" s="43" t="str">
        <f t="shared" si="3"/>
        <v/>
      </c>
      <c r="K25" s="33" t="str">
        <f>IF(B25="","Pending",IF(M25="","⚠️ Enter Code",IF(IFERROR(VLOOKUP(L25,DB_Agents!$B:$F,4,0),"")=TEXT(M25,"0"),"Pending Approval","🔒 WRONG CODE")))</f>
        <v>Pending</v>
      </c>
      <c r="L25" s="30" t="s">
        <v>59</v>
      </c>
      <c r="M25" s="41"/>
      <c r="N25" s="22"/>
    </row>
    <row r="26" spans="1:14" ht="20.100000000000001" customHeight="1" x14ac:dyDescent="0.25">
      <c r="A26" s="30" t="str">
        <f t="shared" si="0"/>
        <v/>
      </c>
      <c r="B26" s="41"/>
      <c r="C26" s="35" t="str">
        <f>IF(B26="","",IFERROR(VLOOKUP(B26,DB_Customers!$A:$B,2,0),"❌ Account Not Found"))</f>
        <v/>
      </c>
      <c r="D26" s="42" t="str">
        <f t="shared" ca="1" si="1"/>
        <v/>
      </c>
      <c r="E26" s="32"/>
      <c r="F26" s="31"/>
      <c r="G26" s="41"/>
      <c r="H26" s="56">
        <v>2.5</v>
      </c>
      <c r="I26" s="43" t="str">
        <f t="shared" si="2"/>
        <v/>
      </c>
      <c r="J26" s="43" t="str">
        <f t="shared" si="3"/>
        <v/>
      </c>
      <c r="K26" s="33" t="str">
        <f>IF(B26="","Pending",IF(M26="","⚠️ Enter Code",IF(IFERROR(VLOOKUP(L26,DB_Agents!$B:$F,4,0),"")=TEXT(M26,"0"),"Pending Approval","🔒 WRONG CODE")))</f>
        <v>Pending</v>
      </c>
      <c r="L26" s="30" t="s">
        <v>59</v>
      </c>
      <c r="M26" s="41"/>
      <c r="N26" s="57"/>
    </row>
    <row r="27" spans="1:14" ht="20.100000000000001" customHeight="1" x14ac:dyDescent="0.25">
      <c r="A27" s="30" t="str">
        <f t="shared" si="0"/>
        <v/>
      </c>
      <c r="B27" s="41"/>
      <c r="C27" s="35" t="str">
        <f>IF(B27="","",IFERROR(VLOOKUP(B27,DB_Customers!$A:$B,2,0),"❌ Account Not Found"))</f>
        <v/>
      </c>
      <c r="D27" s="42" t="str">
        <f t="shared" ca="1" si="1"/>
        <v/>
      </c>
      <c r="E27" s="32"/>
      <c r="F27" s="31"/>
      <c r="G27" s="41"/>
      <c r="H27" s="56">
        <v>2.5</v>
      </c>
      <c r="I27" s="43" t="str">
        <f t="shared" si="2"/>
        <v/>
      </c>
      <c r="J27" s="43" t="str">
        <f t="shared" si="3"/>
        <v/>
      </c>
      <c r="K27" s="33" t="str">
        <f>IF(B27="","Pending",IF(M27="","⚠️ Enter Code",IF(IFERROR(VLOOKUP(L27,DB_Agents!$B:$F,4,0),"")=TEXT(M27,"0"),"Pending Approval","🔒 WRONG CODE")))</f>
        <v>Pending</v>
      </c>
      <c r="L27" s="30" t="s">
        <v>59</v>
      </c>
      <c r="M27" s="41"/>
      <c r="N27" s="22"/>
    </row>
    <row r="28" spans="1:14" ht="20.100000000000001" customHeight="1" x14ac:dyDescent="0.25">
      <c r="A28" s="30" t="str">
        <f t="shared" si="0"/>
        <v/>
      </c>
      <c r="B28" s="41"/>
      <c r="C28" s="35" t="str">
        <f>IF(B28="","",IFERROR(VLOOKUP(B28,DB_Customers!$A:$B,2,0),"❌ Account Not Found"))</f>
        <v/>
      </c>
      <c r="D28" s="42" t="str">
        <f t="shared" ca="1" si="1"/>
        <v/>
      </c>
      <c r="E28" s="32"/>
      <c r="F28" s="31"/>
      <c r="G28" s="41"/>
      <c r="H28" s="56">
        <v>2.5</v>
      </c>
      <c r="I28" s="43" t="str">
        <f t="shared" si="2"/>
        <v/>
      </c>
      <c r="J28" s="43" t="str">
        <f t="shared" si="3"/>
        <v/>
      </c>
      <c r="K28" s="33" t="str">
        <f>IF(B28="","Pending",IF(M28="","⚠️ Enter Code",IF(IFERROR(VLOOKUP(L28,DB_Agents!$B:$F,4,0),"")=TEXT(M28,"0"),"Pending Approval","🔒 WRONG CODE")))</f>
        <v>Pending</v>
      </c>
      <c r="L28" s="30" t="s">
        <v>59</v>
      </c>
      <c r="M28" s="41"/>
      <c r="N28" s="57"/>
    </row>
    <row r="29" spans="1:14" ht="20.100000000000001" customHeight="1" x14ac:dyDescent="0.25">
      <c r="A29" s="30" t="str">
        <f t="shared" si="0"/>
        <v/>
      </c>
      <c r="B29" s="41"/>
      <c r="C29" s="35" t="str">
        <f>IF(B29="","",IFERROR(VLOOKUP(B29,DB_Customers!$A:$B,2,0),"❌ Account Not Found"))</f>
        <v/>
      </c>
      <c r="D29" s="42" t="str">
        <f t="shared" ca="1" si="1"/>
        <v/>
      </c>
      <c r="E29" s="32"/>
      <c r="F29" s="31"/>
      <c r="G29" s="41"/>
      <c r="H29" s="56">
        <v>2.5</v>
      </c>
      <c r="I29" s="43" t="str">
        <f t="shared" si="2"/>
        <v/>
      </c>
      <c r="J29" s="43" t="str">
        <f t="shared" si="3"/>
        <v/>
      </c>
      <c r="K29" s="33" t="str">
        <f>IF(B29="","Pending",IF(M29="","⚠️ Enter Code",IF(IFERROR(VLOOKUP(L29,DB_Agents!$B:$F,4,0),"")=TEXT(M29,"0"),"Pending Approval","🔒 WRONG CODE")))</f>
        <v>Pending</v>
      </c>
      <c r="L29" s="30" t="s">
        <v>59</v>
      </c>
      <c r="M29" s="41"/>
      <c r="N29" s="22"/>
    </row>
    <row r="30" spans="1:14" ht="20.100000000000001" customHeight="1" x14ac:dyDescent="0.25">
      <c r="A30" s="30" t="str">
        <f t="shared" si="0"/>
        <v/>
      </c>
      <c r="B30" s="41"/>
      <c r="C30" s="35" t="str">
        <f>IF(B30="","",IFERROR(VLOOKUP(B30,DB_Customers!$A:$B,2,0),"❌ Account Not Found"))</f>
        <v/>
      </c>
      <c r="D30" s="42" t="str">
        <f t="shared" ca="1" si="1"/>
        <v/>
      </c>
      <c r="E30" s="32"/>
      <c r="F30" s="31"/>
      <c r="G30" s="41"/>
      <c r="H30" s="56">
        <v>2.5</v>
      </c>
      <c r="I30" s="43" t="str">
        <f t="shared" si="2"/>
        <v/>
      </c>
      <c r="J30" s="43" t="str">
        <f t="shared" si="3"/>
        <v/>
      </c>
      <c r="K30" s="33" t="str">
        <f>IF(B30="","Pending",IF(M30="","⚠️ Enter Code",IF(IFERROR(VLOOKUP(L30,DB_Agents!$B:$F,4,0),"")=TEXT(M30,"0"),"Pending Approval","🔒 WRONG CODE")))</f>
        <v>Pending</v>
      </c>
      <c r="L30" s="30" t="s">
        <v>59</v>
      </c>
      <c r="M30" s="41"/>
      <c r="N30" s="57"/>
    </row>
    <row r="31" spans="1:14" ht="20.100000000000001" customHeight="1" x14ac:dyDescent="0.25">
      <c r="A31" s="30" t="str">
        <f t="shared" si="0"/>
        <v/>
      </c>
      <c r="B31" s="41"/>
      <c r="C31" s="35" t="str">
        <f>IF(B31="","",IFERROR(VLOOKUP(B31,DB_Customers!$A:$B,2,0),"❌ Account Not Found"))</f>
        <v/>
      </c>
      <c r="D31" s="42" t="str">
        <f t="shared" ca="1" si="1"/>
        <v/>
      </c>
      <c r="E31" s="32"/>
      <c r="F31" s="31"/>
      <c r="G31" s="41"/>
      <c r="H31" s="56">
        <v>2.5</v>
      </c>
      <c r="I31" s="43" t="str">
        <f t="shared" si="2"/>
        <v/>
      </c>
      <c r="J31" s="43" t="str">
        <f t="shared" si="3"/>
        <v/>
      </c>
      <c r="K31" s="33" t="str">
        <f>IF(B31="","Pending",IF(M31="","⚠️ Enter Code",IF(IFERROR(VLOOKUP(L31,DB_Agents!$B:$F,4,0),"")=TEXT(M31,"0"),"Pending Approval","🔒 WRONG CODE")))</f>
        <v>Pending</v>
      </c>
      <c r="L31" s="30" t="s">
        <v>59</v>
      </c>
      <c r="M31" s="41"/>
      <c r="N31" s="22"/>
    </row>
    <row r="32" spans="1:14" ht="20.100000000000001" customHeight="1" x14ac:dyDescent="0.25">
      <c r="A32" s="30" t="str">
        <f t="shared" si="0"/>
        <v/>
      </c>
      <c r="B32" s="41"/>
      <c r="C32" s="35" t="str">
        <f>IF(B32="","",IFERROR(VLOOKUP(B32,DB_Customers!$A:$B,2,0),"❌ Account Not Found"))</f>
        <v/>
      </c>
      <c r="D32" s="42" t="str">
        <f t="shared" ca="1" si="1"/>
        <v/>
      </c>
      <c r="E32" s="32"/>
      <c r="F32" s="31"/>
      <c r="G32" s="41"/>
      <c r="H32" s="56">
        <v>2.5</v>
      </c>
      <c r="I32" s="43" t="str">
        <f t="shared" si="2"/>
        <v/>
      </c>
      <c r="J32" s="43" t="str">
        <f t="shared" si="3"/>
        <v/>
      </c>
      <c r="K32" s="33" t="str">
        <f>IF(B32="","Pending",IF(M32="","⚠️ Enter Code",IF(IFERROR(VLOOKUP(L32,DB_Agents!$B:$F,4,0),"")=TEXT(M32,"0"),"Pending Approval","🔒 WRONG CODE")))</f>
        <v>Pending</v>
      </c>
      <c r="L32" s="30" t="s">
        <v>59</v>
      </c>
      <c r="M32" s="41"/>
      <c r="N32" s="57"/>
    </row>
    <row r="33" spans="1:14" ht="20.100000000000001" customHeight="1" x14ac:dyDescent="0.25">
      <c r="A33" s="30" t="str">
        <f t="shared" si="0"/>
        <v/>
      </c>
      <c r="B33" s="41"/>
      <c r="C33" s="35" t="str">
        <f>IF(B33="","",IFERROR(VLOOKUP(B33,DB_Customers!$A:$B,2,0),"❌ Account Not Found"))</f>
        <v/>
      </c>
      <c r="D33" s="42" t="str">
        <f t="shared" ca="1" si="1"/>
        <v/>
      </c>
      <c r="E33" s="32"/>
      <c r="F33" s="31"/>
      <c r="G33" s="41"/>
      <c r="H33" s="56">
        <v>2.5</v>
      </c>
      <c r="I33" s="43" t="str">
        <f t="shared" si="2"/>
        <v/>
      </c>
      <c r="J33" s="43" t="str">
        <f t="shared" si="3"/>
        <v/>
      </c>
      <c r="K33" s="33" t="str">
        <f>IF(B33="","Pending",IF(M33="","⚠️ Enter Code",IF(IFERROR(VLOOKUP(L33,DB_Agents!$B:$F,4,0),"")=TEXT(M33,"0"),"Pending Approval","🔒 WRONG CODE")))</f>
        <v>Pending</v>
      </c>
      <c r="L33" s="30" t="s">
        <v>59</v>
      </c>
      <c r="M33" s="41"/>
      <c r="N33" s="22"/>
    </row>
    <row r="34" spans="1:14" ht="20.100000000000001" customHeight="1" x14ac:dyDescent="0.25">
      <c r="A34" s="30" t="str">
        <f t="shared" si="0"/>
        <v/>
      </c>
      <c r="B34" s="41"/>
      <c r="C34" s="35" t="str">
        <f>IF(B34="","",IFERROR(VLOOKUP(B34,DB_Customers!$A:$B,2,0),"❌ Account Not Found"))</f>
        <v/>
      </c>
      <c r="D34" s="42" t="str">
        <f t="shared" ca="1" si="1"/>
        <v/>
      </c>
      <c r="E34" s="32"/>
      <c r="F34" s="31"/>
      <c r="G34" s="41"/>
      <c r="H34" s="56">
        <v>2.5</v>
      </c>
      <c r="I34" s="43" t="str">
        <f t="shared" si="2"/>
        <v/>
      </c>
      <c r="J34" s="43" t="str">
        <f t="shared" si="3"/>
        <v/>
      </c>
      <c r="K34" s="33" t="str">
        <f>IF(B34="","Pending",IF(M34="","⚠️ Enter Code",IF(IFERROR(VLOOKUP(L34,DB_Agents!$B:$F,4,0),"")=TEXT(M34,"0"),"Pending Approval","🔒 WRONG CODE")))</f>
        <v>Pending</v>
      </c>
      <c r="L34" s="30" t="s">
        <v>59</v>
      </c>
      <c r="M34" s="41"/>
      <c r="N34" s="57"/>
    </row>
    <row r="35" spans="1:14" ht="20.100000000000001" customHeight="1" x14ac:dyDescent="0.25">
      <c r="A35" s="30" t="str">
        <f t="shared" si="0"/>
        <v/>
      </c>
      <c r="B35" s="41"/>
      <c r="C35" s="35" t="str">
        <f>IF(B35="","",IFERROR(VLOOKUP(B35,DB_Customers!$A:$B,2,0),"❌ Account Not Found"))</f>
        <v/>
      </c>
      <c r="D35" s="42" t="str">
        <f t="shared" ca="1" si="1"/>
        <v/>
      </c>
      <c r="E35" s="32"/>
      <c r="F35" s="31"/>
      <c r="G35" s="41"/>
      <c r="H35" s="56">
        <v>2.5</v>
      </c>
      <c r="I35" s="43" t="str">
        <f t="shared" si="2"/>
        <v/>
      </c>
      <c r="J35" s="43" t="str">
        <f t="shared" si="3"/>
        <v/>
      </c>
      <c r="K35" s="33" t="str">
        <f>IF(B35="","Pending",IF(M35="","⚠️ Enter Code",IF(IFERROR(VLOOKUP(L35,DB_Agents!$B:$F,4,0),"")=TEXT(M35,"0"),"Pending Approval","🔒 WRONG CODE")))</f>
        <v>Pending</v>
      </c>
      <c r="L35" s="30" t="s">
        <v>59</v>
      </c>
      <c r="M35" s="41"/>
      <c r="N35" s="22"/>
    </row>
    <row r="36" spans="1:14" ht="20.100000000000001" customHeight="1" x14ac:dyDescent="0.25">
      <c r="A36" s="30" t="str">
        <f t="shared" si="0"/>
        <v/>
      </c>
      <c r="B36" s="41"/>
      <c r="C36" s="35" t="str">
        <f>IF(B36="","",IFERROR(VLOOKUP(B36,DB_Customers!$A:$B,2,0),"❌ Account Not Found"))</f>
        <v/>
      </c>
      <c r="D36" s="42" t="str">
        <f t="shared" ca="1" si="1"/>
        <v/>
      </c>
      <c r="E36" s="32"/>
      <c r="F36" s="31"/>
      <c r="G36" s="41"/>
      <c r="H36" s="56">
        <v>2.5</v>
      </c>
      <c r="I36" s="43" t="str">
        <f t="shared" si="2"/>
        <v/>
      </c>
      <c r="J36" s="43" t="str">
        <f t="shared" si="3"/>
        <v/>
      </c>
      <c r="K36" s="33" t="str">
        <f>IF(B36="","Pending",IF(M36="","⚠️ Enter Code",IF(IFERROR(VLOOKUP(L36,DB_Agents!$B:$F,4,0),"")=TEXT(M36,"0"),"Pending Approval","🔒 WRONG CODE")))</f>
        <v>Pending</v>
      </c>
      <c r="L36" s="30" t="s">
        <v>59</v>
      </c>
      <c r="M36" s="41"/>
      <c r="N36" s="57"/>
    </row>
    <row r="37" spans="1:14" ht="20.100000000000001" customHeight="1" x14ac:dyDescent="0.25">
      <c r="A37" s="30" t="str">
        <f t="shared" si="0"/>
        <v/>
      </c>
      <c r="B37" s="41"/>
      <c r="C37" s="35" t="str">
        <f>IF(B37="","",IFERROR(VLOOKUP(B37,DB_Customers!$A:$B,2,0),"❌ Account Not Found"))</f>
        <v/>
      </c>
      <c r="D37" s="42" t="str">
        <f t="shared" ca="1" si="1"/>
        <v/>
      </c>
      <c r="E37" s="32"/>
      <c r="F37" s="31"/>
      <c r="G37" s="41"/>
      <c r="H37" s="56">
        <v>2.5</v>
      </c>
      <c r="I37" s="43" t="str">
        <f t="shared" si="2"/>
        <v/>
      </c>
      <c r="J37" s="43" t="str">
        <f t="shared" si="3"/>
        <v/>
      </c>
      <c r="K37" s="33" t="str">
        <f>IF(B37="","Pending",IF(M37="","⚠️ Enter Code",IF(IFERROR(VLOOKUP(L37,DB_Agents!$B:$F,4,0),"")=TEXT(M37,"0"),"Pending Approval","🔒 WRONG CODE")))</f>
        <v>Pending</v>
      </c>
      <c r="L37" s="30" t="s">
        <v>59</v>
      </c>
      <c r="M37" s="41"/>
      <c r="N37" s="22"/>
    </row>
    <row r="38" spans="1:14" ht="20.100000000000001" customHeight="1" x14ac:dyDescent="0.25">
      <c r="A38" s="30" t="str">
        <f t="shared" si="0"/>
        <v/>
      </c>
      <c r="B38" s="41"/>
      <c r="C38" s="35" t="str">
        <f>IF(B38="","",IFERROR(VLOOKUP(B38,DB_Customers!$A:$B,2,0),"❌ Account Not Found"))</f>
        <v/>
      </c>
      <c r="D38" s="42" t="str">
        <f t="shared" ca="1" si="1"/>
        <v/>
      </c>
      <c r="E38" s="32"/>
      <c r="F38" s="31"/>
      <c r="G38" s="41"/>
      <c r="H38" s="56">
        <v>2.5</v>
      </c>
      <c r="I38" s="43" t="str">
        <f t="shared" si="2"/>
        <v/>
      </c>
      <c r="J38" s="43" t="str">
        <f t="shared" si="3"/>
        <v/>
      </c>
      <c r="K38" s="33" t="str">
        <f>IF(B38="","Pending",IF(M38="","⚠️ Enter Code",IF(IFERROR(VLOOKUP(L38,DB_Agents!$B:$F,4,0),"")=TEXT(M38,"0"),"Pending Approval","🔒 WRONG CODE")))</f>
        <v>Pending</v>
      </c>
      <c r="L38" s="30" t="s">
        <v>59</v>
      </c>
      <c r="M38" s="41"/>
      <c r="N38" s="57"/>
    </row>
    <row r="39" spans="1:14" ht="20.100000000000001" customHeight="1" x14ac:dyDescent="0.25">
      <c r="A39" s="30" t="str">
        <f t="shared" si="0"/>
        <v/>
      </c>
      <c r="B39" s="41"/>
      <c r="C39" s="35" t="str">
        <f>IF(B39="","",IFERROR(VLOOKUP(B39,DB_Customers!$A:$B,2,0),"❌ Account Not Found"))</f>
        <v/>
      </c>
      <c r="D39" s="42" t="str">
        <f t="shared" ca="1" si="1"/>
        <v/>
      </c>
      <c r="E39" s="32"/>
      <c r="F39" s="31"/>
      <c r="G39" s="41"/>
      <c r="H39" s="56">
        <v>2.5</v>
      </c>
      <c r="I39" s="43" t="str">
        <f t="shared" si="2"/>
        <v/>
      </c>
      <c r="J39" s="43" t="str">
        <f t="shared" si="3"/>
        <v/>
      </c>
      <c r="K39" s="33" t="str">
        <f>IF(B39="","Pending",IF(M39="","⚠️ Enter Code",IF(IFERROR(VLOOKUP(L39,DB_Agents!$B:$F,4,0),"")=TEXT(M39,"0"),"Pending Approval","🔒 WRONG CODE")))</f>
        <v>Pending</v>
      </c>
      <c r="L39" s="30" t="s">
        <v>59</v>
      </c>
      <c r="M39" s="41"/>
      <c r="N39" s="22"/>
    </row>
    <row r="40" spans="1:14" ht="20.100000000000001" customHeight="1" x14ac:dyDescent="0.25">
      <c r="A40" s="30" t="str">
        <f t="shared" si="0"/>
        <v/>
      </c>
      <c r="B40" s="41"/>
      <c r="C40" s="35" t="str">
        <f>IF(B40="","",IFERROR(VLOOKUP(B40,DB_Customers!$A:$B,2,0),"❌ Account Not Found"))</f>
        <v/>
      </c>
      <c r="D40" s="42" t="str">
        <f t="shared" ca="1" si="1"/>
        <v/>
      </c>
      <c r="E40" s="32"/>
      <c r="F40" s="31"/>
      <c r="G40" s="41"/>
      <c r="H40" s="56">
        <v>2.5</v>
      </c>
      <c r="I40" s="43" t="str">
        <f t="shared" si="2"/>
        <v/>
      </c>
      <c r="J40" s="43" t="str">
        <f t="shared" si="3"/>
        <v/>
      </c>
      <c r="K40" s="33" t="str">
        <f>IF(B40="","Pending",IF(M40="","⚠️ Enter Code",IF(IFERROR(VLOOKUP(L40,DB_Agents!$B:$F,4,0),"")=TEXT(M40,"0"),"Pending Approval","🔒 WRONG CODE")))</f>
        <v>Pending</v>
      </c>
      <c r="L40" s="30" t="s">
        <v>59</v>
      </c>
      <c r="M40" s="41"/>
      <c r="N40" s="57"/>
    </row>
    <row r="41" spans="1:14" ht="20.100000000000001" customHeight="1" x14ac:dyDescent="0.25">
      <c r="A41" s="30" t="str">
        <f t="shared" si="0"/>
        <v/>
      </c>
      <c r="B41" s="41"/>
      <c r="C41" s="35" t="str">
        <f>IF(B41="","",IFERROR(VLOOKUP(B41,DB_Customers!$A:$B,2,0),"❌ Account Not Found"))</f>
        <v/>
      </c>
      <c r="D41" s="42" t="str">
        <f t="shared" ca="1" si="1"/>
        <v/>
      </c>
      <c r="E41" s="32"/>
      <c r="F41" s="31"/>
      <c r="G41" s="41"/>
      <c r="H41" s="56">
        <v>2.5</v>
      </c>
      <c r="I41" s="43" t="str">
        <f t="shared" si="2"/>
        <v/>
      </c>
      <c r="J41" s="43" t="str">
        <f t="shared" si="3"/>
        <v/>
      </c>
      <c r="K41" s="33" t="str">
        <f>IF(B41="","Pending",IF(M41="","⚠️ Enter Code",IF(IFERROR(VLOOKUP(L41,DB_Agents!$B:$F,4,0),"")=TEXT(M41,"0"),"Pending Approval","🔒 WRONG CODE")))</f>
        <v>Pending</v>
      </c>
      <c r="L41" s="30" t="s">
        <v>59</v>
      </c>
      <c r="M41" s="41"/>
      <c r="N41" s="22"/>
    </row>
    <row r="42" spans="1:14" ht="20.100000000000001" customHeight="1" x14ac:dyDescent="0.25">
      <c r="A42" s="30" t="str">
        <f t="shared" si="0"/>
        <v/>
      </c>
      <c r="B42" s="41"/>
      <c r="C42" s="35" t="str">
        <f>IF(B42="","",IFERROR(VLOOKUP(B42,DB_Customers!$A:$B,2,0),"❌ Account Not Found"))</f>
        <v/>
      </c>
      <c r="D42" s="42" t="str">
        <f t="shared" ca="1" si="1"/>
        <v/>
      </c>
      <c r="E42" s="32"/>
      <c r="F42" s="31"/>
      <c r="G42" s="41"/>
      <c r="H42" s="56">
        <v>2.5</v>
      </c>
      <c r="I42" s="43" t="str">
        <f t="shared" si="2"/>
        <v/>
      </c>
      <c r="J42" s="43" t="str">
        <f t="shared" si="3"/>
        <v/>
      </c>
      <c r="K42" s="33" t="str">
        <f>IF(B42="","Pending",IF(M42="","⚠️ Enter Code",IF(IFERROR(VLOOKUP(L42,DB_Agents!$B:$F,4,0),"")=TEXT(M42,"0"),"Pending Approval","🔒 WRONG CODE")))</f>
        <v>Pending</v>
      </c>
      <c r="L42" s="30" t="s">
        <v>59</v>
      </c>
      <c r="M42" s="41"/>
      <c r="N42" s="57"/>
    </row>
    <row r="43" spans="1:14" ht="20.100000000000001" customHeight="1" x14ac:dyDescent="0.25">
      <c r="A43" s="30" t="str">
        <f t="shared" si="0"/>
        <v/>
      </c>
      <c r="B43" s="41"/>
      <c r="C43" s="35" t="str">
        <f>IF(B43="","",IFERROR(VLOOKUP(B43,DB_Customers!$A:$B,2,0),"❌ Account Not Found"))</f>
        <v/>
      </c>
      <c r="D43" s="42" t="str">
        <f t="shared" ca="1" si="1"/>
        <v/>
      </c>
      <c r="E43" s="32"/>
      <c r="F43" s="31"/>
      <c r="G43" s="41"/>
      <c r="H43" s="56">
        <v>2.5</v>
      </c>
      <c r="I43" s="43" t="str">
        <f t="shared" si="2"/>
        <v/>
      </c>
      <c r="J43" s="43" t="str">
        <f t="shared" si="3"/>
        <v/>
      </c>
      <c r="K43" s="33" t="str">
        <f>IF(B43="","Pending",IF(M43="","⚠️ Enter Code",IF(IFERROR(VLOOKUP(L43,DB_Agents!$B:$F,4,0),"")=TEXT(M43,"0"),"Pending Approval","🔒 WRONG CODE")))</f>
        <v>Pending</v>
      </c>
      <c r="L43" s="30" t="s">
        <v>59</v>
      </c>
      <c r="M43" s="41"/>
      <c r="N43" s="22"/>
    </row>
    <row r="44" spans="1:14" ht="20.100000000000001" customHeight="1" x14ac:dyDescent="0.25">
      <c r="A44" s="30" t="str">
        <f t="shared" si="0"/>
        <v/>
      </c>
      <c r="B44" s="41"/>
      <c r="C44" s="35" t="str">
        <f>IF(B44="","",IFERROR(VLOOKUP(B44,DB_Customers!$A:$B,2,0),"❌ Account Not Found"))</f>
        <v/>
      </c>
      <c r="D44" s="42" t="str">
        <f t="shared" ca="1" si="1"/>
        <v/>
      </c>
      <c r="E44" s="32"/>
      <c r="F44" s="31"/>
      <c r="G44" s="41"/>
      <c r="H44" s="56">
        <v>2.5</v>
      </c>
      <c r="I44" s="43" t="str">
        <f t="shared" si="2"/>
        <v/>
      </c>
      <c r="J44" s="43" t="str">
        <f t="shared" si="3"/>
        <v/>
      </c>
      <c r="K44" s="33" t="str">
        <f>IF(B44="","Pending",IF(M44="","⚠️ Enter Code",IF(IFERROR(VLOOKUP(L44,DB_Agents!$B:$F,4,0),"")=TEXT(M44,"0"),"Pending Approval","🔒 WRONG CODE")))</f>
        <v>Pending</v>
      </c>
      <c r="L44" s="30" t="s">
        <v>59</v>
      </c>
      <c r="M44" s="41"/>
      <c r="N44" s="57"/>
    </row>
    <row r="45" spans="1:14" ht="20.100000000000001" customHeight="1" x14ac:dyDescent="0.25">
      <c r="A45" s="30" t="str">
        <f t="shared" si="0"/>
        <v/>
      </c>
      <c r="B45" s="41"/>
      <c r="C45" s="35" t="str">
        <f>IF(B45="","",IFERROR(VLOOKUP(B45,DB_Customers!$A:$B,2,0),"❌ Account Not Found"))</f>
        <v/>
      </c>
      <c r="D45" s="42" t="str">
        <f t="shared" ca="1" si="1"/>
        <v/>
      </c>
      <c r="E45" s="32"/>
      <c r="F45" s="31"/>
      <c r="G45" s="41"/>
      <c r="H45" s="56">
        <v>2.5</v>
      </c>
      <c r="I45" s="43" t="str">
        <f t="shared" si="2"/>
        <v/>
      </c>
      <c r="J45" s="43" t="str">
        <f t="shared" si="3"/>
        <v/>
      </c>
      <c r="K45" s="33" t="str">
        <f>IF(B45="","Pending",IF(M45="","⚠️ Enter Code",IF(IFERROR(VLOOKUP(L45,DB_Agents!$B:$F,4,0),"")=TEXT(M45,"0"),"Pending Approval","🔒 WRONG CODE")))</f>
        <v>Pending</v>
      </c>
      <c r="L45" s="30" t="s">
        <v>59</v>
      </c>
      <c r="M45" s="41"/>
      <c r="N45" s="22"/>
    </row>
    <row r="46" spans="1:14" ht="20.100000000000001" customHeight="1" x14ac:dyDescent="0.25">
      <c r="A46" s="30" t="str">
        <f t="shared" ref="A46:A77" si="4">IF(B46="","",IF(C46="❌ Account Not Found","INVALID","LN"&amp;TEXT(D46,"YYYYMMDD")&amp;TEXT(ROW()-13,"0000")))</f>
        <v/>
      </c>
      <c r="B46" s="41"/>
      <c r="C46" s="35" t="str">
        <f>IF(B46="","",IFERROR(VLOOKUP(B46,DB_Customers!$A:$B,2,0),"❌ Account Not Found"))</f>
        <v/>
      </c>
      <c r="D46" s="42" t="str">
        <f t="shared" ref="D46:D77" ca="1" si="5">IF(B46="","",TODAY())</f>
        <v/>
      </c>
      <c r="E46" s="32"/>
      <c r="F46" s="31"/>
      <c r="G46" s="41"/>
      <c r="H46" s="56">
        <v>2.5</v>
      </c>
      <c r="I46" s="43" t="str">
        <f t="shared" ref="I46:I77" si="6">IF(E46="","",E46+(E46*H46/100*G46))</f>
        <v/>
      </c>
      <c r="J46" s="43" t="str">
        <f t="shared" ref="J46:J77" si="7">IFERROR(I46/G46,"")</f>
        <v/>
      </c>
      <c r="K46" s="33" t="str">
        <f>IF(B46="","Pending",IF(M46="","⚠️ Enter Code",IF(IFERROR(VLOOKUP(L46,DB_Agents!$B:$F,4,0),"")=TEXT(M46,"0"),"Pending Approval","🔒 WRONG CODE")))</f>
        <v>Pending</v>
      </c>
      <c r="L46" s="30" t="s">
        <v>59</v>
      </c>
      <c r="M46" s="41"/>
      <c r="N46" s="57"/>
    </row>
    <row r="47" spans="1:14" ht="20.100000000000001" customHeight="1" x14ac:dyDescent="0.25">
      <c r="A47" s="30" t="str">
        <f t="shared" si="4"/>
        <v/>
      </c>
      <c r="B47" s="41"/>
      <c r="C47" s="35" t="str">
        <f>IF(B47="","",IFERROR(VLOOKUP(B47,DB_Customers!$A:$B,2,0),"❌ Account Not Found"))</f>
        <v/>
      </c>
      <c r="D47" s="42" t="str">
        <f t="shared" ca="1" si="5"/>
        <v/>
      </c>
      <c r="E47" s="32"/>
      <c r="F47" s="31"/>
      <c r="G47" s="41"/>
      <c r="H47" s="56">
        <v>2.5</v>
      </c>
      <c r="I47" s="43" t="str">
        <f t="shared" si="6"/>
        <v/>
      </c>
      <c r="J47" s="43" t="str">
        <f t="shared" si="7"/>
        <v/>
      </c>
      <c r="K47" s="33" t="str">
        <f>IF(B47="","Pending",IF(M47="","⚠️ Enter Code",IF(IFERROR(VLOOKUP(L47,DB_Agents!$B:$F,4,0),"")=TEXT(M47,"0"),"Pending Approval","🔒 WRONG CODE")))</f>
        <v>Pending</v>
      </c>
      <c r="L47" s="30" t="s">
        <v>59</v>
      </c>
      <c r="M47" s="41"/>
      <c r="N47" s="22"/>
    </row>
    <row r="48" spans="1:14" ht="20.100000000000001" customHeight="1" x14ac:dyDescent="0.25">
      <c r="A48" s="30" t="str">
        <f t="shared" si="4"/>
        <v/>
      </c>
      <c r="B48" s="41"/>
      <c r="C48" s="35" t="str">
        <f>IF(B48="","",IFERROR(VLOOKUP(B48,DB_Customers!$A:$B,2,0),"❌ Account Not Found"))</f>
        <v/>
      </c>
      <c r="D48" s="42" t="str">
        <f t="shared" ca="1" si="5"/>
        <v/>
      </c>
      <c r="E48" s="32"/>
      <c r="F48" s="31"/>
      <c r="G48" s="41"/>
      <c r="H48" s="56">
        <v>2.5</v>
      </c>
      <c r="I48" s="43" t="str">
        <f t="shared" si="6"/>
        <v/>
      </c>
      <c r="J48" s="43" t="str">
        <f t="shared" si="7"/>
        <v/>
      </c>
      <c r="K48" s="33" t="str">
        <f>IF(B48="","Pending",IF(M48="","⚠️ Enter Code",IF(IFERROR(VLOOKUP(L48,DB_Agents!$B:$F,4,0),"")=TEXT(M48,"0"),"Pending Approval","🔒 WRONG CODE")))</f>
        <v>Pending</v>
      </c>
      <c r="L48" s="30" t="s">
        <v>59</v>
      </c>
      <c r="M48" s="41"/>
      <c r="N48" s="57"/>
    </row>
    <row r="49" spans="1:14" ht="20.100000000000001" customHeight="1" x14ac:dyDescent="0.25">
      <c r="A49" s="30" t="str">
        <f t="shared" si="4"/>
        <v/>
      </c>
      <c r="B49" s="41"/>
      <c r="C49" s="35" t="str">
        <f>IF(B49="","",IFERROR(VLOOKUP(B49,DB_Customers!$A:$B,2,0),"❌ Account Not Found"))</f>
        <v/>
      </c>
      <c r="D49" s="42" t="str">
        <f t="shared" ca="1" si="5"/>
        <v/>
      </c>
      <c r="E49" s="32"/>
      <c r="F49" s="31"/>
      <c r="G49" s="41"/>
      <c r="H49" s="56">
        <v>2.5</v>
      </c>
      <c r="I49" s="43" t="str">
        <f t="shared" si="6"/>
        <v/>
      </c>
      <c r="J49" s="43" t="str">
        <f t="shared" si="7"/>
        <v/>
      </c>
      <c r="K49" s="33" t="str">
        <f>IF(B49="","Pending",IF(M49="","⚠️ Enter Code",IF(IFERROR(VLOOKUP(L49,DB_Agents!$B:$F,4,0),"")=TEXT(M49,"0"),"Pending Approval","🔒 WRONG CODE")))</f>
        <v>Pending</v>
      </c>
      <c r="L49" s="30" t="s">
        <v>59</v>
      </c>
      <c r="M49" s="41"/>
      <c r="N49" s="22"/>
    </row>
    <row r="50" spans="1:14" ht="20.100000000000001" customHeight="1" x14ac:dyDescent="0.25">
      <c r="A50" s="30" t="str">
        <f t="shared" si="4"/>
        <v/>
      </c>
      <c r="B50" s="41"/>
      <c r="C50" s="35" t="str">
        <f>IF(B50="","",IFERROR(VLOOKUP(B50,DB_Customers!$A:$B,2,0),"❌ Account Not Found"))</f>
        <v/>
      </c>
      <c r="D50" s="42" t="str">
        <f t="shared" ca="1" si="5"/>
        <v/>
      </c>
      <c r="E50" s="32"/>
      <c r="F50" s="31"/>
      <c r="G50" s="41"/>
      <c r="H50" s="56">
        <v>2.5</v>
      </c>
      <c r="I50" s="43" t="str">
        <f t="shared" si="6"/>
        <v/>
      </c>
      <c r="J50" s="43" t="str">
        <f t="shared" si="7"/>
        <v/>
      </c>
      <c r="K50" s="33" t="str">
        <f>IF(B50="","Pending",IF(M50="","⚠️ Enter Code",IF(IFERROR(VLOOKUP(L50,DB_Agents!$B:$F,4,0),"")=TEXT(M50,"0"),"Pending Approval","🔒 WRONG CODE")))</f>
        <v>Pending</v>
      </c>
      <c r="L50" s="30" t="s">
        <v>59</v>
      </c>
      <c r="M50" s="41"/>
      <c r="N50" s="57"/>
    </row>
    <row r="51" spans="1:14" ht="20.100000000000001" customHeight="1" x14ac:dyDescent="0.25">
      <c r="A51" s="30" t="str">
        <f t="shared" si="4"/>
        <v/>
      </c>
      <c r="B51" s="41"/>
      <c r="C51" s="35" t="str">
        <f>IF(B51="","",IFERROR(VLOOKUP(B51,DB_Customers!$A:$B,2,0),"❌ Account Not Found"))</f>
        <v/>
      </c>
      <c r="D51" s="42" t="str">
        <f t="shared" ca="1" si="5"/>
        <v/>
      </c>
      <c r="E51" s="32"/>
      <c r="F51" s="31"/>
      <c r="G51" s="41"/>
      <c r="H51" s="56">
        <v>2.5</v>
      </c>
      <c r="I51" s="43" t="str">
        <f t="shared" si="6"/>
        <v/>
      </c>
      <c r="J51" s="43" t="str">
        <f t="shared" si="7"/>
        <v/>
      </c>
      <c r="K51" s="33" t="str">
        <f>IF(B51="","Pending",IF(M51="","⚠️ Enter Code",IF(IFERROR(VLOOKUP(L51,DB_Agents!$B:$F,4,0),"")=TEXT(M51,"0"),"Pending Approval","🔒 WRONG CODE")))</f>
        <v>Pending</v>
      </c>
      <c r="L51" s="30" t="s">
        <v>59</v>
      </c>
      <c r="M51" s="41"/>
      <c r="N51" s="22"/>
    </row>
    <row r="52" spans="1:14" ht="20.100000000000001" customHeight="1" x14ac:dyDescent="0.25">
      <c r="A52" s="30" t="str">
        <f t="shared" si="4"/>
        <v/>
      </c>
      <c r="B52" s="41"/>
      <c r="C52" s="35" t="str">
        <f>IF(B52="","",IFERROR(VLOOKUP(B52,DB_Customers!$A:$B,2,0),"❌ Account Not Found"))</f>
        <v/>
      </c>
      <c r="D52" s="42" t="str">
        <f t="shared" ca="1" si="5"/>
        <v/>
      </c>
      <c r="E52" s="32"/>
      <c r="F52" s="31"/>
      <c r="G52" s="41"/>
      <c r="H52" s="56">
        <v>2.5</v>
      </c>
      <c r="I52" s="43" t="str">
        <f t="shared" si="6"/>
        <v/>
      </c>
      <c r="J52" s="43" t="str">
        <f t="shared" si="7"/>
        <v/>
      </c>
      <c r="K52" s="33" t="str">
        <f>IF(B52="","Pending",IF(M52="","⚠️ Enter Code",IF(IFERROR(VLOOKUP(L52,DB_Agents!$B:$F,4,0),"")=TEXT(M52,"0"),"Pending Approval","🔒 WRONG CODE")))</f>
        <v>Pending</v>
      </c>
      <c r="L52" s="30" t="s">
        <v>59</v>
      </c>
      <c r="M52" s="41"/>
      <c r="N52" s="57"/>
    </row>
    <row r="53" spans="1:14" ht="20.100000000000001" customHeight="1" x14ac:dyDescent="0.25">
      <c r="A53" s="30" t="str">
        <f t="shared" si="4"/>
        <v/>
      </c>
      <c r="B53" s="41"/>
      <c r="C53" s="35" t="str">
        <f>IF(B53="","",IFERROR(VLOOKUP(B53,DB_Customers!$A:$B,2,0),"❌ Account Not Found"))</f>
        <v/>
      </c>
      <c r="D53" s="42" t="str">
        <f t="shared" ca="1" si="5"/>
        <v/>
      </c>
      <c r="E53" s="32"/>
      <c r="F53" s="31"/>
      <c r="G53" s="41"/>
      <c r="H53" s="56">
        <v>2.5</v>
      </c>
      <c r="I53" s="43" t="str">
        <f t="shared" si="6"/>
        <v/>
      </c>
      <c r="J53" s="43" t="str">
        <f t="shared" si="7"/>
        <v/>
      </c>
      <c r="K53" s="33" t="str">
        <f>IF(B53="","Pending",IF(M53="","⚠️ Enter Code",IF(IFERROR(VLOOKUP(L53,DB_Agents!$B:$F,4,0),"")=TEXT(M53,"0"),"Pending Approval","🔒 WRONG CODE")))</f>
        <v>Pending</v>
      </c>
      <c r="L53" s="30" t="s">
        <v>59</v>
      </c>
      <c r="M53" s="41"/>
      <c r="N53" s="22"/>
    </row>
    <row r="54" spans="1:14" ht="20.100000000000001" customHeight="1" x14ac:dyDescent="0.25">
      <c r="A54" s="30" t="str">
        <f t="shared" si="4"/>
        <v/>
      </c>
      <c r="B54" s="41"/>
      <c r="C54" s="35" t="str">
        <f>IF(B54="","",IFERROR(VLOOKUP(B54,DB_Customers!$A:$B,2,0),"❌ Account Not Found"))</f>
        <v/>
      </c>
      <c r="D54" s="42" t="str">
        <f t="shared" ca="1" si="5"/>
        <v/>
      </c>
      <c r="E54" s="32"/>
      <c r="F54" s="31"/>
      <c r="G54" s="41"/>
      <c r="H54" s="56">
        <v>2.5</v>
      </c>
      <c r="I54" s="43" t="str">
        <f t="shared" si="6"/>
        <v/>
      </c>
      <c r="J54" s="43" t="str">
        <f t="shared" si="7"/>
        <v/>
      </c>
      <c r="K54" s="33" t="str">
        <f>IF(B54="","Pending",IF(M54="","⚠️ Enter Code",IF(IFERROR(VLOOKUP(L54,DB_Agents!$B:$F,4,0),"")=TEXT(M54,"0"),"Pending Approval","🔒 WRONG CODE")))</f>
        <v>Pending</v>
      </c>
      <c r="L54" s="30" t="s">
        <v>59</v>
      </c>
      <c r="M54" s="41"/>
      <c r="N54" s="57"/>
    </row>
    <row r="55" spans="1:14" ht="20.100000000000001" customHeight="1" x14ac:dyDescent="0.25">
      <c r="A55" s="30" t="str">
        <f t="shared" si="4"/>
        <v/>
      </c>
      <c r="B55" s="41"/>
      <c r="C55" s="35" t="str">
        <f>IF(B55="","",IFERROR(VLOOKUP(B55,DB_Customers!$A:$B,2,0),"❌ Account Not Found"))</f>
        <v/>
      </c>
      <c r="D55" s="42" t="str">
        <f t="shared" ca="1" si="5"/>
        <v/>
      </c>
      <c r="E55" s="32"/>
      <c r="F55" s="31"/>
      <c r="G55" s="41"/>
      <c r="H55" s="56">
        <v>2.5</v>
      </c>
      <c r="I55" s="43" t="str">
        <f t="shared" si="6"/>
        <v/>
      </c>
      <c r="J55" s="43" t="str">
        <f t="shared" si="7"/>
        <v/>
      </c>
      <c r="K55" s="33" t="str">
        <f>IF(B55="","Pending",IF(M55="","⚠️ Enter Code",IF(IFERROR(VLOOKUP(L55,DB_Agents!$B:$F,4,0),"")=TEXT(M55,"0"),"Pending Approval","🔒 WRONG CODE")))</f>
        <v>Pending</v>
      </c>
      <c r="L55" s="30" t="s">
        <v>59</v>
      </c>
      <c r="M55" s="41"/>
      <c r="N55" s="22"/>
    </row>
    <row r="56" spans="1:14" ht="20.100000000000001" customHeight="1" x14ac:dyDescent="0.25">
      <c r="A56" s="30" t="str">
        <f t="shared" si="4"/>
        <v/>
      </c>
      <c r="B56" s="41"/>
      <c r="C56" s="35" t="str">
        <f>IF(B56="","",IFERROR(VLOOKUP(B56,DB_Customers!$A:$B,2,0),"❌ Account Not Found"))</f>
        <v/>
      </c>
      <c r="D56" s="42" t="str">
        <f t="shared" ca="1" si="5"/>
        <v/>
      </c>
      <c r="E56" s="32"/>
      <c r="F56" s="31"/>
      <c r="G56" s="41"/>
      <c r="H56" s="56">
        <v>2.5</v>
      </c>
      <c r="I56" s="43" t="str">
        <f t="shared" si="6"/>
        <v/>
      </c>
      <c r="J56" s="43" t="str">
        <f t="shared" si="7"/>
        <v/>
      </c>
      <c r="K56" s="33" t="str">
        <f>IF(B56="","Pending",IF(M56="","⚠️ Enter Code",IF(IFERROR(VLOOKUP(L56,DB_Agents!$B:$F,4,0),"")=TEXT(M56,"0"),"Pending Approval","🔒 WRONG CODE")))</f>
        <v>Pending</v>
      </c>
      <c r="L56" s="30" t="s">
        <v>59</v>
      </c>
      <c r="M56" s="41"/>
      <c r="N56" s="57"/>
    </row>
    <row r="57" spans="1:14" ht="20.100000000000001" customHeight="1" x14ac:dyDescent="0.25">
      <c r="A57" s="30" t="str">
        <f t="shared" si="4"/>
        <v/>
      </c>
      <c r="B57" s="41"/>
      <c r="C57" s="35" t="str">
        <f>IF(B57="","",IFERROR(VLOOKUP(B57,DB_Customers!$A:$B,2,0),"❌ Account Not Found"))</f>
        <v/>
      </c>
      <c r="D57" s="42" t="str">
        <f t="shared" ca="1" si="5"/>
        <v/>
      </c>
      <c r="E57" s="32"/>
      <c r="F57" s="31"/>
      <c r="G57" s="41"/>
      <c r="H57" s="56">
        <v>2.5</v>
      </c>
      <c r="I57" s="43" t="str">
        <f t="shared" si="6"/>
        <v/>
      </c>
      <c r="J57" s="43" t="str">
        <f t="shared" si="7"/>
        <v/>
      </c>
      <c r="K57" s="33" t="str">
        <f>IF(B57="","Pending",IF(M57="","⚠️ Enter Code",IF(IFERROR(VLOOKUP(L57,DB_Agents!$B:$F,4,0),"")=TEXT(M57,"0"),"Pending Approval","🔒 WRONG CODE")))</f>
        <v>Pending</v>
      </c>
      <c r="L57" s="30" t="s">
        <v>59</v>
      </c>
      <c r="M57" s="41"/>
      <c r="N57" s="22"/>
    </row>
    <row r="58" spans="1:14" ht="20.100000000000001" customHeight="1" x14ac:dyDescent="0.25">
      <c r="A58" s="30" t="str">
        <f t="shared" si="4"/>
        <v/>
      </c>
      <c r="B58" s="41"/>
      <c r="C58" s="35" t="str">
        <f>IF(B58="","",IFERROR(VLOOKUP(B58,DB_Customers!$A:$B,2,0),"❌ Account Not Found"))</f>
        <v/>
      </c>
      <c r="D58" s="42" t="str">
        <f t="shared" ca="1" si="5"/>
        <v/>
      </c>
      <c r="E58" s="32"/>
      <c r="F58" s="31"/>
      <c r="G58" s="41"/>
      <c r="H58" s="56">
        <v>2.5</v>
      </c>
      <c r="I58" s="43" t="str">
        <f t="shared" si="6"/>
        <v/>
      </c>
      <c r="J58" s="43" t="str">
        <f t="shared" si="7"/>
        <v/>
      </c>
      <c r="K58" s="33" t="str">
        <f>IF(B58="","Pending",IF(M58="","⚠️ Enter Code",IF(IFERROR(VLOOKUP(L58,DB_Agents!$B:$F,4,0),"")=TEXT(M58,"0"),"Pending Approval","🔒 WRONG CODE")))</f>
        <v>Pending</v>
      </c>
      <c r="L58" s="30" t="s">
        <v>59</v>
      </c>
      <c r="M58" s="41"/>
      <c r="N58" s="57"/>
    </row>
    <row r="59" spans="1:14" ht="20.100000000000001" customHeight="1" x14ac:dyDescent="0.25">
      <c r="A59" s="30" t="str">
        <f t="shared" si="4"/>
        <v/>
      </c>
      <c r="B59" s="41"/>
      <c r="C59" s="35" t="str">
        <f>IF(B59="","",IFERROR(VLOOKUP(B59,DB_Customers!$A:$B,2,0),"❌ Account Not Found"))</f>
        <v/>
      </c>
      <c r="D59" s="42" t="str">
        <f t="shared" ca="1" si="5"/>
        <v/>
      </c>
      <c r="E59" s="32"/>
      <c r="F59" s="31"/>
      <c r="G59" s="41"/>
      <c r="H59" s="56">
        <v>2.5</v>
      </c>
      <c r="I59" s="43" t="str">
        <f t="shared" si="6"/>
        <v/>
      </c>
      <c r="J59" s="43" t="str">
        <f t="shared" si="7"/>
        <v/>
      </c>
      <c r="K59" s="33" t="str">
        <f>IF(B59="","Pending",IF(M59="","⚠️ Enter Code",IF(IFERROR(VLOOKUP(L59,DB_Agents!$B:$F,4,0),"")=TEXT(M59,"0"),"Pending Approval","🔒 WRONG CODE")))</f>
        <v>Pending</v>
      </c>
      <c r="L59" s="30" t="s">
        <v>59</v>
      </c>
      <c r="M59" s="41"/>
      <c r="N59" s="22"/>
    </row>
    <row r="60" spans="1:14" ht="20.100000000000001" customHeight="1" x14ac:dyDescent="0.25">
      <c r="A60" s="30" t="str">
        <f t="shared" si="4"/>
        <v/>
      </c>
      <c r="B60" s="41"/>
      <c r="C60" s="35" t="str">
        <f>IF(B60="","",IFERROR(VLOOKUP(B60,DB_Customers!$A:$B,2,0),"❌ Account Not Found"))</f>
        <v/>
      </c>
      <c r="D60" s="42" t="str">
        <f t="shared" ca="1" si="5"/>
        <v/>
      </c>
      <c r="E60" s="32"/>
      <c r="F60" s="31"/>
      <c r="G60" s="41"/>
      <c r="H60" s="56">
        <v>2.5</v>
      </c>
      <c r="I60" s="43" t="str">
        <f t="shared" si="6"/>
        <v/>
      </c>
      <c r="J60" s="43" t="str">
        <f t="shared" si="7"/>
        <v/>
      </c>
      <c r="K60" s="33" t="str">
        <f>IF(B60="","Pending",IF(M60="","⚠️ Enter Code",IF(IFERROR(VLOOKUP(L60,DB_Agents!$B:$F,4,0),"")=TEXT(M60,"0"),"Pending Approval","🔒 WRONG CODE")))</f>
        <v>Pending</v>
      </c>
      <c r="L60" s="30" t="s">
        <v>59</v>
      </c>
      <c r="M60" s="41"/>
      <c r="N60" s="57"/>
    </row>
    <row r="61" spans="1:14" ht="20.100000000000001" customHeight="1" x14ac:dyDescent="0.25">
      <c r="A61" s="30" t="str">
        <f t="shared" si="4"/>
        <v/>
      </c>
      <c r="B61" s="41"/>
      <c r="C61" s="35" t="str">
        <f>IF(B61="","",IFERROR(VLOOKUP(B61,DB_Customers!$A:$B,2,0),"❌ Account Not Found"))</f>
        <v/>
      </c>
      <c r="D61" s="42" t="str">
        <f t="shared" ca="1" si="5"/>
        <v/>
      </c>
      <c r="E61" s="32"/>
      <c r="F61" s="31"/>
      <c r="G61" s="41"/>
      <c r="H61" s="56">
        <v>2.5</v>
      </c>
      <c r="I61" s="43" t="str">
        <f t="shared" si="6"/>
        <v/>
      </c>
      <c r="J61" s="43" t="str">
        <f t="shared" si="7"/>
        <v/>
      </c>
      <c r="K61" s="33" t="str">
        <f>IF(B61="","Pending",IF(M61="","⚠️ Enter Code",IF(IFERROR(VLOOKUP(L61,DB_Agents!$B:$F,4,0),"")=TEXT(M61,"0"),"Pending Approval","🔒 WRONG CODE")))</f>
        <v>Pending</v>
      </c>
      <c r="L61" s="30" t="s">
        <v>59</v>
      </c>
      <c r="M61" s="41"/>
      <c r="N61" s="22"/>
    </row>
    <row r="62" spans="1:14" ht="20.100000000000001" customHeight="1" x14ac:dyDescent="0.25">
      <c r="A62" s="30" t="str">
        <f t="shared" si="4"/>
        <v/>
      </c>
      <c r="B62" s="41"/>
      <c r="C62" s="35" t="str">
        <f>IF(B62="","",IFERROR(VLOOKUP(B62,DB_Customers!$A:$B,2,0),"❌ Account Not Found"))</f>
        <v/>
      </c>
      <c r="D62" s="42" t="str">
        <f t="shared" ca="1" si="5"/>
        <v/>
      </c>
      <c r="E62" s="32"/>
      <c r="F62" s="31"/>
      <c r="G62" s="41"/>
      <c r="H62" s="56">
        <v>2.5</v>
      </c>
      <c r="I62" s="43" t="str">
        <f t="shared" si="6"/>
        <v/>
      </c>
      <c r="J62" s="43" t="str">
        <f t="shared" si="7"/>
        <v/>
      </c>
      <c r="K62" s="33" t="str">
        <f>IF(B62="","Pending",IF(M62="","⚠️ Enter Code",IF(IFERROR(VLOOKUP(L62,DB_Agents!$B:$F,4,0),"")=TEXT(M62,"0"),"Pending Approval","🔒 WRONG CODE")))</f>
        <v>Pending</v>
      </c>
      <c r="L62" s="30" t="s">
        <v>59</v>
      </c>
      <c r="M62" s="41"/>
      <c r="N62" s="57"/>
    </row>
    <row r="63" spans="1:14" ht="20.100000000000001" customHeight="1" x14ac:dyDescent="0.25">
      <c r="A63" s="30" t="str">
        <f t="shared" si="4"/>
        <v/>
      </c>
      <c r="B63" s="41"/>
      <c r="C63" s="35" t="str">
        <f>IF(B63="","",IFERROR(VLOOKUP(B63,DB_Customers!$A:$B,2,0),"❌ Account Not Found"))</f>
        <v/>
      </c>
      <c r="D63" s="42" t="str">
        <f t="shared" ca="1" si="5"/>
        <v/>
      </c>
      <c r="E63" s="32"/>
      <c r="F63" s="31"/>
      <c r="G63" s="41"/>
      <c r="H63" s="56">
        <v>2.5</v>
      </c>
      <c r="I63" s="43" t="str">
        <f t="shared" si="6"/>
        <v/>
      </c>
      <c r="J63" s="43" t="str">
        <f t="shared" si="7"/>
        <v/>
      </c>
      <c r="K63" s="33" t="str">
        <f>IF(B63="","Pending",IF(M63="","⚠️ Enter Code",IF(IFERROR(VLOOKUP(L63,DB_Agents!$B:$F,4,0),"")=TEXT(M63,"0"),"Pending Approval","🔒 WRONG CODE")))</f>
        <v>Pending</v>
      </c>
      <c r="L63" s="30" t="s">
        <v>59</v>
      </c>
      <c r="M63" s="41"/>
      <c r="N63" s="22"/>
    </row>
    <row r="64" spans="1:14" ht="20.100000000000001" customHeight="1" x14ac:dyDescent="0.25">
      <c r="A64" s="30" t="str">
        <f t="shared" si="4"/>
        <v/>
      </c>
      <c r="B64" s="41"/>
      <c r="C64" s="35" t="str">
        <f>IF(B64="","",IFERROR(VLOOKUP(B64,DB_Customers!$A:$B,2,0),"❌ Account Not Found"))</f>
        <v/>
      </c>
      <c r="D64" s="42" t="str">
        <f t="shared" ca="1" si="5"/>
        <v/>
      </c>
      <c r="E64" s="32"/>
      <c r="F64" s="31"/>
      <c r="G64" s="41"/>
      <c r="H64" s="56">
        <v>2.5</v>
      </c>
      <c r="I64" s="43" t="str">
        <f t="shared" si="6"/>
        <v/>
      </c>
      <c r="J64" s="43" t="str">
        <f t="shared" si="7"/>
        <v/>
      </c>
      <c r="K64" s="33" t="str">
        <f>IF(B64="","Pending",IF(M64="","⚠️ Enter Code",IF(IFERROR(VLOOKUP(L64,DB_Agents!$B:$F,4,0),"")=TEXT(M64,"0"),"Pending Approval","🔒 WRONG CODE")))</f>
        <v>Pending</v>
      </c>
      <c r="L64" s="30" t="s">
        <v>59</v>
      </c>
      <c r="M64" s="41"/>
      <c r="N64" s="57"/>
    </row>
    <row r="65" spans="1:14" ht="20.100000000000001" customHeight="1" x14ac:dyDescent="0.25">
      <c r="A65" s="30" t="str">
        <f t="shared" si="4"/>
        <v/>
      </c>
      <c r="B65" s="41"/>
      <c r="C65" s="35" t="str">
        <f>IF(B65="","",IFERROR(VLOOKUP(B65,DB_Customers!$A:$B,2,0),"❌ Account Not Found"))</f>
        <v/>
      </c>
      <c r="D65" s="42" t="str">
        <f t="shared" ca="1" si="5"/>
        <v/>
      </c>
      <c r="E65" s="32"/>
      <c r="F65" s="31"/>
      <c r="G65" s="41"/>
      <c r="H65" s="56">
        <v>2.5</v>
      </c>
      <c r="I65" s="43" t="str">
        <f t="shared" si="6"/>
        <v/>
      </c>
      <c r="J65" s="43" t="str">
        <f t="shared" si="7"/>
        <v/>
      </c>
      <c r="K65" s="33" t="str">
        <f>IF(B65="","Pending",IF(M65="","⚠️ Enter Code",IF(IFERROR(VLOOKUP(L65,DB_Agents!$B:$F,4,0),"")=TEXT(M65,"0"),"Pending Approval","🔒 WRONG CODE")))</f>
        <v>Pending</v>
      </c>
      <c r="L65" s="30" t="s">
        <v>59</v>
      </c>
      <c r="M65" s="41"/>
      <c r="N65" s="22"/>
    </row>
    <row r="66" spans="1:14" ht="20.100000000000001" customHeight="1" x14ac:dyDescent="0.25">
      <c r="A66" s="30" t="str">
        <f t="shared" si="4"/>
        <v/>
      </c>
      <c r="B66" s="41"/>
      <c r="C66" s="35" t="str">
        <f>IF(B66="","",IFERROR(VLOOKUP(B66,DB_Customers!$A:$B,2,0),"❌ Account Not Found"))</f>
        <v/>
      </c>
      <c r="D66" s="42" t="str">
        <f t="shared" ca="1" si="5"/>
        <v/>
      </c>
      <c r="E66" s="32"/>
      <c r="F66" s="31"/>
      <c r="G66" s="41"/>
      <c r="H66" s="56">
        <v>2.5</v>
      </c>
      <c r="I66" s="43" t="str">
        <f t="shared" si="6"/>
        <v/>
      </c>
      <c r="J66" s="43" t="str">
        <f t="shared" si="7"/>
        <v/>
      </c>
      <c r="K66" s="33" t="str">
        <f>IF(B66="","Pending",IF(M66="","⚠️ Enter Code",IF(IFERROR(VLOOKUP(L66,DB_Agents!$B:$F,4,0),"")=TEXT(M66,"0"),"Pending Approval","🔒 WRONG CODE")))</f>
        <v>Pending</v>
      </c>
      <c r="L66" s="30" t="s">
        <v>59</v>
      </c>
      <c r="M66" s="41"/>
      <c r="N66" s="57"/>
    </row>
    <row r="67" spans="1:14" ht="20.100000000000001" customHeight="1" x14ac:dyDescent="0.25">
      <c r="A67" s="30" t="str">
        <f t="shared" si="4"/>
        <v/>
      </c>
      <c r="B67" s="41"/>
      <c r="C67" s="35" t="str">
        <f>IF(B67="","",IFERROR(VLOOKUP(B67,DB_Customers!$A:$B,2,0),"❌ Account Not Found"))</f>
        <v/>
      </c>
      <c r="D67" s="42" t="str">
        <f t="shared" ca="1" si="5"/>
        <v/>
      </c>
      <c r="E67" s="32"/>
      <c r="F67" s="31"/>
      <c r="G67" s="41"/>
      <c r="H67" s="56">
        <v>2.5</v>
      </c>
      <c r="I67" s="43" t="str">
        <f t="shared" si="6"/>
        <v/>
      </c>
      <c r="J67" s="43" t="str">
        <f t="shared" si="7"/>
        <v/>
      </c>
      <c r="K67" s="33" t="str">
        <f>IF(B67="","Pending",IF(M67="","⚠️ Enter Code",IF(IFERROR(VLOOKUP(L67,DB_Agents!$B:$F,4,0),"")=TEXT(M67,"0"),"Pending Approval","🔒 WRONG CODE")))</f>
        <v>Pending</v>
      </c>
      <c r="L67" s="30" t="s">
        <v>59</v>
      </c>
      <c r="M67" s="41"/>
      <c r="N67" s="22"/>
    </row>
    <row r="68" spans="1:14" ht="20.100000000000001" customHeight="1" x14ac:dyDescent="0.25">
      <c r="A68" s="30" t="str">
        <f t="shared" si="4"/>
        <v/>
      </c>
      <c r="B68" s="41"/>
      <c r="C68" s="35" t="str">
        <f>IF(B68="","",IFERROR(VLOOKUP(B68,DB_Customers!$A:$B,2,0),"❌ Account Not Found"))</f>
        <v/>
      </c>
      <c r="D68" s="42" t="str">
        <f t="shared" ca="1" si="5"/>
        <v/>
      </c>
      <c r="E68" s="32"/>
      <c r="F68" s="31"/>
      <c r="G68" s="41"/>
      <c r="H68" s="56">
        <v>2.5</v>
      </c>
      <c r="I68" s="43" t="str">
        <f t="shared" si="6"/>
        <v/>
      </c>
      <c r="J68" s="43" t="str">
        <f t="shared" si="7"/>
        <v/>
      </c>
      <c r="K68" s="33" t="str">
        <f>IF(B68="","Pending",IF(M68="","⚠️ Enter Code",IF(IFERROR(VLOOKUP(L68,DB_Agents!$B:$F,4,0),"")=TEXT(M68,"0"),"Pending Approval","🔒 WRONG CODE")))</f>
        <v>Pending</v>
      </c>
      <c r="L68" s="30" t="s">
        <v>59</v>
      </c>
      <c r="M68" s="41"/>
      <c r="N68" s="57"/>
    </row>
    <row r="69" spans="1:14" ht="20.100000000000001" customHeight="1" x14ac:dyDescent="0.25">
      <c r="A69" s="30" t="str">
        <f t="shared" si="4"/>
        <v/>
      </c>
      <c r="B69" s="41"/>
      <c r="C69" s="35" t="str">
        <f>IF(B69="","",IFERROR(VLOOKUP(B69,DB_Customers!$A:$B,2,0),"❌ Account Not Found"))</f>
        <v/>
      </c>
      <c r="D69" s="42" t="str">
        <f t="shared" ca="1" si="5"/>
        <v/>
      </c>
      <c r="E69" s="32"/>
      <c r="F69" s="31"/>
      <c r="G69" s="41"/>
      <c r="H69" s="56">
        <v>2.5</v>
      </c>
      <c r="I69" s="43" t="str">
        <f t="shared" si="6"/>
        <v/>
      </c>
      <c r="J69" s="43" t="str">
        <f t="shared" si="7"/>
        <v/>
      </c>
      <c r="K69" s="33" t="str">
        <f>IF(B69="","Pending",IF(M69="","⚠️ Enter Code",IF(IFERROR(VLOOKUP(L69,DB_Agents!$B:$F,4,0),"")=TEXT(M69,"0"),"Pending Approval","🔒 WRONG CODE")))</f>
        <v>Pending</v>
      </c>
      <c r="L69" s="30" t="s">
        <v>59</v>
      </c>
      <c r="M69" s="41"/>
      <c r="N69" s="22"/>
    </row>
    <row r="70" spans="1:14" ht="20.100000000000001" customHeight="1" x14ac:dyDescent="0.25">
      <c r="A70" s="30" t="str">
        <f t="shared" si="4"/>
        <v/>
      </c>
      <c r="B70" s="41"/>
      <c r="C70" s="35" t="str">
        <f>IF(B70="","",IFERROR(VLOOKUP(B70,DB_Customers!$A:$B,2,0),"❌ Account Not Found"))</f>
        <v/>
      </c>
      <c r="D70" s="42" t="str">
        <f t="shared" ca="1" si="5"/>
        <v/>
      </c>
      <c r="E70" s="32"/>
      <c r="F70" s="31"/>
      <c r="G70" s="41"/>
      <c r="H70" s="56">
        <v>2.5</v>
      </c>
      <c r="I70" s="43" t="str">
        <f t="shared" si="6"/>
        <v/>
      </c>
      <c r="J70" s="43" t="str">
        <f t="shared" si="7"/>
        <v/>
      </c>
      <c r="K70" s="33" t="str">
        <f>IF(B70="","Pending",IF(M70="","⚠️ Enter Code",IF(IFERROR(VLOOKUP(L70,DB_Agents!$B:$F,4,0),"")=TEXT(M70,"0"),"Pending Approval","🔒 WRONG CODE")))</f>
        <v>Pending</v>
      </c>
      <c r="L70" s="30" t="s">
        <v>59</v>
      </c>
      <c r="M70" s="41"/>
      <c r="N70" s="57"/>
    </row>
    <row r="71" spans="1:14" ht="20.100000000000001" customHeight="1" x14ac:dyDescent="0.25">
      <c r="A71" s="30" t="str">
        <f t="shared" si="4"/>
        <v/>
      </c>
      <c r="B71" s="41"/>
      <c r="C71" s="35" t="str">
        <f>IF(B71="","",IFERROR(VLOOKUP(B71,DB_Customers!$A:$B,2,0),"❌ Account Not Found"))</f>
        <v/>
      </c>
      <c r="D71" s="42" t="str">
        <f t="shared" ca="1" si="5"/>
        <v/>
      </c>
      <c r="E71" s="32"/>
      <c r="F71" s="31"/>
      <c r="G71" s="41"/>
      <c r="H71" s="56">
        <v>2.5</v>
      </c>
      <c r="I71" s="43" t="str">
        <f t="shared" si="6"/>
        <v/>
      </c>
      <c r="J71" s="43" t="str">
        <f t="shared" si="7"/>
        <v/>
      </c>
      <c r="K71" s="33" t="str">
        <f>IF(B71="","Pending",IF(M71="","⚠️ Enter Code",IF(IFERROR(VLOOKUP(L71,DB_Agents!$B:$F,4,0),"")=TEXT(M71,"0"),"Pending Approval","🔒 WRONG CODE")))</f>
        <v>Pending</v>
      </c>
      <c r="L71" s="30" t="s">
        <v>59</v>
      </c>
      <c r="M71" s="41"/>
      <c r="N71" s="22"/>
    </row>
    <row r="72" spans="1:14" ht="20.100000000000001" customHeight="1" x14ac:dyDescent="0.25">
      <c r="A72" s="30" t="str">
        <f t="shared" si="4"/>
        <v/>
      </c>
      <c r="B72" s="41"/>
      <c r="C72" s="35" t="str">
        <f>IF(B72="","",IFERROR(VLOOKUP(B72,DB_Customers!$A:$B,2,0),"❌ Account Not Found"))</f>
        <v/>
      </c>
      <c r="D72" s="42" t="str">
        <f t="shared" ca="1" si="5"/>
        <v/>
      </c>
      <c r="E72" s="32"/>
      <c r="F72" s="31"/>
      <c r="G72" s="41"/>
      <c r="H72" s="56">
        <v>2.5</v>
      </c>
      <c r="I72" s="43" t="str">
        <f t="shared" si="6"/>
        <v/>
      </c>
      <c r="J72" s="43" t="str">
        <f t="shared" si="7"/>
        <v/>
      </c>
      <c r="K72" s="33" t="str">
        <f>IF(B72="","Pending",IF(M72="","⚠️ Enter Code",IF(IFERROR(VLOOKUP(L72,DB_Agents!$B:$F,4,0),"")=TEXT(M72,"0"),"Pending Approval","🔒 WRONG CODE")))</f>
        <v>Pending</v>
      </c>
      <c r="L72" s="30" t="s">
        <v>59</v>
      </c>
      <c r="M72" s="41"/>
      <c r="N72" s="57"/>
    </row>
    <row r="73" spans="1:14" ht="20.100000000000001" customHeight="1" x14ac:dyDescent="0.25">
      <c r="A73" s="30" t="str">
        <f t="shared" si="4"/>
        <v/>
      </c>
      <c r="B73" s="41"/>
      <c r="C73" s="35" t="str">
        <f>IF(B73="","",IFERROR(VLOOKUP(B73,DB_Customers!$A:$B,2,0),"❌ Account Not Found"))</f>
        <v/>
      </c>
      <c r="D73" s="42" t="str">
        <f t="shared" ca="1" si="5"/>
        <v/>
      </c>
      <c r="E73" s="32"/>
      <c r="F73" s="31"/>
      <c r="G73" s="41"/>
      <c r="H73" s="56">
        <v>2.5</v>
      </c>
      <c r="I73" s="43" t="str">
        <f t="shared" si="6"/>
        <v/>
      </c>
      <c r="J73" s="43" t="str">
        <f t="shared" si="7"/>
        <v/>
      </c>
      <c r="K73" s="33" t="str">
        <f>IF(B73="","Pending",IF(M73="","⚠️ Enter Code",IF(IFERROR(VLOOKUP(L73,DB_Agents!$B:$F,4,0),"")=TEXT(M73,"0"),"Pending Approval","🔒 WRONG CODE")))</f>
        <v>Pending</v>
      </c>
      <c r="L73" s="30" t="s">
        <v>59</v>
      </c>
      <c r="M73" s="41"/>
      <c r="N73" s="22"/>
    </row>
    <row r="74" spans="1:14" ht="20.100000000000001" customHeight="1" x14ac:dyDescent="0.25">
      <c r="A74" s="30" t="str">
        <f t="shared" si="4"/>
        <v/>
      </c>
      <c r="B74" s="41"/>
      <c r="C74" s="35" t="str">
        <f>IF(B74="","",IFERROR(VLOOKUP(B74,DB_Customers!$A:$B,2,0),"❌ Account Not Found"))</f>
        <v/>
      </c>
      <c r="D74" s="42" t="str">
        <f t="shared" ca="1" si="5"/>
        <v/>
      </c>
      <c r="E74" s="32"/>
      <c r="F74" s="31"/>
      <c r="G74" s="41"/>
      <c r="H74" s="56">
        <v>2.5</v>
      </c>
      <c r="I74" s="43" t="str">
        <f t="shared" si="6"/>
        <v/>
      </c>
      <c r="J74" s="43" t="str">
        <f t="shared" si="7"/>
        <v/>
      </c>
      <c r="K74" s="33" t="str">
        <f>IF(B74="","Pending",IF(M74="","⚠️ Enter Code",IF(IFERROR(VLOOKUP(L74,DB_Agents!$B:$F,4,0),"")=TEXT(M74,"0"),"Pending Approval","🔒 WRONG CODE")))</f>
        <v>Pending</v>
      </c>
      <c r="L74" s="30" t="s">
        <v>59</v>
      </c>
      <c r="M74" s="41"/>
      <c r="N74" s="57"/>
    </row>
    <row r="75" spans="1:14" ht="20.100000000000001" customHeight="1" x14ac:dyDescent="0.25">
      <c r="A75" s="30" t="str">
        <f t="shared" si="4"/>
        <v/>
      </c>
      <c r="B75" s="41"/>
      <c r="C75" s="35" t="str">
        <f>IF(B75="","",IFERROR(VLOOKUP(B75,DB_Customers!$A:$B,2,0),"❌ Account Not Found"))</f>
        <v/>
      </c>
      <c r="D75" s="42" t="str">
        <f t="shared" ca="1" si="5"/>
        <v/>
      </c>
      <c r="E75" s="32"/>
      <c r="F75" s="31"/>
      <c r="G75" s="41"/>
      <c r="H75" s="56">
        <v>2.5</v>
      </c>
      <c r="I75" s="43" t="str">
        <f t="shared" si="6"/>
        <v/>
      </c>
      <c r="J75" s="43" t="str">
        <f t="shared" si="7"/>
        <v/>
      </c>
      <c r="K75" s="33" t="str">
        <f>IF(B75="","Pending",IF(M75="","⚠️ Enter Code",IF(IFERROR(VLOOKUP(L75,DB_Agents!$B:$F,4,0),"")=TEXT(M75,"0"),"Pending Approval","🔒 WRONG CODE")))</f>
        <v>Pending</v>
      </c>
      <c r="L75" s="30" t="s">
        <v>59</v>
      </c>
      <c r="M75" s="41"/>
      <c r="N75" s="22"/>
    </row>
    <row r="76" spans="1:14" ht="20.100000000000001" customHeight="1" x14ac:dyDescent="0.25">
      <c r="A76" s="30" t="str">
        <f t="shared" si="4"/>
        <v/>
      </c>
      <c r="B76" s="41"/>
      <c r="C76" s="35" t="str">
        <f>IF(B76="","",IFERROR(VLOOKUP(B76,DB_Customers!$A:$B,2,0),"❌ Account Not Found"))</f>
        <v/>
      </c>
      <c r="D76" s="42" t="str">
        <f t="shared" ca="1" si="5"/>
        <v/>
      </c>
      <c r="E76" s="32"/>
      <c r="F76" s="31"/>
      <c r="G76" s="41"/>
      <c r="H76" s="56">
        <v>2.5</v>
      </c>
      <c r="I76" s="43" t="str">
        <f t="shared" si="6"/>
        <v/>
      </c>
      <c r="J76" s="43" t="str">
        <f t="shared" si="7"/>
        <v/>
      </c>
      <c r="K76" s="33" t="str">
        <f>IF(B76="","Pending",IF(M76="","⚠️ Enter Code",IF(IFERROR(VLOOKUP(L76,DB_Agents!$B:$F,4,0),"")=TEXT(M76,"0"),"Pending Approval","🔒 WRONG CODE")))</f>
        <v>Pending</v>
      </c>
      <c r="L76" s="30" t="s">
        <v>59</v>
      </c>
      <c r="M76" s="41"/>
      <c r="N76" s="57"/>
    </row>
    <row r="77" spans="1:14" ht="20.100000000000001" customHeight="1" x14ac:dyDescent="0.25">
      <c r="A77" s="30" t="str">
        <f t="shared" si="4"/>
        <v/>
      </c>
      <c r="B77" s="41"/>
      <c r="C77" s="35" t="str">
        <f>IF(B77="","",IFERROR(VLOOKUP(B77,DB_Customers!$A:$B,2,0),"❌ Account Not Found"))</f>
        <v/>
      </c>
      <c r="D77" s="42" t="str">
        <f t="shared" ca="1" si="5"/>
        <v/>
      </c>
      <c r="E77" s="32"/>
      <c r="F77" s="31"/>
      <c r="G77" s="41"/>
      <c r="H77" s="56">
        <v>2.5</v>
      </c>
      <c r="I77" s="43" t="str">
        <f t="shared" si="6"/>
        <v/>
      </c>
      <c r="J77" s="43" t="str">
        <f t="shared" si="7"/>
        <v/>
      </c>
      <c r="K77" s="33" t="str">
        <f>IF(B77="","Pending",IF(M77="","⚠️ Enter Code",IF(IFERROR(VLOOKUP(L77,DB_Agents!$B:$F,4,0),"")=TEXT(M77,"0"),"Pending Approval","🔒 WRONG CODE")))</f>
        <v>Pending</v>
      </c>
      <c r="L77" s="30" t="s">
        <v>59</v>
      </c>
      <c r="M77" s="41"/>
      <c r="N77" s="22"/>
    </row>
    <row r="78" spans="1:14" ht="20.100000000000001" customHeight="1" x14ac:dyDescent="0.25">
      <c r="A78" s="30" t="str">
        <f t="shared" ref="A78:A109" si="8">IF(B78="","",IF(C78="❌ Account Not Found","INVALID","LN"&amp;TEXT(D78,"YYYYMMDD")&amp;TEXT(ROW()-13,"0000")))</f>
        <v/>
      </c>
      <c r="B78" s="41"/>
      <c r="C78" s="35" t="str">
        <f>IF(B78="","",IFERROR(VLOOKUP(B78,DB_Customers!$A:$B,2,0),"❌ Account Not Found"))</f>
        <v/>
      </c>
      <c r="D78" s="42" t="str">
        <f t="shared" ref="D78:D109" ca="1" si="9">IF(B78="","",TODAY())</f>
        <v/>
      </c>
      <c r="E78" s="32"/>
      <c r="F78" s="31"/>
      <c r="G78" s="41"/>
      <c r="H78" s="56">
        <v>2.5</v>
      </c>
      <c r="I78" s="43" t="str">
        <f t="shared" ref="I78:I109" si="10">IF(E78="","",E78+(E78*H78/100*G78))</f>
        <v/>
      </c>
      <c r="J78" s="43" t="str">
        <f t="shared" ref="J78:J109" si="11">IFERROR(I78/G78,"")</f>
        <v/>
      </c>
      <c r="K78" s="33" t="str">
        <f>IF(B78="","Pending",IF(M78="","⚠️ Enter Code",IF(IFERROR(VLOOKUP(L78,DB_Agents!$B:$F,4,0),"")=TEXT(M78,"0"),"Pending Approval","🔒 WRONG CODE")))</f>
        <v>Pending</v>
      </c>
      <c r="L78" s="30" t="s">
        <v>59</v>
      </c>
      <c r="M78" s="41"/>
      <c r="N78" s="57"/>
    </row>
    <row r="79" spans="1:14" ht="20.100000000000001" customHeight="1" x14ac:dyDescent="0.25">
      <c r="A79" s="30" t="str">
        <f t="shared" si="8"/>
        <v/>
      </c>
      <c r="B79" s="41"/>
      <c r="C79" s="35" t="str">
        <f>IF(B79="","",IFERROR(VLOOKUP(B79,DB_Customers!$A:$B,2,0),"❌ Account Not Found"))</f>
        <v/>
      </c>
      <c r="D79" s="42" t="str">
        <f t="shared" ca="1" si="9"/>
        <v/>
      </c>
      <c r="E79" s="32"/>
      <c r="F79" s="31"/>
      <c r="G79" s="41"/>
      <c r="H79" s="56">
        <v>2.5</v>
      </c>
      <c r="I79" s="43" t="str">
        <f t="shared" si="10"/>
        <v/>
      </c>
      <c r="J79" s="43" t="str">
        <f t="shared" si="11"/>
        <v/>
      </c>
      <c r="K79" s="33" t="str">
        <f>IF(B79="","Pending",IF(M79="","⚠️ Enter Code",IF(IFERROR(VLOOKUP(L79,DB_Agents!$B:$F,4,0),"")=TEXT(M79,"0"),"Pending Approval","🔒 WRONG CODE")))</f>
        <v>Pending</v>
      </c>
      <c r="L79" s="30" t="s">
        <v>59</v>
      </c>
      <c r="M79" s="41"/>
      <c r="N79" s="22"/>
    </row>
    <row r="80" spans="1:14" ht="20.100000000000001" customHeight="1" x14ac:dyDescent="0.25">
      <c r="A80" s="30" t="str">
        <f t="shared" si="8"/>
        <v/>
      </c>
      <c r="B80" s="41"/>
      <c r="C80" s="35" t="str">
        <f>IF(B80="","",IFERROR(VLOOKUP(B80,DB_Customers!$A:$B,2,0),"❌ Account Not Found"))</f>
        <v/>
      </c>
      <c r="D80" s="42" t="str">
        <f t="shared" ca="1" si="9"/>
        <v/>
      </c>
      <c r="E80" s="32"/>
      <c r="F80" s="31"/>
      <c r="G80" s="41"/>
      <c r="H80" s="56">
        <v>2.5</v>
      </c>
      <c r="I80" s="43" t="str">
        <f t="shared" si="10"/>
        <v/>
      </c>
      <c r="J80" s="43" t="str">
        <f t="shared" si="11"/>
        <v/>
      </c>
      <c r="K80" s="33" t="str">
        <f>IF(B80="","Pending",IF(M80="","⚠️ Enter Code",IF(IFERROR(VLOOKUP(L80,DB_Agents!$B:$F,4,0),"")=TEXT(M80,"0"),"Pending Approval","🔒 WRONG CODE")))</f>
        <v>Pending</v>
      </c>
      <c r="L80" s="30" t="s">
        <v>59</v>
      </c>
      <c r="M80" s="41"/>
      <c r="N80" s="57"/>
    </row>
    <row r="81" spans="1:14" ht="20.100000000000001" customHeight="1" x14ac:dyDescent="0.25">
      <c r="A81" s="30" t="str">
        <f t="shared" si="8"/>
        <v/>
      </c>
      <c r="B81" s="41"/>
      <c r="C81" s="35" t="str">
        <f>IF(B81="","",IFERROR(VLOOKUP(B81,DB_Customers!$A:$B,2,0),"❌ Account Not Found"))</f>
        <v/>
      </c>
      <c r="D81" s="42" t="str">
        <f t="shared" ca="1" si="9"/>
        <v/>
      </c>
      <c r="E81" s="32"/>
      <c r="F81" s="31"/>
      <c r="G81" s="41"/>
      <c r="H81" s="56">
        <v>2.5</v>
      </c>
      <c r="I81" s="43" t="str">
        <f t="shared" si="10"/>
        <v/>
      </c>
      <c r="J81" s="43" t="str">
        <f t="shared" si="11"/>
        <v/>
      </c>
      <c r="K81" s="33" t="str">
        <f>IF(B81="","Pending",IF(M81="","⚠️ Enter Code",IF(IFERROR(VLOOKUP(L81,DB_Agents!$B:$F,4,0),"")=TEXT(M81,"0"),"Pending Approval","🔒 WRONG CODE")))</f>
        <v>Pending</v>
      </c>
      <c r="L81" s="30" t="s">
        <v>59</v>
      </c>
      <c r="M81" s="41"/>
      <c r="N81" s="22"/>
    </row>
    <row r="82" spans="1:14" ht="20.100000000000001" customHeight="1" x14ac:dyDescent="0.25">
      <c r="A82" s="30" t="str">
        <f t="shared" si="8"/>
        <v/>
      </c>
      <c r="B82" s="41"/>
      <c r="C82" s="35" t="str">
        <f>IF(B82="","",IFERROR(VLOOKUP(B82,DB_Customers!$A:$B,2,0),"❌ Account Not Found"))</f>
        <v/>
      </c>
      <c r="D82" s="42" t="str">
        <f t="shared" ca="1" si="9"/>
        <v/>
      </c>
      <c r="E82" s="32"/>
      <c r="F82" s="31"/>
      <c r="G82" s="41"/>
      <c r="H82" s="56">
        <v>2.5</v>
      </c>
      <c r="I82" s="43" t="str">
        <f t="shared" si="10"/>
        <v/>
      </c>
      <c r="J82" s="43" t="str">
        <f t="shared" si="11"/>
        <v/>
      </c>
      <c r="K82" s="33" t="str">
        <f>IF(B82="","Pending",IF(M82="","⚠️ Enter Code",IF(IFERROR(VLOOKUP(L82,DB_Agents!$B:$F,4,0),"")=TEXT(M82,"0"),"Pending Approval","🔒 WRONG CODE")))</f>
        <v>Pending</v>
      </c>
      <c r="L82" s="30" t="s">
        <v>59</v>
      </c>
      <c r="M82" s="41"/>
      <c r="N82" s="57"/>
    </row>
    <row r="83" spans="1:14" ht="20.100000000000001" customHeight="1" x14ac:dyDescent="0.25">
      <c r="A83" s="30" t="str">
        <f t="shared" si="8"/>
        <v/>
      </c>
      <c r="B83" s="41"/>
      <c r="C83" s="35" t="str">
        <f>IF(B83="","",IFERROR(VLOOKUP(B83,DB_Customers!$A:$B,2,0),"❌ Account Not Found"))</f>
        <v/>
      </c>
      <c r="D83" s="42" t="str">
        <f t="shared" ca="1" si="9"/>
        <v/>
      </c>
      <c r="E83" s="32"/>
      <c r="F83" s="31"/>
      <c r="G83" s="41"/>
      <c r="H83" s="56">
        <v>2.5</v>
      </c>
      <c r="I83" s="43" t="str">
        <f t="shared" si="10"/>
        <v/>
      </c>
      <c r="J83" s="43" t="str">
        <f t="shared" si="11"/>
        <v/>
      </c>
      <c r="K83" s="33" t="str">
        <f>IF(B83="","Pending",IF(M83="","⚠️ Enter Code",IF(IFERROR(VLOOKUP(L83,DB_Agents!$B:$F,4,0),"")=TEXT(M83,"0"),"Pending Approval","🔒 WRONG CODE")))</f>
        <v>Pending</v>
      </c>
      <c r="L83" s="30" t="s">
        <v>59</v>
      </c>
      <c r="M83" s="41"/>
      <c r="N83" s="22"/>
    </row>
    <row r="84" spans="1:14" ht="20.100000000000001" customHeight="1" x14ac:dyDescent="0.25">
      <c r="A84" s="30" t="str">
        <f t="shared" si="8"/>
        <v/>
      </c>
      <c r="B84" s="41"/>
      <c r="C84" s="35" t="str">
        <f>IF(B84="","",IFERROR(VLOOKUP(B84,DB_Customers!$A:$B,2,0),"❌ Account Not Found"))</f>
        <v/>
      </c>
      <c r="D84" s="42" t="str">
        <f t="shared" ca="1" si="9"/>
        <v/>
      </c>
      <c r="E84" s="32"/>
      <c r="F84" s="31"/>
      <c r="G84" s="41"/>
      <c r="H84" s="56">
        <v>2.5</v>
      </c>
      <c r="I84" s="43" t="str">
        <f t="shared" si="10"/>
        <v/>
      </c>
      <c r="J84" s="43" t="str">
        <f t="shared" si="11"/>
        <v/>
      </c>
      <c r="K84" s="33" t="str">
        <f>IF(B84="","Pending",IF(M84="","⚠️ Enter Code",IF(IFERROR(VLOOKUP(L84,DB_Agents!$B:$F,4,0),"")=TEXT(M84,"0"),"Pending Approval","🔒 WRONG CODE")))</f>
        <v>Pending</v>
      </c>
      <c r="L84" s="30" t="s">
        <v>59</v>
      </c>
      <c r="M84" s="41"/>
      <c r="N84" s="57"/>
    </row>
    <row r="85" spans="1:14" ht="20.100000000000001" customHeight="1" x14ac:dyDescent="0.25">
      <c r="A85" s="30" t="str">
        <f t="shared" si="8"/>
        <v/>
      </c>
      <c r="B85" s="41"/>
      <c r="C85" s="35" t="str">
        <f>IF(B85="","",IFERROR(VLOOKUP(B85,DB_Customers!$A:$B,2,0),"❌ Account Not Found"))</f>
        <v/>
      </c>
      <c r="D85" s="42" t="str">
        <f t="shared" ca="1" si="9"/>
        <v/>
      </c>
      <c r="E85" s="32"/>
      <c r="F85" s="31"/>
      <c r="G85" s="41"/>
      <c r="H85" s="56">
        <v>2.5</v>
      </c>
      <c r="I85" s="43" t="str">
        <f t="shared" si="10"/>
        <v/>
      </c>
      <c r="J85" s="43" t="str">
        <f t="shared" si="11"/>
        <v/>
      </c>
      <c r="K85" s="33" t="str">
        <f>IF(B85="","Pending",IF(M85="","⚠️ Enter Code",IF(IFERROR(VLOOKUP(L85,DB_Agents!$B:$F,4,0),"")=TEXT(M85,"0"),"Pending Approval","🔒 WRONG CODE")))</f>
        <v>Pending</v>
      </c>
      <c r="L85" s="30" t="s">
        <v>59</v>
      </c>
      <c r="M85" s="41"/>
      <c r="N85" s="22"/>
    </row>
    <row r="86" spans="1:14" ht="20.100000000000001" customHeight="1" x14ac:dyDescent="0.25">
      <c r="A86" s="30" t="str">
        <f t="shared" si="8"/>
        <v/>
      </c>
      <c r="B86" s="41"/>
      <c r="C86" s="35" t="str">
        <f>IF(B86="","",IFERROR(VLOOKUP(B86,DB_Customers!$A:$B,2,0),"❌ Account Not Found"))</f>
        <v/>
      </c>
      <c r="D86" s="42" t="str">
        <f t="shared" ca="1" si="9"/>
        <v/>
      </c>
      <c r="E86" s="32"/>
      <c r="F86" s="31"/>
      <c r="G86" s="41"/>
      <c r="H86" s="56">
        <v>2.5</v>
      </c>
      <c r="I86" s="43" t="str">
        <f t="shared" si="10"/>
        <v/>
      </c>
      <c r="J86" s="43" t="str">
        <f t="shared" si="11"/>
        <v/>
      </c>
      <c r="K86" s="33" t="str">
        <f>IF(B86="","Pending",IF(M86="","⚠️ Enter Code",IF(IFERROR(VLOOKUP(L86,DB_Agents!$B:$F,4,0),"")=TEXT(M86,"0"),"Pending Approval","🔒 WRONG CODE")))</f>
        <v>Pending</v>
      </c>
      <c r="L86" s="30" t="s">
        <v>59</v>
      </c>
      <c r="M86" s="41"/>
      <c r="N86" s="57"/>
    </row>
    <row r="87" spans="1:14" ht="20.100000000000001" customHeight="1" x14ac:dyDescent="0.25">
      <c r="A87" s="30" t="str">
        <f t="shared" si="8"/>
        <v/>
      </c>
      <c r="B87" s="41"/>
      <c r="C87" s="35" t="str">
        <f>IF(B87="","",IFERROR(VLOOKUP(B87,DB_Customers!$A:$B,2,0),"❌ Account Not Found"))</f>
        <v/>
      </c>
      <c r="D87" s="42" t="str">
        <f t="shared" ca="1" si="9"/>
        <v/>
      </c>
      <c r="E87" s="32"/>
      <c r="F87" s="31"/>
      <c r="G87" s="41"/>
      <c r="H87" s="56">
        <v>2.5</v>
      </c>
      <c r="I87" s="43" t="str">
        <f t="shared" si="10"/>
        <v/>
      </c>
      <c r="J87" s="43" t="str">
        <f t="shared" si="11"/>
        <v/>
      </c>
      <c r="K87" s="33" t="str">
        <f>IF(B87="","Pending",IF(M87="","⚠️ Enter Code",IF(IFERROR(VLOOKUP(L87,DB_Agents!$B:$F,4,0),"")=TEXT(M87,"0"),"Pending Approval","🔒 WRONG CODE")))</f>
        <v>Pending</v>
      </c>
      <c r="L87" s="30" t="s">
        <v>59</v>
      </c>
      <c r="M87" s="41"/>
      <c r="N87" s="22"/>
    </row>
    <row r="88" spans="1:14" ht="20.100000000000001" customHeight="1" x14ac:dyDescent="0.25">
      <c r="A88" s="30" t="str">
        <f t="shared" si="8"/>
        <v/>
      </c>
      <c r="B88" s="41"/>
      <c r="C88" s="35" t="str">
        <f>IF(B88="","",IFERROR(VLOOKUP(B88,DB_Customers!$A:$B,2,0),"❌ Account Not Found"))</f>
        <v/>
      </c>
      <c r="D88" s="42" t="str">
        <f t="shared" ca="1" si="9"/>
        <v/>
      </c>
      <c r="E88" s="32"/>
      <c r="F88" s="31"/>
      <c r="G88" s="41"/>
      <c r="H88" s="56">
        <v>2.5</v>
      </c>
      <c r="I88" s="43" t="str">
        <f t="shared" si="10"/>
        <v/>
      </c>
      <c r="J88" s="43" t="str">
        <f t="shared" si="11"/>
        <v/>
      </c>
      <c r="K88" s="33" t="str">
        <f>IF(B88="","Pending",IF(M88="","⚠️ Enter Code",IF(IFERROR(VLOOKUP(L88,DB_Agents!$B:$F,4,0),"")=TEXT(M88,"0"),"Pending Approval","🔒 WRONG CODE")))</f>
        <v>Pending</v>
      </c>
      <c r="L88" s="30" t="s">
        <v>59</v>
      </c>
      <c r="M88" s="41"/>
      <c r="N88" s="57"/>
    </row>
    <row r="89" spans="1:14" ht="20.100000000000001" customHeight="1" x14ac:dyDescent="0.25">
      <c r="A89" s="30" t="str">
        <f t="shared" si="8"/>
        <v/>
      </c>
      <c r="B89" s="41"/>
      <c r="C89" s="35" t="str">
        <f>IF(B89="","",IFERROR(VLOOKUP(B89,DB_Customers!$A:$B,2,0),"❌ Account Not Found"))</f>
        <v/>
      </c>
      <c r="D89" s="42" t="str">
        <f t="shared" ca="1" si="9"/>
        <v/>
      </c>
      <c r="E89" s="32"/>
      <c r="F89" s="31"/>
      <c r="G89" s="41"/>
      <c r="H89" s="56">
        <v>2.5</v>
      </c>
      <c r="I89" s="43" t="str">
        <f t="shared" si="10"/>
        <v/>
      </c>
      <c r="J89" s="43" t="str">
        <f t="shared" si="11"/>
        <v/>
      </c>
      <c r="K89" s="33" t="str">
        <f>IF(B89="","Pending",IF(M89="","⚠️ Enter Code",IF(IFERROR(VLOOKUP(L89,DB_Agents!$B:$F,4,0),"")=TEXT(M89,"0"),"Pending Approval","🔒 WRONG CODE")))</f>
        <v>Pending</v>
      </c>
      <c r="L89" s="30" t="s">
        <v>59</v>
      </c>
      <c r="M89" s="41"/>
      <c r="N89" s="22"/>
    </row>
    <row r="90" spans="1:14" ht="20.100000000000001" customHeight="1" x14ac:dyDescent="0.25">
      <c r="A90" s="30" t="str">
        <f t="shared" si="8"/>
        <v/>
      </c>
      <c r="B90" s="41"/>
      <c r="C90" s="35" t="str">
        <f>IF(B90="","",IFERROR(VLOOKUP(B90,DB_Customers!$A:$B,2,0),"❌ Account Not Found"))</f>
        <v/>
      </c>
      <c r="D90" s="42" t="str">
        <f t="shared" ca="1" si="9"/>
        <v/>
      </c>
      <c r="E90" s="32"/>
      <c r="F90" s="31"/>
      <c r="G90" s="41"/>
      <c r="H90" s="56">
        <v>2.5</v>
      </c>
      <c r="I90" s="43" t="str">
        <f t="shared" si="10"/>
        <v/>
      </c>
      <c r="J90" s="43" t="str">
        <f t="shared" si="11"/>
        <v/>
      </c>
      <c r="K90" s="33" t="str">
        <f>IF(B90="","Pending",IF(M90="","⚠️ Enter Code",IF(IFERROR(VLOOKUP(L90,DB_Agents!$B:$F,4,0),"")=TEXT(M90,"0"),"Pending Approval","🔒 WRONG CODE")))</f>
        <v>Pending</v>
      </c>
      <c r="L90" s="30" t="s">
        <v>59</v>
      </c>
      <c r="M90" s="41"/>
      <c r="N90" s="57"/>
    </row>
    <row r="91" spans="1:14" ht="20.100000000000001" customHeight="1" x14ac:dyDescent="0.25">
      <c r="A91" s="30" t="str">
        <f t="shared" si="8"/>
        <v/>
      </c>
      <c r="B91" s="41"/>
      <c r="C91" s="35" t="str">
        <f>IF(B91="","",IFERROR(VLOOKUP(B91,DB_Customers!$A:$B,2,0),"❌ Account Not Found"))</f>
        <v/>
      </c>
      <c r="D91" s="42" t="str">
        <f t="shared" ca="1" si="9"/>
        <v/>
      </c>
      <c r="E91" s="32"/>
      <c r="F91" s="31"/>
      <c r="G91" s="41"/>
      <c r="H91" s="56">
        <v>2.5</v>
      </c>
      <c r="I91" s="43" t="str">
        <f t="shared" si="10"/>
        <v/>
      </c>
      <c r="J91" s="43" t="str">
        <f t="shared" si="11"/>
        <v/>
      </c>
      <c r="K91" s="33" t="str">
        <f>IF(B91="","Pending",IF(M91="","⚠️ Enter Code",IF(IFERROR(VLOOKUP(L91,DB_Agents!$B:$F,4,0),"")=TEXT(M91,"0"),"Pending Approval","🔒 WRONG CODE")))</f>
        <v>Pending</v>
      </c>
      <c r="L91" s="30" t="s">
        <v>59</v>
      </c>
      <c r="M91" s="41"/>
      <c r="N91" s="22"/>
    </row>
    <row r="92" spans="1:14" ht="20.100000000000001" customHeight="1" x14ac:dyDescent="0.25">
      <c r="A92" s="30" t="str">
        <f t="shared" si="8"/>
        <v/>
      </c>
      <c r="B92" s="41"/>
      <c r="C92" s="35" t="str">
        <f>IF(B92="","",IFERROR(VLOOKUP(B92,DB_Customers!$A:$B,2,0),"❌ Account Not Found"))</f>
        <v/>
      </c>
      <c r="D92" s="42" t="str">
        <f t="shared" ca="1" si="9"/>
        <v/>
      </c>
      <c r="E92" s="32"/>
      <c r="F92" s="31"/>
      <c r="G92" s="41"/>
      <c r="H92" s="56">
        <v>2.5</v>
      </c>
      <c r="I92" s="43" t="str">
        <f t="shared" si="10"/>
        <v/>
      </c>
      <c r="J92" s="43" t="str">
        <f t="shared" si="11"/>
        <v/>
      </c>
      <c r="K92" s="33" t="str">
        <f>IF(B92="","Pending",IF(M92="","⚠️ Enter Code",IF(IFERROR(VLOOKUP(L92,DB_Agents!$B:$F,4,0),"")=TEXT(M92,"0"),"Pending Approval","🔒 WRONG CODE")))</f>
        <v>Pending</v>
      </c>
      <c r="L92" s="30" t="s">
        <v>59</v>
      </c>
      <c r="M92" s="41"/>
      <c r="N92" s="57"/>
    </row>
    <row r="93" spans="1:14" ht="20.100000000000001" customHeight="1" x14ac:dyDescent="0.25">
      <c r="A93" s="30" t="str">
        <f t="shared" si="8"/>
        <v/>
      </c>
      <c r="B93" s="41"/>
      <c r="C93" s="35" t="str">
        <f>IF(B93="","",IFERROR(VLOOKUP(B93,DB_Customers!$A:$B,2,0),"❌ Account Not Found"))</f>
        <v/>
      </c>
      <c r="D93" s="42" t="str">
        <f t="shared" ca="1" si="9"/>
        <v/>
      </c>
      <c r="E93" s="32"/>
      <c r="F93" s="31"/>
      <c r="G93" s="41"/>
      <c r="H93" s="56">
        <v>2.5</v>
      </c>
      <c r="I93" s="43" t="str">
        <f t="shared" si="10"/>
        <v/>
      </c>
      <c r="J93" s="43" t="str">
        <f t="shared" si="11"/>
        <v/>
      </c>
      <c r="K93" s="33" t="str">
        <f>IF(B93="","Pending",IF(M93="","⚠️ Enter Code",IF(IFERROR(VLOOKUP(L93,DB_Agents!$B:$F,4,0),"")=TEXT(M93,"0"),"Pending Approval","🔒 WRONG CODE")))</f>
        <v>Pending</v>
      </c>
      <c r="L93" s="30" t="s">
        <v>59</v>
      </c>
      <c r="M93" s="41"/>
      <c r="N93" s="22"/>
    </row>
    <row r="94" spans="1:14" ht="20.100000000000001" customHeight="1" x14ac:dyDescent="0.25">
      <c r="A94" s="30" t="str">
        <f t="shared" si="8"/>
        <v/>
      </c>
      <c r="B94" s="41"/>
      <c r="C94" s="35" t="str">
        <f>IF(B94="","",IFERROR(VLOOKUP(B94,DB_Customers!$A:$B,2,0),"❌ Account Not Found"))</f>
        <v/>
      </c>
      <c r="D94" s="42" t="str">
        <f t="shared" ca="1" si="9"/>
        <v/>
      </c>
      <c r="E94" s="32"/>
      <c r="F94" s="31"/>
      <c r="G94" s="41"/>
      <c r="H94" s="56">
        <v>2.5</v>
      </c>
      <c r="I94" s="43" t="str">
        <f t="shared" si="10"/>
        <v/>
      </c>
      <c r="J94" s="43" t="str">
        <f t="shared" si="11"/>
        <v/>
      </c>
      <c r="K94" s="33" t="str">
        <f>IF(B94="","Pending",IF(M94="","⚠️ Enter Code",IF(IFERROR(VLOOKUP(L94,DB_Agents!$B:$F,4,0),"")=TEXT(M94,"0"),"Pending Approval","🔒 WRONG CODE")))</f>
        <v>Pending</v>
      </c>
      <c r="L94" s="30" t="s">
        <v>59</v>
      </c>
      <c r="M94" s="41"/>
      <c r="N94" s="57"/>
    </row>
    <row r="95" spans="1:14" ht="20.100000000000001" customHeight="1" x14ac:dyDescent="0.25">
      <c r="A95" s="30" t="str">
        <f t="shared" si="8"/>
        <v/>
      </c>
      <c r="B95" s="41"/>
      <c r="C95" s="35" t="str">
        <f>IF(B95="","",IFERROR(VLOOKUP(B95,DB_Customers!$A:$B,2,0),"❌ Account Not Found"))</f>
        <v/>
      </c>
      <c r="D95" s="42" t="str">
        <f t="shared" ca="1" si="9"/>
        <v/>
      </c>
      <c r="E95" s="32"/>
      <c r="F95" s="31"/>
      <c r="G95" s="41"/>
      <c r="H95" s="56">
        <v>2.5</v>
      </c>
      <c r="I95" s="43" t="str">
        <f t="shared" si="10"/>
        <v/>
      </c>
      <c r="J95" s="43" t="str">
        <f t="shared" si="11"/>
        <v/>
      </c>
      <c r="K95" s="33" t="str">
        <f>IF(B95="","Pending",IF(M95="","⚠️ Enter Code",IF(IFERROR(VLOOKUP(L95,DB_Agents!$B:$F,4,0),"")=TEXT(M95,"0"),"Pending Approval","🔒 WRONG CODE")))</f>
        <v>Pending</v>
      </c>
      <c r="L95" s="30" t="s">
        <v>59</v>
      </c>
      <c r="M95" s="41"/>
      <c r="N95" s="22"/>
    </row>
    <row r="96" spans="1:14" ht="20.100000000000001" customHeight="1" x14ac:dyDescent="0.25">
      <c r="A96" s="30" t="str">
        <f t="shared" si="8"/>
        <v/>
      </c>
      <c r="B96" s="41"/>
      <c r="C96" s="35" t="str">
        <f>IF(B96="","",IFERROR(VLOOKUP(B96,DB_Customers!$A:$B,2,0),"❌ Account Not Found"))</f>
        <v/>
      </c>
      <c r="D96" s="42" t="str">
        <f t="shared" ca="1" si="9"/>
        <v/>
      </c>
      <c r="E96" s="32"/>
      <c r="F96" s="31"/>
      <c r="G96" s="41"/>
      <c r="H96" s="56">
        <v>2.5</v>
      </c>
      <c r="I96" s="43" t="str">
        <f t="shared" si="10"/>
        <v/>
      </c>
      <c r="J96" s="43" t="str">
        <f t="shared" si="11"/>
        <v/>
      </c>
      <c r="K96" s="33" t="str">
        <f>IF(B96="","Pending",IF(M96="","⚠️ Enter Code",IF(IFERROR(VLOOKUP(L96,DB_Agents!$B:$F,4,0),"")=TEXT(M96,"0"),"Pending Approval","🔒 WRONG CODE")))</f>
        <v>Pending</v>
      </c>
      <c r="L96" s="30" t="s">
        <v>59</v>
      </c>
      <c r="M96" s="41"/>
      <c r="N96" s="57"/>
    </row>
    <row r="97" spans="1:14" ht="20.100000000000001" customHeight="1" x14ac:dyDescent="0.25">
      <c r="A97" s="30" t="str">
        <f t="shared" si="8"/>
        <v/>
      </c>
      <c r="B97" s="41"/>
      <c r="C97" s="35" t="str">
        <f>IF(B97="","",IFERROR(VLOOKUP(B97,DB_Customers!$A:$B,2,0),"❌ Account Not Found"))</f>
        <v/>
      </c>
      <c r="D97" s="42" t="str">
        <f t="shared" ca="1" si="9"/>
        <v/>
      </c>
      <c r="E97" s="32"/>
      <c r="F97" s="31"/>
      <c r="G97" s="41"/>
      <c r="H97" s="56">
        <v>2.5</v>
      </c>
      <c r="I97" s="43" t="str">
        <f t="shared" si="10"/>
        <v/>
      </c>
      <c r="J97" s="43" t="str">
        <f t="shared" si="11"/>
        <v/>
      </c>
      <c r="K97" s="33" t="str">
        <f>IF(B97="","Pending",IF(M97="","⚠️ Enter Code",IF(IFERROR(VLOOKUP(L97,DB_Agents!$B:$F,4,0),"")=TEXT(M97,"0"),"Pending Approval","🔒 WRONG CODE")))</f>
        <v>Pending</v>
      </c>
      <c r="L97" s="30" t="s">
        <v>59</v>
      </c>
      <c r="M97" s="41"/>
      <c r="N97" s="22"/>
    </row>
    <row r="98" spans="1:14" ht="20.100000000000001" customHeight="1" x14ac:dyDescent="0.25">
      <c r="A98" s="30" t="str">
        <f t="shared" si="8"/>
        <v/>
      </c>
      <c r="B98" s="41"/>
      <c r="C98" s="35" t="str">
        <f>IF(B98="","",IFERROR(VLOOKUP(B98,DB_Customers!$A:$B,2,0),"❌ Account Not Found"))</f>
        <v/>
      </c>
      <c r="D98" s="42" t="str">
        <f t="shared" ca="1" si="9"/>
        <v/>
      </c>
      <c r="E98" s="32"/>
      <c r="F98" s="31"/>
      <c r="G98" s="41"/>
      <c r="H98" s="56">
        <v>2.5</v>
      </c>
      <c r="I98" s="43" t="str">
        <f t="shared" si="10"/>
        <v/>
      </c>
      <c r="J98" s="43" t="str">
        <f t="shared" si="11"/>
        <v/>
      </c>
      <c r="K98" s="33" t="str">
        <f>IF(B98="","Pending",IF(M98="","⚠️ Enter Code",IF(IFERROR(VLOOKUP(L98,DB_Agents!$B:$F,4,0),"")=TEXT(M98,"0"),"Pending Approval","🔒 WRONG CODE")))</f>
        <v>Pending</v>
      </c>
      <c r="L98" s="30" t="s">
        <v>59</v>
      </c>
      <c r="M98" s="41"/>
      <c r="N98" s="57"/>
    </row>
    <row r="99" spans="1:14" ht="20.100000000000001" customHeight="1" x14ac:dyDescent="0.25">
      <c r="A99" s="30" t="str">
        <f t="shared" si="8"/>
        <v/>
      </c>
      <c r="B99" s="41"/>
      <c r="C99" s="35" t="str">
        <f>IF(B99="","",IFERROR(VLOOKUP(B99,DB_Customers!$A:$B,2,0),"❌ Account Not Found"))</f>
        <v/>
      </c>
      <c r="D99" s="42" t="str">
        <f t="shared" ca="1" si="9"/>
        <v/>
      </c>
      <c r="E99" s="32"/>
      <c r="F99" s="31"/>
      <c r="G99" s="41"/>
      <c r="H99" s="56">
        <v>2.5</v>
      </c>
      <c r="I99" s="43" t="str">
        <f t="shared" si="10"/>
        <v/>
      </c>
      <c r="J99" s="43" t="str">
        <f t="shared" si="11"/>
        <v/>
      </c>
      <c r="K99" s="33" t="str">
        <f>IF(B99="","Pending",IF(M99="","⚠️ Enter Code",IF(IFERROR(VLOOKUP(L99,DB_Agents!$B:$F,4,0),"")=TEXT(M99,"0"),"Pending Approval","🔒 WRONG CODE")))</f>
        <v>Pending</v>
      </c>
      <c r="L99" s="30" t="s">
        <v>59</v>
      </c>
      <c r="M99" s="41"/>
      <c r="N99" s="22"/>
    </row>
    <row r="100" spans="1:14" ht="20.100000000000001" customHeight="1" x14ac:dyDescent="0.25">
      <c r="A100" s="30" t="str">
        <f t="shared" si="8"/>
        <v/>
      </c>
      <c r="B100" s="41"/>
      <c r="C100" s="35" t="str">
        <f>IF(B100="","",IFERROR(VLOOKUP(B100,DB_Customers!$A:$B,2,0),"❌ Account Not Found"))</f>
        <v/>
      </c>
      <c r="D100" s="42" t="str">
        <f t="shared" ca="1" si="9"/>
        <v/>
      </c>
      <c r="E100" s="32"/>
      <c r="F100" s="31"/>
      <c r="G100" s="41"/>
      <c r="H100" s="56">
        <v>2.5</v>
      </c>
      <c r="I100" s="43" t="str">
        <f t="shared" si="10"/>
        <v/>
      </c>
      <c r="J100" s="43" t="str">
        <f t="shared" si="11"/>
        <v/>
      </c>
      <c r="K100" s="33" t="str">
        <f>IF(B100="","Pending",IF(M100="","⚠️ Enter Code",IF(IFERROR(VLOOKUP(L100,DB_Agents!$B:$F,4,0),"")=TEXT(M100,"0"),"Pending Approval","🔒 WRONG CODE")))</f>
        <v>Pending</v>
      </c>
      <c r="L100" s="30" t="s">
        <v>59</v>
      </c>
      <c r="M100" s="41"/>
      <c r="N100" s="57"/>
    </row>
    <row r="101" spans="1:14" ht="20.100000000000001" customHeight="1" x14ac:dyDescent="0.25">
      <c r="A101" s="30" t="str">
        <f t="shared" si="8"/>
        <v/>
      </c>
      <c r="B101" s="41"/>
      <c r="C101" s="35" t="str">
        <f>IF(B101="","",IFERROR(VLOOKUP(B101,DB_Customers!$A:$B,2,0),"❌ Account Not Found"))</f>
        <v/>
      </c>
      <c r="D101" s="42" t="str">
        <f t="shared" ca="1" si="9"/>
        <v/>
      </c>
      <c r="E101" s="32"/>
      <c r="F101" s="31"/>
      <c r="G101" s="41"/>
      <c r="H101" s="56">
        <v>2.5</v>
      </c>
      <c r="I101" s="43" t="str">
        <f t="shared" si="10"/>
        <v/>
      </c>
      <c r="J101" s="43" t="str">
        <f t="shared" si="11"/>
        <v/>
      </c>
      <c r="K101" s="33" t="str">
        <f>IF(B101="","Pending",IF(M101="","⚠️ Enter Code",IF(IFERROR(VLOOKUP(L101,DB_Agents!$B:$F,4,0),"")=TEXT(M101,"0"),"Pending Approval","🔒 WRONG CODE")))</f>
        <v>Pending</v>
      </c>
      <c r="L101" s="30" t="s">
        <v>59</v>
      </c>
      <c r="M101" s="41"/>
      <c r="N101" s="22"/>
    </row>
    <row r="102" spans="1:14" ht="20.100000000000001" customHeight="1" x14ac:dyDescent="0.25">
      <c r="A102" s="30" t="str">
        <f t="shared" si="8"/>
        <v/>
      </c>
      <c r="B102" s="41"/>
      <c r="C102" s="35" t="str">
        <f>IF(B102="","",IFERROR(VLOOKUP(B102,DB_Customers!$A:$B,2,0),"❌ Account Not Found"))</f>
        <v/>
      </c>
      <c r="D102" s="42" t="str">
        <f t="shared" ca="1" si="9"/>
        <v/>
      </c>
      <c r="E102" s="32"/>
      <c r="F102" s="31"/>
      <c r="G102" s="41"/>
      <c r="H102" s="56">
        <v>2.5</v>
      </c>
      <c r="I102" s="43" t="str">
        <f t="shared" si="10"/>
        <v/>
      </c>
      <c r="J102" s="43" t="str">
        <f t="shared" si="11"/>
        <v/>
      </c>
      <c r="K102" s="33" t="str">
        <f>IF(B102="","Pending",IF(M102="","⚠️ Enter Code",IF(IFERROR(VLOOKUP(L102,DB_Agents!$B:$F,4,0),"")=TEXT(M102,"0"),"Pending Approval","🔒 WRONG CODE")))</f>
        <v>Pending</v>
      </c>
      <c r="L102" s="30" t="s">
        <v>59</v>
      </c>
      <c r="M102" s="41"/>
      <c r="N102" s="57"/>
    </row>
    <row r="103" spans="1:14" ht="20.100000000000001" customHeight="1" x14ac:dyDescent="0.25">
      <c r="A103" s="30" t="str">
        <f t="shared" si="8"/>
        <v/>
      </c>
      <c r="B103" s="41"/>
      <c r="C103" s="35" t="str">
        <f>IF(B103="","",IFERROR(VLOOKUP(B103,DB_Customers!$A:$B,2,0),"❌ Account Not Found"))</f>
        <v/>
      </c>
      <c r="D103" s="42" t="str">
        <f t="shared" ca="1" si="9"/>
        <v/>
      </c>
      <c r="E103" s="32"/>
      <c r="F103" s="31"/>
      <c r="G103" s="41"/>
      <c r="H103" s="56">
        <v>2.5</v>
      </c>
      <c r="I103" s="43" t="str">
        <f t="shared" si="10"/>
        <v/>
      </c>
      <c r="J103" s="43" t="str">
        <f t="shared" si="11"/>
        <v/>
      </c>
      <c r="K103" s="33" t="str">
        <f>IF(B103="","Pending",IF(M103="","⚠️ Enter Code",IF(IFERROR(VLOOKUP(L103,DB_Agents!$B:$F,4,0),"")=TEXT(M103,"0"),"Pending Approval","🔒 WRONG CODE")))</f>
        <v>Pending</v>
      </c>
      <c r="L103" s="30" t="s">
        <v>59</v>
      </c>
      <c r="M103" s="41"/>
      <c r="N103" s="22"/>
    </row>
    <row r="104" spans="1:14" ht="20.100000000000001" customHeight="1" x14ac:dyDescent="0.25">
      <c r="A104" s="30" t="str">
        <f t="shared" si="8"/>
        <v/>
      </c>
      <c r="B104" s="41"/>
      <c r="C104" s="35" t="str">
        <f>IF(B104="","",IFERROR(VLOOKUP(B104,DB_Customers!$A:$B,2,0),"❌ Account Not Found"))</f>
        <v/>
      </c>
      <c r="D104" s="42" t="str">
        <f t="shared" ca="1" si="9"/>
        <v/>
      </c>
      <c r="E104" s="32"/>
      <c r="F104" s="31"/>
      <c r="G104" s="41"/>
      <c r="H104" s="56">
        <v>2.5</v>
      </c>
      <c r="I104" s="43" t="str">
        <f t="shared" si="10"/>
        <v/>
      </c>
      <c r="J104" s="43" t="str">
        <f t="shared" si="11"/>
        <v/>
      </c>
      <c r="K104" s="33" t="str">
        <f>IF(B104="","Pending",IF(M104="","⚠️ Enter Code",IF(IFERROR(VLOOKUP(L104,DB_Agents!$B:$F,4,0),"")=TEXT(M104,"0"),"Pending Approval","🔒 WRONG CODE")))</f>
        <v>Pending</v>
      </c>
      <c r="L104" s="30" t="s">
        <v>59</v>
      </c>
      <c r="M104" s="41"/>
      <c r="N104" s="57"/>
    </row>
    <row r="105" spans="1:14" ht="20.100000000000001" customHeight="1" x14ac:dyDescent="0.25">
      <c r="A105" s="30" t="str">
        <f t="shared" si="8"/>
        <v/>
      </c>
      <c r="B105" s="41"/>
      <c r="C105" s="35" t="str">
        <f>IF(B105="","",IFERROR(VLOOKUP(B105,DB_Customers!$A:$B,2,0),"❌ Account Not Found"))</f>
        <v/>
      </c>
      <c r="D105" s="42" t="str">
        <f t="shared" ca="1" si="9"/>
        <v/>
      </c>
      <c r="E105" s="32"/>
      <c r="F105" s="31"/>
      <c r="G105" s="41"/>
      <c r="H105" s="56">
        <v>2.5</v>
      </c>
      <c r="I105" s="43" t="str">
        <f t="shared" si="10"/>
        <v/>
      </c>
      <c r="J105" s="43" t="str">
        <f t="shared" si="11"/>
        <v/>
      </c>
      <c r="K105" s="33" t="str">
        <f>IF(B105="","Pending",IF(M105="","⚠️ Enter Code",IF(IFERROR(VLOOKUP(L105,DB_Agents!$B:$F,4,0),"")=TEXT(M105,"0"),"Pending Approval","🔒 WRONG CODE")))</f>
        <v>Pending</v>
      </c>
      <c r="L105" s="30" t="s">
        <v>59</v>
      </c>
      <c r="M105" s="41"/>
      <c r="N105" s="22"/>
    </row>
    <row r="106" spans="1:14" ht="20.100000000000001" customHeight="1" x14ac:dyDescent="0.25">
      <c r="A106" s="30" t="str">
        <f t="shared" si="8"/>
        <v/>
      </c>
      <c r="B106" s="41"/>
      <c r="C106" s="35" t="str">
        <f>IF(B106="","",IFERROR(VLOOKUP(B106,DB_Customers!$A:$B,2,0),"❌ Account Not Found"))</f>
        <v/>
      </c>
      <c r="D106" s="42" t="str">
        <f t="shared" ca="1" si="9"/>
        <v/>
      </c>
      <c r="E106" s="32"/>
      <c r="F106" s="31"/>
      <c r="G106" s="41"/>
      <c r="H106" s="56">
        <v>2.5</v>
      </c>
      <c r="I106" s="43" t="str">
        <f t="shared" si="10"/>
        <v/>
      </c>
      <c r="J106" s="43" t="str">
        <f t="shared" si="11"/>
        <v/>
      </c>
      <c r="K106" s="33" t="str">
        <f>IF(B106="","Pending",IF(M106="","⚠️ Enter Code",IF(IFERROR(VLOOKUP(L106,DB_Agents!$B:$F,4,0),"")=TEXT(M106,"0"),"Pending Approval","🔒 WRONG CODE")))</f>
        <v>Pending</v>
      </c>
      <c r="L106" s="30" t="s">
        <v>59</v>
      </c>
      <c r="M106" s="41"/>
      <c r="N106" s="57"/>
    </row>
    <row r="107" spans="1:14" ht="20.100000000000001" customHeight="1" x14ac:dyDescent="0.25">
      <c r="A107" s="30" t="str">
        <f t="shared" si="8"/>
        <v/>
      </c>
      <c r="B107" s="41"/>
      <c r="C107" s="35" t="str">
        <f>IF(B107="","",IFERROR(VLOOKUP(B107,DB_Customers!$A:$B,2,0),"❌ Account Not Found"))</f>
        <v/>
      </c>
      <c r="D107" s="42" t="str">
        <f t="shared" ca="1" si="9"/>
        <v/>
      </c>
      <c r="E107" s="32"/>
      <c r="F107" s="31"/>
      <c r="G107" s="41"/>
      <c r="H107" s="56">
        <v>2.5</v>
      </c>
      <c r="I107" s="43" t="str">
        <f t="shared" si="10"/>
        <v/>
      </c>
      <c r="J107" s="43" t="str">
        <f t="shared" si="11"/>
        <v/>
      </c>
      <c r="K107" s="33" t="str">
        <f>IF(B107="","Pending",IF(M107="","⚠️ Enter Code",IF(IFERROR(VLOOKUP(L107,DB_Agents!$B:$F,4,0),"")=TEXT(M107,"0"),"Pending Approval","🔒 WRONG CODE")))</f>
        <v>Pending</v>
      </c>
      <c r="L107" s="30" t="s">
        <v>59</v>
      </c>
      <c r="M107" s="41"/>
      <c r="N107" s="22"/>
    </row>
    <row r="108" spans="1:14" ht="20.100000000000001" customHeight="1" x14ac:dyDescent="0.25">
      <c r="A108" s="30" t="str">
        <f t="shared" si="8"/>
        <v/>
      </c>
      <c r="B108" s="41"/>
      <c r="C108" s="35" t="str">
        <f>IF(B108="","",IFERROR(VLOOKUP(B108,DB_Customers!$A:$B,2,0),"❌ Account Not Found"))</f>
        <v/>
      </c>
      <c r="D108" s="42" t="str">
        <f t="shared" ca="1" si="9"/>
        <v/>
      </c>
      <c r="E108" s="32"/>
      <c r="F108" s="31"/>
      <c r="G108" s="41"/>
      <c r="H108" s="56">
        <v>2.5</v>
      </c>
      <c r="I108" s="43" t="str">
        <f t="shared" si="10"/>
        <v/>
      </c>
      <c r="J108" s="43" t="str">
        <f t="shared" si="11"/>
        <v/>
      </c>
      <c r="K108" s="33" t="str">
        <f>IF(B108="","Pending",IF(M108="","⚠️ Enter Code",IF(IFERROR(VLOOKUP(L108,DB_Agents!$B:$F,4,0),"")=TEXT(M108,"0"),"Pending Approval","🔒 WRONG CODE")))</f>
        <v>Pending</v>
      </c>
      <c r="L108" s="30" t="s">
        <v>59</v>
      </c>
      <c r="M108" s="41"/>
      <c r="N108" s="57"/>
    </row>
    <row r="109" spans="1:14" ht="20.100000000000001" customHeight="1" x14ac:dyDescent="0.25">
      <c r="A109" s="30" t="str">
        <f t="shared" si="8"/>
        <v/>
      </c>
      <c r="B109" s="41"/>
      <c r="C109" s="35" t="str">
        <f>IF(B109="","",IFERROR(VLOOKUP(B109,DB_Customers!$A:$B,2,0),"❌ Account Not Found"))</f>
        <v/>
      </c>
      <c r="D109" s="42" t="str">
        <f t="shared" ca="1" si="9"/>
        <v/>
      </c>
      <c r="E109" s="32"/>
      <c r="F109" s="31"/>
      <c r="G109" s="41"/>
      <c r="H109" s="56">
        <v>2.5</v>
      </c>
      <c r="I109" s="43" t="str">
        <f t="shared" si="10"/>
        <v/>
      </c>
      <c r="J109" s="43" t="str">
        <f t="shared" si="11"/>
        <v/>
      </c>
      <c r="K109" s="33" t="str">
        <f>IF(B109="","Pending",IF(M109="","⚠️ Enter Code",IF(IFERROR(VLOOKUP(L109,DB_Agents!$B:$F,4,0),"")=TEXT(M109,"0"),"Pending Approval","🔒 WRONG CODE")))</f>
        <v>Pending</v>
      </c>
      <c r="L109" s="30" t="s">
        <v>59</v>
      </c>
      <c r="M109" s="41"/>
      <c r="N109" s="22"/>
    </row>
    <row r="110" spans="1:14" ht="20.100000000000001" customHeight="1" x14ac:dyDescent="0.25">
      <c r="A110" s="30" t="str">
        <f t="shared" ref="A110:A141" si="12">IF(B110="","",IF(C110="❌ Account Not Found","INVALID","LN"&amp;TEXT(D110,"YYYYMMDD")&amp;TEXT(ROW()-13,"0000")))</f>
        <v/>
      </c>
      <c r="B110" s="41"/>
      <c r="C110" s="35" t="str">
        <f>IF(B110="","",IFERROR(VLOOKUP(B110,DB_Customers!$A:$B,2,0),"❌ Account Not Found"))</f>
        <v/>
      </c>
      <c r="D110" s="42" t="str">
        <f t="shared" ref="D110:D141" ca="1" si="13">IF(B110="","",TODAY())</f>
        <v/>
      </c>
      <c r="E110" s="32"/>
      <c r="F110" s="31"/>
      <c r="G110" s="41"/>
      <c r="H110" s="56">
        <v>2.5</v>
      </c>
      <c r="I110" s="43" t="str">
        <f t="shared" ref="I110:I141" si="14">IF(E110="","",E110+(E110*H110/100*G110))</f>
        <v/>
      </c>
      <c r="J110" s="43" t="str">
        <f t="shared" ref="J110:J141" si="15">IFERROR(I110/G110,"")</f>
        <v/>
      </c>
      <c r="K110" s="33" t="str">
        <f>IF(B110="","Pending",IF(M110="","⚠️ Enter Code",IF(IFERROR(VLOOKUP(L110,DB_Agents!$B:$F,4,0),"")=TEXT(M110,"0"),"Pending Approval","🔒 WRONG CODE")))</f>
        <v>Pending</v>
      </c>
      <c r="L110" s="30" t="s">
        <v>59</v>
      </c>
      <c r="M110" s="41"/>
      <c r="N110" s="57"/>
    </row>
    <row r="111" spans="1:14" ht="20.100000000000001" customHeight="1" x14ac:dyDescent="0.25">
      <c r="A111" s="30" t="str">
        <f t="shared" si="12"/>
        <v/>
      </c>
      <c r="B111" s="41"/>
      <c r="C111" s="35" t="str">
        <f>IF(B111="","",IFERROR(VLOOKUP(B111,DB_Customers!$A:$B,2,0),"❌ Account Not Found"))</f>
        <v/>
      </c>
      <c r="D111" s="42" t="str">
        <f t="shared" ca="1" si="13"/>
        <v/>
      </c>
      <c r="E111" s="32"/>
      <c r="F111" s="31"/>
      <c r="G111" s="41"/>
      <c r="H111" s="56">
        <v>2.5</v>
      </c>
      <c r="I111" s="43" t="str">
        <f t="shared" si="14"/>
        <v/>
      </c>
      <c r="J111" s="43" t="str">
        <f t="shared" si="15"/>
        <v/>
      </c>
      <c r="K111" s="33" t="str">
        <f>IF(B111="","Pending",IF(M111="","⚠️ Enter Code",IF(IFERROR(VLOOKUP(L111,DB_Agents!$B:$F,4,0),"")=TEXT(M111,"0"),"Pending Approval","🔒 WRONG CODE")))</f>
        <v>Pending</v>
      </c>
      <c r="L111" s="30" t="s">
        <v>59</v>
      </c>
      <c r="M111" s="41"/>
      <c r="N111" s="22"/>
    </row>
    <row r="112" spans="1:14" ht="20.100000000000001" customHeight="1" x14ac:dyDescent="0.25">
      <c r="A112" s="30" t="str">
        <f t="shared" si="12"/>
        <v/>
      </c>
      <c r="B112" s="41"/>
      <c r="C112" s="35" t="str">
        <f>IF(B112="","",IFERROR(VLOOKUP(B112,DB_Customers!$A:$B,2,0),"❌ Account Not Found"))</f>
        <v/>
      </c>
      <c r="D112" s="42" t="str">
        <f t="shared" ca="1" si="13"/>
        <v/>
      </c>
      <c r="E112" s="32"/>
      <c r="F112" s="31"/>
      <c r="G112" s="41"/>
      <c r="H112" s="56">
        <v>2.5</v>
      </c>
      <c r="I112" s="43" t="str">
        <f t="shared" si="14"/>
        <v/>
      </c>
      <c r="J112" s="43" t="str">
        <f t="shared" si="15"/>
        <v/>
      </c>
      <c r="K112" s="33" t="str">
        <f>IF(B112="","Pending",IF(M112="","⚠️ Enter Code",IF(IFERROR(VLOOKUP(L112,DB_Agents!$B:$F,4,0),"")=TEXT(M112,"0"),"Pending Approval","🔒 WRONG CODE")))</f>
        <v>Pending</v>
      </c>
      <c r="L112" s="30" t="s">
        <v>59</v>
      </c>
      <c r="M112" s="41"/>
      <c r="N112" s="57"/>
    </row>
    <row r="113" spans="1:14" ht="20.100000000000001" customHeight="1" x14ac:dyDescent="0.25">
      <c r="A113" s="30" t="str">
        <f t="shared" si="12"/>
        <v/>
      </c>
      <c r="B113" s="41"/>
      <c r="C113" s="35" t="str">
        <f>IF(B113="","",IFERROR(VLOOKUP(B113,DB_Customers!$A:$B,2,0),"❌ Account Not Found"))</f>
        <v/>
      </c>
      <c r="D113" s="42" t="str">
        <f t="shared" ca="1" si="13"/>
        <v/>
      </c>
      <c r="E113" s="32"/>
      <c r="F113" s="31"/>
      <c r="G113" s="41"/>
      <c r="H113" s="56">
        <v>2.5</v>
      </c>
      <c r="I113" s="43" t="str">
        <f t="shared" si="14"/>
        <v/>
      </c>
      <c r="J113" s="43" t="str">
        <f t="shared" si="15"/>
        <v/>
      </c>
      <c r="K113" s="33" t="str">
        <f>IF(B113="","Pending",IF(M113="","⚠️ Enter Code",IF(IFERROR(VLOOKUP(L113,DB_Agents!$B:$F,4,0),"")=TEXT(M113,"0"),"Pending Approval","🔒 WRONG CODE")))</f>
        <v>Pending</v>
      </c>
      <c r="L113" s="30" t="s">
        <v>59</v>
      </c>
      <c r="M113" s="41"/>
      <c r="N113" s="22"/>
    </row>
    <row r="114" spans="1:14" ht="20.100000000000001" customHeight="1" x14ac:dyDescent="0.25">
      <c r="A114" s="30" t="str">
        <f t="shared" si="12"/>
        <v/>
      </c>
      <c r="B114" s="41"/>
      <c r="C114" s="35" t="str">
        <f>IF(B114="","",IFERROR(VLOOKUP(B114,DB_Customers!$A:$B,2,0),"❌ Account Not Found"))</f>
        <v/>
      </c>
      <c r="D114" s="42" t="str">
        <f t="shared" ca="1" si="13"/>
        <v/>
      </c>
      <c r="E114" s="32"/>
      <c r="F114" s="31"/>
      <c r="G114" s="41"/>
      <c r="H114" s="56">
        <v>2.5</v>
      </c>
      <c r="I114" s="43" t="str">
        <f t="shared" si="14"/>
        <v/>
      </c>
      <c r="J114" s="43" t="str">
        <f t="shared" si="15"/>
        <v/>
      </c>
      <c r="K114" s="33" t="str">
        <f>IF(B114="","Pending",IF(M114="","⚠️ Enter Code",IF(IFERROR(VLOOKUP(L114,DB_Agents!$B:$F,4,0),"")=TEXT(M114,"0"),"Pending Approval","🔒 WRONG CODE")))</f>
        <v>Pending</v>
      </c>
      <c r="L114" s="30" t="s">
        <v>59</v>
      </c>
      <c r="M114" s="41"/>
      <c r="N114" s="57"/>
    </row>
    <row r="115" spans="1:14" ht="20.100000000000001" customHeight="1" x14ac:dyDescent="0.25">
      <c r="A115" s="30" t="str">
        <f t="shared" si="12"/>
        <v/>
      </c>
      <c r="B115" s="41"/>
      <c r="C115" s="35" t="str">
        <f>IF(B115="","",IFERROR(VLOOKUP(B115,DB_Customers!$A:$B,2,0),"❌ Account Not Found"))</f>
        <v/>
      </c>
      <c r="D115" s="42" t="str">
        <f t="shared" ca="1" si="13"/>
        <v/>
      </c>
      <c r="E115" s="32"/>
      <c r="F115" s="31"/>
      <c r="G115" s="41"/>
      <c r="H115" s="56">
        <v>2.5</v>
      </c>
      <c r="I115" s="43" t="str">
        <f t="shared" si="14"/>
        <v/>
      </c>
      <c r="J115" s="43" t="str">
        <f t="shared" si="15"/>
        <v/>
      </c>
      <c r="K115" s="33" t="str">
        <f>IF(B115="","Pending",IF(M115="","⚠️ Enter Code",IF(IFERROR(VLOOKUP(L115,DB_Agents!$B:$F,4,0),"")=TEXT(M115,"0"),"Pending Approval","🔒 WRONG CODE")))</f>
        <v>Pending</v>
      </c>
      <c r="L115" s="30" t="s">
        <v>59</v>
      </c>
      <c r="M115" s="41"/>
      <c r="N115" s="22"/>
    </row>
    <row r="116" spans="1:14" ht="20.100000000000001" customHeight="1" x14ac:dyDescent="0.25">
      <c r="A116" s="30" t="str">
        <f t="shared" si="12"/>
        <v/>
      </c>
      <c r="B116" s="41"/>
      <c r="C116" s="35" t="str">
        <f>IF(B116="","",IFERROR(VLOOKUP(B116,DB_Customers!$A:$B,2,0),"❌ Account Not Found"))</f>
        <v/>
      </c>
      <c r="D116" s="42" t="str">
        <f t="shared" ca="1" si="13"/>
        <v/>
      </c>
      <c r="E116" s="32"/>
      <c r="F116" s="31"/>
      <c r="G116" s="41"/>
      <c r="H116" s="56">
        <v>2.5</v>
      </c>
      <c r="I116" s="43" t="str">
        <f t="shared" si="14"/>
        <v/>
      </c>
      <c r="J116" s="43" t="str">
        <f t="shared" si="15"/>
        <v/>
      </c>
      <c r="K116" s="33" t="str">
        <f>IF(B116="","Pending",IF(M116="","⚠️ Enter Code",IF(IFERROR(VLOOKUP(L116,DB_Agents!$B:$F,4,0),"")=TEXT(M116,"0"),"Pending Approval","🔒 WRONG CODE")))</f>
        <v>Pending</v>
      </c>
      <c r="L116" s="30" t="s">
        <v>59</v>
      </c>
      <c r="M116" s="41"/>
      <c r="N116" s="57"/>
    </row>
    <row r="117" spans="1:14" ht="20.100000000000001" customHeight="1" x14ac:dyDescent="0.25">
      <c r="A117" s="30" t="str">
        <f t="shared" si="12"/>
        <v/>
      </c>
      <c r="B117" s="41"/>
      <c r="C117" s="35" t="str">
        <f>IF(B117="","",IFERROR(VLOOKUP(B117,DB_Customers!$A:$B,2,0),"❌ Account Not Found"))</f>
        <v/>
      </c>
      <c r="D117" s="42" t="str">
        <f t="shared" ca="1" si="13"/>
        <v/>
      </c>
      <c r="E117" s="32"/>
      <c r="F117" s="31"/>
      <c r="G117" s="41"/>
      <c r="H117" s="56">
        <v>2.5</v>
      </c>
      <c r="I117" s="43" t="str">
        <f t="shared" si="14"/>
        <v/>
      </c>
      <c r="J117" s="43" t="str">
        <f t="shared" si="15"/>
        <v/>
      </c>
      <c r="K117" s="33" t="str">
        <f>IF(B117="","Pending",IF(M117="","⚠️ Enter Code",IF(IFERROR(VLOOKUP(L117,DB_Agents!$B:$F,4,0),"")=TEXT(M117,"0"),"Pending Approval","🔒 WRONG CODE")))</f>
        <v>Pending</v>
      </c>
      <c r="L117" s="30" t="s">
        <v>59</v>
      </c>
      <c r="M117" s="41"/>
      <c r="N117" s="22"/>
    </row>
    <row r="118" spans="1:14" ht="20.100000000000001" customHeight="1" x14ac:dyDescent="0.25">
      <c r="A118" s="30" t="str">
        <f t="shared" si="12"/>
        <v/>
      </c>
      <c r="B118" s="41"/>
      <c r="C118" s="35" t="str">
        <f>IF(B118="","",IFERROR(VLOOKUP(B118,DB_Customers!$A:$B,2,0),"❌ Account Not Found"))</f>
        <v/>
      </c>
      <c r="D118" s="42" t="str">
        <f t="shared" ca="1" si="13"/>
        <v/>
      </c>
      <c r="E118" s="32"/>
      <c r="F118" s="31"/>
      <c r="G118" s="41"/>
      <c r="H118" s="56">
        <v>2.5</v>
      </c>
      <c r="I118" s="43" t="str">
        <f t="shared" si="14"/>
        <v/>
      </c>
      <c r="J118" s="43" t="str">
        <f t="shared" si="15"/>
        <v/>
      </c>
      <c r="K118" s="33" t="str">
        <f>IF(B118="","Pending",IF(M118="","⚠️ Enter Code",IF(IFERROR(VLOOKUP(L118,DB_Agents!$B:$F,4,0),"")=TEXT(M118,"0"),"Pending Approval","🔒 WRONG CODE")))</f>
        <v>Pending</v>
      </c>
      <c r="L118" s="30" t="s">
        <v>59</v>
      </c>
      <c r="M118" s="41"/>
      <c r="N118" s="57"/>
    </row>
    <row r="119" spans="1:14" ht="20.100000000000001" customHeight="1" x14ac:dyDescent="0.25">
      <c r="A119" s="30" t="str">
        <f t="shared" si="12"/>
        <v/>
      </c>
      <c r="B119" s="41"/>
      <c r="C119" s="35" t="str">
        <f>IF(B119="","",IFERROR(VLOOKUP(B119,DB_Customers!$A:$B,2,0),"❌ Account Not Found"))</f>
        <v/>
      </c>
      <c r="D119" s="42" t="str">
        <f t="shared" ca="1" si="13"/>
        <v/>
      </c>
      <c r="E119" s="32"/>
      <c r="F119" s="31"/>
      <c r="G119" s="41"/>
      <c r="H119" s="56">
        <v>2.5</v>
      </c>
      <c r="I119" s="43" t="str">
        <f t="shared" si="14"/>
        <v/>
      </c>
      <c r="J119" s="43" t="str">
        <f t="shared" si="15"/>
        <v/>
      </c>
      <c r="K119" s="33" t="str">
        <f>IF(B119="","Pending",IF(M119="","⚠️ Enter Code",IF(IFERROR(VLOOKUP(L119,DB_Agents!$B:$F,4,0),"")=TEXT(M119,"0"),"Pending Approval","🔒 WRONG CODE")))</f>
        <v>Pending</v>
      </c>
      <c r="L119" s="30" t="s">
        <v>59</v>
      </c>
      <c r="M119" s="41"/>
      <c r="N119" s="22"/>
    </row>
    <row r="120" spans="1:14" ht="20.100000000000001" customHeight="1" x14ac:dyDescent="0.25">
      <c r="A120" s="30" t="str">
        <f t="shared" si="12"/>
        <v/>
      </c>
      <c r="B120" s="41"/>
      <c r="C120" s="35" t="str">
        <f>IF(B120="","",IFERROR(VLOOKUP(B120,DB_Customers!$A:$B,2,0),"❌ Account Not Found"))</f>
        <v/>
      </c>
      <c r="D120" s="42" t="str">
        <f t="shared" ca="1" si="13"/>
        <v/>
      </c>
      <c r="E120" s="32"/>
      <c r="F120" s="31"/>
      <c r="G120" s="41"/>
      <c r="H120" s="56">
        <v>2.5</v>
      </c>
      <c r="I120" s="43" t="str">
        <f t="shared" si="14"/>
        <v/>
      </c>
      <c r="J120" s="43" t="str">
        <f t="shared" si="15"/>
        <v/>
      </c>
      <c r="K120" s="33" t="str">
        <f>IF(B120="","Pending",IF(M120="","⚠️ Enter Code",IF(IFERROR(VLOOKUP(L120,DB_Agents!$B:$F,4,0),"")=TEXT(M120,"0"),"Pending Approval","🔒 WRONG CODE")))</f>
        <v>Pending</v>
      </c>
      <c r="L120" s="30" t="s">
        <v>59</v>
      </c>
      <c r="M120" s="41"/>
      <c r="N120" s="57"/>
    </row>
    <row r="121" spans="1:14" ht="20.100000000000001" customHeight="1" x14ac:dyDescent="0.25">
      <c r="A121" s="30" t="str">
        <f t="shared" si="12"/>
        <v/>
      </c>
      <c r="B121" s="41"/>
      <c r="C121" s="35" t="str">
        <f>IF(B121="","",IFERROR(VLOOKUP(B121,DB_Customers!$A:$B,2,0),"❌ Account Not Found"))</f>
        <v/>
      </c>
      <c r="D121" s="42" t="str">
        <f t="shared" ca="1" si="13"/>
        <v/>
      </c>
      <c r="E121" s="32"/>
      <c r="F121" s="31"/>
      <c r="G121" s="41"/>
      <c r="H121" s="56">
        <v>2.5</v>
      </c>
      <c r="I121" s="43" t="str">
        <f t="shared" si="14"/>
        <v/>
      </c>
      <c r="J121" s="43" t="str">
        <f t="shared" si="15"/>
        <v/>
      </c>
      <c r="K121" s="33" t="str">
        <f>IF(B121="","Pending",IF(M121="","⚠️ Enter Code",IF(IFERROR(VLOOKUP(L121,DB_Agents!$B:$F,4,0),"")=TEXT(M121,"0"),"Pending Approval","🔒 WRONG CODE")))</f>
        <v>Pending</v>
      </c>
      <c r="L121" s="30" t="s">
        <v>59</v>
      </c>
      <c r="M121" s="41"/>
      <c r="N121" s="22"/>
    </row>
    <row r="122" spans="1:14" ht="20.100000000000001" customHeight="1" x14ac:dyDescent="0.25">
      <c r="A122" s="30" t="str">
        <f t="shared" si="12"/>
        <v/>
      </c>
      <c r="B122" s="41"/>
      <c r="C122" s="35" t="str">
        <f>IF(B122="","",IFERROR(VLOOKUP(B122,DB_Customers!$A:$B,2,0),"❌ Account Not Found"))</f>
        <v/>
      </c>
      <c r="D122" s="42" t="str">
        <f t="shared" ca="1" si="13"/>
        <v/>
      </c>
      <c r="E122" s="32"/>
      <c r="F122" s="31"/>
      <c r="G122" s="41"/>
      <c r="H122" s="56">
        <v>2.5</v>
      </c>
      <c r="I122" s="43" t="str">
        <f t="shared" si="14"/>
        <v/>
      </c>
      <c r="J122" s="43" t="str">
        <f t="shared" si="15"/>
        <v/>
      </c>
      <c r="K122" s="33" t="str">
        <f>IF(B122="","Pending",IF(M122="","⚠️ Enter Code",IF(IFERROR(VLOOKUP(L122,DB_Agents!$B:$F,4,0),"")=TEXT(M122,"0"),"Pending Approval","🔒 WRONG CODE")))</f>
        <v>Pending</v>
      </c>
      <c r="L122" s="30" t="s">
        <v>59</v>
      </c>
      <c r="M122" s="41"/>
      <c r="N122" s="57"/>
    </row>
    <row r="123" spans="1:14" ht="20.100000000000001" customHeight="1" x14ac:dyDescent="0.25">
      <c r="A123" s="30" t="str">
        <f t="shared" si="12"/>
        <v/>
      </c>
      <c r="B123" s="41"/>
      <c r="C123" s="35" t="str">
        <f>IF(B123="","",IFERROR(VLOOKUP(B123,DB_Customers!$A:$B,2,0),"❌ Account Not Found"))</f>
        <v/>
      </c>
      <c r="D123" s="42" t="str">
        <f t="shared" ca="1" si="13"/>
        <v/>
      </c>
      <c r="E123" s="32"/>
      <c r="F123" s="31"/>
      <c r="G123" s="41"/>
      <c r="H123" s="56">
        <v>2.5</v>
      </c>
      <c r="I123" s="43" t="str">
        <f t="shared" si="14"/>
        <v/>
      </c>
      <c r="J123" s="43" t="str">
        <f t="shared" si="15"/>
        <v/>
      </c>
      <c r="K123" s="33" t="str">
        <f>IF(B123="","Pending",IF(M123="","⚠️ Enter Code",IF(IFERROR(VLOOKUP(L123,DB_Agents!$B:$F,4,0),"")=TEXT(M123,"0"),"Pending Approval","🔒 WRONG CODE")))</f>
        <v>Pending</v>
      </c>
      <c r="L123" s="30" t="s">
        <v>59</v>
      </c>
      <c r="M123" s="41"/>
      <c r="N123" s="22"/>
    </row>
    <row r="124" spans="1:14" ht="20.100000000000001" customHeight="1" x14ac:dyDescent="0.25">
      <c r="A124" s="30" t="str">
        <f t="shared" si="12"/>
        <v/>
      </c>
      <c r="B124" s="41"/>
      <c r="C124" s="35" t="str">
        <f>IF(B124="","",IFERROR(VLOOKUP(B124,DB_Customers!$A:$B,2,0),"❌ Account Not Found"))</f>
        <v/>
      </c>
      <c r="D124" s="42" t="str">
        <f t="shared" ca="1" si="13"/>
        <v/>
      </c>
      <c r="E124" s="32"/>
      <c r="F124" s="31"/>
      <c r="G124" s="41"/>
      <c r="H124" s="56">
        <v>2.5</v>
      </c>
      <c r="I124" s="43" t="str">
        <f t="shared" si="14"/>
        <v/>
      </c>
      <c r="J124" s="43" t="str">
        <f t="shared" si="15"/>
        <v/>
      </c>
      <c r="K124" s="33" t="str">
        <f>IF(B124="","Pending",IF(M124="","⚠️ Enter Code",IF(IFERROR(VLOOKUP(L124,DB_Agents!$B:$F,4,0),"")=TEXT(M124,"0"),"Pending Approval","🔒 WRONG CODE")))</f>
        <v>Pending</v>
      </c>
      <c r="L124" s="30" t="s">
        <v>59</v>
      </c>
      <c r="M124" s="41"/>
      <c r="N124" s="57"/>
    </row>
    <row r="125" spans="1:14" ht="20.100000000000001" customHeight="1" x14ac:dyDescent="0.25">
      <c r="A125" s="30" t="str">
        <f t="shared" si="12"/>
        <v/>
      </c>
      <c r="B125" s="41"/>
      <c r="C125" s="35" t="str">
        <f>IF(B125="","",IFERROR(VLOOKUP(B125,DB_Customers!$A:$B,2,0),"❌ Account Not Found"))</f>
        <v/>
      </c>
      <c r="D125" s="42" t="str">
        <f t="shared" ca="1" si="13"/>
        <v/>
      </c>
      <c r="E125" s="32"/>
      <c r="F125" s="31"/>
      <c r="G125" s="41"/>
      <c r="H125" s="56">
        <v>2.5</v>
      </c>
      <c r="I125" s="43" t="str">
        <f t="shared" si="14"/>
        <v/>
      </c>
      <c r="J125" s="43" t="str">
        <f t="shared" si="15"/>
        <v/>
      </c>
      <c r="K125" s="33" t="str">
        <f>IF(B125="","Pending",IF(M125="","⚠️ Enter Code",IF(IFERROR(VLOOKUP(L125,DB_Agents!$B:$F,4,0),"")=TEXT(M125,"0"),"Pending Approval","🔒 WRONG CODE")))</f>
        <v>Pending</v>
      </c>
      <c r="L125" s="30" t="s">
        <v>59</v>
      </c>
      <c r="M125" s="41"/>
      <c r="N125" s="22"/>
    </row>
    <row r="126" spans="1:14" ht="20.100000000000001" customHeight="1" x14ac:dyDescent="0.25">
      <c r="A126" s="30" t="str">
        <f t="shared" si="12"/>
        <v/>
      </c>
      <c r="B126" s="41"/>
      <c r="C126" s="35" t="str">
        <f>IF(B126="","",IFERROR(VLOOKUP(B126,DB_Customers!$A:$B,2,0),"❌ Account Not Found"))</f>
        <v/>
      </c>
      <c r="D126" s="42" t="str">
        <f t="shared" ca="1" si="13"/>
        <v/>
      </c>
      <c r="E126" s="32"/>
      <c r="F126" s="31"/>
      <c r="G126" s="41"/>
      <c r="H126" s="56">
        <v>2.5</v>
      </c>
      <c r="I126" s="43" t="str">
        <f t="shared" si="14"/>
        <v/>
      </c>
      <c r="J126" s="43" t="str">
        <f t="shared" si="15"/>
        <v/>
      </c>
      <c r="K126" s="33" t="str">
        <f>IF(B126="","Pending",IF(M126="","⚠️ Enter Code",IF(IFERROR(VLOOKUP(L126,DB_Agents!$B:$F,4,0),"")=TEXT(M126,"0"),"Pending Approval","🔒 WRONG CODE")))</f>
        <v>Pending</v>
      </c>
      <c r="L126" s="30" t="s">
        <v>59</v>
      </c>
      <c r="M126" s="41"/>
      <c r="N126" s="57"/>
    </row>
    <row r="127" spans="1:14" ht="20.100000000000001" customHeight="1" x14ac:dyDescent="0.25">
      <c r="A127" s="30" t="str">
        <f t="shared" si="12"/>
        <v/>
      </c>
      <c r="B127" s="41"/>
      <c r="C127" s="35" t="str">
        <f>IF(B127="","",IFERROR(VLOOKUP(B127,DB_Customers!$A:$B,2,0),"❌ Account Not Found"))</f>
        <v/>
      </c>
      <c r="D127" s="42" t="str">
        <f t="shared" ca="1" si="13"/>
        <v/>
      </c>
      <c r="E127" s="32"/>
      <c r="F127" s="31"/>
      <c r="G127" s="41"/>
      <c r="H127" s="56">
        <v>2.5</v>
      </c>
      <c r="I127" s="43" t="str">
        <f t="shared" si="14"/>
        <v/>
      </c>
      <c r="J127" s="43" t="str">
        <f t="shared" si="15"/>
        <v/>
      </c>
      <c r="K127" s="33" t="str">
        <f>IF(B127="","Pending",IF(M127="","⚠️ Enter Code",IF(IFERROR(VLOOKUP(L127,DB_Agents!$B:$F,4,0),"")=TEXT(M127,"0"),"Pending Approval","🔒 WRONG CODE")))</f>
        <v>Pending</v>
      </c>
      <c r="L127" s="30" t="s">
        <v>59</v>
      </c>
      <c r="M127" s="41"/>
      <c r="N127" s="22"/>
    </row>
    <row r="128" spans="1:14" ht="20.100000000000001" customHeight="1" x14ac:dyDescent="0.25">
      <c r="A128" s="30" t="str">
        <f t="shared" si="12"/>
        <v/>
      </c>
      <c r="B128" s="41"/>
      <c r="C128" s="35" t="str">
        <f>IF(B128="","",IFERROR(VLOOKUP(B128,DB_Customers!$A:$B,2,0),"❌ Account Not Found"))</f>
        <v/>
      </c>
      <c r="D128" s="42" t="str">
        <f t="shared" ca="1" si="13"/>
        <v/>
      </c>
      <c r="E128" s="32"/>
      <c r="F128" s="31"/>
      <c r="G128" s="41"/>
      <c r="H128" s="56">
        <v>2.5</v>
      </c>
      <c r="I128" s="43" t="str">
        <f t="shared" si="14"/>
        <v/>
      </c>
      <c r="J128" s="43" t="str">
        <f t="shared" si="15"/>
        <v/>
      </c>
      <c r="K128" s="33" t="str">
        <f>IF(B128="","Pending",IF(M128="","⚠️ Enter Code",IF(IFERROR(VLOOKUP(L128,DB_Agents!$B:$F,4,0),"")=TEXT(M128,"0"),"Pending Approval","🔒 WRONG CODE")))</f>
        <v>Pending</v>
      </c>
      <c r="L128" s="30" t="s">
        <v>59</v>
      </c>
      <c r="M128" s="41"/>
      <c r="N128" s="57"/>
    </row>
    <row r="129" spans="1:14" ht="20.100000000000001" customHeight="1" x14ac:dyDescent="0.25">
      <c r="A129" s="30" t="str">
        <f t="shared" si="12"/>
        <v/>
      </c>
      <c r="B129" s="41"/>
      <c r="C129" s="35" t="str">
        <f>IF(B129="","",IFERROR(VLOOKUP(B129,DB_Customers!$A:$B,2,0),"❌ Account Not Found"))</f>
        <v/>
      </c>
      <c r="D129" s="42" t="str">
        <f t="shared" ca="1" si="13"/>
        <v/>
      </c>
      <c r="E129" s="32"/>
      <c r="F129" s="31"/>
      <c r="G129" s="41"/>
      <c r="H129" s="56">
        <v>2.5</v>
      </c>
      <c r="I129" s="43" t="str">
        <f t="shared" si="14"/>
        <v/>
      </c>
      <c r="J129" s="43" t="str">
        <f t="shared" si="15"/>
        <v/>
      </c>
      <c r="K129" s="33" t="str">
        <f>IF(B129="","Pending",IF(M129="","⚠️ Enter Code",IF(IFERROR(VLOOKUP(L129,DB_Agents!$B:$F,4,0),"")=TEXT(M129,"0"),"Pending Approval","🔒 WRONG CODE")))</f>
        <v>Pending</v>
      </c>
      <c r="L129" s="30" t="s">
        <v>59</v>
      </c>
      <c r="M129" s="41"/>
      <c r="N129" s="22"/>
    </row>
    <row r="130" spans="1:14" ht="20.100000000000001" customHeight="1" x14ac:dyDescent="0.25">
      <c r="A130" s="30" t="str">
        <f t="shared" si="12"/>
        <v/>
      </c>
      <c r="B130" s="41"/>
      <c r="C130" s="35" t="str">
        <f>IF(B130="","",IFERROR(VLOOKUP(B130,DB_Customers!$A:$B,2,0),"❌ Account Not Found"))</f>
        <v/>
      </c>
      <c r="D130" s="42" t="str">
        <f t="shared" ca="1" si="13"/>
        <v/>
      </c>
      <c r="E130" s="32"/>
      <c r="F130" s="31"/>
      <c r="G130" s="41"/>
      <c r="H130" s="56">
        <v>2.5</v>
      </c>
      <c r="I130" s="43" t="str">
        <f t="shared" si="14"/>
        <v/>
      </c>
      <c r="J130" s="43" t="str">
        <f t="shared" si="15"/>
        <v/>
      </c>
      <c r="K130" s="33" t="str">
        <f>IF(B130="","Pending",IF(M130="","⚠️ Enter Code",IF(IFERROR(VLOOKUP(L130,DB_Agents!$B:$F,4,0),"")=TEXT(M130,"0"),"Pending Approval","🔒 WRONG CODE")))</f>
        <v>Pending</v>
      </c>
      <c r="L130" s="30" t="s">
        <v>59</v>
      </c>
      <c r="M130" s="41"/>
      <c r="N130" s="57"/>
    </row>
    <row r="131" spans="1:14" ht="20.100000000000001" customHeight="1" x14ac:dyDescent="0.25">
      <c r="A131" s="30" t="str">
        <f t="shared" si="12"/>
        <v/>
      </c>
      <c r="B131" s="41"/>
      <c r="C131" s="35" t="str">
        <f>IF(B131="","",IFERROR(VLOOKUP(B131,DB_Customers!$A:$B,2,0),"❌ Account Not Found"))</f>
        <v/>
      </c>
      <c r="D131" s="42" t="str">
        <f t="shared" ca="1" si="13"/>
        <v/>
      </c>
      <c r="E131" s="32"/>
      <c r="F131" s="31"/>
      <c r="G131" s="41"/>
      <c r="H131" s="56">
        <v>2.5</v>
      </c>
      <c r="I131" s="43" t="str">
        <f t="shared" si="14"/>
        <v/>
      </c>
      <c r="J131" s="43" t="str">
        <f t="shared" si="15"/>
        <v/>
      </c>
      <c r="K131" s="33" t="str">
        <f>IF(B131="","Pending",IF(M131="","⚠️ Enter Code",IF(IFERROR(VLOOKUP(L131,DB_Agents!$B:$F,4,0),"")=TEXT(M131,"0"),"Pending Approval","🔒 WRONG CODE")))</f>
        <v>Pending</v>
      </c>
      <c r="L131" s="30" t="s">
        <v>59</v>
      </c>
      <c r="M131" s="41"/>
      <c r="N131" s="22"/>
    </row>
    <row r="132" spans="1:14" ht="20.100000000000001" customHeight="1" x14ac:dyDescent="0.25">
      <c r="A132" s="30" t="str">
        <f t="shared" si="12"/>
        <v/>
      </c>
      <c r="B132" s="41"/>
      <c r="C132" s="35" t="str">
        <f>IF(B132="","",IFERROR(VLOOKUP(B132,DB_Customers!$A:$B,2,0),"❌ Account Not Found"))</f>
        <v/>
      </c>
      <c r="D132" s="42" t="str">
        <f t="shared" ca="1" si="13"/>
        <v/>
      </c>
      <c r="E132" s="32"/>
      <c r="F132" s="31"/>
      <c r="G132" s="41"/>
      <c r="H132" s="56">
        <v>2.5</v>
      </c>
      <c r="I132" s="43" t="str">
        <f t="shared" si="14"/>
        <v/>
      </c>
      <c r="J132" s="43" t="str">
        <f t="shared" si="15"/>
        <v/>
      </c>
      <c r="K132" s="33" t="str">
        <f>IF(B132="","Pending",IF(M132="","⚠️ Enter Code",IF(IFERROR(VLOOKUP(L132,DB_Agents!$B:$F,4,0),"")=TEXT(M132,"0"),"Pending Approval","🔒 WRONG CODE")))</f>
        <v>Pending</v>
      </c>
      <c r="L132" s="30" t="s">
        <v>59</v>
      </c>
      <c r="M132" s="41"/>
      <c r="N132" s="57"/>
    </row>
    <row r="133" spans="1:14" ht="20.100000000000001" customHeight="1" x14ac:dyDescent="0.25">
      <c r="A133" s="30" t="str">
        <f t="shared" si="12"/>
        <v/>
      </c>
      <c r="B133" s="41"/>
      <c r="C133" s="35" t="str">
        <f>IF(B133="","",IFERROR(VLOOKUP(B133,DB_Customers!$A:$B,2,0),"❌ Account Not Found"))</f>
        <v/>
      </c>
      <c r="D133" s="42" t="str">
        <f t="shared" ca="1" si="13"/>
        <v/>
      </c>
      <c r="E133" s="32"/>
      <c r="F133" s="31"/>
      <c r="G133" s="41"/>
      <c r="H133" s="56">
        <v>2.5</v>
      </c>
      <c r="I133" s="43" t="str">
        <f t="shared" si="14"/>
        <v/>
      </c>
      <c r="J133" s="43" t="str">
        <f t="shared" si="15"/>
        <v/>
      </c>
      <c r="K133" s="33" t="str">
        <f>IF(B133="","Pending",IF(M133="","⚠️ Enter Code",IF(IFERROR(VLOOKUP(L133,DB_Agents!$B:$F,4,0),"")=TEXT(M133,"0"),"Pending Approval","🔒 WRONG CODE")))</f>
        <v>Pending</v>
      </c>
      <c r="L133" s="30" t="s">
        <v>59</v>
      </c>
      <c r="M133" s="41"/>
      <c r="N133" s="22"/>
    </row>
    <row r="134" spans="1:14" ht="20.100000000000001" customHeight="1" x14ac:dyDescent="0.25">
      <c r="A134" s="30" t="str">
        <f t="shared" si="12"/>
        <v/>
      </c>
      <c r="B134" s="41"/>
      <c r="C134" s="35" t="str">
        <f>IF(B134="","",IFERROR(VLOOKUP(B134,DB_Customers!$A:$B,2,0),"❌ Account Not Found"))</f>
        <v/>
      </c>
      <c r="D134" s="42" t="str">
        <f t="shared" ca="1" si="13"/>
        <v/>
      </c>
      <c r="E134" s="32"/>
      <c r="F134" s="31"/>
      <c r="G134" s="41"/>
      <c r="H134" s="56">
        <v>2.5</v>
      </c>
      <c r="I134" s="43" t="str">
        <f t="shared" si="14"/>
        <v/>
      </c>
      <c r="J134" s="43" t="str">
        <f t="shared" si="15"/>
        <v/>
      </c>
      <c r="K134" s="33" t="str">
        <f>IF(B134="","Pending",IF(M134="","⚠️ Enter Code",IF(IFERROR(VLOOKUP(L134,DB_Agents!$B:$F,4,0),"")=TEXT(M134,"0"),"Pending Approval","🔒 WRONG CODE")))</f>
        <v>Pending</v>
      </c>
      <c r="L134" s="30" t="s">
        <v>59</v>
      </c>
      <c r="M134" s="41"/>
      <c r="N134" s="57"/>
    </row>
    <row r="135" spans="1:14" ht="20.100000000000001" customHeight="1" x14ac:dyDescent="0.25">
      <c r="A135" s="30" t="str">
        <f t="shared" si="12"/>
        <v/>
      </c>
      <c r="B135" s="41"/>
      <c r="C135" s="35" t="str">
        <f>IF(B135="","",IFERROR(VLOOKUP(B135,DB_Customers!$A:$B,2,0),"❌ Account Not Found"))</f>
        <v/>
      </c>
      <c r="D135" s="42" t="str">
        <f t="shared" ca="1" si="13"/>
        <v/>
      </c>
      <c r="E135" s="32"/>
      <c r="F135" s="31"/>
      <c r="G135" s="41"/>
      <c r="H135" s="56">
        <v>2.5</v>
      </c>
      <c r="I135" s="43" t="str">
        <f t="shared" si="14"/>
        <v/>
      </c>
      <c r="J135" s="43" t="str">
        <f t="shared" si="15"/>
        <v/>
      </c>
      <c r="K135" s="33" t="str">
        <f>IF(B135="","Pending",IF(M135="","⚠️ Enter Code",IF(IFERROR(VLOOKUP(L135,DB_Agents!$B:$F,4,0),"")=TEXT(M135,"0"),"Pending Approval","🔒 WRONG CODE")))</f>
        <v>Pending</v>
      </c>
      <c r="L135" s="30" t="s">
        <v>59</v>
      </c>
      <c r="M135" s="41"/>
      <c r="N135" s="22"/>
    </row>
    <row r="136" spans="1:14" ht="20.100000000000001" customHeight="1" x14ac:dyDescent="0.25">
      <c r="A136" s="30" t="str">
        <f t="shared" si="12"/>
        <v/>
      </c>
      <c r="B136" s="41"/>
      <c r="C136" s="35" t="str">
        <f>IF(B136="","",IFERROR(VLOOKUP(B136,DB_Customers!$A:$B,2,0),"❌ Account Not Found"))</f>
        <v/>
      </c>
      <c r="D136" s="42" t="str">
        <f t="shared" ca="1" si="13"/>
        <v/>
      </c>
      <c r="E136" s="32"/>
      <c r="F136" s="31"/>
      <c r="G136" s="41"/>
      <c r="H136" s="56">
        <v>2.5</v>
      </c>
      <c r="I136" s="43" t="str">
        <f t="shared" si="14"/>
        <v/>
      </c>
      <c r="J136" s="43" t="str">
        <f t="shared" si="15"/>
        <v/>
      </c>
      <c r="K136" s="33" t="str">
        <f>IF(B136="","Pending",IF(M136="","⚠️ Enter Code",IF(IFERROR(VLOOKUP(L136,DB_Agents!$B:$F,4,0),"")=TEXT(M136,"0"),"Pending Approval","🔒 WRONG CODE")))</f>
        <v>Pending</v>
      </c>
      <c r="L136" s="30" t="s">
        <v>59</v>
      </c>
      <c r="M136" s="41"/>
      <c r="N136" s="57"/>
    </row>
    <row r="137" spans="1:14" ht="20.100000000000001" customHeight="1" x14ac:dyDescent="0.25">
      <c r="A137" s="30" t="str">
        <f t="shared" si="12"/>
        <v/>
      </c>
      <c r="B137" s="41"/>
      <c r="C137" s="35" t="str">
        <f>IF(B137="","",IFERROR(VLOOKUP(B137,DB_Customers!$A:$B,2,0),"❌ Account Not Found"))</f>
        <v/>
      </c>
      <c r="D137" s="42" t="str">
        <f t="shared" ca="1" si="13"/>
        <v/>
      </c>
      <c r="E137" s="32"/>
      <c r="F137" s="31"/>
      <c r="G137" s="41"/>
      <c r="H137" s="56">
        <v>2.5</v>
      </c>
      <c r="I137" s="43" t="str">
        <f t="shared" si="14"/>
        <v/>
      </c>
      <c r="J137" s="43" t="str">
        <f t="shared" si="15"/>
        <v/>
      </c>
      <c r="K137" s="33" t="str">
        <f>IF(B137="","Pending",IF(M137="","⚠️ Enter Code",IF(IFERROR(VLOOKUP(L137,DB_Agents!$B:$F,4,0),"")=TEXT(M137,"0"),"Pending Approval","🔒 WRONG CODE")))</f>
        <v>Pending</v>
      </c>
      <c r="L137" s="30" t="s">
        <v>59</v>
      </c>
      <c r="M137" s="41"/>
      <c r="N137" s="22"/>
    </row>
    <row r="138" spans="1:14" ht="20.100000000000001" customHeight="1" x14ac:dyDescent="0.25">
      <c r="A138" s="30" t="str">
        <f t="shared" si="12"/>
        <v/>
      </c>
      <c r="B138" s="41"/>
      <c r="C138" s="35" t="str">
        <f>IF(B138="","",IFERROR(VLOOKUP(B138,DB_Customers!$A:$B,2,0),"❌ Account Not Found"))</f>
        <v/>
      </c>
      <c r="D138" s="42" t="str">
        <f t="shared" ca="1" si="13"/>
        <v/>
      </c>
      <c r="E138" s="32"/>
      <c r="F138" s="31"/>
      <c r="G138" s="41"/>
      <c r="H138" s="56">
        <v>2.5</v>
      </c>
      <c r="I138" s="43" t="str">
        <f t="shared" si="14"/>
        <v/>
      </c>
      <c r="J138" s="43" t="str">
        <f t="shared" si="15"/>
        <v/>
      </c>
      <c r="K138" s="33" t="str">
        <f>IF(B138="","Pending",IF(M138="","⚠️ Enter Code",IF(IFERROR(VLOOKUP(L138,DB_Agents!$B:$F,4,0),"")=TEXT(M138,"0"),"Pending Approval","🔒 WRONG CODE")))</f>
        <v>Pending</v>
      </c>
      <c r="L138" s="30" t="s">
        <v>59</v>
      </c>
      <c r="M138" s="41"/>
      <c r="N138" s="57"/>
    </row>
    <row r="139" spans="1:14" ht="20.100000000000001" customHeight="1" x14ac:dyDescent="0.25">
      <c r="A139" s="30" t="str">
        <f t="shared" si="12"/>
        <v/>
      </c>
      <c r="B139" s="41"/>
      <c r="C139" s="35" t="str">
        <f>IF(B139="","",IFERROR(VLOOKUP(B139,DB_Customers!$A:$B,2,0),"❌ Account Not Found"))</f>
        <v/>
      </c>
      <c r="D139" s="42" t="str">
        <f t="shared" ca="1" si="13"/>
        <v/>
      </c>
      <c r="E139" s="32"/>
      <c r="F139" s="31"/>
      <c r="G139" s="41"/>
      <c r="H139" s="56">
        <v>2.5</v>
      </c>
      <c r="I139" s="43" t="str">
        <f t="shared" si="14"/>
        <v/>
      </c>
      <c r="J139" s="43" t="str">
        <f t="shared" si="15"/>
        <v/>
      </c>
      <c r="K139" s="33" t="str">
        <f>IF(B139="","Pending",IF(M139="","⚠️ Enter Code",IF(IFERROR(VLOOKUP(L139,DB_Agents!$B:$F,4,0),"")=TEXT(M139,"0"),"Pending Approval","🔒 WRONG CODE")))</f>
        <v>Pending</v>
      </c>
      <c r="L139" s="30" t="s">
        <v>59</v>
      </c>
      <c r="M139" s="41"/>
      <c r="N139" s="22"/>
    </row>
    <row r="140" spans="1:14" ht="20.100000000000001" customHeight="1" x14ac:dyDescent="0.25">
      <c r="A140" s="30" t="str">
        <f t="shared" si="12"/>
        <v/>
      </c>
      <c r="B140" s="41"/>
      <c r="C140" s="35" t="str">
        <f>IF(B140="","",IFERROR(VLOOKUP(B140,DB_Customers!$A:$B,2,0),"❌ Account Not Found"))</f>
        <v/>
      </c>
      <c r="D140" s="42" t="str">
        <f t="shared" ca="1" si="13"/>
        <v/>
      </c>
      <c r="E140" s="32"/>
      <c r="F140" s="31"/>
      <c r="G140" s="41"/>
      <c r="H140" s="56">
        <v>2.5</v>
      </c>
      <c r="I140" s="43" t="str">
        <f t="shared" si="14"/>
        <v/>
      </c>
      <c r="J140" s="43" t="str">
        <f t="shared" si="15"/>
        <v/>
      </c>
      <c r="K140" s="33" t="str">
        <f>IF(B140="","Pending",IF(M140="","⚠️ Enter Code",IF(IFERROR(VLOOKUP(L140,DB_Agents!$B:$F,4,0),"")=TEXT(M140,"0"),"Pending Approval","🔒 WRONG CODE")))</f>
        <v>Pending</v>
      </c>
      <c r="L140" s="30" t="s">
        <v>59</v>
      </c>
      <c r="M140" s="41"/>
      <c r="N140" s="57"/>
    </row>
    <row r="141" spans="1:14" ht="20.100000000000001" customHeight="1" x14ac:dyDescent="0.25">
      <c r="A141" s="30" t="str">
        <f t="shared" si="12"/>
        <v/>
      </c>
      <c r="B141" s="41"/>
      <c r="C141" s="35" t="str">
        <f>IF(B141="","",IFERROR(VLOOKUP(B141,DB_Customers!$A:$B,2,0),"❌ Account Not Found"))</f>
        <v/>
      </c>
      <c r="D141" s="42" t="str">
        <f t="shared" ca="1" si="13"/>
        <v/>
      </c>
      <c r="E141" s="32"/>
      <c r="F141" s="31"/>
      <c r="G141" s="41"/>
      <c r="H141" s="56">
        <v>2.5</v>
      </c>
      <c r="I141" s="43" t="str">
        <f t="shared" si="14"/>
        <v/>
      </c>
      <c r="J141" s="43" t="str">
        <f t="shared" si="15"/>
        <v/>
      </c>
      <c r="K141" s="33" t="str">
        <f>IF(B141="","Pending",IF(M141="","⚠️ Enter Code",IF(IFERROR(VLOOKUP(L141,DB_Agents!$B:$F,4,0),"")=TEXT(M141,"0"),"Pending Approval","🔒 WRONG CODE")))</f>
        <v>Pending</v>
      </c>
      <c r="L141" s="30" t="s">
        <v>59</v>
      </c>
      <c r="M141" s="41"/>
      <c r="N141" s="22"/>
    </row>
    <row r="142" spans="1:14" ht="20.100000000000001" customHeight="1" x14ac:dyDescent="0.25">
      <c r="A142" s="30" t="str">
        <f t="shared" ref="A142:A173" si="16">IF(B142="","",IF(C142="❌ Account Not Found","INVALID","LN"&amp;TEXT(D142,"YYYYMMDD")&amp;TEXT(ROW()-13,"0000")))</f>
        <v/>
      </c>
      <c r="B142" s="41"/>
      <c r="C142" s="35" t="str">
        <f>IF(B142="","",IFERROR(VLOOKUP(B142,DB_Customers!$A:$B,2,0),"❌ Account Not Found"))</f>
        <v/>
      </c>
      <c r="D142" s="42" t="str">
        <f t="shared" ref="D142:D173" ca="1" si="17">IF(B142="","",TODAY())</f>
        <v/>
      </c>
      <c r="E142" s="32"/>
      <c r="F142" s="31"/>
      <c r="G142" s="41"/>
      <c r="H142" s="56">
        <v>2.5</v>
      </c>
      <c r="I142" s="43" t="str">
        <f t="shared" ref="I142:I173" si="18">IF(E142="","",E142+(E142*H142/100*G142))</f>
        <v/>
      </c>
      <c r="J142" s="43" t="str">
        <f t="shared" ref="J142:J173" si="19">IFERROR(I142/G142,"")</f>
        <v/>
      </c>
      <c r="K142" s="33" t="str">
        <f>IF(B142="","Pending",IF(M142="","⚠️ Enter Code",IF(IFERROR(VLOOKUP(L142,DB_Agents!$B:$F,4,0),"")=TEXT(M142,"0"),"Pending Approval","🔒 WRONG CODE")))</f>
        <v>Pending</v>
      </c>
      <c r="L142" s="30" t="s">
        <v>59</v>
      </c>
      <c r="M142" s="41"/>
      <c r="N142" s="57"/>
    </row>
    <row r="143" spans="1:14" ht="20.100000000000001" customHeight="1" x14ac:dyDescent="0.25">
      <c r="A143" s="30" t="str">
        <f t="shared" si="16"/>
        <v/>
      </c>
      <c r="B143" s="41"/>
      <c r="C143" s="35" t="str">
        <f>IF(B143="","",IFERROR(VLOOKUP(B143,DB_Customers!$A:$B,2,0),"❌ Account Not Found"))</f>
        <v/>
      </c>
      <c r="D143" s="42" t="str">
        <f t="shared" ca="1" si="17"/>
        <v/>
      </c>
      <c r="E143" s="32"/>
      <c r="F143" s="31"/>
      <c r="G143" s="41"/>
      <c r="H143" s="56">
        <v>2.5</v>
      </c>
      <c r="I143" s="43" t="str">
        <f t="shared" si="18"/>
        <v/>
      </c>
      <c r="J143" s="43" t="str">
        <f t="shared" si="19"/>
        <v/>
      </c>
      <c r="K143" s="33" t="str">
        <f>IF(B143="","Pending",IF(M143="","⚠️ Enter Code",IF(IFERROR(VLOOKUP(L143,DB_Agents!$B:$F,4,0),"")=TEXT(M143,"0"),"Pending Approval","🔒 WRONG CODE")))</f>
        <v>Pending</v>
      </c>
      <c r="L143" s="30" t="s">
        <v>59</v>
      </c>
      <c r="M143" s="41"/>
      <c r="N143" s="22"/>
    </row>
    <row r="144" spans="1:14" ht="20.100000000000001" customHeight="1" x14ac:dyDescent="0.25">
      <c r="A144" s="30" t="str">
        <f t="shared" si="16"/>
        <v/>
      </c>
      <c r="B144" s="41"/>
      <c r="C144" s="35" t="str">
        <f>IF(B144="","",IFERROR(VLOOKUP(B144,DB_Customers!$A:$B,2,0),"❌ Account Not Found"))</f>
        <v/>
      </c>
      <c r="D144" s="42" t="str">
        <f t="shared" ca="1" si="17"/>
        <v/>
      </c>
      <c r="E144" s="32"/>
      <c r="F144" s="31"/>
      <c r="G144" s="41"/>
      <c r="H144" s="56">
        <v>2.5</v>
      </c>
      <c r="I144" s="43" t="str">
        <f t="shared" si="18"/>
        <v/>
      </c>
      <c r="J144" s="43" t="str">
        <f t="shared" si="19"/>
        <v/>
      </c>
      <c r="K144" s="33" t="str">
        <f>IF(B144="","Pending",IF(M144="","⚠️ Enter Code",IF(IFERROR(VLOOKUP(L144,DB_Agents!$B:$F,4,0),"")=TEXT(M144,"0"),"Pending Approval","🔒 WRONG CODE")))</f>
        <v>Pending</v>
      </c>
      <c r="L144" s="30" t="s">
        <v>59</v>
      </c>
      <c r="M144" s="41"/>
      <c r="N144" s="57"/>
    </row>
    <row r="145" spans="1:14" ht="20.100000000000001" customHeight="1" x14ac:dyDescent="0.25">
      <c r="A145" s="30" t="str">
        <f t="shared" si="16"/>
        <v/>
      </c>
      <c r="B145" s="41"/>
      <c r="C145" s="35" t="str">
        <f>IF(B145="","",IFERROR(VLOOKUP(B145,DB_Customers!$A:$B,2,0),"❌ Account Not Found"))</f>
        <v/>
      </c>
      <c r="D145" s="42" t="str">
        <f t="shared" ca="1" si="17"/>
        <v/>
      </c>
      <c r="E145" s="32"/>
      <c r="F145" s="31"/>
      <c r="G145" s="41"/>
      <c r="H145" s="56">
        <v>2.5</v>
      </c>
      <c r="I145" s="43" t="str">
        <f t="shared" si="18"/>
        <v/>
      </c>
      <c r="J145" s="43" t="str">
        <f t="shared" si="19"/>
        <v/>
      </c>
      <c r="K145" s="33" t="str">
        <f>IF(B145="","Pending",IF(M145="","⚠️ Enter Code",IF(IFERROR(VLOOKUP(L145,DB_Agents!$B:$F,4,0),"")=TEXT(M145,"0"),"Pending Approval","🔒 WRONG CODE")))</f>
        <v>Pending</v>
      </c>
      <c r="L145" s="30" t="s">
        <v>59</v>
      </c>
      <c r="M145" s="41"/>
      <c r="N145" s="22"/>
    </row>
    <row r="146" spans="1:14" ht="20.100000000000001" customHeight="1" x14ac:dyDescent="0.25">
      <c r="A146" s="30" t="str">
        <f t="shared" si="16"/>
        <v/>
      </c>
      <c r="B146" s="41"/>
      <c r="C146" s="35" t="str">
        <f>IF(B146="","",IFERROR(VLOOKUP(B146,DB_Customers!$A:$B,2,0),"❌ Account Not Found"))</f>
        <v/>
      </c>
      <c r="D146" s="42" t="str">
        <f t="shared" ca="1" si="17"/>
        <v/>
      </c>
      <c r="E146" s="32"/>
      <c r="F146" s="31"/>
      <c r="G146" s="41"/>
      <c r="H146" s="56">
        <v>2.5</v>
      </c>
      <c r="I146" s="43" t="str">
        <f t="shared" si="18"/>
        <v/>
      </c>
      <c r="J146" s="43" t="str">
        <f t="shared" si="19"/>
        <v/>
      </c>
      <c r="K146" s="33" t="str">
        <f>IF(B146="","Pending",IF(M146="","⚠️ Enter Code",IF(IFERROR(VLOOKUP(L146,DB_Agents!$B:$F,4,0),"")=TEXT(M146,"0"),"Pending Approval","🔒 WRONG CODE")))</f>
        <v>Pending</v>
      </c>
      <c r="L146" s="30" t="s">
        <v>59</v>
      </c>
      <c r="M146" s="41"/>
      <c r="N146" s="57"/>
    </row>
    <row r="147" spans="1:14" ht="20.100000000000001" customHeight="1" x14ac:dyDescent="0.25">
      <c r="A147" s="30" t="str">
        <f t="shared" si="16"/>
        <v/>
      </c>
      <c r="B147" s="41"/>
      <c r="C147" s="35" t="str">
        <f>IF(B147="","",IFERROR(VLOOKUP(B147,DB_Customers!$A:$B,2,0),"❌ Account Not Found"))</f>
        <v/>
      </c>
      <c r="D147" s="42" t="str">
        <f t="shared" ca="1" si="17"/>
        <v/>
      </c>
      <c r="E147" s="32"/>
      <c r="F147" s="31"/>
      <c r="G147" s="41"/>
      <c r="H147" s="56">
        <v>2.5</v>
      </c>
      <c r="I147" s="43" t="str">
        <f t="shared" si="18"/>
        <v/>
      </c>
      <c r="J147" s="43" t="str">
        <f t="shared" si="19"/>
        <v/>
      </c>
      <c r="K147" s="33" t="str">
        <f>IF(B147="","Pending",IF(M147="","⚠️ Enter Code",IF(IFERROR(VLOOKUP(L147,DB_Agents!$B:$F,4,0),"")=TEXT(M147,"0"),"Pending Approval","🔒 WRONG CODE")))</f>
        <v>Pending</v>
      </c>
      <c r="L147" s="30" t="s">
        <v>59</v>
      </c>
      <c r="M147" s="41"/>
      <c r="N147" s="22"/>
    </row>
    <row r="148" spans="1:14" ht="20.100000000000001" customHeight="1" x14ac:dyDescent="0.25">
      <c r="A148" s="30" t="str">
        <f t="shared" si="16"/>
        <v/>
      </c>
      <c r="B148" s="41"/>
      <c r="C148" s="35" t="str">
        <f>IF(B148="","",IFERROR(VLOOKUP(B148,DB_Customers!$A:$B,2,0),"❌ Account Not Found"))</f>
        <v/>
      </c>
      <c r="D148" s="42" t="str">
        <f t="shared" ca="1" si="17"/>
        <v/>
      </c>
      <c r="E148" s="32"/>
      <c r="F148" s="31"/>
      <c r="G148" s="41"/>
      <c r="H148" s="56">
        <v>2.5</v>
      </c>
      <c r="I148" s="43" t="str">
        <f t="shared" si="18"/>
        <v/>
      </c>
      <c r="J148" s="43" t="str">
        <f t="shared" si="19"/>
        <v/>
      </c>
      <c r="K148" s="33" t="str">
        <f>IF(B148="","Pending",IF(M148="","⚠️ Enter Code",IF(IFERROR(VLOOKUP(L148,DB_Agents!$B:$F,4,0),"")=TEXT(M148,"0"),"Pending Approval","🔒 WRONG CODE")))</f>
        <v>Pending</v>
      </c>
      <c r="L148" s="30" t="s">
        <v>59</v>
      </c>
      <c r="M148" s="41"/>
      <c r="N148" s="57"/>
    </row>
    <row r="149" spans="1:14" ht="20.100000000000001" customHeight="1" x14ac:dyDescent="0.25">
      <c r="A149" s="30" t="str">
        <f t="shared" si="16"/>
        <v/>
      </c>
      <c r="B149" s="41"/>
      <c r="C149" s="35" t="str">
        <f>IF(B149="","",IFERROR(VLOOKUP(B149,DB_Customers!$A:$B,2,0),"❌ Account Not Found"))</f>
        <v/>
      </c>
      <c r="D149" s="42" t="str">
        <f t="shared" ca="1" si="17"/>
        <v/>
      </c>
      <c r="E149" s="32"/>
      <c r="F149" s="31"/>
      <c r="G149" s="41"/>
      <c r="H149" s="56">
        <v>2.5</v>
      </c>
      <c r="I149" s="43" t="str">
        <f t="shared" si="18"/>
        <v/>
      </c>
      <c r="J149" s="43" t="str">
        <f t="shared" si="19"/>
        <v/>
      </c>
      <c r="K149" s="33" t="str">
        <f>IF(B149="","Pending",IF(M149="","⚠️ Enter Code",IF(IFERROR(VLOOKUP(L149,DB_Agents!$B:$F,4,0),"")=TEXT(M149,"0"),"Pending Approval","🔒 WRONG CODE")))</f>
        <v>Pending</v>
      </c>
      <c r="L149" s="30" t="s">
        <v>59</v>
      </c>
      <c r="M149" s="41"/>
      <c r="N149" s="22"/>
    </row>
    <row r="150" spans="1:14" ht="20.100000000000001" customHeight="1" x14ac:dyDescent="0.25">
      <c r="A150" s="30" t="str">
        <f t="shared" si="16"/>
        <v/>
      </c>
      <c r="B150" s="41"/>
      <c r="C150" s="35" t="str">
        <f>IF(B150="","",IFERROR(VLOOKUP(B150,DB_Customers!$A:$B,2,0),"❌ Account Not Found"))</f>
        <v/>
      </c>
      <c r="D150" s="42" t="str">
        <f t="shared" ca="1" si="17"/>
        <v/>
      </c>
      <c r="E150" s="32"/>
      <c r="F150" s="31"/>
      <c r="G150" s="41"/>
      <c r="H150" s="56">
        <v>2.5</v>
      </c>
      <c r="I150" s="43" t="str">
        <f t="shared" si="18"/>
        <v/>
      </c>
      <c r="J150" s="43" t="str">
        <f t="shared" si="19"/>
        <v/>
      </c>
      <c r="K150" s="33" t="str">
        <f>IF(B150="","Pending",IF(M150="","⚠️ Enter Code",IF(IFERROR(VLOOKUP(L150,DB_Agents!$B:$F,4,0),"")=TEXT(M150,"0"),"Pending Approval","🔒 WRONG CODE")))</f>
        <v>Pending</v>
      </c>
      <c r="L150" s="30" t="s">
        <v>59</v>
      </c>
      <c r="M150" s="41"/>
      <c r="N150" s="57"/>
    </row>
    <row r="151" spans="1:14" ht="20.100000000000001" customHeight="1" x14ac:dyDescent="0.25">
      <c r="A151" s="30" t="str">
        <f t="shared" si="16"/>
        <v/>
      </c>
      <c r="B151" s="41"/>
      <c r="C151" s="35" t="str">
        <f>IF(B151="","",IFERROR(VLOOKUP(B151,DB_Customers!$A:$B,2,0),"❌ Account Not Found"))</f>
        <v/>
      </c>
      <c r="D151" s="42" t="str">
        <f t="shared" ca="1" si="17"/>
        <v/>
      </c>
      <c r="E151" s="32"/>
      <c r="F151" s="31"/>
      <c r="G151" s="41"/>
      <c r="H151" s="56">
        <v>2.5</v>
      </c>
      <c r="I151" s="43" t="str">
        <f t="shared" si="18"/>
        <v/>
      </c>
      <c r="J151" s="43" t="str">
        <f t="shared" si="19"/>
        <v/>
      </c>
      <c r="K151" s="33" t="str">
        <f>IF(B151="","Pending",IF(M151="","⚠️ Enter Code",IF(IFERROR(VLOOKUP(L151,DB_Agents!$B:$F,4,0),"")=TEXT(M151,"0"),"Pending Approval","🔒 WRONG CODE")))</f>
        <v>Pending</v>
      </c>
      <c r="L151" s="30" t="s">
        <v>59</v>
      </c>
      <c r="M151" s="41"/>
      <c r="N151" s="22"/>
    </row>
    <row r="152" spans="1:14" ht="20.100000000000001" customHeight="1" x14ac:dyDescent="0.25">
      <c r="A152" s="30" t="str">
        <f t="shared" si="16"/>
        <v/>
      </c>
      <c r="B152" s="41"/>
      <c r="C152" s="35" t="str">
        <f>IF(B152="","",IFERROR(VLOOKUP(B152,DB_Customers!$A:$B,2,0),"❌ Account Not Found"))</f>
        <v/>
      </c>
      <c r="D152" s="42" t="str">
        <f t="shared" ca="1" si="17"/>
        <v/>
      </c>
      <c r="E152" s="32"/>
      <c r="F152" s="31"/>
      <c r="G152" s="41"/>
      <c r="H152" s="56">
        <v>2.5</v>
      </c>
      <c r="I152" s="43" t="str">
        <f t="shared" si="18"/>
        <v/>
      </c>
      <c r="J152" s="43" t="str">
        <f t="shared" si="19"/>
        <v/>
      </c>
      <c r="K152" s="33" t="str">
        <f>IF(B152="","Pending",IF(M152="","⚠️ Enter Code",IF(IFERROR(VLOOKUP(L152,DB_Agents!$B:$F,4,0),"")=TEXT(M152,"0"),"Pending Approval","🔒 WRONG CODE")))</f>
        <v>Pending</v>
      </c>
      <c r="L152" s="30" t="s">
        <v>59</v>
      </c>
      <c r="M152" s="41"/>
      <c r="N152" s="57"/>
    </row>
    <row r="153" spans="1:14" ht="20.100000000000001" customHeight="1" x14ac:dyDescent="0.25">
      <c r="A153" s="30" t="str">
        <f t="shared" si="16"/>
        <v/>
      </c>
      <c r="B153" s="41"/>
      <c r="C153" s="35" t="str">
        <f>IF(B153="","",IFERROR(VLOOKUP(B153,DB_Customers!$A:$B,2,0),"❌ Account Not Found"))</f>
        <v/>
      </c>
      <c r="D153" s="42" t="str">
        <f t="shared" ca="1" si="17"/>
        <v/>
      </c>
      <c r="E153" s="32"/>
      <c r="F153" s="31"/>
      <c r="G153" s="41"/>
      <c r="H153" s="56">
        <v>2.5</v>
      </c>
      <c r="I153" s="43" t="str">
        <f t="shared" si="18"/>
        <v/>
      </c>
      <c r="J153" s="43" t="str">
        <f t="shared" si="19"/>
        <v/>
      </c>
      <c r="K153" s="33" t="str">
        <f>IF(B153="","Pending",IF(M153="","⚠️ Enter Code",IF(IFERROR(VLOOKUP(L153,DB_Agents!$B:$F,4,0),"")=TEXT(M153,"0"),"Pending Approval","🔒 WRONG CODE")))</f>
        <v>Pending</v>
      </c>
      <c r="L153" s="30" t="s">
        <v>59</v>
      </c>
      <c r="M153" s="41"/>
      <c r="N153" s="22"/>
    </row>
    <row r="154" spans="1:14" ht="20.100000000000001" customHeight="1" x14ac:dyDescent="0.25">
      <c r="A154" s="30" t="str">
        <f t="shared" si="16"/>
        <v/>
      </c>
      <c r="B154" s="41"/>
      <c r="C154" s="35" t="str">
        <f>IF(B154="","",IFERROR(VLOOKUP(B154,DB_Customers!$A:$B,2,0),"❌ Account Not Found"))</f>
        <v/>
      </c>
      <c r="D154" s="42" t="str">
        <f t="shared" ca="1" si="17"/>
        <v/>
      </c>
      <c r="E154" s="32"/>
      <c r="F154" s="31"/>
      <c r="G154" s="41"/>
      <c r="H154" s="56">
        <v>2.5</v>
      </c>
      <c r="I154" s="43" t="str">
        <f t="shared" si="18"/>
        <v/>
      </c>
      <c r="J154" s="43" t="str">
        <f t="shared" si="19"/>
        <v/>
      </c>
      <c r="K154" s="33" t="str">
        <f>IF(B154="","Pending",IF(M154="","⚠️ Enter Code",IF(IFERROR(VLOOKUP(L154,DB_Agents!$B:$F,4,0),"")=TEXT(M154,"0"),"Pending Approval","🔒 WRONG CODE")))</f>
        <v>Pending</v>
      </c>
      <c r="L154" s="30" t="s">
        <v>59</v>
      </c>
      <c r="M154" s="41"/>
      <c r="N154" s="57"/>
    </row>
    <row r="155" spans="1:14" ht="20.100000000000001" customHeight="1" x14ac:dyDescent="0.25">
      <c r="A155" s="30" t="str">
        <f t="shared" si="16"/>
        <v/>
      </c>
      <c r="B155" s="41"/>
      <c r="C155" s="35" t="str">
        <f>IF(B155="","",IFERROR(VLOOKUP(B155,DB_Customers!$A:$B,2,0),"❌ Account Not Found"))</f>
        <v/>
      </c>
      <c r="D155" s="42" t="str">
        <f t="shared" ca="1" si="17"/>
        <v/>
      </c>
      <c r="E155" s="32"/>
      <c r="F155" s="31"/>
      <c r="G155" s="41"/>
      <c r="H155" s="56">
        <v>2.5</v>
      </c>
      <c r="I155" s="43" t="str">
        <f t="shared" si="18"/>
        <v/>
      </c>
      <c r="J155" s="43" t="str">
        <f t="shared" si="19"/>
        <v/>
      </c>
      <c r="K155" s="33" t="str">
        <f>IF(B155="","Pending",IF(M155="","⚠️ Enter Code",IF(IFERROR(VLOOKUP(L155,DB_Agents!$B:$F,4,0),"")=TEXT(M155,"0"),"Pending Approval","🔒 WRONG CODE")))</f>
        <v>Pending</v>
      </c>
      <c r="L155" s="30" t="s">
        <v>59</v>
      </c>
      <c r="M155" s="41"/>
      <c r="N155" s="22"/>
    </row>
    <row r="156" spans="1:14" ht="20.100000000000001" customHeight="1" x14ac:dyDescent="0.25">
      <c r="A156" s="30" t="str">
        <f t="shared" si="16"/>
        <v/>
      </c>
      <c r="B156" s="41"/>
      <c r="C156" s="35" t="str">
        <f>IF(B156="","",IFERROR(VLOOKUP(B156,DB_Customers!$A:$B,2,0),"❌ Account Not Found"))</f>
        <v/>
      </c>
      <c r="D156" s="42" t="str">
        <f t="shared" ca="1" si="17"/>
        <v/>
      </c>
      <c r="E156" s="32"/>
      <c r="F156" s="31"/>
      <c r="G156" s="41"/>
      <c r="H156" s="56">
        <v>2.5</v>
      </c>
      <c r="I156" s="43" t="str">
        <f t="shared" si="18"/>
        <v/>
      </c>
      <c r="J156" s="43" t="str">
        <f t="shared" si="19"/>
        <v/>
      </c>
      <c r="K156" s="33" t="str">
        <f>IF(B156="","Pending",IF(M156="","⚠️ Enter Code",IF(IFERROR(VLOOKUP(L156,DB_Agents!$B:$F,4,0),"")=TEXT(M156,"0"),"Pending Approval","🔒 WRONG CODE")))</f>
        <v>Pending</v>
      </c>
      <c r="L156" s="30" t="s">
        <v>59</v>
      </c>
      <c r="M156" s="41"/>
      <c r="N156" s="57"/>
    </row>
    <row r="157" spans="1:14" ht="20.100000000000001" customHeight="1" x14ac:dyDescent="0.25">
      <c r="A157" s="30" t="str">
        <f t="shared" si="16"/>
        <v/>
      </c>
      <c r="B157" s="41"/>
      <c r="C157" s="35" t="str">
        <f>IF(B157="","",IFERROR(VLOOKUP(B157,DB_Customers!$A:$B,2,0),"❌ Account Not Found"))</f>
        <v/>
      </c>
      <c r="D157" s="42" t="str">
        <f t="shared" ca="1" si="17"/>
        <v/>
      </c>
      <c r="E157" s="32"/>
      <c r="F157" s="31"/>
      <c r="G157" s="41"/>
      <c r="H157" s="56">
        <v>2.5</v>
      </c>
      <c r="I157" s="43" t="str">
        <f t="shared" si="18"/>
        <v/>
      </c>
      <c r="J157" s="43" t="str">
        <f t="shared" si="19"/>
        <v/>
      </c>
      <c r="K157" s="33" t="str">
        <f>IF(B157="","Pending",IF(M157="","⚠️ Enter Code",IF(IFERROR(VLOOKUP(L157,DB_Agents!$B:$F,4,0),"")=TEXT(M157,"0"),"Pending Approval","🔒 WRONG CODE")))</f>
        <v>Pending</v>
      </c>
      <c r="L157" s="30" t="s">
        <v>59</v>
      </c>
      <c r="M157" s="41"/>
      <c r="N157" s="22"/>
    </row>
    <row r="158" spans="1:14" ht="20.100000000000001" customHeight="1" x14ac:dyDescent="0.25">
      <c r="A158" s="30" t="str">
        <f t="shared" si="16"/>
        <v/>
      </c>
      <c r="B158" s="41"/>
      <c r="C158" s="35" t="str">
        <f>IF(B158="","",IFERROR(VLOOKUP(B158,DB_Customers!$A:$B,2,0),"❌ Account Not Found"))</f>
        <v/>
      </c>
      <c r="D158" s="42" t="str">
        <f t="shared" ca="1" si="17"/>
        <v/>
      </c>
      <c r="E158" s="32"/>
      <c r="F158" s="31"/>
      <c r="G158" s="41"/>
      <c r="H158" s="56">
        <v>2.5</v>
      </c>
      <c r="I158" s="43" t="str">
        <f t="shared" si="18"/>
        <v/>
      </c>
      <c r="J158" s="43" t="str">
        <f t="shared" si="19"/>
        <v/>
      </c>
      <c r="K158" s="33" t="str">
        <f>IF(B158="","Pending",IF(M158="","⚠️ Enter Code",IF(IFERROR(VLOOKUP(L158,DB_Agents!$B:$F,4,0),"")=TEXT(M158,"0"),"Pending Approval","🔒 WRONG CODE")))</f>
        <v>Pending</v>
      </c>
      <c r="L158" s="30" t="s">
        <v>59</v>
      </c>
      <c r="M158" s="41"/>
      <c r="N158" s="57"/>
    </row>
    <row r="159" spans="1:14" ht="20.100000000000001" customHeight="1" x14ac:dyDescent="0.25">
      <c r="A159" s="30" t="str">
        <f t="shared" si="16"/>
        <v/>
      </c>
      <c r="B159" s="41"/>
      <c r="C159" s="35" t="str">
        <f>IF(B159="","",IFERROR(VLOOKUP(B159,DB_Customers!$A:$B,2,0),"❌ Account Not Found"))</f>
        <v/>
      </c>
      <c r="D159" s="42" t="str">
        <f t="shared" ca="1" si="17"/>
        <v/>
      </c>
      <c r="E159" s="32"/>
      <c r="F159" s="31"/>
      <c r="G159" s="41"/>
      <c r="H159" s="56">
        <v>2.5</v>
      </c>
      <c r="I159" s="43" t="str">
        <f t="shared" si="18"/>
        <v/>
      </c>
      <c r="J159" s="43" t="str">
        <f t="shared" si="19"/>
        <v/>
      </c>
      <c r="K159" s="33" t="str">
        <f>IF(B159="","Pending",IF(M159="","⚠️ Enter Code",IF(IFERROR(VLOOKUP(L159,DB_Agents!$B:$F,4,0),"")=TEXT(M159,"0"),"Pending Approval","🔒 WRONG CODE")))</f>
        <v>Pending</v>
      </c>
      <c r="L159" s="30" t="s">
        <v>59</v>
      </c>
      <c r="M159" s="41"/>
      <c r="N159" s="22"/>
    </row>
    <row r="160" spans="1:14" ht="20.100000000000001" customHeight="1" x14ac:dyDescent="0.25">
      <c r="A160" s="30" t="str">
        <f t="shared" si="16"/>
        <v/>
      </c>
      <c r="B160" s="41"/>
      <c r="C160" s="35" t="str">
        <f>IF(B160="","",IFERROR(VLOOKUP(B160,DB_Customers!$A:$B,2,0),"❌ Account Not Found"))</f>
        <v/>
      </c>
      <c r="D160" s="42" t="str">
        <f t="shared" ca="1" si="17"/>
        <v/>
      </c>
      <c r="E160" s="32"/>
      <c r="F160" s="31"/>
      <c r="G160" s="41"/>
      <c r="H160" s="56">
        <v>2.5</v>
      </c>
      <c r="I160" s="43" t="str">
        <f t="shared" si="18"/>
        <v/>
      </c>
      <c r="J160" s="43" t="str">
        <f t="shared" si="19"/>
        <v/>
      </c>
      <c r="K160" s="33" t="str">
        <f>IF(B160="","Pending",IF(M160="","⚠️ Enter Code",IF(IFERROR(VLOOKUP(L160,DB_Agents!$B:$F,4,0),"")=TEXT(M160,"0"),"Pending Approval","🔒 WRONG CODE")))</f>
        <v>Pending</v>
      </c>
      <c r="L160" s="30" t="s">
        <v>59</v>
      </c>
      <c r="M160" s="41"/>
      <c r="N160" s="57"/>
    </row>
    <row r="161" spans="1:14" ht="20.100000000000001" customHeight="1" x14ac:dyDescent="0.25">
      <c r="A161" s="30" t="str">
        <f t="shared" si="16"/>
        <v/>
      </c>
      <c r="B161" s="41"/>
      <c r="C161" s="35" t="str">
        <f>IF(B161="","",IFERROR(VLOOKUP(B161,DB_Customers!$A:$B,2,0),"❌ Account Not Found"))</f>
        <v/>
      </c>
      <c r="D161" s="42" t="str">
        <f t="shared" ca="1" si="17"/>
        <v/>
      </c>
      <c r="E161" s="32"/>
      <c r="F161" s="31"/>
      <c r="G161" s="41"/>
      <c r="H161" s="56">
        <v>2.5</v>
      </c>
      <c r="I161" s="43" t="str">
        <f t="shared" si="18"/>
        <v/>
      </c>
      <c r="J161" s="43" t="str">
        <f t="shared" si="19"/>
        <v/>
      </c>
      <c r="K161" s="33" t="str">
        <f>IF(B161="","Pending",IF(M161="","⚠️ Enter Code",IF(IFERROR(VLOOKUP(L161,DB_Agents!$B:$F,4,0),"")=TEXT(M161,"0"),"Pending Approval","🔒 WRONG CODE")))</f>
        <v>Pending</v>
      </c>
      <c r="L161" s="30" t="s">
        <v>59</v>
      </c>
      <c r="M161" s="41"/>
      <c r="N161" s="22"/>
    </row>
    <row r="162" spans="1:14" ht="20.100000000000001" customHeight="1" x14ac:dyDescent="0.25">
      <c r="A162" s="30" t="str">
        <f t="shared" si="16"/>
        <v/>
      </c>
      <c r="B162" s="41"/>
      <c r="C162" s="35" t="str">
        <f>IF(B162="","",IFERROR(VLOOKUP(B162,DB_Customers!$A:$B,2,0),"❌ Account Not Found"))</f>
        <v/>
      </c>
      <c r="D162" s="42" t="str">
        <f t="shared" ca="1" si="17"/>
        <v/>
      </c>
      <c r="E162" s="32"/>
      <c r="F162" s="31"/>
      <c r="G162" s="41"/>
      <c r="H162" s="56">
        <v>2.5</v>
      </c>
      <c r="I162" s="43" t="str">
        <f t="shared" si="18"/>
        <v/>
      </c>
      <c r="J162" s="43" t="str">
        <f t="shared" si="19"/>
        <v/>
      </c>
      <c r="K162" s="33" t="str">
        <f>IF(B162="","Pending",IF(M162="","⚠️ Enter Code",IF(IFERROR(VLOOKUP(L162,DB_Agents!$B:$F,4,0),"")=TEXT(M162,"0"),"Pending Approval","🔒 WRONG CODE")))</f>
        <v>Pending</v>
      </c>
      <c r="L162" s="30" t="s">
        <v>59</v>
      </c>
      <c r="M162" s="41"/>
      <c r="N162" s="57"/>
    </row>
    <row r="163" spans="1:14" ht="20.100000000000001" customHeight="1" x14ac:dyDescent="0.25">
      <c r="A163" s="30" t="str">
        <f t="shared" si="16"/>
        <v/>
      </c>
      <c r="B163" s="41"/>
      <c r="C163" s="35" t="str">
        <f>IF(B163="","",IFERROR(VLOOKUP(B163,DB_Customers!$A:$B,2,0),"❌ Account Not Found"))</f>
        <v/>
      </c>
      <c r="D163" s="42" t="str">
        <f t="shared" ca="1" si="17"/>
        <v/>
      </c>
      <c r="E163" s="32"/>
      <c r="F163" s="31"/>
      <c r="G163" s="41"/>
      <c r="H163" s="56">
        <v>2.5</v>
      </c>
      <c r="I163" s="43" t="str">
        <f t="shared" si="18"/>
        <v/>
      </c>
      <c r="J163" s="43" t="str">
        <f t="shared" si="19"/>
        <v/>
      </c>
      <c r="K163" s="33" t="str">
        <f>IF(B163="","Pending",IF(M163="","⚠️ Enter Code",IF(IFERROR(VLOOKUP(L163,DB_Agents!$B:$F,4,0),"")=TEXT(M163,"0"),"Pending Approval","🔒 WRONG CODE")))</f>
        <v>Pending</v>
      </c>
      <c r="L163" s="30" t="s">
        <v>59</v>
      </c>
      <c r="M163" s="41"/>
      <c r="N163" s="22"/>
    </row>
    <row r="164" spans="1:14" ht="20.100000000000001" customHeight="1" x14ac:dyDescent="0.25">
      <c r="A164" s="30" t="str">
        <f t="shared" si="16"/>
        <v/>
      </c>
      <c r="B164" s="41"/>
      <c r="C164" s="35" t="str">
        <f>IF(B164="","",IFERROR(VLOOKUP(B164,DB_Customers!$A:$B,2,0),"❌ Account Not Found"))</f>
        <v/>
      </c>
      <c r="D164" s="42" t="str">
        <f t="shared" ca="1" si="17"/>
        <v/>
      </c>
      <c r="E164" s="32"/>
      <c r="F164" s="31"/>
      <c r="G164" s="41"/>
      <c r="H164" s="56">
        <v>2.5</v>
      </c>
      <c r="I164" s="43" t="str">
        <f t="shared" si="18"/>
        <v/>
      </c>
      <c r="J164" s="43" t="str">
        <f t="shared" si="19"/>
        <v/>
      </c>
      <c r="K164" s="33" t="str">
        <f>IF(B164="","Pending",IF(M164="","⚠️ Enter Code",IF(IFERROR(VLOOKUP(L164,DB_Agents!$B:$F,4,0),"")=TEXT(M164,"0"),"Pending Approval","🔒 WRONG CODE")))</f>
        <v>Pending</v>
      </c>
      <c r="L164" s="30" t="s">
        <v>59</v>
      </c>
      <c r="M164" s="41"/>
      <c r="N164" s="57"/>
    </row>
    <row r="165" spans="1:14" ht="20.100000000000001" customHeight="1" x14ac:dyDescent="0.25">
      <c r="A165" s="30" t="str">
        <f t="shared" si="16"/>
        <v/>
      </c>
      <c r="B165" s="41"/>
      <c r="C165" s="35" t="str">
        <f>IF(B165="","",IFERROR(VLOOKUP(B165,DB_Customers!$A:$B,2,0),"❌ Account Not Found"))</f>
        <v/>
      </c>
      <c r="D165" s="42" t="str">
        <f t="shared" ca="1" si="17"/>
        <v/>
      </c>
      <c r="E165" s="32"/>
      <c r="F165" s="31"/>
      <c r="G165" s="41"/>
      <c r="H165" s="56">
        <v>2.5</v>
      </c>
      <c r="I165" s="43" t="str">
        <f t="shared" si="18"/>
        <v/>
      </c>
      <c r="J165" s="43" t="str">
        <f t="shared" si="19"/>
        <v/>
      </c>
      <c r="K165" s="33" t="str">
        <f>IF(B165="","Pending",IF(M165="","⚠️ Enter Code",IF(IFERROR(VLOOKUP(L165,DB_Agents!$B:$F,4,0),"")=TEXT(M165,"0"),"Pending Approval","🔒 WRONG CODE")))</f>
        <v>Pending</v>
      </c>
      <c r="L165" s="30" t="s">
        <v>59</v>
      </c>
      <c r="M165" s="41"/>
      <c r="N165" s="22"/>
    </row>
    <row r="166" spans="1:14" ht="20.100000000000001" customHeight="1" x14ac:dyDescent="0.25">
      <c r="A166" s="30" t="str">
        <f t="shared" si="16"/>
        <v/>
      </c>
      <c r="B166" s="41"/>
      <c r="C166" s="35" t="str">
        <f>IF(B166="","",IFERROR(VLOOKUP(B166,DB_Customers!$A:$B,2,0),"❌ Account Not Found"))</f>
        <v/>
      </c>
      <c r="D166" s="42" t="str">
        <f t="shared" ca="1" si="17"/>
        <v/>
      </c>
      <c r="E166" s="32"/>
      <c r="F166" s="31"/>
      <c r="G166" s="41"/>
      <c r="H166" s="56">
        <v>2.5</v>
      </c>
      <c r="I166" s="43" t="str">
        <f t="shared" si="18"/>
        <v/>
      </c>
      <c r="J166" s="43" t="str">
        <f t="shared" si="19"/>
        <v/>
      </c>
      <c r="K166" s="33" t="str">
        <f>IF(B166="","Pending",IF(M166="","⚠️ Enter Code",IF(IFERROR(VLOOKUP(L166,DB_Agents!$B:$F,4,0),"")=TEXT(M166,"0"),"Pending Approval","🔒 WRONG CODE")))</f>
        <v>Pending</v>
      </c>
      <c r="L166" s="30" t="s">
        <v>59</v>
      </c>
      <c r="M166" s="41"/>
      <c r="N166" s="57"/>
    </row>
    <row r="167" spans="1:14" ht="20.100000000000001" customHeight="1" x14ac:dyDescent="0.25">
      <c r="A167" s="30" t="str">
        <f t="shared" si="16"/>
        <v/>
      </c>
      <c r="B167" s="41"/>
      <c r="C167" s="35" t="str">
        <f>IF(B167="","",IFERROR(VLOOKUP(B167,DB_Customers!$A:$B,2,0),"❌ Account Not Found"))</f>
        <v/>
      </c>
      <c r="D167" s="42" t="str">
        <f t="shared" ca="1" si="17"/>
        <v/>
      </c>
      <c r="E167" s="32"/>
      <c r="F167" s="31"/>
      <c r="G167" s="41"/>
      <c r="H167" s="56">
        <v>2.5</v>
      </c>
      <c r="I167" s="43" t="str">
        <f t="shared" si="18"/>
        <v/>
      </c>
      <c r="J167" s="43" t="str">
        <f t="shared" si="19"/>
        <v/>
      </c>
      <c r="K167" s="33" t="str">
        <f>IF(B167="","Pending",IF(M167="","⚠️ Enter Code",IF(IFERROR(VLOOKUP(L167,DB_Agents!$B:$F,4,0),"")=TEXT(M167,"0"),"Pending Approval","🔒 WRONG CODE")))</f>
        <v>Pending</v>
      </c>
      <c r="L167" s="30" t="s">
        <v>59</v>
      </c>
      <c r="M167" s="41"/>
      <c r="N167" s="22"/>
    </row>
    <row r="168" spans="1:14" ht="20.100000000000001" customHeight="1" x14ac:dyDescent="0.25">
      <c r="A168" s="30" t="str">
        <f t="shared" si="16"/>
        <v/>
      </c>
      <c r="B168" s="41"/>
      <c r="C168" s="35" t="str">
        <f>IF(B168="","",IFERROR(VLOOKUP(B168,DB_Customers!$A:$B,2,0),"❌ Account Not Found"))</f>
        <v/>
      </c>
      <c r="D168" s="42" t="str">
        <f t="shared" ca="1" si="17"/>
        <v/>
      </c>
      <c r="E168" s="32"/>
      <c r="F168" s="31"/>
      <c r="G168" s="41"/>
      <c r="H168" s="56">
        <v>2.5</v>
      </c>
      <c r="I168" s="43" t="str">
        <f t="shared" si="18"/>
        <v/>
      </c>
      <c r="J168" s="43" t="str">
        <f t="shared" si="19"/>
        <v/>
      </c>
      <c r="K168" s="33" t="str">
        <f>IF(B168="","Pending",IF(M168="","⚠️ Enter Code",IF(IFERROR(VLOOKUP(L168,DB_Agents!$B:$F,4,0),"")=TEXT(M168,"0"),"Pending Approval","🔒 WRONG CODE")))</f>
        <v>Pending</v>
      </c>
      <c r="L168" s="30" t="s">
        <v>59</v>
      </c>
      <c r="M168" s="41"/>
      <c r="N168" s="57"/>
    </row>
    <row r="169" spans="1:14" ht="20.100000000000001" customHeight="1" x14ac:dyDescent="0.25">
      <c r="A169" s="30" t="str">
        <f t="shared" si="16"/>
        <v/>
      </c>
      <c r="B169" s="41"/>
      <c r="C169" s="35" t="str">
        <f>IF(B169="","",IFERROR(VLOOKUP(B169,DB_Customers!$A:$B,2,0),"❌ Account Not Found"))</f>
        <v/>
      </c>
      <c r="D169" s="42" t="str">
        <f t="shared" ca="1" si="17"/>
        <v/>
      </c>
      <c r="E169" s="32"/>
      <c r="F169" s="31"/>
      <c r="G169" s="41"/>
      <c r="H169" s="56">
        <v>2.5</v>
      </c>
      <c r="I169" s="43" t="str">
        <f t="shared" si="18"/>
        <v/>
      </c>
      <c r="J169" s="43" t="str">
        <f t="shared" si="19"/>
        <v/>
      </c>
      <c r="K169" s="33" t="str">
        <f>IF(B169="","Pending",IF(M169="","⚠️ Enter Code",IF(IFERROR(VLOOKUP(L169,DB_Agents!$B:$F,4,0),"")=TEXT(M169,"0"),"Pending Approval","🔒 WRONG CODE")))</f>
        <v>Pending</v>
      </c>
      <c r="L169" s="30" t="s">
        <v>59</v>
      </c>
      <c r="M169" s="41"/>
      <c r="N169" s="22"/>
    </row>
    <row r="170" spans="1:14" ht="20.100000000000001" customHeight="1" x14ac:dyDescent="0.25">
      <c r="A170" s="30" t="str">
        <f t="shared" si="16"/>
        <v/>
      </c>
      <c r="B170" s="41"/>
      <c r="C170" s="35" t="str">
        <f>IF(B170="","",IFERROR(VLOOKUP(B170,DB_Customers!$A:$B,2,0),"❌ Account Not Found"))</f>
        <v/>
      </c>
      <c r="D170" s="42" t="str">
        <f t="shared" ca="1" si="17"/>
        <v/>
      </c>
      <c r="E170" s="32"/>
      <c r="F170" s="31"/>
      <c r="G170" s="41"/>
      <c r="H170" s="56">
        <v>2.5</v>
      </c>
      <c r="I170" s="43" t="str">
        <f t="shared" si="18"/>
        <v/>
      </c>
      <c r="J170" s="43" t="str">
        <f t="shared" si="19"/>
        <v/>
      </c>
      <c r="K170" s="33" t="str">
        <f>IF(B170="","Pending",IF(M170="","⚠️ Enter Code",IF(IFERROR(VLOOKUP(L170,DB_Agents!$B:$F,4,0),"")=TEXT(M170,"0"),"Pending Approval","🔒 WRONG CODE")))</f>
        <v>Pending</v>
      </c>
      <c r="L170" s="30" t="s">
        <v>59</v>
      </c>
      <c r="M170" s="41"/>
      <c r="N170" s="57"/>
    </row>
    <row r="171" spans="1:14" ht="20.100000000000001" customHeight="1" x14ac:dyDescent="0.25">
      <c r="A171" s="30" t="str">
        <f t="shared" si="16"/>
        <v/>
      </c>
      <c r="B171" s="41"/>
      <c r="C171" s="35" t="str">
        <f>IF(B171="","",IFERROR(VLOOKUP(B171,DB_Customers!$A:$B,2,0),"❌ Account Not Found"))</f>
        <v/>
      </c>
      <c r="D171" s="42" t="str">
        <f t="shared" ca="1" si="17"/>
        <v/>
      </c>
      <c r="E171" s="32"/>
      <c r="F171" s="31"/>
      <c r="G171" s="41"/>
      <c r="H171" s="56">
        <v>2.5</v>
      </c>
      <c r="I171" s="43" t="str">
        <f t="shared" si="18"/>
        <v/>
      </c>
      <c r="J171" s="43" t="str">
        <f t="shared" si="19"/>
        <v/>
      </c>
      <c r="K171" s="33" t="str">
        <f>IF(B171="","Pending",IF(M171="","⚠️ Enter Code",IF(IFERROR(VLOOKUP(L171,DB_Agents!$B:$F,4,0),"")=TEXT(M171,"0"),"Pending Approval","🔒 WRONG CODE")))</f>
        <v>Pending</v>
      </c>
      <c r="L171" s="30" t="s">
        <v>59</v>
      </c>
      <c r="M171" s="41"/>
      <c r="N171" s="22"/>
    </row>
    <row r="172" spans="1:14" ht="20.100000000000001" customHeight="1" x14ac:dyDescent="0.25">
      <c r="A172" s="30" t="str">
        <f t="shared" si="16"/>
        <v/>
      </c>
      <c r="B172" s="41"/>
      <c r="C172" s="35" t="str">
        <f>IF(B172="","",IFERROR(VLOOKUP(B172,DB_Customers!$A:$B,2,0),"❌ Account Not Found"))</f>
        <v/>
      </c>
      <c r="D172" s="42" t="str">
        <f t="shared" ca="1" si="17"/>
        <v/>
      </c>
      <c r="E172" s="32"/>
      <c r="F172" s="31"/>
      <c r="G172" s="41"/>
      <c r="H172" s="56">
        <v>2.5</v>
      </c>
      <c r="I172" s="43" t="str">
        <f t="shared" si="18"/>
        <v/>
      </c>
      <c r="J172" s="43" t="str">
        <f t="shared" si="19"/>
        <v/>
      </c>
      <c r="K172" s="33" t="str">
        <f>IF(B172="","Pending",IF(M172="","⚠️ Enter Code",IF(IFERROR(VLOOKUP(L172,DB_Agents!$B:$F,4,0),"")=TEXT(M172,"0"),"Pending Approval","🔒 WRONG CODE")))</f>
        <v>Pending</v>
      </c>
      <c r="L172" s="30" t="s">
        <v>59</v>
      </c>
      <c r="M172" s="41"/>
      <c r="N172" s="57"/>
    </row>
    <row r="173" spans="1:14" ht="20.100000000000001" customHeight="1" x14ac:dyDescent="0.25">
      <c r="A173" s="30" t="str">
        <f t="shared" si="16"/>
        <v/>
      </c>
      <c r="B173" s="41"/>
      <c r="C173" s="35" t="str">
        <f>IF(B173="","",IFERROR(VLOOKUP(B173,DB_Customers!$A:$B,2,0),"❌ Account Not Found"))</f>
        <v/>
      </c>
      <c r="D173" s="42" t="str">
        <f t="shared" ca="1" si="17"/>
        <v/>
      </c>
      <c r="E173" s="32"/>
      <c r="F173" s="31"/>
      <c r="G173" s="41"/>
      <c r="H173" s="56">
        <v>2.5</v>
      </c>
      <c r="I173" s="43" t="str">
        <f t="shared" si="18"/>
        <v/>
      </c>
      <c r="J173" s="43" t="str">
        <f t="shared" si="19"/>
        <v/>
      </c>
      <c r="K173" s="33" t="str">
        <f>IF(B173="","Pending",IF(M173="","⚠️ Enter Code",IF(IFERROR(VLOOKUP(L173,DB_Agents!$B:$F,4,0),"")=TEXT(M173,"0"),"Pending Approval","🔒 WRONG CODE")))</f>
        <v>Pending</v>
      </c>
      <c r="L173" s="30" t="s">
        <v>59</v>
      </c>
      <c r="M173" s="41"/>
      <c r="N173" s="22"/>
    </row>
    <row r="174" spans="1:14" ht="20.100000000000001" customHeight="1" x14ac:dyDescent="0.25">
      <c r="A174" s="30" t="str">
        <f t="shared" ref="A174:A205" si="20">IF(B174="","",IF(C174="❌ Account Not Found","INVALID","LN"&amp;TEXT(D174,"YYYYMMDD")&amp;TEXT(ROW()-13,"0000")))</f>
        <v/>
      </c>
      <c r="B174" s="41"/>
      <c r="C174" s="35" t="str">
        <f>IF(B174="","",IFERROR(VLOOKUP(B174,DB_Customers!$A:$B,2,0),"❌ Account Not Found"))</f>
        <v/>
      </c>
      <c r="D174" s="42" t="str">
        <f t="shared" ref="D174:D205" ca="1" si="21">IF(B174="","",TODAY())</f>
        <v/>
      </c>
      <c r="E174" s="32"/>
      <c r="F174" s="31"/>
      <c r="G174" s="41"/>
      <c r="H174" s="56">
        <v>2.5</v>
      </c>
      <c r="I174" s="43" t="str">
        <f t="shared" ref="I174:I205" si="22">IF(E174="","",E174+(E174*H174/100*G174))</f>
        <v/>
      </c>
      <c r="J174" s="43" t="str">
        <f t="shared" ref="J174:J205" si="23">IFERROR(I174/G174,"")</f>
        <v/>
      </c>
      <c r="K174" s="33" t="str">
        <f>IF(B174="","Pending",IF(M174="","⚠️ Enter Code",IF(IFERROR(VLOOKUP(L174,DB_Agents!$B:$F,4,0),"")=TEXT(M174,"0"),"Pending Approval","🔒 WRONG CODE")))</f>
        <v>Pending</v>
      </c>
      <c r="L174" s="30" t="s">
        <v>59</v>
      </c>
      <c r="M174" s="41"/>
      <c r="N174" s="57"/>
    </row>
    <row r="175" spans="1:14" ht="20.100000000000001" customHeight="1" x14ac:dyDescent="0.25">
      <c r="A175" s="30" t="str">
        <f t="shared" si="20"/>
        <v/>
      </c>
      <c r="B175" s="41"/>
      <c r="C175" s="35" t="str">
        <f>IF(B175="","",IFERROR(VLOOKUP(B175,DB_Customers!$A:$B,2,0),"❌ Account Not Found"))</f>
        <v/>
      </c>
      <c r="D175" s="42" t="str">
        <f t="shared" ca="1" si="21"/>
        <v/>
      </c>
      <c r="E175" s="32"/>
      <c r="F175" s="31"/>
      <c r="G175" s="41"/>
      <c r="H175" s="56">
        <v>2.5</v>
      </c>
      <c r="I175" s="43" t="str">
        <f t="shared" si="22"/>
        <v/>
      </c>
      <c r="J175" s="43" t="str">
        <f t="shared" si="23"/>
        <v/>
      </c>
      <c r="K175" s="33" t="str">
        <f>IF(B175="","Pending",IF(M175="","⚠️ Enter Code",IF(IFERROR(VLOOKUP(L175,DB_Agents!$B:$F,4,0),"")=TEXT(M175,"0"),"Pending Approval","🔒 WRONG CODE")))</f>
        <v>Pending</v>
      </c>
      <c r="L175" s="30" t="s">
        <v>59</v>
      </c>
      <c r="M175" s="41"/>
      <c r="N175" s="22"/>
    </row>
    <row r="176" spans="1:14" ht="20.100000000000001" customHeight="1" x14ac:dyDescent="0.25">
      <c r="A176" s="30" t="str">
        <f t="shared" si="20"/>
        <v/>
      </c>
      <c r="B176" s="41"/>
      <c r="C176" s="35" t="str">
        <f>IF(B176="","",IFERROR(VLOOKUP(B176,DB_Customers!$A:$B,2,0),"❌ Account Not Found"))</f>
        <v/>
      </c>
      <c r="D176" s="42" t="str">
        <f t="shared" ca="1" si="21"/>
        <v/>
      </c>
      <c r="E176" s="32"/>
      <c r="F176" s="31"/>
      <c r="G176" s="41"/>
      <c r="H176" s="56">
        <v>2.5</v>
      </c>
      <c r="I176" s="43" t="str">
        <f t="shared" si="22"/>
        <v/>
      </c>
      <c r="J176" s="43" t="str">
        <f t="shared" si="23"/>
        <v/>
      </c>
      <c r="K176" s="33" t="str">
        <f>IF(B176="","Pending",IF(M176="","⚠️ Enter Code",IF(IFERROR(VLOOKUP(L176,DB_Agents!$B:$F,4,0),"")=TEXT(M176,"0"),"Pending Approval","🔒 WRONG CODE")))</f>
        <v>Pending</v>
      </c>
      <c r="L176" s="30" t="s">
        <v>59</v>
      </c>
      <c r="M176" s="41"/>
      <c r="N176" s="57"/>
    </row>
    <row r="177" spans="1:14" ht="20.100000000000001" customHeight="1" x14ac:dyDescent="0.25">
      <c r="A177" s="30" t="str">
        <f t="shared" si="20"/>
        <v/>
      </c>
      <c r="B177" s="41"/>
      <c r="C177" s="35" t="str">
        <f>IF(B177="","",IFERROR(VLOOKUP(B177,DB_Customers!$A:$B,2,0),"❌ Account Not Found"))</f>
        <v/>
      </c>
      <c r="D177" s="42" t="str">
        <f t="shared" ca="1" si="21"/>
        <v/>
      </c>
      <c r="E177" s="32"/>
      <c r="F177" s="31"/>
      <c r="G177" s="41"/>
      <c r="H177" s="56">
        <v>2.5</v>
      </c>
      <c r="I177" s="43" t="str">
        <f t="shared" si="22"/>
        <v/>
      </c>
      <c r="J177" s="43" t="str">
        <f t="shared" si="23"/>
        <v/>
      </c>
      <c r="K177" s="33" t="str">
        <f>IF(B177="","Pending",IF(M177="","⚠️ Enter Code",IF(IFERROR(VLOOKUP(L177,DB_Agents!$B:$F,4,0),"")=TEXT(M177,"0"),"Pending Approval","🔒 WRONG CODE")))</f>
        <v>Pending</v>
      </c>
      <c r="L177" s="30" t="s">
        <v>59</v>
      </c>
      <c r="M177" s="41"/>
      <c r="N177" s="22"/>
    </row>
    <row r="178" spans="1:14" ht="20.100000000000001" customHeight="1" x14ac:dyDescent="0.25">
      <c r="A178" s="30" t="str">
        <f t="shared" si="20"/>
        <v/>
      </c>
      <c r="B178" s="41"/>
      <c r="C178" s="35" t="str">
        <f>IF(B178="","",IFERROR(VLOOKUP(B178,DB_Customers!$A:$B,2,0),"❌ Account Not Found"))</f>
        <v/>
      </c>
      <c r="D178" s="42" t="str">
        <f t="shared" ca="1" si="21"/>
        <v/>
      </c>
      <c r="E178" s="32"/>
      <c r="F178" s="31"/>
      <c r="G178" s="41"/>
      <c r="H178" s="56">
        <v>2.5</v>
      </c>
      <c r="I178" s="43" t="str">
        <f t="shared" si="22"/>
        <v/>
      </c>
      <c r="J178" s="43" t="str">
        <f t="shared" si="23"/>
        <v/>
      </c>
      <c r="K178" s="33" t="str">
        <f>IF(B178="","Pending",IF(M178="","⚠️ Enter Code",IF(IFERROR(VLOOKUP(L178,DB_Agents!$B:$F,4,0),"")=TEXT(M178,"0"),"Pending Approval","🔒 WRONG CODE")))</f>
        <v>Pending</v>
      </c>
      <c r="L178" s="30" t="s">
        <v>59</v>
      </c>
      <c r="M178" s="41"/>
      <c r="N178" s="57"/>
    </row>
    <row r="179" spans="1:14" ht="20.100000000000001" customHeight="1" x14ac:dyDescent="0.25">
      <c r="A179" s="30" t="str">
        <f t="shared" si="20"/>
        <v/>
      </c>
      <c r="B179" s="41"/>
      <c r="C179" s="35" t="str">
        <f>IF(B179="","",IFERROR(VLOOKUP(B179,DB_Customers!$A:$B,2,0),"❌ Account Not Found"))</f>
        <v/>
      </c>
      <c r="D179" s="42" t="str">
        <f t="shared" ca="1" si="21"/>
        <v/>
      </c>
      <c r="E179" s="32"/>
      <c r="F179" s="31"/>
      <c r="G179" s="41"/>
      <c r="H179" s="56">
        <v>2.5</v>
      </c>
      <c r="I179" s="43" t="str">
        <f t="shared" si="22"/>
        <v/>
      </c>
      <c r="J179" s="43" t="str">
        <f t="shared" si="23"/>
        <v/>
      </c>
      <c r="K179" s="33" t="str">
        <f>IF(B179="","Pending",IF(M179="","⚠️ Enter Code",IF(IFERROR(VLOOKUP(L179,DB_Agents!$B:$F,4,0),"")=TEXT(M179,"0"),"Pending Approval","🔒 WRONG CODE")))</f>
        <v>Pending</v>
      </c>
      <c r="L179" s="30" t="s">
        <v>59</v>
      </c>
      <c r="M179" s="41"/>
      <c r="N179" s="22"/>
    </row>
    <row r="180" spans="1:14" ht="20.100000000000001" customHeight="1" x14ac:dyDescent="0.25">
      <c r="A180" s="30" t="str">
        <f t="shared" si="20"/>
        <v/>
      </c>
      <c r="B180" s="41"/>
      <c r="C180" s="35" t="str">
        <f>IF(B180="","",IFERROR(VLOOKUP(B180,DB_Customers!$A:$B,2,0),"❌ Account Not Found"))</f>
        <v/>
      </c>
      <c r="D180" s="42" t="str">
        <f t="shared" ca="1" si="21"/>
        <v/>
      </c>
      <c r="E180" s="32"/>
      <c r="F180" s="31"/>
      <c r="G180" s="41"/>
      <c r="H180" s="56">
        <v>2.5</v>
      </c>
      <c r="I180" s="43" t="str">
        <f t="shared" si="22"/>
        <v/>
      </c>
      <c r="J180" s="43" t="str">
        <f t="shared" si="23"/>
        <v/>
      </c>
      <c r="K180" s="33" t="str">
        <f>IF(B180="","Pending",IF(M180="","⚠️ Enter Code",IF(IFERROR(VLOOKUP(L180,DB_Agents!$B:$F,4,0),"")=TEXT(M180,"0"),"Pending Approval","🔒 WRONG CODE")))</f>
        <v>Pending</v>
      </c>
      <c r="L180" s="30" t="s">
        <v>59</v>
      </c>
      <c r="M180" s="41"/>
      <c r="N180" s="57"/>
    </row>
    <row r="181" spans="1:14" ht="20.100000000000001" customHeight="1" x14ac:dyDescent="0.25">
      <c r="A181" s="30" t="str">
        <f t="shared" si="20"/>
        <v/>
      </c>
      <c r="B181" s="41"/>
      <c r="C181" s="35" t="str">
        <f>IF(B181="","",IFERROR(VLOOKUP(B181,DB_Customers!$A:$B,2,0),"❌ Account Not Found"))</f>
        <v/>
      </c>
      <c r="D181" s="42" t="str">
        <f t="shared" ca="1" si="21"/>
        <v/>
      </c>
      <c r="E181" s="32"/>
      <c r="F181" s="31"/>
      <c r="G181" s="41"/>
      <c r="H181" s="56">
        <v>2.5</v>
      </c>
      <c r="I181" s="43" t="str">
        <f t="shared" si="22"/>
        <v/>
      </c>
      <c r="J181" s="43" t="str">
        <f t="shared" si="23"/>
        <v/>
      </c>
      <c r="K181" s="33" t="str">
        <f>IF(B181="","Pending",IF(M181="","⚠️ Enter Code",IF(IFERROR(VLOOKUP(L181,DB_Agents!$B:$F,4,0),"")=TEXT(M181,"0"),"Pending Approval","🔒 WRONG CODE")))</f>
        <v>Pending</v>
      </c>
      <c r="L181" s="30" t="s">
        <v>59</v>
      </c>
      <c r="M181" s="41"/>
      <c r="N181" s="22"/>
    </row>
    <row r="182" spans="1:14" ht="20.100000000000001" customHeight="1" x14ac:dyDescent="0.25">
      <c r="A182" s="30" t="str">
        <f t="shared" si="20"/>
        <v/>
      </c>
      <c r="B182" s="41"/>
      <c r="C182" s="35" t="str">
        <f>IF(B182="","",IFERROR(VLOOKUP(B182,DB_Customers!$A:$B,2,0),"❌ Account Not Found"))</f>
        <v/>
      </c>
      <c r="D182" s="42" t="str">
        <f t="shared" ca="1" si="21"/>
        <v/>
      </c>
      <c r="E182" s="32"/>
      <c r="F182" s="31"/>
      <c r="G182" s="41"/>
      <c r="H182" s="56">
        <v>2.5</v>
      </c>
      <c r="I182" s="43" t="str">
        <f t="shared" si="22"/>
        <v/>
      </c>
      <c r="J182" s="43" t="str">
        <f t="shared" si="23"/>
        <v/>
      </c>
      <c r="K182" s="33" t="str">
        <f>IF(B182="","Pending",IF(M182="","⚠️ Enter Code",IF(IFERROR(VLOOKUP(L182,DB_Agents!$B:$F,4,0),"")=TEXT(M182,"0"),"Pending Approval","🔒 WRONG CODE")))</f>
        <v>Pending</v>
      </c>
      <c r="L182" s="30" t="s">
        <v>59</v>
      </c>
      <c r="M182" s="41"/>
      <c r="N182" s="57"/>
    </row>
    <row r="183" spans="1:14" ht="20.100000000000001" customHeight="1" x14ac:dyDescent="0.25">
      <c r="A183" s="30" t="str">
        <f t="shared" si="20"/>
        <v/>
      </c>
      <c r="B183" s="41"/>
      <c r="C183" s="35" t="str">
        <f>IF(B183="","",IFERROR(VLOOKUP(B183,DB_Customers!$A:$B,2,0),"❌ Account Not Found"))</f>
        <v/>
      </c>
      <c r="D183" s="42" t="str">
        <f t="shared" ca="1" si="21"/>
        <v/>
      </c>
      <c r="E183" s="32"/>
      <c r="F183" s="31"/>
      <c r="G183" s="41"/>
      <c r="H183" s="56">
        <v>2.5</v>
      </c>
      <c r="I183" s="43" t="str">
        <f t="shared" si="22"/>
        <v/>
      </c>
      <c r="J183" s="43" t="str">
        <f t="shared" si="23"/>
        <v/>
      </c>
      <c r="K183" s="33" t="str">
        <f>IF(B183="","Pending",IF(M183="","⚠️ Enter Code",IF(IFERROR(VLOOKUP(L183,DB_Agents!$B:$F,4,0),"")=TEXT(M183,"0"),"Pending Approval","🔒 WRONG CODE")))</f>
        <v>Pending</v>
      </c>
      <c r="L183" s="30" t="s">
        <v>59</v>
      </c>
      <c r="M183" s="41"/>
      <c r="N183" s="22"/>
    </row>
    <row r="184" spans="1:14" ht="20.100000000000001" customHeight="1" x14ac:dyDescent="0.25">
      <c r="A184" s="30" t="str">
        <f t="shared" si="20"/>
        <v/>
      </c>
      <c r="B184" s="41"/>
      <c r="C184" s="35" t="str">
        <f>IF(B184="","",IFERROR(VLOOKUP(B184,DB_Customers!$A:$B,2,0),"❌ Account Not Found"))</f>
        <v/>
      </c>
      <c r="D184" s="42" t="str">
        <f t="shared" ca="1" si="21"/>
        <v/>
      </c>
      <c r="E184" s="32"/>
      <c r="F184" s="31"/>
      <c r="G184" s="41"/>
      <c r="H184" s="56">
        <v>2.5</v>
      </c>
      <c r="I184" s="43" t="str">
        <f t="shared" si="22"/>
        <v/>
      </c>
      <c r="J184" s="43" t="str">
        <f t="shared" si="23"/>
        <v/>
      </c>
      <c r="K184" s="33" t="str">
        <f>IF(B184="","Pending",IF(M184="","⚠️ Enter Code",IF(IFERROR(VLOOKUP(L184,DB_Agents!$B:$F,4,0),"")=TEXT(M184,"0"),"Pending Approval","🔒 WRONG CODE")))</f>
        <v>Pending</v>
      </c>
      <c r="L184" s="30" t="s">
        <v>59</v>
      </c>
      <c r="M184" s="41"/>
      <c r="N184" s="57"/>
    </row>
    <row r="185" spans="1:14" ht="20.100000000000001" customHeight="1" x14ac:dyDescent="0.25">
      <c r="A185" s="30" t="str">
        <f t="shared" si="20"/>
        <v/>
      </c>
      <c r="B185" s="41"/>
      <c r="C185" s="35" t="str">
        <f>IF(B185="","",IFERROR(VLOOKUP(B185,DB_Customers!$A:$B,2,0),"❌ Account Not Found"))</f>
        <v/>
      </c>
      <c r="D185" s="42" t="str">
        <f t="shared" ca="1" si="21"/>
        <v/>
      </c>
      <c r="E185" s="32"/>
      <c r="F185" s="31"/>
      <c r="G185" s="41"/>
      <c r="H185" s="56">
        <v>2.5</v>
      </c>
      <c r="I185" s="43" t="str">
        <f t="shared" si="22"/>
        <v/>
      </c>
      <c r="J185" s="43" t="str">
        <f t="shared" si="23"/>
        <v/>
      </c>
      <c r="K185" s="33" t="str">
        <f>IF(B185="","Pending",IF(M185="","⚠️ Enter Code",IF(IFERROR(VLOOKUP(L185,DB_Agents!$B:$F,4,0),"")=TEXT(M185,"0"),"Pending Approval","🔒 WRONG CODE")))</f>
        <v>Pending</v>
      </c>
      <c r="L185" s="30" t="s">
        <v>59</v>
      </c>
      <c r="M185" s="41"/>
      <c r="N185" s="22"/>
    </row>
    <row r="186" spans="1:14" ht="20.100000000000001" customHeight="1" x14ac:dyDescent="0.25">
      <c r="A186" s="30" t="str">
        <f t="shared" si="20"/>
        <v/>
      </c>
      <c r="B186" s="41"/>
      <c r="C186" s="35" t="str">
        <f>IF(B186="","",IFERROR(VLOOKUP(B186,DB_Customers!$A:$B,2,0),"❌ Account Not Found"))</f>
        <v/>
      </c>
      <c r="D186" s="42" t="str">
        <f t="shared" ca="1" si="21"/>
        <v/>
      </c>
      <c r="E186" s="32"/>
      <c r="F186" s="31"/>
      <c r="G186" s="41"/>
      <c r="H186" s="56">
        <v>2.5</v>
      </c>
      <c r="I186" s="43" t="str">
        <f t="shared" si="22"/>
        <v/>
      </c>
      <c r="J186" s="43" t="str">
        <f t="shared" si="23"/>
        <v/>
      </c>
      <c r="K186" s="33" t="str">
        <f>IF(B186="","Pending",IF(M186="","⚠️ Enter Code",IF(IFERROR(VLOOKUP(L186,DB_Agents!$B:$F,4,0),"")=TEXT(M186,"0"),"Pending Approval","🔒 WRONG CODE")))</f>
        <v>Pending</v>
      </c>
      <c r="L186" s="30" t="s">
        <v>59</v>
      </c>
      <c r="M186" s="41"/>
      <c r="N186" s="57"/>
    </row>
    <row r="187" spans="1:14" ht="20.100000000000001" customHeight="1" x14ac:dyDescent="0.25">
      <c r="A187" s="30" t="str">
        <f t="shared" si="20"/>
        <v/>
      </c>
      <c r="B187" s="41"/>
      <c r="C187" s="35" t="str">
        <f>IF(B187="","",IFERROR(VLOOKUP(B187,DB_Customers!$A:$B,2,0),"❌ Account Not Found"))</f>
        <v/>
      </c>
      <c r="D187" s="42" t="str">
        <f t="shared" ca="1" si="21"/>
        <v/>
      </c>
      <c r="E187" s="32"/>
      <c r="F187" s="31"/>
      <c r="G187" s="41"/>
      <c r="H187" s="56">
        <v>2.5</v>
      </c>
      <c r="I187" s="43" t="str">
        <f t="shared" si="22"/>
        <v/>
      </c>
      <c r="J187" s="43" t="str">
        <f t="shared" si="23"/>
        <v/>
      </c>
      <c r="K187" s="33" t="str">
        <f>IF(B187="","Pending",IF(M187="","⚠️ Enter Code",IF(IFERROR(VLOOKUP(L187,DB_Agents!$B:$F,4,0),"")=TEXT(M187,"0"),"Pending Approval","🔒 WRONG CODE")))</f>
        <v>Pending</v>
      </c>
      <c r="L187" s="30" t="s">
        <v>59</v>
      </c>
      <c r="M187" s="41"/>
      <c r="N187" s="22"/>
    </row>
    <row r="188" spans="1:14" ht="20.100000000000001" customHeight="1" x14ac:dyDescent="0.25">
      <c r="A188" s="30" t="str">
        <f t="shared" si="20"/>
        <v/>
      </c>
      <c r="B188" s="41"/>
      <c r="C188" s="35" t="str">
        <f>IF(B188="","",IFERROR(VLOOKUP(B188,DB_Customers!$A:$B,2,0),"❌ Account Not Found"))</f>
        <v/>
      </c>
      <c r="D188" s="42" t="str">
        <f t="shared" ca="1" si="21"/>
        <v/>
      </c>
      <c r="E188" s="32"/>
      <c r="F188" s="31"/>
      <c r="G188" s="41"/>
      <c r="H188" s="56">
        <v>2.5</v>
      </c>
      <c r="I188" s="43" t="str">
        <f t="shared" si="22"/>
        <v/>
      </c>
      <c r="J188" s="43" t="str">
        <f t="shared" si="23"/>
        <v/>
      </c>
      <c r="K188" s="33" t="str">
        <f>IF(B188="","Pending",IF(M188="","⚠️ Enter Code",IF(IFERROR(VLOOKUP(L188,DB_Agents!$B:$F,4,0),"")=TEXT(M188,"0"),"Pending Approval","🔒 WRONG CODE")))</f>
        <v>Pending</v>
      </c>
      <c r="L188" s="30" t="s">
        <v>59</v>
      </c>
      <c r="M188" s="41"/>
      <c r="N188" s="57"/>
    </row>
    <row r="189" spans="1:14" ht="20.100000000000001" customHeight="1" x14ac:dyDescent="0.25">
      <c r="A189" s="30" t="str">
        <f t="shared" si="20"/>
        <v/>
      </c>
      <c r="B189" s="41"/>
      <c r="C189" s="35" t="str">
        <f>IF(B189="","",IFERROR(VLOOKUP(B189,DB_Customers!$A:$B,2,0),"❌ Account Not Found"))</f>
        <v/>
      </c>
      <c r="D189" s="42" t="str">
        <f t="shared" ca="1" si="21"/>
        <v/>
      </c>
      <c r="E189" s="32"/>
      <c r="F189" s="31"/>
      <c r="G189" s="41"/>
      <c r="H189" s="56">
        <v>2.5</v>
      </c>
      <c r="I189" s="43" t="str">
        <f t="shared" si="22"/>
        <v/>
      </c>
      <c r="J189" s="43" t="str">
        <f t="shared" si="23"/>
        <v/>
      </c>
      <c r="K189" s="33" t="str">
        <f>IF(B189="","Pending",IF(M189="","⚠️ Enter Code",IF(IFERROR(VLOOKUP(L189,DB_Agents!$B:$F,4,0),"")=TEXT(M189,"0"),"Pending Approval","🔒 WRONG CODE")))</f>
        <v>Pending</v>
      </c>
      <c r="L189" s="30" t="s">
        <v>59</v>
      </c>
      <c r="M189" s="41"/>
      <c r="N189" s="22"/>
    </row>
    <row r="190" spans="1:14" ht="20.100000000000001" customHeight="1" x14ac:dyDescent="0.25">
      <c r="A190" s="30" t="str">
        <f t="shared" si="20"/>
        <v/>
      </c>
      <c r="B190" s="41"/>
      <c r="C190" s="35" t="str">
        <f>IF(B190="","",IFERROR(VLOOKUP(B190,DB_Customers!$A:$B,2,0),"❌ Account Not Found"))</f>
        <v/>
      </c>
      <c r="D190" s="42" t="str">
        <f t="shared" ca="1" si="21"/>
        <v/>
      </c>
      <c r="E190" s="32"/>
      <c r="F190" s="31"/>
      <c r="G190" s="41"/>
      <c r="H190" s="56">
        <v>2.5</v>
      </c>
      <c r="I190" s="43" t="str">
        <f t="shared" si="22"/>
        <v/>
      </c>
      <c r="J190" s="43" t="str">
        <f t="shared" si="23"/>
        <v/>
      </c>
      <c r="K190" s="33" t="str">
        <f>IF(B190="","Pending",IF(M190="","⚠️ Enter Code",IF(IFERROR(VLOOKUP(L190,DB_Agents!$B:$F,4,0),"")=TEXT(M190,"0"),"Pending Approval","🔒 WRONG CODE")))</f>
        <v>Pending</v>
      </c>
      <c r="L190" s="30" t="s">
        <v>59</v>
      </c>
      <c r="M190" s="41"/>
      <c r="N190" s="57"/>
    </row>
    <row r="191" spans="1:14" ht="20.100000000000001" customHeight="1" x14ac:dyDescent="0.25">
      <c r="A191" s="30" t="str">
        <f t="shared" si="20"/>
        <v/>
      </c>
      <c r="B191" s="41"/>
      <c r="C191" s="35" t="str">
        <f>IF(B191="","",IFERROR(VLOOKUP(B191,DB_Customers!$A:$B,2,0),"❌ Account Not Found"))</f>
        <v/>
      </c>
      <c r="D191" s="42" t="str">
        <f t="shared" ca="1" si="21"/>
        <v/>
      </c>
      <c r="E191" s="32"/>
      <c r="F191" s="31"/>
      <c r="G191" s="41"/>
      <c r="H191" s="56">
        <v>2.5</v>
      </c>
      <c r="I191" s="43" t="str">
        <f t="shared" si="22"/>
        <v/>
      </c>
      <c r="J191" s="43" t="str">
        <f t="shared" si="23"/>
        <v/>
      </c>
      <c r="K191" s="33" t="str">
        <f>IF(B191="","Pending",IF(M191="","⚠️ Enter Code",IF(IFERROR(VLOOKUP(L191,DB_Agents!$B:$F,4,0),"")=TEXT(M191,"0"),"Pending Approval","🔒 WRONG CODE")))</f>
        <v>Pending</v>
      </c>
      <c r="L191" s="30" t="s">
        <v>59</v>
      </c>
      <c r="M191" s="41"/>
      <c r="N191" s="22"/>
    </row>
    <row r="192" spans="1:14" ht="20.100000000000001" customHeight="1" x14ac:dyDescent="0.25">
      <c r="A192" s="30" t="str">
        <f t="shared" si="20"/>
        <v/>
      </c>
      <c r="B192" s="41"/>
      <c r="C192" s="35" t="str">
        <f>IF(B192="","",IFERROR(VLOOKUP(B192,DB_Customers!$A:$B,2,0),"❌ Account Not Found"))</f>
        <v/>
      </c>
      <c r="D192" s="42" t="str">
        <f t="shared" ca="1" si="21"/>
        <v/>
      </c>
      <c r="E192" s="32"/>
      <c r="F192" s="31"/>
      <c r="G192" s="41"/>
      <c r="H192" s="56">
        <v>2.5</v>
      </c>
      <c r="I192" s="43" t="str">
        <f t="shared" si="22"/>
        <v/>
      </c>
      <c r="J192" s="43" t="str">
        <f t="shared" si="23"/>
        <v/>
      </c>
      <c r="K192" s="33" t="str">
        <f>IF(B192="","Pending",IF(M192="","⚠️ Enter Code",IF(IFERROR(VLOOKUP(L192,DB_Agents!$B:$F,4,0),"")=TEXT(M192,"0"),"Pending Approval","🔒 WRONG CODE")))</f>
        <v>Pending</v>
      </c>
      <c r="L192" s="30" t="s">
        <v>59</v>
      </c>
      <c r="M192" s="41"/>
      <c r="N192" s="57"/>
    </row>
    <row r="193" spans="1:14" ht="20.100000000000001" customHeight="1" x14ac:dyDescent="0.25">
      <c r="A193" s="30" t="str">
        <f t="shared" si="20"/>
        <v/>
      </c>
      <c r="B193" s="41"/>
      <c r="C193" s="35" t="str">
        <f>IF(B193="","",IFERROR(VLOOKUP(B193,DB_Customers!$A:$B,2,0),"❌ Account Not Found"))</f>
        <v/>
      </c>
      <c r="D193" s="42" t="str">
        <f t="shared" ca="1" si="21"/>
        <v/>
      </c>
      <c r="E193" s="32"/>
      <c r="F193" s="31"/>
      <c r="G193" s="41"/>
      <c r="H193" s="56">
        <v>2.5</v>
      </c>
      <c r="I193" s="43" t="str">
        <f t="shared" si="22"/>
        <v/>
      </c>
      <c r="J193" s="43" t="str">
        <f t="shared" si="23"/>
        <v/>
      </c>
      <c r="K193" s="33" t="str">
        <f>IF(B193="","Pending",IF(M193="","⚠️ Enter Code",IF(IFERROR(VLOOKUP(L193,DB_Agents!$B:$F,4,0),"")=TEXT(M193,"0"),"Pending Approval","🔒 WRONG CODE")))</f>
        <v>Pending</v>
      </c>
      <c r="L193" s="30" t="s">
        <v>59</v>
      </c>
      <c r="M193" s="41"/>
      <c r="N193" s="22"/>
    </row>
    <row r="194" spans="1:14" ht="20.100000000000001" customHeight="1" x14ac:dyDescent="0.25">
      <c r="A194" s="30" t="str">
        <f t="shared" si="20"/>
        <v/>
      </c>
      <c r="B194" s="41"/>
      <c r="C194" s="35" t="str">
        <f>IF(B194="","",IFERROR(VLOOKUP(B194,DB_Customers!$A:$B,2,0),"❌ Account Not Found"))</f>
        <v/>
      </c>
      <c r="D194" s="42" t="str">
        <f t="shared" ca="1" si="21"/>
        <v/>
      </c>
      <c r="E194" s="32"/>
      <c r="F194" s="31"/>
      <c r="G194" s="41"/>
      <c r="H194" s="56">
        <v>2.5</v>
      </c>
      <c r="I194" s="43" t="str">
        <f t="shared" si="22"/>
        <v/>
      </c>
      <c r="J194" s="43" t="str">
        <f t="shared" si="23"/>
        <v/>
      </c>
      <c r="K194" s="33" t="str">
        <f>IF(B194="","Pending",IF(M194="","⚠️ Enter Code",IF(IFERROR(VLOOKUP(L194,DB_Agents!$B:$F,4,0),"")=TEXT(M194,"0"),"Pending Approval","🔒 WRONG CODE")))</f>
        <v>Pending</v>
      </c>
      <c r="L194" s="30" t="s">
        <v>59</v>
      </c>
      <c r="M194" s="41"/>
      <c r="N194" s="57"/>
    </row>
    <row r="195" spans="1:14" ht="20.100000000000001" customHeight="1" x14ac:dyDescent="0.25">
      <c r="A195" s="30" t="str">
        <f t="shared" si="20"/>
        <v/>
      </c>
      <c r="B195" s="41"/>
      <c r="C195" s="35" t="str">
        <f>IF(B195="","",IFERROR(VLOOKUP(B195,DB_Customers!$A:$B,2,0),"❌ Account Not Found"))</f>
        <v/>
      </c>
      <c r="D195" s="42" t="str">
        <f t="shared" ca="1" si="21"/>
        <v/>
      </c>
      <c r="E195" s="32"/>
      <c r="F195" s="31"/>
      <c r="G195" s="41"/>
      <c r="H195" s="56">
        <v>2.5</v>
      </c>
      <c r="I195" s="43" t="str">
        <f t="shared" si="22"/>
        <v/>
      </c>
      <c r="J195" s="43" t="str">
        <f t="shared" si="23"/>
        <v/>
      </c>
      <c r="K195" s="33" t="str">
        <f>IF(B195="","Pending",IF(M195="","⚠️ Enter Code",IF(IFERROR(VLOOKUP(L195,DB_Agents!$B:$F,4,0),"")=TEXT(M195,"0"),"Pending Approval","🔒 WRONG CODE")))</f>
        <v>Pending</v>
      </c>
      <c r="L195" s="30" t="s">
        <v>59</v>
      </c>
      <c r="M195" s="41"/>
      <c r="N195" s="22"/>
    </row>
    <row r="196" spans="1:14" ht="20.100000000000001" customHeight="1" x14ac:dyDescent="0.25">
      <c r="A196" s="30" t="str">
        <f t="shared" si="20"/>
        <v/>
      </c>
      <c r="B196" s="41"/>
      <c r="C196" s="35" t="str">
        <f>IF(B196="","",IFERROR(VLOOKUP(B196,DB_Customers!$A:$B,2,0),"❌ Account Not Found"))</f>
        <v/>
      </c>
      <c r="D196" s="42" t="str">
        <f t="shared" ca="1" si="21"/>
        <v/>
      </c>
      <c r="E196" s="32"/>
      <c r="F196" s="31"/>
      <c r="G196" s="41"/>
      <c r="H196" s="56">
        <v>2.5</v>
      </c>
      <c r="I196" s="43" t="str">
        <f t="shared" si="22"/>
        <v/>
      </c>
      <c r="J196" s="43" t="str">
        <f t="shared" si="23"/>
        <v/>
      </c>
      <c r="K196" s="33" t="str">
        <f>IF(B196="","Pending",IF(M196="","⚠️ Enter Code",IF(IFERROR(VLOOKUP(L196,DB_Agents!$B:$F,4,0),"")=TEXT(M196,"0"),"Pending Approval","🔒 WRONG CODE")))</f>
        <v>Pending</v>
      </c>
      <c r="L196" s="30" t="s">
        <v>59</v>
      </c>
      <c r="M196" s="41"/>
      <c r="N196" s="57"/>
    </row>
    <row r="197" spans="1:14" ht="20.100000000000001" customHeight="1" x14ac:dyDescent="0.25">
      <c r="A197" s="30" t="str">
        <f t="shared" si="20"/>
        <v/>
      </c>
      <c r="B197" s="41"/>
      <c r="C197" s="35" t="str">
        <f>IF(B197="","",IFERROR(VLOOKUP(B197,DB_Customers!$A:$B,2,0),"❌ Account Not Found"))</f>
        <v/>
      </c>
      <c r="D197" s="42" t="str">
        <f t="shared" ca="1" si="21"/>
        <v/>
      </c>
      <c r="E197" s="32"/>
      <c r="F197" s="31"/>
      <c r="G197" s="41"/>
      <c r="H197" s="56">
        <v>2.5</v>
      </c>
      <c r="I197" s="43" t="str">
        <f t="shared" si="22"/>
        <v/>
      </c>
      <c r="J197" s="43" t="str">
        <f t="shared" si="23"/>
        <v/>
      </c>
      <c r="K197" s="33" t="str">
        <f>IF(B197="","Pending",IF(M197="","⚠️ Enter Code",IF(IFERROR(VLOOKUP(L197,DB_Agents!$B:$F,4,0),"")=TEXT(M197,"0"),"Pending Approval","🔒 WRONG CODE")))</f>
        <v>Pending</v>
      </c>
      <c r="L197" s="30" t="s">
        <v>59</v>
      </c>
      <c r="M197" s="41"/>
      <c r="N197" s="22"/>
    </row>
    <row r="198" spans="1:14" ht="20.100000000000001" customHeight="1" x14ac:dyDescent="0.25">
      <c r="A198" s="30" t="str">
        <f t="shared" si="20"/>
        <v/>
      </c>
      <c r="B198" s="41"/>
      <c r="C198" s="35" t="str">
        <f>IF(B198="","",IFERROR(VLOOKUP(B198,DB_Customers!$A:$B,2,0),"❌ Account Not Found"))</f>
        <v/>
      </c>
      <c r="D198" s="42" t="str">
        <f t="shared" ca="1" si="21"/>
        <v/>
      </c>
      <c r="E198" s="32"/>
      <c r="F198" s="31"/>
      <c r="G198" s="41"/>
      <c r="H198" s="56">
        <v>2.5</v>
      </c>
      <c r="I198" s="43" t="str">
        <f t="shared" si="22"/>
        <v/>
      </c>
      <c r="J198" s="43" t="str">
        <f t="shared" si="23"/>
        <v/>
      </c>
      <c r="K198" s="33" t="str">
        <f>IF(B198="","Pending",IF(M198="","⚠️ Enter Code",IF(IFERROR(VLOOKUP(L198,DB_Agents!$B:$F,4,0),"")=TEXT(M198,"0"),"Pending Approval","🔒 WRONG CODE")))</f>
        <v>Pending</v>
      </c>
      <c r="L198" s="30" t="s">
        <v>59</v>
      </c>
      <c r="M198" s="41"/>
      <c r="N198" s="57"/>
    </row>
    <row r="199" spans="1:14" ht="20.100000000000001" customHeight="1" x14ac:dyDescent="0.25">
      <c r="A199" s="30" t="str">
        <f t="shared" si="20"/>
        <v/>
      </c>
      <c r="B199" s="41"/>
      <c r="C199" s="35" t="str">
        <f>IF(B199="","",IFERROR(VLOOKUP(B199,DB_Customers!$A:$B,2,0),"❌ Account Not Found"))</f>
        <v/>
      </c>
      <c r="D199" s="42" t="str">
        <f t="shared" ca="1" si="21"/>
        <v/>
      </c>
      <c r="E199" s="32"/>
      <c r="F199" s="31"/>
      <c r="G199" s="41"/>
      <c r="H199" s="56">
        <v>2.5</v>
      </c>
      <c r="I199" s="43" t="str">
        <f t="shared" si="22"/>
        <v/>
      </c>
      <c r="J199" s="43" t="str">
        <f t="shared" si="23"/>
        <v/>
      </c>
      <c r="K199" s="33" t="str">
        <f>IF(B199="","Pending",IF(M199="","⚠️ Enter Code",IF(IFERROR(VLOOKUP(L199,DB_Agents!$B:$F,4,0),"")=TEXT(M199,"0"),"Pending Approval","🔒 WRONG CODE")))</f>
        <v>Pending</v>
      </c>
      <c r="L199" s="30" t="s">
        <v>59</v>
      </c>
      <c r="M199" s="41"/>
      <c r="N199" s="22"/>
    </row>
    <row r="200" spans="1:14" ht="20.100000000000001" customHeight="1" x14ac:dyDescent="0.25">
      <c r="A200" s="30" t="str">
        <f t="shared" si="20"/>
        <v/>
      </c>
      <c r="B200" s="41"/>
      <c r="C200" s="35" t="str">
        <f>IF(B200="","",IFERROR(VLOOKUP(B200,DB_Customers!$A:$B,2,0),"❌ Account Not Found"))</f>
        <v/>
      </c>
      <c r="D200" s="42" t="str">
        <f t="shared" ca="1" si="21"/>
        <v/>
      </c>
      <c r="E200" s="32"/>
      <c r="F200" s="31"/>
      <c r="G200" s="41"/>
      <c r="H200" s="56">
        <v>2.5</v>
      </c>
      <c r="I200" s="43" t="str">
        <f t="shared" si="22"/>
        <v/>
      </c>
      <c r="J200" s="43" t="str">
        <f t="shared" si="23"/>
        <v/>
      </c>
      <c r="K200" s="33" t="str">
        <f>IF(B200="","Pending",IF(M200="","⚠️ Enter Code",IF(IFERROR(VLOOKUP(L200,DB_Agents!$B:$F,4,0),"")=TEXT(M200,"0"),"Pending Approval","🔒 WRONG CODE")))</f>
        <v>Pending</v>
      </c>
      <c r="L200" s="30" t="s">
        <v>59</v>
      </c>
      <c r="M200" s="41"/>
      <c r="N200" s="57"/>
    </row>
    <row r="201" spans="1:14" ht="20.100000000000001" customHeight="1" x14ac:dyDescent="0.25">
      <c r="A201" s="30" t="str">
        <f t="shared" si="20"/>
        <v/>
      </c>
      <c r="B201" s="41"/>
      <c r="C201" s="35" t="str">
        <f>IF(B201="","",IFERROR(VLOOKUP(B201,DB_Customers!$A:$B,2,0),"❌ Account Not Found"))</f>
        <v/>
      </c>
      <c r="D201" s="42" t="str">
        <f t="shared" ca="1" si="21"/>
        <v/>
      </c>
      <c r="E201" s="32"/>
      <c r="F201" s="31"/>
      <c r="G201" s="41"/>
      <c r="H201" s="56">
        <v>2.5</v>
      </c>
      <c r="I201" s="43" t="str">
        <f t="shared" si="22"/>
        <v/>
      </c>
      <c r="J201" s="43" t="str">
        <f t="shared" si="23"/>
        <v/>
      </c>
      <c r="K201" s="33" t="str">
        <f>IF(B201="","Pending",IF(M201="","⚠️ Enter Code",IF(IFERROR(VLOOKUP(L201,DB_Agents!$B:$F,4,0),"")=TEXT(M201,"0"),"Pending Approval","🔒 WRONG CODE")))</f>
        <v>Pending</v>
      </c>
      <c r="L201" s="30" t="s">
        <v>59</v>
      </c>
      <c r="M201" s="41"/>
      <c r="N201" s="22"/>
    </row>
    <row r="202" spans="1:14" ht="20.100000000000001" customHeight="1" x14ac:dyDescent="0.25">
      <c r="A202" s="30" t="str">
        <f t="shared" si="20"/>
        <v/>
      </c>
      <c r="B202" s="41"/>
      <c r="C202" s="35" t="str">
        <f>IF(B202="","",IFERROR(VLOOKUP(B202,DB_Customers!$A:$B,2,0),"❌ Account Not Found"))</f>
        <v/>
      </c>
      <c r="D202" s="42" t="str">
        <f t="shared" ca="1" si="21"/>
        <v/>
      </c>
      <c r="E202" s="32"/>
      <c r="F202" s="31"/>
      <c r="G202" s="41"/>
      <c r="H202" s="56">
        <v>2.5</v>
      </c>
      <c r="I202" s="43" t="str">
        <f t="shared" si="22"/>
        <v/>
      </c>
      <c r="J202" s="43" t="str">
        <f t="shared" si="23"/>
        <v/>
      </c>
      <c r="K202" s="33" t="str">
        <f>IF(B202="","Pending",IF(M202="","⚠️ Enter Code",IF(IFERROR(VLOOKUP(L202,DB_Agents!$B:$F,4,0),"")=TEXT(M202,"0"),"Pending Approval","🔒 WRONG CODE")))</f>
        <v>Pending</v>
      </c>
      <c r="L202" s="30" t="s">
        <v>59</v>
      </c>
      <c r="M202" s="41"/>
      <c r="N202" s="57"/>
    </row>
    <row r="203" spans="1:14" ht="20.100000000000001" customHeight="1" x14ac:dyDescent="0.25">
      <c r="A203" s="30" t="str">
        <f t="shared" si="20"/>
        <v/>
      </c>
      <c r="B203" s="41"/>
      <c r="C203" s="35" t="str">
        <f>IF(B203="","",IFERROR(VLOOKUP(B203,DB_Customers!$A:$B,2,0),"❌ Account Not Found"))</f>
        <v/>
      </c>
      <c r="D203" s="42" t="str">
        <f t="shared" ca="1" si="21"/>
        <v/>
      </c>
      <c r="E203" s="32"/>
      <c r="F203" s="31"/>
      <c r="G203" s="41"/>
      <c r="H203" s="56">
        <v>2.5</v>
      </c>
      <c r="I203" s="43" t="str">
        <f t="shared" si="22"/>
        <v/>
      </c>
      <c r="J203" s="43" t="str">
        <f t="shared" si="23"/>
        <v/>
      </c>
      <c r="K203" s="33" t="str">
        <f>IF(B203="","Pending",IF(M203="","⚠️ Enter Code",IF(IFERROR(VLOOKUP(L203,DB_Agents!$B:$F,4,0),"")=TEXT(M203,"0"),"Pending Approval","🔒 WRONG CODE")))</f>
        <v>Pending</v>
      </c>
      <c r="L203" s="30" t="s">
        <v>59</v>
      </c>
      <c r="M203" s="41"/>
      <c r="N203" s="22"/>
    </row>
    <row r="204" spans="1:14" ht="20.100000000000001" customHeight="1" x14ac:dyDescent="0.25">
      <c r="A204" s="30" t="str">
        <f t="shared" si="20"/>
        <v/>
      </c>
      <c r="B204" s="41"/>
      <c r="C204" s="35" t="str">
        <f>IF(B204="","",IFERROR(VLOOKUP(B204,DB_Customers!$A:$B,2,0),"❌ Account Not Found"))</f>
        <v/>
      </c>
      <c r="D204" s="42" t="str">
        <f t="shared" ca="1" si="21"/>
        <v/>
      </c>
      <c r="E204" s="32"/>
      <c r="F204" s="31"/>
      <c r="G204" s="41"/>
      <c r="H204" s="56">
        <v>2.5</v>
      </c>
      <c r="I204" s="43" t="str">
        <f t="shared" si="22"/>
        <v/>
      </c>
      <c r="J204" s="43" t="str">
        <f t="shared" si="23"/>
        <v/>
      </c>
      <c r="K204" s="33" t="str">
        <f>IF(B204="","Pending",IF(M204="","⚠️ Enter Code",IF(IFERROR(VLOOKUP(L204,DB_Agents!$B:$F,4,0),"")=TEXT(M204,"0"),"Pending Approval","🔒 WRONG CODE")))</f>
        <v>Pending</v>
      </c>
      <c r="L204" s="30" t="s">
        <v>59</v>
      </c>
      <c r="M204" s="41"/>
      <c r="N204" s="57"/>
    </row>
    <row r="205" spans="1:14" ht="20.100000000000001" customHeight="1" x14ac:dyDescent="0.25">
      <c r="A205" s="30" t="str">
        <f t="shared" si="20"/>
        <v/>
      </c>
      <c r="B205" s="41"/>
      <c r="C205" s="35" t="str">
        <f>IF(B205="","",IFERROR(VLOOKUP(B205,DB_Customers!$A:$B,2,0),"❌ Account Not Found"))</f>
        <v/>
      </c>
      <c r="D205" s="42" t="str">
        <f t="shared" ca="1" si="21"/>
        <v/>
      </c>
      <c r="E205" s="32"/>
      <c r="F205" s="31"/>
      <c r="G205" s="41"/>
      <c r="H205" s="56">
        <v>2.5</v>
      </c>
      <c r="I205" s="43" t="str">
        <f t="shared" si="22"/>
        <v/>
      </c>
      <c r="J205" s="43" t="str">
        <f t="shared" si="23"/>
        <v/>
      </c>
      <c r="K205" s="33" t="str">
        <f>IF(B205="","Pending",IF(M205="","⚠️ Enter Code",IF(IFERROR(VLOOKUP(L205,DB_Agents!$B:$F,4,0),"")=TEXT(M205,"0"),"Pending Approval","🔒 WRONG CODE")))</f>
        <v>Pending</v>
      </c>
      <c r="L205" s="30" t="s">
        <v>59</v>
      </c>
      <c r="M205" s="41"/>
      <c r="N205" s="22"/>
    </row>
    <row r="206" spans="1:14" ht="20.100000000000001" customHeight="1" x14ac:dyDescent="0.25">
      <c r="A206" s="30" t="str">
        <f t="shared" ref="A206:A237" si="24">IF(B206="","",IF(C206="❌ Account Not Found","INVALID","LN"&amp;TEXT(D206,"YYYYMMDD")&amp;TEXT(ROW()-13,"0000")))</f>
        <v/>
      </c>
      <c r="B206" s="41"/>
      <c r="C206" s="35" t="str">
        <f>IF(B206="","",IFERROR(VLOOKUP(B206,DB_Customers!$A:$B,2,0),"❌ Account Not Found"))</f>
        <v/>
      </c>
      <c r="D206" s="42" t="str">
        <f t="shared" ref="D206:D213" ca="1" si="25">IF(B206="","",TODAY())</f>
        <v/>
      </c>
      <c r="E206" s="32"/>
      <c r="F206" s="31"/>
      <c r="G206" s="41"/>
      <c r="H206" s="56">
        <v>2.5</v>
      </c>
      <c r="I206" s="43" t="str">
        <f t="shared" ref="I206:I237" si="26">IF(E206="","",E206+(E206*H206/100*G206))</f>
        <v/>
      </c>
      <c r="J206" s="43" t="str">
        <f t="shared" ref="J206:J237" si="27">IFERROR(I206/G206,"")</f>
        <v/>
      </c>
      <c r="K206" s="33" t="str">
        <f>IF(B206="","Pending",IF(M206="","⚠️ Enter Code",IF(IFERROR(VLOOKUP(L206,DB_Agents!$B:$F,4,0),"")=TEXT(M206,"0"),"Pending Approval","🔒 WRONG CODE")))</f>
        <v>Pending</v>
      </c>
      <c r="L206" s="30" t="s">
        <v>59</v>
      </c>
      <c r="M206" s="41"/>
      <c r="N206" s="57"/>
    </row>
    <row r="207" spans="1:14" ht="20.100000000000001" customHeight="1" x14ac:dyDescent="0.25">
      <c r="A207" s="30" t="str">
        <f t="shared" si="24"/>
        <v/>
      </c>
      <c r="B207" s="41"/>
      <c r="C207" s="35" t="str">
        <f>IF(B207="","",IFERROR(VLOOKUP(B207,DB_Customers!$A:$B,2,0),"❌ Account Not Found"))</f>
        <v/>
      </c>
      <c r="D207" s="42" t="str">
        <f t="shared" ca="1" si="25"/>
        <v/>
      </c>
      <c r="E207" s="32"/>
      <c r="F207" s="31"/>
      <c r="G207" s="41"/>
      <c r="H207" s="56">
        <v>2.5</v>
      </c>
      <c r="I207" s="43" t="str">
        <f t="shared" si="26"/>
        <v/>
      </c>
      <c r="J207" s="43" t="str">
        <f t="shared" si="27"/>
        <v/>
      </c>
      <c r="K207" s="33" t="str">
        <f>IF(B207="","Pending",IF(M207="","⚠️ Enter Code",IF(IFERROR(VLOOKUP(L207,DB_Agents!$B:$F,4,0),"")=TEXT(M207,"0"),"Pending Approval","🔒 WRONG CODE")))</f>
        <v>Pending</v>
      </c>
      <c r="L207" s="30" t="s">
        <v>59</v>
      </c>
      <c r="M207" s="41"/>
      <c r="N207" s="22"/>
    </row>
    <row r="208" spans="1:14" ht="20.100000000000001" customHeight="1" x14ac:dyDescent="0.25">
      <c r="A208" s="30" t="str">
        <f t="shared" si="24"/>
        <v/>
      </c>
      <c r="B208" s="41"/>
      <c r="C208" s="35" t="str">
        <f>IF(B208="","",IFERROR(VLOOKUP(B208,DB_Customers!$A:$B,2,0),"❌ Account Not Found"))</f>
        <v/>
      </c>
      <c r="D208" s="42" t="str">
        <f t="shared" ca="1" si="25"/>
        <v/>
      </c>
      <c r="E208" s="32"/>
      <c r="F208" s="31"/>
      <c r="G208" s="41"/>
      <c r="H208" s="56">
        <v>2.5</v>
      </c>
      <c r="I208" s="43" t="str">
        <f t="shared" si="26"/>
        <v/>
      </c>
      <c r="J208" s="43" t="str">
        <f t="shared" si="27"/>
        <v/>
      </c>
      <c r="K208" s="33" t="str">
        <f>IF(B208="","Pending",IF(M208="","⚠️ Enter Code",IF(IFERROR(VLOOKUP(L208,DB_Agents!$B:$F,4,0),"")=TEXT(M208,"0"),"Pending Approval","🔒 WRONG CODE")))</f>
        <v>Pending</v>
      </c>
      <c r="L208" s="30" t="s">
        <v>59</v>
      </c>
      <c r="M208" s="41"/>
      <c r="N208" s="57"/>
    </row>
    <row r="209" spans="1:14" ht="20.100000000000001" customHeight="1" x14ac:dyDescent="0.25">
      <c r="A209" s="30" t="str">
        <f t="shared" si="24"/>
        <v/>
      </c>
      <c r="B209" s="41"/>
      <c r="C209" s="35" t="str">
        <f>IF(B209="","",IFERROR(VLOOKUP(B209,DB_Customers!$A:$B,2,0),"❌ Account Not Found"))</f>
        <v/>
      </c>
      <c r="D209" s="42" t="str">
        <f t="shared" ca="1" si="25"/>
        <v/>
      </c>
      <c r="E209" s="32"/>
      <c r="F209" s="31"/>
      <c r="G209" s="41"/>
      <c r="H209" s="56">
        <v>2.5</v>
      </c>
      <c r="I209" s="43" t="str">
        <f t="shared" si="26"/>
        <v/>
      </c>
      <c r="J209" s="43" t="str">
        <f t="shared" si="27"/>
        <v/>
      </c>
      <c r="K209" s="33" t="str">
        <f>IF(B209="","Pending",IF(M209="","⚠️ Enter Code",IF(IFERROR(VLOOKUP(L209,DB_Agents!$B:$F,4,0),"")=TEXT(M209,"0"),"Pending Approval","🔒 WRONG CODE")))</f>
        <v>Pending</v>
      </c>
      <c r="L209" s="30" t="s">
        <v>59</v>
      </c>
      <c r="M209" s="41"/>
      <c r="N209" s="22"/>
    </row>
    <row r="210" spans="1:14" ht="20.100000000000001" customHeight="1" x14ac:dyDescent="0.25">
      <c r="A210" s="30" t="str">
        <f t="shared" si="24"/>
        <v/>
      </c>
      <c r="B210" s="41"/>
      <c r="C210" s="35" t="str">
        <f>IF(B210="","",IFERROR(VLOOKUP(B210,DB_Customers!$A:$B,2,0),"❌ Account Not Found"))</f>
        <v/>
      </c>
      <c r="D210" s="42" t="str">
        <f t="shared" ca="1" si="25"/>
        <v/>
      </c>
      <c r="E210" s="32"/>
      <c r="F210" s="31"/>
      <c r="G210" s="41"/>
      <c r="H210" s="56">
        <v>2.5</v>
      </c>
      <c r="I210" s="43" t="str">
        <f t="shared" si="26"/>
        <v/>
      </c>
      <c r="J210" s="43" t="str">
        <f t="shared" si="27"/>
        <v/>
      </c>
      <c r="K210" s="33" t="str">
        <f>IF(B210="","Pending",IF(M210="","⚠️ Enter Code",IF(IFERROR(VLOOKUP(L210,DB_Agents!$B:$F,4,0),"")=TEXT(M210,"0"),"Pending Approval","🔒 WRONG CODE")))</f>
        <v>Pending</v>
      </c>
      <c r="L210" s="30" t="s">
        <v>59</v>
      </c>
      <c r="M210" s="41"/>
      <c r="N210" s="57"/>
    </row>
    <row r="211" spans="1:14" ht="20.100000000000001" customHeight="1" x14ac:dyDescent="0.25">
      <c r="A211" s="30" t="str">
        <f t="shared" si="24"/>
        <v/>
      </c>
      <c r="B211" s="41"/>
      <c r="C211" s="35" t="str">
        <f>IF(B211="","",IFERROR(VLOOKUP(B211,DB_Customers!$A:$B,2,0),"❌ Account Not Found"))</f>
        <v/>
      </c>
      <c r="D211" s="42" t="str">
        <f t="shared" ca="1" si="25"/>
        <v/>
      </c>
      <c r="E211" s="32"/>
      <c r="F211" s="31"/>
      <c r="G211" s="41"/>
      <c r="H211" s="56">
        <v>2.5</v>
      </c>
      <c r="I211" s="43" t="str">
        <f t="shared" si="26"/>
        <v/>
      </c>
      <c r="J211" s="43" t="str">
        <f t="shared" si="27"/>
        <v/>
      </c>
      <c r="K211" s="33" t="str">
        <f>IF(B211="","Pending",IF(M211="","⚠️ Enter Code",IF(IFERROR(VLOOKUP(L211,DB_Agents!$B:$F,4,0),"")=TEXT(M211,"0"),"Pending Approval","🔒 WRONG CODE")))</f>
        <v>Pending</v>
      </c>
      <c r="L211" s="30" t="s">
        <v>59</v>
      </c>
      <c r="M211" s="41"/>
      <c r="N211" s="22"/>
    </row>
    <row r="212" spans="1:14" ht="20.100000000000001" customHeight="1" x14ac:dyDescent="0.25">
      <c r="A212" s="30" t="str">
        <f t="shared" si="24"/>
        <v/>
      </c>
      <c r="B212" s="41"/>
      <c r="C212" s="35" t="str">
        <f>IF(B212="","",IFERROR(VLOOKUP(B212,DB_Customers!$A:$B,2,0),"❌ Account Not Found"))</f>
        <v/>
      </c>
      <c r="D212" s="42" t="str">
        <f t="shared" ca="1" si="25"/>
        <v/>
      </c>
      <c r="E212" s="32"/>
      <c r="F212" s="31"/>
      <c r="G212" s="41"/>
      <c r="H212" s="56">
        <v>2.5</v>
      </c>
      <c r="I212" s="43" t="str">
        <f t="shared" si="26"/>
        <v/>
      </c>
      <c r="J212" s="43" t="str">
        <f t="shared" si="27"/>
        <v/>
      </c>
      <c r="K212" s="33" t="str">
        <f>IF(B212="","Pending",IF(M212="","⚠️ Enter Code",IF(IFERROR(VLOOKUP(L212,DB_Agents!$B:$F,4,0),"")=TEXT(M212,"0"),"Pending Approval","🔒 WRONG CODE")))</f>
        <v>Pending</v>
      </c>
      <c r="L212" s="30" t="s">
        <v>59</v>
      </c>
      <c r="M212" s="41"/>
      <c r="N212" s="57"/>
    </row>
    <row r="213" spans="1:14" ht="20.100000000000001" customHeight="1" x14ac:dyDescent="0.25">
      <c r="A213" s="30" t="str">
        <f t="shared" si="24"/>
        <v/>
      </c>
      <c r="B213" s="41"/>
      <c r="C213" s="35" t="str">
        <f>IF(B213="","",IFERROR(VLOOKUP(B213,DB_Customers!$A:$B,2,0),"❌ Account Not Found"))</f>
        <v/>
      </c>
      <c r="D213" s="42" t="str">
        <f t="shared" ca="1" si="25"/>
        <v/>
      </c>
      <c r="E213" s="32"/>
      <c r="F213" s="31"/>
      <c r="G213" s="41"/>
      <c r="H213" s="56">
        <v>2.5</v>
      </c>
      <c r="I213" s="43" t="str">
        <f t="shared" si="26"/>
        <v/>
      </c>
      <c r="J213" s="43" t="str">
        <f t="shared" si="27"/>
        <v/>
      </c>
      <c r="K213" s="33" t="str">
        <f>IF(B213="","Pending",IF(M213="","⚠️ Enter Code",IF(IFERROR(VLOOKUP(L213,DB_Agents!$B:$F,4,0),"")=TEXT(M213,"0"),"Pending Approval","🔒 WRONG CODE")))</f>
        <v>Pending</v>
      </c>
      <c r="L213" s="30" t="s">
        <v>59</v>
      </c>
      <c r="M213" s="41"/>
      <c r="N213" s="22"/>
    </row>
  </sheetData>
  <mergeCells count="3">
    <mergeCell ref="A12:N12"/>
    <mergeCell ref="A2:N2"/>
    <mergeCell ref="A1:N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2.1" customHeight="1" x14ac:dyDescent="0.25">
      <c r="A1" s="93" t="s">
        <v>195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1.95" customHeight="1" x14ac:dyDescent="0.25">
      <c r="A2" s="97" t="s">
        <v>196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20.100000000000001" customHeight="1" x14ac:dyDescent="0.25">
      <c r="A3" s="44" t="s">
        <v>126</v>
      </c>
      <c r="D3" s="44" t="s">
        <v>127</v>
      </c>
      <c r="G3" s="44" t="s">
        <v>128</v>
      </c>
    </row>
    <row r="4" spans="1:11" ht="24" customHeight="1" x14ac:dyDescent="0.25">
      <c r="A4" s="45">
        <f ca="1">IFERROR(SUMIFS(DB_Savings!$F:$F,DB_Savings!$D:$D,"Agent 07",DB_Savings!$E:$E,TODAY()),0)</f>
        <v>0</v>
      </c>
      <c r="D4" s="45">
        <f ca="1">IFERROR(COUNTIFS(DB_Savings!$D:$D,"Agent 07",DB_Savings!$E:$E,TODAY()),0)</f>
        <v>0</v>
      </c>
      <c r="G4" s="45" t="str">
        <f ca="1">TEXT(TODAY(),"DDDD, DD MMMM YYYY")</f>
        <v>Saturday, 25 April 2026</v>
      </c>
    </row>
    <row r="6" spans="1:11" ht="26.1" customHeight="1" x14ac:dyDescent="0.25">
      <c r="A6" s="97" t="s">
        <v>129</v>
      </c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ht="21.95" customHeight="1" x14ac:dyDescent="0.25">
      <c r="A7" s="90" t="s">
        <v>197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spans="1:11" ht="30" customHeight="1" x14ac:dyDescent="0.25">
      <c r="A8" s="19" t="s">
        <v>131</v>
      </c>
      <c r="B8" s="19" t="s">
        <v>69</v>
      </c>
      <c r="C8" s="19" t="s">
        <v>84</v>
      </c>
      <c r="D8" s="19" t="s">
        <v>91</v>
      </c>
      <c r="E8" s="19" t="s">
        <v>132</v>
      </c>
      <c r="F8" s="19" t="s">
        <v>133</v>
      </c>
      <c r="G8" s="19" t="s">
        <v>45</v>
      </c>
      <c r="H8" s="19" t="s">
        <v>134</v>
      </c>
      <c r="I8" s="19" t="s">
        <v>77</v>
      </c>
      <c r="J8" s="19" t="s">
        <v>135</v>
      </c>
      <c r="K8" s="19" t="s">
        <v>95</v>
      </c>
    </row>
    <row r="9" spans="1:11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IF(A9="","",IFERROR(VLOOKUP(A9,DB_Customers!$A:$M,13,0),""))</f>
        <v/>
      </c>
      <c r="D9" s="42" t="str">
        <f t="shared" ref="D9:D40" ca="1" si="0">IF(A9="","",TODAY())</f>
        <v/>
      </c>
      <c r="E9" s="32"/>
      <c r="F9" s="43" t="str">
        <f t="shared" ref="F9:F40" si="1">IFERROR(IF(OR(A9="",E9=""),"",C9+E9),"")</f>
        <v/>
      </c>
      <c r="G9" s="30" t="s">
        <v>60</v>
      </c>
      <c r="H9" s="41"/>
      <c r="I9" s="33" t="str">
        <f>IF(A9="","",IF(H9="","⚠️ Enter Agent Code",IF(IFERROR(VLOOKUP(G9,DB_Agents!$B:$F,4,0),"")=TEXT(H9,"0"),IF(AND(A9&lt;&gt;"",E9&lt;&gt;""),"✅ Saved","Pending"),"🔒 WRONG CODE")))</f>
        <v/>
      </c>
      <c r="J9" s="33" t="str">
        <f t="shared" ref="J9:J40" ca="1" si="2">IF(I9="✅ Saved",TEXT(TODAY(),"YYYY-MM-DD")&amp;" Auto","—")</f>
        <v>—</v>
      </c>
      <c r="K9" s="22"/>
    </row>
    <row r="10" spans="1:11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IF(A10="","",IFERROR(VLOOKUP(A10,DB_Customers!$A:$M,13,0),""))</f>
        <v/>
      </c>
      <c r="D10" s="42" t="str">
        <f t="shared" ca="1" si="0"/>
        <v/>
      </c>
      <c r="E10" s="32"/>
      <c r="F10" s="43" t="str">
        <f t="shared" si="1"/>
        <v/>
      </c>
      <c r="G10" s="30" t="s">
        <v>60</v>
      </c>
      <c r="H10" s="41"/>
      <c r="I10" s="33" t="str">
        <f>IF(A10="","",IF(H10="","⚠️ Enter Agent Code",IF(IFERROR(VLOOKUP(G10,DB_Agents!$B:$F,4,0),"")=TEXT(H10,"0"),IF(AND(A10&lt;&gt;"",E10&lt;&gt;""),"✅ Saved","Pending"),"🔒 WRONG CODE")))</f>
        <v/>
      </c>
      <c r="J10" s="33" t="str">
        <f t="shared" ca="1" si="2"/>
        <v>—</v>
      </c>
      <c r="K10" s="46"/>
    </row>
    <row r="11" spans="1:11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IF(A11="","",IFERROR(VLOOKUP(A11,DB_Customers!$A:$M,13,0),""))</f>
        <v/>
      </c>
      <c r="D11" s="42" t="str">
        <f t="shared" ca="1" si="0"/>
        <v/>
      </c>
      <c r="E11" s="32"/>
      <c r="F11" s="43" t="str">
        <f t="shared" si="1"/>
        <v/>
      </c>
      <c r="G11" s="30" t="s">
        <v>60</v>
      </c>
      <c r="H11" s="41"/>
      <c r="I11" s="33" t="str">
        <f>IF(A11="","",IF(H11="","⚠️ Enter Agent Code",IF(IFERROR(VLOOKUP(G11,DB_Agents!$B:$F,4,0),"")=TEXT(H11,"0"),IF(AND(A11&lt;&gt;"",E11&lt;&gt;""),"✅ Saved","Pending"),"🔒 WRONG CODE")))</f>
        <v/>
      </c>
      <c r="J11" s="33" t="str">
        <f t="shared" ca="1" si="2"/>
        <v>—</v>
      </c>
      <c r="K11" s="22"/>
    </row>
    <row r="12" spans="1:11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IF(A12="","",IFERROR(VLOOKUP(A12,DB_Customers!$A:$M,13,0),""))</f>
        <v/>
      </c>
      <c r="D12" s="42" t="str">
        <f t="shared" ca="1" si="0"/>
        <v/>
      </c>
      <c r="E12" s="32"/>
      <c r="F12" s="43" t="str">
        <f t="shared" si="1"/>
        <v/>
      </c>
      <c r="G12" s="30" t="s">
        <v>60</v>
      </c>
      <c r="H12" s="41"/>
      <c r="I12" s="33" t="str">
        <f>IF(A12="","",IF(H12="","⚠️ Enter Agent Code",IF(IFERROR(VLOOKUP(G12,DB_Agents!$B:$F,4,0),"")=TEXT(H12,"0"),IF(AND(A12&lt;&gt;"",E12&lt;&gt;""),"✅ Saved","Pending"),"🔒 WRONG CODE")))</f>
        <v/>
      </c>
      <c r="J12" s="33" t="str">
        <f t="shared" ca="1" si="2"/>
        <v>—</v>
      </c>
      <c r="K12" s="46"/>
    </row>
    <row r="13" spans="1:11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IF(A13="","",IFERROR(VLOOKUP(A13,DB_Customers!$A:$M,13,0),""))</f>
        <v/>
      </c>
      <c r="D13" s="42" t="str">
        <f t="shared" ca="1" si="0"/>
        <v/>
      </c>
      <c r="E13" s="32"/>
      <c r="F13" s="43" t="str">
        <f t="shared" si="1"/>
        <v/>
      </c>
      <c r="G13" s="30" t="s">
        <v>60</v>
      </c>
      <c r="H13" s="41"/>
      <c r="I13" s="33" t="str">
        <f>IF(A13="","",IF(H13="","⚠️ Enter Agent Code",IF(IFERROR(VLOOKUP(G13,DB_Agents!$B:$F,4,0),"")=TEXT(H13,"0"),IF(AND(A13&lt;&gt;"",E13&lt;&gt;""),"✅ Saved","Pending"),"🔒 WRONG CODE")))</f>
        <v/>
      </c>
      <c r="J13" s="33" t="str">
        <f t="shared" ca="1" si="2"/>
        <v>—</v>
      </c>
      <c r="K13" s="22"/>
    </row>
    <row r="14" spans="1:11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IF(A14="","",IFERROR(VLOOKUP(A14,DB_Customers!$A:$M,13,0),""))</f>
        <v/>
      </c>
      <c r="D14" s="42" t="str">
        <f t="shared" ca="1" si="0"/>
        <v/>
      </c>
      <c r="E14" s="32"/>
      <c r="F14" s="43" t="str">
        <f t="shared" si="1"/>
        <v/>
      </c>
      <c r="G14" s="30" t="s">
        <v>60</v>
      </c>
      <c r="H14" s="41"/>
      <c r="I14" s="33" t="str">
        <f>IF(A14="","",IF(H14="","⚠️ Enter Agent Code",IF(IFERROR(VLOOKUP(G14,DB_Agents!$B:$F,4,0),"")=TEXT(H14,"0"),IF(AND(A14&lt;&gt;"",E14&lt;&gt;""),"✅ Saved","Pending"),"🔒 WRONG CODE")))</f>
        <v/>
      </c>
      <c r="J14" s="33" t="str">
        <f t="shared" ca="1" si="2"/>
        <v>—</v>
      </c>
      <c r="K14" s="46"/>
    </row>
    <row r="15" spans="1:11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IF(A15="","",IFERROR(VLOOKUP(A15,DB_Customers!$A:$M,13,0),""))</f>
        <v/>
      </c>
      <c r="D15" s="42" t="str">
        <f t="shared" ca="1" si="0"/>
        <v/>
      </c>
      <c r="E15" s="32"/>
      <c r="F15" s="43" t="str">
        <f t="shared" si="1"/>
        <v/>
      </c>
      <c r="G15" s="30" t="s">
        <v>60</v>
      </c>
      <c r="H15" s="41"/>
      <c r="I15" s="33" t="str">
        <f>IF(A15="","",IF(H15="","⚠️ Enter Agent Code",IF(IFERROR(VLOOKUP(G15,DB_Agents!$B:$F,4,0),"")=TEXT(H15,"0"),IF(AND(A15&lt;&gt;"",E15&lt;&gt;""),"✅ Saved","Pending"),"🔒 WRONG CODE")))</f>
        <v/>
      </c>
      <c r="J15" s="33" t="str">
        <f t="shared" ca="1" si="2"/>
        <v>—</v>
      </c>
      <c r="K15" s="22"/>
    </row>
    <row r="16" spans="1:11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IF(A16="","",IFERROR(VLOOKUP(A16,DB_Customers!$A:$M,13,0),""))</f>
        <v/>
      </c>
      <c r="D16" s="42" t="str">
        <f t="shared" ca="1" si="0"/>
        <v/>
      </c>
      <c r="E16" s="32"/>
      <c r="F16" s="43" t="str">
        <f t="shared" si="1"/>
        <v/>
      </c>
      <c r="G16" s="30" t="s">
        <v>60</v>
      </c>
      <c r="H16" s="41"/>
      <c r="I16" s="33" t="str">
        <f>IF(A16="","",IF(H16="","⚠️ Enter Agent Code",IF(IFERROR(VLOOKUP(G16,DB_Agents!$B:$F,4,0),"")=TEXT(H16,"0"),IF(AND(A16&lt;&gt;"",E16&lt;&gt;""),"✅ Saved","Pending"),"🔒 WRONG CODE")))</f>
        <v/>
      </c>
      <c r="J16" s="33" t="str">
        <f t="shared" ca="1" si="2"/>
        <v>—</v>
      </c>
      <c r="K16" s="46"/>
    </row>
    <row r="17" spans="1:11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IF(A17="","",IFERROR(VLOOKUP(A17,DB_Customers!$A:$M,13,0),""))</f>
        <v/>
      </c>
      <c r="D17" s="42" t="str">
        <f t="shared" ca="1" si="0"/>
        <v/>
      </c>
      <c r="E17" s="32"/>
      <c r="F17" s="43" t="str">
        <f t="shared" si="1"/>
        <v/>
      </c>
      <c r="G17" s="30" t="s">
        <v>60</v>
      </c>
      <c r="H17" s="41"/>
      <c r="I17" s="33" t="str">
        <f>IF(A17="","",IF(H17="","⚠️ Enter Agent Code",IF(IFERROR(VLOOKUP(G17,DB_Agents!$B:$F,4,0),"")=TEXT(H17,"0"),IF(AND(A17&lt;&gt;"",E17&lt;&gt;""),"✅ Saved","Pending"),"🔒 WRONG CODE")))</f>
        <v/>
      </c>
      <c r="J17" s="33" t="str">
        <f t="shared" ca="1" si="2"/>
        <v>—</v>
      </c>
      <c r="K17" s="22"/>
    </row>
    <row r="18" spans="1:11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IF(A18="","",IFERROR(VLOOKUP(A18,DB_Customers!$A:$M,13,0),""))</f>
        <v/>
      </c>
      <c r="D18" s="42" t="str">
        <f t="shared" ca="1" si="0"/>
        <v/>
      </c>
      <c r="E18" s="32"/>
      <c r="F18" s="43" t="str">
        <f t="shared" si="1"/>
        <v/>
      </c>
      <c r="G18" s="30" t="s">
        <v>60</v>
      </c>
      <c r="H18" s="41"/>
      <c r="I18" s="33" t="str">
        <f>IF(A18="","",IF(H18="","⚠️ Enter Agent Code",IF(IFERROR(VLOOKUP(G18,DB_Agents!$B:$F,4,0),"")=TEXT(H18,"0"),IF(AND(A18&lt;&gt;"",E18&lt;&gt;""),"✅ Saved","Pending"),"🔒 WRONG CODE")))</f>
        <v/>
      </c>
      <c r="J18" s="33" t="str">
        <f t="shared" ca="1" si="2"/>
        <v>—</v>
      </c>
      <c r="K18" s="46"/>
    </row>
    <row r="19" spans="1:11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IF(A19="","",IFERROR(VLOOKUP(A19,DB_Customers!$A:$M,13,0),""))</f>
        <v/>
      </c>
      <c r="D19" s="42" t="str">
        <f t="shared" ca="1" si="0"/>
        <v/>
      </c>
      <c r="E19" s="32"/>
      <c r="F19" s="43" t="str">
        <f t="shared" si="1"/>
        <v/>
      </c>
      <c r="G19" s="30" t="s">
        <v>60</v>
      </c>
      <c r="H19" s="41"/>
      <c r="I19" s="33" t="str">
        <f>IF(A19="","",IF(H19="","⚠️ Enter Agent Code",IF(IFERROR(VLOOKUP(G19,DB_Agents!$B:$F,4,0),"")=TEXT(H19,"0"),IF(AND(A19&lt;&gt;"",E19&lt;&gt;""),"✅ Saved","Pending"),"🔒 WRONG CODE")))</f>
        <v/>
      </c>
      <c r="J19" s="33" t="str">
        <f t="shared" ca="1" si="2"/>
        <v>—</v>
      </c>
      <c r="K19" s="22"/>
    </row>
    <row r="20" spans="1:11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IF(A20="","",IFERROR(VLOOKUP(A20,DB_Customers!$A:$M,13,0),""))</f>
        <v/>
      </c>
      <c r="D20" s="42" t="str">
        <f t="shared" ca="1" si="0"/>
        <v/>
      </c>
      <c r="E20" s="32"/>
      <c r="F20" s="43" t="str">
        <f t="shared" si="1"/>
        <v/>
      </c>
      <c r="G20" s="30" t="s">
        <v>60</v>
      </c>
      <c r="H20" s="41"/>
      <c r="I20" s="33" t="str">
        <f>IF(A20="","",IF(H20="","⚠️ Enter Agent Code",IF(IFERROR(VLOOKUP(G20,DB_Agents!$B:$F,4,0),"")=TEXT(H20,"0"),IF(AND(A20&lt;&gt;"",E20&lt;&gt;""),"✅ Saved","Pending"),"🔒 WRONG CODE")))</f>
        <v/>
      </c>
      <c r="J20" s="33" t="str">
        <f t="shared" ca="1" si="2"/>
        <v>—</v>
      </c>
      <c r="K20" s="46"/>
    </row>
    <row r="21" spans="1:11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IF(A21="","",IFERROR(VLOOKUP(A21,DB_Customers!$A:$M,13,0),""))</f>
        <v/>
      </c>
      <c r="D21" s="42" t="str">
        <f t="shared" ca="1" si="0"/>
        <v/>
      </c>
      <c r="E21" s="32"/>
      <c r="F21" s="43" t="str">
        <f t="shared" si="1"/>
        <v/>
      </c>
      <c r="G21" s="30" t="s">
        <v>60</v>
      </c>
      <c r="H21" s="41"/>
      <c r="I21" s="33" t="str">
        <f>IF(A21="","",IF(H21="","⚠️ Enter Agent Code",IF(IFERROR(VLOOKUP(G21,DB_Agents!$B:$F,4,0),"")=TEXT(H21,"0"),IF(AND(A21&lt;&gt;"",E21&lt;&gt;""),"✅ Saved","Pending"),"🔒 WRONG CODE")))</f>
        <v/>
      </c>
      <c r="J21" s="33" t="str">
        <f t="shared" ca="1" si="2"/>
        <v>—</v>
      </c>
      <c r="K21" s="22"/>
    </row>
    <row r="22" spans="1:11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IF(A22="","",IFERROR(VLOOKUP(A22,DB_Customers!$A:$M,13,0),""))</f>
        <v/>
      </c>
      <c r="D22" s="42" t="str">
        <f t="shared" ca="1" si="0"/>
        <v/>
      </c>
      <c r="E22" s="32"/>
      <c r="F22" s="43" t="str">
        <f t="shared" si="1"/>
        <v/>
      </c>
      <c r="G22" s="30" t="s">
        <v>60</v>
      </c>
      <c r="H22" s="41"/>
      <c r="I22" s="33" t="str">
        <f>IF(A22="","",IF(H22="","⚠️ Enter Agent Code",IF(IFERROR(VLOOKUP(G22,DB_Agents!$B:$F,4,0),"")=TEXT(H22,"0"),IF(AND(A22&lt;&gt;"",E22&lt;&gt;""),"✅ Saved","Pending"),"🔒 WRONG CODE")))</f>
        <v/>
      </c>
      <c r="J22" s="33" t="str">
        <f t="shared" ca="1" si="2"/>
        <v>—</v>
      </c>
      <c r="K22" s="46"/>
    </row>
    <row r="23" spans="1:11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IF(A23="","",IFERROR(VLOOKUP(A23,DB_Customers!$A:$M,13,0),""))</f>
        <v/>
      </c>
      <c r="D23" s="42" t="str">
        <f t="shared" ca="1" si="0"/>
        <v/>
      </c>
      <c r="E23" s="32"/>
      <c r="F23" s="43" t="str">
        <f t="shared" si="1"/>
        <v/>
      </c>
      <c r="G23" s="30" t="s">
        <v>60</v>
      </c>
      <c r="H23" s="41"/>
      <c r="I23" s="33" t="str">
        <f>IF(A23="","",IF(H23="","⚠️ Enter Agent Code",IF(IFERROR(VLOOKUP(G23,DB_Agents!$B:$F,4,0),"")=TEXT(H23,"0"),IF(AND(A23&lt;&gt;"",E23&lt;&gt;""),"✅ Saved","Pending"),"🔒 WRONG CODE")))</f>
        <v/>
      </c>
      <c r="J23" s="33" t="str">
        <f t="shared" ca="1" si="2"/>
        <v>—</v>
      </c>
      <c r="K23" s="22"/>
    </row>
    <row r="24" spans="1:11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IF(A24="","",IFERROR(VLOOKUP(A24,DB_Customers!$A:$M,13,0),""))</f>
        <v/>
      </c>
      <c r="D24" s="42" t="str">
        <f t="shared" ca="1" si="0"/>
        <v/>
      </c>
      <c r="E24" s="32"/>
      <c r="F24" s="43" t="str">
        <f t="shared" si="1"/>
        <v/>
      </c>
      <c r="G24" s="30" t="s">
        <v>60</v>
      </c>
      <c r="H24" s="41"/>
      <c r="I24" s="33" t="str">
        <f>IF(A24="","",IF(H24="","⚠️ Enter Agent Code",IF(IFERROR(VLOOKUP(G24,DB_Agents!$B:$F,4,0),"")=TEXT(H24,"0"),IF(AND(A24&lt;&gt;"",E24&lt;&gt;""),"✅ Saved","Pending"),"🔒 WRONG CODE")))</f>
        <v/>
      </c>
      <c r="J24" s="33" t="str">
        <f t="shared" ca="1" si="2"/>
        <v>—</v>
      </c>
      <c r="K24" s="46"/>
    </row>
    <row r="25" spans="1:11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IF(A25="","",IFERROR(VLOOKUP(A25,DB_Customers!$A:$M,13,0),""))</f>
        <v/>
      </c>
      <c r="D25" s="42" t="str">
        <f t="shared" ca="1" si="0"/>
        <v/>
      </c>
      <c r="E25" s="32"/>
      <c r="F25" s="43" t="str">
        <f t="shared" si="1"/>
        <v/>
      </c>
      <c r="G25" s="30" t="s">
        <v>60</v>
      </c>
      <c r="H25" s="41"/>
      <c r="I25" s="33" t="str">
        <f>IF(A25="","",IF(H25="","⚠️ Enter Agent Code",IF(IFERROR(VLOOKUP(G25,DB_Agents!$B:$F,4,0),"")=TEXT(H25,"0"),IF(AND(A25&lt;&gt;"",E25&lt;&gt;""),"✅ Saved","Pending"),"🔒 WRONG CODE")))</f>
        <v/>
      </c>
      <c r="J25" s="33" t="str">
        <f t="shared" ca="1" si="2"/>
        <v>—</v>
      </c>
      <c r="K25" s="22"/>
    </row>
    <row r="26" spans="1:11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IF(A26="","",IFERROR(VLOOKUP(A26,DB_Customers!$A:$M,13,0),""))</f>
        <v/>
      </c>
      <c r="D26" s="42" t="str">
        <f t="shared" ca="1" si="0"/>
        <v/>
      </c>
      <c r="E26" s="32"/>
      <c r="F26" s="43" t="str">
        <f t="shared" si="1"/>
        <v/>
      </c>
      <c r="G26" s="30" t="s">
        <v>60</v>
      </c>
      <c r="H26" s="41"/>
      <c r="I26" s="33" t="str">
        <f>IF(A26="","",IF(H26="","⚠️ Enter Agent Code",IF(IFERROR(VLOOKUP(G26,DB_Agents!$B:$F,4,0),"")=TEXT(H26,"0"),IF(AND(A26&lt;&gt;"",E26&lt;&gt;""),"✅ Saved","Pending"),"🔒 WRONG CODE")))</f>
        <v/>
      </c>
      <c r="J26" s="33" t="str">
        <f t="shared" ca="1" si="2"/>
        <v>—</v>
      </c>
      <c r="K26" s="46"/>
    </row>
    <row r="27" spans="1:11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IF(A27="","",IFERROR(VLOOKUP(A27,DB_Customers!$A:$M,13,0),""))</f>
        <v/>
      </c>
      <c r="D27" s="42" t="str">
        <f t="shared" ca="1" si="0"/>
        <v/>
      </c>
      <c r="E27" s="32"/>
      <c r="F27" s="43" t="str">
        <f t="shared" si="1"/>
        <v/>
      </c>
      <c r="G27" s="30" t="s">
        <v>60</v>
      </c>
      <c r="H27" s="41"/>
      <c r="I27" s="33" t="str">
        <f>IF(A27="","",IF(H27="","⚠️ Enter Agent Code",IF(IFERROR(VLOOKUP(G27,DB_Agents!$B:$F,4,0),"")=TEXT(H27,"0"),IF(AND(A27&lt;&gt;"",E27&lt;&gt;""),"✅ Saved","Pending"),"🔒 WRONG CODE")))</f>
        <v/>
      </c>
      <c r="J27" s="33" t="str">
        <f t="shared" ca="1" si="2"/>
        <v>—</v>
      </c>
      <c r="K27" s="22"/>
    </row>
    <row r="28" spans="1:11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IF(A28="","",IFERROR(VLOOKUP(A28,DB_Customers!$A:$M,13,0),""))</f>
        <v/>
      </c>
      <c r="D28" s="42" t="str">
        <f t="shared" ca="1" si="0"/>
        <v/>
      </c>
      <c r="E28" s="32"/>
      <c r="F28" s="43" t="str">
        <f t="shared" si="1"/>
        <v/>
      </c>
      <c r="G28" s="30" t="s">
        <v>60</v>
      </c>
      <c r="H28" s="41"/>
      <c r="I28" s="33" t="str">
        <f>IF(A28="","",IF(H28="","⚠️ Enter Agent Code",IF(IFERROR(VLOOKUP(G28,DB_Agents!$B:$F,4,0),"")=TEXT(H28,"0"),IF(AND(A28&lt;&gt;"",E28&lt;&gt;""),"✅ Saved","Pending"),"🔒 WRONG CODE")))</f>
        <v/>
      </c>
      <c r="J28" s="33" t="str">
        <f t="shared" ca="1" si="2"/>
        <v>—</v>
      </c>
      <c r="K28" s="46"/>
    </row>
    <row r="29" spans="1:11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IF(A29="","",IFERROR(VLOOKUP(A29,DB_Customers!$A:$M,13,0),""))</f>
        <v/>
      </c>
      <c r="D29" s="42" t="str">
        <f t="shared" ca="1" si="0"/>
        <v/>
      </c>
      <c r="E29" s="32"/>
      <c r="F29" s="43" t="str">
        <f t="shared" si="1"/>
        <v/>
      </c>
      <c r="G29" s="30" t="s">
        <v>60</v>
      </c>
      <c r="H29" s="41"/>
      <c r="I29" s="33" t="str">
        <f>IF(A29="","",IF(H29="","⚠️ Enter Agent Code",IF(IFERROR(VLOOKUP(G29,DB_Agents!$B:$F,4,0),"")=TEXT(H29,"0"),IF(AND(A29&lt;&gt;"",E29&lt;&gt;""),"✅ Saved","Pending"),"🔒 WRONG CODE")))</f>
        <v/>
      </c>
      <c r="J29" s="33" t="str">
        <f t="shared" ca="1" si="2"/>
        <v>—</v>
      </c>
      <c r="K29" s="22"/>
    </row>
    <row r="30" spans="1:11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IF(A30="","",IFERROR(VLOOKUP(A30,DB_Customers!$A:$M,13,0),""))</f>
        <v/>
      </c>
      <c r="D30" s="42" t="str">
        <f t="shared" ca="1" si="0"/>
        <v/>
      </c>
      <c r="E30" s="32"/>
      <c r="F30" s="43" t="str">
        <f t="shared" si="1"/>
        <v/>
      </c>
      <c r="G30" s="30" t="s">
        <v>60</v>
      </c>
      <c r="H30" s="41"/>
      <c r="I30" s="33" t="str">
        <f>IF(A30="","",IF(H30="","⚠️ Enter Agent Code",IF(IFERROR(VLOOKUP(G30,DB_Agents!$B:$F,4,0),"")=TEXT(H30,"0"),IF(AND(A30&lt;&gt;"",E30&lt;&gt;""),"✅ Saved","Pending"),"🔒 WRONG CODE")))</f>
        <v/>
      </c>
      <c r="J30" s="33" t="str">
        <f t="shared" ca="1" si="2"/>
        <v>—</v>
      </c>
      <c r="K30" s="46"/>
    </row>
    <row r="31" spans="1:11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IF(A31="","",IFERROR(VLOOKUP(A31,DB_Customers!$A:$M,13,0),""))</f>
        <v/>
      </c>
      <c r="D31" s="42" t="str">
        <f t="shared" ca="1" si="0"/>
        <v/>
      </c>
      <c r="E31" s="32"/>
      <c r="F31" s="43" t="str">
        <f t="shared" si="1"/>
        <v/>
      </c>
      <c r="G31" s="30" t="s">
        <v>60</v>
      </c>
      <c r="H31" s="41"/>
      <c r="I31" s="33" t="str">
        <f>IF(A31="","",IF(H31="","⚠️ Enter Agent Code",IF(IFERROR(VLOOKUP(G31,DB_Agents!$B:$F,4,0),"")=TEXT(H31,"0"),IF(AND(A31&lt;&gt;"",E31&lt;&gt;""),"✅ Saved","Pending"),"🔒 WRONG CODE")))</f>
        <v/>
      </c>
      <c r="J31" s="33" t="str">
        <f t="shared" ca="1" si="2"/>
        <v>—</v>
      </c>
      <c r="K31" s="22"/>
    </row>
    <row r="32" spans="1:11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IF(A32="","",IFERROR(VLOOKUP(A32,DB_Customers!$A:$M,13,0),""))</f>
        <v/>
      </c>
      <c r="D32" s="42" t="str">
        <f t="shared" ca="1" si="0"/>
        <v/>
      </c>
      <c r="E32" s="32"/>
      <c r="F32" s="43" t="str">
        <f t="shared" si="1"/>
        <v/>
      </c>
      <c r="G32" s="30" t="s">
        <v>60</v>
      </c>
      <c r="H32" s="41"/>
      <c r="I32" s="33" t="str">
        <f>IF(A32="","",IF(H32="","⚠️ Enter Agent Code",IF(IFERROR(VLOOKUP(G32,DB_Agents!$B:$F,4,0),"")=TEXT(H32,"0"),IF(AND(A32&lt;&gt;"",E32&lt;&gt;""),"✅ Saved","Pending"),"🔒 WRONG CODE")))</f>
        <v/>
      </c>
      <c r="J32" s="33" t="str">
        <f t="shared" ca="1" si="2"/>
        <v>—</v>
      </c>
      <c r="K32" s="46"/>
    </row>
    <row r="33" spans="1:11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IF(A33="","",IFERROR(VLOOKUP(A33,DB_Customers!$A:$M,13,0),""))</f>
        <v/>
      </c>
      <c r="D33" s="42" t="str">
        <f t="shared" ca="1" si="0"/>
        <v/>
      </c>
      <c r="E33" s="32"/>
      <c r="F33" s="43" t="str">
        <f t="shared" si="1"/>
        <v/>
      </c>
      <c r="G33" s="30" t="s">
        <v>60</v>
      </c>
      <c r="H33" s="41"/>
      <c r="I33" s="33" t="str">
        <f>IF(A33="","",IF(H33="","⚠️ Enter Agent Code",IF(IFERROR(VLOOKUP(G33,DB_Agents!$B:$F,4,0),"")=TEXT(H33,"0"),IF(AND(A33&lt;&gt;"",E33&lt;&gt;""),"✅ Saved","Pending"),"🔒 WRONG CODE")))</f>
        <v/>
      </c>
      <c r="J33" s="33" t="str">
        <f t="shared" ca="1" si="2"/>
        <v>—</v>
      </c>
      <c r="K33" s="22"/>
    </row>
    <row r="34" spans="1:11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IF(A34="","",IFERROR(VLOOKUP(A34,DB_Customers!$A:$M,13,0),""))</f>
        <v/>
      </c>
      <c r="D34" s="42" t="str">
        <f t="shared" ca="1" si="0"/>
        <v/>
      </c>
      <c r="E34" s="32"/>
      <c r="F34" s="43" t="str">
        <f t="shared" si="1"/>
        <v/>
      </c>
      <c r="G34" s="30" t="s">
        <v>60</v>
      </c>
      <c r="H34" s="41"/>
      <c r="I34" s="33" t="str">
        <f>IF(A34="","",IF(H34="","⚠️ Enter Agent Code",IF(IFERROR(VLOOKUP(G34,DB_Agents!$B:$F,4,0),"")=TEXT(H34,"0"),IF(AND(A34&lt;&gt;"",E34&lt;&gt;""),"✅ Saved","Pending"),"🔒 WRONG CODE")))</f>
        <v/>
      </c>
      <c r="J34" s="33" t="str">
        <f t="shared" ca="1" si="2"/>
        <v>—</v>
      </c>
      <c r="K34" s="46"/>
    </row>
    <row r="35" spans="1:11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IF(A35="","",IFERROR(VLOOKUP(A35,DB_Customers!$A:$M,13,0),""))</f>
        <v/>
      </c>
      <c r="D35" s="42" t="str">
        <f t="shared" ca="1" si="0"/>
        <v/>
      </c>
      <c r="E35" s="32"/>
      <c r="F35" s="43" t="str">
        <f t="shared" si="1"/>
        <v/>
      </c>
      <c r="G35" s="30" t="s">
        <v>60</v>
      </c>
      <c r="H35" s="41"/>
      <c r="I35" s="33" t="str">
        <f>IF(A35="","",IF(H35="","⚠️ Enter Agent Code",IF(IFERROR(VLOOKUP(G35,DB_Agents!$B:$F,4,0),"")=TEXT(H35,"0"),IF(AND(A35&lt;&gt;"",E35&lt;&gt;""),"✅ Saved","Pending"),"🔒 WRONG CODE")))</f>
        <v/>
      </c>
      <c r="J35" s="33" t="str">
        <f t="shared" ca="1" si="2"/>
        <v>—</v>
      </c>
      <c r="K35" s="22"/>
    </row>
    <row r="36" spans="1:11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IF(A36="","",IFERROR(VLOOKUP(A36,DB_Customers!$A:$M,13,0),""))</f>
        <v/>
      </c>
      <c r="D36" s="42" t="str">
        <f t="shared" ca="1" si="0"/>
        <v/>
      </c>
      <c r="E36" s="32"/>
      <c r="F36" s="43" t="str">
        <f t="shared" si="1"/>
        <v/>
      </c>
      <c r="G36" s="30" t="s">
        <v>60</v>
      </c>
      <c r="H36" s="41"/>
      <c r="I36" s="33" t="str">
        <f>IF(A36="","",IF(H36="","⚠️ Enter Agent Code",IF(IFERROR(VLOOKUP(G36,DB_Agents!$B:$F,4,0),"")=TEXT(H36,"0"),IF(AND(A36&lt;&gt;"",E36&lt;&gt;""),"✅ Saved","Pending"),"🔒 WRONG CODE")))</f>
        <v/>
      </c>
      <c r="J36" s="33" t="str">
        <f t="shared" ca="1" si="2"/>
        <v>—</v>
      </c>
      <c r="K36" s="46"/>
    </row>
    <row r="37" spans="1:11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IF(A37="","",IFERROR(VLOOKUP(A37,DB_Customers!$A:$M,13,0),""))</f>
        <v/>
      </c>
      <c r="D37" s="42" t="str">
        <f t="shared" ca="1" si="0"/>
        <v/>
      </c>
      <c r="E37" s="32"/>
      <c r="F37" s="43" t="str">
        <f t="shared" si="1"/>
        <v/>
      </c>
      <c r="G37" s="30" t="s">
        <v>60</v>
      </c>
      <c r="H37" s="41"/>
      <c r="I37" s="33" t="str">
        <f>IF(A37="","",IF(H37="","⚠️ Enter Agent Code",IF(IFERROR(VLOOKUP(G37,DB_Agents!$B:$F,4,0),"")=TEXT(H37,"0"),IF(AND(A37&lt;&gt;"",E37&lt;&gt;""),"✅ Saved","Pending"),"🔒 WRONG CODE")))</f>
        <v/>
      </c>
      <c r="J37" s="33" t="str">
        <f t="shared" ca="1" si="2"/>
        <v>—</v>
      </c>
      <c r="K37" s="22"/>
    </row>
    <row r="38" spans="1:11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IF(A38="","",IFERROR(VLOOKUP(A38,DB_Customers!$A:$M,13,0),""))</f>
        <v/>
      </c>
      <c r="D38" s="42" t="str">
        <f t="shared" ca="1" si="0"/>
        <v/>
      </c>
      <c r="E38" s="32"/>
      <c r="F38" s="43" t="str">
        <f t="shared" si="1"/>
        <v/>
      </c>
      <c r="G38" s="30" t="s">
        <v>60</v>
      </c>
      <c r="H38" s="41"/>
      <c r="I38" s="33" t="str">
        <f>IF(A38="","",IF(H38="","⚠️ Enter Agent Code",IF(IFERROR(VLOOKUP(G38,DB_Agents!$B:$F,4,0),"")=TEXT(H38,"0"),IF(AND(A38&lt;&gt;"",E38&lt;&gt;""),"✅ Saved","Pending"),"🔒 WRONG CODE")))</f>
        <v/>
      </c>
      <c r="J38" s="33" t="str">
        <f t="shared" ca="1" si="2"/>
        <v>—</v>
      </c>
      <c r="K38" s="46"/>
    </row>
    <row r="39" spans="1:11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IF(A39="","",IFERROR(VLOOKUP(A39,DB_Customers!$A:$M,13,0),""))</f>
        <v/>
      </c>
      <c r="D39" s="42" t="str">
        <f t="shared" ca="1" si="0"/>
        <v/>
      </c>
      <c r="E39" s="32"/>
      <c r="F39" s="43" t="str">
        <f t="shared" si="1"/>
        <v/>
      </c>
      <c r="G39" s="30" t="s">
        <v>60</v>
      </c>
      <c r="H39" s="41"/>
      <c r="I39" s="33" t="str">
        <f>IF(A39="","",IF(H39="","⚠️ Enter Agent Code",IF(IFERROR(VLOOKUP(G39,DB_Agents!$B:$F,4,0),"")=TEXT(H39,"0"),IF(AND(A39&lt;&gt;"",E39&lt;&gt;""),"✅ Saved","Pending"),"🔒 WRONG CODE")))</f>
        <v/>
      </c>
      <c r="J39" s="33" t="str">
        <f t="shared" ca="1" si="2"/>
        <v>—</v>
      </c>
      <c r="K39" s="22"/>
    </row>
    <row r="40" spans="1:11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IF(A40="","",IFERROR(VLOOKUP(A40,DB_Customers!$A:$M,13,0),""))</f>
        <v/>
      </c>
      <c r="D40" s="42" t="str">
        <f t="shared" ca="1" si="0"/>
        <v/>
      </c>
      <c r="E40" s="32"/>
      <c r="F40" s="43" t="str">
        <f t="shared" si="1"/>
        <v/>
      </c>
      <c r="G40" s="30" t="s">
        <v>60</v>
      </c>
      <c r="H40" s="41"/>
      <c r="I40" s="33" t="str">
        <f>IF(A40="","",IF(H40="","⚠️ Enter Agent Code",IF(IFERROR(VLOOKUP(G40,DB_Agents!$B:$F,4,0),"")=TEXT(H40,"0"),IF(AND(A40&lt;&gt;"",E40&lt;&gt;""),"✅ Saved","Pending"),"🔒 WRONG CODE")))</f>
        <v/>
      </c>
      <c r="J40" s="33" t="str">
        <f t="shared" ca="1" si="2"/>
        <v>—</v>
      </c>
      <c r="K40" s="46"/>
    </row>
    <row r="41" spans="1:11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IF(A41="","",IFERROR(VLOOKUP(A41,DB_Customers!$A:$M,13,0),""))</f>
        <v/>
      </c>
      <c r="D41" s="42" t="str">
        <f t="shared" ref="D41:D72" ca="1" si="3">IF(A41="","",TODAY())</f>
        <v/>
      </c>
      <c r="E41" s="32"/>
      <c r="F41" s="43" t="str">
        <f t="shared" ref="F41:F72" si="4">IFERROR(IF(OR(A41="",E41=""),"",C41+E41),"")</f>
        <v/>
      </c>
      <c r="G41" s="30" t="s">
        <v>60</v>
      </c>
      <c r="H41" s="41"/>
      <c r="I41" s="33" t="str">
        <f>IF(A41="","",IF(H41="","⚠️ Enter Agent Code",IF(IFERROR(VLOOKUP(G41,DB_Agents!$B:$F,4,0),"")=TEXT(H41,"0"),IF(AND(A41&lt;&gt;"",E41&lt;&gt;""),"✅ Saved","Pending"),"🔒 WRONG CODE")))</f>
        <v/>
      </c>
      <c r="J41" s="33" t="str">
        <f t="shared" ref="J41:J72" ca="1" si="5">IF(I41="✅ Saved",TEXT(TODAY(),"YYYY-MM-DD")&amp;" Auto","—")</f>
        <v>—</v>
      </c>
      <c r="K41" s="22"/>
    </row>
    <row r="42" spans="1:11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IF(A42="","",IFERROR(VLOOKUP(A42,DB_Customers!$A:$M,13,0),""))</f>
        <v/>
      </c>
      <c r="D42" s="42" t="str">
        <f t="shared" ca="1" si="3"/>
        <v/>
      </c>
      <c r="E42" s="32"/>
      <c r="F42" s="43" t="str">
        <f t="shared" si="4"/>
        <v/>
      </c>
      <c r="G42" s="30" t="s">
        <v>60</v>
      </c>
      <c r="H42" s="41"/>
      <c r="I42" s="33" t="str">
        <f>IF(A42="","",IF(H42="","⚠️ Enter Agent Code",IF(IFERROR(VLOOKUP(G42,DB_Agents!$B:$F,4,0),"")=TEXT(H42,"0"),IF(AND(A42&lt;&gt;"",E42&lt;&gt;""),"✅ Saved","Pending"),"🔒 WRONG CODE")))</f>
        <v/>
      </c>
      <c r="J42" s="33" t="str">
        <f t="shared" ca="1" si="5"/>
        <v>—</v>
      </c>
      <c r="K42" s="46"/>
    </row>
    <row r="43" spans="1:11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IF(A43="","",IFERROR(VLOOKUP(A43,DB_Customers!$A:$M,13,0),""))</f>
        <v/>
      </c>
      <c r="D43" s="42" t="str">
        <f t="shared" ca="1" si="3"/>
        <v/>
      </c>
      <c r="E43" s="32"/>
      <c r="F43" s="43" t="str">
        <f t="shared" si="4"/>
        <v/>
      </c>
      <c r="G43" s="30" t="s">
        <v>60</v>
      </c>
      <c r="H43" s="41"/>
      <c r="I43" s="33" t="str">
        <f>IF(A43="","",IF(H43="","⚠️ Enter Agent Code",IF(IFERROR(VLOOKUP(G43,DB_Agents!$B:$F,4,0),"")=TEXT(H43,"0"),IF(AND(A43&lt;&gt;"",E43&lt;&gt;""),"✅ Saved","Pending"),"🔒 WRONG CODE")))</f>
        <v/>
      </c>
      <c r="J43" s="33" t="str">
        <f t="shared" ca="1" si="5"/>
        <v>—</v>
      </c>
      <c r="K43" s="22"/>
    </row>
    <row r="44" spans="1:11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IF(A44="","",IFERROR(VLOOKUP(A44,DB_Customers!$A:$M,13,0),""))</f>
        <v/>
      </c>
      <c r="D44" s="42" t="str">
        <f t="shared" ca="1" si="3"/>
        <v/>
      </c>
      <c r="E44" s="32"/>
      <c r="F44" s="43" t="str">
        <f t="shared" si="4"/>
        <v/>
      </c>
      <c r="G44" s="30" t="s">
        <v>60</v>
      </c>
      <c r="H44" s="41"/>
      <c r="I44" s="33" t="str">
        <f>IF(A44="","",IF(H44="","⚠️ Enter Agent Code",IF(IFERROR(VLOOKUP(G44,DB_Agents!$B:$F,4,0),"")=TEXT(H44,"0"),IF(AND(A44&lt;&gt;"",E44&lt;&gt;""),"✅ Saved","Pending"),"🔒 WRONG CODE")))</f>
        <v/>
      </c>
      <c r="J44" s="33" t="str">
        <f t="shared" ca="1" si="5"/>
        <v>—</v>
      </c>
      <c r="K44" s="46"/>
    </row>
    <row r="45" spans="1:11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IF(A45="","",IFERROR(VLOOKUP(A45,DB_Customers!$A:$M,13,0),""))</f>
        <v/>
      </c>
      <c r="D45" s="42" t="str">
        <f t="shared" ca="1" si="3"/>
        <v/>
      </c>
      <c r="E45" s="32"/>
      <c r="F45" s="43" t="str">
        <f t="shared" si="4"/>
        <v/>
      </c>
      <c r="G45" s="30" t="s">
        <v>60</v>
      </c>
      <c r="H45" s="41"/>
      <c r="I45" s="33" t="str">
        <f>IF(A45="","",IF(H45="","⚠️ Enter Agent Code",IF(IFERROR(VLOOKUP(G45,DB_Agents!$B:$F,4,0),"")=TEXT(H45,"0"),IF(AND(A45&lt;&gt;"",E45&lt;&gt;""),"✅ Saved","Pending"),"🔒 WRONG CODE")))</f>
        <v/>
      </c>
      <c r="J45" s="33" t="str">
        <f t="shared" ca="1" si="5"/>
        <v>—</v>
      </c>
      <c r="K45" s="22"/>
    </row>
    <row r="46" spans="1:11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IF(A46="","",IFERROR(VLOOKUP(A46,DB_Customers!$A:$M,13,0),""))</f>
        <v/>
      </c>
      <c r="D46" s="42" t="str">
        <f t="shared" ca="1" si="3"/>
        <v/>
      </c>
      <c r="E46" s="32"/>
      <c r="F46" s="43" t="str">
        <f t="shared" si="4"/>
        <v/>
      </c>
      <c r="G46" s="30" t="s">
        <v>60</v>
      </c>
      <c r="H46" s="41"/>
      <c r="I46" s="33" t="str">
        <f>IF(A46="","",IF(H46="","⚠️ Enter Agent Code",IF(IFERROR(VLOOKUP(G46,DB_Agents!$B:$F,4,0),"")=TEXT(H46,"0"),IF(AND(A46&lt;&gt;"",E46&lt;&gt;""),"✅ Saved","Pending"),"🔒 WRONG CODE")))</f>
        <v/>
      </c>
      <c r="J46" s="33" t="str">
        <f t="shared" ca="1" si="5"/>
        <v>—</v>
      </c>
      <c r="K46" s="46"/>
    </row>
    <row r="47" spans="1:11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IF(A47="","",IFERROR(VLOOKUP(A47,DB_Customers!$A:$M,13,0),""))</f>
        <v/>
      </c>
      <c r="D47" s="42" t="str">
        <f t="shared" ca="1" si="3"/>
        <v/>
      </c>
      <c r="E47" s="32"/>
      <c r="F47" s="43" t="str">
        <f t="shared" si="4"/>
        <v/>
      </c>
      <c r="G47" s="30" t="s">
        <v>60</v>
      </c>
      <c r="H47" s="41"/>
      <c r="I47" s="33" t="str">
        <f>IF(A47="","",IF(H47="","⚠️ Enter Agent Code",IF(IFERROR(VLOOKUP(G47,DB_Agents!$B:$F,4,0),"")=TEXT(H47,"0"),IF(AND(A47&lt;&gt;"",E47&lt;&gt;""),"✅ Saved","Pending"),"🔒 WRONG CODE")))</f>
        <v/>
      </c>
      <c r="J47" s="33" t="str">
        <f t="shared" ca="1" si="5"/>
        <v>—</v>
      </c>
      <c r="K47" s="22"/>
    </row>
    <row r="48" spans="1:11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IF(A48="","",IFERROR(VLOOKUP(A48,DB_Customers!$A:$M,13,0),""))</f>
        <v/>
      </c>
      <c r="D48" s="42" t="str">
        <f t="shared" ca="1" si="3"/>
        <v/>
      </c>
      <c r="E48" s="32"/>
      <c r="F48" s="43" t="str">
        <f t="shared" si="4"/>
        <v/>
      </c>
      <c r="G48" s="30" t="s">
        <v>60</v>
      </c>
      <c r="H48" s="41"/>
      <c r="I48" s="33" t="str">
        <f>IF(A48="","",IF(H48="","⚠️ Enter Agent Code",IF(IFERROR(VLOOKUP(G48,DB_Agents!$B:$F,4,0),"")=TEXT(H48,"0"),IF(AND(A48&lt;&gt;"",E48&lt;&gt;""),"✅ Saved","Pending"),"🔒 WRONG CODE")))</f>
        <v/>
      </c>
      <c r="J48" s="33" t="str">
        <f t="shared" ca="1" si="5"/>
        <v>—</v>
      </c>
      <c r="K48" s="46"/>
    </row>
    <row r="49" spans="1:11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IF(A49="","",IFERROR(VLOOKUP(A49,DB_Customers!$A:$M,13,0),""))</f>
        <v/>
      </c>
      <c r="D49" s="42" t="str">
        <f t="shared" ca="1" si="3"/>
        <v/>
      </c>
      <c r="E49" s="32"/>
      <c r="F49" s="43" t="str">
        <f t="shared" si="4"/>
        <v/>
      </c>
      <c r="G49" s="30" t="s">
        <v>60</v>
      </c>
      <c r="H49" s="41"/>
      <c r="I49" s="33" t="str">
        <f>IF(A49="","",IF(H49="","⚠️ Enter Agent Code",IF(IFERROR(VLOOKUP(G49,DB_Agents!$B:$F,4,0),"")=TEXT(H49,"0"),IF(AND(A49&lt;&gt;"",E49&lt;&gt;""),"✅ Saved","Pending"),"🔒 WRONG CODE")))</f>
        <v/>
      </c>
      <c r="J49" s="33" t="str">
        <f t="shared" ca="1" si="5"/>
        <v>—</v>
      </c>
      <c r="K49" s="22"/>
    </row>
    <row r="50" spans="1:11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IF(A50="","",IFERROR(VLOOKUP(A50,DB_Customers!$A:$M,13,0),""))</f>
        <v/>
      </c>
      <c r="D50" s="42" t="str">
        <f t="shared" ca="1" si="3"/>
        <v/>
      </c>
      <c r="E50" s="32"/>
      <c r="F50" s="43" t="str">
        <f t="shared" si="4"/>
        <v/>
      </c>
      <c r="G50" s="30" t="s">
        <v>60</v>
      </c>
      <c r="H50" s="41"/>
      <c r="I50" s="33" t="str">
        <f>IF(A50="","",IF(H50="","⚠️ Enter Agent Code",IF(IFERROR(VLOOKUP(G50,DB_Agents!$B:$F,4,0),"")=TEXT(H50,"0"),IF(AND(A50&lt;&gt;"",E50&lt;&gt;""),"✅ Saved","Pending"),"🔒 WRONG CODE")))</f>
        <v/>
      </c>
      <c r="J50" s="33" t="str">
        <f t="shared" ca="1" si="5"/>
        <v>—</v>
      </c>
      <c r="K50" s="46"/>
    </row>
    <row r="51" spans="1:11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IF(A51="","",IFERROR(VLOOKUP(A51,DB_Customers!$A:$M,13,0),""))</f>
        <v/>
      </c>
      <c r="D51" s="42" t="str">
        <f t="shared" ca="1" si="3"/>
        <v/>
      </c>
      <c r="E51" s="32"/>
      <c r="F51" s="43" t="str">
        <f t="shared" si="4"/>
        <v/>
      </c>
      <c r="G51" s="30" t="s">
        <v>60</v>
      </c>
      <c r="H51" s="41"/>
      <c r="I51" s="33" t="str">
        <f>IF(A51="","",IF(H51="","⚠️ Enter Agent Code",IF(IFERROR(VLOOKUP(G51,DB_Agents!$B:$F,4,0),"")=TEXT(H51,"0"),IF(AND(A51&lt;&gt;"",E51&lt;&gt;""),"✅ Saved","Pending"),"🔒 WRONG CODE")))</f>
        <v/>
      </c>
      <c r="J51" s="33" t="str">
        <f t="shared" ca="1" si="5"/>
        <v>—</v>
      </c>
      <c r="K51" s="22"/>
    </row>
    <row r="52" spans="1:11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IF(A52="","",IFERROR(VLOOKUP(A52,DB_Customers!$A:$M,13,0),""))</f>
        <v/>
      </c>
      <c r="D52" s="42" t="str">
        <f t="shared" ca="1" si="3"/>
        <v/>
      </c>
      <c r="E52" s="32"/>
      <c r="F52" s="43" t="str">
        <f t="shared" si="4"/>
        <v/>
      </c>
      <c r="G52" s="30" t="s">
        <v>60</v>
      </c>
      <c r="H52" s="41"/>
      <c r="I52" s="33" t="str">
        <f>IF(A52="","",IF(H52="","⚠️ Enter Agent Code",IF(IFERROR(VLOOKUP(G52,DB_Agents!$B:$F,4,0),"")=TEXT(H52,"0"),IF(AND(A52&lt;&gt;"",E52&lt;&gt;""),"✅ Saved","Pending"),"🔒 WRONG CODE")))</f>
        <v/>
      </c>
      <c r="J52" s="33" t="str">
        <f t="shared" ca="1" si="5"/>
        <v>—</v>
      </c>
      <c r="K52" s="46"/>
    </row>
    <row r="53" spans="1:11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IF(A53="","",IFERROR(VLOOKUP(A53,DB_Customers!$A:$M,13,0),""))</f>
        <v/>
      </c>
      <c r="D53" s="42" t="str">
        <f t="shared" ca="1" si="3"/>
        <v/>
      </c>
      <c r="E53" s="32"/>
      <c r="F53" s="43" t="str">
        <f t="shared" si="4"/>
        <v/>
      </c>
      <c r="G53" s="30" t="s">
        <v>60</v>
      </c>
      <c r="H53" s="41"/>
      <c r="I53" s="33" t="str">
        <f>IF(A53="","",IF(H53="","⚠️ Enter Agent Code",IF(IFERROR(VLOOKUP(G53,DB_Agents!$B:$F,4,0),"")=TEXT(H53,"0"),IF(AND(A53&lt;&gt;"",E53&lt;&gt;""),"✅ Saved","Pending"),"🔒 WRONG CODE")))</f>
        <v/>
      </c>
      <c r="J53" s="33" t="str">
        <f t="shared" ca="1" si="5"/>
        <v>—</v>
      </c>
      <c r="K53" s="22"/>
    </row>
    <row r="54" spans="1:11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IF(A54="","",IFERROR(VLOOKUP(A54,DB_Customers!$A:$M,13,0),""))</f>
        <v/>
      </c>
      <c r="D54" s="42" t="str">
        <f t="shared" ca="1" si="3"/>
        <v/>
      </c>
      <c r="E54" s="32"/>
      <c r="F54" s="43" t="str">
        <f t="shared" si="4"/>
        <v/>
      </c>
      <c r="G54" s="30" t="s">
        <v>60</v>
      </c>
      <c r="H54" s="41"/>
      <c r="I54" s="33" t="str">
        <f>IF(A54="","",IF(H54="","⚠️ Enter Agent Code",IF(IFERROR(VLOOKUP(G54,DB_Agents!$B:$F,4,0),"")=TEXT(H54,"0"),IF(AND(A54&lt;&gt;"",E54&lt;&gt;""),"✅ Saved","Pending"),"🔒 WRONG CODE")))</f>
        <v/>
      </c>
      <c r="J54" s="33" t="str">
        <f t="shared" ca="1" si="5"/>
        <v>—</v>
      </c>
      <c r="K54" s="46"/>
    </row>
    <row r="55" spans="1:11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IF(A55="","",IFERROR(VLOOKUP(A55,DB_Customers!$A:$M,13,0),""))</f>
        <v/>
      </c>
      <c r="D55" s="42" t="str">
        <f t="shared" ca="1" si="3"/>
        <v/>
      </c>
      <c r="E55" s="32"/>
      <c r="F55" s="43" t="str">
        <f t="shared" si="4"/>
        <v/>
      </c>
      <c r="G55" s="30" t="s">
        <v>60</v>
      </c>
      <c r="H55" s="41"/>
      <c r="I55" s="33" t="str">
        <f>IF(A55="","",IF(H55="","⚠️ Enter Agent Code",IF(IFERROR(VLOOKUP(G55,DB_Agents!$B:$F,4,0),"")=TEXT(H55,"0"),IF(AND(A55&lt;&gt;"",E55&lt;&gt;""),"✅ Saved","Pending"),"🔒 WRONG CODE")))</f>
        <v/>
      </c>
      <c r="J55" s="33" t="str">
        <f t="shared" ca="1" si="5"/>
        <v>—</v>
      </c>
      <c r="K55" s="22"/>
    </row>
    <row r="56" spans="1:11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IF(A56="","",IFERROR(VLOOKUP(A56,DB_Customers!$A:$M,13,0),""))</f>
        <v/>
      </c>
      <c r="D56" s="42" t="str">
        <f t="shared" ca="1" si="3"/>
        <v/>
      </c>
      <c r="E56" s="32"/>
      <c r="F56" s="43" t="str">
        <f t="shared" si="4"/>
        <v/>
      </c>
      <c r="G56" s="30" t="s">
        <v>60</v>
      </c>
      <c r="H56" s="41"/>
      <c r="I56" s="33" t="str">
        <f>IF(A56="","",IF(H56="","⚠️ Enter Agent Code",IF(IFERROR(VLOOKUP(G56,DB_Agents!$B:$F,4,0),"")=TEXT(H56,"0"),IF(AND(A56&lt;&gt;"",E56&lt;&gt;""),"✅ Saved","Pending"),"🔒 WRONG CODE")))</f>
        <v/>
      </c>
      <c r="J56" s="33" t="str">
        <f t="shared" ca="1" si="5"/>
        <v>—</v>
      </c>
      <c r="K56" s="46"/>
    </row>
    <row r="57" spans="1:11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IF(A57="","",IFERROR(VLOOKUP(A57,DB_Customers!$A:$M,13,0),""))</f>
        <v/>
      </c>
      <c r="D57" s="42" t="str">
        <f t="shared" ca="1" si="3"/>
        <v/>
      </c>
      <c r="E57" s="32"/>
      <c r="F57" s="43" t="str">
        <f t="shared" si="4"/>
        <v/>
      </c>
      <c r="G57" s="30" t="s">
        <v>60</v>
      </c>
      <c r="H57" s="41"/>
      <c r="I57" s="33" t="str">
        <f>IF(A57="","",IF(H57="","⚠️ Enter Agent Code",IF(IFERROR(VLOOKUP(G57,DB_Agents!$B:$F,4,0),"")=TEXT(H57,"0"),IF(AND(A57&lt;&gt;"",E57&lt;&gt;""),"✅ Saved","Pending"),"🔒 WRONG CODE")))</f>
        <v/>
      </c>
      <c r="J57" s="33" t="str">
        <f t="shared" ca="1" si="5"/>
        <v>—</v>
      </c>
      <c r="K57" s="22"/>
    </row>
    <row r="58" spans="1:11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IF(A58="","",IFERROR(VLOOKUP(A58,DB_Customers!$A:$M,13,0),""))</f>
        <v/>
      </c>
      <c r="D58" s="42" t="str">
        <f t="shared" ca="1" si="3"/>
        <v/>
      </c>
      <c r="E58" s="32"/>
      <c r="F58" s="43" t="str">
        <f t="shared" si="4"/>
        <v/>
      </c>
      <c r="G58" s="30" t="s">
        <v>60</v>
      </c>
      <c r="H58" s="41"/>
      <c r="I58" s="33" t="str">
        <f>IF(A58="","",IF(H58="","⚠️ Enter Agent Code",IF(IFERROR(VLOOKUP(G58,DB_Agents!$B:$F,4,0),"")=TEXT(H58,"0"),IF(AND(A58&lt;&gt;"",E58&lt;&gt;""),"✅ Saved","Pending"),"🔒 WRONG CODE")))</f>
        <v/>
      </c>
      <c r="J58" s="33" t="str">
        <f t="shared" ca="1" si="5"/>
        <v>—</v>
      </c>
      <c r="K58" s="46"/>
    </row>
    <row r="59" spans="1:11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IF(A59="","",IFERROR(VLOOKUP(A59,DB_Customers!$A:$M,13,0),""))</f>
        <v/>
      </c>
      <c r="D59" s="42" t="str">
        <f t="shared" ca="1" si="3"/>
        <v/>
      </c>
      <c r="E59" s="32"/>
      <c r="F59" s="43" t="str">
        <f t="shared" si="4"/>
        <v/>
      </c>
      <c r="G59" s="30" t="s">
        <v>60</v>
      </c>
      <c r="H59" s="41"/>
      <c r="I59" s="33" t="str">
        <f>IF(A59="","",IF(H59="","⚠️ Enter Agent Code",IF(IFERROR(VLOOKUP(G59,DB_Agents!$B:$F,4,0),"")=TEXT(H59,"0"),IF(AND(A59&lt;&gt;"",E59&lt;&gt;""),"✅ Saved","Pending"),"🔒 WRONG CODE")))</f>
        <v/>
      </c>
      <c r="J59" s="33" t="str">
        <f t="shared" ca="1" si="5"/>
        <v>—</v>
      </c>
      <c r="K59" s="22"/>
    </row>
    <row r="60" spans="1:11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IF(A60="","",IFERROR(VLOOKUP(A60,DB_Customers!$A:$M,13,0),""))</f>
        <v/>
      </c>
      <c r="D60" s="42" t="str">
        <f t="shared" ca="1" si="3"/>
        <v/>
      </c>
      <c r="E60" s="32"/>
      <c r="F60" s="43" t="str">
        <f t="shared" si="4"/>
        <v/>
      </c>
      <c r="G60" s="30" t="s">
        <v>60</v>
      </c>
      <c r="H60" s="41"/>
      <c r="I60" s="33" t="str">
        <f>IF(A60="","",IF(H60="","⚠️ Enter Agent Code",IF(IFERROR(VLOOKUP(G60,DB_Agents!$B:$F,4,0),"")=TEXT(H60,"0"),IF(AND(A60&lt;&gt;"",E60&lt;&gt;""),"✅ Saved","Pending"),"🔒 WRONG CODE")))</f>
        <v/>
      </c>
      <c r="J60" s="33" t="str">
        <f t="shared" ca="1" si="5"/>
        <v>—</v>
      </c>
      <c r="K60" s="46"/>
    </row>
    <row r="61" spans="1:11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IF(A61="","",IFERROR(VLOOKUP(A61,DB_Customers!$A:$M,13,0),""))</f>
        <v/>
      </c>
      <c r="D61" s="42" t="str">
        <f t="shared" ca="1" si="3"/>
        <v/>
      </c>
      <c r="E61" s="32"/>
      <c r="F61" s="43" t="str">
        <f t="shared" si="4"/>
        <v/>
      </c>
      <c r="G61" s="30" t="s">
        <v>60</v>
      </c>
      <c r="H61" s="41"/>
      <c r="I61" s="33" t="str">
        <f>IF(A61="","",IF(H61="","⚠️ Enter Agent Code",IF(IFERROR(VLOOKUP(G61,DB_Agents!$B:$F,4,0),"")=TEXT(H61,"0"),IF(AND(A61&lt;&gt;"",E61&lt;&gt;""),"✅ Saved","Pending"),"🔒 WRONG CODE")))</f>
        <v/>
      </c>
      <c r="J61" s="33" t="str">
        <f t="shared" ca="1" si="5"/>
        <v>—</v>
      </c>
      <c r="K61" s="22"/>
    </row>
    <row r="62" spans="1:11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IF(A62="","",IFERROR(VLOOKUP(A62,DB_Customers!$A:$M,13,0),""))</f>
        <v/>
      </c>
      <c r="D62" s="42" t="str">
        <f t="shared" ca="1" si="3"/>
        <v/>
      </c>
      <c r="E62" s="32"/>
      <c r="F62" s="43" t="str">
        <f t="shared" si="4"/>
        <v/>
      </c>
      <c r="G62" s="30" t="s">
        <v>60</v>
      </c>
      <c r="H62" s="41"/>
      <c r="I62" s="33" t="str">
        <f>IF(A62="","",IF(H62="","⚠️ Enter Agent Code",IF(IFERROR(VLOOKUP(G62,DB_Agents!$B:$F,4,0),"")=TEXT(H62,"0"),IF(AND(A62&lt;&gt;"",E62&lt;&gt;""),"✅ Saved","Pending"),"🔒 WRONG CODE")))</f>
        <v/>
      </c>
      <c r="J62" s="33" t="str">
        <f t="shared" ca="1" si="5"/>
        <v>—</v>
      </c>
      <c r="K62" s="46"/>
    </row>
    <row r="63" spans="1:11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IF(A63="","",IFERROR(VLOOKUP(A63,DB_Customers!$A:$M,13,0),""))</f>
        <v/>
      </c>
      <c r="D63" s="42" t="str">
        <f t="shared" ca="1" si="3"/>
        <v/>
      </c>
      <c r="E63" s="32"/>
      <c r="F63" s="43" t="str">
        <f t="shared" si="4"/>
        <v/>
      </c>
      <c r="G63" s="30" t="s">
        <v>60</v>
      </c>
      <c r="H63" s="41"/>
      <c r="I63" s="33" t="str">
        <f>IF(A63="","",IF(H63="","⚠️ Enter Agent Code",IF(IFERROR(VLOOKUP(G63,DB_Agents!$B:$F,4,0),"")=TEXT(H63,"0"),IF(AND(A63&lt;&gt;"",E63&lt;&gt;""),"✅ Saved","Pending"),"🔒 WRONG CODE")))</f>
        <v/>
      </c>
      <c r="J63" s="33" t="str">
        <f t="shared" ca="1" si="5"/>
        <v>—</v>
      </c>
      <c r="K63" s="22"/>
    </row>
    <row r="64" spans="1:11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IF(A64="","",IFERROR(VLOOKUP(A64,DB_Customers!$A:$M,13,0),""))</f>
        <v/>
      </c>
      <c r="D64" s="42" t="str">
        <f t="shared" ca="1" si="3"/>
        <v/>
      </c>
      <c r="E64" s="32"/>
      <c r="F64" s="43" t="str">
        <f t="shared" si="4"/>
        <v/>
      </c>
      <c r="G64" s="30" t="s">
        <v>60</v>
      </c>
      <c r="H64" s="41"/>
      <c r="I64" s="33" t="str">
        <f>IF(A64="","",IF(H64="","⚠️ Enter Agent Code",IF(IFERROR(VLOOKUP(G64,DB_Agents!$B:$F,4,0),"")=TEXT(H64,"0"),IF(AND(A64&lt;&gt;"",E64&lt;&gt;""),"✅ Saved","Pending"),"🔒 WRONG CODE")))</f>
        <v/>
      </c>
      <c r="J64" s="33" t="str">
        <f t="shared" ca="1" si="5"/>
        <v>—</v>
      </c>
      <c r="K64" s="46"/>
    </row>
    <row r="65" spans="1:11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IF(A65="","",IFERROR(VLOOKUP(A65,DB_Customers!$A:$M,13,0),""))</f>
        <v/>
      </c>
      <c r="D65" s="42" t="str">
        <f t="shared" ca="1" si="3"/>
        <v/>
      </c>
      <c r="E65" s="32"/>
      <c r="F65" s="43" t="str">
        <f t="shared" si="4"/>
        <v/>
      </c>
      <c r="G65" s="30" t="s">
        <v>60</v>
      </c>
      <c r="H65" s="41"/>
      <c r="I65" s="33" t="str">
        <f>IF(A65="","",IF(H65="","⚠️ Enter Agent Code",IF(IFERROR(VLOOKUP(G65,DB_Agents!$B:$F,4,0),"")=TEXT(H65,"0"),IF(AND(A65&lt;&gt;"",E65&lt;&gt;""),"✅ Saved","Pending"),"🔒 WRONG CODE")))</f>
        <v/>
      </c>
      <c r="J65" s="33" t="str">
        <f t="shared" ca="1" si="5"/>
        <v>—</v>
      </c>
      <c r="K65" s="22"/>
    </row>
    <row r="66" spans="1:11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IF(A66="","",IFERROR(VLOOKUP(A66,DB_Customers!$A:$M,13,0),""))</f>
        <v/>
      </c>
      <c r="D66" s="42" t="str">
        <f t="shared" ca="1" si="3"/>
        <v/>
      </c>
      <c r="E66" s="32"/>
      <c r="F66" s="43" t="str">
        <f t="shared" si="4"/>
        <v/>
      </c>
      <c r="G66" s="30" t="s">
        <v>60</v>
      </c>
      <c r="H66" s="41"/>
      <c r="I66" s="33" t="str">
        <f>IF(A66="","",IF(H66="","⚠️ Enter Agent Code",IF(IFERROR(VLOOKUP(G66,DB_Agents!$B:$F,4,0),"")=TEXT(H66,"0"),IF(AND(A66&lt;&gt;"",E66&lt;&gt;""),"✅ Saved","Pending"),"🔒 WRONG CODE")))</f>
        <v/>
      </c>
      <c r="J66" s="33" t="str">
        <f t="shared" ca="1" si="5"/>
        <v>—</v>
      </c>
      <c r="K66" s="46"/>
    </row>
    <row r="67" spans="1:11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IF(A67="","",IFERROR(VLOOKUP(A67,DB_Customers!$A:$M,13,0),""))</f>
        <v/>
      </c>
      <c r="D67" s="42" t="str">
        <f t="shared" ca="1" si="3"/>
        <v/>
      </c>
      <c r="E67" s="32"/>
      <c r="F67" s="43" t="str">
        <f t="shared" si="4"/>
        <v/>
      </c>
      <c r="G67" s="30" t="s">
        <v>60</v>
      </c>
      <c r="H67" s="41"/>
      <c r="I67" s="33" t="str">
        <f>IF(A67="","",IF(H67="","⚠️ Enter Agent Code",IF(IFERROR(VLOOKUP(G67,DB_Agents!$B:$F,4,0),"")=TEXT(H67,"0"),IF(AND(A67&lt;&gt;"",E67&lt;&gt;""),"✅ Saved","Pending"),"🔒 WRONG CODE")))</f>
        <v/>
      </c>
      <c r="J67" s="33" t="str">
        <f t="shared" ca="1" si="5"/>
        <v>—</v>
      </c>
      <c r="K67" s="22"/>
    </row>
    <row r="68" spans="1:11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IF(A68="","",IFERROR(VLOOKUP(A68,DB_Customers!$A:$M,13,0),""))</f>
        <v/>
      </c>
      <c r="D68" s="42" t="str">
        <f t="shared" ca="1" si="3"/>
        <v/>
      </c>
      <c r="E68" s="32"/>
      <c r="F68" s="43" t="str">
        <f t="shared" si="4"/>
        <v/>
      </c>
      <c r="G68" s="30" t="s">
        <v>60</v>
      </c>
      <c r="H68" s="41"/>
      <c r="I68" s="33" t="str">
        <f>IF(A68="","",IF(H68="","⚠️ Enter Agent Code",IF(IFERROR(VLOOKUP(G68,DB_Agents!$B:$F,4,0),"")=TEXT(H68,"0"),IF(AND(A68&lt;&gt;"",E68&lt;&gt;""),"✅ Saved","Pending"),"🔒 WRONG CODE")))</f>
        <v/>
      </c>
      <c r="J68" s="33" t="str">
        <f t="shared" ca="1" si="5"/>
        <v>—</v>
      </c>
      <c r="K68" s="46"/>
    </row>
    <row r="69" spans="1:11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IF(A69="","",IFERROR(VLOOKUP(A69,DB_Customers!$A:$M,13,0),""))</f>
        <v/>
      </c>
      <c r="D69" s="42" t="str">
        <f t="shared" ca="1" si="3"/>
        <v/>
      </c>
      <c r="E69" s="32"/>
      <c r="F69" s="43" t="str">
        <f t="shared" si="4"/>
        <v/>
      </c>
      <c r="G69" s="30" t="s">
        <v>60</v>
      </c>
      <c r="H69" s="41"/>
      <c r="I69" s="33" t="str">
        <f>IF(A69="","",IF(H69="","⚠️ Enter Agent Code",IF(IFERROR(VLOOKUP(G69,DB_Agents!$B:$F,4,0),"")=TEXT(H69,"0"),IF(AND(A69&lt;&gt;"",E69&lt;&gt;""),"✅ Saved","Pending"),"🔒 WRONG CODE")))</f>
        <v/>
      </c>
      <c r="J69" s="33" t="str">
        <f t="shared" ca="1" si="5"/>
        <v>—</v>
      </c>
      <c r="K69" s="22"/>
    </row>
    <row r="70" spans="1:11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IF(A70="","",IFERROR(VLOOKUP(A70,DB_Customers!$A:$M,13,0),""))</f>
        <v/>
      </c>
      <c r="D70" s="42" t="str">
        <f t="shared" ca="1" si="3"/>
        <v/>
      </c>
      <c r="E70" s="32"/>
      <c r="F70" s="43" t="str">
        <f t="shared" si="4"/>
        <v/>
      </c>
      <c r="G70" s="30" t="s">
        <v>60</v>
      </c>
      <c r="H70" s="41"/>
      <c r="I70" s="33" t="str">
        <f>IF(A70="","",IF(H70="","⚠️ Enter Agent Code",IF(IFERROR(VLOOKUP(G70,DB_Agents!$B:$F,4,0),"")=TEXT(H70,"0"),IF(AND(A70&lt;&gt;"",E70&lt;&gt;""),"✅ Saved","Pending"),"🔒 WRONG CODE")))</f>
        <v/>
      </c>
      <c r="J70" s="33" t="str">
        <f t="shared" ca="1" si="5"/>
        <v>—</v>
      </c>
      <c r="K70" s="46"/>
    </row>
    <row r="71" spans="1:11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IF(A71="","",IFERROR(VLOOKUP(A71,DB_Customers!$A:$M,13,0),""))</f>
        <v/>
      </c>
      <c r="D71" s="42" t="str">
        <f t="shared" ca="1" si="3"/>
        <v/>
      </c>
      <c r="E71" s="32"/>
      <c r="F71" s="43" t="str">
        <f t="shared" si="4"/>
        <v/>
      </c>
      <c r="G71" s="30" t="s">
        <v>60</v>
      </c>
      <c r="H71" s="41"/>
      <c r="I71" s="33" t="str">
        <f>IF(A71="","",IF(H71="","⚠️ Enter Agent Code",IF(IFERROR(VLOOKUP(G71,DB_Agents!$B:$F,4,0),"")=TEXT(H71,"0"),IF(AND(A71&lt;&gt;"",E71&lt;&gt;""),"✅ Saved","Pending"),"🔒 WRONG CODE")))</f>
        <v/>
      </c>
      <c r="J71" s="33" t="str">
        <f t="shared" ca="1" si="5"/>
        <v>—</v>
      </c>
      <c r="K71" s="22"/>
    </row>
    <row r="72" spans="1:11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IF(A72="","",IFERROR(VLOOKUP(A72,DB_Customers!$A:$M,13,0),""))</f>
        <v/>
      </c>
      <c r="D72" s="42" t="str">
        <f t="shared" ca="1" si="3"/>
        <v/>
      </c>
      <c r="E72" s="32"/>
      <c r="F72" s="43" t="str">
        <f t="shared" si="4"/>
        <v/>
      </c>
      <c r="G72" s="30" t="s">
        <v>60</v>
      </c>
      <c r="H72" s="41"/>
      <c r="I72" s="33" t="str">
        <f>IF(A72="","",IF(H72="","⚠️ Enter Agent Code",IF(IFERROR(VLOOKUP(G72,DB_Agents!$B:$F,4,0),"")=TEXT(H72,"0"),IF(AND(A72&lt;&gt;"",E72&lt;&gt;""),"✅ Saved","Pending"),"🔒 WRONG CODE")))</f>
        <v/>
      </c>
      <c r="J72" s="33" t="str">
        <f t="shared" ca="1" si="5"/>
        <v>—</v>
      </c>
      <c r="K72" s="46"/>
    </row>
    <row r="73" spans="1:11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IF(A73="","",IFERROR(VLOOKUP(A73,DB_Customers!$A:$M,13,0),""))</f>
        <v/>
      </c>
      <c r="D73" s="42" t="str">
        <f t="shared" ref="D73:D104" ca="1" si="6">IF(A73="","",TODAY())</f>
        <v/>
      </c>
      <c r="E73" s="32"/>
      <c r="F73" s="43" t="str">
        <f t="shared" ref="F73:F104" si="7">IFERROR(IF(OR(A73="",E73=""),"",C73+E73),"")</f>
        <v/>
      </c>
      <c r="G73" s="30" t="s">
        <v>60</v>
      </c>
      <c r="H73" s="41"/>
      <c r="I73" s="33" t="str">
        <f>IF(A73="","",IF(H73="","⚠️ Enter Agent Code",IF(IFERROR(VLOOKUP(G73,DB_Agents!$B:$F,4,0),"")=TEXT(H73,"0"),IF(AND(A73&lt;&gt;"",E73&lt;&gt;""),"✅ Saved","Pending"),"🔒 WRONG CODE")))</f>
        <v/>
      </c>
      <c r="J73" s="33" t="str">
        <f t="shared" ref="J73:J104" ca="1" si="8">IF(I73="✅ Saved",TEXT(TODAY(),"YYYY-MM-DD")&amp;" Auto","—")</f>
        <v>—</v>
      </c>
      <c r="K73" s="22"/>
    </row>
    <row r="74" spans="1:11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IF(A74="","",IFERROR(VLOOKUP(A74,DB_Customers!$A:$M,13,0),""))</f>
        <v/>
      </c>
      <c r="D74" s="42" t="str">
        <f t="shared" ca="1" si="6"/>
        <v/>
      </c>
      <c r="E74" s="32"/>
      <c r="F74" s="43" t="str">
        <f t="shared" si="7"/>
        <v/>
      </c>
      <c r="G74" s="30" t="s">
        <v>60</v>
      </c>
      <c r="H74" s="41"/>
      <c r="I74" s="33" t="str">
        <f>IF(A74="","",IF(H74="","⚠️ Enter Agent Code",IF(IFERROR(VLOOKUP(G74,DB_Agents!$B:$F,4,0),"")=TEXT(H74,"0"),IF(AND(A74&lt;&gt;"",E74&lt;&gt;""),"✅ Saved","Pending"),"🔒 WRONG CODE")))</f>
        <v/>
      </c>
      <c r="J74" s="33" t="str">
        <f t="shared" ca="1" si="8"/>
        <v>—</v>
      </c>
      <c r="K74" s="46"/>
    </row>
    <row r="75" spans="1:11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IF(A75="","",IFERROR(VLOOKUP(A75,DB_Customers!$A:$M,13,0),""))</f>
        <v/>
      </c>
      <c r="D75" s="42" t="str">
        <f t="shared" ca="1" si="6"/>
        <v/>
      </c>
      <c r="E75" s="32"/>
      <c r="F75" s="43" t="str">
        <f t="shared" si="7"/>
        <v/>
      </c>
      <c r="G75" s="30" t="s">
        <v>60</v>
      </c>
      <c r="H75" s="41"/>
      <c r="I75" s="33" t="str">
        <f>IF(A75="","",IF(H75="","⚠️ Enter Agent Code",IF(IFERROR(VLOOKUP(G75,DB_Agents!$B:$F,4,0),"")=TEXT(H75,"0"),IF(AND(A75&lt;&gt;"",E75&lt;&gt;""),"✅ Saved","Pending"),"🔒 WRONG CODE")))</f>
        <v/>
      </c>
      <c r="J75" s="33" t="str">
        <f t="shared" ca="1" si="8"/>
        <v>—</v>
      </c>
      <c r="K75" s="22"/>
    </row>
    <row r="76" spans="1:11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IF(A76="","",IFERROR(VLOOKUP(A76,DB_Customers!$A:$M,13,0),""))</f>
        <v/>
      </c>
      <c r="D76" s="42" t="str">
        <f t="shared" ca="1" si="6"/>
        <v/>
      </c>
      <c r="E76" s="32"/>
      <c r="F76" s="43" t="str">
        <f t="shared" si="7"/>
        <v/>
      </c>
      <c r="G76" s="30" t="s">
        <v>60</v>
      </c>
      <c r="H76" s="41"/>
      <c r="I76" s="33" t="str">
        <f>IF(A76="","",IF(H76="","⚠️ Enter Agent Code",IF(IFERROR(VLOOKUP(G76,DB_Agents!$B:$F,4,0),"")=TEXT(H76,"0"),IF(AND(A76&lt;&gt;"",E76&lt;&gt;""),"✅ Saved","Pending"),"🔒 WRONG CODE")))</f>
        <v/>
      </c>
      <c r="J76" s="33" t="str">
        <f t="shared" ca="1" si="8"/>
        <v>—</v>
      </c>
      <c r="K76" s="46"/>
    </row>
    <row r="77" spans="1:11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IF(A77="","",IFERROR(VLOOKUP(A77,DB_Customers!$A:$M,13,0),""))</f>
        <v/>
      </c>
      <c r="D77" s="42" t="str">
        <f t="shared" ca="1" si="6"/>
        <v/>
      </c>
      <c r="E77" s="32"/>
      <c r="F77" s="43" t="str">
        <f t="shared" si="7"/>
        <v/>
      </c>
      <c r="G77" s="30" t="s">
        <v>60</v>
      </c>
      <c r="H77" s="41"/>
      <c r="I77" s="33" t="str">
        <f>IF(A77="","",IF(H77="","⚠️ Enter Agent Code",IF(IFERROR(VLOOKUP(G77,DB_Agents!$B:$F,4,0),"")=TEXT(H77,"0"),IF(AND(A77&lt;&gt;"",E77&lt;&gt;""),"✅ Saved","Pending"),"🔒 WRONG CODE")))</f>
        <v/>
      </c>
      <c r="J77" s="33" t="str">
        <f t="shared" ca="1" si="8"/>
        <v>—</v>
      </c>
      <c r="K77" s="22"/>
    </row>
    <row r="78" spans="1:11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IF(A78="","",IFERROR(VLOOKUP(A78,DB_Customers!$A:$M,13,0),""))</f>
        <v/>
      </c>
      <c r="D78" s="42" t="str">
        <f t="shared" ca="1" si="6"/>
        <v/>
      </c>
      <c r="E78" s="32"/>
      <c r="F78" s="43" t="str">
        <f t="shared" si="7"/>
        <v/>
      </c>
      <c r="G78" s="30" t="s">
        <v>60</v>
      </c>
      <c r="H78" s="41"/>
      <c r="I78" s="33" t="str">
        <f>IF(A78="","",IF(H78="","⚠️ Enter Agent Code",IF(IFERROR(VLOOKUP(G78,DB_Agents!$B:$F,4,0),"")=TEXT(H78,"0"),IF(AND(A78&lt;&gt;"",E78&lt;&gt;""),"✅ Saved","Pending"),"🔒 WRONG CODE")))</f>
        <v/>
      </c>
      <c r="J78" s="33" t="str">
        <f t="shared" ca="1" si="8"/>
        <v>—</v>
      </c>
      <c r="K78" s="46"/>
    </row>
    <row r="79" spans="1:11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IF(A79="","",IFERROR(VLOOKUP(A79,DB_Customers!$A:$M,13,0),""))</f>
        <v/>
      </c>
      <c r="D79" s="42" t="str">
        <f t="shared" ca="1" si="6"/>
        <v/>
      </c>
      <c r="E79" s="32"/>
      <c r="F79" s="43" t="str">
        <f t="shared" si="7"/>
        <v/>
      </c>
      <c r="G79" s="30" t="s">
        <v>60</v>
      </c>
      <c r="H79" s="41"/>
      <c r="I79" s="33" t="str">
        <f>IF(A79="","",IF(H79="","⚠️ Enter Agent Code",IF(IFERROR(VLOOKUP(G79,DB_Agents!$B:$F,4,0),"")=TEXT(H79,"0"),IF(AND(A79&lt;&gt;"",E79&lt;&gt;""),"✅ Saved","Pending"),"🔒 WRONG CODE")))</f>
        <v/>
      </c>
      <c r="J79" s="33" t="str">
        <f t="shared" ca="1" si="8"/>
        <v>—</v>
      </c>
      <c r="K79" s="22"/>
    </row>
    <row r="80" spans="1:11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IF(A80="","",IFERROR(VLOOKUP(A80,DB_Customers!$A:$M,13,0),""))</f>
        <v/>
      </c>
      <c r="D80" s="42" t="str">
        <f t="shared" ca="1" si="6"/>
        <v/>
      </c>
      <c r="E80" s="32"/>
      <c r="F80" s="43" t="str">
        <f t="shared" si="7"/>
        <v/>
      </c>
      <c r="G80" s="30" t="s">
        <v>60</v>
      </c>
      <c r="H80" s="41"/>
      <c r="I80" s="33" t="str">
        <f>IF(A80="","",IF(H80="","⚠️ Enter Agent Code",IF(IFERROR(VLOOKUP(G80,DB_Agents!$B:$F,4,0),"")=TEXT(H80,"0"),IF(AND(A80&lt;&gt;"",E80&lt;&gt;""),"✅ Saved","Pending"),"🔒 WRONG CODE")))</f>
        <v/>
      </c>
      <c r="J80" s="33" t="str">
        <f t="shared" ca="1" si="8"/>
        <v>—</v>
      </c>
      <c r="K80" s="46"/>
    </row>
    <row r="81" spans="1:11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IF(A81="","",IFERROR(VLOOKUP(A81,DB_Customers!$A:$M,13,0),""))</f>
        <v/>
      </c>
      <c r="D81" s="42" t="str">
        <f t="shared" ca="1" si="6"/>
        <v/>
      </c>
      <c r="E81" s="32"/>
      <c r="F81" s="43" t="str">
        <f t="shared" si="7"/>
        <v/>
      </c>
      <c r="G81" s="30" t="s">
        <v>60</v>
      </c>
      <c r="H81" s="41"/>
      <c r="I81" s="33" t="str">
        <f>IF(A81="","",IF(H81="","⚠️ Enter Agent Code",IF(IFERROR(VLOOKUP(G81,DB_Agents!$B:$F,4,0),"")=TEXT(H81,"0"),IF(AND(A81&lt;&gt;"",E81&lt;&gt;""),"✅ Saved","Pending"),"🔒 WRONG CODE")))</f>
        <v/>
      </c>
      <c r="J81" s="33" t="str">
        <f t="shared" ca="1" si="8"/>
        <v>—</v>
      </c>
      <c r="K81" s="22"/>
    </row>
    <row r="82" spans="1:11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IF(A82="","",IFERROR(VLOOKUP(A82,DB_Customers!$A:$M,13,0),""))</f>
        <v/>
      </c>
      <c r="D82" s="42" t="str">
        <f t="shared" ca="1" si="6"/>
        <v/>
      </c>
      <c r="E82" s="32"/>
      <c r="F82" s="43" t="str">
        <f t="shared" si="7"/>
        <v/>
      </c>
      <c r="G82" s="30" t="s">
        <v>60</v>
      </c>
      <c r="H82" s="41"/>
      <c r="I82" s="33" t="str">
        <f>IF(A82="","",IF(H82="","⚠️ Enter Agent Code",IF(IFERROR(VLOOKUP(G82,DB_Agents!$B:$F,4,0),"")=TEXT(H82,"0"),IF(AND(A82&lt;&gt;"",E82&lt;&gt;""),"✅ Saved","Pending"),"🔒 WRONG CODE")))</f>
        <v/>
      </c>
      <c r="J82" s="33" t="str">
        <f t="shared" ca="1" si="8"/>
        <v>—</v>
      </c>
      <c r="K82" s="46"/>
    </row>
    <row r="83" spans="1:11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IF(A83="","",IFERROR(VLOOKUP(A83,DB_Customers!$A:$M,13,0),""))</f>
        <v/>
      </c>
      <c r="D83" s="42" t="str">
        <f t="shared" ca="1" si="6"/>
        <v/>
      </c>
      <c r="E83" s="32"/>
      <c r="F83" s="43" t="str">
        <f t="shared" si="7"/>
        <v/>
      </c>
      <c r="G83" s="30" t="s">
        <v>60</v>
      </c>
      <c r="H83" s="41"/>
      <c r="I83" s="33" t="str">
        <f>IF(A83="","",IF(H83="","⚠️ Enter Agent Code",IF(IFERROR(VLOOKUP(G83,DB_Agents!$B:$F,4,0),"")=TEXT(H83,"0"),IF(AND(A83&lt;&gt;"",E83&lt;&gt;""),"✅ Saved","Pending"),"🔒 WRONG CODE")))</f>
        <v/>
      </c>
      <c r="J83" s="33" t="str">
        <f t="shared" ca="1" si="8"/>
        <v>—</v>
      </c>
      <c r="K83" s="22"/>
    </row>
    <row r="84" spans="1:11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IF(A84="","",IFERROR(VLOOKUP(A84,DB_Customers!$A:$M,13,0),""))</f>
        <v/>
      </c>
      <c r="D84" s="42" t="str">
        <f t="shared" ca="1" si="6"/>
        <v/>
      </c>
      <c r="E84" s="32"/>
      <c r="F84" s="43" t="str">
        <f t="shared" si="7"/>
        <v/>
      </c>
      <c r="G84" s="30" t="s">
        <v>60</v>
      </c>
      <c r="H84" s="41"/>
      <c r="I84" s="33" t="str">
        <f>IF(A84="","",IF(H84="","⚠️ Enter Agent Code",IF(IFERROR(VLOOKUP(G84,DB_Agents!$B:$F,4,0),"")=TEXT(H84,"0"),IF(AND(A84&lt;&gt;"",E84&lt;&gt;""),"✅ Saved","Pending"),"🔒 WRONG CODE")))</f>
        <v/>
      </c>
      <c r="J84" s="33" t="str">
        <f t="shared" ca="1" si="8"/>
        <v>—</v>
      </c>
      <c r="K84" s="46"/>
    </row>
    <row r="85" spans="1:11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IF(A85="","",IFERROR(VLOOKUP(A85,DB_Customers!$A:$M,13,0),""))</f>
        <v/>
      </c>
      <c r="D85" s="42" t="str">
        <f t="shared" ca="1" si="6"/>
        <v/>
      </c>
      <c r="E85" s="32"/>
      <c r="F85" s="43" t="str">
        <f t="shared" si="7"/>
        <v/>
      </c>
      <c r="G85" s="30" t="s">
        <v>60</v>
      </c>
      <c r="H85" s="41"/>
      <c r="I85" s="33" t="str">
        <f>IF(A85="","",IF(H85="","⚠️ Enter Agent Code",IF(IFERROR(VLOOKUP(G85,DB_Agents!$B:$F,4,0),"")=TEXT(H85,"0"),IF(AND(A85&lt;&gt;"",E85&lt;&gt;""),"✅ Saved","Pending"),"🔒 WRONG CODE")))</f>
        <v/>
      </c>
      <c r="J85" s="33" t="str">
        <f t="shared" ca="1" si="8"/>
        <v>—</v>
      </c>
      <c r="K85" s="22"/>
    </row>
    <row r="86" spans="1:11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IF(A86="","",IFERROR(VLOOKUP(A86,DB_Customers!$A:$M,13,0),""))</f>
        <v/>
      </c>
      <c r="D86" s="42" t="str">
        <f t="shared" ca="1" si="6"/>
        <v/>
      </c>
      <c r="E86" s="32"/>
      <c r="F86" s="43" t="str">
        <f t="shared" si="7"/>
        <v/>
      </c>
      <c r="G86" s="30" t="s">
        <v>60</v>
      </c>
      <c r="H86" s="41"/>
      <c r="I86" s="33" t="str">
        <f>IF(A86="","",IF(H86="","⚠️ Enter Agent Code",IF(IFERROR(VLOOKUP(G86,DB_Agents!$B:$F,4,0),"")=TEXT(H86,"0"),IF(AND(A86&lt;&gt;"",E86&lt;&gt;""),"✅ Saved","Pending"),"🔒 WRONG CODE")))</f>
        <v/>
      </c>
      <c r="J86" s="33" t="str">
        <f t="shared" ca="1" si="8"/>
        <v>—</v>
      </c>
      <c r="K86" s="46"/>
    </row>
    <row r="87" spans="1:11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IF(A87="","",IFERROR(VLOOKUP(A87,DB_Customers!$A:$M,13,0),""))</f>
        <v/>
      </c>
      <c r="D87" s="42" t="str">
        <f t="shared" ca="1" si="6"/>
        <v/>
      </c>
      <c r="E87" s="32"/>
      <c r="F87" s="43" t="str">
        <f t="shared" si="7"/>
        <v/>
      </c>
      <c r="G87" s="30" t="s">
        <v>60</v>
      </c>
      <c r="H87" s="41"/>
      <c r="I87" s="33" t="str">
        <f>IF(A87="","",IF(H87="","⚠️ Enter Agent Code",IF(IFERROR(VLOOKUP(G87,DB_Agents!$B:$F,4,0),"")=TEXT(H87,"0"),IF(AND(A87&lt;&gt;"",E87&lt;&gt;""),"✅ Saved","Pending"),"🔒 WRONG CODE")))</f>
        <v/>
      </c>
      <c r="J87" s="33" t="str">
        <f t="shared" ca="1" si="8"/>
        <v>—</v>
      </c>
      <c r="K87" s="22"/>
    </row>
    <row r="88" spans="1:11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IF(A88="","",IFERROR(VLOOKUP(A88,DB_Customers!$A:$M,13,0),""))</f>
        <v/>
      </c>
      <c r="D88" s="42" t="str">
        <f t="shared" ca="1" si="6"/>
        <v/>
      </c>
      <c r="E88" s="32"/>
      <c r="F88" s="43" t="str">
        <f t="shared" si="7"/>
        <v/>
      </c>
      <c r="G88" s="30" t="s">
        <v>60</v>
      </c>
      <c r="H88" s="41"/>
      <c r="I88" s="33" t="str">
        <f>IF(A88="","",IF(H88="","⚠️ Enter Agent Code",IF(IFERROR(VLOOKUP(G88,DB_Agents!$B:$F,4,0),"")=TEXT(H88,"0"),IF(AND(A88&lt;&gt;"",E88&lt;&gt;""),"✅ Saved","Pending"),"🔒 WRONG CODE")))</f>
        <v/>
      </c>
      <c r="J88" s="33" t="str">
        <f t="shared" ca="1" si="8"/>
        <v>—</v>
      </c>
      <c r="K88" s="46"/>
    </row>
    <row r="89" spans="1:11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IF(A89="","",IFERROR(VLOOKUP(A89,DB_Customers!$A:$M,13,0),""))</f>
        <v/>
      </c>
      <c r="D89" s="42" t="str">
        <f t="shared" ca="1" si="6"/>
        <v/>
      </c>
      <c r="E89" s="32"/>
      <c r="F89" s="43" t="str">
        <f t="shared" si="7"/>
        <v/>
      </c>
      <c r="G89" s="30" t="s">
        <v>60</v>
      </c>
      <c r="H89" s="41"/>
      <c r="I89" s="33" t="str">
        <f>IF(A89="","",IF(H89="","⚠️ Enter Agent Code",IF(IFERROR(VLOOKUP(G89,DB_Agents!$B:$F,4,0),"")=TEXT(H89,"0"),IF(AND(A89&lt;&gt;"",E89&lt;&gt;""),"✅ Saved","Pending"),"🔒 WRONG CODE")))</f>
        <v/>
      </c>
      <c r="J89" s="33" t="str">
        <f t="shared" ca="1" si="8"/>
        <v>—</v>
      </c>
      <c r="K89" s="22"/>
    </row>
    <row r="90" spans="1:11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IF(A90="","",IFERROR(VLOOKUP(A90,DB_Customers!$A:$M,13,0),""))</f>
        <v/>
      </c>
      <c r="D90" s="42" t="str">
        <f t="shared" ca="1" si="6"/>
        <v/>
      </c>
      <c r="E90" s="32"/>
      <c r="F90" s="43" t="str">
        <f t="shared" si="7"/>
        <v/>
      </c>
      <c r="G90" s="30" t="s">
        <v>60</v>
      </c>
      <c r="H90" s="41"/>
      <c r="I90" s="33" t="str">
        <f>IF(A90="","",IF(H90="","⚠️ Enter Agent Code",IF(IFERROR(VLOOKUP(G90,DB_Agents!$B:$F,4,0),"")=TEXT(H90,"0"),IF(AND(A90&lt;&gt;"",E90&lt;&gt;""),"✅ Saved","Pending"),"🔒 WRONG CODE")))</f>
        <v/>
      </c>
      <c r="J90" s="33" t="str">
        <f t="shared" ca="1" si="8"/>
        <v>—</v>
      </c>
      <c r="K90" s="46"/>
    </row>
    <row r="91" spans="1:11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IF(A91="","",IFERROR(VLOOKUP(A91,DB_Customers!$A:$M,13,0),""))</f>
        <v/>
      </c>
      <c r="D91" s="42" t="str">
        <f t="shared" ca="1" si="6"/>
        <v/>
      </c>
      <c r="E91" s="32"/>
      <c r="F91" s="43" t="str">
        <f t="shared" si="7"/>
        <v/>
      </c>
      <c r="G91" s="30" t="s">
        <v>60</v>
      </c>
      <c r="H91" s="41"/>
      <c r="I91" s="33" t="str">
        <f>IF(A91="","",IF(H91="","⚠️ Enter Agent Code",IF(IFERROR(VLOOKUP(G91,DB_Agents!$B:$F,4,0),"")=TEXT(H91,"0"),IF(AND(A91&lt;&gt;"",E91&lt;&gt;""),"✅ Saved","Pending"),"🔒 WRONG CODE")))</f>
        <v/>
      </c>
      <c r="J91" s="33" t="str">
        <f t="shared" ca="1" si="8"/>
        <v>—</v>
      </c>
      <c r="K91" s="22"/>
    </row>
    <row r="92" spans="1:11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IF(A92="","",IFERROR(VLOOKUP(A92,DB_Customers!$A:$M,13,0),""))</f>
        <v/>
      </c>
      <c r="D92" s="42" t="str">
        <f t="shared" ca="1" si="6"/>
        <v/>
      </c>
      <c r="E92" s="32"/>
      <c r="F92" s="43" t="str">
        <f t="shared" si="7"/>
        <v/>
      </c>
      <c r="G92" s="30" t="s">
        <v>60</v>
      </c>
      <c r="H92" s="41"/>
      <c r="I92" s="33" t="str">
        <f>IF(A92="","",IF(H92="","⚠️ Enter Agent Code",IF(IFERROR(VLOOKUP(G92,DB_Agents!$B:$F,4,0),"")=TEXT(H92,"0"),IF(AND(A92&lt;&gt;"",E92&lt;&gt;""),"✅ Saved","Pending"),"🔒 WRONG CODE")))</f>
        <v/>
      </c>
      <c r="J92" s="33" t="str">
        <f t="shared" ca="1" si="8"/>
        <v>—</v>
      </c>
      <c r="K92" s="46"/>
    </row>
    <row r="93" spans="1:11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IF(A93="","",IFERROR(VLOOKUP(A93,DB_Customers!$A:$M,13,0),""))</f>
        <v/>
      </c>
      <c r="D93" s="42" t="str">
        <f t="shared" ca="1" si="6"/>
        <v/>
      </c>
      <c r="E93" s="32"/>
      <c r="F93" s="43" t="str">
        <f t="shared" si="7"/>
        <v/>
      </c>
      <c r="G93" s="30" t="s">
        <v>60</v>
      </c>
      <c r="H93" s="41"/>
      <c r="I93" s="33" t="str">
        <f>IF(A93="","",IF(H93="","⚠️ Enter Agent Code",IF(IFERROR(VLOOKUP(G93,DB_Agents!$B:$F,4,0),"")=TEXT(H93,"0"),IF(AND(A93&lt;&gt;"",E93&lt;&gt;""),"✅ Saved","Pending"),"🔒 WRONG CODE")))</f>
        <v/>
      </c>
      <c r="J93" s="33" t="str">
        <f t="shared" ca="1" si="8"/>
        <v>—</v>
      </c>
      <c r="K93" s="22"/>
    </row>
    <row r="94" spans="1:11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IF(A94="","",IFERROR(VLOOKUP(A94,DB_Customers!$A:$M,13,0),""))</f>
        <v/>
      </c>
      <c r="D94" s="42" t="str">
        <f t="shared" ca="1" si="6"/>
        <v/>
      </c>
      <c r="E94" s="32"/>
      <c r="F94" s="43" t="str">
        <f t="shared" si="7"/>
        <v/>
      </c>
      <c r="G94" s="30" t="s">
        <v>60</v>
      </c>
      <c r="H94" s="41"/>
      <c r="I94" s="33" t="str">
        <f>IF(A94="","",IF(H94="","⚠️ Enter Agent Code",IF(IFERROR(VLOOKUP(G94,DB_Agents!$B:$F,4,0),"")=TEXT(H94,"0"),IF(AND(A94&lt;&gt;"",E94&lt;&gt;""),"✅ Saved","Pending"),"🔒 WRONG CODE")))</f>
        <v/>
      </c>
      <c r="J94" s="33" t="str">
        <f t="shared" ca="1" si="8"/>
        <v>—</v>
      </c>
      <c r="K94" s="46"/>
    </row>
    <row r="95" spans="1:11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IF(A95="","",IFERROR(VLOOKUP(A95,DB_Customers!$A:$M,13,0),""))</f>
        <v/>
      </c>
      <c r="D95" s="42" t="str">
        <f t="shared" ca="1" si="6"/>
        <v/>
      </c>
      <c r="E95" s="32"/>
      <c r="F95" s="43" t="str">
        <f t="shared" si="7"/>
        <v/>
      </c>
      <c r="G95" s="30" t="s">
        <v>60</v>
      </c>
      <c r="H95" s="41"/>
      <c r="I95" s="33" t="str">
        <f>IF(A95="","",IF(H95="","⚠️ Enter Agent Code",IF(IFERROR(VLOOKUP(G95,DB_Agents!$B:$F,4,0),"")=TEXT(H95,"0"),IF(AND(A95&lt;&gt;"",E95&lt;&gt;""),"✅ Saved","Pending"),"🔒 WRONG CODE")))</f>
        <v/>
      </c>
      <c r="J95" s="33" t="str">
        <f t="shared" ca="1" si="8"/>
        <v>—</v>
      </c>
      <c r="K95" s="22"/>
    </row>
    <row r="96" spans="1:11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IF(A96="","",IFERROR(VLOOKUP(A96,DB_Customers!$A:$M,13,0),""))</f>
        <v/>
      </c>
      <c r="D96" s="42" t="str">
        <f t="shared" ca="1" si="6"/>
        <v/>
      </c>
      <c r="E96" s="32"/>
      <c r="F96" s="43" t="str">
        <f t="shared" si="7"/>
        <v/>
      </c>
      <c r="G96" s="30" t="s">
        <v>60</v>
      </c>
      <c r="H96" s="41"/>
      <c r="I96" s="33" t="str">
        <f>IF(A96="","",IF(H96="","⚠️ Enter Agent Code",IF(IFERROR(VLOOKUP(G96,DB_Agents!$B:$F,4,0),"")=TEXT(H96,"0"),IF(AND(A96&lt;&gt;"",E96&lt;&gt;""),"✅ Saved","Pending"),"🔒 WRONG CODE")))</f>
        <v/>
      </c>
      <c r="J96" s="33" t="str">
        <f t="shared" ca="1" si="8"/>
        <v>—</v>
      </c>
      <c r="K96" s="46"/>
    </row>
    <row r="97" spans="1:11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IF(A97="","",IFERROR(VLOOKUP(A97,DB_Customers!$A:$M,13,0),""))</f>
        <v/>
      </c>
      <c r="D97" s="42" t="str">
        <f t="shared" ca="1" si="6"/>
        <v/>
      </c>
      <c r="E97" s="32"/>
      <c r="F97" s="43" t="str">
        <f t="shared" si="7"/>
        <v/>
      </c>
      <c r="G97" s="30" t="s">
        <v>60</v>
      </c>
      <c r="H97" s="41"/>
      <c r="I97" s="33" t="str">
        <f>IF(A97="","",IF(H97="","⚠️ Enter Agent Code",IF(IFERROR(VLOOKUP(G97,DB_Agents!$B:$F,4,0),"")=TEXT(H97,"0"),IF(AND(A97&lt;&gt;"",E97&lt;&gt;""),"✅ Saved","Pending"),"🔒 WRONG CODE")))</f>
        <v/>
      </c>
      <c r="J97" s="33" t="str">
        <f t="shared" ca="1" si="8"/>
        <v>—</v>
      </c>
      <c r="K97" s="22"/>
    </row>
    <row r="98" spans="1:11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IF(A98="","",IFERROR(VLOOKUP(A98,DB_Customers!$A:$M,13,0),""))</f>
        <v/>
      </c>
      <c r="D98" s="42" t="str">
        <f t="shared" ca="1" si="6"/>
        <v/>
      </c>
      <c r="E98" s="32"/>
      <c r="F98" s="43" t="str">
        <f t="shared" si="7"/>
        <v/>
      </c>
      <c r="G98" s="30" t="s">
        <v>60</v>
      </c>
      <c r="H98" s="41"/>
      <c r="I98" s="33" t="str">
        <f>IF(A98="","",IF(H98="","⚠️ Enter Agent Code",IF(IFERROR(VLOOKUP(G98,DB_Agents!$B:$F,4,0),"")=TEXT(H98,"0"),IF(AND(A98&lt;&gt;"",E98&lt;&gt;""),"✅ Saved","Pending"),"🔒 WRONG CODE")))</f>
        <v/>
      </c>
      <c r="J98" s="33" t="str">
        <f t="shared" ca="1" si="8"/>
        <v>—</v>
      </c>
      <c r="K98" s="46"/>
    </row>
    <row r="99" spans="1:11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IF(A99="","",IFERROR(VLOOKUP(A99,DB_Customers!$A:$M,13,0),""))</f>
        <v/>
      </c>
      <c r="D99" s="42" t="str">
        <f t="shared" ca="1" si="6"/>
        <v/>
      </c>
      <c r="E99" s="32"/>
      <c r="F99" s="43" t="str">
        <f t="shared" si="7"/>
        <v/>
      </c>
      <c r="G99" s="30" t="s">
        <v>60</v>
      </c>
      <c r="H99" s="41"/>
      <c r="I99" s="33" t="str">
        <f>IF(A99="","",IF(H99="","⚠️ Enter Agent Code",IF(IFERROR(VLOOKUP(G99,DB_Agents!$B:$F,4,0),"")=TEXT(H99,"0"),IF(AND(A99&lt;&gt;"",E99&lt;&gt;""),"✅ Saved","Pending"),"🔒 WRONG CODE")))</f>
        <v/>
      </c>
      <c r="J99" s="33" t="str">
        <f t="shared" ca="1" si="8"/>
        <v>—</v>
      </c>
      <c r="K99" s="22"/>
    </row>
    <row r="100" spans="1:11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IF(A100="","",IFERROR(VLOOKUP(A100,DB_Customers!$A:$M,13,0),""))</f>
        <v/>
      </c>
      <c r="D100" s="42" t="str">
        <f t="shared" ca="1" si="6"/>
        <v/>
      </c>
      <c r="E100" s="32"/>
      <c r="F100" s="43" t="str">
        <f t="shared" si="7"/>
        <v/>
      </c>
      <c r="G100" s="30" t="s">
        <v>60</v>
      </c>
      <c r="H100" s="41"/>
      <c r="I100" s="33" t="str">
        <f>IF(A100="","",IF(H100="","⚠️ Enter Agent Code",IF(IFERROR(VLOOKUP(G100,DB_Agents!$B:$F,4,0),"")=TEXT(H100,"0"),IF(AND(A100&lt;&gt;"",E100&lt;&gt;""),"✅ Saved","Pending"),"🔒 WRONG CODE")))</f>
        <v/>
      </c>
      <c r="J100" s="33" t="str">
        <f t="shared" ca="1" si="8"/>
        <v>—</v>
      </c>
      <c r="K100" s="46"/>
    </row>
    <row r="101" spans="1:11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IF(A101="","",IFERROR(VLOOKUP(A101,DB_Customers!$A:$M,13,0),""))</f>
        <v/>
      </c>
      <c r="D101" s="42" t="str">
        <f t="shared" ca="1" si="6"/>
        <v/>
      </c>
      <c r="E101" s="32"/>
      <c r="F101" s="43" t="str">
        <f t="shared" si="7"/>
        <v/>
      </c>
      <c r="G101" s="30" t="s">
        <v>60</v>
      </c>
      <c r="H101" s="41"/>
      <c r="I101" s="33" t="str">
        <f>IF(A101="","",IF(H101="","⚠️ Enter Agent Code",IF(IFERROR(VLOOKUP(G101,DB_Agents!$B:$F,4,0),"")=TEXT(H101,"0"),IF(AND(A101&lt;&gt;"",E101&lt;&gt;""),"✅ Saved","Pending"),"🔒 WRONG CODE")))</f>
        <v/>
      </c>
      <c r="J101" s="33" t="str">
        <f t="shared" ca="1" si="8"/>
        <v>—</v>
      </c>
      <c r="K101" s="22"/>
    </row>
    <row r="102" spans="1:11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IF(A102="","",IFERROR(VLOOKUP(A102,DB_Customers!$A:$M,13,0),""))</f>
        <v/>
      </c>
      <c r="D102" s="42" t="str">
        <f t="shared" ca="1" si="6"/>
        <v/>
      </c>
      <c r="E102" s="32"/>
      <c r="F102" s="43" t="str">
        <f t="shared" si="7"/>
        <v/>
      </c>
      <c r="G102" s="30" t="s">
        <v>60</v>
      </c>
      <c r="H102" s="41"/>
      <c r="I102" s="33" t="str">
        <f>IF(A102="","",IF(H102="","⚠️ Enter Agent Code",IF(IFERROR(VLOOKUP(G102,DB_Agents!$B:$F,4,0),"")=TEXT(H102,"0"),IF(AND(A102&lt;&gt;"",E102&lt;&gt;""),"✅ Saved","Pending"),"🔒 WRONG CODE")))</f>
        <v/>
      </c>
      <c r="J102" s="33" t="str">
        <f t="shared" ca="1" si="8"/>
        <v>—</v>
      </c>
      <c r="K102" s="46"/>
    </row>
    <row r="103" spans="1:11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IF(A103="","",IFERROR(VLOOKUP(A103,DB_Customers!$A:$M,13,0),""))</f>
        <v/>
      </c>
      <c r="D103" s="42" t="str">
        <f t="shared" ca="1" si="6"/>
        <v/>
      </c>
      <c r="E103" s="32"/>
      <c r="F103" s="43" t="str">
        <f t="shared" si="7"/>
        <v/>
      </c>
      <c r="G103" s="30" t="s">
        <v>60</v>
      </c>
      <c r="H103" s="41"/>
      <c r="I103" s="33" t="str">
        <f>IF(A103="","",IF(H103="","⚠️ Enter Agent Code",IF(IFERROR(VLOOKUP(G103,DB_Agents!$B:$F,4,0),"")=TEXT(H103,"0"),IF(AND(A103&lt;&gt;"",E103&lt;&gt;""),"✅ Saved","Pending"),"🔒 WRONG CODE")))</f>
        <v/>
      </c>
      <c r="J103" s="33" t="str">
        <f t="shared" ca="1" si="8"/>
        <v>—</v>
      </c>
      <c r="K103" s="22"/>
    </row>
    <row r="104" spans="1:11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IF(A104="","",IFERROR(VLOOKUP(A104,DB_Customers!$A:$M,13,0),""))</f>
        <v/>
      </c>
      <c r="D104" s="42" t="str">
        <f t="shared" ca="1" si="6"/>
        <v/>
      </c>
      <c r="E104" s="32"/>
      <c r="F104" s="43" t="str">
        <f t="shared" si="7"/>
        <v/>
      </c>
      <c r="G104" s="30" t="s">
        <v>60</v>
      </c>
      <c r="H104" s="41"/>
      <c r="I104" s="33" t="str">
        <f>IF(A104="","",IF(H104="","⚠️ Enter Agent Code",IF(IFERROR(VLOOKUP(G104,DB_Agents!$B:$F,4,0),"")=TEXT(H104,"0"),IF(AND(A104&lt;&gt;"",E104&lt;&gt;""),"✅ Saved","Pending"),"🔒 WRONG CODE")))</f>
        <v/>
      </c>
      <c r="J104" s="33" t="str">
        <f t="shared" ca="1" si="8"/>
        <v>—</v>
      </c>
      <c r="K104" s="46"/>
    </row>
    <row r="105" spans="1:11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IF(A105="","",IFERROR(VLOOKUP(A105,DB_Customers!$A:$M,13,0),""))</f>
        <v/>
      </c>
      <c r="D105" s="42" t="str">
        <f t="shared" ref="D105:D136" ca="1" si="9">IF(A105="","",TODAY())</f>
        <v/>
      </c>
      <c r="E105" s="32"/>
      <c r="F105" s="43" t="str">
        <f t="shared" ref="F105:F136" si="10">IFERROR(IF(OR(A105="",E105=""),"",C105+E105),"")</f>
        <v/>
      </c>
      <c r="G105" s="30" t="s">
        <v>60</v>
      </c>
      <c r="H105" s="41"/>
      <c r="I105" s="33" t="str">
        <f>IF(A105="","",IF(H105="","⚠️ Enter Agent Code",IF(IFERROR(VLOOKUP(G105,DB_Agents!$B:$F,4,0),"")=TEXT(H105,"0"),IF(AND(A105&lt;&gt;"",E105&lt;&gt;""),"✅ Saved","Pending"),"🔒 WRONG CODE")))</f>
        <v/>
      </c>
      <c r="J105" s="33" t="str">
        <f t="shared" ref="J105:J136" ca="1" si="11">IF(I105="✅ Saved",TEXT(TODAY(),"YYYY-MM-DD")&amp;" Auto","—")</f>
        <v>—</v>
      </c>
      <c r="K105" s="22"/>
    </row>
    <row r="106" spans="1:11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IF(A106="","",IFERROR(VLOOKUP(A106,DB_Customers!$A:$M,13,0),""))</f>
        <v/>
      </c>
      <c r="D106" s="42" t="str">
        <f t="shared" ca="1" si="9"/>
        <v/>
      </c>
      <c r="E106" s="32"/>
      <c r="F106" s="43" t="str">
        <f t="shared" si="10"/>
        <v/>
      </c>
      <c r="G106" s="30" t="s">
        <v>60</v>
      </c>
      <c r="H106" s="41"/>
      <c r="I106" s="33" t="str">
        <f>IF(A106="","",IF(H106="","⚠️ Enter Agent Code",IF(IFERROR(VLOOKUP(G106,DB_Agents!$B:$F,4,0),"")=TEXT(H106,"0"),IF(AND(A106&lt;&gt;"",E106&lt;&gt;""),"✅ Saved","Pending"),"🔒 WRONG CODE")))</f>
        <v/>
      </c>
      <c r="J106" s="33" t="str">
        <f t="shared" ca="1" si="11"/>
        <v>—</v>
      </c>
      <c r="K106" s="46"/>
    </row>
    <row r="107" spans="1:11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IF(A107="","",IFERROR(VLOOKUP(A107,DB_Customers!$A:$M,13,0),""))</f>
        <v/>
      </c>
      <c r="D107" s="42" t="str">
        <f t="shared" ca="1" si="9"/>
        <v/>
      </c>
      <c r="E107" s="32"/>
      <c r="F107" s="43" t="str">
        <f t="shared" si="10"/>
        <v/>
      </c>
      <c r="G107" s="30" t="s">
        <v>60</v>
      </c>
      <c r="H107" s="41"/>
      <c r="I107" s="33" t="str">
        <f>IF(A107="","",IF(H107="","⚠️ Enter Agent Code",IF(IFERROR(VLOOKUP(G107,DB_Agents!$B:$F,4,0),"")=TEXT(H107,"0"),IF(AND(A107&lt;&gt;"",E107&lt;&gt;""),"✅ Saved","Pending"),"🔒 WRONG CODE")))</f>
        <v/>
      </c>
      <c r="J107" s="33" t="str">
        <f t="shared" ca="1" si="11"/>
        <v>—</v>
      </c>
      <c r="K107" s="22"/>
    </row>
    <row r="108" spans="1:11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IF(A108="","",IFERROR(VLOOKUP(A108,DB_Customers!$A:$M,13,0),""))</f>
        <v/>
      </c>
      <c r="D108" s="42" t="str">
        <f t="shared" ca="1" si="9"/>
        <v/>
      </c>
      <c r="E108" s="32"/>
      <c r="F108" s="43" t="str">
        <f t="shared" si="10"/>
        <v/>
      </c>
      <c r="G108" s="30" t="s">
        <v>60</v>
      </c>
      <c r="H108" s="41"/>
      <c r="I108" s="33" t="str">
        <f>IF(A108="","",IF(H108="","⚠️ Enter Agent Code",IF(IFERROR(VLOOKUP(G108,DB_Agents!$B:$F,4,0),"")=TEXT(H108,"0"),IF(AND(A108&lt;&gt;"",E108&lt;&gt;""),"✅ Saved","Pending"),"🔒 WRONG CODE")))</f>
        <v/>
      </c>
      <c r="J108" s="33" t="str">
        <f t="shared" ca="1" si="11"/>
        <v>—</v>
      </c>
      <c r="K108" s="46"/>
    </row>
    <row r="109" spans="1:11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IF(A109="","",IFERROR(VLOOKUP(A109,DB_Customers!$A:$M,13,0),""))</f>
        <v/>
      </c>
      <c r="D109" s="42" t="str">
        <f t="shared" ca="1" si="9"/>
        <v/>
      </c>
      <c r="E109" s="32"/>
      <c r="F109" s="43" t="str">
        <f t="shared" si="10"/>
        <v/>
      </c>
      <c r="G109" s="30" t="s">
        <v>60</v>
      </c>
      <c r="H109" s="41"/>
      <c r="I109" s="33" t="str">
        <f>IF(A109="","",IF(H109="","⚠️ Enter Agent Code",IF(IFERROR(VLOOKUP(G109,DB_Agents!$B:$F,4,0),"")=TEXT(H109,"0"),IF(AND(A109&lt;&gt;"",E109&lt;&gt;""),"✅ Saved","Pending"),"🔒 WRONG CODE")))</f>
        <v/>
      </c>
      <c r="J109" s="33" t="str">
        <f t="shared" ca="1" si="11"/>
        <v>—</v>
      </c>
      <c r="K109" s="22"/>
    </row>
    <row r="110" spans="1:11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IF(A110="","",IFERROR(VLOOKUP(A110,DB_Customers!$A:$M,13,0),""))</f>
        <v/>
      </c>
      <c r="D110" s="42" t="str">
        <f t="shared" ca="1" si="9"/>
        <v/>
      </c>
      <c r="E110" s="32"/>
      <c r="F110" s="43" t="str">
        <f t="shared" si="10"/>
        <v/>
      </c>
      <c r="G110" s="30" t="s">
        <v>60</v>
      </c>
      <c r="H110" s="41"/>
      <c r="I110" s="33" t="str">
        <f>IF(A110="","",IF(H110="","⚠️ Enter Agent Code",IF(IFERROR(VLOOKUP(G110,DB_Agents!$B:$F,4,0),"")=TEXT(H110,"0"),IF(AND(A110&lt;&gt;"",E110&lt;&gt;""),"✅ Saved","Pending"),"🔒 WRONG CODE")))</f>
        <v/>
      </c>
      <c r="J110" s="33" t="str">
        <f t="shared" ca="1" si="11"/>
        <v>—</v>
      </c>
      <c r="K110" s="46"/>
    </row>
    <row r="111" spans="1:11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IF(A111="","",IFERROR(VLOOKUP(A111,DB_Customers!$A:$M,13,0),""))</f>
        <v/>
      </c>
      <c r="D111" s="42" t="str">
        <f t="shared" ca="1" si="9"/>
        <v/>
      </c>
      <c r="E111" s="32"/>
      <c r="F111" s="43" t="str">
        <f t="shared" si="10"/>
        <v/>
      </c>
      <c r="G111" s="30" t="s">
        <v>60</v>
      </c>
      <c r="H111" s="41"/>
      <c r="I111" s="33" t="str">
        <f>IF(A111="","",IF(H111="","⚠️ Enter Agent Code",IF(IFERROR(VLOOKUP(G111,DB_Agents!$B:$F,4,0),"")=TEXT(H111,"0"),IF(AND(A111&lt;&gt;"",E111&lt;&gt;""),"✅ Saved","Pending"),"🔒 WRONG CODE")))</f>
        <v/>
      </c>
      <c r="J111" s="33" t="str">
        <f t="shared" ca="1" si="11"/>
        <v>—</v>
      </c>
      <c r="K111" s="22"/>
    </row>
    <row r="112" spans="1:11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IF(A112="","",IFERROR(VLOOKUP(A112,DB_Customers!$A:$M,13,0),""))</f>
        <v/>
      </c>
      <c r="D112" s="42" t="str">
        <f t="shared" ca="1" si="9"/>
        <v/>
      </c>
      <c r="E112" s="32"/>
      <c r="F112" s="43" t="str">
        <f t="shared" si="10"/>
        <v/>
      </c>
      <c r="G112" s="30" t="s">
        <v>60</v>
      </c>
      <c r="H112" s="41"/>
      <c r="I112" s="33" t="str">
        <f>IF(A112="","",IF(H112="","⚠️ Enter Agent Code",IF(IFERROR(VLOOKUP(G112,DB_Agents!$B:$F,4,0),"")=TEXT(H112,"0"),IF(AND(A112&lt;&gt;"",E112&lt;&gt;""),"✅ Saved","Pending"),"🔒 WRONG CODE")))</f>
        <v/>
      </c>
      <c r="J112" s="33" t="str">
        <f t="shared" ca="1" si="11"/>
        <v>—</v>
      </c>
      <c r="K112" s="46"/>
    </row>
    <row r="113" spans="1:11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IF(A113="","",IFERROR(VLOOKUP(A113,DB_Customers!$A:$M,13,0),""))</f>
        <v/>
      </c>
      <c r="D113" s="42" t="str">
        <f t="shared" ca="1" si="9"/>
        <v/>
      </c>
      <c r="E113" s="32"/>
      <c r="F113" s="43" t="str">
        <f t="shared" si="10"/>
        <v/>
      </c>
      <c r="G113" s="30" t="s">
        <v>60</v>
      </c>
      <c r="H113" s="41"/>
      <c r="I113" s="33" t="str">
        <f>IF(A113="","",IF(H113="","⚠️ Enter Agent Code",IF(IFERROR(VLOOKUP(G113,DB_Agents!$B:$F,4,0),"")=TEXT(H113,"0"),IF(AND(A113&lt;&gt;"",E113&lt;&gt;""),"✅ Saved","Pending"),"🔒 WRONG CODE")))</f>
        <v/>
      </c>
      <c r="J113" s="33" t="str">
        <f t="shared" ca="1" si="11"/>
        <v>—</v>
      </c>
      <c r="K113" s="22"/>
    </row>
    <row r="114" spans="1:11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IF(A114="","",IFERROR(VLOOKUP(A114,DB_Customers!$A:$M,13,0),""))</f>
        <v/>
      </c>
      <c r="D114" s="42" t="str">
        <f t="shared" ca="1" si="9"/>
        <v/>
      </c>
      <c r="E114" s="32"/>
      <c r="F114" s="43" t="str">
        <f t="shared" si="10"/>
        <v/>
      </c>
      <c r="G114" s="30" t="s">
        <v>60</v>
      </c>
      <c r="H114" s="41"/>
      <c r="I114" s="33" t="str">
        <f>IF(A114="","",IF(H114="","⚠️ Enter Agent Code",IF(IFERROR(VLOOKUP(G114,DB_Agents!$B:$F,4,0),"")=TEXT(H114,"0"),IF(AND(A114&lt;&gt;"",E114&lt;&gt;""),"✅ Saved","Pending"),"🔒 WRONG CODE")))</f>
        <v/>
      </c>
      <c r="J114" s="33" t="str">
        <f t="shared" ca="1" si="11"/>
        <v>—</v>
      </c>
      <c r="K114" s="46"/>
    </row>
    <row r="115" spans="1:11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IF(A115="","",IFERROR(VLOOKUP(A115,DB_Customers!$A:$M,13,0),""))</f>
        <v/>
      </c>
      <c r="D115" s="42" t="str">
        <f t="shared" ca="1" si="9"/>
        <v/>
      </c>
      <c r="E115" s="32"/>
      <c r="F115" s="43" t="str">
        <f t="shared" si="10"/>
        <v/>
      </c>
      <c r="G115" s="30" t="s">
        <v>60</v>
      </c>
      <c r="H115" s="41"/>
      <c r="I115" s="33" t="str">
        <f>IF(A115="","",IF(H115="","⚠️ Enter Agent Code",IF(IFERROR(VLOOKUP(G115,DB_Agents!$B:$F,4,0),"")=TEXT(H115,"0"),IF(AND(A115&lt;&gt;"",E115&lt;&gt;""),"✅ Saved","Pending"),"🔒 WRONG CODE")))</f>
        <v/>
      </c>
      <c r="J115" s="33" t="str">
        <f t="shared" ca="1" si="11"/>
        <v>—</v>
      </c>
      <c r="K115" s="22"/>
    </row>
    <row r="116" spans="1:11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IF(A116="","",IFERROR(VLOOKUP(A116,DB_Customers!$A:$M,13,0),""))</f>
        <v/>
      </c>
      <c r="D116" s="42" t="str">
        <f t="shared" ca="1" si="9"/>
        <v/>
      </c>
      <c r="E116" s="32"/>
      <c r="F116" s="43" t="str">
        <f t="shared" si="10"/>
        <v/>
      </c>
      <c r="G116" s="30" t="s">
        <v>60</v>
      </c>
      <c r="H116" s="41"/>
      <c r="I116" s="33" t="str">
        <f>IF(A116="","",IF(H116="","⚠️ Enter Agent Code",IF(IFERROR(VLOOKUP(G116,DB_Agents!$B:$F,4,0),"")=TEXT(H116,"0"),IF(AND(A116&lt;&gt;"",E116&lt;&gt;""),"✅ Saved","Pending"),"🔒 WRONG CODE")))</f>
        <v/>
      </c>
      <c r="J116" s="33" t="str">
        <f t="shared" ca="1" si="11"/>
        <v>—</v>
      </c>
      <c r="K116" s="46"/>
    </row>
    <row r="117" spans="1:11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IF(A117="","",IFERROR(VLOOKUP(A117,DB_Customers!$A:$M,13,0),""))</f>
        <v/>
      </c>
      <c r="D117" s="42" t="str">
        <f t="shared" ca="1" si="9"/>
        <v/>
      </c>
      <c r="E117" s="32"/>
      <c r="F117" s="43" t="str">
        <f t="shared" si="10"/>
        <v/>
      </c>
      <c r="G117" s="30" t="s">
        <v>60</v>
      </c>
      <c r="H117" s="41"/>
      <c r="I117" s="33" t="str">
        <f>IF(A117="","",IF(H117="","⚠️ Enter Agent Code",IF(IFERROR(VLOOKUP(G117,DB_Agents!$B:$F,4,0),"")=TEXT(H117,"0"),IF(AND(A117&lt;&gt;"",E117&lt;&gt;""),"✅ Saved","Pending"),"🔒 WRONG CODE")))</f>
        <v/>
      </c>
      <c r="J117" s="33" t="str">
        <f t="shared" ca="1" si="11"/>
        <v>—</v>
      </c>
      <c r="K117" s="22"/>
    </row>
    <row r="118" spans="1:11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IF(A118="","",IFERROR(VLOOKUP(A118,DB_Customers!$A:$M,13,0),""))</f>
        <v/>
      </c>
      <c r="D118" s="42" t="str">
        <f t="shared" ca="1" si="9"/>
        <v/>
      </c>
      <c r="E118" s="32"/>
      <c r="F118" s="43" t="str">
        <f t="shared" si="10"/>
        <v/>
      </c>
      <c r="G118" s="30" t="s">
        <v>60</v>
      </c>
      <c r="H118" s="41"/>
      <c r="I118" s="33" t="str">
        <f>IF(A118="","",IF(H118="","⚠️ Enter Agent Code",IF(IFERROR(VLOOKUP(G118,DB_Agents!$B:$F,4,0),"")=TEXT(H118,"0"),IF(AND(A118&lt;&gt;"",E118&lt;&gt;""),"✅ Saved","Pending"),"🔒 WRONG CODE")))</f>
        <v/>
      </c>
      <c r="J118" s="33" t="str">
        <f t="shared" ca="1" si="11"/>
        <v>—</v>
      </c>
      <c r="K118" s="46"/>
    </row>
    <row r="119" spans="1:11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IF(A119="","",IFERROR(VLOOKUP(A119,DB_Customers!$A:$M,13,0),""))</f>
        <v/>
      </c>
      <c r="D119" s="42" t="str">
        <f t="shared" ca="1" si="9"/>
        <v/>
      </c>
      <c r="E119" s="32"/>
      <c r="F119" s="43" t="str">
        <f t="shared" si="10"/>
        <v/>
      </c>
      <c r="G119" s="30" t="s">
        <v>60</v>
      </c>
      <c r="H119" s="41"/>
      <c r="I119" s="33" t="str">
        <f>IF(A119="","",IF(H119="","⚠️ Enter Agent Code",IF(IFERROR(VLOOKUP(G119,DB_Agents!$B:$F,4,0),"")=TEXT(H119,"0"),IF(AND(A119&lt;&gt;"",E119&lt;&gt;""),"✅ Saved","Pending"),"🔒 WRONG CODE")))</f>
        <v/>
      </c>
      <c r="J119" s="33" t="str">
        <f t="shared" ca="1" si="11"/>
        <v>—</v>
      </c>
      <c r="K119" s="22"/>
    </row>
    <row r="120" spans="1:11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IF(A120="","",IFERROR(VLOOKUP(A120,DB_Customers!$A:$M,13,0),""))</f>
        <v/>
      </c>
      <c r="D120" s="42" t="str">
        <f t="shared" ca="1" si="9"/>
        <v/>
      </c>
      <c r="E120" s="32"/>
      <c r="F120" s="43" t="str">
        <f t="shared" si="10"/>
        <v/>
      </c>
      <c r="G120" s="30" t="s">
        <v>60</v>
      </c>
      <c r="H120" s="41"/>
      <c r="I120" s="33" t="str">
        <f>IF(A120="","",IF(H120="","⚠️ Enter Agent Code",IF(IFERROR(VLOOKUP(G120,DB_Agents!$B:$F,4,0),"")=TEXT(H120,"0"),IF(AND(A120&lt;&gt;"",E120&lt;&gt;""),"✅ Saved","Pending"),"🔒 WRONG CODE")))</f>
        <v/>
      </c>
      <c r="J120" s="33" t="str">
        <f t="shared" ca="1" si="11"/>
        <v>—</v>
      </c>
      <c r="K120" s="46"/>
    </row>
    <row r="121" spans="1:11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IF(A121="","",IFERROR(VLOOKUP(A121,DB_Customers!$A:$M,13,0),""))</f>
        <v/>
      </c>
      <c r="D121" s="42" t="str">
        <f t="shared" ca="1" si="9"/>
        <v/>
      </c>
      <c r="E121" s="32"/>
      <c r="F121" s="43" t="str">
        <f t="shared" si="10"/>
        <v/>
      </c>
      <c r="G121" s="30" t="s">
        <v>60</v>
      </c>
      <c r="H121" s="41"/>
      <c r="I121" s="33" t="str">
        <f>IF(A121="","",IF(H121="","⚠️ Enter Agent Code",IF(IFERROR(VLOOKUP(G121,DB_Agents!$B:$F,4,0),"")=TEXT(H121,"0"),IF(AND(A121&lt;&gt;"",E121&lt;&gt;""),"✅ Saved","Pending"),"🔒 WRONG CODE")))</f>
        <v/>
      </c>
      <c r="J121" s="33" t="str">
        <f t="shared" ca="1" si="11"/>
        <v>—</v>
      </c>
      <c r="K121" s="22"/>
    </row>
    <row r="122" spans="1:11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IF(A122="","",IFERROR(VLOOKUP(A122,DB_Customers!$A:$M,13,0),""))</f>
        <v/>
      </c>
      <c r="D122" s="42" t="str">
        <f t="shared" ca="1" si="9"/>
        <v/>
      </c>
      <c r="E122" s="32"/>
      <c r="F122" s="43" t="str">
        <f t="shared" si="10"/>
        <v/>
      </c>
      <c r="G122" s="30" t="s">
        <v>60</v>
      </c>
      <c r="H122" s="41"/>
      <c r="I122" s="33" t="str">
        <f>IF(A122="","",IF(H122="","⚠️ Enter Agent Code",IF(IFERROR(VLOOKUP(G122,DB_Agents!$B:$F,4,0),"")=TEXT(H122,"0"),IF(AND(A122&lt;&gt;"",E122&lt;&gt;""),"✅ Saved","Pending"),"🔒 WRONG CODE")))</f>
        <v/>
      </c>
      <c r="J122" s="33" t="str">
        <f t="shared" ca="1" si="11"/>
        <v>—</v>
      </c>
      <c r="K122" s="46"/>
    </row>
    <row r="123" spans="1:11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IF(A123="","",IFERROR(VLOOKUP(A123,DB_Customers!$A:$M,13,0),""))</f>
        <v/>
      </c>
      <c r="D123" s="42" t="str">
        <f t="shared" ca="1" si="9"/>
        <v/>
      </c>
      <c r="E123" s="32"/>
      <c r="F123" s="43" t="str">
        <f t="shared" si="10"/>
        <v/>
      </c>
      <c r="G123" s="30" t="s">
        <v>60</v>
      </c>
      <c r="H123" s="41"/>
      <c r="I123" s="33" t="str">
        <f>IF(A123="","",IF(H123="","⚠️ Enter Agent Code",IF(IFERROR(VLOOKUP(G123,DB_Agents!$B:$F,4,0),"")=TEXT(H123,"0"),IF(AND(A123&lt;&gt;"",E123&lt;&gt;""),"✅ Saved","Pending"),"🔒 WRONG CODE")))</f>
        <v/>
      </c>
      <c r="J123" s="33" t="str">
        <f t="shared" ca="1" si="11"/>
        <v>—</v>
      </c>
      <c r="K123" s="22"/>
    </row>
    <row r="124" spans="1:11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IF(A124="","",IFERROR(VLOOKUP(A124,DB_Customers!$A:$M,13,0),""))</f>
        <v/>
      </c>
      <c r="D124" s="42" t="str">
        <f t="shared" ca="1" si="9"/>
        <v/>
      </c>
      <c r="E124" s="32"/>
      <c r="F124" s="43" t="str">
        <f t="shared" si="10"/>
        <v/>
      </c>
      <c r="G124" s="30" t="s">
        <v>60</v>
      </c>
      <c r="H124" s="41"/>
      <c r="I124" s="33" t="str">
        <f>IF(A124="","",IF(H124="","⚠️ Enter Agent Code",IF(IFERROR(VLOOKUP(G124,DB_Agents!$B:$F,4,0),"")=TEXT(H124,"0"),IF(AND(A124&lt;&gt;"",E124&lt;&gt;""),"✅ Saved","Pending"),"🔒 WRONG CODE")))</f>
        <v/>
      </c>
      <c r="J124" s="33" t="str">
        <f t="shared" ca="1" si="11"/>
        <v>—</v>
      </c>
      <c r="K124" s="46"/>
    </row>
    <row r="125" spans="1:11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IF(A125="","",IFERROR(VLOOKUP(A125,DB_Customers!$A:$M,13,0),""))</f>
        <v/>
      </c>
      <c r="D125" s="42" t="str">
        <f t="shared" ca="1" si="9"/>
        <v/>
      </c>
      <c r="E125" s="32"/>
      <c r="F125" s="43" t="str">
        <f t="shared" si="10"/>
        <v/>
      </c>
      <c r="G125" s="30" t="s">
        <v>60</v>
      </c>
      <c r="H125" s="41"/>
      <c r="I125" s="33" t="str">
        <f>IF(A125="","",IF(H125="","⚠️ Enter Agent Code",IF(IFERROR(VLOOKUP(G125,DB_Agents!$B:$F,4,0),"")=TEXT(H125,"0"),IF(AND(A125&lt;&gt;"",E125&lt;&gt;""),"✅ Saved","Pending"),"🔒 WRONG CODE")))</f>
        <v/>
      </c>
      <c r="J125" s="33" t="str">
        <f t="shared" ca="1" si="11"/>
        <v>—</v>
      </c>
      <c r="K125" s="22"/>
    </row>
    <row r="126" spans="1:11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IF(A126="","",IFERROR(VLOOKUP(A126,DB_Customers!$A:$M,13,0),""))</f>
        <v/>
      </c>
      <c r="D126" s="42" t="str">
        <f t="shared" ca="1" si="9"/>
        <v/>
      </c>
      <c r="E126" s="32"/>
      <c r="F126" s="43" t="str">
        <f t="shared" si="10"/>
        <v/>
      </c>
      <c r="G126" s="30" t="s">
        <v>60</v>
      </c>
      <c r="H126" s="41"/>
      <c r="I126" s="33" t="str">
        <f>IF(A126="","",IF(H126="","⚠️ Enter Agent Code",IF(IFERROR(VLOOKUP(G126,DB_Agents!$B:$F,4,0),"")=TEXT(H126,"0"),IF(AND(A126&lt;&gt;"",E126&lt;&gt;""),"✅ Saved","Pending"),"🔒 WRONG CODE")))</f>
        <v/>
      </c>
      <c r="J126" s="33" t="str">
        <f t="shared" ca="1" si="11"/>
        <v>—</v>
      </c>
      <c r="K126" s="46"/>
    </row>
    <row r="127" spans="1:11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IF(A127="","",IFERROR(VLOOKUP(A127,DB_Customers!$A:$M,13,0),""))</f>
        <v/>
      </c>
      <c r="D127" s="42" t="str">
        <f t="shared" ca="1" si="9"/>
        <v/>
      </c>
      <c r="E127" s="32"/>
      <c r="F127" s="43" t="str">
        <f t="shared" si="10"/>
        <v/>
      </c>
      <c r="G127" s="30" t="s">
        <v>60</v>
      </c>
      <c r="H127" s="41"/>
      <c r="I127" s="33" t="str">
        <f>IF(A127="","",IF(H127="","⚠️ Enter Agent Code",IF(IFERROR(VLOOKUP(G127,DB_Agents!$B:$F,4,0),"")=TEXT(H127,"0"),IF(AND(A127&lt;&gt;"",E127&lt;&gt;""),"✅ Saved","Pending"),"🔒 WRONG CODE")))</f>
        <v/>
      </c>
      <c r="J127" s="33" t="str">
        <f t="shared" ca="1" si="11"/>
        <v>—</v>
      </c>
      <c r="K127" s="22"/>
    </row>
    <row r="128" spans="1:11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IF(A128="","",IFERROR(VLOOKUP(A128,DB_Customers!$A:$M,13,0),""))</f>
        <v/>
      </c>
      <c r="D128" s="42" t="str">
        <f t="shared" ca="1" si="9"/>
        <v/>
      </c>
      <c r="E128" s="32"/>
      <c r="F128" s="43" t="str">
        <f t="shared" si="10"/>
        <v/>
      </c>
      <c r="G128" s="30" t="s">
        <v>60</v>
      </c>
      <c r="H128" s="41"/>
      <c r="I128" s="33" t="str">
        <f>IF(A128="","",IF(H128="","⚠️ Enter Agent Code",IF(IFERROR(VLOOKUP(G128,DB_Agents!$B:$F,4,0),"")=TEXT(H128,"0"),IF(AND(A128&lt;&gt;"",E128&lt;&gt;""),"✅ Saved","Pending"),"🔒 WRONG CODE")))</f>
        <v/>
      </c>
      <c r="J128" s="33" t="str">
        <f t="shared" ca="1" si="11"/>
        <v>—</v>
      </c>
      <c r="K128" s="46"/>
    </row>
    <row r="129" spans="1:11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IF(A129="","",IFERROR(VLOOKUP(A129,DB_Customers!$A:$M,13,0),""))</f>
        <v/>
      </c>
      <c r="D129" s="42" t="str">
        <f t="shared" ca="1" si="9"/>
        <v/>
      </c>
      <c r="E129" s="32"/>
      <c r="F129" s="43" t="str">
        <f t="shared" si="10"/>
        <v/>
      </c>
      <c r="G129" s="30" t="s">
        <v>60</v>
      </c>
      <c r="H129" s="41"/>
      <c r="I129" s="33" t="str">
        <f>IF(A129="","",IF(H129="","⚠️ Enter Agent Code",IF(IFERROR(VLOOKUP(G129,DB_Agents!$B:$F,4,0),"")=TEXT(H129,"0"),IF(AND(A129&lt;&gt;"",E129&lt;&gt;""),"✅ Saved","Pending"),"🔒 WRONG CODE")))</f>
        <v/>
      </c>
      <c r="J129" s="33" t="str">
        <f t="shared" ca="1" si="11"/>
        <v>—</v>
      </c>
      <c r="K129" s="22"/>
    </row>
    <row r="130" spans="1:11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IF(A130="","",IFERROR(VLOOKUP(A130,DB_Customers!$A:$M,13,0),""))</f>
        <v/>
      </c>
      <c r="D130" s="42" t="str">
        <f t="shared" ca="1" si="9"/>
        <v/>
      </c>
      <c r="E130" s="32"/>
      <c r="F130" s="43" t="str">
        <f t="shared" si="10"/>
        <v/>
      </c>
      <c r="G130" s="30" t="s">
        <v>60</v>
      </c>
      <c r="H130" s="41"/>
      <c r="I130" s="33" t="str">
        <f>IF(A130="","",IF(H130="","⚠️ Enter Agent Code",IF(IFERROR(VLOOKUP(G130,DB_Agents!$B:$F,4,0),"")=TEXT(H130,"0"),IF(AND(A130&lt;&gt;"",E130&lt;&gt;""),"✅ Saved","Pending"),"🔒 WRONG CODE")))</f>
        <v/>
      </c>
      <c r="J130" s="33" t="str">
        <f t="shared" ca="1" si="11"/>
        <v>—</v>
      </c>
      <c r="K130" s="46"/>
    </row>
    <row r="131" spans="1:11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IF(A131="","",IFERROR(VLOOKUP(A131,DB_Customers!$A:$M,13,0),""))</f>
        <v/>
      </c>
      <c r="D131" s="42" t="str">
        <f t="shared" ca="1" si="9"/>
        <v/>
      </c>
      <c r="E131" s="32"/>
      <c r="F131" s="43" t="str">
        <f t="shared" si="10"/>
        <v/>
      </c>
      <c r="G131" s="30" t="s">
        <v>60</v>
      </c>
      <c r="H131" s="41"/>
      <c r="I131" s="33" t="str">
        <f>IF(A131="","",IF(H131="","⚠️ Enter Agent Code",IF(IFERROR(VLOOKUP(G131,DB_Agents!$B:$F,4,0),"")=TEXT(H131,"0"),IF(AND(A131&lt;&gt;"",E131&lt;&gt;""),"✅ Saved","Pending"),"🔒 WRONG CODE")))</f>
        <v/>
      </c>
      <c r="J131" s="33" t="str">
        <f t="shared" ca="1" si="11"/>
        <v>—</v>
      </c>
      <c r="K131" s="22"/>
    </row>
    <row r="132" spans="1:11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IF(A132="","",IFERROR(VLOOKUP(A132,DB_Customers!$A:$M,13,0),""))</f>
        <v/>
      </c>
      <c r="D132" s="42" t="str">
        <f t="shared" ca="1" si="9"/>
        <v/>
      </c>
      <c r="E132" s="32"/>
      <c r="F132" s="43" t="str">
        <f t="shared" si="10"/>
        <v/>
      </c>
      <c r="G132" s="30" t="s">
        <v>60</v>
      </c>
      <c r="H132" s="41"/>
      <c r="I132" s="33" t="str">
        <f>IF(A132="","",IF(H132="","⚠️ Enter Agent Code",IF(IFERROR(VLOOKUP(G132,DB_Agents!$B:$F,4,0),"")=TEXT(H132,"0"),IF(AND(A132&lt;&gt;"",E132&lt;&gt;""),"✅ Saved","Pending"),"🔒 WRONG CODE")))</f>
        <v/>
      </c>
      <c r="J132" s="33" t="str">
        <f t="shared" ca="1" si="11"/>
        <v>—</v>
      </c>
      <c r="K132" s="46"/>
    </row>
    <row r="133" spans="1:11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IF(A133="","",IFERROR(VLOOKUP(A133,DB_Customers!$A:$M,13,0),""))</f>
        <v/>
      </c>
      <c r="D133" s="42" t="str">
        <f t="shared" ca="1" si="9"/>
        <v/>
      </c>
      <c r="E133" s="32"/>
      <c r="F133" s="43" t="str">
        <f t="shared" si="10"/>
        <v/>
      </c>
      <c r="G133" s="30" t="s">
        <v>60</v>
      </c>
      <c r="H133" s="41"/>
      <c r="I133" s="33" t="str">
        <f>IF(A133="","",IF(H133="","⚠️ Enter Agent Code",IF(IFERROR(VLOOKUP(G133,DB_Agents!$B:$F,4,0),"")=TEXT(H133,"0"),IF(AND(A133&lt;&gt;"",E133&lt;&gt;""),"✅ Saved","Pending"),"🔒 WRONG CODE")))</f>
        <v/>
      </c>
      <c r="J133" s="33" t="str">
        <f t="shared" ca="1" si="11"/>
        <v>—</v>
      </c>
      <c r="K133" s="22"/>
    </row>
    <row r="134" spans="1:11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IF(A134="","",IFERROR(VLOOKUP(A134,DB_Customers!$A:$M,13,0),""))</f>
        <v/>
      </c>
      <c r="D134" s="42" t="str">
        <f t="shared" ca="1" si="9"/>
        <v/>
      </c>
      <c r="E134" s="32"/>
      <c r="F134" s="43" t="str">
        <f t="shared" si="10"/>
        <v/>
      </c>
      <c r="G134" s="30" t="s">
        <v>60</v>
      </c>
      <c r="H134" s="41"/>
      <c r="I134" s="33" t="str">
        <f>IF(A134="","",IF(H134="","⚠️ Enter Agent Code",IF(IFERROR(VLOOKUP(G134,DB_Agents!$B:$F,4,0),"")=TEXT(H134,"0"),IF(AND(A134&lt;&gt;"",E134&lt;&gt;""),"✅ Saved","Pending"),"🔒 WRONG CODE")))</f>
        <v/>
      </c>
      <c r="J134" s="33" t="str">
        <f t="shared" ca="1" si="11"/>
        <v>—</v>
      </c>
      <c r="K134" s="46"/>
    </row>
    <row r="135" spans="1:11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IF(A135="","",IFERROR(VLOOKUP(A135,DB_Customers!$A:$M,13,0),""))</f>
        <v/>
      </c>
      <c r="D135" s="42" t="str">
        <f t="shared" ca="1" si="9"/>
        <v/>
      </c>
      <c r="E135" s="32"/>
      <c r="F135" s="43" t="str">
        <f t="shared" si="10"/>
        <v/>
      </c>
      <c r="G135" s="30" t="s">
        <v>60</v>
      </c>
      <c r="H135" s="41"/>
      <c r="I135" s="33" t="str">
        <f>IF(A135="","",IF(H135="","⚠️ Enter Agent Code",IF(IFERROR(VLOOKUP(G135,DB_Agents!$B:$F,4,0),"")=TEXT(H135,"0"),IF(AND(A135&lt;&gt;"",E135&lt;&gt;""),"✅ Saved","Pending"),"🔒 WRONG CODE")))</f>
        <v/>
      </c>
      <c r="J135" s="33" t="str">
        <f t="shared" ca="1" si="11"/>
        <v>—</v>
      </c>
      <c r="K135" s="22"/>
    </row>
    <row r="136" spans="1:11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IF(A136="","",IFERROR(VLOOKUP(A136,DB_Customers!$A:$M,13,0),""))</f>
        <v/>
      </c>
      <c r="D136" s="42" t="str">
        <f t="shared" ca="1" si="9"/>
        <v/>
      </c>
      <c r="E136" s="32"/>
      <c r="F136" s="43" t="str">
        <f t="shared" si="10"/>
        <v/>
      </c>
      <c r="G136" s="30" t="s">
        <v>60</v>
      </c>
      <c r="H136" s="41"/>
      <c r="I136" s="33" t="str">
        <f>IF(A136="","",IF(H136="","⚠️ Enter Agent Code",IF(IFERROR(VLOOKUP(G136,DB_Agents!$B:$F,4,0),"")=TEXT(H136,"0"),IF(AND(A136&lt;&gt;"",E136&lt;&gt;""),"✅ Saved","Pending"),"🔒 WRONG CODE")))</f>
        <v/>
      </c>
      <c r="J136" s="33" t="str">
        <f t="shared" ca="1" si="11"/>
        <v>—</v>
      </c>
      <c r="K136" s="46"/>
    </row>
    <row r="137" spans="1:11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IF(A137="","",IFERROR(VLOOKUP(A137,DB_Customers!$A:$M,13,0),""))</f>
        <v/>
      </c>
      <c r="D137" s="42" t="str">
        <f t="shared" ref="D137:D168" ca="1" si="12">IF(A137="","",TODAY())</f>
        <v/>
      </c>
      <c r="E137" s="32"/>
      <c r="F137" s="43" t="str">
        <f t="shared" ref="F137:F168" si="13">IFERROR(IF(OR(A137="",E137=""),"",C137+E137),"")</f>
        <v/>
      </c>
      <c r="G137" s="30" t="s">
        <v>60</v>
      </c>
      <c r="H137" s="41"/>
      <c r="I137" s="33" t="str">
        <f>IF(A137="","",IF(H137="","⚠️ Enter Agent Code",IF(IFERROR(VLOOKUP(G137,DB_Agents!$B:$F,4,0),"")=TEXT(H137,"0"),IF(AND(A137&lt;&gt;"",E137&lt;&gt;""),"✅ Saved","Pending"),"🔒 WRONG CODE")))</f>
        <v/>
      </c>
      <c r="J137" s="33" t="str">
        <f t="shared" ref="J137:J168" ca="1" si="14">IF(I137="✅ Saved",TEXT(TODAY(),"YYYY-MM-DD")&amp;" Auto","—")</f>
        <v>—</v>
      </c>
      <c r="K137" s="22"/>
    </row>
    <row r="138" spans="1:11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IF(A138="","",IFERROR(VLOOKUP(A138,DB_Customers!$A:$M,13,0),""))</f>
        <v/>
      </c>
      <c r="D138" s="42" t="str">
        <f t="shared" ca="1" si="12"/>
        <v/>
      </c>
      <c r="E138" s="32"/>
      <c r="F138" s="43" t="str">
        <f t="shared" si="13"/>
        <v/>
      </c>
      <c r="G138" s="30" t="s">
        <v>60</v>
      </c>
      <c r="H138" s="41"/>
      <c r="I138" s="33" t="str">
        <f>IF(A138="","",IF(H138="","⚠️ Enter Agent Code",IF(IFERROR(VLOOKUP(G138,DB_Agents!$B:$F,4,0),"")=TEXT(H138,"0"),IF(AND(A138&lt;&gt;"",E138&lt;&gt;""),"✅ Saved","Pending"),"🔒 WRONG CODE")))</f>
        <v/>
      </c>
      <c r="J138" s="33" t="str">
        <f t="shared" ca="1" si="14"/>
        <v>—</v>
      </c>
      <c r="K138" s="46"/>
    </row>
    <row r="139" spans="1:11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IF(A139="","",IFERROR(VLOOKUP(A139,DB_Customers!$A:$M,13,0),""))</f>
        <v/>
      </c>
      <c r="D139" s="42" t="str">
        <f t="shared" ca="1" si="12"/>
        <v/>
      </c>
      <c r="E139" s="32"/>
      <c r="F139" s="43" t="str">
        <f t="shared" si="13"/>
        <v/>
      </c>
      <c r="G139" s="30" t="s">
        <v>60</v>
      </c>
      <c r="H139" s="41"/>
      <c r="I139" s="33" t="str">
        <f>IF(A139="","",IF(H139="","⚠️ Enter Agent Code",IF(IFERROR(VLOOKUP(G139,DB_Agents!$B:$F,4,0),"")=TEXT(H139,"0"),IF(AND(A139&lt;&gt;"",E139&lt;&gt;""),"✅ Saved","Pending"),"🔒 WRONG CODE")))</f>
        <v/>
      </c>
      <c r="J139" s="33" t="str">
        <f t="shared" ca="1" si="14"/>
        <v>—</v>
      </c>
      <c r="K139" s="22"/>
    </row>
    <row r="140" spans="1:11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IF(A140="","",IFERROR(VLOOKUP(A140,DB_Customers!$A:$M,13,0),""))</f>
        <v/>
      </c>
      <c r="D140" s="42" t="str">
        <f t="shared" ca="1" si="12"/>
        <v/>
      </c>
      <c r="E140" s="32"/>
      <c r="F140" s="43" t="str">
        <f t="shared" si="13"/>
        <v/>
      </c>
      <c r="G140" s="30" t="s">
        <v>60</v>
      </c>
      <c r="H140" s="41"/>
      <c r="I140" s="33" t="str">
        <f>IF(A140="","",IF(H140="","⚠️ Enter Agent Code",IF(IFERROR(VLOOKUP(G140,DB_Agents!$B:$F,4,0),"")=TEXT(H140,"0"),IF(AND(A140&lt;&gt;"",E140&lt;&gt;""),"✅ Saved","Pending"),"🔒 WRONG CODE")))</f>
        <v/>
      </c>
      <c r="J140" s="33" t="str">
        <f t="shared" ca="1" si="14"/>
        <v>—</v>
      </c>
      <c r="K140" s="46"/>
    </row>
    <row r="141" spans="1:11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IF(A141="","",IFERROR(VLOOKUP(A141,DB_Customers!$A:$M,13,0),""))</f>
        <v/>
      </c>
      <c r="D141" s="42" t="str">
        <f t="shared" ca="1" si="12"/>
        <v/>
      </c>
      <c r="E141" s="32"/>
      <c r="F141" s="43" t="str">
        <f t="shared" si="13"/>
        <v/>
      </c>
      <c r="G141" s="30" t="s">
        <v>60</v>
      </c>
      <c r="H141" s="41"/>
      <c r="I141" s="33" t="str">
        <f>IF(A141="","",IF(H141="","⚠️ Enter Agent Code",IF(IFERROR(VLOOKUP(G141,DB_Agents!$B:$F,4,0),"")=TEXT(H141,"0"),IF(AND(A141&lt;&gt;"",E141&lt;&gt;""),"✅ Saved","Pending"),"🔒 WRONG CODE")))</f>
        <v/>
      </c>
      <c r="J141" s="33" t="str">
        <f t="shared" ca="1" si="14"/>
        <v>—</v>
      </c>
      <c r="K141" s="22"/>
    </row>
    <row r="142" spans="1:11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IF(A142="","",IFERROR(VLOOKUP(A142,DB_Customers!$A:$M,13,0),""))</f>
        <v/>
      </c>
      <c r="D142" s="42" t="str">
        <f t="shared" ca="1" si="12"/>
        <v/>
      </c>
      <c r="E142" s="32"/>
      <c r="F142" s="43" t="str">
        <f t="shared" si="13"/>
        <v/>
      </c>
      <c r="G142" s="30" t="s">
        <v>60</v>
      </c>
      <c r="H142" s="41"/>
      <c r="I142" s="33" t="str">
        <f>IF(A142="","",IF(H142="","⚠️ Enter Agent Code",IF(IFERROR(VLOOKUP(G142,DB_Agents!$B:$F,4,0),"")=TEXT(H142,"0"),IF(AND(A142&lt;&gt;"",E142&lt;&gt;""),"✅ Saved","Pending"),"🔒 WRONG CODE")))</f>
        <v/>
      </c>
      <c r="J142" s="33" t="str">
        <f t="shared" ca="1" si="14"/>
        <v>—</v>
      </c>
      <c r="K142" s="46"/>
    </row>
    <row r="143" spans="1:11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IF(A143="","",IFERROR(VLOOKUP(A143,DB_Customers!$A:$M,13,0),""))</f>
        <v/>
      </c>
      <c r="D143" s="42" t="str">
        <f t="shared" ca="1" si="12"/>
        <v/>
      </c>
      <c r="E143" s="32"/>
      <c r="F143" s="43" t="str">
        <f t="shared" si="13"/>
        <v/>
      </c>
      <c r="G143" s="30" t="s">
        <v>60</v>
      </c>
      <c r="H143" s="41"/>
      <c r="I143" s="33" t="str">
        <f>IF(A143="","",IF(H143="","⚠️ Enter Agent Code",IF(IFERROR(VLOOKUP(G143,DB_Agents!$B:$F,4,0),"")=TEXT(H143,"0"),IF(AND(A143&lt;&gt;"",E143&lt;&gt;""),"✅ Saved","Pending"),"🔒 WRONG CODE")))</f>
        <v/>
      </c>
      <c r="J143" s="33" t="str">
        <f t="shared" ca="1" si="14"/>
        <v>—</v>
      </c>
      <c r="K143" s="22"/>
    </row>
    <row r="144" spans="1:11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IF(A144="","",IFERROR(VLOOKUP(A144,DB_Customers!$A:$M,13,0),""))</f>
        <v/>
      </c>
      <c r="D144" s="42" t="str">
        <f t="shared" ca="1" si="12"/>
        <v/>
      </c>
      <c r="E144" s="32"/>
      <c r="F144" s="43" t="str">
        <f t="shared" si="13"/>
        <v/>
      </c>
      <c r="G144" s="30" t="s">
        <v>60</v>
      </c>
      <c r="H144" s="41"/>
      <c r="I144" s="33" t="str">
        <f>IF(A144="","",IF(H144="","⚠️ Enter Agent Code",IF(IFERROR(VLOOKUP(G144,DB_Agents!$B:$F,4,0),"")=TEXT(H144,"0"),IF(AND(A144&lt;&gt;"",E144&lt;&gt;""),"✅ Saved","Pending"),"🔒 WRONG CODE")))</f>
        <v/>
      </c>
      <c r="J144" s="33" t="str">
        <f t="shared" ca="1" si="14"/>
        <v>—</v>
      </c>
      <c r="K144" s="46"/>
    </row>
    <row r="145" spans="1:11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IF(A145="","",IFERROR(VLOOKUP(A145,DB_Customers!$A:$M,13,0),""))</f>
        <v/>
      </c>
      <c r="D145" s="42" t="str">
        <f t="shared" ca="1" si="12"/>
        <v/>
      </c>
      <c r="E145" s="32"/>
      <c r="F145" s="43" t="str">
        <f t="shared" si="13"/>
        <v/>
      </c>
      <c r="G145" s="30" t="s">
        <v>60</v>
      </c>
      <c r="H145" s="41"/>
      <c r="I145" s="33" t="str">
        <f>IF(A145="","",IF(H145="","⚠️ Enter Agent Code",IF(IFERROR(VLOOKUP(G145,DB_Agents!$B:$F,4,0),"")=TEXT(H145,"0"),IF(AND(A145&lt;&gt;"",E145&lt;&gt;""),"✅ Saved","Pending"),"🔒 WRONG CODE")))</f>
        <v/>
      </c>
      <c r="J145" s="33" t="str">
        <f t="shared" ca="1" si="14"/>
        <v>—</v>
      </c>
      <c r="K145" s="22"/>
    </row>
    <row r="146" spans="1:11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IF(A146="","",IFERROR(VLOOKUP(A146,DB_Customers!$A:$M,13,0),""))</f>
        <v/>
      </c>
      <c r="D146" s="42" t="str">
        <f t="shared" ca="1" si="12"/>
        <v/>
      </c>
      <c r="E146" s="32"/>
      <c r="F146" s="43" t="str">
        <f t="shared" si="13"/>
        <v/>
      </c>
      <c r="G146" s="30" t="s">
        <v>60</v>
      </c>
      <c r="H146" s="41"/>
      <c r="I146" s="33" t="str">
        <f>IF(A146="","",IF(H146="","⚠️ Enter Agent Code",IF(IFERROR(VLOOKUP(G146,DB_Agents!$B:$F,4,0),"")=TEXT(H146,"0"),IF(AND(A146&lt;&gt;"",E146&lt;&gt;""),"✅ Saved","Pending"),"🔒 WRONG CODE")))</f>
        <v/>
      </c>
      <c r="J146" s="33" t="str">
        <f t="shared" ca="1" si="14"/>
        <v>—</v>
      </c>
      <c r="K146" s="46"/>
    </row>
    <row r="147" spans="1:11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IF(A147="","",IFERROR(VLOOKUP(A147,DB_Customers!$A:$M,13,0),""))</f>
        <v/>
      </c>
      <c r="D147" s="42" t="str">
        <f t="shared" ca="1" si="12"/>
        <v/>
      </c>
      <c r="E147" s="32"/>
      <c r="F147" s="43" t="str">
        <f t="shared" si="13"/>
        <v/>
      </c>
      <c r="G147" s="30" t="s">
        <v>60</v>
      </c>
      <c r="H147" s="41"/>
      <c r="I147" s="33" t="str">
        <f>IF(A147="","",IF(H147="","⚠️ Enter Agent Code",IF(IFERROR(VLOOKUP(G147,DB_Agents!$B:$F,4,0),"")=TEXT(H147,"0"),IF(AND(A147&lt;&gt;"",E147&lt;&gt;""),"✅ Saved","Pending"),"🔒 WRONG CODE")))</f>
        <v/>
      </c>
      <c r="J147" s="33" t="str">
        <f t="shared" ca="1" si="14"/>
        <v>—</v>
      </c>
      <c r="K147" s="22"/>
    </row>
    <row r="148" spans="1:11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IF(A148="","",IFERROR(VLOOKUP(A148,DB_Customers!$A:$M,13,0),""))</f>
        <v/>
      </c>
      <c r="D148" s="42" t="str">
        <f t="shared" ca="1" si="12"/>
        <v/>
      </c>
      <c r="E148" s="32"/>
      <c r="F148" s="43" t="str">
        <f t="shared" si="13"/>
        <v/>
      </c>
      <c r="G148" s="30" t="s">
        <v>60</v>
      </c>
      <c r="H148" s="41"/>
      <c r="I148" s="33" t="str">
        <f>IF(A148="","",IF(H148="","⚠️ Enter Agent Code",IF(IFERROR(VLOOKUP(G148,DB_Agents!$B:$F,4,0),"")=TEXT(H148,"0"),IF(AND(A148&lt;&gt;"",E148&lt;&gt;""),"✅ Saved","Pending"),"🔒 WRONG CODE")))</f>
        <v/>
      </c>
      <c r="J148" s="33" t="str">
        <f t="shared" ca="1" si="14"/>
        <v>—</v>
      </c>
      <c r="K148" s="46"/>
    </row>
    <row r="149" spans="1:11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IF(A149="","",IFERROR(VLOOKUP(A149,DB_Customers!$A:$M,13,0),""))</f>
        <v/>
      </c>
      <c r="D149" s="42" t="str">
        <f t="shared" ca="1" si="12"/>
        <v/>
      </c>
      <c r="E149" s="32"/>
      <c r="F149" s="43" t="str">
        <f t="shared" si="13"/>
        <v/>
      </c>
      <c r="G149" s="30" t="s">
        <v>60</v>
      </c>
      <c r="H149" s="41"/>
      <c r="I149" s="33" t="str">
        <f>IF(A149="","",IF(H149="","⚠️ Enter Agent Code",IF(IFERROR(VLOOKUP(G149,DB_Agents!$B:$F,4,0),"")=TEXT(H149,"0"),IF(AND(A149&lt;&gt;"",E149&lt;&gt;""),"✅ Saved","Pending"),"🔒 WRONG CODE")))</f>
        <v/>
      </c>
      <c r="J149" s="33" t="str">
        <f t="shared" ca="1" si="14"/>
        <v>—</v>
      </c>
      <c r="K149" s="22"/>
    </row>
    <row r="150" spans="1:11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IF(A150="","",IFERROR(VLOOKUP(A150,DB_Customers!$A:$M,13,0),""))</f>
        <v/>
      </c>
      <c r="D150" s="42" t="str">
        <f t="shared" ca="1" si="12"/>
        <v/>
      </c>
      <c r="E150" s="32"/>
      <c r="F150" s="43" t="str">
        <f t="shared" si="13"/>
        <v/>
      </c>
      <c r="G150" s="30" t="s">
        <v>60</v>
      </c>
      <c r="H150" s="41"/>
      <c r="I150" s="33" t="str">
        <f>IF(A150="","",IF(H150="","⚠️ Enter Agent Code",IF(IFERROR(VLOOKUP(G150,DB_Agents!$B:$F,4,0),"")=TEXT(H150,"0"),IF(AND(A150&lt;&gt;"",E150&lt;&gt;""),"✅ Saved","Pending"),"🔒 WRONG CODE")))</f>
        <v/>
      </c>
      <c r="J150" s="33" t="str">
        <f t="shared" ca="1" si="14"/>
        <v>—</v>
      </c>
      <c r="K150" s="46"/>
    </row>
    <row r="151" spans="1:11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IF(A151="","",IFERROR(VLOOKUP(A151,DB_Customers!$A:$M,13,0),""))</f>
        <v/>
      </c>
      <c r="D151" s="42" t="str">
        <f t="shared" ca="1" si="12"/>
        <v/>
      </c>
      <c r="E151" s="32"/>
      <c r="F151" s="43" t="str">
        <f t="shared" si="13"/>
        <v/>
      </c>
      <c r="G151" s="30" t="s">
        <v>60</v>
      </c>
      <c r="H151" s="41"/>
      <c r="I151" s="33" t="str">
        <f>IF(A151="","",IF(H151="","⚠️ Enter Agent Code",IF(IFERROR(VLOOKUP(G151,DB_Agents!$B:$F,4,0),"")=TEXT(H151,"0"),IF(AND(A151&lt;&gt;"",E151&lt;&gt;""),"✅ Saved","Pending"),"🔒 WRONG CODE")))</f>
        <v/>
      </c>
      <c r="J151" s="33" t="str">
        <f t="shared" ca="1" si="14"/>
        <v>—</v>
      </c>
      <c r="K151" s="22"/>
    </row>
    <row r="152" spans="1:11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IF(A152="","",IFERROR(VLOOKUP(A152,DB_Customers!$A:$M,13,0),""))</f>
        <v/>
      </c>
      <c r="D152" s="42" t="str">
        <f t="shared" ca="1" si="12"/>
        <v/>
      </c>
      <c r="E152" s="32"/>
      <c r="F152" s="43" t="str">
        <f t="shared" si="13"/>
        <v/>
      </c>
      <c r="G152" s="30" t="s">
        <v>60</v>
      </c>
      <c r="H152" s="41"/>
      <c r="I152" s="33" t="str">
        <f>IF(A152="","",IF(H152="","⚠️ Enter Agent Code",IF(IFERROR(VLOOKUP(G152,DB_Agents!$B:$F,4,0),"")=TEXT(H152,"0"),IF(AND(A152&lt;&gt;"",E152&lt;&gt;""),"✅ Saved","Pending"),"🔒 WRONG CODE")))</f>
        <v/>
      </c>
      <c r="J152" s="33" t="str">
        <f t="shared" ca="1" si="14"/>
        <v>—</v>
      </c>
      <c r="K152" s="46"/>
    </row>
    <row r="153" spans="1:11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IF(A153="","",IFERROR(VLOOKUP(A153,DB_Customers!$A:$M,13,0),""))</f>
        <v/>
      </c>
      <c r="D153" s="42" t="str">
        <f t="shared" ca="1" si="12"/>
        <v/>
      </c>
      <c r="E153" s="32"/>
      <c r="F153" s="43" t="str">
        <f t="shared" si="13"/>
        <v/>
      </c>
      <c r="G153" s="30" t="s">
        <v>60</v>
      </c>
      <c r="H153" s="41"/>
      <c r="I153" s="33" t="str">
        <f>IF(A153="","",IF(H153="","⚠️ Enter Agent Code",IF(IFERROR(VLOOKUP(G153,DB_Agents!$B:$F,4,0),"")=TEXT(H153,"0"),IF(AND(A153&lt;&gt;"",E153&lt;&gt;""),"✅ Saved","Pending"),"🔒 WRONG CODE")))</f>
        <v/>
      </c>
      <c r="J153" s="33" t="str">
        <f t="shared" ca="1" si="14"/>
        <v>—</v>
      </c>
      <c r="K153" s="22"/>
    </row>
    <row r="154" spans="1:11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IF(A154="","",IFERROR(VLOOKUP(A154,DB_Customers!$A:$M,13,0),""))</f>
        <v/>
      </c>
      <c r="D154" s="42" t="str">
        <f t="shared" ca="1" si="12"/>
        <v/>
      </c>
      <c r="E154" s="32"/>
      <c r="F154" s="43" t="str">
        <f t="shared" si="13"/>
        <v/>
      </c>
      <c r="G154" s="30" t="s">
        <v>60</v>
      </c>
      <c r="H154" s="41"/>
      <c r="I154" s="33" t="str">
        <f>IF(A154="","",IF(H154="","⚠️ Enter Agent Code",IF(IFERROR(VLOOKUP(G154,DB_Agents!$B:$F,4,0),"")=TEXT(H154,"0"),IF(AND(A154&lt;&gt;"",E154&lt;&gt;""),"✅ Saved","Pending"),"🔒 WRONG CODE")))</f>
        <v/>
      </c>
      <c r="J154" s="33" t="str">
        <f t="shared" ca="1" si="14"/>
        <v>—</v>
      </c>
      <c r="K154" s="46"/>
    </row>
    <row r="155" spans="1:11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IF(A155="","",IFERROR(VLOOKUP(A155,DB_Customers!$A:$M,13,0),""))</f>
        <v/>
      </c>
      <c r="D155" s="42" t="str">
        <f t="shared" ca="1" si="12"/>
        <v/>
      </c>
      <c r="E155" s="32"/>
      <c r="F155" s="43" t="str">
        <f t="shared" si="13"/>
        <v/>
      </c>
      <c r="G155" s="30" t="s">
        <v>60</v>
      </c>
      <c r="H155" s="41"/>
      <c r="I155" s="33" t="str">
        <f>IF(A155="","",IF(H155="","⚠️ Enter Agent Code",IF(IFERROR(VLOOKUP(G155,DB_Agents!$B:$F,4,0),"")=TEXT(H155,"0"),IF(AND(A155&lt;&gt;"",E155&lt;&gt;""),"✅ Saved","Pending"),"🔒 WRONG CODE")))</f>
        <v/>
      </c>
      <c r="J155" s="33" t="str">
        <f t="shared" ca="1" si="14"/>
        <v>—</v>
      </c>
      <c r="K155" s="22"/>
    </row>
    <row r="156" spans="1:11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IF(A156="","",IFERROR(VLOOKUP(A156,DB_Customers!$A:$M,13,0),""))</f>
        <v/>
      </c>
      <c r="D156" s="42" t="str">
        <f t="shared" ca="1" si="12"/>
        <v/>
      </c>
      <c r="E156" s="32"/>
      <c r="F156" s="43" t="str">
        <f t="shared" si="13"/>
        <v/>
      </c>
      <c r="G156" s="30" t="s">
        <v>60</v>
      </c>
      <c r="H156" s="41"/>
      <c r="I156" s="33" t="str">
        <f>IF(A156="","",IF(H156="","⚠️ Enter Agent Code",IF(IFERROR(VLOOKUP(G156,DB_Agents!$B:$F,4,0),"")=TEXT(H156,"0"),IF(AND(A156&lt;&gt;"",E156&lt;&gt;""),"✅ Saved","Pending"),"🔒 WRONG CODE")))</f>
        <v/>
      </c>
      <c r="J156" s="33" t="str">
        <f t="shared" ca="1" si="14"/>
        <v>—</v>
      </c>
      <c r="K156" s="46"/>
    </row>
    <row r="157" spans="1:11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IF(A157="","",IFERROR(VLOOKUP(A157,DB_Customers!$A:$M,13,0),""))</f>
        <v/>
      </c>
      <c r="D157" s="42" t="str">
        <f t="shared" ca="1" si="12"/>
        <v/>
      </c>
      <c r="E157" s="32"/>
      <c r="F157" s="43" t="str">
        <f t="shared" si="13"/>
        <v/>
      </c>
      <c r="G157" s="30" t="s">
        <v>60</v>
      </c>
      <c r="H157" s="41"/>
      <c r="I157" s="33" t="str">
        <f>IF(A157="","",IF(H157="","⚠️ Enter Agent Code",IF(IFERROR(VLOOKUP(G157,DB_Agents!$B:$F,4,0),"")=TEXT(H157,"0"),IF(AND(A157&lt;&gt;"",E157&lt;&gt;""),"✅ Saved","Pending"),"🔒 WRONG CODE")))</f>
        <v/>
      </c>
      <c r="J157" s="33" t="str">
        <f t="shared" ca="1" si="14"/>
        <v>—</v>
      </c>
      <c r="K157" s="22"/>
    </row>
    <row r="158" spans="1:11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IF(A158="","",IFERROR(VLOOKUP(A158,DB_Customers!$A:$M,13,0),""))</f>
        <v/>
      </c>
      <c r="D158" s="42" t="str">
        <f t="shared" ca="1" si="12"/>
        <v/>
      </c>
      <c r="E158" s="32"/>
      <c r="F158" s="43" t="str">
        <f t="shared" si="13"/>
        <v/>
      </c>
      <c r="G158" s="30" t="s">
        <v>60</v>
      </c>
      <c r="H158" s="41"/>
      <c r="I158" s="33" t="str">
        <f>IF(A158="","",IF(H158="","⚠️ Enter Agent Code",IF(IFERROR(VLOOKUP(G158,DB_Agents!$B:$F,4,0),"")=TEXT(H158,"0"),IF(AND(A158&lt;&gt;"",E158&lt;&gt;""),"✅ Saved","Pending"),"🔒 WRONG CODE")))</f>
        <v/>
      </c>
      <c r="J158" s="33" t="str">
        <f t="shared" ca="1" si="14"/>
        <v>—</v>
      </c>
      <c r="K158" s="46"/>
    </row>
    <row r="159" spans="1:11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IF(A159="","",IFERROR(VLOOKUP(A159,DB_Customers!$A:$M,13,0),""))</f>
        <v/>
      </c>
      <c r="D159" s="42" t="str">
        <f t="shared" ca="1" si="12"/>
        <v/>
      </c>
      <c r="E159" s="32"/>
      <c r="F159" s="43" t="str">
        <f t="shared" si="13"/>
        <v/>
      </c>
      <c r="G159" s="30" t="s">
        <v>60</v>
      </c>
      <c r="H159" s="41"/>
      <c r="I159" s="33" t="str">
        <f>IF(A159="","",IF(H159="","⚠️ Enter Agent Code",IF(IFERROR(VLOOKUP(G159,DB_Agents!$B:$F,4,0),"")=TEXT(H159,"0"),IF(AND(A159&lt;&gt;"",E159&lt;&gt;""),"✅ Saved","Pending"),"🔒 WRONG CODE")))</f>
        <v/>
      </c>
      <c r="J159" s="33" t="str">
        <f t="shared" ca="1" si="14"/>
        <v>—</v>
      </c>
      <c r="K159" s="22"/>
    </row>
    <row r="160" spans="1:11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IF(A160="","",IFERROR(VLOOKUP(A160,DB_Customers!$A:$M,13,0),""))</f>
        <v/>
      </c>
      <c r="D160" s="42" t="str">
        <f t="shared" ca="1" si="12"/>
        <v/>
      </c>
      <c r="E160" s="32"/>
      <c r="F160" s="43" t="str">
        <f t="shared" si="13"/>
        <v/>
      </c>
      <c r="G160" s="30" t="s">
        <v>60</v>
      </c>
      <c r="H160" s="41"/>
      <c r="I160" s="33" t="str">
        <f>IF(A160="","",IF(H160="","⚠️ Enter Agent Code",IF(IFERROR(VLOOKUP(G160,DB_Agents!$B:$F,4,0),"")=TEXT(H160,"0"),IF(AND(A160&lt;&gt;"",E160&lt;&gt;""),"✅ Saved","Pending"),"🔒 WRONG CODE")))</f>
        <v/>
      </c>
      <c r="J160" s="33" t="str">
        <f t="shared" ca="1" si="14"/>
        <v>—</v>
      </c>
      <c r="K160" s="46"/>
    </row>
    <row r="161" spans="1:11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IF(A161="","",IFERROR(VLOOKUP(A161,DB_Customers!$A:$M,13,0),""))</f>
        <v/>
      </c>
      <c r="D161" s="42" t="str">
        <f t="shared" ca="1" si="12"/>
        <v/>
      </c>
      <c r="E161" s="32"/>
      <c r="F161" s="43" t="str">
        <f t="shared" si="13"/>
        <v/>
      </c>
      <c r="G161" s="30" t="s">
        <v>60</v>
      </c>
      <c r="H161" s="41"/>
      <c r="I161" s="33" t="str">
        <f>IF(A161="","",IF(H161="","⚠️ Enter Agent Code",IF(IFERROR(VLOOKUP(G161,DB_Agents!$B:$F,4,0),"")=TEXT(H161,"0"),IF(AND(A161&lt;&gt;"",E161&lt;&gt;""),"✅ Saved","Pending"),"🔒 WRONG CODE")))</f>
        <v/>
      </c>
      <c r="J161" s="33" t="str">
        <f t="shared" ca="1" si="14"/>
        <v>—</v>
      </c>
      <c r="K161" s="22"/>
    </row>
    <row r="162" spans="1:11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IF(A162="","",IFERROR(VLOOKUP(A162,DB_Customers!$A:$M,13,0),""))</f>
        <v/>
      </c>
      <c r="D162" s="42" t="str">
        <f t="shared" ca="1" si="12"/>
        <v/>
      </c>
      <c r="E162" s="32"/>
      <c r="F162" s="43" t="str">
        <f t="shared" si="13"/>
        <v/>
      </c>
      <c r="G162" s="30" t="s">
        <v>60</v>
      </c>
      <c r="H162" s="41"/>
      <c r="I162" s="33" t="str">
        <f>IF(A162="","",IF(H162="","⚠️ Enter Agent Code",IF(IFERROR(VLOOKUP(G162,DB_Agents!$B:$F,4,0),"")=TEXT(H162,"0"),IF(AND(A162&lt;&gt;"",E162&lt;&gt;""),"✅ Saved","Pending"),"🔒 WRONG CODE")))</f>
        <v/>
      </c>
      <c r="J162" s="33" t="str">
        <f t="shared" ca="1" si="14"/>
        <v>—</v>
      </c>
      <c r="K162" s="46"/>
    </row>
    <row r="163" spans="1:11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IF(A163="","",IFERROR(VLOOKUP(A163,DB_Customers!$A:$M,13,0),""))</f>
        <v/>
      </c>
      <c r="D163" s="42" t="str">
        <f t="shared" ca="1" si="12"/>
        <v/>
      </c>
      <c r="E163" s="32"/>
      <c r="F163" s="43" t="str">
        <f t="shared" si="13"/>
        <v/>
      </c>
      <c r="G163" s="30" t="s">
        <v>60</v>
      </c>
      <c r="H163" s="41"/>
      <c r="I163" s="33" t="str">
        <f>IF(A163="","",IF(H163="","⚠️ Enter Agent Code",IF(IFERROR(VLOOKUP(G163,DB_Agents!$B:$F,4,0),"")=TEXT(H163,"0"),IF(AND(A163&lt;&gt;"",E163&lt;&gt;""),"✅ Saved","Pending"),"🔒 WRONG CODE")))</f>
        <v/>
      </c>
      <c r="J163" s="33" t="str">
        <f t="shared" ca="1" si="14"/>
        <v>—</v>
      </c>
      <c r="K163" s="22"/>
    </row>
    <row r="164" spans="1:11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IF(A164="","",IFERROR(VLOOKUP(A164,DB_Customers!$A:$M,13,0),""))</f>
        <v/>
      </c>
      <c r="D164" s="42" t="str">
        <f t="shared" ca="1" si="12"/>
        <v/>
      </c>
      <c r="E164" s="32"/>
      <c r="F164" s="43" t="str">
        <f t="shared" si="13"/>
        <v/>
      </c>
      <c r="G164" s="30" t="s">
        <v>60</v>
      </c>
      <c r="H164" s="41"/>
      <c r="I164" s="33" t="str">
        <f>IF(A164="","",IF(H164="","⚠️ Enter Agent Code",IF(IFERROR(VLOOKUP(G164,DB_Agents!$B:$F,4,0),"")=TEXT(H164,"0"),IF(AND(A164&lt;&gt;"",E164&lt;&gt;""),"✅ Saved","Pending"),"🔒 WRONG CODE")))</f>
        <v/>
      </c>
      <c r="J164" s="33" t="str">
        <f t="shared" ca="1" si="14"/>
        <v>—</v>
      </c>
      <c r="K164" s="46"/>
    </row>
    <row r="165" spans="1:11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IF(A165="","",IFERROR(VLOOKUP(A165,DB_Customers!$A:$M,13,0),""))</f>
        <v/>
      </c>
      <c r="D165" s="42" t="str">
        <f t="shared" ca="1" si="12"/>
        <v/>
      </c>
      <c r="E165" s="32"/>
      <c r="F165" s="43" t="str">
        <f t="shared" si="13"/>
        <v/>
      </c>
      <c r="G165" s="30" t="s">
        <v>60</v>
      </c>
      <c r="H165" s="41"/>
      <c r="I165" s="33" t="str">
        <f>IF(A165="","",IF(H165="","⚠️ Enter Agent Code",IF(IFERROR(VLOOKUP(G165,DB_Agents!$B:$F,4,0),"")=TEXT(H165,"0"),IF(AND(A165&lt;&gt;"",E165&lt;&gt;""),"✅ Saved","Pending"),"🔒 WRONG CODE")))</f>
        <v/>
      </c>
      <c r="J165" s="33" t="str">
        <f t="shared" ca="1" si="14"/>
        <v>—</v>
      </c>
      <c r="K165" s="22"/>
    </row>
    <row r="166" spans="1:11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IF(A166="","",IFERROR(VLOOKUP(A166,DB_Customers!$A:$M,13,0),""))</f>
        <v/>
      </c>
      <c r="D166" s="42" t="str">
        <f t="shared" ca="1" si="12"/>
        <v/>
      </c>
      <c r="E166" s="32"/>
      <c r="F166" s="43" t="str">
        <f t="shared" si="13"/>
        <v/>
      </c>
      <c r="G166" s="30" t="s">
        <v>60</v>
      </c>
      <c r="H166" s="41"/>
      <c r="I166" s="33" t="str">
        <f>IF(A166="","",IF(H166="","⚠️ Enter Agent Code",IF(IFERROR(VLOOKUP(G166,DB_Agents!$B:$F,4,0),"")=TEXT(H166,"0"),IF(AND(A166&lt;&gt;"",E166&lt;&gt;""),"✅ Saved","Pending"),"🔒 WRONG CODE")))</f>
        <v/>
      </c>
      <c r="J166" s="33" t="str">
        <f t="shared" ca="1" si="14"/>
        <v>—</v>
      </c>
      <c r="K166" s="46"/>
    </row>
    <row r="167" spans="1:11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IF(A167="","",IFERROR(VLOOKUP(A167,DB_Customers!$A:$M,13,0),""))</f>
        <v/>
      </c>
      <c r="D167" s="42" t="str">
        <f t="shared" ca="1" si="12"/>
        <v/>
      </c>
      <c r="E167" s="32"/>
      <c r="F167" s="43" t="str">
        <f t="shared" si="13"/>
        <v/>
      </c>
      <c r="G167" s="30" t="s">
        <v>60</v>
      </c>
      <c r="H167" s="41"/>
      <c r="I167" s="33" t="str">
        <f>IF(A167="","",IF(H167="","⚠️ Enter Agent Code",IF(IFERROR(VLOOKUP(G167,DB_Agents!$B:$F,4,0),"")=TEXT(H167,"0"),IF(AND(A167&lt;&gt;"",E167&lt;&gt;""),"✅ Saved","Pending"),"🔒 WRONG CODE")))</f>
        <v/>
      </c>
      <c r="J167" s="33" t="str">
        <f t="shared" ca="1" si="14"/>
        <v>—</v>
      </c>
      <c r="K167" s="22"/>
    </row>
    <row r="168" spans="1:11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IF(A168="","",IFERROR(VLOOKUP(A168,DB_Customers!$A:$M,13,0),""))</f>
        <v/>
      </c>
      <c r="D168" s="42" t="str">
        <f t="shared" ca="1" si="12"/>
        <v/>
      </c>
      <c r="E168" s="32"/>
      <c r="F168" s="43" t="str">
        <f t="shared" si="13"/>
        <v/>
      </c>
      <c r="G168" s="30" t="s">
        <v>60</v>
      </c>
      <c r="H168" s="41"/>
      <c r="I168" s="33" t="str">
        <f>IF(A168="","",IF(H168="","⚠️ Enter Agent Code",IF(IFERROR(VLOOKUP(G168,DB_Agents!$B:$F,4,0),"")=TEXT(H168,"0"),IF(AND(A168&lt;&gt;"",E168&lt;&gt;""),"✅ Saved","Pending"),"🔒 WRONG CODE")))</f>
        <v/>
      </c>
      <c r="J168" s="33" t="str">
        <f t="shared" ca="1" si="14"/>
        <v>—</v>
      </c>
      <c r="K168" s="46"/>
    </row>
    <row r="169" spans="1:11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IF(A169="","",IFERROR(VLOOKUP(A169,DB_Customers!$A:$M,13,0),""))</f>
        <v/>
      </c>
      <c r="D169" s="42" t="str">
        <f t="shared" ref="D169:D200" ca="1" si="15">IF(A169="","",TODAY())</f>
        <v/>
      </c>
      <c r="E169" s="32"/>
      <c r="F169" s="43" t="str">
        <f t="shared" ref="F169:F200" si="16">IFERROR(IF(OR(A169="",E169=""),"",C169+E169),"")</f>
        <v/>
      </c>
      <c r="G169" s="30" t="s">
        <v>60</v>
      </c>
      <c r="H169" s="41"/>
      <c r="I169" s="33" t="str">
        <f>IF(A169="","",IF(H169="","⚠️ Enter Agent Code",IF(IFERROR(VLOOKUP(G169,DB_Agents!$B:$F,4,0),"")=TEXT(H169,"0"),IF(AND(A169&lt;&gt;"",E169&lt;&gt;""),"✅ Saved","Pending"),"🔒 WRONG CODE")))</f>
        <v/>
      </c>
      <c r="J169" s="33" t="str">
        <f t="shared" ref="J169:J200" ca="1" si="17">IF(I169="✅ Saved",TEXT(TODAY(),"YYYY-MM-DD")&amp;" Auto","—")</f>
        <v>—</v>
      </c>
      <c r="K169" s="22"/>
    </row>
    <row r="170" spans="1:11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IF(A170="","",IFERROR(VLOOKUP(A170,DB_Customers!$A:$M,13,0),""))</f>
        <v/>
      </c>
      <c r="D170" s="42" t="str">
        <f t="shared" ca="1" si="15"/>
        <v/>
      </c>
      <c r="E170" s="32"/>
      <c r="F170" s="43" t="str">
        <f t="shared" si="16"/>
        <v/>
      </c>
      <c r="G170" s="30" t="s">
        <v>60</v>
      </c>
      <c r="H170" s="41"/>
      <c r="I170" s="33" t="str">
        <f>IF(A170="","",IF(H170="","⚠️ Enter Agent Code",IF(IFERROR(VLOOKUP(G170,DB_Agents!$B:$F,4,0),"")=TEXT(H170,"0"),IF(AND(A170&lt;&gt;"",E170&lt;&gt;""),"✅ Saved","Pending"),"🔒 WRONG CODE")))</f>
        <v/>
      </c>
      <c r="J170" s="33" t="str">
        <f t="shared" ca="1" si="17"/>
        <v>—</v>
      </c>
      <c r="K170" s="46"/>
    </row>
    <row r="171" spans="1:11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IF(A171="","",IFERROR(VLOOKUP(A171,DB_Customers!$A:$M,13,0),""))</f>
        <v/>
      </c>
      <c r="D171" s="42" t="str">
        <f t="shared" ca="1" si="15"/>
        <v/>
      </c>
      <c r="E171" s="32"/>
      <c r="F171" s="43" t="str">
        <f t="shared" si="16"/>
        <v/>
      </c>
      <c r="G171" s="30" t="s">
        <v>60</v>
      </c>
      <c r="H171" s="41"/>
      <c r="I171" s="33" t="str">
        <f>IF(A171="","",IF(H171="","⚠️ Enter Agent Code",IF(IFERROR(VLOOKUP(G171,DB_Agents!$B:$F,4,0),"")=TEXT(H171,"0"),IF(AND(A171&lt;&gt;"",E171&lt;&gt;""),"✅ Saved","Pending"),"🔒 WRONG CODE")))</f>
        <v/>
      </c>
      <c r="J171" s="33" t="str">
        <f t="shared" ca="1" si="17"/>
        <v>—</v>
      </c>
      <c r="K171" s="22"/>
    </row>
    <row r="172" spans="1:11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IF(A172="","",IFERROR(VLOOKUP(A172,DB_Customers!$A:$M,13,0),""))</f>
        <v/>
      </c>
      <c r="D172" s="42" t="str">
        <f t="shared" ca="1" si="15"/>
        <v/>
      </c>
      <c r="E172" s="32"/>
      <c r="F172" s="43" t="str">
        <f t="shared" si="16"/>
        <v/>
      </c>
      <c r="G172" s="30" t="s">
        <v>60</v>
      </c>
      <c r="H172" s="41"/>
      <c r="I172" s="33" t="str">
        <f>IF(A172="","",IF(H172="","⚠️ Enter Agent Code",IF(IFERROR(VLOOKUP(G172,DB_Agents!$B:$F,4,0),"")=TEXT(H172,"0"),IF(AND(A172&lt;&gt;"",E172&lt;&gt;""),"✅ Saved","Pending"),"🔒 WRONG CODE")))</f>
        <v/>
      </c>
      <c r="J172" s="33" t="str">
        <f t="shared" ca="1" si="17"/>
        <v>—</v>
      </c>
      <c r="K172" s="46"/>
    </row>
    <row r="173" spans="1:11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IF(A173="","",IFERROR(VLOOKUP(A173,DB_Customers!$A:$M,13,0),""))</f>
        <v/>
      </c>
      <c r="D173" s="42" t="str">
        <f t="shared" ca="1" si="15"/>
        <v/>
      </c>
      <c r="E173" s="32"/>
      <c r="F173" s="43" t="str">
        <f t="shared" si="16"/>
        <v/>
      </c>
      <c r="G173" s="30" t="s">
        <v>60</v>
      </c>
      <c r="H173" s="41"/>
      <c r="I173" s="33" t="str">
        <f>IF(A173="","",IF(H173="","⚠️ Enter Agent Code",IF(IFERROR(VLOOKUP(G173,DB_Agents!$B:$F,4,0),"")=TEXT(H173,"0"),IF(AND(A173&lt;&gt;"",E173&lt;&gt;""),"✅ Saved","Pending"),"🔒 WRONG CODE")))</f>
        <v/>
      </c>
      <c r="J173" s="33" t="str">
        <f t="shared" ca="1" si="17"/>
        <v>—</v>
      </c>
      <c r="K173" s="22"/>
    </row>
    <row r="174" spans="1:11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IF(A174="","",IFERROR(VLOOKUP(A174,DB_Customers!$A:$M,13,0),""))</f>
        <v/>
      </c>
      <c r="D174" s="42" t="str">
        <f t="shared" ca="1" si="15"/>
        <v/>
      </c>
      <c r="E174" s="32"/>
      <c r="F174" s="43" t="str">
        <f t="shared" si="16"/>
        <v/>
      </c>
      <c r="G174" s="30" t="s">
        <v>60</v>
      </c>
      <c r="H174" s="41"/>
      <c r="I174" s="33" t="str">
        <f>IF(A174="","",IF(H174="","⚠️ Enter Agent Code",IF(IFERROR(VLOOKUP(G174,DB_Agents!$B:$F,4,0),"")=TEXT(H174,"0"),IF(AND(A174&lt;&gt;"",E174&lt;&gt;""),"✅ Saved","Pending"),"🔒 WRONG CODE")))</f>
        <v/>
      </c>
      <c r="J174" s="33" t="str">
        <f t="shared" ca="1" si="17"/>
        <v>—</v>
      </c>
      <c r="K174" s="46"/>
    </row>
    <row r="175" spans="1:11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IF(A175="","",IFERROR(VLOOKUP(A175,DB_Customers!$A:$M,13,0),""))</f>
        <v/>
      </c>
      <c r="D175" s="42" t="str">
        <f t="shared" ca="1" si="15"/>
        <v/>
      </c>
      <c r="E175" s="32"/>
      <c r="F175" s="43" t="str">
        <f t="shared" si="16"/>
        <v/>
      </c>
      <c r="G175" s="30" t="s">
        <v>60</v>
      </c>
      <c r="H175" s="41"/>
      <c r="I175" s="33" t="str">
        <f>IF(A175="","",IF(H175="","⚠️ Enter Agent Code",IF(IFERROR(VLOOKUP(G175,DB_Agents!$B:$F,4,0),"")=TEXT(H175,"0"),IF(AND(A175&lt;&gt;"",E175&lt;&gt;""),"✅ Saved","Pending"),"🔒 WRONG CODE")))</f>
        <v/>
      </c>
      <c r="J175" s="33" t="str">
        <f t="shared" ca="1" si="17"/>
        <v>—</v>
      </c>
      <c r="K175" s="22"/>
    </row>
    <row r="176" spans="1:11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IF(A176="","",IFERROR(VLOOKUP(A176,DB_Customers!$A:$M,13,0),""))</f>
        <v/>
      </c>
      <c r="D176" s="42" t="str">
        <f t="shared" ca="1" si="15"/>
        <v/>
      </c>
      <c r="E176" s="32"/>
      <c r="F176" s="43" t="str">
        <f t="shared" si="16"/>
        <v/>
      </c>
      <c r="G176" s="30" t="s">
        <v>60</v>
      </c>
      <c r="H176" s="41"/>
      <c r="I176" s="33" t="str">
        <f>IF(A176="","",IF(H176="","⚠️ Enter Agent Code",IF(IFERROR(VLOOKUP(G176,DB_Agents!$B:$F,4,0),"")=TEXT(H176,"0"),IF(AND(A176&lt;&gt;"",E176&lt;&gt;""),"✅ Saved","Pending"),"🔒 WRONG CODE")))</f>
        <v/>
      </c>
      <c r="J176" s="33" t="str">
        <f t="shared" ca="1" si="17"/>
        <v>—</v>
      </c>
      <c r="K176" s="46"/>
    </row>
    <row r="177" spans="1:11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IF(A177="","",IFERROR(VLOOKUP(A177,DB_Customers!$A:$M,13,0),""))</f>
        <v/>
      </c>
      <c r="D177" s="42" t="str">
        <f t="shared" ca="1" si="15"/>
        <v/>
      </c>
      <c r="E177" s="32"/>
      <c r="F177" s="43" t="str">
        <f t="shared" si="16"/>
        <v/>
      </c>
      <c r="G177" s="30" t="s">
        <v>60</v>
      </c>
      <c r="H177" s="41"/>
      <c r="I177" s="33" t="str">
        <f>IF(A177="","",IF(H177="","⚠️ Enter Agent Code",IF(IFERROR(VLOOKUP(G177,DB_Agents!$B:$F,4,0),"")=TEXT(H177,"0"),IF(AND(A177&lt;&gt;"",E177&lt;&gt;""),"✅ Saved","Pending"),"🔒 WRONG CODE")))</f>
        <v/>
      </c>
      <c r="J177" s="33" t="str">
        <f t="shared" ca="1" si="17"/>
        <v>—</v>
      </c>
      <c r="K177" s="22"/>
    </row>
    <row r="178" spans="1:11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IF(A178="","",IFERROR(VLOOKUP(A178,DB_Customers!$A:$M,13,0),""))</f>
        <v/>
      </c>
      <c r="D178" s="42" t="str">
        <f t="shared" ca="1" si="15"/>
        <v/>
      </c>
      <c r="E178" s="32"/>
      <c r="F178" s="43" t="str">
        <f t="shared" si="16"/>
        <v/>
      </c>
      <c r="G178" s="30" t="s">
        <v>60</v>
      </c>
      <c r="H178" s="41"/>
      <c r="I178" s="33" t="str">
        <f>IF(A178="","",IF(H178="","⚠️ Enter Agent Code",IF(IFERROR(VLOOKUP(G178,DB_Agents!$B:$F,4,0),"")=TEXT(H178,"0"),IF(AND(A178&lt;&gt;"",E178&lt;&gt;""),"✅ Saved","Pending"),"🔒 WRONG CODE")))</f>
        <v/>
      </c>
      <c r="J178" s="33" t="str">
        <f t="shared" ca="1" si="17"/>
        <v>—</v>
      </c>
      <c r="K178" s="46"/>
    </row>
    <row r="179" spans="1:11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IF(A179="","",IFERROR(VLOOKUP(A179,DB_Customers!$A:$M,13,0),""))</f>
        <v/>
      </c>
      <c r="D179" s="42" t="str">
        <f t="shared" ca="1" si="15"/>
        <v/>
      </c>
      <c r="E179" s="32"/>
      <c r="F179" s="43" t="str">
        <f t="shared" si="16"/>
        <v/>
      </c>
      <c r="G179" s="30" t="s">
        <v>60</v>
      </c>
      <c r="H179" s="41"/>
      <c r="I179" s="33" t="str">
        <f>IF(A179="","",IF(H179="","⚠️ Enter Agent Code",IF(IFERROR(VLOOKUP(G179,DB_Agents!$B:$F,4,0),"")=TEXT(H179,"0"),IF(AND(A179&lt;&gt;"",E179&lt;&gt;""),"✅ Saved","Pending"),"🔒 WRONG CODE")))</f>
        <v/>
      </c>
      <c r="J179" s="33" t="str">
        <f t="shared" ca="1" si="17"/>
        <v>—</v>
      </c>
      <c r="K179" s="22"/>
    </row>
    <row r="180" spans="1:11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IF(A180="","",IFERROR(VLOOKUP(A180,DB_Customers!$A:$M,13,0),""))</f>
        <v/>
      </c>
      <c r="D180" s="42" t="str">
        <f t="shared" ca="1" si="15"/>
        <v/>
      </c>
      <c r="E180" s="32"/>
      <c r="F180" s="43" t="str">
        <f t="shared" si="16"/>
        <v/>
      </c>
      <c r="G180" s="30" t="s">
        <v>60</v>
      </c>
      <c r="H180" s="41"/>
      <c r="I180" s="33" t="str">
        <f>IF(A180="","",IF(H180="","⚠️ Enter Agent Code",IF(IFERROR(VLOOKUP(G180,DB_Agents!$B:$F,4,0),"")=TEXT(H180,"0"),IF(AND(A180&lt;&gt;"",E180&lt;&gt;""),"✅ Saved","Pending"),"🔒 WRONG CODE")))</f>
        <v/>
      </c>
      <c r="J180" s="33" t="str">
        <f t="shared" ca="1" si="17"/>
        <v>—</v>
      </c>
      <c r="K180" s="46"/>
    </row>
    <row r="181" spans="1:11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IF(A181="","",IFERROR(VLOOKUP(A181,DB_Customers!$A:$M,13,0),""))</f>
        <v/>
      </c>
      <c r="D181" s="42" t="str">
        <f t="shared" ca="1" si="15"/>
        <v/>
      </c>
      <c r="E181" s="32"/>
      <c r="F181" s="43" t="str">
        <f t="shared" si="16"/>
        <v/>
      </c>
      <c r="G181" s="30" t="s">
        <v>60</v>
      </c>
      <c r="H181" s="41"/>
      <c r="I181" s="33" t="str">
        <f>IF(A181="","",IF(H181="","⚠️ Enter Agent Code",IF(IFERROR(VLOOKUP(G181,DB_Agents!$B:$F,4,0),"")=TEXT(H181,"0"),IF(AND(A181&lt;&gt;"",E181&lt;&gt;""),"✅ Saved","Pending"),"🔒 WRONG CODE")))</f>
        <v/>
      </c>
      <c r="J181" s="33" t="str">
        <f t="shared" ca="1" si="17"/>
        <v>—</v>
      </c>
      <c r="K181" s="22"/>
    </row>
    <row r="182" spans="1:11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IF(A182="","",IFERROR(VLOOKUP(A182,DB_Customers!$A:$M,13,0),""))</f>
        <v/>
      </c>
      <c r="D182" s="42" t="str">
        <f t="shared" ca="1" si="15"/>
        <v/>
      </c>
      <c r="E182" s="32"/>
      <c r="F182" s="43" t="str">
        <f t="shared" si="16"/>
        <v/>
      </c>
      <c r="G182" s="30" t="s">
        <v>60</v>
      </c>
      <c r="H182" s="41"/>
      <c r="I182" s="33" t="str">
        <f>IF(A182="","",IF(H182="","⚠️ Enter Agent Code",IF(IFERROR(VLOOKUP(G182,DB_Agents!$B:$F,4,0),"")=TEXT(H182,"0"),IF(AND(A182&lt;&gt;"",E182&lt;&gt;""),"✅ Saved","Pending"),"🔒 WRONG CODE")))</f>
        <v/>
      </c>
      <c r="J182" s="33" t="str">
        <f t="shared" ca="1" si="17"/>
        <v>—</v>
      </c>
      <c r="K182" s="46"/>
    </row>
    <row r="183" spans="1:11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IF(A183="","",IFERROR(VLOOKUP(A183,DB_Customers!$A:$M,13,0),""))</f>
        <v/>
      </c>
      <c r="D183" s="42" t="str">
        <f t="shared" ca="1" si="15"/>
        <v/>
      </c>
      <c r="E183" s="32"/>
      <c r="F183" s="43" t="str">
        <f t="shared" si="16"/>
        <v/>
      </c>
      <c r="G183" s="30" t="s">
        <v>60</v>
      </c>
      <c r="H183" s="41"/>
      <c r="I183" s="33" t="str">
        <f>IF(A183="","",IF(H183="","⚠️ Enter Agent Code",IF(IFERROR(VLOOKUP(G183,DB_Agents!$B:$F,4,0),"")=TEXT(H183,"0"),IF(AND(A183&lt;&gt;"",E183&lt;&gt;""),"✅ Saved","Pending"),"🔒 WRONG CODE")))</f>
        <v/>
      </c>
      <c r="J183" s="33" t="str">
        <f t="shared" ca="1" si="17"/>
        <v>—</v>
      </c>
      <c r="K183" s="22"/>
    </row>
    <row r="184" spans="1:11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IF(A184="","",IFERROR(VLOOKUP(A184,DB_Customers!$A:$M,13,0),""))</f>
        <v/>
      </c>
      <c r="D184" s="42" t="str">
        <f t="shared" ca="1" si="15"/>
        <v/>
      </c>
      <c r="E184" s="32"/>
      <c r="F184" s="43" t="str">
        <f t="shared" si="16"/>
        <v/>
      </c>
      <c r="G184" s="30" t="s">
        <v>60</v>
      </c>
      <c r="H184" s="41"/>
      <c r="I184" s="33" t="str">
        <f>IF(A184="","",IF(H184="","⚠️ Enter Agent Code",IF(IFERROR(VLOOKUP(G184,DB_Agents!$B:$F,4,0),"")=TEXT(H184,"0"),IF(AND(A184&lt;&gt;"",E184&lt;&gt;""),"✅ Saved","Pending"),"🔒 WRONG CODE")))</f>
        <v/>
      </c>
      <c r="J184" s="33" t="str">
        <f t="shared" ca="1" si="17"/>
        <v>—</v>
      </c>
      <c r="K184" s="46"/>
    </row>
    <row r="185" spans="1:11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IF(A185="","",IFERROR(VLOOKUP(A185,DB_Customers!$A:$M,13,0),""))</f>
        <v/>
      </c>
      <c r="D185" s="42" t="str">
        <f t="shared" ca="1" si="15"/>
        <v/>
      </c>
      <c r="E185" s="32"/>
      <c r="F185" s="43" t="str">
        <f t="shared" si="16"/>
        <v/>
      </c>
      <c r="G185" s="30" t="s">
        <v>60</v>
      </c>
      <c r="H185" s="41"/>
      <c r="I185" s="33" t="str">
        <f>IF(A185="","",IF(H185="","⚠️ Enter Agent Code",IF(IFERROR(VLOOKUP(G185,DB_Agents!$B:$F,4,0),"")=TEXT(H185,"0"),IF(AND(A185&lt;&gt;"",E185&lt;&gt;""),"✅ Saved","Pending"),"🔒 WRONG CODE")))</f>
        <v/>
      </c>
      <c r="J185" s="33" t="str">
        <f t="shared" ca="1" si="17"/>
        <v>—</v>
      </c>
      <c r="K185" s="22"/>
    </row>
    <row r="186" spans="1:11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IF(A186="","",IFERROR(VLOOKUP(A186,DB_Customers!$A:$M,13,0),""))</f>
        <v/>
      </c>
      <c r="D186" s="42" t="str">
        <f t="shared" ca="1" si="15"/>
        <v/>
      </c>
      <c r="E186" s="32"/>
      <c r="F186" s="43" t="str">
        <f t="shared" si="16"/>
        <v/>
      </c>
      <c r="G186" s="30" t="s">
        <v>60</v>
      </c>
      <c r="H186" s="41"/>
      <c r="I186" s="33" t="str">
        <f>IF(A186="","",IF(H186="","⚠️ Enter Agent Code",IF(IFERROR(VLOOKUP(G186,DB_Agents!$B:$F,4,0),"")=TEXT(H186,"0"),IF(AND(A186&lt;&gt;"",E186&lt;&gt;""),"✅ Saved","Pending"),"🔒 WRONG CODE")))</f>
        <v/>
      </c>
      <c r="J186" s="33" t="str">
        <f t="shared" ca="1" si="17"/>
        <v>—</v>
      </c>
      <c r="K186" s="46"/>
    </row>
    <row r="187" spans="1:11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IF(A187="","",IFERROR(VLOOKUP(A187,DB_Customers!$A:$M,13,0),""))</f>
        <v/>
      </c>
      <c r="D187" s="42" t="str">
        <f t="shared" ca="1" si="15"/>
        <v/>
      </c>
      <c r="E187" s="32"/>
      <c r="F187" s="43" t="str">
        <f t="shared" si="16"/>
        <v/>
      </c>
      <c r="G187" s="30" t="s">
        <v>60</v>
      </c>
      <c r="H187" s="41"/>
      <c r="I187" s="33" t="str">
        <f>IF(A187="","",IF(H187="","⚠️ Enter Agent Code",IF(IFERROR(VLOOKUP(G187,DB_Agents!$B:$F,4,0),"")=TEXT(H187,"0"),IF(AND(A187&lt;&gt;"",E187&lt;&gt;""),"✅ Saved","Pending"),"🔒 WRONG CODE")))</f>
        <v/>
      </c>
      <c r="J187" s="33" t="str">
        <f t="shared" ca="1" si="17"/>
        <v>—</v>
      </c>
      <c r="K187" s="22"/>
    </row>
    <row r="188" spans="1:11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IF(A188="","",IFERROR(VLOOKUP(A188,DB_Customers!$A:$M,13,0),""))</f>
        <v/>
      </c>
      <c r="D188" s="42" t="str">
        <f t="shared" ca="1" si="15"/>
        <v/>
      </c>
      <c r="E188" s="32"/>
      <c r="F188" s="43" t="str">
        <f t="shared" si="16"/>
        <v/>
      </c>
      <c r="G188" s="30" t="s">
        <v>60</v>
      </c>
      <c r="H188" s="41"/>
      <c r="I188" s="33" t="str">
        <f>IF(A188="","",IF(H188="","⚠️ Enter Agent Code",IF(IFERROR(VLOOKUP(G188,DB_Agents!$B:$F,4,0),"")=TEXT(H188,"0"),IF(AND(A188&lt;&gt;"",E188&lt;&gt;""),"✅ Saved","Pending"),"🔒 WRONG CODE")))</f>
        <v/>
      </c>
      <c r="J188" s="33" t="str">
        <f t="shared" ca="1" si="17"/>
        <v>—</v>
      </c>
      <c r="K188" s="46"/>
    </row>
    <row r="189" spans="1:11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IF(A189="","",IFERROR(VLOOKUP(A189,DB_Customers!$A:$M,13,0),""))</f>
        <v/>
      </c>
      <c r="D189" s="42" t="str">
        <f t="shared" ca="1" si="15"/>
        <v/>
      </c>
      <c r="E189" s="32"/>
      <c r="F189" s="43" t="str">
        <f t="shared" si="16"/>
        <v/>
      </c>
      <c r="G189" s="30" t="s">
        <v>60</v>
      </c>
      <c r="H189" s="41"/>
      <c r="I189" s="33" t="str">
        <f>IF(A189="","",IF(H189="","⚠️ Enter Agent Code",IF(IFERROR(VLOOKUP(G189,DB_Agents!$B:$F,4,0),"")=TEXT(H189,"0"),IF(AND(A189&lt;&gt;"",E189&lt;&gt;""),"✅ Saved","Pending"),"🔒 WRONG CODE")))</f>
        <v/>
      </c>
      <c r="J189" s="33" t="str">
        <f t="shared" ca="1" si="17"/>
        <v>—</v>
      </c>
      <c r="K189" s="22"/>
    </row>
    <row r="190" spans="1:11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IF(A190="","",IFERROR(VLOOKUP(A190,DB_Customers!$A:$M,13,0),""))</f>
        <v/>
      </c>
      <c r="D190" s="42" t="str">
        <f t="shared" ca="1" si="15"/>
        <v/>
      </c>
      <c r="E190" s="32"/>
      <c r="F190" s="43" t="str">
        <f t="shared" si="16"/>
        <v/>
      </c>
      <c r="G190" s="30" t="s">
        <v>60</v>
      </c>
      <c r="H190" s="41"/>
      <c r="I190" s="33" t="str">
        <f>IF(A190="","",IF(H190="","⚠️ Enter Agent Code",IF(IFERROR(VLOOKUP(G190,DB_Agents!$B:$F,4,0),"")=TEXT(H190,"0"),IF(AND(A190&lt;&gt;"",E190&lt;&gt;""),"✅ Saved","Pending"),"🔒 WRONG CODE")))</f>
        <v/>
      </c>
      <c r="J190" s="33" t="str">
        <f t="shared" ca="1" si="17"/>
        <v>—</v>
      </c>
      <c r="K190" s="46"/>
    </row>
    <row r="191" spans="1:11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IF(A191="","",IFERROR(VLOOKUP(A191,DB_Customers!$A:$M,13,0),""))</f>
        <v/>
      </c>
      <c r="D191" s="42" t="str">
        <f t="shared" ca="1" si="15"/>
        <v/>
      </c>
      <c r="E191" s="32"/>
      <c r="F191" s="43" t="str">
        <f t="shared" si="16"/>
        <v/>
      </c>
      <c r="G191" s="30" t="s">
        <v>60</v>
      </c>
      <c r="H191" s="41"/>
      <c r="I191" s="33" t="str">
        <f>IF(A191="","",IF(H191="","⚠️ Enter Agent Code",IF(IFERROR(VLOOKUP(G191,DB_Agents!$B:$F,4,0),"")=TEXT(H191,"0"),IF(AND(A191&lt;&gt;"",E191&lt;&gt;""),"✅ Saved","Pending"),"🔒 WRONG CODE")))</f>
        <v/>
      </c>
      <c r="J191" s="33" t="str">
        <f t="shared" ca="1" si="17"/>
        <v>—</v>
      </c>
      <c r="K191" s="22"/>
    </row>
    <row r="192" spans="1:11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IF(A192="","",IFERROR(VLOOKUP(A192,DB_Customers!$A:$M,13,0),""))</f>
        <v/>
      </c>
      <c r="D192" s="42" t="str">
        <f t="shared" ca="1" si="15"/>
        <v/>
      </c>
      <c r="E192" s="32"/>
      <c r="F192" s="43" t="str">
        <f t="shared" si="16"/>
        <v/>
      </c>
      <c r="G192" s="30" t="s">
        <v>60</v>
      </c>
      <c r="H192" s="41"/>
      <c r="I192" s="33" t="str">
        <f>IF(A192="","",IF(H192="","⚠️ Enter Agent Code",IF(IFERROR(VLOOKUP(G192,DB_Agents!$B:$F,4,0),"")=TEXT(H192,"0"),IF(AND(A192&lt;&gt;"",E192&lt;&gt;""),"✅ Saved","Pending"),"🔒 WRONG CODE")))</f>
        <v/>
      </c>
      <c r="J192" s="33" t="str">
        <f t="shared" ca="1" si="17"/>
        <v>—</v>
      </c>
      <c r="K192" s="46"/>
    </row>
    <row r="193" spans="1:11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IF(A193="","",IFERROR(VLOOKUP(A193,DB_Customers!$A:$M,13,0),""))</f>
        <v/>
      </c>
      <c r="D193" s="42" t="str">
        <f t="shared" ca="1" si="15"/>
        <v/>
      </c>
      <c r="E193" s="32"/>
      <c r="F193" s="43" t="str">
        <f t="shared" si="16"/>
        <v/>
      </c>
      <c r="G193" s="30" t="s">
        <v>60</v>
      </c>
      <c r="H193" s="41"/>
      <c r="I193" s="33" t="str">
        <f>IF(A193="","",IF(H193="","⚠️ Enter Agent Code",IF(IFERROR(VLOOKUP(G193,DB_Agents!$B:$F,4,0),"")=TEXT(H193,"0"),IF(AND(A193&lt;&gt;"",E193&lt;&gt;""),"✅ Saved","Pending"),"🔒 WRONG CODE")))</f>
        <v/>
      </c>
      <c r="J193" s="33" t="str">
        <f t="shared" ca="1" si="17"/>
        <v>—</v>
      </c>
      <c r="K193" s="22"/>
    </row>
    <row r="194" spans="1:11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IF(A194="","",IFERROR(VLOOKUP(A194,DB_Customers!$A:$M,13,0),""))</f>
        <v/>
      </c>
      <c r="D194" s="42" t="str">
        <f t="shared" ca="1" si="15"/>
        <v/>
      </c>
      <c r="E194" s="32"/>
      <c r="F194" s="43" t="str">
        <f t="shared" si="16"/>
        <v/>
      </c>
      <c r="G194" s="30" t="s">
        <v>60</v>
      </c>
      <c r="H194" s="41"/>
      <c r="I194" s="33" t="str">
        <f>IF(A194="","",IF(H194="","⚠️ Enter Agent Code",IF(IFERROR(VLOOKUP(G194,DB_Agents!$B:$F,4,0),"")=TEXT(H194,"0"),IF(AND(A194&lt;&gt;"",E194&lt;&gt;""),"✅ Saved","Pending"),"🔒 WRONG CODE")))</f>
        <v/>
      </c>
      <c r="J194" s="33" t="str">
        <f t="shared" ca="1" si="17"/>
        <v>—</v>
      </c>
      <c r="K194" s="46"/>
    </row>
    <row r="195" spans="1:11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IF(A195="","",IFERROR(VLOOKUP(A195,DB_Customers!$A:$M,13,0),""))</f>
        <v/>
      </c>
      <c r="D195" s="42" t="str">
        <f t="shared" ca="1" si="15"/>
        <v/>
      </c>
      <c r="E195" s="32"/>
      <c r="F195" s="43" t="str">
        <f t="shared" si="16"/>
        <v/>
      </c>
      <c r="G195" s="30" t="s">
        <v>60</v>
      </c>
      <c r="H195" s="41"/>
      <c r="I195" s="33" t="str">
        <f>IF(A195="","",IF(H195="","⚠️ Enter Agent Code",IF(IFERROR(VLOOKUP(G195,DB_Agents!$B:$F,4,0),"")=TEXT(H195,"0"),IF(AND(A195&lt;&gt;"",E195&lt;&gt;""),"✅ Saved","Pending"),"🔒 WRONG CODE")))</f>
        <v/>
      </c>
      <c r="J195" s="33" t="str">
        <f t="shared" ca="1" si="17"/>
        <v>—</v>
      </c>
      <c r="K195" s="22"/>
    </row>
    <row r="196" spans="1:11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IF(A196="","",IFERROR(VLOOKUP(A196,DB_Customers!$A:$M,13,0),""))</f>
        <v/>
      </c>
      <c r="D196" s="42" t="str">
        <f t="shared" ca="1" si="15"/>
        <v/>
      </c>
      <c r="E196" s="32"/>
      <c r="F196" s="43" t="str">
        <f t="shared" si="16"/>
        <v/>
      </c>
      <c r="G196" s="30" t="s">
        <v>60</v>
      </c>
      <c r="H196" s="41"/>
      <c r="I196" s="33" t="str">
        <f>IF(A196="","",IF(H196="","⚠️ Enter Agent Code",IF(IFERROR(VLOOKUP(G196,DB_Agents!$B:$F,4,0),"")=TEXT(H196,"0"),IF(AND(A196&lt;&gt;"",E196&lt;&gt;""),"✅ Saved","Pending"),"🔒 WRONG CODE")))</f>
        <v/>
      </c>
      <c r="J196" s="33" t="str">
        <f t="shared" ca="1" si="17"/>
        <v>—</v>
      </c>
      <c r="K196" s="46"/>
    </row>
    <row r="197" spans="1:11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IF(A197="","",IFERROR(VLOOKUP(A197,DB_Customers!$A:$M,13,0),""))</f>
        <v/>
      </c>
      <c r="D197" s="42" t="str">
        <f t="shared" ca="1" si="15"/>
        <v/>
      </c>
      <c r="E197" s="32"/>
      <c r="F197" s="43" t="str">
        <f t="shared" si="16"/>
        <v/>
      </c>
      <c r="G197" s="30" t="s">
        <v>60</v>
      </c>
      <c r="H197" s="41"/>
      <c r="I197" s="33" t="str">
        <f>IF(A197="","",IF(H197="","⚠️ Enter Agent Code",IF(IFERROR(VLOOKUP(G197,DB_Agents!$B:$F,4,0),"")=TEXT(H197,"0"),IF(AND(A197&lt;&gt;"",E197&lt;&gt;""),"✅ Saved","Pending"),"🔒 WRONG CODE")))</f>
        <v/>
      </c>
      <c r="J197" s="33" t="str">
        <f t="shared" ca="1" si="17"/>
        <v>—</v>
      </c>
      <c r="K197" s="22"/>
    </row>
    <row r="198" spans="1:11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IF(A198="","",IFERROR(VLOOKUP(A198,DB_Customers!$A:$M,13,0),""))</f>
        <v/>
      </c>
      <c r="D198" s="42" t="str">
        <f t="shared" ca="1" si="15"/>
        <v/>
      </c>
      <c r="E198" s="32"/>
      <c r="F198" s="43" t="str">
        <f t="shared" si="16"/>
        <v/>
      </c>
      <c r="G198" s="30" t="s">
        <v>60</v>
      </c>
      <c r="H198" s="41"/>
      <c r="I198" s="33" t="str">
        <f>IF(A198="","",IF(H198="","⚠️ Enter Agent Code",IF(IFERROR(VLOOKUP(G198,DB_Agents!$B:$F,4,0),"")=TEXT(H198,"0"),IF(AND(A198&lt;&gt;"",E198&lt;&gt;""),"✅ Saved","Pending"),"🔒 WRONG CODE")))</f>
        <v/>
      </c>
      <c r="J198" s="33" t="str">
        <f t="shared" ca="1" si="17"/>
        <v>—</v>
      </c>
      <c r="K198" s="46"/>
    </row>
    <row r="199" spans="1:11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IF(A199="","",IFERROR(VLOOKUP(A199,DB_Customers!$A:$M,13,0),""))</f>
        <v/>
      </c>
      <c r="D199" s="42" t="str">
        <f t="shared" ca="1" si="15"/>
        <v/>
      </c>
      <c r="E199" s="32"/>
      <c r="F199" s="43" t="str">
        <f t="shared" si="16"/>
        <v/>
      </c>
      <c r="G199" s="30" t="s">
        <v>60</v>
      </c>
      <c r="H199" s="41"/>
      <c r="I199" s="33" t="str">
        <f>IF(A199="","",IF(H199="","⚠️ Enter Agent Code",IF(IFERROR(VLOOKUP(G199,DB_Agents!$B:$F,4,0),"")=TEXT(H199,"0"),IF(AND(A199&lt;&gt;"",E199&lt;&gt;""),"✅ Saved","Pending"),"🔒 WRONG CODE")))</f>
        <v/>
      </c>
      <c r="J199" s="33" t="str">
        <f t="shared" ca="1" si="17"/>
        <v>—</v>
      </c>
      <c r="K199" s="22"/>
    </row>
    <row r="200" spans="1:11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IF(A200="","",IFERROR(VLOOKUP(A200,DB_Customers!$A:$M,13,0),""))</f>
        <v/>
      </c>
      <c r="D200" s="42" t="str">
        <f t="shared" ca="1" si="15"/>
        <v/>
      </c>
      <c r="E200" s="32"/>
      <c r="F200" s="43" t="str">
        <f t="shared" si="16"/>
        <v/>
      </c>
      <c r="G200" s="30" t="s">
        <v>60</v>
      </c>
      <c r="H200" s="41"/>
      <c r="I200" s="33" t="str">
        <f>IF(A200="","",IF(H200="","⚠️ Enter Agent Code",IF(IFERROR(VLOOKUP(G200,DB_Agents!$B:$F,4,0),"")=TEXT(H200,"0"),IF(AND(A200&lt;&gt;"",E200&lt;&gt;""),"✅ Saved","Pending"),"🔒 WRONG CODE")))</f>
        <v/>
      </c>
      <c r="J200" s="33" t="str">
        <f t="shared" ca="1" si="17"/>
        <v>—</v>
      </c>
      <c r="K200" s="46"/>
    </row>
    <row r="201" spans="1:11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IF(A201="","",IFERROR(VLOOKUP(A201,DB_Customers!$A:$M,13,0),""))</f>
        <v/>
      </c>
      <c r="D201" s="42" t="str">
        <f t="shared" ref="D201:D208" ca="1" si="18">IF(A201="","",TODAY())</f>
        <v/>
      </c>
      <c r="E201" s="32"/>
      <c r="F201" s="43" t="str">
        <f t="shared" ref="F201:F232" si="19">IFERROR(IF(OR(A201="",E201=""),"",C201+E201),"")</f>
        <v/>
      </c>
      <c r="G201" s="30" t="s">
        <v>60</v>
      </c>
      <c r="H201" s="41"/>
      <c r="I201" s="33" t="str">
        <f>IF(A201="","",IF(H201="","⚠️ Enter Agent Code",IF(IFERROR(VLOOKUP(G201,DB_Agents!$B:$F,4,0),"")=TEXT(H201,"0"),IF(AND(A201&lt;&gt;"",E201&lt;&gt;""),"✅ Saved","Pending"),"🔒 WRONG CODE")))</f>
        <v/>
      </c>
      <c r="J201" s="33" t="str">
        <f t="shared" ref="J201:J232" ca="1" si="20">IF(I201="✅ Saved",TEXT(TODAY(),"YYYY-MM-DD")&amp;" Auto","—")</f>
        <v>—</v>
      </c>
      <c r="K201" s="22"/>
    </row>
    <row r="202" spans="1:11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IF(A202="","",IFERROR(VLOOKUP(A202,DB_Customers!$A:$M,13,0),""))</f>
        <v/>
      </c>
      <c r="D202" s="42" t="str">
        <f t="shared" ca="1" si="18"/>
        <v/>
      </c>
      <c r="E202" s="32"/>
      <c r="F202" s="43" t="str">
        <f t="shared" si="19"/>
        <v/>
      </c>
      <c r="G202" s="30" t="s">
        <v>60</v>
      </c>
      <c r="H202" s="41"/>
      <c r="I202" s="33" t="str">
        <f>IF(A202="","",IF(H202="","⚠️ Enter Agent Code",IF(IFERROR(VLOOKUP(G202,DB_Agents!$B:$F,4,0),"")=TEXT(H202,"0"),IF(AND(A202&lt;&gt;"",E202&lt;&gt;""),"✅ Saved","Pending"),"🔒 WRONG CODE")))</f>
        <v/>
      </c>
      <c r="J202" s="33" t="str">
        <f t="shared" ca="1" si="20"/>
        <v>—</v>
      </c>
      <c r="K202" s="46"/>
    </row>
    <row r="203" spans="1:11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IF(A203="","",IFERROR(VLOOKUP(A203,DB_Customers!$A:$M,13,0),""))</f>
        <v/>
      </c>
      <c r="D203" s="42" t="str">
        <f t="shared" ca="1" si="18"/>
        <v/>
      </c>
      <c r="E203" s="32"/>
      <c r="F203" s="43" t="str">
        <f t="shared" si="19"/>
        <v/>
      </c>
      <c r="G203" s="30" t="s">
        <v>60</v>
      </c>
      <c r="H203" s="41"/>
      <c r="I203" s="33" t="str">
        <f>IF(A203="","",IF(H203="","⚠️ Enter Agent Code",IF(IFERROR(VLOOKUP(G203,DB_Agents!$B:$F,4,0),"")=TEXT(H203,"0"),IF(AND(A203&lt;&gt;"",E203&lt;&gt;""),"✅ Saved","Pending"),"🔒 WRONG CODE")))</f>
        <v/>
      </c>
      <c r="J203" s="33" t="str">
        <f t="shared" ca="1" si="20"/>
        <v>—</v>
      </c>
      <c r="K203" s="22"/>
    </row>
    <row r="204" spans="1:11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IF(A204="","",IFERROR(VLOOKUP(A204,DB_Customers!$A:$M,13,0),""))</f>
        <v/>
      </c>
      <c r="D204" s="42" t="str">
        <f t="shared" ca="1" si="18"/>
        <v/>
      </c>
      <c r="E204" s="32"/>
      <c r="F204" s="43" t="str">
        <f t="shared" si="19"/>
        <v/>
      </c>
      <c r="G204" s="30" t="s">
        <v>60</v>
      </c>
      <c r="H204" s="41"/>
      <c r="I204" s="33" t="str">
        <f>IF(A204="","",IF(H204="","⚠️ Enter Agent Code",IF(IFERROR(VLOOKUP(G204,DB_Agents!$B:$F,4,0),"")=TEXT(H204,"0"),IF(AND(A204&lt;&gt;"",E204&lt;&gt;""),"✅ Saved","Pending"),"🔒 WRONG CODE")))</f>
        <v/>
      </c>
      <c r="J204" s="33" t="str">
        <f t="shared" ca="1" si="20"/>
        <v>—</v>
      </c>
      <c r="K204" s="46"/>
    </row>
    <row r="205" spans="1:11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IF(A205="","",IFERROR(VLOOKUP(A205,DB_Customers!$A:$M,13,0),""))</f>
        <v/>
      </c>
      <c r="D205" s="42" t="str">
        <f t="shared" ca="1" si="18"/>
        <v/>
      </c>
      <c r="E205" s="32"/>
      <c r="F205" s="43" t="str">
        <f t="shared" si="19"/>
        <v/>
      </c>
      <c r="G205" s="30" t="s">
        <v>60</v>
      </c>
      <c r="H205" s="41"/>
      <c r="I205" s="33" t="str">
        <f>IF(A205="","",IF(H205="","⚠️ Enter Agent Code",IF(IFERROR(VLOOKUP(G205,DB_Agents!$B:$F,4,0),"")=TEXT(H205,"0"),IF(AND(A205&lt;&gt;"",E205&lt;&gt;""),"✅ Saved","Pending"),"🔒 WRONG CODE")))</f>
        <v/>
      </c>
      <c r="J205" s="33" t="str">
        <f t="shared" ca="1" si="20"/>
        <v>—</v>
      </c>
      <c r="K205" s="22"/>
    </row>
    <row r="206" spans="1:11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IF(A206="","",IFERROR(VLOOKUP(A206,DB_Customers!$A:$M,13,0),""))</f>
        <v/>
      </c>
      <c r="D206" s="42" t="str">
        <f t="shared" ca="1" si="18"/>
        <v/>
      </c>
      <c r="E206" s="32"/>
      <c r="F206" s="43" t="str">
        <f t="shared" si="19"/>
        <v/>
      </c>
      <c r="G206" s="30" t="s">
        <v>60</v>
      </c>
      <c r="H206" s="41"/>
      <c r="I206" s="33" t="str">
        <f>IF(A206="","",IF(H206="","⚠️ Enter Agent Code",IF(IFERROR(VLOOKUP(G206,DB_Agents!$B:$F,4,0),"")=TEXT(H206,"0"),IF(AND(A206&lt;&gt;"",E206&lt;&gt;""),"✅ Saved","Pending"),"🔒 WRONG CODE")))</f>
        <v/>
      </c>
      <c r="J206" s="33" t="str">
        <f t="shared" ca="1" si="20"/>
        <v>—</v>
      </c>
      <c r="K206" s="46"/>
    </row>
    <row r="207" spans="1:11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IF(A207="","",IFERROR(VLOOKUP(A207,DB_Customers!$A:$M,13,0),""))</f>
        <v/>
      </c>
      <c r="D207" s="42" t="str">
        <f t="shared" ca="1" si="18"/>
        <v/>
      </c>
      <c r="E207" s="32"/>
      <c r="F207" s="43" t="str">
        <f t="shared" si="19"/>
        <v/>
      </c>
      <c r="G207" s="30" t="s">
        <v>60</v>
      </c>
      <c r="H207" s="41"/>
      <c r="I207" s="33" t="str">
        <f>IF(A207="","",IF(H207="","⚠️ Enter Agent Code",IF(IFERROR(VLOOKUP(G207,DB_Agents!$B:$F,4,0),"")=TEXT(H207,"0"),IF(AND(A207&lt;&gt;"",E207&lt;&gt;""),"✅ Saved","Pending"),"🔒 WRONG CODE")))</f>
        <v/>
      </c>
      <c r="J207" s="33" t="str">
        <f t="shared" ca="1" si="20"/>
        <v>—</v>
      </c>
      <c r="K207" s="22"/>
    </row>
    <row r="208" spans="1:11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IF(A208="","",IFERROR(VLOOKUP(A208,DB_Customers!$A:$M,13,0),""))</f>
        <v/>
      </c>
      <c r="D208" s="42" t="str">
        <f t="shared" ca="1" si="18"/>
        <v/>
      </c>
      <c r="E208" s="32"/>
      <c r="F208" s="43" t="str">
        <f t="shared" si="19"/>
        <v/>
      </c>
      <c r="G208" s="30" t="s">
        <v>60</v>
      </c>
      <c r="H208" s="41"/>
      <c r="I208" s="33" t="str">
        <f>IF(A208="","",IF(H208="","⚠️ Enter Agent Code",IF(IFERROR(VLOOKUP(G208,DB_Agents!$B:$F,4,0),"")=TEXT(H208,"0"),IF(AND(A208&lt;&gt;"",E208&lt;&gt;""),"✅ Saved","Pending"),"🔒 WRONG CODE")))</f>
        <v/>
      </c>
      <c r="J208" s="33" t="str">
        <f t="shared" ca="1" si="20"/>
        <v>—</v>
      </c>
      <c r="K208" s="46"/>
    </row>
  </sheetData>
  <mergeCells count="4">
    <mergeCell ref="A2:K2"/>
    <mergeCell ref="A6:K6"/>
    <mergeCell ref="A1:K1"/>
    <mergeCell ref="A7:K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2.1" customHeight="1" x14ac:dyDescent="0.25">
      <c r="A1" s="94" t="s">
        <v>198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26.1" customHeight="1" x14ac:dyDescent="0.25">
      <c r="A2" s="97" t="s">
        <v>199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20.100000000000001" customHeight="1" x14ac:dyDescent="0.25">
      <c r="A3" s="47" t="s">
        <v>138</v>
      </c>
      <c r="D3" s="44" t="s">
        <v>139</v>
      </c>
      <c r="G3" s="48" t="s">
        <v>140</v>
      </c>
      <c r="J3" s="47" t="s">
        <v>128</v>
      </c>
    </row>
    <row r="4" spans="1:12" ht="24" customHeight="1" x14ac:dyDescent="0.25">
      <c r="A4" s="49">
        <f ca="1">IFERROR(SUMIFS(DB_Withdrawals!$G:$G,DB_Withdrawals!$I:$I,"Agent 07",DB_Withdrawals!$E:$E,TODAY()),0)</f>
        <v>0</v>
      </c>
      <c r="D4" s="49">
        <f ca="1">IFERROR(COUNTIFS(DB_Withdrawals!$I:$I,"Agent 07",DB_Withdrawals!$J:$J,"✅ Successful",DB_Withdrawals!$E:$E,TODAY()),0)</f>
        <v>0</v>
      </c>
      <c r="G4" s="49">
        <f ca="1">IFERROR(COUNTIFS(DB_Withdrawals!$I:$I,"Agent 07",DB_Withdrawals!$J:$J,"❌ Insufficient Funds",DB_Withdrawals!$E:$E,TODAY()),0)</f>
        <v>0</v>
      </c>
      <c r="J4" s="49" t="str">
        <f ca="1">TEXT(TODAY(),"DD MMM YYYY")</f>
        <v>25 Apr 2026</v>
      </c>
    </row>
    <row r="6" spans="1:12" ht="26.1" customHeight="1" x14ac:dyDescent="0.25">
      <c r="A6" s="90" t="s">
        <v>141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</row>
    <row r="8" spans="1:12" ht="30" customHeight="1" x14ac:dyDescent="0.25">
      <c r="A8" s="19" t="s">
        <v>131</v>
      </c>
      <c r="B8" s="19" t="s">
        <v>69</v>
      </c>
      <c r="C8" s="19" t="s">
        <v>85</v>
      </c>
      <c r="D8" s="19" t="s">
        <v>91</v>
      </c>
      <c r="E8" s="19" t="s">
        <v>142</v>
      </c>
      <c r="F8" s="19" t="s">
        <v>143</v>
      </c>
      <c r="G8" s="19" t="s">
        <v>133</v>
      </c>
      <c r="H8" s="19" t="s">
        <v>45</v>
      </c>
      <c r="I8" s="19" t="s">
        <v>134</v>
      </c>
      <c r="J8" s="19" t="s">
        <v>77</v>
      </c>
      <c r="K8" s="19" t="s">
        <v>135</v>
      </c>
      <c r="L8" s="19" t="s">
        <v>95</v>
      </c>
    </row>
    <row r="9" spans="1:12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IF(A9="","",IFERROR(VLOOKUP(A9,DB_Customers!$A:$N,14,0),""))</f>
        <v/>
      </c>
      <c r="D9" s="42" t="str">
        <f t="shared" ref="D9:D40" ca="1" si="0">IF(A9="","",TODAY())</f>
        <v/>
      </c>
      <c r="E9" s="32"/>
      <c r="F9" s="31"/>
      <c r="G9" s="43" t="str">
        <f t="shared" ref="G9:G40" si="1">IFERROR(IF(OR(A9="",E9=""),"",C9-E9),"")</f>
        <v/>
      </c>
      <c r="H9" s="30" t="s">
        <v>60</v>
      </c>
      <c r="I9" s="41"/>
      <c r="J9" s="33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9" s="33" t="str">
        <f t="shared" ref="K9:K40" ca="1" si="2">IF(J9="✅ Successful",TEXT(TODAY(),"YYYY-MM-DD")&amp;" Auto","—")</f>
        <v>—</v>
      </c>
      <c r="L9" s="22"/>
    </row>
    <row r="10" spans="1:12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IF(A10="","",IFERROR(VLOOKUP(A10,DB_Customers!$A:$N,14,0),""))</f>
        <v/>
      </c>
      <c r="D10" s="42" t="str">
        <f t="shared" ca="1" si="0"/>
        <v/>
      </c>
      <c r="E10" s="32"/>
      <c r="F10" s="31"/>
      <c r="G10" s="43" t="str">
        <f t="shared" si="1"/>
        <v/>
      </c>
      <c r="H10" s="30" t="s">
        <v>60</v>
      </c>
      <c r="I10" s="41"/>
      <c r="J10" s="33" t="str">
        <f>IF(AND(A10&lt;&gt;"",E10&lt;&gt;""),IF(I10="","⚠️ Enter Code",IF(IFERROR(VLOOKUP(H10,DB_Agents!$B:$F,4,0),"")=TEXT(I10,"0"),IF(C10&gt;=E10,"✅ Successful","❌ Insufficient Funds"),"🔒 WRONG CODE")),"Pending")</f>
        <v>Pending</v>
      </c>
      <c r="K10" s="33" t="str">
        <f t="shared" ca="1" si="2"/>
        <v>—</v>
      </c>
      <c r="L10" s="50"/>
    </row>
    <row r="11" spans="1:12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IF(A11="","",IFERROR(VLOOKUP(A11,DB_Customers!$A:$N,14,0),""))</f>
        <v/>
      </c>
      <c r="D11" s="42" t="str">
        <f t="shared" ca="1" si="0"/>
        <v/>
      </c>
      <c r="E11" s="32"/>
      <c r="F11" s="31"/>
      <c r="G11" s="43" t="str">
        <f t="shared" si="1"/>
        <v/>
      </c>
      <c r="H11" s="30" t="s">
        <v>60</v>
      </c>
      <c r="I11" s="41"/>
      <c r="J11" s="33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1" s="33" t="str">
        <f t="shared" ca="1" si="2"/>
        <v>—</v>
      </c>
      <c r="L11" s="22"/>
    </row>
    <row r="12" spans="1:12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IF(A12="","",IFERROR(VLOOKUP(A12,DB_Customers!$A:$N,14,0),""))</f>
        <v/>
      </c>
      <c r="D12" s="42" t="str">
        <f t="shared" ca="1" si="0"/>
        <v/>
      </c>
      <c r="E12" s="32"/>
      <c r="F12" s="31"/>
      <c r="G12" s="43" t="str">
        <f t="shared" si="1"/>
        <v/>
      </c>
      <c r="H12" s="30" t="s">
        <v>60</v>
      </c>
      <c r="I12" s="41"/>
      <c r="J12" s="33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2" s="33" t="str">
        <f t="shared" ca="1" si="2"/>
        <v>—</v>
      </c>
      <c r="L12" s="50"/>
    </row>
    <row r="13" spans="1:12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IF(A13="","",IFERROR(VLOOKUP(A13,DB_Customers!$A:$N,14,0),""))</f>
        <v/>
      </c>
      <c r="D13" s="42" t="str">
        <f t="shared" ca="1" si="0"/>
        <v/>
      </c>
      <c r="E13" s="32"/>
      <c r="F13" s="31"/>
      <c r="G13" s="43" t="str">
        <f t="shared" si="1"/>
        <v/>
      </c>
      <c r="H13" s="30" t="s">
        <v>60</v>
      </c>
      <c r="I13" s="41"/>
      <c r="J13" s="33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3" s="33" t="str">
        <f t="shared" ca="1" si="2"/>
        <v>—</v>
      </c>
      <c r="L13" s="22"/>
    </row>
    <row r="14" spans="1:12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IF(A14="","",IFERROR(VLOOKUP(A14,DB_Customers!$A:$N,14,0),""))</f>
        <v/>
      </c>
      <c r="D14" s="42" t="str">
        <f t="shared" ca="1" si="0"/>
        <v/>
      </c>
      <c r="E14" s="32"/>
      <c r="F14" s="31"/>
      <c r="G14" s="43" t="str">
        <f t="shared" si="1"/>
        <v/>
      </c>
      <c r="H14" s="30" t="s">
        <v>60</v>
      </c>
      <c r="I14" s="41"/>
      <c r="J14" s="33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4" s="33" t="str">
        <f t="shared" ca="1" si="2"/>
        <v>—</v>
      </c>
      <c r="L14" s="50"/>
    </row>
    <row r="15" spans="1:12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IF(A15="","",IFERROR(VLOOKUP(A15,DB_Customers!$A:$N,14,0),""))</f>
        <v/>
      </c>
      <c r="D15" s="42" t="str">
        <f t="shared" ca="1" si="0"/>
        <v/>
      </c>
      <c r="E15" s="32"/>
      <c r="F15" s="31"/>
      <c r="G15" s="43" t="str">
        <f t="shared" si="1"/>
        <v/>
      </c>
      <c r="H15" s="30" t="s">
        <v>60</v>
      </c>
      <c r="I15" s="41"/>
      <c r="J15" s="33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5" s="33" t="str">
        <f t="shared" ca="1" si="2"/>
        <v>—</v>
      </c>
      <c r="L15" s="22"/>
    </row>
    <row r="16" spans="1:12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IF(A16="","",IFERROR(VLOOKUP(A16,DB_Customers!$A:$N,14,0),""))</f>
        <v/>
      </c>
      <c r="D16" s="42" t="str">
        <f t="shared" ca="1" si="0"/>
        <v/>
      </c>
      <c r="E16" s="32"/>
      <c r="F16" s="31"/>
      <c r="G16" s="43" t="str">
        <f t="shared" si="1"/>
        <v/>
      </c>
      <c r="H16" s="30" t="s">
        <v>60</v>
      </c>
      <c r="I16" s="41"/>
      <c r="J16" s="33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6" s="33" t="str">
        <f t="shared" ca="1" si="2"/>
        <v>—</v>
      </c>
      <c r="L16" s="50"/>
    </row>
    <row r="17" spans="1:12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IF(A17="","",IFERROR(VLOOKUP(A17,DB_Customers!$A:$N,14,0),""))</f>
        <v/>
      </c>
      <c r="D17" s="42" t="str">
        <f t="shared" ca="1" si="0"/>
        <v/>
      </c>
      <c r="E17" s="32"/>
      <c r="F17" s="31"/>
      <c r="G17" s="43" t="str">
        <f t="shared" si="1"/>
        <v/>
      </c>
      <c r="H17" s="30" t="s">
        <v>60</v>
      </c>
      <c r="I17" s="41"/>
      <c r="J17" s="33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7" s="33" t="str">
        <f t="shared" ca="1" si="2"/>
        <v>—</v>
      </c>
      <c r="L17" s="22"/>
    </row>
    <row r="18" spans="1:12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IF(A18="","",IFERROR(VLOOKUP(A18,DB_Customers!$A:$N,14,0),""))</f>
        <v/>
      </c>
      <c r="D18" s="42" t="str">
        <f t="shared" ca="1" si="0"/>
        <v/>
      </c>
      <c r="E18" s="32"/>
      <c r="F18" s="31"/>
      <c r="G18" s="43" t="str">
        <f t="shared" si="1"/>
        <v/>
      </c>
      <c r="H18" s="30" t="s">
        <v>60</v>
      </c>
      <c r="I18" s="41"/>
      <c r="J18" s="33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18" s="33" t="str">
        <f t="shared" ca="1" si="2"/>
        <v>—</v>
      </c>
      <c r="L18" s="50"/>
    </row>
    <row r="19" spans="1:12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IF(A19="","",IFERROR(VLOOKUP(A19,DB_Customers!$A:$N,14,0),""))</f>
        <v/>
      </c>
      <c r="D19" s="42" t="str">
        <f t="shared" ca="1" si="0"/>
        <v/>
      </c>
      <c r="E19" s="32"/>
      <c r="F19" s="31"/>
      <c r="G19" s="43" t="str">
        <f t="shared" si="1"/>
        <v/>
      </c>
      <c r="H19" s="30" t="s">
        <v>60</v>
      </c>
      <c r="I19" s="41"/>
      <c r="J19" s="33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19" s="33" t="str">
        <f t="shared" ca="1" si="2"/>
        <v>—</v>
      </c>
      <c r="L19" s="22"/>
    </row>
    <row r="20" spans="1:12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IF(A20="","",IFERROR(VLOOKUP(A20,DB_Customers!$A:$N,14,0),""))</f>
        <v/>
      </c>
      <c r="D20" s="42" t="str">
        <f t="shared" ca="1" si="0"/>
        <v/>
      </c>
      <c r="E20" s="32"/>
      <c r="F20" s="31"/>
      <c r="G20" s="43" t="str">
        <f t="shared" si="1"/>
        <v/>
      </c>
      <c r="H20" s="30" t="s">
        <v>60</v>
      </c>
      <c r="I20" s="41"/>
      <c r="J20" s="33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0" s="33" t="str">
        <f t="shared" ca="1" si="2"/>
        <v>—</v>
      </c>
      <c r="L20" s="50"/>
    </row>
    <row r="21" spans="1:12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IF(A21="","",IFERROR(VLOOKUP(A21,DB_Customers!$A:$N,14,0),""))</f>
        <v/>
      </c>
      <c r="D21" s="42" t="str">
        <f t="shared" ca="1" si="0"/>
        <v/>
      </c>
      <c r="E21" s="32"/>
      <c r="F21" s="31"/>
      <c r="G21" s="43" t="str">
        <f t="shared" si="1"/>
        <v/>
      </c>
      <c r="H21" s="30" t="s">
        <v>60</v>
      </c>
      <c r="I21" s="41"/>
      <c r="J21" s="33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1" s="33" t="str">
        <f t="shared" ca="1" si="2"/>
        <v>—</v>
      </c>
      <c r="L21" s="22"/>
    </row>
    <row r="22" spans="1:12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IF(A22="","",IFERROR(VLOOKUP(A22,DB_Customers!$A:$N,14,0),""))</f>
        <v/>
      </c>
      <c r="D22" s="42" t="str">
        <f t="shared" ca="1" si="0"/>
        <v/>
      </c>
      <c r="E22" s="32"/>
      <c r="F22" s="31"/>
      <c r="G22" s="43" t="str">
        <f t="shared" si="1"/>
        <v/>
      </c>
      <c r="H22" s="30" t="s">
        <v>60</v>
      </c>
      <c r="I22" s="41"/>
      <c r="J22" s="33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2" s="33" t="str">
        <f t="shared" ca="1" si="2"/>
        <v>—</v>
      </c>
      <c r="L22" s="50"/>
    </row>
    <row r="23" spans="1:12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IF(A23="","",IFERROR(VLOOKUP(A23,DB_Customers!$A:$N,14,0),""))</f>
        <v/>
      </c>
      <c r="D23" s="42" t="str">
        <f t="shared" ca="1" si="0"/>
        <v/>
      </c>
      <c r="E23" s="32"/>
      <c r="F23" s="31"/>
      <c r="G23" s="43" t="str">
        <f t="shared" si="1"/>
        <v/>
      </c>
      <c r="H23" s="30" t="s">
        <v>60</v>
      </c>
      <c r="I23" s="41"/>
      <c r="J23" s="33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3" s="33" t="str">
        <f t="shared" ca="1" si="2"/>
        <v>—</v>
      </c>
      <c r="L23" s="22"/>
    </row>
    <row r="24" spans="1:12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IF(A24="","",IFERROR(VLOOKUP(A24,DB_Customers!$A:$N,14,0),""))</f>
        <v/>
      </c>
      <c r="D24" s="42" t="str">
        <f t="shared" ca="1" si="0"/>
        <v/>
      </c>
      <c r="E24" s="32"/>
      <c r="F24" s="31"/>
      <c r="G24" s="43" t="str">
        <f t="shared" si="1"/>
        <v/>
      </c>
      <c r="H24" s="30" t="s">
        <v>60</v>
      </c>
      <c r="I24" s="41"/>
      <c r="J24" s="33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4" s="33" t="str">
        <f t="shared" ca="1" si="2"/>
        <v>—</v>
      </c>
      <c r="L24" s="50"/>
    </row>
    <row r="25" spans="1:12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IF(A25="","",IFERROR(VLOOKUP(A25,DB_Customers!$A:$N,14,0),""))</f>
        <v/>
      </c>
      <c r="D25" s="42" t="str">
        <f t="shared" ca="1" si="0"/>
        <v/>
      </c>
      <c r="E25" s="32"/>
      <c r="F25" s="31"/>
      <c r="G25" s="43" t="str">
        <f t="shared" si="1"/>
        <v/>
      </c>
      <c r="H25" s="30" t="s">
        <v>60</v>
      </c>
      <c r="I25" s="41"/>
      <c r="J25" s="33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5" s="33" t="str">
        <f t="shared" ca="1" si="2"/>
        <v>—</v>
      </c>
      <c r="L25" s="22"/>
    </row>
    <row r="26" spans="1:12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IF(A26="","",IFERROR(VLOOKUP(A26,DB_Customers!$A:$N,14,0),""))</f>
        <v/>
      </c>
      <c r="D26" s="42" t="str">
        <f t="shared" ca="1" si="0"/>
        <v/>
      </c>
      <c r="E26" s="32"/>
      <c r="F26" s="31"/>
      <c r="G26" s="43" t="str">
        <f t="shared" si="1"/>
        <v/>
      </c>
      <c r="H26" s="30" t="s">
        <v>60</v>
      </c>
      <c r="I26" s="41"/>
      <c r="J26" s="33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6" s="33" t="str">
        <f t="shared" ca="1" si="2"/>
        <v>—</v>
      </c>
      <c r="L26" s="50"/>
    </row>
    <row r="27" spans="1:12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IF(A27="","",IFERROR(VLOOKUP(A27,DB_Customers!$A:$N,14,0),""))</f>
        <v/>
      </c>
      <c r="D27" s="42" t="str">
        <f t="shared" ca="1" si="0"/>
        <v/>
      </c>
      <c r="E27" s="32"/>
      <c r="F27" s="31"/>
      <c r="G27" s="43" t="str">
        <f t="shared" si="1"/>
        <v/>
      </c>
      <c r="H27" s="30" t="s">
        <v>60</v>
      </c>
      <c r="I27" s="41"/>
      <c r="J27" s="33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7" s="33" t="str">
        <f t="shared" ca="1" si="2"/>
        <v>—</v>
      </c>
      <c r="L27" s="22"/>
    </row>
    <row r="28" spans="1:12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IF(A28="","",IFERROR(VLOOKUP(A28,DB_Customers!$A:$N,14,0),""))</f>
        <v/>
      </c>
      <c r="D28" s="42" t="str">
        <f t="shared" ca="1" si="0"/>
        <v/>
      </c>
      <c r="E28" s="32"/>
      <c r="F28" s="31"/>
      <c r="G28" s="43" t="str">
        <f t="shared" si="1"/>
        <v/>
      </c>
      <c r="H28" s="30" t="s">
        <v>60</v>
      </c>
      <c r="I28" s="41"/>
      <c r="J28" s="33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28" s="33" t="str">
        <f t="shared" ca="1" si="2"/>
        <v>—</v>
      </c>
      <c r="L28" s="50"/>
    </row>
    <row r="29" spans="1:12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IF(A29="","",IFERROR(VLOOKUP(A29,DB_Customers!$A:$N,14,0),""))</f>
        <v/>
      </c>
      <c r="D29" s="42" t="str">
        <f t="shared" ca="1" si="0"/>
        <v/>
      </c>
      <c r="E29" s="32"/>
      <c r="F29" s="31"/>
      <c r="G29" s="43" t="str">
        <f t="shared" si="1"/>
        <v/>
      </c>
      <c r="H29" s="30" t="s">
        <v>60</v>
      </c>
      <c r="I29" s="41"/>
      <c r="J29" s="33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29" s="33" t="str">
        <f t="shared" ca="1" si="2"/>
        <v>—</v>
      </c>
      <c r="L29" s="22"/>
    </row>
    <row r="30" spans="1:12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IF(A30="","",IFERROR(VLOOKUP(A30,DB_Customers!$A:$N,14,0),""))</f>
        <v/>
      </c>
      <c r="D30" s="42" t="str">
        <f t="shared" ca="1" si="0"/>
        <v/>
      </c>
      <c r="E30" s="32"/>
      <c r="F30" s="31"/>
      <c r="G30" s="43" t="str">
        <f t="shared" si="1"/>
        <v/>
      </c>
      <c r="H30" s="30" t="s">
        <v>60</v>
      </c>
      <c r="I30" s="41"/>
      <c r="J30" s="33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0" s="33" t="str">
        <f t="shared" ca="1" si="2"/>
        <v>—</v>
      </c>
      <c r="L30" s="50"/>
    </row>
    <row r="31" spans="1:12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IF(A31="","",IFERROR(VLOOKUP(A31,DB_Customers!$A:$N,14,0),""))</f>
        <v/>
      </c>
      <c r="D31" s="42" t="str">
        <f t="shared" ca="1" si="0"/>
        <v/>
      </c>
      <c r="E31" s="32"/>
      <c r="F31" s="31"/>
      <c r="G31" s="43" t="str">
        <f t="shared" si="1"/>
        <v/>
      </c>
      <c r="H31" s="30" t="s">
        <v>60</v>
      </c>
      <c r="I31" s="41"/>
      <c r="J31" s="33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1" s="33" t="str">
        <f t="shared" ca="1" si="2"/>
        <v>—</v>
      </c>
      <c r="L31" s="22"/>
    </row>
    <row r="32" spans="1:12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IF(A32="","",IFERROR(VLOOKUP(A32,DB_Customers!$A:$N,14,0),""))</f>
        <v/>
      </c>
      <c r="D32" s="42" t="str">
        <f t="shared" ca="1" si="0"/>
        <v/>
      </c>
      <c r="E32" s="32"/>
      <c r="F32" s="31"/>
      <c r="G32" s="43" t="str">
        <f t="shared" si="1"/>
        <v/>
      </c>
      <c r="H32" s="30" t="s">
        <v>60</v>
      </c>
      <c r="I32" s="41"/>
      <c r="J32" s="33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2" s="33" t="str">
        <f t="shared" ca="1" si="2"/>
        <v>—</v>
      </c>
      <c r="L32" s="50"/>
    </row>
    <row r="33" spans="1:12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IF(A33="","",IFERROR(VLOOKUP(A33,DB_Customers!$A:$N,14,0),""))</f>
        <v/>
      </c>
      <c r="D33" s="42" t="str">
        <f t="shared" ca="1" si="0"/>
        <v/>
      </c>
      <c r="E33" s="32"/>
      <c r="F33" s="31"/>
      <c r="G33" s="43" t="str">
        <f t="shared" si="1"/>
        <v/>
      </c>
      <c r="H33" s="30" t="s">
        <v>60</v>
      </c>
      <c r="I33" s="41"/>
      <c r="J33" s="33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3" s="33" t="str">
        <f t="shared" ca="1" si="2"/>
        <v>—</v>
      </c>
      <c r="L33" s="22"/>
    </row>
    <row r="34" spans="1:12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IF(A34="","",IFERROR(VLOOKUP(A34,DB_Customers!$A:$N,14,0),""))</f>
        <v/>
      </c>
      <c r="D34" s="42" t="str">
        <f t="shared" ca="1" si="0"/>
        <v/>
      </c>
      <c r="E34" s="32"/>
      <c r="F34" s="31"/>
      <c r="G34" s="43" t="str">
        <f t="shared" si="1"/>
        <v/>
      </c>
      <c r="H34" s="30" t="s">
        <v>60</v>
      </c>
      <c r="I34" s="41"/>
      <c r="J34" s="33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4" s="33" t="str">
        <f t="shared" ca="1" si="2"/>
        <v>—</v>
      </c>
      <c r="L34" s="50"/>
    </row>
    <row r="35" spans="1:12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IF(A35="","",IFERROR(VLOOKUP(A35,DB_Customers!$A:$N,14,0),""))</f>
        <v/>
      </c>
      <c r="D35" s="42" t="str">
        <f t="shared" ca="1" si="0"/>
        <v/>
      </c>
      <c r="E35" s="32"/>
      <c r="F35" s="31"/>
      <c r="G35" s="43" t="str">
        <f t="shared" si="1"/>
        <v/>
      </c>
      <c r="H35" s="30" t="s">
        <v>60</v>
      </c>
      <c r="I35" s="41"/>
      <c r="J35" s="33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5" s="33" t="str">
        <f t="shared" ca="1" si="2"/>
        <v>—</v>
      </c>
      <c r="L35" s="22"/>
    </row>
    <row r="36" spans="1:12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IF(A36="","",IFERROR(VLOOKUP(A36,DB_Customers!$A:$N,14,0),""))</f>
        <v/>
      </c>
      <c r="D36" s="42" t="str">
        <f t="shared" ca="1" si="0"/>
        <v/>
      </c>
      <c r="E36" s="32"/>
      <c r="F36" s="31"/>
      <c r="G36" s="43" t="str">
        <f t="shared" si="1"/>
        <v/>
      </c>
      <c r="H36" s="30" t="s">
        <v>60</v>
      </c>
      <c r="I36" s="41"/>
      <c r="J36" s="33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6" s="33" t="str">
        <f t="shared" ca="1" si="2"/>
        <v>—</v>
      </c>
      <c r="L36" s="50"/>
    </row>
    <row r="37" spans="1:12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IF(A37="","",IFERROR(VLOOKUP(A37,DB_Customers!$A:$N,14,0),""))</f>
        <v/>
      </c>
      <c r="D37" s="42" t="str">
        <f t="shared" ca="1" si="0"/>
        <v/>
      </c>
      <c r="E37" s="32"/>
      <c r="F37" s="31"/>
      <c r="G37" s="43" t="str">
        <f t="shared" si="1"/>
        <v/>
      </c>
      <c r="H37" s="30" t="s">
        <v>60</v>
      </c>
      <c r="I37" s="41"/>
      <c r="J37" s="33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7" s="33" t="str">
        <f t="shared" ca="1" si="2"/>
        <v>—</v>
      </c>
      <c r="L37" s="22"/>
    </row>
    <row r="38" spans="1:12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IF(A38="","",IFERROR(VLOOKUP(A38,DB_Customers!$A:$N,14,0),""))</f>
        <v/>
      </c>
      <c r="D38" s="42" t="str">
        <f t="shared" ca="1" si="0"/>
        <v/>
      </c>
      <c r="E38" s="32"/>
      <c r="F38" s="31"/>
      <c r="G38" s="43" t="str">
        <f t="shared" si="1"/>
        <v/>
      </c>
      <c r="H38" s="30" t="s">
        <v>60</v>
      </c>
      <c r="I38" s="41"/>
      <c r="J38" s="33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38" s="33" t="str">
        <f t="shared" ca="1" si="2"/>
        <v>—</v>
      </c>
      <c r="L38" s="50"/>
    </row>
    <row r="39" spans="1:12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IF(A39="","",IFERROR(VLOOKUP(A39,DB_Customers!$A:$N,14,0),""))</f>
        <v/>
      </c>
      <c r="D39" s="42" t="str">
        <f t="shared" ca="1" si="0"/>
        <v/>
      </c>
      <c r="E39" s="32"/>
      <c r="F39" s="31"/>
      <c r="G39" s="43" t="str">
        <f t="shared" si="1"/>
        <v/>
      </c>
      <c r="H39" s="30" t="s">
        <v>60</v>
      </c>
      <c r="I39" s="41"/>
      <c r="J39" s="33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39" s="33" t="str">
        <f t="shared" ca="1" si="2"/>
        <v>—</v>
      </c>
      <c r="L39" s="22"/>
    </row>
    <row r="40" spans="1:12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IF(A40="","",IFERROR(VLOOKUP(A40,DB_Customers!$A:$N,14,0),""))</f>
        <v/>
      </c>
      <c r="D40" s="42" t="str">
        <f t="shared" ca="1" si="0"/>
        <v/>
      </c>
      <c r="E40" s="32"/>
      <c r="F40" s="31"/>
      <c r="G40" s="43" t="str">
        <f t="shared" si="1"/>
        <v/>
      </c>
      <c r="H40" s="30" t="s">
        <v>60</v>
      </c>
      <c r="I40" s="41"/>
      <c r="J40" s="33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0" s="33" t="str">
        <f t="shared" ca="1" si="2"/>
        <v>—</v>
      </c>
      <c r="L40" s="50"/>
    </row>
    <row r="41" spans="1:12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IF(A41="","",IFERROR(VLOOKUP(A41,DB_Customers!$A:$N,14,0),""))</f>
        <v/>
      </c>
      <c r="D41" s="42" t="str">
        <f t="shared" ref="D41:D72" ca="1" si="3">IF(A41="","",TODAY())</f>
        <v/>
      </c>
      <c r="E41" s="32"/>
      <c r="F41" s="31"/>
      <c r="G41" s="43" t="str">
        <f t="shared" ref="G41:G72" si="4">IFERROR(IF(OR(A41="",E41=""),"",C41-E41),"")</f>
        <v/>
      </c>
      <c r="H41" s="30" t="s">
        <v>60</v>
      </c>
      <c r="I41" s="41"/>
      <c r="J41" s="33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1" s="33" t="str">
        <f t="shared" ref="K41:K72" ca="1" si="5">IF(J41="✅ Successful",TEXT(TODAY(),"YYYY-MM-DD")&amp;" Auto","—")</f>
        <v>—</v>
      </c>
      <c r="L41" s="22"/>
    </row>
    <row r="42" spans="1:12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IF(A42="","",IFERROR(VLOOKUP(A42,DB_Customers!$A:$N,14,0),""))</f>
        <v/>
      </c>
      <c r="D42" s="42" t="str">
        <f t="shared" ca="1" si="3"/>
        <v/>
      </c>
      <c r="E42" s="32"/>
      <c r="F42" s="31"/>
      <c r="G42" s="43" t="str">
        <f t="shared" si="4"/>
        <v/>
      </c>
      <c r="H42" s="30" t="s">
        <v>60</v>
      </c>
      <c r="I42" s="41"/>
      <c r="J42" s="33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2" s="33" t="str">
        <f t="shared" ca="1" si="5"/>
        <v>—</v>
      </c>
      <c r="L42" s="50"/>
    </row>
    <row r="43" spans="1:12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IF(A43="","",IFERROR(VLOOKUP(A43,DB_Customers!$A:$N,14,0),""))</f>
        <v/>
      </c>
      <c r="D43" s="42" t="str">
        <f t="shared" ca="1" si="3"/>
        <v/>
      </c>
      <c r="E43" s="32"/>
      <c r="F43" s="31"/>
      <c r="G43" s="43" t="str">
        <f t="shared" si="4"/>
        <v/>
      </c>
      <c r="H43" s="30" t="s">
        <v>60</v>
      </c>
      <c r="I43" s="41"/>
      <c r="J43" s="33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3" s="33" t="str">
        <f t="shared" ca="1" si="5"/>
        <v>—</v>
      </c>
      <c r="L43" s="22"/>
    </row>
    <row r="44" spans="1:12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IF(A44="","",IFERROR(VLOOKUP(A44,DB_Customers!$A:$N,14,0),""))</f>
        <v/>
      </c>
      <c r="D44" s="42" t="str">
        <f t="shared" ca="1" si="3"/>
        <v/>
      </c>
      <c r="E44" s="32"/>
      <c r="F44" s="31"/>
      <c r="G44" s="43" t="str">
        <f t="shared" si="4"/>
        <v/>
      </c>
      <c r="H44" s="30" t="s">
        <v>60</v>
      </c>
      <c r="I44" s="41"/>
      <c r="J44" s="33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4" s="33" t="str">
        <f t="shared" ca="1" si="5"/>
        <v>—</v>
      </c>
      <c r="L44" s="50"/>
    </row>
    <row r="45" spans="1:12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IF(A45="","",IFERROR(VLOOKUP(A45,DB_Customers!$A:$N,14,0),""))</f>
        <v/>
      </c>
      <c r="D45" s="42" t="str">
        <f t="shared" ca="1" si="3"/>
        <v/>
      </c>
      <c r="E45" s="32"/>
      <c r="F45" s="31"/>
      <c r="G45" s="43" t="str">
        <f t="shared" si="4"/>
        <v/>
      </c>
      <c r="H45" s="30" t="s">
        <v>60</v>
      </c>
      <c r="I45" s="41"/>
      <c r="J45" s="33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5" s="33" t="str">
        <f t="shared" ca="1" si="5"/>
        <v>—</v>
      </c>
      <c r="L45" s="22"/>
    </row>
    <row r="46" spans="1:12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IF(A46="","",IFERROR(VLOOKUP(A46,DB_Customers!$A:$N,14,0),""))</f>
        <v/>
      </c>
      <c r="D46" s="42" t="str">
        <f t="shared" ca="1" si="3"/>
        <v/>
      </c>
      <c r="E46" s="32"/>
      <c r="F46" s="31"/>
      <c r="G46" s="43" t="str">
        <f t="shared" si="4"/>
        <v/>
      </c>
      <c r="H46" s="30" t="s">
        <v>60</v>
      </c>
      <c r="I46" s="41"/>
      <c r="J46" s="33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6" s="33" t="str">
        <f t="shared" ca="1" si="5"/>
        <v>—</v>
      </c>
      <c r="L46" s="50"/>
    </row>
    <row r="47" spans="1:12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IF(A47="","",IFERROR(VLOOKUP(A47,DB_Customers!$A:$N,14,0),""))</f>
        <v/>
      </c>
      <c r="D47" s="42" t="str">
        <f t="shared" ca="1" si="3"/>
        <v/>
      </c>
      <c r="E47" s="32"/>
      <c r="F47" s="31"/>
      <c r="G47" s="43" t="str">
        <f t="shared" si="4"/>
        <v/>
      </c>
      <c r="H47" s="30" t="s">
        <v>60</v>
      </c>
      <c r="I47" s="41"/>
      <c r="J47" s="33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7" s="33" t="str">
        <f t="shared" ca="1" si="5"/>
        <v>—</v>
      </c>
      <c r="L47" s="22"/>
    </row>
    <row r="48" spans="1:12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IF(A48="","",IFERROR(VLOOKUP(A48,DB_Customers!$A:$N,14,0),""))</f>
        <v/>
      </c>
      <c r="D48" s="42" t="str">
        <f t="shared" ca="1" si="3"/>
        <v/>
      </c>
      <c r="E48" s="32"/>
      <c r="F48" s="31"/>
      <c r="G48" s="43" t="str">
        <f t="shared" si="4"/>
        <v/>
      </c>
      <c r="H48" s="30" t="s">
        <v>60</v>
      </c>
      <c r="I48" s="41"/>
      <c r="J48" s="33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48" s="33" t="str">
        <f t="shared" ca="1" si="5"/>
        <v>—</v>
      </c>
      <c r="L48" s="50"/>
    </row>
    <row r="49" spans="1:12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IF(A49="","",IFERROR(VLOOKUP(A49,DB_Customers!$A:$N,14,0),""))</f>
        <v/>
      </c>
      <c r="D49" s="42" t="str">
        <f t="shared" ca="1" si="3"/>
        <v/>
      </c>
      <c r="E49" s="32"/>
      <c r="F49" s="31"/>
      <c r="G49" s="43" t="str">
        <f t="shared" si="4"/>
        <v/>
      </c>
      <c r="H49" s="30" t="s">
        <v>60</v>
      </c>
      <c r="I49" s="41"/>
      <c r="J49" s="33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49" s="33" t="str">
        <f t="shared" ca="1" si="5"/>
        <v>—</v>
      </c>
      <c r="L49" s="22"/>
    </row>
    <row r="50" spans="1:12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IF(A50="","",IFERROR(VLOOKUP(A50,DB_Customers!$A:$N,14,0),""))</f>
        <v/>
      </c>
      <c r="D50" s="42" t="str">
        <f t="shared" ca="1" si="3"/>
        <v/>
      </c>
      <c r="E50" s="32"/>
      <c r="F50" s="31"/>
      <c r="G50" s="43" t="str">
        <f t="shared" si="4"/>
        <v/>
      </c>
      <c r="H50" s="30" t="s">
        <v>60</v>
      </c>
      <c r="I50" s="41"/>
      <c r="J50" s="33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0" s="33" t="str">
        <f t="shared" ca="1" si="5"/>
        <v>—</v>
      </c>
      <c r="L50" s="50"/>
    </row>
    <row r="51" spans="1:12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IF(A51="","",IFERROR(VLOOKUP(A51,DB_Customers!$A:$N,14,0),""))</f>
        <v/>
      </c>
      <c r="D51" s="42" t="str">
        <f t="shared" ca="1" si="3"/>
        <v/>
      </c>
      <c r="E51" s="32"/>
      <c r="F51" s="31"/>
      <c r="G51" s="43" t="str">
        <f t="shared" si="4"/>
        <v/>
      </c>
      <c r="H51" s="30" t="s">
        <v>60</v>
      </c>
      <c r="I51" s="41"/>
      <c r="J51" s="33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1" s="33" t="str">
        <f t="shared" ca="1" si="5"/>
        <v>—</v>
      </c>
      <c r="L51" s="22"/>
    </row>
    <row r="52" spans="1:12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IF(A52="","",IFERROR(VLOOKUP(A52,DB_Customers!$A:$N,14,0),""))</f>
        <v/>
      </c>
      <c r="D52" s="42" t="str">
        <f t="shared" ca="1" si="3"/>
        <v/>
      </c>
      <c r="E52" s="32"/>
      <c r="F52" s="31"/>
      <c r="G52" s="43" t="str">
        <f t="shared" si="4"/>
        <v/>
      </c>
      <c r="H52" s="30" t="s">
        <v>60</v>
      </c>
      <c r="I52" s="41"/>
      <c r="J52" s="33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2" s="33" t="str">
        <f t="shared" ca="1" si="5"/>
        <v>—</v>
      </c>
      <c r="L52" s="50"/>
    </row>
    <row r="53" spans="1:12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IF(A53="","",IFERROR(VLOOKUP(A53,DB_Customers!$A:$N,14,0),""))</f>
        <v/>
      </c>
      <c r="D53" s="42" t="str">
        <f t="shared" ca="1" si="3"/>
        <v/>
      </c>
      <c r="E53" s="32"/>
      <c r="F53" s="31"/>
      <c r="G53" s="43" t="str">
        <f t="shared" si="4"/>
        <v/>
      </c>
      <c r="H53" s="30" t="s">
        <v>60</v>
      </c>
      <c r="I53" s="41"/>
      <c r="J53" s="33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3" s="33" t="str">
        <f t="shared" ca="1" si="5"/>
        <v>—</v>
      </c>
      <c r="L53" s="22"/>
    </row>
    <row r="54" spans="1:12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IF(A54="","",IFERROR(VLOOKUP(A54,DB_Customers!$A:$N,14,0),""))</f>
        <v/>
      </c>
      <c r="D54" s="42" t="str">
        <f t="shared" ca="1" si="3"/>
        <v/>
      </c>
      <c r="E54" s="32"/>
      <c r="F54" s="31"/>
      <c r="G54" s="43" t="str">
        <f t="shared" si="4"/>
        <v/>
      </c>
      <c r="H54" s="30" t="s">
        <v>60</v>
      </c>
      <c r="I54" s="41"/>
      <c r="J54" s="33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4" s="33" t="str">
        <f t="shared" ca="1" si="5"/>
        <v>—</v>
      </c>
      <c r="L54" s="50"/>
    </row>
    <row r="55" spans="1:12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IF(A55="","",IFERROR(VLOOKUP(A55,DB_Customers!$A:$N,14,0),""))</f>
        <v/>
      </c>
      <c r="D55" s="42" t="str">
        <f t="shared" ca="1" si="3"/>
        <v/>
      </c>
      <c r="E55" s="32"/>
      <c r="F55" s="31"/>
      <c r="G55" s="43" t="str">
        <f t="shared" si="4"/>
        <v/>
      </c>
      <c r="H55" s="30" t="s">
        <v>60</v>
      </c>
      <c r="I55" s="41"/>
      <c r="J55" s="33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5" s="33" t="str">
        <f t="shared" ca="1" si="5"/>
        <v>—</v>
      </c>
      <c r="L55" s="22"/>
    </row>
    <row r="56" spans="1:12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IF(A56="","",IFERROR(VLOOKUP(A56,DB_Customers!$A:$N,14,0),""))</f>
        <v/>
      </c>
      <c r="D56" s="42" t="str">
        <f t="shared" ca="1" si="3"/>
        <v/>
      </c>
      <c r="E56" s="32"/>
      <c r="F56" s="31"/>
      <c r="G56" s="43" t="str">
        <f t="shared" si="4"/>
        <v/>
      </c>
      <c r="H56" s="30" t="s">
        <v>60</v>
      </c>
      <c r="I56" s="41"/>
      <c r="J56" s="33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6" s="33" t="str">
        <f t="shared" ca="1" si="5"/>
        <v>—</v>
      </c>
      <c r="L56" s="50"/>
    </row>
    <row r="57" spans="1:12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IF(A57="","",IFERROR(VLOOKUP(A57,DB_Customers!$A:$N,14,0),""))</f>
        <v/>
      </c>
      <c r="D57" s="42" t="str">
        <f t="shared" ca="1" si="3"/>
        <v/>
      </c>
      <c r="E57" s="32"/>
      <c r="F57" s="31"/>
      <c r="G57" s="43" t="str">
        <f t="shared" si="4"/>
        <v/>
      </c>
      <c r="H57" s="30" t="s">
        <v>60</v>
      </c>
      <c r="I57" s="41"/>
      <c r="J57" s="33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7" s="33" t="str">
        <f t="shared" ca="1" si="5"/>
        <v>—</v>
      </c>
      <c r="L57" s="22"/>
    </row>
    <row r="58" spans="1:12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IF(A58="","",IFERROR(VLOOKUP(A58,DB_Customers!$A:$N,14,0),""))</f>
        <v/>
      </c>
      <c r="D58" s="42" t="str">
        <f t="shared" ca="1" si="3"/>
        <v/>
      </c>
      <c r="E58" s="32"/>
      <c r="F58" s="31"/>
      <c r="G58" s="43" t="str">
        <f t="shared" si="4"/>
        <v/>
      </c>
      <c r="H58" s="30" t="s">
        <v>60</v>
      </c>
      <c r="I58" s="41"/>
      <c r="J58" s="33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58" s="33" t="str">
        <f t="shared" ca="1" si="5"/>
        <v>—</v>
      </c>
      <c r="L58" s="50"/>
    </row>
    <row r="59" spans="1:12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IF(A59="","",IFERROR(VLOOKUP(A59,DB_Customers!$A:$N,14,0),""))</f>
        <v/>
      </c>
      <c r="D59" s="42" t="str">
        <f t="shared" ca="1" si="3"/>
        <v/>
      </c>
      <c r="E59" s="32"/>
      <c r="F59" s="31"/>
      <c r="G59" s="43" t="str">
        <f t="shared" si="4"/>
        <v/>
      </c>
      <c r="H59" s="30" t="s">
        <v>60</v>
      </c>
      <c r="I59" s="41"/>
      <c r="J59" s="33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59" s="33" t="str">
        <f t="shared" ca="1" si="5"/>
        <v>—</v>
      </c>
      <c r="L59" s="22"/>
    </row>
    <row r="60" spans="1:12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IF(A60="","",IFERROR(VLOOKUP(A60,DB_Customers!$A:$N,14,0),""))</f>
        <v/>
      </c>
      <c r="D60" s="42" t="str">
        <f t="shared" ca="1" si="3"/>
        <v/>
      </c>
      <c r="E60" s="32"/>
      <c r="F60" s="31"/>
      <c r="G60" s="43" t="str">
        <f t="shared" si="4"/>
        <v/>
      </c>
      <c r="H60" s="30" t="s">
        <v>60</v>
      </c>
      <c r="I60" s="41"/>
      <c r="J60" s="33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0" s="33" t="str">
        <f t="shared" ca="1" si="5"/>
        <v>—</v>
      </c>
      <c r="L60" s="50"/>
    </row>
    <row r="61" spans="1:12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IF(A61="","",IFERROR(VLOOKUP(A61,DB_Customers!$A:$N,14,0),""))</f>
        <v/>
      </c>
      <c r="D61" s="42" t="str">
        <f t="shared" ca="1" si="3"/>
        <v/>
      </c>
      <c r="E61" s="32"/>
      <c r="F61" s="31"/>
      <c r="G61" s="43" t="str">
        <f t="shared" si="4"/>
        <v/>
      </c>
      <c r="H61" s="30" t="s">
        <v>60</v>
      </c>
      <c r="I61" s="41"/>
      <c r="J61" s="33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1" s="33" t="str">
        <f t="shared" ca="1" si="5"/>
        <v>—</v>
      </c>
      <c r="L61" s="22"/>
    </row>
    <row r="62" spans="1:12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IF(A62="","",IFERROR(VLOOKUP(A62,DB_Customers!$A:$N,14,0),""))</f>
        <v/>
      </c>
      <c r="D62" s="42" t="str">
        <f t="shared" ca="1" si="3"/>
        <v/>
      </c>
      <c r="E62" s="32"/>
      <c r="F62" s="31"/>
      <c r="G62" s="43" t="str">
        <f t="shared" si="4"/>
        <v/>
      </c>
      <c r="H62" s="30" t="s">
        <v>60</v>
      </c>
      <c r="I62" s="41"/>
      <c r="J62" s="33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2" s="33" t="str">
        <f t="shared" ca="1" si="5"/>
        <v>—</v>
      </c>
      <c r="L62" s="50"/>
    </row>
    <row r="63" spans="1:12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IF(A63="","",IFERROR(VLOOKUP(A63,DB_Customers!$A:$N,14,0),""))</f>
        <v/>
      </c>
      <c r="D63" s="42" t="str">
        <f t="shared" ca="1" si="3"/>
        <v/>
      </c>
      <c r="E63" s="32"/>
      <c r="F63" s="31"/>
      <c r="G63" s="43" t="str">
        <f t="shared" si="4"/>
        <v/>
      </c>
      <c r="H63" s="30" t="s">
        <v>60</v>
      </c>
      <c r="I63" s="41"/>
      <c r="J63" s="33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3" s="33" t="str">
        <f t="shared" ca="1" si="5"/>
        <v>—</v>
      </c>
      <c r="L63" s="22"/>
    </row>
    <row r="64" spans="1:12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IF(A64="","",IFERROR(VLOOKUP(A64,DB_Customers!$A:$N,14,0),""))</f>
        <v/>
      </c>
      <c r="D64" s="42" t="str">
        <f t="shared" ca="1" si="3"/>
        <v/>
      </c>
      <c r="E64" s="32"/>
      <c r="F64" s="31"/>
      <c r="G64" s="43" t="str">
        <f t="shared" si="4"/>
        <v/>
      </c>
      <c r="H64" s="30" t="s">
        <v>60</v>
      </c>
      <c r="I64" s="41"/>
      <c r="J64" s="33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4" s="33" t="str">
        <f t="shared" ca="1" si="5"/>
        <v>—</v>
      </c>
      <c r="L64" s="50"/>
    </row>
    <row r="65" spans="1:12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IF(A65="","",IFERROR(VLOOKUP(A65,DB_Customers!$A:$N,14,0),""))</f>
        <v/>
      </c>
      <c r="D65" s="42" t="str">
        <f t="shared" ca="1" si="3"/>
        <v/>
      </c>
      <c r="E65" s="32"/>
      <c r="F65" s="31"/>
      <c r="G65" s="43" t="str">
        <f t="shared" si="4"/>
        <v/>
      </c>
      <c r="H65" s="30" t="s">
        <v>60</v>
      </c>
      <c r="I65" s="41"/>
      <c r="J65" s="33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5" s="33" t="str">
        <f t="shared" ca="1" si="5"/>
        <v>—</v>
      </c>
      <c r="L65" s="22"/>
    </row>
    <row r="66" spans="1:12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IF(A66="","",IFERROR(VLOOKUP(A66,DB_Customers!$A:$N,14,0),""))</f>
        <v/>
      </c>
      <c r="D66" s="42" t="str">
        <f t="shared" ca="1" si="3"/>
        <v/>
      </c>
      <c r="E66" s="32"/>
      <c r="F66" s="31"/>
      <c r="G66" s="43" t="str">
        <f t="shared" si="4"/>
        <v/>
      </c>
      <c r="H66" s="30" t="s">
        <v>60</v>
      </c>
      <c r="I66" s="41"/>
      <c r="J66" s="33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6" s="33" t="str">
        <f t="shared" ca="1" si="5"/>
        <v>—</v>
      </c>
      <c r="L66" s="50"/>
    </row>
    <row r="67" spans="1:12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IF(A67="","",IFERROR(VLOOKUP(A67,DB_Customers!$A:$N,14,0),""))</f>
        <v/>
      </c>
      <c r="D67" s="42" t="str">
        <f t="shared" ca="1" si="3"/>
        <v/>
      </c>
      <c r="E67" s="32"/>
      <c r="F67" s="31"/>
      <c r="G67" s="43" t="str">
        <f t="shared" si="4"/>
        <v/>
      </c>
      <c r="H67" s="30" t="s">
        <v>60</v>
      </c>
      <c r="I67" s="41"/>
      <c r="J67" s="33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7" s="33" t="str">
        <f t="shared" ca="1" si="5"/>
        <v>—</v>
      </c>
      <c r="L67" s="22"/>
    </row>
    <row r="68" spans="1:12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IF(A68="","",IFERROR(VLOOKUP(A68,DB_Customers!$A:$N,14,0),""))</f>
        <v/>
      </c>
      <c r="D68" s="42" t="str">
        <f t="shared" ca="1" si="3"/>
        <v/>
      </c>
      <c r="E68" s="32"/>
      <c r="F68" s="31"/>
      <c r="G68" s="43" t="str">
        <f t="shared" si="4"/>
        <v/>
      </c>
      <c r="H68" s="30" t="s">
        <v>60</v>
      </c>
      <c r="I68" s="41"/>
      <c r="J68" s="33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68" s="33" t="str">
        <f t="shared" ca="1" si="5"/>
        <v>—</v>
      </c>
      <c r="L68" s="50"/>
    </row>
    <row r="69" spans="1:12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IF(A69="","",IFERROR(VLOOKUP(A69,DB_Customers!$A:$N,14,0),""))</f>
        <v/>
      </c>
      <c r="D69" s="42" t="str">
        <f t="shared" ca="1" si="3"/>
        <v/>
      </c>
      <c r="E69" s="32"/>
      <c r="F69" s="31"/>
      <c r="G69" s="43" t="str">
        <f t="shared" si="4"/>
        <v/>
      </c>
      <c r="H69" s="30" t="s">
        <v>60</v>
      </c>
      <c r="I69" s="41"/>
      <c r="J69" s="33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69" s="33" t="str">
        <f t="shared" ca="1" si="5"/>
        <v>—</v>
      </c>
      <c r="L69" s="22"/>
    </row>
    <row r="70" spans="1:12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IF(A70="","",IFERROR(VLOOKUP(A70,DB_Customers!$A:$N,14,0),""))</f>
        <v/>
      </c>
      <c r="D70" s="42" t="str">
        <f t="shared" ca="1" si="3"/>
        <v/>
      </c>
      <c r="E70" s="32"/>
      <c r="F70" s="31"/>
      <c r="G70" s="43" t="str">
        <f t="shared" si="4"/>
        <v/>
      </c>
      <c r="H70" s="30" t="s">
        <v>60</v>
      </c>
      <c r="I70" s="41"/>
      <c r="J70" s="33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0" s="33" t="str">
        <f t="shared" ca="1" si="5"/>
        <v>—</v>
      </c>
      <c r="L70" s="50"/>
    </row>
    <row r="71" spans="1:12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IF(A71="","",IFERROR(VLOOKUP(A71,DB_Customers!$A:$N,14,0),""))</f>
        <v/>
      </c>
      <c r="D71" s="42" t="str">
        <f t="shared" ca="1" si="3"/>
        <v/>
      </c>
      <c r="E71" s="32"/>
      <c r="F71" s="31"/>
      <c r="G71" s="43" t="str">
        <f t="shared" si="4"/>
        <v/>
      </c>
      <c r="H71" s="30" t="s">
        <v>60</v>
      </c>
      <c r="I71" s="41"/>
      <c r="J71" s="33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1" s="33" t="str">
        <f t="shared" ca="1" si="5"/>
        <v>—</v>
      </c>
      <c r="L71" s="22"/>
    </row>
    <row r="72" spans="1:12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IF(A72="","",IFERROR(VLOOKUP(A72,DB_Customers!$A:$N,14,0),""))</f>
        <v/>
      </c>
      <c r="D72" s="42" t="str">
        <f t="shared" ca="1" si="3"/>
        <v/>
      </c>
      <c r="E72" s="32"/>
      <c r="F72" s="31"/>
      <c r="G72" s="43" t="str">
        <f t="shared" si="4"/>
        <v/>
      </c>
      <c r="H72" s="30" t="s">
        <v>60</v>
      </c>
      <c r="I72" s="41"/>
      <c r="J72" s="33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2" s="33" t="str">
        <f t="shared" ca="1" si="5"/>
        <v>—</v>
      </c>
      <c r="L72" s="50"/>
    </row>
    <row r="73" spans="1:12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IF(A73="","",IFERROR(VLOOKUP(A73,DB_Customers!$A:$N,14,0),""))</f>
        <v/>
      </c>
      <c r="D73" s="42" t="str">
        <f t="shared" ref="D73:D104" ca="1" si="6">IF(A73="","",TODAY())</f>
        <v/>
      </c>
      <c r="E73" s="32"/>
      <c r="F73" s="31"/>
      <c r="G73" s="43" t="str">
        <f t="shared" ref="G73:G104" si="7">IFERROR(IF(OR(A73="",E73=""),"",C73-E73),"")</f>
        <v/>
      </c>
      <c r="H73" s="30" t="s">
        <v>60</v>
      </c>
      <c r="I73" s="41"/>
      <c r="J73" s="33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3" s="33" t="str">
        <f t="shared" ref="K73:K104" ca="1" si="8">IF(J73="✅ Successful",TEXT(TODAY(),"YYYY-MM-DD")&amp;" Auto","—")</f>
        <v>—</v>
      </c>
      <c r="L73" s="22"/>
    </row>
    <row r="74" spans="1:12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IF(A74="","",IFERROR(VLOOKUP(A74,DB_Customers!$A:$N,14,0),""))</f>
        <v/>
      </c>
      <c r="D74" s="42" t="str">
        <f t="shared" ca="1" si="6"/>
        <v/>
      </c>
      <c r="E74" s="32"/>
      <c r="F74" s="31"/>
      <c r="G74" s="43" t="str">
        <f t="shared" si="7"/>
        <v/>
      </c>
      <c r="H74" s="30" t="s">
        <v>60</v>
      </c>
      <c r="I74" s="41"/>
      <c r="J74" s="33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4" s="33" t="str">
        <f t="shared" ca="1" si="8"/>
        <v>—</v>
      </c>
      <c r="L74" s="50"/>
    </row>
    <row r="75" spans="1:12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IF(A75="","",IFERROR(VLOOKUP(A75,DB_Customers!$A:$N,14,0),""))</f>
        <v/>
      </c>
      <c r="D75" s="42" t="str">
        <f t="shared" ca="1" si="6"/>
        <v/>
      </c>
      <c r="E75" s="32"/>
      <c r="F75" s="31"/>
      <c r="G75" s="43" t="str">
        <f t="shared" si="7"/>
        <v/>
      </c>
      <c r="H75" s="30" t="s">
        <v>60</v>
      </c>
      <c r="I75" s="41"/>
      <c r="J75" s="33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5" s="33" t="str">
        <f t="shared" ca="1" si="8"/>
        <v>—</v>
      </c>
      <c r="L75" s="22"/>
    </row>
    <row r="76" spans="1:12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IF(A76="","",IFERROR(VLOOKUP(A76,DB_Customers!$A:$N,14,0),""))</f>
        <v/>
      </c>
      <c r="D76" s="42" t="str">
        <f t="shared" ca="1" si="6"/>
        <v/>
      </c>
      <c r="E76" s="32"/>
      <c r="F76" s="31"/>
      <c r="G76" s="43" t="str">
        <f t="shared" si="7"/>
        <v/>
      </c>
      <c r="H76" s="30" t="s">
        <v>60</v>
      </c>
      <c r="I76" s="41"/>
      <c r="J76" s="33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6" s="33" t="str">
        <f t="shared" ca="1" si="8"/>
        <v>—</v>
      </c>
      <c r="L76" s="50"/>
    </row>
    <row r="77" spans="1:12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IF(A77="","",IFERROR(VLOOKUP(A77,DB_Customers!$A:$N,14,0),""))</f>
        <v/>
      </c>
      <c r="D77" s="42" t="str">
        <f t="shared" ca="1" si="6"/>
        <v/>
      </c>
      <c r="E77" s="32"/>
      <c r="F77" s="31"/>
      <c r="G77" s="43" t="str">
        <f t="shared" si="7"/>
        <v/>
      </c>
      <c r="H77" s="30" t="s">
        <v>60</v>
      </c>
      <c r="I77" s="41"/>
      <c r="J77" s="33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7" s="33" t="str">
        <f t="shared" ca="1" si="8"/>
        <v>—</v>
      </c>
      <c r="L77" s="22"/>
    </row>
    <row r="78" spans="1:12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IF(A78="","",IFERROR(VLOOKUP(A78,DB_Customers!$A:$N,14,0),""))</f>
        <v/>
      </c>
      <c r="D78" s="42" t="str">
        <f t="shared" ca="1" si="6"/>
        <v/>
      </c>
      <c r="E78" s="32"/>
      <c r="F78" s="31"/>
      <c r="G78" s="43" t="str">
        <f t="shared" si="7"/>
        <v/>
      </c>
      <c r="H78" s="30" t="s">
        <v>60</v>
      </c>
      <c r="I78" s="41"/>
      <c r="J78" s="33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78" s="33" t="str">
        <f t="shared" ca="1" si="8"/>
        <v>—</v>
      </c>
      <c r="L78" s="50"/>
    </row>
    <row r="79" spans="1:12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IF(A79="","",IFERROR(VLOOKUP(A79,DB_Customers!$A:$N,14,0),""))</f>
        <v/>
      </c>
      <c r="D79" s="42" t="str">
        <f t="shared" ca="1" si="6"/>
        <v/>
      </c>
      <c r="E79" s="32"/>
      <c r="F79" s="31"/>
      <c r="G79" s="43" t="str">
        <f t="shared" si="7"/>
        <v/>
      </c>
      <c r="H79" s="30" t="s">
        <v>60</v>
      </c>
      <c r="I79" s="41"/>
      <c r="J79" s="33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79" s="33" t="str">
        <f t="shared" ca="1" si="8"/>
        <v>—</v>
      </c>
      <c r="L79" s="22"/>
    </row>
    <row r="80" spans="1:12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IF(A80="","",IFERROR(VLOOKUP(A80,DB_Customers!$A:$N,14,0),""))</f>
        <v/>
      </c>
      <c r="D80" s="42" t="str">
        <f t="shared" ca="1" si="6"/>
        <v/>
      </c>
      <c r="E80" s="32"/>
      <c r="F80" s="31"/>
      <c r="G80" s="43" t="str">
        <f t="shared" si="7"/>
        <v/>
      </c>
      <c r="H80" s="30" t="s">
        <v>60</v>
      </c>
      <c r="I80" s="41"/>
      <c r="J80" s="33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0" s="33" t="str">
        <f t="shared" ca="1" si="8"/>
        <v>—</v>
      </c>
      <c r="L80" s="50"/>
    </row>
    <row r="81" spans="1:12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IF(A81="","",IFERROR(VLOOKUP(A81,DB_Customers!$A:$N,14,0),""))</f>
        <v/>
      </c>
      <c r="D81" s="42" t="str">
        <f t="shared" ca="1" si="6"/>
        <v/>
      </c>
      <c r="E81" s="32"/>
      <c r="F81" s="31"/>
      <c r="G81" s="43" t="str">
        <f t="shared" si="7"/>
        <v/>
      </c>
      <c r="H81" s="30" t="s">
        <v>60</v>
      </c>
      <c r="I81" s="41"/>
      <c r="J81" s="33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1" s="33" t="str">
        <f t="shared" ca="1" si="8"/>
        <v>—</v>
      </c>
      <c r="L81" s="22"/>
    </row>
    <row r="82" spans="1:12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IF(A82="","",IFERROR(VLOOKUP(A82,DB_Customers!$A:$N,14,0),""))</f>
        <v/>
      </c>
      <c r="D82" s="42" t="str">
        <f t="shared" ca="1" si="6"/>
        <v/>
      </c>
      <c r="E82" s="32"/>
      <c r="F82" s="31"/>
      <c r="G82" s="43" t="str">
        <f t="shared" si="7"/>
        <v/>
      </c>
      <c r="H82" s="30" t="s">
        <v>60</v>
      </c>
      <c r="I82" s="41"/>
      <c r="J82" s="33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2" s="33" t="str">
        <f t="shared" ca="1" si="8"/>
        <v>—</v>
      </c>
      <c r="L82" s="50"/>
    </row>
    <row r="83" spans="1:12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IF(A83="","",IFERROR(VLOOKUP(A83,DB_Customers!$A:$N,14,0),""))</f>
        <v/>
      </c>
      <c r="D83" s="42" t="str">
        <f t="shared" ca="1" si="6"/>
        <v/>
      </c>
      <c r="E83" s="32"/>
      <c r="F83" s="31"/>
      <c r="G83" s="43" t="str">
        <f t="shared" si="7"/>
        <v/>
      </c>
      <c r="H83" s="30" t="s">
        <v>60</v>
      </c>
      <c r="I83" s="41"/>
      <c r="J83" s="33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3" s="33" t="str">
        <f t="shared" ca="1" si="8"/>
        <v>—</v>
      </c>
      <c r="L83" s="22"/>
    </row>
    <row r="84" spans="1:12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IF(A84="","",IFERROR(VLOOKUP(A84,DB_Customers!$A:$N,14,0),""))</f>
        <v/>
      </c>
      <c r="D84" s="42" t="str">
        <f t="shared" ca="1" si="6"/>
        <v/>
      </c>
      <c r="E84" s="32"/>
      <c r="F84" s="31"/>
      <c r="G84" s="43" t="str">
        <f t="shared" si="7"/>
        <v/>
      </c>
      <c r="H84" s="30" t="s">
        <v>60</v>
      </c>
      <c r="I84" s="41"/>
      <c r="J84" s="33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4" s="33" t="str">
        <f t="shared" ca="1" si="8"/>
        <v>—</v>
      </c>
      <c r="L84" s="50"/>
    </row>
    <row r="85" spans="1:12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IF(A85="","",IFERROR(VLOOKUP(A85,DB_Customers!$A:$N,14,0),""))</f>
        <v/>
      </c>
      <c r="D85" s="42" t="str">
        <f t="shared" ca="1" si="6"/>
        <v/>
      </c>
      <c r="E85" s="32"/>
      <c r="F85" s="31"/>
      <c r="G85" s="43" t="str">
        <f t="shared" si="7"/>
        <v/>
      </c>
      <c r="H85" s="30" t="s">
        <v>60</v>
      </c>
      <c r="I85" s="41"/>
      <c r="J85" s="33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5" s="33" t="str">
        <f t="shared" ca="1" si="8"/>
        <v>—</v>
      </c>
      <c r="L85" s="22"/>
    </row>
    <row r="86" spans="1:12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IF(A86="","",IFERROR(VLOOKUP(A86,DB_Customers!$A:$N,14,0),""))</f>
        <v/>
      </c>
      <c r="D86" s="42" t="str">
        <f t="shared" ca="1" si="6"/>
        <v/>
      </c>
      <c r="E86" s="32"/>
      <c r="F86" s="31"/>
      <c r="G86" s="43" t="str">
        <f t="shared" si="7"/>
        <v/>
      </c>
      <c r="H86" s="30" t="s">
        <v>60</v>
      </c>
      <c r="I86" s="41"/>
      <c r="J86" s="33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6" s="33" t="str">
        <f t="shared" ca="1" si="8"/>
        <v>—</v>
      </c>
      <c r="L86" s="50"/>
    </row>
    <row r="87" spans="1:12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IF(A87="","",IFERROR(VLOOKUP(A87,DB_Customers!$A:$N,14,0),""))</f>
        <v/>
      </c>
      <c r="D87" s="42" t="str">
        <f t="shared" ca="1" si="6"/>
        <v/>
      </c>
      <c r="E87" s="32"/>
      <c r="F87" s="31"/>
      <c r="G87" s="43" t="str">
        <f t="shared" si="7"/>
        <v/>
      </c>
      <c r="H87" s="30" t="s">
        <v>60</v>
      </c>
      <c r="I87" s="41"/>
      <c r="J87" s="33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7" s="33" t="str">
        <f t="shared" ca="1" si="8"/>
        <v>—</v>
      </c>
      <c r="L87" s="22"/>
    </row>
    <row r="88" spans="1:12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IF(A88="","",IFERROR(VLOOKUP(A88,DB_Customers!$A:$N,14,0),""))</f>
        <v/>
      </c>
      <c r="D88" s="42" t="str">
        <f t="shared" ca="1" si="6"/>
        <v/>
      </c>
      <c r="E88" s="32"/>
      <c r="F88" s="31"/>
      <c r="G88" s="43" t="str">
        <f t="shared" si="7"/>
        <v/>
      </c>
      <c r="H88" s="30" t="s">
        <v>60</v>
      </c>
      <c r="I88" s="41"/>
      <c r="J88" s="33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88" s="33" t="str">
        <f t="shared" ca="1" si="8"/>
        <v>—</v>
      </c>
      <c r="L88" s="50"/>
    </row>
    <row r="89" spans="1:12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IF(A89="","",IFERROR(VLOOKUP(A89,DB_Customers!$A:$N,14,0),""))</f>
        <v/>
      </c>
      <c r="D89" s="42" t="str">
        <f t="shared" ca="1" si="6"/>
        <v/>
      </c>
      <c r="E89" s="32"/>
      <c r="F89" s="31"/>
      <c r="G89" s="43" t="str">
        <f t="shared" si="7"/>
        <v/>
      </c>
      <c r="H89" s="30" t="s">
        <v>60</v>
      </c>
      <c r="I89" s="41"/>
      <c r="J89" s="33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89" s="33" t="str">
        <f t="shared" ca="1" si="8"/>
        <v>—</v>
      </c>
      <c r="L89" s="22"/>
    </row>
    <row r="90" spans="1:12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IF(A90="","",IFERROR(VLOOKUP(A90,DB_Customers!$A:$N,14,0),""))</f>
        <v/>
      </c>
      <c r="D90" s="42" t="str">
        <f t="shared" ca="1" si="6"/>
        <v/>
      </c>
      <c r="E90" s="32"/>
      <c r="F90" s="31"/>
      <c r="G90" s="43" t="str">
        <f t="shared" si="7"/>
        <v/>
      </c>
      <c r="H90" s="30" t="s">
        <v>60</v>
      </c>
      <c r="I90" s="41"/>
      <c r="J90" s="33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0" s="33" t="str">
        <f t="shared" ca="1" si="8"/>
        <v>—</v>
      </c>
      <c r="L90" s="50"/>
    </row>
    <row r="91" spans="1:12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IF(A91="","",IFERROR(VLOOKUP(A91,DB_Customers!$A:$N,14,0),""))</f>
        <v/>
      </c>
      <c r="D91" s="42" t="str">
        <f t="shared" ca="1" si="6"/>
        <v/>
      </c>
      <c r="E91" s="32"/>
      <c r="F91" s="31"/>
      <c r="G91" s="43" t="str">
        <f t="shared" si="7"/>
        <v/>
      </c>
      <c r="H91" s="30" t="s">
        <v>60</v>
      </c>
      <c r="I91" s="41"/>
      <c r="J91" s="33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1" s="33" t="str">
        <f t="shared" ca="1" si="8"/>
        <v>—</v>
      </c>
      <c r="L91" s="22"/>
    </row>
    <row r="92" spans="1:12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IF(A92="","",IFERROR(VLOOKUP(A92,DB_Customers!$A:$N,14,0),""))</f>
        <v/>
      </c>
      <c r="D92" s="42" t="str">
        <f t="shared" ca="1" si="6"/>
        <v/>
      </c>
      <c r="E92" s="32"/>
      <c r="F92" s="31"/>
      <c r="G92" s="43" t="str">
        <f t="shared" si="7"/>
        <v/>
      </c>
      <c r="H92" s="30" t="s">
        <v>60</v>
      </c>
      <c r="I92" s="41"/>
      <c r="J92" s="33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2" s="33" t="str">
        <f t="shared" ca="1" si="8"/>
        <v>—</v>
      </c>
      <c r="L92" s="50"/>
    </row>
    <row r="93" spans="1:12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IF(A93="","",IFERROR(VLOOKUP(A93,DB_Customers!$A:$N,14,0),""))</f>
        <v/>
      </c>
      <c r="D93" s="42" t="str">
        <f t="shared" ca="1" si="6"/>
        <v/>
      </c>
      <c r="E93" s="32"/>
      <c r="F93" s="31"/>
      <c r="G93" s="43" t="str">
        <f t="shared" si="7"/>
        <v/>
      </c>
      <c r="H93" s="30" t="s">
        <v>60</v>
      </c>
      <c r="I93" s="41"/>
      <c r="J93" s="33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3" s="33" t="str">
        <f t="shared" ca="1" si="8"/>
        <v>—</v>
      </c>
      <c r="L93" s="22"/>
    </row>
    <row r="94" spans="1:12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IF(A94="","",IFERROR(VLOOKUP(A94,DB_Customers!$A:$N,14,0),""))</f>
        <v/>
      </c>
      <c r="D94" s="42" t="str">
        <f t="shared" ca="1" si="6"/>
        <v/>
      </c>
      <c r="E94" s="32"/>
      <c r="F94" s="31"/>
      <c r="G94" s="43" t="str">
        <f t="shared" si="7"/>
        <v/>
      </c>
      <c r="H94" s="30" t="s">
        <v>60</v>
      </c>
      <c r="I94" s="41"/>
      <c r="J94" s="33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4" s="33" t="str">
        <f t="shared" ca="1" si="8"/>
        <v>—</v>
      </c>
      <c r="L94" s="50"/>
    </row>
    <row r="95" spans="1:12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IF(A95="","",IFERROR(VLOOKUP(A95,DB_Customers!$A:$N,14,0),""))</f>
        <v/>
      </c>
      <c r="D95" s="42" t="str">
        <f t="shared" ca="1" si="6"/>
        <v/>
      </c>
      <c r="E95" s="32"/>
      <c r="F95" s="31"/>
      <c r="G95" s="43" t="str">
        <f t="shared" si="7"/>
        <v/>
      </c>
      <c r="H95" s="30" t="s">
        <v>60</v>
      </c>
      <c r="I95" s="41"/>
      <c r="J95" s="33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5" s="33" t="str">
        <f t="shared" ca="1" si="8"/>
        <v>—</v>
      </c>
      <c r="L95" s="22"/>
    </row>
    <row r="96" spans="1:12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IF(A96="","",IFERROR(VLOOKUP(A96,DB_Customers!$A:$N,14,0),""))</f>
        <v/>
      </c>
      <c r="D96" s="42" t="str">
        <f t="shared" ca="1" si="6"/>
        <v/>
      </c>
      <c r="E96" s="32"/>
      <c r="F96" s="31"/>
      <c r="G96" s="43" t="str">
        <f t="shared" si="7"/>
        <v/>
      </c>
      <c r="H96" s="30" t="s">
        <v>60</v>
      </c>
      <c r="I96" s="41"/>
      <c r="J96" s="33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6" s="33" t="str">
        <f t="shared" ca="1" si="8"/>
        <v>—</v>
      </c>
      <c r="L96" s="50"/>
    </row>
    <row r="97" spans="1:12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IF(A97="","",IFERROR(VLOOKUP(A97,DB_Customers!$A:$N,14,0),""))</f>
        <v/>
      </c>
      <c r="D97" s="42" t="str">
        <f t="shared" ca="1" si="6"/>
        <v/>
      </c>
      <c r="E97" s="32"/>
      <c r="F97" s="31"/>
      <c r="G97" s="43" t="str">
        <f t="shared" si="7"/>
        <v/>
      </c>
      <c r="H97" s="30" t="s">
        <v>60</v>
      </c>
      <c r="I97" s="41"/>
      <c r="J97" s="33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7" s="33" t="str">
        <f t="shared" ca="1" si="8"/>
        <v>—</v>
      </c>
      <c r="L97" s="22"/>
    </row>
    <row r="98" spans="1:12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IF(A98="","",IFERROR(VLOOKUP(A98,DB_Customers!$A:$N,14,0),""))</f>
        <v/>
      </c>
      <c r="D98" s="42" t="str">
        <f t="shared" ca="1" si="6"/>
        <v/>
      </c>
      <c r="E98" s="32"/>
      <c r="F98" s="31"/>
      <c r="G98" s="43" t="str">
        <f t="shared" si="7"/>
        <v/>
      </c>
      <c r="H98" s="30" t="s">
        <v>60</v>
      </c>
      <c r="I98" s="41"/>
      <c r="J98" s="33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98" s="33" t="str">
        <f t="shared" ca="1" si="8"/>
        <v>—</v>
      </c>
      <c r="L98" s="50"/>
    </row>
    <row r="99" spans="1:12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IF(A99="","",IFERROR(VLOOKUP(A99,DB_Customers!$A:$N,14,0),""))</f>
        <v/>
      </c>
      <c r="D99" s="42" t="str">
        <f t="shared" ca="1" si="6"/>
        <v/>
      </c>
      <c r="E99" s="32"/>
      <c r="F99" s="31"/>
      <c r="G99" s="43" t="str">
        <f t="shared" si="7"/>
        <v/>
      </c>
      <c r="H99" s="30" t="s">
        <v>60</v>
      </c>
      <c r="I99" s="41"/>
      <c r="J99" s="33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99" s="33" t="str">
        <f t="shared" ca="1" si="8"/>
        <v>—</v>
      </c>
      <c r="L99" s="22"/>
    </row>
    <row r="100" spans="1:12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IF(A100="","",IFERROR(VLOOKUP(A100,DB_Customers!$A:$N,14,0),""))</f>
        <v/>
      </c>
      <c r="D100" s="42" t="str">
        <f t="shared" ca="1" si="6"/>
        <v/>
      </c>
      <c r="E100" s="32"/>
      <c r="F100" s="31"/>
      <c r="G100" s="43" t="str">
        <f t="shared" si="7"/>
        <v/>
      </c>
      <c r="H100" s="30" t="s">
        <v>60</v>
      </c>
      <c r="I100" s="41"/>
      <c r="J100" s="33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0" s="33" t="str">
        <f t="shared" ca="1" si="8"/>
        <v>—</v>
      </c>
      <c r="L100" s="50"/>
    </row>
    <row r="101" spans="1:12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IF(A101="","",IFERROR(VLOOKUP(A101,DB_Customers!$A:$N,14,0),""))</f>
        <v/>
      </c>
      <c r="D101" s="42" t="str">
        <f t="shared" ca="1" si="6"/>
        <v/>
      </c>
      <c r="E101" s="32"/>
      <c r="F101" s="31"/>
      <c r="G101" s="43" t="str">
        <f t="shared" si="7"/>
        <v/>
      </c>
      <c r="H101" s="30" t="s">
        <v>60</v>
      </c>
      <c r="I101" s="41"/>
      <c r="J101" s="33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1" s="33" t="str">
        <f t="shared" ca="1" si="8"/>
        <v>—</v>
      </c>
      <c r="L101" s="22"/>
    </row>
    <row r="102" spans="1:12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IF(A102="","",IFERROR(VLOOKUP(A102,DB_Customers!$A:$N,14,0),""))</f>
        <v/>
      </c>
      <c r="D102" s="42" t="str">
        <f t="shared" ca="1" si="6"/>
        <v/>
      </c>
      <c r="E102" s="32"/>
      <c r="F102" s="31"/>
      <c r="G102" s="43" t="str">
        <f t="shared" si="7"/>
        <v/>
      </c>
      <c r="H102" s="30" t="s">
        <v>60</v>
      </c>
      <c r="I102" s="41"/>
      <c r="J102" s="33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2" s="33" t="str">
        <f t="shared" ca="1" si="8"/>
        <v>—</v>
      </c>
      <c r="L102" s="50"/>
    </row>
    <row r="103" spans="1:12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IF(A103="","",IFERROR(VLOOKUP(A103,DB_Customers!$A:$N,14,0),""))</f>
        <v/>
      </c>
      <c r="D103" s="42" t="str">
        <f t="shared" ca="1" si="6"/>
        <v/>
      </c>
      <c r="E103" s="32"/>
      <c r="F103" s="31"/>
      <c r="G103" s="43" t="str">
        <f t="shared" si="7"/>
        <v/>
      </c>
      <c r="H103" s="30" t="s">
        <v>60</v>
      </c>
      <c r="I103" s="41"/>
      <c r="J103" s="33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3" s="33" t="str">
        <f t="shared" ca="1" si="8"/>
        <v>—</v>
      </c>
      <c r="L103" s="22"/>
    </row>
    <row r="104" spans="1:12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IF(A104="","",IFERROR(VLOOKUP(A104,DB_Customers!$A:$N,14,0),""))</f>
        <v/>
      </c>
      <c r="D104" s="42" t="str">
        <f t="shared" ca="1" si="6"/>
        <v/>
      </c>
      <c r="E104" s="32"/>
      <c r="F104" s="31"/>
      <c r="G104" s="43" t="str">
        <f t="shared" si="7"/>
        <v/>
      </c>
      <c r="H104" s="30" t="s">
        <v>60</v>
      </c>
      <c r="I104" s="41"/>
      <c r="J104" s="33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4" s="33" t="str">
        <f t="shared" ca="1" si="8"/>
        <v>—</v>
      </c>
      <c r="L104" s="50"/>
    </row>
    <row r="105" spans="1:12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IF(A105="","",IFERROR(VLOOKUP(A105,DB_Customers!$A:$N,14,0),""))</f>
        <v/>
      </c>
      <c r="D105" s="42" t="str">
        <f t="shared" ref="D105:D136" ca="1" si="9">IF(A105="","",TODAY())</f>
        <v/>
      </c>
      <c r="E105" s="32"/>
      <c r="F105" s="31"/>
      <c r="G105" s="43" t="str">
        <f t="shared" ref="G105:G136" si="10">IFERROR(IF(OR(A105="",E105=""),"",C105-E105),"")</f>
        <v/>
      </c>
      <c r="H105" s="30" t="s">
        <v>60</v>
      </c>
      <c r="I105" s="41"/>
      <c r="J105" s="33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5" s="33" t="str">
        <f t="shared" ref="K105:K136" ca="1" si="11">IF(J105="✅ Successful",TEXT(TODAY(),"YYYY-MM-DD")&amp;" Auto","—")</f>
        <v>—</v>
      </c>
      <c r="L105" s="22"/>
    </row>
    <row r="106" spans="1:12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IF(A106="","",IFERROR(VLOOKUP(A106,DB_Customers!$A:$N,14,0),""))</f>
        <v/>
      </c>
      <c r="D106" s="42" t="str">
        <f t="shared" ca="1" si="9"/>
        <v/>
      </c>
      <c r="E106" s="32"/>
      <c r="F106" s="31"/>
      <c r="G106" s="43" t="str">
        <f t="shared" si="10"/>
        <v/>
      </c>
      <c r="H106" s="30" t="s">
        <v>60</v>
      </c>
      <c r="I106" s="41"/>
      <c r="J106" s="33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6" s="33" t="str">
        <f t="shared" ca="1" si="11"/>
        <v>—</v>
      </c>
      <c r="L106" s="50"/>
    </row>
    <row r="107" spans="1:12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IF(A107="","",IFERROR(VLOOKUP(A107,DB_Customers!$A:$N,14,0),""))</f>
        <v/>
      </c>
      <c r="D107" s="42" t="str">
        <f t="shared" ca="1" si="9"/>
        <v/>
      </c>
      <c r="E107" s="32"/>
      <c r="F107" s="31"/>
      <c r="G107" s="43" t="str">
        <f t="shared" si="10"/>
        <v/>
      </c>
      <c r="H107" s="30" t="s">
        <v>60</v>
      </c>
      <c r="I107" s="41"/>
      <c r="J107" s="33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7" s="33" t="str">
        <f t="shared" ca="1" si="11"/>
        <v>—</v>
      </c>
      <c r="L107" s="22"/>
    </row>
    <row r="108" spans="1:12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IF(A108="","",IFERROR(VLOOKUP(A108,DB_Customers!$A:$N,14,0),""))</f>
        <v/>
      </c>
      <c r="D108" s="42" t="str">
        <f t="shared" ca="1" si="9"/>
        <v/>
      </c>
      <c r="E108" s="32"/>
      <c r="F108" s="31"/>
      <c r="G108" s="43" t="str">
        <f t="shared" si="10"/>
        <v/>
      </c>
      <c r="H108" s="30" t="s">
        <v>60</v>
      </c>
      <c r="I108" s="41"/>
      <c r="J108" s="33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08" s="33" t="str">
        <f t="shared" ca="1" si="11"/>
        <v>—</v>
      </c>
      <c r="L108" s="50"/>
    </row>
    <row r="109" spans="1:12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IF(A109="","",IFERROR(VLOOKUP(A109,DB_Customers!$A:$N,14,0),""))</f>
        <v/>
      </c>
      <c r="D109" s="42" t="str">
        <f t="shared" ca="1" si="9"/>
        <v/>
      </c>
      <c r="E109" s="32"/>
      <c r="F109" s="31"/>
      <c r="G109" s="43" t="str">
        <f t="shared" si="10"/>
        <v/>
      </c>
      <c r="H109" s="30" t="s">
        <v>60</v>
      </c>
      <c r="I109" s="41"/>
      <c r="J109" s="33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09" s="33" t="str">
        <f t="shared" ca="1" si="11"/>
        <v>—</v>
      </c>
      <c r="L109" s="22"/>
    </row>
    <row r="110" spans="1:12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IF(A110="","",IFERROR(VLOOKUP(A110,DB_Customers!$A:$N,14,0),""))</f>
        <v/>
      </c>
      <c r="D110" s="42" t="str">
        <f t="shared" ca="1" si="9"/>
        <v/>
      </c>
      <c r="E110" s="32"/>
      <c r="F110" s="31"/>
      <c r="G110" s="43" t="str">
        <f t="shared" si="10"/>
        <v/>
      </c>
      <c r="H110" s="30" t="s">
        <v>60</v>
      </c>
      <c r="I110" s="41"/>
      <c r="J110" s="33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0" s="33" t="str">
        <f t="shared" ca="1" si="11"/>
        <v>—</v>
      </c>
      <c r="L110" s="50"/>
    </row>
    <row r="111" spans="1:12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IF(A111="","",IFERROR(VLOOKUP(A111,DB_Customers!$A:$N,14,0),""))</f>
        <v/>
      </c>
      <c r="D111" s="42" t="str">
        <f t="shared" ca="1" si="9"/>
        <v/>
      </c>
      <c r="E111" s="32"/>
      <c r="F111" s="31"/>
      <c r="G111" s="43" t="str">
        <f t="shared" si="10"/>
        <v/>
      </c>
      <c r="H111" s="30" t="s">
        <v>60</v>
      </c>
      <c r="I111" s="41"/>
      <c r="J111" s="33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1" s="33" t="str">
        <f t="shared" ca="1" si="11"/>
        <v>—</v>
      </c>
      <c r="L111" s="22"/>
    </row>
    <row r="112" spans="1:12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IF(A112="","",IFERROR(VLOOKUP(A112,DB_Customers!$A:$N,14,0),""))</f>
        <v/>
      </c>
      <c r="D112" s="42" t="str">
        <f t="shared" ca="1" si="9"/>
        <v/>
      </c>
      <c r="E112" s="32"/>
      <c r="F112" s="31"/>
      <c r="G112" s="43" t="str">
        <f t="shared" si="10"/>
        <v/>
      </c>
      <c r="H112" s="30" t="s">
        <v>60</v>
      </c>
      <c r="I112" s="41"/>
      <c r="J112" s="33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2" s="33" t="str">
        <f t="shared" ca="1" si="11"/>
        <v>—</v>
      </c>
      <c r="L112" s="50"/>
    </row>
    <row r="113" spans="1:12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IF(A113="","",IFERROR(VLOOKUP(A113,DB_Customers!$A:$N,14,0),""))</f>
        <v/>
      </c>
      <c r="D113" s="42" t="str">
        <f t="shared" ca="1" si="9"/>
        <v/>
      </c>
      <c r="E113" s="32"/>
      <c r="F113" s="31"/>
      <c r="G113" s="43" t="str">
        <f t="shared" si="10"/>
        <v/>
      </c>
      <c r="H113" s="30" t="s">
        <v>60</v>
      </c>
      <c r="I113" s="41"/>
      <c r="J113" s="33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3" s="33" t="str">
        <f t="shared" ca="1" si="11"/>
        <v>—</v>
      </c>
      <c r="L113" s="22"/>
    </row>
    <row r="114" spans="1:12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IF(A114="","",IFERROR(VLOOKUP(A114,DB_Customers!$A:$N,14,0),""))</f>
        <v/>
      </c>
      <c r="D114" s="42" t="str">
        <f t="shared" ca="1" si="9"/>
        <v/>
      </c>
      <c r="E114" s="32"/>
      <c r="F114" s="31"/>
      <c r="G114" s="43" t="str">
        <f t="shared" si="10"/>
        <v/>
      </c>
      <c r="H114" s="30" t="s">
        <v>60</v>
      </c>
      <c r="I114" s="41"/>
      <c r="J114" s="33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4" s="33" t="str">
        <f t="shared" ca="1" si="11"/>
        <v>—</v>
      </c>
      <c r="L114" s="50"/>
    </row>
    <row r="115" spans="1:12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IF(A115="","",IFERROR(VLOOKUP(A115,DB_Customers!$A:$N,14,0),""))</f>
        <v/>
      </c>
      <c r="D115" s="42" t="str">
        <f t="shared" ca="1" si="9"/>
        <v/>
      </c>
      <c r="E115" s="32"/>
      <c r="F115" s="31"/>
      <c r="G115" s="43" t="str">
        <f t="shared" si="10"/>
        <v/>
      </c>
      <c r="H115" s="30" t="s">
        <v>60</v>
      </c>
      <c r="I115" s="41"/>
      <c r="J115" s="33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5" s="33" t="str">
        <f t="shared" ca="1" si="11"/>
        <v>—</v>
      </c>
      <c r="L115" s="22"/>
    </row>
    <row r="116" spans="1:12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IF(A116="","",IFERROR(VLOOKUP(A116,DB_Customers!$A:$N,14,0),""))</f>
        <v/>
      </c>
      <c r="D116" s="42" t="str">
        <f t="shared" ca="1" si="9"/>
        <v/>
      </c>
      <c r="E116" s="32"/>
      <c r="F116" s="31"/>
      <c r="G116" s="43" t="str">
        <f t="shared" si="10"/>
        <v/>
      </c>
      <c r="H116" s="30" t="s">
        <v>60</v>
      </c>
      <c r="I116" s="41"/>
      <c r="J116" s="33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6" s="33" t="str">
        <f t="shared" ca="1" si="11"/>
        <v>—</v>
      </c>
      <c r="L116" s="50"/>
    </row>
    <row r="117" spans="1:12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IF(A117="","",IFERROR(VLOOKUP(A117,DB_Customers!$A:$N,14,0),""))</f>
        <v/>
      </c>
      <c r="D117" s="42" t="str">
        <f t="shared" ca="1" si="9"/>
        <v/>
      </c>
      <c r="E117" s="32"/>
      <c r="F117" s="31"/>
      <c r="G117" s="43" t="str">
        <f t="shared" si="10"/>
        <v/>
      </c>
      <c r="H117" s="30" t="s">
        <v>60</v>
      </c>
      <c r="I117" s="41"/>
      <c r="J117" s="33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7" s="33" t="str">
        <f t="shared" ca="1" si="11"/>
        <v>—</v>
      </c>
      <c r="L117" s="22"/>
    </row>
    <row r="118" spans="1:12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IF(A118="","",IFERROR(VLOOKUP(A118,DB_Customers!$A:$N,14,0),""))</f>
        <v/>
      </c>
      <c r="D118" s="42" t="str">
        <f t="shared" ca="1" si="9"/>
        <v/>
      </c>
      <c r="E118" s="32"/>
      <c r="F118" s="31"/>
      <c r="G118" s="43" t="str">
        <f t="shared" si="10"/>
        <v/>
      </c>
      <c r="H118" s="30" t="s">
        <v>60</v>
      </c>
      <c r="I118" s="41"/>
      <c r="J118" s="33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18" s="33" t="str">
        <f t="shared" ca="1" si="11"/>
        <v>—</v>
      </c>
      <c r="L118" s="50"/>
    </row>
    <row r="119" spans="1:12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IF(A119="","",IFERROR(VLOOKUP(A119,DB_Customers!$A:$N,14,0),""))</f>
        <v/>
      </c>
      <c r="D119" s="42" t="str">
        <f t="shared" ca="1" si="9"/>
        <v/>
      </c>
      <c r="E119" s="32"/>
      <c r="F119" s="31"/>
      <c r="G119" s="43" t="str">
        <f t="shared" si="10"/>
        <v/>
      </c>
      <c r="H119" s="30" t="s">
        <v>60</v>
      </c>
      <c r="I119" s="41"/>
      <c r="J119" s="33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19" s="33" t="str">
        <f t="shared" ca="1" si="11"/>
        <v>—</v>
      </c>
      <c r="L119" s="22"/>
    </row>
    <row r="120" spans="1:12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IF(A120="","",IFERROR(VLOOKUP(A120,DB_Customers!$A:$N,14,0),""))</f>
        <v/>
      </c>
      <c r="D120" s="42" t="str">
        <f t="shared" ca="1" si="9"/>
        <v/>
      </c>
      <c r="E120" s="32"/>
      <c r="F120" s="31"/>
      <c r="G120" s="43" t="str">
        <f t="shared" si="10"/>
        <v/>
      </c>
      <c r="H120" s="30" t="s">
        <v>60</v>
      </c>
      <c r="I120" s="41"/>
      <c r="J120" s="33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0" s="33" t="str">
        <f t="shared" ca="1" si="11"/>
        <v>—</v>
      </c>
      <c r="L120" s="50"/>
    </row>
    <row r="121" spans="1:12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IF(A121="","",IFERROR(VLOOKUP(A121,DB_Customers!$A:$N,14,0),""))</f>
        <v/>
      </c>
      <c r="D121" s="42" t="str">
        <f t="shared" ca="1" si="9"/>
        <v/>
      </c>
      <c r="E121" s="32"/>
      <c r="F121" s="31"/>
      <c r="G121" s="43" t="str">
        <f t="shared" si="10"/>
        <v/>
      </c>
      <c r="H121" s="30" t="s">
        <v>60</v>
      </c>
      <c r="I121" s="41"/>
      <c r="J121" s="33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1" s="33" t="str">
        <f t="shared" ca="1" si="11"/>
        <v>—</v>
      </c>
      <c r="L121" s="22"/>
    </row>
    <row r="122" spans="1:12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IF(A122="","",IFERROR(VLOOKUP(A122,DB_Customers!$A:$N,14,0),""))</f>
        <v/>
      </c>
      <c r="D122" s="42" t="str">
        <f t="shared" ca="1" si="9"/>
        <v/>
      </c>
      <c r="E122" s="32"/>
      <c r="F122" s="31"/>
      <c r="G122" s="43" t="str">
        <f t="shared" si="10"/>
        <v/>
      </c>
      <c r="H122" s="30" t="s">
        <v>60</v>
      </c>
      <c r="I122" s="41"/>
      <c r="J122" s="33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2" s="33" t="str">
        <f t="shared" ca="1" si="11"/>
        <v>—</v>
      </c>
      <c r="L122" s="50"/>
    </row>
    <row r="123" spans="1:12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IF(A123="","",IFERROR(VLOOKUP(A123,DB_Customers!$A:$N,14,0),""))</f>
        <v/>
      </c>
      <c r="D123" s="42" t="str">
        <f t="shared" ca="1" si="9"/>
        <v/>
      </c>
      <c r="E123" s="32"/>
      <c r="F123" s="31"/>
      <c r="G123" s="43" t="str">
        <f t="shared" si="10"/>
        <v/>
      </c>
      <c r="H123" s="30" t="s">
        <v>60</v>
      </c>
      <c r="I123" s="41"/>
      <c r="J123" s="33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3" s="33" t="str">
        <f t="shared" ca="1" si="11"/>
        <v>—</v>
      </c>
      <c r="L123" s="22"/>
    </row>
    <row r="124" spans="1:12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IF(A124="","",IFERROR(VLOOKUP(A124,DB_Customers!$A:$N,14,0),""))</f>
        <v/>
      </c>
      <c r="D124" s="42" t="str">
        <f t="shared" ca="1" si="9"/>
        <v/>
      </c>
      <c r="E124" s="32"/>
      <c r="F124" s="31"/>
      <c r="G124" s="43" t="str">
        <f t="shared" si="10"/>
        <v/>
      </c>
      <c r="H124" s="30" t="s">
        <v>60</v>
      </c>
      <c r="I124" s="41"/>
      <c r="J124" s="33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4" s="33" t="str">
        <f t="shared" ca="1" si="11"/>
        <v>—</v>
      </c>
      <c r="L124" s="50"/>
    </row>
    <row r="125" spans="1:12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IF(A125="","",IFERROR(VLOOKUP(A125,DB_Customers!$A:$N,14,0),""))</f>
        <v/>
      </c>
      <c r="D125" s="42" t="str">
        <f t="shared" ca="1" si="9"/>
        <v/>
      </c>
      <c r="E125" s="32"/>
      <c r="F125" s="31"/>
      <c r="G125" s="43" t="str">
        <f t="shared" si="10"/>
        <v/>
      </c>
      <c r="H125" s="30" t="s">
        <v>60</v>
      </c>
      <c r="I125" s="41"/>
      <c r="J125" s="33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5" s="33" t="str">
        <f t="shared" ca="1" si="11"/>
        <v>—</v>
      </c>
      <c r="L125" s="22"/>
    </row>
    <row r="126" spans="1:12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IF(A126="","",IFERROR(VLOOKUP(A126,DB_Customers!$A:$N,14,0),""))</f>
        <v/>
      </c>
      <c r="D126" s="42" t="str">
        <f t="shared" ca="1" si="9"/>
        <v/>
      </c>
      <c r="E126" s="32"/>
      <c r="F126" s="31"/>
      <c r="G126" s="43" t="str">
        <f t="shared" si="10"/>
        <v/>
      </c>
      <c r="H126" s="30" t="s">
        <v>60</v>
      </c>
      <c r="I126" s="41"/>
      <c r="J126" s="33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6" s="33" t="str">
        <f t="shared" ca="1" si="11"/>
        <v>—</v>
      </c>
      <c r="L126" s="50"/>
    </row>
    <row r="127" spans="1:12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IF(A127="","",IFERROR(VLOOKUP(A127,DB_Customers!$A:$N,14,0),""))</f>
        <v/>
      </c>
      <c r="D127" s="42" t="str">
        <f t="shared" ca="1" si="9"/>
        <v/>
      </c>
      <c r="E127" s="32"/>
      <c r="F127" s="31"/>
      <c r="G127" s="43" t="str">
        <f t="shared" si="10"/>
        <v/>
      </c>
      <c r="H127" s="30" t="s">
        <v>60</v>
      </c>
      <c r="I127" s="41"/>
      <c r="J127" s="33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7" s="33" t="str">
        <f t="shared" ca="1" si="11"/>
        <v>—</v>
      </c>
      <c r="L127" s="22"/>
    </row>
    <row r="128" spans="1:12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IF(A128="","",IFERROR(VLOOKUP(A128,DB_Customers!$A:$N,14,0),""))</f>
        <v/>
      </c>
      <c r="D128" s="42" t="str">
        <f t="shared" ca="1" si="9"/>
        <v/>
      </c>
      <c r="E128" s="32"/>
      <c r="F128" s="31"/>
      <c r="G128" s="43" t="str">
        <f t="shared" si="10"/>
        <v/>
      </c>
      <c r="H128" s="30" t="s">
        <v>60</v>
      </c>
      <c r="I128" s="41"/>
      <c r="J128" s="33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28" s="33" t="str">
        <f t="shared" ca="1" si="11"/>
        <v>—</v>
      </c>
      <c r="L128" s="50"/>
    </row>
    <row r="129" spans="1:12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IF(A129="","",IFERROR(VLOOKUP(A129,DB_Customers!$A:$N,14,0),""))</f>
        <v/>
      </c>
      <c r="D129" s="42" t="str">
        <f t="shared" ca="1" si="9"/>
        <v/>
      </c>
      <c r="E129" s="32"/>
      <c r="F129" s="31"/>
      <c r="G129" s="43" t="str">
        <f t="shared" si="10"/>
        <v/>
      </c>
      <c r="H129" s="30" t="s">
        <v>60</v>
      </c>
      <c r="I129" s="41"/>
      <c r="J129" s="33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29" s="33" t="str">
        <f t="shared" ca="1" si="11"/>
        <v>—</v>
      </c>
      <c r="L129" s="22"/>
    </row>
    <row r="130" spans="1:12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IF(A130="","",IFERROR(VLOOKUP(A130,DB_Customers!$A:$N,14,0),""))</f>
        <v/>
      </c>
      <c r="D130" s="42" t="str">
        <f t="shared" ca="1" si="9"/>
        <v/>
      </c>
      <c r="E130" s="32"/>
      <c r="F130" s="31"/>
      <c r="G130" s="43" t="str">
        <f t="shared" si="10"/>
        <v/>
      </c>
      <c r="H130" s="30" t="s">
        <v>60</v>
      </c>
      <c r="I130" s="41"/>
      <c r="J130" s="33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0" s="33" t="str">
        <f t="shared" ca="1" si="11"/>
        <v>—</v>
      </c>
      <c r="L130" s="50"/>
    </row>
    <row r="131" spans="1:12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IF(A131="","",IFERROR(VLOOKUP(A131,DB_Customers!$A:$N,14,0),""))</f>
        <v/>
      </c>
      <c r="D131" s="42" t="str">
        <f t="shared" ca="1" si="9"/>
        <v/>
      </c>
      <c r="E131" s="32"/>
      <c r="F131" s="31"/>
      <c r="G131" s="43" t="str">
        <f t="shared" si="10"/>
        <v/>
      </c>
      <c r="H131" s="30" t="s">
        <v>60</v>
      </c>
      <c r="I131" s="41"/>
      <c r="J131" s="33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1" s="33" t="str">
        <f t="shared" ca="1" si="11"/>
        <v>—</v>
      </c>
      <c r="L131" s="22"/>
    </row>
    <row r="132" spans="1:12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IF(A132="","",IFERROR(VLOOKUP(A132,DB_Customers!$A:$N,14,0),""))</f>
        <v/>
      </c>
      <c r="D132" s="42" t="str">
        <f t="shared" ca="1" si="9"/>
        <v/>
      </c>
      <c r="E132" s="32"/>
      <c r="F132" s="31"/>
      <c r="G132" s="43" t="str">
        <f t="shared" si="10"/>
        <v/>
      </c>
      <c r="H132" s="30" t="s">
        <v>60</v>
      </c>
      <c r="I132" s="41"/>
      <c r="J132" s="33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2" s="33" t="str">
        <f t="shared" ca="1" si="11"/>
        <v>—</v>
      </c>
      <c r="L132" s="50"/>
    </row>
    <row r="133" spans="1:12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IF(A133="","",IFERROR(VLOOKUP(A133,DB_Customers!$A:$N,14,0),""))</f>
        <v/>
      </c>
      <c r="D133" s="42" t="str">
        <f t="shared" ca="1" si="9"/>
        <v/>
      </c>
      <c r="E133" s="32"/>
      <c r="F133" s="31"/>
      <c r="G133" s="43" t="str">
        <f t="shared" si="10"/>
        <v/>
      </c>
      <c r="H133" s="30" t="s">
        <v>60</v>
      </c>
      <c r="I133" s="41"/>
      <c r="J133" s="33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3" s="33" t="str">
        <f t="shared" ca="1" si="11"/>
        <v>—</v>
      </c>
      <c r="L133" s="22"/>
    </row>
    <row r="134" spans="1:12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IF(A134="","",IFERROR(VLOOKUP(A134,DB_Customers!$A:$N,14,0),""))</f>
        <v/>
      </c>
      <c r="D134" s="42" t="str">
        <f t="shared" ca="1" si="9"/>
        <v/>
      </c>
      <c r="E134" s="32"/>
      <c r="F134" s="31"/>
      <c r="G134" s="43" t="str">
        <f t="shared" si="10"/>
        <v/>
      </c>
      <c r="H134" s="30" t="s">
        <v>60</v>
      </c>
      <c r="I134" s="41"/>
      <c r="J134" s="33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4" s="33" t="str">
        <f t="shared" ca="1" si="11"/>
        <v>—</v>
      </c>
      <c r="L134" s="50"/>
    </row>
    <row r="135" spans="1:12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IF(A135="","",IFERROR(VLOOKUP(A135,DB_Customers!$A:$N,14,0),""))</f>
        <v/>
      </c>
      <c r="D135" s="42" t="str">
        <f t="shared" ca="1" si="9"/>
        <v/>
      </c>
      <c r="E135" s="32"/>
      <c r="F135" s="31"/>
      <c r="G135" s="43" t="str">
        <f t="shared" si="10"/>
        <v/>
      </c>
      <c r="H135" s="30" t="s">
        <v>60</v>
      </c>
      <c r="I135" s="41"/>
      <c r="J135" s="33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5" s="33" t="str">
        <f t="shared" ca="1" si="11"/>
        <v>—</v>
      </c>
      <c r="L135" s="22"/>
    </row>
    <row r="136" spans="1:12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IF(A136="","",IFERROR(VLOOKUP(A136,DB_Customers!$A:$N,14,0),""))</f>
        <v/>
      </c>
      <c r="D136" s="42" t="str">
        <f t="shared" ca="1" si="9"/>
        <v/>
      </c>
      <c r="E136" s="32"/>
      <c r="F136" s="31"/>
      <c r="G136" s="43" t="str">
        <f t="shared" si="10"/>
        <v/>
      </c>
      <c r="H136" s="30" t="s">
        <v>60</v>
      </c>
      <c r="I136" s="41"/>
      <c r="J136" s="33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6" s="33" t="str">
        <f t="shared" ca="1" si="11"/>
        <v>—</v>
      </c>
      <c r="L136" s="50"/>
    </row>
    <row r="137" spans="1:12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IF(A137="","",IFERROR(VLOOKUP(A137,DB_Customers!$A:$N,14,0),""))</f>
        <v/>
      </c>
      <c r="D137" s="42" t="str">
        <f t="shared" ref="D137:D168" ca="1" si="12">IF(A137="","",TODAY())</f>
        <v/>
      </c>
      <c r="E137" s="32"/>
      <c r="F137" s="31"/>
      <c r="G137" s="43" t="str">
        <f t="shared" ref="G137:G168" si="13">IFERROR(IF(OR(A137="",E137=""),"",C137-E137),"")</f>
        <v/>
      </c>
      <c r="H137" s="30" t="s">
        <v>60</v>
      </c>
      <c r="I137" s="41"/>
      <c r="J137" s="33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7" s="33" t="str">
        <f t="shared" ref="K137:K168" ca="1" si="14">IF(J137="✅ Successful",TEXT(TODAY(),"YYYY-MM-DD")&amp;" Auto","—")</f>
        <v>—</v>
      </c>
      <c r="L137" s="22"/>
    </row>
    <row r="138" spans="1:12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IF(A138="","",IFERROR(VLOOKUP(A138,DB_Customers!$A:$N,14,0),""))</f>
        <v/>
      </c>
      <c r="D138" s="42" t="str">
        <f t="shared" ca="1" si="12"/>
        <v/>
      </c>
      <c r="E138" s="32"/>
      <c r="F138" s="31"/>
      <c r="G138" s="43" t="str">
        <f t="shared" si="13"/>
        <v/>
      </c>
      <c r="H138" s="30" t="s">
        <v>60</v>
      </c>
      <c r="I138" s="41"/>
      <c r="J138" s="33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38" s="33" t="str">
        <f t="shared" ca="1" si="14"/>
        <v>—</v>
      </c>
      <c r="L138" s="50"/>
    </row>
    <row r="139" spans="1:12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IF(A139="","",IFERROR(VLOOKUP(A139,DB_Customers!$A:$N,14,0),""))</f>
        <v/>
      </c>
      <c r="D139" s="42" t="str">
        <f t="shared" ca="1" si="12"/>
        <v/>
      </c>
      <c r="E139" s="32"/>
      <c r="F139" s="31"/>
      <c r="G139" s="43" t="str">
        <f t="shared" si="13"/>
        <v/>
      </c>
      <c r="H139" s="30" t="s">
        <v>60</v>
      </c>
      <c r="I139" s="41"/>
      <c r="J139" s="33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39" s="33" t="str">
        <f t="shared" ca="1" si="14"/>
        <v>—</v>
      </c>
      <c r="L139" s="22"/>
    </row>
    <row r="140" spans="1:12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IF(A140="","",IFERROR(VLOOKUP(A140,DB_Customers!$A:$N,14,0),""))</f>
        <v/>
      </c>
      <c r="D140" s="42" t="str">
        <f t="shared" ca="1" si="12"/>
        <v/>
      </c>
      <c r="E140" s="32"/>
      <c r="F140" s="31"/>
      <c r="G140" s="43" t="str">
        <f t="shared" si="13"/>
        <v/>
      </c>
      <c r="H140" s="30" t="s">
        <v>60</v>
      </c>
      <c r="I140" s="41"/>
      <c r="J140" s="33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0" s="33" t="str">
        <f t="shared" ca="1" si="14"/>
        <v>—</v>
      </c>
      <c r="L140" s="50"/>
    </row>
    <row r="141" spans="1:12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IF(A141="","",IFERROR(VLOOKUP(A141,DB_Customers!$A:$N,14,0),""))</f>
        <v/>
      </c>
      <c r="D141" s="42" t="str">
        <f t="shared" ca="1" si="12"/>
        <v/>
      </c>
      <c r="E141" s="32"/>
      <c r="F141" s="31"/>
      <c r="G141" s="43" t="str">
        <f t="shared" si="13"/>
        <v/>
      </c>
      <c r="H141" s="30" t="s">
        <v>60</v>
      </c>
      <c r="I141" s="41"/>
      <c r="J141" s="33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1" s="33" t="str">
        <f t="shared" ca="1" si="14"/>
        <v>—</v>
      </c>
      <c r="L141" s="22"/>
    </row>
    <row r="142" spans="1:12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IF(A142="","",IFERROR(VLOOKUP(A142,DB_Customers!$A:$N,14,0),""))</f>
        <v/>
      </c>
      <c r="D142" s="42" t="str">
        <f t="shared" ca="1" si="12"/>
        <v/>
      </c>
      <c r="E142" s="32"/>
      <c r="F142" s="31"/>
      <c r="G142" s="43" t="str">
        <f t="shared" si="13"/>
        <v/>
      </c>
      <c r="H142" s="30" t="s">
        <v>60</v>
      </c>
      <c r="I142" s="41"/>
      <c r="J142" s="33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2" s="33" t="str">
        <f t="shared" ca="1" si="14"/>
        <v>—</v>
      </c>
      <c r="L142" s="50"/>
    </row>
    <row r="143" spans="1:12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IF(A143="","",IFERROR(VLOOKUP(A143,DB_Customers!$A:$N,14,0),""))</f>
        <v/>
      </c>
      <c r="D143" s="42" t="str">
        <f t="shared" ca="1" si="12"/>
        <v/>
      </c>
      <c r="E143" s="32"/>
      <c r="F143" s="31"/>
      <c r="G143" s="43" t="str">
        <f t="shared" si="13"/>
        <v/>
      </c>
      <c r="H143" s="30" t="s">
        <v>60</v>
      </c>
      <c r="I143" s="41"/>
      <c r="J143" s="33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3" s="33" t="str">
        <f t="shared" ca="1" si="14"/>
        <v>—</v>
      </c>
      <c r="L143" s="22"/>
    </row>
    <row r="144" spans="1:12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IF(A144="","",IFERROR(VLOOKUP(A144,DB_Customers!$A:$N,14,0),""))</f>
        <v/>
      </c>
      <c r="D144" s="42" t="str">
        <f t="shared" ca="1" si="12"/>
        <v/>
      </c>
      <c r="E144" s="32"/>
      <c r="F144" s="31"/>
      <c r="G144" s="43" t="str">
        <f t="shared" si="13"/>
        <v/>
      </c>
      <c r="H144" s="30" t="s">
        <v>60</v>
      </c>
      <c r="I144" s="41"/>
      <c r="J144" s="33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4" s="33" t="str">
        <f t="shared" ca="1" si="14"/>
        <v>—</v>
      </c>
      <c r="L144" s="50"/>
    </row>
    <row r="145" spans="1:12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IF(A145="","",IFERROR(VLOOKUP(A145,DB_Customers!$A:$N,14,0),""))</f>
        <v/>
      </c>
      <c r="D145" s="42" t="str">
        <f t="shared" ca="1" si="12"/>
        <v/>
      </c>
      <c r="E145" s="32"/>
      <c r="F145" s="31"/>
      <c r="G145" s="43" t="str">
        <f t="shared" si="13"/>
        <v/>
      </c>
      <c r="H145" s="30" t="s">
        <v>60</v>
      </c>
      <c r="I145" s="41"/>
      <c r="J145" s="33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5" s="33" t="str">
        <f t="shared" ca="1" si="14"/>
        <v>—</v>
      </c>
      <c r="L145" s="22"/>
    </row>
    <row r="146" spans="1:12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IF(A146="","",IFERROR(VLOOKUP(A146,DB_Customers!$A:$N,14,0),""))</f>
        <v/>
      </c>
      <c r="D146" s="42" t="str">
        <f t="shared" ca="1" si="12"/>
        <v/>
      </c>
      <c r="E146" s="32"/>
      <c r="F146" s="31"/>
      <c r="G146" s="43" t="str">
        <f t="shared" si="13"/>
        <v/>
      </c>
      <c r="H146" s="30" t="s">
        <v>60</v>
      </c>
      <c r="I146" s="41"/>
      <c r="J146" s="33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6" s="33" t="str">
        <f t="shared" ca="1" si="14"/>
        <v>—</v>
      </c>
      <c r="L146" s="50"/>
    </row>
    <row r="147" spans="1:12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IF(A147="","",IFERROR(VLOOKUP(A147,DB_Customers!$A:$N,14,0),""))</f>
        <v/>
      </c>
      <c r="D147" s="42" t="str">
        <f t="shared" ca="1" si="12"/>
        <v/>
      </c>
      <c r="E147" s="32"/>
      <c r="F147" s="31"/>
      <c r="G147" s="43" t="str">
        <f t="shared" si="13"/>
        <v/>
      </c>
      <c r="H147" s="30" t="s">
        <v>60</v>
      </c>
      <c r="I147" s="41"/>
      <c r="J147" s="33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7" s="33" t="str">
        <f t="shared" ca="1" si="14"/>
        <v>—</v>
      </c>
      <c r="L147" s="22"/>
    </row>
    <row r="148" spans="1:12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IF(A148="","",IFERROR(VLOOKUP(A148,DB_Customers!$A:$N,14,0),""))</f>
        <v/>
      </c>
      <c r="D148" s="42" t="str">
        <f t="shared" ca="1" si="12"/>
        <v/>
      </c>
      <c r="E148" s="32"/>
      <c r="F148" s="31"/>
      <c r="G148" s="43" t="str">
        <f t="shared" si="13"/>
        <v/>
      </c>
      <c r="H148" s="30" t="s">
        <v>60</v>
      </c>
      <c r="I148" s="41"/>
      <c r="J148" s="33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48" s="33" t="str">
        <f t="shared" ca="1" si="14"/>
        <v>—</v>
      </c>
      <c r="L148" s="50"/>
    </row>
    <row r="149" spans="1:12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IF(A149="","",IFERROR(VLOOKUP(A149,DB_Customers!$A:$N,14,0),""))</f>
        <v/>
      </c>
      <c r="D149" s="42" t="str">
        <f t="shared" ca="1" si="12"/>
        <v/>
      </c>
      <c r="E149" s="32"/>
      <c r="F149" s="31"/>
      <c r="G149" s="43" t="str">
        <f t="shared" si="13"/>
        <v/>
      </c>
      <c r="H149" s="30" t="s">
        <v>60</v>
      </c>
      <c r="I149" s="41"/>
      <c r="J149" s="33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49" s="33" t="str">
        <f t="shared" ca="1" si="14"/>
        <v>—</v>
      </c>
      <c r="L149" s="22"/>
    </row>
    <row r="150" spans="1:12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IF(A150="","",IFERROR(VLOOKUP(A150,DB_Customers!$A:$N,14,0),""))</f>
        <v/>
      </c>
      <c r="D150" s="42" t="str">
        <f t="shared" ca="1" si="12"/>
        <v/>
      </c>
      <c r="E150" s="32"/>
      <c r="F150" s="31"/>
      <c r="G150" s="43" t="str">
        <f t="shared" si="13"/>
        <v/>
      </c>
      <c r="H150" s="30" t="s">
        <v>60</v>
      </c>
      <c r="I150" s="41"/>
      <c r="J150" s="33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0" s="33" t="str">
        <f t="shared" ca="1" si="14"/>
        <v>—</v>
      </c>
      <c r="L150" s="50"/>
    </row>
    <row r="151" spans="1:12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IF(A151="","",IFERROR(VLOOKUP(A151,DB_Customers!$A:$N,14,0),""))</f>
        <v/>
      </c>
      <c r="D151" s="42" t="str">
        <f t="shared" ca="1" si="12"/>
        <v/>
      </c>
      <c r="E151" s="32"/>
      <c r="F151" s="31"/>
      <c r="G151" s="43" t="str">
        <f t="shared" si="13"/>
        <v/>
      </c>
      <c r="H151" s="30" t="s">
        <v>60</v>
      </c>
      <c r="I151" s="41"/>
      <c r="J151" s="33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1" s="33" t="str">
        <f t="shared" ca="1" si="14"/>
        <v>—</v>
      </c>
      <c r="L151" s="22"/>
    </row>
    <row r="152" spans="1:12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IF(A152="","",IFERROR(VLOOKUP(A152,DB_Customers!$A:$N,14,0),""))</f>
        <v/>
      </c>
      <c r="D152" s="42" t="str">
        <f t="shared" ca="1" si="12"/>
        <v/>
      </c>
      <c r="E152" s="32"/>
      <c r="F152" s="31"/>
      <c r="G152" s="43" t="str">
        <f t="shared" si="13"/>
        <v/>
      </c>
      <c r="H152" s="30" t="s">
        <v>60</v>
      </c>
      <c r="I152" s="41"/>
      <c r="J152" s="33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2" s="33" t="str">
        <f t="shared" ca="1" si="14"/>
        <v>—</v>
      </c>
      <c r="L152" s="50"/>
    </row>
    <row r="153" spans="1:12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IF(A153="","",IFERROR(VLOOKUP(A153,DB_Customers!$A:$N,14,0),""))</f>
        <v/>
      </c>
      <c r="D153" s="42" t="str">
        <f t="shared" ca="1" si="12"/>
        <v/>
      </c>
      <c r="E153" s="32"/>
      <c r="F153" s="31"/>
      <c r="G153" s="43" t="str">
        <f t="shared" si="13"/>
        <v/>
      </c>
      <c r="H153" s="30" t="s">
        <v>60</v>
      </c>
      <c r="I153" s="41"/>
      <c r="J153" s="33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3" s="33" t="str">
        <f t="shared" ca="1" si="14"/>
        <v>—</v>
      </c>
      <c r="L153" s="22"/>
    </row>
    <row r="154" spans="1:12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IF(A154="","",IFERROR(VLOOKUP(A154,DB_Customers!$A:$N,14,0),""))</f>
        <v/>
      </c>
      <c r="D154" s="42" t="str">
        <f t="shared" ca="1" si="12"/>
        <v/>
      </c>
      <c r="E154" s="32"/>
      <c r="F154" s="31"/>
      <c r="G154" s="43" t="str">
        <f t="shared" si="13"/>
        <v/>
      </c>
      <c r="H154" s="30" t="s">
        <v>60</v>
      </c>
      <c r="I154" s="41"/>
      <c r="J154" s="33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4" s="33" t="str">
        <f t="shared" ca="1" si="14"/>
        <v>—</v>
      </c>
      <c r="L154" s="50"/>
    </row>
    <row r="155" spans="1:12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IF(A155="","",IFERROR(VLOOKUP(A155,DB_Customers!$A:$N,14,0),""))</f>
        <v/>
      </c>
      <c r="D155" s="42" t="str">
        <f t="shared" ca="1" si="12"/>
        <v/>
      </c>
      <c r="E155" s="32"/>
      <c r="F155" s="31"/>
      <c r="G155" s="43" t="str">
        <f t="shared" si="13"/>
        <v/>
      </c>
      <c r="H155" s="30" t="s">
        <v>60</v>
      </c>
      <c r="I155" s="41"/>
      <c r="J155" s="33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5" s="33" t="str">
        <f t="shared" ca="1" si="14"/>
        <v>—</v>
      </c>
      <c r="L155" s="22"/>
    </row>
    <row r="156" spans="1:12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IF(A156="","",IFERROR(VLOOKUP(A156,DB_Customers!$A:$N,14,0),""))</f>
        <v/>
      </c>
      <c r="D156" s="42" t="str">
        <f t="shared" ca="1" si="12"/>
        <v/>
      </c>
      <c r="E156" s="32"/>
      <c r="F156" s="31"/>
      <c r="G156" s="43" t="str">
        <f t="shared" si="13"/>
        <v/>
      </c>
      <c r="H156" s="30" t="s">
        <v>60</v>
      </c>
      <c r="I156" s="41"/>
      <c r="J156" s="33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6" s="33" t="str">
        <f t="shared" ca="1" si="14"/>
        <v>—</v>
      </c>
      <c r="L156" s="50"/>
    </row>
    <row r="157" spans="1:12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IF(A157="","",IFERROR(VLOOKUP(A157,DB_Customers!$A:$N,14,0),""))</f>
        <v/>
      </c>
      <c r="D157" s="42" t="str">
        <f t="shared" ca="1" si="12"/>
        <v/>
      </c>
      <c r="E157" s="32"/>
      <c r="F157" s="31"/>
      <c r="G157" s="43" t="str">
        <f t="shared" si="13"/>
        <v/>
      </c>
      <c r="H157" s="30" t="s">
        <v>60</v>
      </c>
      <c r="I157" s="41"/>
      <c r="J157" s="33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7" s="33" t="str">
        <f t="shared" ca="1" si="14"/>
        <v>—</v>
      </c>
      <c r="L157" s="22"/>
    </row>
    <row r="158" spans="1:12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IF(A158="","",IFERROR(VLOOKUP(A158,DB_Customers!$A:$N,14,0),""))</f>
        <v/>
      </c>
      <c r="D158" s="42" t="str">
        <f t="shared" ca="1" si="12"/>
        <v/>
      </c>
      <c r="E158" s="32"/>
      <c r="F158" s="31"/>
      <c r="G158" s="43" t="str">
        <f t="shared" si="13"/>
        <v/>
      </c>
      <c r="H158" s="30" t="s">
        <v>60</v>
      </c>
      <c r="I158" s="41"/>
      <c r="J158" s="33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58" s="33" t="str">
        <f t="shared" ca="1" si="14"/>
        <v>—</v>
      </c>
      <c r="L158" s="50"/>
    </row>
    <row r="159" spans="1:12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IF(A159="","",IFERROR(VLOOKUP(A159,DB_Customers!$A:$N,14,0),""))</f>
        <v/>
      </c>
      <c r="D159" s="42" t="str">
        <f t="shared" ca="1" si="12"/>
        <v/>
      </c>
      <c r="E159" s="32"/>
      <c r="F159" s="31"/>
      <c r="G159" s="43" t="str">
        <f t="shared" si="13"/>
        <v/>
      </c>
      <c r="H159" s="30" t="s">
        <v>60</v>
      </c>
      <c r="I159" s="41"/>
      <c r="J159" s="33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59" s="33" t="str">
        <f t="shared" ca="1" si="14"/>
        <v>—</v>
      </c>
      <c r="L159" s="22"/>
    </row>
    <row r="160" spans="1:12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IF(A160="","",IFERROR(VLOOKUP(A160,DB_Customers!$A:$N,14,0),""))</f>
        <v/>
      </c>
      <c r="D160" s="42" t="str">
        <f t="shared" ca="1" si="12"/>
        <v/>
      </c>
      <c r="E160" s="32"/>
      <c r="F160" s="31"/>
      <c r="G160" s="43" t="str">
        <f t="shared" si="13"/>
        <v/>
      </c>
      <c r="H160" s="30" t="s">
        <v>60</v>
      </c>
      <c r="I160" s="41"/>
      <c r="J160" s="33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0" s="33" t="str">
        <f t="shared" ca="1" si="14"/>
        <v>—</v>
      </c>
      <c r="L160" s="50"/>
    </row>
    <row r="161" spans="1:12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IF(A161="","",IFERROR(VLOOKUP(A161,DB_Customers!$A:$N,14,0),""))</f>
        <v/>
      </c>
      <c r="D161" s="42" t="str">
        <f t="shared" ca="1" si="12"/>
        <v/>
      </c>
      <c r="E161" s="32"/>
      <c r="F161" s="31"/>
      <c r="G161" s="43" t="str">
        <f t="shared" si="13"/>
        <v/>
      </c>
      <c r="H161" s="30" t="s">
        <v>60</v>
      </c>
      <c r="I161" s="41"/>
      <c r="J161" s="33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1" s="33" t="str">
        <f t="shared" ca="1" si="14"/>
        <v>—</v>
      </c>
      <c r="L161" s="22"/>
    </row>
    <row r="162" spans="1:12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IF(A162="","",IFERROR(VLOOKUP(A162,DB_Customers!$A:$N,14,0),""))</f>
        <v/>
      </c>
      <c r="D162" s="42" t="str">
        <f t="shared" ca="1" si="12"/>
        <v/>
      </c>
      <c r="E162" s="32"/>
      <c r="F162" s="31"/>
      <c r="G162" s="43" t="str">
        <f t="shared" si="13"/>
        <v/>
      </c>
      <c r="H162" s="30" t="s">
        <v>60</v>
      </c>
      <c r="I162" s="41"/>
      <c r="J162" s="33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2" s="33" t="str">
        <f t="shared" ca="1" si="14"/>
        <v>—</v>
      </c>
      <c r="L162" s="50"/>
    </row>
    <row r="163" spans="1:12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IF(A163="","",IFERROR(VLOOKUP(A163,DB_Customers!$A:$N,14,0),""))</f>
        <v/>
      </c>
      <c r="D163" s="42" t="str">
        <f t="shared" ca="1" si="12"/>
        <v/>
      </c>
      <c r="E163" s="32"/>
      <c r="F163" s="31"/>
      <c r="G163" s="43" t="str">
        <f t="shared" si="13"/>
        <v/>
      </c>
      <c r="H163" s="30" t="s">
        <v>60</v>
      </c>
      <c r="I163" s="41"/>
      <c r="J163" s="33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3" s="33" t="str">
        <f t="shared" ca="1" si="14"/>
        <v>—</v>
      </c>
      <c r="L163" s="22"/>
    </row>
    <row r="164" spans="1:12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IF(A164="","",IFERROR(VLOOKUP(A164,DB_Customers!$A:$N,14,0),""))</f>
        <v/>
      </c>
      <c r="D164" s="42" t="str">
        <f t="shared" ca="1" si="12"/>
        <v/>
      </c>
      <c r="E164" s="32"/>
      <c r="F164" s="31"/>
      <c r="G164" s="43" t="str">
        <f t="shared" si="13"/>
        <v/>
      </c>
      <c r="H164" s="30" t="s">
        <v>60</v>
      </c>
      <c r="I164" s="41"/>
      <c r="J164" s="33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4" s="33" t="str">
        <f t="shared" ca="1" si="14"/>
        <v>—</v>
      </c>
      <c r="L164" s="50"/>
    </row>
    <row r="165" spans="1:12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IF(A165="","",IFERROR(VLOOKUP(A165,DB_Customers!$A:$N,14,0),""))</f>
        <v/>
      </c>
      <c r="D165" s="42" t="str">
        <f t="shared" ca="1" si="12"/>
        <v/>
      </c>
      <c r="E165" s="32"/>
      <c r="F165" s="31"/>
      <c r="G165" s="43" t="str">
        <f t="shared" si="13"/>
        <v/>
      </c>
      <c r="H165" s="30" t="s">
        <v>60</v>
      </c>
      <c r="I165" s="41"/>
      <c r="J165" s="33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5" s="33" t="str">
        <f t="shared" ca="1" si="14"/>
        <v>—</v>
      </c>
      <c r="L165" s="22"/>
    </row>
    <row r="166" spans="1:12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IF(A166="","",IFERROR(VLOOKUP(A166,DB_Customers!$A:$N,14,0),""))</f>
        <v/>
      </c>
      <c r="D166" s="42" t="str">
        <f t="shared" ca="1" si="12"/>
        <v/>
      </c>
      <c r="E166" s="32"/>
      <c r="F166" s="31"/>
      <c r="G166" s="43" t="str">
        <f t="shared" si="13"/>
        <v/>
      </c>
      <c r="H166" s="30" t="s">
        <v>60</v>
      </c>
      <c r="I166" s="41"/>
      <c r="J166" s="33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6" s="33" t="str">
        <f t="shared" ca="1" si="14"/>
        <v>—</v>
      </c>
      <c r="L166" s="50"/>
    </row>
    <row r="167" spans="1:12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IF(A167="","",IFERROR(VLOOKUP(A167,DB_Customers!$A:$N,14,0),""))</f>
        <v/>
      </c>
      <c r="D167" s="42" t="str">
        <f t="shared" ca="1" si="12"/>
        <v/>
      </c>
      <c r="E167" s="32"/>
      <c r="F167" s="31"/>
      <c r="G167" s="43" t="str">
        <f t="shared" si="13"/>
        <v/>
      </c>
      <c r="H167" s="30" t="s">
        <v>60</v>
      </c>
      <c r="I167" s="41"/>
      <c r="J167" s="33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7" s="33" t="str">
        <f t="shared" ca="1" si="14"/>
        <v>—</v>
      </c>
      <c r="L167" s="22"/>
    </row>
    <row r="168" spans="1:12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IF(A168="","",IFERROR(VLOOKUP(A168,DB_Customers!$A:$N,14,0),""))</f>
        <v/>
      </c>
      <c r="D168" s="42" t="str">
        <f t="shared" ca="1" si="12"/>
        <v/>
      </c>
      <c r="E168" s="32"/>
      <c r="F168" s="31"/>
      <c r="G168" s="43" t="str">
        <f t="shared" si="13"/>
        <v/>
      </c>
      <c r="H168" s="30" t="s">
        <v>60</v>
      </c>
      <c r="I168" s="41"/>
      <c r="J168" s="33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68" s="33" t="str">
        <f t="shared" ca="1" si="14"/>
        <v>—</v>
      </c>
      <c r="L168" s="50"/>
    </row>
    <row r="169" spans="1:12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IF(A169="","",IFERROR(VLOOKUP(A169,DB_Customers!$A:$N,14,0),""))</f>
        <v/>
      </c>
      <c r="D169" s="42" t="str">
        <f t="shared" ref="D169:D200" ca="1" si="15">IF(A169="","",TODAY())</f>
        <v/>
      </c>
      <c r="E169" s="32"/>
      <c r="F169" s="31"/>
      <c r="G169" s="43" t="str">
        <f t="shared" ref="G169:G200" si="16">IFERROR(IF(OR(A169="",E169=""),"",C169-E169),"")</f>
        <v/>
      </c>
      <c r="H169" s="30" t="s">
        <v>60</v>
      </c>
      <c r="I169" s="41"/>
      <c r="J169" s="33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69" s="33" t="str">
        <f t="shared" ref="K169:K200" ca="1" si="17">IF(J169="✅ Successful",TEXT(TODAY(),"YYYY-MM-DD")&amp;" Auto","—")</f>
        <v>—</v>
      </c>
      <c r="L169" s="22"/>
    </row>
    <row r="170" spans="1:12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IF(A170="","",IFERROR(VLOOKUP(A170,DB_Customers!$A:$N,14,0),""))</f>
        <v/>
      </c>
      <c r="D170" s="42" t="str">
        <f t="shared" ca="1" si="15"/>
        <v/>
      </c>
      <c r="E170" s="32"/>
      <c r="F170" s="31"/>
      <c r="G170" s="43" t="str">
        <f t="shared" si="16"/>
        <v/>
      </c>
      <c r="H170" s="30" t="s">
        <v>60</v>
      </c>
      <c r="I170" s="41"/>
      <c r="J170" s="33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0" s="33" t="str">
        <f t="shared" ca="1" si="17"/>
        <v>—</v>
      </c>
      <c r="L170" s="50"/>
    </row>
    <row r="171" spans="1:12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IF(A171="","",IFERROR(VLOOKUP(A171,DB_Customers!$A:$N,14,0),""))</f>
        <v/>
      </c>
      <c r="D171" s="42" t="str">
        <f t="shared" ca="1" si="15"/>
        <v/>
      </c>
      <c r="E171" s="32"/>
      <c r="F171" s="31"/>
      <c r="G171" s="43" t="str">
        <f t="shared" si="16"/>
        <v/>
      </c>
      <c r="H171" s="30" t="s">
        <v>60</v>
      </c>
      <c r="I171" s="41"/>
      <c r="J171" s="33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1" s="33" t="str">
        <f t="shared" ca="1" si="17"/>
        <v>—</v>
      </c>
      <c r="L171" s="22"/>
    </row>
    <row r="172" spans="1:12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IF(A172="","",IFERROR(VLOOKUP(A172,DB_Customers!$A:$N,14,0),""))</f>
        <v/>
      </c>
      <c r="D172" s="42" t="str">
        <f t="shared" ca="1" si="15"/>
        <v/>
      </c>
      <c r="E172" s="32"/>
      <c r="F172" s="31"/>
      <c r="G172" s="43" t="str">
        <f t="shared" si="16"/>
        <v/>
      </c>
      <c r="H172" s="30" t="s">
        <v>60</v>
      </c>
      <c r="I172" s="41"/>
      <c r="J172" s="33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2" s="33" t="str">
        <f t="shared" ca="1" si="17"/>
        <v>—</v>
      </c>
      <c r="L172" s="50"/>
    </row>
    <row r="173" spans="1:12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IF(A173="","",IFERROR(VLOOKUP(A173,DB_Customers!$A:$N,14,0),""))</f>
        <v/>
      </c>
      <c r="D173" s="42" t="str">
        <f t="shared" ca="1" si="15"/>
        <v/>
      </c>
      <c r="E173" s="32"/>
      <c r="F173" s="31"/>
      <c r="G173" s="43" t="str">
        <f t="shared" si="16"/>
        <v/>
      </c>
      <c r="H173" s="30" t="s">
        <v>60</v>
      </c>
      <c r="I173" s="41"/>
      <c r="J173" s="33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3" s="33" t="str">
        <f t="shared" ca="1" si="17"/>
        <v>—</v>
      </c>
      <c r="L173" s="22"/>
    </row>
    <row r="174" spans="1:12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IF(A174="","",IFERROR(VLOOKUP(A174,DB_Customers!$A:$N,14,0),""))</f>
        <v/>
      </c>
      <c r="D174" s="42" t="str">
        <f t="shared" ca="1" si="15"/>
        <v/>
      </c>
      <c r="E174" s="32"/>
      <c r="F174" s="31"/>
      <c r="G174" s="43" t="str">
        <f t="shared" si="16"/>
        <v/>
      </c>
      <c r="H174" s="30" t="s">
        <v>60</v>
      </c>
      <c r="I174" s="41"/>
      <c r="J174" s="33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4" s="33" t="str">
        <f t="shared" ca="1" si="17"/>
        <v>—</v>
      </c>
      <c r="L174" s="50"/>
    </row>
    <row r="175" spans="1:12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IF(A175="","",IFERROR(VLOOKUP(A175,DB_Customers!$A:$N,14,0),""))</f>
        <v/>
      </c>
      <c r="D175" s="42" t="str">
        <f t="shared" ca="1" si="15"/>
        <v/>
      </c>
      <c r="E175" s="32"/>
      <c r="F175" s="31"/>
      <c r="G175" s="43" t="str">
        <f t="shared" si="16"/>
        <v/>
      </c>
      <c r="H175" s="30" t="s">
        <v>60</v>
      </c>
      <c r="I175" s="41"/>
      <c r="J175" s="33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5" s="33" t="str">
        <f t="shared" ca="1" si="17"/>
        <v>—</v>
      </c>
      <c r="L175" s="22"/>
    </row>
    <row r="176" spans="1:12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IF(A176="","",IFERROR(VLOOKUP(A176,DB_Customers!$A:$N,14,0),""))</f>
        <v/>
      </c>
      <c r="D176" s="42" t="str">
        <f t="shared" ca="1" si="15"/>
        <v/>
      </c>
      <c r="E176" s="32"/>
      <c r="F176" s="31"/>
      <c r="G176" s="43" t="str">
        <f t="shared" si="16"/>
        <v/>
      </c>
      <c r="H176" s="30" t="s">
        <v>60</v>
      </c>
      <c r="I176" s="41"/>
      <c r="J176" s="33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6" s="33" t="str">
        <f t="shared" ca="1" si="17"/>
        <v>—</v>
      </c>
      <c r="L176" s="50"/>
    </row>
    <row r="177" spans="1:12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IF(A177="","",IFERROR(VLOOKUP(A177,DB_Customers!$A:$N,14,0),""))</f>
        <v/>
      </c>
      <c r="D177" s="42" t="str">
        <f t="shared" ca="1" si="15"/>
        <v/>
      </c>
      <c r="E177" s="32"/>
      <c r="F177" s="31"/>
      <c r="G177" s="43" t="str">
        <f t="shared" si="16"/>
        <v/>
      </c>
      <c r="H177" s="30" t="s">
        <v>60</v>
      </c>
      <c r="I177" s="41"/>
      <c r="J177" s="33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7" s="33" t="str">
        <f t="shared" ca="1" si="17"/>
        <v>—</v>
      </c>
      <c r="L177" s="22"/>
    </row>
    <row r="178" spans="1:12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IF(A178="","",IFERROR(VLOOKUP(A178,DB_Customers!$A:$N,14,0),""))</f>
        <v/>
      </c>
      <c r="D178" s="42" t="str">
        <f t="shared" ca="1" si="15"/>
        <v/>
      </c>
      <c r="E178" s="32"/>
      <c r="F178" s="31"/>
      <c r="G178" s="43" t="str">
        <f t="shared" si="16"/>
        <v/>
      </c>
      <c r="H178" s="30" t="s">
        <v>60</v>
      </c>
      <c r="I178" s="41"/>
      <c r="J178" s="33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78" s="33" t="str">
        <f t="shared" ca="1" si="17"/>
        <v>—</v>
      </c>
      <c r="L178" s="50"/>
    </row>
    <row r="179" spans="1:12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IF(A179="","",IFERROR(VLOOKUP(A179,DB_Customers!$A:$N,14,0),""))</f>
        <v/>
      </c>
      <c r="D179" s="42" t="str">
        <f t="shared" ca="1" si="15"/>
        <v/>
      </c>
      <c r="E179" s="32"/>
      <c r="F179" s="31"/>
      <c r="G179" s="43" t="str">
        <f t="shared" si="16"/>
        <v/>
      </c>
      <c r="H179" s="30" t="s">
        <v>60</v>
      </c>
      <c r="I179" s="41"/>
      <c r="J179" s="33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79" s="33" t="str">
        <f t="shared" ca="1" si="17"/>
        <v>—</v>
      </c>
      <c r="L179" s="22"/>
    </row>
    <row r="180" spans="1:12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IF(A180="","",IFERROR(VLOOKUP(A180,DB_Customers!$A:$N,14,0),""))</f>
        <v/>
      </c>
      <c r="D180" s="42" t="str">
        <f t="shared" ca="1" si="15"/>
        <v/>
      </c>
      <c r="E180" s="32"/>
      <c r="F180" s="31"/>
      <c r="G180" s="43" t="str">
        <f t="shared" si="16"/>
        <v/>
      </c>
      <c r="H180" s="30" t="s">
        <v>60</v>
      </c>
      <c r="I180" s="41"/>
      <c r="J180" s="33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0" s="33" t="str">
        <f t="shared" ca="1" si="17"/>
        <v>—</v>
      </c>
      <c r="L180" s="50"/>
    </row>
    <row r="181" spans="1:12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IF(A181="","",IFERROR(VLOOKUP(A181,DB_Customers!$A:$N,14,0),""))</f>
        <v/>
      </c>
      <c r="D181" s="42" t="str">
        <f t="shared" ca="1" si="15"/>
        <v/>
      </c>
      <c r="E181" s="32"/>
      <c r="F181" s="31"/>
      <c r="G181" s="43" t="str">
        <f t="shared" si="16"/>
        <v/>
      </c>
      <c r="H181" s="30" t="s">
        <v>60</v>
      </c>
      <c r="I181" s="41"/>
      <c r="J181" s="33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1" s="33" t="str">
        <f t="shared" ca="1" si="17"/>
        <v>—</v>
      </c>
      <c r="L181" s="22"/>
    </row>
    <row r="182" spans="1:12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IF(A182="","",IFERROR(VLOOKUP(A182,DB_Customers!$A:$N,14,0),""))</f>
        <v/>
      </c>
      <c r="D182" s="42" t="str">
        <f t="shared" ca="1" si="15"/>
        <v/>
      </c>
      <c r="E182" s="32"/>
      <c r="F182" s="31"/>
      <c r="G182" s="43" t="str">
        <f t="shared" si="16"/>
        <v/>
      </c>
      <c r="H182" s="30" t="s">
        <v>60</v>
      </c>
      <c r="I182" s="41"/>
      <c r="J182" s="33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2" s="33" t="str">
        <f t="shared" ca="1" si="17"/>
        <v>—</v>
      </c>
      <c r="L182" s="50"/>
    </row>
    <row r="183" spans="1:12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IF(A183="","",IFERROR(VLOOKUP(A183,DB_Customers!$A:$N,14,0),""))</f>
        <v/>
      </c>
      <c r="D183" s="42" t="str">
        <f t="shared" ca="1" si="15"/>
        <v/>
      </c>
      <c r="E183" s="32"/>
      <c r="F183" s="31"/>
      <c r="G183" s="43" t="str">
        <f t="shared" si="16"/>
        <v/>
      </c>
      <c r="H183" s="30" t="s">
        <v>60</v>
      </c>
      <c r="I183" s="41"/>
      <c r="J183" s="33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3" s="33" t="str">
        <f t="shared" ca="1" si="17"/>
        <v>—</v>
      </c>
      <c r="L183" s="22"/>
    </row>
    <row r="184" spans="1:12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IF(A184="","",IFERROR(VLOOKUP(A184,DB_Customers!$A:$N,14,0),""))</f>
        <v/>
      </c>
      <c r="D184" s="42" t="str">
        <f t="shared" ca="1" si="15"/>
        <v/>
      </c>
      <c r="E184" s="32"/>
      <c r="F184" s="31"/>
      <c r="G184" s="43" t="str">
        <f t="shared" si="16"/>
        <v/>
      </c>
      <c r="H184" s="30" t="s">
        <v>60</v>
      </c>
      <c r="I184" s="41"/>
      <c r="J184" s="33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4" s="33" t="str">
        <f t="shared" ca="1" si="17"/>
        <v>—</v>
      </c>
      <c r="L184" s="50"/>
    </row>
    <row r="185" spans="1:12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IF(A185="","",IFERROR(VLOOKUP(A185,DB_Customers!$A:$N,14,0),""))</f>
        <v/>
      </c>
      <c r="D185" s="42" t="str">
        <f t="shared" ca="1" si="15"/>
        <v/>
      </c>
      <c r="E185" s="32"/>
      <c r="F185" s="31"/>
      <c r="G185" s="43" t="str">
        <f t="shared" si="16"/>
        <v/>
      </c>
      <c r="H185" s="30" t="s">
        <v>60</v>
      </c>
      <c r="I185" s="41"/>
      <c r="J185" s="33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5" s="33" t="str">
        <f t="shared" ca="1" si="17"/>
        <v>—</v>
      </c>
      <c r="L185" s="22"/>
    </row>
    <row r="186" spans="1:12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IF(A186="","",IFERROR(VLOOKUP(A186,DB_Customers!$A:$N,14,0),""))</f>
        <v/>
      </c>
      <c r="D186" s="42" t="str">
        <f t="shared" ca="1" si="15"/>
        <v/>
      </c>
      <c r="E186" s="32"/>
      <c r="F186" s="31"/>
      <c r="G186" s="43" t="str">
        <f t="shared" si="16"/>
        <v/>
      </c>
      <c r="H186" s="30" t="s">
        <v>60</v>
      </c>
      <c r="I186" s="41"/>
      <c r="J186" s="33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6" s="33" t="str">
        <f t="shared" ca="1" si="17"/>
        <v>—</v>
      </c>
      <c r="L186" s="50"/>
    </row>
    <row r="187" spans="1:12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IF(A187="","",IFERROR(VLOOKUP(A187,DB_Customers!$A:$N,14,0),""))</f>
        <v/>
      </c>
      <c r="D187" s="42" t="str">
        <f t="shared" ca="1" si="15"/>
        <v/>
      </c>
      <c r="E187" s="32"/>
      <c r="F187" s="31"/>
      <c r="G187" s="43" t="str">
        <f t="shared" si="16"/>
        <v/>
      </c>
      <c r="H187" s="30" t="s">
        <v>60</v>
      </c>
      <c r="I187" s="41"/>
      <c r="J187" s="33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7" s="33" t="str">
        <f t="shared" ca="1" si="17"/>
        <v>—</v>
      </c>
      <c r="L187" s="22"/>
    </row>
    <row r="188" spans="1:12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IF(A188="","",IFERROR(VLOOKUP(A188,DB_Customers!$A:$N,14,0),""))</f>
        <v/>
      </c>
      <c r="D188" s="42" t="str">
        <f t="shared" ca="1" si="15"/>
        <v/>
      </c>
      <c r="E188" s="32"/>
      <c r="F188" s="31"/>
      <c r="G188" s="43" t="str">
        <f t="shared" si="16"/>
        <v/>
      </c>
      <c r="H188" s="30" t="s">
        <v>60</v>
      </c>
      <c r="I188" s="41"/>
      <c r="J188" s="33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88" s="33" t="str">
        <f t="shared" ca="1" si="17"/>
        <v>—</v>
      </c>
      <c r="L188" s="50"/>
    </row>
    <row r="189" spans="1:12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IF(A189="","",IFERROR(VLOOKUP(A189,DB_Customers!$A:$N,14,0),""))</f>
        <v/>
      </c>
      <c r="D189" s="42" t="str">
        <f t="shared" ca="1" si="15"/>
        <v/>
      </c>
      <c r="E189" s="32"/>
      <c r="F189" s="31"/>
      <c r="G189" s="43" t="str">
        <f t="shared" si="16"/>
        <v/>
      </c>
      <c r="H189" s="30" t="s">
        <v>60</v>
      </c>
      <c r="I189" s="41"/>
      <c r="J189" s="33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89" s="33" t="str">
        <f t="shared" ca="1" si="17"/>
        <v>—</v>
      </c>
      <c r="L189" s="22"/>
    </row>
    <row r="190" spans="1:12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IF(A190="","",IFERROR(VLOOKUP(A190,DB_Customers!$A:$N,14,0),""))</f>
        <v/>
      </c>
      <c r="D190" s="42" t="str">
        <f t="shared" ca="1" si="15"/>
        <v/>
      </c>
      <c r="E190" s="32"/>
      <c r="F190" s="31"/>
      <c r="G190" s="43" t="str">
        <f t="shared" si="16"/>
        <v/>
      </c>
      <c r="H190" s="30" t="s">
        <v>60</v>
      </c>
      <c r="I190" s="41"/>
      <c r="J190" s="33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0" s="33" t="str">
        <f t="shared" ca="1" si="17"/>
        <v>—</v>
      </c>
      <c r="L190" s="50"/>
    </row>
    <row r="191" spans="1:12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IF(A191="","",IFERROR(VLOOKUP(A191,DB_Customers!$A:$N,14,0),""))</f>
        <v/>
      </c>
      <c r="D191" s="42" t="str">
        <f t="shared" ca="1" si="15"/>
        <v/>
      </c>
      <c r="E191" s="32"/>
      <c r="F191" s="31"/>
      <c r="G191" s="43" t="str">
        <f t="shared" si="16"/>
        <v/>
      </c>
      <c r="H191" s="30" t="s">
        <v>60</v>
      </c>
      <c r="I191" s="41"/>
      <c r="J191" s="33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1" s="33" t="str">
        <f t="shared" ca="1" si="17"/>
        <v>—</v>
      </c>
      <c r="L191" s="22"/>
    </row>
    <row r="192" spans="1:12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IF(A192="","",IFERROR(VLOOKUP(A192,DB_Customers!$A:$N,14,0),""))</f>
        <v/>
      </c>
      <c r="D192" s="42" t="str">
        <f t="shared" ca="1" si="15"/>
        <v/>
      </c>
      <c r="E192" s="32"/>
      <c r="F192" s="31"/>
      <c r="G192" s="43" t="str">
        <f t="shared" si="16"/>
        <v/>
      </c>
      <c r="H192" s="30" t="s">
        <v>60</v>
      </c>
      <c r="I192" s="41"/>
      <c r="J192" s="33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2" s="33" t="str">
        <f t="shared" ca="1" si="17"/>
        <v>—</v>
      </c>
      <c r="L192" s="50"/>
    </row>
    <row r="193" spans="1:12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IF(A193="","",IFERROR(VLOOKUP(A193,DB_Customers!$A:$N,14,0),""))</f>
        <v/>
      </c>
      <c r="D193" s="42" t="str">
        <f t="shared" ca="1" si="15"/>
        <v/>
      </c>
      <c r="E193" s="32"/>
      <c r="F193" s="31"/>
      <c r="G193" s="43" t="str">
        <f t="shared" si="16"/>
        <v/>
      </c>
      <c r="H193" s="30" t="s">
        <v>60</v>
      </c>
      <c r="I193" s="41"/>
      <c r="J193" s="33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3" s="33" t="str">
        <f t="shared" ca="1" si="17"/>
        <v>—</v>
      </c>
      <c r="L193" s="22"/>
    </row>
    <row r="194" spans="1:12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IF(A194="","",IFERROR(VLOOKUP(A194,DB_Customers!$A:$N,14,0),""))</f>
        <v/>
      </c>
      <c r="D194" s="42" t="str">
        <f t="shared" ca="1" si="15"/>
        <v/>
      </c>
      <c r="E194" s="32"/>
      <c r="F194" s="31"/>
      <c r="G194" s="43" t="str">
        <f t="shared" si="16"/>
        <v/>
      </c>
      <c r="H194" s="30" t="s">
        <v>60</v>
      </c>
      <c r="I194" s="41"/>
      <c r="J194" s="33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4" s="33" t="str">
        <f t="shared" ca="1" si="17"/>
        <v>—</v>
      </c>
      <c r="L194" s="50"/>
    </row>
    <row r="195" spans="1:12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IF(A195="","",IFERROR(VLOOKUP(A195,DB_Customers!$A:$N,14,0),""))</f>
        <v/>
      </c>
      <c r="D195" s="42" t="str">
        <f t="shared" ca="1" si="15"/>
        <v/>
      </c>
      <c r="E195" s="32"/>
      <c r="F195" s="31"/>
      <c r="G195" s="43" t="str">
        <f t="shared" si="16"/>
        <v/>
      </c>
      <c r="H195" s="30" t="s">
        <v>60</v>
      </c>
      <c r="I195" s="41"/>
      <c r="J195" s="33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5" s="33" t="str">
        <f t="shared" ca="1" si="17"/>
        <v>—</v>
      </c>
      <c r="L195" s="22"/>
    </row>
    <row r="196" spans="1:12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IF(A196="","",IFERROR(VLOOKUP(A196,DB_Customers!$A:$N,14,0),""))</f>
        <v/>
      </c>
      <c r="D196" s="42" t="str">
        <f t="shared" ca="1" si="15"/>
        <v/>
      </c>
      <c r="E196" s="32"/>
      <c r="F196" s="31"/>
      <c r="G196" s="43" t="str">
        <f t="shared" si="16"/>
        <v/>
      </c>
      <c r="H196" s="30" t="s">
        <v>60</v>
      </c>
      <c r="I196" s="41"/>
      <c r="J196" s="33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6" s="33" t="str">
        <f t="shared" ca="1" si="17"/>
        <v>—</v>
      </c>
      <c r="L196" s="50"/>
    </row>
    <row r="197" spans="1:12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IF(A197="","",IFERROR(VLOOKUP(A197,DB_Customers!$A:$N,14,0),""))</f>
        <v/>
      </c>
      <c r="D197" s="42" t="str">
        <f t="shared" ca="1" si="15"/>
        <v/>
      </c>
      <c r="E197" s="32"/>
      <c r="F197" s="31"/>
      <c r="G197" s="43" t="str">
        <f t="shared" si="16"/>
        <v/>
      </c>
      <c r="H197" s="30" t="s">
        <v>60</v>
      </c>
      <c r="I197" s="41"/>
      <c r="J197" s="33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7" s="33" t="str">
        <f t="shared" ca="1" si="17"/>
        <v>—</v>
      </c>
      <c r="L197" s="22"/>
    </row>
    <row r="198" spans="1:12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IF(A198="","",IFERROR(VLOOKUP(A198,DB_Customers!$A:$N,14,0),""))</f>
        <v/>
      </c>
      <c r="D198" s="42" t="str">
        <f t="shared" ca="1" si="15"/>
        <v/>
      </c>
      <c r="E198" s="32"/>
      <c r="F198" s="31"/>
      <c r="G198" s="43" t="str">
        <f t="shared" si="16"/>
        <v/>
      </c>
      <c r="H198" s="30" t="s">
        <v>60</v>
      </c>
      <c r="I198" s="41"/>
      <c r="J198" s="33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198" s="33" t="str">
        <f t="shared" ca="1" si="17"/>
        <v>—</v>
      </c>
      <c r="L198" s="50"/>
    </row>
    <row r="199" spans="1:12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IF(A199="","",IFERROR(VLOOKUP(A199,DB_Customers!$A:$N,14,0),""))</f>
        <v/>
      </c>
      <c r="D199" s="42" t="str">
        <f t="shared" ca="1" si="15"/>
        <v/>
      </c>
      <c r="E199" s="32"/>
      <c r="F199" s="31"/>
      <c r="G199" s="43" t="str">
        <f t="shared" si="16"/>
        <v/>
      </c>
      <c r="H199" s="30" t="s">
        <v>60</v>
      </c>
      <c r="I199" s="41"/>
      <c r="J199" s="33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199" s="33" t="str">
        <f t="shared" ca="1" si="17"/>
        <v>—</v>
      </c>
      <c r="L199" s="22"/>
    </row>
    <row r="200" spans="1:12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IF(A200="","",IFERROR(VLOOKUP(A200,DB_Customers!$A:$N,14,0),""))</f>
        <v/>
      </c>
      <c r="D200" s="42" t="str">
        <f t="shared" ca="1" si="15"/>
        <v/>
      </c>
      <c r="E200" s="32"/>
      <c r="F200" s="31"/>
      <c r="G200" s="43" t="str">
        <f t="shared" si="16"/>
        <v/>
      </c>
      <c r="H200" s="30" t="s">
        <v>60</v>
      </c>
      <c r="I200" s="41"/>
      <c r="J200" s="33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0" s="33" t="str">
        <f t="shared" ca="1" si="17"/>
        <v>—</v>
      </c>
      <c r="L200" s="50"/>
    </row>
    <row r="201" spans="1:12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IF(A201="","",IFERROR(VLOOKUP(A201,DB_Customers!$A:$N,14,0),""))</f>
        <v/>
      </c>
      <c r="D201" s="42" t="str">
        <f t="shared" ref="D201:D208" ca="1" si="18">IF(A201="","",TODAY())</f>
        <v/>
      </c>
      <c r="E201" s="32"/>
      <c r="F201" s="31"/>
      <c r="G201" s="43" t="str">
        <f t="shared" ref="G201:G208" si="19">IFERROR(IF(OR(A201="",E201=""),"",C201-E201),"")</f>
        <v/>
      </c>
      <c r="H201" s="30" t="s">
        <v>60</v>
      </c>
      <c r="I201" s="41"/>
      <c r="J201" s="33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1" s="33" t="str">
        <f t="shared" ref="K201:K232" ca="1" si="20">IF(J201="✅ Successful",TEXT(TODAY(),"YYYY-MM-DD")&amp;" Auto","—")</f>
        <v>—</v>
      </c>
      <c r="L201" s="22"/>
    </row>
    <row r="202" spans="1:12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IF(A202="","",IFERROR(VLOOKUP(A202,DB_Customers!$A:$N,14,0),""))</f>
        <v/>
      </c>
      <c r="D202" s="42" t="str">
        <f t="shared" ca="1" si="18"/>
        <v/>
      </c>
      <c r="E202" s="32"/>
      <c r="F202" s="31"/>
      <c r="G202" s="43" t="str">
        <f t="shared" si="19"/>
        <v/>
      </c>
      <c r="H202" s="30" t="s">
        <v>60</v>
      </c>
      <c r="I202" s="41"/>
      <c r="J202" s="33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2" s="33" t="str">
        <f t="shared" ca="1" si="20"/>
        <v>—</v>
      </c>
      <c r="L202" s="50"/>
    </row>
    <row r="203" spans="1:12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IF(A203="","",IFERROR(VLOOKUP(A203,DB_Customers!$A:$N,14,0),""))</f>
        <v/>
      </c>
      <c r="D203" s="42" t="str">
        <f t="shared" ca="1" si="18"/>
        <v/>
      </c>
      <c r="E203" s="32"/>
      <c r="F203" s="31"/>
      <c r="G203" s="43" t="str">
        <f t="shared" si="19"/>
        <v/>
      </c>
      <c r="H203" s="30" t="s">
        <v>60</v>
      </c>
      <c r="I203" s="41"/>
      <c r="J203" s="33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3" s="33" t="str">
        <f t="shared" ca="1" si="20"/>
        <v>—</v>
      </c>
      <c r="L203" s="22"/>
    </row>
    <row r="204" spans="1:12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IF(A204="","",IFERROR(VLOOKUP(A204,DB_Customers!$A:$N,14,0),""))</f>
        <v/>
      </c>
      <c r="D204" s="42" t="str">
        <f t="shared" ca="1" si="18"/>
        <v/>
      </c>
      <c r="E204" s="32"/>
      <c r="F204" s="31"/>
      <c r="G204" s="43" t="str">
        <f t="shared" si="19"/>
        <v/>
      </c>
      <c r="H204" s="30" t="s">
        <v>60</v>
      </c>
      <c r="I204" s="41"/>
      <c r="J204" s="33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4" s="33" t="str">
        <f t="shared" ca="1" si="20"/>
        <v>—</v>
      </c>
      <c r="L204" s="50"/>
    </row>
    <row r="205" spans="1:12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IF(A205="","",IFERROR(VLOOKUP(A205,DB_Customers!$A:$N,14,0),""))</f>
        <v/>
      </c>
      <c r="D205" s="42" t="str">
        <f t="shared" ca="1" si="18"/>
        <v/>
      </c>
      <c r="E205" s="32"/>
      <c r="F205" s="31"/>
      <c r="G205" s="43" t="str">
        <f t="shared" si="19"/>
        <v/>
      </c>
      <c r="H205" s="30" t="s">
        <v>60</v>
      </c>
      <c r="I205" s="41"/>
      <c r="J205" s="33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5" s="33" t="str">
        <f t="shared" ca="1" si="20"/>
        <v>—</v>
      </c>
      <c r="L205" s="22"/>
    </row>
    <row r="206" spans="1:12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IF(A206="","",IFERROR(VLOOKUP(A206,DB_Customers!$A:$N,14,0),""))</f>
        <v/>
      </c>
      <c r="D206" s="42" t="str">
        <f t="shared" ca="1" si="18"/>
        <v/>
      </c>
      <c r="E206" s="32"/>
      <c r="F206" s="31"/>
      <c r="G206" s="43" t="str">
        <f t="shared" si="19"/>
        <v/>
      </c>
      <c r="H206" s="30" t="s">
        <v>60</v>
      </c>
      <c r="I206" s="41"/>
      <c r="J206" s="33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6" s="33" t="str">
        <f t="shared" ca="1" si="20"/>
        <v>—</v>
      </c>
      <c r="L206" s="50"/>
    </row>
    <row r="207" spans="1:12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IF(A207="","",IFERROR(VLOOKUP(A207,DB_Customers!$A:$N,14,0),""))</f>
        <v/>
      </c>
      <c r="D207" s="42" t="str">
        <f t="shared" ca="1" si="18"/>
        <v/>
      </c>
      <c r="E207" s="32"/>
      <c r="F207" s="31"/>
      <c r="G207" s="43" t="str">
        <f t="shared" si="19"/>
        <v/>
      </c>
      <c r="H207" s="30" t="s">
        <v>60</v>
      </c>
      <c r="I207" s="41"/>
      <c r="J207" s="33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7" s="33" t="str">
        <f t="shared" ca="1" si="20"/>
        <v>—</v>
      </c>
      <c r="L207" s="22"/>
    </row>
    <row r="208" spans="1:12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IF(A208="","",IFERROR(VLOOKUP(A208,DB_Customers!$A:$N,14,0),""))</f>
        <v/>
      </c>
      <c r="D208" s="42" t="str">
        <f t="shared" ca="1" si="18"/>
        <v/>
      </c>
      <c r="E208" s="32"/>
      <c r="F208" s="31"/>
      <c r="G208" s="43" t="str">
        <f t="shared" si="19"/>
        <v/>
      </c>
      <c r="H208" s="30" t="s">
        <v>60</v>
      </c>
      <c r="I208" s="41"/>
      <c r="J208" s="33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08" s="33" t="str">
        <f t="shared" ca="1" si="20"/>
        <v>—</v>
      </c>
      <c r="L208" s="50"/>
    </row>
  </sheetData>
  <mergeCells count="3">
    <mergeCell ref="A2:L2"/>
    <mergeCell ref="A6:L6"/>
    <mergeCell ref="A1:L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5" t="s">
        <v>200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21.95" customHeight="1" x14ac:dyDescent="0.25">
      <c r="A2" s="97" t="s">
        <v>201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4" spans="1:14" x14ac:dyDescent="0.25">
      <c r="A4" s="51" t="s">
        <v>146</v>
      </c>
    </row>
    <row r="5" spans="1:14" x14ac:dyDescent="0.25">
      <c r="A5" s="52" t="s">
        <v>147</v>
      </c>
      <c r="B5" s="32"/>
    </row>
    <row r="6" spans="1:14" x14ac:dyDescent="0.25">
      <c r="A6" s="52" t="s">
        <v>148</v>
      </c>
      <c r="B6" s="53"/>
    </row>
    <row r="7" spans="1:14" x14ac:dyDescent="0.25">
      <c r="A7" s="52" t="s">
        <v>149</v>
      </c>
      <c r="B7" s="54">
        <v>2.5</v>
      </c>
    </row>
    <row r="8" spans="1:14" x14ac:dyDescent="0.25">
      <c r="A8" s="55" t="s">
        <v>150</v>
      </c>
      <c r="B8" s="43" t="str">
        <f>IF(B5="","",B5*B7/100*B6)</f>
        <v/>
      </c>
    </row>
    <row r="9" spans="1:14" x14ac:dyDescent="0.25">
      <c r="A9" s="55" t="s">
        <v>151</v>
      </c>
      <c r="B9" s="43" t="str">
        <f>IF(B5="","",B5+(B5*B7/100*B6))</f>
        <v/>
      </c>
    </row>
    <row r="10" spans="1:14" x14ac:dyDescent="0.25">
      <c r="A10" s="55" t="s">
        <v>152</v>
      </c>
      <c r="B10" s="43" t="str">
        <f>IFERROR(B9/B6,"")</f>
        <v/>
      </c>
    </row>
    <row r="12" spans="1:14" ht="21.95" customHeight="1" x14ac:dyDescent="0.25">
      <c r="A12" s="97" t="s">
        <v>153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</row>
    <row r="13" spans="1:14" ht="30" customHeight="1" x14ac:dyDescent="0.25">
      <c r="A13" s="19" t="s">
        <v>154</v>
      </c>
      <c r="B13" s="19" t="s">
        <v>131</v>
      </c>
      <c r="C13" s="19" t="s">
        <v>69</v>
      </c>
      <c r="D13" s="19" t="s">
        <v>155</v>
      </c>
      <c r="E13" s="19" t="s">
        <v>156</v>
      </c>
      <c r="F13" s="19" t="s">
        <v>109</v>
      </c>
      <c r="G13" s="19" t="s">
        <v>110</v>
      </c>
      <c r="H13" s="19" t="s">
        <v>157</v>
      </c>
      <c r="I13" s="19" t="s">
        <v>158</v>
      </c>
      <c r="J13" s="19" t="s">
        <v>159</v>
      </c>
      <c r="K13" s="19" t="s">
        <v>77</v>
      </c>
      <c r="L13" s="19" t="s">
        <v>45</v>
      </c>
      <c r="M13" s="19" t="s">
        <v>134</v>
      </c>
      <c r="N13" s="19" t="s">
        <v>95</v>
      </c>
    </row>
    <row r="14" spans="1:14" ht="20.100000000000001" customHeight="1" x14ac:dyDescent="0.25">
      <c r="A14" s="30" t="str">
        <f t="shared" ref="A14:A45" si="0">IF(B14="","",IF(C14="❌ Account Not Found","INVALID","LN"&amp;TEXT(D14,"YYYYMMDD")&amp;TEXT(ROW()-13,"0000")))</f>
        <v/>
      </c>
      <c r="B14" s="41"/>
      <c r="C14" s="35" t="str">
        <f>IF(B14="","",IFERROR(VLOOKUP(B14,DB_Customers!$A:$B,2,0),"❌ Account Not Found"))</f>
        <v/>
      </c>
      <c r="D14" s="42" t="str">
        <f t="shared" ref="D14:D45" ca="1" si="1">IF(B14="","",TODAY())</f>
        <v/>
      </c>
      <c r="E14" s="32"/>
      <c r="F14" s="31"/>
      <c r="G14" s="41"/>
      <c r="H14" s="56">
        <v>2.5</v>
      </c>
      <c r="I14" s="43" t="str">
        <f t="shared" ref="I14:I45" si="2">IF(E14="","",E14+(E14*H14/100*G14))</f>
        <v/>
      </c>
      <c r="J14" s="43" t="str">
        <f t="shared" ref="J14:J45" si="3">IFERROR(I14/G14,"")</f>
        <v/>
      </c>
      <c r="K14" s="33" t="str">
        <f>IF(B14="","Pending",IF(M14="","⚠️ Enter Code",IF(IFERROR(VLOOKUP(L14,DB_Agents!$B:$F,4,0),"")=TEXT(M14,"0"),"Pending Approval","🔒 WRONG CODE")))</f>
        <v>Pending</v>
      </c>
      <c r="L14" s="30" t="s">
        <v>60</v>
      </c>
      <c r="M14" s="41"/>
      <c r="N14" s="57"/>
    </row>
    <row r="15" spans="1:14" ht="20.100000000000001" customHeight="1" x14ac:dyDescent="0.25">
      <c r="A15" s="30" t="str">
        <f t="shared" si="0"/>
        <v/>
      </c>
      <c r="B15" s="41"/>
      <c r="C15" s="35" t="str">
        <f>IF(B15="","",IFERROR(VLOOKUP(B15,DB_Customers!$A:$B,2,0),"❌ Account Not Found"))</f>
        <v/>
      </c>
      <c r="D15" s="42" t="str">
        <f t="shared" ca="1" si="1"/>
        <v/>
      </c>
      <c r="E15" s="32"/>
      <c r="F15" s="31"/>
      <c r="G15" s="41"/>
      <c r="H15" s="56">
        <v>2.5</v>
      </c>
      <c r="I15" s="43" t="str">
        <f t="shared" si="2"/>
        <v/>
      </c>
      <c r="J15" s="43" t="str">
        <f t="shared" si="3"/>
        <v/>
      </c>
      <c r="K15" s="33" t="str">
        <f>IF(B15="","Pending",IF(M15="","⚠️ Enter Code",IF(IFERROR(VLOOKUP(L15,DB_Agents!$B:$F,4,0),"")=TEXT(M15,"0"),"Pending Approval","🔒 WRONG CODE")))</f>
        <v>Pending</v>
      </c>
      <c r="L15" s="30" t="s">
        <v>60</v>
      </c>
      <c r="M15" s="41"/>
      <c r="N15" s="22"/>
    </row>
    <row r="16" spans="1:14" ht="20.100000000000001" customHeight="1" x14ac:dyDescent="0.25">
      <c r="A16" s="30" t="str">
        <f t="shared" si="0"/>
        <v/>
      </c>
      <c r="B16" s="41"/>
      <c r="C16" s="35" t="str">
        <f>IF(B16="","",IFERROR(VLOOKUP(B16,DB_Customers!$A:$B,2,0),"❌ Account Not Found"))</f>
        <v/>
      </c>
      <c r="D16" s="42" t="str">
        <f t="shared" ca="1" si="1"/>
        <v/>
      </c>
      <c r="E16" s="32"/>
      <c r="F16" s="31"/>
      <c r="G16" s="41"/>
      <c r="H16" s="56">
        <v>2.5</v>
      </c>
      <c r="I16" s="43" t="str">
        <f t="shared" si="2"/>
        <v/>
      </c>
      <c r="J16" s="43" t="str">
        <f t="shared" si="3"/>
        <v/>
      </c>
      <c r="K16" s="33" t="str">
        <f>IF(B16="","Pending",IF(M16="","⚠️ Enter Code",IF(IFERROR(VLOOKUP(L16,DB_Agents!$B:$F,4,0),"")=TEXT(M16,"0"),"Pending Approval","🔒 WRONG CODE")))</f>
        <v>Pending</v>
      </c>
      <c r="L16" s="30" t="s">
        <v>60</v>
      </c>
      <c r="M16" s="41"/>
      <c r="N16" s="57"/>
    </row>
    <row r="17" spans="1:14" ht="20.100000000000001" customHeight="1" x14ac:dyDescent="0.25">
      <c r="A17" s="30" t="str">
        <f t="shared" si="0"/>
        <v/>
      </c>
      <c r="B17" s="41"/>
      <c r="C17" s="35" t="str">
        <f>IF(B17="","",IFERROR(VLOOKUP(B17,DB_Customers!$A:$B,2,0),"❌ Account Not Found"))</f>
        <v/>
      </c>
      <c r="D17" s="42" t="str">
        <f t="shared" ca="1" si="1"/>
        <v/>
      </c>
      <c r="E17" s="32"/>
      <c r="F17" s="31"/>
      <c r="G17" s="41"/>
      <c r="H17" s="56">
        <v>2.5</v>
      </c>
      <c r="I17" s="43" t="str">
        <f t="shared" si="2"/>
        <v/>
      </c>
      <c r="J17" s="43" t="str">
        <f t="shared" si="3"/>
        <v/>
      </c>
      <c r="K17" s="33" t="str">
        <f>IF(B17="","Pending",IF(M17="","⚠️ Enter Code",IF(IFERROR(VLOOKUP(L17,DB_Agents!$B:$F,4,0),"")=TEXT(M17,"0"),"Pending Approval","🔒 WRONG CODE")))</f>
        <v>Pending</v>
      </c>
      <c r="L17" s="30" t="s">
        <v>60</v>
      </c>
      <c r="M17" s="41"/>
      <c r="N17" s="22"/>
    </row>
    <row r="18" spans="1:14" ht="20.100000000000001" customHeight="1" x14ac:dyDescent="0.25">
      <c r="A18" s="30" t="str">
        <f t="shared" si="0"/>
        <v/>
      </c>
      <c r="B18" s="41"/>
      <c r="C18" s="35" t="str">
        <f>IF(B18="","",IFERROR(VLOOKUP(B18,DB_Customers!$A:$B,2,0),"❌ Account Not Found"))</f>
        <v/>
      </c>
      <c r="D18" s="42" t="str">
        <f t="shared" ca="1" si="1"/>
        <v/>
      </c>
      <c r="E18" s="32"/>
      <c r="F18" s="31"/>
      <c r="G18" s="41"/>
      <c r="H18" s="56">
        <v>2.5</v>
      </c>
      <c r="I18" s="43" t="str">
        <f t="shared" si="2"/>
        <v/>
      </c>
      <c r="J18" s="43" t="str">
        <f t="shared" si="3"/>
        <v/>
      </c>
      <c r="K18" s="33" t="str">
        <f>IF(B18="","Pending",IF(M18="","⚠️ Enter Code",IF(IFERROR(VLOOKUP(L18,DB_Agents!$B:$F,4,0),"")=TEXT(M18,"0"),"Pending Approval","🔒 WRONG CODE")))</f>
        <v>Pending</v>
      </c>
      <c r="L18" s="30" t="s">
        <v>60</v>
      </c>
      <c r="M18" s="41"/>
      <c r="N18" s="57"/>
    </row>
    <row r="19" spans="1:14" ht="20.100000000000001" customHeight="1" x14ac:dyDescent="0.25">
      <c r="A19" s="30" t="str">
        <f t="shared" si="0"/>
        <v/>
      </c>
      <c r="B19" s="41"/>
      <c r="C19" s="35" t="str">
        <f>IF(B19="","",IFERROR(VLOOKUP(B19,DB_Customers!$A:$B,2,0),"❌ Account Not Found"))</f>
        <v/>
      </c>
      <c r="D19" s="42" t="str">
        <f t="shared" ca="1" si="1"/>
        <v/>
      </c>
      <c r="E19" s="32"/>
      <c r="F19" s="31"/>
      <c r="G19" s="41"/>
      <c r="H19" s="56">
        <v>2.5</v>
      </c>
      <c r="I19" s="43" t="str">
        <f t="shared" si="2"/>
        <v/>
      </c>
      <c r="J19" s="43" t="str">
        <f t="shared" si="3"/>
        <v/>
      </c>
      <c r="K19" s="33" t="str">
        <f>IF(B19="","Pending",IF(M19="","⚠️ Enter Code",IF(IFERROR(VLOOKUP(L19,DB_Agents!$B:$F,4,0),"")=TEXT(M19,"0"),"Pending Approval","🔒 WRONG CODE")))</f>
        <v>Pending</v>
      </c>
      <c r="L19" s="30" t="s">
        <v>60</v>
      </c>
      <c r="M19" s="41"/>
      <c r="N19" s="22"/>
    </row>
    <row r="20" spans="1:14" ht="20.100000000000001" customHeight="1" x14ac:dyDescent="0.25">
      <c r="A20" s="30" t="str">
        <f t="shared" si="0"/>
        <v/>
      </c>
      <c r="B20" s="41"/>
      <c r="C20" s="35" t="str">
        <f>IF(B20="","",IFERROR(VLOOKUP(B20,DB_Customers!$A:$B,2,0),"❌ Account Not Found"))</f>
        <v/>
      </c>
      <c r="D20" s="42" t="str">
        <f t="shared" ca="1" si="1"/>
        <v/>
      </c>
      <c r="E20" s="32"/>
      <c r="F20" s="31"/>
      <c r="G20" s="41"/>
      <c r="H20" s="56">
        <v>2.5</v>
      </c>
      <c r="I20" s="43" t="str">
        <f t="shared" si="2"/>
        <v/>
      </c>
      <c r="J20" s="43" t="str">
        <f t="shared" si="3"/>
        <v/>
      </c>
      <c r="K20" s="33" t="str">
        <f>IF(B20="","Pending",IF(M20="","⚠️ Enter Code",IF(IFERROR(VLOOKUP(L20,DB_Agents!$B:$F,4,0),"")=TEXT(M20,"0"),"Pending Approval","🔒 WRONG CODE")))</f>
        <v>Pending</v>
      </c>
      <c r="L20" s="30" t="s">
        <v>60</v>
      </c>
      <c r="M20" s="41"/>
      <c r="N20" s="57"/>
    </row>
    <row r="21" spans="1:14" ht="20.100000000000001" customHeight="1" x14ac:dyDescent="0.25">
      <c r="A21" s="30" t="str">
        <f t="shared" si="0"/>
        <v/>
      </c>
      <c r="B21" s="41"/>
      <c r="C21" s="35" t="str">
        <f>IF(B21="","",IFERROR(VLOOKUP(B21,DB_Customers!$A:$B,2,0),"❌ Account Not Found"))</f>
        <v/>
      </c>
      <c r="D21" s="42" t="str">
        <f t="shared" ca="1" si="1"/>
        <v/>
      </c>
      <c r="E21" s="32"/>
      <c r="F21" s="31"/>
      <c r="G21" s="41"/>
      <c r="H21" s="56">
        <v>2.5</v>
      </c>
      <c r="I21" s="43" t="str">
        <f t="shared" si="2"/>
        <v/>
      </c>
      <c r="J21" s="43" t="str">
        <f t="shared" si="3"/>
        <v/>
      </c>
      <c r="K21" s="33" t="str">
        <f>IF(B21="","Pending",IF(M21="","⚠️ Enter Code",IF(IFERROR(VLOOKUP(L21,DB_Agents!$B:$F,4,0),"")=TEXT(M21,"0"),"Pending Approval","🔒 WRONG CODE")))</f>
        <v>Pending</v>
      </c>
      <c r="L21" s="30" t="s">
        <v>60</v>
      </c>
      <c r="M21" s="41"/>
      <c r="N21" s="22"/>
    </row>
    <row r="22" spans="1:14" ht="20.100000000000001" customHeight="1" x14ac:dyDescent="0.25">
      <c r="A22" s="30" t="str">
        <f t="shared" si="0"/>
        <v/>
      </c>
      <c r="B22" s="41"/>
      <c r="C22" s="35" t="str">
        <f>IF(B22="","",IFERROR(VLOOKUP(B22,DB_Customers!$A:$B,2,0),"❌ Account Not Found"))</f>
        <v/>
      </c>
      <c r="D22" s="42" t="str">
        <f t="shared" ca="1" si="1"/>
        <v/>
      </c>
      <c r="E22" s="32"/>
      <c r="F22" s="31"/>
      <c r="G22" s="41"/>
      <c r="H22" s="56">
        <v>2.5</v>
      </c>
      <c r="I22" s="43" t="str">
        <f t="shared" si="2"/>
        <v/>
      </c>
      <c r="J22" s="43" t="str">
        <f t="shared" si="3"/>
        <v/>
      </c>
      <c r="K22" s="33" t="str">
        <f>IF(B22="","Pending",IF(M22="","⚠️ Enter Code",IF(IFERROR(VLOOKUP(L22,DB_Agents!$B:$F,4,0),"")=TEXT(M22,"0"),"Pending Approval","🔒 WRONG CODE")))</f>
        <v>Pending</v>
      </c>
      <c r="L22" s="30" t="s">
        <v>60</v>
      </c>
      <c r="M22" s="41"/>
      <c r="N22" s="57"/>
    </row>
    <row r="23" spans="1:14" ht="20.100000000000001" customHeight="1" x14ac:dyDescent="0.25">
      <c r="A23" s="30" t="str">
        <f t="shared" si="0"/>
        <v/>
      </c>
      <c r="B23" s="41"/>
      <c r="C23" s="35" t="str">
        <f>IF(B23="","",IFERROR(VLOOKUP(B23,DB_Customers!$A:$B,2,0),"❌ Account Not Found"))</f>
        <v/>
      </c>
      <c r="D23" s="42" t="str">
        <f t="shared" ca="1" si="1"/>
        <v/>
      </c>
      <c r="E23" s="32"/>
      <c r="F23" s="31"/>
      <c r="G23" s="41"/>
      <c r="H23" s="56">
        <v>2.5</v>
      </c>
      <c r="I23" s="43" t="str">
        <f t="shared" si="2"/>
        <v/>
      </c>
      <c r="J23" s="43" t="str">
        <f t="shared" si="3"/>
        <v/>
      </c>
      <c r="K23" s="33" t="str">
        <f>IF(B23="","Pending",IF(M23="","⚠️ Enter Code",IF(IFERROR(VLOOKUP(L23,DB_Agents!$B:$F,4,0),"")=TEXT(M23,"0"),"Pending Approval","🔒 WRONG CODE")))</f>
        <v>Pending</v>
      </c>
      <c r="L23" s="30" t="s">
        <v>60</v>
      </c>
      <c r="M23" s="41"/>
      <c r="N23" s="22"/>
    </row>
    <row r="24" spans="1:14" ht="20.100000000000001" customHeight="1" x14ac:dyDescent="0.25">
      <c r="A24" s="30" t="str">
        <f t="shared" si="0"/>
        <v/>
      </c>
      <c r="B24" s="41"/>
      <c r="C24" s="35" t="str">
        <f>IF(B24="","",IFERROR(VLOOKUP(B24,DB_Customers!$A:$B,2,0),"❌ Account Not Found"))</f>
        <v/>
      </c>
      <c r="D24" s="42" t="str">
        <f t="shared" ca="1" si="1"/>
        <v/>
      </c>
      <c r="E24" s="32"/>
      <c r="F24" s="31"/>
      <c r="G24" s="41"/>
      <c r="H24" s="56">
        <v>2.5</v>
      </c>
      <c r="I24" s="43" t="str">
        <f t="shared" si="2"/>
        <v/>
      </c>
      <c r="J24" s="43" t="str">
        <f t="shared" si="3"/>
        <v/>
      </c>
      <c r="K24" s="33" t="str">
        <f>IF(B24="","Pending",IF(M24="","⚠️ Enter Code",IF(IFERROR(VLOOKUP(L24,DB_Agents!$B:$F,4,0),"")=TEXT(M24,"0"),"Pending Approval","🔒 WRONG CODE")))</f>
        <v>Pending</v>
      </c>
      <c r="L24" s="30" t="s">
        <v>60</v>
      </c>
      <c r="M24" s="41"/>
      <c r="N24" s="57"/>
    </row>
    <row r="25" spans="1:14" ht="20.100000000000001" customHeight="1" x14ac:dyDescent="0.25">
      <c r="A25" s="30" t="str">
        <f t="shared" si="0"/>
        <v/>
      </c>
      <c r="B25" s="41"/>
      <c r="C25" s="35" t="str">
        <f>IF(B25="","",IFERROR(VLOOKUP(B25,DB_Customers!$A:$B,2,0),"❌ Account Not Found"))</f>
        <v/>
      </c>
      <c r="D25" s="42" t="str">
        <f t="shared" ca="1" si="1"/>
        <v/>
      </c>
      <c r="E25" s="32"/>
      <c r="F25" s="31"/>
      <c r="G25" s="41"/>
      <c r="H25" s="56">
        <v>2.5</v>
      </c>
      <c r="I25" s="43" t="str">
        <f t="shared" si="2"/>
        <v/>
      </c>
      <c r="J25" s="43" t="str">
        <f t="shared" si="3"/>
        <v/>
      </c>
      <c r="K25" s="33" t="str">
        <f>IF(B25="","Pending",IF(M25="","⚠️ Enter Code",IF(IFERROR(VLOOKUP(L25,DB_Agents!$B:$F,4,0),"")=TEXT(M25,"0"),"Pending Approval","🔒 WRONG CODE")))</f>
        <v>Pending</v>
      </c>
      <c r="L25" s="30" t="s">
        <v>60</v>
      </c>
      <c r="M25" s="41"/>
      <c r="N25" s="22"/>
    </row>
    <row r="26" spans="1:14" ht="20.100000000000001" customHeight="1" x14ac:dyDescent="0.25">
      <c r="A26" s="30" t="str">
        <f t="shared" si="0"/>
        <v/>
      </c>
      <c r="B26" s="41"/>
      <c r="C26" s="35" t="str">
        <f>IF(B26="","",IFERROR(VLOOKUP(B26,DB_Customers!$A:$B,2,0),"❌ Account Not Found"))</f>
        <v/>
      </c>
      <c r="D26" s="42" t="str">
        <f t="shared" ca="1" si="1"/>
        <v/>
      </c>
      <c r="E26" s="32"/>
      <c r="F26" s="31"/>
      <c r="G26" s="41"/>
      <c r="H26" s="56">
        <v>2.5</v>
      </c>
      <c r="I26" s="43" t="str">
        <f t="shared" si="2"/>
        <v/>
      </c>
      <c r="J26" s="43" t="str">
        <f t="shared" si="3"/>
        <v/>
      </c>
      <c r="K26" s="33" t="str">
        <f>IF(B26="","Pending",IF(M26="","⚠️ Enter Code",IF(IFERROR(VLOOKUP(L26,DB_Agents!$B:$F,4,0),"")=TEXT(M26,"0"),"Pending Approval","🔒 WRONG CODE")))</f>
        <v>Pending</v>
      </c>
      <c r="L26" s="30" t="s">
        <v>60</v>
      </c>
      <c r="M26" s="41"/>
      <c r="N26" s="57"/>
    </row>
    <row r="27" spans="1:14" ht="20.100000000000001" customHeight="1" x14ac:dyDescent="0.25">
      <c r="A27" s="30" t="str">
        <f t="shared" si="0"/>
        <v/>
      </c>
      <c r="B27" s="41"/>
      <c r="C27" s="35" t="str">
        <f>IF(B27="","",IFERROR(VLOOKUP(B27,DB_Customers!$A:$B,2,0),"❌ Account Not Found"))</f>
        <v/>
      </c>
      <c r="D27" s="42" t="str">
        <f t="shared" ca="1" si="1"/>
        <v/>
      </c>
      <c r="E27" s="32"/>
      <c r="F27" s="31"/>
      <c r="G27" s="41"/>
      <c r="H27" s="56">
        <v>2.5</v>
      </c>
      <c r="I27" s="43" t="str">
        <f t="shared" si="2"/>
        <v/>
      </c>
      <c r="J27" s="43" t="str">
        <f t="shared" si="3"/>
        <v/>
      </c>
      <c r="K27" s="33" t="str">
        <f>IF(B27="","Pending",IF(M27="","⚠️ Enter Code",IF(IFERROR(VLOOKUP(L27,DB_Agents!$B:$F,4,0),"")=TEXT(M27,"0"),"Pending Approval","🔒 WRONG CODE")))</f>
        <v>Pending</v>
      </c>
      <c r="L27" s="30" t="s">
        <v>60</v>
      </c>
      <c r="M27" s="41"/>
      <c r="N27" s="22"/>
    </row>
    <row r="28" spans="1:14" ht="20.100000000000001" customHeight="1" x14ac:dyDescent="0.25">
      <c r="A28" s="30" t="str">
        <f t="shared" si="0"/>
        <v/>
      </c>
      <c r="B28" s="41"/>
      <c r="C28" s="35" t="str">
        <f>IF(B28="","",IFERROR(VLOOKUP(B28,DB_Customers!$A:$B,2,0),"❌ Account Not Found"))</f>
        <v/>
      </c>
      <c r="D28" s="42" t="str">
        <f t="shared" ca="1" si="1"/>
        <v/>
      </c>
      <c r="E28" s="32"/>
      <c r="F28" s="31"/>
      <c r="G28" s="41"/>
      <c r="H28" s="56">
        <v>2.5</v>
      </c>
      <c r="I28" s="43" t="str">
        <f t="shared" si="2"/>
        <v/>
      </c>
      <c r="J28" s="43" t="str">
        <f t="shared" si="3"/>
        <v/>
      </c>
      <c r="K28" s="33" t="str">
        <f>IF(B28="","Pending",IF(M28="","⚠️ Enter Code",IF(IFERROR(VLOOKUP(L28,DB_Agents!$B:$F,4,0),"")=TEXT(M28,"0"),"Pending Approval","🔒 WRONG CODE")))</f>
        <v>Pending</v>
      </c>
      <c r="L28" s="30" t="s">
        <v>60</v>
      </c>
      <c r="M28" s="41"/>
      <c r="N28" s="57"/>
    </row>
    <row r="29" spans="1:14" ht="20.100000000000001" customHeight="1" x14ac:dyDescent="0.25">
      <c r="A29" s="30" t="str">
        <f t="shared" si="0"/>
        <v/>
      </c>
      <c r="B29" s="41"/>
      <c r="C29" s="35" t="str">
        <f>IF(B29="","",IFERROR(VLOOKUP(B29,DB_Customers!$A:$B,2,0),"❌ Account Not Found"))</f>
        <v/>
      </c>
      <c r="D29" s="42" t="str">
        <f t="shared" ca="1" si="1"/>
        <v/>
      </c>
      <c r="E29" s="32"/>
      <c r="F29" s="31"/>
      <c r="G29" s="41"/>
      <c r="H29" s="56">
        <v>2.5</v>
      </c>
      <c r="I29" s="43" t="str">
        <f t="shared" si="2"/>
        <v/>
      </c>
      <c r="J29" s="43" t="str">
        <f t="shared" si="3"/>
        <v/>
      </c>
      <c r="K29" s="33" t="str">
        <f>IF(B29="","Pending",IF(M29="","⚠️ Enter Code",IF(IFERROR(VLOOKUP(L29,DB_Agents!$B:$F,4,0),"")=TEXT(M29,"0"),"Pending Approval","🔒 WRONG CODE")))</f>
        <v>Pending</v>
      </c>
      <c r="L29" s="30" t="s">
        <v>60</v>
      </c>
      <c r="M29" s="41"/>
      <c r="N29" s="22"/>
    </row>
    <row r="30" spans="1:14" ht="20.100000000000001" customHeight="1" x14ac:dyDescent="0.25">
      <c r="A30" s="30" t="str">
        <f t="shared" si="0"/>
        <v/>
      </c>
      <c r="B30" s="41"/>
      <c r="C30" s="35" t="str">
        <f>IF(B30="","",IFERROR(VLOOKUP(B30,DB_Customers!$A:$B,2,0),"❌ Account Not Found"))</f>
        <v/>
      </c>
      <c r="D30" s="42" t="str">
        <f t="shared" ca="1" si="1"/>
        <v/>
      </c>
      <c r="E30" s="32"/>
      <c r="F30" s="31"/>
      <c r="G30" s="41"/>
      <c r="H30" s="56">
        <v>2.5</v>
      </c>
      <c r="I30" s="43" t="str">
        <f t="shared" si="2"/>
        <v/>
      </c>
      <c r="J30" s="43" t="str">
        <f t="shared" si="3"/>
        <v/>
      </c>
      <c r="K30" s="33" t="str">
        <f>IF(B30="","Pending",IF(M30="","⚠️ Enter Code",IF(IFERROR(VLOOKUP(L30,DB_Agents!$B:$F,4,0),"")=TEXT(M30,"0"),"Pending Approval","🔒 WRONG CODE")))</f>
        <v>Pending</v>
      </c>
      <c r="L30" s="30" t="s">
        <v>60</v>
      </c>
      <c r="M30" s="41"/>
      <c r="N30" s="57"/>
    </row>
    <row r="31" spans="1:14" ht="20.100000000000001" customHeight="1" x14ac:dyDescent="0.25">
      <c r="A31" s="30" t="str">
        <f t="shared" si="0"/>
        <v/>
      </c>
      <c r="B31" s="41"/>
      <c r="C31" s="35" t="str">
        <f>IF(B31="","",IFERROR(VLOOKUP(B31,DB_Customers!$A:$B,2,0),"❌ Account Not Found"))</f>
        <v/>
      </c>
      <c r="D31" s="42" t="str">
        <f t="shared" ca="1" si="1"/>
        <v/>
      </c>
      <c r="E31" s="32"/>
      <c r="F31" s="31"/>
      <c r="G31" s="41"/>
      <c r="H31" s="56">
        <v>2.5</v>
      </c>
      <c r="I31" s="43" t="str">
        <f t="shared" si="2"/>
        <v/>
      </c>
      <c r="J31" s="43" t="str">
        <f t="shared" si="3"/>
        <v/>
      </c>
      <c r="K31" s="33" t="str">
        <f>IF(B31="","Pending",IF(M31="","⚠️ Enter Code",IF(IFERROR(VLOOKUP(L31,DB_Agents!$B:$F,4,0),"")=TEXT(M31,"0"),"Pending Approval","🔒 WRONG CODE")))</f>
        <v>Pending</v>
      </c>
      <c r="L31" s="30" t="s">
        <v>60</v>
      </c>
      <c r="M31" s="41"/>
      <c r="N31" s="22"/>
    </row>
    <row r="32" spans="1:14" ht="20.100000000000001" customHeight="1" x14ac:dyDescent="0.25">
      <c r="A32" s="30" t="str">
        <f t="shared" si="0"/>
        <v/>
      </c>
      <c r="B32" s="41"/>
      <c r="C32" s="35" t="str">
        <f>IF(B32="","",IFERROR(VLOOKUP(B32,DB_Customers!$A:$B,2,0),"❌ Account Not Found"))</f>
        <v/>
      </c>
      <c r="D32" s="42" t="str">
        <f t="shared" ca="1" si="1"/>
        <v/>
      </c>
      <c r="E32" s="32"/>
      <c r="F32" s="31"/>
      <c r="G32" s="41"/>
      <c r="H32" s="56">
        <v>2.5</v>
      </c>
      <c r="I32" s="43" t="str">
        <f t="shared" si="2"/>
        <v/>
      </c>
      <c r="J32" s="43" t="str">
        <f t="shared" si="3"/>
        <v/>
      </c>
      <c r="K32" s="33" t="str">
        <f>IF(B32="","Pending",IF(M32="","⚠️ Enter Code",IF(IFERROR(VLOOKUP(L32,DB_Agents!$B:$F,4,0),"")=TEXT(M32,"0"),"Pending Approval","🔒 WRONG CODE")))</f>
        <v>Pending</v>
      </c>
      <c r="L32" s="30" t="s">
        <v>60</v>
      </c>
      <c r="M32" s="41"/>
      <c r="N32" s="57"/>
    </row>
    <row r="33" spans="1:14" ht="20.100000000000001" customHeight="1" x14ac:dyDescent="0.25">
      <c r="A33" s="30" t="str">
        <f t="shared" si="0"/>
        <v/>
      </c>
      <c r="B33" s="41"/>
      <c r="C33" s="35" t="str">
        <f>IF(B33="","",IFERROR(VLOOKUP(B33,DB_Customers!$A:$B,2,0),"❌ Account Not Found"))</f>
        <v/>
      </c>
      <c r="D33" s="42" t="str">
        <f t="shared" ca="1" si="1"/>
        <v/>
      </c>
      <c r="E33" s="32"/>
      <c r="F33" s="31"/>
      <c r="G33" s="41"/>
      <c r="H33" s="56">
        <v>2.5</v>
      </c>
      <c r="I33" s="43" t="str">
        <f t="shared" si="2"/>
        <v/>
      </c>
      <c r="J33" s="43" t="str">
        <f t="shared" si="3"/>
        <v/>
      </c>
      <c r="K33" s="33" t="str">
        <f>IF(B33="","Pending",IF(M33="","⚠️ Enter Code",IF(IFERROR(VLOOKUP(L33,DB_Agents!$B:$F,4,0),"")=TEXT(M33,"0"),"Pending Approval","🔒 WRONG CODE")))</f>
        <v>Pending</v>
      </c>
      <c r="L33" s="30" t="s">
        <v>60</v>
      </c>
      <c r="M33" s="41"/>
      <c r="N33" s="22"/>
    </row>
    <row r="34" spans="1:14" ht="20.100000000000001" customHeight="1" x14ac:dyDescent="0.25">
      <c r="A34" s="30" t="str">
        <f t="shared" si="0"/>
        <v/>
      </c>
      <c r="B34" s="41"/>
      <c r="C34" s="35" t="str">
        <f>IF(B34="","",IFERROR(VLOOKUP(B34,DB_Customers!$A:$B,2,0),"❌ Account Not Found"))</f>
        <v/>
      </c>
      <c r="D34" s="42" t="str">
        <f t="shared" ca="1" si="1"/>
        <v/>
      </c>
      <c r="E34" s="32"/>
      <c r="F34" s="31"/>
      <c r="G34" s="41"/>
      <c r="H34" s="56">
        <v>2.5</v>
      </c>
      <c r="I34" s="43" t="str">
        <f t="shared" si="2"/>
        <v/>
      </c>
      <c r="J34" s="43" t="str">
        <f t="shared" si="3"/>
        <v/>
      </c>
      <c r="K34" s="33" t="str">
        <f>IF(B34="","Pending",IF(M34="","⚠️ Enter Code",IF(IFERROR(VLOOKUP(L34,DB_Agents!$B:$F,4,0),"")=TEXT(M34,"0"),"Pending Approval","🔒 WRONG CODE")))</f>
        <v>Pending</v>
      </c>
      <c r="L34" s="30" t="s">
        <v>60</v>
      </c>
      <c r="M34" s="41"/>
      <c r="N34" s="57"/>
    </row>
    <row r="35" spans="1:14" ht="20.100000000000001" customHeight="1" x14ac:dyDescent="0.25">
      <c r="A35" s="30" t="str">
        <f t="shared" si="0"/>
        <v/>
      </c>
      <c r="B35" s="41"/>
      <c r="C35" s="35" t="str">
        <f>IF(B35="","",IFERROR(VLOOKUP(B35,DB_Customers!$A:$B,2,0),"❌ Account Not Found"))</f>
        <v/>
      </c>
      <c r="D35" s="42" t="str">
        <f t="shared" ca="1" si="1"/>
        <v/>
      </c>
      <c r="E35" s="32"/>
      <c r="F35" s="31"/>
      <c r="G35" s="41"/>
      <c r="H35" s="56">
        <v>2.5</v>
      </c>
      <c r="I35" s="43" t="str">
        <f t="shared" si="2"/>
        <v/>
      </c>
      <c r="J35" s="43" t="str">
        <f t="shared" si="3"/>
        <v/>
      </c>
      <c r="K35" s="33" t="str">
        <f>IF(B35="","Pending",IF(M35="","⚠️ Enter Code",IF(IFERROR(VLOOKUP(L35,DB_Agents!$B:$F,4,0),"")=TEXT(M35,"0"),"Pending Approval","🔒 WRONG CODE")))</f>
        <v>Pending</v>
      </c>
      <c r="L35" s="30" t="s">
        <v>60</v>
      </c>
      <c r="M35" s="41"/>
      <c r="N35" s="22"/>
    </row>
    <row r="36" spans="1:14" ht="20.100000000000001" customHeight="1" x14ac:dyDescent="0.25">
      <c r="A36" s="30" t="str">
        <f t="shared" si="0"/>
        <v/>
      </c>
      <c r="B36" s="41"/>
      <c r="C36" s="35" t="str">
        <f>IF(B36="","",IFERROR(VLOOKUP(B36,DB_Customers!$A:$B,2,0),"❌ Account Not Found"))</f>
        <v/>
      </c>
      <c r="D36" s="42" t="str">
        <f t="shared" ca="1" si="1"/>
        <v/>
      </c>
      <c r="E36" s="32"/>
      <c r="F36" s="31"/>
      <c r="G36" s="41"/>
      <c r="H36" s="56">
        <v>2.5</v>
      </c>
      <c r="I36" s="43" t="str">
        <f t="shared" si="2"/>
        <v/>
      </c>
      <c r="J36" s="43" t="str">
        <f t="shared" si="3"/>
        <v/>
      </c>
      <c r="K36" s="33" t="str">
        <f>IF(B36="","Pending",IF(M36="","⚠️ Enter Code",IF(IFERROR(VLOOKUP(L36,DB_Agents!$B:$F,4,0),"")=TEXT(M36,"0"),"Pending Approval","🔒 WRONG CODE")))</f>
        <v>Pending</v>
      </c>
      <c r="L36" s="30" t="s">
        <v>60</v>
      </c>
      <c r="M36" s="41"/>
      <c r="N36" s="57"/>
    </row>
    <row r="37" spans="1:14" ht="20.100000000000001" customHeight="1" x14ac:dyDescent="0.25">
      <c r="A37" s="30" t="str">
        <f t="shared" si="0"/>
        <v/>
      </c>
      <c r="B37" s="41"/>
      <c r="C37" s="35" t="str">
        <f>IF(B37="","",IFERROR(VLOOKUP(B37,DB_Customers!$A:$B,2,0),"❌ Account Not Found"))</f>
        <v/>
      </c>
      <c r="D37" s="42" t="str">
        <f t="shared" ca="1" si="1"/>
        <v/>
      </c>
      <c r="E37" s="32"/>
      <c r="F37" s="31"/>
      <c r="G37" s="41"/>
      <c r="H37" s="56">
        <v>2.5</v>
      </c>
      <c r="I37" s="43" t="str">
        <f t="shared" si="2"/>
        <v/>
      </c>
      <c r="J37" s="43" t="str">
        <f t="shared" si="3"/>
        <v/>
      </c>
      <c r="K37" s="33" t="str">
        <f>IF(B37="","Pending",IF(M37="","⚠️ Enter Code",IF(IFERROR(VLOOKUP(L37,DB_Agents!$B:$F,4,0),"")=TEXT(M37,"0"),"Pending Approval","🔒 WRONG CODE")))</f>
        <v>Pending</v>
      </c>
      <c r="L37" s="30" t="s">
        <v>60</v>
      </c>
      <c r="M37" s="41"/>
      <c r="N37" s="22"/>
    </row>
    <row r="38" spans="1:14" ht="20.100000000000001" customHeight="1" x14ac:dyDescent="0.25">
      <c r="A38" s="30" t="str">
        <f t="shared" si="0"/>
        <v/>
      </c>
      <c r="B38" s="41"/>
      <c r="C38" s="35" t="str">
        <f>IF(B38="","",IFERROR(VLOOKUP(B38,DB_Customers!$A:$B,2,0),"❌ Account Not Found"))</f>
        <v/>
      </c>
      <c r="D38" s="42" t="str">
        <f t="shared" ca="1" si="1"/>
        <v/>
      </c>
      <c r="E38" s="32"/>
      <c r="F38" s="31"/>
      <c r="G38" s="41"/>
      <c r="H38" s="56">
        <v>2.5</v>
      </c>
      <c r="I38" s="43" t="str">
        <f t="shared" si="2"/>
        <v/>
      </c>
      <c r="J38" s="43" t="str">
        <f t="shared" si="3"/>
        <v/>
      </c>
      <c r="K38" s="33" t="str">
        <f>IF(B38="","Pending",IF(M38="","⚠️ Enter Code",IF(IFERROR(VLOOKUP(L38,DB_Agents!$B:$F,4,0),"")=TEXT(M38,"0"),"Pending Approval","🔒 WRONG CODE")))</f>
        <v>Pending</v>
      </c>
      <c r="L38" s="30" t="s">
        <v>60</v>
      </c>
      <c r="M38" s="41"/>
      <c r="N38" s="57"/>
    </row>
    <row r="39" spans="1:14" ht="20.100000000000001" customHeight="1" x14ac:dyDescent="0.25">
      <c r="A39" s="30" t="str">
        <f t="shared" si="0"/>
        <v/>
      </c>
      <c r="B39" s="41"/>
      <c r="C39" s="35" t="str">
        <f>IF(B39="","",IFERROR(VLOOKUP(B39,DB_Customers!$A:$B,2,0),"❌ Account Not Found"))</f>
        <v/>
      </c>
      <c r="D39" s="42" t="str">
        <f t="shared" ca="1" si="1"/>
        <v/>
      </c>
      <c r="E39" s="32"/>
      <c r="F39" s="31"/>
      <c r="G39" s="41"/>
      <c r="H39" s="56">
        <v>2.5</v>
      </c>
      <c r="I39" s="43" t="str">
        <f t="shared" si="2"/>
        <v/>
      </c>
      <c r="J39" s="43" t="str">
        <f t="shared" si="3"/>
        <v/>
      </c>
      <c r="K39" s="33" t="str">
        <f>IF(B39="","Pending",IF(M39="","⚠️ Enter Code",IF(IFERROR(VLOOKUP(L39,DB_Agents!$B:$F,4,0),"")=TEXT(M39,"0"),"Pending Approval","🔒 WRONG CODE")))</f>
        <v>Pending</v>
      </c>
      <c r="L39" s="30" t="s">
        <v>60</v>
      </c>
      <c r="M39" s="41"/>
      <c r="N39" s="22"/>
    </row>
    <row r="40" spans="1:14" ht="20.100000000000001" customHeight="1" x14ac:dyDescent="0.25">
      <c r="A40" s="30" t="str">
        <f t="shared" si="0"/>
        <v/>
      </c>
      <c r="B40" s="41"/>
      <c r="C40" s="35" t="str">
        <f>IF(B40="","",IFERROR(VLOOKUP(B40,DB_Customers!$A:$B,2,0),"❌ Account Not Found"))</f>
        <v/>
      </c>
      <c r="D40" s="42" t="str">
        <f t="shared" ca="1" si="1"/>
        <v/>
      </c>
      <c r="E40" s="32"/>
      <c r="F40" s="31"/>
      <c r="G40" s="41"/>
      <c r="H40" s="56">
        <v>2.5</v>
      </c>
      <c r="I40" s="43" t="str">
        <f t="shared" si="2"/>
        <v/>
      </c>
      <c r="J40" s="43" t="str">
        <f t="shared" si="3"/>
        <v/>
      </c>
      <c r="K40" s="33" t="str">
        <f>IF(B40="","Pending",IF(M40="","⚠️ Enter Code",IF(IFERROR(VLOOKUP(L40,DB_Agents!$B:$F,4,0),"")=TEXT(M40,"0"),"Pending Approval","🔒 WRONG CODE")))</f>
        <v>Pending</v>
      </c>
      <c r="L40" s="30" t="s">
        <v>60</v>
      </c>
      <c r="M40" s="41"/>
      <c r="N40" s="57"/>
    </row>
    <row r="41" spans="1:14" ht="20.100000000000001" customHeight="1" x14ac:dyDescent="0.25">
      <c r="A41" s="30" t="str">
        <f t="shared" si="0"/>
        <v/>
      </c>
      <c r="B41" s="41"/>
      <c r="C41" s="35" t="str">
        <f>IF(B41="","",IFERROR(VLOOKUP(B41,DB_Customers!$A:$B,2,0),"❌ Account Not Found"))</f>
        <v/>
      </c>
      <c r="D41" s="42" t="str">
        <f t="shared" ca="1" si="1"/>
        <v/>
      </c>
      <c r="E41" s="32"/>
      <c r="F41" s="31"/>
      <c r="G41" s="41"/>
      <c r="H41" s="56">
        <v>2.5</v>
      </c>
      <c r="I41" s="43" t="str">
        <f t="shared" si="2"/>
        <v/>
      </c>
      <c r="J41" s="43" t="str">
        <f t="shared" si="3"/>
        <v/>
      </c>
      <c r="K41" s="33" t="str">
        <f>IF(B41="","Pending",IF(M41="","⚠️ Enter Code",IF(IFERROR(VLOOKUP(L41,DB_Agents!$B:$F,4,0),"")=TEXT(M41,"0"),"Pending Approval","🔒 WRONG CODE")))</f>
        <v>Pending</v>
      </c>
      <c r="L41" s="30" t="s">
        <v>60</v>
      </c>
      <c r="M41" s="41"/>
      <c r="N41" s="22"/>
    </row>
    <row r="42" spans="1:14" ht="20.100000000000001" customHeight="1" x14ac:dyDescent="0.25">
      <c r="A42" s="30" t="str">
        <f t="shared" si="0"/>
        <v/>
      </c>
      <c r="B42" s="41"/>
      <c r="C42" s="35" t="str">
        <f>IF(B42="","",IFERROR(VLOOKUP(B42,DB_Customers!$A:$B,2,0),"❌ Account Not Found"))</f>
        <v/>
      </c>
      <c r="D42" s="42" t="str">
        <f t="shared" ca="1" si="1"/>
        <v/>
      </c>
      <c r="E42" s="32"/>
      <c r="F42" s="31"/>
      <c r="G42" s="41"/>
      <c r="H42" s="56">
        <v>2.5</v>
      </c>
      <c r="I42" s="43" t="str">
        <f t="shared" si="2"/>
        <v/>
      </c>
      <c r="J42" s="43" t="str">
        <f t="shared" si="3"/>
        <v/>
      </c>
      <c r="K42" s="33" t="str">
        <f>IF(B42="","Pending",IF(M42="","⚠️ Enter Code",IF(IFERROR(VLOOKUP(L42,DB_Agents!$B:$F,4,0),"")=TEXT(M42,"0"),"Pending Approval","🔒 WRONG CODE")))</f>
        <v>Pending</v>
      </c>
      <c r="L42" s="30" t="s">
        <v>60</v>
      </c>
      <c r="M42" s="41"/>
      <c r="N42" s="57"/>
    </row>
    <row r="43" spans="1:14" ht="20.100000000000001" customHeight="1" x14ac:dyDescent="0.25">
      <c r="A43" s="30" t="str">
        <f t="shared" si="0"/>
        <v/>
      </c>
      <c r="B43" s="41"/>
      <c r="C43" s="35" t="str">
        <f>IF(B43="","",IFERROR(VLOOKUP(B43,DB_Customers!$A:$B,2,0),"❌ Account Not Found"))</f>
        <v/>
      </c>
      <c r="D43" s="42" t="str">
        <f t="shared" ca="1" si="1"/>
        <v/>
      </c>
      <c r="E43" s="32"/>
      <c r="F43" s="31"/>
      <c r="G43" s="41"/>
      <c r="H43" s="56">
        <v>2.5</v>
      </c>
      <c r="I43" s="43" t="str">
        <f t="shared" si="2"/>
        <v/>
      </c>
      <c r="J43" s="43" t="str">
        <f t="shared" si="3"/>
        <v/>
      </c>
      <c r="K43" s="33" t="str">
        <f>IF(B43="","Pending",IF(M43="","⚠️ Enter Code",IF(IFERROR(VLOOKUP(L43,DB_Agents!$B:$F,4,0),"")=TEXT(M43,"0"),"Pending Approval","🔒 WRONG CODE")))</f>
        <v>Pending</v>
      </c>
      <c r="L43" s="30" t="s">
        <v>60</v>
      </c>
      <c r="M43" s="41"/>
      <c r="N43" s="22"/>
    </row>
    <row r="44" spans="1:14" ht="20.100000000000001" customHeight="1" x14ac:dyDescent="0.25">
      <c r="A44" s="30" t="str">
        <f t="shared" si="0"/>
        <v/>
      </c>
      <c r="B44" s="41"/>
      <c r="C44" s="35" t="str">
        <f>IF(B44="","",IFERROR(VLOOKUP(B44,DB_Customers!$A:$B,2,0),"❌ Account Not Found"))</f>
        <v/>
      </c>
      <c r="D44" s="42" t="str">
        <f t="shared" ca="1" si="1"/>
        <v/>
      </c>
      <c r="E44" s="32"/>
      <c r="F44" s="31"/>
      <c r="G44" s="41"/>
      <c r="H44" s="56">
        <v>2.5</v>
      </c>
      <c r="I44" s="43" t="str">
        <f t="shared" si="2"/>
        <v/>
      </c>
      <c r="J44" s="43" t="str">
        <f t="shared" si="3"/>
        <v/>
      </c>
      <c r="K44" s="33" t="str">
        <f>IF(B44="","Pending",IF(M44="","⚠️ Enter Code",IF(IFERROR(VLOOKUP(L44,DB_Agents!$B:$F,4,0),"")=TEXT(M44,"0"),"Pending Approval","🔒 WRONG CODE")))</f>
        <v>Pending</v>
      </c>
      <c r="L44" s="30" t="s">
        <v>60</v>
      </c>
      <c r="M44" s="41"/>
      <c r="N44" s="57"/>
    </row>
    <row r="45" spans="1:14" ht="20.100000000000001" customHeight="1" x14ac:dyDescent="0.25">
      <c r="A45" s="30" t="str">
        <f t="shared" si="0"/>
        <v/>
      </c>
      <c r="B45" s="41"/>
      <c r="C45" s="35" t="str">
        <f>IF(B45="","",IFERROR(VLOOKUP(B45,DB_Customers!$A:$B,2,0),"❌ Account Not Found"))</f>
        <v/>
      </c>
      <c r="D45" s="42" t="str">
        <f t="shared" ca="1" si="1"/>
        <v/>
      </c>
      <c r="E45" s="32"/>
      <c r="F45" s="31"/>
      <c r="G45" s="41"/>
      <c r="H45" s="56">
        <v>2.5</v>
      </c>
      <c r="I45" s="43" t="str">
        <f t="shared" si="2"/>
        <v/>
      </c>
      <c r="J45" s="43" t="str">
        <f t="shared" si="3"/>
        <v/>
      </c>
      <c r="K45" s="33" t="str">
        <f>IF(B45="","Pending",IF(M45="","⚠️ Enter Code",IF(IFERROR(VLOOKUP(L45,DB_Agents!$B:$F,4,0),"")=TEXT(M45,"0"),"Pending Approval","🔒 WRONG CODE")))</f>
        <v>Pending</v>
      </c>
      <c r="L45" s="30" t="s">
        <v>60</v>
      </c>
      <c r="M45" s="41"/>
      <c r="N45" s="22"/>
    </row>
    <row r="46" spans="1:14" ht="20.100000000000001" customHeight="1" x14ac:dyDescent="0.25">
      <c r="A46" s="30" t="str">
        <f t="shared" ref="A46:A77" si="4">IF(B46="","",IF(C46="❌ Account Not Found","INVALID","LN"&amp;TEXT(D46,"YYYYMMDD")&amp;TEXT(ROW()-13,"0000")))</f>
        <v/>
      </c>
      <c r="B46" s="41"/>
      <c r="C46" s="35" t="str">
        <f>IF(B46="","",IFERROR(VLOOKUP(B46,DB_Customers!$A:$B,2,0),"❌ Account Not Found"))</f>
        <v/>
      </c>
      <c r="D46" s="42" t="str">
        <f t="shared" ref="D46:D77" ca="1" si="5">IF(B46="","",TODAY())</f>
        <v/>
      </c>
      <c r="E46" s="32"/>
      <c r="F46" s="31"/>
      <c r="G46" s="41"/>
      <c r="H46" s="56">
        <v>2.5</v>
      </c>
      <c r="I46" s="43" t="str">
        <f t="shared" ref="I46:I77" si="6">IF(E46="","",E46+(E46*H46/100*G46))</f>
        <v/>
      </c>
      <c r="J46" s="43" t="str">
        <f t="shared" ref="J46:J77" si="7">IFERROR(I46/G46,"")</f>
        <v/>
      </c>
      <c r="K46" s="33" t="str">
        <f>IF(B46="","Pending",IF(M46="","⚠️ Enter Code",IF(IFERROR(VLOOKUP(L46,DB_Agents!$B:$F,4,0),"")=TEXT(M46,"0"),"Pending Approval","🔒 WRONG CODE")))</f>
        <v>Pending</v>
      </c>
      <c r="L46" s="30" t="s">
        <v>60</v>
      </c>
      <c r="M46" s="41"/>
      <c r="N46" s="57"/>
    </row>
    <row r="47" spans="1:14" ht="20.100000000000001" customHeight="1" x14ac:dyDescent="0.25">
      <c r="A47" s="30" t="str">
        <f t="shared" si="4"/>
        <v/>
      </c>
      <c r="B47" s="41"/>
      <c r="C47" s="35" t="str">
        <f>IF(B47="","",IFERROR(VLOOKUP(B47,DB_Customers!$A:$B,2,0),"❌ Account Not Found"))</f>
        <v/>
      </c>
      <c r="D47" s="42" t="str">
        <f t="shared" ca="1" si="5"/>
        <v/>
      </c>
      <c r="E47" s="32"/>
      <c r="F47" s="31"/>
      <c r="G47" s="41"/>
      <c r="H47" s="56">
        <v>2.5</v>
      </c>
      <c r="I47" s="43" t="str">
        <f t="shared" si="6"/>
        <v/>
      </c>
      <c r="J47" s="43" t="str">
        <f t="shared" si="7"/>
        <v/>
      </c>
      <c r="K47" s="33" t="str">
        <f>IF(B47="","Pending",IF(M47="","⚠️ Enter Code",IF(IFERROR(VLOOKUP(L47,DB_Agents!$B:$F,4,0),"")=TEXT(M47,"0"),"Pending Approval","🔒 WRONG CODE")))</f>
        <v>Pending</v>
      </c>
      <c r="L47" s="30" t="s">
        <v>60</v>
      </c>
      <c r="M47" s="41"/>
      <c r="N47" s="22"/>
    </row>
    <row r="48" spans="1:14" ht="20.100000000000001" customHeight="1" x14ac:dyDescent="0.25">
      <c r="A48" s="30" t="str">
        <f t="shared" si="4"/>
        <v/>
      </c>
      <c r="B48" s="41"/>
      <c r="C48" s="35" t="str">
        <f>IF(B48="","",IFERROR(VLOOKUP(B48,DB_Customers!$A:$B,2,0),"❌ Account Not Found"))</f>
        <v/>
      </c>
      <c r="D48" s="42" t="str">
        <f t="shared" ca="1" si="5"/>
        <v/>
      </c>
      <c r="E48" s="32"/>
      <c r="F48" s="31"/>
      <c r="G48" s="41"/>
      <c r="H48" s="56">
        <v>2.5</v>
      </c>
      <c r="I48" s="43" t="str">
        <f t="shared" si="6"/>
        <v/>
      </c>
      <c r="J48" s="43" t="str">
        <f t="shared" si="7"/>
        <v/>
      </c>
      <c r="K48" s="33" t="str">
        <f>IF(B48="","Pending",IF(M48="","⚠️ Enter Code",IF(IFERROR(VLOOKUP(L48,DB_Agents!$B:$F,4,0),"")=TEXT(M48,"0"),"Pending Approval","🔒 WRONG CODE")))</f>
        <v>Pending</v>
      </c>
      <c r="L48" s="30" t="s">
        <v>60</v>
      </c>
      <c r="M48" s="41"/>
      <c r="N48" s="57"/>
    </row>
    <row r="49" spans="1:14" ht="20.100000000000001" customHeight="1" x14ac:dyDescent="0.25">
      <c r="A49" s="30" t="str">
        <f t="shared" si="4"/>
        <v/>
      </c>
      <c r="B49" s="41"/>
      <c r="C49" s="35" t="str">
        <f>IF(B49="","",IFERROR(VLOOKUP(B49,DB_Customers!$A:$B,2,0),"❌ Account Not Found"))</f>
        <v/>
      </c>
      <c r="D49" s="42" t="str">
        <f t="shared" ca="1" si="5"/>
        <v/>
      </c>
      <c r="E49" s="32"/>
      <c r="F49" s="31"/>
      <c r="G49" s="41"/>
      <c r="H49" s="56">
        <v>2.5</v>
      </c>
      <c r="I49" s="43" t="str">
        <f t="shared" si="6"/>
        <v/>
      </c>
      <c r="J49" s="43" t="str">
        <f t="shared" si="7"/>
        <v/>
      </c>
      <c r="K49" s="33" t="str">
        <f>IF(B49="","Pending",IF(M49="","⚠️ Enter Code",IF(IFERROR(VLOOKUP(L49,DB_Agents!$B:$F,4,0),"")=TEXT(M49,"0"),"Pending Approval","🔒 WRONG CODE")))</f>
        <v>Pending</v>
      </c>
      <c r="L49" s="30" t="s">
        <v>60</v>
      </c>
      <c r="M49" s="41"/>
      <c r="N49" s="22"/>
    </row>
    <row r="50" spans="1:14" ht="20.100000000000001" customHeight="1" x14ac:dyDescent="0.25">
      <c r="A50" s="30" t="str">
        <f t="shared" si="4"/>
        <v/>
      </c>
      <c r="B50" s="41"/>
      <c r="C50" s="35" t="str">
        <f>IF(B50="","",IFERROR(VLOOKUP(B50,DB_Customers!$A:$B,2,0),"❌ Account Not Found"))</f>
        <v/>
      </c>
      <c r="D50" s="42" t="str">
        <f t="shared" ca="1" si="5"/>
        <v/>
      </c>
      <c r="E50" s="32"/>
      <c r="F50" s="31"/>
      <c r="G50" s="41"/>
      <c r="H50" s="56">
        <v>2.5</v>
      </c>
      <c r="I50" s="43" t="str">
        <f t="shared" si="6"/>
        <v/>
      </c>
      <c r="J50" s="43" t="str">
        <f t="shared" si="7"/>
        <v/>
      </c>
      <c r="K50" s="33" t="str">
        <f>IF(B50="","Pending",IF(M50="","⚠️ Enter Code",IF(IFERROR(VLOOKUP(L50,DB_Agents!$B:$F,4,0),"")=TEXT(M50,"0"),"Pending Approval","🔒 WRONG CODE")))</f>
        <v>Pending</v>
      </c>
      <c r="L50" s="30" t="s">
        <v>60</v>
      </c>
      <c r="M50" s="41"/>
      <c r="N50" s="57"/>
    </row>
    <row r="51" spans="1:14" ht="20.100000000000001" customHeight="1" x14ac:dyDescent="0.25">
      <c r="A51" s="30" t="str">
        <f t="shared" si="4"/>
        <v/>
      </c>
      <c r="B51" s="41"/>
      <c r="C51" s="35" t="str">
        <f>IF(B51="","",IFERROR(VLOOKUP(B51,DB_Customers!$A:$B,2,0),"❌ Account Not Found"))</f>
        <v/>
      </c>
      <c r="D51" s="42" t="str">
        <f t="shared" ca="1" si="5"/>
        <v/>
      </c>
      <c r="E51" s="32"/>
      <c r="F51" s="31"/>
      <c r="G51" s="41"/>
      <c r="H51" s="56">
        <v>2.5</v>
      </c>
      <c r="I51" s="43" t="str">
        <f t="shared" si="6"/>
        <v/>
      </c>
      <c r="J51" s="43" t="str">
        <f t="shared" si="7"/>
        <v/>
      </c>
      <c r="K51" s="33" t="str">
        <f>IF(B51="","Pending",IF(M51="","⚠️ Enter Code",IF(IFERROR(VLOOKUP(L51,DB_Agents!$B:$F,4,0),"")=TEXT(M51,"0"),"Pending Approval","🔒 WRONG CODE")))</f>
        <v>Pending</v>
      </c>
      <c r="L51" s="30" t="s">
        <v>60</v>
      </c>
      <c r="M51" s="41"/>
      <c r="N51" s="22"/>
    </row>
    <row r="52" spans="1:14" ht="20.100000000000001" customHeight="1" x14ac:dyDescent="0.25">
      <c r="A52" s="30" t="str">
        <f t="shared" si="4"/>
        <v/>
      </c>
      <c r="B52" s="41"/>
      <c r="C52" s="35" t="str">
        <f>IF(B52="","",IFERROR(VLOOKUP(B52,DB_Customers!$A:$B,2,0),"❌ Account Not Found"))</f>
        <v/>
      </c>
      <c r="D52" s="42" t="str">
        <f t="shared" ca="1" si="5"/>
        <v/>
      </c>
      <c r="E52" s="32"/>
      <c r="F52" s="31"/>
      <c r="G52" s="41"/>
      <c r="H52" s="56">
        <v>2.5</v>
      </c>
      <c r="I52" s="43" t="str">
        <f t="shared" si="6"/>
        <v/>
      </c>
      <c r="J52" s="43" t="str">
        <f t="shared" si="7"/>
        <v/>
      </c>
      <c r="K52" s="33" t="str">
        <f>IF(B52="","Pending",IF(M52="","⚠️ Enter Code",IF(IFERROR(VLOOKUP(L52,DB_Agents!$B:$F,4,0),"")=TEXT(M52,"0"),"Pending Approval","🔒 WRONG CODE")))</f>
        <v>Pending</v>
      </c>
      <c r="L52" s="30" t="s">
        <v>60</v>
      </c>
      <c r="M52" s="41"/>
      <c r="N52" s="57"/>
    </row>
    <row r="53" spans="1:14" ht="20.100000000000001" customHeight="1" x14ac:dyDescent="0.25">
      <c r="A53" s="30" t="str">
        <f t="shared" si="4"/>
        <v/>
      </c>
      <c r="B53" s="41"/>
      <c r="C53" s="35" t="str">
        <f>IF(B53="","",IFERROR(VLOOKUP(B53,DB_Customers!$A:$B,2,0),"❌ Account Not Found"))</f>
        <v/>
      </c>
      <c r="D53" s="42" t="str">
        <f t="shared" ca="1" si="5"/>
        <v/>
      </c>
      <c r="E53" s="32"/>
      <c r="F53" s="31"/>
      <c r="G53" s="41"/>
      <c r="H53" s="56">
        <v>2.5</v>
      </c>
      <c r="I53" s="43" t="str">
        <f t="shared" si="6"/>
        <v/>
      </c>
      <c r="J53" s="43" t="str">
        <f t="shared" si="7"/>
        <v/>
      </c>
      <c r="K53" s="33" t="str">
        <f>IF(B53="","Pending",IF(M53="","⚠️ Enter Code",IF(IFERROR(VLOOKUP(L53,DB_Agents!$B:$F,4,0),"")=TEXT(M53,"0"),"Pending Approval","🔒 WRONG CODE")))</f>
        <v>Pending</v>
      </c>
      <c r="L53" s="30" t="s">
        <v>60</v>
      </c>
      <c r="M53" s="41"/>
      <c r="N53" s="22"/>
    </row>
    <row r="54" spans="1:14" ht="20.100000000000001" customHeight="1" x14ac:dyDescent="0.25">
      <c r="A54" s="30" t="str">
        <f t="shared" si="4"/>
        <v/>
      </c>
      <c r="B54" s="41"/>
      <c r="C54" s="35" t="str">
        <f>IF(B54="","",IFERROR(VLOOKUP(B54,DB_Customers!$A:$B,2,0),"❌ Account Not Found"))</f>
        <v/>
      </c>
      <c r="D54" s="42" t="str">
        <f t="shared" ca="1" si="5"/>
        <v/>
      </c>
      <c r="E54" s="32"/>
      <c r="F54" s="31"/>
      <c r="G54" s="41"/>
      <c r="H54" s="56">
        <v>2.5</v>
      </c>
      <c r="I54" s="43" t="str">
        <f t="shared" si="6"/>
        <v/>
      </c>
      <c r="J54" s="43" t="str">
        <f t="shared" si="7"/>
        <v/>
      </c>
      <c r="K54" s="33" t="str">
        <f>IF(B54="","Pending",IF(M54="","⚠️ Enter Code",IF(IFERROR(VLOOKUP(L54,DB_Agents!$B:$F,4,0),"")=TEXT(M54,"0"),"Pending Approval","🔒 WRONG CODE")))</f>
        <v>Pending</v>
      </c>
      <c r="L54" s="30" t="s">
        <v>60</v>
      </c>
      <c r="M54" s="41"/>
      <c r="N54" s="57"/>
    </row>
    <row r="55" spans="1:14" ht="20.100000000000001" customHeight="1" x14ac:dyDescent="0.25">
      <c r="A55" s="30" t="str">
        <f t="shared" si="4"/>
        <v/>
      </c>
      <c r="B55" s="41"/>
      <c r="C55" s="35" t="str">
        <f>IF(B55="","",IFERROR(VLOOKUP(B55,DB_Customers!$A:$B,2,0),"❌ Account Not Found"))</f>
        <v/>
      </c>
      <c r="D55" s="42" t="str">
        <f t="shared" ca="1" si="5"/>
        <v/>
      </c>
      <c r="E55" s="32"/>
      <c r="F55" s="31"/>
      <c r="G55" s="41"/>
      <c r="H55" s="56">
        <v>2.5</v>
      </c>
      <c r="I55" s="43" t="str">
        <f t="shared" si="6"/>
        <v/>
      </c>
      <c r="J55" s="43" t="str">
        <f t="shared" si="7"/>
        <v/>
      </c>
      <c r="K55" s="33" t="str">
        <f>IF(B55="","Pending",IF(M55="","⚠️ Enter Code",IF(IFERROR(VLOOKUP(L55,DB_Agents!$B:$F,4,0),"")=TEXT(M55,"0"),"Pending Approval","🔒 WRONG CODE")))</f>
        <v>Pending</v>
      </c>
      <c r="L55" s="30" t="s">
        <v>60</v>
      </c>
      <c r="M55" s="41"/>
      <c r="N55" s="22"/>
    </row>
    <row r="56" spans="1:14" ht="20.100000000000001" customHeight="1" x14ac:dyDescent="0.25">
      <c r="A56" s="30" t="str">
        <f t="shared" si="4"/>
        <v/>
      </c>
      <c r="B56" s="41"/>
      <c r="C56" s="35" t="str">
        <f>IF(B56="","",IFERROR(VLOOKUP(B56,DB_Customers!$A:$B,2,0),"❌ Account Not Found"))</f>
        <v/>
      </c>
      <c r="D56" s="42" t="str">
        <f t="shared" ca="1" si="5"/>
        <v/>
      </c>
      <c r="E56" s="32"/>
      <c r="F56" s="31"/>
      <c r="G56" s="41"/>
      <c r="H56" s="56">
        <v>2.5</v>
      </c>
      <c r="I56" s="43" t="str">
        <f t="shared" si="6"/>
        <v/>
      </c>
      <c r="J56" s="43" t="str">
        <f t="shared" si="7"/>
        <v/>
      </c>
      <c r="K56" s="33" t="str">
        <f>IF(B56="","Pending",IF(M56="","⚠️ Enter Code",IF(IFERROR(VLOOKUP(L56,DB_Agents!$B:$F,4,0),"")=TEXT(M56,"0"),"Pending Approval","🔒 WRONG CODE")))</f>
        <v>Pending</v>
      </c>
      <c r="L56" s="30" t="s">
        <v>60</v>
      </c>
      <c r="M56" s="41"/>
      <c r="N56" s="57"/>
    </row>
    <row r="57" spans="1:14" ht="20.100000000000001" customHeight="1" x14ac:dyDescent="0.25">
      <c r="A57" s="30" t="str">
        <f t="shared" si="4"/>
        <v/>
      </c>
      <c r="B57" s="41"/>
      <c r="C57" s="35" t="str">
        <f>IF(B57="","",IFERROR(VLOOKUP(B57,DB_Customers!$A:$B,2,0),"❌ Account Not Found"))</f>
        <v/>
      </c>
      <c r="D57" s="42" t="str">
        <f t="shared" ca="1" si="5"/>
        <v/>
      </c>
      <c r="E57" s="32"/>
      <c r="F57" s="31"/>
      <c r="G57" s="41"/>
      <c r="H57" s="56">
        <v>2.5</v>
      </c>
      <c r="I57" s="43" t="str">
        <f t="shared" si="6"/>
        <v/>
      </c>
      <c r="J57" s="43" t="str">
        <f t="shared" si="7"/>
        <v/>
      </c>
      <c r="K57" s="33" t="str">
        <f>IF(B57="","Pending",IF(M57="","⚠️ Enter Code",IF(IFERROR(VLOOKUP(L57,DB_Agents!$B:$F,4,0),"")=TEXT(M57,"0"),"Pending Approval","🔒 WRONG CODE")))</f>
        <v>Pending</v>
      </c>
      <c r="L57" s="30" t="s">
        <v>60</v>
      </c>
      <c r="M57" s="41"/>
      <c r="N57" s="22"/>
    </row>
    <row r="58" spans="1:14" ht="20.100000000000001" customHeight="1" x14ac:dyDescent="0.25">
      <c r="A58" s="30" t="str">
        <f t="shared" si="4"/>
        <v/>
      </c>
      <c r="B58" s="41"/>
      <c r="C58" s="35" t="str">
        <f>IF(B58="","",IFERROR(VLOOKUP(B58,DB_Customers!$A:$B,2,0),"❌ Account Not Found"))</f>
        <v/>
      </c>
      <c r="D58" s="42" t="str">
        <f t="shared" ca="1" si="5"/>
        <v/>
      </c>
      <c r="E58" s="32"/>
      <c r="F58" s="31"/>
      <c r="G58" s="41"/>
      <c r="H58" s="56">
        <v>2.5</v>
      </c>
      <c r="I58" s="43" t="str">
        <f t="shared" si="6"/>
        <v/>
      </c>
      <c r="J58" s="43" t="str">
        <f t="shared" si="7"/>
        <v/>
      </c>
      <c r="K58" s="33" t="str">
        <f>IF(B58="","Pending",IF(M58="","⚠️ Enter Code",IF(IFERROR(VLOOKUP(L58,DB_Agents!$B:$F,4,0),"")=TEXT(M58,"0"),"Pending Approval","🔒 WRONG CODE")))</f>
        <v>Pending</v>
      </c>
      <c r="L58" s="30" t="s">
        <v>60</v>
      </c>
      <c r="M58" s="41"/>
      <c r="N58" s="57"/>
    </row>
    <row r="59" spans="1:14" ht="20.100000000000001" customHeight="1" x14ac:dyDescent="0.25">
      <c r="A59" s="30" t="str">
        <f t="shared" si="4"/>
        <v/>
      </c>
      <c r="B59" s="41"/>
      <c r="C59" s="35" t="str">
        <f>IF(B59="","",IFERROR(VLOOKUP(B59,DB_Customers!$A:$B,2,0),"❌ Account Not Found"))</f>
        <v/>
      </c>
      <c r="D59" s="42" t="str">
        <f t="shared" ca="1" si="5"/>
        <v/>
      </c>
      <c r="E59" s="32"/>
      <c r="F59" s="31"/>
      <c r="G59" s="41"/>
      <c r="H59" s="56">
        <v>2.5</v>
      </c>
      <c r="I59" s="43" t="str">
        <f t="shared" si="6"/>
        <v/>
      </c>
      <c r="J59" s="43" t="str">
        <f t="shared" si="7"/>
        <v/>
      </c>
      <c r="K59" s="33" t="str">
        <f>IF(B59="","Pending",IF(M59="","⚠️ Enter Code",IF(IFERROR(VLOOKUP(L59,DB_Agents!$B:$F,4,0),"")=TEXT(M59,"0"),"Pending Approval","🔒 WRONG CODE")))</f>
        <v>Pending</v>
      </c>
      <c r="L59" s="30" t="s">
        <v>60</v>
      </c>
      <c r="M59" s="41"/>
      <c r="N59" s="22"/>
    </row>
    <row r="60" spans="1:14" ht="20.100000000000001" customHeight="1" x14ac:dyDescent="0.25">
      <c r="A60" s="30" t="str">
        <f t="shared" si="4"/>
        <v/>
      </c>
      <c r="B60" s="41"/>
      <c r="C60" s="35" t="str">
        <f>IF(B60="","",IFERROR(VLOOKUP(B60,DB_Customers!$A:$B,2,0),"❌ Account Not Found"))</f>
        <v/>
      </c>
      <c r="D60" s="42" t="str">
        <f t="shared" ca="1" si="5"/>
        <v/>
      </c>
      <c r="E60" s="32"/>
      <c r="F60" s="31"/>
      <c r="G60" s="41"/>
      <c r="H60" s="56">
        <v>2.5</v>
      </c>
      <c r="I60" s="43" t="str">
        <f t="shared" si="6"/>
        <v/>
      </c>
      <c r="J60" s="43" t="str">
        <f t="shared" si="7"/>
        <v/>
      </c>
      <c r="K60" s="33" t="str">
        <f>IF(B60="","Pending",IF(M60="","⚠️ Enter Code",IF(IFERROR(VLOOKUP(L60,DB_Agents!$B:$F,4,0),"")=TEXT(M60,"0"),"Pending Approval","🔒 WRONG CODE")))</f>
        <v>Pending</v>
      </c>
      <c r="L60" s="30" t="s">
        <v>60</v>
      </c>
      <c r="M60" s="41"/>
      <c r="N60" s="57"/>
    </row>
    <row r="61" spans="1:14" ht="20.100000000000001" customHeight="1" x14ac:dyDescent="0.25">
      <c r="A61" s="30" t="str">
        <f t="shared" si="4"/>
        <v/>
      </c>
      <c r="B61" s="41"/>
      <c r="C61" s="35" t="str">
        <f>IF(B61="","",IFERROR(VLOOKUP(B61,DB_Customers!$A:$B,2,0),"❌ Account Not Found"))</f>
        <v/>
      </c>
      <c r="D61" s="42" t="str">
        <f t="shared" ca="1" si="5"/>
        <v/>
      </c>
      <c r="E61" s="32"/>
      <c r="F61" s="31"/>
      <c r="G61" s="41"/>
      <c r="H61" s="56">
        <v>2.5</v>
      </c>
      <c r="I61" s="43" t="str">
        <f t="shared" si="6"/>
        <v/>
      </c>
      <c r="J61" s="43" t="str">
        <f t="shared" si="7"/>
        <v/>
      </c>
      <c r="K61" s="33" t="str">
        <f>IF(B61="","Pending",IF(M61="","⚠️ Enter Code",IF(IFERROR(VLOOKUP(L61,DB_Agents!$B:$F,4,0),"")=TEXT(M61,"0"),"Pending Approval","🔒 WRONG CODE")))</f>
        <v>Pending</v>
      </c>
      <c r="L61" s="30" t="s">
        <v>60</v>
      </c>
      <c r="M61" s="41"/>
      <c r="N61" s="22"/>
    </row>
    <row r="62" spans="1:14" ht="20.100000000000001" customHeight="1" x14ac:dyDescent="0.25">
      <c r="A62" s="30" t="str">
        <f t="shared" si="4"/>
        <v/>
      </c>
      <c r="B62" s="41"/>
      <c r="C62" s="35" t="str">
        <f>IF(B62="","",IFERROR(VLOOKUP(B62,DB_Customers!$A:$B,2,0),"❌ Account Not Found"))</f>
        <v/>
      </c>
      <c r="D62" s="42" t="str">
        <f t="shared" ca="1" si="5"/>
        <v/>
      </c>
      <c r="E62" s="32"/>
      <c r="F62" s="31"/>
      <c r="G62" s="41"/>
      <c r="H62" s="56">
        <v>2.5</v>
      </c>
      <c r="I62" s="43" t="str">
        <f t="shared" si="6"/>
        <v/>
      </c>
      <c r="J62" s="43" t="str">
        <f t="shared" si="7"/>
        <v/>
      </c>
      <c r="K62" s="33" t="str">
        <f>IF(B62="","Pending",IF(M62="","⚠️ Enter Code",IF(IFERROR(VLOOKUP(L62,DB_Agents!$B:$F,4,0),"")=TEXT(M62,"0"),"Pending Approval","🔒 WRONG CODE")))</f>
        <v>Pending</v>
      </c>
      <c r="L62" s="30" t="s">
        <v>60</v>
      </c>
      <c r="M62" s="41"/>
      <c r="N62" s="57"/>
    </row>
    <row r="63" spans="1:14" ht="20.100000000000001" customHeight="1" x14ac:dyDescent="0.25">
      <c r="A63" s="30" t="str">
        <f t="shared" si="4"/>
        <v/>
      </c>
      <c r="B63" s="41"/>
      <c r="C63" s="35" t="str">
        <f>IF(B63="","",IFERROR(VLOOKUP(B63,DB_Customers!$A:$B,2,0),"❌ Account Not Found"))</f>
        <v/>
      </c>
      <c r="D63" s="42" t="str">
        <f t="shared" ca="1" si="5"/>
        <v/>
      </c>
      <c r="E63" s="32"/>
      <c r="F63" s="31"/>
      <c r="G63" s="41"/>
      <c r="H63" s="56">
        <v>2.5</v>
      </c>
      <c r="I63" s="43" t="str">
        <f t="shared" si="6"/>
        <v/>
      </c>
      <c r="J63" s="43" t="str">
        <f t="shared" si="7"/>
        <v/>
      </c>
      <c r="K63" s="33" t="str">
        <f>IF(B63="","Pending",IF(M63="","⚠️ Enter Code",IF(IFERROR(VLOOKUP(L63,DB_Agents!$B:$F,4,0),"")=TEXT(M63,"0"),"Pending Approval","🔒 WRONG CODE")))</f>
        <v>Pending</v>
      </c>
      <c r="L63" s="30" t="s">
        <v>60</v>
      </c>
      <c r="M63" s="41"/>
      <c r="N63" s="22"/>
    </row>
    <row r="64" spans="1:14" ht="20.100000000000001" customHeight="1" x14ac:dyDescent="0.25">
      <c r="A64" s="30" t="str">
        <f t="shared" si="4"/>
        <v/>
      </c>
      <c r="B64" s="41"/>
      <c r="C64" s="35" t="str">
        <f>IF(B64="","",IFERROR(VLOOKUP(B64,DB_Customers!$A:$B,2,0),"❌ Account Not Found"))</f>
        <v/>
      </c>
      <c r="D64" s="42" t="str">
        <f t="shared" ca="1" si="5"/>
        <v/>
      </c>
      <c r="E64" s="32"/>
      <c r="F64" s="31"/>
      <c r="G64" s="41"/>
      <c r="H64" s="56">
        <v>2.5</v>
      </c>
      <c r="I64" s="43" t="str">
        <f t="shared" si="6"/>
        <v/>
      </c>
      <c r="J64" s="43" t="str">
        <f t="shared" si="7"/>
        <v/>
      </c>
      <c r="K64" s="33" t="str">
        <f>IF(B64="","Pending",IF(M64="","⚠️ Enter Code",IF(IFERROR(VLOOKUP(L64,DB_Agents!$B:$F,4,0),"")=TEXT(M64,"0"),"Pending Approval","🔒 WRONG CODE")))</f>
        <v>Pending</v>
      </c>
      <c r="L64" s="30" t="s">
        <v>60</v>
      </c>
      <c r="M64" s="41"/>
      <c r="N64" s="57"/>
    </row>
    <row r="65" spans="1:14" ht="20.100000000000001" customHeight="1" x14ac:dyDescent="0.25">
      <c r="A65" s="30" t="str">
        <f t="shared" si="4"/>
        <v/>
      </c>
      <c r="B65" s="41"/>
      <c r="C65" s="35" t="str">
        <f>IF(B65="","",IFERROR(VLOOKUP(B65,DB_Customers!$A:$B,2,0),"❌ Account Not Found"))</f>
        <v/>
      </c>
      <c r="D65" s="42" t="str">
        <f t="shared" ca="1" si="5"/>
        <v/>
      </c>
      <c r="E65" s="32"/>
      <c r="F65" s="31"/>
      <c r="G65" s="41"/>
      <c r="H65" s="56">
        <v>2.5</v>
      </c>
      <c r="I65" s="43" t="str">
        <f t="shared" si="6"/>
        <v/>
      </c>
      <c r="J65" s="43" t="str">
        <f t="shared" si="7"/>
        <v/>
      </c>
      <c r="K65" s="33" t="str">
        <f>IF(B65="","Pending",IF(M65="","⚠️ Enter Code",IF(IFERROR(VLOOKUP(L65,DB_Agents!$B:$F,4,0),"")=TEXT(M65,"0"),"Pending Approval","🔒 WRONG CODE")))</f>
        <v>Pending</v>
      </c>
      <c r="L65" s="30" t="s">
        <v>60</v>
      </c>
      <c r="M65" s="41"/>
      <c r="N65" s="22"/>
    </row>
    <row r="66" spans="1:14" ht="20.100000000000001" customHeight="1" x14ac:dyDescent="0.25">
      <c r="A66" s="30" t="str">
        <f t="shared" si="4"/>
        <v/>
      </c>
      <c r="B66" s="41"/>
      <c r="C66" s="35" t="str">
        <f>IF(B66="","",IFERROR(VLOOKUP(B66,DB_Customers!$A:$B,2,0),"❌ Account Not Found"))</f>
        <v/>
      </c>
      <c r="D66" s="42" t="str">
        <f t="shared" ca="1" si="5"/>
        <v/>
      </c>
      <c r="E66" s="32"/>
      <c r="F66" s="31"/>
      <c r="G66" s="41"/>
      <c r="H66" s="56">
        <v>2.5</v>
      </c>
      <c r="I66" s="43" t="str">
        <f t="shared" si="6"/>
        <v/>
      </c>
      <c r="J66" s="43" t="str">
        <f t="shared" si="7"/>
        <v/>
      </c>
      <c r="K66" s="33" t="str">
        <f>IF(B66="","Pending",IF(M66="","⚠️ Enter Code",IF(IFERROR(VLOOKUP(L66,DB_Agents!$B:$F,4,0),"")=TEXT(M66,"0"),"Pending Approval","🔒 WRONG CODE")))</f>
        <v>Pending</v>
      </c>
      <c r="L66" s="30" t="s">
        <v>60</v>
      </c>
      <c r="M66" s="41"/>
      <c r="N66" s="57"/>
    </row>
    <row r="67" spans="1:14" ht="20.100000000000001" customHeight="1" x14ac:dyDescent="0.25">
      <c r="A67" s="30" t="str">
        <f t="shared" si="4"/>
        <v/>
      </c>
      <c r="B67" s="41"/>
      <c r="C67" s="35" t="str">
        <f>IF(B67="","",IFERROR(VLOOKUP(B67,DB_Customers!$A:$B,2,0),"❌ Account Not Found"))</f>
        <v/>
      </c>
      <c r="D67" s="42" t="str">
        <f t="shared" ca="1" si="5"/>
        <v/>
      </c>
      <c r="E67" s="32"/>
      <c r="F67" s="31"/>
      <c r="G67" s="41"/>
      <c r="H67" s="56">
        <v>2.5</v>
      </c>
      <c r="I67" s="43" t="str">
        <f t="shared" si="6"/>
        <v/>
      </c>
      <c r="J67" s="43" t="str">
        <f t="shared" si="7"/>
        <v/>
      </c>
      <c r="K67" s="33" t="str">
        <f>IF(B67="","Pending",IF(M67="","⚠️ Enter Code",IF(IFERROR(VLOOKUP(L67,DB_Agents!$B:$F,4,0),"")=TEXT(M67,"0"),"Pending Approval","🔒 WRONG CODE")))</f>
        <v>Pending</v>
      </c>
      <c r="L67" s="30" t="s">
        <v>60</v>
      </c>
      <c r="M67" s="41"/>
      <c r="N67" s="22"/>
    </row>
    <row r="68" spans="1:14" ht="20.100000000000001" customHeight="1" x14ac:dyDescent="0.25">
      <c r="A68" s="30" t="str">
        <f t="shared" si="4"/>
        <v/>
      </c>
      <c r="B68" s="41"/>
      <c r="C68" s="35" t="str">
        <f>IF(B68="","",IFERROR(VLOOKUP(B68,DB_Customers!$A:$B,2,0),"❌ Account Not Found"))</f>
        <v/>
      </c>
      <c r="D68" s="42" t="str">
        <f t="shared" ca="1" si="5"/>
        <v/>
      </c>
      <c r="E68" s="32"/>
      <c r="F68" s="31"/>
      <c r="G68" s="41"/>
      <c r="H68" s="56">
        <v>2.5</v>
      </c>
      <c r="I68" s="43" t="str">
        <f t="shared" si="6"/>
        <v/>
      </c>
      <c r="J68" s="43" t="str">
        <f t="shared" si="7"/>
        <v/>
      </c>
      <c r="K68" s="33" t="str">
        <f>IF(B68="","Pending",IF(M68="","⚠️ Enter Code",IF(IFERROR(VLOOKUP(L68,DB_Agents!$B:$F,4,0),"")=TEXT(M68,"0"),"Pending Approval","🔒 WRONG CODE")))</f>
        <v>Pending</v>
      </c>
      <c r="L68" s="30" t="s">
        <v>60</v>
      </c>
      <c r="M68" s="41"/>
      <c r="N68" s="57"/>
    </row>
    <row r="69" spans="1:14" ht="20.100000000000001" customHeight="1" x14ac:dyDescent="0.25">
      <c r="A69" s="30" t="str">
        <f t="shared" si="4"/>
        <v/>
      </c>
      <c r="B69" s="41"/>
      <c r="C69" s="35" t="str">
        <f>IF(B69="","",IFERROR(VLOOKUP(B69,DB_Customers!$A:$B,2,0),"❌ Account Not Found"))</f>
        <v/>
      </c>
      <c r="D69" s="42" t="str">
        <f t="shared" ca="1" si="5"/>
        <v/>
      </c>
      <c r="E69" s="32"/>
      <c r="F69" s="31"/>
      <c r="G69" s="41"/>
      <c r="H69" s="56">
        <v>2.5</v>
      </c>
      <c r="I69" s="43" t="str">
        <f t="shared" si="6"/>
        <v/>
      </c>
      <c r="J69" s="43" t="str">
        <f t="shared" si="7"/>
        <v/>
      </c>
      <c r="K69" s="33" t="str">
        <f>IF(B69="","Pending",IF(M69="","⚠️ Enter Code",IF(IFERROR(VLOOKUP(L69,DB_Agents!$B:$F,4,0),"")=TEXT(M69,"0"),"Pending Approval","🔒 WRONG CODE")))</f>
        <v>Pending</v>
      </c>
      <c r="L69" s="30" t="s">
        <v>60</v>
      </c>
      <c r="M69" s="41"/>
      <c r="N69" s="22"/>
    </row>
    <row r="70" spans="1:14" ht="20.100000000000001" customHeight="1" x14ac:dyDescent="0.25">
      <c r="A70" s="30" t="str">
        <f t="shared" si="4"/>
        <v/>
      </c>
      <c r="B70" s="41"/>
      <c r="C70" s="35" t="str">
        <f>IF(B70="","",IFERROR(VLOOKUP(B70,DB_Customers!$A:$B,2,0),"❌ Account Not Found"))</f>
        <v/>
      </c>
      <c r="D70" s="42" t="str">
        <f t="shared" ca="1" si="5"/>
        <v/>
      </c>
      <c r="E70" s="32"/>
      <c r="F70" s="31"/>
      <c r="G70" s="41"/>
      <c r="H70" s="56">
        <v>2.5</v>
      </c>
      <c r="I70" s="43" t="str">
        <f t="shared" si="6"/>
        <v/>
      </c>
      <c r="J70" s="43" t="str">
        <f t="shared" si="7"/>
        <v/>
      </c>
      <c r="K70" s="33" t="str">
        <f>IF(B70="","Pending",IF(M70="","⚠️ Enter Code",IF(IFERROR(VLOOKUP(L70,DB_Agents!$B:$F,4,0),"")=TEXT(M70,"0"),"Pending Approval","🔒 WRONG CODE")))</f>
        <v>Pending</v>
      </c>
      <c r="L70" s="30" t="s">
        <v>60</v>
      </c>
      <c r="M70" s="41"/>
      <c r="N70" s="57"/>
    </row>
    <row r="71" spans="1:14" ht="20.100000000000001" customHeight="1" x14ac:dyDescent="0.25">
      <c r="A71" s="30" t="str">
        <f t="shared" si="4"/>
        <v/>
      </c>
      <c r="B71" s="41"/>
      <c r="C71" s="35" t="str">
        <f>IF(B71="","",IFERROR(VLOOKUP(B71,DB_Customers!$A:$B,2,0),"❌ Account Not Found"))</f>
        <v/>
      </c>
      <c r="D71" s="42" t="str">
        <f t="shared" ca="1" si="5"/>
        <v/>
      </c>
      <c r="E71" s="32"/>
      <c r="F71" s="31"/>
      <c r="G71" s="41"/>
      <c r="H71" s="56">
        <v>2.5</v>
      </c>
      <c r="I71" s="43" t="str">
        <f t="shared" si="6"/>
        <v/>
      </c>
      <c r="J71" s="43" t="str">
        <f t="shared" si="7"/>
        <v/>
      </c>
      <c r="K71" s="33" t="str">
        <f>IF(B71="","Pending",IF(M71="","⚠️ Enter Code",IF(IFERROR(VLOOKUP(L71,DB_Agents!$B:$F,4,0),"")=TEXT(M71,"0"),"Pending Approval","🔒 WRONG CODE")))</f>
        <v>Pending</v>
      </c>
      <c r="L71" s="30" t="s">
        <v>60</v>
      </c>
      <c r="M71" s="41"/>
      <c r="N71" s="22"/>
    </row>
    <row r="72" spans="1:14" ht="20.100000000000001" customHeight="1" x14ac:dyDescent="0.25">
      <c r="A72" s="30" t="str">
        <f t="shared" si="4"/>
        <v/>
      </c>
      <c r="B72" s="41"/>
      <c r="C72" s="35" t="str">
        <f>IF(B72="","",IFERROR(VLOOKUP(B72,DB_Customers!$A:$B,2,0),"❌ Account Not Found"))</f>
        <v/>
      </c>
      <c r="D72" s="42" t="str">
        <f t="shared" ca="1" si="5"/>
        <v/>
      </c>
      <c r="E72" s="32"/>
      <c r="F72" s="31"/>
      <c r="G72" s="41"/>
      <c r="H72" s="56">
        <v>2.5</v>
      </c>
      <c r="I72" s="43" t="str">
        <f t="shared" si="6"/>
        <v/>
      </c>
      <c r="J72" s="43" t="str">
        <f t="shared" si="7"/>
        <v/>
      </c>
      <c r="K72" s="33" t="str">
        <f>IF(B72="","Pending",IF(M72="","⚠️ Enter Code",IF(IFERROR(VLOOKUP(L72,DB_Agents!$B:$F,4,0),"")=TEXT(M72,"0"),"Pending Approval","🔒 WRONG CODE")))</f>
        <v>Pending</v>
      </c>
      <c r="L72" s="30" t="s">
        <v>60</v>
      </c>
      <c r="M72" s="41"/>
      <c r="N72" s="57"/>
    </row>
    <row r="73" spans="1:14" ht="20.100000000000001" customHeight="1" x14ac:dyDescent="0.25">
      <c r="A73" s="30" t="str">
        <f t="shared" si="4"/>
        <v/>
      </c>
      <c r="B73" s="41"/>
      <c r="C73" s="35" t="str">
        <f>IF(B73="","",IFERROR(VLOOKUP(B73,DB_Customers!$A:$B,2,0),"❌ Account Not Found"))</f>
        <v/>
      </c>
      <c r="D73" s="42" t="str">
        <f t="shared" ca="1" si="5"/>
        <v/>
      </c>
      <c r="E73" s="32"/>
      <c r="F73" s="31"/>
      <c r="G73" s="41"/>
      <c r="H73" s="56">
        <v>2.5</v>
      </c>
      <c r="I73" s="43" t="str">
        <f t="shared" si="6"/>
        <v/>
      </c>
      <c r="J73" s="43" t="str">
        <f t="shared" si="7"/>
        <v/>
      </c>
      <c r="K73" s="33" t="str">
        <f>IF(B73="","Pending",IF(M73="","⚠️ Enter Code",IF(IFERROR(VLOOKUP(L73,DB_Agents!$B:$F,4,0),"")=TEXT(M73,"0"),"Pending Approval","🔒 WRONG CODE")))</f>
        <v>Pending</v>
      </c>
      <c r="L73" s="30" t="s">
        <v>60</v>
      </c>
      <c r="M73" s="41"/>
      <c r="N73" s="22"/>
    </row>
    <row r="74" spans="1:14" ht="20.100000000000001" customHeight="1" x14ac:dyDescent="0.25">
      <c r="A74" s="30" t="str">
        <f t="shared" si="4"/>
        <v/>
      </c>
      <c r="B74" s="41"/>
      <c r="C74" s="35" t="str">
        <f>IF(B74="","",IFERROR(VLOOKUP(B74,DB_Customers!$A:$B,2,0),"❌ Account Not Found"))</f>
        <v/>
      </c>
      <c r="D74" s="42" t="str">
        <f t="shared" ca="1" si="5"/>
        <v/>
      </c>
      <c r="E74" s="32"/>
      <c r="F74" s="31"/>
      <c r="G74" s="41"/>
      <c r="H74" s="56">
        <v>2.5</v>
      </c>
      <c r="I74" s="43" t="str">
        <f t="shared" si="6"/>
        <v/>
      </c>
      <c r="J74" s="43" t="str">
        <f t="shared" si="7"/>
        <v/>
      </c>
      <c r="K74" s="33" t="str">
        <f>IF(B74="","Pending",IF(M74="","⚠️ Enter Code",IF(IFERROR(VLOOKUP(L74,DB_Agents!$B:$F,4,0),"")=TEXT(M74,"0"),"Pending Approval","🔒 WRONG CODE")))</f>
        <v>Pending</v>
      </c>
      <c r="L74" s="30" t="s">
        <v>60</v>
      </c>
      <c r="M74" s="41"/>
      <c r="N74" s="57"/>
    </row>
    <row r="75" spans="1:14" ht="20.100000000000001" customHeight="1" x14ac:dyDescent="0.25">
      <c r="A75" s="30" t="str">
        <f t="shared" si="4"/>
        <v/>
      </c>
      <c r="B75" s="41"/>
      <c r="C75" s="35" t="str">
        <f>IF(B75="","",IFERROR(VLOOKUP(B75,DB_Customers!$A:$B,2,0),"❌ Account Not Found"))</f>
        <v/>
      </c>
      <c r="D75" s="42" t="str">
        <f t="shared" ca="1" si="5"/>
        <v/>
      </c>
      <c r="E75" s="32"/>
      <c r="F75" s="31"/>
      <c r="G75" s="41"/>
      <c r="H75" s="56">
        <v>2.5</v>
      </c>
      <c r="I75" s="43" t="str">
        <f t="shared" si="6"/>
        <v/>
      </c>
      <c r="J75" s="43" t="str">
        <f t="shared" si="7"/>
        <v/>
      </c>
      <c r="K75" s="33" t="str">
        <f>IF(B75="","Pending",IF(M75="","⚠️ Enter Code",IF(IFERROR(VLOOKUP(L75,DB_Agents!$B:$F,4,0),"")=TEXT(M75,"0"),"Pending Approval","🔒 WRONG CODE")))</f>
        <v>Pending</v>
      </c>
      <c r="L75" s="30" t="s">
        <v>60</v>
      </c>
      <c r="M75" s="41"/>
      <c r="N75" s="22"/>
    </row>
    <row r="76" spans="1:14" ht="20.100000000000001" customHeight="1" x14ac:dyDescent="0.25">
      <c r="A76" s="30" t="str">
        <f t="shared" si="4"/>
        <v/>
      </c>
      <c r="B76" s="41"/>
      <c r="C76" s="35" t="str">
        <f>IF(B76="","",IFERROR(VLOOKUP(B76,DB_Customers!$A:$B,2,0),"❌ Account Not Found"))</f>
        <v/>
      </c>
      <c r="D76" s="42" t="str">
        <f t="shared" ca="1" si="5"/>
        <v/>
      </c>
      <c r="E76" s="32"/>
      <c r="F76" s="31"/>
      <c r="G76" s="41"/>
      <c r="H76" s="56">
        <v>2.5</v>
      </c>
      <c r="I76" s="43" t="str">
        <f t="shared" si="6"/>
        <v/>
      </c>
      <c r="J76" s="43" t="str">
        <f t="shared" si="7"/>
        <v/>
      </c>
      <c r="K76" s="33" t="str">
        <f>IF(B76="","Pending",IF(M76="","⚠️ Enter Code",IF(IFERROR(VLOOKUP(L76,DB_Agents!$B:$F,4,0),"")=TEXT(M76,"0"),"Pending Approval","🔒 WRONG CODE")))</f>
        <v>Pending</v>
      </c>
      <c r="L76" s="30" t="s">
        <v>60</v>
      </c>
      <c r="M76" s="41"/>
      <c r="N76" s="57"/>
    </row>
    <row r="77" spans="1:14" ht="20.100000000000001" customHeight="1" x14ac:dyDescent="0.25">
      <c r="A77" s="30" t="str">
        <f t="shared" si="4"/>
        <v/>
      </c>
      <c r="B77" s="41"/>
      <c r="C77" s="35" t="str">
        <f>IF(B77="","",IFERROR(VLOOKUP(B77,DB_Customers!$A:$B,2,0),"❌ Account Not Found"))</f>
        <v/>
      </c>
      <c r="D77" s="42" t="str">
        <f t="shared" ca="1" si="5"/>
        <v/>
      </c>
      <c r="E77" s="32"/>
      <c r="F77" s="31"/>
      <c r="G77" s="41"/>
      <c r="H77" s="56">
        <v>2.5</v>
      </c>
      <c r="I77" s="43" t="str">
        <f t="shared" si="6"/>
        <v/>
      </c>
      <c r="J77" s="43" t="str">
        <f t="shared" si="7"/>
        <v/>
      </c>
      <c r="K77" s="33" t="str">
        <f>IF(B77="","Pending",IF(M77="","⚠️ Enter Code",IF(IFERROR(VLOOKUP(L77,DB_Agents!$B:$F,4,0),"")=TEXT(M77,"0"),"Pending Approval","🔒 WRONG CODE")))</f>
        <v>Pending</v>
      </c>
      <c r="L77" s="30" t="s">
        <v>60</v>
      </c>
      <c r="M77" s="41"/>
      <c r="N77" s="22"/>
    </row>
    <row r="78" spans="1:14" ht="20.100000000000001" customHeight="1" x14ac:dyDescent="0.25">
      <c r="A78" s="30" t="str">
        <f t="shared" ref="A78:A109" si="8">IF(B78="","",IF(C78="❌ Account Not Found","INVALID","LN"&amp;TEXT(D78,"YYYYMMDD")&amp;TEXT(ROW()-13,"0000")))</f>
        <v/>
      </c>
      <c r="B78" s="41"/>
      <c r="C78" s="35" t="str">
        <f>IF(B78="","",IFERROR(VLOOKUP(B78,DB_Customers!$A:$B,2,0),"❌ Account Not Found"))</f>
        <v/>
      </c>
      <c r="D78" s="42" t="str">
        <f t="shared" ref="D78:D109" ca="1" si="9">IF(B78="","",TODAY())</f>
        <v/>
      </c>
      <c r="E78" s="32"/>
      <c r="F78" s="31"/>
      <c r="G78" s="41"/>
      <c r="H78" s="56">
        <v>2.5</v>
      </c>
      <c r="I78" s="43" t="str">
        <f t="shared" ref="I78:I109" si="10">IF(E78="","",E78+(E78*H78/100*G78))</f>
        <v/>
      </c>
      <c r="J78" s="43" t="str">
        <f t="shared" ref="J78:J109" si="11">IFERROR(I78/G78,"")</f>
        <v/>
      </c>
      <c r="K78" s="33" t="str">
        <f>IF(B78="","Pending",IF(M78="","⚠️ Enter Code",IF(IFERROR(VLOOKUP(L78,DB_Agents!$B:$F,4,0),"")=TEXT(M78,"0"),"Pending Approval","🔒 WRONG CODE")))</f>
        <v>Pending</v>
      </c>
      <c r="L78" s="30" t="s">
        <v>60</v>
      </c>
      <c r="M78" s="41"/>
      <c r="N78" s="57"/>
    </row>
    <row r="79" spans="1:14" ht="20.100000000000001" customHeight="1" x14ac:dyDescent="0.25">
      <c r="A79" s="30" t="str">
        <f t="shared" si="8"/>
        <v/>
      </c>
      <c r="B79" s="41"/>
      <c r="C79" s="35" t="str">
        <f>IF(B79="","",IFERROR(VLOOKUP(B79,DB_Customers!$A:$B,2,0),"❌ Account Not Found"))</f>
        <v/>
      </c>
      <c r="D79" s="42" t="str">
        <f t="shared" ca="1" si="9"/>
        <v/>
      </c>
      <c r="E79" s="32"/>
      <c r="F79" s="31"/>
      <c r="G79" s="41"/>
      <c r="H79" s="56">
        <v>2.5</v>
      </c>
      <c r="I79" s="43" t="str">
        <f t="shared" si="10"/>
        <v/>
      </c>
      <c r="J79" s="43" t="str">
        <f t="shared" si="11"/>
        <v/>
      </c>
      <c r="K79" s="33" t="str">
        <f>IF(B79="","Pending",IF(M79="","⚠️ Enter Code",IF(IFERROR(VLOOKUP(L79,DB_Agents!$B:$F,4,0),"")=TEXT(M79,"0"),"Pending Approval","🔒 WRONG CODE")))</f>
        <v>Pending</v>
      </c>
      <c r="L79" s="30" t="s">
        <v>60</v>
      </c>
      <c r="M79" s="41"/>
      <c r="N79" s="22"/>
    </row>
    <row r="80" spans="1:14" ht="20.100000000000001" customHeight="1" x14ac:dyDescent="0.25">
      <c r="A80" s="30" t="str">
        <f t="shared" si="8"/>
        <v/>
      </c>
      <c r="B80" s="41"/>
      <c r="C80" s="35" t="str">
        <f>IF(B80="","",IFERROR(VLOOKUP(B80,DB_Customers!$A:$B,2,0),"❌ Account Not Found"))</f>
        <v/>
      </c>
      <c r="D80" s="42" t="str">
        <f t="shared" ca="1" si="9"/>
        <v/>
      </c>
      <c r="E80" s="32"/>
      <c r="F80" s="31"/>
      <c r="G80" s="41"/>
      <c r="H80" s="56">
        <v>2.5</v>
      </c>
      <c r="I80" s="43" t="str">
        <f t="shared" si="10"/>
        <v/>
      </c>
      <c r="J80" s="43" t="str">
        <f t="shared" si="11"/>
        <v/>
      </c>
      <c r="K80" s="33" t="str">
        <f>IF(B80="","Pending",IF(M80="","⚠️ Enter Code",IF(IFERROR(VLOOKUP(L80,DB_Agents!$B:$F,4,0),"")=TEXT(M80,"0"),"Pending Approval","🔒 WRONG CODE")))</f>
        <v>Pending</v>
      </c>
      <c r="L80" s="30" t="s">
        <v>60</v>
      </c>
      <c r="M80" s="41"/>
      <c r="N80" s="57"/>
    </row>
    <row r="81" spans="1:14" ht="20.100000000000001" customHeight="1" x14ac:dyDescent="0.25">
      <c r="A81" s="30" t="str">
        <f t="shared" si="8"/>
        <v/>
      </c>
      <c r="B81" s="41"/>
      <c r="C81" s="35" t="str">
        <f>IF(B81="","",IFERROR(VLOOKUP(B81,DB_Customers!$A:$B,2,0),"❌ Account Not Found"))</f>
        <v/>
      </c>
      <c r="D81" s="42" t="str">
        <f t="shared" ca="1" si="9"/>
        <v/>
      </c>
      <c r="E81" s="32"/>
      <c r="F81" s="31"/>
      <c r="G81" s="41"/>
      <c r="H81" s="56">
        <v>2.5</v>
      </c>
      <c r="I81" s="43" t="str">
        <f t="shared" si="10"/>
        <v/>
      </c>
      <c r="J81" s="43" t="str">
        <f t="shared" si="11"/>
        <v/>
      </c>
      <c r="K81" s="33" t="str">
        <f>IF(B81="","Pending",IF(M81="","⚠️ Enter Code",IF(IFERROR(VLOOKUP(L81,DB_Agents!$B:$F,4,0),"")=TEXT(M81,"0"),"Pending Approval","🔒 WRONG CODE")))</f>
        <v>Pending</v>
      </c>
      <c r="L81" s="30" t="s">
        <v>60</v>
      </c>
      <c r="M81" s="41"/>
      <c r="N81" s="22"/>
    </row>
    <row r="82" spans="1:14" ht="20.100000000000001" customHeight="1" x14ac:dyDescent="0.25">
      <c r="A82" s="30" t="str">
        <f t="shared" si="8"/>
        <v/>
      </c>
      <c r="B82" s="41"/>
      <c r="C82" s="35" t="str">
        <f>IF(B82="","",IFERROR(VLOOKUP(B82,DB_Customers!$A:$B,2,0),"❌ Account Not Found"))</f>
        <v/>
      </c>
      <c r="D82" s="42" t="str">
        <f t="shared" ca="1" si="9"/>
        <v/>
      </c>
      <c r="E82" s="32"/>
      <c r="F82" s="31"/>
      <c r="G82" s="41"/>
      <c r="H82" s="56">
        <v>2.5</v>
      </c>
      <c r="I82" s="43" t="str">
        <f t="shared" si="10"/>
        <v/>
      </c>
      <c r="J82" s="43" t="str">
        <f t="shared" si="11"/>
        <v/>
      </c>
      <c r="K82" s="33" t="str">
        <f>IF(B82="","Pending",IF(M82="","⚠️ Enter Code",IF(IFERROR(VLOOKUP(L82,DB_Agents!$B:$F,4,0),"")=TEXT(M82,"0"),"Pending Approval","🔒 WRONG CODE")))</f>
        <v>Pending</v>
      </c>
      <c r="L82" s="30" t="s">
        <v>60</v>
      </c>
      <c r="M82" s="41"/>
      <c r="N82" s="57"/>
    </row>
    <row r="83" spans="1:14" ht="20.100000000000001" customHeight="1" x14ac:dyDescent="0.25">
      <c r="A83" s="30" t="str">
        <f t="shared" si="8"/>
        <v/>
      </c>
      <c r="B83" s="41"/>
      <c r="C83" s="35" t="str">
        <f>IF(B83="","",IFERROR(VLOOKUP(B83,DB_Customers!$A:$B,2,0),"❌ Account Not Found"))</f>
        <v/>
      </c>
      <c r="D83" s="42" t="str">
        <f t="shared" ca="1" si="9"/>
        <v/>
      </c>
      <c r="E83" s="32"/>
      <c r="F83" s="31"/>
      <c r="G83" s="41"/>
      <c r="H83" s="56">
        <v>2.5</v>
      </c>
      <c r="I83" s="43" t="str">
        <f t="shared" si="10"/>
        <v/>
      </c>
      <c r="J83" s="43" t="str">
        <f t="shared" si="11"/>
        <v/>
      </c>
      <c r="K83" s="33" t="str">
        <f>IF(B83="","Pending",IF(M83="","⚠️ Enter Code",IF(IFERROR(VLOOKUP(L83,DB_Agents!$B:$F,4,0),"")=TEXT(M83,"0"),"Pending Approval","🔒 WRONG CODE")))</f>
        <v>Pending</v>
      </c>
      <c r="L83" s="30" t="s">
        <v>60</v>
      </c>
      <c r="M83" s="41"/>
      <c r="N83" s="22"/>
    </row>
    <row r="84" spans="1:14" ht="20.100000000000001" customHeight="1" x14ac:dyDescent="0.25">
      <c r="A84" s="30" t="str">
        <f t="shared" si="8"/>
        <v/>
      </c>
      <c r="B84" s="41"/>
      <c r="C84" s="35" t="str">
        <f>IF(B84="","",IFERROR(VLOOKUP(B84,DB_Customers!$A:$B,2,0),"❌ Account Not Found"))</f>
        <v/>
      </c>
      <c r="D84" s="42" t="str">
        <f t="shared" ca="1" si="9"/>
        <v/>
      </c>
      <c r="E84" s="32"/>
      <c r="F84" s="31"/>
      <c r="G84" s="41"/>
      <c r="H84" s="56">
        <v>2.5</v>
      </c>
      <c r="I84" s="43" t="str">
        <f t="shared" si="10"/>
        <v/>
      </c>
      <c r="J84" s="43" t="str">
        <f t="shared" si="11"/>
        <v/>
      </c>
      <c r="K84" s="33" t="str">
        <f>IF(B84="","Pending",IF(M84="","⚠️ Enter Code",IF(IFERROR(VLOOKUP(L84,DB_Agents!$B:$F,4,0),"")=TEXT(M84,"0"),"Pending Approval","🔒 WRONG CODE")))</f>
        <v>Pending</v>
      </c>
      <c r="L84" s="30" t="s">
        <v>60</v>
      </c>
      <c r="M84" s="41"/>
      <c r="N84" s="57"/>
    </row>
    <row r="85" spans="1:14" ht="20.100000000000001" customHeight="1" x14ac:dyDescent="0.25">
      <c r="A85" s="30" t="str">
        <f t="shared" si="8"/>
        <v/>
      </c>
      <c r="B85" s="41"/>
      <c r="C85" s="35" t="str">
        <f>IF(B85="","",IFERROR(VLOOKUP(B85,DB_Customers!$A:$B,2,0),"❌ Account Not Found"))</f>
        <v/>
      </c>
      <c r="D85" s="42" t="str">
        <f t="shared" ca="1" si="9"/>
        <v/>
      </c>
      <c r="E85" s="32"/>
      <c r="F85" s="31"/>
      <c r="G85" s="41"/>
      <c r="H85" s="56">
        <v>2.5</v>
      </c>
      <c r="I85" s="43" t="str">
        <f t="shared" si="10"/>
        <v/>
      </c>
      <c r="J85" s="43" t="str">
        <f t="shared" si="11"/>
        <v/>
      </c>
      <c r="K85" s="33" t="str">
        <f>IF(B85="","Pending",IF(M85="","⚠️ Enter Code",IF(IFERROR(VLOOKUP(L85,DB_Agents!$B:$F,4,0),"")=TEXT(M85,"0"),"Pending Approval","🔒 WRONG CODE")))</f>
        <v>Pending</v>
      </c>
      <c r="L85" s="30" t="s">
        <v>60</v>
      </c>
      <c r="M85" s="41"/>
      <c r="N85" s="22"/>
    </row>
    <row r="86" spans="1:14" ht="20.100000000000001" customHeight="1" x14ac:dyDescent="0.25">
      <c r="A86" s="30" t="str">
        <f t="shared" si="8"/>
        <v/>
      </c>
      <c r="B86" s="41"/>
      <c r="C86" s="35" t="str">
        <f>IF(B86="","",IFERROR(VLOOKUP(B86,DB_Customers!$A:$B,2,0),"❌ Account Not Found"))</f>
        <v/>
      </c>
      <c r="D86" s="42" t="str">
        <f t="shared" ca="1" si="9"/>
        <v/>
      </c>
      <c r="E86" s="32"/>
      <c r="F86" s="31"/>
      <c r="G86" s="41"/>
      <c r="H86" s="56">
        <v>2.5</v>
      </c>
      <c r="I86" s="43" t="str">
        <f t="shared" si="10"/>
        <v/>
      </c>
      <c r="J86" s="43" t="str">
        <f t="shared" si="11"/>
        <v/>
      </c>
      <c r="K86" s="33" t="str">
        <f>IF(B86="","Pending",IF(M86="","⚠️ Enter Code",IF(IFERROR(VLOOKUP(L86,DB_Agents!$B:$F,4,0),"")=TEXT(M86,"0"),"Pending Approval","🔒 WRONG CODE")))</f>
        <v>Pending</v>
      </c>
      <c r="L86" s="30" t="s">
        <v>60</v>
      </c>
      <c r="M86" s="41"/>
      <c r="N86" s="57"/>
    </row>
    <row r="87" spans="1:14" ht="20.100000000000001" customHeight="1" x14ac:dyDescent="0.25">
      <c r="A87" s="30" t="str">
        <f t="shared" si="8"/>
        <v/>
      </c>
      <c r="B87" s="41"/>
      <c r="C87" s="35" t="str">
        <f>IF(B87="","",IFERROR(VLOOKUP(B87,DB_Customers!$A:$B,2,0),"❌ Account Not Found"))</f>
        <v/>
      </c>
      <c r="D87" s="42" t="str">
        <f t="shared" ca="1" si="9"/>
        <v/>
      </c>
      <c r="E87" s="32"/>
      <c r="F87" s="31"/>
      <c r="G87" s="41"/>
      <c r="H87" s="56">
        <v>2.5</v>
      </c>
      <c r="I87" s="43" t="str">
        <f t="shared" si="10"/>
        <v/>
      </c>
      <c r="J87" s="43" t="str">
        <f t="shared" si="11"/>
        <v/>
      </c>
      <c r="K87" s="33" t="str">
        <f>IF(B87="","Pending",IF(M87="","⚠️ Enter Code",IF(IFERROR(VLOOKUP(L87,DB_Agents!$B:$F,4,0),"")=TEXT(M87,"0"),"Pending Approval","🔒 WRONG CODE")))</f>
        <v>Pending</v>
      </c>
      <c r="L87" s="30" t="s">
        <v>60</v>
      </c>
      <c r="M87" s="41"/>
      <c r="N87" s="22"/>
    </row>
    <row r="88" spans="1:14" ht="20.100000000000001" customHeight="1" x14ac:dyDescent="0.25">
      <c r="A88" s="30" t="str">
        <f t="shared" si="8"/>
        <v/>
      </c>
      <c r="B88" s="41"/>
      <c r="C88" s="35" t="str">
        <f>IF(B88="","",IFERROR(VLOOKUP(B88,DB_Customers!$A:$B,2,0),"❌ Account Not Found"))</f>
        <v/>
      </c>
      <c r="D88" s="42" t="str">
        <f t="shared" ca="1" si="9"/>
        <v/>
      </c>
      <c r="E88" s="32"/>
      <c r="F88" s="31"/>
      <c r="G88" s="41"/>
      <c r="H88" s="56">
        <v>2.5</v>
      </c>
      <c r="I88" s="43" t="str">
        <f t="shared" si="10"/>
        <v/>
      </c>
      <c r="J88" s="43" t="str">
        <f t="shared" si="11"/>
        <v/>
      </c>
      <c r="K88" s="33" t="str">
        <f>IF(B88="","Pending",IF(M88="","⚠️ Enter Code",IF(IFERROR(VLOOKUP(L88,DB_Agents!$B:$F,4,0),"")=TEXT(M88,"0"),"Pending Approval","🔒 WRONG CODE")))</f>
        <v>Pending</v>
      </c>
      <c r="L88" s="30" t="s">
        <v>60</v>
      </c>
      <c r="M88" s="41"/>
      <c r="N88" s="57"/>
    </row>
    <row r="89" spans="1:14" ht="20.100000000000001" customHeight="1" x14ac:dyDescent="0.25">
      <c r="A89" s="30" t="str">
        <f t="shared" si="8"/>
        <v/>
      </c>
      <c r="B89" s="41"/>
      <c r="C89" s="35" t="str">
        <f>IF(B89="","",IFERROR(VLOOKUP(B89,DB_Customers!$A:$B,2,0),"❌ Account Not Found"))</f>
        <v/>
      </c>
      <c r="D89" s="42" t="str">
        <f t="shared" ca="1" si="9"/>
        <v/>
      </c>
      <c r="E89" s="32"/>
      <c r="F89" s="31"/>
      <c r="G89" s="41"/>
      <c r="H89" s="56">
        <v>2.5</v>
      </c>
      <c r="I89" s="43" t="str">
        <f t="shared" si="10"/>
        <v/>
      </c>
      <c r="J89" s="43" t="str">
        <f t="shared" si="11"/>
        <v/>
      </c>
      <c r="K89" s="33" t="str">
        <f>IF(B89="","Pending",IF(M89="","⚠️ Enter Code",IF(IFERROR(VLOOKUP(L89,DB_Agents!$B:$F,4,0),"")=TEXT(M89,"0"),"Pending Approval","🔒 WRONG CODE")))</f>
        <v>Pending</v>
      </c>
      <c r="L89" s="30" t="s">
        <v>60</v>
      </c>
      <c r="M89" s="41"/>
      <c r="N89" s="22"/>
    </row>
    <row r="90" spans="1:14" ht="20.100000000000001" customHeight="1" x14ac:dyDescent="0.25">
      <c r="A90" s="30" t="str">
        <f t="shared" si="8"/>
        <v/>
      </c>
      <c r="B90" s="41"/>
      <c r="C90" s="35" t="str">
        <f>IF(B90="","",IFERROR(VLOOKUP(B90,DB_Customers!$A:$B,2,0),"❌ Account Not Found"))</f>
        <v/>
      </c>
      <c r="D90" s="42" t="str">
        <f t="shared" ca="1" si="9"/>
        <v/>
      </c>
      <c r="E90" s="32"/>
      <c r="F90" s="31"/>
      <c r="G90" s="41"/>
      <c r="H90" s="56">
        <v>2.5</v>
      </c>
      <c r="I90" s="43" t="str">
        <f t="shared" si="10"/>
        <v/>
      </c>
      <c r="J90" s="43" t="str">
        <f t="shared" si="11"/>
        <v/>
      </c>
      <c r="K90" s="33" t="str">
        <f>IF(B90="","Pending",IF(M90="","⚠️ Enter Code",IF(IFERROR(VLOOKUP(L90,DB_Agents!$B:$F,4,0),"")=TEXT(M90,"0"),"Pending Approval","🔒 WRONG CODE")))</f>
        <v>Pending</v>
      </c>
      <c r="L90" s="30" t="s">
        <v>60</v>
      </c>
      <c r="M90" s="41"/>
      <c r="N90" s="57"/>
    </row>
    <row r="91" spans="1:14" ht="20.100000000000001" customHeight="1" x14ac:dyDescent="0.25">
      <c r="A91" s="30" t="str">
        <f t="shared" si="8"/>
        <v/>
      </c>
      <c r="B91" s="41"/>
      <c r="C91" s="35" t="str">
        <f>IF(B91="","",IFERROR(VLOOKUP(B91,DB_Customers!$A:$B,2,0),"❌ Account Not Found"))</f>
        <v/>
      </c>
      <c r="D91" s="42" t="str">
        <f t="shared" ca="1" si="9"/>
        <v/>
      </c>
      <c r="E91" s="32"/>
      <c r="F91" s="31"/>
      <c r="G91" s="41"/>
      <c r="H91" s="56">
        <v>2.5</v>
      </c>
      <c r="I91" s="43" t="str">
        <f t="shared" si="10"/>
        <v/>
      </c>
      <c r="J91" s="43" t="str">
        <f t="shared" si="11"/>
        <v/>
      </c>
      <c r="K91" s="33" t="str">
        <f>IF(B91="","Pending",IF(M91="","⚠️ Enter Code",IF(IFERROR(VLOOKUP(L91,DB_Agents!$B:$F,4,0),"")=TEXT(M91,"0"),"Pending Approval","🔒 WRONG CODE")))</f>
        <v>Pending</v>
      </c>
      <c r="L91" s="30" t="s">
        <v>60</v>
      </c>
      <c r="M91" s="41"/>
      <c r="N91" s="22"/>
    </row>
    <row r="92" spans="1:14" ht="20.100000000000001" customHeight="1" x14ac:dyDescent="0.25">
      <c r="A92" s="30" t="str">
        <f t="shared" si="8"/>
        <v/>
      </c>
      <c r="B92" s="41"/>
      <c r="C92" s="35" t="str">
        <f>IF(B92="","",IFERROR(VLOOKUP(B92,DB_Customers!$A:$B,2,0),"❌ Account Not Found"))</f>
        <v/>
      </c>
      <c r="D92" s="42" t="str">
        <f t="shared" ca="1" si="9"/>
        <v/>
      </c>
      <c r="E92" s="32"/>
      <c r="F92" s="31"/>
      <c r="G92" s="41"/>
      <c r="H92" s="56">
        <v>2.5</v>
      </c>
      <c r="I92" s="43" t="str">
        <f t="shared" si="10"/>
        <v/>
      </c>
      <c r="J92" s="43" t="str">
        <f t="shared" si="11"/>
        <v/>
      </c>
      <c r="K92" s="33" t="str">
        <f>IF(B92="","Pending",IF(M92="","⚠️ Enter Code",IF(IFERROR(VLOOKUP(L92,DB_Agents!$B:$F,4,0),"")=TEXT(M92,"0"),"Pending Approval","🔒 WRONG CODE")))</f>
        <v>Pending</v>
      </c>
      <c r="L92" s="30" t="s">
        <v>60</v>
      </c>
      <c r="M92" s="41"/>
      <c r="N92" s="57"/>
    </row>
    <row r="93" spans="1:14" ht="20.100000000000001" customHeight="1" x14ac:dyDescent="0.25">
      <c r="A93" s="30" t="str">
        <f t="shared" si="8"/>
        <v/>
      </c>
      <c r="B93" s="41"/>
      <c r="C93" s="35" t="str">
        <f>IF(B93="","",IFERROR(VLOOKUP(B93,DB_Customers!$A:$B,2,0),"❌ Account Not Found"))</f>
        <v/>
      </c>
      <c r="D93" s="42" t="str">
        <f t="shared" ca="1" si="9"/>
        <v/>
      </c>
      <c r="E93" s="32"/>
      <c r="F93" s="31"/>
      <c r="G93" s="41"/>
      <c r="H93" s="56">
        <v>2.5</v>
      </c>
      <c r="I93" s="43" t="str">
        <f t="shared" si="10"/>
        <v/>
      </c>
      <c r="J93" s="43" t="str">
        <f t="shared" si="11"/>
        <v/>
      </c>
      <c r="K93" s="33" t="str">
        <f>IF(B93="","Pending",IF(M93="","⚠️ Enter Code",IF(IFERROR(VLOOKUP(L93,DB_Agents!$B:$F,4,0),"")=TEXT(M93,"0"),"Pending Approval","🔒 WRONG CODE")))</f>
        <v>Pending</v>
      </c>
      <c r="L93" s="30" t="s">
        <v>60</v>
      </c>
      <c r="M93" s="41"/>
      <c r="N93" s="22"/>
    </row>
    <row r="94" spans="1:14" ht="20.100000000000001" customHeight="1" x14ac:dyDescent="0.25">
      <c r="A94" s="30" t="str">
        <f t="shared" si="8"/>
        <v/>
      </c>
      <c r="B94" s="41"/>
      <c r="C94" s="35" t="str">
        <f>IF(B94="","",IFERROR(VLOOKUP(B94,DB_Customers!$A:$B,2,0),"❌ Account Not Found"))</f>
        <v/>
      </c>
      <c r="D94" s="42" t="str">
        <f t="shared" ca="1" si="9"/>
        <v/>
      </c>
      <c r="E94" s="32"/>
      <c r="F94" s="31"/>
      <c r="G94" s="41"/>
      <c r="H94" s="56">
        <v>2.5</v>
      </c>
      <c r="I94" s="43" t="str">
        <f t="shared" si="10"/>
        <v/>
      </c>
      <c r="J94" s="43" t="str">
        <f t="shared" si="11"/>
        <v/>
      </c>
      <c r="K94" s="33" t="str">
        <f>IF(B94="","Pending",IF(M94="","⚠️ Enter Code",IF(IFERROR(VLOOKUP(L94,DB_Agents!$B:$F,4,0),"")=TEXT(M94,"0"),"Pending Approval","🔒 WRONG CODE")))</f>
        <v>Pending</v>
      </c>
      <c r="L94" s="30" t="s">
        <v>60</v>
      </c>
      <c r="M94" s="41"/>
      <c r="N94" s="57"/>
    </row>
    <row r="95" spans="1:14" ht="20.100000000000001" customHeight="1" x14ac:dyDescent="0.25">
      <c r="A95" s="30" t="str">
        <f t="shared" si="8"/>
        <v/>
      </c>
      <c r="B95" s="41"/>
      <c r="C95" s="35" t="str">
        <f>IF(B95="","",IFERROR(VLOOKUP(B95,DB_Customers!$A:$B,2,0),"❌ Account Not Found"))</f>
        <v/>
      </c>
      <c r="D95" s="42" t="str">
        <f t="shared" ca="1" si="9"/>
        <v/>
      </c>
      <c r="E95" s="32"/>
      <c r="F95" s="31"/>
      <c r="G95" s="41"/>
      <c r="H95" s="56">
        <v>2.5</v>
      </c>
      <c r="I95" s="43" t="str">
        <f t="shared" si="10"/>
        <v/>
      </c>
      <c r="J95" s="43" t="str">
        <f t="shared" si="11"/>
        <v/>
      </c>
      <c r="K95" s="33" t="str">
        <f>IF(B95="","Pending",IF(M95="","⚠️ Enter Code",IF(IFERROR(VLOOKUP(L95,DB_Agents!$B:$F,4,0),"")=TEXT(M95,"0"),"Pending Approval","🔒 WRONG CODE")))</f>
        <v>Pending</v>
      </c>
      <c r="L95" s="30" t="s">
        <v>60</v>
      </c>
      <c r="M95" s="41"/>
      <c r="N95" s="22"/>
    </row>
    <row r="96" spans="1:14" ht="20.100000000000001" customHeight="1" x14ac:dyDescent="0.25">
      <c r="A96" s="30" t="str">
        <f t="shared" si="8"/>
        <v/>
      </c>
      <c r="B96" s="41"/>
      <c r="C96" s="35" t="str">
        <f>IF(B96="","",IFERROR(VLOOKUP(B96,DB_Customers!$A:$B,2,0),"❌ Account Not Found"))</f>
        <v/>
      </c>
      <c r="D96" s="42" t="str">
        <f t="shared" ca="1" si="9"/>
        <v/>
      </c>
      <c r="E96" s="32"/>
      <c r="F96" s="31"/>
      <c r="G96" s="41"/>
      <c r="H96" s="56">
        <v>2.5</v>
      </c>
      <c r="I96" s="43" t="str">
        <f t="shared" si="10"/>
        <v/>
      </c>
      <c r="J96" s="43" t="str">
        <f t="shared" si="11"/>
        <v/>
      </c>
      <c r="K96" s="33" t="str">
        <f>IF(B96="","Pending",IF(M96="","⚠️ Enter Code",IF(IFERROR(VLOOKUP(L96,DB_Agents!$B:$F,4,0),"")=TEXT(M96,"0"),"Pending Approval","🔒 WRONG CODE")))</f>
        <v>Pending</v>
      </c>
      <c r="L96" s="30" t="s">
        <v>60</v>
      </c>
      <c r="M96" s="41"/>
      <c r="N96" s="57"/>
    </row>
    <row r="97" spans="1:14" ht="20.100000000000001" customHeight="1" x14ac:dyDescent="0.25">
      <c r="A97" s="30" t="str">
        <f t="shared" si="8"/>
        <v/>
      </c>
      <c r="B97" s="41"/>
      <c r="C97" s="35" t="str">
        <f>IF(B97="","",IFERROR(VLOOKUP(B97,DB_Customers!$A:$B,2,0),"❌ Account Not Found"))</f>
        <v/>
      </c>
      <c r="D97" s="42" t="str">
        <f t="shared" ca="1" si="9"/>
        <v/>
      </c>
      <c r="E97" s="32"/>
      <c r="F97" s="31"/>
      <c r="G97" s="41"/>
      <c r="H97" s="56">
        <v>2.5</v>
      </c>
      <c r="I97" s="43" t="str">
        <f t="shared" si="10"/>
        <v/>
      </c>
      <c r="J97" s="43" t="str">
        <f t="shared" si="11"/>
        <v/>
      </c>
      <c r="K97" s="33" t="str">
        <f>IF(B97="","Pending",IF(M97="","⚠️ Enter Code",IF(IFERROR(VLOOKUP(L97,DB_Agents!$B:$F,4,0),"")=TEXT(M97,"0"),"Pending Approval","🔒 WRONG CODE")))</f>
        <v>Pending</v>
      </c>
      <c r="L97" s="30" t="s">
        <v>60</v>
      </c>
      <c r="M97" s="41"/>
      <c r="N97" s="22"/>
    </row>
    <row r="98" spans="1:14" ht="20.100000000000001" customHeight="1" x14ac:dyDescent="0.25">
      <c r="A98" s="30" t="str">
        <f t="shared" si="8"/>
        <v/>
      </c>
      <c r="B98" s="41"/>
      <c r="C98" s="35" t="str">
        <f>IF(B98="","",IFERROR(VLOOKUP(B98,DB_Customers!$A:$B,2,0),"❌ Account Not Found"))</f>
        <v/>
      </c>
      <c r="D98" s="42" t="str">
        <f t="shared" ca="1" si="9"/>
        <v/>
      </c>
      <c r="E98" s="32"/>
      <c r="F98" s="31"/>
      <c r="G98" s="41"/>
      <c r="H98" s="56">
        <v>2.5</v>
      </c>
      <c r="I98" s="43" t="str">
        <f t="shared" si="10"/>
        <v/>
      </c>
      <c r="J98" s="43" t="str">
        <f t="shared" si="11"/>
        <v/>
      </c>
      <c r="K98" s="33" t="str">
        <f>IF(B98="","Pending",IF(M98="","⚠️ Enter Code",IF(IFERROR(VLOOKUP(L98,DB_Agents!$B:$F,4,0),"")=TEXT(M98,"0"),"Pending Approval","🔒 WRONG CODE")))</f>
        <v>Pending</v>
      </c>
      <c r="L98" s="30" t="s">
        <v>60</v>
      </c>
      <c r="M98" s="41"/>
      <c r="N98" s="57"/>
    </row>
    <row r="99" spans="1:14" ht="20.100000000000001" customHeight="1" x14ac:dyDescent="0.25">
      <c r="A99" s="30" t="str">
        <f t="shared" si="8"/>
        <v/>
      </c>
      <c r="B99" s="41"/>
      <c r="C99" s="35" t="str">
        <f>IF(B99="","",IFERROR(VLOOKUP(B99,DB_Customers!$A:$B,2,0),"❌ Account Not Found"))</f>
        <v/>
      </c>
      <c r="D99" s="42" t="str">
        <f t="shared" ca="1" si="9"/>
        <v/>
      </c>
      <c r="E99" s="32"/>
      <c r="F99" s="31"/>
      <c r="G99" s="41"/>
      <c r="H99" s="56">
        <v>2.5</v>
      </c>
      <c r="I99" s="43" t="str">
        <f t="shared" si="10"/>
        <v/>
      </c>
      <c r="J99" s="43" t="str">
        <f t="shared" si="11"/>
        <v/>
      </c>
      <c r="K99" s="33" t="str">
        <f>IF(B99="","Pending",IF(M99="","⚠️ Enter Code",IF(IFERROR(VLOOKUP(L99,DB_Agents!$B:$F,4,0),"")=TEXT(M99,"0"),"Pending Approval","🔒 WRONG CODE")))</f>
        <v>Pending</v>
      </c>
      <c r="L99" s="30" t="s">
        <v>60</v>
      </c>
      <c r="M99" s="41"/>
      <c r="N99" s="22"/>
    </row>
    <row r="100" spans="1:14" ht="20.100000000000001" customHeight="1" x14ac:dyDescent="0.25">
      <c r="A100" s="30" t="str">
        <f t="shared" si="8"/>
        <v/>
      </c>
      <c r="B100" s="41"/>
      <c r="C100" s="35" t="str">
        <f>IF(B100="","",IFERROR(VLOOKUP(B100,DB_Customers!$A:$B,2,0),"❌ Account Not Found"))</f>
        <v/>
      </c>
      <c r="D100" s="42" t="str">
        <f t="shared" ca="1" si="9"/>
        <v/>
      </c>
      <c r="E100" s="32"/>
      <c r="F100" s="31"/>
      <c r="G100" s="41"/>
      <c r="H100" s="56">
        <v>2.5</v>
      </c>
      <c r="I100" s="43" t="str">
        <f t="shared" si="10"/>
        <v/>
      </c>
      <c r="J100" s="43" t="str">
        <f t="shared" si="11"/>
        <v/>
      </c>
      <c r="K100" s="33" t="str">
        <f>IF(B100="","Pending",IF(M100="","⚠️ Enter Code",IF(IFERROR(VLOOKUP(L100,DB_Agents!$B:$F,4,0),"")=TEXT(M100,"0"),"Pending Approval","🔒 WRONG CODE")))</f>
        <v>Pending</v>
      </c>
      <c r="L100" s="30" t="s">
        <v>60</v>
      </c>
      <c r="M100" s="41"/>
      <c r="N100" s="57"/>
    </row>
    <row r="101" spans="1:14" ht="20.100000000000001" customHeight="1" x14ac:dyDescent="0.25">
      <c r="A101" s="30" t="str">
        <f t="shared" si="8"/>
        <v/>
      </c>
      <c r="B101" s="41"/>
      <c r="C101" s="35" t="str">
        <f>IF(B101="","",IFERROR(VLOOKUP(B101,DB_Customers!$A:$B,2,0),"❌ Account Not Found"))</f>
        <v/>
      </c>
      <c r="D101" s="42" t="str">
        <f t="shared" ca="1" si="9"/>
        <v/>
      </c>
      <c r="E101" s="32"/>
      <c r="F101" s="31"/>
      <c r="G101" s="41"/>
      <c r="H101" s="56">
        <v>2.5</v>
      </c>
      <c r="I101" s="43" t="str">
        <f t="shared" si="10"/>
        <v/>
      </c>
      <c r="J101" s="43" t="str">
        <f t="shared" si="11"/>
        <v/>
      </c>
      <c r="K101" s="33" t="str">
        <f>IF(B101="","Pending",IF(M101="","⚠️ Enter Code",IF(IFERROR(VLOOKUP(L101,DB_Agents!$B:$F,4,0),"")=TEXT(M101,"0"),"Pending Approval","🔒 WRONG CODE")))</f>
        <v>Pending</v>
      </c>
      <c r="L101" s="30" t="s">
        <v>60</v>
      </c>
      <c r="M101" s="41"/>
      <c r="N101" s="22"/>
    </row>
    <row r="102" spans="1:14" ht="20.100000000000001" customHeight="1" x14ac:dyDescent="0.25">
      <c r="A102" s="30" t="str">
        <f t="shared" si="8"/>
        <v/>
      </c>
      <c r="B102" s="41"/>
      <c r="C102" s="35" t="str">
        <f>IF(B102="","",IFERROR(VLOOKUP(B102,DB_Customers!$A:$B,2,0),"❌ Account Not Found"))</f>
        <v/>
      </c>
      <c r="D102" s="42" t="str">
        <f t="shared" ca="1" si="9"/>
        <v/>
      </c>
      <c r="E102" s="32"/>
      <c r="F102" s="31"/>
      <c r="G102" s="41"/>
      <c r="H102" s="56">
        <v>2.5</v>
      </c>
      <c r="I102" s="43" t="str">
        <f t="shared" si="10"/>
        <v/>
      </c>
      <c r="J102" s="43" t="str">
        <f t="shared" si="11"/>
        <v/>
      </c>
      <c r="K102" s="33" t="str">
        <f>IF(B102="","Pending",IF(M102="","⚠️ Enter Code",IF(IFERROR(VLOOKUP(L102,DB_Agents!$B:$F,4,0),"")=TEXT(M102,"0"),"Pending Approval","🔒 WRONG CODE")))</f>
        <v>Pending</v>
      </c>
      <c r="L102" s="30" t="s">
        <v>60</v>
      </c>
      <c r="M102" s="41"/>
      <c r="N102" s="57"/>
    </row>
    <row r="103" spans="1:14" ht="20.100000000000001" customHeight="1" x14ac:dyDescent="0.25">
      <c r="A103" s="30" t="str">
        <f t="shared" si="8"/>
        <v/>
      </c>
      <c r="B103" s="41"/>
      <c r="C103" s="35" t="str">
        <f>IF(B103="","",IFERROR(VLOOKUP(B103,DB_Customers!$A:$B,2,0),"❌ Account Not Found"))</f>
        <v/>
      </c>
      <c r="D103" s="42" t="str">
        <f t="shared" ca="1" si="9"/>
        <v/>
      </c>
      <c r="E103" s="32"/>
      <c r="F103" s="31"/>
      <c r="G103" s="41"/>
      <c r="H103" s="56">
        <v>2.5</v>
      </c>
      <c r="I103" s="43" t="str">
        <f t="shared" si="10"/>
        <v/>
      </c>
      <c r="J103" s="43" t="str">
        <f t="shared" si="11"/>
        <v/>
      </c>
      <c r="K103" s="33" t="str">
        <f>IF(B103="","Pending",IF(M103="","⚠️ Enter Code",IF(IFERROR(VLOOKUP(L103,DB_Agents!$B:$F,4,0),"")=TEXT(M103,"0"),"Pending Approval","🔒 WRONG CODE")))</f>
        <v>Pending</v>
      </c>
      <c r="L103" s="30" t="s">
        <v>60</v>
      </c>
      <c r="M103" s="41"/>
      <c r="N103" s="22"/>
    </row>
    <row r="104" spans="1:14" ht="20.100000000000001" customHeight="1" x14ac:dyDescent="0.25">
      <c r="A104" s="30" t="str">
        <f t="shared" si="8"/>
        <v/>
      </c>
      <c r="B104" s="41"/>
      <c r="C104" s="35" t="str">
        <f>IF(B104="","",IFERROR(VLOOKUP(B104,DB_Customers!$A:$B,2,0),"❌ Account Not Found"))</f>
        <v/>
      </c>
      <c r="D104" s="42" t="str">
        <f t="shared" ca="1" si="9"/>
        <v/>
      </c>
      <c r="E104" s="32"/>
      <c r="F104" s="31"/>
      <c r="G104" s="41"/>
      <c r="H104" s="56">
        <v>2.5</v>
      </c>
      <c r="I104" s="43" t="str">
        <f t="shared" si="10"/>
        <v/>
      </c>
      <c r="J104" s="43" t="str">
        <f t="shared" si="11"/>
        <v/>
      </c>
      <c r="K104" s="33" t="str">
        <f>IF(B104="","Pending",IF(M104="","⚠️ Enter Code",IF(IFERROR(VLOOKUP(L104,DB_Agents!$B:$F,4,0),"")=TEXT(M104,"0"),"Pending Approval","🔒 WRONG CODE")))</f>
        <v>Pending</v>
      </c>
      <c r="L104" s="30" t="s">
        <v>60</v>
      </c>
      <c r="M104" s="41"/>
      <c r="N104" s="57"/>
    </row>
    <row r="105" spans="1:14" ht="20.100000000000001" customHeight="1" x14ac:dyDescent="0.25">
      <c r="A105" s="30" t="str">
        <f t="shared" si="8"/>
        <v/>
      </c>
      <c r="B105" s="41"/>
      <c r="C105" s="35" t="str">
        <f>IF(B105="","",IFERROR(VLOOKUP(B105,DB_Customers!$A:$B,2,0),"❌ Account Not Found"))</f>
        <v/>
      </c>
      <c r="D105" s="42" t="str">
        <f t="shared" ca="1" si="9"/>
        <v/>
      </c>
      <c r="E105" s="32"/>
      <c r="F105" s="31"/>
      <c r="G105" s="41"/>
      <c r="H105" s="56">
        <v>2.5</v>
      </c>
      <c r="I105" s="43" t="str">
        <f t="shared" si="10"/>
        <v/>
      </c>
      <c r="J105" s="43" t="str">
        <f t="shared" si="11"/>
        <v/>
      </c>
      <c r="K105" s="33" t="str">
        <f>IF(B105="","Pending",IF(M105="","⚠️ Enter Code",IF(IFERROR(VLOOKUP(L105,DB_Agents!$B:$F,4,0),"")=TEXT(M105,"0"),"Pending Approval","🔒 WRONG CODE")))</f>
        <v>Pending</v>
      </c>
      <c r="L105" s="30" t="s">
        <v>60</v>
      </c>
      <c r="M105" s="41"/>
      <c r="N105" s="22"/>
    </row>
    <row r="106" spans="1:14" ht="20.100000000000001" customHeight="1" x14ac:dyDescent="0.25">
      <c r="A106" s="30" t="str">
        <f t="shared" si="8"/>
        <v/>
      </c>
      <c r="B106" s="41"/>
      <c r="C106" s="35" t="str">
        <f>IF(B106="","",IFERROR(VLOOKUP(B106,DB_Customers!$A:$B,2,0),"❌ Account Not Found"))</f>
        <v/>
      </c>
      <c r="D106" s="42" t="str">
        <f t="shared" ca="1" si="9"/>
        <v/>
      </c>
      <c r="E106" s="32"/>
      <c r="F106" s="31"/>
      <c r="G106" s="41"/>
      <c r="H106" s="56">
        <v>2.5</v>
      </c>
      <c r="I106" s="43" t="str">
        <f t="shared" si="10"/>
        <v/>
      </c>
      <c r="J106" s="43" t="str">
        <f t="shared" si="11"/>
        <v/>
      </c>
      <c r="K106" s="33" t="str">
        <f>IF(B106="","Pending",IF(M106="","⚠️ Enter Code",IF(IFERROR(VLOOKUP(L106,DB_Agents!$B:$F,4,0),"")=TEXT(M106,"0"),"Pending Approval","🔒 WRONG CODE")))</f>
        <v>Pending</v>
      </c>
      <c r="L106" s="30" t="s">
        <v>60</v>
      </c>
      <c r="M106" s="41"/>
      <c r="N106" s="57"/>
    </row>
    <row r="107" spans="1:14" ht="20.100000000000001" customHeight="1" x14ac:dyDescent="0.25">
      <c r="A107" s="30" t="str">
        <f t="shared" si="8"/>
        <v/>
      </c>
      <c r="B107" s="41"/>
      <c r="C107" s="35" t="str">
        <f>IF(B107="","",IFERROR(VLOOKUP(B107,DB_Customers!$A:$B,2,0),"❌ Account Not Found"))</f>
        <v/>
      </c>
      <c r="D107" s="42" t="str">
        <f t="shared" ca="1" si="9"/>
        <v/>
      </c>
      <c r="E107" s="32"/>
      <c r="F107" s="31"/>
      <c r="G107" s="41"/>
      <c r="H107" s="56">
        <v>2.5</v>
      </c>
      <c r="I107" s="43" t="str">
        <f t="shared" si="10"/>
        <v/>
      </c>
      <c r="J107" s="43" t="str">
        <f t="shared" si="11"/>
        <v/>
      </c>
      <c r="K107" s="33" t="str">
        <f>IF(B107="","Pending",IF(M107="","⚠️ Enter Code",IF(IFERROR(VLOOKUP(L107,DB_Agents!$B:$F,4,0),"")=TEXT(M107,"0"),"Pending Approval","🔒 WRONG CODE")))</f>
        <v>Pending</v>
      </c>
      <c r="L107" s="30" t="s">
        <v>60</v>
      </c>
      <c r="M107" s="41"/>
      <c r="N107" s="22"/>
    </row>
    <row r="108" spans="1:14" ht="20.100000000000001" customHeight="1" x14ac:dyDescent="0.25">
      <c r="A108" s="30" t="str">
        <f t="shared" si="8"/>
        <v/>
      </c>
      <c r="B108" s="41"/>
      <c r="C108" s="35" t="str">
        <f>IF(B108="","",IFERROR(VLOOKUP(B108,DB_Customers!$A:$B,2,0),"❌ Account Not Found"))</f>
        <v/>
      </c>
      <c r="D108" s="42" t="str">
        <f t="shared" ca="1" si="9"/>
        <v/>
      </c>
      <c r="E108" s="32"/>
      <c r="F108" s="31"/>
      <c r="G108" s="41"/>
      <c r="H108" s="56">
        <v>2.5</v>
      </c>
      <c r="I108" s="43" t="str">
        <f t="shared" si="10"/>
        <v/>
      </c>
      <c r="J108" s="43" t="str">
        <f t="shared" si="11"/>
        <v/>
      </c>
      <c r="K108" s="33" t="str">
        <f>IF(B108="","Pending",IF(M108="","⚠️ Enter Code",IF(IFERROR(VLOOKUP(L108,DB_Agents!$B:$F,4,0),"")=TEXT(M108,"0"),"Pending Approval","🔒 WRONG CODE")))</f>
        <v>Pending</v>
      </c>
      <c r="L108" s="30" t="s">
        <v>60</v>
      </c>
      <c r="M108" s="41"/>
      <c r="N108" s="57"/>
    </row>
    <row r="109" spans="1:14" ht="20.100000000000001" customHeight="1" x14ac:dyDescent="0.25">
      <c r="A109" s="30" t="str">
        <f t="shared" si="8"/>
        <v/>
      </c>
      <c r="B109" s="41"/>
      <c r="C109" s="35" t="str">
        <f>IF(B109="","",IFERROR(VLOOKUP(B109,DB_Customers!$A:$B,2,0),"❌ Account Not Found"))</f>
        <v/>
      </c>
      <c r="D109" s="42" t="str">
        <f t="shared" ca="1" si="9"/>
        <v/>
      </c>
      <c r="E109" s="32"/>
      <c r="F109" s="31"/>
      <c r="G109" s="41"/>
      <c r="H109" s="56">
        <v>2.5</v>
      </c>
      <c r="I109" s="43" t="str">
        <f t="shared" si="10"/>
        <v/>
      </c>
      <c r="J109" s="43" t="str">
        <f t="shared" si="11"/>
        <v/>
      </c>
      <c r="K109" s="33" t="str">
        <f>IF(B109="","Pending",IF(M109="","⚠️ Enter Code",IF(IFERROR(VLOOKUP(L109,DB_Agents!$B:$F,4,0),"")=TEXT(M109,"0"),"Pending Approval","🔒 WRONG CODE")))</f>
        <v>Pending</v>
      </c>
      <c r="L109" s="30" t="s">
        <v>60</v>
      </c>
      <c r="M109" s="41"/>
      <c r="N109" s="22"/>
    </row>
    <row r="110" spans="1:14" ht="20.100000000000001" customHeight="1" x14ac:dyDescent="0.25">
      <c r="A110" s="30" t="str">
        <f t="shared" ref="A110:A141" si="12">IF(B110="","",IF(C110="❌ Account Not Found","INVALID","LN"&amp;TEXT(D110,"YYYYMMDD")&amp;TEXT(ROW()-13,"0000")))</f>
        <v/>
      </c>
      <c r="B110" s="41"/>
      <c r="C110" s="35" t="str">
        <f>IF(B110="","",IFERROR(VLOOKUP(B110,DB_Customers!$A:$B,2,0),"❌ Account Not Found"))</f>
        <v/>
      </c>
      <c r="D110" s="42" t="str">
        <f t="shared" ref="D110:D141" ca="1" si="13">IF(B110="","",TODAY())</f>
        <v/>
      </c>
      <c r="E110" s="32"/>
      <c r="F110" s="31"/>
      <c r="G110" s="41"/>
      <c r="H110" s="56">
        <v>2.5</v>
      </c>
      <c r="I110" s="43" t="str">
        <f t="shared" ref="I110:I141" si="14">IF(E110="","",E110+(E110*H110/100*G110))</f>
        <v/>
      </c>
      <c r="J110" s="43" t="str">
        <f t="shared" ref="J110:J141" si="15">IFERROR(I110/G110,"")</f>
        <v/>
      </c>
      <c r="K110" s="33" t="str">
        <f>IF(B110="","Pending",IF(M110="","⚠️ Enter Code",IF(IFERROR(VLOOKUP(L110,DB_Agents!$B:$F,4,0),"")=TEXT(M110,"0"),"Pending Approval","🔒 WRONG CODE")))</f>
        <v>Pending</v>
      </c>
      <c r="L110" s="30" t="s">
        <v>60</v>
      </c>
      <c r="M110" s="41"/>
      <c r="N110" s="57"/>
    </row>
    <row r="111" spans="1:14" ht="20.100000000000001" customHeight="1" x14ac:dyDescent="0.25">
      <c r="A111" s="30" t="str">
        <f t="shared" si="12"/>
        <v/>
      </c>
      <c r="B111" s="41"/>
      <c r="C111" s="35" t="str">
        <f>IF(B111="","",IFERROR(VLOOKUP(B111,DB_Customers!$A:$B,2,0),"❌ Account Not Found"))</f>
        <v/>
      </c>
      <c r="D111" s="42" t="str">
        <f t="shared" ca="1" si="13"/>
        <v/>
      </c>
      <c r="E111" s="32"/>
      <c r="F111" s="31"/>
      <c r="G111" s="41"/>
      <c r="H111" s="56">
        <v>2.5</v>
      </c>
      <c r="I111" s="43" t="str">
        <f t="shared" si="14"/>
        <v/>
      </c>
      <c r="J111" s="43" t="str">
        <f t="shared" si="15"/>
        <v/>
      </c>
      <c r="K111" s="33" t="str">
        <f>IF(B111="","Pending",IF(M111="","⚠️ Enter Code",IF(IFERROR(VLOOKUP(L111,DB_Agents!$B:$F,4,0),"")=TEXT(M111,"0"),"Pending Approval","🔒 WRONG CODE")))</f>
        <v>Pending</v>
      </c>
      <c r="L111" s="30" t="s">
        <v>60</v>
      </c>
      <c r="M111" s="41"/>
      <c r="N111" s="22"/>
    </row>
    <row r="112" spans="1:14" ht="20.100000000000001" customHeight="1" x14ac:dyDescent="0.25">
      <c r="A112" s="30" t="str">
        <f t="shared" si="12"/>
        <v/>
      </c>
      <c r="B112" s="41"/>
      <c r="C112" s="35" t="str">
        <f>IF(B112="","",IFERROR(VLOOKUP(B112,DB_Customers!$A:$B,2,0),"❌ Account Not Found"))</f>
        <v/>
      </c>
      <c r="D112" s="42" t="str">
        <f t="shared" ca="1" si="13"/>
        <v/>
      </c>
      <c r="E112" s="32"/>
      <c r="F112" s="31"/>
      <c r="G112" s="41"/>
      <c r="H112" s="56">
        <v>2.5</v>
      </c>
      <c r="I112" s="43" t="str">
        <f t="shared" si="14"/>
        <v/>
      </c>
      <c r="J112" s="43" t="str">
        <f t="shared" si="15"/>
        <v/>
      </c>
      <c r="K112" s="33" t="str">
        <f>IF(B112="","Pending",IF(M112="","⚠️ Enter Code",IF(IFERROR(VLOOKUP(L112,DB_Agents!$B:$F,4,0),"")=TEXT(M112,"0"),"Pending Approval","🔒 WRONG CODE")))</f>
        <v>Pending</v>
      </c>
      <c r="L112" s="30" t="s">
        <v>60</v>
      </c>
      <c r="M112" s="41"/>
      <c r="N112" s="57"/>
    </row>
    <row r="113" spans="1:14" ht="20.100000000000001" customHeight="1" x14ac:dyDescent="0.25">
      <c r="A113" s="30" t="str">
        <f t="shared" si="12"/>
        <v/>
      </c>
      <c r="B113" s="41"/>
      <c r="C113" s="35" t="str">
        <f>IF(B113="","",IFERROR(VLOOKUP(B113,DB_Customers!$A:$B,2,0),"❌ Account Not Found"))</f>
        <v/>
      </c>
      <c r="D113" s="42" t="str">
        <f t="shared" ca="1" si="13"/>
        <v/>
      </c>
      <c r="E113" s="32"/>
      <c r="F113" s="31"/>
      <c r="G113" s="41"/>
      <c r="H113" s="56">
        <v>2.5</v>
      </c>
      <c r="I113" s="43" t="str">
        <f t="shared" si="14"/>
        <v/>
      </c>
      <c r="J113" s="43" t="str">
        <f t="shared" si="15"/>
        <v/>
      </c>
      <c r="K113" s="33" t="str">
        <f>IF(B113="","Pending",IF(M113="","⚠️ Enter Code",IF(IFERROR(VLOOKUP(L113,DB_Agents!$B:$F,4,0),"")=TEXT(M113,"0"),"Pending Approval","🔒 WRONG CODE")))</f>
        <v>Pending</v>
      </c>
      <c r="L113" s="30" t="s">
        <v>60</v>
      </c>
      <c r="M113" s="41"/>
      <c r="N113" s="22"/>
    </row>
    <row r="114" spans="1:14" ht="20.100000000000001" customHeight="1" x14ac:dyDescent="0.25">
      <c r="A114" s="30" t="str">
        <f t="shared" si="12"/>
        <v/>
      </c>
      <c r="B114" s="41"/>
      <c r="C114" s="35" t="str">
        <f>IF(B114="","",IFERROR(VLOOKUP(B114,DB_Customers!$A:$B,2,0),"❌ Account Not Found"))</f>
        <v/>
      </c>
      <c r="D114" s="42" t="str">
        <f t="shared" ca="1" si="13"/>
        <v/>
      </c>
      <c r="E114" s="32"/>
      <c r="F114" s="31"/>
      <c r="G114" s="41"/>
      <c r="H114" s="56">
        <v>2.5</v>
      </c>
      <c r="I114" s="43" t="str">
        <f t="shared" si="14"/>
        <v/>
      </c>
      <c r="J114" s="43" t="str">
        <f t="shared" si="15"/>
        <v/>
      </c>
      <c r="K114" s="33" t="str">
        <f>IF(B114="","Pending",IF(M114="","⚠️ Enter Code",IF(IFERROR(VLOOKUP(L114,DB_Agents!$B:$F,4,0),"")=TEXT(M114,"0"),"Pending Approval","🔒 WRONG CODE")))</f>
        <v>Pending</v>
      </c>
      <c r="L114" s="30" t="s">
        <v>60</v>
      </c>
      <c r="M114" s="41"/>
      <c r="N114" s="57"/>
    </row>
    <row r="115" spans="1:14" ht="20.100000000000001" customHeight="1" x14ac:dyDescent="0.25">
      <c r="A115" s="30" t="str">
        <f t="shared" si="12"/>
        <v/>
      </c>
      <c r="B115" s="41"/>
      <c r="C115" s="35" t="str">
        <f>IF(B115="","",IFERROR(VLOOKUP(B115,DB_Customers!$A:$B,2,0),"❌ Account Not Found"))</f>
        <v/>
      </c>
      <c r="D115" s="42" t="str">
        <f t="shared" ca="1" si="13"/>
        <v/>
      </c>
      <c r="E115" s="32"/>
      <c r="F115" s="31"/>
      <c r="G115" s="41"/>
      <c r="H115" s="56">
        <v>2.5</v>
      </c>
      <c r="I115" s="43" t="str">
        <f t="shared" si="14"/>
        <v/>
      </c>
      <c r="J115" s="43" t="str">
        <f t="shared" si="15"/>
        <v/>
      </c>
      <c r="K115" s="33" t="str">
        <f>IF(B115="","Pending",IF(M115="","⚠️ Enter Code",IF(IFERROR(VLOOKUP(L115,DB_Agents!$B:$F,4,0),"")=TEXT(M115,"0"),"Pending Approval","🔒 WRONG CODE")))</f>
        <v>Pending</v>
      </c>
      <c r="L115" s="30" t="s">
        <v>60</v>
      </c>
      <c r="M115" s="41"/>
      <c r="N115" s="22"/>
    </row>
    <row r="116" spans="1:14" ht="20.100000000000001" customHeight="1" x14ac:dyDescent="0.25">
      <c r="A116" s="30" t="str">
        <f t="shared" si="12"/>
        <v/>
      </c>
      <c r="B116" s="41"/>
      <c r="C116" s="35" t="str">
        <f>IF(B116="","",IFERROR(VLOOKUP(B116,DB_Customers!$A:$B,2,0),"❌ Account Not Found"))</f>
        <v/>
      </c>
      <c r="D116" s="42" t="str">
        <f t="shared" ca="1" si="13"/>
        <v/>
      </c>
      <c r="E116" s="32"/>
      <c r="F116" s="31"/>
      <c r="G116" s="41"/>
      <c r="H116" s="56">
        <v>2.5</v>
      </c>
      <c r="I116" s="43" t="str">
        <f t="shared" si="14"/>
        <v/>
      </c>
      <c r="J116" s="43" t="str">
        <f t="shared" si="15"/>
        <v/>
      </c>
      <c r="K116" s="33" t="str">
        <f>IF(B116="","Pending",IF(M116="","⚠️ Enter Code",IF(IFERROR(VLOOKUP(L116,DB_Agents!$B:$F,4,0),"")=TEXT(M116,"0"),"Pending Approval","🔒 WRONG CODE")))</f>
        <v>Pending</v>
      </c>
      <c r="L116" s="30" t="s">
        <v>60</v>
      </c>
      <c r="M116" s="41"/>
      <c r="N116" s="57"/>
    </row>
    <row r="117" spans="1:14" ht="20.100000000000001" customHeight="1" x14ac:dyDescent="0.25">
      <c r="A117" s="30" t="str">
        <f t="shared" si="12"/>
        <v/>
      </c>
      <c r="B117" s="41"/>
      <c r="C117" s="35" t="str">
        <f>IF(B117="","",IFERROR(VLOOKUP(B117,DB_Customers!$A:$B,2,0),"❌ Account Not Found"))</f>
        <v/>
      </c>
      <c r="D117" s="42" t="str">
        <f t="shared" ca="1" si="13"/>
        <v/>
      </c>
      <c r="E117" s="32"/>
      <c r="F117" s="31"/>
      <c r="G117" s="41"/>
      <c r="H117" s="56">
        <v>2.5</v>
      </c>
      <c r="I117" s="43" t="str">
        <f t="shared" si="14"/>
        <v/>
      </c>
      <c r="J117" s="43" t="str">
        <f t="shared" si="15"/>
        <v/>
      </c>
      <c r="K117" s="33" t="str">
        <f>IF(B117="","Pending",IF(M117="","⚠️ Enter Code",IF(IFERROR(VLOOKUP(L117,DB_Agents!$B:$F,4,0),"")=TEXT(M117,"0"),"Pending Approval","🔒 WRONG CODE")))</f>
        <v>Pending</v>
      </c>
      <c r="L117" s="30" t="s">
        <v>60</v>
      </c>
      <c r="M117" s="41"/>
      <c r="N117" s="22"/>
    </row>
    <row r="118" spans="1:14" ht="20.100000000000001" customHeight="1" x14ac:dyDescent="0.25">
      <c r="A118" s="30" t="str">
        <f t="shared" si="12"/>
        <v/>
      </c>
      <c r="B118" s="41"/>
      <c r="C118" s="35" t="str">
        <f>IF(B118="","",IFERROR(VLOOKUP(B118,DB_Customers!$A:$B,2,0),"❌ Account Not Found"))</f>
        <v/>
      </c>
      <c r="D118" s="42" t="str">
        <f t="shared" ca="1" si="13"/>
        <v/>
      </c>
      <c r="E118" s="32"/>
      <c r="F118" s="31"/>
      <c r="G118" s="41"/>
      <c r="H118" s="56">
        <v>2.5</v>
      </c>
      <c r="I118" s="43" t="str">
        <f t="shared" si="14"/>
        <v/>
      </c>
      <c r="J118" s="43" t="str">
        <f t="shared" si="15"/>
        <v/>
      </c>
      <c r="K118" s="33" t="str">
        <f>IF(B118="","Pending",IF(M118="","⚠️ Enter Code",IF(IFERROR(VLOOKUP(L118,DB_Agents!$B:$F,4,0),"")=TEXT(M118,"0"),"Pending Approval","🔒 WRONG CODE")))</f>
        <v>Pending</v>
      </c>
      <c r="L118" s="30" t="s">
        <v>60</v>
      </c>
      <c r="M118" s="41"/>
      <c r="N118" s="57"/>
    </row>
    <row r="119" spans="1:14" ht="20.100000000000001" customHeight="1" x14ac:dyDescent="0.25">
      <c r="A119" s="30" t="str">
        <f t="shared" si="12"/>
        <v/>
      </c>
      <c r="B119" s="41"/>
      <c r="C119" s="35" t="str">
        <f>IF(B119="","",IFERROR(VLOOKUP(B119,DB_Customers!$A:$B,2,0),"❌ Account Not Found"))</f>
        <v/>
      </c>
      <c r="D119" s="42" t="str">
        <f t="shared" ca="1" si="13"/>
        <v/>
      </c>
      <c r="E119" s="32"/>
      <c r="F119" s="31"/>
      <c r="G119" s="41"/>
      <c r="H119" s="56">
        <v>2.5</v>
      </c>
      <c r="I119" s="43" t="str">
        <f t="shared" si="14"/>
        <v/>
      </c>
      <c r="J119" s="43" t="str">
        <f t="shared" si="15"/>
        <v/>
      </c>
      <c r="K119" s="33" t="str">
        <f>IF(B119="","Pending",IF(M119="","⚠️ Enter Code",IF(IFERROR(VLOOKUP(L119,DB_Agents!$B:$F,4,0),"")=TEXT(M119,"0"),"Pending Approval","🔒 WRONG CODE")))</f>
        <v>Pending</v>
      </c>
      <c r="L119" s="30" t="s">
        <v>60</v>
      </c>
      <c r="M119" s="41"/>
      <c r="N119" s="22"/>
    </row>
    <row r="120" spans="1:14" ht="20.100000000000001" customHeight="1" x14ac:dyDescent="0.25">
      <c r="A120" s="30" t="str">
        <f t="shared" si="12"/>
        <v/>
      </c>
      <c r="B120" s="41"/>
      <c r="C120" s="35" t="str">
        <f>IF(B120="","",IFERROR(VLOOKUP(B120,DB_Customers!$A:$B,2,0),"❌ Account Not Found"))</f>
        <v/>
      </c>
      <c r="D120" s="42" t="str">
        <f t="shared" ca="1" si="13"/>
        <v/>
      </c>
      <c r="E120" s="32"/>
      <c r="F120" s="31"/>
      <c r="G120" s="41"/>
      <c r="H120" s="56">
        <v>2.5</v>
      </c>
      <c r="I120" s="43" t="str">
        <f t="shared" si="14"/>
        <v/>
      </c>
      <c r="J120" s="43" t="str">
        <f t="shared" si="15"/>
        <v/>
      </c>
      <c r="K120" s="33" t="str">
        <f>IF(B120="","Pending",IF(M120="","⚠️ Enter Code",IF(IFERROR(VLOOKUP(L120,DB_Agents!$B:$F,4,0),"")=TEXT(M120,"0"),"Pending Approval","🔒 WRONG CODE")))</f>
        <v>Pending</v>
      </c>
      <c r="L120" s="30" t="s">
        <v>60</v>
      </c>
      <c r="M120" s="41"/>
      <c r="N120" s="57"/>
    </row>
    <row r="121" spans="1:14" ht="20.100000000000001" customHeight="1" x14ac:dyDescent="0.25">
      <c r="A121" s="30" t="str">
        <f t="shared" si="12"/>
        <v/>
      </c>
      <c r="B121" s="41"/>
      <c r="C121" s="35" t="str">
        <f>IF(B121="","",IFERROR(VLOOKUP(B121,DB_Customers!$A:$B,2,0),"❌ Account Not Found"))</f>
        <v/>
      </c>
      <c r="D121" s="42" t="str">
        <f t="shared" ca="1" si="13"/>
        <v/>
      </c>
      <c r="E121" s="32"/>
      <c r="F121" s="31"/>
      <c r="G121" s="41"/>
      <c r="H121" s="56">
        <v>2.5</v>
      </c>
      <c r="I121" s="43" t="str">
        <f t="shared" si="14"/>
        <v/>
      </c>
      <c r="J121" s="43" t="str">
        <f t="shared" si="15"/>
        <v/>
      </c>
      <c r="K121" s="33" t="str">
        <f>IF(B121="","Pending",IF(M121="","⚠️ Enter Code",IF(IFERROR(VLOOKUP(L121,DB_Agents!$B:$F,4,0),"")=TEXT(M121,"0"),"Pending Approval","🔒 WRONG CODE")))</f>
        <v>Pending</v>
      </c>
      <c r="L121" s="30" t="s">
        <v>60</v>
      </c>
      <c r="M121" s="41"/>
      <c r="N121" s="22"/>
    </row>
    <row r="122" spans="1:14" ht="20.100000000000001" customHeight="1" x14ac:dyDescent="0.25">
      <c r="A122" s="30" t="str">
        <f t="shared" si="12"/>
        <v/>
      </c>
      <c r="B122" s="41"/>
      <c r="C122" s="35" t="str">
        <f>IF(B122="","",IFERROR(VLOOKUP(B122,DB_Customers!$A:$B,2,0),"❌ Account Not Found"))</f>
        <v/>
      </c>
      <c r="D122" s="42" t="str">
        <f t="shared" ca="1" si="13"/>
        <v/>
      </c>
      <c r="E122" s="32"/>
      <c r="F122" s="31"/>
      <c r="G122" s="41"/>
      <c r="H122" s="56">
        <v>2.5</v>
      </c>
      <c r="I122" s="43" t="str">
        <f t="shared" si="14"/>
        <v/>
      </c>
      <c r="J122" s="43" t="str">
        <f t="shared" si="15"/>
        <v/>
      </c>
      <c r="K122" s="33" t="str">
        <f>IF(B122="","Pending",IF(M122="","⚠️ Enter Code",IF(IFERROR(VLOOKUP(L122,DB_Agents!$B:$F,4,0),"")=TEXT(M122,"0"),"Pending Approval","🔒 WRONG CODE")))</f>
        <v>Pending</v>
      </c>
      <c r="L122" s="30" t="s">
        <v>60</v>
      </c>
      <c r="M122" s="41"/>
      <c r="N122" s="57"/>
    </row>
    <row r="123" spans="1:14" ht="20.100000000000001" customHeight="1" x14ac:dyDescent="0.25">
      <c r="A123" s="30" t="str">
        <f t="shared" si="12"/>
        <v/>
      </c>
      <c r="B123" s="41"/>
      <c r="C123" s="35" t="str">
        <f>IF(B123="","",IFERROR(VLOOKUP(B123,DB_Customers!$A:$B,2,0),"❌ Account Not Found"))</f>
        <v/>
      </c>
      <c r="D123" s="42" t="str">
        <f t="shared" ca="1" si="13"/>
        <v/>
      </c>
      <c r="E123" s="32"/>
      <c r="F123" s="31"/>
      <c r="G123" s="41"/>
      <c r="H123" s="56">
        <v>2.5</v>
      </c>
      <c r="I123" s="43" t="str">
        <f t="shared" si="14"/>
        <v/>
      </c>
      <c r="J123" s="43" t="str">
        <f t="shared" si="15"/>
        <v/>
      </c>
      <c r="K123" s="33" t="str">
        <f>IF(B123="","Pending",IF(M123="","⚠️ Enter Code",IF(IFERROR(VLOOKUP(L123,DB_Agents!$B:$F,4,0),"")=TEXT(M123,"0"),"Pending Approval","🔒 WRONG CODE")))</f>
        <v>Pending</v>
      </c>
      <c r="L123" s="30" t="s">
        <v>60</v>
      </c>
      <c r="M123" s="41"/>
      <c r="N123" s="22"/>
    </row>
    <row r="124" spans="1:14" ht="20.100000000000001" customHeight="1" x14ac:dyDescent="0.25">
      <c r="A124" s="30" t="str">
        <f t="shared" si="12"/>
        <v/>
      </c>
      <c r="B124" s="41"/>
      <c r="C124" s="35" t="str">
        <f>IF(B124="","",IFERROR(VLOOKUP(B124,DB_Customers!$A:$B,2,0),"❌ Account Not Found"))</f>
        <v/>
      </c>
      <c r="D124" s="42" t="str">
        <f t="shared" ca="1" si="13"/>
        <v/>
      </c>
      <c r="E124" s="32"/>
      <c r="F124" s="31"/>
      <c r="G124" s="41"/>
      <c r="H124" s="56">
        <v>2.5</v>
      </c>
      <c r="I124" s="43" t="str">
        <f t="shared" si="14"/>
        <v/>
      </c>
      <c r="J124" s="43" t="str">
        <f t="shared" si="15"/>
        <v/>
      </c>
      <c r="K124" s="33" t="str">
        <f>IF(B124="","Pending",IF(M124="","⚠️ Enter Code",IF(IFERROR(VLOOKUP(L124,DB_Agents!$B:$F,4,0),"")=TEXT(M124,"0"),"Pending Approval","🔒 WRONG CODE")))</f>
        <v>Pending</v>
      </c>
      <c r="L124" s="30" t="s">
        <v>60</v>
      </c>
      <c r="M124" s="41"/>
      <c r="N124" s="57"/>
    </row>
    <row r="125" spans="1:14" ht="20.100000000000001" customHeight="1" x14ac:dyDescent="0.25">
      <c r="A125" s="30" t="str">
        <f t="shared" si="12"/>
        <v/>
      </c>
      <c r="B125" s="41"/>
      <c r="C125" s="35" t="str">
        <f>IF(B125="","",IFERROR(VLOOKUP(B125,DB_Customers!$A:$B,2,0),"❌ Account Not Found"))</f>
        <v/>
      </c>
      <c r="D125" s="42" t="str">
        <f t="shared" ca="1" si="13"/>
        <v/>
      </c>
      <c r="E125" s="32"/>
      <c r="F125" s="31"/>
      <c r="G125" s="41"/>
      <c r="H125" s="56">
        <v>2.5</v>
      </c>
      <c r="I125" s="43" t="str">
        <f t="shared" si="14"/>
        <v/>
      </c>
      <c r="J125" s="43" t="str">
        <f t="shared" si="15"/>
        <v/>
      </c>
      <c r="K125" s="33" t="str">
        <f>IF(B125="","Pending",IF(M125="","⚠️ Enter Code",IF(IFERROR(VLOOKUP(L125,DB_Agents!$B:$F,4,0),"")=TEXT(M125,"0"),"Pending Approval","🔒 WRONG CODE")))</f>
        <v>Pending</v>
      </c>
      <c r="L125" s="30" t="s">
        <v>60</v>
      </c>
      <c r="M125" s="41"/>
      <c r="N125" s="22"/>
    </row>
    <row r="126" spans="1:14" ht="20.100000000000001" customHeight="1" x14ac:dyDescent="0.25">
      <c r="A126" s="30" t="str">
        <f t="shared" si="12"/>
        <v/>
      </c>
      <c r="B126" s="41"/>
      <c r="C126" s="35" t="str">
        <f>IF(B126="","",IFERROR(VLOOKUP(B126,DB_Customers!$A:$B,2,0),"❌ Account Not Found"))</f>
        <v/>
      </c>
      <c r="D126" s="42" t="str">
        <f t="shared" ca="1" si="13"/>
        <v/>
      </c>
      <c r="E126" s="32"/>
      <c r="F126" s="31"/>
      <c r="G126" s="41"/>
      <c r="H126" s="56">
        <v>2.5</v>
      </c>
      <c r="I126" s="43" t="str">
        <f t="shared" si="14"/>
        <v/>
      </c>
      <c r="J126" s="43" t="str">
        <f t="shared" si="15"/>
        <v/>
      </c>
      <c r="K126" s="33" t="str">
        <f>IF(B126="","Pending",IF(M126="","⚠️ Enter Code",IF(IFERROR(VLOOKUP(L126,DB_Agents!$B:$F,4,0),"")=TEXT(M126,"0"),"Pending Approval","🔒 WRONG CODE")))</f>
        <v>Pending</v>
      </c>
      <c r="L126" s="30" t="s">
        <v>60</v>
      </c>
      <c r="M126" s="41"/>
      <c r="N126" s="57"/>
    </row>
    <row r="127" spans="1:14" ht="20.100000000000001" customHeight="1" x14ac:dyDescent="0.25">
      <c r="A127" s="30" t="str">
        <f t="shared" si="12"/>
        <v/>
      </c>
      <c r="B127" s="41"/>
      <c r="C127" s="35" t="str">
        <f>IF(B127="","",IFERROR(VLOOKUP(B127,DB_Customers!$A:$B,2,0),"❌ Account Not Found"))</f>
        <v/>
      </c>
      <c r="D127" s="42" t="str">
        <f t="shared" ca="1" si="13"/>
        <v/>
      </c>
      <c r="E127" s="32"/>
      <c r="F127" s="31"/>
      <c r="G127" s="41"/>
      <c r="H127" s="56">
        <v>2.5</v>
      </c>
      <c r="I127" s="43" t="str">
        <f t="shared" si="14"/>
        <v/>
      </c>
      <c r="J127" s="43" t="str">
        <f t="shared" si="15"/>
        <v/>
      </c>
      <c r="K127" s="33" t="str">
        <f>IF(B127="","Pending",IF(M127="","⚠️ Enter Code",IF(IFERROR(VLOOKUP(L127,DB_Agents!$B:$F,4,0),"")=TEXT(M127,"0"),"Pending Approval","🔒 WRONG CODE")))</f>
        <v>Pending</v>
      </c>
      <c r="L127" s="30" t="s">
        <v>60</v>
      </c>
      <c r="M127" s="41"/>
      <c r="N127" s="22"/>
    </row>
    <row r="128" spans="1:14" ht="20.100000000000001" customHeight="1" x14ac:dyDescent="0.25">
      <c r="A128" s="30" t="str">
        <f t="shared" si="12"/>
        <v/>
      </c>
      <c r="B128" s="41"/>
      <c r="C128" s="35" t="str">
        <f>IF(B128="","",IFERROR(VLOOKUP(B128,DB_Customers!$A:$B,2,0),"❌ Account Not Found"))</f>
        <v/>
      </c>
      <c r="D128" s="42" t="str">
        <f t="shared" ca="1" si="13"/>
        <v/>
      </c>
      <c r="E128" s="32"/>
      <c r="F128" s="31"/>
      <c r="G128" s="41"/>
      <c r="H128" s="56">
        <v>2.5</v>
      </c>
      <c r="I128" s="43" t="str">
        <f t="shared" si="14"/>
        <v/>
      </c>
      <c r="J128" s="43" t="str">
        <f t="shared" si="15"/>
        <v/>
      </c>
      <c r="K128" s="33" t="str">
        <f>IF(B128="","Pending",IF(M128="","⚠️ Enter Code",IF(IFERROR(VLOOKUP(L128,DB_Agents!$B:$F,4,0),"")=TEXT(M128,"0"),"Pending Approval","🔒 WRONG CODE")))</f>
        <v>Pending</v>
      </c>
      <c r="L128" s="30" t="s">
        <v>60</v>
      </c>
      <c r="M128" s="41"/>
      <c r="N128" s="57"/>
    </row>
    <row r="129" spans="1:14" ht="20.100000000000001" customHeight="1" x14ac:dyDescent="0.25">
      <c r="A129" s="30" t="str">
        <f t="shared" si="12"/>
        <v/>
      </c>
      <c r="B129" s="41"/>
      <c r="C129" s="35" t="str">
        <f>IF(B129="","",IFERROR(VLOOKUP(B129,DB_Customers!$A:$B,2,0),"❌ Account Not Found"))</f>
        <v/>
      </c>
      <c r="D129" s="42" t="str">
        <f t="shared" ca="1" si="13"/>
        <v/>
      </c>
      <c r="E129" s="32"/>
      <c r="F129" s="31"/>
      <c r="G129" s="41"/>
      <c r="H129" s="56">
        <v>2.5</v>
      </c>
      <c r="I129" s="43" t="str">
        <f t="shared" si="14"/>
        <v/>
      </c>
      <c r="J129" s="43" t="str">
        <f t="shared" si="15"/>
        <v/>
      </c>
      <c r="K129" s="33" t="str">
        <f>IF(B129="","Pending",IF(M129="","⚠️ Enter Code",IF(IFERROR(VLOOKUP(L129,DB_Agents!$B:$F,4,0),"")=TEXT(M129,"0"),"Pending Approval","🔒 WRONG CODE")))</f>
        <v>Pending</v>
      </c>
      <c r="L129" s="30" t="s">
        <v>60</v>
      </c>
      <c r="M129" s="41"/>
      <c r="N129" s="22"/>
    </row>
    <row r="130" spans="1:14" ht="20.100000000000001" customHeight="1" x14ac:dyDescent="0.25">
      <c r="A130" s="30" t="str">
        <f t="shared" si="12"/>
        <v/>
      </c>
      <c r="B130" s="41"/>
      <c r="C130" s="35" t="str">
        <f>IF(B130="","",IFERROR(VLOOKUP(B130,DB_Customers!$A:$B,2,0),"❌ Account Not Found"))</f>
        <v/>
      </c>
      <c r="D130" s="42" t="str">
        <f t="shared" ca="1" si="13"/>
        <v/>
      </c>
      <c r="E130" s="32"/>
      <c r="F130" s="31"/>
      <c r="G130" s="41"/>
      <c r="H130" s="56">
        <v>2.5</v>
      </c>
      <c r="I130" s="43" t="str">
        <f t="shared" si="14"/>
        <v/>
      </c>
      <c r="J130" s="43" t="str">
        <f t="shared" si="15"/>
        <v/>
      </c>
      <c r="K130" s="33" t="str">
        <f>IF(B130="","Pending",IF(M130="","⚠️ Enter Code",IF(IFERROR(VLOOKUP(L130,DB_Agents!$B:$F,4,0),"")=TEXT(M130,"0"),"Pending Approval","🔒 WRONG CODE")))</f>
        <v>Pending</v>
      </c>
      <c r="L130" s="30" t="s">
        <v>60</v>
      </c>
      <c r="M130" s="41"/>
      <c r="N130" s="57"/>
    </row>
    <row r="131" spans="1:14" ht="20.100000000000001" customHeight="1" x14ac:dyDescent="0.25">
      <c r="A131" s="30" t="str">
        <f t="shared" si="12"/>
        <v/>
      </c>
      <c r="B131" s="41"/>
      <c r="C131" s="35" t="str">
        <f>IF(B131="","",IFERROR(VLOOKUP(B131,DB_Customers!$A:$B,2,0),"❌ Account Not Found"))</f>
        <v/>
      </c>
      <c r="D131" s="42" t="str">
        <f t="shared" ca="1" si="13"/>
        <v/>
      </c>
      <c r="E131" s="32"/>
      <c r="F131" s="31"/>
      <c r="G131" s="41"/>
      <c r="H131" s="56">
        <v>2.5</v>
      </c>
      <c r="I131" s="43" t="str">
        <f t="shared" si="14"/>
        <v/>
      </c>
      <c r="J131" s="43" t="str">
        <f t="shared" si="15"/>
        <v/>
      </c>
      <c r="K131" s="33" t="str">
        <f>IF(B131="","Pending",IF(M131="","⚠️ Enter Code",IF(IFERROR(VLOOKUP(L131,DB_Agents!$B:$F,4,0),"")=TEXT(M131,"0"),"Pending Approval","🔒 WRONG CODE")))</f>
        <v>Pending</v>
      </c>
      <c r="L131" s="30" t="s">
        <v>60</v>
      </c>
      <c r="M131" s="41"/>
      <c r="N131" s="22"/>
    </row>
    <row r="132" spans="1:14" ht="20.100000000000001" customHeight="1" x14ac:dyDescent="0.25">
      <c r="A132" s="30" t="str">
        <f t="shared" si="12"/>
        <v/>
      </c>
      <c r="B132" s="41"/>
      <c r="C132" s="35" t="str">
        <f>IF(B132="","",IFERROR(VLOOKUP(B132,DB_Customers!$A:$B,2,0),"❌ Account Not Found"))</f>
        <v/>
      </c>
      <c r="D132" s="42" t="str">
        <f t="shared" ca="1" si="13"/>
        <v/>
      </c>
      <c r="E132" s="32"/>
      <c r="F132" s="31"/>
      <c r="G132" s="41"/>
      <c r="H132" s="56">
        <v>2.5</v>
      </c>
      <c r="I132" s="43" t="str">
        <f t="shared" si="14"/>
        <v/>
      </c>
      <c r="J132" s="43" t="str">
        <f t="shared" si="15"/>
        <v/>
      </c>
      <c r="K132" s="33" t="str">
        <f>IF(B132="","Pending",IF(M132="","⚠️ Enter Code",IF(IFERROR(VLOOKUP(L132,DB_Agents!$B:$F,4,0),"")=TEXT(M132,"0"),"Pending Approval","🔒 WRONG CODE")))</f>
        <v>Pending</v>
      </c>
      <c r="L132" s="30" t="s">
        <v>60</v>
      </c>
      <c r="M132" s="41"/>
      <c r="N132" s="57"/>
    </row>
    <row r="133" spans="1:14" ht="20.100000000000001" customHeight="1" x14ac:dyDescent="0.25">
      <c r="A133" s="30" t="str">
        <f t="shared" si="12"/>
        <v/>
      </c>
      <c r="B133" s="41"/>
      <c r="C133" s="35" t="str">
        <f>IF(B133="","",IFERROR(VLOOKUP(B133,DB_Customers!$A:$B,2,0),"❌ Account Not Found"))</f>
        <v/>
      </c>
      <c r="D133" s="42" t="str">
        <f t="shared" ca="1" si="13"/>
        <v/>
      </c>
      <c r="E133" s="32"/>
      <c r="F133" s="31"/>
      <c r="G133" s="41"/>
      <c r="H133" s="56">
        <v>2.5</v>
      </c>
      <c r="I133" s="43" t="str">
        <f t="shared" si="14"/>
        <v/>
      </c>
      <c r="J133" s="43" t="str">
        <f t="shared" si="15"/>
        <v/>
      </c>
      <c r="K133" s="33" t="str">
        <f>IF(B133="","Pending",IF(M133="","⚠️ Enter Code",IF(IFERROR(VLOOKUP(L133,DB_Agents!$B:$F,4,0),"")=TEXT(M133,"0"),"Pending Approval","🔒 WRONG CODE")))</f>
        <v>Pending</v>
      </c>
      <c r="L133" s="30" t="s">
        <v>60</v>
      </c>
      <c r="M133" s="41"/>
      <c r="N133" s="22"/>
    </row>
    <row r="134" spans="1:14" ht="20.100000000000001" customHeight="1" x14ac:dyDescent="0.25">
      <c r="A134" s="30" t="str">
        <f t="shared" si="12"/>
        <v/>
      </c>
      <c r="B134" s="41"/>
      <c r="C134" s="35" t="str">
        <f>IF(B134="","",IFERROR(VLOOKUP(B134,DB_Customers!$A:$B,2,0),"❌ Account Not Found"))</f>
        <v/>
      </c>
      <c r="D134" s="42" t="str">
        <f t="shared" ca="1" si="13"/>
        <v/>
      </c>
      <c r="E134" s="32"/>
      <c r="F134" s="31"/>
      <c r="G134" s="41"/>
      <c r="H134" s="56">
        <v>2.5</v>
      </c>
      <c r="I134" s="43" t="str">
        <f t="shared" si="14"/>
        <v/>
      </c>
      <c r="J134" s="43" t="str">
        <f t="shared" si="15"/>
        <v/>
      </c>
      <c r="K134" s="33" t="str">
        <f>IF(B134="","Pending",IF(M134="","⚠️ Enter Code",IF(IFERROR(VLOOKUP(L134,DB_Agents!$B:$F,4,0),"")=TEXT(M134,"0"),"Pending Approval","🔒 WRONG CODE")))</f>
        <v>Pending</v>
      </c>
      <c r="L134" s="30" t="s">
        <v>60</v>
      </c>
      <c r="M134" s="41"/>
      <c r="N134" s="57"/>
    </row>
    <row r="135" spans="1:14" ht="20.100000000000001" customHeight="1" x14ac:dyDescent="0.25">
      <c r="A135" s="30" t="str">
        <f t="shared" si="12"/>
        <v/>
      </c>
      <c r="B135" s="41"/>
      <c r="C135" s="35" t="str">
        <f>IF(B135="","",IFERROR(VLOOKUP(B135,DB_Customers!$A:$B,2,0),"❌ Account Not Found"))</f>
        <v/>
      </c>
      <c r="D135" s="42" t="str">
        <f t="shared" ca="1" si="13"/>
        <v/>
      </c>
      <c r="E135" s="32"/>
      <c r="F135" s="31"/>
      <c r="G135" s="41"/>
      <c r="H135" s="56">
        <v>2.5</v>
      </c>
      <c r="I135" s="43" t="str">
        <f t="shared" si="14"/>
        <v/>
      </c>
      <c r="J135" s="43" t="str">
        <f t="shared" si="15"/>
        <v/>
      </c>
      <c r="K135" s="33" t="str">
        <f>IF(B135="","Pending",IF(M135="","⚠️ Enter Code",IF(IFERROR(VLOOKUP(L135,DB_Agents!$B:$F,4,0),"")=TEXT(M135,"0"),"Pending Approval","🔒 WRONG CODE")))</f>
        <v>Pending</v>
      </c>
      <c r="L135" s="30" t="s">
        <v>60</v>
      </c>
      <c r="M135" s="41"/>
      <c r="N135" s="22"/>
    </row>
    <row r="136" spans="1:14" ht="20.100000000000001" customHeight="1" x14ac:dyDescent="0.25">
      <c r="A136" s="30" t="str">
        <f t="shared" si="12"/>
        <v/>
      </c>
      <c r="B136" s="41"/>
      <c r="C136" s="35" t="str">
        <f>IF(B136="","",IFERROR(VLOOKUP(B136,DB_Customers!$A:$B,2,0),"❌ Account Not Found"))</f>
        <v/>
      </c>
      <c r="D136" s="42" t="str">
        <f t="shared" ca="1" si="13"/>
        <v/>
      </c>
      <c r="E136" s="32"/>
      <c r="F136" s="31"/>
      <c r="G136" s="41"/>
      <c r="H136" s="56">
        <v>2.5</v>
      </c>
      <c r="I136" s="43" t="str">
        <f t="shared" si="14"/>
        <v/>
      </c>
      <c r="J136" s="43" t="str">
        <f t="shared" si="15"/>
        <v/>
      </c>
      <c r="K136" s="33" t="str">
        <f>IF(B136="","Pending",IF(M136="","⚠️ Enter Code",IF(IFERROR(VLOOKUP(L136,DB_Agents!$B:$F,4,0),"")=TEXT(M136,"0"),"Pending Approval","🔒 WRONG CODE")))</f>
        <v>Pending</v>
      </c>
      <c r="L136" s="30" t="s">
        <v>60</v>
      </c>
      <c r="M136" s="41"/>
      <c r="N136" s="57"/>
    </row>
    <row r="137" spans="1:14" ht="20.100000000000001" customHeight="1" x14ac:dyDescent="0.25">
      <c r="A137" s="30" t="str">
        <f t="shared" si="12"/>
        <v/>
      </c>
      <c r="B137" s="41"/>
      <c r="C137" s="35" t="str">
        <f>IF(B137="","",IFERROR(VLOOKUP(B137,DB_Customers!$A:$B,2,0),"❌ Account Not Found"))</f>
        <v/>
      </c>
      <c r="D137" s="42" t="str">
        <f t="shared" ca="1" si="13"/>
        <v/>
      </c>
      <c r="E137" s="32"/>
      <c r="F137" s="31"/>
      <c r="G137" s="41"/>
      <c r="H137" s="56">
        <v>2.5</v>
      </c>
      <c r="I137" s="43" t="str">
        <f t="shared" si="14"/>
        <v/>
      </c>
      <c r="J137" s="43" t="str">
        <f t="shared" si="15"/>
        <v/>
      </c>
      <c r="K137" s="33" t="str">
        <f>IF(B137="","Pending",IF(M137="","⚠️ Enter Code",IF(IFERROR(VLOOKUP(L137,DB_Agents!$B:$F,4,0),"")=TEXT(M137,"0"),"Pending Approval","🔒 WRONG CODE")))</f>
        <v>Pending</v>
      </c>
      <c r="L137" s="30" t="s">
        <v>60</v>
      </c>
      <c r="M137" s="41"/>
      <c r="N137" s="22"/>
    </row>
    <row r="138" spans="1:14" ht="20.100000000000001" customHeight="1" x14ac:dyDescent="0.25">
      <c r="A138" s="30" t="str">
        <f t="shared" si="12"/>
        <v/>
      </c>
      <c r="B138" s="41"/>
      <c r="C138" s="35" t="str">
        <f>IF(B138="","",IFERROR(VLOOKUP(B138,DB_Customers!$A:$B,2,0),"❌ Account Not Found"))</f>
        <v/>
      </c>
      <c r="D138" s="42" t="str">
        <f t="shared" ca="1" si="13"/>
        <v/>
      </c>
      <c r="E138" s="32"/>
      <c r="F138" s="31"/>
      <c r="G138" s="41"/>
      <c r="H138" s="56">
        <v>2.5</v>
      </c>
      <c r="I138" s="43" t="str">
        <f t="shared" si="14"/>
        <v/>
      </c>
      <c r="J138" s="43" t="str">
        <f t="shared" si="15"/>
        <v/>
      </c>
      <c r="K138" s="33" t="str">
        <f>IF(B138="","Pending",IF(M138="","⚠️ Enter Code",IF(IFERROR(VLOOKUP(L138,DB_Agents!$B:$F,4,0),"")=TEXT(M138,"0"),"Pending Approval","🔒 WRONG CODE")))</f>
        <v>Pending</v>
      </c>
      <c r="L138" s="30" t="s">
        <v>60</v>
      </c>
      <c r="M138" s="41"/>
      <c r="N138" s="57"/>
    </row>
    <row r="139" spans="1:14" ht="20.100000000000001" customHeight="1" x14ac:dyDescent="0.25">
      <c r="A139" s="30" t="str">
        <f t="shared" si="12"/>
        <v/>
      </c>
      <c r="B139" s="41"/>
      <c r="C139" s="35" t="str">
        <f>IF(B139="","",IFERROR(VLOOKUP(B139,DB_Customers!$A:$B,2,0),"❌ Account Not Found"))</f>
        <v/>
      </c>
      <c r="D139" s="42" t="str">
        <f t="shared" ca="1" si="13"/>
        <v/>
      </c>
      <c r="E139" s="32"/>
      <c r="F139" s="31"/>
      <c r="G139" s="41"/>
      <c r="H139" s="56">
        <v>2.5</v>
      </c>
      <c r="I139" s="43" t="str">
        <f t="shared" si="14"/>
        <v/>
      </c>
      <c r="J139" s="43" t="str">
        <f t="shared" si="15"/>
        <v/>
      </c>
      <c r="K139" s="33" t="str">
        <f>IF(B139="","Pending",IF(M139="","⚠️ Enter Code",IF(IFERROR(VLOOKUP(L139,DB_Agents!$B:$F,4,0),"")=TEXT(M139,"0"),"Pending Approval","🔒 WRONG CODE")))</f>
        <v>Pending</v>
      </c>
      <c r="L139" s="30" t="s">
        <v>60</v>
      </c>
      <c r="M139" s="41"/>
      <c r="N139" s="22"/>
    </row>
    <row r="140" spans="1:14" ht="20.100000000000001" customHeight="1" x14ac:dyDescent="0.25">
      <c r="A140" s="30" t="str">
        <f t="shared" si="12"/>
        <v/>
      </c>
      <c r="B140" s="41"/>
      <c r="C140" s="35" t="str">
        <f>IF(B140="","",IFERROR(VLOOKUP(B140,DB_Customers!$A:$B,2,0),"❌ Account Not Found"))</f>
        <v/>
      </c>
      <c r="D140" s="42" t="str">
        <f t="shared" ca="1" si="13"/>
        <v/>
      </c>
      <c r="E140" s="32"/>
      <c r="F140" s="31"/>
      <c r="G140" s="41"/>
      <c r="H140" s="56">
        <v>2.5</v>
      </c>
      <c r="I140" s="43" t="str">
        <f t="shared" si="14"/>
        <v/>
      </c>
      <c r="J140" s="43" t="str">
        <f t="shared" si="15"/>
        <v/>
      </c>
      <c r="K140" s="33" t="str">
        <f>IF(B140="","Pending",IF(M140="","⚠️ Enter Code",IF(IFERROR(VLOOKUP(L140,DB_Agents!$B:$F,4,0),"")=TEXT(M140,"0"),"Pending Approval","🔒 WRONG CODE")))</f>
        <v>Pending</v>
      </c>
      <c r="L140" s="30" t="s">
        <v>60</v>
      </c>
      <c r="M140" s="41"/>
      <c r="N140" s="57"/>
    </row>
    <row r="141" spans="1:14" ht="20.100000000000001" customHeight="1" x14ac:dyDescent="0.25">
      <c r="A141" s="30" t="str">
        <f t="shared" si="12"/>
        <v/>
      </c>
      <c r="B141" s="41"/>
      <c r="C141" s="35" t="str">
        <f>IF(B141="","",IFERROR(VLOOKUP(B141,DB_Customers!$A:$B,2,0),"❌ Account Not Found"))</f>
        <v/>
      </c>
      <c r="D141" s="42" t="str">
        <f t="shared" ca="1" si="13"/>
        <v/>
      </c>
      <c r="E141" s="32"/>
      <c r="F141" s="31"/>
      <c r="G141" s="41"/>
      <c r="H141" s="56">
        <v>2.5</v>
      </c>
      <c r="I141" s="43" t="str">
        <f t="shared" si="14"/>
        <v/>
      </c>
      <c r="J141" s="43" t="str">
        <f t="shared" si="15"/>
        <v/>
      </c>
      <c r="K141" s="33" t="str">
        <f>IF(B141="","Pending",IF(M141="","⚠️ Enter Code",IF(IFERROR(VLOOKUP(L141,DB_Agents!$B:$F,4,0),"")=TEXT(M141,"0"),"Pending Approval","🔒 WRONG CODE")))</f>
        <v>Pending</v>
      </c>
      <c r="L141" s="30" t="s">
        <v>60</v>
      </c>
      <c r="M141" s="41"/>
      <c r="N141" s="22"/>
    </row>
    <row r="142" spans="1:14" ht="20.100000000000001" customHeight="1" x14ac:dyDescent="0.25">
      <c r="A142" s="30" t="str">
        <f t="shared" ref="A142:A173" si="16">IF(B142="","",IF(C142="❌ Account Not Found","INVALID","LN"&amp;TEXT(D142,"YYYYMMDD")&amp;TEXT(ROW()-13,"0000")))</f>
        <v/>
      </c>
      <c r="B142" s="41"/>
      <c r="C142" s="35" t="str">
        <f>IF(B142="","",IFERROR(VLOOKUP(B142,DB_Customers!$A:$B,2,0),"❌ Account Not Found"))</f>
        <v/>
      </c>
      <c r="D142" s="42" t="str">
        <f t="shared" ref="D142:D173" ca="1" si="17">IF(B142="","",TODAY())</f>
        <v/>
      </c>
      <c r="E142" s="32"/>
      <c r="F142" s="31"/>
      <c r="G142" s="41"/>
      <c r="H142" s="56">
        <v>2.5</v>
      </c>
      <c r="I142" s="43" t="str">
        <f t="shared" ref="I142:I173" si="18">IF(E142="","",E142+(E142*H142/100*G142))</f>
        <v/>
      </c>
      <c r="J142" s="43" t="str">
        <f t="shared" ref="J142:J173" si="19">IFERROR(I142/G142,"")</f>
        <v/>
      </c>
      <c r="K142" s="33" t="str">
        <f>IF(B142="","Pending",IF(M142="","⚠️ Enter Code",IF(IFERROR(VLOOKUP(L142,DB_Agents!$B:$F,4,0),"")=TEXT(M142,"0"),"Pending Approval","🔒 WRONG CODE")))</f>
        <v>Pending</v>
      </c>
      <c r="L142" s="30" t="s">
        <v>60</v>
      </c>
      <c r="M142" s="41"/>
      <c r="N142" s="57"/>
    </row>
    <row r="143" spans="1:14" ht="20.100000000000001" customHeight="1" x14ac:dyDescent="0.25">
      <c r="A143" s="30" t="str">
        <f t="shared" si="16"/>
        <v/>
      </c>
      <c r="B143" s="41"/>
      <c r="C143" s="35" t="str">
        <f>IF(B143="","",IFERROR(VLOOKUP(B143,DB_Customers!$A:$B,2,0),"❌ Account Not Found"))</f>
        <v/>
      </c>
      <c r="D143" s="42" t="str">
        <f t="shared" ca="1" si="17"/>
        <v/>
      </c>
      <c r="E143" s="32"/>
      <c r="F143" s="31"/>
      <c r="G143" s="41"/>
      <c r="H143" s="56">
        <v>2.5</v>
      </c>
      <c r="I143" s="43" t="str">
        <f t="shared" si="18"/>
        <v/>
      </c>
      <c r="J143" s="43" t="str">
        <f t="shared" si="19"/>
        <v/>
      </c>
      <c r="K143" s="33" t="str">
        <f>IF(B143="","Pending",IF(M143="","⚠️ Enter Code",IF(IFERROR(VLOOKUP(L143,DB_Agents!$B:$F,4,0),"")=TEXT(M143,"0"),"Pending Approval","🔒 WRONG CODE")))</f>
        <v>Pending</v>
      </c>
      <c r="L143" s="30" t="s">
        <v>60</v>
      </c>
      <c r="M143" s="41"/>
      <c r="N143" s="22"/>
    </row>
    <row r="144" spans="1:14" ht="20.100000000000001" customHeight="1" x14ac:dyDescent="0.25">
      <c r="A144" s="30" t="str">
        <f t="shared" si="16"/>
        <v/>
      </c>
      <c r="B144" s="41"/>
      <c r="C144" s="35" t="str">
        <f>IF(B144="","",IFERROR(VLOOKUP(B144,DB_Customers!$A:$B,2,0),"❌ Account Not Found"))</f>
        <v/>
      </c>
      <c r="D144" s="42" t="str">
        <f t="shared" ca="1" si="17"/>
        <v/>
      </c>
      <c r="E144" s="32"/>
      <c r="F144" s="31"/>
      <c r="G144" s="41"/>
      <c r="H144" s="56">
        <v>2.5</v>
      </c>
      <c r="I144" s="43" t="str">
        <f t="shared" si="18"/>
        <v/>
      </c>
      <c r="J144" s="43" t="str">
        <f t="shared" si="19"/>
        <v/>
      </c>
      <c r="K144" s="33" t="str">
        <f>IF(B144="","Pending",IF(M144="","⚠️ Enter Code",IF(IFERROR(VLOOKUP(L144,DB_Agents!$B:$F,4,0),"")=TEXT(M144,"0"),"Pending Approval","🔒 WRONG CODE")))</f>
        <v>Pending</v>
      </c>
      <c r="L144" s="30" t="s">
        <v>60</v>
      </c>
      <c r="M144" s="41"/>
      <c r="N144" s="57"/>
    </row>
    <row r="145" spans="1:14" ht="20.100000000000001" customHeight="1" x14ac:dyDescent="0.25">
      <c r="A145" s="30" t="str">
        <f t="shared" si="16"/>
        <v/>
      </c>
      <c r="B145" s="41"/>
      <c r="C145" s="35" t="str">
        <f>IF(B145="","",IFERROR(VLOOKUP(B145,DB_Customers!$A:$B,2,0),"❌ Account Not Found"))</f>
        <v/>
      </c>
      <c r="D145" s="42" t="str">
        <f t="shared" ca="1" si="17"/>
        <v/>
      </c>
      <c r="E145" s="32"/>
      <c r="F145" s="31"/>
      <c r="G145" s="41"/>
      <c r="H145" s="56">
        <v>2.5</v>
      </c>
      <c r="I145" s="43" t="str">
        <f t="shared" si="18"/>
        <v/>
      </c>
      <c r="J145" s="43" t="str">
        <f t="shared" si="19"/>
        <v/>
      </c>
      <c r="K145" s="33" t="str">
        <f>IF(B145="","Pending",IF(M145="","⚠️ Enter Code",IF(IFERROR(VLOOKUP(L145,DB_Agents!$B:$F,4,0),"")=TEXT(M145,"0"),"Pending Approval","🔒 WRONG CODE")))</f>
        <v>Pending</v>
      </c>
      <c r="L145" s="30" t="s">
        <v>60</v>
      </c>
      <c r="M145" s="41"/>
      <c r="N145" s="22"/>
    </row>
    <row r="146" spans="1:14" ht="20.100000000000001" customHeight="1" x14ac:dyDescent="0.25">
      <c r="A146" s="30" t="str">
        <f t="shared" si="16"/>
        <v/>
      </c>
      <c r="B146" s="41"/>
      <c r="C146" s="35" t="str">
        <f>IF(B146="","",IFERROR(VLOOKUP(B146,DB_Customers!$A:$B,2,0),"❌ Account Not Found"))</f>
        <v/>
      </c>
      <c r="D146" s="42" t="str">
        <f t="shared" ca="1" si="17"/>
        <v/>
      </c>
      <c r="E146" s="32"/>
      <c r="F146" s="31"/>
      <c r="G146" s="41"/>
      <c r="H146" s="56">
        <v>2.5</v>
      </c>
      <c r="I146" s="43" t="str">
        <f t="shared" si="18"/>
        <v/>
      </c>
      <c r="J146" s="43" t="str">
        <f t="shared" si="19"/>
        <v/>
      </c>
      <c r="K146" s="33" t="str">
        <f>IF(B146="","Pending",IF(M146="","⚠️ Enter Code",IF(IFERROR(VLOOKUP(L146,DB_Agents!$B:$F,4,0),"")=TEXT(M146,"0"),"Pending Approval","🔒 WRONG CODE")))</f>
        <v>Pending</v>
      </c>
      <c r="L146" s="30" t="s">
        <v>60</v>
      </c>
      <c r="M146" s="41"/>
      <c r="N146" s="57"/>
    </row>
    <row r="147" spans="1:14" ht="20.100000000000001" customHeight="1" x14ac:dyDescent="0.25">
      <c r="A147" s="30" t="str">
        <f t="shared" si="16"/>
        <v/>
      </c>
      <c r="B147" s="41"/>
      <c r="C147" s="35" t="str">
        <f>IF(B147="","",IFERROR(VLOOKUP(B147,DB_Customers!$A:$B,2,0),"❌ Account Not Found"))</f>
        <v/>
      </c>
      <c r="D147" s="42" t="str">
        <f t="shared" ca="1" si="17"/>
        <v/>
      </c>
      <c r="E147" s="32"/>
      <c r="F147" s="31"/>
      <c r="G147" s="41"/>
      <c r="H147" s="56">
        <v>2.5</v>
      </c>
      <c r="I147" s="43" t="str">
        <f t="shared" si="18"/>
        <v/>
      </c>
      <c r="J147" s="43" t="str">
        <f t="shared" si="19"/>
        <v/>
      </c>
      <c r="K147" s="33" t="str">
        <f>IF(B147="","Pending",IF(M147="","⚠️ Enter Code",IF(IFERROR(VLOOKUP(L147,DB_Agents!$B:$F,4,0),"")=TEXT(M147,"0"),"Pending Approval","🔒 WRONG CODE")))</f>
        <v>Pending</v>
      </c>
      <c r="L147" s="30" t="s">
        <v>60</v>
      </c>
      <c r="M147" s="41"/>
      <c r="N147" s="22"/>
    </row>
    <row r="148" spans="1:14" ht="20.100000000000001" customHeight="1" x14ac:dyDescent="0.25">
      <c r="A148" s="30" t="str">
        <f t="shared" si="16"/>
        <v/>
      </c>
      <c r="B148" s="41"/>
      <c r="C148" s="35" t="str">
        <f>IF(B148="","",IFERROR(VLOOKUP(B148,DB_Customers!$A:$B,2,0),"❌ Account Not Found"))</f>
        <v/>
      </c>
      <c r="D148" s="42" t="str">
        <f t="shared" ca="1" si="17"/>
        <v/>
      </c>
      <c r="E148" s="32"/>
      <c r="F148" s="31"/>
      <c r="G148" s="41"/>
      <c r="H148" s="56">
        <v>2.5</v>
      </c>
      <c r="I148" s="43" t="str">
        <f t="shared" si="18"/>
        <v/>
      </c>
      <c r="J148" s="43" t="str">
        <f t="shared" si="19"/>
        <v/>
      </c>
      <c r="K148" s="33" t="str">
        <f>IF(B148="","Pending",IF(M148="","⚠️ Enter Code",IF(IFERROR(VLOOKUP(L148,DB_Agents!$B:$F,4,0),"")=TEXT(M148,"0"),"Pending Approval","🔒 WRONG CODE")))</f>
        <v>Pending</v>
      </c>
      <c r="L148" s="30" t="s">
        <v>60</v>
      </c>
      <c r="M148" s="41"/>
      <c r="N148" s="57"/>
    </row>
    <row r="149" spans="1:14" ht="20.100000000000001" customHeight="1" x14ac:dyDescent="0.25">
      <c r="A149" s="30" t="str">
        <f t="shared" si="16"/>
        <v/>
      </c>
      <c r="B149" s="41"/>
      <c r="C149" s="35" t="str">
        <f>IF(B149="","",IFERROR(VLOOKUP(B149,DB_Customers!$A:$B,2,0),"❌ Account Not Found"))</f>
        <v/>
      </c>
      <c r="D149" s="42" t="str">
        <f t="shared" ca="1" si="17"/>
        <v/>
      </c>
      <c r="E149" s="32"/>
      <c r="F149" s="31"/>
      <c r="G149" s="41"/>
      <c r="H149" s="56">
        <v>2.5</v>
      </c>
      <c r="I149" s="43" t="str">
        <f t="shared" si="18"/>
        <v/>
      </c>
      <c r="J149" s="43" t="str">
        <f t="shared" si="19"/>
        <v/>
      </c>
      <c r="K149" s="33" t="str">
        <f>IF(B149="","Pending",IF(M149="","⚠️ Enter Code",IF(IFERROR(VLOOKUP(L149,DB_Agents!$B:$F,4,0),"")=TEXT(M149,"0"),"Pending Approval","🔒 WRONG CODE")))</f>
        <v>Pending</v>
      </c>
      <c r="L149" s="30" t="s">
        <v>60</v>
      </c>
      <c r="M149" s="41"/>
      <c r="N149" s="22"/>
    </row>
    <row r="150" spans="1:14" ht="20.100000000000001" customHeight="1" x14ac:dyDescent="0.25">
      <c r="A150" s="30" t="str">
        <f t="shared" si="16"/>
        <v/>
      </c>
      <c r="B150" s="41"/>
      <c r="C150" s="35" t="str">
        <f>IF(B150="","",IFERROR(VLOOKUP(B150,DB_Customers!$A:$B,2,0),"❌ Account Not Found"))</f>
        <v/>
      </c>
      <c r="D150" s="42" t="str">
        <f t="shared" ca="1" si="17"/>
        <v/>
      </c>
      <c r="E150" s="32"/>
      <c r="F150" s="31"/>
      <c r="G150" s="41"/>
      <c r="H150" s="56">
        <v>2.5</v>
      </c>
      <c r="I150" s="43" t="str">
        <f t="shared" si="18"/>
        <v/>
      </c>
      <c r="J150" s="43" t="str">
        <f t="shared" si="19"/>
        <v/>
      </c>
      <c r="K150" s="33" t="str">
        <f>IF(B150="","Pending",IF(M150="","⚠️ Enter Code",IF(IFERROR(VLOOKUP(L150,DB_Agents!$B:$F,4,0),"")=TEXT(M150,"0"),"Pending Approval","🔒 WRONG CODE")))</f>
        <v>Pending</v>
      </c>
      <c r="L150" s="30" t="s">
        <v>60</v>
      </c>
      <c r="M150" s="41"/>
      <c r="N150" s="57"/>
    </row>
    <row r="151" spans="1:14" ht="20.100000000000001" customHeight="1" x14ac:dyDescent="0.25">
      <c r="A151" s="30" t="str">
        <f t="shared" si="16"/>
        <v/>
      </c>
      <c r="B151" s="41"/>
      <c r="C151" s="35" t="str">
        <f>IF(B151="","",IFERROR(VLOOKUP(B151,DB_Customers!$A:$B,2,0),"❌ Account Not Found"))</f>
        <v/>
      </c>
      <c r="D151" s="42" t="str">
        <f t="shared" ca="1" si="17"/>
        <v/>
      </c>
      <c r="E151" s="32"/>
      <c r="F151" s="31"/>
      <c r="G151" s="41"/>
      <c r="H151" s="56">
        <v>2.5</v>
      </c>
      <c r="I151" s="43" t="str">
        <f t="shared" si="18"/>
        <v/>
      </c>
      <c r="J151" s="43" t="str">
        <f t="shared" si="19"/>
        <v/>
      </c>
      <c r="K151" s="33" t="str">
        <f>IF(B151="","Pending",IF(M151="","⚠️ Enter Code",IF(IFERROR(VLOOKUP(L151,DB_Agents!$B:$F,4,0),"")=TEXT(M151,"0"),"Pending Approval","🔒 WRONG CODE")))</f>
        <v>Pending</v>
      </c>
      <c r="L151" s="30" t="s">
        <v>60</v>
      </c>
      <c r="M151" s="41"/>
      <c r="N151" s="22"/>
    </row>
    <row r="152" spans="1:14" ht="20.100000000000001" customHeight="1" x14ac:dyDescent="0.25">
      <c r="A152" s="30" t="str">
        <f t="shared" si="16"/>
        <v/>
      </c>
      <c r="B152" s="41"/>
      <c r="C152" s="35" t="str">
        <f>IF(B152="","",IFERROR(VLOOKUP(B152,DB_Customers!$A:$B,2,0),"❌ Account Not Found"))</f>
        <v/>
      </c>
      <c r="D152" s="42" t="str">
        <f t="shared" ca="1" si="17"/>
        <v/>
      </c>
      <c r="E152" s="32"/>
      <c r="F152" s="31"/>
      <c r="G152" s="41"/>
      <c r="H152" s="56">
        <v>2.5</v>
      </c>
      <c r="I152" s="43" t="str">
        <f t="shared" si="18"/>
        <v/>
      </c>
      <c r="J152" s="43" t="str">
        <f t="shared" si="19"/>
        <v/>
      </c>
      <c r="K152" s="33" t="str">
        <f>IF(B152="","Pending",IF(M152="","⚠️ Enter Code",IF(IFERROR(VLOOKUP(L152,DB_Agents!$B:$F,4,0),"")=TEXT(M152,"0"),"Pending Approval","🔒 WRONG CODE")))</f>
        <v>Pending</v>
      </c>
      <c r="L152" s="30" t="s">
        <v>60</v>
      </c>
      <c r="M152" s="41"/>
      <c r="N152" s="57"/>
    </row>
    <row r="153" spans="1:14" ht="20.100000000000001" customHeight="1" x14ac:dyDescent="0.25">
      <c r="A153" s="30" t="str">
        <f t="shared" si="16"/>
        <v/>
      </c>
      <c r="B153" s="41"/>
      <c r="C153" s="35" t="str">
        <f>IF(B153="","",IFERROR(VLOOKUP(B153,DB_Customers!$A:$B,2,0),"❌ Account Not Found"))</f>
        <v/>
      </c>
      <c r="D153" s="42" t="str">
        <f t="shared" ca="1" si="17"/>
        <v/>
      </c>
      <c r="E153" s="32"/>
      <c r="F153" s="31"/>
      <c r="G153" s="41"/>
      <c r="H153" s="56">
        <v>2.5</v>
      </c>
      <c r="I153" s="43" t="str">
        <f t="shared" si="18"/>
        <v/>
      </c>
      <c r="J153" s="43" t="str">
        <f t="shared" si="19"/>
        <v/>
      </c>
      <c r="K153" s="33" t="str">
        <f>IF(B153="","Pending",IF(M153="","⚠️ Enter Code",IF(IFERROR(VLOOKUP(L153,DB_Agents!$B:$F,4,0),"")=TEXT(M153,"0"),"Pending Approval","🔒 WRONG CODE")))</f>
        <v>Pending</v>
      </c>
      <c r="L153" s="30" t="s">
        <v>60</v>
      </c>
      <c r="M153" s="41"/>
      <c r="N153" s="22"/>
    </row>
    <row r="154" spans="1:14" ht="20.100000000000001" customHeight="1" x14ac:dyDescent="0.25">
      <c r="A154" s="30" t="str">
        <f t="shared" si="16"/>
        <v/>
      </c>
      <c r="B154" s="41"/>
      <c r="C154" s="35" t="str">
        <f>IF(B154="","",IFERROR(VLOOKUP(B154,DB_Customers!$A:$B,2,0),"❌ Account Not Found"))</f>
        <v/>
      </c>
      <c r="D154" s="42" t="str">
        <f t="shared" ca="1" si="17"/>
        <v/>
      </c>
      <c r="E154" s="32"/>
      <c r="F154" s="31"/>
      <c r="G154" s="41"/>
      <c r="H154" s="56">
        <v>2.5</v>
      </c>
      <c r="I154" s="43" t="str">
        <f t="shared" si="18"/>
        <v/>
      </c>
      <c r="J154" s="43" t="str">
        <f t="shared" si="19"/>
        <v/>
      </c>
      <c r="K154" s="33" t="str">
        <f>IF(B154="","Pending",IF(M154="","⚠️ Enter Code",IF(IFERROR(VLOOKUP(L154,DB_Agents!$B:$F,4,0),"")=TEXT(M154,"0"),"Pending Approval","🔒 WRONG CODE")))</f>
        <v>Pending</v>
      </c>
      <c r="L154" s="30" t="s">
        <v>60</v>
      </c>
      <c r="M154" s="41"/>
      <c r="N154" s="57"/>
    </row>
    <row r="155" spans="1:14" ht="20.100000000000001" customHeight="1" x14ac:dyDescent="0.25">
      <c r="A155" s="30" t="str">
        <f t="shared" si="16"/>
        <v/>
      </c>
      <c r="B155" s="41"/>
      <c r="C155" s="35" t="str">
        <f>IF(B155="","",IFERROR(VLOOKUP(B155,DB_Customers!$A:$B,2,0),"❌ Account Not Found"))</f>
        <v/>
      </c>
      <c r="D155" s="42" t="str">
        <f t="shared" ca="1" si="17"/>
        <v/>
      </c>
      <c r="E155" s="32"/>
      <c r="F155" s="31"/>
      <c r="G155" s="41"/>
      <c r="H155" s="56">
        <v>2.5</v>
      </c>
      <c r="I155" s="43" t="str">
        <f t="shared" si="18"/>
        <v/>
      </c>
      <c r="J155" s="43" t="str">
        <f t="shared" si="19"/>
        <v/>
      </c>
      <c r="K155" s="33" t="str">
        <f>IF(B155="","Pending",IF(M155="","⚠️ Enter Code",IF(IFERROR(VLOOKUP(L155,DB_Agents!$B:$F,4,0),"")=TEXT(M155,"0"),"Pending Approval","🔒 WRONG CODE")))</f>
        <v>Pending</v>
      </c>
      <c r="L155" s="30" t="s">
        <v>60</v>
      </c>
      <c r="M155" s="41"/>
      <c r="N155" s="22"/>
    </row>
    <row r="156" spans="1:14" ht="20.100000000000001" customHeight="1" x14ac:dyDescent="0.25">
      <c r="A156" s="30" t="str">
        <f t="shared" si="16"/>
        <v/>
      </c>
      <c r="B156" s="41"/>
      <c r="C156" s="35" t="str">
        <f>IF(B156="","",IFERROR(VLOOKUP(B156,DB_Customers!$A:$B,2,0),"❌ Account Not Found"))</f>
        <v/>
      </c>
      <c r="D156" s="42" t="str">
        <f t="shared" ca="1" si="17"/>
        <v/>
      </c>
      <c r="E156" s="32"/>
      <c r="F156" s="31"/>
      <c r="G156" s="41"/>
      <c r="H156" s="56">
        <v>2.5</v>
      </c>
      <c r="I156" s="43" t="str">
        <f t="shared" si="18"/>
        <v/>
      </c>
      <c r="J156" s="43" t="str">
        <f t="shared" si="19"/>
        <v/>
      </c>
      <c r="K156" s="33" t="str">
        <f>IF(B156="","Pending",IF(M156="","⚠️ Enter Code",IF(IFERROR(VLOOKUP(L156,DB_Agents!$B:$F,4,0),"")=TEXT(M156,"0"),"Pending Approval","🔒 WRONG CODE")))</f>
        <v>Pending</v>
      </c>
      <c r="L156" s="30" t="s">
        <v>60</v>
      </c>
      <c r="M156" s="41"/>
      <c r="N156" s="57"/>
    </row>
    <row r="157" spans="1:14" ht="20.100000000000001" customHeight="1" x14ac:dyDescent="0.25">
      <c r="A157" s="30" t="str">
        <f t="shared" si="16"/>
        <v/>
      </c>
      <c r="B157" s="41"/>
      <c r="C157" s="35" t="str">
        <f>IF(B157="","",IFERROR(VLOOKUP(B157,DB_Customers!$A:$B,2,0),"❌ Account Not Found"))</f>
        <v/>
      </c>
      <c r="D157" s="42" t="str">
        <f t="shared" ca="1" si="17"/>
        <v/>
      </c>
      <c r="E157" s="32"/>
      <c r="F157" s="31"/>
      <c r="G157" s="41"/>
      <c r="H157" s="56">
        <v>2.5</v>
      </c>
      <c r="I157" s="43" t="str">
        <f t="shared" si="18"/>
        <v/>
      </c>
      <c r="J157" s="43" t="str">
        <f t="shared" si="19"/>
        <v/>
      </c>
      <c r="K157" s="33" t="str">
        <f>IF(B157="","Pending",IF(M157="","⚠️ Enter Code",IF(IFERROR(VLOOKUP(L157,DB_Agents!$B:$F,4,0),"")=TEXT(M157,"0"),"Pending Approval","🔒 WRONG CODE")))</f>
        <v>Pending</v>
      </c>
      <c r="L157" s="30" t="s">
        <v>60</v>
      </c>
      <c r="M157" s="41"/>
      <c r="N157" s="22"/>
    </row>
    <row r="158" spans="1:14" ht="20.100000000000001" customHeight="1" x14ac:dyDescent="0.25">
      <c r="A158" s="30" t="str">
        <f t="shared" si="16"/>
        <v/>
      </c>
      <c r="B158" s="41"/>
      <c r="C158" s="35" t="str">
        <f>IF(B158="","",IFERROR(VLOOKUP(B158,DB_Customers!$A:$B,2,0),"❌ Account Not Found"))</f>
        <v/>
      </c>
      <c r="D158" s="42" t="str">
        <f t="shared" ca="1" si="17"/>
        <v/>
      </c>
      <c r="E158" s="32"/>
      <c r="F158" s="31"/>
      <c r="G158" s="41"/>
      <c r="H158" s="56">
        <v>2.5</v>
      </c>
      <c r="I158" s="43" t="str">
        <f t="shared" si="18"/>
        <v/>
      </c>
      <c r="J158" s="43" t="str">
        <f t="shared" si="19"/>
        <v/>
      </c>
      <c r="K158" s="33" t="str">
        <f>IF(B158="","Pending",IF(M158="","⚠️ Enter Code",IF(IFERROR(VLOOKUP(L158,DB_Agents!$B:$F,4,0),"")=TEXT(M158,"0"),"Pending Approval","🔒 WRONG CODE")))</f>
        <v>Pending</v>
      </c>
      <c r="L158" s="30" t="s">
        <v>60</v>
      </c>
      <c r="M158" s="41"/>
      <c r="N158" s="57"/>
    </row>
    <row r="159" spans="1:14" ht="20.100000000000001" customHeight="1" x14ac:dyDescent="0.25">
      <c r="A159" s="30" t="str">
        <f t="shared" si="16"/>
        <v/>
      </c>
      <c r="B159" s="41"/>
      <c r="C159" s="35" t="str">
        <f>IF(B159="","",IFERROR(VLOOKUP(B159,DB_Customers!$A:$B,2,0),"❌ Account Not Found"))</f>
        <v/>
      </c>
      <c r="D159" s="42" t="str">
        <f t="shared" ca="1" si="17"/>
        <v/>
      </c>
      <c r="E159" s="32"/>
      <c r="F159" s="31"/>
      <c r="G159" s="41"/>
      <c r="H159" s="56">
        <v>2.5</v>
      </c>
      <c r="I159" s="43" t="str">
        <f t="shared" si="18"/>
        <v/>
      </c>
      <c r="J159" s="43" t="str">
        <f t="shared" si="19"/>
        <v/>
      </c>
      <c r="K159" s="33" t="str">
        <f>IF(B159="","Pending",IF(M159="","⚠️ Enter Code",IF(IFERROR(VLOOKUP(L159,DB_Agents!$B:$F,4,0),"")=TEXT(M159,"0"),"Pending Approval","🔒 WRONG CODE")))</f>
        <v>Pending</v>
      </c>
      <c r="L159" s="30" t="s">
        <v>60</v>
      </c>
      <c r="M159" s="41"/>
      <c r="N159" s="22"/>
    </row>
    <row r="160" spans="1:14" ht="20.100000000000001" customHeight="1" x14ac:dyDescent="0.25">
      <c r="A160" s="30" t="str">
        <f t="shared" si="16"/>
        <v/>
      </c>
      <c r="B160" s="41"/>
      <c r="C160" s="35" t="str">
        <f>IF(B160="","",IFERROR(VLOOKUP(B160,DB_Customers!$A:$B,2,0),"❌ Account Not Found"))</f>
        <v/>
      </c>
      <c r="D160" s="42" t="str">
        <f t="shared" ca="1" si="17"/>
        <v/>
      </c>
      <c r="E160" s="32"/>
      <c r="F160" s="31"/>
      <c r="G160" s="41"/>
      <c r="H160" s="56">
        <v>2.5</v>
      </c>
      <c r="I160" s="43" t="str">
        <f t="shared" si="18"/>
        <v/>
      </c>
      <c r="J160" s="43" t="str">
        <f t="shared" si="19"/>
        <v/>
      </c>
      <c r="K160" s="33" t="str">
        <f>IF(B160="","Pending",IF(M160="","⚠️ Enter Code",IF(IFERROR(VLOOKUP(L160,DB_Agents!$B:$F,4,0),"")=TEXT(M160,"0"),"Pending Approval","🔒 WRONG CODE")))</f>
        <v>Pending</v>
      </c>
      <c r="L160" s="30" t="s">
        <v>60</v>
      </c>
      <c r="M160" s="41"/>
      <c r="N160" s="57"/>
    </row>
    <row r="161" spans="1:14" ht="20.100000000000001" customHeight="1" x14ac:dyDescent="0.25">
      <c r="A161" s="30" t="str">
        <f t="shared" si="16"/>
        <v/>
      </c>
      <c r="B161" s="41"/>
      <c r="C161" s="35" t="str">
        <f>IF(B161="","",IFERROR(VLOOKUP(B161,DB_Customers!$A:$B,2,0),"❌ Account Not Found"))</f>
        <v/>
      </c>
      <c r="D161" s="42" t="str">
        <f t="shared" ca="1" si="17"/>
        <v/>
      </c>
      <c r="E161" s="32"/>
      <c r="F161" s="31"/>
      <c r="G161" s="41"/>
      <c r="H161" s="56">
        <v>2.5</v>
      </c>
      <c r="I161" s="43" t="str">
        <f t="shared" si="18"/>
        <v/>
      </c>
      <c r="J161" s="43" t="str">
        <f t="shared" si="19"/>
        <v/>
      </c>
      <c r="K161" s="33" t="str">
        <f>IF(B161="","Pending",IF(M161="","⚠️ Enter Code",IF(IFERROR(VLOOKUP(L161,DB_Agents!$B:$F,4,0),"")=TEXT(M161,"0"),"Pending Approval","🔒 WRONG CODE")))</f>
        <v>Pending</v>
      </c>
      <c r="L161" s="30" t="s">
        <v>60</v>
      </c>
      <c r="M161" s="41"/>
      <c r="N161" s="22"/>
    </row>
    <row r="162" spans="1:14" ht="20.100000000000001" customHeight="1" x14ac:dyDescent="0.25">
      <c r="A162" s="30" t="str">
        <f t="shared" si="16"/>
        <v/>
      </c>
      <c r="B162" s="41"/>
      <c r="C162" s="35" t="str">
        <f>IF(B162="","",IFERROR(VLOOKUP(B162,DB_Customers!$A:$B,2,0),"❌ Account Not Found"))</f>
        <v/>
      </c>
      <c r="D162" s="42" t="str">
        <f t="shared" ca="1" si="17"/>
        <v/>
      </c>
      <c r="E162" s="32"/>
      <c r="F162" s="31"/>
      <c r="G162" s="41"/>
      <c r="H162" s="56">
        <v>2.5</v>
      </c>
      <c r="I162" s="43" t="str">
        <f t="shared" si="18"/>
        <v/>
      </c>
      <c r="J162" s="43" t="str">
        <f t="shared" si="19"/>
        <v/>
      </c>
      <c r="K162" s="33" t="str">
        <f>IF(B162="","Pending",IF(M162="","⚠️ Enter Code",IF(IFERROR(VLOOKUP(L162,DB_Agents!$B:$F,4,0),"")=TEXT(M162,"0"),"Pending Approval","🔒 WRONG CODE")))</f>
        <v>Pending</v>
      </c>
      <c r="L162" s="30" t="s">
        <v>60</v>
      </c>
      <c r="M162" s="41"/>
      <c r="N162" s="57"/>
    </row>
    <row r="163" spans="1:14" ht="20.100000000000001" customHeight="1" x14ac:dyDescent="0.25">
      <c r="A163" s="30" t="str">
        <f t="shared" si="16"/>
        <v/>
      </c>
      <c r="B163" s="41"/>
      <c r="C163" s="35" t="str">
        <f>IF(B163="","",IFERROR(VLOOKUP(B163,DB_Customers!$A:$B,2,0),"❌ Account Not Found"))</f>
        <v/>
      </c>
      <c r="D163" s="42" t="str">
        <f t="shared" ca="1" si="17"/>
        <v/>
      </c>
      <c r="E163" s="32"/>
      <c r="F163" s="31"/>
      <c r="G163" s="41"/>
      <c r="H163" s="56">
        <v>2.5</v>
      </c>
      <c r="I163" s="43" t="str">
        <f t="shared" si="18"/>
        <v/>
      </c>
      <c r="J163" s="43" t="str">
        <f t="shared" si="19"/>
        <v/>
      </c>
      <c r="K163" s="33" t="str">
        <f>IF(B163="","Pending",IF(M163="","⚠️ Enter Code",IF(IFERROR(VLOOKUP(L163,DB_Agents!$B:$F,4,0),"")=TEXT(M163,"0"),"Pending Approval","🔒 WRONG CODE")))</f>
        <v>Pending</v>
      </c>
      <c r="L163" s="30" t="s">
        <v>60</v>
      </c>
      <c r="M163" s="41"/>
      <c r="N163" s="22"/>
    </row>
    <row r="164" spans="1:14" ht="20.100000000000001" customHeight="1" x14ac:dyDescent="0.25">
      <c r="A164" s="30" t="str">
        <f t="shared" si="16"/>
        <v/>
      </c>
      <c r="B164" s="41"/>
      <c r="C164" s="35" t="str">
        <f>IF(B164="","",IFERROR(VLOOKUP(B164,DB_Customers!$A:$B,2,0),"❌ Account Not Found"))</f>
        <v/>
      </c>
      <c r="D164" s="42" t="str">
        <f t="shared" ca="1" si="17"/>
        <v/>
      </c>
      <c r="E164" s="32"/>
      <c r="F164" s="31"/>
      <c r="G164" s="41"/>
      <c r="H164" s="56">
        <v>2.5</v>
      </c>
      <c r="I164" s="43" t="str">
        <f t="shared" si="18"/>
        <v/>
      </c>
      <c r="J164" s="43" t="str">
        <f t="shared" si="19"/>
        <v/>
      </c>
      <c r="K164" s="33" t="str">
        <f>IF(B164="","Pending",IF(M164="","⚠️ Enter Code",IF(IFERROR(VLOOKUP(L164,DB_Agents!$B:$F,4,0),"")=TEXT(M164,"0"),"Pending Approval","🔒 WRONG CODE")))</f>
        <v>Pending</v>
      </c>
      <c r="L164" s="30" t="s">
        <v>60</v>
      </c>
      <c r="M164" s="41"/>
      <c r="N164" s="57"/>
    </row>
    <row r="165" spans="1:14" ht="20.100000000000001" customHeight="1" x14ac:dyDescent="0.25">
      <c r="A165" s="30" t="str">
        <f t="shared" si="16"/>
        <v/>
      </c>
      <c r="B165" s="41"/>
      <c r="C165" s="35" t="str">
        <f>IF(B165="","",IFERROR(VLOOKUP(B165,DB_Customers!$A:$B,2,0),"❌ Account Not Found"))</f>
        <v/>
      </c>
      <c r="D165" s="42" t="str">
        <f t="shared" ca="1" si="17"/>
        <v/>
      </c>
      <c r="E165" s="32"/>
      <c r="F165" s="31"/>
      <c r="G165" s="41"/>
      <c r="H165" s="56">
        <v>2.5</v>
      </c>
      <c r="I165" s="43" t="str">
        <f t="shared" si="18"/>
        <v/>
      </c>
      <c r="J165" s="43" t="str">
        <f t="shared" si="19"/>
        <v/>
      </c>
      <c r="K165" s="33" t="str">
        <f>IF(B165="","Pending",IF(M165="","⚠️ Enter Code",IF(IFERROR(VLOOKUP(L165,DB_Agents!$B:$F,4,0),"")=TEXT(M165,"0"),"Pending Approval","🔒 WRONG CODE")))</f>
        <v>Pending</v>
      </c>
      <c r="L165" s="30" t="s">
        <v>60</v>
      </c>
      <c r="M165" s="41"/>
      <c r="N165" s="22"/>
    </row>
    <row r="166" spans="1:14" ht="20.100000000000001" customHeight="1" x14ac:dyDescent="0.25">
      <c r="A166" s="30" t="str">
        <f t="shared" si="16"/>
        <v/>
      </c>
      <c r="B166" s="41"/>
      <c r="C166" s="35" t="str">
        <f>IF(B166="","",IFERROR(VLOOKUP(B166,DB_Customers!$A:$B,2,0),"❌ Account Not Found"))</f>
        <v/>
      </c>
      <c r="D166" s="42" t="str">
        <f t="shared" ca="1" si="17"/>
        <v/>
      </c>
      <c r="E166" s="32"/>
      <c r="F166" s="31"/>
      <c r="G166" s="41"/>
      <c r="H166" s="56">
        <v>2.5</v>
      </c>
      <c r="I166" s="43" t="str">
        <f t="shared" si="18"/>
        <v/>
      </c>
      <c r="J166" s="43" t="str">
        <f t="shared" si="19"/>
        <v/>
      </c>
      <c r="K166" s="33" t="str">
        <f>IF(B166="","Pending",IF(M166="","⚠️ Enter Code",IF(IFERROR(VLOOKUP(L166,DB_Agents!$B:$F,4,0),"")=TEXT(M166,"0"),"Pending Approval","🔒 WRONG CODE")))</f>
        <v>Pending</v>
      </c>
      <c r="L166" s="30" t="s">
        <v>60</v>
      </c>
      <c r="M166" s="41"/>
      <c r="N166" s="57"/>
    </row>
    <row r="167" spans="1:14" ht="20.100000000000001" customHeight="1" x14ac:dyDescent="0.25">
      <c r="A167" s="30" t="str">
        <f t="shared" si="16"/>
        <v/>
      </c>
      <c r="B167" s="41"/>
      <c r="C167" s="35" t="str">
        <f>IF(B167="","",IFERROR(VLOOKUP(B167,DB_Customers!$A:$B,2,0),"❌ Account Not Found"))</f>
        <v/>
      </c>
      <c r="D167" s="42" t="str">
        <f t="shared" ca="1" si="17"/>
        <v/>
      </c>
      <c r="E167" s="32"/>
      <c r="F167" s="31"/>
      <c r="G167" s="41"/>
      <c r="H167" s="56">
        <v>2.5</v>
      </c>
      <c r="I167" s="43" t="str">
        <f t="shared" si="18"/>
        <v/>
      </c>
      <c r="J167" s="43" t="str">
        <f t="shared" si="19"/>
        <v/>
      </c>
      <c r="K167" s="33" t="str">
        <f>IF(B167="","Pending",IF(M167="","⚠️ Enter Code",IF(IFERROR(VLOOKUP(L167,DB_Agents!$B:$F,4,0),"")=TEXT(M167,"0"),"Pending Approval","🔒 WRONG CODE")))</f>
        <v>Pending</v>
      </c>
      <c r="L167" s="30" t="s">
        <v>60</v>
      </c>
      <c r="M167" s="41"/>
      <c r="N167" s="22"/>
    </row>
    <row r="168" spans="1:14" ht="20.100000000000001" customHeight="1" x14ac:dyDescent="0.25">
      <c r="A168" s="30" t="str">
        <f t="shared" si="16"/>
        <v/>
      </c>
      <c r="B168" s="41"/>
      <c r="C168" s="35" t="str">
        <f>IF(B168="","",IFERROR(VLOOKUP(B168,DB_Customers!$A:$B,2,0),"❌ Account Not Found"))</f>
        <v/>
      </c>
      <c r="D168" s="42" t="str">
        <f t="shared" ca="1" si="17"/>
        <v/>
      </c>
      <c r="E168" s="32"/>
      <c r="F168" s="31"/>
      <c r="G168" s="41"/>
      <c r="H168" s="56">
        <v>2.5</v>
      </c>
      <c r="I168" s="43" t="str">
        <f t="shared" si="18"/>
        <v/>
      </c>
      <c r="J168" s="43" t="str">
        <f t="shared" si="19"/>
        <v/>
      </c>
      <c r="K168" s="33" t="str">
        <f>IF(B168="","Pending",IF(M168="","⚠️ Enter Code",IF(IFERROR(VLOOKUP(L168,DB_Agents!$B:$F,4,0),"")=TEXT(M168,"0"),"Pending Approval","🔒 WRONG CODE")))</f>
        <v>Pending</v>
      </c>
      <c r="L168" s="30" t="s">
        <v>60</v>
      </c>
      <c r="M168" s="41"/>
      <c r="N168" s="57"/>
    </row>
    <row r="169" spans="1:14" ht="20.100000000000001" customHeight="1" x14ac:dyDescent="0.25">
      <c r="A169" s="30" t="str">
        <f t="shared" si="16"/>
        <v/>
      </c>
      <c r="B169" s="41"/>
      <c r="C169" s="35" t="str">
        <f>IF(B169="","",IFERROR(VLOOKUP(B169,DB_Customers!$A:$B,2,0),"❌ Account Not Found"))</f>
        <v/>
      </c>
      <c r="D169" s="42" t="str">
        <f t="shared" ca="1" si="17"/>
        <v/>
      </c>
      <c r="E169" s="32"/>
      <c r="F169" s="31"/>
      <c r="G169" s="41"/>
      <c r="H169" s="56">
        <v>2.5</v>
      </c>
      <c r="I169" s="43" t="str">
        <f t="shared" si="18"/>
        <v/>
      </c>
      <c r="J169" s="43" t="str">
        <f t="shared" si="19"/>
        <v/>
      </c>
      <c r="K169" s="33" t="str">
        <f>IF(B169="","Pending",IF(M169="","⚠️ Enter Code",IF(IFERROR(VLOOKUP(L169,DB_Agents!$B:$F,4,0),"")=TEXT(M169,"0"),"Pending Approval","🔒 WRONG CODE")))</f>
        <v>Pending</v>
      </c>
      <c r="L169" s="30" t="s">
        <v>60</v>
      </c>
      <c r="M169" s="41"/>
      <c r="N169" s="22"/>
    </row>
    <row r="170" spans="1:14" ht="20.100000000000001" customHeight="1" x14ac:dyDescent="0.25">
      <c r="A170" s="30" t="str">
        <f t="shared" si="16"/>
        <v/>
      </c>
      <c r="B170" s="41"/>
      <c r="C170" s="35" t="str">
        <f>IF(B170="","",IFERROR(VLOOKUP(B170,DB_Customers!$A:$B,2,0),"❌ Account Not Found"))</f>
        <v/>
      </c>
      <c r="D170" s="42" t="str">
        <f t="shared" ca="1" si="17"/>
        <v/>
      </c>
      <c r="E170" s="32"/>
      <c r="F170" s="31"/>
      <c r="G170" s="41"/>
      <c r="H170" s="56">
        <v>2.5</v>
      </c>
      <c r="I170" s="43" t="str">
        <f t="shared" si="18"/>
        <v/>
      </c>
      <c r="J170" s="43" t="str">
        <f t="shared" si="19"/>
        <v/>
      </c>
      <c r="K170" s="33" t="str">
        <f>IF(B170="","Pending",IF(M170="","⚠️ Enter Code",IF(IFERROR(VLOOKUP(L170,DB_Agents!$B:$F,4,0),"")=TEXT(M170,"0"),"Pending Approval","🔒 WRONG CODE")))</f>
        <v>Pending</v>
      </c>
      <c r="L170" s="30" t="s">
        <v>60</v>
      </c>
      <c r="M170" s="41"/>
      <c r="N170" s="57"/>
    </row>
    <row r="171" spans="1:14" ht="20.100000000000001" customHeight="1" x14ac:dyDescent="0.25">
      <c r="A171" s="30" t="str">
        <f t="shared" si="16"/>
        <v/>
      </c>
      <c r="B171" s="41"/>
      <c r="C171" s="35" t="str">
        <f>IF(B171="","",IFERROR(VLOOKUP(B171,DB_Customers!$A:$B,2,0),"❌ Account Not Found"))</f>
        <v/>
      </c>
      <c r="D171" s="42" t="str">
        <f t="shared" ca="1" si="17"/>
        <v/>
      </c>
      <c r="E171" s="32"/>
      <c r="F171" s="31"/>
      <c r="G171" s="41"/>
      <c r="H171" s="56">
        <v>2.5</v>
      </c>
      <c r="I171" s="43" t="str">
        <f t="shared" si="18"/>
        <v/>
      </c>
      <c r="J171" s="43" t="str">
        <f t="shared" si="19"/>
        <v/>
      </c>
      <c r="K171" s="33" t="str">
        <f>IF(B171="","Pending",IF(M171="","⚠️ Enter Code",IF(IFERROR(VLOOKUP(L171,DB_Agents!$B:$F,4,0),"")=TEXT(M171,"0"),"Pending Approval","🔒 WRONG CODE")))</f>
        <v>Pending</v>
      </c>
      <c r="L171" s="30" t="s">
        <v>60</v>
      </c>
      <c r="M171" s="41"/>
      <c r="N171" s="22"/>
    </row>
    <row r="172" spans="1:14" ht="20.100000000000001" customHeight="1" x14ac:dyDescent="0.25">
      <c r="A172" s="30" t="str">
        <f t="shared" si="16"/>
        <v/>
      </c>
      <c r="B172" s="41"/>
      <c r="C172" s="35" t="str">
        <f>IF(B172="","",IFERROR(VLOOKUP(B172,DB_Customers!$A:$B,2,0),"❌ Account Not Found"))</f>
        <v/>
      </c>
      <c r="D172" s="42" t="str">
        <f t="shared" ca="1" si="17"/>
        <v/>
      </c>
      <c r="E172" s="32"/>
      <c r="F172" s="31"/>
      <c r="G172" s="41"/>
      <c r="H172" s="56">
        <v>2.5</v>
      </c>
      <c r="I172" s="43" t="str">
        <f t="shared" si="18"/>
        <v/>
      </c>
      <c r="J172" s="43" t="str">
        <f t="shared" si="19"/>
        <v/>
      </c>
      <c r="K172" s="33" t="str">
        <f>IF(B172="","Pending",IF(M172="","⚠️ Enter Code",IF(IFERROR(VLOOKUP(L172,DB_Agents!$B:$F,4,0),"")=TEXT(M172,"0"),"Pending Approval","🔒 WRONG CODE")))</f>
        <v>Pending</v>
      </c>
      <c r="L172" s="30" t="s">
        <v>60</v>
      </c>
      <c r="M172" s="41"/>
      <c r="N172" s="57"/>
    </row>
    <row r="173" spans="1:14" ht="20.100000000000001" customHeight="1" x14ac:dyDescent="0.25">
      <c r="A173" s="30" t="str">
        <f t="shared" si="16"/>
        <v/>
      </c>
      <c r="B173" s="41"/>
      <c r="C173" s="35" t="str">
        <f>IF(B173="","",IFERROR(VLOOKUP(B173,DB_Customers!$A:$B,2,0),"❌ Account Not Found"))</f>
        <v/>
      </c>
      <c r="D173" s="42" t="str">
        <f t="shared" ca="1" si="17"/>
        <v/>
      </c>
      <c r="E173" s="32"/>
      <c r="F173" s="31"/>
      <c r="G173" s="41"/>
      <c r="H173" s="56">
        <v>2.5</v>
      </c>
      <c r="I173" s="43" t="str">
        <f t="shared" si="18"/>
        <v/>
      </c>
      <c r="J173" s="43" t="str">
        <f t="shared" si="19"/>
        <v/>
      </c>
      <c r="K173" s="33" t="str">
        <f>IF(B173="","Pending",IF(M173="","⚠️ Enter Code",IF(IFERROR(VLOOKUP(L173,DB_Agents!$B:$F,4,0),"")=TEXT(M173,"0"),"Pending Approval","🔒 WRONG CODE")))</f>
        <v>Pending</v>
      </c>
      <c r="L173" s="30" t="s">
        <v>60</v>
      </c>
      <c r="M173" s="41"/>
      <c r="N173" s="22"/>
    </row>
    <row r="174" spans="1:14" ht="20.100000000000001" customHeight="1" x14ac:dyDescent="0.25">
      <c r="A174" s="30" t="str">
        <f t="shared" ref="A174:A205" si="20">IF(B174="","",IF(C174="❌ Account Not Found","INVALID","LN"&amp;TEXT(D174,"YYYYMMDD")&amp;TEXT(ROW()-13,"0000")))</f>
        <v/>
      </c>
      <c r="B174" s="41"/>
      <c r="C174" s="35" t="str">
        <f>IF(B174="","",IFERROR(VLOOKUP(B174,DB_Customers!$A:$B,2,0),"❌ Account Not Found"))</f>
        <v/>
      </c>
      <c r="D174" s="42" t="str">
        <f t="shared" ref="D174:D205" ca="1" si="21">IF(B174="","",TODAY())</f>
        <v/>
      </c>
      <c r="E174" s="32"/>
      <c r="F174" s="31"/>
      <c r="G174" s="41"/>
      <c r="H174" s="56">
        <v>2.5</v>
      </c>
      <c r="I174" s="43" t="str">
        <f t="shared" ref="I174:I205" si="22">IF(E174="","",E174+(E174*H174/100*G174))</f>
        <v/>
      </c>
      <c r="J174" s="43" t="str">
        <f t="shared" ref="J174:J205" si="23">IFERROR(I174/G174,"")</f>
        <v/>
      </c>
      <c r="K174" s="33" t="str">
        <f>IF(B174="","Pending",IF(M174="","⚠️ Enter Code",IF(IFERROR(VLOOKUP(L174,DB_Agents!$B:$F,4,0),"")=TEXT(M174,"0"),"Pending Approval","🔒 WRONG CODE")))</f>
        <v>Pending</v>
      </c>
      <c r="L174" s="30" t="s">
        <v>60</v>
      </c>
      <c r="M174" s="41"/>
      <c r="N174" s="57"/>
    </row>
    <row r="175" spans="1:14" ht="20.100000000000001" customHeight="1" x14ac:dyDescent="0.25">
      <c r="A175" s="30" t="str">
        <f t="shared" si="20"/>
        <v/>
      </c>
      <c r="B175" s="41"/>
      <c r="C175" s="35" t="str">
        <f>IF(B175="","",IFERROR(VLOOKUP(B175,DB_Customers!$A:$B,2,0),"❌ Account Not Found"))</f>
        <v/>
      </c>
      <c r="D175" s="42" t="str">
        <f t="shared" ca="1" si="21"/>
        <v/>
      </c>
      <c r="E175" s="32"/>
      <c r="F175" s="31"/>
      <c r="G175" s="41"/>
      <c r="H175" s="56">
        <v>2.5</v>
      </c>
      <c r="I175" s="43" t="str">
        <f t="shared" si="22"/>
        <v/>
      </c>
      <c r="J175" s="43" t="str">
        <f t="shared" si="23"/>
        <v/>
      </c>
      <c r="K175" s="33" t="str">
        <f>IF(B175="","Pending",IF(M175="","⚠️ Enter Code",IF(IFERROR(VLOOKUP(L175,DB_Agents!$B:$F,4,0),"")=TEXT(M175,"0"),"Pending Approval","🔒 WRONG CODE")))</f>
        <v>Pending</v>
      </c>
      <c r="L175" s="30" t="s">
        <v>60</v>
      </c>
      <c r="M175" s="41"/>
      <c r="N175" s="22"/>
    </row>
    <row r="176" spans="1:14" ht="20.100000000000001" customHeight="1" x14ac:dyDescent="0.25">
      <c r="A176" s="30" t="str">
        <f t="shared" si="20"/>
        <v/>
      </c>
      <c r="B176" s="41"/>
      <c r="C176" s="35" t="str">
        <f>IF(B176="","",IFERROR(VLOOKUP(B176,DB_Customers!$A:$B,2,0),"❌ Account Not Found"))</f>
        <v/>
      </c>
      <c r="D176" s="42" t="str">
        <f t="shared" ca="1" si="21"/>
        <v/>
      </c>
      <c r="E176" s="32"/>
      <c r="F176" s="31"/>
      <c r="G176" s="41"/>
      <c r="H176" s="56">
        <v>2.5</v>
      </c>
      <c r="I176" s="43" t="str">
        <f t="shared" si="22"/>
        <v/>
      </c>
      <c r="J176" s="43" t="str">
        <f t="shared" si="23"/>
        <v/>
      </c>
      <c r="K176" s="33" t="str">
        <f>IF(B176="","Pending",IF(M176="","⚠️ Enter Code",IF(IFERROR(VLOOKUP(L176,DB_Agents!$B:$F,4,0),"")=TEXT(M176,"0"),"Pending Approval","🔒 WRONG CODE")))</f>
        <v>Pending</v>
      </c>
      <c r="L176" s="30" t="s">
        <v>60</v>
      </c>
      <c r="M176" s="41"/>
      <c r="N176" s="57"/>
    </row>
    <row r="177" spans="1:14" ht="20.100000000000001" customHeight="1" x14ac:dyDescent="0.25">
      <c r="A177" s="30" t="str">
        <f t="shared" si="20"/>
        <v/>
      </c>
      <c r="B177" s="41"/>
      <c r="C177" s="35" t="str">
        <f>IF(B177="","",IFERROR(VLOOKUP(B177,DB_Customers!$A:$B,2,0),"❌ Account Not Found"))</f>
        <v/>
      </c>
      <c r="D177" s="42" t="str">
        <f t="shared" ca="1" si="21"/>
        <v/>
      </c>
      <c r="E177" s="32"/>
      <c r="F177" s="31"/>
      <c r="G177" s="41"/>
      <c r="H177" s="56">
        <v>2.5</v>
      </c>
      <c r="I177" s="43" t="str">
        <f t="shared" si="22"/>
        <v/>
      </c>
      <c r="J177" s="43" t="str">
        <f t="shared" si="23"/>
        <v/>
      </c>
      <c r="K177" s="33" t="str">
        <f>IF(B177="","Pending",IF(M177="","⚠️ Enter Code",IF(IFERROR(VLOOKUP(L177,DB_Agents!$B:$F,4,0),"")=TEXT(M177,"0"),"Pending Approval","🔒 WRONG CODE")))</f>
        <v>Pending</v>
      </c>
      <c r="L177" s="30" t="s">
        <v>60</v>
      </c>
      <c r="M177" s="41"/>
      <c r="N177" s="22"/>
    </row>
    <row r="178" spans="1:14" ht="20.100000000000001" customHeight="1" x14ac:dyDescent="0.25">
      <c r="A178" s="30" t="str">
        <f t="shared" si="20"/>
        <v/>
      </c>
      <c r="B178" s="41"/>
      <c r="C178" s="35" t="str">
        <f>IF(B178="","",IFERROR(VLOOKUP(B178,DB_Customers!$A:$B,2,0),"❌ Account Not Found"))</f>
        <v/>
      </c>
      <c r="D178" s="42" t="str">
        <f t="shared" ca="1" si="21"/>
        <v/>
      </c>
      <c r="E178" s="32"/>
      <c r="F178" s="31"/>
      <c r="G178" s="41"/>
      <c r="H178" s="56">
        <v>2.5</v>
      </c>
      <c r="I178" s="43" t="str">
        <f t="shared" si="22"/>
        <v/>
      </c>
      <c r="J178" s="43" t="str">
        <f t="shared" si="23"/>
        <v/>
      </c>
      <c r="K178" s="33" t="str">
        <f>IF(B178="","Pending",IF(M178="","⚠️ Enter Code",IF(IFERROR(VLOOKUP(L178,DB_Agents!$B:$F,4,0),"")=TEXT(M178,"0"),"Pending Approval","🔒 WRONG CODE")))</f>
        <v>Pending</v>
      </c>
      <c r="L178" s="30" t="s">
        <v>60</v>
      </c>
      <c r="M178" s="41"/>
      <c r="N178" s="57"/>
    </row>
    <row r="179" spans="1:14" ht="20.100000000000001" customHeight="1" x14ac:dyDescent="0.25">
      <c r="A179" s="30" t="str">
        <f t="shared" si="20"/>
        <v/>
      </c>
      <c r="B179" s="41"/>
      <c r="C179" s="35" t="str">
        <f>IF(B179="","",IFERROR(VLOOKUP(B179,DB_Customers!$A:$B,2,0),"❌ Account Not Found"))</f>
        <v/>
      </c>
      <c r="D179" s="42" t="str">
        <f t="shared" ca="1" si="21"/>
        <v/>
      </c>
      <c r="E179" s="32"/>
      <c r="F179" s="31"/>
      <c r="G179" s="41"/>
      <c r="H179" s="56">
        <v>2.5</v>
      </c>
      <c r="I179" s="43" t="str">
        <f t="shared" si="22"/>
        <v/>
      </c>
      <c r="J179" s="43" t="str">
        <f t="shared" si="23"/>
        <v/>
      </c>
      <c r="K179" s="33" t="str">
        <f>IF(B179="","Pending",IF(M179="","⚠️ Enter Code",IF(IFERROR(VLOOKUP(L179,DB_Agents!$B:$F,4,0),"")=TEXT(M179,"0"),"Pending Approval","🔒 WRONG CODE")))</f>
        <v>Pending</v>
      </c>
      <c r="L179" s="30" t="s">
        <v>60</v>
      </c>
      <c r="M179" s="41"/>
      <c r="N179" s="22"/>
    </row>
    <row r="180" spans="1:14" ht="20.100000000000001" customHeight="1" x14ac:dyDescent="0.25">
      <c r="A180" s="30" t="str">
        <f t="shared" si="20"/>
        <v/>
      </c>
      <c r="B180" s="41"/>
      <c r="C180" s="35" t="str">
        <f>IF(B180="","",IFERROR(VLOOKUP(B180,DB_Customers!$A:$B,2,0),"❌ Account Not Found"))</f>
        <v/>
      </c>
      <c r="D180" s="42" t="str">
        <f t="shared" ca="1" si="21"/>
        <v/>
      </c>
      <c r="E180" s="32"/>
      <c r="F180" s="31"/>
      <c r="G180" s="41"/>
      <c r="H180" s="56">
        <v>2.5</v>
      </c>
      <c r="I180" s="43" t="str">
        <f t="shared" si="22"/>
        <v/>
      </c>
      <c r="J180" s="43" t="str">
        <f t="shared" si="23"/>
        <v/>
      </c>
      <c r="K180" s="33" t="str">
        <f>IF(B180="","Pending",IF(M180="","⚠️ Enter Code",IF(IFERROR(VLOOKUP(L180,DB_Agents!$B:$F,4,0),"")=TEXT(M180,"0"),"Pending Approval","🔒 WRONG CODE")))</f>
        <v>Pending</v>
      </c>
      <c r="L180" s="30" t="s">
        <v>60</v>
      </c>
      <c r="M180" s="41"/>
      <c r="N180" s="57"/>
    </row>
    <row r="181" spans="1:14" ht="20.100000000000001" customHeight="1" x14ac:dyDescent="0.25">
      <c r="A181" s="30" t="str">
        <f t="shared" si="20"/>
        <v/>
      </c>
      <c r="B181" s="41"/>
      <c r="C181" s="35" t="str">
        <f>IF(B181="","",IFERROR(VLOOKUP(B181,DB_Customers!$A:$B,2,0),"❌ Account Not Found"))</f>
        <v/>
      </c>
      <c r="D181" s="42" t="str">
        <f t="shared" ca="1" si="21"/>
        <v/>
      </c>
      <c r="E181" s="32"/>
      <c r="F181" s="31"/>
      <c r="G181" s="41"/>
      <c r="H181" s="56">
        <v>2.5</v>
      </c>
      <c r="I181" s="43" t="str">
        <f t="shared" si="22"/>
        <v/>
      </c>
      <c r="J181" s="43" t="str">
        <f t="shared" si="23"/>
        <v/>
      </c>
      <c r="K181" s="33" t="str">
        <f>IF(B181="","Pending",IF(M181="","⚠️ Enter Code",IF(IFERROR(VLOOKUP(L181,DB_Agents!$B:$F,4,0),"")=TEXT(M181,"0"),"Pending Approval","🔒 WRONG CODE")))</f>
        <v>Pending</v>
      </c>
      <c r="L181" s="30" t="s">
        <v>60</v>
      </c>
      <c r="M181" s="41"/>
      <c r="N181" s="22"/>
    </row>
    <row r="182" spans="1:14" ht="20.100000000000001" customHeight="1" x14ac:dyDescent="0.25">
      <c r="A182" s="30" t="str">
        <f t="shared" si="20"/>
        <v/>
      </c>
      <c r="B182" s="41"/>
      <c r="C182" s="35" t="str">
        <f>IF(B182="","",IFERROR(VLOOKUP(B182,DB_Customers!$A:$B,2,0),"❌ Account Not Found"))</f>
        <v/>
      </c>
      <c r="D182" s="42" t="str">
        <f t="shared" ca="1" si="21"/>
        <v/>
      </c>
      <c r="E182" s="32"/>
      <c r="F182" s="31"/>
      <c r="G182" s="41"/>
      <c r="H182" s="56">
        <v>2.5</v>
      </c>
      <c r="I182" s="43" t="str">
        <f t="shared" si="22"/>
        <v/>
      </c>
      <c r="J182" s="43" t="str">
        <f t="shared" si="23"/>
        <v/>
      </c>
      <c r="K182" s="33" t="str">
        <f>IF(B182="","Pending",IF(M182="","⚠️ Enter Code",IF(IFERROR(VLOOKUP(L182,DB_Agents!$B:$F,4,0),"")=TEXT(M182,"0"),"Pending Approval","🔒 WRONG CODE")))</f>
        <v>Pending</v>
      </c>
      <c r="L182" s="30" t="s">
        <v>60</v>
      </c>
      <c r="M182" s="41"/>
      <c r="N182" s="57"/>
    </row>
    <row r="183" spans="1:14" ht="20.100000000000001" customHeight="1" x14ac:dyDescent="0.25">
      <c r="A183" s="30" t="str">
        <f t="shared" si="20"/>
        <v/>
      </c>
      <c r="B183" s="41"/>
      <c r="C183" s="35" t="str">
        <f>IF(B183="","",IFERROR(VLOOKUP(B183,DB_Customers!$A:$B,2,0),"❌ Account Not Found"))</f>
        <v/>
      </c>
      <c r="D183" s="42" t="str">
        <f t="shared" ca="1" si="21"/>
        <v/>
      </c>
      <c r="E183" s="32"/>
      <c r="F183" s="31"/>
      <c r="G183" s="41"/>
      <c r="H183" s="56">
        <v>2.5</v>
      </c>
      <c r="I183" s="43" t="str">
        <f t="shared" si="22"/>
        <v/>
      </c>
      <c r="J183" s="43" t="str">
        <f t="shared" si="23"/>
        <v/>
      </c>
      <c r="K183" s="33" t="str">
        <f>IF(B183="","Pending",IF(M183="","⚠️ Enter Code",IF(IFERROR(VLOOKUP(L183,DB_Agents!$B:$F,4,0),"")=TEXT(M183,"0"),"Pending Approval","🔒 WRONG CODE")))</f>
        <v>Pending</v>
      </c>
      <c r="L183" s="30" t="s">
        <v>60</v>
      </c>
      <c r="M183" s="41"/>
      <c r="N183" s="22"/>
    </row>
    <row r="184" spans="1:14" ht="20.100000000000001" customHeight="1" x14ac:dyDescent="0.25">
      <c r="A184" s="30" t="str">
        <f t="shared" si="20"/>
        <v/>
      </c>
      <c r="B184" s="41"/>
      <c r="C184" s="35" t="str">
        <f>IF(B184="","",IFERROR(VLOOKUP(B184,DB_Customers!$A:$B,2,0),"❌ Account Not Found"))</f>
        <v/>
      </c>
      <c r="D184" s="42" t="str">
        <f t="shared" ca="1" si="21"/>
        <v/>
      </c>
      <c r="E184" s="32"/>
      <c r="F184" s="31"/>
      <c r="G184" s="41"/>
      <c r="H184" s="56">
        <v>2.5</v>
      </c>
      <c r="I184" s="43" t="str">
        <f t="shared" si="22"/>
        <v/>
      </c>
      <c r="J184" s="43" t="str">
        <f t="shared" si="23"/>
        <v/>
      </c>
      <c r="K184" s="33" t="str">
        <f>IF(B184="","Pending",IF(M184="","⚠️ Enter Code",IF(IFERROR(VLOOKUP(L184,DB_Agents!$B:$F,4,0),"")=TEXT(M184,"0"),"Pending Approval","🔒 WRONG CODE")))</f>
        <v>Pending</v>
      </c>
      <c r="L184" s="30" t="s">
        <v>60</v>
      </c>
      <c r="M184" s="41"/>
      <c r="N184" s="57"/>
    </row>
    <row r="185" spans="1:14" ht="20.100000000000001" customHeight="1" x14ac:dyDescent="0.25">
      <c r="A185" s="30" t="str">
        <f t="shared" si="20"/>
        <v/>
      </c>
      <c r="B185" s="41"/>
      <c r="C185" s="35" t="str">
        <f>IF(B185="","",IFERROR(VLOOKUP(B185,DB_Customers!$A:$B,2,0),"❌ Account Not Found"))</f>
        <v/>
      </c>
      <c r="D185" s="42" t="str">
        <f t="shared" ca="1" si="21"/>
        <v/>
      </c>
      <c r="E185" s="32"/>
      <c r="F185" s="31"/>
      <c r="G185" s="41"/>
      <c r="H185" s="56">
        <v>2.5</v>
      </c>
      <c r="I185" s="43" t="str">
        <f t="shared" si="22"/>
        <v/>
      </c>
      <c r="J185" s="43" t="str">
        <f t="shared" si="23"/>
        <v/>
      </c>
      <c r="K185" s="33" t="str">
        <f>IF(B185="","Pending",IF(M185="","⚠️ Enter Code",IF(IFERROR(VLOOKUP(L185,DB_Agents!$B:$F,4,0),"")=TEXT(M185,"0"),"Pending Approval","🔒 WRONG CODE")))</f>
        <v>Pending</v>
      </c>
      <c r="L185" s="30" t="s">
        <v>60</v>
      </c>
      <c r="M185" s="41"/>
      <c r="N185" s="22"/>
    </row>
    <row r="186" spans="1:14" ht="20.100000000000001" customHeight="1" x14ac:dyDescent="0.25">
      <c r="A186" s="30" t="str">
        <f t="shared" si="20"/>
        <v/>
      </c>
      <c r="B186" s="41"/>
      <c r="C186" s="35" t="str">
        <f>IF(B186="","",IFERROR(VLOOKUP(B186,DB_Customers!$A:$B,2,0),"❌ Account Not Found"))</f>
        <v/>
      </c>
      <c r="D186" s="42" t="str">
        <f t="shared" ca="1" si="21"/>
        <v/>
      </c>
      <c r="E186" s="32"/>
      <c r="F186" s="31"/>
      <c r="G186" s="41"/>
      <c r="H186" s="56">
        <v>2.5</v>
      </c>
      <c r="I186" s="43" t="str">
        <f t="shared" si="22"/>
        <v/>
      </c>
      <c r="J186" s="43" t="str">
        <f t="shared" si="23"/>
        <v/>
      </c>
      <c r="K186" s="33" t="str">
        <f>IF(B186="","Pending",IF(M186="","⚠️ Enter Code",IF(IFERROR(VLOOKUP(L186,DB_Agents!$B:$F,4,0),"")=TEXT(M186,"0"),"Pending Approval","🔒 WRONG CODE")))</f>
        <v>Pending</v>
      </c>
      <c r="L186" s="30" t="s">
        <v>60</v>
      </c>
      <c r="M186" s="41"/>
      <c r="N186" s="57"/>
    </row>
    <row r="187" spans="1:14" ht="20.100000000000001" customHeight="1" x14ac:dyDescent="0.25">
      <c r="A187" s="30" t="str">
        <f t="shared" si="20"/>
        <v/>
      </c>
      <c r="B187" s="41"/>
      <c r="C187" s="35" t="str">
        <f>IF(B187="","",IFERROR(VLOOKUP(B187,DB_Customers!$A:$B,2,0),"❌ Account Not Found"))</f>
        <v/>
      </c>
      <c r="D187" s="42" t="str">
        <f t="shared" ca="1" si="21"/>
        <v/>
      </c>
      <c r="E187" s="32"/>
      <c r="F187" s="31"/>
      <c r="G187" s="41"/>
      <c r="H187" s="56">
        <v>2.5</v>
      </c>
      <c r="I187" s="43" t="str">
        <f t="shared" si="22"/>
        <v/>
      </c>
      <c r="J187" s="43" t="str">
        <f t="shared" si="23"/>
        <v/>
      </c>
      <c r="K187" s="33" t="str">
        <f>IF(B187="","Pending",IF(M187="","⚠️ Enter Code",IF(IFERROR(VLOOKUP(L187,DB_Agents!$B:$F,4,0),"")=TEXT(M187,"0"),"Pending Approval","🔒 WRONG CODE")))</f>
        <v>Pending</v>
      </c>
      <c r="L187" s="30" t="s">
        <v>60</v>
      </c>
      <c r="M187" s="41"/>
      <c r="N187" s="22"/>
    </row>
    <row r="188" spans="1:14" ht="20.100000000000001" customHeight="1" x14ac:dyDescent="0.25">
      <c r="A188" s="30" t="str">
        <f t="shared" si="20"/>
        <v/>
      </c>
      <c r="B188" s="41"/>
      <c r="C188" s="35" t="str">
        <f>IF(B188="","",IFERROR(VLOOKUP(B188,DB_Customers!$A:$B,2,0),"❌ Account Not Found"))</f>
        <v/>
      </c>
      <c r="D188" s="42" t="str">
        <f t="shared" ca="1" si="21"/>
        <v/>
      </c>
      <c r="E188" s="32"/>
      <c r="F188" s="31"/>
      <c r="G188" s="41"/>
      <c r="H188" s="56">
        <v>2.5</v>
      </c>
      <c r="I188" s="43" t="str">
        <f t="shared" si="22"/>
        <v/>
      </c>
      <c r="J188" s="43" t="str">
        <f t="shared" si="23"/>
        <v/>
      </c>
      <c r="K188" s="33" t="str">
        <f>IF(B188="","Pending",IF(M188="","⚠️ Enter Code",IF(IFERROR(VLOOKUP(L188,DB_Agents!$B:$F,4,0),"")=TEXT(M188,"0"),"Pending Approval","🔒 WRONG CODE")))</f>
        <v>Pending</v>
      </c>
      <c r="L188" s="30" t="s">
        <v>60</v>
      </c>
      <c r="M188" s="41"/>
      <c r="N188" s="57"/>
    </row>
    <row r="189" spans="1:14" ht="20.100000000000001" customHeight="1" x14ac:dyDescent="0.25">
      <c r="A189" s="30" t="str">
        <f t="shared" si="20"/>
        <v/>
      </c>
      <c r="B189" s="41"/>
      <c r="C189" s="35" t="str">
        <f>IF(B189="","",IFERROR(VLOOKUP(B189,DB_Customers!$A:$B,2,0),"❌ Account Not Found"))</f>
        <v/>
      </c>
      <c r="D189" s="42" t="str">
        <f t="shared" ca="1" si="21"/>
        <v/>
      </c>
      <c r="E189" s="32"/>
      <c r="F189" s="31"/>
      <c r="G189" s="41"/>
      <c r="H189" s="56">
        <v>2.5</v>
      </c>
      <c r="I189" s="43" t="str">
        <f t="shared" si="22"/>
        <v/>
      </c>
      <c r="J189" s="43" t="str">
        <f t="shared" si="23"/>
        <v/>
      </c>
      <c r="K189" s="33" t="str">
        <f>IF(B189="","Pending",IF(M189="","⚠️ Enter Code",IF(IFERROR(VLOOKUP(L189,DB_Agents!$B:$F,4,0),"")=TEXT(M189,"0"),"Pending Approval","🔒 WRONG CODE")))</f>
        <v>Pending</v>
      </c>
      <c r="L189" s="30" t="s">
        <v>60</v>
      </c>
      <c r="M189" s="41"/>
      <c r="N189" s="22"/>
    </row>
    <row r="190" spans="1:14" ht="20.100000000000001" customHeight="1" x14ac:dyDescent="0.25">
      <c r="A190" s="30" t="str">
        <f t="shared" si="20"/>
        <v/>
      </c>
      <c r="B190" s="41"/>
      <c r="C190" s="35" t="str">
        <f>IF(B190="","",IFERROR(VLOOKUP(B190,DB_Customers!$A:$B,2,0),"❌ Account Not Found"))</f>
        <v/>
      </c>
      <c r="D190" s="42" t="str">
        <f t="shared" ca="1" si="21"/>
        <v/>
      </c>
      <c r="E190" s="32"/>
      <c r="F190" s="31"/>
      <c r="G190" s="41"/>
      <c r="H190" s="56">
        <v>2.5</v>
      </c>
      <c r="I190" s="43" t="str">
        <f t="shared" si="22"/>
        <v/>
      </c>
      <c r="J190" s="43" t="str">
        <f t="shared" si="23"/>
        <v/>
      </c>
      <c r="K190" s="33" t="str">
        <f>IF(B190="","Pending",IF(M190="","⚠️ Enter Code",IF(IFERROR(VLOOKUP(L190,DB_Agents!$B:$F,4,0),"")=TEXT(M190,"0"),"Pending Approval","🔒 WRONG CODE")))</f>
        <v>Pending</v>
      </c>
      <c r="L190" s="30" t="s">
        <v>60</v>
      </c>
      <c r="M190" s="41"/>
      <c r="N190" s="57"/>
    </row>
    <row r="191" spans="1:14" ht="20.100000000000001" customHeight="1" x14ac:dyDescent="0.25">
      <c r="A191" s="30" t="str">
        <f t="shared" si="20"/>
        <v/>
      </c>
      <c r="B191" s="41"/>
      <c r="C191" s="35" t="str">
        <f>IF(B191="","",IFERROR(VLOOKUP(B191,DB_Customers!$A:$B,2,0),"❌ Account Not Found"))</f>
        <v/>
      </c>
      <c r="D191" s="42" t="str">
        <f t="shared" ca="1" si="21"/>
        <v/>
      </c>
      <c r="E191" s="32"/>
      <c r="F191" s="31"/>
      <c r="G191" s="41"/>
      <c r="H191" s="56">
        <v>2.5</v>
      </c>
      <c r="I191" s="43" t="str">
        <f t="shared" si="22"/>
        <v/>
      </c>
      <c r="J191" s="43" t="str">
        <f t="shared" si="23"/>
        <v/>
      </c>
      <c r="K191" s="33" t="str">
        <f>IF(B191="","Pending",IF(M191="","⚠️ Enter Code",IF(IFERROR(VLOOKUP(L191,DB_Agents!$B:$F,4,0),"")=TEXT(M191,"0"),"Pending Approval","🔒 WRONG CODE")))</f>
        <v>Pending</v>
      </c>
      <c r="L191" s="30" t="s">
        <v>60</v>
      </c>
      <c r="M191" s="41"/>
      <c r="N191" s="22"/>
    </row>
    <row r="192" spans="1:14" ht="20.100000000000001" customHeight="1" x14ac:dyDescent="0.25">
      <c r="A192" s="30" t="str">
        <f t="shared" si="20"/>
        <v/>
      </c>
      <c r="B192" s="41"/>
      <c r="C192" s="35" t="str">
        <f>IF(B192="","",IFERROR(VLOOKUP(B192,DB_Customers!$A:$B,2,0),"❌ Account Not Found"))</f>
        <v/>
      </c>
      <c r="D192" s="42" t="str">
        <f t="shared" ca="1" si="21"/>
        <v/>
      </c>
      <c r="E192" s="32"/>
      <c r="F192" s="31"/>
      <c r="G192" s="41"/>
      <c r="H192" s="56">
        <v>2.5</v>
      </c>
      <c r="I192" s="43" t="str">
        <f t="shared" si="22"/>
        <v/>
      </c>
      <c r="J192" s="43" t="str">
        <f t="shared" si="23"/>
        <v/>
      </c>
      <c r="K192" s="33" t="str">
        <f>IF(B192="","Pending",IF(M192="","⚠️ Enter Code",IF(IFERROR(VLOOKUP(L192,DB_Agents!$B:$F,4,0),"")=TEXT(M192,"0"),"Pending Approval","🔒 WRONG CODE")))</f>
        <v>Pending</v>
      </c>
      <c r="L192" s="30" t="s">
        <v>60</v>
      </c>
      <c r="M192" s="41"/>
      <c r="N192" s="57"/>
    </row>
    <row r="193" spans="1:14" ht="20.100000000000001" customHeight="1" x14ac:dyDescent="0.25">
      <c r="A193" s="30" t="str">
        <f t="shared" si="20"/>
        <v/>
      </c>
      <c r="B193" s="41"/>
      <c r="C193" s="35" t="str">
        <f>IF(B193="","",IFERROR(VLOOKUP(B193,DB_Customers!$A:$B,2,0),"❌ Account Not Found"))</f>
        <v/>
      </c>
      <c r="D193" s="42" t="str">
        <f t="shared" ca="1" si="21"/>
        <v/>
      </c>
      <c r="E193" s="32"/>
      <c r="F193" s="31"/>
      <c r="G193" s="41"/>
      <c r="H193" s="56">
        <v>2.5</v>
      </c>
      <c r="I193" s="43" t="str">
        <f t="shared" si="22"/>
        <v/>
      </c>
      <c r="J193" s="43" t="str">
        <f t="shared" si="23"/>
        <v/>
      </c>
      <c r="K193" s="33" t="str">
        <f>IF(B193="","Pending",IF(M193="","⚠️ Enter Code",IF(IFERROR(VLOOKUP(L193,DB_Agents!$B:$F,4,0),"")=TEXT(M193,"0"),"Pending Approval","🔒 WRONG CODE")))</f>
        <v>Pending</v>
      </c>
      <c r="L193" s="30" t="s">
        <v>60</v>
      </c>
      <c r="M193" s="41"/>
      <c r="N193" s="22"/>
    </row>
    <row r="194" spans="1:14" ht="20.100000000000001" customHeight="1" x14ac:dyDescent="0.25">
      <c r="A194" s="30" t="str">
        <f t="shared" si="20"/>
        <v/>
      </c>
      <c r="B194" s="41"/>
      <c r="C194" s="35" t="str">
        <f>IF(B194="","",IFERROR(VLOOKUP(B194,DB_Customers!$A:$B,2,0),"❌ Account Not Found"))</f>
        <v/>
      </c>
      <c r="D194" s="42" t="str">
        <f t="shared" ca="1" si="21"/>
        <v/>
      </c>
      <c r="E194" s="32"/>
      <c r="F194" s="31"/>
      <c r="G194" s="41"/>
      <c r="H194" s="56">
        <v>2.5</v>
      </c>
      <c r="I194" s="43" t="str">
        <f t="shared" si="22"/>
        <v/>
      </c>
      <c r="J194" s="43" t="str">
        <f t="shared" si="23"/>
        <v/>
      </c>
      <c r="K194" s="33" t="str">
        <f>IF(B194="","Pending",IF(M194="","⚠️ Enter Code",IF(IFERROR(VLOOKUP(L194,DB_Agents!$B:$F,4,0),"")=TEXT(M194,"0"),"Pending Approval","🔒 WRONG CODE")))</f>
        <v>Pending</v>
      </c>
      <c r="L194" s="30" t="s">
        <v>60</v>
      </c>
      <c r="M194" s="41"/>
      <c r="N194" s="57"/>
    </row>
    <row r="195" spans="1:14" ht="20.100000000000001" customHeight="1" x14ac:dyDescent="0.25">
      <c r="A195" s="30" t="str">
        <f t="shared" si="20"/>
        <v/>
      </c>
      <c r="B195" s="41"/>
      <c r="C195" s="35" t="str">
        <f>IF(B195="","",IFERROR(VLOOKUP(B195,DB_Customers!$A:$B,2,0),"❌ Account Not Found"))</f>
        <v/>
      </c>
      <c r="D195" s="42" t="str">
        <f t="shared" ca="1" si="21"/>
        <v/>
      </c>
      <c r="E195" s="32"/>
      <c r="F195" s="31"/>
      <c r="G195" s="41"/>
      <c r="H195" s="56">
        <v>2.5</v>
      </c>
      <c r="I195" s="43" t="str">
        <f t="shared" si="22"/>
        <v/>
      </c>
      <c r="J195" s="43" t="str">
        <f t="shared" si="23"/>
        <v/>
      </c>
      <c r="K195" s="33" t="str">
        <f>IF(B195="","Pending",IF(M195="","⚠️ Enter Code",IF(IFERROR(VLOOKUP(L195,DB_Agents!$B:$F,4,0),"")=TEXT(M195,"0"),"Pending Approval","🔒 WRONG CODE")))</f>
        <v>Pending</v>
      </c>
      <c r="L195" s="30" t="s">
        <v>60</v>
      </c>
      <c r="M195" s="41"/>
      <c r="N195" s="22"/>
    </row>
    <row r="196" spans="1:14" ht="20.100000000000001" customHeight="1" x14ac:dyDescent="0.25">
      <c r="A196" s="30" t="str">
        <f t="shared" si="20"/>
        <v/>
      </c>
      <c r="B196" s="41"/>
      <c r="C196" s="35" t="str">
        <f>IF(B196="","",IFERROR(VLOOKUP(B196,DB_Customers!$A:$B,2,0),"❌ Account Not Found"))</f>
        <v/>
      </c>
      <c r="D196" s="42" t="str">
        <f t="shared" ca="1" si="21"/>
        <v/>
      </c>
      <c r="E196" s="32"/>
      <c r="F196" s="31"/>
      <c r="G196" s="41"/>
      <c r="H196" s="56">
        <v>2.5</v>
      </c>
      <c r="I196" s="43" t="str">
        <f t="shared" si="22"/>
        <v/>
      </c>
      <c r="J196" s="43" t="str">
        <f t="shared" si="23"/>
        <v/>
      </c>
      <c r="K196" s="33" t="str">
        <f>IF(B196="","Pending",IF(M196="","⚠️ Enter Code",IF(IFERROR(VLOOKUP(L196,DB_Agents!$B:$F,4,0),"")=TEXT(M196,"0"),"Pending Approval","🔒 WRONG CODE")))</f>
        <v>Pending</v>
      </c>
      <c r="L196" s="30" t="s">
        <v>60</v>
      </c>
      <c r="M196" s="41"/>
      <c r="N196" s="57"/>
    </row>
    <row r="197" spans="1:14" ht="20.100000000000001" customHeight="1" x14ac:dyDescent="0.25">
      <c r="A197" s="30" t="str">
        <f t="shared" si="20"/>
        <v/>
      </c>
      <c r="B197" s="41"/>
      <c r="C197" s="35" t="str">
        <f>IF(B197="","",IFERROR(VLOOKUP(B197,DB_Customers!$A:$B,2,0),"❌ Account Not Found"))</f>
        <v/>
      </c>
      <c r="D197" s="42" t="str">
        <f t="shared" ca="1" si="21"/>
        <v/>
      </c>
      <c r="E197" s="32"/>
      <c r="F197" s="31"/>
      <c r="G197" s="41"/>
      <c r="H197" s="56">
        <v>2.5</v>
      </c>
      <c r="I197" s="43" t="str">
        <f t="shared" si="22"/>
        <v/>
      </c>
      <c r="J197" s="43" t="str">
        <f t="shared" si="23"/>
        <v/>
      </c>
      <c r="K197" s="33" t="str">
        <f>IF(B197="","Pending",IF(M197="","⚠️ Enter Code",IF(IFERROR(VLOOKUP(L197,DB_Agents!$B:$F,4,0),"")=TEXT(M197,"0"),"Pending Approval","🔒 WRONG CODE")))</f>
        <v>Pending</v>
      </c>
      <c r="L197" s="30" t="s">
        <v>60</v>
      </c>
      <c r="M197" s="41"/>
      <c r="N197" s="22"/>
    </row>
    <row r="198" spans="1:14" ht="20.100000000000001" customHeight="1" x14ac:dyDescent="0.25">
      <c r="A198" s="30" t="str">
        <f t="shared" si="20"/>
        <v/>
      </c>
      <c r="B198" s="41"/>
      <c r="C198" s="35" t="str">
        <f>IF(B198="","",IFERROR(VLOOKUP(B198,DB_Customers!$A:$B,2,0),"❌ Account Not Found"))</f>
        <v/>
      </c>
      <c r="D198" s="42" t="str">
        <f t="shared" ca="1" si="21"/>
        <v/>
      </c>
      <c r="E198" s="32"/>
      <c r="F198" s="31"/>
      <c r="G198" s="41"/>
      <c r="H198" s="56">
        <v>2.5</v>
      </c>
      <c r="I198" s="43" t="str">
        <f t="shared" si="22"/>
        <v/>
      </c>
      <c r="J198" s="43" t="str">
        <f t="shared" si="23"/>
        <v/>
      </c>
      <c r="K198" s="33" t="str">
        <f>IF(B198="","Pending",IF(M198="","⚠️ Enter Code",IF(IFERROR(VLOOKUP(L198,DB_Agents!$B:$F,4,0),"")=TEXT(M198,"0"),"Pending Approval","🔒 WRONG CODE")))</f>
        <v>Pending</v>
      </c>
      <c r="L198" s="30" t="s">
        <v>60</v>
      </c>
      <c r="M198" s="41"/>
      <c r="N198" s="57"/>
    </row>
    <row r="199" spans="1:14" ht="20.100000000000001" customHeight="1" x14ac:dyDescent="0.25">
      <c r="A199" s="30" t="str">
        <f t="shared" si="20"/>
        <v/>
      </c>
      <c r="B199" s="41"/>
      <c r="C199" s="35" t="str">
        <f>IF(B199="","",IFERROR(VLOOKUP(B199,DB_Customers!$A:$B,2,0),"❌ Account Not Found"))</f>
        <v/>
      </c>
      <c r="D199" s="42" t="str">
        <f t="shared" ca="1" si="21"/>
        <v/>
      </c>
      <c r="E199" s="32"/>
      <c r="F199" s="31"/>
      <c r="G199" s="41"/>
      <c r="H199" s="56">
        <v>2.5</v>
      </c>
      <c r="I199" s="43" t="str">
        <f t="shared" si="22"/>
        <v/>
      </c>
      <c r="J199" s="43" t="str">
        <f t="shared" si="23"/>
        <v/>
      </c>
      <c r="K199" s="33" t="str">
        <f>IF(B199="","Pending",IF(M199="","⚠️ Enter Code",IF(IFERROR(VLOOKUP(L199,DB_Agents!$B:$F,4,0),"")=TEXT(M199,"0"),"Pending Approval","🔒 WRONG CODE")))</f>
        <v>Pending</v>
      </c>
      <c r="L199" s="30" t="s">
        <v>60</v>
      </c>
      <c r="M199" s="41"/>
      <c r="N199" s="22"/>
    </row>
    <row r="200" spans="1:14" ht="20.100000000000001" customHeight="1" x14ac:dyDescent="0.25">
      <c r="A200" s="30" t="str">
        <f t="shared" si="20"/>
        <v/>
      </c>
      <c r="B200" s="41"/>
      <c r="C200" s="35" t="str">
        <f>IF(B200="","",IFERROR(VLOOKUP(B200,DB_Customers!$A:$B,2,0),"❌ Account Not Found"))</f>
        <v/>
      </c>
      <c r="D200" s="42" t="str">
        <f t="shared" ca="1" si="21"/>
        <v/>
      </c>
      <c r="E200" s="32"/>
      <c r="F200" s="31"/>
      <c r="G200" s="41"/>
      <c r="H200" s="56">
        <v>2.5</v>
      </c>
      <c r="I200" s="43" t="str">
        <f t="shared" si="22"/>
        <v/>
      </c>
      <c r="J200" s="43" t="str">
        <f t="shared" si="23"/>
        <v/>
      </c>
      <c r="K200" s="33" t="str">
        <f>IF(B200="","Pending",IF(M200="","⚠️ Enter Code",IF(IFERROR(VLOOKUP(L200,DB_Agents!$B:$F,4,0),"")=TEXT(M200,"0"),"Pending Approval","🔒 WRONG CODE")))</f>
        <v>Pending</v>
      </c>
      <c r="L200" s="30" t="s">
        <v>60</v>
      </c>
      <c r="M200" s="41"/>
      <c r="N200" s="57"/>
    </row>
    <row r="201" spans="1:14" ht="20.100000000000001" customHeight="1" x14ac:dyDescent="0.25">
      <c r="A201" s="30" t="str">
        <f t="shared" si="20"/>
        <v/>
      </c>
      <c r="B201" s="41"/>
      <c r="C201" s="35" t="str">
        <f>IF(B201="","",IFERROR(VLOOKUP(B201,DB_Customers!$A:$B,2,0),"❌ Account Not Found"))</f>
        <v/>
      </c>
      <c r="D201" s="42" t="str">
        <f t="shared" ca="1" si="21"/>
        <v/>
      </c>
      <c r="E201" s="32"/>
      <c r="F201" s="31"/>
      <c r="G201" s="41"/>
      <c r="H201" s="56">
        <v>2.5</v>
      </c>
      <c r="I201" s="43" t="str">
        <f t="shared" si="22"/>
        <v/>
      </c>
      <c r="J201" s="43" t="str">
        <f t="shared" si="23"/>
        <v/>
      </c>
      <c r="K201" s="33" t="str">
        <f>IF(B201="","Pending",IF(M201="","⚠️ Enter Code",IF(IFERROR(VLOOKUP(L201,DB_Agents!$B:$F,4,0),"")=TEXT(M201,"0"),"Pending Approval","🔒 WRONG CODE")))</f>
        <v>Pending</v>
      </c>
      <c r="L201" s="30" t="s">
        <v>60</v>
      </c>
      <c r="M201" s="41"/>
      <c r="N201" s="22"/>
    </row>
    <row r="202" spans="1:14" ht="20.100000000000001" customHeight="1" x14ac:dyDescent="0.25">
      <c r="A202" s="30" t="str">
        <f t="shared" si="20"/>
        <v/>
      </c>
      <c r="B202" s="41"/>
      <c r="C202" s="35" t="str">
        <f>IF(B202="","",IFERROR(VLOOKUP(B202,DB_Customers!$A:$B,2,0),"❌ Account Not Found"))</f>
        <v/>
      </c>
      <c r="D202" s="42" t="str">
        <f t="shared" ca="1" si="21"/>
        <v/>
      </c>
      <c r="E202" s="32"/>
      <c r="F202" s="31"/>
      <c r="G202" s="41"/>
      <c r="H202" s="56">
        <v>2.5</v>
      </c>
      <c r="I202" s="43" t="str">
        <f t="shared" si="22"/>
        <v/>
      </c>
      <c r="J202" s="43" t="str">
        <f t="shared" si="23"/>
        <v/>
      </c>
      <c r="K202" s="33" t="str">
        <f>IF(B202="","Pending",IF(M202="","⚠️ Enter Code",IF(IFERROR(VLOOKUP(L202,DB_Agents!$B:$F,4,0),"")=TEXT(M202,"0"),"Pending Approval","🔒 WRONG CODE")))</f>
        <v>Pending</v>
      </c>
      <c r="L202" s="30" t="s">
        <v>60</v>
      </c>
      <c r="M202" s="41"/>
      <c r="N202" s="57"/>
    </row>
    <row r="203" spans="1:14" ht="20.100000000000001" customHeight="1" x14ac:dyDescent="0.25">
      <c r="A203" s="30" t="str">
        <f t="shared" si="20"/>
        <v/>
      </c>
      <c r="B203" s="41"/>
      <c r="C203" s="35" t="str">
        <f>IF(B203="","",IFERROR(VLOOKUP(B203,DB_Customers!$A:$B,2,0),"❌ Account Not Found"))</f>
        <v/>
      </c>
      <c r="D203" s="42" t="str">
        <f t="shared" ca="1" si="21"/>
        <v/>
      </c>
      <c r="E203" s="32"/>
      <c r="F203" s="31"/>
      <c r="G203" s="41"/>
      <c r="H203" s="56">
        <v>2.5</v>
      </c>
      <c r="I203" s="43" t="str">
        <f t="shared" si="22"/>
        <v/>
      </c>
      <c r="J203" s="43" t="str">
        <f t="shared" si="23"/>
        <v/>
      </c>
      <c r="K203" s="33" t="str">
        <f>IF(B203="","Pending",IF(M203="","⚠️ Enter Code",IF(IFERROR(VLOOKUP(L203,DB_Agents!$B:$F,4,0),"")=TEXT(M203,"0"),"Pending Approval","🔒 WRONG CODE")))</f>
        <v>Pending</v>
      </c>
      <c r="L203" s="30" t="s">
        <v>60</v>
      </c>
      <c r="M203" s="41"/>
      <c r="N203" s="22"/>
    </row>
    <row r="204" spans="1:14" ht="20.100000000000001" customHeight="1" x14ac:dyDescent="0.25">
      <c r="A204" s="30" t="str">
        <f t="shared" si="20"/>
        <v/>
      </c>
      <c r="B204" s="41"/>
      <c r="C204" s="35" t="str">
        <f>IF(B204="","",IFERROR(VLOOKUP(B204,DB_Customers!$A:$B,2,0),"❌ Account Not Found"))</f>
        <v/>
      </c>
      <c r="D204" s="42" t="str">
        <f t="shared" ca="1" si="21"/>
        <v/>
      </c>
      <c r="E204" s="32"/>
      <c r="F204" s="31"/>
      <c r="G204" s="41"/>
      <c r="H204" s="56">
        <v>2.5</v>
      </c>
      <c r="I204" s="43" t="str">
        <f t="shared" si="22"/>
        <v/>
      </c>
      <c r="J204" s="43" t="str">
        <f t="shared" si="23"/>
        <v/>
      </c>
      <c r="K204" s="33" t="str">
        <f>IF(B204="","Pending",IF(M204="","⚠️ Enter Code",IF(IFERROR(VLOOKUP(L204,DB_Agents!$B:$F,4,0),"")=TEXT(M204,"0"),"Pending Approval","🔒 WRONG CODE")))</f>
        <v>Pending</v>
      </c>
      <c r="L204" s="30" t="s">
        <v>60</v>
      </c>
      <c r="M204" s="41"/>
      <c r="N204" s="57"/>
    </row>
    <row r="205" spans="1:14" ht="20.100000000000001" customHeight="1" x14ac:dyDescent="0.25">
      <c r="A205" s="30" t="str">
        <f t="shared" si="20"/>
        <v/>
      </c>
      <c r="B205" s="41"/>
      <c r="C205" s="35" t="str">
        <f>IF(B205="","",IFERROR(VLOOKUP(B205,DB_Customers!$A:$B,2,0),"❌ Account Not Found"))</f>
        <v/>
      </c>
      <c r="D205" s="42" t="str">
        <f t="shared" ca="1" si="21"/>
        <v/>
      </c>
      <c r="E205" s="32"/>
      <c r="F205" s="31"/>
      <c r="G205" s="41"/>
      <c r="H205" s="56">
        <v>2.5</v>
      </c>
      <c r="I205" s="43" t="str">
        <f t="shared" si="22"/>
        <v/>
      </c>
      <c r="J205" s="43" t="str">
        <f t="shared" si="23"/>
        <v/>
      </c>
      <c r="K205" s="33" t="str">
        <f>IF(B205="","Pending",IF(M205="","⚠️ Enter Code",IF(IFERROR(VLOOKUP(L205,DB_Agents!$B:$F,4,0),"")=TEXT(M205,"0"),"Pending Approval","🔒 WRONG CODE")))</f>
        <v>Pending</v>
      </c>
      <c r="L205" s="30" t="s">
        <v>60</v>
      </c>
      <c r="M205" s="41"/>
      <c r="N205" s="22"/>
    </row>
    <row r="206" spans="1:14" ht="20.100000000000001" customHeight="1" x14ac:dyDescent="0.25">
      <c r="A206" s="30" t="str">
        <f t="shared" ref="A206:A237" si="24">IF(B206="","",IF(C206="❌ Account Not Found","INVALID","LN"&amp;TEXT(D206,"YYYYMMDD")&amp;TEXT(ROW()-13,"0000")))</f>
        <v/>
      </c>
      <c r="B206" s="41"/>
      <c r="C206" s="35" t="str">
        <f>IF(B206="","",IFERROR(VLOOKUP(B206,DB_Customers!$A:$B,2,0),"❌ Account Not Found"))</f>
        <v/>
      </c>
      <c r="D206" s="42" t="str">
        <f t="shared" ref="D206:D213" ca="1" si="25">IF(B206="","",TODAY())</f>
        <v/>
      </c>
      <c r="E206" s="32"/>
      <c r="F206" s="31"/>
      <c r="G206" s="41"/>
      <c r="H206" s="56">
        <v>2.5</v>
      </c>
      <c r="I206" s="43" t="str">
        <f t="shared" ref="I206:I237" si="26">IF(E206="","",E206+(E206*H206/100*G206))</f>
        <v/>
      </c>
      <c r="J206" s="43" t="str">
        <f t="shared" ref="J206:J237" si="27">IFERROR(I206/G206,"")</f>
        <v/>
      </c>
      <c r="K206" s="33" t="str">
        <f>IF(B206="","Pending",IF(M206="","⚠️ Enter Code",IF(IFERROR(VLOOKUP(L206,DB_Agents!$B:$F,4,0),"")=TEXT(M206,"0"),"Pending Approval","🔒 WRONG CODE")))</f>
        <v>Pending</v>
      </c>
      <c r="L206" s="30" t="s">
        <v>60</v>
      </c>
      <c r="M206" s="41"/>
      <c r="N206" s="57"/>
    </row>
    <row r="207" spans="1:14" ht="20.100000000000001" customHeight="1" x14ac:dyDescent="0.25">
      <c r="A207" s="30" t="str">
        <f t="shared" si="24"/>
        <v/>
      </c>
      <c r="B207" s="41"/>
      <c r="C207" s="35" t="str">
        <f>IF(B207="","",IFERROR(VLOOKUP(B207,DB_Customers!$A:$B,2,0),"❌ Account Not Found"))</f>
        <v/>
      </c>
      <c r="D207" s="42" t="str">
        <f t="shared" ca="1" si="25"/>
        <v/>
      </c>
      <c r="E207" s="32"/>
      <c r="F207" s="31"/>
      <c r="G207" s="41"/>
      <c r="H207" s="56">
        <v>2.5</v>
      </c>
      <c r="I207" s="43" t="str">
        <f t="shared" si="26"/>
        <v/>
      </c>
      <c r="J207" s="43" t="str">
        <f t="shared" si="27"/>
        <v/>
      </c>
      <c r="K207" s="33" t="str">
        <f>IF(B207="","Pending",IF(M207="","⚠️ Enter Code",IF(IFERROR(VLOOKUP(L207,DB_Agents!$B:$F,4,0),"")=TEXT(M207,"0"),"Pending Approval","🔒 WRONG CODE")))</f>
        <v>Pending</v>
      </c>
      <c r="L207" s="30" t="s">
        <v>60</v>
      </c>
      <c r="M207" s="41"/>
      <c r="N207" s="22"/>
    </row>
    <row r="208" spans="1:14" ht="20.100000000000001" customHeight="1" x14ac:dyDescent="0.25">
      <c r="A208" s="30" t="str">
        <f t="shared" si="24"/>
        <v/>
      </c>
      <c r="B208" s="41"/>
      <c r="C208" s="35" t="str">
        <f>IF(B208="","",IFERROR(VLOOKUP(B208,DB_Customers!$A:$B,2,0),"❌ Account Not Found"))</f>
        <v/>
      </c>
      <c r="D208" s="42" t="str">
        <f t="shared" ca="1" si="25"/>
        <v/>
      </c>
      <c r="E208" s="32"/>
      <c r="F208" s="31"/>
      <c r="G208" s="41"/>
      <c r="H208" s="56">
        <v>2.5</v>
      </c>
      <c r="I208" s="43" t="str">
        <f t="shared" si="26"/>
        <v/>
      </c>
      <c r="J208" s="43" t="str">
        <f t="shared" si="27"/>
        <v/>
      </c>
      <c r="K208" s="33" t="str">
        <f>IF(B208="","Pending",IF(M208="","⚠️ Enter Code",IF(IFERROR(VLOOKUP(L208,DB_Agents!$B:$F,4,0),"")=TEXT(M208,"0"),"Pending Approval","🔒 WRONG CODE")))</f>
        <v>Pending</v>
      </c>
      <c r="L208" s="30" t="s">
        <v>60</v>
      </c>
      <c r="M208" s="41"/>
      <c r="N208" s="57"/>
    </row>
    <row r="209" spans="1:14" ht="20.100000000000001" customHeight="1" x14ac:dyDescent="0.25">
      <c r="A209" s="30" t="str">
        <f t="shared" si="24"/>
        <v/>
      </c>
      <c r="B209" s="41"/>
      <c r="C209" s="35" t="str">
        <f>IF(B209="","",IFERROR(VLOOKUP(B209,DB_Customers!$A:$B,2,0),"❌ Account Not Found"))</f>
        <v/>
      </c>
      <c r="D209" s="42" t="str">
        <f t="shared" ca="1" si="25"/>
        <v/>
      </c>
      <c r="E209" s="32"/>
      <c r="F209" s="31"/>
      <c r="G209" s="41"/>
      <c r="H209" s="56">
        <v>2.5</v>
      </c>
      <c r="I209" s="43" t="str">
        <f t="shared" si="26"/>
        <v/>
      </c>
      <c r="J209" s="43" t="str">
        <f t="shared" si="27"/>
        <v/>
      </c>
      <c r="K209" s="33" t="str">
        <f>IF(B209="","Pending",IF(M209="","⚠️ Enter Code",IF(IFERROR(VLOOKUP(L209,DB_Agents!$B:$F,4,0),"")=TEXT(M209,"0"),"Pending Approval","🔒 WRONG CODE")))</f>
        <v>Pending</v>
      </c>
      <c r="L209" s="30" t="s">
        <v>60</v>
      </c>
      <c r="M209" s="41"/>
      <c r="N209" s="22"/>
    </row>
    <row r="210" spans="1:14" ht="20.100000000000001" customHeight="1" x14ac:dyDescent="0.25">
      <c r="A210" s="30" t="str">
        <f t="shared" si="24"/>
        <v/>
      </c>
      <c r="B210" s="41"/>
      <c r="C210" s="35" t="str">
        <f>IF(B210="","",IFERROR(VLOOKUP(B210,DB_Customers!$A:$B,2,0),"❌ Account Not Found"))</f>
        <v/>
      </c>
      <c r="D210" s="42" t="str">
        <f t="shared" ca="1" si="25"/>
        <v/>
      </c>
      <c r="E210" s="32"/>
      <c r="F210" s="31"/>
      <c r="G210" s="41"/>
      <c r="H210" s="56">
        <v>2.5</v>
      </c>
      <c r="I210" s="43" t="str">
        <f t="shared" si="26"/>
        <v/>
      </c>
      <c r="J210" s="43" t="str">
        <f t="shared" si="27"/>
        <v/>
      </c>
      <c r="K210" s="33" t="str">
        <f>IF(B210="","Pending",IF(M210="","⚠️ Enter Code",IF(IFERROR(VLOOKUP(L210,DB_Agents!$B:$F,4,0),"")=TEXT(M210,"0"),"Pending Approval","🔒 WRONG CODE")))</f>
        <v>Pending</v>
      </c>
      <c r="L210" s="30" t="s">
        <v>60</v>
      </c>
      <c r="M210" s="41"/>
      <c r="N210" s="57"/>
    </row>
    <row r="211" spans="1:14" ht="20.100000000000001" customHeight="1" x14ac:dyDescent="0.25">
      <c r="A211" s="30" t="str">
        <f t="shared" si="24"/>
        <v/>
      </c>
      <c r="B211" s="41"/>
      <c r="C211" s="35" t="str">
        <f>IF(B211="","",IFERROR(VLOOKUP(B211,DB_Customers!$A:$B,2,0),"❌ Account Not Found"))</f>
        <v/>
      </c>
      <c r="D211" s="42" t="str">
        <f t="shared" ca="1" si="25"/>
        <v/>
      </c>
      <c r="E211" s="32"/>
      <c r="F211" s="31"/>
      <c r="G211" s="41"/>
      <c r="H211" s="56">
        <v>2.5</v>
      </c>
      <c r="I211" s="43" t="str">
        <f t="shared" si="26"/>
        <v/>
      </c>
      <c r="J211" s="43" t="str">
        <f t="shared" si="27"/>
        <v/>
      </c>
      <c r="K211" s="33" t="str">
        <f>IF(B211="","Pending",IF(M211="","⚠️ Enter Code",IF(IFERROR(VLOOKUP(L211,DB_Agents!$B:$F,4,0),"")=TEXT(M211,"0"),"Pending Approval","🔒 WRONG CODE")))</f>
        <v>Pending</v>
      </c>
      <c r="L211" s="30" t="s">
        <v>60</v>
      </c>
      <c r="M211" s="41"/>
      <c r="N211" s="22"/>
    </row>
    <row r="212" spans="1:14" ht="20.100000000000001" customHeight="1" x14ac:dyDescent="0.25">
      <c r="A212" s="30" t="str">
        <f t="shared" si="24"/>
        <v/>
      </c>
      <c r="B212" s="41"/>
      <c r="C212" s="35" t="str">
        <f>IF(B212="","",IFERROR(VLOOKUP(B212,DB_Customers!$A:$B,2,0),"❌ Account Not Found"))</f>
        <v/>
      </c>
      <c r="D212" s="42" t="str">
        <f t="shared" ca="1" si="25"/>
        <v/>
      </c>
      <c r="E212" s="32"/>
      <c r="F212" s="31"/>
      <c r="G212" s="41"/>
      <c r="H212" s="56">
        <v>2.5</v>
      </c>
      <c r="I212" s="43" t="str">
        <f t="shared" si="26"/>
        <v/>
      </c>
      <c r="J212" s="43" t="str">
        <f t="shared" si="27"/>
        <v/>
      </c>
      <c r="K212" s="33" t="str">
        <f>IF(B212="","Pending",IF(M212="","⚠️ Enter Code",IF(IFERROR(VLOOKUP(L212,DB_Agents!$B:$F,4,0),"")=TEXT(M212,"0"),"Pending Approval","🔒 WRONG CODE")))</f>
        <v>Pending</v>
      </c>
      <c r="L212" s="30" t="s">
        <v>60</v>
      </c>
      <c r="M212" s="41"/>
      <c r="N212" s="57"/>
    </row>
    <row r="213" spans="1:14" ht="20.100000000000001" customHeight="1" x14ac:dyDescent="0.25">
      <c r="A213" s="30" t="str">
        <f t="shared" si="24"/>
        <v/>
      </c>
      <c r="B213" s="41"/>
      <c r="C213" s="35" t="str">
        <f>IF(B213="","",IFERROR(VLOOKUP(B213,DB_Customers!$A:$B,2,0),"❌ Account Not Found"))</f>
        <v/>
      </c>
      <c r="D213" s="42" t="str">
        <f t="shared" ca="1" si="25"/>
        <v/>
      </c>
      <c r="E213" s="32"/>
      <c r="F213" s="31"/>
      <c r="G213" s="41"/>
      <c r="H213" s="56">
        <v>2.5</v>
      </c>
      <c r="I213" s="43" t="str">
        <f t="shared" si="26"/>
        <v/>
      </c>
      <c r="J213" s="43" t="str">
        <f t="shared" si="27"/>
        <v/>
      </c>
      <c r="K213" s="33" t="str">
        <f>IF(B213="","Pending",IF(M213="","⚠️ Enter Code",IF(IFERROR(VLOOKUP(L213,DB_Agents!$B:$F,4,0),"")=TEXT(M213,"0"),"Pending Approval","🔒 WRONG CODE")))</f>
        <v>Pending</v>
      </c>
      <c r="L213" s="30" t="s">
        <v>60</v>
      </c>
      <c r="M213" s="41"/>
      <c r="N213" s="22"/>
    </row>
  </sheetData>
  <mergeCells count="3">
    <mergeCell ref="A12:N12"/>
    <mergeCell ref="A2:N2"/>
    <mergeCell ref="A1:N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2.1" customHeight="1" x14ac:dyDescent="0.25">
      <c r="A1" s="93" t="s">
        <v>202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1.95" customHeight="1" x14ac:dyDescent="0.25">
      <c r="A2" s="97" t="s">
        <v>203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20.100000000000001" customHeight="1" x14ac:dyDescent="0.25">
      <c r="A3" s="44" t="s">
        <v>126</v>
      </c>
      <c r="D3" s="44" t="s">
        <v>127</v>
      </c>
      <c r="G3" s="44" t="s">
        <v>128</v>
      </c>
    </row>
    <row r="4" spans="1:11" ht="24" customHeight="1" x14ac:dyDescent="0.25">
      <c r="A4" s="45">
        <f ca="1">IFERROR(SUMIFS(DB_Savings!$F:$F,DB_Savings!$D:$D,"Agent 08",DB_Savings!$E:$E,TODAY()),0)</f>
        <v>0</v>
      </c>
      <c r="D4" s="45">
        <f ca="1">IFERROR(COUNTIFS(DB_Savings!$D:$D,"Agent 08",DB_Savings!$E:$E,TODAY()),0)</f>
        <v>0</v>
      </c>
      <c r="G4" s="45" t="str">
        <f ca="1">TEXT(TODAY(),"DDDD, DD MMMM YYYY")</f>
        <v>Saturday, 25 April 2026</v>
      </c>
    </row>
    <row r="6" spans="1:11" ht="26.1" customHeight="1" x14ac:dyDescent="0.25">
      <c r="A6" s="97" t="s">
        <v>129</v>
      </c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ht="21.95" customHeight="1" x14ac:dyDescent="0.25">
      <c r="A7" s="90" t="s">
        <v>204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spans="1:11" ht="30" customHeight="1" x14ac:dyDescent="0.25">
      <c r="A8" s="19" t="s">
        <v>131</v>
      </c>
      <c r="B8" s="19" t="s">
        <v>69</v>
      </c>
      <c r="C8" s="19" t="s">
        <v>84</v>
      </c>
      <c r="D8" s="19" t="s">
        <v>91</v>
      </c>
      <c r="E8" s="19" t="s">
        <v>132</v>
      </c>
      <c r="F8" s="19" t="s">
        <v>133</v>
      </c>
      <c r="G8" s="19" t="s">
        <v>45</v>
      </c>
      <c r="H8" s="19" t="s">
        <v>134</v>
      </c>
      <c r="I8" s="19" t="s">
        <v>77</v>
      </c>
      <c r="J8" s="19" t="s">
        <v>135</v>
      </c>
      <c r="K8" s="19" t="s">
        <v>95</v>
      </c>
    </row>
    <row r="9" spans="1:11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IF(A9="","",IFERROR(VLOOKUP(A9,DB_Customers!$A:$M,13,0),""))</f>
        <v/>
      </c>
      <c r="D9" s="42" t="str">
        <f t="shared" ref="D9:D40" ca="1" si="0">IF(A9="","",TODAY())</f>
        <v/>
      </c>
      <c r="E9" s="32"/>
      <c r="F9" s="43" t="str">
        <f t="shared" ref="F9:F40" si="1">IFERROR(IF(OR(A9="",E9=""),"",C9+E9),"")</f>
        <v/>
      </c>
      <c r="G9" s="30" t="s">
        <v>61</v>
      </c>
      <c r="H9" s="41"/>
      <c r="I9" s="33" t="str">
        <f>IF(A9="","",IF(H9="","⚠️ Enter Agent Code",IF(IFERROR(VLOOKUP(G9,DB_Agents!$B:$F,4,0),"")=TEXT(H9,"0"),IF(AND(A9&lt;&gt;"",E9&lt;&gt;""),"✅ Saved","Pending"),"🔒 WRONG CODE")))</f>
        <v/>
      </c>
      <c r="J9" s="33" t="str">
        <f t="shared" ref="J9:J40" ca="1" si="2">IF(I9="✅ Saved",TEXT(TODAY(),"YYYY-MM-DD")&amp;" Auto","—")</f>
        <v>—</v>
      </c>
      <c r="K9" s="22"/>
    </row>
    <row r="10" spans="1:11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IF(A10="","",IFERROR(VLOOKUP(A10,DB_Customers!$A:$M,13,0),""))</f>
        <v/>
      </c>
      <c r="D10" s="42" t="str">
        <f t="shared" ca="1" si="0"/>
        <v/>
      </c>
      <c r="E10" s="32"/>
      <c r="F10" s="43" t="str">
        <f t="shared" si="1"/>
        <v/>
      </c>
      <c r="G10" s="30" t="s">
        <v>61</v>
      </c>
      <c r="H10" s="41"/>
      <c r="I10" s="33" t="str">
        <f>IF(A10="","",IF(H10="","⚠️ Enter Agent Code",IF(IFERROR(VLOOKUP(G10,DB_Agents!$B:$F,4,0),"")=TEXT(H10,"0"),IF(AND(A10&lt;&gt;"",E10&lt;&gt;""),"✅ Saved","Pending"),"🔒 WRONG CODE")))</f>
        <v/>
      </c>
      <c r="J10" s="33" t="str">
        <f t="shared" ca="1" si="2"/>
        <v>—</v>
      </c>
      <c r="K10" s="46"/>
    </row>
    <row r="11" spans="1:11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IF(A11="","",IFERROR(VLOOKUP(A11,DB_Customers!$A:$M,13,0),""))</f>
        <v/>
      </c>
      <c r="D11" s="42" t="str">
        <f t="shared" ca="1" si="0"/>
        <v/>
      </c>
      <c r="E11" s="32"/>
      <c r="F11" s="43" t="str">
        <f t="shared" si="1"/>
        <v/>
      </c>
      <c r="G11" s="30" t="s">
        <v>61</v>
      </c>
      <c r="H11" s="41"/>
      <c r="I11" s="33" t="str">
        <f>IF(A11="","",IF(H11="","⚠️ Enter Agent Code",IF(IFERROR(VLOOKUP(G11,DB_Agents!$B:$F,4,0),"")=TEXT(H11,"0"),IF(AND(A11&lt;&gt;"",E11&lt;&gt;""),"✅ Saved","Pending"),"🔒 WRONG CODE")))</f>
        <v/>
      </c>
      <c r="J11" s="33" t="str">
        <f t="shared" ca="1" si="2"/>
        <v>—</v>
      </c>
      <c r="K11" s="22"/>
    </row>
    <row r="12" spans="1:11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IF(A12="","",IFERROR(VLOOKUP(A12,DB_Customers!$A:$M,13,0),""))</f>
        <v/>
      </c>
      <c r="D12" s="42" t="str">
        <f t="shared" ca="1" si="0"/>
        <v/>
      </c>
      <c r="E12" s="32"/>
      <c r="F12" s="43" t="str">
        <f t="shared" si="1"/>
        <v/>
      </c>
      <c r="G12" s="30" t="s">
        <v>61</v>
      </c>
      <c r="H12" s="41"/>
      <c r="I12" s="33" t="str">
        <f>IF(A12="","",IF(H12="","⚠️ Enter Agent Code",IF(IFERROR(VLOOKUP(G12,DB_Agents!$B:$F,4,0),"")=TEXT(H12,"0"),IF(AND(A12&lt;&gt;"",E12&lt;&gt;""),"✅ Saved","Pending"),"🔒 WRONG CODE")))</f>
        <v/>
      </c>
      <c r="J12" s="33" t="str">
        <f t="shared" ca="1" si="2"/>
        <v>—</v>
      </c>
      <c r="K12" s="46"/>
    </row>
    <row r="13" spans="1:11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IF(A13="","",IFERROR(VLOOKUP(A13,DB_Customers!$A:$M,13,0),""))</f>
        <v/>
      </c>
      <c r="D13" s="42" t="str">
        <f t="shared" ca="1" si="0"/>
        <v/>
      </c>
      <c r="E13" s="32"/>
      <c r="F13" s="43" t="str">
        <f t="shared" si="1"/>
        <v/>
      </c>
      <c r="G13" s="30" t="s">
        <v>61</v>
      </c>
      <c r="H13" s="41"/>
      <c r="I13" s="33" t="str">
        <f>IF(A13="","",IF(H13="","⚠️ Enter Agent Code",IF(IFERROR(VLOOKUP(G13,DB_Agents!$B:$F,4,0),"")=TEXT(H13,"0"),IF(AND(A13&lt;&gt;"",E13&lt;&gt;""),"✅ Saved","Pending"),"🔒 WRONG CODE")))</f>
        <v/>
      </c>
      <c r="J13" s="33" t="str">
        <f t="shared" ca="1" si="2"/>
        <v>—</v>
      </c>
      <c r="K13" s="22"/>
    </row>
    <row r="14" spans="1:11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IF(A14="","",IFERROR(VLOOKUP(A14,DB_Customers!$A:$M,13,0),""))</f>
        <v/>
      </c>
      <c r="D14" s="42" t="str">
        <f t="shared" ca="1" si="0"/>
        <v/>
      </c>
      <c r="E14" s="32"/>
      <c r="F14" s="43" t="str">
        <f t="shared" si="1"/>
        <v/>
      </c>
      <c r="G14" s="30" t="s">
        <v>61</v>
      </c>
      <c r="H14" s="41"/>
      <c r="I14" s="33" t="str">
        <f>IF(A14="","",IF(H14="","⚠️ Enter Agent Code",IF(IFERROR(VLOOKUP(G14,DB_Agents!$B:$F,4,0),"")=TEXT(H14,"0"),IF(AND(A14&lt;&gt;"",E14&lt;&gt;""),"✅ Saved","Pending"),"🔒 WRONG CODE")))</f>
        <v/>
      </c>
      <c r="J14" s="33" t="str">
        <f t="shared" ca="1" si="2"/>
        <v>—</v>
      </c>
      <c r="K14" s="46"/>
    </row>
    <row r="15" spans="1:11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IF(A15="","",IFERROR(VLOOKUP(A15,DB_Customers!$A:$M,13,0),""))</f>
        <v/>
      </c>
      <c r="D15" s="42" t="str">
        <f t="shared" ca="1" si="0"/>
        <v/>
      </c>
      <c r="E15" s="32"/>
      <c r="F15" s="43" t="str">
        <f t="shared" si="1"/>
        <v/>
      </c>
      <c r="G15" s="30" t="s">
        <v>61</v>
      </c>
      <c r="H15" s="41"/>
      <c r="I15" s="33" t="str">
        <f>IF(A15="","",IF(H15="","⚠️ Enter Agent Code",IF(IFERROR(VLOOKUP(G15,DB_Agents!$B:$F,4,0),"")=TEXT(H15,"0"),IF(AND(A15&lt;&gt;"",E15&lt;&gt;""),"✅ Saved","Pending"),"🔒 WRONG CODE")))</f>
        <v/>
      </c>
      <c r="J15" s="33" t="str">
        <f t="shared" ca="1" si="2"/>
        <v>—</v>
      </c>
      <c r="K15" s="22"/>
    </row>
    <row r="16" spans="1:11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IF(A16="","",IFERROR(VLOOKUP(A16,DB_Customers!$A:$M,13,0),""))</f>
        <v/>
      </c>
      <c r="D16" s="42" t="str">
        <f t="shared" ca="1" si="0"/>
        <v/>
      </c>
      <c r="E16" s="32"/>
      <c r="F16" s="43" t="str">
        <f t="shared" si="1"/>
        <v/>
      </c>
      <c r="G16" s="30" t="s">
        <v>61</v>
      </c>
      <c r="H16" s="41"/>
      <c r="I16" s="33" t="str">
        <f>IF(A16="","",IF(H16="","⚠️ Enter Agent Code",IF(IFERROR(VLOOKUP(G16,DB_Agents!$B:$F,4,0),"")=TEXT(H16,"0"),IF(AND(A16&lt;&gt;"",E16&lt;&gt;""),"✅ Saved","Pending"),"🔒 WRONG CODE")))</f>
        <v/>
      </c>
      <c r="J16" s="33" t="str">
        <f t="shared" ca="1" si="2"/>
        <v>—</v>
      </c>
      <c r="K16" s="46"/>
    </row>
    <row r="17" spans="1:11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IF(A17="","",IFERROR(VLOOKUP(A17,DB_Customers!$A:$M,13,0),""))</f>
        <v/>
      </c>
      <c r="D17" s="42" t="str">
        <f t="shared" ca="1" si="0"/>
        <v/>
      </c>
      <c r="E17" s="32"/>
      <c r="F17" s="43" t="str">
        <f t="shared" si="1"/>
        <v/>
      </c>
      <c r="G17" s="30" t="s">
        <v>61</v>
      </c>
      <c r="H17" s="41"/>
      <c r="I17" s="33" t="str">
        <f>IF(A17="","",IF(H17="","⚠️ Enter Agent Code",IF(IFERROR(VLOOKUP(G17,DB_Agents!$B:$F,4,0),"")=TEXT(H17,"0"),IF(AND(A17&lt;&gt;"",E17&lt;&gt;""),"✅ Saved","Pending"),"🔒 WRONG CODE")))</f>
        <v/>
      </c>
      <c r="J17" s="33" t="str">
        <f t="shared" ca="1" si="2"/>
        <v>—</v>
      </c>
      <c r="K17" s="22"/>
    </row>
    <row r="18" spans="1:11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IF(A18="","",IFERROR(VLOOKUP(A18,DB_Customers!$A:$M,13,0),""))</f>
        <v/>
      </c>
      <c r="D18" s="42" t="str">
        <f t="shared" ca="1" si="0"/>
        <v/>
      </c>
      <c r="E18" s="32"/>
      <c r="F18" s="43" t="str">
        <f t="shared" si="1"/>
        <v/>
      </c>
      <c r="G18" s="30" t="s">
        <v>61</v>
      </c>
      <c r="H18" s="41"/>
      <c r="I18" s="33" t="str">
        <f>IF(A18="","",IF(H18="","⚠️ Enter Agent Code",IF(IFERROR(VLOOKUP(G18,DB_Agents!$B:$F,4,0),"")=TEXT(H18,"0"),IF(AND(A18&lt;&gt;"",E18&lt;&gt;""),"✅ Saved","Pending"),"🔒 WRONG CODE")))</f>
        <v/>
      </c>
      <c r="J18" s="33" t="str">
        <f t="shared" ca="1" si="2"/>
        <v>—</v>
      </c>
      <c r="K18" s="46"/>
    </row>
    <row r="19" spans="1:11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IF(A19="","",IFERROR(VLOOKUP(A19,DB_Customers!$A:$M,13,0),""))</f>
        <v/>
      </c>
      <c r="D19" s="42" t="str">
        <f t="shared" ca="1" si="0"/>
        <v/>
      </c>
      <c r="E19" s="32"/>
      <c r="F19" s="43" t="str">
        <f t="shared" si="1"/>
        <v/>
      </c>
      <c r="G19" s="30" t="s">
        <v>61</v>
      </c>
      <c r="H19" s="41"/>
      <c r="I19" s="33" t="str">
        <f>IF(A19="","",IF(H19="","⚠️ Enter Agent Code",IF(IFERROR(VLOOKUP(G19,DB_Agents!$B:$F,4,0),"")=TEXT(H19,"0"),IF(AND(A19&lt;&gt;"",E19&lt;&gt;""),"✅ Saved","Pending"),"🔒 WRONG CODE")))</f>
        <v/>
      </c>
      <c r="J19" s="33" t="str">
        <f t="shared" ca="1" si="2"/>
        <v>—</v>
      </c>
      <c r="K19" s="22"/>
    </row>
    <row r="20" spans="1:11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IF(A20="","",IFERROR(VLOOKUP(A20,DB_Customers!$A:$M,13,0),""))</f>
        <v/>
      </c>
      <c r="D20" s="42" t="str">
        <f t="shared" ca="1" si="0"/>
        <v/>
      </c>
      <c r="E20" s="32"/>
      <c r="F20" s="43" t="str">
        <f t="shared" si="1"/>
        <v/>
      </c>
      <c r="G20" s="30" t="s">
        <v>61</v>
      </c>
      <c r="H20" s="41"/>
      <c r="I20" s="33" t="str">
        <f>IF(A20="","",IF(H20="","⚠️ Enter Agent Code",IF(IFERROR(VLOOKUP(G20,DB_Agents!$B:$F,4,0),"")=TEXT(H20,"0"),IF(AND(A20&lt;&gt;"",E20&lt;&gt;""),"✅ Saved","Pending"),"🔒 WRONG CODE")))</f>
        <v/>
      </c>
      <c r="J20" s="33" t="str">
        <f t="shared" ca="1" si="2"/>
        <v>—</v>
      </c>
      <c r="K20" s="46"/>
    </row>
    <row r="21" spans="1:11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IF(A21="","",IFERROR(VLOOKUP(A21,DB_Customers!$A:$M,13,0),""))</f>
        <v/>
      </c>
      <c r="D21" s="42" t="str">
        <f t="shared" ca="1" si="0"/>
        <v/>
      </c>
      <c r="E21" s="32"/>
      <c r="F21" s="43" t="str">
        <f t="shared" si="1"/>
        <v/>
      </c>
      <c r="G21" s="30" t="s">
        <v>61</v>
      </c>
      <c r="H21" s="41"/>
      <c r="I21" s="33" t="str">
        <f>IF(A21="","",IF(H21="","⚠️ Enter Agent Code",IF(IFERROR(VLOOKUP(G21,DB_Agents!$B:$F,4,0),"")=TEXT(H21,"0"),IF(AND(A21&lt;&gt;"",E21&lt;&gt;""),"✅ Saved","Pending"),"🔒 WRONG CODE")))</f>
        <v/>
      </c>
      <c r="J21" s="33" t="str">
        <f t="shared" ca="1" si="2"/>
        <v>—</v>
      </c>
      <c r="K21" s="22"/>
    </row>
    <row r="22" spans="1:11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IF(A22="","",IFERROR(VLOOKUP(A22,DB_Customers!$A:$M,13,0),""))</f>
        <v/>
      </c>
      <c r="D22" s="42" t="str">
        <f t="shared" ca="1" si="0"/>
        <v/>
      </c>
      <c r="E22" s="32"/>
      <c r="F22" s="43" t="str">
        <f t="shared" si="1"/>
        <v/>
      </c>
      <c r="G22" s="30" t="s">
        <v>61</v>
      </c>
      <c r="H22" s="41"/>
      <c r="I22" s="33" t="str">
        <f>IF(A22="","",IF(H22="","⚠️ Enter Agent Code",IF(IFERROR(VLOOKUP(G22,DB_Agents!$B:$F,4,0),"")=TEXT(H22,"0"),IF(AND(A22&lt;&gt;"",E22&lt;&gt;""),"✅ Saved","Pending"),"🔒 WRONG CODE")))</f>
        <v/>
      </c>
      <c r="J22" s="33" t="str">
        <f t="shared" ca="1" si="2"/>
        <v>—</v>
      </c>
      <c r="K22" s="46"/>
    </row>
    <row r="23" spans="1:11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IF(A23="","",IFERROR(VLOOKUP(A23,DB_Customers!$A:$M,13,0),""))</f>
        <v/>
      </c>
      <c r="D23" s="42" t="str">
        <f t="shared" ca="1" si="0"/>
        <v/>
      </c>
      <c r="E23" s="32"/>
      <c r="F23" s="43" t="str">
        <f t="shared" si="1"/>
        <v/>
      </c>
      <c r="G23" s="30" t="s">
        <v>61</v>
      </c>
      <c r="H23" s="41"/>
      <c r="I23" s="33" t="str">
        <f>IF(A23="","",IF(H23="","⚠️ Enter Agent Code",IF(IFERROR(VLOOKUP(G23,DB_Agents!$B:$F,4,0),"")=TEXT(H23,"0"),IF(AND(A23&lt;&gt;"",E23&lt;&gt;""),"✅ Saved","Pending"),"🔒 WRONG CODE")))</f>
        <v/>
      </c>
      <c r="J23" s="33" t="str">
        <f t="shared" ca="1" si="2"/>
        <v>—</v>
      </c>
      <c r="K23" s="22"/>
    </row>
    <row r="24" spans="1:11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IF(A24="","",IFERROR(VLOOKUP(A24,DB_Customers!$A:$M,13,0),""))</f>
        <v/>
      </c>
      <c r="D24" s="42" t="str">
        <f t="shared" ca="1" si="0"/>
        <v/>
      </c>
      <c r="E24" s="32"/>
      <c r="F24" s="43" t="str">
        <f t="shared" si="1"/>
        <v/>
      </c>
      <c r="G24" s="30" t="s">
        <v>61</v>
      </c>
      <c r="H24" s="41"/>
      <c r="I24" s="33" t="str">
        <f>IF(A24="","",IF(H24="","⚠️ Enter Agent Code",IF(IFERROR(VLOOKUP(G24,DB_Agents!$B:$F,4,0),"")=TEXT(H24,"0"),IF(AND(A24&lt;&gt;"",E24&lt;&gt;""),"✅ Saved","Pending"),"🔒 WRONG CODE")))</f>
        <v/>
      </c>
      <c r="J24" s="33" t="str">
        <f t="shared" ca="1" si="2"/>
        <v>—</v>
      </c>
      <c r="K24" s="46"/>
    </row>
    <row r="25" spans="1:11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IF(A25="","",IFERROR(VLOOKUP(A25,DB_Customers!$A:$M,13,0),""))</f>
        <v/>
      </c>
      <c r="D25" s="42" t="str">
        <f t="shared" ca="1" si="0"/>
        <v/>
      </c>
      <c r="E25" s="32"/>
      <c r="F25" s="43" t="str">
        <f t="shared" si="1"/>
        <v/>
      </c>
      <c r="G25" s="30" t="s">
        <v>61</v>
      </c>
      <c r="H25" s="41"/>
      <c r="I25" s="33" t="str">
        <f>IF(A25="","",IF(H25="","⚠️ Enter Agent Code",IF(IFERROR(VLOOKUP(G25,DB_Agents!$B:$F,4,0),"")=TEXT(H25,"0"),IF(AND(A25&lt;&gt;"",E25&lt;&gt;""),"✅ Saved","Pending"),"🔒 WRONG CODE")))</f>
        <v/>
      </c>
      <c r="J25" s="33" t="str">
        <f t="shared" ca="1" si="2"/>
        <v>—</v>
      </c>
      <c r="K25" s="22"/>
    </row>
    <row r="26" spans="1:11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IF(A26="","",IFERROR(VLOOKUP(A26,DB_Customers!$A:$M,13,0),""))</f>
        <v/>
      </c>
      <c r="D26" s="42" t="str">
        <f t="shared" ca="1" si="0"/>
        <v/>
      </c>
      <c r="E26" s="32"/>
      <c r="F26" s="43" t="str">
        <f t="shared" si="1"/>
        <v/>
      </c>
      <c r="G26" s="30" t="s">
        <v>61</v>
      </c>
      <c r="H26" s="41"/>
      <c r="I26" s="33" t="str">
        <f>IF(A26="","",IF(H26="","⚠️ Enter Agent Code",IF(IFERROR(VLOOKUP(G26,DB_Agents!$B:$F,4,0),"")=TEXT(H26,"0"),IF(AND(A26&lt;&gt;"",E26&lt;&gt;""),"✅ Saved","Pending"),"🔒 WRONG CODE")))</f>
        <v/>
      </c>
      <c r="J26" s="33" t="str">
        <f t="shared" ca="1" si="2"/>
        <v>—</v>
      </c>
      <c r="K26" s="46"/>
    </row>
    <row r="27" spans="1:11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IF(A27="","",IFERROR(VLOOKUP(A27,DB_Customers!$A:$M,13,0),""))</f>
        <v/>
      </c>
      <c r="D27" s="42" t="str">
        <f t="shared" ca="1" si="0"/>
        <v/>
      </c>
      <c r="E27" s="32"/>
      <c r="F27" s="43" t="str">
        <f t="shared" si="1"/>
        <v/>
      </c>
      <c r="G27" s="30" t="s">
        <v>61</v>
      </c>
      <c r="H27" s="41"/>
      <c r="I27" s="33" t="str">
        <f>IF(A27="","",IF(H27="","⚠️ Enter Agent Code",IF(IFERROR(VLOOKUP(G27,DB_Agents!$B:$F,4,0),"")=TEXT(H27,"0"),IF(AND(A27&lt;&gt;"",E27&lt;&gt;""),"✅ Saved","Pending"),"🔒 WRONG CODE")))</f>
        <v/>
      </c>
      <c r="J27" s="33" t="str">
        <f t="shared" ca="1" si="2"/>
        <v>—</v>
      </c>
      <c r="K27" s="22"/>
    </row>
    <row r="28" spans="1:11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IF(A28="","",IFERROR(VLOOKUP(A28,DB_Customers!$A:$M,13,0),""))</f>
        <v/>
      </c>
      <c r="D28" s="42" t="str">
        <f t="shared" ca="1" si="0"/>
        <v/>
      </c>
      <c r="E28" s="32"/>
      <c r="F28" s="43" t="str">
        <f t="shared" si="1"/>
        <v/>
      </c>
      <c r="G28" s="30" t="s">
        <v>61</v>
      </c>
      <c r="H28" s="41"/>
      <c r="I28" s="33" t="str">
        <f>IF(A28="","",IF(H28="","⚠️ Enter Agent Code",IF(IFERROR(VLOOKUP(G28,DB_Agents!$B:$F,4,0),"")=TEXT(H28,"0"),IF(AND(A28&lt;&gt;"",E28&lt;&gt;""),"✅ Saved","Pending"),"🔒 WRONG CODE")))</f>
        <v/>
      </c>
      <c r="J28" s="33" t="str">
        <f t="shared" ca="1" si="2"/>
        <v>—</v>
      </c>
      <c r="K28" s="46"/>
    </row>
    <row r="29" spans="1:11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IF(A29="","",IFERROR(VLOOKUP(A29,DB_Customers!$A:$M,13,0),""))</f>
        <v/>
      </c>
      <c r="D29" s="42" t="str">
        <f t="shared" ca="1" si="0"/>
        <v/>
      </c>
      <c r="E29" s="32"/>
      <c r="F29" s="43" t="str">
        <f t="shared" si="1"/>
        <v/>
      </c>
      <c r="G29" s="30" t="s">
        <v>61</v>
      </c>
      <c r="H29" s="41"/>
      <c r="I29" s="33" t="str">
        <f>IF(A29="","",IF(H29="","⚠️ Enter Agent Code",IF(IFERROR(VLOOKUP(G29,DB_Agents!$B:$F,4,0),"")=TEXT(H29,"0"),IF(AND(A29&lt;&gt;"",E29&lt;&gt;""),"✅ Saved","Pending"),"🔒 WRONG CODE")))</f>
        <v/>
      </c>
      <c r="J29" s="33" t="str">
        <f t="shared" ca="1" si="2"/>
        <v>—</v>
      </c>
      <c r="K29" s="22"/>
    </row>
    <row r="30" spans="1:11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IF(A30="","",IFERROR(VLOOKUP(A30,DB_Customers!$A:$M,13,0),""))</f>
        <v/>
      </c>
      <c r="D30" s="42" t="str">
        <f t="shared" ca="1" si="0"/>
        <v/>
      </c>
      <c r="E30" s="32"/>
      <c r="F30" s="43" t="str">
        <f t="shared" si="1"/>
        <v/>
      </c>
      <c r="G30" s="30" t="s">
        <v>61</v>
      </c>
      <c r="H30" s="41"/>
      <c r="I30" s="33" t="str">
        <f>IF(A30="","",IF(H30="","⚠️ Enter Agent Code",IF(IFERROR(VLOOKUP(G30,DB_Agents!$B:$F,4,0),"")=TEXT(H30,"0"),IF(AND(A30&lt;&gt;"",E30&lt;&gt;""),"✅ Saved","Pending"),"🔒 WRONG CODE")))</f>
        <v/>
      </c>
      <c r="J30" s="33" t="str">
        <f t="shared" ca="1" si="2"/>
        <v>—</v>
      </c>
      <c r="K30" s="46"/>
    </row>
    <row r="31" spans="1:11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IF(A31="","",IFERROR(VLOOKUP(A31,DB_Customers!$A:$M,13,0),""))</f>
        <v/>
      </c>
      <c r="D31" s="42" t="str">
        <f t="shared" ca="1" si="0"/>
        <v/>
      </c>
      <c r="E31" s="32"/>
      <c r="F31" s="43" t="str">
        <f t="shared" si="1"/>
        <v/>
      </c>
      <c r="G31" s="30" t="s">
        <v>61</v>
      </c>
      <c r="H31" s="41"/>
      <c r="I31" s="33" t="str">
        <f>IF(A31="","",IF(H31="","⚠️ Enter Agent Code",IF(IFERROR(VLOOKUP(G31,DB_Agents!$B:$F,4,0),"")=TEXT(H31,"0"),IF(AND(A31&lt;&gt;"",E31&lt;&gt;""),"✅ Saved","Pending"),"🔒 WRONG CODE")))</f>
        <v/>
      </c>
      <c r="J31" s="33" t="str">
        <f t="shared" ca="1" si="2"/>
        <v>—</v>
      </c>
      <c r="K31" s="22"/>
    </row>
    <row r="32" spans="1:11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IF(A32="","",IFERROR(VLOOKUP(A32,DB_Customers!$A:$M,13,0),""))</f>
        <v/>
      </c>
      <c r="D32" s="42" t="str">
        <f t="shared" ca="1" si="0"/>
        <v/>
      </c>
      <c r="E32" s="32"/>
      <c r="F32" s="43" t="str">
        <f t="shared" si="1"/>
        <v/>
      </c>
      <c r="G32" s="30" t="s">
        <v>61</v>
      </c>
      <c r="H32" s="41"/>
      <c r="I32" s="33" t="str">
        <f>IF(A32="","",IF(H32="","⚠️ Enter Agent Code",IF(IFERROR(VLOOKUP(G32,DB_Agents!$B:$F,4,0),"")=TEXT(H32,"0"),IF(AND(A32&lt;&gt;"",E32&lt;&gt;""),"✅ Saved","Pending"),"🔒 WRONG CODE")))</f>
        <v/>
      </c>
      <c r="J32" s="33" t="str">
        <f t="shared" ca="1" si="2"/>
        <v>—</v>
      </c>
      <c r="K32" s="46"/>
    </row>
    <row r="33" spans="1:11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IF(A33="","",IFERROR(VLOOKUP(A33,DB_Customers!$A:$M,13,0),""))</f>
        <v/>
      </c>
      <c r="D33" s="42" t="str">
        <f t="shared" ca="1" si="0"/>
        <v/>
      </c>
      <c r="E33" s="32"/>
      <c r="F33" s="43" t="str">
        <f t="shared" si="1"/>
        <v/>
      </c>
      <c r="G33" s="30" t="s">
        <v>61</v>
      </c>
      <c r="H33" s="41"/>
      <c r="I33" s="33" t="str">
        <f>IF(A33="","",IF(H33="","⚠️ Enter Agent Code",IF(IFERROR(VLOOKUP(G33,DB_Agents!$B:$F,4,0),"")=TEXT(H33,"0"),IF(AND(A33&lt;&gt;"",E33&lt;&gt;""),"✅ Saved","Pending"),"🔒 WRONG CODE")))</f>
        <v/>
      </c>
      <c r="J33" s="33" t="str">
        <f t="shared" ca="1" si="2"/>
        <v>—</v>
      </c>
      <c r="K33" s="22"/>
    </row>
    <row r="34" spans="1:11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IF(A34="","",IFERROR(VLOOKUP(A34,DB_Customers!$A:$M,13,0),""))</f>
        <v/>
      </c>
      <c r="D34" s="42" t="str">
        <f t="shared" ca="1" si="0"/>
        <v/>
      </c>
      <c r="E34" s="32"/>
      <c r="F34" s="43" t="str">
        <f t="shared" si="1"/>
        <v/>
      </c>
      <c r="G34" s="30" t="s">
        <v>61</v>
      </c>
      <c r="H34" s="41"/>
      <c r="I34" s="33" t="str">
        <f>IF(A34="","",IF(H34="","⚠️ Enter Agent Code",IF(IFERROR(VLOOKUP(G34,DB_Agents!$B:$F,4,0),"")=TEXT(H34,"0"),IF(AND(A34&lt;&gt;"",E34&lt;&gt;""),"✅ Saved","Pending"),"🔒 WRONG CODE")))</f>
        <v/>
      </c>
      <c r="J34" s="33" t="str">
        <f t="shared" ca="1" si="2"/>
        <v>—</v>
      </c>
      <c r="K34" s="46"/>
    </row>
    <row r="35" spans="1:11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IF(A35="","",IFERROR(VLOOKUP(A35,DB_Customers!$A:$M,13,0),""))</f>
        <v/>
      </c>
      <c r="D35" s="42" t="str">
        <f t="shared" ca="1" si="0"/>
        <v/>
      </c>
      <c r="E35" s="32"/>
      <c r="F35" s="43" t="str">
        <f t="shared" si="1"/>
        <v/>
      </c>
      <c r="G35" s="30" t="s">
        <v>61</v>
      </c>
      <c r="H35" s="41"/>
      <c r="I35" s="33" t="str">
        <f>IF(A35="","",IF(H35="","⚠️ Enter Agent Code",IF(IFERROR(VLOOKUP(G35,DB_Agents!$B:$F,4,0),"")=TEXT(H35,"0"),IF(AND(A35&lt;&gt;"",E35&lt;&gt;""),"✅ Saved","Pending"),"🔒 WRONG CODE")))</f>
        <v/>
      </c>
      <c r="J35" s="33" t="str">
        <f t="shared" ca="1" si="2"/>
        <v>—</v>
      </c>
      <c r="K35" s="22"/>
    </row>
    <row r="36" spans="1:11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IF(A36="","",IFERROR(VLOOKUP(A36,DB_Customers!$A:$M,13,0),""))</f>
        <v/>
      </c>
      <c r="D36" s="42" t="str">
        <f t="shared" ca="1" si="0"/>
        <v/>
      </c>
      <c r="E36" s="32"/>
      <c r="F36" s="43" t="str">
        <f t="shared" si="1"/>
        <v/>
      </c>
      <c r="G36" s="30" t="s">
        <v>61</v>
      </c>
      <c r="H36" s="41"/>
      <c r="I36" s="33" t="str">
        <f>IF(A36="","",IF(H36="","⚠️ Enter Agent Code",IF(IFERROR(VLOOKUP(G36,DB_Agents!$B:$F,4,0),"")=TEXT(H36,"0"),IF(AND(A36&lt;&gt;"",E36&lt;&gt;""),"✅ Saved","Pending"),"🔒 WRONG CODE")))</f>
        <v/>
      </c>
      <c r="J36" s="33" t="str">
        <f t="shared" ca="1" si="2"/>
        <v>—</v>
      </c>
      <c r="K36" s="46"/>
    </row>
    <row r="37" spans="1:11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IF(A37="","",IFERROR(VLOOKUP(A37,DB_Customers!$A:$M,13,0),""))</f>
        <v/>
      </c>
      <c r="D37" s="42" t="str">
        <f t="shared" ca="1" si="0"/>
        <v/>
      </c>
      <c r="E37" s="32"/>
      <c r="F37" s="43" t="str">
        <f t="shared" si="1"/>
        <v/>
      </c>
      <c r="G37" s="30" t="s">
        <v>61</v>
      </c>
      <c r="H37" s="41"/>
      <c r="I37" s="33" t="str">
        <f>IF(A37="","",IF(H37="","⚠️ Enter Agent Code",IF(IFERROR(VLOOKUP(G37,DB_Agents!$B:$F,4,0),"")=TEXT(H37,"0"),IF(AND(A37&lt;&gt;"",E37&lt;&gt;""),"✅ Saved","Pending"),"🔒 WRONG CODE")))</f>
        <v/>
      </c>
      <c r="J37" s="33" t="str">
        <f t="shared" ca="1" si="2"/>
        <v>—</v>
      </c>
      <c r="K37" s="22"/>
    </row>
    <row r="38" spans="1:11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IF(A38="","",IFERROR(VLOOKUP(A38,DB_Customers!$A:$M,13,0),""))</f>
        <v/>
      </c>
      <c r="D38" s="42" t="str">
        <f t="shared" ca="1" si="0"/>
        <v/>
      </c>
      <c r="E38" s="32"/>
      <c r="F38" s="43" t="str">
        <f t="shared" si="1"/>
        <v/>
      </c>
      <c r="G38" s="30" t="s">
        <v>61</v>
      </c>
      <c r="H38" s="41"/>
      <c r="I38" s="33" t="str">
        <f>IF(A38="","",IF(H38="","⚠️ Enter Agent Code",IF(IFERROR(VLOOKUP(G38,DB_Agents!$B:$F,4,0),"")=TEXT(H38,"0"),IF(AND(A38&lt;&gt;"",E38&lt;&gt;""),"✅ Saved","Pending"),"🔒 WRONG CODE")))</f>
        <v/>
      </c>
      <c r="J38" s="33" t="str">
        <f t="shared" ca="1" si="2"/>
        <v>—</v>
      </c>
      <c r="K38" s="46"/>
    </row>
    <row r="39" spans="1:11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IF(A39="","",IFERROR(VLOOKUP(A39,DB_Customers!$A:$M,13,0),""))</f>
        <v/>
      </c>
      <c r="D39" s="42" t="str">
        <f t="shared" ca="1" si="0"/>
        <v/>
      </c>
      <c r="E39" s="32"/>
      <c r="F39" s="43" t="str">
        <f t="shared" si="1"/>
        <v/>
      </c>
      <c r="G39" s="30" t="s">
        <v>61</v>
      </c>
      <c r="H39" s="41"/>
      <c r="I39" s="33" t="str">
        <f>IF(A39="","",IF(H39="","⚠️ Enter Agent Code",IF(IFERROR(VLOOKUP(G39,DB_Agents!$B:$F,4,0),"")=TEXT(H39,"0"),IF(AND(A39&lt;&gt;"",E39&lt;&gt;""),"✅ Saved","Pending"),"🔒 WRONG CODE")))</f>
        <v/>
      </c>
      <c r="J39" s="33" t="str">
        <f t="shared" ca="1" si="2"/>
        <v>—</v>
      </c>
      <c r="K39" s="22"/>
    </row>
    <row r="40" spans="1:11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IF(A40="","",IFERROR(VLOOKUP(A40,DB_Customers!$A:$M,13,0),""))</f>
        <v/>
      </c>
      <c r="D40" s="42" t="str">
        <f t="shared" ca="1" si="0"/>
        <v/>
      </c>
      <c r="E40" s="32"/>
      <c r="F40" s="43" t="str">
        <f t="shared" si="1"/>
        <v/>
      </c>
      <c r="G40" s="30" t="s">
        <v>61</v>
      </c>
      <c r="H40" s="41"/>
      <c r="I40" s="33" t="str">
        <f>IF(A40="","",IF(H40="","⚠️ Enter Agent Code",IF(IFERROR(VLOOKUP(G40,DB_Agents!$B:$F,4,0),"")=TEXT(H40,"0"),IF(AND(A40&lt;&gt;"",E40&lt;&gt;""),"✅ Saved","Pending"),"🔒 WRONG CODE")))</f>
        <v/>
      </c>
      <c r="J40" s="33" t="str">
        <f t="shared" ca="1" si="2"/>
        <v>—</v>
      </c>
      <c r="K40" s="46"/>
    </row>
    <row r="41" spans="1:11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IF(A41="","",IFERROR(VLOOKUP(A41,DB_Customers!$A:$M,13,0),""))</f>
        <v/>
      </c>
      <c r="D41" s="42" t="str">
        <f t="shared" ref="D41:D72" ca="1" si="3">IF(A41="","",TODAY())</f>
        <v/>
      </c>
      <c r="E41" s="32"/>
      <c r="F41" s="43" t="str">
        <f t="shared" ref="F41:F72" si="4">IFERROR(IF(OR(A41="",E41=""),"",C41+E41),"")</f>
        <v/>
      </c>
      <c r="G41" s="30" t="s">
        <v>61</v>
      </c>
      <c r="H41" s="41"/>
      <c r="I41" s="33" t="str">
        <f>IF(A41="","",IF(H41="","⚠️ Enter Agent Code",IF(IFERROR(VLOOKUP(G41,DB_Agents!$B:$F,4,0),"")=TEXT(H41,"0"),IF(AND(A41&lt;&gt;"",E41&lt;&gt;""),"✅ Saved","Pending"),"🔒 WRONG CODE")))</f>
        <v/>
      </c>
      <c r="J41" s="33" t="str">
        <f t="shared" ref="J41:J72" ca="1" si="5">IF(I41="✅ Saved",TEXT(TODAY(),"YYYY-MM-DD")&amp;" Auto","—")</f>
        <v>—</v>
      </c>
      <c r="K41" s="22"/>
    </row>
    <row r="42" spans="1:11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IF(A42="","",IFERROR(VLOOKUP(A42,DB_Customers!$A:$M,13,0),""))</f>
        <v/>
      </c>
      <c r="D42" s="42" t="str">
        <f t="shared" ca="1" si="3"/>
        <v/>
      </c>
      <c r="E42" s="32"/>
      <c r="F42" s="43" t="str">
        <f t="shared" si="4"/>
        <v/>
      </c>
      <c r="G42" s="30" t="s">
        <v>61</v>
      </c>
      <c r="H42" s="41"/>
      <c r="I42" s="33" t="str">
        <f>IF(A42="","",IF(H42="","⚠️ Enter Agent Code",IF(IFERROR(VLOOKUP(G42,DB_Agents!$B:$F,4,0),"")=TEXT(H42,"0"),IF(AND(A42&lt;&gt;"",E42&lt;&gt;""),"✅ Saved","Pending"),"🔒 WRONG CODE")))</f>
        <v/>
      </c>
      <c r="J42" s="33" t="str">
        <f t="shared" ca="1" si="5"/>
        <v>—</v>
      </c>
      <c r="K42" s="46"/>
    </row>
    <row r="43" spans="1:11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IF(A43="","",IFERROR(VLOOKUP(A43,DB_Customers!$A:$M,13,0),""))</f>
        <v/>
      </c>
      <c r="D43" s="42" t="str">
        <f t="shared" ca="1" si="3"/>
        <v/>
      </c>
      <c r="E43" s="32"/>
      <c r="F43" s="43" t="str">
        <f t="shared" si="4"/>
        <v/>
      </c>
      <c r="G43" s="30" t="s">
        <v>61</v>
      </c>
      <c r="H43" s="41"/>
      <c r="I43" s="33" t="str">
        <f>IF(A43="","",IF(H43="","⚠️ Enter Agent Code",IF(IFERROR(VLOOKUP(G43,DB_Agents!$B:$F,4,0),"")=TEXT(H43,"0"),IF(AND(A43&lt;&gt;"",E43&lt;&gt;""),"✅ Saved","Pending"),"🔒 WRONG CODE")))</f>
        <v/>
      </c>
      <c r="J43" s="33" t="str">
        <f t="shared" ca="1" si="5"/>
        <v>—</v>
      </c>
      <c r="K43" s="22"/>
    </row>
    <row r="44" spans="1:11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IF(A44="","",IFERROR(VLOOKUP(A44,DB_Customers!$A:$M,13,0),""))</f>
        <v/>
      </c>
      <c r="D44" s="42" t="str">
        <f t="shared" ca="1" si="3"/>
        <v/>
      </c>
      <c r="E44" s="32"/>
      <c r="F44" s="43" t="str">
        <f t="shared" si="4"/>
        <v/>
      </c>
      <c r="G44" s="30" t="s">
        <v>61</v>
      </c>
      <c r="H44" s="41"/>
      <c r="I44" s="33" t="str">
        <f>IF(A44="","",IF(H44="","⚠️ Enter Agent Code",IF(IFERROR(VLOOKUP(G44,DB_Agents!$B:$F,4,0),"")=TEXT(H44,"0"),IF(AND(A44&lt;&gt;"",E44&lt;&gt;""),"✅ Saved","Pending"),"🔒 WRONG CODE")))</f>
        <v/>
      </c>
      <c r="J44" s="33" t="str">
        <f t="shared" ca="1" si="5"/>
        <v>—</v>
      </c>
      <c r="K44" s="46"/>
    </row>
    <row r="45" spans="1:11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IF(A45="","",IFERROR(VLOOKUP(A45,DB_Customers!$A:$M,13,0),""))</f>
        <v/>
      </c>
      <c r="D45" s="42" t="str">
        <f t="shared" ca="1" si="3"/>
        <v/>
      </c>
      <c r="E45" s="32"/>
      <c r="F45" s="43" t="str">
        <f t="shared" si="4"/>
        <v/>
      </c>
      <c r="G45" s="30" t="s">
        <v>61</v>
      </c>
      <c r="H45" s="41"/>
      <c r="I45" s="33" t="str">
        <f>IF(A45="","",IF(H45="","⚠️ Enter Agent Code",IF(IFERROR(VLOOKUP(G45,DB_Agents!$B:$F,4,0),"")=TEXT(H45,"0"),IF(AND(A45&lt;&gt;"",E45&lt;&gt;""),"✅ Saved","Pending"),"🔒 WRONG CODE")))</f>
        <v/>
      </c>
      <c r="J45" s="33" t="str">
        <f t="shared" ca="1" si="5"/>
        <v>—</v>
      </c>
      <c r="K45" s="22"/>
    </row>
    <row r="46" spans="1:11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IF(A46="","",IFERROR(VLOOKUP(A46,DB_Customers!$A:$M,13,0),""))</f>
        <v/>
      </c>
      <c r="D46" s="42" t="str">
        <f t="shared" ca="1" si="3"/>
        <v/>
      </c>
      <c r="E46" s="32"/>
      <c r="F46" s="43" t="str">
        <f t="shared" si="4"/>
        <v/>
      </c>
      <c r="G46" s="30" t="s">
        <v>61</v>
      </c>
      <c r="H46" s="41"/>
      <c r="I46" s="33" t="str">
        <f>IF(A46="","",IF(H46="","⚠️ Enter Agent Code",IF(IFERROR(VLOOKUP(G46,DB_Agents!$B:$F,4,0),"")=TEXT(H46,"0"),IF(AND(A46&lt;&gt;"",E46&lt;&gt;""),"✅ Saved","Pending"),"🔒 WRONG CODE")))</f>
        <v/>
      </c>
      <c r="J46" s="33" t="str">
        <f t="shared" ca="1" si="5"/>
        <v>—</v>
      </c>
      <c r="K46" s="46"/>
    </row>
    <row r="47" spans="1:11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IF(A47="","",IFERROR(VLOOKUP(A47,DB_Customers!$A:$M,13,0),""))</f>
        <v/>
      </c>
      <c r="D47" s="42" t="str">
        <f t="shared" ca="1" si="3"/>
        <v/>
      </c>
      <c r="E47" s="32"/>
      <c r="F47" s="43" t="str">
        <f t="shared" si="4"/>
        <v/>
      </c>
      <c r="G47" s="30" t="s">
        <v>61</v>
      </c>
      <c r="H47" s="41"/>
      <c r="I47" s="33" t="str">
        <f>IF(A47="","",IF(H47="","⚠️ Enter Agent Code",IF(IFERROR(VLOOKUP(G47,DB_Agents!$B:$F,4,0),"")=TEXT(H47,"0"),IF(AND(A47&lt;&gt;"",E47&lt;&gt;""),"✅ Saved","Pending"),"🔒 WRONG CODE")))</f>
        <v/>
      </c>
      <c r="J47" s="33" t="str">
        <f t="shared" ca="1" si="5"/>
        <v>—</v>
      </c>
      <c r="K47" s="22"/>
    </row>
    <row r="48" spans="1:11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IF(A48="","",IFERROR(VLOOKUP(A48,DB_Customers!$A:$M,13,0),""))</f>
        <v/>
      </c>
      <c r="D48" s="42" t="str">
        <f t="shared" ca="1" si="3"/>
        <v/>
      </c>
      <c r="E48" s="32"/>
      <c r="F48" s="43" t="str">
        <f t="shared" si="4"/>
        <v/>
      </c>
      <c r="G48" s="30" t="s">
        <v>61</v>
      </c>
      <c r="H48" s="41"/>
      <c r="I48" s="33" t="str">
        <f>IF(A48="","",IF(H48="","⚠️ Enter Agent Code",IF(IFERROR(VLOOKUP(G48,DB_Agents!$B:$F,4,0),"")=TEXT(H48,"0"),IF(AND(A48&lt;&gt;"",E48&lt;&gt;""),"✅ Saved","Pending"),"🔒 WRONG CODE")))</f>
        <v/>
      </c>
      <c r="J48" s="33" t="str">
        <f t="shared" ca="1" si="5"/>
        <v>—</v>
      </c>
      <c r="K48" s="46"/>
    </row>
    <row r="49" spans="1:11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IF(A49="","",IFERROR(VLOOKUP(A49,DB_Customers!$A:$M,13,0),""))</f>
        <v/>
      </c>
      <c r="D49" s="42" t="str">
        <f t="shared" ca="1" si="3"/>
        <v/>
      </c>
      <c r="E49" s="32"/>
      <c r="F49" s="43" t="str">
        <f t="shared" si="4"/>
        <v/>
      </c>
      <c r="G49" s="30" t="s">
        <v>61</v>
      </c>
      <c r="H49" s="41"/>
      <c r="I49" s="33" t="str">
        <f>IF(A49="","",IF(H49="","⚠️ Enter Agent Code",IF(IFERROR(VLOOKUP(G49,DB_Agents!$B:$F,4,0),"")=TEXT(H49,"0"),IF(AND(A49&lt;&gt;"",E49&lt;&gt;""),"✅ Saved","Pending"),"🔒 WRONG CODE")))</f>
        <v/>
      </c>
      <c r="J49" s="33" t="str">
        <f t="shared" ca="1" si="5"/>
        <v>—</v>
      </c>
      <c r="K49" s="22"/>
    </row>
    <row r="50" spans="1:11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IF(A50="","",IFERROR(VLOOKUP(A50,DB_Customers!$A:$M,13,0),""))</f>
        <v/>
      </c>
      <c r="D50" s="42" t="str">
        <f t="shared" ca="1" si="3"/>
        <v/>
      </c>
      <c r="E50" s="32"/>
      <c r="F50" s="43" t="str">
        <f t="shared" si="4"/>
        <v/>
      </c>
      <c r="G50" s="30" t="s">
        <v>61</v>
      </c>
      <c r="H50" s="41"/>
      <c r="I50" s="33" t="str">
        <f>IF(A50="","",IF(H50="","⚠️ Enter Agent Code",IF(IFERROR(VLOOKUP(G50,DB_Agents!$B:$F,4,0),"")=TEXT(H50,"0"),IF(AND(A50&lt;&gt;"",E50&lt;&gt;""),"✅ Saved","Pending"),"🔒 WRONG CODE")))</f>
        <v/>
      </c>
      <c r="J50" s="33" t="str">
        <f t="shared" ca="1" si="5"/>
        <v>—</v>
      </c>
      <c r="K50" s="46"/>
    </row>
    <row r="51" spans="1:11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IF(A51="","",IFERROR(VLOOKUP(A51,DB_Customers!$A:$M,13,0),""))</f>
        <v/>
      </c>
      <c r="D51" s="42" t="str">
        <f t="shared" ca="1" si="3"/>
        <v/>
      </c>
      <c r="E51" s="32"/>
      <c r="F51" s="43" t="str">
        <f t="shared" si="4"/>
        <v/>
      </c>
      <c r="G51" s="30" t="s">
        <v>61</v>
      </c>
      <c r="H51" s="41"/>
      <c r="I51" s="33" t="str">
        <f>IF(A51="","",IF(H51="","⚠️ Enter Agent Code",IF(IFERROR(VLOOKUP(G51,DB_Agents!$B:$F,4,0),"")=TEXT(H51,"0"),IF(AND(A51&lt;&gt;"",E51&lt;&gt;""),"✅ Saved","Pending"),"🔒 WRONG CODE")))</f>
        <v/>
      </c>
      <c r="J51" s="33" t="str">
        <f t="shared" ca="1" si="5"/>
        <v>—</v>
      </c>
      <c r="K51" s="22"/>
    </row>
    <row r="52" spans="1:11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IF(A52="","",IFERROR(VLOOKUP(A52,DB_Customers!$A:$M,13,0),""))</f>
        <v/>
      </c>
      <c r="D52" s="42" t="str">
        <f t="shared" ca="1" si="3"/>
        <v/>
      </c>
      <c r="E52" s="32"/>
      <c r="F52" s="43" t="str">
        <f t="shared" si="4"/>
        <v/>
      </c>
      <c r="G52" s="30" t="s">
        <v>61</v>
      </c>
      <c r="H52" s="41"/>
      <c r="I52" s="33" t="str">
        <f>IF(A52="","",IF(H52="","⚠️ Enter Agent Code",IF(IFERROR(VLOOKUP(G52,DB_Agents!$B:$F,4,0),"")=TEXT(H52,"0"),IF(AND(A52&lt;&gt;"",E52&lt;&gt;""),"✅ Saved","Pending"),"🔒 WRONG CODE")))</f>
        <v/>
      </c>
      <c r="J52" s="33" t="str">
        <f t="shared" ca="1" si="5"/>
        <v>—</v>
      </c>
      <c r="K52" s="46"/>
    </row>
    <row r="53" spans="1:11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IF(A53="","",IFERROR(VLOOKUP(A53,DB_Customers!$A:$M,13,0),""))</f>
        <v/>
      </c>
      <c r="D53" s="42" t="str">
        <f t="shared" ca="1" si="3"/>
        <v/>
      </c>
      <c r="E53" s="32"/>
      <c r="F53" s="43" t="str">
        <f t="shared" si="4"/>
        <v/>
      </c>
      <c r="G53" s="30" t="s">
        <v>61</v>
      </c>
      <c r="H53" s="41"/>
      <c r="I53" s="33" t="str">
        <f>IF(A53="","",IF(H53="","⚠️ Enter Agent Code",IF(IFERROR(VLOOKUP(G53,DB_Agents!$B:$F,4,0),"")=TEXT(H53,"0"),IF(AND(A53&lt;&gt;"",E53&lt;&gt;""),"✅ Saved","Pending"),"🔒 WRONG CODE")))</f>
        <v/>
      </c>
      <c r="J53" s="33" t="str">
        <f t="shared" ca="1" si="5"/>
        <v>—</v>
      </c>
      <c r="K53" s="22"/>
    </row>
    <row r="54" spans="1:11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IF(A54="","",IFERROR(VLOOKUP(A54,DB_Customers!$A:$M,13,0),""))</f>
        <v/>
      </c>
      <c r="D54" s="42" t="str">
        <f t="shared" ca="1" si="3"/>
        <v/>
      </c>
      <c r="E54" s="32"/>
      <c r="F54" s="43" t="str">
        <f t="shared" si="4"/>
        <v/>
      </c>
      <c r="G54" s="30" t="s">
        <v>61</v>
      </c>
      <c r="H54" s="41"/>
      <c r="I54" s="33" t="str">
        <f>IF(A54="","",IF(H54="","⚠️ Enter Agent Code",IF(IFERROR(VLOOKUP(G54,DB_Agents!$B:$F,4,0),"")=TEXT(H54,"0"),IF(AND(A54&lt;&gt;"",E54&lt;&gt;""),"✅ Saved","Pending"),"🔒 WRONG CODE")))</f>
        <v/>
      </c>
      <c r="J54" s="33" t="str">
        <f t="shared" ca="1" si="5"/>
        <v>—</v>
      </c>
      <c r="K54" s="46"/>
    </row>
    <row r="55" spans="1:11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IF(A55="","",IFERROR(VLOOKUP(A55,DB_Customers!$A:$M,13,0),""))</f>
        <v/>
      </c>
      <c r="D55" s="42" t="str">
        <f t="shared" ca="1" si="3"/>
        <v/>
      </c>
      <c r="E55" s="32"/>
      <c r="F55" s="43" t="str">
        <f t="shared" si="4"/>
        <v/>
      </c>
      <c r="G55" s="30" t="s">
        <v>61</v>
      </c>
      <c r="H55" s="41"/>
      <c r="I55" s="33" t="str">
        <f>IF(A55="","",IF(H55="","⚠️ Enter Agent Code",IF(IFERROR(VLOOKUP(G55,DB_Agents!$B:$F,4,0),"")=TEXT(H55,"0"),IF(AND(A55&lt;&gt;"",E55&lt;&gt;""),"✅ Saved","Pending"),"🔒 WRONG CODE")))</f>
        <v/>
      </c>
      <c r="J55" s="33" t="str">
        <f t="shared" ca="1" si="5"/>
        <v>—</v>
      </c>
      <c r="K55" s="22"/>
    </row>
    <row r="56" spans="1:11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IF(A56="","",IFERROR(VLOOKUP(A56,DB_Customers!$A:$M,13,0),""))</f>
        <v/>
      </c>
      <c r="D56" s="42" t="str">
        <f t="shared" ca="1" si="3"/>
        <v/>
      </c>
      <c r="E56" s="32"/>
      <c r="F56" s="43" t="str">
        <f t="shared" si="4"/>
        <v/>
      </c>
      <c r="G56" s="30" t="s">
        <v>61</v>
      </c>
      <c r="H56" s="41"/>
      <c r="I56" s="33" t="str">
        <f>IF(A56="","",IF(H56="","⚠️ Enter Agent Code",IF(IFERROR(VLOOKUP(G56,DB_Agents!$B:$F,4,0),"")=TEXT(H56,"0"),IF(AND(A56&lt;&gt;"",E56&lt;&gt;""),"✅ Saved","Pending"),"🔒 WRONG CODE")))</f>
        <v/>
      </c>
      <c r="J56" s="33" t="str">
        <f t="shared" ca="1" si="5"/>
        <v>—</v>
      </c>
      <c r="K56" s="46"/>
    </row>
    <row r="57" spans="1:11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IF(A57="","",IFERROR(VLOOKUP(A57,DB_Customers!$A:$M,13,0),""))</f>
        <v/>
      </c>
      <c r="D57" s="42" t="str">
        <f t="shared" ca="1" si="3"/>
        <v/>
      </c>
      <c r="E57" s="32"/>
      <c r="F57" s="43" t="str">
        <f t="shared" si="4"/>
        <v/>
      </c>
      <c r="G57" s="30" t="s">
        <v>61</v>
      </c>
      <c r="H57" s="41"/>
      <c r="I57" s="33" t="str">
        <f>IF(A57="","",IF(H57="","⚠️ Enter Agent Code",IF(IFERROR(VLOOKUP(G57,DB_Agents!$B:$F,4,0),"")=TEXT(H57,"0"),IF(AND(A57&lt;&gt;"",E57&lt;&gt;""),"✅ Saved","Pending"),"🔒 WRONG CODE")))</f>
        <v/>
      </c>
      <c r="J57" s="33" t="str">
        <f t="shared" ca="1" si="5"/>
        <v>—</v>
      </c>
      <c r="K57" s="22"/>
    </row>
    <row r="58" spans="1:11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IF(A58="","",IFERROR(VLOOKUP(A58,DB_Customers!$A:$M,13,0),""))</f>
        <v/>
      </c>
      <c r="D58" s="42" t="str">
        <f t="shared" ca="1" si="3"/>
        <v/>
      </c>
      <c r="E58" s="32"/>
      <c r="F58" s="43" t="str">
        <f t="shared" si="4"/>
        <v/>
      </c>
      <c r="G58" s="30" t="s">
        <v>61</v>
      </c>
      <c r="H58" s="41"/>
      <c r="I58" s="33" t="str">
        <f>IF(A58="","",IF(H58="","⚠️ Enter Agent Code",IF(IFERROR(VLOOKUP(G58,DB_Agents!$B:$F,4,0),"")=TEXT(H58,"0"),IF(AND(A58&lt;&gt;"",E58&lt;&gt;""),"✅ Saved","Pending"),"🔒 WRONG CODE")))</f>
        <v/>
      </c>
      <c r="J58" s="33" t="str">
        <f t="shared" ca="1" si="5"/>
        <v>—</v>
      </c>
      <c r="K58" s="46"/>
    </row>
    <row r="59" spans="1:11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IF(A59="","",IFERROR(VLOOKUP(A59,DB_Customers!$A:$M,13,0),""))</f>
        <v/>
      </c>
      <c r="D59" s="42" t="str">
        <f t="shared" ca="1" si="3"/>
        <v/>
      </c>
      <c r="E59" s="32"/>
      <c r="F59" s="43" t="str">
        <f t="shared" si="4"/>
        <v/>
      </c>
      <c r="G59" s="30" t="s">
        <v>61</v>
      </c>
      <c r="H59" s="41"/>
      <c r="I59" s="33" t="str">
        <f>IF(A59="","",IF(H59="","⚠️ Enter Agent Code",IF(IFERROR(VLOOKUP(G59,DB_Agents!$B:$F,4,0),"")=TEXT(H59,"0"),IF(AND(A59&lt;&gt;"",E59&lt;&gt;""),"✅ Saved","Pending"),"🔒 WRONG CODE")))</f>
        <v/>
      </c>
      <c r="J59" s="33" t="str">
        <f t="shared" ca="1" si="5"/>
        <v>—</v>
      </c>
      <c r="K59" s="22"/>
    </row>
    <row r="60" spans="1:11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IF(A60="","",IFERROR(VLOOKUP(A60,DB_Customers!$A:$M,13,0),""))</f>
        <v/>
      </c>
      <c r="D60" s="42" t="str">
        <f t="shared" ca="1" si="3"/>
        <v/>
      </c>
      <c r="E60" s="32"/>
      <c r="F60" s="43" t="str">
        <f t="shared" si="4"/>
        <v/>
      </c>
      <c r="G60" s="30" t="s">
        <v>61</v>
      </c>
      <c r="H60" s="41"/>
      <c r="I60" s="33" t="str">
        <f>IF(A60="","",IF(H60="","⚠️ Enter Agent Code",IF(IFERROR(VLOOKUP(G60,DB_Agents!$B:$F,4,0),"")=TEXT(H60,"0"),IF(AND(A60&lt;&gt;"",E60&lt;&gt;""),"✅ Saved","Pending"),"🔒 WRONG CODE")))</f>
        <v/>
      </c>
      <c r="J60" s="33" t="str">
        <f t="shared" ca="1" si="5"/>
        <v>—</v>
      </c>
      <c r="K60" s="46"/>
    </row>
    <row r="61" spans="1:11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IF(A61="","",IFERROR(VLOOKUP(A61,DB_Customers!$A:$M,13,0),""))</f>
        <v/>
      </c>
      <c r="D61" s="42" t="str">
        <f t="shared" ca="1" si="3"/>
        <v/>
      </c>
      <c r="E61" s="32"/>
      <c r="F61" s="43" t="str">
        <f t="shared" si="4"/>
        <v/>
      </c>
      <c r="G61" s="30" t="s">
        <v>61</v>
      </c>
      <c r="H61" s="41"/>
      <c r="I61" s="33" t="str">
        <f>IF(A61="","",IF(H61="","⚠️ Enter Agent Code",IF(IFERROR(VLOOKUP(G61,DB_Agents!$B:$F,4,0),"")=TEXT(H61,"0"),IF(AND(A61&lt;&gt;"",E61&lt;&gt;""),"✅ Saved","Pending"),"🔒 WRONG CODE")))</f>
        <v/>
      </c>
      <c r="J61" s="33" t="str">
        <f t="shared" ca="1" si="5"/>
        <v>—</v>
      </c>
      <c r="K61" s="22"/>
    </row>
    <row r="62" spans="1:11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IF(A62="","",IFERROR(VLOOKUP(A62,DB_Customers!$A:$M,13,0),""))</f>
        <v/>
      </c>
      <c r="D62" s="42" t="str">
        <f t="shared" ca="1" si="3"/>
        <v/>
      </c>
      <c r="E62" s="32"/>
      <c r="F62" s="43" t="str">
        <f t="shared" si="4"/>
        <v/>
      </c>
      <c r="G62" s="30" t="s">
        <v>61</v>
      </c>
      <c r="H62" s="41"/>
      <c r="I62" s="33" t="str">
        <f>IF(A62="","",IF(H62="","⚠️ Enter Agent Code",IF(IFERROR(VLOOKUP(G62,DB_Agents!$B:$F,4,0),"")=TEXT(H62,"0"),IF(AND(A62&lt;&gt;"",E62&lt;&gt;""),"✅ Saved","Pending"),"🔒 WRONG CODE")))</f>
        <v/>
      </c>
      <c r="J62" s="33" t="str">
        <f t="shared" ca="1" si="5"/>
        <v>—</v>
      </c>
      <c r="K62" s="46"/>
    </row>
    <row r="63" spans="1:11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IF(A63="","",IFERROR(VLOOKUP(A63,DB_Customers!$A:$M,13,0),""))</f>
        <v/>
      </c>
      <c r="D63" s="42" t="str">
        <f t="shared" ca="1" si="3"/>
        <v/>
      </c>
      <c r="E63" s="32"/>
      <c r="F63" s="43" t="str">
        <f t="shared" si="4"/>
        <v/>
      </c>
      <c r="G63" s="30" t="s">
        <v>61</v>
      </c>
      <c r="H63" s="41"/>
      <c r="I63" s="33" t="str">
        <f>IF(A63="","",IF(H63="","⚠️ Enter Agent Code",IF(IFERROR(VLOOKUP(G63,DB_Agents!$B:$F,4,0),"")=TEXT(H63,"0"),IF(AND(A63&lt;&gt;"",E63&lt;&gt;""),"✅ Saved","Pending"),"🔒 WRONG CODE")))</f>
        <v/>
      </c>
      <c r="J63" s="33" t="str">
        <f t="shared" ca="1" si="5"/>
        <v>—</v>
      </c>
      <c r="K63" s="22"/>
    </row>
    <row r="64" spans="1:11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IF(A64="","",IFERROR(VLOOKUP(A64,DB_Customers!$A:$M,13,0),""))</f>
        <v/>
      </c>
      <c r="D64" s="42" t="str">
        <f t="shared" ca="1" si="3"/>
        <v/>
      </c>
      <c r="E64" s="32"/>
      <c r="F64" s="43" t="str">
        <f t="shared" si="4"/>
        <v/>
      </c>
      <c r="G64" s="30" t="s">
        <v>61</v>
      </c>
      <c r="H64" s="41"/>
      <c r="I64" s="33" t="str">
        <f>IF(A64="","",IF(H64="","⚠️ Enter Agent Code",IF(IFERROR(VLOOKUP(G64,DB_Agents!$B:$F,4,0),"")=TEXT(H64,"0"),IF(AND(A64&lt;&gt;"",E64&lt;&gt;""),"✅ Saved","Pending"),"🔒 WRONG CODE")))</f>
        <v/>
      </c>
      <c r="J64" s="33" t="str">
        <f t="shared" ca="1" si="5"/>
        <v>—</v>
      </c>
      <c r="K64" s="46"/>
    </row>
    <row r="65" spans="1:11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IF(A65="","",IFERROR(VLOOKUP(A65,DB_Customers!$A:$M,13,0),""))</f>
        <v/>
      </c>
      <c r="D65" s="42" t="str">
        <f t="shared" ca="1" si="3"/>
        <v/>
      </c>
      <c r="E65" s="32"/>
      <c r="F65" s="43" t="str">
        <f t="shared" si="4"/>
        <v/>
      </c>
      <c r="G65" s="30" t="s">
        <v>61</v>
      </c>
      <c r="H65" s="41"/>
      <c r="I65" s="33" t="str">
        <f>IF(A65="","",IF(H65="","⚠️ Enter Agent Code",IF(IFERROR(VLOOKUP(G65,DB_Agents!$B:$F,4,0),"")=TEXT(H65,"0"),IF(AND(A65&lt;&gt;"",E65&lt;&gt;""),"✅ Saved","Pending"),"🔒 WRONG CODE")))</f>
        <v/>
      </c>
      <c r="J65" s="33" t="str">
        <f t="shared" ca="1" si="5"/>
        <v>—</v>
      </c>
      <c r="K65" s="22"/>
    </row>
    <row r="66" spans="1:11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IF(A66="","",IFERROR(VLOOKUP(A66,DB_Customers!$A:$M,13,0),""))</f>
        <v/>
      </c>
      <c r="D66" s="42" t="str">
        <f t="shared" ca="1" si="3"/>
        <v/>
      </c>
      <c r="E66" s="32"/>
      <c r="F66" s="43" t="str">
        <f t="shared" si="4"/>
        <v/>
      </c>
      <c r="G66" s="30" t="s">
        <v>61</v>
      </c>
      <c r="H66" s="41"/>
      <c r="I66" s="33" t="str">
        <f>IF(A66="","",IF(H66="","⚠️ Enter Agent Code",IF(IFERROR(VLOOKUP(G66,DB_Agents!$B:$F,4,0),"")=TEXT(H66,"0"),IF(AND(A66&lt;&gt;"",E66&lt;&gt;""),"✅ Saved","Pending"),"🔒 WRONG CODE")))</f>
        <v/>
      </c>
      <c r="J66" s="33" t="str">
        <f t="shared" ca="1" si="5"/>
        <v>—</v>
      </c>
      <c r="K66" s="46"/>
    </row>
    <row r="67" spans="1:11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IF(A67="","",IFERROR(VLOOKUP(A67,DB_Customers!$A:$M,13,0),""))</f>
        <v/>
      </c>
      <c r="D67" s="42" t="str">
        <f t="shared" ca="1" si="3"/>
        <v/>
      </c>
      <c r="E67" s="32"/>
      <c r="F67" s="43" t="str">
        <f t="shared" si="4"/>
        <v/>
      </c>
      <c r="G67" s="30" t="s">
        <v>61</v>
      </c>
      <c r="H67" s="41"/>
      <c r="I67" s="33" t="str">
        <f>IF(A67="","",IF(H67="","⚠️ Enter Agent Code",IF(IFERROR(VLOOKUP(G67,DB_Agents!$B:$F,4,0),"")=TEXT(H67,"0"),IF(AND(A67&lt;&gt;"",E67&lt;&gt;""),"✅ Saved","Pending"),"🔒 WRONG CODE")))</f>
        <v/>
      </c>
      <c r="J67" s="33" t="str">
        <f t="shared" ca="1" si="5"/>
        <v>—</v>
      </c>
      <c r="K67" s="22"/>
    </row>
    <row r="68" spans="1:11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IF(A68="","",IFERROR(VLOOKUP(A68,DB_Customers!$A:$M,13,0),""))</f>
        <v/>
      </c>
      <c r="D68" s="42" t="str">
        <f t="shared" ca="1" si="3"/>
        <v/>
      </c>
      <c r="E68" s="32"/>
      <c r="F68" s="43" t="str">
        <f t="shared" si="4"/>
        <v/>
      </c>
      <c r="G68" s="30" t="s">
        <v>61</v>
      </c>
      <c r="H68" s="41"/>
      <c r="I68" s="33" t="str">
        <f>IF(A68="","",IF(H68="","⚠️ Enter Agent Code",IF(IFERROR(VLOOKUP(G68,DB_Agents!$B:$F,4,0),"")=TEXT(H68,"0"),IF(AND(A68&lt;&gt;"",E68&lt;&gt;""),"✅ Saved","Pending"),"🔒 WRONG CODE")))</f>
        <v/>
      </c>
      <c r="J68" s="33" t="str">
        <f t="shared" ca="1" si="5"/>
        <v>—</v>
      </c>
      <c r="K68" s="46"/>
    </row>
    <row r="69" spans="1:11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IF(A69="","",IFERROR(VLOOKUP(A69,DB_Customers!$A:$M,13,0),""))</f>
        <v/>
      </c>
      <c r="D69" s="42" t="str">
        <f t="shared" ca="1" si="3"/>
        <v/>
      </c>
      <c r="E69" s="32"/>
      <c r="F69" s="43" t="str">
        <f t="shared" si="4"/>
        <v/>
      </c>
      <c r="G69" s="30" t="s">
        <v>61</v>
      </c>
      <c r="H69" s="41"/>
      <c r="I69" s="33" t="str">
        <f>IF(A69="","",IF(H69="","⚠️ Enter Agent Code",IF(IFERROR(VLOOKUP(G69,DB_Agents!$B:$F,4,0),"")=TEXT(H69,"0"),IF(AND(A69&lt;&gt;"",E69&lt;&gt;""),"✅ Saved","Pending"),"🔒 WRONG CODE")))</f>
        <v/>
      </c>
      <c r="J69" s="33" t="str">
        <f t="shared" ca="1" si="5"/>
        <v>—</v>
      </c>
      <c r="K69" s="22"/>
    </row>
    <row r="70" spans="1:11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IF(A70="","",IFERROR(VLOOKUP(A70,DB_Customers!$A:$M,13,0),""))</f>
        <v/>
      </c>
      <c r="D70" s="42" t="str">
        <f t="shared" ca="1" si="3"/>
        <v/>
      </c>
      <c r="E70" s="32"/>
      <c r="F70" s="43" t="str">
        <f t="shared" si="4"/>
        <v/>
      </c>
      <c r="G70" s="30" t="s">
        <v>61</v>
      </c>
      <c r="H70" s="41"/>
      <c r="I70" s="33" t="str">
        <f>IF(A70="","",IF(H70="","⚠️ Enter Agent Code",IF(IFERROR(VLOOKUP(G70,DB_Agents!$B:$F,4,0),"")=TEXT(H70,"0"),IF(AND(A70&lt;&gt;"",E70&lt;&gt;""),"✅ Saved","Pending"),"🔒 WRONG CODE")))</f>
        <v/>
      </c>
      <c r="J70" s="33" t="str">
        <f t="shared" ca="1" si="5"/>
        <v>—</v>
      </c>
      <c r="K70" s="46"/>
    </row>
    <row r="71" spans="1:11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IF(A71="","",IFERROR(VLOOKUP(A71,DB_Customers!$A:$M,13,0),""))</f>
        <v/>
      </c>
      <c r="D71" s="42" t="str">
        <f t="shared" ca="1" si="3"/>
        <v/>
      </c>
      <c r="E71" s="32"/>
      <c r="F71" s="43" t="str">
        <f t="shared" si="4"/>
        <v/>
      </c>
      <c r="G71" s="30" t="s">
        <v>61</v>
      </c>
      <c r="H71" s="41"/>
      <c r="I71" s="33" t="str">
        <f>IF(A71="","",IF(H71="","⚠️ Enter Agent Code",IF(IFERROR(VLOOKUP(G71,DB_Agents!$B:$F,4,0),"")=TEXT(H71,"0"),IF(AND(A71&lt;&gt;"",E71&lt;&gt;""),"✅ Saved","Pending"),"🔒 WRONG CODE")))</f>
        <v/>
      </c>
      <c r="J71" s="33" t="str">
        <f t="shared" ca="1" si="5"/>
        <v>—</v>
      </c>
      <c r="K71" s="22"/>
    </row>
    <row r="72" spans="1:11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IF(A72="","",IFERROR(VLOOKUP(A72,DB_Customers!$A:$M,13,0),""))</f>
        <v/>
      </c>
      <c r="D72" s="42" t="str">
        <f t="shared" ca="1" si="3"/>
        <v/>
      </c>
      <c r="E72" s="32"/>
      <c r="F72" s="43" t="str">
        <f t="shared" si="4"/>
        <v/>
      </c>
      <c r="G72" s="30" t="s">
        <v>61</v>
      </c>
      <c r="H72" s="41"/>
      <c r="I72" s="33" t="str">
        <f>IF(A72="","",IF(H72="","⚠️ Enter Agent Code",IF(IFERROR(VLOOKUP(G72,DB_Agents!$B:$F,4,0),"")=TEXT(H72,"0"),IF(AND(A72&lt;&gt;"",E72&lt;&gt;""),"✅ Saved","Pending"),"🔒 WRONG CODE")))</f>
        <v/>
      </c>
      <c r="J72" s="33" t="str">
        <f t="shared" ca="1" si="5"/>
        <v>—</v>
      </c>
      <c r="K72" s="46"/>
    </row>
    <row r="73" spans="1:11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IF(A73="","",IFERROR(VLOOKUP(A73,DB_Customers!$A:$M,13,0),""))</f>
        <v/>
      </c>
      <c r="D73" s="42" t="str">
        <f t="shared" ref="D73:D104" ca="1" si="6">IF(A73="","",TODAY())</f>
        <v/>
      </c>
      <c r="E73" s="32"/>
      <c r="F73" s="43" t="str">
        <f t="shared" ref="F73:F104" si="7">IFERROR(IF(OR(A73="",E73=""),"",C73+E73),"")</f>
        <v/>
      </c>
      <c r="G73" s="30" t="s">
        <v>61</v>
      </c>
      <c r="H73" s="41"/>
      <c r="I73" s="33" t="str">
        <f>IF(A73="","",IF(H73="","⚠️ Enter Agent Code",IF(IFERROR(VLOOKUP(G73,DB_Agents!$B:$F,4,0),"")=TEXT(H73,"0"),IF(AND(A73&lt;&gt;"",E73&lt;&gt;""),"✅ Saved","Pending"),"🔒 WRONG CODE")))</f>
        <v/>
      </c>
      <c r="J73" s="33" t="str">
        <f t="shared" ref="J73:J104" ca="1" si="8">IF(I73="✅ Saved",TEXT(TODAY(),"YYYY-MM-DD")&amp;" Auto","—")</f>
        <v>—</v>
      </c>
      <c r="K73" s="22"/>
    </row>
    <row r="74" spans="1:11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IF(A74="","",IFERROR(VLOOKUP(A74,DB_Customers!$A:$M,13,0),""))</f>
        <v/>
      </c>
      <c r="D74" s="42" t="str">
        <f t="shared" ca="1" si="6"/>
        <v/>
      </c>
      <c r="E74" s="32"/>
      <c r="F74" s="43" t="str">
        <f t="shared" si="7"/>
        <v/>
      </c>
      <c r="G74" s="30" t="s">
        <v>61</v>
      </c>
      <c r="H74" s="41"/>
      <c r="I74" s="33" t="str">
        <f>IF(A74="","",IF(H74="","⚠️ Enter Agent Code",IF(IFERROR(VLOOKUP(G74,DB_Agents!$B:$F,4,0),"")=TEXT(H74,"0"),IF(AND(A74&lt;&gt;"",E74&lt;&gt;""),"✅ Saved","Pending"),"🔒 WRONG CODE")))</f>
        <v/>
      </c>
      <c r="J74" s="33" t="str">
        <f t="shared" ca="1" si="8"/>
        <v>—</v>
      </c>
      <c r="K74" s="46"/>
    </row>
    <row r="75" spans="1:11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IF(A75="","",IFERROR(VLOOKUP(A75,DB_Customers!$A:$M,13,0),""))</f>
        <v/>
      </c>
      <c r="D75" s="42" t="str">
        <f t="shared" ca="1" si="6"/>
        <v/>
      </c>
      <c r="E75" s="32"/>
      <c r="F75" s="43" t="str">
        <f t="shared" si="7"/>
        <v/>
      </c>
      <c r="G75" s="30" t="s">
        <v>61</v>
      </c>
      <c r="H75" s="41"/>
      <c r="I75" s="33" t="str">
        <f>IF(A75="","",IF(H75="","⚠️ Enter Agent Code",IF(IFERROR(VLOOKUP(G75,DB_Agents!$B:$F,4,0),"")=TEXT(H75,"0"),IF(AND(A75&lt;&gt;"",E75&lt;&gt;""),"✅ Saved","Pending"),"🔒 WRONG CODE")))</f>
        <v/>
      </c>
      <c r="J75" s="33" t="str">
        <f t="shared" ca="1" si="8"/>
        <v>—</v>
      </c>
      <c r="K75" s="22"/>
    </row>
    <row r="76" spans="1:11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IF(A76="","",IFERROR(VLOOKUP(A76,DB_Customers!$A:$M,13,0),""))</f>
        <v/>
      </c>
      <c r="D76" s="42" t="str">
        <f t="shared" ca="1" si="6"/>
        <v/>
      </c>
      <c r="E76" s="32"/>
      <c r="F76" s="43" t="str">
        <f t="shared" si="7"/>
        <v/>
      </c>
      <c r="G76" s="30" t="s">
        <v>61</v>
      </c>
      <c r="H76" s="41"/>
      <c r="I76" s="33" t="str">
        <f>IF(A76="","",IF(H76="","⚠️ Enter Agent Code",IF(IFERROR(VLOOKUP(G76,DB_Agents!$B:$F,4,0),"")=TEXT(H76,"0"),IF(AND(A76&lt;&gt;"",E76&lt;&gt;""),"✅ Saved","Pending"),"🔒 WRONG CODE")))</f>
        <v/>
      </c>
      <c r="J76" s="33" t="str">
        <f t="shared" ca="1" si="8"/>
        <v>—</v>
      </c>
      <c r="K76" s="46"/>
    </row>
    <row r="77" spans="1:11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IF(A77="","",IFERROR(VLOOKUP(A77,DB_Customers!$A:$M,13,0),""))</f>
        <v/>
      </c>
      <c r="D77" s="42" t="str">
        <f t="shared" ca="1" si="6"/>
        <v/>
      </c>
      <c r="E77" s="32"/>
      <c r="F77" s="43" t="str">
        <f t="shared" si="7"/>
        <v/>
      </c>
      <c r="G77" s="30" t="s">
        <v>61</v>
      </c>
      <c r="H77" s="41"/>
      <c r="I77" s="33" t="str">
        <f>IF(A77="","",IF(H77="","⚠️ Enter Agent Code",IF(IFERROR(VLOOKUP(G77,DB_Agents!$B:$F,4,0),"")=TEXT(H77,"0"),IF(AND(A77&lt;&gt;"",E77&lt;&gt;""),"✅ Saved","Pending"),"🔒 WRONG CODE")))</f>
        <v/>
      </c>
      <c r="J77" s="33" t="str">
        <f t="shared" ca="1" si="8"/>
        <v>—</v>
      </c>
      <c r="K77" s="22"/>
    </row>
    <row r="78" spans="1:11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IF(A78="","",IFERROR(VLOOKUP(A78,DB_Customers!$A:$M,13,0),""))</f>
        <v/>
      </c>
      <c r="D78" s="42" t="str">
        <f t="shared" ca="1" si="6"/>
        <v/>
      </c>
      <c r="E78" s="32"/>
      <c r="F78" s="43" t="str">
        <f t="shared" si="7"/>
        <v/>
      </c>
      <c r="G78" s="30" t="s">
        <v>61</v>
      </c>
      <c r="H78" s="41"/>
      <c r="I78" s="33" t="str">
        <f>IF(A78="","",IF(H78="","⚠️ Enter Agent Code",IF(IFERROR(VLOOKUP(G78,DB_Agents!$B:$F,4,0),"")=TEXT(H78,"0"),IF(AND(A78&lt;&gt;"",E78&lt;&gt;""),"✅ Saved","Pending"),"🔒 WRONG CODE")))</f>
        <v/>
      </c>
      <c r="J78" s="33" t="str">
        <f t="shared" ca="1" si="8"/>
        <v>—</v>
      </c>
      <c r="K78" s="46"/>
    </row>
    <row r="79" spans="1:11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IF(A79="","",IFERROR(VLOOKUP(A79,DB_Customers!$A:$M,13,0),""))</f>
        <v/>
      </c>
      <c r="D79" s="42" t="str">
        <f t="shared" ca="1" si="6"/>
        <v/>
      </c>
      <c r="E79" s="32"/>
      <c r="F79" s="43" t="str">
        <f t="shared" si="7"/>
        <v/>
      </c>
      <c r="G79" s="30" t="s">
        <v>61</v>
      </c>
      <c r="H79" s="41"/>
      <c r="I79" s="33" t="str">
        <f>IF(A79="","",IF(H79="","⚠️ Enter Agent Code",IF(IFERROR(VLOOKUP(G79,DB_Agents!$B:$F,4,0),"")=TEXT(H79,"0"),IF(AND(A79&lt;&gt;"",E79&lt;&gt;""),"✅ Saved","Pending"),"🔒 WRONG CODE")))</f>
        <v/>
      </c>
      <c r="J79" s="33" t="str">
        <f t="shared" ca="1" si="8"/>
        <v>—</v>
      </c>
      <c r="K79" s="22"/>
    </row>
    <row r="80" spans="1:11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IF(A80="","",IFERROR(VLOOKUP(A80,DB_Customers!$A:$M,13,0),""))</f>
        <v/>
      </c>
      <c r="D80" s="42" t="str">
        <f t="shared" ca="1" si="6"/>
        <v/>
      </c>
      <c r="E80" s="32"/>
      <c r="F80" s="43" t="str">
        <f t="shared" si="7"/>
        <v/>
      </c>
      <c r="G80" s="30" t="s">
        <v>61</v>
      </c>
      <c r="H80" s="41"/>
      <c r="I80" s="33" t="str">
        <f>IF(A80="","",IF(H80="","⚠️ Enter Agent Code",IF(IFERROR(VLOOKUP(G80,DB_Agents!$B:$F,4,0),"")=TEXT(H80,"0"),IF(AND(A80&lt;&gt;"",E80&lt;&gt;""),"✅ Saved","Pending"),"🔒 WRONG CODE")))</f>
        <v/>
      </c>
      <c r="J80" s="33" t="str">
        <f t="shared" ca="1" si="8"/>
        <v>—</v>
      </c>
      <c r="K80" s="46"/>
    </row>
    <row r="81" spans="1:11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IF(A81="","",IFERROR(VLOOKUP(A81,DB_Customers!$A:$M,13,0),""))</f>
        <v/>
      </c>
      <c r="D81" s="42" t="str">
        <f t="shared" ca="1" si="6"/>
        <v/>
      </c>
      <c r="E81" s="32"/>
      <c r="F81" s="43" t="str">
        <f t="shared" si="7"/>
        <v/>
      </c>
      <c r="G81" s="30" t="s">
        <v>61</v>
      </c>
      <c r="H81" s="41"/>
      <c r="I81" s="33" t="str">
        <f>IF(A81="","",IF(H81="","⚠️ Enter Agent Code",IF(IFERROR(VLOOKUP(G81,DB_Agents!$B:$F,4,0),"")=TEXT(H81,"0"),IF(AND(A81&lt;&gt;"",E81&lt;&gt;""),"✅ Saved","Pending"),"🔒 WRONG CODE")))</f>
        <v/>
      </c>
      <c r="J81" s="33" t="str">
        <f t="shared" ca="1" si="8"/>
        <v>—</v>
      </c>
      <c r="K81" s="22"/>
    </row>
    <row r="82" spans="1:11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IF(A82="","",IFERROR(VLOOKUP(A82,DB_Customers!$A:$M,13,0),""))</f>
        <v/>
      </c>
      <c r="D82" s="42" t="str">
        <f t="shared" ca="1" si="6"/>
        <v/>
      </c>
      <c r="E82" s="32"/>
      <c r="F82" s="43" t="str">
        <f t="shared" si="7"/>
        <v/>
      </c>
      <c r="G82" s="30" t="s">
        <v>61</v>
      </c>
      <c r="H82" s="41"/>
      <c r="I82" s="33" t="str">
        <f>IF(A82="","",IF(H82="","⚠️ Enter Agent Code",IF(IFERROR(VLOOKUP(G82,DB_Agents!$B:$F,4,0),"")=TEXT(H82,"0"),IF(AND(A82&lt;&gt;"",E82&lt;&gt;""),"✅ Saved","Pending"),"🔒 WRONG CODE")))</f>
        <v/>
      </c>
      <c r="J82" s="33" t="str">
        <f t="shared" ca="1" si="8"/>
        <v>—</v>
      </c>
      <c r="K82" s="46"/>
    </row>
    <row r="83" spans="1:11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IF(A83="","",IFERROR(VLOOKUP(A83,DB_Customers!$A:$M,13,0),""))</f>
        <v/>
      </c>
      <c r="D83" s="42" t="str">
        <f t="shared" ca="1" si="6"/>
        <v/>
      </c>
      <c r="E83" s="32"/>
      <c r="F83" s="43" t="str">
        <f t="shared" si="7"/>
        <v/>
      </c>
      <c r="G83" s="30" t="s">
        <v>61</v>
      </c>
      <c r="H83" s="41"/>
      <c r="I83" s="33" t="str">
        <f>IF(A83="","",IF(H83="","⚠️ Enter Agent Code",IF(IFERROR(VLOOKUP(G83,DB_Agents!$B:$F,4,0),"")=TEXT(H83,"0"),IF(AND(A83&lt;&gt;"",E83&lt;&gt;""),"✅ Saved","Pending"),"🔒 WRONG CODE")))</f>
        <v/>
      </c>
      <c r="J83" s="33" t="str">
        <f t="shared" ca="1" si="8"/>
        <v>—</v>
      </c>
      <c r="K83" s="22"/>
    </row>
    <row r="84" spans="1:11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IF(A84="","",IFERROR(VLOOKUP(A84,DB_Customers!$A:$M,13,0),""))</f>
        <v/>
      </c>
      <c r="D84" s="42" t="str">
        <f t="shared" ca="1" si="6"/>
        <v/>
      </c>
      <c r="E84" s="32"/>
      <c r="F84" s="43" t="str">
        <f t="shared" si="7"/>
        <v/>
      </c>
      <c r="G84" s="30" t="s">
        <v>61</v>
      </c>
      <c r="H84" s="41"/>
      <c r="I84" s="33" t="str">
        <f>IF(A84="","",IF(H84="","⚠️ Enter Agent Code",IF(IFERROR(VLOOKUP(G84,DB_Agents!$B:$F,4,0),"")=TEXT(H84,"0"),IF(AND(A84&lt;&gt;"",E84&lt;&gt;""),"✅ Saved","Pending"),"🔒 WRONG CODE")))</f>
        <v/>
      </c>
      <c r="J84" s="33" t="str">
        <f t="shared" ca="1" si="8"/>
        <v>—</v>
      </c>
      <c r="K84" s="46"/>
    </row>
    <row r="85" spans="1:11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IF(A85="","",IFERROR(VLOOKUP(A85,DB_Customers!$A:$M,13,0),""))</f>
        <v/>
      </c>
      <c r="D85" s="42" t="str">
        <f t="shared" ca="1" si="6"/>
        <v/>
      </c>
      <c r="E85" s="32"/>
      <c r="F85" s="43" t="str">
        <f t="shared" si="7"/>
        <v/>
      </c>
      <c r="G85" s="30" t="s">
        <v>61</v>
      </c>
      <c r="H85" s="41"/>
      <c r="I85" s="33" t="str">
        <f>IF(A85="","",IF(H85="","⚠️ Enter Agent Code",IF(IFERROR(VLOOKUP(G85,DB_Agents!$B:$F,4,0),"")=TEXT(H85,"0"),IF(AND(A85&lt;&gt;"",E85&lt;&gt;""),"✅ Saved","Pending"),"🔒 WRONG CODE")))</f>
        <v/>
      </c>
      <c r="J85" s="33" t="str">
        <f t="shared" ca="1" si="8"/>
        <v>—</v>
      </c>
      <c r="K85" s="22"/>
    </row>
    <row r="86" spans="1:11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IF(A86="","",IFERROR(VLOOKUP(A86,DB_Customers!$A:$M,13,0),""))</f>
        <v/>
      </c>
      <c r="D86" s="42" t="str">
        <f t="shared" ca="1" si="6"/>
        <v/>
      </c>
      <c r="E86" s="32"/>
      <c r="F86" s="43" t="str">
        <f t="shared" si="7"/>
        <v/>
      </c>
      <c r="G86" s="30" t="s">
        <v>61</v>
      </c>
      <c r="H86" s="41"/>
      <c r="I86" s="33" t="str">
        <f>IF(A86="","",IF(H86="","⚠️ Enter Agent Code",IF(IFERROR(VLOOKUP(G86,DB_Agents!$B:$F,4,0),"")=TEXT(H86,"0"),IF(AND(A86&lt;&gt;"",E86&lt;&gt;""),"✅ Saved","Pending"),"🔒 WRONG CODE")))</f>
        <v/>
      </c>
      <c r="J86" s="33" t="str">
        <f t="shared" ca="1" si="8"/>
        <v>—</v>
      </c>
      <c r="K86" s="46"/>
    </row>
    <row r="87" spans="1:11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IF(A87="","",IFERROR(VLOOKUP(A87,DB_Customers!$A:$M,13,0),""))</f>
        <v/>
      </c>
      <c r="D87" s="42" t="str">
        <f t="shared" ca="1" si="6"/>
        <v/>
      </c>
      <c r="E87" s="32"/>
      <c r="F87" s="43" t="str">
        <f t="shared" si="7"/>
        <v/>
      </c>
      <c r="G87" s="30" t="s">
        <v>61</v>
      </c>
      <c r="H87" s="41"/>
      <c r="I87" s="33" t="str">
        <f>IF(A87="","",IF(H87="","⚠️ Enter Agent Code",IF(IFERROR(VLOOKUP(G87,DB_Agents!$B:$F,4,0),"")=TEXT(H87,"0"),IF(AND(A87&lt;&gt;"",E87&lt;&gt;""),"✅ Saved","Pending"),"🔒 WRONG CODE")))</f>
        <v/>
      </c>
      <c r="J87" s="33" t="str">
        <f t="shared" ca="1" si="8"/>
        <v>—</v>
      </c>
      <c r="K87" s="22"/>
    </row>
    <row r="88" spans="1:11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IF(A88="","",IFERROR(VLOOKUP(A88,DB_Customers!$A:$M,13,0),""))</f>
        <v/>
      </c>
      <c r="D88" s="42" t="str">
        <f t="shared" ca="1" si="6"/>
        <v/>
      </c>
      <c r="E88" s="32"/>
      <c r="F88" s="43" t="str">
        <f t="shared" si="7"/>
        <v/>
      </c>
      <c r="G88" s="30" t="s">
        <v>61</v>
      </c>
      <c r="H88" s="41"/>
      <c r="I88" s="33" t="str">
        <f>IF(A88="","",IF(H88="","⚠️ Enter Agent Code",IF(IFERROR(VLOOKUP(G88,DB_Agents!$B:$F,4,0),"")=TEXT(H88,"0"),IF(AND(A88&lt;&gt;"",E88&lt;&gt;""),"✅ Saved","Pending"),"🔒 WRONG CODE")))</f>
        <v/>
      </c>
      <c r="J88" s="33" t="str">
        <f t="shared" ca="1" si="8"/>
        <v>—</v>
      </c>
      <c r="K88" s="46"/>
    </row>
    <row r="89" spans="1:11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IF(A89="","",IFERROR(VLOOKUP(A89,DB_Customers!$A:$M,13,0),""))</f>
        <v/>
      </c>
      <c r="D89" s="42" t="str">
        <f t="shared" ca="1" si="6"/>
        <v/>
      </c>
      <c r="E89" s="32"/>
      <c r="F89" s="43" t="str">
        <f t="shared" si="7"/>
        <v/>
      </c>
      <c r="G89" s="30" t="s">
        <v>61</v>
      </c>
      <c r="H89" s="41"/>
      <c r="I89" s="33" t="str">
        <f>IF(A89="","",IF(H89="","⚠️ Enter Agent Code",IF(IFERROR(VLOOKUP(G89,DB_Agents!$B:$F,4,0),"")=TEXT(H89,"0"),IF(AND(A89&lt;&gt;"",E89&lt;&gt;""),"✅ Saved","Pending"),"🔒 WRONG CODE")))</f>
        <v/>
      </c>
      <c r="J89" s="33" t="str">
        <f t="shared" ca="1" si="8"/>
        <v>—</v>
      </c>
      <c r="K89" s="22"/>
    </row>
    <row r="90" spans="1:11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IF(A90="","",IFERROR(VLOOKUP(A90,DB_Customers!$A:$M,13,0),""))</f>
        <v/>
      </c>
      <c r="D90" s="42" t="str">
        <f t="shared" ca="1" si="6"/>
        <v/>
      </c>
      <c r="E90" s="32"/>
      <c r="F90" s="43" t="str">
        <f t="shared" si="7"/>
        <v/>
      </c>
      <c r="G90" s="30" t="s">
        <v>61</v>
      </c>
      <c r="H90" s="41"/>
      <c r="I90" s="33" t="str">
        <f>IF(A90="","",IF(H90="","⚠️ Enter Agent Code",IF(IFERROR(VLOOKUP(G90,DB_Agents!$B:$F,4,0),"")=TEXT(H90,"0"),IF(AND(A90&lt;&gt;"",E90&lt;&gt;""),"✅ Saved","Pending"),"🔒 WRONG CODE")))</f>
        <v/>
      </c>
      <c r="J90" s="33" t="str">
        <f t="shared" ca="1" si="8"/>
        <v>—</v>
      </c>
      <c r="K90" s="46"/>
    </row>
    <row r="91" spans="1:11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IF(A91="","",IFERROR(VLOOKUP(A91,DB_Customers!$A:$M,13,0),""))</f>
        <v/>
      </c>
      <c r="D91" s="42" t="str">
        <f t="shared" ca="1" si="6"/>
        <v/>
      </c>
      <c r="E91" s="32"/>
      <c r="F91" s="43" t="str">
        <f t="shared" si="7"/>
        <v/>
      </c>
      <c r="G91" s="30" t="s">
        <v>61</v>
      </c>
      <c r="H91" s="41"/>
      <c r="I91" s="33" t="str">
        <f>IF(A91="","",IF(H91="","⚠️ Enter Agent Code",IF(IFERROR(VLOOKUP(G91,DB_Agents!$B:$F,4,0),"")=TEXT(H91,"0"),IF(AND(A91&lt;&gt;"",E91&lt;&gt;""),"✅ Saved","Pending"),"🔒 WRONG CODE")))</f>
        <v/>
      </c>
      <c r="J91" s="33" t="str">
        <f t="shared" ca="1" si="8"/>
        <v>—</v>
      </c>
      <c r="K91" s="22"/>
    </row>
    <row r="92" spans="1:11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IF(A92="","",IFERROR(VLOOKUP(A92,DB_Customers!$A:$M,13,0),""))</f>
        <v/>
      </c>
      <c r="D92" s="42" t="str">
        <f t="shared" ca="1" si="6"/>
        <v/>
      </c>
      <c r="E92" s="32"/>
      <c r="F92" s="43" t="str">
        <f t="shared" si="7"/>
        <v/>
      </c>
      <c r="G92" s="30" t="s">
        <v>61</v>
      </c>
      <c r="H92" s="41"/>
      <c r="I92" s="33" t="str">
        <f>IF(A92="","",IF(H92="","⚠️ Enter Agent Code",IF(IFERROR(VLOOKUP(G92,DB_Agents!$B:$F,4,0),"")=TEXT(H92,"0"),IF(AND(A92&lt;&gt;"",E92&lt;&gt;""),"✅ Saved","Pending"),"🔒 WRONG CODE")))</f>
        <v/>
      </c>
      <c r="J92" s="33" t="str">
        <f t="shared" ca="1" si="8"/>
        <v>—</v>
      </c>
      <c r="K92" s="46"/>
    </row>
    <row r="93" spans="1:11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IF(A93="","",IFERROR(VLOOKUP(A93,DB_Customers!$A:$M,13,0),""))</f>
        <v/>
      </c>
      <c r="D93" s="42" t="str">
        <f t="shared" ca="1" si="6"/>
        <v/>
      </c>
      <c r="E93" s="32"/>
      <c r="F93" s="43" t="str">
        <f t="shared" si="7"/>
        <v/>
      </c>
      <c r="G93" s="30" t="s">
        <v>61</v>
      </c>
      <c r="H93" s="41"/>
      <c r="I93" s="33" t="str">
        <f>IF(A93="","",IF(H93="","⚠️ Enter Agent Code",IF(IFERROR(VLOOKUP(G93,DB_Agents!$B:$F,4,0),"")=TEXT(H93,"0"),IF(AND(A93&lt;&gt;"",E93&lt;&gt;""),"✅ Saved","Pending"),"🔒 WRONG CODE")))</f>
        <v/>
      </c>
      <c r="J93" s="33" t="str">
        <f t="shared" ca="1" si="8"/>
        <v>—</v>
      </c>
      <c r="K93" s="22"/>
    </row>
    <row r="94" spans="1:11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IF(A94="","",IFERROR(VLOOKUP(A94,DB_Customers!$A:$M,13,0),""))</f>
        <v/>
      </c>
      <c r="D94" s="42" t="str">
        <f t="shared" ca="1" si="6"/>
        <v/>
      </c>
      <c r="E94" s="32"/>
      <c r="F94" s="43" t="str">
        <f t="shared" si="7"/>
        <v/>
      </c>
      <c r="G94" s="30" t="s">
        <v>61</v>
      </c>
      <c r="H94" s="41"/>
      <c r="I94" s="33" t="str">
        <f>IF(A94="","",IF(H94="","⚠️ Enter Agent Code",IF(IFERROR(VLOOKUP(G94,DB_Agents!$B:$F,4,0),"")=TEXT(H94,"0"),IF(AND(A94&lt;&gt;"",E94&lt;&gt;""),"✅ Saved","Pending"),"🔒 WRONG CODE")))</f>
        <v/>
      </c>
      <c r="J94" s="33" t="str">
        <f t="shared" ca="1" si="8"/>
        <v>—</v>
      </c>
      <c r="K94" s="46"/>
    </row>
    <row r="95" spans="1:11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IF(A95="","",IFERROR(VLOOKUP(A95,DB_Customers!$A:$M,13,0),""))</f>
        <v/>
      </c>
      <c r="D95" s="42" t="str">
        <f t="shared" ca="1" si="6"/>
        <v/>
      </c>
      <c r="E95" s="32"/>
      <c r="F95" s="43" t="str">
        <f t="shared" si="7"/>
        <v/>
      </c>
      <c r="G95" s="30" t="s">
        <v>61</v>
      </c>
      <c r="H95" s="41"/>
      <c r="I95" s="33" t="str">
        <f>IF(A95="","",IF(H95="","⚠️ Enter Agent Code",IF(IFERROR(VLOOKUP(G95,DB_Agents!$B:$F,4,0),"")=TEXT(H95,"0"),IF(AND(A95&lt;&gt;"",E95&lt;&gt;""),"✅ Saved","Pending"),"🔒 WRONG CODE")))</f>
        <v/>
      </c>
      <c r="J95" s="33" t="str">
        <f t="shared" ca="1" si="8"/>
        <v>—</v>
      </c>
      <c r="K95" s="22"/>
    </row>
    <row r="96" spans="1:11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IF(A96="","",IFERROR(VLOOKUP(A96,DB_Customers!$A:$M,13,0),""))</f>
        <v/>
      </c>
      <c r="D96" s="42" t="str">
        <f t="shared" ca="1" si="6"/>
        <v/>
      </c>
      <c r="E96" s="32"/>
      <c r="F96" s="43" t="str">
        <f t="shared" si="7"/>
        <v/>
      </c>
      <c r="G96" s="30" t="s">
        <v>61</v>
      </c>
      <c r="H96" s="41"/>
      <c r="I96" s="33" t="str">
        <f>IF(A96="","",IF(H96="","⚠️ Enter Agent Code",IF(IFERROR(VLOOKUP(G96,DB_Agents!$B:$F,4,0),"")=TEXT(H96,"0"),IF(AND(A96&lt;&gt;"",E96&lt;&gt;""),"✅ Saved","Pending"),"🔒 WRONG CODE")))</f>
        <v/>
      </c>
      <c r="J96" s="33" t="str">
        <f t="shared" ca="1" si="8"/>
        <v>—</v>
      </c>
      <c r="K96" s="46"/>
    </row>
    <row r="97" spans="1:11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IF(A97="","",IFERROR(VLOOKUP(A97,DB_Customers!$A:$M,13,0),""))</f>
        <v/>
      </c>
      <c r="D97" s="42" t="str">
        <f t="shared" ca="1" si="6"/>
        <v/>
      </c>
      <c r="E97" s="32"/>
      <c r="F97" s="43" t="str">
        <f t="shared" si="7"/>
        <v/>
      </c>
      <c r="G97" s="30" t="s">
        <v>61</v>
      </c>
      <c r="H97" s="41"/>
      <c r="I97" s="33" t="str">
        <f>IF(A97="","",IF(H97="","⚠️ Enter Agent Code",IF(IFERROR(VLOOKUP(G97,DB_Agents!$B:$F,4,0),"")=TEXT(H97,"0"),IF(AND(A97&lt;&gt;"",E97&lt;&gt;""),"✅ Saved","Pending"),"🔒 WRONG CODE")))</f>
        <v/>
      </c>
      <c r="J97" s="33" t="str">
        <f t="shared" ca="1" si="8"/>
        <v>—</v>
      </c>
      <c r="K97" s="22"/>
    </row>
    <row r="98" spans="1:11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IF(A98="","",IFERROR(VLOOKUP(A98,DB_Customers!$A:$M,13,0),""))</f>
        <v/>
      </c>
      <c r="D98" s="42" t="str">
        <f t="shared" ca="1" si="6"/>
        <v/>
      </c>
      <c r="E98" s="32"/>
      <c r="F98" s="43" t="str">
        <f t="shared" si="7"/>
        <v/>
      </c>
      <c r="G98" s="30" t="s">
        <v>61</v>
      </c>
      <c r="H98" s="41"/>
      <c r="I98" s="33" t="str">
        <f>IF(A98="","",IF(H98="","⚠️ Enter Agent Code",IF(IFERROR(VLOOKUP(G98,DB_Agents!$B:$F,4,0),"")=TEXT(H98,"0"),IF(AND(A98&lt;&gt;"",E98&lt;&gt;""),"✅ Saved","Pending"),"🔒 WRONG CODE")))</f>
        <v/>
      </c>
      <c r="J98" s="33" t="str">
        <f t="shared" ca="1" si="8"/>
        <v>—</v>
      </c>
      <c r="K98" s="46"/>
    </row>
    <row r="99" spans="1:11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IF(A99="","",IFERROR(VLOOKUP(A99,DB_Customers!$A:$M,13,0),""))</f>
        <v/>
      </c>
      <c r="D99" s="42" t="str">
        <f t="shared" ca="1" si="6"/>
        <v/>
      </c>
      <c r="E99" s="32"/>
      <c r="F99" s="43" t="str">
        <f t="shared" si="7"/>
        <v/>
      </c>
      <c r="G99" s="30" t="s">
        <v>61</v>
      </c>
      <c r="H99" s="41"/>
      <c r="I99" s="33" t="str">
        <f>IF(A99="","",IF(H99="","⚠️ Enter Agent Code",IF(IFERROR(VLOOKUP(G99,DB_Agents!$B:$F,4,0),"")=TEXT(H99,"0"),IF(AND(A99&lt;&gt;"",E99&lt;&gt;""),"✅ Saved","Pending"),"🔒 WRONG CODE")))</f>
        <v/>
      </c>
      <c r="J99" s="33" t="str">
        <f t="shared" ca="1" si="8"/>
        <v>—</v>
      </c>
      <c r="K99" s="22"/>
    </row>
    <row r="100" spans="1:11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IF(A100="","",IFERROR(VLOOKUP(A100,DB_Customers!$A:$M,13,0),""))</f>
        <v/>
      </c>
      <c r="D100" s="42" t="str">
        <f t="shared" ca="1" si="6"/>
        <v/>
      </c>
      <c r="E100" s="32"/>
      <c r="F100" s="43" t="str">
        <f t="shared" si="7"/>
        <v/>
      </c>
      <c r="G100" s="30" t="s">
        <v>61</v>
      </c>
      <c r="H100" s="41"/>
      <c r="I100" s="33" t="str">
        <f>IF(A100="","",IF(H100="","⚠️ Enter Agent Code",IF(IFERROR(VLOOKUP(G100,DB_Agents!$B:$F,4,0),"")=TEXT(H100,"0"),IF(AND(A100&lt;&gt;"",E100&lt;&gt;""),"✅ Saved","Pending"),"🔒 WRONG CODE")))</f>
        <v/>
      </c>
      <c r="J100" s="33" t="str">
        <f t="shared" ca="1" si="8"/>
        <v>—</v>
      </c>
      <c r="K100" s="46"/>
    </row>
    <row r="101" spans="1:11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IF(A101="","",IFERROR(VLOOKUP(A101,DB_Customers!$A:$M,13,0),""))</f>
        <v/>
      </c>
      <c r="D101" s="42" t="str">
        <f t="shared" ca="1" si="6"/>
        <v/>
      </c>
      <c r="E101" s="32"/>
      <c r="F101" s="43" t="str">
        <f t="shared" si="7"/>
        <v/>
      </c>
      <c r="G101" s="30" t="s">
        <v>61</v>
      </c>
      <c r="H101" s="41"/>
      <c r="I101" s="33" t="str">
        <f>IF(A101="","",IF(H101="","⚠️ Enter Agent Code",IF(IFERROR(VLOOKUP(G101,DB_Agents!$B:$F,4,0),"")=TEXT(H101,"0"),IF(AND(A101&lt;&gt;"",E101&lt;&gt;""),"✅ Saved","Pending"),"🔒 WRONG CODE")))</f>
        <v/>
      </c>
      <c r="J101" s="33" t="str">
        <f t="shared" ca="1" si="8"/>
        <v>—</v>
      </c>
      <c r="K101" s="22"/>
    </row>
    <row r="102" spans="1:11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IF(A102="","",IFERROR(VLOOKUP(A102,DB_Customers!$A:$M,13,0),""))</f>
        <v/>
      </c>
      <c r="D102" s="42" t="str">
        <f t="shared" ca="1" si="6"/>
        <v/>
      </c>
      <c r="E102" s="32"/>
      <c r="F102" s="43" t="str">
        <f t="shared" si="7"/>
        <v/>
      </c>
      <c r="G102" s="30" t="s">
        <v>61</v>
      </c>
      <c r="H102" s="41"/>
      <c r="I102" s="33" t="str">
        <f>IF(A102="","",IF(H102="","⚠️ Enter Agent Code",IF(IFERROR(VLOOKUP(G102,DB_Agents!$B:$F,4,0),"")=TEXT(H102,"0"),IF(AND(A102&lt;&gt;"",E102&lt;&gt;""),"✅ Saved","Pending"),"🔒 WRONG CODE")))</f>
        <v/>
      </c>
      <c r="J102" s="33" t="str">
        <f t="shared" ca="1" si="8"/>
        <v>—</v>
      </c>
      <c r="K102" s="46"/>
    </row>
    <row r="103" spans="1:11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IF(A103="","",IFERROR(VLOOKUP(A103,DB_Customers!$A:$M,13,0),""))</f>
        <v/>
      </c>
      <c r="D103" s="42" t="str">
        <f t="shared" ca="1" si="6"/>
        <v/>
      </c>
      <c r="E103" s="32"/>
      <c r="F103" s="43" t="str">
        <f t="shared" si="7"/>
        <v/>
      </c>
      <c r="G103" s="30" t="s">
        <v>61</v>
      </c>
      <c r="H103" s="41"/>
      <c r="I103" s="33" t="str">
        <f>IF(A103="","",IF(H103="","⚠️ Enter Agent Code",IF(IFERROR(VLOOKUP(G103,DB_Agents!$B:$F,4,0),"")=TEXT(H103,"0"),IF(AND(A103&lt;&gt;"",E103&lt;&gt;""),"✅ Saved","Pending"),"🔒 WRONG CODE")))</f>
        <v/>
      </c>
      <c r="J103" s="33" t="str">
        <f t="shared" ca="1" si="8"/>
        <v>—</v>
      </c>
      <c r="K103" s="22"/>
    </row>
    <row r="104" spans="1:11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IF(A104="","",IFERROR(VLOOKUP(A104,DB_Customers!$A:$M,13,0),""))</f>
        <v/>
      </c>
      <c r="D104" s="42" t="str">
        <f t="shared" ca="1" si="6"/>
        <v/>
      </c>
      <c r="E104" s="32"/>
      <c r="F104" s="43" t="str">
        <f t="shared" si="7"/>
        <v/>
      </c>
      <c r="G104" s="30" t="s">
        <v>61</v>
      </c>
      <c r="H104" s="41"/>
      <c r="I104" s="33" t="str">
        <f>IF(A104="","",IF(H104="","⚠️ Enter Agent Code",IF(IFERROR(VLOOKUP(G104,DB_Agents!$B:$F,4,0),"")=TEXT(H104,"0"),IF(AND(A104&lt;&gt;"",E104&lt;&gt;""),"✅ Saved","Pending"),"🔒 WRONG CODE")))</f>
        <v/>
      </c>
      <c r="J104" s="33" t="str">
        <f t="shared" ca="1" si="8"/>
        <v>—</v>
      </c>
      <c r="K104" s="46"/>
    </row>
    <row r="105" spans="1:11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IF(A105="","",IFERROR(VLOOKUP(A105,DB_Customers!$A:$M,13,0),""))</f>
        <v/>
      </c>
      <c r="D105" s="42" t="str">
        <f t="shared" ref="D105:D136" ca="1" si="9">IF(A105="","",TODAY())</f>
        <v/>
      </c>
      <c r="E105" s="32"/>
      <c r="F105" s="43" t="str">
        <f t="shared" ref="F105:F136" si="10">IFERROR(IF(OR(A105="",E105=""),"",C105+E105),"")</f>
        <v/>
      </c>
      <c r="G105" s="30" t="s">
        <v>61</v>
      </c>
      <c r="H105" s="41"/>
      <c r="I105" s="33" t="str">
        <f>IF(A105="","",IF(H105="","⚠️ Enter Agent Code",IF(IFERROR(VLOOKUP(G105,DB_Agents!$B:$F,4,0),"")=TEXT(H105,"0"),IF(AND(A105&lt;&gt;"",E105&lt;&gt;""),"✅ Saved","Pending"),"🔒 WRONG CODE")))</f>
        <v/>
      </c>
      <c r="J105" s="33" t="str">
        <f t="shared" ref="J105:J136" ca="1" si="11">IF(I105="✅ Saved",TEXT(TODAY(),"YYYY-MM-DD")&amp;" Auto","—")</f>
        <v>—</v>
      </c>
      <c r="K105" s="22"/>
    </row>
    <row r="106" spans="1:11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IF(A106="","",IFERROR(VLOOKUP(A106,DB_Customers!$A:$M,13,0),""))</f>
        <v/>
      </c>
      <c r="D106" s="42" t="str">
        <f t="shared" ca="1" si="9"/>
        <v/>
      </c>
      <c r="E106" s="32"/>
      <c r="F106" s="43" t="str">
        <f t="shared" si="10"/>
        <v/>
      </c>
      <c r="G106" s="30" t="s">
        <v>61</v>
      </c>
      <c r="H106" s="41"/>
      <c r="I106" s="33" t="str">
        <f>IF(A106="","",IF(H106="","⚠️ Enter Agent Code",IF(IFERROR(VLOOKUP(G106,DB_Agents!$B:$F,4,0),"")=TEXT(H106,"0"),IF(AND(A106&lt;&gt;"",E106&lt;&gt;""),"✅ Saved","Pending"),"🔒 WRONG CODE")))</f>
        <v/>
      </c>
      <c r="J106" s="33" t="str">
        <f t="shared" ca="1" si="11"/>
        <v>—</v>
      </c>
      <c r="K106" s="46"/>
    </row>
    <row r="107" spans="1:11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IF(A107="","",IFERROR(VLOOKUP(A107,DB_Customers!$A:$M,13,0),""))</f>
        <v/>
      </c>
      <c r="D107" s="42" t="str">
        <f t="shared" ca="1" si="9"/>
        <v/>
      </c>
      <c r="E107" s="32"/>
      <c r="F107" s="43" t="str">
        <f t="shared" si="10"/>
        <v/>
      </c>
      <c r="G107" s="30" t="s">
        <v>61</v>
      </c>
      <c r="H107" s="41"/>
      <c r="I107" s="33" t="str">
        <f>IF(A107="","",IF(H107="","⚠️ Enter Agent Code",IF(IFERROR(VLOOKUP(G107,DB_Agents!$B:$F,4,0),"")=TEXT(H107,"0"),IF(AND(A107&lt;&gt;"",E107&lt;&gt;""),"✅ Saved","Pending"),"🔒 WRONG CODE")))</f>
        <v/>
      </c>
      <c r="J107" s="33" t="str">
        <f t="shared" ca="1" si="11"/>
        <v>—</v>
      </c>
      <c r="K107" s="22"/>
    </row>
    <row r="108" spans="1:11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IF(A108="","",IFERROR(VLOOKUP(A108,DB_Customers!$A:$M,13,0),""))</f>
        <v/>
      </c>
      <c r="D108" s="42" t="str">
        <f t="shared" ca="1" si="9"/>
        <v/>
      </c>
      <c r="E108" s="32"/>
      <c r="F108" s="43" t="str">
        <f t="shared" si="10"/>
        <v/>
      </c>
      <c r="G108" s="30" t="s">
        <v>61</v>
      </c>
      <c r="H108" s="41"/>
      <c r="I108" s="33" t="str">
        <f>IF(A108="","",IF(H108="","⚠️ Enter Agent Code",IF(IFERROR(VLOOKUP(G108,DB_Agents!$B:$F,4,0),"")=TEXT(H108,"0"),IF(AND(A108&lt;&gt;"",E108&lt;&gt;""),"✅ Saved","Pending"),"🔒 WRONG CODE")))</f>
        <v/>
      </c>
      <c r="J108" s="33" t="str">
        <f t="shared" ca="1" si="11"/>
        <v>—</v>
      </c>
      <c r="K108" s="46"/>
    </row>
    <row r="109" spans="1:11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IF(A109="","",IFERROR(VLOOKUP(A109,DB_Customers!$A:$M,13,0),""))</f>
        <v/>
      </c>
      <c r="D109" s="42" t="str">
        <f t="shared" ca="1" si="9"/>
        <v/>
      </c>
      <c r="E109" s="32"/>
      <c r="F109" s="43" t="str">
        <f t="shared" si="10"/>
        <v/>
      </c>
      <c r="G109" s="30" t="s">
        <v>61</v>
      </c>
      <c r="H109" s="41"/>
      <c r="I109" s="33" t="str">
        <f>IF(A109="","",IF(H109="","⚠️ Enter Agent Code",IF(IFERROR(VLOOKUP(G109,DB_Agents!$B:$F,4,0),"")=TEXT(H109,"0"),IF(AND(A109&lt;&gt;"",E109&lt;&gt;""),"✅ Saved","Pending"),"🔒 WRONG CODE")))</f>
        <v/>
      </c>
      <c r="J109" s="33" t="str">
        <f t="shared" ca="1" si="11"/>
        <v>—</v>
      </c>
      <c r="K109" s="22"/>
    </row>
    <row r="110" spans="1:11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IF(A110="","",IFERROR(VLOOKUP(A110,DB_Customers!$A:$M,13,0),""))</f>
        <v/>
      </c>
      <c r="D110" s="42" t="str">
        <f t="shared" ca="1" si="9"/>
        <v/>
      </c>
      <c r="E110" s="32"/>
      <c r="F110" s="43" t="str">
        <f t="shared" si="10"/>
        <v/>
      </c>
      <c r="G110" s="30" t="s">
        <v>61</v>
      </c>
      <c r="H110" s="41"/>
      <c r="I110" s="33" t="str">
        <f>IF(A110="","",IF(H110="","⚠️ Enter Agent Code",IF(IFERROR(VLOOKUP(G110,DB_Agents!$B:$F,4,0),"")=TEXT(H110,"0"),IF(AND(A110&lt;&gt;"",E110&lt;&gt;""),"✅ Saved","Pending"),"🔒 WRONG CODE")))</f>
        <v/>
      </c>
      <c r="J110" s="33" t="str">
        <f t="shared" ca="1" si="11"/>
        <v>—</v>
      </c>
      <c r="K110" s="46"/>
    </row>
    <row r="111" spans="1:11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IF(A111="","",IFERROR(VLOOKUP(A111,DB_Customers!$A:$M,13,0),""))</f>
        <v/>
      </c>
      <c r="D111" s="42" t="str">
        <f t="shared" ca="1" si="9"/>
        <v/>
      </c>
      <c r="E111" s="32"/>
      <c r="F111" s="43" t="str">
        <f t="shared" si="10"/>
        <v/>
      </c>
      <c r="G111" s="30" t="s">
        <v>61</v>
      </c>
      <c r="H111" s="41"/>
      <c r="I111" s="33" t="str">
        <f>IF(A111="","",IF(H111="","⚠️ Enter Agent Code",IF(IFERROR(VLOOKUP(G111,DB_Agents!$B:$F,4,0),"")=TEXT(H111,"0"),IF(AND(A111&lt;&gt;"",E111&lt;&gt;""),"✅ Saved","Pending"),"🔒 WRONG CODE")))</f>
        <v/>
      </c>
      <c r="J111" s="33" t="str">
        <f t="shared" ca="1" si="11"/>
        <v>—</v>
      </c>
      <c r="K111" s="22"/>
    </row>
    <row r="112" spans="1:11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IF(A112="","",IFERROR(VLOOKUP(A112,DB_Customers!$A:$M,13,0),""))</f>
        <v/>
      </c>
      <c r="D112" s="42" t="str">
        <f t="shared" ca="1" si="9"/>
        <v/>
      </c>
      <c r="E112" s="32"/>
      <c r="F112" s="43" t="str">
        <f t="shared" si="10"/>
        <v/>
      </c>
      <c r="G112" s="30" t="s">
        <v>61</v>
      </c>
      <c r="H112" s="41"/>
      <c r="I112" s="33" t="str">
        <f>IF(A112="","",IF(H112="","⚠️ Enter Agent Code",IF(IFERROR(VLOOKUP(G112,DB_Agents!$B:$F,4,0),"")=TEXT(H112,"0"),IF(AND(A112&lt;&gt;"",E112&lt;&gt;""),"✅ Saved","Pending"),"🔒 WRONG CODE")))</f>
        <v/>
      </c>
      <c r="J112" s="33" t="str">
        <f t="shared" ca="1" si="11"/>
        <v>—</v>
      </c>
      <c r="K112" s="46"/>
    </row>
    <row r="113" spans="1:11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IF(A113="","",IFERROR(VLOOKUP(A113,DB_Customers!$A:$M,13,0),""))</f>
        <v/>
      </c>
      <c r="D113" s="42" t="str">
        <f t="shared" ca="1" si="9"/>
        <v/>
      </c>
      <c r="E113" s="32"/>
      <c r="F113" s="43" t="str">
        <f t="shared" si="10"/>
        <v/>
      </c>
      <c r="G113" s="30" t="s">
        <v>61</v>
      </c>
      <c r="H113" s="41"/>
      <c r="I113" s="33" t="str">
        <f>IF(A113="","",IF(H113="","⚠️ Enter Agent Code",IF(IFERROR(VLOOKUP(G113,DB_Agents!$B:$F,4,0),"")=TEXT(H113,"0"),IF(AND(A113&lt;&gt;"",E113&lt;&gt;""),"✅ Saved","Pending"),"🔒 WRONG CODE")))</f>
        <v/>
      </c>
      <c r="J113" s="33" t="str">
        <f t="shared" ca="1" si="11"/>
        <v>—</v>
      </c>
      <c r="K113" s="22"/>
    </row>
    <row r="114" spans="1:11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IF(A114="","",IFERROR(VLOOKUP(A114,DB_Customers!$A:$M,13,0),""))</f>
        <v/>
      </c>
      <c r="D114" s="42" t="str">
        <f t="shared" ca="1" si="9"/>
        <v/>
      </c>
      <c r="E114" s="32"/>
      <c r="F114" s="43" t="str">
        <f t="shared" si="10"/>
        <v/>
      </c>
      <c r="G114" s="30" t="s">
        <v>61</v>
      </c>
      <c r="H114" s="41"/>
      <c r="I114" s="33" t="str">
        <f>IF(A114="","",IF(H114="","⚠️ Enter Agent Code",IF(IFERROR(VLOOKUP(G114,DB_Agents!$B:$F,4,0),"")=TEXT(H114,"0"),IF(AND(A114&lt;&gt;"",E114&lt;&gt;""),"✅ Saved","Pending"),"🔒 WRONG CODE")))</f>
        <v/>
      </c>
      <c r="J114" s="33" t="str">
        <f t="shared" ca="1" si="11"/>
        <v>—</v>
      </c>
      <c r="K114" s="46"/>
    </row>
    <row r="115" spans="1:11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IF(A115="","",IFERROR(VLOOKUP(A115,DB_Customers!$A:$M,13,0),""))</f>
        <v/>
      </c>
      <c r="D115" s="42" t="str">
        <f t="shared" ca="1" si="9"/>
        <v/>
      </c>
      <c r="E115" s="32"/>
      <c r="F115" s="43" t="str">
        <f t="shared" si="10"/>
        <v/>
      </c>
      <c r="G115" s="30" t="s">
        <v>61</v>
      </c>
      <c r="H115" s="41"/>
      <c r="I115" s="33" t="str">
        <f>IF(A115="","",IF(H115="","⚠️ Enter Agent Code",IF(IFERROR(VLOOKUP(G115,DB_Agents!$B:$F,4,0),"")=TEXT(H115,"0"),IF(AND(A115&lt;&gt;"",E115&lt;&gt;""),"✅ Saved","Pending"),"🔒 WRONG CODE")))</f>
        <v/>
      </c>
      <c r="J115" s="33" t="str">
        <f t="shared" ca="1" si="11"/>
        <v>—</v>
      </c>
      <c r="K115" s="22"/>
    </row>
    <row r="116" spans="1:11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IF(A116="","",IFERROR(VLOOKUP(A116,DB_Customers!$A:$M,13,0),""))</f>
        <v/>
      </c>
      <c r="D116" s="42" t="str">
        <f t="shared" ca="1" si="9"/>
        <v/>
      </c>
      <c r="E116" s="32"/>
      <c r="F116" s="43" t="str">
        <f t="shared" si="10"/>
        <v/>
      </c>
      <c r="G116" s="30" t="s">
        <v>61</v>
      </c>
      <c r="H116" s="41"/>
      <c r="I116" s="33" t="str">
        <f>IF(A116="","",IF(H116="","⚠️ Enter Agent Code",IF(IFERROR(VLOOKUP(G116,DB_Agents!$B:$F,4,0),"")=TEXT(H116,"0"),IF(AND(A116&lt;&gt;"",E116&lt;&gt;""),"✅ Saved","Pending"),"🔒 WRONG CODE")))</f>
        <v/>
      </c>
      <c r="J116" s="33" t="str">
        <f t="shared" ca="1" si="11"/>
        <v>—</v>
      </c>
      <c r="K116" s="46"/>
    </row>
    <row r="117" spans="1:11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IF(A117="","",IFERROR(VLOOKUP(A117,DB_Customers!$A:$M,13,0),""))</f>
        <v/>
      </c>
      <c r="D117" s="42" t="str">
        <f t="shared" ca="1" si="9"/>
        <v/>
      </c>
      <c r="E117" s="32"/>
      <c r="F117" s="43" t="str">
        <f t="shared" si="10"/>
        <v/>
      </c>
      <c r="G117" s="30" t="s">
        <v>61</v>
      </c>
      <c r="H117" s="41"/>
      <c r="I117" s="33" t="str">
        <f>IF(A117="","",IF(H117="","⚠️ Enter Agent Code",IF(IFERROR(VLOOKUP(G117,DB_Agents!$B:$F,4,0),"")=TEXT(H117,"0"),IF(AND(A117&lt;&gt;"",E117&lt;&gt;""),"✅ Saved","Pending"),"🔒 WRONG CODE")))</f>
        <v/>
      </c>
      <c r="J117" s="33" t="str">
        <f t="shared" ca="1" si="11"/>
        <v>—</v>
      </c>
      <c r="K117" s="22"/>
    </row>
    <row r="118" spans="1:11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IF(A118="","",IFERROR(VLOOKUP(A118,DB_Customers!$A:$M,13,0),""))</f>
        <v/>
      </c>
      <c r="D118" s="42" t="str">
        <f t="shared" ca="1" si="9"/>
        <v/>
      </c>
      <c r="E118" s="32"/>
      <c r="F118" s="43" t="str">
        <f t="shared" si="10"/>
        <v/>
      </c>
      <c r="G118" s="30" t="s">
        <v>61</v>
      </c>
      <c r="H118" s="41"/>
      <c r="I118" s="33" t="str">
        <f>IF(A118="","",IF(H118="","⚠️ Enter Agent Code",IF(IFERROR(VLOOKUP(G118,DB_Agents!$B:$F,4,0),"")=TEXT(H118,"0"),IF(AND(A118&lt;&gt;"",E118&lt;&gt;""),"✅ Saved","Pending"),"🔒 WRONG CODE")))</f>
        <v/>
      </c>
      <c r="J118" s="33" t="str">
        <f t="shared" ca="1" si="11"/>
        <v>—</v>
      </c>
      <c r="K118" s="46"/>
    </row>
    <row r="119" spans="1:11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IF(A119="","",IFERROR(VLOOKUP(A119,DB_Customers!$A:$M,13,0),""))</f>
        <v/>
      </c>
      <c r="D119" s="42" t="str">
        <f t="shared" ca="1" si="9"/>
        <v/>
      </c>
      <c r="E119" s="32"/>
      <c r="F119" s="43" t="str">
        <f t="shared" si="10"/>
        <v/>
      </c>
      <c r="G119" s="30" t="s">
        <v>61</v>
      </c>
      <c r="H119" s="41"/>
      <c r="I119" s="33" t="str">
        <f>IF(A119="","",IF(H119="","⚠️ Enter Agent Code",IF(IFERROR(VLOOKUP(G119,DB_Agents!$B:$F,4,0),"")=TEXT(H119,"0"),IF(AND(A119&lt;&gt;"",E119&lt;&gt;""),"✅ Saved","Pending"),"🔒 WRONG CODE")))</f>
        <v/>
      </c>
      <c r="J119" s="33" t="str">
        <f t="shared" ca="1" si="11"/>
        <v>—</v>
      </c>
      <c r="K119" s="22"/>
    </row>
    <row r="120" spans="1:11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IF(A120="","",IFERROR(VLOOKUP(A120,DB_Customers!$A:$M,13,0),""))</f>
        <v/>
      </c>
      <c r="D120" s="42" t="str">
        <f t="shared" ca="1" si="9"/>
        <v/>
      </c>
      <c r="E120" s="32"/>
      <c r="F120" s="43" t="str">
        <f t="shared" si="10"/>
        <v/>
      </c>
      <c r="G120" s="30" t="s">
        <v>61</v>
      </c>
      <c r="H120" s="41"/>
      <c r="I120" s="33" t="str">
        <f>IF(A120="","",IF(H120="","⚠️ Enter Agent Code",IF(IFERROR(VLOOKUP(G120,DB_Agents!$B:$F,4,0),"")=TEXT(H120,"0"),IF(AND(A120&lt;&gt;"",E120&lt;&gt;""),"✅ Saved","Pending"),"🔒 WRONG CODE")))</f>
        <v/>
      </c>
      <c r="J120" s="33" t="str">
        <f t="shared" ca="1" si="11"/>
        <v>—</v>
      </c>
      <c r="K120" s="46"/>
    </row>
    <row r="121" spans="1:11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IF(A121="","",IFERROR(VLOOKUP(A121,DB_Customers!$A:$M,13,0),""))</f>
        <v/>
      </c>
      <c r="D121" s="42" t="str">
        <f t="shared" ca="1" si="9"/>
        <v/>
      </c>
      <c r="E121" s="32"/>
      <c r="F121" s="43" t="str">
        <f t="shared" si="10"/>
        <v/>
      </c>
      <c r="G121" s="30" t="s">
        <v>61</v>
      </c>
      <c r="H121" s="41"/>
      <c r="I121" s="33" t="str">
        <f>IF(A121="","",IF(H121="","⚠️ Enter Agent Code",IF(IFERROR(VLOOKUP(G121,DB_Agents!$B:$F,4,0),"")=TEXT(H121,"0"),IF(AND(A121&lt;&gt;"",E121&lt;&gt;""),"✅ Saved","Pending"),"🔒 WRONG CODE")))</f>
        <v/>
      </c>
      <c r="J121" s="33" t="str">
        <f t="shared" ca="1" si="11"/>
        <v>—</v>
      </c>
      <c r="K121" s="22"/>
    </row>
    <row r="122" spans="1:11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IF(A122="","",IFERROR(VLOOKUP(A122,DB_Customers!$A:$M,13,0),""))</f>
        <v/>
      </c>
      <c r="D122" s="42" t="str">
        <f t="shared" ca="1" si="9"/>
        <v/>
      </c>
      <c r="E122" s="32"/>
      <c r="F122" s="43" t="str">
        <f t="shared" si="10"/>
        <v/>
      </c>
      <c r="G122" s="30" t="s">
        <v>61</v>
      </c>
      <c r="H122" s="41"/>
      <c r="I122" s="33" t="str">
        <f>IF(A122="","",IF(H122="","⚠️ Enter Agent Code",IF(IFERROR(VLOOKUP(G122,DB_Agents!$B:$F,4,0),"")=TEXT(H122,"0"),IF(AND(A122&lt;&gt;"",E122&lt;&gt;""),"✅ Saved","Pending"),"🔒 WRONG CODE")))</f>
        <v/>
      </c>
      <c r="J122" s="33" t="str">
        <f t="shared" ca="1" si="11"/>
        <v>—</v>
      </c>
      <c r="K122" s="46"/>
    </row>
    <row r="123" spans="1:11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IF(A123="","",IFERROR(VLOOKUP(A123,DB_Customers!$A:$M,13,0),""))</f>
        <v/>
      </c>
      <c r="D123" s="42" t="str">
        <f t="shared" ca="1" si="9"/>
        <v/>
      </c>
      <c r="E123" s="32"/>
      <c r="F123" s="43" t="str">
        <f t="shared" si="10"/>
        <v/>
      </c>
      <c r="G123" s="30" t="s">
        <v>61</v>
      </c>
      <c r="H123" s="41"/>
      <c r="I123" s="33" t="str">
        <f>IF(A123="","",IF(H123="","⚠️ Enter Agent Code",IF(IFERROR(VLOOKUP(G123,DB_Agents!$B:$F,4,0),"")=TEXT(H123,"0"),IF(AND(A123&lt;&gt;"",E123&lt;&gt;""),"✅ Saved","Pending"),"🔒 WRONG CODE")))</f>
        <v/>
      </c>
      <c r="J123" s="33" t="str">
        <f t="shared" ca="1" si="11"/>
        <v>—</v>
      </c>
      <c r="K123" s="22"/>
    </row>
    <row r="124" spans="1:11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IF(A124="","",IFERROR(VLOOKUP(A124,DB_Customers!$A:$M,13,0),""))</f>
        <v/>
      </c>
      <c r="D124" s="42" t="str">
        <f t="shared" ca="1" si="9"/>
        <v/>
      </c>
      <c r="E124" s="32"/>
      <c r="F124" s="43" t="str">
        <f t="shared" si="10"/>
        <v/>
      </c>
      <c r="G124" s="30" t="s">
        <v>61</v>
      </c>
      <c r="H124" s="41"/>
      <c r="I124" s="33" t="str">
        <f>IF(A124="","",IF(H124="","⚠️ Enter Agent Code",IF(IFERROR(VLOOKUP(G124,DB_Agents!$B:$F,4,0),"")=TEXT(H124,"0"),IF(AND(A124&lt;&gt;"",E124&lt;&gt;""),"✅ Saved","Pending"),"🔒 WRONG CODE")))</f>
        <v/>
      </c>
      <c r="J124" s="33" t="str">
        <f t="shared" ca="1" si="11"/>
        <v>—</v>
      </c>
      <c r="K124" s="46"/>
    </row>
    <row r="125" spans="1:11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IF(A125="","",IFERROR(VLOOKUP(A125,DB_Customers!$A:$M,13,0),""))</f>
        <v/>
      </c>
      <c r="D125" s="42" t="str">
        <f t="shared" ca="1" si="9"/>
        <v/>
      </c>
      <c r="E125" s="32"/>
      <c r="F125" s="43" t="str">
        <f t="shared" si="10"/>
        <v/>
      </c>
      <c r="G125" s="30" t="s">
        <v>61</v>
      </c>
      <c r="H125" s="41"/>
      <c r="I125" s="33" t="str">
        <f>IF(A125="","",IF(H125="","⚠️ Enter Agent Code",IF(IFERROR(VLOOKUP(G125,DB_Agents!$B:$F,4,0),"")=TEXT(H125,"0"),IF(AND(A125&lt;&gt;"",E125&lt;&gt;""),"✅ Saved","Pending"),"🔒 WRONG CODE")))</f>
        <v/>
      </c>
      <c r="J125" s="33" t="str">
        <f t="shared" ca="1" si="11"/>
        <v>—</v>
      </c>
      <c r="K125" s="22"/>
    </row>
    <row r="126" spans="1:11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IF(A126="","",IFERROR(VLOOKUP(A126,DB_Customers!$A:$M,13,0),""))</f>
        <v/>
      </c>
      <c r="D126" s="42" t="str">
        <f t="shared" ca="1" si="9"/>
        <v/>
      </c>
      <c r="E126" s="32"/>
      <c r="F126" s="43" t="str">
        <f t="shared" si="10"/>
        <v/>
      </c>
      <c r="G126" s="30" t="s">
        <v>61</v>
      </c>
      <c r="H126" s="41"/>
      <c r="I126" s="33" t="str">
        <f>IF(A126="","",IF(H126="","⚠️ Enter Agent Code",IF(IFERROR(VLOOKUP(G126,DB_Agents!$B:$F,4,0),"")=TEXT(H126,"0"),IF(AND(A126&lt;&gt;"",E126&lt;&gt;""),"✅ Saved","Pending"),"🔒 WRONG CODE")))</f>
        <v/>
      </c>
      <c r="J126" s="33" t="str">
        <f t="shared" ca="1" si="11"/>
        <v>—</v>
      </c>
      <c r="K126" s="46"/>
    </row>
    <row r="127" spans="1:11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IF(A127="","",IFERROR(VLOOKUP(A127,DB_Customers!$A:$M,13,0),""))</f>
        <v/>
      </c>
      <c r="D127" s="42" t="str">
        <f t="shared" ca="1" si="9"/>
        <v/>
      </c>
      <c r="E127" s="32"/>
      <c r="F127" s="43" t="str">
        <f t="shared" si="10"/>
        <v/>
      </c>
      <c r="G127" s="30" t="s">
        <v>61</v>
      </c>
      <c r="H127" s="41"/>
      <c r="I127" s="33" t="str">
        <f>IF(A127="","",IF(H127="","⚠️ Enter Agent Code",IF(IFERROR(VLOOKUP(G127,DB_Agents!$B:$F,4,0),"")=TEXT(H127,"0"),IF(AND(A127&lt;&gt;"",E127&lt;&gt;""),"✅ Saved","Pending"),"🔒 WRONG CODE")))</f>
        <v/>
      </c>
      <c r="J127" s="33" t="str">
        <f t="shared" ca="1" si="11"/>
        <v>—</v>
      </c>
      <c r="K127" s="22"/>
    </row>
    <row r="128" spans="1:11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IF(A128="","",IFERROR(VLOOKUP(A128,DB_Customers!$A:$M,13,0),""))</f>
        <v/>
      </c>
      <c r="D128" s="42" t="str">
        <f t="shared" ca="1" si="9"/>
        <v/>
      </c>
      <c r="E128" s="32"/>
      <c r="F128" s="43" t="str">
        <f t="shared" si="10"/>
        <v/>
      </c>
      <c r="G128" s="30" t="s">
        <v>61</v>
      </c>
      <c r="H128" s="41"/>
      <c r="I128" s="33" t="str">
        <f>IF(A128="","",IF(H128="","⚠️ Enter Agent Code",IF(IFERROR(VLOOKUP(G128,DB_Agents!$B:$F,4,0),"")=TEXT(H128,"0"),IF(AND(A128&lt;&gt;"",E128&lt;&gt;""),"✅ Saved","Pending"),"🔒 WRONG CODE")))</f>
        <v/>
      </c>
      <c r="J128" s="33" t="str">
        <f t="shared" ca="1" si="11"/>
        <v>—</v>
      </c>
      <c r="K128" s="46"/>
    </row>
    <row r="129" spans="1:11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IF(A129="","",IFERROR(VLOOKUP(A129,DB_Customers!$A:$M,13,0),""))</f>
        <v/>
      </c>
      <c r="D129" s="42" t="str">
        <f t="shared" ca="1" si="9"/>
        <v/>
      </c>
      <c r="E129" s="32"/>
      <c r="F129" s="43" t="str">
        <f t="shared" si="10"/>
        <v/>
      </c>
      <c r="G129" s="30" t="s">
        <v>61</v>
      </c>
      <c r="H129" s="41"/>
      <c r="I129" s="33" t="str">
        <f>IF(A129="","",IF(H129="","⚠️ Enter Agent Code",IF(IFERROR(VLOOKUP(G129,DB_Agents!$B:$F,4,0),"")=TEXT(H129,"0"),IF(AND(A129&lt;&gt;"",E129&lt;&gt;""),"✅ Saved","Pending"),"🔒 WRONG CODE")))</f>
        <v/>
      </c>
      <c r="J129" s="33" t="str">
        <f t="shared" ca="1" si="11"/>
        <v>—</v>
      </c>
      <c r="K129" s="22"/>
    </row>
    <row r="130" spans="1:11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IF(A130="","",IFERROR(VLOOKUP(A130,DB_Customers!$A:$M,13,0),""))</f>
        <v/>
      </c>
      <c r="D130" s="42" t="str">
        <f t="shared" ca="1" si="9"/>
        <v/>
      </c>
      <c r="E130" s="32"/>
      <c r="F130" s="43" t="str">
        <f t="shared" si="10"/>
        <v/>
      </c>
      <c r="G130" s="30" t="s">
        <v>61</v>
      </c>
      <c r="H130" s="41"/>
      <c r="I130" s="33" t="str">
        <f>IF(A130="","",IF(H130="","⚠️ Enter Agent Code",IF(IFERROR(VLOOKUP(G130,DB_Agents!$B:$F,4,0),"")=TEXT(H130,"0"),IF(AND(A130&lt;&gt;"",E130&lt;&gt;""),"✅ Saved","Pending"),"🔒 WRONG CODE")))</f>
        <v/>
      </c>
      <c r="J130" s="33" t="str">
        <f t="shared" ca="1" si="11"/>
        <v>—</v>
      </c>
      <c r="K130" s="46"/>
    </row>
    <row r="131" spans="1:11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IF(A131="","",IFERROR(VLOOKUP(A131,DB_Customers!$A:$M,13,0),""))</f>
        <v/>
      </c>
      <c r="D131" s="42" t="str">
        <f t="shared" ca="1" si="9"/>
        <v/>
      </c>
      <c r="E131" s="32"/>
      <c r="F131" s="43" t="str">
        <f t="shared" si="10"/>
        <v/>
      </c>
      <c r="G131" s="30" t="s">
        <v>61</v>
      </c>
      <c r="H131" s="41"/>
      <c r="I131" s="33" t="str">
        <f>IF(A131="","",IF(H131="","⚠️ Enter Agent Code",IF(IFERROR(VLOOKUP(G131,DB_Agents!$B:$F,4,0),"")=TEXT(H131,"0"),IF(AND(A131&lt;&gt;"",E131&lt;&gt;""),"✅ Saved","Pending"),"🔒 WRONG CODE")))</f>
        <v/>
      </c>
      <c r="J131" s="33" t="str">
        <f t="shared" ca="1" si="11"/>
        <v>—</v>
      </c>
      <c r="K131" s="22"/>
    </row>
    <row r="132" spans="1:11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IF(A132="","",IFERROR(VLOOKUP(A132,DB_Customers!$A:$M,13,0),""))</f>
        <v/>
      </c>
      <c r="D132" s="42" t="str">
        <f t="shared" ca="1" si="9"/>
        <v/>
      </c>
      <c r="E132" s="32"/>
      <c r="F132" s="43" t="str">
        <f t="shared" si="10"/>
        <v/>
      </c>
      <c r="G132" s="30" t="s">
        <v>61</v>
      </c>
      <c r="H132" s="41"/>
      <c r="I132" s="33" t="str">
        <f>IF(A132="","",IF(H132="","⚠️ Enter Agent Code",IF(IFERROR(VLOOKUP(G132,DB_Agents!$B:$F,4,0),"")=TEXT(H132,"0"),IF(AND(A132&lt;&gt;"",E132&lt;&gt;""),"✅ Saved","Pending"),"🔒 WRONG CODE")))</f>
        <v/>
      </c>
      <c r="J132" s="33" t="str">
        <f t="shared" ca="1" si="11"/>
        <v>—</v>
      </c>
      <c r="K132" s="46"/>
    </row>
    <row r="133" spans="1:11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IF(A133="","",IFERROR(VLOOKUP(A133,DB_Customers!$A:$M,13,0),""))</f>
        <v/>
      </c>
      <c r="D133" s="42" t="str">
        <f t="shared" ca="1" si="9"/>
        <v/>
      </c>
      <c r="E133" s="32"/>
      <c r="F133" s="43" t="str">
        <f t="shared" si="10"/>
        <v/>
      </c>
      <c r="G133" s="30" t="s">
        <v>61</v>
      </c>
      <c r="H133" s="41"/>
      <c r="I133" s="33" t="str">
        <f>IF(A133="","",IF(H133="","⚠️ Enter Agent Code",IF(IFERROR(VLOOKUP(G133,DB_Agents!$B:$F,4,0),"")=TEXT(H133,"0"),IF(AND(A133&lt;&gt;"",E133&lt;&gt;""),"✅ Saved","Pending"),"🔒 WRONG CODE")))</f>
        <v/>
      </c>
      <c r="J133" s="33" t="str">
        <f t="shared" ca="1" si="11"/>
        <v>—</v>
      </c>
      <c r="K133" s="22"/>
    </row>
    <row r="134" spans="1:11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IF(A134="","",IFERROR(VLOOKUP(A134,DB_Customers!$A:$M,13,0),""))</f>
        <v/>
      </c>
      <c r="D134" s="42" t="str">
        <f t="shared" ca="1" si="9"/>
        <v/>
      </c>
      <c r="E134" s="32"/>
      <c r="F134" s="43" t="str">
        <f t="shared" si="10"/>
        <v/>
      </c>
      <c r="G134" s="30" t="s">
        <v>61</v>
      </c>
      <c r="H134" s="41"/>
      <c r="I134" s="33" t="str">
        <f>IF(A134="","",IF(H134="","⚠️ Enter Agent Code",IF(IFERROR(VLOOKUP(G134,DB_Agents!$B:$F,4,0),"")=TEXT(H134,"0"),IF(AND(A134&lt;&gt;"",E134&lt;&gt;""),"✅ Saved","Pending"),"🔒 WRONG CODE")))</f>
        <v/>
      </c>
      <c r="J134" s="33" t="str">
        <f t="shared" ca="1" si="11"/>
        <v>—</v>
      </c>
      <c r="K134" s="46"/>
    </row>
    <row r="135" spans="1:11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IF(A135="","",IFERROR(VLOOKUP(A135,DB_Customers!$A:$M,13,0),""))</f>
        <v/>
      </c>
      <c r="D135" s="42" t="str">
        <f t="shared" ca="1" si="9"/>
        <v/>
      </c>
      <c r="E135" s="32"/>
      <c r="F135" s="43" t="str">
        <f t="shared" si="10"/>
        <v/>
      </c>
      <c r="G135" s="30" t="s">
        <v>61</v>
      </c>
      <c r="H135" s="41"/>
      <c r="I135" s="33" t="str">
        <f>IF(A135="","",IF(H135="","⚠️ Enter Agent Code",IF(IFERROR(VLOOKUP(G135,DB_Agents!$B:$F,4,0),"")=TEXT(H135,"0"),IF(AND(A135&lt;&gt;"",E135&lt;&gt;""),"✅ Saved","Pending"),"🔒 WRONG CODE")))</f>
        <v/>
      </c>
      <c r="J135" s="33" t="str">
        <f t="shared" ca="1" si="11"/>
        <v>—</v>
      </c>
      <c r="K135" s="22"/>
    </row>
    <row r="136" spans="1:11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IF(A136="","",IFERROR(VLOOKUP(A136,DB_Customers!$A:$M,13,0),""))</f>
        <v/>
      </c>
      <c r="D136" s="42" t="str">
        <f t="shared" ca="1" si="9"/>
        <v/>
      </c>
      <c r="E136" s="32"/>
      <c r="F136" s="43" t="str">
        <f t="shared" si="10"/>
        <v/>
      </c>
      <c r="G136" s="30" t="s">
        <v>61</v>
      </c>
      <c r="H136" s="41"/>
      <c r="I136" s="33" t="str">
        <f>IF(A136="","",IF(H136="","⚠️ Enter Agent Code",IF(IFERROR(VLOOKUP(G136,DB_Agents!$B:$F,4,0),"")=TEXT(H136,"0"),IF(AND(A136&lt;&gt;"",E136&lt;&gt;""),"✅ Saved","Pending"),"🔒 WRONG CODE")))</f>
        <v/>
      </c>
      <c r="J136" s="33" t="str">
        <f t="shared" ca="1" si="11"/>
        <v>—</v>
      </c>
      <c r="K136" s="46"/>
    </row>
    <row r="137" spans="1:11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IF(A137="","",IFERROR(VLOOKUP(A137,DB_Customers!$A:$M,13,0),""))</f>
        <v/>
      </c>
      <c r="D137" s="42" t="str">
        <f t="shared" ref="D137:D168" ca="1" si="12">IF(A137="","",TODAY())</f>
        <v/>
      </c>
      <c r="E137" s="32"/>
      <c r="F137" s="43" t="str">
        <f t="shared" ref="F137:F168" si="13">IFERROR(IF(OR(A137="",E137=""),"",C137+E137),"")</f>
        <v/>
      </c>
      <c r="G137" s="30" t="s">
        <v>61</v>
      </c>
      <c r="H137" s="41"/>
      <c r="I137" s="33" t="str">
        <f>IF(A137="","",IF(H137="","⚠️ Enter Agent Code",IF(IFERROR(VLOOKUP(G137,DB_Agents!$B:$F,4,0),"")=TEXT(H137,"0"),IF(AND(A137&lt;&gt;"",E137&lt;&gt;""),"✅ Saved","Pending"),"🔒 WRONG CODE")))</f>
        <v/>
      </c>
      <c r="J137" s="33" t="str">
        <f t="shared" ref="J137:J168" ca="1" si="14">IF(I137="✅ Saved",TEXT(TODAY(),"YYYY-MM-DD")&amp;" Auto","—")</f>
        <v>—</v>
      </c>
      <c r="K137" s="22"/>
    </row>
    <row r="138" spans="1:11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IF(A138="","",IFERROR(VLOOKUP(A138,DB_Customers!$A:$M,13,0),""))</f>
        <v/>
      </c>
      <c r="D138" s="42" t="str">
        <f t="shared" ca="1" si="12"/>
        <v/>
      </c>
      <c r="E138" s="32"/>
      <c r="F138" s="43" t="str">
        <f t="shared" si="13"/>
        <v/>
      </c>
      <c r="G138" s="30" t="s">
        <v>61</v>
      </c>
      <c r="H138" s="41"/>
      <c r="I138" s="33" t="str">
        <f>IF(A138="","",IF(H138="","⚠️ Enter Agent Code",IF(IFERROR(VLOOKUP(G138,DB_Agents!$B:$F,4,0),"")=TEXT(H138,"0"),IF(AND(A138&lt;&gt;"",E138&lt;&gt;""),"✅ Saved","Pending"),"🔒 WRONG CODE")))</f>
        <v/>
      </c>
      <c r="J138" s="33" t="str">
        <f t="shared" ca="1" si="14"/>
        <v>—</v>
      </c>
      <c r="K138" s="46"/>
    </row>
    <row r="139" spans="1:11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IF(A139="","",IFERROR(VLOOKUP(A139,DB_Customers!$A:$M,13,0),""))</f>
        <v/>
      </c>
      <c r="D139" s="42" t="str">
        <f t="shared" ca="1" si="12"/>
        <v/>
      </c>
      <c r="E139" s="32"/>
      <c r="F139" s="43" t="str">
        <f t="shared" si="13"/>
        <v/>
      </c>
      <c r="G139" s="30" t="s">
        <v>61</v>
      </c>
      <c r="H139" s="41"/>
      <c r="I139" s="33" t="str">
        <f>IF(A139="","",IF(H139="","⚠️ Enter Agent Code",IF(IFERROR(VLOOKUP(G139,DB_Agents!$B:$F,4,0),"")=TEXT(H139,"0"),IF(AND(A139&lt;&gt;"",E139&lt;&gt;""),"✅ Saved","Pending"),"🔒 WRONG CODE")))</f>
        <v/>
      </c>
      <c r="J139" s="33" t="str">
        <f t="shared" ca="1" si="14"/>
        <v>—</v>
      </c>
      <c r="K139" s="22"/>
    </row>
    <row r="140" spans="1:11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IF(A140="","",IFERROR(VLOOKUP(A140,DB_Customers!$A:$M,13,0),""))</f>
        <v/>
      </c>
      <c r="D140" s="42" t="str">
        <f t="shared" ca="1" si="12"/>
        <v/>
      </c>
      <c r="E140" s="32"/>
      <c r="F140" s="43" t="str">
        <f t="shared" si="13"/>
        <v/>
      </c>
      <c r="G140" s="30" t="s">
        <v>61</v>
      </c>
      <c r="H140" s="41"/>
      <c r="I140" s="33" t="str">
        <f>IF(A140="","",IF(H140="","⚠️ Enter Agent Code",IF(IFERROR(VLOOKUP(G140,DB_Agents!$B:$F,4,0),"")=TEXT(H140,"0"),IF(AND(A140&lt;&gt;"",E140&lt;&gt;""),"✅ Saved","Pending"),"🔒 WRONG CODE")))</f>
        <v/>
      </c>
      <c r="J140" s="33" t="str">
        <f t="shared" ca="1" si="14"/>
        <v>—</v>
      </c>
      <c r="K140" s="46"/>
    </row>
    <row r="141" spans="1:11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IF(A141="","",IFERROR(VLOOKUP(A141,DB_Customers!$A:$M,13,0),""))</f>
        <v/>
      </c>
      <c r="D141" s="42" t="str">
        <f t="shared" ca="1" si="12"/>
        <v/>
      </c>
      <c r="E141" s="32"/>
      <c r="F141" s="43" t="str">
        <f t="shared" si="13"/>
        <v/>
      </c>
      <c r="G141" s="30" t="s">
        <v>61</v>
      </c>
      <c r="H141" s="41"/>
      <c r="I141" s="33" t="str">
        <f>IF(A141="","",IF(H141="","⚠️ Enter Agent Code",IF(IFERROR(VLOOKUP(G141,DB_Agents!$B:$F,4,0),"")=TEXT(H141,"0"),IF(AND(A141&lt;&gt;"",E141&lt;&gt;""),"✅ Saved","Pending"),"🔒 WRONG CODE")))</f>
        <v/>
      </c>
      <c r="J141" s="33" t="str">
        <f t="shared" ca="1" si="14"/>
        <v>—</v>
      </c>
      <c r="K141" s="22"/>
    </row>
    <row r="142" spans="1:11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IF(A142="","",IFERROR(VLOOKUP(A142,DB_Customers!$A:$M,13,0),""))</f>
        <v/>
      </c>
      <c r="D142" s="42" t="str">
        <f t="shared" ca="1" si="12"/>
        <v/>
      </c>
      <c r="E142" s="32"/>
      <c r="F142" s="43" t="str">
        <f t="shared" si="13"/>
        <v/>
      </c>
      <c r="G142" s="30" t="s">
        <v>61</v>
      </c>
      <c r="H142" s="41"/>
      <c r="I142" s="33" t="str">
        <f>IF(A142="","",IF(H142="","⚠️ Enter Agent Code",IF(IFERROR(VLOOKUP(G142,DB_Agents!$B:$F,4,0),"")=TEXT(H142,"0"),IF(AND(A142&lt;&gt;"",E142&lt;&gt;""),"✅ Saved","Pending"),"🔒 WRONG CODE")))</f>
        <v/>
      </c>
      <c r="J142" s="33" t="str">
        <f t="shared" ca="1" si="14"/>
        <v>—</v>
      </c>
      <c r="K142" s="46"/>
    </row>
    <row r="143" spans="1:11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IF(A143="","",IFERROR(VLOOKUP(A143,DB_Customers!$A:$M,13,0),""))</f>
        <v/>
      </c>
      <c r="D143" s="42" t="str">
        <f t="shared" ca="1" si="12"/>
        <v/>
      </c>
      <c r="E143" s="32"/>
      <c r="F143" s="43" t="str">
        <f t="shared" si="13"/>
        <v/>
      </c>
      <c r="G143" s="30" t="s">
        <v>61</v>
      </c>
      <c r="H143" s="41"/>
      <c r="I143" s="33" t="str">
        <f>IF(A143="","",IF(H143="","⚠️ Enter Agent Code",IF(IFERROR(VLOOKUP(G143,DB_Agents!$B:$F,4,0),"")=TEXT(H143,"0"),IF(AND(A143&lt;&gt;"",E143&lt;&gt;""),"✅ Saved","Pending"),"🔒 WRONG CODE")))</f>
        <v/>
      </c>
      <c r="J143" s="33" t="str">
        <f t="shared" ca="1" si="14"/>
        <v>—</v>
      </c>
      <c r="K143" s="22"/>
    </row>
    <row r="144" spans="1:11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IF(A144="","",IFERROR(VLOOKUP(A144,DB_Customers!$A:$M,13,0),""))</f>
        <v/>
      </c>
      <c r="D144" s="42" t="str">
        <f t="shared" ca="1" si="12"/>
        <v/>
      </c>
      <c r="E144" s="32"/>
      <c r="F144" s="43" t="str">
        <f t="shared" si="13"/>
        <v/>
      </c>
      <c r="G144" s="30" t="s">
        <v>61</v>
      </c>
      <c r="H144" s="41"/>
      <c r="I144" s="33" t="str">
        <f>IF(A144="","",IF(H144="","⚠️ Enter Agent Code",IF(IFERROR(VLOOKUP(G144,DB_Agents!$B:$F,4,0),"")=TEXT(H144,"0"),IF(AND(A144&lt;&gt;"",E144&lt;&gt;""),"✅ Saved","Pending"),"🔒 WRONG CODE")))</f>
        <v/>
      </c>
      <c r="J144" s="33" t="str">
        <f t="shared" ca="1" si="14"/>
        <v>—</v>
      </c>
      <c r="K144" s="46"/>
    </row>
    <row r="145" spans="1:11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IF(A145="","",IFERROR(VLOOKUP(A145,DB_Customers!$A:$M,13,0),""))</f>
        <v/>
      </c>
      <c r="D145" s="42" t="str">
        <f t="shared" ca="1" si="12"/>
        <v/>
      </c>
      <c r="E145" s="32"/>
      <c r="F145" s="43" t="str">
        <f t="shared" si="13"/>
        <v/>
      </c>
      <c r="G145" s="30" t="s">
        <v>61</v>
      </c>
      <c r="H145" s="41"/>
      <c r="I145" s="33" t="str">
        <f>IF(A145="","",IF(H145="","⚠️ Enter Agent Code",IF(IFERROR(VLOOKUP(G145,DB_Agents!$B:$F,4,0),"")=TEXT(H145,"0"),IF(AND(A145&lt;&gt;"",E145&lt;&gt;""),"✅ Saved","Pending"),"🔒 WRONG CODE")))</f>
        <v/>
      </c>
      <c r="J145" s="33" t="str">
        <f t="shared" ca="1" si="14"/>
        <v>—</v>
      </c>
      <c r="K145" s="22"/>
    </row>
    <row r="146" spans="1:11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IF(A146="","",IFERROR(VLOOKUP(A146,DB_Customers!$A:$M,13,0),""))</f>
        <v/>
      </c>
      <c r="D146" s="42" t="str">
        <f t="shared" ca="1" si="12"/>
        <v/>
      </c>
      <c r="E146" s="32"/>
      <c r="F146" s="43" t="str">
        <f t="shared" si="13"/>
        <v/>
      </c>
      <c r="G146" s="30" t="s">
        <v>61</v>
      </c>
      <c r="H146" s="41"/>
      <c r="I146" s="33" t="str">
        <f>IF(A146="","",IF(H146="","⚠️ Enter Agent Code",IF(IFERROR(VLOOKUP(G146,DB_Agents!$B:$F,4,0),"")=TEXT(H146,"0"),IF(AND(A146&lt;&gt;"",E146&lt;&gt;""),"✅ Saved","Pending"),"🔒 WRONG CODE")))</f>
        <v/>
      </c>
      <c r="J146" s="33" t="str">
        <f t="shared" ca="1" si="14"/>
        <v>—</v>
      </c>
      <c r="K146" s="46"/>
    </row>
    <row r="147" spans="1:11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IF(A147="","",IFERROR(VLOOKUP(A147,DB_Customers!$A:$M,13,0),""))</f>
        <v/>
      </c>
      <c r="D147" s="42" t="str">
        <f t="shared" ca="1" si="12"/>
        <v/>
      </c>
      <c r="E147" s="32"/>
      <c r="F147" s="43" t="str">
        <f t="shared" si="13"/>
        <v/>
      </c>
      <c r="G147" s="30" t="s">
        <v>61</v>
      </c>
      <c r="H147" s="41"/>
      <c r="I147" s="33" t="str">
        <f>IF(A147="","",IF(H147="","⚠️ Enter Agent Code",IF(IFERROR(VLOOKUP(G147,DB_Agents!$B:$F,4,0),"")=TEXT(H147,"0"),IF(AND(A147&lt;&gt;"",E147&lt;&gt;""),"✅ Saved","Pending"),"🔒 WRONG CODE")))</f>
        <v/>
      </c>
      <c r="J147" s="33" t="str">
        <f t="shared" ca="1" si="14"/>
        <v>—</v>
      </c>
      <c r="K147" s="22"/>
    </row>
    <row r="148" spans="1:11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IF(A148="","",IFERROR(VLOOKUP(A148,DB_Customers!$A:$M,13,0),""))</f>
        <v/>
      </c>
      <c r="D148" s="42" t="str">
        <f t="shared" ca="1" si="12"/>
        <v/>
      </c>
      <c r="E148" s="32"/>
      <c r="F148" s="43" t="str">
        <f t="shared" si="13"/>
        <v/>
      </c>
      <c r="G148" s="30" t="s">
        <v>61</v>
      </c>
      <c r="H148" s="41"/>
      <c r="I148" s="33" t="str">
        <f>IF(A148="","",IF(H148="","⚠️ Enter Agent Code",IF(IFERROR(VLOOKUP(G148,DB_Agents!$B:$F,4,0),"")=TEXT(H148,"0"),IF(AND(A148&lt;&gt;"",E148&lt;&gt;""),"✅ Saved","Pending"),"🔒 WRONG CODE")))</f>
        <v/>
      </c>
      <c r="J148" s="33" t="str">
        <f t="shared" ca="1" si="14"/>
        <v>—</v>
      </c>
      <c r="K148" s="46"/>
    </row>
    <row r="149" spans="1:11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IF(A149="","",IFERROR(VLOOKUP(A149,DB_Customers!$A:$M,13,0),""))</f>
        <v/>
      </c>
      <c r="D149" s="42" t="str">
        <f t="shared" ca="1" si="12"/>
        <v/>
      </c>
      <c r="E149" s="32"/>
      <c r="F149" s="43" t="str">
        <f t="shared" si="13"/>
        <v/>
      </c>
      <c r="G149" s="30" t="s">
        <v>61</v>
      </c>
      <c r="H149" s="41"/>
      <c r="I149" s="33" t="str">
        <f>IF(A149="","",IF(H149="","⚠️ Enter Agent Code",IF(IFERROR(VLOOKUP(G149,DB_Agents!$B:$F,4,0),"")=TEXT(H149,"0"),IF(AND(A149&lt;&gt;"",E149&lt;&gt;""),"✅ Saved","Pending"),"🔒 WRONG CODE")))</f>
        <v/>
      </c>
      <c r="J149" s="33" t="str">
        <f t="shared" ca="1" si="14"/>
        <v>—</v>
      </c>
      <c r="K149" s="22"/>
    </row>
    <row r="150" spans="1:11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IF(A150="","",IFERROR(VLOOKUP(A150,DB_Customers!$A:$M,13,0),""))</f>
        <v/>
      </c>
      <c r="D150" s="42" t="str">
        <f t="shared" ca="1" si="12"/>
        <v/>
      </c>
      <c r="E150" s="32"/>
      <c r="F150" s="43" t="str">
        <f t="shared" si="13"/>
        <v/>
      </c>
      <c r="G150" s="30" t="s">
        <v>61</v>
      </c>
      <c r="H150" s="41"/>
      <c r="I150" s="33" t="str">
        <f>IF(A150="","",IF(H150="","⚠️ Enter Agent Code",IF(IFERROR(VLOOKUP(G150,DB_Agents!$B:$F,4,0),"")=TEXT(H150,"0"),IF(AND(A150&lt;&gt;"",E150&lt;&gt;""),"✅ Saved","Pending"),"🔒 WRONG CODE")))</f>
        <v/>
      </c>
      <c r="J150" s="33" t="str">
        <f t="shared" ca="1" si="14"/>
        <v>—</v>
      </c>
      <c r="K150" s="46"/>
    </row>
    <row r="151" spans="1:11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IF(A151="","",IFERROR(VLOOKUP(A151,DB_Customers!$A:$M,13,0),""))</f>
        <v/>
      </c>
      <c r="D151" s="42" t="str">
        <f t="shared" ca="1" si="12"/>
        <v/>
      </c>
      <c r="E151" s="32"/>
      <c r="F151" s="43" t="str">
        <f t="shared" si="13"/>
        <v/>
      </c>
      <c r="G151" s="30" t="s">
        <v>61</v>
      </c>
      <c r="H151" s="41"/>
      <c r="I151" s="33" t="str">
        <f>IF(A151="","",IF(H151="","⚠️ Enter Agent Code",IF(IFERROR(VLOOKUP(G151,DB_Agents!$B:$F,4,0),"")=TEXT(H151,"0"),IF(AND(A151&lt;&gt;"",E151&lt;&gt;""),"✅ Saved","Pending"),"🔒 WRONG CODE")))</f>
        <v/>
      </c>
      <c r="J151" s="33" t="str">
        <f t="shared" ca="1" si="14"/>
        <v>—</v>
      </c>
      <c r="K151" s="22"/>
    </row>
    <row r="152" spans="1:11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IF(A152="","",IFERROR(VLOOKUP(A152,DB_Customers!$A:$M,13,0),""))</f>
        <v/>
      </c>
      <c r="D152" s="42" t="str">
        <f t="shared" ca="1" si="12"/>
        <v/>
      </c>
      <c r="E152" s="32"/>
      <c r="F152" s="43" t="str">
        <f t="shared" si="13"/>
        <v/>
      </c>
      <c r="G152" s="30" t="s">
        <v>61</v>
      </c>
      <c r="H152" s="41"/>
      <c r="I152" s="33" t="str">
        <f>IF(A152="","",IF(H152="","⚠️ Enter Agent Code",IF(IFERROR(VLOOKUP(G152,DB_Agents!$B:$F,4,0),"")=TEXT(H152,"0"),IF(AND(A152&lt;&gt;"",E152&lt;&gt;""),"✅ Saved","Pending"),"🔒 WRONG CODE")))</f>
        <v/>
      </c>
      <c r="J152" s="33" t="str">
        <f t="shared" ca="1" si="14"/>
        <v>—</v>
      </c>
      <c r="K152" s="46"/>
    </row>
    <row r="153" spans="1:11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IF(A153="","",IFERROR(VLOOKUP(A153,DB_Customers!$A:$M,13,0),""))</f>
        <v/>
      </c>
      <c r="D153" s="42" t="str">
        <f t="shared" ca="1" si="12"/>
        <v/>
      </c>
      <c r="E153" s="32"/>
      <c r="F153" s="43" t="str">
        <f t="shared" si="13"/>
        <v/>
      </c>
      <c r="G153" s="30" t="s">
        <v>61</v>
      </c>
      <c r="H153" s="41"/>
      <c r="I153" s="33" t="str">
        <f>IF(A153="","",IF(H153="","⚠️ Enter Agent Code",IF(IFERROR(VLOOKUP(G153,DB_Agents!$B:$F,4,0),"")=TEXT(H153,"0"),IF(AND(A153&lt;&gt;"",E153&lt;&gt;""),"✅ Saved","Pending"),"🔒 WRONG CODE")))</f>
        <v/>
      </c>
      <c r="J153" s="33" t="str">
        <f t="shared" ca="1" si="14"/>
        <v>—</v>
      </c>
      <c r="K153" s="22"/>
    </row>
    <row r="154" spans="1:11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IF(A154="","",IFERROR(VLOOKUP(A154,DB_Customers!$A:$M,13,0),""))</f>
        <v/>
      </c>
      <c r="D154" s="42" t="str">
        <f t="shared" ca="1" si="12"/>
        <v/>
      </c>
      <c r="E154" s="32"/>
      <c r="F154" s="43" t="str">
        <f t="shared" si="13"/>
        <v/>
      </c>
      <c r="G154" s="30" t="s">
        <v>61</v>
      </c>
      <c r="H154" s="41"/>
      <c r="I154" s="33" t="str">
        <f>IF(A154="","",IF(H154="","⚠️ Enter Agent Code",IF(IFERROR(VLOOKUP(G154,DB_Agents!$B:$F,4,0),"")=TEXT(H154,"0"),IF(AND(A154&lt;&gt;"",E154&lt;&gt;""),"✅ Saved","Pending"),"🔒 WRONG CODE")))</f>
        <v/>
      </c>
      <c r="J154" s="33" t="str">
        <f t="shared" ca="1" si="14"/>
        <v>—</v>
      </c>
      <c r="K154" s="46"/>
    </row>
    <row r="155" spans="1:11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IF(A155="","",IFERROR(VLOOKUP(A155,DB_Customers!$A:$M,13,0),""))</f>
        <v/>
      </c>
      <c r="D155" s="42" t="str">
        <f t="shared" ca="1" si="12"/>
        <v/>
      </c>
      <c r="E155" s="32"/>
      <c r="F155" s="43" t="str">
        <f t="shared" si="13"/>
        <v/>
      </c>
      <c r="G155" s="30" t="s">
        <v>61</v>
      </c>
      <c r="H155" s="41"/>
      <c r="I155" s="33" t="str">
        <f>IF(A155="","",IF(H155="","⚠️ Enter Agent Code",IF(IFERROR(VLOOKUP(G155,DB_Agents!$B:$F,4,0),"")=TEXT(H155,"0"),IF(AND(A155&lt;&gt;"",E155&lt;&gt;""),"✅ Saved","Pending"),"🔒 WRONG CODE")))</f>
        <v/>
      </c>
      <c r="J155" s="33" t="str">
        <f t="shared" ca="1" si="14"/>
        <v>—</v>
      </c>
      <c r="K155" s="22"/>
    </row>
    <row r="156" spans="1:11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IF(A156="","",IFERROR(VLOOKUP(A156,DB_Customers!$A:$M,13,0),""))</f>
        <v/>
      </c>
      <c r="D156" s="42" t="str">
        <f t="shared" ca="1" si="12"/>
        <v/>
      </c>
      <c r="E156" s="32"/>
      <c r="F156" s="43" t="str">
        <f t="shared" si="13"/>
        <v/>
      </c>
      <c r="G156" s="30" t="s">
        <v>61</v>
      </c>
      <c r="H156" s="41"/>
      <c r="I156" s="33" t="str">
        <f>IF(A156="","",IF(H156="","⚠️ Enter Agent Code",IF(IFERROR(VLOOKUP(G156,DB_Agents!$B:$F,4,0),"")=TEXT(H156,"0"),IF(AND(A156&lt;&gt;"",E156&lt;&gt;""),"✅ Saved","Pending"),"🔒 WRONG CODE")))</f>
        <v/>
      </c>
      <c r="J156" s="33" t="str">
        <f t="shared" ca="1" si="14"/>
        <v>—</v>
      </c>
      <c r="K156" s="46"/>
    </row>
    <row r="157" spans="1:11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IF(A157="","",IFERROR(VLOOKUP(A157,DB_Customers!$A:$M,13,0),""))</f>
        <v/>
      </c>
      <c r="D157" s="42" t="str">
        <f t="shared" ca="1" si="12"/>
        <v/>
      </c>
      <c r="E157" s="32"/>
      <c r="F157" s="43" t="str">
        <f t="shared" si="13"/>
        <v/>
      </c>
      <c r="G157" s="30" t="s">
        <v>61</v>
      </c>
      <c r="H157" s="41"/>
      <c r="I157" s="33" t="str">
        <f>IF(A157="","",IF(H157="","⚠️ Enter Agent Code",IF(IFERROR(VLOOKUP(G157,DB_Agents!$B:$F,4,0),"")=TEXT(H157,"0"),IF(AND(A157&lt;&gt;"",E157&lt;&gt;""),"✅ Saved","Pending"),"🔒 WRONG CODE")))</f>
        <v/>
      </c>
      <c r="J157" s="33" t="str">
        <f t="shared" ca="1" si="14"/>
        <v>—</v>
      </c>
      <c r="K157" s="22"/>
    </row>
    <row r="158" spans="1:11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IF(A158="","",IFERROR(VLOOKUP(A158,DB_Customers!$A:$M,13,0),""))</f>
        <v/>
      </c>
      <c r="D158" s="42" t="str">
        <f t="shared" ca="1" si="12"/>
        <v/>
      </c>
      <c r="E158" s="32"/>
      <c r="F158" s="43" t="str">
        <f t="shared" si="13"/>
        <v/>
      </c>
      <c r="G158" s="30" t="s">
        <v>61</v>
      </c>
      <c r="H158" s="41"/>
      <c r="I158" s="33" t="str">
        <f>IF(A158="","",IF(H158="","⚠️ Enter Agent Code",IF(IFERROR(VLOOKUP(G158,DB_Agents!$B:$F,4,0),"")=TEXT(H158,"0"),IF(AND(A158&lt;&gt;"",E158&lt;&gt;""),"✅ Saved","Pending"),"🔒 WRONG CODE")))</f>
        <v/>
      </c>
      <c r="J158" s="33" t="str">
        <f t="shared" ca="1" si="14"/>
        <v>—</v>
      </c>
      <c r="K158" s="46"/>
    </row>
    <row r="159" spans="1:11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IF(A159="","",IFERROR(VLOOKUP(A159,DB_Customers!$A:$M,13,0),""))</f>
        <v/>
      </c>
      <c r="D159" s="42" t="str">
        <f t="shared" ca="1" si="12"/>
        <v/>
      </c>
      <c r="E159" s="32"/>
      <c r="F159" s="43" t="str">
        <f t="shared" si="13"/>
        <v/>
      </c>
      <c r="G159" s="30" t="s">
        <v>61</v>
      </c>
      <c r="H159" s="41"/>
      <c r="I159" s="33" t="str">
        <f>IF(A159="","",IF(H159="","⚠️ Enter Agent Code",IF(IFERROR(VLOOKUP(G159,DB_Agents!$B:$F,4,0),"")=TEXT(H159,"0"),IF(AND(A159&lt;&gt;"",E159&lt;&gt;""),"✅ Saved","Pending"),"🔒 WRONG CODE")))</f>
        <v/>
      </c>
      <c r="J159" s="33" t="str">
        <f t="shared" ca="1" si="14"/>
        <v>—</v>
      </c>
      <c r="K159" s="22"/>
    </row>
    <row r="160" spans="1:11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IF(A160="","",IFERROR(VLOOKUP(A160,DB_Customers!$A:$M,13,0),""))</f>
        <v/>
      </c>
      <c r="D160" s="42" t="str">
        <f t="shared" ca="1" si="12"/>
        <v/>
      </c>
      <c r="E160" s="32"/>
      <c r="F160" s="43" t="str">
        <f t="shared" si="13"/>
        <v/>
      </c>
      <c r="G160" s="30" t="s">
        <v>61</v>
      </c>
      <c r="H160" s="41"/>
      <c r="I160" s="33" t="str">
        <f>IF(A160="","",IF(H160="","⚠️ Enter Agent Code",IF(IFERROR(VLOOKUP(G160,DB_Agents!$B:$F,4,0),"")=TEXT(H160,"0"),IF(AND(A160&lt;&gt;"",E160&lt;&gt;""),"✅ Saved","Pending"),"🔒 WRONG CODE")))</f>
        <v/>
      </c>
      <c r="J160" s="33" t="str">
        <f t="shared" ca="1" si="14"/>
        <v>—</v>
      </c>
      <c r="K160" s="46"/>
    </row>
    <row r="161" spans="1:11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IF(A161="","",IFERROR(VLOOKUP(A161,DB_Customers!$A:$M,13,0),""))</f>
        <v/>
      </c>
      <c r="D161" s="42" t="str">
        <f t="shared" ca="1" si="12"/>
        <v/>
      </c>
      <c r="E161" s="32"/>
      <c r="F161" s="43" t="str">
        <f t="shared" si="13"/>
        <v/>
      </c>
      <c r="G161" s="30" t="s">
        <v>61</v>
      </c>
      <c r="H161" s="41"/>
      <c r="I161" s="33" t="str">
        <f>IF(A161="","",IF(H161="","⚠️ Enter Agent Code",IF(IFERROR(VLOOKUP(G161,DB_Agents!$B:$F,4,0),"")=TEXT(H161,"0"),IF(AND(A161&lt;&gt;"",E161&lt;&gt;""),"✅ Saved","Pending"),"🔒 WRONG CODE")))</f>
        <v/>
      </c>
      <c r="J161" s="33" t="str">
        <f t="shared" ca="1" si="14"/>
        <v>—</v>
      </c>
      <c r="K161" s="22"/>
    </row>
    <row r="162" spans="1:11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IF(A162="","",IFERROR(VLOOKUP(A162,DB_Customers!$A:$M,13,0),""))</f>
        <v/>
      </c>
      <c r="D162" s="42" t="str">
        <f t="shared" ca="1" si="12"/>
        <v/>
      </c>
      <c r="E162" s="32"/>
      <c r="F162" s="43" t="str">
        <f t="shared" si="13"/>
        <v/>
      </c>
      <c r="G162" s="30" t="s">
        <v>61</v>
      </c>
      <c r="H162" s="41"/>
      <c r="I162" s="33" t="str">
        <f>IF(A162="","",IF(H162="","⚠️ Enter Agent Code",IF(IFERROR(VLOOKUP(G162,DB_Agents!$B:$F,4,0),"")=TEXT(H162,"0"),IF(AND(A162&lt;&gt;"",E162&lt;&gt;""),"✅ Saved","Pending"),"🔒 WRONG CODE")))</f>
        <v/>
      </c>
      <c r="J162" s="33" t="str">
        <f t="shared" ca="1" si="14"/>
        <v>—</v>
      </c>
      <c r="K162" s="46"/>
    </row>
    <row r="163" spans="1:11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IF(A163="","",IFERROR(VLOOKUP(A163,DB_Customers!$A:$M,13,0),""))</f>
        <v/>
      </c>
      <c r="D163" s="42" t="str">
        <f t="shared" ca="1" si="12"/>
        <v/>
      </c>
      <c r="E163" s="32"/>
      <c r="F163" s="43" t="str">
        <f t="shared" si="13"/>
        <v/>
      </c>
      <c r="G163" s="30" t="s">
        <v>61</v>
      </c>
      <c r="H163" s="41"/>
      <c r="I163" s="33" t="str">
        <f>IF(A163="","",IF(H163="","⚠️ Enter Agent Code",IF(IFERROR(VLOOKUP(G163,DB_Agents!$B:$F,4,0),"")=TEXT(H163,"0"),IF(AND(A163&lt;&gt;"",E163&lt;&gt;""),"✅ Saved","Pending"),"🔒 WRONG CODE")))</f>
        <v/>
      </c>
      <c r="J163" s="33" t="str">
        <f t="shared" ca="1" si="14"/>
        <v>—</v>
      </c>
      <c r="K163" s="22"/>
    </row>
    <row r="164" spans="1:11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IF(A164="","",IFERROR(VLOOKUP(A164,DB_Customers!$A:$M,13,0),""))</f>
        <v/>
      </c>
      <c r="D164" s="42" t="str">
        <f t="shared" ca="1" si="12"/>
        <v/>
      </c>
      <c r="E164" s="32"/>
      <c r="F164" s="43" t="str">
        <f t="shared" si="13"/>
        <v/>
      </c>
      <c r="G164" s="30" t="s">
        <v>61</v>
      </c>
      <c r="H164" s="41"/>
      <c r="I164" s="33" t="str">
        <f>IF(A164="","",IF(H164="","⚠️ Enter Agent Code",IF(IFERROR(VLOOKUP(G164,DB_Agents!$B:$F,4,0),"")=TEXT(H164,"0"),IF(AND(A164&lt;&gt;"",E164&lt;&gt;""),"✅ Saved","Pending"),"🔒 WRONG CODE")))</f>
        <v/>
      </c>
      <c r="J164" s="33" t="str">
        <f t="shared" ca="1" si="14"/>
        <v>—</v>
      </c>
      <c r="K164" s="46"/>
    </row>
    <row r="165" spans="1:11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IF(A165="","",IFERROR(VLOOKUP(A165,DB_Customers!$A:$M,13,0),""))</f>
        <v/>
      </c>
      <c r="D165" s="42" t="str">
        <f t="shared" ca="1" si="12"/>
        <v/>
      </c>
      <c r="E165" s="32"/>
      <c r="F165" s="43" t="str">
        <f t="shared" si="13"/>
        <v/>
      </c>
      <c r="G165" s="30" t="s">
        <v>61</v>
      </c>
      <c r="H165" s="41"/>
      <c r="I165" s="33" t="str">
        <f>IF(A165="","",IF(H165="","⚠️ Enter Agent Code",IF(IFERROR(VLOOKUP(G165,DB_Agents!$B:$F,4,0),"")=TEXT(H165,"0"),IF(AND(A165&lt;&gt;"",E165&lt;&gt;""),"✅ Saved","Pending"),"🔒 WRONG CODE")))</f>
        <v/>
      </c>
      <c r="J165" s="33" t="str">
        <f t="shared" ca="1" si="14"/>
        <v>—</v>
      </c>
      <c r="K165" s="22"/>
    </row>
    <row r="166" spans="1:11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IF(A166="","",IFERROR(VLOOKUP(A166,DB_Customers!$A:$M,13,0),""))</f>
        <v/>
      </c>
      <c r="D166" s="42" t="str">
        <f t="shared" ca="1" si="12"/>
        <v/>
      </c>
      <c r="E166" s="32"/>
      <c r="F166" s="43" t="str">
        <f t="shared" si="13"/>
        <v/>
      </c>
      <c r="G166" s="30" t="s">
        <v>61</v>
      </c>
      <c r="H166" s="41"/>
      <c r="I166" s="33" t="str">
        <f>IF(A166="","",IF(H166="","⚠️ Enter Agent Code",IF(IFERROR(VLOOKUP(G166,DB_Agents!$B:$F,4,0),"")=TEXT(H166,"0"),IF(AND(A166&lt;&gt;"",E166&lt;&gt;""),"✅ Saved","Pending"),"🔒 WRONG CODE")))</f>
        <v/>
      </c>
      <c r="J166" s="33" t="str">
        <f t="shared" ca="1" si="14"/>
        <v>—</v>
      </c>
      <c r="K166" s="46"/>
    </row>
    <row r="167" spans="1:11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IF(A167="","",IFERROR(VLOOKUP(A167,DB_Customers!$A:$M,13,0),""))</f>
        <v/>
      </c>
      <c r="D167" s="42" t="str">
        <f t="shared" ca="1" si="12"/>
        <v/>
      </c>
      <c r="E167" s="32"/>
      <c r="F167" s="43" t="str">
        <f t="shared" si="13"/>
        <v/>
      </c>
      <c r="G167" s="30" t="s">
        <v>61</v>
      </c>
      <c r="H167" s="41"/>
      <c r="I167" s="33" t="str">
        <f>IF(A167="","",IF(H167="","⚠️ Enter Agent Code",IF(IFERROR(VLOOKUP(G167,DB_Agents!$B:$F,4,0),"")=TEXT(H167,"0"),IF(AND(A167&lt;&gt;"",E167&lt;&gt;""),"✅ Saved","Pending"),"🔒 WRONG CODE")))</f>
        <v/>
      </c>
      <c r="J167" s="33" t="str">
        <f t="shared" ca="1" si="14"/>
        <v>—</v>
      </c>
      <c r="K167" s="22"/>
    </row>
    <row r="168" spans="1:11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IF(A168="","",IFERROR(VLOOKUP(A168,DB_Customers!$A:$M,13,0),""))</f>
        <v/>
      </c>
      <c r="D168" s="42" t="str">
        <f t="shared" ca="1" si="12"/>
        <v/>
      </c>
      <c r="E168" s="32"/>
      <c r="F168" s="43" t="str">
        <f t="shared" si="13"/>
        <v/>
      </c>
      <c r="G168" s="30" t="s">
        <v>61</v>
      </c>
      <c r="H168" s="41"/>
      <c r="I168" s="33" t="str">
        <f>IF(A168="","",IF(H168="","⚠️ Enter Agent Code",IF(IFERROR(VLOOKUP(G168,DB_Agents!$B:$F,4,0),"")=TEXT(H168,"0"),IF(AND(A168&lt;&gt;"",E168&lt;&gt;""),"✅ Saved","Pending"),"🔒 WRONG CODE")))</f>
        <v/>
      </c>
      <c r="J168" s="33" t="str">
        <f t="shared" ca="1" si="14"/>
        <v>—</v>
      </c>
      <c r="K168" s="46"/>
    </row>
    <row r="169" spans="1:11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IF(A169="","",IFERROR(VLOOKUP(A169,DB_Customers!$A:$M,13,0),""))</f>
        <v/>
      </c>
      <c r="D169" s="42" t="str">
        <f t="shared" ref="D169:D200" ca="1" si="15">IF(A169="","",TODAY())</f>
        <v/>
      </c>
      <c r="E169" s="32"/>
      <c r="F169" s="43" t="str">
        <f t="shared" ref="F169:F200" si="16">IFERROR(IF(OR(A169="",E169=""),"",C169+E169),"")</f>
        <v/>
      </c>
      <c r="G169" s="30" t="s">
        <v>61</v>
      </c>
      <c r="H169" s="41"/>
      <c r="I169" s="33" t="str">
        <f>IF(A169="","",IF(H169="","⚠️ Enter Agent Code",IF(IFERROR(VLOOKUP(G169,DB_Agents!$B:$F,4,0),"")=TEXT(H169,"0"),IF(AND(A169&lt;&gt;"",E169&lt;&gt;""),"✅ Saved","Pending"),"🔒 WRONG CODE")))</f>
        <v/>
      </c>
      <c r="J169" s="33" t="str">
        <f t="shared" ref="J169:J200" ca="1" si="17">IF(I169="✅ Saved",TEXT(TODAY(),"YYYY-MM-DD")&amp;" Auto","—")</f>
        <v>—</v>
      </c>
      <c r="K169" s="22"/>
    </row>
    <row r="170" spans="1:11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IF(A170="","",IFERROR(VLOOKUP(A170,DB_Customers!$A:$M,13,0),""))</f>
        <v/>
      </c>
      <c r="D170" s="42" t="str">
        <f t="shared" ca="1" si="15"/>
        <v/>
      </c>
      <c r="E170" s="32"/>
      <c r="F170" s="43" t="str">
        <f t="shared" si="16"/>
        <v/>
      </c>
      <c r="G170" s="30" t="s">
        <v>61</v>
      </c>
      <c r="H170" s="41"/>
      <c r="I170" s="33" t="str">
        <f>IF(A170="","",IF(H170="","⚠️ Enter Agent Code",IF(IFERROR(VLOOKUP(G170,DB_Agents!$B:$F,4,0),"")=TEXT(H170,"0"),IF(AND(A170&lt;&gt;"",E170&lt;&gt;""),"✅ Saved","Pending"),"🔒 WRONG CODE")))</f>
        <v/>
      </c>
      <c r="J170" s="33" t="str">
        <f t="shared" ca="1" si="17"/>
        <v>—</v>
      </c>
      <c r="K170" s="46"/>
    </row>
    <row r="171" spans="1:11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IF(A171="","",IFERROR(VLOOKUP(A171,DB_Customers!$A:$M,13,0),""))</f>
        <v/>
      </c>
      <c r="D171" s="42" t="str">
        <f t="shared" ca="1" si="15"/>
        <v/>
      </c>
      <c r="E171" s="32"/>
      <c r="F171" s="43" t="str">
        <f t="shared" si="16"/>
        <v/>
      </c>
      <c r="G171" s="30" t="s">
        <v>61</v>
      </c>
      <c r="H171" s="41"/>
      <c r="I171" s="33" t="str">
        <f>IF(A171="","",IF(H171="","⚠️ Enter Agent Code",IF(IFERROR(VLOOKUP(G171,DB_Agents!$B:$F,4,0),"")=TEXT(H171,"0"),IF(AND(A171&lt;&gt;"",E171&lt;&gt;""),"✅ Saved","Pending"),"🔒 WRONG CODE")))</f>
        <v/>
      </c>
      <c r="J171" s="33" t="str">
        <f t="shared" ca="1" si="17"/>
        <v>—</v>
      </c>
      <c r="K171" s="22"/>
    </row>
    <row r="172" spans="1:11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IF(A172="","",IFERROR(VLOOKUP(A172,DB_Customers!$A:$M,13,0),""))</f>
        <v/>
      </c>
      <c r="D172" s="42" t="str">
        <f t="shared" ca="1" si="15"/>
        <v/>
      </c>
      <c r="E172" s="32"/>
      <c r="F172" s="43" t="str">
        <f t="shared" si="16"/>
        <v/>
      </c>
      <c r="G172" s="30" t="s">
        <v>61</v>
      </c>
      <c r="H172" s="41"/>
      <c r="I172" s="33" t="str">
        <f>IF(A172="","",IF(H172="","⚠️ Enter Agent Code",IF(IFERROR(VLOOKUP(G172,DB_Agents!$B:$F,4,0),"")=TEXT(H172,"0"),IF(AND(A172&lt;&gt;"",E172&lt;&gt;""),"✅ Saved","Pending"),"🔒 WRONG CODE")))</f>
        <v/>
      </c>
      <c r="J172" s="33" t="str">
        <f t="shared" ca="1" si="17"/>
        <v>—</v>
      </c>
      <c r="K172" s="46"/>
    </row>
    <row r="173" spans="1:11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IF(A173="","",IFERROR(VLOOKUP(A173,DB_Customers!$A:$M,13,0),""))</f>
        <v/>
      </c>
      <c r="D173" s="42" t="str">
        <f t="shared" ca="1" si="15"/>
        <v/>
      </c>
      <c r="E173" s="32"/>
      <c r="F173" s="43" t="str">
        <f t="shared" si="16"/>
        <v/>
      </c>
      <c r="G173" s="30" t="s">
        <v>61</v>
      </c>
      <c r="H173" s="41"/>
      <c r="I173" s="33" t="str">
        <f>IF(A173="","",IF(H173="","⚠️ Enter Agent Code",IF(IFERROR(VLOOKUP(G173,DB_Agents!$B:$F,4,0),"")=TEXT(H173,"0"),IF(AND(A173&lt;&gt;"",E173&lt;&gt;""),"✅ Saved","Pending"),"🔒 WRONG CODE")))</f>
        <v/>
      </c>
      <c r="J173" s="33" t="str">
        <f t="shared" ca="1" si="17"/>
        <v>—</v>
      </c>
      <c r="K173" s="22"/>
    </row>
    <row r="174" spans="1:11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IF(A174="","",IFERROR(VLOOKUP(A174,DB_Customers!$A:$M,13,0),""))</f>
        <v/>
      </c>
      <c r="D174" s="42" t="str">
        <f t="shared" ca="1" si="15"/>
        <v/>
      </c>
      <c r="E174" s="32"/>
      <c r="F174" s="43" t="str">
        <f t="shared" si="16"/>
        <v/>
      </c>
      <c r="G174" s="30" t="s">
        <v>61</v>
      </c>
      <c r="H174" s="41"/>
      <c r="I174" s="33" t="str">
        <f>IF(A174="","",IF(H174="","⚠️ Enter Agent Code",IF(IFERROR(VLOOKUP(G174,DB_Agents!$B:$F,4,0),"")=TEXT(H174,"0"),IF(AND(A174&lt;&gt;"",E174&lt;&gt;""),"✅ Saved","Pending"),"🔒 WRONG CODE")))</f>
        <v/>
      </c>
      <c r="J174" s="33" t="str">
        <f t="shared" ca="1" si="17"/>
        <v>—</v>
      </c>
      <c r="K174" s="46"/>
    </row>
    <row r="175" spans="1:11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IF(A175="","",IFERROR(VLOOKUP(A175,DB_Customers!$A:$M,13,0),""))</f>
        <v/>
      </c>
      <c r="D175" s="42" t="str">
        <f t="shared" ca="1" si="15"/>
        <v/>
      </c>
      <c r="E175" s="32"/>
      <c r="F175" s="43" t="str">
        <f t="shared" si="16"/>
        <v/>
      </c>
      <c r="G175" s="30" t="s">
        <v>61</v>
      </c>
      <c r="H175" s="41"/>
      <c r="I175" s="33" t="str">
        <f>IF(A175="","",IF(H175="","⚠️ Enter Agent Code",IF(IFERROR(VLOOKUP(G175,DB_Agents!$B:$F,4,0),"")=TEXT(H175,"0"),IF(AND(A175&lt;&gt;"",E175&lt;&gt;""),"✅ Saved","Pending"),"🔒 WRONG CODE")))</f>
        <v/>
      </c>
      <c r="J175" s="33" t="str">
        <f t="shared" ca="1" si="17"/>
        <v>—</v>
      </c>
      <c r="K175" s="22"/>
    </row>
    <row r="176" spans="1:11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IF(A176="","",IFERROR(VLOOKUP(A176,DB_Customers!$A:$M,13,0),""))</f>
        <v/>
      </c>
      <c r="D176" s="42" t="str">
        <f t="shared" ca="1" si="15"/>
        <v/>
      </c>
      <c r="E176" s="32"/>
      <c r="F176" s="43" t="str">
        <f t="shared" si="16"/>
        <v/>
      </c>
      <c r="G176" s="30" t="s">
        <v>61</v>
      </c>
      <c r="H176" s="41"/>
      <c r="I176" s="33" t="str">
        <f>IF(A176="","",IF(H176="","⚠️ Enter Agent Code",IF(IFERROR(VLOOKUP(G176,DB_Agents!$B:$F,4,0),"")=TEXT(H176,"0"),IF(AND(A176&lt;&gt;"",E176&lt;&gt;""),"✅ Saved","Pending"),"🔒 WRONG CODE")))</f>
        <v/>
      </c>
      <c r="J176" s="33" t="str">
        <f t="shared" ca="1" si="17"/>
        <v>—</v>
      </c>
      <c r="K176" s="46"/>
    </row>
    <row r="177" spans="1:11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IF(A177="","",IFERROR(VLOOKUP(A177,DB_Customers!$A:$M,13,0),""))</f>
        <v/>
      </c>
      <c r="D177" s="42" t="str">
        <f t="shared" ca="1" si="15"/>
        <v/>
      </c>
      <c r="E177" s="32"/>
      <c r="F177" s="43" t="str">
        <f t="shared" si="16"/>
        <v/>
      </c>
      <c r="G177" s="30" t="s">
        <v>61</v>
      </c>
      <c r="H177" s="41"/>
      <c r="I177" s="33" t="str">
        <f>IF(A177="","",IF(H177="","⚠️ Enter Agent Code",IF(IFERROR(VLOOKUP(G177,DB_Agents!$B:$F,4,0),"")=TEXT(H177,"0"),IF(AND(A177&lt;&gt;"",E177&lt;&gt;""),"✅ Saved","Pending"),"🔒 WRONG CODE")))</f>
        <v/>
      </c>
      <c r="J177" s="33" t="str">
        <f t="shared" ca="1" si="17"/>
        <v>—</v>
      </c>
      <c r="K177" s="22"/>
    </row>
    <row r="178" spans="1:11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IF(A178="","",IFERROR(VLOOKUP(A178,DB_Customers!$A:$M,13,0),""))</f>
        <v/>
      </c>
      <c r="D178" s="42" t="str">
        <f t="shared" ca="1" si="15"/>
        <v/>
      </c>
      <c r="E178" s="32"/>
      <c r="F178" s="43" t="str">
        <f t="shared" si="16"/>
        <v/>
      </c>
      <c r="G178" s="30" t="s">
        <v>61</v>
      </c>
      <c r="H178" s="41"/>
      <c r="I178" s="33" t="str">
        <f>IF(A178="","",IF(H178="","⚠️ Enter Agent Code",IF(IFERROR(VLOOKUP(G178,DB_Agents!$B:$F,4,0),"")=TEXT(H178,"0"),IF(AND(A178&lt;&gt;"",E178&lt;&gt;""),"✅ Saved","Pending"),"🔒 WRONG CODE")))</f>
        <v/>
      </c>
      <c r="J178" s="33" t="str">
        <f t="shared" ca="1" si="17"/>
        <v>—</v>
      </c>
      <c r="K178" s="46"/>
    </row>
    <row r="179" spans="1:11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IF(A179="","",IFERROR(VLOOKUP(A179,DB_Customers!$A:$M,13,0),""))</f>
        <v/>
      </c>
      <c r="D179" s="42" t="str">
        <f t="shared" ca="1" si="15"/>
        <v/>
      </c>
      <c r="E179" s="32"/>
      <c r="F179" s="43" t="str">
        <f t="shared" si="16"/>
        <v/>
      </c>
      <c r="G179" s="30" t="s">
        <v>61</v>
      </c>
      <c r="H179" s="41"/>
      <c r="I179" s="33" t="str">
        <f>IF(A179="","",IF(H179="","⚠️ Enter Agent Code",IF(IFERROR(VLOOKUP(G179,DB_Agents!$B:$F,4,0),"")=TEXT(H179,"0"),IF(AND(A179&lt;&gt;"",E179&lt;&gt;""),"✅ Saved","Pending"),"🔒 WRONG CODE")))</f>
        <v/>
      </c>
      <c r="J179" s="33" t="str">
        <f t="shared" ca="1" si="17"/>
        <v>—</v>
      </c>
      <c r="K179" s="22"/>
    </row>
    <row r="180" spans="1:11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IF(A180="","",IFERROR(VLOOKUP(A180,DB_Customers!$A:$M,13,0),""))</f>
        <v/>
      </c>
      <c r="D180" s="42" t="str">
        <f t="shared" ca="1" si="15"/>
        <v/>
      </c>
      <c r="E180" s="32"/>
      <c r="F180" s="43" t="str">
        <f t="shared" si="16"/>
        <v/>
      </c>
      <c r="G180" s="30" t="s">
        <v>61</v>
      </c>
      <c r="H180" s="41"/>
      <c r="I180" s="33" t="str">
        <f>IF(A180="","",IF(H180="","⚠️ Enter Agent Code",IF(IFERROR(VLOOKUP(G180,DB_Agents!$B:$F,4,0),"")=TEXT(H180,"0"),IF(AND(A180&lt;&gt;"",E180&lt;&gt;""),"✅ Saved","Pending"),"🔒 WRONG CODE")))</f>
        <v/>
      </c>
      <c r="J180" s="33" t="str">
        <f t="shared" ca="1" si="17"/>
        <v>—</v>
      </c>
      <c r="K180" s="46"/>
    </row>
    <row r="181" spans="1:11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IF(A181="","",IFERROR(VLOOKUP(A181,DB_Customers!$A:$M,13,0),""))</f>
        <v/>
      </c>
      <c r="D181" s="42" t="str">
        <f t="shared" ca="1" si="15"/>
        <v/>
      </c>
      <c r="E181" s="32"/>
      <c r="F181" s="43" t="str">
        <f t="shared" si="16"/>
        <v/>
      </c>
      <c r="G181" s="30" t="s">
        <v>61</v>
      </c>
      <c r="H181" s="41"/>
      <c r="I181" s="33" t="str">
        <f>IF(A181="","",IF(H181="","⚠️ Enter Agent Code",IF(IFERROR(VLOOKUP(G181,DB_Agents!$B:$F,4,0),"")=TEXT(H181,"0"),IF(AND(A181&lt;&gt;"",E181&lt;&gt;""),"✅ Saved","Pending"),"🔒 WRONG CODE")))</f>
        <v/>
      </c>
      <c r="J181" s="33" t="str">
        <f t="shared" ca="1" si="17"/>
        <v>—</v>
      </c>
      <c r="K181" s="22"/>
    </row>
    <row r="182" spans="1:11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IF(A182="","",IFERROR(VLOOKUP(A182,DB_Customers!$A:$M,13,0),""))</f>
        <v/>
      </c>
      <c r="D182" s="42" t="str">
        <f t="shared" ca="1" si="15"/>
        <v/>
      </c>
      <c r="E182" s="32"/>
      <c r="F182" s="43" t="str">
        <f t="shared" si="16"/>
        <v/>
      </c>
      <c r="G182" s="30" t="s">
        <v>61</v>
      </c>
      <c r="H182" s="41"/>
      <c r="I182" s="33" t="str">
        <f>IF(A182="","",IF(H182="","⚠️ Enter Agent Code",IF(IFERROR(VLOOKUP(G182,DB_Agents!$B:$F,4,0),"")=TEXT(H182,"0"),IF(AND(A182&lt;&gt;"",E182&lt;&gt;""),"✅ Saved","Pending"),"🔒 WRONG CODE")))</f>
        <v/>
      </c>
      <c r="J182" s="33" t="str">
        <f t="shared" ca="1" si="17"/>
        <v>—</v>
      </c>
      <c r="K182" s="46"/>
    </row>
    <row r="183" spans="1:11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IF(A183="","",IFERROR(VLOOKUP(A183,DB_Customers!$A:$M,13,0),""))</f>
        <v/>
      </c>
      <c r="D183" s="42" t="str">
        <f t="shared" ca="1" si="15"/>
        <v/>
      </c>
      <c r="E183" s="32"/>
      <c r="F183" s="43" t="str">
        <f t="shared" si="16"/>
        <v/>
      </c>
      <c r="G183" s="30" t="s">
        <v>61</v>
      </c>
      <c r="H183" s="41"/>
      <c r="I183" s="33" t="str">
        <f>IF(A183="","",IF(H183="","⚠️ Enter Agent Code",IF(IFERROR(VLOOKUP(G183,DB_Agents!$B:$F,4,0),"")=TEXT(H183,"0"),IF(AND(A183&lt;&gt;"",E183&lt;&gt;""),"✅ Saved","Pending"),"🔒 WRONG CODE")))</f>
        <v/>
      </c>
      <c r="J183" s="33" t="str">
        <f t="shared" ca="1" si="17"/>
        <v>—</v>
      </c>
      <c r="K183" s="22"/>
    </row>
    <row r="184" spans="1:11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IF(A184="","",IFERROR(VLOOKUP(A184,DB_Customers!$A:$M,13,0),""))</f>
        <v/>
      </c>
      <c r="D184" s="42" t="str">
        <f t="shared" ca="1" si="15"/>
        <v/>
      </c>
      <c r="E184" s="32"/>
      <c r="F184" s="43" t="str">
        <f t="shared" si="16"/>
        <v/>
      </c>
      <c r="G184" s="30" t="s">
        <v>61</v>
      </c>
      <c r="H184" s="41"/>
      <c r="I184" s="33" t="str">
        <f>IF(A184="","",IF(H184="","⚠️ Enter Agent Code",IF(IFERROR(VLOOKUP(G184,DB_Agents!$B:$F,4,0),"")=TEXT(H184,"0"),IF(AND(A184&lt;&gt;"",E184&lt;&gt;""),"✅ Saved","Pending"),"🔒 WRONG CODE")))</f>
        <v/>
      </c>
      <c r="J184" s="33" t="str">
        <f t="shared" ca="1" si="17"/>
        <v>—</v>
      </c>
      <c r="K184" s="46"/>
    </row>
    <row r="185" spans="1:11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IF(A185="","",IFERROR(VLOOKUP(A185,DB_Customers!$A:$M,13,0),""))</f>
        <v/>
      </c>
      <c r="D185" s="42" t="str">
        <f t="shared" ca="1" si="15"/>
        <v/>
      </c>
      <c r="E185" s="32"/>
      <c r="F185" s="43" t="str">
        <f t="shared" si="16"/>
        <v/>
      </c>
      <c r="G185" s="30" t="s">
        <v>61</v>
      </c>
      <c r="H185" s="41"/>
      <c r="I185" s="33" t="str">
        <f>IF(A185="","",IF(H185="","⚠️ Enter Agent Code",IF(IFERROR(VLOOKUP(G185,DB_Agents!$B:$F,4,0),"")=TEXT(H185,"0"),IF(AND(A185&lt;&gt;"",E185&lt;&gt;""),"✅ Saved","Pending"),"🔒 WRONG CODE")))</f>
        <v/>
      </c>
      <c r="J185" s="33" t="str">
        <f t="shared" ca="1" si="17"/>
        <v>—</v>
      </c>
      <c r="K185" s="22"/>
    </row>
    <row r="186" spans="1:11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IF(A186="","",IFERROR(VLOOKUP(A186,DB_Customers!$A:$M,13,0),""))</f>
        <v/>
      </c>
      <c r="D186" s="42" t="str">
        <f t="shared" ca="1" si="15"/>
        <v/>
      </c>
      <c r="E186" s="32"/>
      <c r="F186" s="43" t="str">
        <f t="shared" si="16"/>
        <v/>
      </c>
      <c r="G186" s="30" t="s">
        <v>61</v>
      </c>
      <c r="H186" s="41"/>
      <c r="I186" s="33" t="str">
        <f>IF(A186="","",IF(H186="","⚠️ Enter Agent Code",IF(IFERROR(VLOOKUP(G186,DB_Agents!$B:$F,4,0),"")=TEXT(H186,"0"),IF(AND(A186&lt;&gt;"",E186&lt;&gt;""),"✅ Saved","Pending"),"🔒 WRONG CODE")))</f>
        <v/>
      </c>
      <c r="J186" s="33" t="str">
        <f t="shared" ca="1" si="17"/>
        <v>—</v>
      </c>
      <c r="K186" s="46"/>
    </row>
    <row r="187" spans="1:11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IF(A187="","",IFERROR(VLOOKUP(A187,DB_Customers!$A:$M,13,0),""))</f>
        <v/>
      </c>
      <c r="D187" s="42" t="str">
        <f t="shared" ca="1" si="15"/>
        <v/>
      </c>
      <c r="E187" s="32"/>
      <c r="F187" s="43" t="str">
        <f t="shared" si="16"/>
        <v/>
      </c>
      <c r="G187" s="30" t="s">
        <v>61</v>
      </c>
      <c r="H187" s="41"/>
      <c r="I187" s="33" t="str">
        <f>IF(A187="","",IF(H187="","⚠️ Enter Agent Code",IF(IFERROR(VLOOKUP(G187,DB_Agents!$B:$F,4,0),"")=TEXT(H187,"0"),IF(AND(A187&lt;&gt;"",E187&lt;&gt;""),"✅ Saved","Pending"),"🔒 WRONG CODE")))</f>
        <v/>
      </c>
      <c r="J187" s="33" t="str">
        <f t="shared" ca="1" si="17"/>
        <v>—</v>
      </c>
      <c r="K187" s="22"/>
    </row>
    <row r="188" spans="1:11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IF(A188="","",IFERROR(VLOOKUP(A188,DB_Customers!$A:$M,13,0),""))</f>
        <v/>
      </c>
      <c r="D188" s="42" t="str">
        <f t="shared" ca="1" si="15"/>
        <v/>
      </c>
      <c r="E188" s="32"/>
      <c r="F188" s="43" t="str">
        <f t="shared" si="16"/>
        <v/>
      </c>
      <c r="G188" s="30" t="s">
        <v>61</v>
      </c>
      <c r="H188" s="41"/>
      <c r="I188" s="33" t="str">
        <f>IF(A188="","",IF(H188="","⚠️ Enter Agent Code",IF(IFERROR(VLOOKUP(G188,DB_Agents!$B:$F,4,0),"")=TEXT(H188,"0"),IF(AND(A188&lt;&gt;"",E188&lt;&gt;""),"✅ Saved","Pending"),"🔒 WRONG CODE")))</f>
        <v/>
      </c>
      <c r="J188" s="33" t="str">
        <f t="shared" ca="1" si="17"/>
        <v>—</v>
      </c>
      <c r="K188" s="46"/>
    </row>
    <row r="189" spans="1:11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IF(A189="","",IFERROR(VLOOKUP(A189,DB_Customers!$A:$M,13,0),""))</f>
        <v/>
      </c>
      <c r="D189" s="42" t="str">
        <f t="shared" ca="1" si="15"/>
        <v/>
      </c>
      <c r="E189" s="32"/>
      <c r="F189" s="43" t="str">
        <f t="shared" si="16"/>
        <v/>
      </c>
      <c r="G189" s="30" t="s">
        <v>61</v>
      </c>
      <c r="H189" s="41"/>
      <c r="I189" s="33" t="str">
        <f>IF(A189="","",IF(H189="","⚠️ Enter Agent Code",IF(IFERROR(VLOOKUP(G189,DB_Agents!$B:$F,4,0),"")=TEXT(H189,"0"),IF(AND(A189&lt;&gt;"",E189&lt;&gt;""),"✅ Saved","Pending"),"🔒 WRONG CODE")))</f>
        <v/>
      </c>
      <c r="J189" s="33" t="str">
        <f t="shared" ca="1" si="17"/>
        <v>—</v>
      </c>
      <c r="K189" s="22"/>
    </row>
    <row r="190" spans="1:11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IF(A190="","",IFERROR(VLOOKUP(A190,DB_Customers!$A:$M,13,0),""))</f>
        <v/>
      </c>
      <c r="D190" s="42" t="str">
        <f t="shared" ca="1" si="15"/>
        <v/>
      </c>
      <c r="E190" s="32"/>
      <c r="F190" s="43" t="str">
        <f t="shared" si="16"/>
        <v/>
      </c>
      <c r="G190" s="30" t="s">
        <v>61</v>
      </c>
      <c r="H190" s="41"/>
      <c r="I190" s="33" t="str">
        <f>IF(A190="","",IF(H190="","⚠️ Enter Agent Code",IF(IFERROR(VLOOKUP(G190,DB_Agents!$B:$F,4,0),"")=TEXT(H190,"0"),IF(AND(A190&lt;&gt;"",E190&lt;&gt;""),"✅ Saved","Pending"),"🔒 WRONG CODE")))</f>
        <v/>
      </c>
      <c r="J190" s="33" t="str">
        <f t="shared" ca="1" si="17"/>
        <v>—</v>
      </c>
      <c r="K190" s="46"/>
    </row>
    <row r="191" spans="1:11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IF(A191="","",IFERROR(VLOOKUP(A191,DB_Customers!$A:$M,13,0),""))</f>
        <v/>
      </c>
      <c r="D191" s="42" t="str">
        <f t="shared" ca="1" si="15"/>
        <v/>
      </c>
      <c r="E191" s="32"/>
      <c r="F191" s="43" t="str">
        <f t="shared" si="16"/>
        <v/>
      </c>
      <c r="G191" s="30" t="s">
        <v>61</v>
      </c>
      <c r="H191" s="41"/>
      <c r="I191" s="33" t="str">
        <f>IF(A191="","",IF(H191="","⚠️ Enter Agent Code",IF(IFERROR(VLOOKUP(G191,DB_Agents!$B:$F,4,0),"")=TEXT(H191,"0"),IF(AND(A191&lt;&gt;"",E191&lt;&gt;""),"✅ Saved","Pending"),"🔒 WRONG CODE")))</f>
        <v/>
      </c>
      <c r="J191" s="33" t="str">
        <f t="shared" ca="1" si="17"/>
        <v>—</v>
      </c>
      <c r="K191" s="22"/>
    </row>
    <row r="192" spans="1:11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IF(A192="","",IFERROR(VLOOKUP(A192,DB_Customers!$A:$M,13,0),""))</f>
        <v/>
      </c>
      <c r="D192" s="42" t="str">
        <f t="shared" ca="1" si="15"/>
        <v/>
      </c>
      <c r="E192" s="32"/>
      <c r="F192" s="43" t="str">
        <f t="shared" si="16"/>
        <v/>
      </c>
      <c r="G192" s="30" t="s">
        <v>61</v>
      </c>
      <c r="H192" s="41"/>
      <c r="I192" s="33" t="str">
        <f>IF(A192="","",IF(H192="","⚠️ Enter Agent Code",IF(IFERROR(VLOOKUP(G192,DB_Agents!$B:$F,4,0),"")=TEXT(H192,"0"),IF(AND(A192&lt;&gt;"",E192&lt;&gt;""),"✅ Saved","Pending"),"🔒 WRONG CODE")))</f>
        <v/>
      </c>
      <c r="J192" s="33" t="str">
        <f t="shared" ca="1" si="17"/>
        <v>—</v>
      </c>
      <c r="K192" s="46"/>
    </row>
    <row r="193" spans="1:11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IF(A193="","",IFERROR(VLOOKUP(A193,DB_Customers!$A:$M,13,0),""))</f>
        <v/>
      </c>
      <c r="D193" s="42" t="str">
        <f t="shared" ca="1" si="15"/>
        <v/>
      </c>
      <c r="E193" s="32"/>
      <c r="F193" s="43" t="str">
        <f t="shared" si="16"/>
        <v/>
      </c>
      <c r="G193" s="30" t="s">
        <v>61</v>
      </c>
      <c r="H193" s="41"/>
      <c r="I193" s="33" t="str">
        <f>IF(A193="","",IF(H193="","⚠️ Enter Agent Code",IF(IFERROR(VLOOKUP(G193,DB_Agents!$B:$F,4,0),"")=TEXT(H193,"0"),IF(AND(A193&lt;&gt;"",E193&lt;&gt;""),"✅ Saved","Pending"),"🔒 WRONG CODE")))</f>
        <v/>
      </c>
      <c r="J193" s="33" t="str">
        <f t="shared" ca="1" si="17"/>
        <v>—</v>
      </c>
      <c r="K193" s="22"/>
    </row>
    <row r="194" spans="1:11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IF(A194="","",IFERROR(VLOOKUP(A194,DB_Customers!$A:$M,13,0),""))</f>
        <v/>
      </c>
      <c r="D194" s="42" t="str">
        <f t="shared" ca="1" si="15"/>
        <v/>
      </c>
      <c r="E194" s="32"/>
      <c r="F194" s="43" t="str">
        <f t="shared" si="16"/>
        <v/>
      </c>
      <c r="G194" s="30" t="s">
        <v>61</v>
      </c>
      <c r="H194" s="41"/>
      <c r="I194" s="33" t="str">
        <f>IF(A194="","",IF(H194="","⚠️ Enter Agent Code",IF(IFERROR(VLOOKUP(G194,DB_Agents!$B:$F,4,0),"")=TEXT(H194,"0"),IF(AND(A194&lt;&gt;"",E194&lt;&gt;""),"✅ Saved","Pending"),"🔒 WRONG CODE")))</f>
        <v/>
      </c>
      <c r="J194" s="33" t="str">
        <f t="shared" ca="1" si="17"/>
        <v>—</v>
      </c>
      <c r="K194" s="46"/>
    </row>
    <row r="195" spans="1:11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IF(A195="","",IFERROR(VLOOKUP(A195,DB_Customers!$A:$M,13,0),""))</f>
        <v/>
      </c>
      <c r="D195" s="42" t="str">
        <f t="shared" ca="1" si="15"/>
        <v/>
      </c>
      <c r="E195" s="32"/>
      <c r="F195" s="43" t="str">
        <f t="shared" si="16"/>
        <v/>
      </c>
      <c r="G195" s="30" t="s">
        <v>61</v>
      </c>
      <c r="H195" s="41"/>
      <c r="I195" s="33" t="str">
        <f>IF(A195="","",IF(H195="","⚠️ Enter Agent Code",IF(IFERROR(VLOOKUP(G195,DB_Agents!$B:$F,4,0),"")=TEXT(H195,"0"),IF(AND(A195&lt;&gt;"",E195&lt;&gt;""),"✅ Saved","Pending"),"🔒 WRONG CODE")))</f>
        <v/>
      </c>
      <c r="J195" s="33" t="str">
        <f t="shared" ca="1" si="17"/>
        <v>—</v>
      </c>
      <c r="K195" s="22"/>
    </row>
    <row r="196" spans="1:11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IF(A196="","",IFERROR(VLOOKUP(A196,DB_Customers!$A:$M,13,0),""))</f>
        <v/>
      </c>
      <c r="D196" s="42" t="str">
        <f t="shared" ca="1" si="15"/>
        <v/>
      </c>
      <c r="E196" s="32"/>
      <c r="F196" s="43" t="str">
        <f t="shared" si="16"/>
        <v/>
      </c>
      <c r="G196" s="30" t="s">
        <v>61</v>
      </c>
      <c r="H196" s="41"/>
      <c r="I196" s="33" t="str">
        <f>IF(A196="","",IF(H196="","⚠️ Enter Agent Code",IF(IFERROR(VLOOKUP(G196,DB_Agents!$B:$F,4,0),"")=TEXT(H196,"0"),IF(AND(A196&lt;&gt;"",E196&lt;&gt;""),"✅ Saved","Pending"),"🔒 WRONG CODE")))</f>
        <v/>
      </c>
      <c r="J196" s="33" t="str">
        <f t="shared" ca="1" si="17"/>
        <v>—</v>
      </c>
      <c r="K196" s="46"/>
    </row>
    <row r="197" spans="1:11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IF(A197="","",IFERROR(VLOOKUP(A197,DB_Customers!$A:$M,13,0),""))</f>
        <v/>
      </c>
      <c r="D197" s="42" t="str">
        <f t="shared" ca="1" si="15"/>
        <v/>
      </c>
      <c r="E197" s="32"/>
      <c r="F197" s="43" t="str">
        <f t="shared" si="16"/>
        <v/>
      </c>
      <c r="G197" s="30" t="s">
        <v>61</v>
      </c>
      <c r="H197" s="41"/>
      <c r="I197" s="33" t="str">
        <f>IF(A197="","",IF(H197="","⚠️ Enter Agent Code",IF(IFERROR(VLOOKUP(G197,DB_Agents!$B:$F,4,0),"")=TEXT(H197,"0"),IF(AND(A197&lt;&gt;"",E197&lt;&gt;""),"✅ Saved","Pending"),"🔒 WRONG CODE")))</f>
        <v/>
      </c>
      <c r="J197" s="33" t="str">
        <f t="shared" ca="1" si="17"/>
        <v>—</v>
      </c>
      <c r="K197" s="22"/>
    </row>
    <row r="198" spans="1:11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IF(A198="","",IFERROR(VLOOKUP(A198,DB_Customers!$A:$M,13,0),""))</f>
        <v/>
      </c>
      <c r="D198" s="42" t="str">
        <f t="shared" ca="1" si="15"/>
        <v/>
      </c>
      <c r="E198" s="32"/>
      <c r="F198" s="43" t="str">
        <f t="shared" si="16"/>
        <v/>
      </c>
      <c r="G198" s="30" t="s">
        <v>61</v>
      </c>
      <c r="H198" s="41"/>
      <c r="I198" s="33" t="str">
        <f>IF(A198="","",IF(H198="","⚠️ Enter Agent Code",IF(IFERROR(VLOOKUP(G198,DB_Agents!$B:$F,4,0),"")=TEXT(H198,"0"),IF(AND(A198&lt;&gt;"",E198&lt;&gt;""),"✅ Saved","Pending"),"🔒 WRONG CODE")))</f>
        <v/>
      </c>
      <c r="J198" s="33" t="str">
        <f t="shared" ca="1" si="17"/>
        <v>—</v>
      </c>
      <c r="K198" s="46"/>
    </row>
    <row r="199" spans="1:11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IF(A199="","",IFERROR(VLOOKUP(A199,DB_Customers!$A:$M,13,0),""))</f>
        <v/>
      </c>
      <c r="D199" s="42" t="str">
        <f t="shared" ca="1" si="15"/>
        <v/>
      </c>
      <c r="E199" s="32"/>
      <c r="F199" s="43" t="str">
        <f t="shared" si="16"/>
        <v/>
      </c>
      <c r="G199" s="30" t="s">
        <v>61</v>
      </c>
      <c r="H199" s="41"/>
      <c r="I199" s="33" t="str">
        <f>IF(A199="","",IF(H199="","⚠️ Enter Agent Code",IF(IFERROR(VLOOKUP(G199,DB_Agents!$B:$F,4,0),"")=TEXT(H199,"0"),IF(AND(A199&lt;&gt;"",E199&lt;&gt;""),"✅ Saved","Pending"),"🔒 WRONG CODE")))</f>
        <v/>
      </c>
      <c r="J199" s="33" t="str">
        <f t="shared" ca="1" si="17"/>
        <v>—</v>
      </c>
      <c r="K199" s="22"/>
    </row>
    <row r="200" spans="1:11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IF(A200="","",IFERROR(VLOOKUP(A200,DB_Customers!$A:$M,13,0),""))</f>
        <v/>
      </c>
      <c r="D200" s="42" t="str">
        <f t="shared" ca="1" si="15"/>
        <v/>
      </c>
      <c r="E200" s="32"/>
      <c r="F200" s="43" t="str">
        <f t="shared" si="16"/>
        <v/>
      </c>
      <c r="G200" s="30" t="s">
        <v>61</v>
      </c>
      <c r="H200" s="41"/>
      <c r="I200" s="33" t="str">
        <f>IF(A200="","",IF(H200="","⚠️ Enter Agent Code",IF(IFERROR(VLOOKUP(G200,DB_Agents!$B:$F,4,0),"")=TEXT(H200,"0"),IF(AND(A200&lt;&gt;"",E200&lt;&gt;""),"✅ Saved","Pending"),"🔒 WRONG CODE")))</f>
        <v/>
      </c>
      <c r="J200" s="33" t="str">
        <f t="shared" ca="1" si="17"/>
        <v>—</v>
      </c>
      <c r="K200" s="46"/>
    </row>
    <row r="201" spans="1:11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IF(A201="","",IFERROR(VLOOKUP(A201,DB_Customers!$A:$M,13,0),""))</f>
        <v/>
      </c>
      <c r="D201" s="42" t="str">
        <f t="shared" ref="D201:D208" ca="1" si="18">IF(A201="","",TODAY())</f>
        <v/>
      </c>
      <c r="E201" s="32"/>
      <c r="F201" s="43" t="str">
        <f t="shared" ref="F201:F232" si="19">IFERROR(IF(OR(A201="",E201=""),"",C201+E201),"")</f>
        <v/>
      </c>
      <c r="G201" s="30" t="s">
        <v>61</v>
      </c>
      <c r="H201" s="41"/>
      <c r="I201" s="33" t="str">
        <f>IF(A201="","",IF(H201="","⚠️ Enter Agent Code",IF(IFERROR(VLOOKUP(G201,DB_Agents!$B:$F,4,0),"")=TEXT(H201,"0"),IF(AND(A201&lt;&gt;"",E201&lt;&gt;""),"✅ Saved","Pending"),"🔒 WRONG CODE")))</f>
        <v/>
      </c>
      <c r="J201" s="33" t="str">
        <f t="shared" ref="J201:J232" ca="1" si="20">IF(I201="✅ Saved",TEXT(TODAY(),"YYYY-MM-DD")&amp;" Auto","—")</f>
        <v>—</v>
      </c>
      <c r="K201" s="22"/>
    </row>
    <row r="202" spans="1:11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IF(A202="","",IFERROR(VLOOKUP(A202,DB_Customers!$A:$M,13,0),""))</f>
        <v/>
      </c>
      <c r="D202" s="42" t="str">
        <f t="shared" ca="1" si="18"/>
        <v/>
      </c>
      <c r="E202" s="32"/>
      <c r="F202" s="43" t="str">
        <f t="shared" si="19"/>
        <v/>
      </c>
      <c r="G202" s="30" t="s">
        <v>61</v>
      </c>
      <c r="H202" s="41"/>
      <c r="I202" s="33" t="str">
        <f>IF(A202="","",IF(H202="","⚠️ Enter Agent Code",IF(IFERROR(VLOOKUP(G202,DB_Agents!$B:$F,4,0),"")=TEXT(H202,"0"),IF(AND(A202&lt;&gt;"",E202&lt;&gt;""),"✅ Saved","Pending"),"🔒 WRONG CODE")))</f>
        <v/>
      </c>
      <c r="J202" s="33" t="str">
        <f t="shared" ca="1" si="20"/>
        <v>—</v>
      </c>
      <c r="K202" s="46"/>
    </row>
    <row r="203" spans="1:11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IF(A203="","",IFERROR(VLOOKUP(A203,DB_Customers!$A:$M,13,0),""))</f>
        <v/>
      </c>
      <c r="D203" s="42" t="str">
        <f t="shared" ca="1" si="18"/>
        <v/>
      </c>
      <c r="E203" s="32"/>
      <c r="F203" s="43" t="str">
        <f t="shared" si="19"/>
        <v/>
      </c>
      <c r="G203" s="30" t="s">
        <v>61</v>
      </c>
      <c r="H203" s="41"/>
      <c r="I203" s="33" t="str">
        <f>IF(A203="","",IF(H203="","⚠️ Enter Agent Code",IF(IFERROR(VLOOKUP(G203,DB_Agents!$B:$F,4,0),"")=TEXT(H203,"0"),IF(AND(A203&lt;&gt;"",E203&lt;&gt;""),"✅ Saved","Pending"),"🔒 WRONG CODE")))</f>
        <v/>
      </c>
      <c r="J203" s="33" t="str">
        <f t="shared" ca="1" si="20"/>
        <v>—</v>
      </c>
      <c r="K203" s="22"/>
    </row>
    <row r="204" spans="1:11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IF(A204="","",IFERROR(VLOOKUP(A204,DB_Customers!$A:$M,13,0),""))</f>
        <v/>
      </c>
      <c r="D204" s="42" t="str">
        <f t="shared" ca="1" si="18"/>
        <v/>
      </c>
      <c r="E204" s="32"/>
      <c r="F204" s="43" t="str">
        <f t="shared" si="19"/>
        <v/>
      </c>
      <c r="G204" s="30" t="s">
        <v>61</v>
      </c>
      <c r="H204" s="41"/>
      <c r="I204" s="33" t="str">
        <f>IF(A204="","",IF(H204="","⚠️ Enter Agent Code",IF(IFERROR(VLOOKUP(G204,DB_Agents!$B:$F,4,0),"")=TEXT(H204,"0"),IF(AND(A204&lt;&gt;"",E204&lt;&gt;""),"✅ Saved","Pending"),"🔒 WRONG CODE")))</f>
        <v/>
      </c>
      <c r="J204" s="33" t="str">
        <f t="shared" ca="1" si="20"/>
        <v>—</v>
      </c>
      <c r="K204" s="46"/>
    </row>
    <row r="205" spans="1:11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IF(A205="","",IFERROR(VLOOKUP(A205,DB_Customers!$A:$M,13,0),""))</f>
        <v/>
      </c>
      <c r="D205" s="42" t="str">
        <f t="shared" ca="1" si="18"/>
        <v/>
      </c>
      <c r="E205" s="32"/>
      <c r="F205" s="43" t="str">
        <f t="shared" si="19"/>
        <v/>
      </c>
      <c r="G205" s="30" t="s">
        <v>61</v>
      </c>
      <c r="H205" s="41"/>
      <c r="I205" s="33" t="str">
        <f>IF(A205="","",IF(H205="","⚠️ Enter Agent Code",IF(IFERROR(VLOOKUP(G205,DB_Agents!$B:$F,4,0),"")=TEXT(H205,"0"),IF(AND(A205&lt;&gt;"",E205&lt;&gt;""),"✅ Saved","Pending"),"🔒 WRONG CODE")))</f>
        <v/>
      </c>
      <c r="J205" s="33" t="str">
        <f t="shared" ca="1" si="20"/>
        <v>—</v>
      </c>
      <c r="K205" s="22"/>
    </row>
    <row r="206" spans="1:11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IF(A206="","",IFERROR(VLOOKUP(A206,DB_Customers!$A:$M,13,0),""))</f>
        <v/>
      </c>
      <c r="D206" s="42" t="str">
        <f t="shared" ca="1" si="18"/>
        <v/>
      </c>
      <c r="E206" s="32"/>
      <c r="F206" s="43" t="str">
        <f t="shared" si="19"/>
        <v/>
      </c>
      <c r="G206" s="30" t="s">
        <v>61</v>
      </c>
      <c r="H206" s="41"/>
      <c r="I206" s="33" t="str">
        <f>IF(A206="","",IF(H206="","⚠️ Enter Agent Code",IF(IFERROR(VLOOKUP(G206,DB_Agents!$B:$F,4,0),"")=TEXT(H206,"0"),IF(AND(A206&lt;&gt;"",E206&lt;&gt;""),"✅ Saved","Pending"),"🔒 WRONG CODE")))</f>
        <v/>
      </c>
      <c r="J206" s="33" t="str">
        <f t="shared" ca="1" si="20"/>
        <v>—</v>
      </c>
      <c r="K206" s="46"/>
    </row>
    <row r="207" spans="1:11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IF(A207="","",IFERROR(VLOOKUP(A207,DB_Customers!$A:$M,13,0),""))</f>
        <v/>
      </c>
      <c r="D207" s="42" t="str">
        <f t="shared" ca="1" si="18"/>
        <v/>
      </c>
      <c r="E207" s="32"/>
      <c r="F207" s="43" t="str">
        <f t="shared" si="19"/>
        <v/>
      </c>
      <c r="G207" s="30" t="s">
        <v>61</v>
      </c>
      <c r="H207" s="41"/>
      <c r="I207" s="33" t="str">
        <f>IF(A207="","",IF(H207="","⚠️ Enter Agent Code",IF(IFERROR(VLOOKUP(G207,DB_Agents!$B:$F,4,0),"")=TEXT(H207,"0"),IF(AND(A207&lt;&gt;"",E207&lt;&gt;""),"✅ Saved","Pending"),"🔒 WRONG CODE")))</f>
        <v/>
      </c>
      <c r="J207" s="33" t="str">
        <f t="shared" ca="1" si="20"/>
        <v>—</v>
      </c>
      <c r="K207" s="22"/>
    </row>
    <row r="208" spans="1:11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IF(A208="","",IFERROR(VLOOKUP(A208,DB_Customers!$A:$M,13,0),""))</f>
        <v/>
      </c>
      <c r="D208" s="42" t="str">
        <f t="shared" ca="1" si="18"/>
        <v/>
      </c>
      <c r="E208" s="32"/>
      <c r="F208" s="43" t="str">
        <f t="shared" si="19"/>
        <v/>
      </c>
      <c r="G208" s="30" t="s">
        <v>61</v>
      </c>
      <c r="H208" s="41"/>
      <c r="I208" s="33" t="str">
        <f>IF(A208="","",IF(H208="","⚠️ Enter Agent Code",IF(IFERROR(VLOOKUP(G208,DB_Agents!$B:$F,4,0),"")=TEXT(H208,"0"),IF(AND(A208&lt;&gt;"",E208&lt;&gt;""),"✅ Saved","Pending"),"🔒 WRONG CODE")))</f>
        <v/>
      </c>
      <c r="J208" s="33" t="str">
        <f t="shared" ca="1" si="20"/>
        <v>—</v>
      </c>
      <c r="K208" s="46"/>
    </row>
  </sheetData>
  <mergeCells count="4">
    <mergeCell ref="A2:K2"/>
    <mergeCell ref="A6:K6"/>
    <mergeCell ref="A1:K1"/>
    <mergeCell ref="A7:K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2.1" customHeight="1" x14ac:dyDescent="0.25">
      <c r="A1" s="94" t="s">
        <v>205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26.1" customHeight="1" x14ac:dyDescent="0.25">
      <c r="A2" s="97" t="s">
        <v>206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20.100000000000001" customHeight="1" x14ac:dyDescent="0.25">
      <c r="A3" s="47" t="s">
        <v>138</v>
      </c>
      <c r="D3" s="44" t="s">
        <v>139</v>
      </c>
      <c r="G3" s="48" t="s">
        <v>140</v>
      </c>
      <c r="J3" s="47" t="s">
        <v>128</v>
      </c>
    </row>
    <row r="4" spans="1:12" ht="24" customHeight="1" x14ac:dyDescent="0.25">
      <c r="A4" s="49">
        <f ca="1">IFERROR(SUMIFS(DB_Withdrawals!$G:$G,DB_Withdrawals!$I:$I,"Agent 08",DB_Withdrawals!$E:$E,TODAY()),0)</f>
        <v>0</v>
      </c>
      <c r="D4" s="49">
        <f ca="1">IFERROR(COUNTIFS(DB_Withdrawals!$I:$I,"Agent 08",DB_Withdrawals!$J:$J,"✅ Successful",DB_Withdrawals!$E:$E,TODAY()),0)</f>
        <v>0</v>
      </c>
      <c r="G4" s="49">
        <f ca="1">IFERROR(COUNTIFS(DB_Withdrawals!$I:$I,"Agent 08",DB_Withdrawals!$J:$J,"❌ Insufficient Funds",DB_Withdrawals!$E:$E,TODAY()),0)</f>
        <v>0</v>
      </c>
      <c r="J4" s="49" t="str">
        <f ca="1">TEXT(TODAY(),"DD MMM YYYY")</f>
        <v>25 Apr 2026</v>
      </c>
    </row>
    <row r="6" spans="1:12" ht="26.1" customHeight="1" x14ac:dyDescent="0.25">
      <c r="A6" s="90" t="s">
        <v>141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</row>
    <row r="8" spans="1:12" ht="30" customHeight="1" x14ac:dyDescent="0.25">
      <c r="A8" s="19" t="s">
        <v>131</v>
      </c>
      <c r="B8" s="19" t="s">
        <v>69</v>
      </c>
      <c r="C8" s="19" t="s">
        <v>85</v>
      </c>
      <c r="D8" s="19" t="s">
        <v>91</v>
      </c>
      <c r="E8" s="19" t="s">
        <v>142</v>
      </c>
      <c r="F8" s="19" t="s">
        <v>143</v>
      </c>
      <c r="G8" s="19" t="s">
        <v>133</v>
      </c>
      <c r="H8" s="19" t="s">
        <v>45</v>
      </c>
      <c r="I8" s="19" t="s">
        <v>134</v>
      </c>
      <c r="J8" s="19" t="s">
        <v>77</v>
      </c>
      <c r="K8" s="19" t="s">
        <v>135</v>
      </c>
      <c r="L8" s="19" t="s">
        <v>95</v>
      </c>
    </row>
    <row r="9" spans="1:12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IF(A9="","",IFERROR(VLOOKUP(A9,DB_Customers!$A:$N,14,0),""))</f>
        <v/>
      </c>
      <c r="D9" s="42" t="str">
        <f t="shared" ref="D9:D40" ca="1" si="0">IF(A9="","",TODAY())</f>
        <v/>
      </c>
      <c r="E9" s="32"/>
      <c r="F9" s="31"/>
      <c r="G9" s="43" t="str">
        <f t="shared" ref="G9:G40" si="1">IFERROR(IF(OR(A9="",E9=""),"",C9-E9),"")</f>
        <v/>
      </c>
      <c r="H9" s="30" t="s">
        <v>61</v>
      </c>
      <c r="I9" s="41"/>
      <c r="J9" s="33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9" s="33" t="str">
        <f t="shared" ref="K9:K40" ca="1" si="2">IF(J9="✅ Successful",TEXT(TODAY(),"YYYY-MM-DD")&amp;" Auto","—")</f>
        <v>—</v>
      </c>
      <c r="L9" s="22"/>
    </row>
    <row r="10" spans="1:12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IF(A10="","",IFERROR(VLOOKUP(A10,DB_Customers!$A:$N,14,0),""))</f>
        <v/>
      </c>
      <c r="D10" s="42" t="str">
        <f t="shared" ca="1" si="0"/>
        <v/>
      </c>
      <c r="E10" s="32"/>
      <c r="F10" s="31"/>
      <c r="G10" s="43" t="str">
        <f t="shared" si="1"/>
        <v/>
      </c>
      <c r="H10" s="30" t="s">
        <v>61</v>
      </c>
      <c r="I10" s="41"/>
      <c r="J10" s="33" t="str">
        <f>IF(AND(A10&lt;&gt;"",E10&lt;&gt;""),IF(I10="","⚠️ Enter Code",IF(IFERROR(VLOOKUP(H10,DB_Agents!$B:$F,4,0),"")=TEXT(I10,"0"),IF(C10&gt;=E10,"✅ Successful","❌ Insufficient Funds"),"🔒 WRONG CODE")),"Pending")</f>
        <v>Pending</v>
      </c>
      <c r="K10" s="33" t="str">
        <f t="shared" ca="1" si="2"/>
        <v>—</v>
      </c>
      <c r="L10" s="50"/>
    </row>
    <row r="11" spans="1:12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IF(A11="","",IFERROR(VLOOKUP(A11,DB_Customers!$A:$N,14,0),""))</f>
        <v/>
      </c>
      <c r="D11" s="42" t="str">
        <f t="shared" ca="1" si="0"/>
        <v/>
      </c>
      <c r="E11" s="32"/>
      <c r="F11" s="31"/>
      <c r="G11" s="43" t="str">
        <f t="shared" si="1"/>
        <v/>
      </c>
      <c r="H11" s="30" t="s">
        <v>61</v>
      </c>
      <c r="I11" s="41"/>
      <c r="J11" s="33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1" s="33" t="str">
        <f t="shared" ca="1" si="2"/>
        <v>—</v>
      </c>
      <c r="L11" s="22"/>
    </row>
    <row r="12" spans="1:12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IF(A12="","",IFERROR(VLOOKUP(A12,DB_Customers!$A:$N,14,0),""))</f>
        <v/>
      </c>
      <c r="D12" s="42" t="str">
        <f t="shared" ca="1" si="0"/>
        <v/>
      </c>
      <c r="E12" s="32"/>
      <c r="F12" s="31"/>
      <c r="G12" s="43" t="str">
        <f t="shared" si="1"/>
        <v/>
      </c>
      <c r="H12" s="30" t="s">
        <v>61</v>
      </c>
      <c r="I12" s="41"/>
      <c r="J12" s="33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2" s="33" t="str">
        <f t="shared" ca="1" si="2"/>
        <v>—</v>
      </c>
      <c r="L12" s="50"/>
    </row>
    <row r="13" spans="1:12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IF(A13="","",IFERROR(VLOOKUP(A13,DB_Customers!$A:$N,14,0),""))</f>
        <v/>
      </c>
      <c r="D13" s="42" t="str">
        <f t="shared" ca="1" si="0"/>
        <v/>
      </c>
      <c r="E13" s="32"/>
      <c r="F13" s="31"/>
      <c r="G13" s="43" t="str">
        <f t="shared" si="1"/>
        <v/>
      </c>
      <c r="H13" s="30" t="s">
        <v>61</v>
      </c>
      <c r="I13" s="41"/>
      <c r="J13" s="33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3" s="33" t="str">
        <f t="shared" ca="1" si="2"/>
        <v>—</v>
      </c>
      <c r="L13" s="22"/>
    </row>
    <row r="14" spans="1:12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IF(A14="","",IFERROR(VLOOKUP(A14,DB_Customers!$A:$N,14,0),""))</f>
        <v/>
      </c>
      <c r="D14" s="42" t="str">
        <f t="shared" ca="1" si="0"/>
        <v/>
      </c>
      <c r="E14" s="32"/>
      <c r="F14" s="31"/>
      <c r="G14" s="43" t="str">
        <f t="shared" si="1"/>
        <v/>
      </c>
      <c r="H14" s="30" t="s">
        <v>61</v>
      </c>
      <c r="I14" s="41"/>
      <c r="J14" s="33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4" s="33" t="str">
        <f t="shared" ca="1" si="2"/>
        <v>—</v>
      </c>
      <c r="L14" s="50"/>
    </row>
    <row r="15" spans="1:12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IF(A15="","",IFERROR(VLOOKUP(A15,DB_Customers!$A:$N,14,0),""))</f>
        <v/>
      </c>
      <c r="D15" s="42" t="str">
        <f t="shared" ca="1" si="0"/>
        <v/>
      </c>
      <c r="E15" s="32"/>
      <c r="F15" s="31"/>
      <c r="G15" s="43" t="str">
        <f t="shared" si="1"/>
        <v/>
      </c>
      <c r="H15" s="30" t="s">
        <v>61</v>
      </c>
      <c r="I15" s="41"/>
      <c r="J15" s="33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5" s="33" t="str">
        <f t="shared" ca="1" si="2"/>
        <v>—</v>
      </c>
      <c r="L15" s="22"/>
    </row>
    <row r="16" spans="1:12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IF(A16="","",IFERROR(VLOOKUP(A16,DB_Customers!$A:$N,14,0),""))</f>
        <v/>
      </c>
      <c r="D16" s="42" t="str">
        <f t="shared" ca="1" si="0"/>
        <v/>
      </c>
      <c r="E16" s="32"/>
      <c r="F16" s="31"/>
      <c r="G16" s="43" t="str">
        <f t="shared" si="1"/>
        <v/>
      </c>
      <c r="H16" s="30" t="s">
        <v>61</v>
      </c>
      <c r="I16" s="41"/>
      <c r="J16" s="33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6" s="33" t="str">
        <f t="shared" ca="1" si="2"/>
        <v>—</v>
      </c>
      <c r="L16" s="50"/>
    </row>
    <row r="17" spans="1:12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IF(A17="","",IFERROR(VLOOKUP(A17,DB_Customers!$A:$N,14,0),""))</f>
        <v/>
      </c>
      <c r="D17" s="42" t="str">
        <f t="shared" ca="1" si="0"/>
        <v/>
      </c>
      <c r="E17" s="32"/>
      <c r="F17" s="31"/>
      <c r="G17" s="43" t="str">
        <f t="shared" si="1"/>
        <v/>
      </c>
      <c r="H17" s="30" t="s">
        <v>61</v>
      </c>
      <c r="I17" s="41"/>
      <c r="J17" s="33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7" s="33" t="str">
        <f t="shared" ca="1" si="2"/>
        <v>—</v>
      </c>
      <c r="L17" s="22"/>
    </row>
    <row r="18" spans="1:12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IF(A18="","",IFERROR(VLOOKUP(A18,DB_Customers!$A:$N,14,0),""))</f>
        <v/>
      </c>
      <c r="D18" s="42" t="str">
        <f t="shared" ca="1" si="0"/>
        <v/>
      </c>
      <c r="E18" s="32"/>
      <c r="F18" s="31"/>
      <c r="G18" s="43" t="str">
        <f t="shared" si="1"/>
        <v/>
      </c>
      <c r="H18" s="30" t="s">
        <v>61</v>
      </c>
      <c r="I18" s="41"/>
      <c r="J18" s="33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18" s="33" t="str">
        <f t="shared" ca="1" si="2"/>
        <v>—</v>
      </c>
      <c r="L18" s="50"/>
    </row>
    <row r="19" spans="1:12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IF(A19="","",IFERROR(VLOOKUP(A19,DB_Customers!$A:$N,14,0),""))</f>
        <v/>
      </c>
      <c r="D19" s="42" t="str">
        <f t="shared" ca="1" si="0"/>
        <v/>
      </c>
      <c r="E19" s="32"/>
      <c r="F19" s="31"/>
      <c r="G19" s="43" t="str">
        <f t="shared" si="1"/>
        <v/>
      </c>
      <c r="H19" s="30" t="s">
        <v>61</v>
      </c>
      <c r="I19" s="41"/>
      <c r="J19" s="33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19" s="33" t="str">
        <f t="shared" ca="1" si="2"/>
        <v>—</v>
      </c>
      <c r="L19" s="22"/>
    </row>
    <row r="20" spans="1:12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IF(A20="","",IFERROR(VLOOKUP(A20,DB_Customers!$A:$N,14,0),""))</f>
        <v/>
      </c>
      <c r="D20" s="42" t="str">
        <f t="shared" ca="1" si="0"/>
        <v/>
      </c>
      <c r="E20" s="32"/>
      <c r="F20" s="31"/>
      <c r="G20" s="43" t="str">
        <f t="shared" si="1"/>
        <v/>
      </c>
      <c r="H20" s="30" t="s">
        <v>61</v>
      </c>
      <c r="I20" s="41"/>
      <c r="J20" s="33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0" s="33" t="str">
        <f t="shared" ca="1" si="2"/>
        <v>—</v>
      </c>
      <c r="L20" s="50"/>
    </row>
    <row r="21" spans="1:12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IF(A21="","",IFERROR(VLOOKUP(A21,DB_Customers!$A:$N,14,0),""))</f>
        <v/>
      </c>
      <c r="D21" s="42" t="str">
        <f t="shared" ca="1" si="0"/>
        <v/>
      </c>
      <c r="E21" s="32"/>
      <c r="F21" s="31"/>
      <c r="G21" s="43" t="str">
        <f t="shared" si="1"/>
        <v/>
      </c>
      <c r="H21" s="30" t="s">
        <v>61</v>
      </c>
      <c r="I21" s="41"/>
      <c r="J21" s="33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1" s="33" t="str">
        <f t="shared" ca="1" si="2"/>
        <v>—</v>
      </c>
      <c r="L21" s="22"/>
    </row>
    <row r="22" spans="1:12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IF(A22="","",IFERROR(VLOOKUP(A22,DB_Customers!$A:$N,14,0),""))</f>
        <v/>
      </c>
      <c r="D22" s="42" t="str">
        <f t="shared" ca="1" si="0"/>
        <v/>
      </c>
      <c r="E22" s="32"/>
      <c r="F22" s="31"/>
      <c r="G22" s="43" t="str">
        <f t="shared" si="1"/>
        <v/>
      </c>
      <c r="H22" s="30" t="s">
        <v>61</v>
      </c>
      <c r="I22" s="41"/>
      <c r="J22" s="33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2" s="33" t="str">
        <f t="shared" ca="1" si="2"/>
        <v>—</v>
      </c>
      <c r="L22" s="50"/>
    </row>
    <row r="23" spans="1:12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IF(A23="","",IFERROR(VLOOKUP(A23,DB_Customers!$A:$N,14,0),""))</f>
        <v/>
      </c>
      <c r="D23" s="42" t="str">
        <f t="shared" ca="1" si="0"/>
        <v/>
      </c>
      <c r="E23" s="32"/>
      <c r="F23" s="31"/>
      <c r="G23" s="43" t="str">
        <f t="shared" si="1"/>
        <v/>
      </c>
      <c r="H23" s="30" t="s">
        <v>61</v>
      </c>
      <c r="I23" s="41"/>
      <c r="J23" s="33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3" s="33" t="str">
        <f t="shared" ca="1" si="2"/>
        <v>—</v>
      </c>
      <c r="L23" s="22"/>
    </row>
    <row r="24" spans="1:12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IF(A24="","",IFERROR(VLOOKUP(A24,DB_Customers!$A:$N,14,0),""))</f>
        <v/>
      </c>
      <c r="D24" s="42" t="str">
        <f t="shared" ca="1" si="0"/>
        <v/>
      </c>
      <c r="E24" s="32"/>
      <c r="F24" s="31"/>
      <c r="G24" s="43" t="str">
        <f t="shared" si="1"/>
        <v/>
      </c>
      <c r="H24" s="30" t="s">
        <v>61</v>
      </c>
      <c r="I24" s="41"/>
      <c r="J24" s="33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4" s="33" t="str">
        <f t="shared" ca="1" si="2"/>
        <v>—</v>
      </c>
      <c r="L24" s="50"/>
    </row>
    <row r="25" spans="1:12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IF(A25="","",IFERROR(VLOOKUP(A25,DB_Customers!$A:$N,14,0),""))</f>
        <v/>
      </c>
      <c r="D25" s="42" t="str">
        <f t="shared" ca="1" si="0"/>
        <v/>
      </c>
      <c r="E25" s="32"/>
      <c r="F25" s="31"/>
      <c r="G25" s="43" t="str">
        <f t="shared" si="1"/>
        <v/>
      </c>
      <c r="H25" s="30" t="s">
        <v>61</v>
      </c>
      <c r="I25" s="41"/>
      <c r="J25" s="33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5" s="33" t="str">
        <f t="shared" ca="1" si="2"/>
        <v>—</v>
      </c>
      <c r="L25" s="22"/>
    </row>
    <row r="26" spans="1:12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IF(A26="","",IFERROR(VLOOKUP(A26,DB_Customers!$A:$N,14,0),""))</f>
        <v/>
      </c>
      <c r="D26" s="42" t="str">
        <f t="shared" ca="1" si="0"/>
        <v/>
      </c>
      <c r="E26" s="32"/>
      <c r="F26" s="31"/>
      <c r="G26" s="43" t="str">
        <f t="shared" si="1"/>
        <v/>
      </c>
      <c r="H26" s="30" t="s">
        <v>61</v>
      </c>
      <c r="I26" s="41"/>
      <c r="J26" s="33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6" s="33" t="str">
        <f t="shared" ca="1" si="2"/>
        <v>—</v>
      </c>
      <c r="L26" s="50"/>
    </row>
    <row r="27" spans="1:12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IF(A27="","",IFERROR(VLOOKUP(A27,DB_Customers!$A:$N,14,0),""))</f>
        <v/>
      </c>
      <c r="D27" s="42" t="str">
        <f t="shared" ca="1" si="0"/>
        <v/>
      </c>
      <c r="E27" s="32"/>
      <c r="F27" s="31"/>
      <c r="G27" s="43" t="str">
        <f t="shared" si="1"/>
        <v/>
      </c>
      <c r="H27" s="30" t="s">
        <v>61</v>
      </c>
      <c r="I27" s="41"/>
      <c r="J27" s="33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7" s="33" t="str">
        <f t="shared" ca="1" si="2"/>
        <v>—</v>
      </c>
      <c r="L27" s="22"/>
    </row>
    <row r="28" spans="1:12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IF(A28="","",IFERROR(VLOOKUP(A28,DB_Customers!$A:$N,14,0),""))</f>
        <v/>
      </c>
      <c r="D28" s="42" t="str">
        <f t="shared" ca="1" si="0"/>
        <v/>
      </c>
      <c r="E28" s="32"/>
      <c r="F28" s="31"/>
      <c r="G28" s="43" t="str">
        <f t="shared" si="1"/>
        <v/>
      </c>
      <c r="H28" s="30" t="s">
        <v>61</v>
      </c>
      <c r="I28" s="41"/>
      <c r="J28" s="33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28" s="33" t="str">
        <f t="shared" ca="1" si="2"/>
        <v>—</v>
      </c>
      <c r="L28" s="50"/>
    </row>
    <row r="29" spans="1:12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IF(A29="","",IFERROR(VLOOKUP(A29,DB_Customers!$A:$N,14,0),""))</f>
        <v/>
      </c>
      <c r="D29" s="42" t="str">
        <f t="shared" ca="1" si="0"/>
        <v/>
      </c>
      <c r="E29" s="32"/>
      <c r="F29" s="31"/>
      <c r="G29" s="43" t="str">
        <f t="shared" si="1"/>
        <v/>
      </c>
      <c r="H29" s="30" t="s">
        <v>61</v>
      </c>
      <c r="I29" s="41"/>
      <c r="J29" s="33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29" s="33" t="str">
        <f t="shared" ca="1" si="2"/>
        <v>—</v>
      </c>
      <c r="L29" s="22"/>
    </row>
    <row r="30" spans="1:12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IF(A30="","",IFERROR(VLOOKUP(A30,DB_Customers!$A:$N,14,0),""))</f>
        <v/>
      </c>
      <c r="D30" s="42" t="str">
        <f t="shared" ca="1" si="0"/>
        <v/>
      </c>
      <c r="E30" s="32"/>
      <c r="F30" s="31"/>
      <c r="G30" s="43" t="str">
        <f t="shared" si="1"/>
        <v/>
      </c>
      <c r="H30" s="30" t="s">
        <v>61</v>
      </c>
      <c r="I30" s="41"/>
      <c r="J30" s="33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0" s="33" t="str">
        <f t="shared" ca="1" si="2"/>
        <v>—</v>
      </c>
      <c r="L30" s="50"/>
    </row>
    <row r="31" spans="1:12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IF(A31="","",IFERROR(VLOOKUP(A31,DB_Customers!$A:$N,14,0),""))</f>
        <v/>
      </c>
      <c r="D31" s="42" t="str">
        <f t="shared" ca="1" si="0"/>
        <v/>
      </c>
      <c r="E31" s="32"/>
      <c r="F31" s="31"/>
      <c r="G31" s="43" t="str">
        <f t="shared" si="1"/>
        <v/>
      </c>
      <c r="H31" s="30" t="s">
        <v>61</v>
      </c>
      <c r="I31" s="41"/>
      <c r="J31" s="33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1" s="33" t="str">
        <f t="shared" ca="1" si="2"/>
        <v>—</v>
      </c>
      <c r="L31" s="22"/>
    </row>
    <row r="32" spans="1:12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IF(A32="","",IFERROR(VLOOKUP(A32,DB_Customers!$A:$N,14,0),""))</f>
        <v/>
      </c>
      <c r="D32" s="42" t="str">
        <f t="shared" ca="1" si="0"/>
        <v/>
      </c>
      <c r="E32" s="32"/>
      <c r="F32" s="31"/>
      <c r="G32" s="43" t="str">
        <f t="shared" si="1"/>
        <v/>
      </c>
      <c r="H32" s="30" t="s">
        <v>61</v>
      </c>
      <c r="I32" s="41"/>
      <c r="J32" s="33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2" s="33" t="str">
        <f t="shared" ca="1" si="2"/>
        <v>—</v>
      </c>
      <c r="L32" s="50"/>
    </row>
    <row r="33" spans="1:12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IF(A33="","",IFERROR(VLOOKUP(A33,DB_Customers!$A:$N,14,0),""))</f>
        <v/>
      </c>
      <c r="D33" s="42" t="str">
        <f t="shared" ca="1" si="0"/>
        <v/>
      </c>
      <c r="E33" s="32"/>
      <c r="F33" s="31"/>
      <c r="G33" s="43" t="str">
        <f t="shared" si="1"/>
        <v/>
      </c>
      <c r="H33" s="30" t="s">
        <v>61</v>
      </c>
      <c r="I33" s="41"/>
      <c r="J33" s="33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3" s="33" t="str">
        <f t="shared" ca="1" si="2"/>
        <v>—</v>
      </c>
      <c r="L33" s="22"/>
    </row>
    <row r="34" spans="1:12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IF(A34="","",IFERROR(VLOOKUP(A34,DB_Customers!$A:$N,14,0),""))</f>
        <v/>
      </c>
      <c r="D34" s="42" t="str">
        <f t="shared" ca="1" si="0"/>
        <v/>
      </c>
      <c r="E34" s="32"/>
      <c r="F34" s="31"/>
      <c r="G34" s="43" t="str">
        <f t="shared" si="1"/>
        <v/>
      </c>
      <c r="H34" s="30" t="s">
        <v>61</v>
      </c>
      <c r="I34" s="41"/>
      <c r="J34" s="33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4" s="33" t="str">
        <f t="shared" ca="1" si="2"/>
        <v>—</v>
      </c>
      <c r="L34" s="50"/>
    </row>
    <row r="35" spans="1:12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IF(A35="","",IFERROR(VLOOKUP(A35,DB_Customers!$A:$N,14,0),""))</f>
        <v/>
      </c>
      <c r="D35" s="42" t="str">
        <f t="shared" ca="1" si="0"/>
        <v/>
      </c>
      <c r="E35" s="32"/>
      <c r="F35" s="31"/>
      <c r="G35" s="43" t="str">
        <f t="shared" si="1"/>
        <v/>
      </c>
      <c r="H35" s="30" t="s">
        <v>61</v>
      </c>
      <c r="I35" s="41"/>
      <c r="J35" s="33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5" s="33" t="str">
        <f t="shared" ca="1" si="2"/>
        <v>—</v>
      </c>
      <c r="L35" s="22"/>
    </row>
    <row r="36" spans="1:12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IF(A36="","",IFERROR(VLOOKUP(A36,DB_Customers!$A:$N,14,0),""))</f>
        <v/>
      </c>
      <c r="D36" s="42" t="str">
        <f t="shared" ca="1" si="0"/>
        <v/>
      </c>
      <c r="E36" s="32"/>
      <c r="F36" s="31"/>
      <c r="G36" s="43" t="str">
        <f t="shared" si="1"/>
        <v/>
      </c>
      <c r="H36" s="30" t="s">
        <v>61</v>
      </c>
      <c r="I36" s="41"/>
      <c r="J36" s="33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6" s="33" t="str">
        <f t="shared" ca="1" si="2"/>
        <v>—</v>
      </c>
      <c r="L36" s="50"/>
    </row>
    <row r="37" spans="1:12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IF(A37="","",IFERROR(VLOOKUP(A37,DB_Customers!$A:$N,14,0),""))</f>
        <v/>
      </c>
      <c r="D37" s="42" t="str">
        <f t="shared" ca="1" si="0"/>
        <v/>
      </c>
      <c r="E37" s="32"/>
      <c r="F37" s="31"/>
      <c r="G37" s="43" t="str">
        <f t="shared" si="1"/>
        <v/>
      </c>
      <c r="H37" s="30" t="s">
        <v>61</v>
      </c>
      <c r="I37" s="41"/>
      <c r="J37" s="33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7" s="33" t="str">
        <f t="shared" ca="1" si="2"/>
        <v>—</v>
      </c>
      <c r="L37" s="22"/>
    </row>
    <row r="38" spans="1:12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IF(A38="","",IFERROR(VLOOKUP(A38,DB_Customers!$A:$N,14,0),""))</f>
        <v/>
      </c>
      <c r="D38" s="42" t="str">
        <f t="shared" ca="1" si="0"/>
        <v/>
      </c>
      <c r="E38" s="32"/>
      <c r="F38" s="31"/>
      <c r="G38" s="43" t="str">
        <f t="shared" si="1"/>
        <v/>
      </c>
      <c r="H38" s="30" t="s">
        <v>61</v>
      </c>
      <c r="I38" s="41"/>
      <c r="J38" s="33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38" s="33" t="str">
        <f t="shared" ca="1" si="2"/>
        <v>—</v>
      </c>
      <c r="L38" s="50"/>
    </row>
    <row r="39" spans="1:12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IF(A39="","",IFERROR(VLOOKUP(A39,DB_Customers!$A:$N,14,0),""))</f>
        <v/>
      </c>
      <c r="D39" s="42" t="str">
        <f t="shared" ca="1" si="0"/>
        <v/>
      </c>
      <c r="E39" s="32"/>
      <c r="F39" s="31"/>
      <c r="G39" s="43" t="str">
        <f t="shared" si="1"/>
        <v/>
      </c>
      <c r="H39" s="30" t="s">
        <v>61</v>
      </c>
      <c r="I39" s="41"/>
      <c r="J39" s="33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39" s="33" t="str">
        <f t="shared" ca="1" si="2"/>
        <v>—</v>
      </c>
      <c r="L39" s="22"/>
    </row>
    <row r="40" spans="1:12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IF(A40="","",IFERROR(VLOOKUP(A40,DB_Customers!$A:$N,14,0),""))</f>
        <v/>
      </c>
      <c r="D40" s="42" t="str">
        <f t="shared" ca="1" si="0"/>
        <v/>
      </c>
      <c r="E40" s="32"/>
      <c r="F40" s="31"/>
      <c r="G40" s="43" t="str">
        <f t="shared" si="1"/>
        <v/>
      </c>
      <c r="H40" s="30" t="s">
        <v>61</v>
      </c>
      <c r="I40" s="41"/>
      <c r="J40" s="33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0" s="33" t="str">
        <f t="shared" ca="1" si="2"/>
        <v>—</v>
      </c>
      <c r="L40" s="50"/>
    </row>
    <row r="41" spans="1:12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IF(A41="","",IFERROR(VLOOKUP(A41,DB_Customers!$A:$N,14,0),""))</f>
        <v/>
      </c>
      <c r="D41" s="42" t="str">
        <f t="shared" ref="D41:D72" ca="1" si="3">IF(A41="","",TODAY())</f>
        <v/>
      </c>
      <c r="E41" s="32"/>
      <c r="F41" s="31"/>
      <c r="G41" s="43" t="str">
        <f t="shared" ref="G41:G72" si="4">IFERROR(IF(OR(A41="",E41=""),"",C41-E41),"")</f>
        <v/>
      </c>
      <c r="H41" s="30" t="s">
        <v>61</v>
      </c>
      <c r="I41" s="41"/>
      <c r="J41" s="33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1" s="33" t="str">
        <f t="shared" ref="K41:K72" ca="1" si="5">IF(J41="✅ Successful",TEXT(TODAY(),"YYYY-MM-DD")&amp;" Auto","—")</f>
        <v>—</v>
      </c>
      <c r="L41" s="22"/>
    </row>
    <row r="42" spans="1:12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IF(A42="","",IFERROR(VLOOKUP(A42,DB_Customers!$A:$N,14,0),""))</f>
        <v/>
      </c>
      <c r="D42" s="42" t="str">
        <f t="shared" ca="1" si="3"/>
        <v/>
      </c>
      <c r="E42" s="32"/>
      <c r="F42" s="31"/>
      <c r="G42" s="43" t="str">
        <f t="shared" si="4"/>
        <v/>
      </c>
      <c r="H42" s="30" t="s">
        <v>61</v>
      </c>
      <c r="I42" s="41"/>
      <c r="J42" s="33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2" s="33" t="str">
        <f t="shared" ca="1" si="5"/>
        <v>—</v>
      </c>
      <c r="L42" s="50"/>
    </row>
    <row r="43" spans="1:12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IF(A43="","",IFERROR(VLOOKUP(A43,DB_Customers!$A:$N,14,0),""))</f>
        <v/>
      </c>
      <c r="D43" s="42" t="str">
        <f t="shared" ca="1" si="3"/>
        <v/>
      </c>
      <c r="E43" s="32"/>
      <c r="F43" s="31"/>
      <c r="G43" s="43" t="str">
        <f t="shared" si="4"/>
        <v/>
      </c>
      <c r="H43" s="30" t="s">
        <v>61</v>
      </c>
      <c r="I43" s="41"/>
      <c r="J43" s="33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3" s="33" t="str">
        <f t="shared" ca="1" si="5"/>
        <v>—</v>
      </c>
      <c r="L43" s="22"/>
    </row>
    <row r="44" spans="1:12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IF(A44="","",IFERROR(VLOOKUP(A44,DB_Customers!$A:$N,14,0),""))</f>
        <v/>
      </c>
      <c r="D44" s="42" t="str">
        <f t="shared" ca="1" si="3"/>
        <v/>
      </c>
      <c r="E44" s="32"/>
      <c r="F44" s="31"/>
      <c r="G44" s="43" t="str">
        <f t="shared" si="4"/>
        <v/>
      </c>
      <c r="H44" s="30" t="s">
        <v>61</v>
      </c>
      <c r="I44" s="41"/>
      <c r="J44" s="33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4" s="33" t="str">
        <f t="shared" ca="1" si="5"/>
        <v>—</v>
      </c>
      <c r="L44" s="50"/>
    </row>
    <row r="45" spans="1:12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IF(A45="","",IFERROR(VLOOKUP(A45,DB_Customers!$A:$N,14,0),""))</f>
        <v/>
      </c>
      <c r="D45" s="42" t="str">
        <f t="shared" ca="1" si="3"/>
        <v/>
      </c>
      <c r="E45" s="32"/>
      <c r="F45" s="31"/>
      <c r="G45" s="43" t="str">
        <f t="shared" si="4"/>
        <v/>
      </c>
      <c r="H45" s="30" t="s">
        <v>61</v>
      </c>
      <c r="I45" s="41"/>
      <c r="J45" s="33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5" s="33" t="str">
        <f t="shared" ca="1" si="5"/>
        <v>—</v>
      </c>
      <c r="L45" s="22"/>
    </row>
    <row r="46" spans="1:12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IF(A46="","",IFERROR(VLOOKUP(A46,DB_Customers!$A:$N,14,0),""))</f>
        <v/>
      </c>
      <c r="D46" s="42" t="str">
        <f t="shared" ca="1" si="3"/>
        <v/>
      </c>
      <c r="E46" s="32"/>
      <c r="F46" s="31"/>
      <c r="G46" s="43" t="str">
        <f t="shared" si="4"/>
        <v/>
      </c>
      <c r="H46" s="30" t="s">
        <v>61</v>
      </c>
      <c r="I46" s="41"/>
      <c r="J46" s="33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6" s="33" t="str">
        <f t="shared" ca="1" si="5"/>
        <v>—</v>
      </c>
      <c r="L46" s="50"/>
    </row>
    <row r="47" spans="1:12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IF(A47="","",IFERROR(VLOOKUP(A47,DB_Customers!$A:$N,14,0),""))</f>
        <v/>
      </c>
      <c r="D47" s="42" t="str">
        <f t="shared" ca="1" si="3"/>
        <v/>
      </c>
      <c r="E47" s="32"/>
      <c r="F47" s="31"/>
      <c r="G47" s="43" t="str">
        <f t="shared" si="4"/>
        <v/>
      </c>
      <c r="H47" s="30" t="s">
        <v>61</v>
      </c>
      <c r="I47" s="41"/>
      <c r="J47" s="33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7" s="33" t="str">
        <f t="shared" ca="1" si="5"/>
        <v>—</v>
      </c>
      <c r="L47" s="22"/>
    </row>
    <row r="48" spans="1:12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IF(A48="","",IFERROR(VLOOKUP(A48,DB_Customers!$A:$N,14,0),""))</f>
        <v/>
      </c>
      <c r="D48" s="42" t="str">
        <f t="shared" ca="1" si="3"/>
        <v/>
      </c>
      <c r="E48" s="32"/>
      <c r="F48" s="31"/>
      <c r="G48" s="43" t="str">
        <f t="shared" si="4"/>
        <v/>
      </c>
      <c r="H48" s="30" t="s">
        <v>61</v>
      </c>
      <c r="I48" s="41"/>
      <c r="J48" s="33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48" s="33" t="str">
        <f t="shared" ca="1" si="5"/>
        <v>—</v>
      </c>
      <c r="L48" s="50"/>
    </row>
    <row r="49" spans="1:12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IF(A49="","",IFERROR(VLOOKUP(A49,DB_Customers!$A:$N,14,0),""))</f>
        <v/>
      </c>
      <c r="D49" s="42" t="str">
        <f t="shared" ca="1" si="3"/>
        <v/>
      </c>
      <c r="E49" s="32"/>
      <c r="F49" s="31"/>
      <c r="G49" s="43" t="str">
        <f t="shared" si="4"/>
        <v/>
      </c>
      <c r="H49" s="30" t="s">
        <v>61</v>
      </c>
      <c r="I49" s="41"/>
      <c r="J49" s="33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49" s="33" t="str">
        <f t="shared" ca="1" si="5"/>
        <v>—</v>
      </c>
      <c r="L49" s="22"/>
    </row>
    <row r="50" spans="1:12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IF(A50="","",IFERROR(VLOOKUP(A50,DB_Customers!$A:$N,14,0),""))</f>
        <v/>
      </c>
      <c r="D50" s="42" t="str">
        <f t="shared" ca="1" si="3"/>
        <v/>
      </c>
      <c r="E50" s="32"/>
      <c r="F50" s="31"/>
      <c r="G50" s="43" t="str">
        <f t="shared" si="4"/>
        <v/>
      </c>
      <c r="H50" s="30" t="s">
        <v>61</v>
      </c>
      <c r="I50" s="41"/>
      <c r="J50" s="33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0" s="33" t="str">
        <f t="shared" ca="1" si="5"/>
        <v>—</v>
      </c>
      <c r="L50" s="50"/>
    </row>
    <row r="51" spans="1:12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IF(A51="","",IFERROR(VLOOKUP(A51,DB_Customers!$A:$N,14,0),""))</f>
        <v/>
      </c>
      <c r="D51" s="42" t="str">
        <f t="shared" ca="1" si="3"/>
        <v/>
      </c>
      <c r="E51" s="32"/>
      <c r="F51" s="31"/>
      <c r="G51" s="43" t="str">
        <f t="shared" si="4"/>
        <v/>
      </c>
      <c r="H51" s="30" t="s">
        <v>61</v>
      </c>
      <c r="I51" s="41"/>
      <c r="J51" s="33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1" s="33" t="str">
        <f t="shared" ca="1" si="5"/>
        <v>—</v>
      </c>
      <c r="L51" s="22"/>
    </row>
    <row r="52" spans="1:12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IF(A52="","",IFERROR(VLOOKUP(A52,DB_Customers!$A:$N,14,0),""))</f>
        <v/>
      </c>
      <c r="D52" s="42" t="str">
        <f t="shared" ca="1" si="3"/>
        <v/>
      </c>
      <c r="E52" s="32"/>
      <c r="F52" s="31"/>
      <c r="G52" s="43" t="str">
        <f t="shared" si="4"/>
        <v/>
      </c>
      <c r="H52" s="30" t="s">
        <v>61</v>
      </c>
      <c r="I52" s="41"/>
      <c r="J52" s="33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2" s="33" t="str">
        <f t="shared" ca="1" si="5"/>
        <v>—</v>
      </c>
      <c r="L52" s="50"/>
    </row>
    <row r="53" spans="1:12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IF(A53="","",IFERROR(VLOOKUP(A53,DB_Customers!$A:$N,14,0),""))</f>
        <v/>
      </c>
      <c r="D53" s="42" t="str">
        <f t="shared" ca="1" si="3"/>
        <v/>
      </c>
      <c r="E53" s="32"/>
      <c r="F53" s="31"/>
      <c r="G53" s="43" t="str">
        <f t="shared" si="4"/>
        <v/>
      </c>
      <c r="H53" s="30" t="s">
        <v>61</v>
      </c>
      <c r="I53" s="41"/>
      <c r="J53" s="33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3" s="33" t="str">
        <f t="shared" ca="1" si="5"/>
        <v>—</v>
      </c>
      <c r="L53" s="22"/>
    </row>
    <row r="54" spans="1:12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IF(A54="","",IFERROR(VLOOKUP(A54,DB_Customers!$A:$N,14,0),""))</f>
        <v/>
      </c>
      <c r="D54" s="42" t="str">
        <f t="shared" ca="1" si="3"/>
        <v/>
      </c>
      <c r="E54" s="32"/>
      <c r="F54" s="31"/>
      <c r="G54" s="43" t="str">
        <f t="shared" si="4"/>
        <v/>
      </c>
      <c r="H54" s="30" t="s">
        <v>61</v>
      </c>
      <c r="I54" s="41"/>
      <c r="J54" s="33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4" s="33" t="str">
        <f t="shared" ca="1" si="5"/>
        <v>—</v>
      </c>
      <c r="L54" s="50"/>
    </row>
    <row r="55" spans="1:12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IF(A55="","",IFERROR(VLOOKUP(A55,DB_Customers!$A:$N,14,0),""))</f>
        <v/>
      </c>
      <c r="D55" s="42" t="str">
        <f t="shared" ca="1" si="3"/>
        <v/>
      </c>
      <c r="E55" s="32"/>
      <c r="F55" s="31"/>
      <c r="G55" s="43" t="str">
        <f t="shared" si="4"/>
        <v/>
      </c>
      <c r="H55" s="30" t="s">
        <v>61</v>
      </c>
      <c r="I55" s="41"/>
      <c r="J55" s="33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5" s="33" t="str">
        <f t="shared" ca="1" si="5"/>
        <v>—</v>
      </c>
      <c r="L55" s="22"/>
    </row>
    <row r="56" spans="1:12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IF(A56="","",IFERROR(VLOOKUP(A56,DB_Customers!$A:$N,14,0),""))</f>
        <v/>
      </c>
      <c r="D56" s="42" t="str">
        <f t="shared" ca="1" si="3"/>
        <v/>
      </c>
      <c r="E56" s="32"/>
      <c r="F56" s="31"/>
      <c r="G56" s="43" t="str">
        <f t="shared" si="4"/>
        <v/>
      </c>
      <c r="H56" s="30" t="s">
        <v>61</v>
      </c>
      <c r="I56" s="41"/>
      <c r="J56" s="33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6" s="33" t="str">
        <f t="shared" ca="1" si="5"/>
        <v>—</v>
      </c>
      <c r="L56" s="50"/>
    </row>
    <row r="57" spans="1:12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IF(A57="","",IFERROR(VLOOKUP(A57,DB_Customers!$A:$N,14,0),""))</f>
        <v/>
      </c>
      <c r="D57" s="42" t="str">
        <f t="shared" ca="1" si="3"/>
        <v/>
      </c>
      <c r="E57" s="32"/>
      <c r="F57" s="31"/>
      <c r="G57" s="43" t="str">
        <f t="shared" si="4"/>
        <v/>
      </c>
      <c r="H57" s="30" t="s">
        <v>61</v>
      </c>
      <c r="I57" s="41"/>
      <c r="J57" s="33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7" s="33" t="str">
        <f t="shared" ca="1" si="5"/>
        <v>—</v>
      </c>
      <c r="L57" s="22"/>
    </row>
    <row r="58" spans="1:12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IF(A58="","",IFERROR(VLOOKUP(A58,DB_Customers!$A:$N,14,0),""))</f>
        <v/>
      </c>
      <c r="D58" s="42" t="str">
        <f t="shared" ca="1" si="3"/>
        <v/>
      </c>
      <c r="E58" s="32"/>
      <c r="F58" s="31"/>
      <c r="G58" s="43" t="str">
        <f t="shared" si="4"/>
        <v/>
      </c>
      <c r="H58" s="30" t="s">
        <v>61</v>
      </c>
      <c r="I58" s="41"/>
      <c r="J58" s="33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58" s="33" t="str">
        <f t="shared" ca="1" si="5"/>
        <v>—</v>
      </c>
      <c r="L58" s="50"/>
    </row>
    <row r="59" spans="1:12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IF(A59="","",IFERROR(VLOOKUP(A59,DB_Customers!$A:$N,14,0),""))</f>
        <v/>
      </c>
      <c r="D59" s="42" t="str">
        <f t="shared" ca="1" si="3"/>
        <v/>
      </c>
      <c r="E59" s="32"/>
      <c r="F59" s="31"/>
      <c r="G59" s="43" t="str">
        <f t="shared" si="4"/>
        <v/>
      </c>
      <c r="H59" s="30" t="s">
        <v>61</v>
      </c>
      <c r="I59" s="41"/>
      <c r="J59" s="33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59" s="33" t="str">
        <f t="shared" ca="1" si="5"/>
        <v>—</v>
      </c>
      <c r="L59" s="22"/>
    </row>
    <row r="60" spans="1:12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IF(A60="","",IFERROR(VLOOKUP(A60,DB_Customers!$A:$N,14,0),""))</f>
        <v/>
      </c>
      <c r="D60" s="42" t="str">
        <f t="shared" ca="1" si="3"/>
        <v/>
      </c>
      <c r="E60" s="32"/>
      <c r="F60" s="31"/>
      <c r="G60" s="43" t="str">
        <f t="shared" si="4"/>
        <v/>
      </c>
      <c r="H60" s="30" t="s">
        <v>61</v>
      </c>
      <c r="I60" s="41"/>
      <c r="J60" s="33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0" s="33" t="str">
        <f t="shared" ca="1" si="5"/>
        <v>—</v>
      </c>
      <c r="L60" s="50"/>
    </row>
    <row r="61" spans="1:12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IF(A61="","",IFERROR(VLOOKUP(A61,DB_Customers!$A:$N,14,0),""))</f>
        <v/>
      </c>
      <c r="D61" s="42" t="str">
        <f t="shared" ca="1" si="3"/>
        <v/>
      </c>
      <c r="E61" s="32"/>
      <c r="F61" s="31"/>
      <c r="G61" s="43" t="str">
        <f t="shared" si="4"/>
        <v/>
      </c>
      <c r="H61" s="30" t="s">
        <v>61</v>
      </c>
      <c r="I61" s="41"/>
      <c r="J61" s="33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1" s="33" t="str">
        <f t="shared" ca="1" si="5"/>
        <v>—</v>
      </c>
      <c r="L61" s="22"/>
    </row>
    <row r="62" spans="1:12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IF(A62="","",IFERROR(VLOOKUP(A62,DB_Customers!$A:$N,14,0),""))</f>
        <v/>
      </c>
      <c r="D62" s="42" t="str">
        <f t="shared" ca="1" si="3"/>
        <v/>
      </c>
      <c r="E62" s="32"/>
      <c r="F62" s="31"/>
      <c r="G62" s="43" t="str">
        <f t="shared" si="4"/>
        <v/>
      </c>
      <c r="H62" s="30" t="s">
        <v>61</v>
      </c>
      <c r="I62" s="41"/>
      <c r="J62" s="33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2" s="33" t="str">
        <f t="shared" ca="1" si="5"/>
        <v>—</v>
      </c>
      <c r="L62" s="50"/>
    </row>
    <row r="63" spans="1:12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IF(A63="","",IFERROR(VLOOKUP(A63,DB_Customers!$A:$N,14,0),""))</f>
        <v/>
      </c>
      <c r="D63" s="42" t="str">
        <f t="shared" ca="1" si="3"/>
        <v/>
      </c>
      <c r="E63" s="32"/>
      <c r="F63" s="31"/>
      <c r="G63" s="43" t="str">
        <f t="shared" si="4"/>
        <v/>
      </c>
      <c r="H63" s="30" t="s">
        <v>61</v>
      </c>
      <c r="I63" s="41"/>
      <c r="J63" s="33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3" s="33" t="str">
        <f t="shared" ca="1" si="5"/>
        <v>—</v>
      </c>
      <c r="L63" s="22"/>
    </row>
    <row r="64" spans="1:12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IF(A64="","",IFERROR(VLOOKUP(A64,DB_Customers!$A:$N,14,0),""))</f>
        <v/>
      </c>
      <c r="D64" s="42" t="str">
        <f t="shared" ca="1" si="3"/>
        <v/>
      </c>
      <c r="E64" s="32"/>
      <c r="F64" s="31"/>
      <c r="G64" s="43" t="str">
        <f t="shared" si="4"/>
        <v/>
      </c>
      <c r="H64" s="30" t="s">
        <v>61</v>
      </c>
      <c r="I64" s="41"/>
      <c r="J64" s="33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4" s="33" t="str">
        <f t="shared" ca="1" si="5"/>
        <v>—</v>
      </c>
      <c r="L64" s="50"/>
    </row>
    <row r="65" spans="1:12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IF(A65="","",IFERROR(VLOOKUP(A65,DB_Customers!$A:$N,14,0),""))</f>
        <v/>
      </c>
      <c r="D65" s="42" t="str">
        <f t="shared" ca="1" si="3"/>
        <v/>
      </c>
      <c r="E65" s="32"/>
      <c r="F65" s="31"/>
      <c r="G65" s="43" t="str">
        <f t="shared" si="4"/>
        <v/>
      </c>
      <c r="H65" s="30" t="s">
        <v>61</v>
      </c>
      <c r="I65" s="41"/>
      <c r="J65" s="33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5" s="33" t="str">
        <f t="shared" ca="1" si="5"/>
        <v>—</v>
      </c>
      <c r="L65" s="22"/>
    </row>
    <row r="66" spans="1:12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IF(A66="","",IFERROR(VLOOKUP(A66,DB_Customers!$A:$N,14,0),""))</f>
        <v/>
      </c>
      <c r="D66" s="42" t="str">
        <f t="shared" ca="1" si="3"/>
        <v/>
      </c>
      <c r="E66" s="32"/>
      <c r="F66" s="31"/>
      <c r="G66" s="43" t="str">
        <f t="shared" si="4"/>
        <v/>
      </c>
      <c r="H66" s="30" t="s">
        <v>61</v>
      </c>
      <c r="I66" s="41"/>
      <c r="J66" s="33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6" s="33" t="str">
        <f t="shared" ca="1" si="5"/>
        <v>—</v>
      </c>
      <c r="L66" s="50"/>
    </row>
    <row r="67" spans="1:12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IF(A67="","",IFERROR(VLOOKUP(A67,DB_Customers!$A:$N,14,0),""))</f>
        <v/>
      </c>
      <c r="D67" s="42" t="str">
        <f t="shared" ca="1" si="3"/>
        <v/>
      </c>
      <c r="E67" s="32"/>
      <c r="F67" s="31"/>
      <c r="G67" s="43" t="str">
        <f t="shared" si="4"/>
        <v/>
      </c>
      <c r="H67" s="30" t="s">
        <v>61</v>
      </c>
      <c r="I67" s="41"/>
      <c r="J67" s="33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7" s="33" t="str">
        <f t="shared" ca="1" si="5"/>
        <v>—</v>
      </c>
      <c r="L67" s="22"/>
    </row>
    <row r="68" spans="1:12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IF(A68="","",IFERROR(VLOOKUP(A68,DB_Customers!$A:$N,14,0),""))</f>
        <v/>
      </c>
      <c r="D68" s="42" t="str">
        <f t="shared" ca="1" si="3"/>
        <v/>
      </c>
      <c r="E68" s="32"/>
      <c r="F68" s="31"/>
      <c r="G68" s="43" t="str">
        <f t="shared" si="4"/>
        <v/>
      </c>
      <c r="H68" s="30" t="s">
        <v>61</v>
      </c>
      <c r="I68" s="41"/>
      <c r="J68" s="33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68" s="33" t="str">
        <f t="shared" ca="1" si="5"/>
        <v>—</v>
      </c>
      <c r="L68" s="50"/>
    </row>
    <row r="69" spans="1:12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IF(A69="","",IFERROR(VLOOKUP(A69,DB_Customers!$A:$N,14,0),""))</f>
        <v/>
      </c>
      <c r="D69" s="42" t="str">
        <f t="shared" ca="1" si="3"/>
        <v/>
      </c>
      <c r="E69" s="32"/>
      <c r="F69" s="31"/>
      <c r="G69" s="43" t="str">
        <f t="shared" si="4"/>
        <v/>
      </c>
      <c r="H69" s="30" t="s">
        <v>61</v>
      </c>
      <c r="I69" s="41"/>
      <c r="J69" s="33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69" s="33" t="str">
        <f t="shared" ca="1" si="5"/>
        <v>—</v>
      </c>
      <c r="L69" s="22"/>
    </row>
    <row r="70" spans="1:12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IF(A70="","",IFERROR(VLOOKUP(A70,DB_Customers!$A:$N,14,0),""))</f>
        <v/>
      </c>
      <c r="D70" s="42" t="str">
        <f t="shared" ca="1" si="3"/>
        <v/>
      </c>
      <c r="E70" s="32"/>
      <c r="F70" s="31"/>
      <c r="G70" s="43" t="str">
        <f t="shared" si="4"/>
        <v/>
      </c>
      <c r="H70" s="30" t="s">
        <v>61</v>
      </c>
      <c r="I70" s="41"/>
      <c r="J70" s="33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0" s="33" t="str">
        <f t="shared" ca="1" si="5"/>
        <v>—</v>
      </c>
      <c r="L70" s="50"/>
    </row>
    <row r="71" spans="1:12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IF(A71="","",IFERROR(VLOOKUP(A71,DB_Customers!$A:$N,14,0),""))</f>
        <v/>
      </c>
      <c r="D71" s="42" t="str">
        <f t="shared" ca="1" si="3"/>
        <v/>
      </c>
      <c r="E71" s="32"/>
      <c r="F71" s="31"/>
      <c r="G71" s="43" t="str">
        <f t="shared" si="4"/>
        <v/>
      </c>
      <c r="H71" s="30" t="s">
        <v>61</v>
      </c>
      <c r="I71" s="41"/>
      <c r="J71" s="33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1" s="33" t="str">
        <f t="shared" ca="1" si="5"/>
        <v>—</v>
      </c>
      <c r="L71" s="22"/>
    </row>
    <row r="72" spans="1:12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IF(A72="","",IFERROR(VLOOKUP(A72,DB_Customers!$A:$N,14,0),""))</f>
        <v/>
      </c>
      <c r="D72" s="42" t="str">
        <f t="shared" ca="1" si="3"/>
        <v/>
      </c>
      <c r="E72" s="32"/>
      <c r="F72" s="31"/>
      <c r="G72" s="43" t="str">
        <f t="shared" si="4"/>
        <v/>
      </c>
      <c r="H72" s="30" t="s">
        <v>61</v>
      </c>
      <c r="I72" s="41"/>
      <c r="J72" s="33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2" s="33" t="str">
        <f t="shared" ca="1" si="5"/>
        <v>—</v>
      </c>
      <c r="L72" s="50"/>
    </row>
    <row r="73" spans="1:12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IF(A73="","",IFERROR(VLOOKUP(A73,DB_Customers!$A:$N,14,0),""))</f>
        <v/>
      </c>
      <c r="D73" s="42" t="str">
        <f t="shared" ref="D73:D104" ca="1" si="6">IF(A73="","",TODAY())</f>
        <v/>
      </c>
      <c r="E73" s="32"/>
      <c r="F73" s="31"/>
      <c r="G73" s="43" t="str">
        <f t="shared" ref="G73:G104" si="7">IFERROR(IF(OR(A73="",E73=""),"",C73-E73),"")</f>
        <v/>
      </c>
      <c r="H73" s="30" t="s">
        <v>61</v>
      </c>
      <c r="I73" s="41"/>
      <c r="J73" s="33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3" s="33" t="str">
        <f t="shared" ref="K73:K104" ca="1" si="8">IF(J73="✅ Successful",TEXT(TODAY(),"YYYY-MM-DD")&amp;" Auto","—")</f>
        <v>—</v>
      </c>
      <c r="L73" s="22"/>
    </row>
    <row r="74" spans="1:12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IF(A74="","",IFERROR(VLOOKUP(A74,DB_Customers!$A:$N,14,0),""))</f>
        <v/>
      </c>
      <c r="D74" s="42" t="str">
        <f t="shared" ca="1" si="6"/>
        <v/>
      </c>
      <c r="E74" s="32"/>
      <c r="F74" s="31"/>
      <c r="G74" s="43" t="str">
        <f t="shared" si="7"/>
        <v/>
      </c>
      <c r="H74" s="30" t="s">
        <v>61</v>
      </c>
      <c r="I74" s="41"/>
      <c r="J74" s="33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4" s="33" t="str">
        <f t="shared" ca="1" si="8"/>
        <v>—</v>
      </c>
      <c r="L74" s="50"/>
    </row>
    <row r="75" spans="1:12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IF(A75="","",IFERROR(VLOOKUP(A75,DB_Customers!$A:$N,14,0),""))</f>
        <v/>
      </c>
      <c r="D75" s="42" t="str">
        <f t="shared" ca="1" si="6"/>
        <v/>
      </c>
      <c r="E75" s="32"/>
      <c r="F75" s="31"/>
      <c r="G75" s="43" t="str">
        <f t="shared" si="7"/>
        <v/>
      </c>
      <c r="H75" s="30" t="s">
        <v>61</v>
      </c>
      <c r="I75" s="41"/>
      <c r="J75" s="33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5" s="33" t="str">
        <f t="shared" ca="1" si="8"/>
        <v>—</v>
      </c>
      <c r="L75" s="22"/>
    </row>
    <row r="76" spans="1:12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IF(A76="","",IFERROR(VLOOKUP(A76,DB_Customers!$A:$N,14,0),""))</f>
        <v/>
      </c>
      <c r="D76" s="42" t="str">
        <f t="shared" ca="1" si="6"/>
        <v/>
      </c>
      <c r="E76" s="32"/>
      <c r="F76" s="31"/>
      <c r="G76" s="43" t="str">
        <f t="shared" si="7"/>
        <v/>
      </c>
      <c r="H76" s="30" t="s">
        <v>61</v>
      </c>
      <c r="I76" s="41"/>
      <c r="J76" s="33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6" s="33" t="str">
        <f t="shared" ca="1" si="8"/>
        <v>—</v>
      </c>
      <c r="L76" s="50"/>
    </row>
    <row r="77" spans="1:12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IF(A77="","",IFERROR(VLOOKUP(A77,DB_Customers!$A:$N,14,0),""))</f>
        <v/>
      </c>
      <c r="D77" s="42" t="str">
        <f t="shared" ca="1" si="6"/>
        <v/>
      </c>
      <c r="E77" s="32"/>
      <c r="F77" s="31"/>
      <c r="G77" s="43" t="str">
        <f t="shared" si="7"/>
        <v/>
      </c>
      <c r="H77" s="30" t="s">
        <v>61</v>
      </c>
      <c r="I77" s="41"/>
      <c r="J77" s="33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7" s="33" t="str">
        <f t="shared" ca="1" si="8"/>
        <v>—</v>
      </c>
      <c r="L77" s="22"/>
    </row>
    <row r="78" spans="1:12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IF(A78="","",IFERROR(VLOOKUP(A78,DB_Customers!$A:$N,14,0),""))</f>
        <v/>
      </c>
      <c r="D78" s="42" t="str">
        <f t="shared" ca="1" si="6"/>
        <v/>
      </c>
      <c r="E78" s="32"/>
      <c r="F78" s="31"/>
      <c r="G78" s="43" t="str">
        <f t="shared" si="7"/>
        <v/>
      </c>
      <c r="H78" s="30" t="s">
        <v>61</v>
      </c>
      <c r="I78" s="41"/>
      <c r="J78" s="33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78" s="33" t="str">
        <f t="shared" ca="1" si="8"/>
        <v>—</v>
      </c>
      <c r="L78" s="50"/>
    </row>
    <row r="79" spans="1:12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IF(A79="","",IFERROR(VLOOKUP(A79,DB_Customers!$A:$N,14,0),""))</f>
        <v/>
      </c>
      <c r="D79" s="42" t="str">
        <f t="shared" ca="1" si="6"/>
        <v/>
      </c>
      <c r="E79" s="32"/>
      <c r="F79" s="31"/>
      <c r="G79" s="43" t="str">
        <f t="shared" si="7"/>
        <v/>
      </c>
      <c r="H79" s="30" t="s">
        <v>61</v>
      </c>
      <c r="I79" s="41"/>
      <c r="J79" s="33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79" s="33" t="str">
        <f t="shared" ca="1" si="8"/>
        <v>—</v>
      </c>
      <c r="L79" s="22"/>
    </row>
    <row r="80" spans="1:12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IF(A80="","",IFERROR(VLOOKUP(A80,DB_Customers!$A:$N,14,0),""))</f>
        <v/>
      </c>
      <c r="D80" s="42" t="str">
        <f t="shared" ca="1" si="6"/>
        <v/>
      </c>
      <c r="E80" s="32"/>
      <c r="F80" s="31"/>
      <c r="G80" s="43" t="str">
        <f t="shared" si="7"/>
        <v/>
      </c>
      <c r="H80" s="30" t="s">
        <v>61</v>
      </c>
      <c r="I80" s="41"/>
      <c r="J80" s="33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0" s="33" t="str">
        <f t="shared" ca="1" si="8"/>
        <v>—</v>
      </c>
      <c r="L80" s="50"/>
    </row>
    <row r="81" spans="1:12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IF(A81="","",IFERROR(VLOOKUP(A81,DB_Customers!$A:$N,14,0),""))</f>
        <v/>
      </c>
      <c r="D81" s="42" t="str">
        <f t="shared" ca="1" si="6"/>
        <v/>
      </c>
      <c r="E81" s="32"/>
      <c r="F81" s="31"/>
      <c r="G81" s="43" t="str">
        <f t="shared" si="7"/>
        <v/>
      </c>
      <c r="H81" s="30" t="s">
        <v>61</v>
      </c>
      <c r="I81" s="41"/>
      <c r="J81" s="33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1" s="33" t="str">
        <f t="shared" ca="1" si="8"/>
        <v>—</v>
      </c>
      <c r="L81" s="22"/>
    </row>
    <row r="82" spans="1:12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IF(A82="","",IFERROR(VLOOKUP(A82,DB_Customers!$A:$N,14,0),""))</f>
        <v/>
      </c>
      <c r="D82" s="42" t="str">
        <f t="shared" ca="1" si="6"/>
        <v/>
      </c>
      <c r="E82" s="32"/>
      <c r="F82" s="31"/>
      <c r="G82" s="43" t="str">
        <f t="shared" si="7"/>
        <v/>
      </c>
      <c r="H82" s="30" t="s">
        <v>61</v>
      </c>
      <c r="I82" s="41"/>
      <c r="J82" s="33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2" s="33" t="str">
        <f t="shared" ca="1" si="8"/>
        <v>—</v>
      </c>
      <c r="L82" s="50"/>
    </row>
    <row r="83" spans="1:12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IF(A83="","",IFERROR(VLOOKUP(A83,DB_Customers!$A:$N,14,0),""))</f>
        <v/>
      </c>
      <c r="D83" s="42" t="str">
        <f t="shared" ca="1" si="6"/>
        <v/>
      </c>
      <c r="E83" s="32"/>
      <c r="F83" s="31"/>
      <c r="G83" s="43" t="str">
        <f t="shared" si="7"/>
        <v/>
      </c>
      <c r="H83" s="30" t="s">
        <v>61</v>
      </c>
      <c r="I83" s="41"/>
      <c r="J83" s="33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3" s="33" t="str">
        <f t="shared" ca="1" si="8"/>
        <v>—</v>
      </c>
      <c r="L83" s="22"/>
    </row>
    <row r="84" spans="1:12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IF(A84="","",IFERROR(VLOOKUP(A84,DB_Customers!$A:$N,14,0),""))</f>
        <v/>
      </c>
      <c r="D84" s="42" t="str">
        <f t="shared" ca="1" si="6"/>
        <v/>
      </c>
      <c r="E84" s="32"/>
      <c r="F84" s="31"/>
      <c r="G84" s="43" t="str">
        <f t="shared" si="7"/>
        <v/>
      </c>
      <c r="H84" s="30" t="s">
        <v>61</v>
      </c>
      <c r="I84" s="41"/>
      <c r="J84" s="33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4" s="33" t="str">
        <f t="shared" ca="1" si="8"/>
        <v>—</v>
      </c>
      <c r="L84" s="50"/>
    </row>
    <row r="85" spans="1:12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IF(A85="","",IFERROR(VLOOKUP(A85,DB_Customers!$A:$N,14,0),""))</f>
        <v/>
      </c>
      <c r="D85" s="42" t="str">
        <f t="shared" ca="1" si="6"/>
        <v/>
      </c>
      <c r="E85" s="32"/>
      <c r="F85" s="31"/>
      <c r="G85" s="43" t="str">
        <f t="shared" si="7"/>
        <v/>
      </c>
      <c r="H85" s="30" t="s">
        <v>61</v>
      </c>
      <c r="I85" s="41"/>
      <c r="J85" s="33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5" s="33" t="str">
        <f t="shared" ca="1" si="8"/>
        <v>—</v>
      </c>
      <c r="L85" s="22"/>
    </row>
    <row r="86" spans="1:12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IF(A86="","",IFERROR(VLOOKUP(A86,DB_Customers!$A:$N,14,0),""))</f>
        <v/>
      </c>
      <c r="D86" s="42" t="str">
        <f t="shared" ca="1" si="6"/>
        <v/>
      </c>
      <c r="E86" s="32"/>
      <c r="F86" s="31"/>
      <c r="G86" s="43" t="str">
        <f t="shared" si="7"/>
        <v/>
      </c>
      <c r="H86" s="30" t="s">
        <v>61</v>
      </c>
      <c r="I86" s="41"/>
      <c r="J86" s="33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6" s="33" t="str">
        <f t="shared" ca="1" si="8"/>
        <v>—</v>
      </c>
      <c r="L86" s="50"/>
    </row>
    <row r="87" spans="1:12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IF(A87="","",IFERROR(VLOOKUP(A87,DB_Customers!$A:$N,14,0),""))</f>
        <v/>
      </c>
      <c r="D87" s="42" t="str">
        <f t="shared" ca="1" si="6"/>
        <v/>
      </c>
      <c r="E87" s="32"/>
      <c r="F87" s="31"/>
      <c r="G87" s="43" t="str">
        <f t="shared" si="7"/>
        <v/>
      </c>
      <c r="H87" s="30" t="s">
        <v>61</v>
      </c>
      <c r="I87" s="41"/>
      <c r="J87" s="33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7" s="33" t="str">
        <f t="shared" ca="1" si="8"/>
        <v>—</v>
      </c>
      <c r="L87" s="22"/>
    </row>
    <row r="88" spans="1:12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IF(A88="","",IFERROR(VLOOKUP(A88,DB_Customers!$A:$N,14,0),""))</f>
        <v/>
      </c>
      <c r="D88" s="42" t="str">
        <f t="shared" ca="1" si="6"/>
        <v/>
      </c>
      <c r="E88" s="32"/>
      <c r="F88" s="31"/>
      <c r="G88" s="43" t="str">
        <f t="shared" si="7"/>
        <v/>
      </c>
      <c r="H88" s="30" t="s">
        <v>61</v>
      </c>
      <c r="I88" s="41"/>
      <c r="J88" s="33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88" s="33" t="str">
        <f t="shared" ca="1" si="8"/>
        <v>—</v>
      </c>
      <c r="L88" s="50"/>
    </row>
    <row r="89" spans="1:12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IF(A89="","",IFERROR(VLOOKUP(A89,DB_Customers!$A:$N,14,0),""))</f>
        <v/>
      </c>
      <c r="D89" s="42" t="str">
        <f t="shared" ca="1" si="6"/>
        <v/>
      </c>
      <c r="E89" s="32"/>
      <c r="F89" s="31"/>
      <c r="G89" s="43" t="str">
        <f t="shared" si="7"/>
        <v/>
      </c>
      <c r="H89" s="30" t="s">
        <v>61</v>
      </c>
      <c r="I89" s="41"/>
      <c r="J89" s="33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89" s="33" t="str">
        <f t="shared" ca="1" si="8"/>
        <v>—</v>
      </c>
      <c r="L89" s="22"/>
    </row>
    <row r="90" spans="1:12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IF(A90="","",IFERROR(VLOOKUP(A90,DB_Customers!$A:$N,14,0),""))</f>
        <v/>
      </c>
      <c r="D90" s="42" t="str">
        <f t="shared" ca="1" si="6"/>
        <v/>
      </c>
      <c r="E90" s="32"/>
      <c r="F90" s="31"/>
      <c r="G90" s="43" t="str">
        <f t="shared" si="7"/>
        <v/>
      </c>
      <c r="H90" s="30" t="s">
        <v>61</v>
      </c>
      <c r="I90" s="41"/>
      <c r="J90" s="33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0" s="33" t="str">
        <f t="shared" ca="1" si="8"/>
        <v>—</v>
      </c>
      <c r="L90" s="50"/>
    </row>
    <row r="91" spans="1:12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IF(A91="","",IFERROR(VLOOKUP(A91,DB_Customers!$A:$N,14,0),""))</f>
        <v/>
      </c>
      <c r="D91" s="42" t="str">
        <f t="shared" ca="1" si="6"/>
        <v/>
      </c>
      <c r="E91" s="32"/>
      <c r="F91" s="31"/>
      <c r="G91" s="43" t="str">
        <f t="shared" si="7"/>
        <v/>
      </c>
      <c r="H91" s="30" t="s">
        <v>61</v>
      </c>
      <c r="I91" s="41"/>
      <c r="J91" s="33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1" s="33" t="str">
        <f t="shared" ca="1" si="8"/>
        <v>—</v>
      </c>
      <c r="L91" s="22"/>
    </row>
    <row r="92" spans="1:12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IF(A92="","",IFERROR(VLOOKUP(A92,DB_Customers!$A:$N,14,0),""))</f>
        <v/>
      </c>
      <c r="D92" s="42" t="str">
        <f t="shared" ca="1" si="6"/>
        <v/>
      </c>
      <c r="E92" s="32"/>
      <c r="F92" s="31"/>
      <c r="G92" s="43" t="str">
        <f t="shared" si="7"/>
        <v/>
      </c>
      <c r="H92" s="30" t="s">
        <v>61</v>
      </c>
      <c r="I92" s="41"/>
      <c r="J92" s="33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2" s="33" t="str">
        <f t="shared" ca="1" si="8"/>
        <v>—</v>
      </c>
      <c r="L92" s="50"/>
    </row>
    <row r="93" spans="1:12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IF(A93="","",IFERROR(VLOOKUP(A93,DB_Customers!$A:$N,14,0),""))</f>
        <v/>
      </c>
      <c r="D93" s="42" t="str">
        <f t="shared" ca="1" si="6"/>
        <v/>
      </c>
      <c r="E93" s="32"/>
      <c r="F93" s="31"/>
      <c r="G93" s="43" t="str">
        <f t="shared" si="7"/>
        <v/>
      </c>
      <c r="H93" s="30" t="s">
        <v>61</v>
      </c>
      <c r="I93" s="41"/>
      <c r="J93" s="33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3" s="33" t="str">
        <f t="shared" ca="1" si="8"/>
        <v>—</v>
      </c>
      <c r="L93" s="22"/>
    </row>
    <row r="94" spans="1:12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IF(A94="","",IFERROR(VLOOKUP(A94,DB_Customers!$A:$N,14,0),""))</f>
        <v/>
      </c>
      <c r="D94" s="42" t="str">
        <f t="shared" ca="1" si="6"/>
        <v/>
      </c>
      <c r="E94" s="32"/>
      <c r="F94" s="31"/>
      <c r="G94" s="43" t="str">
        <f t="shared" si="7"/>
        <v/>
      </c>
      <c r="H94" s="30" t="s">
        <v>61</v>
      </c>
      <c r="I94" s="41"/>
      <c r="J94" s="33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4" s="33" t="str">
        <f t="shared" ca="1" si="8"/>
        <v>—</v>
      </c>
      <c r="L94" s="50"/>
    </row>
    <row r="95" spans="1:12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IF(A95="","",IFERROR(VLOOKUP(A95,DB_Customers!$A:$N,14,0),""))</f>
        <v/>
      </c>
      <c r="D95" s="42" t="str">
        <f t="shared" ca="1" si="6"/>
        <v/>
      </c>
      <c r="E95" s="32"/>
      <c r="F95" s="31"/>
      <c r="G95" s="43" t="str">
        <f t="shared" si="7"/>
        <v/>
      </c>
      <c r="H95" s="30" t="s">
        <v>61</v>
      </c>
      <c r="I95" s="41"/>
      <c r="J95" s="33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5" s="33" t="str">
        <f t="shared" ca="1" si="8"/>
        <v>—</v>
      </c>
      <c r="L95" s="22"/>
    </row>
    <row r="96" spans="1:12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IF(A96="","",IFERROR(VLOOKUP(A96,DB_Customers!$A:$N,14,0),""))</f>
        <v/>
      </c>
      <c r="D96" s="42" t="str">
        <f t="shared" ca="1" si="6"/>
        <v/>
      </c>
      <c r="E96" s="32"/>
      <c r="F96" s="31"/>
      <c r="G96" s="43" t="str">
        <f t="shared" si="7"/>
        <v/>
      </c>
      <c r="H96" s="30" t="s">
        <v>61</v>
      </c>
      <c r="I96" s="41"/>
      <c r="J96" s="33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6" s="33" t="str">
        <f t="shared" ca="1" si="8"/>
        <v>—</v>
      </c>
      <c r="L96" s="50"/>
    </row>
    <row r="97" spans="1:12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IF(A97="","",IFERROR(VLOOKUP(A97,DB_Customers!$A:$N,14,0),""))</f>
        <v/>
      </c>
      <c r="D97" s="42" t="str">
        <f t="shared" ca="1" si="6"/>
        <v/>
      </c>
      <c r="E97" s="32"/>
      <c r="F97" s="31"/>
      <c r="G97" s="43" t="str">
        <f t="shared" si="7"/>
        <v/>
      </c>
      <c r="H97" s="30" t="s">
        <v>61</v>
      </c>
      <c r="I97" s="41"/>
      <c r="J97" s="33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7" s="33" t="str">
        <f t="shared" ca="1" si="8"/>
        <v>—</v>
      </c>
      <c r="L97" s="22"/>
    </row>
    <row r="98" spans="1:12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IF(A98="","",IFERROR(VLOOKUP(A98,DB_Customers!$A:$N,14,0),""))</f>
        <v/>
      </c>
      <c r="D98" s="42" t="str">
        <f t="shared" ca="1" si="6"/>
        <v/>
      </c>
      <c r="E98" s="32"/>
      <c r="F98" s="31"/>
      <c r="G98" s="43" t="str">
        <f t="shared" si="7"/>
        <v/>
      </c>
      <c r="H98" s="30" t="s">
        <v>61</v>
      </c>
      <c r="I98" s="41"/>
      <c r="J98" s="33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98" s="33" t="str">
        <f t="shared" ca="1" si="8"/>
        <v>—</v>
      </c>
      <c r="L98" s="50"/>
    </row>
    <row r="99" spans="1:12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IF(A99="","",IFERROR(VLOOKUP(A99,DB_Customers!$A:$N,14,0),""))</f>
        <v/>
      </c>
      <c r="D99" s="42" t="str">
        <f t="shared" ca="1" si="6"/>
        <v/>
      </c>
      <c r="E99" s="32"/>
      <c r="F99" s="31"/>
      <c r="G99" s="43" t="str">
        <f t="shared" si="7"/>
        <v/>
      </c>
      <c r="H99" s="30" t="s">
        <v>61</v>
      </c>
      <c r="I99" s="41"/>
      <c r="J99" s="33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99" s="33" t="str">
        <f t="shared" ca="1" si="8"/>
        <v>—</v>
      </c>
      <c r="L99" s="22"/>
    </row>
    <row r="100" spans="1:12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IF(A100="","",IFERROR(VLOOKUP(A100,DB_Customers!$A:$N,14,0),""))</f>
        <v/>
      </c>
      <c r="D100" s="42" t="str">
        <f t="shared" ca="1" si="6"/>
        <v/>
      </c>
      <c r="E100" s="32"/>
      <c r="F100" s="31"/>
      <c r="G100" s="43" t="str">
        <f t="shared" si="7"/>
        <v/>
      </c>
      <c r="H100" s="30" t="s">
        <v>61</v>
      </c>
      <c r="I100" s="41"/>
      <c r="J100" s="33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0" s="33" t="str">
        <f t="shared" ca="1" si="8"/>
        <v>—</v>
      </c>
      <c r="L100" s="50"/>
    </row>
    <row r="101" spans="1:12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IF(A101="","",IFERROR(VLOOKUP(A101,DB_Customers!$A:$N,14,0),""))</f>
        <v/>
      </c>
      <c r="D101" s="42" t="str">
        <f t="shared" ca="1" si="6"/>
        <v/>
      </c>
      <c r="E101" s="32"/>
      <c r="F101" s="31"/>
      <c r="G101" s="43" t="str">
        <f t="shared" si="7"/>
        <v/>
      </c>
      <c r="H101" s="30" t="s">
        <v>61</v>
      </c>
      <c r="I101" s="41"/>
      <c r="J101" s="33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1" s="33" t="str">
        <f t="shared" ca="1" si="8"/>
        <v>—</v>
      </c>
      <c r="L101" s="22"/>
    </row>
    <row r="102" spans="1:12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IF(A102="","",IFERROR(VLOOKUP(A102,DB_Customers!$A:$N,14,0),""))</f>
        <v/>
      </c>
      <c r="D102" s="42" t="str">
        <f t="shared" ca="1" si="6"/>
        <v/>
      </c>
      <c r="E102" s="32"/>
      <c r="F102" s="31"/>
      <c r="G102" s="43" t="str">
        <f t="shared" si="7"/>
        <v/>
      </c>
      <c r="H102" s="30" t="s">
        <v>61</v>
      </c>
      <c r="I102" s="41"/>
      <c r="J102" s="33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2" s="33" t="str">
        <f t="shared" ca="1" si="8"/>
        <v>—</v>
      </c>
      <c r="L102" s="50"/>
    </row>
    <row r="103" spans="1:12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IF(A103="","",IFERROR(VLOOKUP(A103,DB_Customers!$A:$N,14,0),""))</f>
        <v/>
      </c>
      <c r="D103" s="42" t="str">
        <f t="shared" ca="1" si="6"/>
        <v/>
      </c>
      <c r="E103" s="32"/>
      <c r="F103" s="31"/>
      <c r="G103" s="43" t="str">
        <f t="shared" si="7"/>
        <v/>
      </c>
      <c r="H103" s="30" t="s">
        <v>61</v>
      </c>
      <c r="I103" s="41"/>
      <c r="J103" s="33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3" s="33" t="str">
        <f t="shared" ca="1" si="8"/>
        <v>—</v>
      </c>
      <c r="L103" s="22"/>
    </row>
    <row r="104" spans="1:12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IF(A104="","",IFERROR(VLOOKUP(A104,DB_Customers!$A:$N,14,0),""))</f>
        <v/>
      </c>
      <c r="D104" s="42" t="str">
        <f t="shared" ca="1" si="6"/>
        <v/>
      </c>
      <c r="E104" s="32"/>
      <c r="F104" s="31"/>
      <c r="G104" s="43" t="str">
        <f t="shared" si="7"/>
        <v/>
      </c>
      <c r="H104" s="30" t="s">
        <v>61</v>
      </c>
      <c r="I104" s="41"/>
      <c r="J104" s="33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4" s="33" t="str">
        <f t="shared" ca="1" si="8"/>
        <v>—</v>
      </c>
      <c r="L104" s="50"/>
    </row>
    <row r="105" spans="1:12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IF(A105="","",IFERROR(VLOOKUP(A105,DB_Customers!$A:$N,14,0),""))</f>
        <v/>
      </c>
      <c r="D105" s="42" t="str">
        <f t="shared" ref="D105:D136" ca="1" si="9">IF(A105="","",TODAY())</f>
        <v/>
      </c>
      <c r="E105" s="32"/>
      <c r="F105" s="31"/>
      <c r="G105" s="43" t="str">
        <f t="shared" ref="G105:G136" si="10">IFERROR(IF(OR(A105="",E105=""),"",C105-E105),"")</f>
        <v/>
      </c>
      <c r="H105" s="30" t="s">
        <v>61</v>
      </c>
      <c r="I105" s="41"/>
      <c r="J105" s="33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5" s="33" t="str">
        <f t="shared" ref="K105:K136" ca="1" si="11">IF(J105="✅ Successful",TEXT(TODAY(),"YYYY-MM-DD")&amp;" Auto","—")</f>
        <v>—</v>
      </c>
      <c r="L105" s="22"/>
    </row>
    <row r="106" spans="1:12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IF(A106="","",IFERROR(VLOOKUP(A106,DB_Customers!$A:$N,14,0),""))</f>
        <v/>
      </c>
      <c r="D106" s="42" t="str">
        <f t="shared" ca="1" si="9"/>
        <v/>
      </c>
      <c r="E106" s="32"/>
      <c r="F106" s="31"/>
      <c r="G106" s="43" t="str">
        <f t="shared" si="10"/>
        <v/>
      </c>
      <c r="H106" s="30" t="s">
        <v>61</v>
      </c>
      <c r="I106" s="41"/>
      <c r="J106" s="33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6" s="33" t="str">
        <f t="shared" ca="1" si="11"/>
        <v>—</v>
      </c>
      <c r="L106" s="50"/>
    </row>
    <row r="107" spans="1:12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IF(A107="","",IFERROR(VLOOKUP(A107,DB_Customers!$A:$N,14,0),""))</f>
        <v/>
      </c>
      <c r="D107" s="42" t="str">
        <f t="shared" ca="1" si="9"/>
        <v/>
      </c>
      <c r="E107" s="32"/>
      <c r="F107" s="31"/>
      <c r="G107" s="43" t="str">
        <f t="shared" si="10"/>
        <v/>
      </c>
      <c r="H107" s="30" t="s">
        <v>61</v>
      </c>
      <c r="I107" s="41"/>
      <c r="J107" s="33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7" s="33" t="str">
        <f t="shared" ca="1" si="11"/>
        <v>—</v>
      </c>
      <c r="L107" s="22"/>
    </row>
    <row r="108" spans="1:12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IF(A108="","",IFERROR(VLOOKUP(A108,DB_Customers!$A:$N,14,0),""))</f>
        <v/>
      </c>
      <c r="D108" s="42" t="str">
        <f t="shared" ca="1" si="9"/>
        <v/>
      </c>
      <c r="E108" s="32"/>
      <c r="F108" s="31"/>
      <c r="G108" s="43" t="str">
        <f t="shared" si="10"/>
        <v/>
      </c>
      <c r="H108" s="30" t="s">
        <v>61</v>
      </c>
      <c r="I108" s="41"/>
      <c r="J108" s="33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08" s="33" t="str">
        <f t="shared" ca="1" si="11"/>
        <v>—</v>
      </c>
      <c r="L108" s="50"/>
    </row>
    <row r="109" spans="1:12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IF(A109="","",IFERROR(VLOOKUP(A109,DB_Customers!$A:$N,14,0),""))</f>
        <v/>
      </c>
      <c r="D109" s="42" t="str">
        <f t="shared" ca="1" si="9"/>
        <v/>
      </c>
      <c r="E109" s="32"/>
      <c r="F109" s="31"/>
      <c r="G109" s="43" t="str">
        <f t="shared" si="10"/>
        <v/>
      </c>
      <c r="H109" s="30" t="s">
        <v>61</v>
      </c>
      <c r="I109" s="41"/>
      <c r="J109" s="33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09" s="33" t="str">
        <f t="shared" ca="1" si="11"/>
        <v>—</v>
      </c>
      <c r="L109" s="22"/>
    </row>
    <row r="110" spans="1:12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IF(A110="","",IFERROR(VLOOKUP(A110,DB_Customers!$A:$N,14,0),""))</f>
        <v/>
      </c>
      <c r="D110" s="42" t="str">
        <f t="shared" ca="1" si="9"/>
        <v/>
      </c>
      <c r="E110" s="32"/>
      <c r="F110" s="31"/>
      <c r="G110" s="43" t="str">
        <f t="shared" si="10"/>
        <v/>
      </c>
      <c r="H110" s="30" t="s">
        <v>61</v>
      </c>
      <c r="I110" s="41"/>
      <c r="J110" s="33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0" s="33" t="str">
        <f t="shared" ca="1" si="11"/>
        <v>—</v>
      </c>
      <c r="L110" s="50"/>
    </row>
    <row r="111" spans="1:12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IF(A111="","",IFERROR(VLOOKUP(A111,DB_Customers!$A:$N,14,0),""))</f>
        <v/>
      </c>
      <c r="D111" s="42" t="str">
        <f t="shared" ca="1" si="9"/>
        <v/>
      </c>
      <c r="E111" s="32"/>
      <c r="F111" s="31"/>
      <c r="G111" s="43" t="str">
        <f t="shared" si="10"/>
        <v/>
      </c>
      <c r="H111" s="30" t="s">
        <v>61</v>
      </c>
      <c r="I111" s="41"/>
      <c r="J111" s="33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1" s="33" t="str">
        <f t="shared" ca="1" si="11"/>
        <v>—</v>
      </c>
      <c r="L111" s="22"/>
    </row>
    <row r="112" spans="1:12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IF(A112="","",IFERROR(VLOOKUP(A112,DB_Customers!$A:$N,14,0),""))</f>
        <v/>
      </c>
      <c r="D112" s="42" t="str">
        <f t="shared" ca="1" si="9"/>
        <v/>
      </c>
      <c r="E112" s="32"/>
      <c r="F112" s="31"/>
      <c r="G112" s="43" t="str">
        <f t="shared" si="10"/>
        <v/>
      </c>
      <c r="H112" s="30" t="s">
        <v>61</v>
      </c>
      <c r="I112" s="41"/>
      <c r="J112" s="33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2" s="33" t="str">
        <f t="shared" ca="1" si="11"/>
        <v>—</v>
      </c>
      <c r="L112" s="50"/>
    </row>
    <row r="113" spans="1:12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IF(A113="","",IFERROR(VLOOKUP(A113,DB_Customers!$A:$N,14,0),""))</f>
        <v/>
      </c>
      <c r="D113" s="42" t="str">
        <f t="shared" ca="1" si="9"/>
        <v/>
      </c>
      <c r="E113" s="32"/>
      <c r="F113" s="31"/>
      <c r="G113" s="43" t="str">
        <f t="shared" si="10"/>
        <v/>
      </c>
      <c r="H113" s="30" t="s">
        <v>61</v>
      </c>
      <c r="I113" s="41"/>
      <c r="J113" s="33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3" s="33" t="str">
        <f t="shared" ca="1" si="11"/>
        <v>—</v>
      </c>
      <c r="L113" s="22"/>
    </row>
    <row r="114" spans="1:12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IF(A114="","",IFERROR(VLOOKUP(A114,DB_Customers!$A:$N,14,0),""))</f>
        <v/>
      </c>
      <c r="D114" s="42" t="str">
        <f t="shared" ca="1" si="9"/>
        <v/>
      </c>
      <c r="E114" s="32"/>
      <c r="F114" s="31"/>
      <c r="G114" s="43" t="str">
        <f t="shared" si="10"/>
        <v/>
      </c>
      <c r="H114" s="30" t="s">
        <v>61</v>
      </c>
      <c r="I114" s="41"/>
      <c r="J114" s="33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4" s="33" t="str">
        <f t="shared" ca="1" si="11"/>
        <v>—</v>
      </c>
      <c r="L114" s="50"/>
    </row>
    <row r="115" spans="1:12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IF(A115="","",IFERROR(VLOOKUP(A115,DB_Customers!$A:$N,14,0),""))</f>
        <v/>
      </c>
      <c r="D115" s="42" t="str">
        <f t="shared" ca="1" si="9"/>
        <v/>
      </c>
      <c r="E115" s="32"/>
      <c r="F115" s="31"/>
      <c r="G115" s="43" t="str">
        <f t="shared" si="10"/>
        <v/>
      </c>
      <c r="H115" s="30" t="s">
        <v>61</v>
      </c>
      <c r="I115" s="41"/>
      <c r="J115" s="33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5" s="33" t="str">
        <f t="shared" ca="1" si="11"/>
        <v>—</v>
      </c>
      <c r="L115" s="22"/>
    </row>
    <row r="116" spans="1:12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IF(A116="","",IFERROR(VLOOKUP(A116,DB_Customers!$A:$N,14,0),""))</f>
        <v/>
      </c>
      <c r="D116" s="42" t="str">
        <f t="shared" ca="1" si="9"/>
        <v/>
      </c>
      <c r="E116" s="32"/>
      <c r="F116" s="31"/>
      <c r="G116" s="43" t="str">
        <f t="shared" si="10"/>
        <v/>
      </c>
      <c r="H116" s="30" t="s">
        <v>61</v>
      </c>
      <c r="I116" s="41"/>
      <c r="J116" s="33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6" s="33" t="str">
        <f t="shared" ca="1" si="11"/>
        <v>—</v>
      </c>
      <c r="L116" s="50"/>
    </row>
    <row r="117" spans="1:12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IF(A117="","",IFERROR(VLOOKUP(A117,DB_Customers!$A:$N,14,0),""))</f>
        <v/>
      </c>
      <c r="D117" s="42" t="str">
        <f t="shared" ca="1" si="9"/>
        <v/>
      </c>
      <c r="E117" s="32"/>
      <c r="F117" s="31"/>
      <c r="G117" s="43" t="str">
        <f t="shared" si="10"/>
        <v/>
      </c>
      <c r="H117" s="30" t="s">
        <v>61</v>
      </c>
      <c r="I117" s="41"/>
      <c r="J117" s="33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7" s="33" t="str">
        <f t="shared" ca="1" si="11"/>
        <v>—</v>
      </c>
      <c r="L117" s="22"/>
    </row>
    <row r="118" spans="1:12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IF(A118="","",IFERROR(VLOOKUP(A118,DB_Customers!$A:$N,14,0),""))</f>
        <v/>
      </c>
      <c r="D118" s="42" t="str">
        <f t="shared" ca="1" si="9"/>
        <v/>
      </c>
      <c r="E118" s="32"/>
      <c r="F118" s="31"/>
      <c r="G118" s="43" t="str">
        <f t="shared" si="10"/>
        <v/>
      </c>
      <c r="H118" s="30" t="s">
        <v>61</v>
      </c>
      <c r="I118" s="41"/>
      <c r="J118" s="33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18" s="33" t="str">
        <f t="shared" ca="1" si="11"/>
        <v>—</v>
      </c>
      <c r="L118" s="50"/>
    </row>
    <row r="119" spans="1:12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IF(A119="","",IFERROR(VLOOKUP(A119,DB_Customers!$A:$N,14,0),""))</f>
        <v/>
      </c>
      <c r="D119" s="42" t="str">
        <f t="shared" ca="1" si="9"/>
        <v/>
      </c>
      <c r="E119" s="32"/>
      <c r="F119" s="31"/>
      <c r="G119" s="43" t="str">
        <f t="shared" si="10"/>
        <v/>
      </c>
      <c r="H119" s="30" t="s">
        <v>61</v>
      </c>
      <c r="I119" s="41"/>
      <c r="J119" s="33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19" s="33" t="str">
        <f t="shared" ca="1" si="11"/>
        <v>—</v>
      </c>
      <c r="L119" s="22"/>
    </row>
    <row r="120" spans="1:12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IF(A120="","",IFERROR(VLOOKUP(A120,DB_Customers!$A:$N,14,0),""))</f>
        <v/>
      </c>
      <c r="D120" s="42" t="str">
        <f t="shared" ca="1" si="9"/>
        <v/>
      </c>
      <c r="E120" s="32"/>
      <c r="F120" s="31"/>
      <c r="G120" s="43" t="str">
        <f t="shared" si="10"/>
        <v/>
      </c>
      <c r="H120" s="30" t="s">
        <v>61</v>
      </c>
      <c r="I120" s="41"/>
      <c r="J120" s="33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0" s="33" t="str">
        <f t="shared" ca="1" si="11"/>
        <v>—</v>
      </c>
      <c r="L120" s="50"/>
    </row>
    <row r="121" spans="1:12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IF(A121="","",IFERROR(VLOOKUP(A121,DB_Customers!$A:$N,14,0),""))</f>
        <v/>
      </c>
      <c r="D121" s="42" t="str">
        <f t="shared" ca="1" si="9"/>
        <v/>
      </c>
      <c r="E121" s="32"/>
      <c r="F121" s="31"/>
      <c r="G121" s="43" t="str">
        <f t="shared" si="10"/>
        <v/>
      </c>
      <c r="H121" s="30" t="s">
        <v>61</v>
      </c>
      <c r="I121" s="41"/>
      <c r="J121" s="33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1" s="33" t="str">
        <f t="shared" ca="1" si="11"/>
        <v>—</v>
      </c>
      <c r="L121" s="22"/>
    </row>
    <row r="122" spans="1:12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IF(A122="","",IFERROR(VLOOKUP(A122,DB_Customers!$A:$N,14,0),""))</f>
        <v/>
      </c>
      <c r="D122" s="42" t="str">
        <f t="shared" ca="1" si="9"/>
        <v/>
      </c>
      <c r="E122" s="32"/>
      <c r="F122" s="31"/>
      <c r="G122" s="43" t="str">
        <f t="shared" si="10"/>
        <v/>
      </c>
      <c r="H122" s="30" t="s">
        <v>61</v>
      </c>
      <c r="I122" s="41"/>
      <c r="J122" s="33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2" s="33" t="str">
        <f t="shared" ca="1" si="11"/>
        <v>—</v>
      </c>
      <c r="L122" s="50"/>
    </row>
    <row r="123" spans="1:12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IF(A123="","",IFERROR(VLOOKUP(A123,DB_Customers!$A:$N,14,0),""))</f>
        <v/>
      </c>
      <c r="D123" s="42" t="str">
        <f t="shared" ca="1" si="9"/>
        <v/>
      </c>
      <c r="E123" s="32"/>
      <c r="F123" s="31"/>
      <c r="G123" s="43" t="str">
        <f t="shared" si="10"/>
        <v/>
      </c>
      <c r="H123" s="30" t="s">
        <v>61</v>
      </c>
      <c r="I123" s="41"/>
      <c r="J123" s="33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3" s="33" t="str">
        <f t="shared" ca="1" si="11"/>
        <v>—</v>
      </c>
      <c r="L123" s="22"/>
    </row>
    <row r="124" spans="1:12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IF(A124="","",IFERROR(VLOOKUP(A124,DB_Customers!$A:$N,14,0),""))</f>
        <v/>
      </c>
      <c r="D124" s="42" t="str">
        <f t="shared" ca="1" si="9"/>
        <v/>
      </c>
      <c r="E124" s="32"/>
      <c r="F124" s="31"/>
      <c r="G124" s="43" t="str">
        <f t="shared" si="10"/>
        <v/>
      </c>
      <c r="H124" s="30" t="s">
        <v>61</v>
      </c>
      <c r="I124" s="41"/>
      <c r="J124" s="33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4" s="33" t="str">
        <f t="shared" ca="1" si="11"/>
        <v>—</v>
      </c>
      <c r="L124" s="50"/>
    </row>
    <row r="125" spans="1:12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IF(A125="","",IFERROR(VLOOKUP(A125,DB_Customers!$A:$N,14,0),""))</f>
        <v/>
      </c>
      <c r="D125" s="42" t="str">
        <f t="shared" ca="1" si="9"/>
        <v/>
      </c>
      <c r="E125" s="32"/>
      <c r="F125" s="31"/>
      <c r="G125" s="43" t="str">
        <f t="shared" si="10"/>
        <v/>
      </c>
      <c r="H125" s="30" t="s">
        <v>61</v>
      </c>
      <c r="I125" s="41"/>
      <c r="J125" s="33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5" s="33" t="str">
        <f t="shared" ca="1" si="11"/>
        <v>—</v>
      </c>
      <c r="L125" s="22"/>
    </row>
    <row r="126" spans="1:12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IF(A126="","",IFERROR(VLOOKUP(A126,DB_Customers!$A:$N,14,0),""))</f>
        <v/>
      </c>
      <c r="D126" s="42" t="str">
        <f t="shared" ca="1" si="9"/>
        <v/>
      </c>
      <c r="E126" s="32"/>
      <c r="F126" s="31"/>
      <c r="G126" s="43" t="str">
        <f t="shared" si="10"/>
        <v/>
      </c>
      <c r="H126" s="30" t="s">
        <v>61</v>
      </c>
      <c r="I126" s="41"/>
      <c r="J126" s="33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6" s="33" t="str">
        <f t="shared" ca="1" si="11"/>
        <v>—</v>
      </c>
      <c r="L126" s="50"/>
    </row>
    <row r="127" spans="1:12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IF(A127="","",IFERROR(VLOOKUP(A127,DB_Customers!$A:$N,14,0),""))</f>
        <v/>
      </c>
      <c r="D127" s="42" t="str">
        <f t="shared" ca="1" si="9"/>
        <v/>
      </c>
      <c r="E127" s="32"/>
      <c r="F127" s="31"/>
      <c r="G127" s="43" t="str">
        <f t="shared" si="10"/>
        <v/>
      </c>
      <c r="H127" s="30" t="s">
        <v>61</v>
      </c>
      <c r="I127" s="41"/>
      <c r="J127" s="33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7" s="33" t="str">
        <f t="shared" ca="1" si="11"/>
        <v>—</v>
      </c>
      <c r="L127" s="22"/>
    </row>
    <row r="128" spans="1:12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IF(A128="","",IFERROR(VLOOKUP(A128,DB_Customers!$A:$N,14,0),""))</f>
        <v/>
      </c>
      <c r="D128" s="42" t="str">
        <f t="shared" ca="1" si="9"/>
        <v/>
      </c>
      <c r="E128" s="32"/>
      <c r="F128" s="31"/>
      <c r="G128" s="43" t="str">
        <f t="shared" si="10"/>
        <v/>
      </c>
      <c r="H128" s="30" t="s">
        <v>61</v>
      </c>
      <c r="I128" s="41"/>
      <c r="J128" s="33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28" s="33" t="str">
        <f t="shared" ca="1" si="11"/>
        <v>—</v>
      </c>
      <c r="L128" s="50"/>
    </row>
    <row r="129" spans="1:12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IF(A129="","",IFERROR(VLOOKUP(A129,DB_Customers!$A:$N,14,0),""))</f>
        <v/>
      </c>
      <c r="D129" s="42" t="str">
        <f t="shared" ca="1" si="9"/>
        <v/>
      </c>
      <c r="E129" s="32"/>
      <c r="F129" s="31"/>
      <c r="G129" s="43" t="str">
        <f t="shared" si="10"/>
        <v/>
      </c>
      <c r="H129" s="30" t="s">
        <v>61</v>
      </c>
      <c r="I129" s="41"/>
      <c r="J129" s="33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29" s="33" t="str">
        <f t="shared" ca="1" si="11"/>
        <v>—</v>
      </c>
      <c r="L129" s="22"/>
    </row>
    <row r="130" spans="1:12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IF(A130="","",IFERROR(VLOOKUP(A130,DB_Customers!$A:$N,14,0),""))</f>
        <v/>
      </c>
      <c r="D130" s="42" t="str">
        <f t="shared" ca="1" si="9"/>
        <v/>
      </c>
      <c r="E130" s="32"/>
      <c r="F130" s="31"/>
      <c r="G130" s="43" t="str">
        <f t="shared" si="10"/>
        <v/>
      </c>
      <c r="H130" s="30" t="s">
        <v>61</v>
      </c>
      <c r="I130" s="41"/>
      <c r="J130" s="33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0" s="33" t="str">
        <f t="shared" ca="1" si="11"/>
        <v>—</v>
      </c>
      <c r="L130" s="50"/>
    </row>
    <row r="131" spans="1:12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IF(A131="","",IFERROR(VLOOKUP(A131,DB_Customers!$A:$N,14,0),""))</f>
        <v/>
      </c>
      <c r="D131" s="42" t="str">
        <f t="shared" ca="1" si="9"/>
        <v/>
      </c>
      <c r="E131" s="32"/>
      <c r="F131" s="31"/>
      <c r="G131" s="43" t="str">
        <f t="shared" si="10"/>
        <v/>
      </c>
      <c r="H131" s="30" t="s">
        <v>61</v>
      </c>
      <c r="I131" s="41"/>
      <c r="J131" s="33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1" s="33" t="str">
        <f t="shared" ca="1" si="11"/>
        <v>—</v>
      </c>
      <c r="L131" s="22"/>
    </row>
    <row r="132" spans="1:12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IF(A132="","",IFERROR(VLOOKUP(A132,DB_Customers!$A:$N,14,0),""))</f>
        <v/>
      </c>
      <c r="D132" s="42" t="str">
        <f t="shared" ca="1" si="9"/>
        <v/>
      </c>
      <c r="E132" s="32"/>
      <c r="F132" s="31"/>
      <c r="G132" s="43" t="str">
        <f t="shared" si="10"/>
        <v/>
      </c>
      <c r="H132" s="30" t="s">
        <v>61</v>
      </c>
      <c r="I132" s="41"/>
      <c r="J132" s="33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2" s="33" t="str">
        <f t="shared" ca="1" si="11"/>
        <v>—</v>
      </c>
      <c r="L132" s="50"/>
    </row>
    <row r="133" spans="1:12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IF(A133="","",IFERROR(VLOOKUP(A133,DB_Customers!$A:$N,14,0),""))</f>
        <v/>
      </c>
      <c r="D133" s="42" t="str">
        <f t="shared" ca="1" si="9"/>
        <v/>
      </c>
      <c r="E133" s="32"/>
      <c r="F133" s="31"/>
      <c r="G133" s="43" t="str">
        <f t="shared" si="10"/>
        <v/>
      </c>
      <c r="H133" s="30" t="s">
        <v>61</v>
      </c>
      <c r="I133" s="41"/>
      <c r="J133" s="33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3" s="33" t="str">
        <f t="shared" ca="1" si="11"/>
        <v>—</v>
      </c>
      <c r="L133" s="22"/>
    </row>
    <row r="134" spans="1:12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IF(A134="","",IFERROR(VLOOKUP(A134,DB_Customers!$A:$N,14,0),""))</f>
        <v/>
      </c>
      <c r="D134" s="42" t="str">
        <f t="shared" ca="1" si="9"/>
        <v/>
      </c>
      <c r="E134" s="32"/>
      <c r="F134" s="31"/>
      <c r="G134" s="43" t="str">
        <f t="shared" si="10"/>
        <v/>
      </c>
      <c r="H134" s="30" t="s">
        <v>61</v>
      </c>
      <c r="I134" s="41"/>
      <c r="J134" s="33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4" s="33" t="str">
        <f t="shared" ca="1" si="11"/>
        <v>—</v>
      </c>
      <c r="L134" s="50"/>
    </row>
    <row r="135" spans="1:12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IF(A135="","",IFERROR(VLOOKUP(A135,DB_Customers!$A:$N,14,0),""))</f>
        <v/>
      </c>
      <c r="D135" s="42" t="str">
        <f t="shared" ca="1" si="9"/>
        <v/>
      </c>
      <c r="E135" s="32"/>
      <c r="F135" s="31"/>
      <c r="G135" s="43" t="str">
        <f t="shared" si="10"/>
        <v/>
      </c>
      <c r="H135" s="30" t="s">
        <v>61</v>
      </c>
      <c r="I135" s="41"/>
      <c r="J135" s="33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5" s="33" t="str">
        <f t="shared" ca="1" si="11"/>
        <v>—</v>
      </c>
      <c r="L135" s="22"/>
    </row>
    <row r="136" spans="1:12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IF(A136="","",IFERROR(VLOOKUP(A136,DB_Customers!$A:$N,14,0),""))</f>
        <v/>
      </c>
      <c r="D136" s="42" t="str">
        <f t="shared" ca="1" si="9"/>
        <v/>
      </c>
      <c r="E136" s="32"/>
      <c r="F136" s="31"/>
      <c r="G136" s="43" t="str">
        <f t="shared" si="10"/>
        <v/>
      </c>
      <c r="H136" s="30" t="s">
        <v>61</v>
      </c>
      <c r="I136" s="41"/>
      <c r="J136" s="33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6" s="33" t="str">
        <f t="shared" ca="1" si="11"/>
        <v>—</v>
      </c>
      <c r="L136" s="50"/>
    </row>
    <row r="137" spans="1:12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IF(A137="","",IFERROR(VLOOKUP(A137,DB_Customers!$A:$N,14,0),""))</f>
        <v/>
      </c>
      <c r="D137" s="42" t="str">
        <f t="shared" ref="D137:D168" ca="1" si="12">IF(A137="","",TODAY())</f>
        <v/>
      </c>
      <c r="E137" s="32"/>
      <c r="F137" s="31"/>
      <c r="G137" s="43" t="str">
        <f t="shared" ref="G137:G168" si="13">IFERROR(IF(OR(A137="",E137=""),"",C137-E137),"")</f>
        <v/>
      </c>
      <c r="H137" s="30" t="s">
        <v>61</v>
      </c>
      <c r="I137" s="41"/>
      <c r="J137" s="33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7" s="33" t="str">
        <f t="shared" ref="K137:K168" ca="1" si="14">IF(J137="✅ Successful",TEXT(TODAY(),"YYYY-MM-DD")&amp;" Auto","—")</f>
        <v>—</v>
      </c>
      <c r="L137" s="22"/>
    </row>
    <row r="138" spans="1:12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IF(A138="","",IFERROR(VLOOKUP(A138,DB_Customers!$A:$N,14,0),""))</f>
        <v/>
      </c>
      <c r="D138" s="42" t="str">
        <f t="shared" ca="1" si="12"/>
        <v/>
      </c>
      <c r="E138" s="32"/>
      <c r="F138" s="31"/>
      <c r="G138" s="43" t="str">
        <f t="shared" si="13"/>
        <v/>
      </c>
      <c r="H138" s="30" t="s">
        <v>61</v>
      </c>
      <c r="I138" s="41"/>
      <c r="J138" s="33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38" s="33" t="str">
        <f t="shared" ca="1" si="14"/>
        <v>—</v>
      </c>
      <c r="L138" s="50"/>
    </row>
    <row r="139" spans="1:12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IF(A139="","",IFERROR(VLOOKUP(A139,DB_Customers!$A:$N,14,0),""))</f>
        <v/>
      </c>
      <c r="D139" s="42" t="str">
        <f t="shared" ca="1" si="12"/>
        <v/>
      </c>
      <c r="E139" s="32"/>
      <c r="F139" s="31"/>
      <c r="G139" s="43" t="str">
        <f t="shared" si="13"/>
        <v/>
      </c>
      <c r="H139" s="30" t="s">
        <v>61</v>
      </c>
      <c r="I139" s="41"/>
      <c r="J139" s="33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39" s="33" t="str">
        <f t="shared" ca="1" si="14"/>
        <v>—</v>
      </c>
      <c r="L139" s="22"/>
    </row>
    <row r="140" spans="1:12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IF(A140="","",IFERROR(VLOOKUP(A140,DB_Customers!$A:$N,14,0),""))</f>
        <v/>
      </c>
      <c r="D140" s="42" t="str">
        <f t="shared" ca="1" si="12"/>
        <v/>
      </c>
      <c r="E140" s="32"/>
      <c r="F140" s="31"/>
      <c r="G140" s="43" t="str">
        <f t="shared" si="13"/>
        <v/>
      </c>
      <c r="H140" s="30" t="s">
        <v>61</v>
      </c>
      <c r="I140" s="41"/>
      <c r="J140" s="33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0" s="33" t="str">
        <f t="shared" ca="1" si="14"/>
        <v>—</v>
      </c>
      <c r="L140" s="50"/>
    </row>
    <row r="141" spans="1:12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IF(A141="","",IFERROR(VLOOKUP(A141,DB_Customers!$A:$N,14,0),""))</f>
        <v/>
      </c>
      <c r="D141" s="42" t="str">
        <f t="shared" ca="1" si="12"/>
        <v/>
      </c>
      <c r="E141" s="32"/>
      <c r="F141" s="31"/>
      <c r="G141" s="43" t="str">
        <f t="shared" si="13"/>
        <v/>
      </c>
      <c r="H141" s="30" t="s">
        <v>61</v>
      </c>
      <c r="I141" s="41"/>
      <c r="J141" s="33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1" s="33" t="str">
        <f t="shared" ca="1" si="14"/>
        <v>—</v>
      </c>
      <c r="L141" s="22"/>
    </row>
    <row r="142" spans="1:12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IF(A142="","",IFERROR(VLOOKUP(A142,DB_Customers!$A:$N,14,0),""))</f>
        <v/>
      </c>
      <c r="D142" s="42" t="str">
        <f t="shared" ca="1" si="12"/>
        <v/>
      </c>
      <c r="E142" s="32"/>
      <c r="F142" s="31"/>
      <c r="G142" s="43" t="str">
        <f t="shared" si="13"/>
        <v/>
      </c>
      <c r="H142" s="30" t="s">
        <v>61</v>
      </c>
      <c r="I142" s="41"/>
      <c r="J142" s="33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2" s="33" t="str">
        <f t="shared" ca="1" si="14"/>
        <v>—</v>
      </c>
      <c r="L142" s="50"/>
    </row>
    <row r="143" spans="1:12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IF(A143="","",IFERROR(VLOOKUP(A143,DB_Customers!$A:$N,14,0),""))</f>
        <v/>
      </c>
      <c r="D143" s="42" t="str">
        <f t="shared" ca="1" si="12"/>
        <v/>
      </c>
      <c r="E143" s="32"/>
      <c r="F143" s="31"/>
      <c r="G143" s="43" t="str">
        <f t="shared" si="13"/>
        <v/>
      </c>
      <c r="H143" s="30" t="s">
        <v>61</v>
      </c>
      <c r="I143" s="41"/>
      <c r="J143" s="33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3" s="33" t="str">
        <f t="shared" ca="1" si="14"/>
        <v>—</v>
      </c>
      <c r="L143" s="22"/>
    </row>
    <row r="144" spans="1:12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IF(A144="","",IFERROR(VLOOKUP(A144,DB_Customers!$A:$N,14,0),""))</f>
        <v/>
      </c>
      <c r="D144" s="42" t="str">
        <f t="shared" ca="1" si="12"/>
        <v/>
      </c>
      <c r="E144" s="32"/>
      <c r="F144" s="31"/>
      <c r="G144" s="43" t="str">
        <f t="shared" si="13"/>
        <v/>
      </c>
      <c r="H144" s="30" t="s">
        <v>61</v>
      </c>
      <c r="I144" s="41"/>
      <c r="J144" s="33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4" s="33" t="str">
        <f t="shared" ca="1" si="14"/>
        <v>—</v>
      </c>
      <c r="L144" s="50"/>
    </row>
    <row r="145" spans="1:12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IF(A145="","",IFERROR(VLOOKUP(A145,DB_Customers!$A:$N,14,0),""))</f>
        <v/>
      </c>
      <c r="D145" s="42" t="str">
        <f t="shared" ca="1" si="12"/>
        <v/>
      </c>
      <c r="E145" s="32"/>
      <c r="F145" s="31"/>
      <c r="G145" s="43" t="str">
        <f t="shared" si="13"/>
        <v/>
      </c>
      <c r="H145" s="30" t="s">
        <v>61</v>
      </c>
      <c r="I145" s="41"/>
      <c r="J145" s="33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5" s="33" t="str">
        <f t="shared" ca="1" si="14"/>
        <v>—</v>
      </c>
      <c r="L145" s="22"/>
    </row>
    <row r="146" spans="1:12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IF(A146="","",IFERROR(VLOOKUP(A146,DB_Customers!$A:$N,14,0),""))</f>
        <v/>
      </c>
      <c r="D146" s="42" t="str">
        <f t="shared" ca="1" si="12"/>
        <v/>
      </c>
      <c r="E146" s="32"/>
      <c r="F146" s="31"/>
      <c r="G146" s="43" t="str">
        <f t="shared" si="13"/>
        <v/>
      </c>
      <c r="H146" s="30" t="s">
        <v>61</v>
      </c>
      <c r="I146" s="41"/>
      <c r="J146" s="33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6" s="33" t="str">
        <f t="shared" ca="1" si="14"/>
        <v>—</v>
      </c>
      <c r="L146" s="50"/>
    </row>
    <row r="147" spans="1:12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IF(A147="","",IFERROR(VLOOKUP(A147,DB_Customers!$A:$N,14,0),""))</f>
        <v/>
      </c>
      <c r="D147" s="42" t="str">
        <f t="shared" ca="1" si="12"/>
        <v/>
      </c>
      <c r="E147" s="32"/>
      <c r="F147" s="31"/>
      <c r="G147" s="43" t="str">
        <f t="shared" si="13"/>
        <v/>
      </c>
      <c r="H147" s="30" t="s">
        <v>61</v>
      </c>
      <c r="I147" s="41"/>
      <c r="J147" s="33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7" s="33" t="str">
        <f t="shared" ca="1" si="14"/>
        <v>—</v>
      </c>
      <c r="L147" s="22"/>
    </row>
    <row r="148" spans="1:12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IF(A148="","",IFERROR(VLOOKUP(A148,DB_Customers!$A:$N,14,0),""))</f>
        <v/>
      </c>
      <c r="D148" s="42" t="str">
        <f t="shared" ca="1" si="12"/>
        <v/>
      </c>
      <c r="E148" s="32"/>
      <c r="F148" s="31"/>
      <c r="G148" s="43" t="str">
        <f t="shared" si="13"/>
        <v/>
      </c>
      <c r="H148" s="30" t="s">
        <v>61</v>
      </c>
      <c r="I148" s="41"/>
      <c r="J148" s="33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48" s="33" t="str">
        <f t="shared" ca="1" si="14"/>
        <v>—</v>
      </c>
      <c r="L148" s="50"/>
    </row>
    <row r="149" spans="1:12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IF(A149="","",IFERROR(VLOOKUP(A149,DB_Customers!$A:$N,14,0),""))</f>
        <v/>
      </c>
      <c r="D149" s="42" t="str">
        <f t="shared" ca="1" si="12"/>
        <v/>
      </c>
      <c r="E149" s="32"/>
      <c r="F149" s="31"/>
      <c r="G149" s="43" t="str">
        <f t="shared" si="13"/>
        <v/>
      </c>
      <c r="H149" s="30" t="s">
        <v>61</v>
      </c>
      <c r="I149" s="41"/>
      <c r="J149" s="33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49" s="33" t="str">
        <f t="shared" ca="1" si="14"/>
        <v>—</v>
      </c>
      <c r="L149" s="22"/>
    </row>
    <row r="150" spans="1:12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IF(A150="","",IFERROR(VLOOKUP(A150,DB_Customers!$A:$N,14,0),""))</f>
        <v/>
      </c>
      <c r="D150" s="42" t="str">
        <f t="shared" ca="1" si="12"/>
        <v/>
      </c>
      <c r="E150" s="32"/>
      <c r="F150" s="31"/>
      <c r="G150" s="43" t="str">
        <f t="shared" si="13"/>
        <v/>
      </c>
      <c r="H150" s="30" t="s">
        <v>61</v>
      </c>
      <c r="I150" s="41"/>
      <c r="J150" s="33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0" s="33" t="str">
        <f t="shared" ca="1" si="14"/>
        <v>—</v>
      </c>
      <c r="L150" s="50"/>
    </row>
    <row r="151" spans="1:12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IF(A151="","",IFERROR(VLOOKUP(A151,DB_Customers!$A:$N,14,0),""))</f>
        <v/>
      </c>
      <c r="D151" s="42" t="str">
        <f t="shared" ca="1" si="12"/>
        <v/>
      </c>
      <c r="E151" s="32"/>
      <c r="F151" s="31"/>
      <c r="G151" s="43" t="str">
        <f t="shared" si="13"/>
        <v/>
      </c>
      <c r="H151" s="30" t="s">
        <v>61</v>
      </c>
      <c r="I151" s="41"/>
      <c r="J151" s="33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1" s="33" t="str">
        <f t="shared" ca="1" si="14"/>
        <v>—</v>
      </c>
      <c r="L151" s="22"/>
    </row>
    <row r="152" spans="1:12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IF(A152="","",IFERROR(VLOOKUP(A152,DB_Customers!$A:$N,14,0),""))</f>
        <v/>
      </c>
      <c r="D152" s="42" t="str">
        <f t="shared" ca="1" si="12"/>
        <v/>
      </c>
      <c r="E152" s="32"/>
      <c r="F152" s="31"/>
      <c r="G152" s="43" t="str">
        <f t="shared" si="13"/>
        <v/>
      </c>
      <c r="H152" s="30" t="s">
        <v>61</v>
      </c>
      <c r="I152" s="41"/>
      <c r="J152" s="33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2" s="33" t="str">
        <f t="shared" ca="1" si="14"/>
        <v>—</v>
      </c>
      <c r="L152" s="50"/>
    </row>
    <row r="153" spans="1:12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IF(A153="","",IFERROR(VLOOKUP(A153,DB_Customers!$A:$N,14,0),""))</f>
        <v/>
      </c>
      <c r="D153" s="42" t="str">
        <f t="shared" ca="1" si="12"/>
        <v/>
      </c>
      <c r="E153" s="32"/>
      <c r="F153" s="31"/>
      <c r="G153" s="43" t="str">
        <f t="shared" si="13"/>
        <v/>
      </c>
      <c r="H153" s="30" t="s">
        <v>61</v>
      </c>
      <c r="I153" s="41"/>
      <c r="J153" s="33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3" s="33" t="str">
        <f t="shared" ca="1" si="14"/>
        <v>—</v>
      </c>
      <c r="L153" s="22"/>
    </row>
    <row r="154" spans="1:12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IF(A154="","",IFERROR(VLOOKUP(A154,DB_Customers!$A:$N,14,0),""))</f>
        <v/>
      </c>
      <c r="D154" s="42" t="str">
        <f t="shared" ca="1" si="12"/>
        <v/>
      </c>
      <c r="E154" s="32"/>
      <c r="F154" s="31"/>
      <c r="G154" s="43" t="str">
        <f t="shared" si="13"/>
        <v/>
      </c>
      <c r="H154" s="30" t="s">
        <v>61</v>
      </c>
      <c r="I154" s="41"/>
      <c r="J154" s="33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4" s="33" t="str">
        <f t="shared" ca="1" si="14"/>
        <v>—</v>
      </c>
      <c r="L154" s="50"/>
    </row>
    <row r="155" spans="1:12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IF(A155="","",IFERROR(VLOOKUP(A155,DB_Customers!$A:$N,14,0),""))</f>
        <v/>
      </c>
      <c r="D155" s="42" t="str">
        <f t="shared" ca="1" si="12"/>
        <v/>
      </c>
      <c r="E155" s="32"/>
      <c r="F155" s="31"/>
      <c r="G155" s="43" t="str">
        <f t="shared" si="13"/>
        <v/>
      </c>
      <c r="H155" s="30" t="s">
        <v>61</v>
      </c>
      <c r="I155" s="41"/>
      <c r="J155" s="33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5" s="33" t="str">
        <f t="shared" ca="1" si="14"/>
        <v>—</v>
      </c>
      <c r="L155" s="22"/>
    </row>
    <row r="156" spans="1:12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IF(A156="","",IFERROR(VLOOKUP(A156,DB_Customers!$A:$N,14,0),""))</f>
        <v/>
      </c>
      <c r="D156" s="42" t="str">
        <f t="shared" ca="1" si="12"/>
        <v/>
      </c>
      <c r="E156" s="32"/>
      <c r="F156" s="31"/>
      <c r="G156" s="43" t="str">
        <f t="shared" si="13"/>
        <v/>
      </c>
      <c r="H156" s="30" t="s">
        <v>61</v>
      </c>
      <c r="I156" s="41"/>
      <c r="J156" s="33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6" s="33" t="str">
        <f t="shared" ca="1" si="14"/>
        <v>—</v>
      </c>
      <c r="L156" s="50"/>
    </row>
    <row r="157" spans="1:12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IF(A157="","",IFERROR(VLOOKUP(A157,DB_Customers!$A:$N,14,0),""))</f>
        <v/>
      </c>
      <c r="D157" s="42" t="str">
        <f t="shared" ca="1" si="12"/>
        <v/>
      </c>
      <c r="E157" s="32"/>
      <c r="F157" s="31"/>
      <c r="G157" s="43" t="str">
        <f t="shared" si="13"/>
        <v/>
      </c>
      <c r="H157" s="30" t="s">
        <v>61</v>
      </c>
      <c r="I157" s="41"/>
      <c r="J157" s="33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7" s="33" t="str">
        <f t="shared" ca="1" si="14"/>
        <v>—</v>
      </c>
      <c r="L157" s="22"/>
    </row>
    <row r="158" spans="1:12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IF(A158="","",IFERROR(VLOOKUP(A158,DB_Customers!$A:$N,14,0),""))</f>
        <v/>
      </c>
      <c r="D158" s="42" t="str">
        <f t="shared" ca="1" si="12"/>
        <v/>
      </c>
      <c r="E158" s="32"/>
      <c r="F158" s="31"/>
      <c r="G158" s="43" t="str">
        <f t="shared" si="13"/>
        <v/>
      </c>
      <c r="H158" s="30" t="s">
        <v>61</v>
      </c>
      <c r="I158" s="41"/>
      <c r="J158" s="33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58" s="33" t="str">
        <f t="shared" ca="1" si="14"/>
        <v>—</v>
      </c>
      <c r="L158" s="50"/>
    </row>
    <row r="159" spans="1:12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IF(A159="","",IFERROR(VLOOKUP(A159,DB_Customers!$A:$N,14,0),""))</f>
        <v/>
      </c>
      <c r="D159" s="42" t="str">
        <f t="shared" ca="1" si="12"/>
        <v/>
      </c>
      <c r="E159" s="32"/>
      <c r="F159" s="31"/>
      <c r="G159" s="43" t="str">
        <f t="shared" si="13"/>
        <v/>
      </c>
      <c r="H159" s="30" t="s">
        <v>61</v>
      </c>
      <c r="I159" s="41"/>
      <c r="J159" s="33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59" s="33" t="str">
        <f t="shared" ca="1" si="14"/>
        <v>—</v>
      </c>
      <c r="L159" s="22"/>
    </row>
    <row r="160" spans="1:12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IF(A160="","",IFERROR(VLOOKUP(A160,DB_Customers!$A:$N,14,0),""))</f>
        <v/>
      </c>
      <c r="D160" s="42" t="str">
        <f t="shared" ca="1" si="12"/>
        <v/>
      </c>
      <c r="E160" s="32"/>
      <c r="F160" s="31"/>
      <c r="G160" s="43" t="str">
        <f t="shared" si="13"/>
        <v/>
      </c>
      <c r="H160" s="30" t="s">
        <v>61</v>
      </c>
      <c r="I160" s="41"/>
      <c r="J160" s="33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0" s="33" t="str">
        <f t="shared" ca="1" si="14"/>
        <v>—</v>
      </c>
      <c r="L160" s="50"/>
    </row>
    <row r="161" spans="1:12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IF(A161="","",IFERROR(VLOOKUP(A161,DB_Customers!$A:$N,14,0),""))</f>
        <v/>
      </c>
      <c r="D161" s="42" t="str">
        <f t="shared" ca="1" si="12"/>
        <v/>
      </c>
      <c r="E161" s="32"/>
      <c r="F161" s="31"/>
      <c r="G161" s="43" t="str">
        <f t="shared" si="13"/>
        <v/>
      </c>
      <c r="H161" s="30" t="s">
        <v>61</v>
      </c>
      <c r="I161" s="41"/>
      <c r="J161" s="33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1" s="33" t="str">
        <f t="shared" ca="1" si="14"/>
        <v>—</v>
      </c>
      <c r="L161" s="22"/>
    </row>
    <row r="162" spans="1:12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IF(A162="","",IFERROR(VLOOKUP(A162,DB_Customers!$A:$N,14,0),""))</f>
        <v/>
      </c>
      <c r="D162" s="42" t="str">
        <f t="shared" ca="1" si="12"/>
        <v/>
      </c>
      <c r="E162" s="32"/>
      <c r="F162" s="31"/>
      <c r="G162" s="43" t="str">
        <f t="shared" si="13"/>
        <v/>
      </c>
      <c r="H162" s="30" t="s">
        <v>61</v>
      </c>
      <c r="I162" s="41"/>
      <c r="J162" s="33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2" s="33" t="str">
        <f t="shared" ca="1" si="14"/>
        <v>—</v>
      </c>
      <c r="L162" s="50"/>
    </row>
    <row r="163" spans="1:12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IF(A163="","",IFERROR(VLOOKUP(A163,DB_Customers!$A:$N,14,0),""))</f>
        <v/>
      </c>
      <c r="D163" s="42" t="str">
        <f t="shared" ca="1" si="12"/>
        <v/>
      </c>
      <c r="E163" s="32"/>
      <c r="F163" s="31"/>
      <c r="G163" s="43" t="str">
        <f t="shared" si="13"/>
        <v/>
      </c>
      <c r="H163" s="30" t="s">
        <v>61</v>
      </c>
      <c r="I163" s="41"/>
      <c r="J163" s="33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3" s="33" t="str">
        <f t="shared" ca="1" si="14"/>
        <v>—</v>
      </c>
      <c r="L163" s="22"/>
    </row>
    <row r="164" spans="1:12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IF(A164="","",IFERROR(VLOOKUP(A164,DB_Customers!$A:$N,14,0),""))</f>
        <v/>
      </c>
      <c r="D164" s="42" t="str">
        <f t="shared" ca="1" si="12"/>
        <v/>
      </c>
      <c r="E164" s="32"/>
      <c r="F164" s="31"/>
      <c r="G164" s="43" t="str">
        <f t="shared" si="13"/>
        <v/>
      </c>
      <c r="H164" s="30" t="s">
        <v>61</v>
      </c>
      <c r="I164" s="41"/>
      <c r="J164" s="33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4" s="33" t="str">
        <f t="shared" ca="1" si="14"/>
        <v>—</v>
      </c>
      <c r="L164" s="50"/>
    </row>
    <row r="165" spans="1:12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IF(A165="","",IFERROR(VLOOKUP(A165,DB_Customers!$A:$N,14,0),""))</f>
        <v/>
      </c>
      <c r="D165" s="42" t="str">
        <f t="shared" ca="1" si="12"/>
        <v/>
      </c>
      <c r="E165" s="32"/>
      <c r="F165" s="31"/>
      <c r="G165" s="43" t="str">
        <f t="shared" si="13"/>
        <v/>
      </c>
      <c r="H165" s="30" t="s">
        <v>61</v>
      </c>
      <c r="I165" s="41"/>
      <c r="J165" s="33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5" s="33" t="str">
        <f t="shared" ca="1" si="14"/>
        <v>—</v>
      </c>
      <c r="L165" s="22"/>
    </row>
    <row r="166" spans="1:12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IF(A166="","",IFERROR(VLOOKUP(A166,DB_Customers!$A:$N,14,0),""))</f>
        <v/>
      </c>
      <c r="D166" s="42" t="str">
        <f t="shared" ca="1" si="12"/>
        <v/>
      </c>
      <c r="E166" s="32"/>
      <c r="F166" s="31"/>
      <c r="G166" s="43" t="str">
        <f t="shared" si="13"/>
        <v/>
      </c>
      <c r="H166" s="30" t="s">
        <v>61</v>
      </c>
      <c r="I166" s="41"/>
      <c r="J166" s="33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6" s="33" t="str">
        <f t="shared" ca="1" si="14"/>
        <v>—</v>
      </c>
      <c r="L166" s="50"/>
    </row>
    <row r="167" spans="1:12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IF(A167="","",IFERROR(VLOOKUP(A167,DB_Customers!$A:$N,14,0),""))</f>
        <v/>
      </c>
      <c r="D167" s="42" t="str">
        <f t="shared" ca="1" si="12"/>
        <v/>
      </c>
      <c r="E167" s="32"/>
      <c r="F167" s="31"/>
      <c r="G167" s="43" t="str">
        <f t="shared" si="13"/>
        <v/>
      </c>
      <c r="H167" s="30" t="s">
        <v>61</v>
      </c>
      <c r="I167" s="41"/>
      <c r="J167" s="33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7" s="33" t="str">
        <f t="shared" ca="1" si="14"/>
        <v>—</v>
      </c>
      <c r="L167" s="22"/>
    </row>
    <row r="168" spans="1:12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IF(A168="","",IFERROR(VLOOKUP(A168,DB_Customers!$A:$N,14,0),""))</f>
        <v/>
      </c>
      <c r="D168" s="42" t="str">
        <f t="shared" ca="1" si="12"/>
        <v/>
      </c>
      <c r="E168" s="32"/>
      <c r="F168" s="31"/>
      <c r="G168" s="43" t="str">
        <f t="shared" si="13"/>
        <v/>
      </c>
      <c r="H168" s="30" t="s">
        <v>61</v>
      </c>
      <c r="I168" s="41"/>
      <c r="J168" s="33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68" s="33" t="str">
        <f t="shared" ca="1" si="14"/>
        <v>—</v>
      </c>
      <c r="L168" s="50"/>
    </row>
    <row r="169" spans="1:12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IF(A169="","",IFERROR(VLOOKUP(A169,DB_Customers!$A:$N,14,0),""))</f>
        <v/>
      </c>
      <c r="D169" s="42" t="str">
        <f t="shared" ref="D169:D200" ca="1" si="15">IF(A169="","",TODAY())</f>
        <v/>
      </c>
      <c r="E169" s="32"/>
      <c r="F169" s="31"/>
      <c r="G169" s="43" t="str">
        <f t="shared" ref="G169:G200" si="16">IFERROR(IF(OR(A169="",E169=""),"",C169-E169),"")</f>
        <v/>
      </c>
      <c r="H169" s="30" t="s">
        <v>61</v>
      </c>
      <c r="I169" s="41"/>
      <c r="J169" s="33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69" s="33" t="str">
        <f t="shared" ref="K169:K200" ca="1" si="17">IF(J169="✅ Successful",TEXT(TODAY(),"YYYY-MM-DD")&amp;" Auto","—")</f>
        <v>—</v>
      </c>
      <c r="L169" s="22"/>
    </row>
    <row r="170" spans="1:12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IF(A170="","",IFERROR(VLOOKUP(A170,DB_Customers!$A:$N,14,0),""))</f>
        <v/>
      </c>
      <c r="D170" s="42" t="str">
        <f t="shared" ca="1" si="15"/>
        <v/>
      </c>
      <c r="E170" s="32"/>
      <c r="F170" s="31"/>
      <c r="G170" s="43" t="str">
        <f t="shared" si="16"/>
        <v/>
      </c>
      <c r="H170" s="30" t="s">
        <v>61</v>
      </c>
      <c r="I170" s="41"/>
      <c r="J170" s="33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0" s="33" t="str">
        <f t="shared" ca="1" si="17"/>
        <v>—</v>
      </c>
      <c r="L170" s="50"/>
    </row>
    <row r="171" spans="1:12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IF(A171="","",IFERROR(VLOOKUP(A171,DB_Customers!$A:$N,14,0),""))</f>
        <v/>
      </c>
      <c r="D171" s="42" t="str">
        <f t="shared" ca="1" si="15"/>
        <v/>
      </c>
      <c r="E171" s="32"/>
      <c r="F171" s="31"/>
      <c r="G171" s="43" t="str">
        <f t="shared" si="16"/>
        <v/>
      </c>
      <c r="H171" s="30" t="s">
        <v>61</v>
      </c>
      <c r="I171" s="41"/>
      <c r="J171" s="33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1" s="33" t="str">
        <f t="shared" ca="1" si="17"/>
        <v>—</v>
      </c>
      <c r="L171" s="22"/>
    </row>
    <row r="172" spans="1:12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IF(A172="","",IFERROR(VLOOKUP(A172,DB_Customers!$A:$N,14,0),""))</f>
        <v/>
      </c>
      <c r="D172" s="42" t="str">
        <f t="shared" ca="1" si="15"/>
        <v/>
      </c>
      <c r="E172" s="32"/>
      <c r="F172" s="31"/>
      <c r="G172" s="43" t="str">
        <f t="shared" si="16"/>
        <v/>
      </c>
      <c r="H172" s="30" t="s">
        <v>61</v>
      </c>
      <c r="I172" s="41"/>
      <c r="J172" s="33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2" s="33" t="str">
        <f t="shared" ca="1" si="17"/>
        <v>—</v>
      </c>
      <c r="L172" s="50"/>
    </row>
    <row r="173" spans="1:12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IF(A173="","",IFERROR(VLOOKUP(A173,DB_Customers!$A:$N,14,0),""))</f>
        <v/>
      </c>
      <c r="D173" s="42" t="str">
        <f t="shared" ca="1" si="15"/>
        <v/>
      </c>
      <c r="E173" s="32"/>
      <c r="F173" s="31"/>
      <c r="G173" s="43" t="str">
        <f t="shared" si="16"/>
        <v/>
      </c>
      <c r="H173" s="30" t="s">
        <v>61</v>
      </c>
      <c r="I173" s="41"/>
      <c r="J173" s="33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3" s="33" t="str">
        <f t="shared" ca="1" si="17"/>
        <v>—</v>
      </c>
      <c r="L173" s="22"/>
    </row>
    <row r="174" spans="1:12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IF(A174="","",IFERROR(VLOOKUP(A174,DB_Customers!$A:$N,14,0),""))</f>
        <v/>
      </c>
      <c r="D174" s="42" t="str">
        <f t="shared" ca="1" si="15"/>
        <v/>
      </c>
      <c r="E174" s="32"/>
      <c r="F174" s="31"/>
      <c r="G174" s="43" t="str">
        <f t="shared" si="16"/>
        <v/>
      </c>
      <c r="H174" s="30" t="s">
        <v>61</v>
      </c>
      <c r="I174" s="41"/>
      <c r="J174" s="33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4" s="33" t="str">
        <f t="shared" ca="1" si="17"/>
        <v>—</v>
      </c>
      <c r="L174" s="50"/>
    </row>
    <row r="175" spans="1:12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IF(A175="","",IFERROR(VLOOKUP(A175,DB_Customers!$A:$N,14,0),""))</f>
        <v/>
      </c>
      <c r="D175" s="42" t="str">
        <f t="shared" ca="1" si="15"/>
        <v/>
      </c>
      <c r="E175" s="32"/>
      <c r="F175" s="31"/>
      <c r="G175" s="43" t="str">
        <f t="shared" si="16"/>
        <v/>
      </c>
      <c r="H175" s="30" t="s">
        <v>61</v>
      </c>
      <c r="I175" s="41"/>
      <c r="J175" s="33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5" s="33" t="str">
        <f t="shared" ca="1" si="17"/>
        <v>—</v>
      </c>
      <c r="L175" s="22"/>
    </row>
    <row r="176" spans="1:12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IF(A176="","",IFERROR(VLOOKUP(A176,DB_Customers!$A:$N,14,0),""))</f>
        <v/>
      </c>
      <c r="D176" s="42" t="str">
        <f t="shared" ca="1" si="15"/>
        <v/>
      </c>
      <c r="E176" s="32"/>
      <c r="F176" s="31"/>
      <c r="G176" s="43" t="str">
        <f t="shared" si="16"/>
        <v/>
      </c>
      <c r="H176" s="30" t="s">
        <v>61</v>
      </c>
      <c r="I176" s="41"/>
      <c r="J176" s="33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6" s="33" t="str">
        <f t="shared" ca="1" si="17"/>
        <v>—</v>
      </c>
      <c r="L176" s="50"/>
    </row>
    <row r="177" spans="1:12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IF(A177="","",IFERROR(VLOOKUP(A177,DB_Customers!$A:$N,14,0),""))</f>
        <v/>
      </c>
      <c r="D177" s="42" t="str">
        <f t="shared" ca="1" si="15"/>
        <v/>
      </c>
      <c r="E177" s="32"/>
      <c r="F177" s="31"/>
      <c r="G177" s="43" t="str">
        <f t="shared" si="16"/>
        <v/>
      </c>
      <c r="H177" s="30" t="s">
        <v>61</v>
      </c>
      <c r="I177" s="41"/>
      <c r="J177" s="33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7" s="33" t="str">
        <f t="shared" ca="1" si="17"/>
        <v>—</v>
      </c>
      <c r="L177" s="22"/>
    </row>
    <row r="178" spans="1:12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IF(A178="","",IFERROR(VLOOKUP(A178,DB_Customers!$A:$N,14,0),""))</f>
        <v/>
      </c>
      <c r="D178" s="42" t="str">
        <f t="shared" ca="1" si="15"/>
        <v/>
      </c>
      <c r="E178" s="32"/>
      <c r="F178" s="31"/>
      <c r="G178" s="43" t="str">
        <f t="shared" si="16"/>
        <v/>
      </c>
      <c r="H178" s="30" t="s">
        <v>61</v>
      </c>
      <c r="I178" s="41"/>
      <c r="J178" s="33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78" s="33" t="str">
        <f t="shared" ca="1" si="17"/>
        <v>—</v>
      </c>
      <c r="L178" s="50"/>
    </row>
    <row r="179" spans="1:12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IF(A179="","",IFERROR(VLOOKUP(A179,DB_Customers!$A:$N,14,0),""))</f>
        <v/>
      </c>
      <c r="D179" s="42" t="str">
        <f t="shared" ca="1" si="15"/>
        <v/>
      </c>
      <c r="E179" s="32"/>
      <c r="F179" s="31"/>
      <c r="G179" s="43" t="str">
        <f t="shared" si="16"/>
        <v/>
      </c>
      <c r="H179" s="30" t="s">
        <v>61</v>
      </c>
      <c r="I179" s="41"/>
      <c r="J179" s="33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79" s="33" t="str">
        <f t="shared" ca="1" si="17"/>
        <v>—</v>
      </c>
      <c r="L179" s="22"/>
    </row>
    <row r="180" spans="1:12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IF(A180="","",IFERROR(VLOOKUP(A180,DB_Customers!$A:$N,14,0),""))</f>
        <v/>
      </c>
      <c r="D180" s="42" t="str">
        <f t="shared" ca="1" si="15"/>
        <v/>
      </c>
      <c r="E180" s="32"/>
      <c r="F180" s="31"/>
      <c r="G180" s="43" t="str">
        <f t="shared" si="16"/>
        <v/>
      </c>
      <c r="H180" s="30" t="s">
        <v>61</v>
      </c>
      <c r="I180" s="41"/>
      <c r="J180" s="33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0" s="33" t="str">
        <f t="shared" ca="1" si="17"/>
        <v>—</v>
      </c>
      <c r="L180" s="50"/>
    </row>
    <row r="181" spans="1:12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IF(A181="","",IFERROR(VLOOKUP(A181,DB_Customers!$A:$N,14,0),""))</f>
        <v/>
      </c>
      <c r="D181" s="42" t="str">
        <f t="shared" ca="1" si="15"/>
        <v/>
      </c>
      <c r="E181" s="32"/>
      <c r="F181" s="31"/>
      <c r="G181" s="43" t="str">
        <f t="shared" si="16"/>
        <v/>
      </c>
      <c r="H181" s="30" t="s">
        <v>61</v>
      </c>
      <c r="I181" s="41"/>
      <c r="J181" s="33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1" s="33" t="str">
        <f t="shared" ca="1" si="17"/>
        <v>—</v>
      </c>
      <c r="L181" s="22"/>
    </row>
    <row r="182" spans="1:12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IF(A182="","",IFERROR(VLOOKUP(A182,DB_Customers!$A:$N,14,0),""))</f>
        <v/>
      </c>
      <c r="D182" s="42" t="str">
        <f t="shared" ca="1" si="15"/>
        <v/>
      </c>
      <c r="E182" s="32"/>
      <c r="F182" s="31"/>
      <c r="G182" s="43" t="str">
        <f t="shared" si="16"/>
        <v/>
      </c>
      <c r="H182" s="30" t="s">
        <v>61</v>
      </c>
      <c r="I182" s="41"/>
      <c r="J182" s="33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2" s="33" t="str">
        <f t="shared" ca="1" si="17"/>
        <v>—</v>
      </c>
      <c r="L182" s="50"/>
    </row>
    <row r="183" spans="1:12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IF(A183="","",IFERROR(VLOOKUP(A183,DB_Customers!$A:$N,14,0),""))</f>
        <v/>
      </c>
      <c r="D183" s="42" t="str">
        <f t="shared" ca="1" si="15"/>
        <v/>
      </c>
      <c r="E183" s="32"/>
      <c r="F183" s="31"/>
      <c r="G183" s="43" t="str">
        <f t="shared" si="16"/>
        <v/>
      </c>
      <c r="H183" s="30" t="s">
        <v>61</v>
      </c>
      <c r="I183" s="41"/>
      <c r="J183" s="33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3" s="33" t="str">
        <f t="shared" ca="1" si="17"/>
        <v>—</v>
      </c>
      <c r="L183" s="22"/>
    </row>
    <row r="184" spans="1:12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IF(A184="","",IFERROR(VLOOKUP(A184,DB_Customers!$A:$N,14,0),""))</f>
        <v/>
      </c>
      <c r="D184" s="42" t="str">
        <f t="shared" ca="1" si="15"/>
        <v/>
      </c>
      <c r="E184" s="32"/>
      <c r="F184" s="31"/>
      <c r="G184" s="43" t="str">
        <f t="shared" si="16"/>
        <v/>
      </c>
      <c r="H184" s="30" t="s">
        <v>61</v>
      </c>
      <c r="I184" s="41"/>
      <c r="J184" s="33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4" s="33" t="str">
        <f t="shared" ca="1" si="17"/>
        <v>—</v>
      </c>
      <c r="L184" s="50"/>
    </row>
    <row r="185" spans="1:12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IF(A185="","",IFERROR(VLOOKUP(A185,DB_Customers!$A:$N,14,0),""))</f>
        <v/>
      </c>
      <c r="D185" s="42" t="str">
        <f t="shared" ca="1" si="15"/>
        <v/>
      </c>
      <c r="E185" s="32"/>
      <c r="F185" s="31"/>
      <c r="G185" s="43" t="str">
        <f t="shared" si="16"/>
        <v/>
      </c>
      <c r="H185" s="30" t="s">
        <v>61</v>
      </c>
      <c r="I185" s="41"/>
      <c r="J185" s="33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5" s="33" t="str">
        <f t="shared" ca="1" si="17"/>
        <v>—</v>
      </c>
      <c r="L185" s="22"/>
    </row>
    <row r="186" spans="1:12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IF(A186="","",IFERROR(VLOOKUP(A186,DB_Customers!$A:$N,14,0),""))</f>
        <v/>
      </c>
      <c r="D186" s="42" t="str">
        <f t="shared" ca="1" si="15"/>
        <v/>
      </c>
      <c r="E186" s="32"/>
      <c r="F186" s="31"/>
      <c r="G186" s="43" t="str">
        <f t="shared" si="16"/>
        <v/>
      </c>
      <c r="H186" s="30" t="s">
        <v>61</v>
      </c>
      <c r="I186" s="41"/>
      <c r="J186" s="33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6" s="33" t="str">
        <f t="shared" ca="1" si="17"/>
        <v>—</v>
      </c>
      <c r="L186" s="50"/>
    </row>
    <row r="187" spans="1:12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IF(A187="","",IFERROR(VLOOKUP(A187,DB_Customers!$A:$N,14,0),""))</f>
        <v/>
      </c>
      <c r="D187" s="42" t="str">
        <f t="shared" ca="1" si="15"/>
        <v/>
      </c>
      <c r="E187" s="32"/>
      <c r="F187" s="31"/>
      <c r="G187" s="43" t="str">
        <f t="shared" si="16"/>
        <v/>
      </c>
      <c r="H187" s="30" t="s">
        <v>61</v>
      </c>
      <c r="I187" s="41"/>
      <c r="J187" s="33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7" s="33" t="str">
        <f t="shared" ca="1" si="17"/>
        <v>—</v>
      </c>
      <c r="L187" s="22"/>
    </row>
    <row r="188" spans="1:12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IF(A188="","",IFERROR(VLOOKUP(A188,DB_Customers!$A:$N,14,0),""))</f>
        <v/>
      </c>
      <c r="D188" s="42" t="str">
        <f t="shared" ca="1" si="15"/>
        <v/>
      </c>
      <c r="E188" s="32"/>
      <c r="F188" s="31"/>
      <c r="G188" s="43" t="str">
        <f t="shared" si="16"/>
        <v/>
      </c>
      <c r="H188" s="30" t="s">
        <v>61</v>
      </c>
      <c r="I188" s="41"/>
      <c r="J188" s="33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88" s="33" t="str">
        <f t="shared" ca="1" si="17"/>
        <v>—</v>
      </c>
      <c r="L188" s="50"/>
    </row>
    <row r="189" spans="1:12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IF(A189="","",IFERROR(VLOOKUP(A189,DB_Customers!$A:$N,14,0),""))</f>
        <v/>
      </c>
      <c r="D189" s="42" t="str">
        <f t="shared" ca="1" si="15"/>
        <v/>
      </c>
      <c r="E189" s="32"/>
      <c r="F189" s="31"/>
      <c r="G189" s="43" t="str">
        <f t="shared" si="16"/>
        <v/>
      </c>
      <c r="H189" s="30" t="s">
        <v>61</v>
      </c>
      <c r="I189" s="41"/>
      <c r="J189" s="33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89" s="33" t="str">
        <f t="shared" ca="1" si="17"/>
        <v>—</v>
      </c>
      <c r="L189" s="22"/>
    </row>
    <row r="190" spans="1:12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IF(A190="","",IFERROR(VLOOKUP(A190,DB_Customers!$A:$N,14,0),""))</f>
        <v/>
      </c>
      <c r="D190" s="42" t="str">
        <f t="shared" ca="1" si="15"/>
        <v/>
      </c>
      <c r="E190" s="32"/>
      <c r="F190" s="31"/>
      <c r="G190" s="43" t="str">
        <f t="shared" si="16"/>
        <v/>
      </c>
      <c r="H190" s="30" t="s">
        <v>61</v>
      </c>
      <c r="I190" s="41"/>
      <c r="J190" s="33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0" s="33" t="str">
        <f t="shared" ca="1" si="17"/>
        <v>—</v>
      </c>
      <c r="L190" s="50"/>
    </row>
    <row r="191" spans="1:12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IF(A191="","",IFERROR(VLOOKUP(A191,DB_Customers!$A:$N,14,0),""))</f>
        <v/>
      </c>
      <c r="D191" s="42" t="str">
        <f t="shared" ca="1" si="15"/>
        <v/>
      </c>
      <c r="E191" s="32"/>
      <c r="F191" s="31"/>
      <c r="G191" s="43" t="str">
        <f t="shared" si="16"/>
        <v/>
      </c>
      <c r="H191" s="30" t="s">
        <v>61</v>
      </c>
      <c r="I191" s="41"/>
      <c r="J191" s="33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1" s="33" t="str">
        <f t="shared" ca="1" si="17"/>
        <v>—</v>
      </c>
      <c r="L191" s="22"/>
    </row>
    <row r="192" spans="1:12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IF(A192="","",IFERROR(VLOOKUP(A192,DB_Customers!$A:$N,14,0),""))</f>
        <v/>
      </c>
      <c r="D192" s="42" t="str">
        <f t="shared" ca="1" si="15"/>
        <v/>
      </c>
      <c r="E192" s="32"/>
      <c r="F192" s="31"/>
      <c r="G192" s="43" t="str">
        <f t="shared" si="16"/>
        <v/>
      </c>
      <c r="H192" s="30" t="s">
        <v>61</v>
      </c>
      <c r="I192" s="41"/>
      <c r="J192" s="33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2" s="33" t="str">
        <f t="shared" ca="1" si="17"/>
        <v>—</v>
      </c>
      <c r="L192" s="50"/>
    </row>
    <row r="193" spans="1:12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IF(A193="","",IFERROR(VLOOKUP(A193,DB_Customers!$A:$N,14,0),""))</f>
        <v/>
      </c>
      <c r="D193" s="42" t="str">
        <f t="shared" ca="1" si="15"/>
        <v/>
      </c>
      <c r="E193" s="32"/>
      <c r="F193" s="31"/>
      <c r="G193" s="43" t="str">
        <f t="shared" si="16"/>
        <v/>
      </c>
      <c r="H193" s="30" t="s">
        <v>61</v>
      </c>
      <c r="I193" s="41"/>
      <c r="J193" s="33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3" s="33" t="str">
        <f t="shared" ca="1" si="17"/>
        <v>—</v>
      </c>
      <c r="L193" s="22"/>
    </row>
    <row r="194" spans="1:12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IF(A194="","",IFERROR(VLOOKUP(A194,DB_Customers!$A:$N,14,0),""))</f>
        <v/>
      </c>
      <c r="D194" s="42" t="str">
        <f t="shared" ca="1" si="15"/>
        <v/>
      </c>
      <c r="E194" s="32"/>
      <c r="F194" s="31"/>
      <c r="G194" s="43" t="str">
        <f t="shared" si="16"/>
        <v/>
      </c>
      <c r="H194" s="30" t="s">
        <v>61</v>
      </c>
      <c r="I194" s="41"/>
      <c r="J194" s="33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4" s="33" t="str">
        <f t="shared" ca="1" si="17"/>
        <v>—</v>
      </c>
      <c r="L194" s="50"/>
    </row>
    <row r="195" spans="1:12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IF(A195="","",IFERROR(VLOOKUP(A195,DB_Customers!$A:$N,14,0),""))</f>
        <v/>
      </c>
      <c r="D195" s="42" t="str">
        <f t="shared" ca="1" si="15"/>
        <v/>
      </c>
      <c r="E195" s="32"/>
      <c r="F195" s="31"/>
      <c r="G195" s="43" t="str">
        <f t="shared" si="16"/>
        <v/>
      </c>
      <c r="H195" s="30" t="s">
        <v>61</v>
      </c>
      <c r="I195" s="41"/>
      <c r="J195" s="33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5" s="33" t="str">
        <f t="shared" ca="1" si="17"/>
        <v>—</v>
      </c>
      <c r="L195" s="22"/>
    </row>
    <row r="196" spans="1:12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IF(A196="","",IFERROR(VLOOKUP(A196,DB_Customers!$A:$N,14,0),""))</f>
        <v/>
      </c>
      <c r="D196" s="42" t="str">
        <f t="shared" ca="1" si="15"/>
        <v/>
      </c>
      <c r="E196" s="32"/>
      <c r="F196" s="31"/>
      <c r="G196" s="43" t="str">
        <f t="shared" si="16"/>
        <v/>
      </c>
      <c r="H196" s="30" t="s">
        <v>61</v>
      </c>
      <c r="I196" s="41"/>
      <c r="J196" s="33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6" s="33" t="str">
        <f t="shared" ca="1" si="17"/>
        <v>—</v>
      </c>
      <c r="L196" s="50"/>
    </row>
    <row r="197" spans="1:12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IF(A197="","",IFERROR(VLOOKUP(A197,DB_Customers!$A:$N,14,0),""))</f>
        <v/>
      </c>
      <c r="D197" s="42" t="str">
        <f t="shared" ca="1" si="15"/>
        <v/>
      </c>
      <c r="E197" s="32"/>
      <c r="F197" s="31"/>
      <c r="G197" s="43" t="str">
        <f t="shared" si="16"/>
        <v/>
      </c>
      <c r="H197" s="30" t="s">
        <v>61</v>
      </c>
      <c r="I197" s="41"/>
      <c r="J197" s="33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7" s="33" t="str">
        <f t="shared" ca="1" si="17"/>
        <v>—</v>
      </c>
      <c r="L197" s="22"/>
    </row>
    <row r="198" spans="1:12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IF(A198="","",IFERROR(VLOOKUP(A198,DB_Customers!$A:$N,14,0),""))</f>
        <v/>
      </c>
      <c r="D198" s="42" t="str">
        <f t="shared" ca="1" si="15"/>
        <v/>
      </c>
      <c r="E198" s="32"/>
      <c r="F198" s="31"/>
      <c r="G198" s="43" t="str">
        <f t="shared" si="16"/>
        <v/>
      </c>
      <c r="H198" s="30" t="s">
        <v>61</v>
      </c>
      <c r="I198" s="41"/>
      <c r="J198" s="33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198" s="33" t="str">
        <f t="shared" ca="1" si="17"/>
        <v>—</v>
      </c>
      <c r="L198" s="50"/>
    </row>
    <row r="199" spans="1:12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IF(A199="","",IFERROR(VLOOKUP(A199,DB_Customers!$A:$N,14,0),""))</f>
        <v/>
      </c>
      <c r="D199" s="42" t="str">
        <f t="shared" ca="1" si="15"/>
        <v/>
      </c>
      <c r="E199" s="32"/>
      <c r="F199" s="31"/>
      <c r="G199" s="43" t="str">
        <f t="shared" si="16"/>
        <v/>
      </c>
      <c r="H199" s="30" t="s">
        <v>61</v>
      </c>
      <c r="I199" s="41"/>
      <c r="J199" s="33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199" s="33" t="str">
        <f t="shared" ca="1" si="17"/>
        <v>—</v>
      </c>
      <c r="L199" s="22"/>
    </row>
    <row r="200" spans="1:12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IF(A200="","",IFERROR(VLOOKUP(A200,DB_Customers!$A:$N,14,0),""))</f>
        <v/>
      </c>
      <c r="D200" s="42" t="str">
        <f t="shared" ca="1" si="15"/>
        <v/>
      </c>
      <c r="E200" s="32"/>
      <c r="F200" s="31"/>
      <c r="G200" s="43" t="str">
        <f t="shared" si="16"/>
        <v/>
      </c>
      <c r="H200" s="30" t="s">
        <v>61</v>
      </c>
      <c r="I200" s="41"/>
      <c r="J200" s="33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0" s="33" t="str">
        <f t="shared" ca="1" si="17"/>
        <v>—</v>
      </c>
      <c r="L200" s="50"/>
    </row>
    <row r="201" spans="1:12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IF(A201="","",IFERROR(VLOOKUP(A201,DB_Customers!$A:$N,14,0),""))</f>
        <v/>
      </c>
      <c r="D201" s="42" t="str">
        <f t="shared" ref="D201:D208" ca="1" si="18">IF(A201="","",TODAY())</f>
        <v/>
      </c>
      <c r="E201" s="32"/>
      <c r="F201" s="31"/>
      <c r="G201" s="43" t="str">
        <f t="shared" ref="G201:G208" si="19">IFERROR(IF(OR(A201="",E201=""),"",C201-E201),"")</f>
        <v/>
      </c>
      <c r="H201" s="30" t="s">
        <v>61</v>
      </c>
      <c r="I201" s="41"/>
      <c r="J201" s="33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1" s="33" t="str">
        <f t="shared" ref="K201:K232" ca="1" si="20">IF(J201="✅ Successful",TEXT(TODAY(),"YYYY-MM-DD")&amp;" Auto","—")</f>
        <v>—</v>
      </c>
      <c r="L201" s="22"/>
    </row>
    <row r="202" spans="1:12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IF(A202="","",IFERROR(VLOOKUP(A202,DB_Customers!$A:$N,14,0),""))</f>
        <v/>
      </c>
      <c r="D202" s="42" t="str">
        <f t="shared" ca="1" si="18"/>
        <v/>
      </c>
      <c r="E202" s="32"/>
      <c r="F202" s="31"/>
      <c r="G202" s="43" t="str">
        <f t="shared" si="19"/>
        <v/>
      </c>
      <c r="H202" s="30" t="s">
        <v>61</v>
      </c>
      <c r="I202" s="41"/>
      <c r="J202" s="33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2" s="33" t="str">
        <f t="shared" ca="1" si="20"/>
        <v>—</v>
      </c>
      <c r="L202" s="50"/>
    </row>
    <row r="203" spans="1:12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IF(A203="","",IFERROR(VLOOKUP(A203,DB_Customers!$A:$N,14,0),""))</f>
        <v/>
      </c>
      <c r="D203" s="42" t="str">
        <f t="shared" ca="1" si="18"/>
        <v/>
      </c>
      <c r="E203" s="32"/>
      <c r="F203" s="31"/>
      <c r="G203" s="43" t="str">
        <f t="shared" si="19"/>
        <v/>
      </c>
      <c r="H203" s="30" t="s">
        <v>61</v>
      </c>
      <c r="I203" s="41"/>
      <c r="J203" s="33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3" s="33" t="str">
        <f t="shared" ca="1" si="20"/>
        <v>—</v>
      </c>
      <c r="L203" s="22"/>
    </row>
    <row r="204" spans="1:12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IF(A204="","",IFERROR(VLOOKUP(A204,DB_Customers!$A:$N,14,0),""))</f>
        <v/>
      </c>
      <c r="D204" s="42" t="str">
        <f t="shared" ca="1" si="18"/>
        <v/>
      </c>
      <c r="E204" s="32"/>
      <c r="F204" s="31"/>
      <c r="G204" s="43" t="str">
        <f t="shared" si="19"/>
        <v/>
      </c>
      <c r="H204" s="30" t="s">
        <v>61</v>
      </c>
      <c r="I204" s="41"/>
      <c r="J204" s="33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4" s="33" t="str">
        <f t="shared" ca="1" si="20"/>
        <v>—</v>
      </c>
      <c r="L204" s="50"/>
    </row>
    <row r="205" spans="1:12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IF(A205="","",IFERROR(VLOOKUP(A205,DB_Customers!$A:$N,14,0),""))</f>
        <v/>
      </c>
      <c r="D205" s="42" t="str">
        <f t="shared" ca="1" si="18"/>
        <v/>
      </c>
      <c r="E205" s="32"/>
      <c r="F205" s="31"/>
      <c r="G205" s="43" t="str">
        <f t="shared" si="19"/>
        <v/>
      </c>
      <c r="H205" s="30" t="s">
        <v>61</v>
      </c>
      <c r="I205" s="41"/>
      <c r="J205" s="33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5" s="33" t="str">
        <f t="shared" ca="1" si="20"/>
        <v>—</v>
      </c>
      <c r="L205" s="22"/>
    </row>
    <row r="206" spans="1:12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IF(A206="","",IFERROR(VLOOKUP(A206,DB_Customers!$A:$N,14,0),""))</f>
        <v/>
      </c>
      <c r="D206" s="42" t="str">
        <f t="shared" ca="1" si="18"/>
        <v/>
      </c>
      <c r="E206" s="32"/>
      <c r="F206" s="31"/>
      <c r="G206" s="43" t="str">
        <f t="shared" si="19"/>
        <v/>
      </c>
      <c r="H206" s="30" t="s">
        <v>61</v>
      </c>
      <c r="I206" s="41"/>
      <c r="J206" s="33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6" s="33" t="str">
        <f t="shared" ca="1" si="20"/>
        <v>—</v>
      </c>
      <c r="L206" s="50"/>
    </row>
    <row r="207" spans="1:12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IF(A207="","",IFERROR(VLOOKUP(A207,DB_Customers!$A:$N,14,0),""))</f>
        <v/>
      </c>
      <c r="D207" s="42" t="str">
        <f t="shared" ca="1" si="18"/>
        <v/>
      </c>
      <c r="E207" s="32"/>
      <c r="F207" s="31"/>
      <c r="G207" s="43" t="str">
        <f t="shared" si="19"/>
        <v/>
      </c>
      <c r="H207" s="30" t="s">
        <v>61</v>
      </c>
      <c r="I207" s="41"/>
      <c r="J207" s="33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7" s="33" t="str">
        <f t="shared" ca="1" si="20"/>
        <v>—</v>
      </c>
      <c r="L207" s="22"/>
    </row>
    <row r="208" spans="1:12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IF(A208="","",IFERROR(VLOOKUP(A208,DB_Customers!$A:$N,14,0),""))</f>
        <v/>
      </c>
      <c r="D208" s="42" t="str">
        <f t="shared" ca="1" si="18"/>
        <v/>
      </c>
      <c r="E208" s="32"/>
      <c r="F208" s="31"/>
      <c r="G208" s="43" t="str">
        <f t="shared" si="19"/>
        <v/>
      </c>
      <c r="H208" s="30" t="s">
        <v>61</v>
      </c>
      <c r="I208" s="41"/>
      <c r="J208" s="33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08" s="33" t="str">
        <f t="shared" ca="1" si="20"/>
        <v>—</v>
      </c>
      <c r="L208" s="50"/>
    </row>
  </sheetData>
  <mergeCells count="3">
    <mergeCell ref="A2:L2"/>
    <mergeCell ref="A6:L6"/>
    <mergeCell ref="A1:L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5" t="s">
        <v>207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21.95" customHeight="1" x14ac:dyDescent="0.25">
      <c r="A2" s="97" t="s">
        <v>208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4" spans="1:14" x14ac:dyDescent="0.25">
      <c r="A4" s="51" t="s">
        <v>146</v>
      </c>
    </row>
    <row r="5" spans="1:14" x14ac:dyDescent="0.25">
      <c r="A5" s="52" t="s">
        <v>147</v>
      </c>
      <c r="B5" s="32"/>
    </row>
    <row r="6" spans="1:14" x14ac:dyDescent="0.25">
      <c r="A6" s="52" t="s">
        <v>148</v>
      </c>
      <c r="B6" s="53"/>
    </row>
    <row r="7" spans="1:14" x14ac:dyDescent="0.25">
      <c r="A7" s="52" t="s">
        <v>149</v>
      </c>
      <c r="B7" s="54">
        <v>2.5</v>
      </c>
    </row>
    <row r="8" spans="1:14" x14ac:dyDescent="0.25">
      <c r="A8" s="55" t="s">
        <v>150</v>
      </c>
      <c r="B8" s="43" t="str">
        <f>IF(B5="","",B5*B7/100*B6)</f>
        <v/>
      </c>
    </row>
    <row r="9" spans="1:14" x14ac:dyDescent="0.25">
      <c r="A9" s="55" t="s">
        <v>151</v>
      </c>
      <c r="B9" s="43" t="str">
        <f>IF(B5="","",B5+(B5*B7/100*B6))</f>
        <v/>
      </c>
    </row>
    <row r="10" spans="1:14" x14ac:dyDescent="0.25">
      <c r="A10" s="55" t="s">
        <v>152</v>
      </c>
      <c r="B10" s="43" t="str">
        <f>IFERROR(B9/B6,"")</f>
        <v/>
      </c>
    </row>
    <row r="12" spans="1:14" ht="21.95" customHeight="1" x14ac:dyDescent="0.25">
      <c r="A12" s="97" t="s">
        <v>153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</row>
    <row r="13" spans="1:14" ht="30" customHeight="1" x14ac:dyDescent="0.25">
      <c r="A13" s="19" t="s">
        <v>154</v>
      </c>
      <c r="B13" s="19" t="s">
        <v>131</v>
      </c>
      <c r="C13" s="19" t="s">
        <v>69</v>
      </c>
      <c r="D13" s="19" t="s">
        <v>155</v>
      </c>
      <c r="E13" s="19" t="s">
        <v>156</v>
      </c>
      <c r="F13" s="19" t="s">
        <v>109</v>
      </c>
      <c r="G13" s="19" t="s">
        <v>110</v>
      </c>
      <c r="H13" s="19" t="s">
        <v>157</v>
      </c>
      <c r="I13" s="19" t="s">
        <v>158</v>
      </c>
      <c r="J13" s="19" t="s">
        <v>159</v>
      </c>
      <c r="K13" s="19" t="s">
        <v>77</v>
      </c>
      <c r="L13" s="19" t="s">
        <v>45</v>
      </c>
      <c r="M13" s="19" t="s">
        <v>134</v>
      </c>
      <c r="N13" s="19" t="s">
        <v>95</v>
      </c>
    </row>
    <row r="14" spans="1:14" ht="20.100000000000001" customHeight="1" x14ac:dyDescent="0.25">
      <c r="A14" s="30" t="str">
        <f t="shared" ref="A14:A45" si="0">IF(B14="","",IF(C14="❌ Account Not Found","INVALID","LN"&amp;TEXT(D14,"YYYYMMDD")&amp;TEXT(ROW()-13,"0000")))</f>
        <v/>
      </c>
      <c r="B14" s="41"/>
      <c r="C14" s="35" t="str">
        <f>IF(B14="","",IFERROR(VLOOKUP(B14,DB_Customers!$A:$B,2,0),"❌ Account Not Found"))</f>
        <v/>
      </c>
      <c r="D14" s="42" t="str">
        <f t="shared" ref="D14:D45" ca="1" si="1">IF(B14="","",TODAY())</f>
        <v/>
      </c>
      <c r="E14" s="32"/>
      <c r="F14" s="31"/>
      <c r="G14" s="41"/>
      <c r="H14" s="56">
        <v>2.5</v>
      </c>
      <c r="I14" s="43" t="str">
        <f t="shared" ref="I14:I45" si="2">IF(E14="","",E14+(E14*H14/100*G14))</f>
        <v/>
      </c>
      <c r="J14" s="43" t="str">
        <f t="shared" ref="J14:J45" si="3">IFERROR(I14/G14,"")</f>
        <v/>
      </c>
      <c r="K14" s="33" t="str">
        <f>IF(B14="","Pending",IF(M14="","⚠️ Enter Code",IF(IFERROR(VLOOKUP(L14,DB_Agents!$B:$F,4,0),"")=TEXT(M14,"0"),"Pending Approval","🔒 WRONG CODE")))</f>
        <v>Pending</v>
      </c>
      <c r="L14" s="30" t="s">
        <v>61</v>
      </c>
      <c r="M14" s="41"/>
      <c r="N14" s="57"/>
    </row>
    <row r="15" spans="1:14" ht="20.100000000000001" customHeight="1" x14ac:dyDescent="0.25">
      <c r="A15" s="30" t="str">
        <f t="shared" si="0"/>
        <v/>
      </c>
      <c r="B15" s="41"/>
      <c r="C15" s="35" t="str">
        <f>IF(B15="","",IFERROR(VLOOKUP(B15,DB_Customers!$A:$B,2,0),"❌ Account Not Found"))</f>
        <v/>
      </c>
      <c r="D15" s="42" t="str">
        <f t="shared" ca="1" si="1"/>
        <v/>
      </c>
      <c r="E15" s="32"/>
      <c r="F15" s="31"/>
      <c r="G15" s="41"/>
      <c r="H15" s="56">
        <v>2.5</v>
      </c>
      <c r="I15" s="43" t="str">
        <f t="shared" si="2"/>
        <v/>
      </c>
      <c r="J15" s="43" t="str">
        <f t="shared" si="3"/>
        <v/>
      </c>
      <c r="K15" s="33" t="str">
        <f>IF(B15="","Pending",IF(M15="","⚠️ Enter Code",IF(IFERROR(VLOOKUP(L15,DB_Agents!$B:$F,4,0),"")=TEXT(M15,"0"),"Pending Approval","🔒 WRONG CODE")))</f>
        <v>Pending</v>
      </c>
      <c r="L15" s="30" t="s">
        <v>61</v>
      </c>
      <c r="M15" s="41"/>
      <c r="N15" s="22"/>
    </row>
    <row r="16" spans="1:14" ht="20.100000000000001" customHeight="1" x14ac:dyDescent="0.25">
      <c r="A16" s="30" t="str">
        <f t="shared" si="0"/>
        <v/>
      </c>
      <c r="B16" s="41"/>
      <c r="C16" s="35" t="str">
        <f>IF(B16="","",IFERROR(VLOOKUP(B16,DB_Customers!$A:$B,2,0),"❌ Account Not Found"))</f>
        <v/>
      </c>
      <c r="D16" s="42" t="str">
        <f t="shared" ca="1" si="1"/>
        <v/>
      </c>
      <c r="E16" s="32"/>
      <c r="F16" s="31"/>
      <c r="G16" s="41"/>
      <c r="H16" s="56">
        <v>2.5</v>
      </c>
      <c r="I16" s="43" t="str">
        <f t="shared" si="2"/>
        <v/>
      </c>
      <c r="J16" s="43" t="str">
        <f t="shared" si="3"/>
        <v/>
      </c>
      <c r="K16" s="33" t="str">
        <f>IF(B16="","Pending",IF(M16="","⚠️ Enter Code",IF(IFERROR(VLOOKUP(L16,DB_Agents!$B:$F,4,0),"")=TEXT(M16,"0"),"Pending Approval","🔒 WRONG CODE")))</f>
        <v>Pending</v>
      </c>
      <c r="L16" s="30" t="s">
        <v>61</v>
      </c>
      <c r="M16" s="41"/>
      <c r="N16" s="57"/>
    </row>
    <row r="17" spans="1:14" ht="20.100000000000001" customHeight="1" x14ac:dyDescent="0.25">
      <c r="A17" s="30" t="str">
        <f t="shared" si="0"/>
        <v/>
      </c>
      <c r="B17" s="41"/>
      <c r="C17" s="35" t="str">
        <f>IF(B17="","",IFERROR(VLOOKUP(B17,DB_Customers!$A:$B,2,0),"❌ Account Not Found"))</f>
        <v/>
      </c>
      <c r="D17" s="42" t="str">
        <f t="shared" ca="1" si="1"/>
        <v/>
      </c>
      <c r="E17" s="32"/>
      <c r="F17" s="31"/>
      <c r="G17" s="41"/>
      <c r="H17" s="56">
        <v>2.5</v>
      </c>
      <c r="I17" s="43" t="str">
        <f t="shared" si="2"/>
        <v/>
      </c>
      <c r="J17" s="43" t="str">
        <f t="shared" si="3"/>
        <v/>
      </c>
      <c r="K17" s="33" t="str">
        <f>IF(B17="","Pending",IF(M17="","⚠️ Enter Code",IF(IFERROR(VLOOKUP(L17,DB_Agents!$B:$F,4,0),"")=TEXT(M17,"0"),"Pending Approval","🔒 WRONG CODE")))</f>
        <v>Pending</v>
      </c>
      <c r="L17" s="30" t="s">
        <v>61</v>
      </c>
      <c r="M17" s="41"/>
      <c r="N17" s="22"/>
    </row>
    <row r="18" spans="1:14" ht="20.100000000000001" customHeight="1" x14ac:dyDescent="0.25">
      <c r="A18" s="30" t="str">
        <f t="shared" si="0"/>
        <v/>
      </c>
      <c r="B18" s="41"/>
      <c r="C18" s="35" t="str">
        <f>IF(B18="","",IFERROR(VLOOKUP(B18,DB_Customers!$A:$B,2,0),"❌ Account Not Found"))</f>
        <v/>
      </c>
      <c r="D18" s="42" t="str">
        <f t="shared" ca="1" si="1"/>
        <v/>
      </c>
      <c r="E18" s="32"/>
      <c r="F18" s="31"/>
      <c r="G18" s="41"/>
      <c r="H18" s="56">
        <v>2.5</v>
      </c>
      <c r="I18" s="43" t="str">
        <f t="shared" si="2"/>
        <v/>
      </c>
      <c r="J18" s="43" t="str">
        <f t="shared" si="3"/>
        <v/>
      </c>
      <c r="K18" s="33" t="str">
        <f>IF(B18="","Pending",IF(M18="","⚠️ Enter Code",IF(IFERROR(VLOOKUP(L18,DB_Agents!$B:$F,4,0),"")=TEXT(M18,"0"),"Pending Approval","🔒 WRONG CODE")))</f>
        <v>Pending</v>
      </c>
      <c r="L18" s="30" t="s">
        <v>61</v>
      </c>
      <c r="M18" s="41"/>
      <c r="N18" s="57"/>
    </row>
    <row r="19" spans="1:14" ht="20.100000000000001" customHeight="1" x14ac:dyDescent="0.25">
      <c r="A19" s="30" t="str">
        <f t="shared" si="0"/>
        <v/>
      </c>
      <c r="B19" s="41"/>
      <c r="C19" s="35" t="str">
        <f>IF(B19="","",IFERROR(VLOOKUP(B19,DB_Customers!$A:$B,2,0),"❌ Account Not Found"))</f>
        <v/>
      </c>
      <c r="D19" s="42" t="str">
        <f t="shared" ca="1" si="1"/>
        <v/>
      </c>
      <c r="E19" s="32"/>
      <c r="F19" s="31"/>
      <c r="G19" s="41"/>
      <c r="H19" s="56">
        <v>2.5</v>
      </c>
      <c r="I19" s="43" t="str">
        <f t="shared" si="2"/>
        <v/>
      </c>
      <c r="J19" s="43" t="str">
        <f t="shared" si="3"/>
        <v/>
      </c>
      <c r="K19" s="33" t="str">
        <f>IF(B19="","Pending",IF(M19="","⚠️ Enter Code",IF(IFERROR(VLOOKUP(L19,DB_Agents!$B:$F,4,0),"")=TEXT(M19,"0"),"Pending Approval","🔒 WRONG CODE")))</f>
        <v>Pending</v>
      </c>
      <c r="L19" s="30" t="s">
        <v>61</v>
      </c>
      <c r="M19" s="41"/>
      <c r="N19" s="22"/>
    </row>
    <row r="20" spans="1:14" ht="20.100000000000001" customHeight="1" x14ac:dyDescent="0.25">
      <c r="A20" s="30" t="str">
        <f t="shared" si="0"/>
        <v/>
      </c>
      <c r="B20" s="41"/>
      <c r="C20" s="35" t="str">
        <f>IF(B20="","",IFERROR(VLOOKUP(B20,DB_Customers!$A:$B,2,0),"❌ Account Not Found"))</f>
        <v/>
      </c>
      <c r="D20" s="42" t="str">
        <f t="shared" ca="1" si="1"/>
        <v/>
      </c>
      <c r="E20" s="32"/>
      <c r="F20" s="31"/>
      <c r="G20" s="41"/>
      <c r="H20" s="56">
        <v>2.5</v>
      </c>
      <c r="I20" s="43" t="str">
        <f t="shared" si="2"/>
        <v/>
      </c>
      <c r="J20" s="43" t="str">
        <f t="shared" si="3"/>
        <v/>
      </c>
      <c r="K20" s="33" t="str">
        <f>IF(B20="","Pending",IF(M20="","⚠️ Enter Code",IF(IFERROR(VLOOKUP(L20,DB_Agents!$B:$F,4,0),"")=TEXT(M20,"0"),"Pending Approval","🔒 WRONG CODE")))</f>
        <v>Pending</v>
      </c>
      <c r="L20" s="30" t="s">
        <v>61</v>
      </c>
      <c r="M20" s="41"/>
      <c r="N20" s="57"/>
    </row>
    <row r="21" spans="1:14" ht="20.100000000000001" customHeight="1" x14ac:dyDescent="0.25">
      <c r="A21" s="30" t="str">
        <f t="shared" si="0"/>
        <v/>
      </c>
      <c r="B21" s="41"/>
      <c r="C21" s="35" t="str">
        <f>IF(B21="","",IFERROR(VLOOKUP(B21,DB_Customers!$A:$B,2,0),"❌ Account Not Found"))</f>
        <v/>
      </c>
      <c r="D21" s="42" t="str">
        <f t="shared" ca="1" si="1"/>
        <v/>
      </c>
      <c r="E21" s="32"/>
      <c r="F21" s="31"/>
      <c r="G21" s="41"/>
      <c r="H21" s="56">
        <v>2.5</v>
      </c>
      <c r="I21" s="43" t="str">
        <f t="shared" si="2"/>
        <v/>
      </c>
      <c r="J21" s="43" t="str">
        <f t="shared" si="3"/>
        <v/>
      </c>
      <c r="K21" s="33" t="str">
        <f>IF(B21="","Pending",IF(M21="","⚠️ Enter Code",IF(IFERROR(VLOOKUP(L21,DB_Agents!$B:$F,4,0),"")=TEXT(M21,"0"),"Pending Approval","🔒 WRONG CODE")))</f>
        <v>Pending</v>
      </c>
      <c r="L21" s="30" t="s">
        <v>61</v>
      </c>
      <c r="M21" s="41"/>
      <c r="N21" s="22"/>
    </row>
    <row r="22" spans="1:14" ht="20.100000000000001" customHeight="1" x14ac:dyDescent="0.25">
      <c r="A22" s="30" t="str">
        <f t="shared" si="0"/>
        <v/>
      </c>
      <c r="B22" s="41"/>
      <c r="C22" s="35" t="str">
        <f>IF(B22="","",IFERROR(VLOOKUP(B22,DB_Customers!$A:$B,2,0),"❌ Account Not Found"))</f>
        <v/>
      </c>
      <c r="D22" s="42" t="str">
        <f t="shared" ca="1" si="1"/>
        <v/>
      </c>
      <c r="E22" s="32"/>
      <c r="F22" s="31"/>
      <c r="G22" s="41"/>
      <c r="H22" s="56">
        <v>2.5</v>
      </c>
      <c r="I22" s="43" t="str">
        <f t="shared" si="2"/>
        <v/>
      </c>
      <c r="J22" s="43" t="str">
        <f t="shared" si="3"/>
        <v/>
      </c>
      <c r="K22" s="33" t="str">
        <f>IF(B22="","Pending",IF(M22="","⚠️ Enter Code",IF(IFERROR(VLOOKUP(L22,DB_Agents!$B:$F,4,0),"")=TEXT(M22,"0"),"Pending Approval","🔒 WRONG CODE")))</f>
        <v>Pending</v>
      </c>
      <c r="L22" s="30" t="s">
        <v>61</v>
      </c>
      <c r="M22" s="41"/>
      <c r="N22" s="57"/>
    </row>
    <row r="23" spans="1:14" ht="20.100000000000001" customHeight="1" x14ac:dyDescent="0.25">
      <c r="A23" s="30" t="str">
        <f t="shared" si="0"/>
        <v/>
      </c>
      <c r="B23" s="41"/>
      <c r="C23" s="35" t="str">
        <f>IF(B23="","",IFERROR(VLOOKUP(B23,DB_Customers!$A:$B,2,0),"❌ Account Not Found"))</f>
        <v/>
      </c>
      <c r="D23" s="42" t="str">
        <f t="shared" ca="1" si="1"/>
        <v/>
      </c>
      <c r="E23" s="32"/>
      <c r="F23" s="31"/>
      <c r="G23" s="41"/>
      <c r="H23" s="56">
        <v>2.5</v>
      </c>
      <c r="I23" s="43" t="str">
        <f t="shared" si="2"/>
        <v/>
      </c>
      <c r="J23" s="43" t="str">
        <f t="shared" si="3"/>
        <v/>
      </c>
      <c r="K23" s="33" t="str">
        <f>IF(B23="","Pending",IF(M23="","⚠️ Enter Code",IF(IFERROR(VLOOKUP(L23,DB_Agents!$B:$F,4,0),"")=TEXT(M23,"0"),"Pending Approval","🔒 WRONG CODE")))</f>
        <v>Pending</v>
      </c>
      <c r="L23" s="30" t="s">
        <v>61</v>
      </c>
      <c r="M23" s="41"/>
      <c r="N23" s="22"/>
    </row>
    <row r="24" spans="1:14" ht="20.100000000000001" customHeight="1" x14ac:dyDescent="0.25">
      <c r="A24" s="30" t="str">
        <f t="shared" si="0"/>
        <v/>
      </c>
      <c r="B24" s="41"/>
      <c r="C24" s="35" t="str">
        <f>IF(B24="","",IFERROR(VLOOKUP(B24,DB_Customers!$A:$B,2,0),"❌ Account Not Found"))</f>
        <v/>
      </c>
      <c r="D24" s="42" t="str">
        <f t="shared" ca="1" si="1"/>
        <v/>
      </c>
      <c r="E24" s="32"/>
      <c r="F24" s="31"/>
      <c r="G24" s="41"/>
      <c r="H24" s="56">
        <v>2.5</v>
      </c>
      <c r="I24" s="43" t="str">
        <f t="shared" si="2"/>
        <v/>
      </c>
      <c r="J24" s="43" t="str">
        <f t="shared" si="3"/>
        <v/>
      </c>
      <c r="K24" s="33" t="str">
        <f>IF(B24="","Pending",IF(M24="","⚠️ Enter Code",IF(IFERROR(VLOOKUP(L24,DB_Agents!$B:$F,4,0),"")=TEXT(M24,"0"),"Pending Approval","🔒 WRONG CODE")))</f>
        <v>Pending</v>
      </c>
      <c r="L24" s="30" t="s">
        <v>61</v>
      </c>
      <c r="M24" s="41"/>
      <c r="N24" s="57"/>
    </row>
    <row r="25" spans="1:14" ht="20.100000000000001" customHeight="1" x14ac:dyDescent="0.25">
      <c r="A25" s="30" t="str">
        <f t="shared" si="0"/>
        <v/>
      </c>
      <c r="B25" s="41"/>
      <c r="C25" s="35" t="str">
        <f>IF(B25="","",IFERROR(VLOOKUP(B25,DB_Customers!$A:$B,2,0),"❌ Account Not Found"))</f>
        <v/>
      </c>
      <c r="D25" s="42" t="str">
        <f t="shared" ca="1" si="1"/>
        <v/>
      </c>
      <c r="E25" s="32"/>
      <c r="F25" s="31"/>
      <c r="G25" s="41"/>
      <c r="H25" s="56">
        <v>2.5</v>
      </c>
      <c r="I25" s="43" t="str">
        <f t="shared" si="2"/>
        <v/>
      </c>
      <c r="J25" s="43" t="str">
        <f t="shared" si="3"/>
        <v/>
      </c>
      <c r="K25" s="33" t="str">
        <f>IF(B25="","Pending",IF(M25="","⚠️ Enter Code",IF(IFERROR(VLOOKUP(L25,DB_Agents!$B:$F,4,0),"")=TEXT(M25,"0"),"Pending Approval","🔒 WRONG CODE")))</f>
        <v>Pending</v>
      </c>
      <c r="L25" s="30" t="s">
        <v>61</v>
      </c>
      <c r="M25" s="41"/>
      <c r="N25" s="22"/>
    </row>
    <row r="26" spans="1:14" ht="20.100000000000001" customHeight="1" x14ac:dyDescent="0.25">
      <c r="A26" s="30" t="str">
        <f t="shared" si="0"/>
        <v/>
      </c>
      <c r="B26" s="41"/>
      <c r="C26" s="35" t="str">
        <f>IF(B26="","",IFERROR(VLOOKUP(B26,DB_Customers!$A:$B,2,0),"❌ Account Not Found"))</f>
        <v/>
      </c>
      <c r="D26" s="42" t="str">
        <f t="shared" ca="1" si="1"/>
        <v/>
      </c>
      <c r="E26" s="32"/>
      <c r="F26" s="31"/>
      <c r="G26" s="41"/>
      <c r="H26" s="56">
        <v>2.5</v>
      </c>
      <c r="I26" s="43" t="str">
        <f t="shared" si="2"/>
        <v/>
      </c>
      <c r="J26" s="43" t="str">
        <f t="shared" si="3"/>
        <v/>
      </c>
      <c r="K26" s="33" t="str">
        <f>IF(B26="","Pending",IF(M26="","⚠️ Enter Code",IF(IFERROR(VLOOKUP(L26,DB_Agents!$B:$F,4,0),"")=TEXT(M26,"0"),"Pending Approval","🔒 WRONG CODE")))</f>
        <v>Pending</v>
      </c>
      <c r="L26" s="30" t="s">
        <v>61</v>
      </c>
      <c r="M26" s="41"/>
      <c r="N26" s="57"/>
    </row>
    <row r="27" spans="1:14" ht="20.100000000000001" customHeight="1" x14ac:dyDescent="0.25">
      <c r="A27" s="30" t="str">
        <f t="shared" si="0"/>
        <v/>
      </c>
      <c r="B27" s="41"/>
      <c r="C27" s="35" t="str">
        <f>IF(B27="","",IFERROR(VLOOKUP(B27,DB_Customers!$A:$B,2,0),"❌ Account Not Found"))</f>
        <v/>
      </c>
      <c r="D27" s="42" t="str">
        <f t="shared" ca="1" si="1"/>
        <v/>
      </c>
      <c r="E27" s="32"/>
      <c r="F27" s="31"/>
      <c r="G27" s="41"/>
      <c r="H27" s="56">
        <v>2.5</v>
      </c>
      <c r="I27" s="43" t="str">
        <f t="shared" si="2"/>
        <v/>
      </c>
      <c r="J27" s="43" t="str">
        <f t="shared" si="3"/>
        <v/>
      </c>
      <c r="K27" s="33" t="str">
        <f>IF(B27="","Pending",IF(M27="","⚠️ Enter Code",IF(IFERROR(VLOOKUP(L27,DB_Agents!$B:$F,4,0),"")=TEXT(M27,"0"),"Pending Approval","🔒 WRONG CODE")))</f>
        <v>Pending</v>
      </c>
      <c r="L27" s="30" t="s">
        <v>61</v>
      </c>
      <c r="M27" s="41"/>
      <c r="N27" s="22"/>
    </row>
    <row r="28" spans="1:14" ht="20.100000000000001" customHeight="1" x14ac:dyDescent="0.25">
      <c r="A28" s="30" t="str">
        <f t="shared" si="0"/>
        <v/>
      </c>
      <c r="B28" s="41"/>
      <c r="C28" s="35" t="str">
        <f>IF(B28="","",IFERROR(VLOOKUP(B28,DB_Customers!$A:$B,2,0),"❌ Account Not Found"))</f>
        <v/>
      </c>
      <c r="D28" s="42" t="str">
        <f t="shared" ca="1" si="1"/>
        <v/>
      </c>
      <c r="E28" s="32"/>
      <c r="F28" s="31"/>
      <c r="G28" s="41"/>
      <c r="H28" s="56">
        <v>2.5</v>
      </c>
      <c r="I28" s="43" t="str">
        <f t="shared" si="2"/>
        <v/>
      </c>
      <c r="J28" s="43" t="str">
        <f t="shared" si="3"/>
        <v/>
      </c>
      <c r="K28" s="33" t="str">
        <f>IF(B28="","Pending",IF(M28="","⚠️ Enter Code",IF(IFERROR(VLOOKUP(L28,DB_Agents!$B:$F,4,0),"")=TEXT(M28,"0"),"Pending Approval","🔒 WRONG CODE")))</f>
        <v>Pending</v>
      </c>
      <c r="L28" s="30" t="s">
        <v>61</v>
      </c>
      <c r="M28" s="41"/>
      <c r="N28" s="57"/>
    </row>
    <row r="29" spans="1:14" ht="20.100000000000001" customHeight="1" x14ac:dyDescent="0.25">
      <c r="A29" s="30" t="str">
        <f t="shared" si="0"/>
        <v/>
      </c>
      <c r="B29" s="41"/>
      <c r="C29" s="35" t="str">
        <f>IF(B29="","",IFERROR(VLOOKUP(B29,DB_Customers!$A:$B,2,0),"❌ Account Not Found"))</f>
        <v/>
      </c>
      <c r="D29" s="42" t="str">
        <f t="shared" ca="1" si="1"/>
        <v/>
      </c>
      <c r="E29" s="32"/>
      <c r="F29" s="31"/>
      <c r="G29" s="41"/>
      <c r="H29" s="56">
        <v>2.5</v>
      </c>
      <c r="I29" s="43" t="str">
        <f t="shared" si="2"/>
        <v/>
      </c>
      <c r="J29" s="43" t="str">
        <f t="shared" si="3"/>
        <v/>
      </c>
      <c r="K29" s="33" t="str">
        <f>IF(B29="","Pending",IF(M29="","⚠️ Enter Code",IF(IFERROR(VLOOKUP(L29,DB_Agents!$B:$F,4,0),"")=TEXT(M29,"0"),"Pending Approval","🔒 WRONG CODE")))</f>
        <v>Pending</v>
      </c>
      <c r="L29" s="30" t="s">
        <v>61</v>
      </c>
      <c r="M29" s="41"/>
      <c r="N29" s="22"/>
    </row>
    <row r="30" spans="1:14" ht="20.100000000000001" customHeight="1" x14ac:dyDescent="0.25">
      <c r="A30" s="30" t="str">
        <f t="shared" si="0"/>
        <v/>
      </c>
      <c r="B30" s="41"/>
      <c r="C30" s="35" t="str">
        <f>IF(B30="","",IFERROR(VLOOKUP(B30,DB_Customers!$A:$B,2,0),"❌ Account Not Found"))</f>
        <v/>
      </c>
      <c r="D30" s="42" t="str">
        <f t="shared" ca="1" si="1"/>
        <v/>
      </c>
      <c r="E30" s="32"/>
      <c r="F30" s="31"/>
      <c r="G30" s="41"/>
      <c r="H30" s="56">
        <v>2.5</v>
      </c>
      <c r="I30" s="43" t="str">
        <f t="shared" si="2"/>
        <v/>
      </c>
      <c r="J30" s="43" t="str">
        <f t="shared" si="3"/>
        <v/>
      </c>
      <c r="K30" s="33" t="str">
        <f>IF(B30="","Pending",IF(M30="","⚠️ Enter Code",IF(IFERROR(VLOOKUP(L30,DB_Agents!$B:$F,4,0),"")=TEXT(M30,"0"),"Pending Approval","🔒 WRONG CODE")))</f>
        <v>Pending</v>
      </c>
      <c r="L30" s="30" t="s">
        <v>61</v>
      </c>
      <c r="M30" s="41"/>
      <c r="N30" s="57"/>
    </row>
    <row r="31" spans="1:14" ht="20.100000000000001" customHeight="1" x14ac:dyDescent="0.25">
      <c r="A31" s="30" t="str">
        <f t="shared" si="0"/>
        <v/>
      </c>
      <c r="B31" s="41"/>
      <c r="C31" s="35" t="str">
        <f>IF(B31="","",IFERROR(VLOOKUP(B31,DB_Customers!$A:$B,2,0),"❌ Account Not Found"))</f>
        <v/>
      </c>
      <c r="D31" s="42" t="str">
        <f t="shared" ca="1" si="1"/>
        <v/>
      </c>
      <c r="E31" s="32"/>
      <c r="F31" s="31"/>
      <c r="G31" s="41"/>
      <c r="H31" s="56">
        <v>2.5</v>
      </c>
      <c r="I31" s="43" t="str">
        <f t="shared" si="2"/>
        <v/>
      </c>
      <c r="J31" s="43" t="str">
        <f t="shared" si="3"/>
        <v/>
      </c>
      <c r="K31" s="33" t="str">
        <f>IF(B31="","Pending",IF(M31="","⚠️ Enter Code",IF(IFERROR(VLOOKUP(L31,DB_Agents!$B:$F,4,0),"")=TEXT(M31,"0"),"Pending Approval","🔒 WRONG CODE")))</f>
        <v>Pending</v>
      </c>
      <c r="L31" s="30" t="s">
        <v>61</v>
      </c>
      <c r="M31" s="41"/>
      <c r="N31" s="22"/>
    </row>
    <row r="32" spans="1:14" ht="20.100000000000001" customHeight="1" x14ac:dyDescent="0.25">
      <c r="A32" s="30" t="str">
        <f t="shared" si="0"/>
        <v/>
      </c>
      <c r="B32" s="41"/>
      <c r="C32" s="35" t="str">
        <f>IF(B32="","",IFERROR(VLOOKUP(B32,DB_Customers!$A:$B,2,0),"❌ Account Not Found"))</f>
        <v/>
      </c>
      <c r="D32" s="42" t="str">
        <f t="shared" ca="1" si="1"/>
        <v/>
      </c>
      <c r="E32" s="32"/>
      <c r="F32" s="31"/>
      <c r="G32" s="41"/>
      <c r="H32" s="56">
        <v>2.5</v>
      </c>
      <c r="I32" s="43" t="str">
        <f t="shared" si="2"/>
        <v/>
      </c>
      <c r="J32" s="43" t="str">
        <f t="shared" si="3"/>
        <v/>
      </c>
      <c r="K32" s="33" t="str">
        <f>IF(B32="","Pending",IF(M32="","⚠️ Enter Code",IF(IFERROR(VLOOKUP(L32,DB_Agents!$B:$F,4,0),"")=TEXT(M32,"0"),"Pending Approval","🔒 WRONG CODE")))</f>
        <v>Pending</v>
      </c>
      <c r="L32" s="30" t="s">
        <v>61</v>
      </c>
      <c r="M32" s="41"/>
      <c r="N32" s="57"/>
    </row>
    <row r="33" spans="1:14" ht="20.100000000000001" customHeight="1" x14ac:dyDescent="0.25">
      <c r="A33" s="30" t="str">
        <f t="shared" si="0"/>
        <v/>
      </c>
      <c r="B33" s="41"/>
      <c r="C33" s="35" t="str">
        <f>IF(B33="","",IFERROR(VLOOKUP(B33,DB_Customers!$A:$B,2,0),"❌ Account Not Found"))</f>
        <v/>
      </c>
      <c r="D33" s="42" t="str">
        <f t="shared" ca="1" si="1"/>
        <v/>
      </c>
      <c r="E33" s="32"/>
      <c r="F33" s="31"/>
      <c r="G33" s="41"/>
      <c r="H33" s="56">
        <v>2.5</v>
      </c>
      <c r="I33" s="43" t="str">
        <f t="shared" si="2"/>
        <v/>
      </c>
      <c r="J33" s="43" t="str">
        <f t="shared" si="3"/>
        <v/>
      </c>
      <c r="K33" s="33" t="str">
        <f>IF(B33="","Pending",IF(M33="","⚠️ Enter Code",IF(IFERROR(VLOOKUP(L33,DB_Agents!$B:$F,4,0),"")=TEXT(M33,"0"),"Pending Approval","🔒 WRONG CODE")))</f>
        <v>Pending</v>
      </c>
      <c r="L33" s="30" t="s">
        <v>61</v>
      </c>
      <c r="M33" s="41"/>
      <c r="N33" s="22"/>
    </row>
    <row r="34" spans="1:14" ht="20.100000000000001" customHeight="1" x14ac:dyDescent="0.25">
      <c r="A34" s="30" t="str">
        <f t="shared" si="0"/>
        <v/>
      </c>
      <c r="B34" s="41"/>
      <c r="C34" s="35" t="str">
        <f>IF(B34="","",IFERROR(VLOOKUP(B34,DB_Customers!$A:$B,2,0),"❌ Account Not Found"))</f>
        <v/>
      </c>
      <c r="D34" s="42" t="str">
        <f t="shared" ca="1" si="1"/>
        <v/>
      </c>
      <c r="E34" s="32"/>
      <c r="F34" s="31"/>
      <c r="G34" s="41"/>
      <c r="H34" s="56">
        <v>2.5</v>
      </c>
      <c r="I34" s="43" t="str">
        <f t="shared" si="2"/>
        <v/>
      </c>
      <c r="J34" s="43" t="str">
        <f t="shared" si="3"/>
        <v/>
      </c>
      <c r="K34" s="33" t="str">
        <f>IF(B34="","Pending",IF(M34="","⚠️ Enter Code",IF(IFERROR(VLOOKUP(L34,DB_Agents!$B:$F,4,0),"")=TEXT(M34,"0"),"Pending Approval","🔒 WRONG CODE")))</f>
        <v>Pending</v>
      </c>
      <c r="L34" s="30" t="s">
        <v>61</v>
      </c>
      <c r="M34" s="41"/>
      <c r="N34" s="57"/>
    </row>
    <row r="35" spans="1:14" ht="20.100000000000001" customHeight="1" x14ac:dyDescent="0.25">
      <c r="A35" s="30" t="str">
        <f t="shared" si="0"/>
        <v/>
      </c>
      <c r="B35" s="41"/>
      <c r="C35" s="35" t="str">
        <f>IF(B35="","",IFERROR(VLOOKUP(B35,DB_Customers!$A:$B,2,0),"❌ Account Not Found"))</f>
        <v/>
      </c>
      <c r="D35" s="42" t="str">
        <f t="shared" ca="1" si="1"/>
        <v/>
      </c>
      <c r="E35" s="32"/>
      <c r="F35" s="31"/>
      <c r="G35" s="41"/>
      <c r="H35" s="56">
        <v>2.5</v>
      </c>
      <c r="I35" s="43" t="str">
        <f t="shared" si="2"/>
        <v/>
      </c>
      <c r="J35" s="43" t="str">
        <f t="shared" si="3"/>
        <v/>
      </c>
      <c r="K35" s="33" t="str">
        <f>IF(B35="","Pending",IF(M35="","⚠️ Enter Code",IF(IFERROR(VLOOKUP(L35,DB_Agents!$B:$F,4,0),"")=TEXT(M35,"0"),"Pending Approval","🔒 WRONG CODE")))</f>
        <v>Pending</v>
      </c>
      <c r="L35" s="30" t="s">
        <v>61</v>
      </c>
      <c r="M35" s="41"/>
      <c r="N35" s="22"/>
    </row>
    <row r="36" spans="1:14" ht="20.100000000000001" customHeight="1" x14ac:dyDescent="0.25">
      <c r="A36" s="30" t="str">
        <f t="shared" si="0"/>
        <v/>
      </c>
      <c r="B36" s="41"/>
      <c r="C36" s="35" t="str">
        <f>IF(B36="","",IFERROR(VLOOKUP(B36,DB_Customers!$A:$B,2,0),"❌ Account Not Found"))</f>
        <v/>
      </c>
      <c r="D36" s="42" t="str">
        <f t="shared" ca="1" si="1"/>
        <v/>
      </c>
      <c r="E36" s="32"/>
      <c r="F36" s="31"/>
      <c r="G36" s="41"/>
      <c r="H36" s="56">
        <v>2.5</v>
      </c>
      <c r="I36" s="43" t="str">
        <f t="shared" si="2"/>
        <v/>
      </c>
      <c r="J36" s="43" t="str">
        <f t="shared" si="3"/>
        <v/>
      </c>
      <c r="K36" s="33" t="str">
        <f>IF(B36="","Pending",IF(M36="","⚠️ Enter Code",IF(IFERROR(VLOOKUP(L36,DB_Agents!$B:$F,4,0),"")=TEXT(M36,"0"),"Pending Approval","🔒 WRONG CODE")))</f>
        <v>Pending</v>
      </c>
      <c r="L36" s="30" t="s">
        <v>61</v>
      </c>
      <c r="M36" s="41"/>
      <c r="N36" s="57"/>
    </row>
    <row r="37" spans="1:14" ht="20.100000000000001" customHeight="1" x14ac:dyDescent="0.25">
      <c r="A37" s="30" t="str">
        <f t="shared" si="0"/>
        <v/>
      </c>
      <c r="B37" s="41"/>
      <c r="C37" s="35" t="str">
        <f>IF(B37="","",IFERROR(VLOOKUP(B37,DB_Customers!$A:$B,2,0),"❌ Account Not Found"))</f>
        <v/>
      </c>
      <c r="D37" s="42" t="str">
        <f t="shared" ca="1" si="1"/>
        <v/>
      </c>
      <c r="E37" s="32"/>
      <c r="F37" s="31"/>
      <c r="G37" s="41"/>
      <c r="H37" s="56">
        <v>2.5</v>
      </c>
      <c r="I37" s="43" t="str">
        <f t="shared" si="2"/>
        <v/>
      </c>
      <c r="J37" s="43" t="str">
        <f t="shared" si="3"/>
        <v/>
      </c>
      <c r="K37" s="33" t="str">
        <f>IF(B37="","Pending",IF(M37="","⚠️ Enter Code",IF(IFERROR(VLOOKUP(L37,DB_Agents!$B:$F,4,0),"")=TEXT(M37,"0"),"Pending Approval","🔒 WRONG CODE")))</f>
        <v>Pending</v>
      </c>
      <c r="L37" s="30" t="s">
        <v>61</v>
      </c>
      <c r="M37" s="41"/>
      <c r="N37" s="22"/>
    </row>
    <row r="38" spans="1:14" ht="20.100000000000001" customHeight="1" x14ac:dyDescent="0.25">
      <c r="A38" s="30" t="str">
        <f t="shared" si="0"/>
        <v/>
      </c>
      <c r="B38" s="41"/>
      <c r="C38" s="35" t="str">
        <f>IF(B38="","",IFERROR(VLOOKUP(B38,DB_Customers!$A:$B,2,0),"❌ Account Not Found"))</f>
        <v/>
      </c>
      <c r="D38" s="42" t="str">
        <f t="shared" ca="1" si="1"/>
        <v/>
      </c>
      <c r="E38" s="32"/>
      <c r="F38" s="31"/>
      <c r="G38" s="41"/>
      <c r="H38" s="56">
        <v>2.5</v>
      </c>
      <c r="I38" s="43" t="str">
        <f t="shared" si="2"/>
        <v/>
      </c>
      <c r="J38" s="43" t="str">
        <f t="shared" si="3"/>
        <v/>
      </c>
      <c r="K38" s="33" t="str">
        <f>IF(B38="","Pending",IF(M38="","⚠️ Enter Code",IF(IFERROR(VLOOKUP(L38,DB_Agents!$B:$F,4,0),"")=TEXT(M38,"0"),"Pending Approval","🔒 WRONG CODE")))</f>
        <v>Pending</v>
      </c>
      <c r="L38" s="30" t="s">
        <v>61</v>
      </c>
      <c r="M38" s="41"/>
      <c r="N38" s="57"/>
    </row>
    <row r="39" spans="1:14" ht="20.100000000000001" customHeight="1" x14ac:dyDescent="0.25">
      <c r="A39" s="30" t="str">
        <f t="shared" si="0"/>
        <v/>
      </c>
      <c r="B39" s="41"/>
      <c r="C39" s="35" t="str">
        <f>IF(B39="","",IFERROR(VLOOKUP(B39,DB_Customers!$A:$B,2,0),"❌ Account Not Found"))</f>
        <v/>
      </c>
      <c r="D39" s="42" t="str">
        <f t="shared" ca="1" si="1"/>
        <v/>
      </c>
      <c r="E39" s="32"/>
      <c r="F39" s="31"/>
      <c r="G39" s="41"/>
      <c r="H39" s="56">
        <v>2.5</v>
      </c>
      <c r="I39" s="43" t="str">
        <f t="shared" si="2"/>
        <v/>
      </c>
      <c r="J39" s="43" t="str">
        <f t="shared" si="3"/>
        <v/>
      </c>
      <c r="K39" s="33" t="str">
        <f>IF(B39="","Pending",IF(M39="","⚠️ Enter Code",IF(IFERROR(VLOOKUP(L39,DB_Agents!$B:$F,4,0),"")=TEXT(M39,"0"),"Pending Approval","🔒 WRONG CODE")))</f>
        <v>Pending</v>
      </c>
      <c r="L39" s="30" t="s">
        <v>61</v>
      </c>
      <c r="M39" s="41"/>
      <c r="N39" s="22"/>
    </row>
    <row r="40" spans="1:14" ht="20.100000000000001" customHeight="1" x14ac:dyDescent="0.25">
      <c r="A40" s="30" t="str">
        <f t="shared" si="0"/>
        <v/>
      </c>
      <c r="B40" s="41"/>
      <c r="C40" s="35" t="str">
        <f>IF(B40="","",IFERROR(VLOOKUP(B40,DB_Customers!$A:$B,2,0),"❌ Account Not Found"))</f>
        <v/>
      </c>
      <c r="D40" s="42" t="str">
        <f t="shared" ca="1" si="1"/>
        <v/>
      </c>
      <c r="E40" s="32"/>
      <c r="F40" s="31"/>
      <c r="G40" s="41"/>
      <c r="H40" s="56">
        <v>2.5</v>
      </c>
      <c r="I40" s="43" t="str">
        <f t="shared" si="2"/>
        <v/>
      </c>
      <c r="J40" s="43" t="str">
        <f t="shared" si="3"/>
        <v/>
      </c>
      <c r="K40" s="33" t="str">
        <f>IF(B40="","Pending",IF(M40="","⚠️ Enter Code",IF(IFERROR(VLOOKUP(L40,DB_Agents!$B:$F,4,0),"")=TEXT(M40,"0"),"Pending Approval","🔒 WRONG CODE")))</f>
        <v>Pending</v>
      </c>
      <c r="L40" s="30" t="s">
        <v>61</v>
      </c>
      <c r="M40" s="41"/>
      <c r="N40" s="57"/>
    </row>
    <row r="41" spans="1:14" ht="20.100000000000001" customHeight="1" x14ac:dyDescent="0.25">
      <c r="A41" s="30" t="str">
        <f t="shared" si="0"/>
        <v/>
      </c>
      <c r="B41" s="41"/>
      <c r="C41" s="35" t="str">
        <f>IF(B41="","",IFERROR(VLOOKUP(B41,DB_Customers!$A:$B,2,0),"❌ Account Not Found"))</f>
        <v/>
      </c>
      <c r="D41" s="42" t="str">
        <f t="shared" ca="1" si="1"/>
        <v/>
      </c>
      <c r="E41" s="32"/>
      <c r="F41" s="31"/>
      <c r="G41" s="41"/>
      <c r="H41" s="56">
        <v>2.5</v>
      </c>
      <c r="I41" s="43" t="str">
        <f t="shared" si="2"/>
        <v/>
      </c>
      <c r="J41" s="43" t="str">
        <f t="shared" si="3"/>
        <v/>
      </c>
      <c r="K41" s="33" t="str">
        <f>IF(B41="","Pending",IF(M41="","⚠️ Enter Code",IF(IFERROR(VLOOKUP(L41,DB_Agents!$B:$F,4,0),"")=TEXT(M41,"0"),"Pending Approval","🔒 WRONG CODE")))</f>
        <v>Pending</v>
      </c>
      <c r="L41" s="30" t="s">
        <v>61</v>
      </c>
      <c r="M41" s="41"/>
      <c r="N41" s="22"/>
    </row>
    <row r="42" spans="1:14" ht="20.100000000000001" customHeight="1" x14ac:dyDescent="0.25">
      <c r="A42" s="30" t="str">
        <f t="shared" si="0"/>
        <v/>
      </c>
      <c r="B42" s="41"/>
      <c r="C42" s="35" t="str">
        <f>IF(B42="","",IFERROR(VLOOKUP(B42,DB_Customers!$A:$B,2,0),"❌ Account Not Found"))</f>
        <v/>
      </c>
      <c r="D42" s="42" t="str">
        <f t="shared" ca="1" si="1"/>
        <v/>
      </c>
      <c r="E42" s="32"/>
      <c r="F42" s="31"/>
      <c r="G42" s="41"/>
      <c r="H42" s="56">
        <v>2.5</v>
      </c>
      <c r="I42" s="43" t="str">
        <f t="shared" si="2"/>
        <v/>
      </c>
      <c r="J42" s="43" t="str">
        <f t="shared" si="3"/>
        <v/>
      </c>
      <c r="K42" s="33" t="str">
        <f>IF(B42="","Pending",IF(M42="","⚠️ Enter Code",IF(IFERROR(VLOOKUP(L42,DB_Agents!$B:$F,4,0),"")=TEXT(M42,"0"),"Pending Approval","🔒 WRONG CODE")))</f>
        <v>Pending</v>
      </c>
      <c r="L42" s="30" t="s">
        <v>61</v>
      </c>
      <c r="M42" s="41"/>
      <c r="N42" s="57"/>
    </row>
    <row r="43" spans="1:14" ht="20.100000000000001" customHeight="1" x14ac:dyDescent="0.25">
      <c r="A43" s="30" t="str">
        <f t="shared" si="0"/>
        <v/>
      </c>
      <c r="B43" s="41"/>
      <c r="C43" s="35" t="str">
        <f>IF(B43="","",IFERROR(VLOOKUP(B43,DB_Customers!$A:$B,2,0),"❌ Account Not Found"))</f>
        <v/>
      </c>
      <c r="D43" s="42" t="str">
        <f t="shared" ca="1" si="1"/>
        <v/>
      </c>
      <c r="E43" s="32"/>
      <c r="F43" s="31"/>
      <c r="G43" s="41"/>
      <c r="H43" s="56">
        <v>2.5</v>
      </c>
      <c r="I43" s="43" t="str">
        <f t="shared" si="2"/>
        <v/>
      </c>
      <c r="J43" s="43" t="str">
        <f t="shared" si="3"/>
        <v/>
      </c>
      <c r="K43" s="33" t="str">
        <f>IF(B43="","Pending",IF(M43="","⚠️ Enter Code",IF(IFERROR(VLOOKUP(L43,DB_Agents!$B:$F,4,0),"")=TEXT(M43,"0"),"Pending Approval","🔒 WRONG CODE")))</f>
        <v>Pending</v>
      </c>
      <c r="L43" s="30" t="s">
        <v>61</v>
      </c>
      <c r="M43" s="41"/>
      <c r="N43" s="22"/>
    </row>
    <row r="44" spans="1:14" ht="20.100000000000001" customHeight="1" x14ac:dyDescent="0.25">
      <c r="A44" s="30" t="str">
        <f t="shared" si="0"/>
        <v/>
      </c>
      <c r="B44" s="41"/>
      <c r="C44" s="35" t="str">
        <f>IF(B44="","",IFERROR(VLOOKUP(B44,DB_Customers!$A:$B,2,0),"❌ Account Not Found"))</f>
        <v/>
      </c>
      <c r="D44" s="42" t="str">
        <f t="shared" ca="1" si="1"/>
        <v/>
      </c>
      <c r="E44" s="32"/>
      <c r="F44" s="31"/>
      <c r="G44" s="41"/>
      <c r="H44" s="56">
        <v>2.5</v>
      </c>
      <c r="I44" s="43" t="str">
        <f t="shared" si="2"/>
        <v/>
      </c>
      <c r="J44" s="43" t="str">
        <f t="shared" si="3"/>
        <v/>
      </c>
      <c r="K44" s="33" t="str">
        <f>IF(B44="","Pending",IF(M44="","⚠️ Enter Code",IF(IFERROR(VLOOKUP(L44,DB_Agents!$B:$F,4,0),"")=TEXT(M44,"0"),"Pending Approval","🔒 WRONG CODE")))</f>
        <v>Pending</v>
      </c>
      <c r="L44" s="30" t="s">
        <v>61</v>
      </c>
      <c r="M44" s="41"/>
      <c r="N44" s="57"/>
    </row>
    <row r="45" spans="1:14" ht="20.100000000000001" customHeight="1" x14ac:dyDescent="0.25">
      <c r="A45" s="30" t="str">
        <f t="shared" si="0"/>
        <v/>
      </c>
      <c r="B45" s="41"/>
      <c r="C45" s="35" t="str">
        <f>IF(B45="","",IFERROR(VLOOKUP(B45,DB_Customers!$A:$B,2,0),"❌ Account Not Found"))</f>
        <v/>
      </c>
      <c r="D45" s="42" t="str">
        <f t="shared" ca="1" si="1"/>
        <v/>
      </c>
      <c r="E45" s="32"/>
      <c r="F45" s="31"/>
      <c r="G45" s="41"/>
      <c r="H45" s="56">
        <v>2.5</v>
      </c>
      <c r="I45" s="43" t="str">
        <f t="shared" si="2"/>
        <v/>
      </c>
      <c r="J45" s="43" t="str">
        <f t="shared" si="3"/>
        <v/>
      </c>
      <c r="K45" s="33" t="str">
        <f>IF(B45="","Pending",IF(M45="","⚠️ Enter Code",IF(IFERROR(VLOOKUP(L45,DB_Agents!$B:$F,4,0),"")=TEXT(M45,"0"),"Pending Approval","🔒 WRONG CODE")))</f>
        <v>Pending</v>
      </c>
      <c r="L45" s="30" t="s">
        <v>61</v>
      </c>
      <c r="M45" s="41"/>
      <c r="N45" s="22"/>
    </row>
    <row r="46" spans="1:14" ht="20.100000000000001" customHeight="1" x14ac:dyDescent="0.25">
      <c r="A46" s="30" t="str">
        <f t="shared" ref="A46:A77" si="4">IF(B46="","",IF(C46="❌ Account Not Found","INVALID","LN"&amp;TEXT(D46,"YYYYMMDD")&amp;TEXT(ROW()-13,"0000")))</f>
        <v/>
      </c>
      <c r="B46" s="41"/>
      <c r="C46" s="35" t="str">
        <f>IF(B46="","",IFERROR(VLOOKUP(B46,DB_Customers!$A:$B,2,0),"❌ Account Not Found"))</f>
        <v/>
      </c>
      <c r="D46" s="42" t="str">
        <f t="shared" ref="D46:D77" ca="1" si="5">IF(B46="","",TODAY())</f>
        <v/>
      </c>
      <c r="E46" s="32"/>
      <c r="F46" s="31"/>
      <c r="G46" s="41"/>
      <c r="H46" s="56">
        <v>2.5</v>
      </c>
      <c r="I46" s="43" t="str">
        <f t="shared" ref="I46:I77" si="6">IF(E46="","",E46+(E46*H46/100*G46))</f>
        <v/>
      </c>
      <c r="J46" s="43" t="str">
        <f t="shared" ref="J46:J77" si="7">IFERROR(I46/G46,"")</f>
        <v/>
      </c>
      <c r="K46" s="33" t="str">
        <f>IF(B46="","Pending",IF(M46="","⚠️ Enter Code",IF(IFERROR(VLOOKUP(L46,DB_Agents!$B:$F,4,0),"")=TEXT(M46,"0"),"Pending Approval","🔒 WRONG CODE")))</f>
        <v>Pending</v>
      </c>
      <c r="L46" s="30" t="s">
        <v>61</v>
      </c>
      <c r="M46" s="41"/>
      <c r="N46" s="57"/>
    </row>
    <row r="47" spans="1:14" ht="20.100000000000001" customHeight="1" x14ac:dyDescent="0.25">
      <c r="A47" s="30" t="str">
        <f t="shared" si="4"/>
        <v/>
      </c>
      <c r="B47" s="41"/>
      <c r="C47" s="35" t="str">
        <f>IF(B47="","",IFERROR(VLOOKUP(B47,DB_Customers!$A:$B,2,0),"❌ Account Not Found"))</f>
        <v/>
      </c>
      <c r="D47" s="42" t="str">
        <f t="shared" ca="1" si="5"/>
        <v/>
      </c>
      <c r="E47" s="32"/>
      <c r="F47" s="31"/>
      <c r="G47" s="41"/>
      <c r="H47" s="56">
        <v>2.5</v>
      </c>
      <c r="I47" s="43" t="str">
        <f t="shared" si="6"/>
        <v/>
      </c>
      <c r="J47" s="43" t="str">
        <f t="shared" si="7"/>
        <v/>
      </c>
      <c r="K47" s="33" t="str">
        <f>IF(B47="","Pending",IF(M47="","⚠️ Enter Code",IF(IFERROR(VLOOKUP(L47,DB_Agents!$B:$F,4,0),"")=TEXT(M47,"0"),"Pending Approval","🔒 WRONG CODE")))</f>
        <v>Pending</v>
      </c>
      <c r="L47" s="30" t="s">
        <v>61</v>
      </c>
      <c r="M47" s="41"/>
      <c r="N47" s="22"/>
    </row>
    <row r="48" spans="1:14" ht="20.100000000000001" customHeight="1" x14ac:dyDescent="0.25">
      <c r="A48" s="30" t="str">
        <f t="shared" si="4"/>
        <v/>
      </c>
      <c r="B48" s="41"/>
      <c r="C48" s="35" t="str">
        <f>IF(B48="","",IFERROR(VLOOKUP(B48,DB_Customers!$A:$B,2,0),"❌ Account Not Found"))</f>
        <v/>
      </c>
      <c r="D48" s="42" t="str">
        <f t="shared" ca="1" si="5"/>
        <v/>
      </c>
      <c r="E48" s="32"/>
      <c r="F48" s="31"/>
      <c r="G48" s="41"/>
      <c r="H48" s="56">
        <v>2.5</v>
      </c>
      <c r="I48" s="43" t="str">
        <f t="shared" si="6"/>
        <v/>
      </c>
      <c r="J48" s="43" t="str">
        <f t="shared" si="7"/>
        <v/>
      </c>
      <c r="K48" s="33" t="str">
        <f>IF(B48="","Pending",IF(M48="","⚠️ Enter Code",IF(IFERROR(VLOOKUP(L48,DB_Agents!$B:$F,4,0),"")=TEXT(M48,"0"),"Pending Approval","🔒 WRONG CODE")))</f>
        <v>Pending</v>
      </c>
      <c r="L48" s="30" t="s">
        <v>61</v>
      </c>
      <c r="M48" s="41"/>
      <c r="N48" s="57"/>
    </row>
    <row r="49" spans="1:14" ht="20.100000000000001" customHeight="1" x14ac:dyDescent="0.25">
      <c r="A49" s="30" t="str">
        <f t="shared" si="4"/>
        <v/>
      </c>
      <c r="B49" s="41"/>
      <c r="C49" s="35" t="str">
        <f>IF(B49="","",IFERROR(VLOOKUP(B49,DB_Customers!$A:$B,2,0),"❌ Account Not Found"))</f>
        <v/>
      </c>
      <c r="D49" s="42" t="str">
        <f t="shared" ca="1" si="5"/>
        <v/>
      </c>
      <c r="E49" s="32"/>
      <c r="F49" s="31"/>
      <c r="G49" s="41"/>
      <c r="H49" s="56">
        <v>2.5</v>
      </c>
      <c r="I49" s="43" t="str">
        <f t="shared" si="6"/>
        <v/>
      </c>
      <c r="J49" s="43" t="str">
        <f t="shared" si="7"/>
        <v/>
      </c>
      <c r="K49" s="33" t="str">
        <f>IF(B49="","Pending",IF(M49="","⚠️ Enter Code",IF(IFERROR(VLOOKUP(L49,DB_Agents!$B:$F,4,0),"")=TEXT(M49,"0"),"Pending Approval","🔒 WRONG CODE")))</f>
        <v>Pending</v>
      </c>
      <c r="L49" s="30" t="s">
        <v>61</v>
      </c>
      <c r="M49" s="41"/>
      <c r="N49" s="22"/>
    </row>
    <row r="50" spans="1:14" ht="20.100000000000001" customHeight="1" x14ac:dyDescent="0.25">
      <c r="A50" s="30" t="str">
        <f t="shared" si="4"/>
        <v/>
      </c>
      <c r="B50" s="41"/>
      <c r="C50" s="35" t="str">
        <f>IF(B50="","",IFERROR(VLOOKUP(B50,DB_Customers!$A:$B,2,0),"❌ Account Not Found"))</f>
        <v/>
      </c>
      <c r="D50" s="42" t="str">
        <f t="shared" ca="1" si="5"/>
        <v/>
      </c>
      <c r="E50" s="32"/>
      <c r="F50" s="31"/>
      <c r="G50" s="41"/>
      <c r="H50" s="56">
        <v>2.5</v>
      </c>
      <c r="I50" s="43" t="str">
        <f t="shared" si="6"/>
        <v/>
      </c>
      <c r="J50" s="43" t="str">
        <f t="shared" si="7"/>
        <v/>
      </c>
      <c r="K50" s="33" t="str">
        <f>IF(B50="","Pending",IF(M50="","⚠️ Enter Code",IF(IFERROR(VLOOKUP(L50,DB_Agents!$B:$F,4,0),"")=TEXT(M50,"0"),"Pending Approval","🔒 WRONG CODE")))</f>
        <v>Pending</v>
      </c>
      <c r="L50" s="30" t="s">
        <v>61</v>
      </c>
      <c r="M50" s="41"/>
      <c r="N50" s="57"/>
    </row>
    <row r="51" spans="1:14" ht="20.100000000000001" customHeight="1" x14ac:dyDescent="0.25">
      <c r="A51" s="30" t="str">
        <f t="shared" si="4"/>
        <v/>
      </c>
      <c r="B51" s="41"/>
      <c r="C51" s="35" t="str">
        <f>IF(B51="","",IFERROR(VLOOKUP(B51,DB_Customers!$A:$B,2,0),"❌ Account Not Found"))</f>
        <v/>
      </c>
      <c r="D51" s="42" t="str">
        <f t="shared" ca="1" si="5"/>
        <v/>
      </c>
      <c r="E51" s="32"/>
      <c r="F51" s="31"/>
      <c r="G51" s="41"/>
      <c r="H51" s="56">
        <v>2.5</v>
      </c>
      <c r="I51" s="43" t="str">
        <f t="shared" si="6"/>
        <v/>
      </c>
      <c r="J51" s="43" t="str">
        <f t="shared" si="7"/>
        <v/>
      </c>
      <c r="K51" s="33" t="str">
        <f>IF(B51="","Pending",IF(M51="","⚠️ Enter Code",IF(IFERROR(VLOOKUP(L51,DB_Agents!$B:$F,4,0),"")=TEXT(M51,"0"),"Pending Approval","🔒 WRONG CODE")))</f>
        <v>Pending</v>
      </c>
      <c r="L51" s="30" t="s">
        <v>61</v>
      </c>
      <c r="M51" s="41"/>
      <c r="N51" s="22"/>
    </row>
    <row r="52" spans="1:14" ht="20.100000000000001" customHeight="1" x14ac:dyDescent="0.25">
      <c r="A52" s="30" t="str">
        <f t="shared" si="4"/>
        <v/>
      </c>
      <c r="B52" s="41"/>
      <c r="C52" s="35" t="str">
        <f>IF(B52="","",IFERROR(VLOOKUP(B52,DB_Customers!$A:$B,2,0),"❌ Account Not Found"))</f>
        <v/>
      </c>
      <c r="D52" s="42" t="str">
        <f t="shared" ca="1" si="5"/>
        <v/>
      </c>
      <c r="E52" s="32"/>
      <c r="F52" s="31"/>
      <c r="G52" s="41"/>
      <c r="H52" s="56">
        <v>2.5</v>
      </c>
      <c r="I52" s="43" t="str">
        <f t="shared" si="6"/>
        <v/>
      </c>
      <c r="J52" s="43" t="str">
        <f t="shared" si="7"/>
        <v/>
      </c>
      <c r="K52" s="33" t="str">
        <f>IF(B52="","Pending",IF(M52="","⚠️ Enter Code",IF(IFERROR(VLOOKUP(L52,DB_Agents!$B:$F,4,0),"")=TEXT(M52,"0"),"Pending Approval","🔒 WRONG CODE")))</f>
        <v>Pending</v>
      </c>
      <c r="L52" s="30" t="s">
        <v>61</v>
      </c>
      <c r="M52" s="41"/>
      <c r="N52" s="57"/>
    </row>
    <row r="53" spans="1:14" ht="20.100000000000001" customHeight="1" x14ac:dyDescent="0.25">
      <c r="A53" s="30" t="str">
        <f t="shared" si="4"/>
        <v/>
      </c>
      <c r="B53" s="41"/>
      <c r="C53" s="35" t="str">
        <f>IF(B53="","",IFERROR(VLOOKUP(B53,DB_Customers!$A:$B,2,0),"❌ Account Not Found"))</f>
        <v/>
      </c>
      <c r="D53" s="42" t="str">
        <f t="shared" ca="1" si="5"/>
        <v/>
      </c>
      <c r="E53" s="32"/>
      <c r="F53" s="31"/>
      <c r="G53" s="41"/>
      <c r="H53" s="56">
        <v>2.5</v>
      </c>
      <c r="I53" s="43" t="str">
        <f t="shared" si="6"/>
        <v/>
      </c>
      <c r="J53" s="43" t="str">
        <f t="shared" si="7"/>
        <v/>
      </c>
      <c r="K53" s="33" t="str">
        <f>IF(B53="","Pending",IF(M53="","⚠️ Enter Code",IF(IFERROR(VLOOKUP(L53,DB_Agents!$B:$F,4,0),"")=TEXT(M53,"0"),"Pending Approval","🔒 WRONG CODE")))</f>
        <v>Pending</v>
      </c>
      <c r="L53" s="30" t="s">
        <v>61</v>
      </c>
      <c r="M53" s="41"/>
      <c r="N53" s="22"/>
    </row>
    <row r="54" spans="1:14" ht="20.100000000000001" customHeight="1" x14ac:dyDescent="0.25">
      <c r="A54" s="30" t="str">
        <f t="shared" si="4"/>
        <v/>
      </c>
      <c r="B54" s="41"/>
      <c r="C54" s="35" t="str">
        <f>IF(B54="","",IFERROR(VLOOKUP(B54,DB_Customers!$A:$B,2,0),"❌ Account Not Found"))</f>
        <v/>
      </c>
      <c r="D54" s="42" t="str">
        <f t="shared" ca="1" si="5"/>
        <v/>
      </c>
      <c r="E54" s="32"/>
      <c r="F54" s="31"/>
      <c r="G54" s="41"/>
      <c r="H54" s="56">
        <v>2.5</v>
      </c>
      <c r="I54" s="43" t="str">
        <f t="shared" si="6"/>
        <v/>
      </c>
      <c r="J54" s="43" t="str">
        <f t="shared" si="7"/>
        <v/>
      </c>
      <c r="K54" s="33" t="str">
        <f>IF(B54="","Pending",IF(M54="","⚠️ Enter Code",IF(IFERROR(VLOOKUP(L54,DB_Agents!$B:$F,4,0),"")=TEXT(M54,"0"),"Pending Approval","🔒 WRONG CODE")))</f>
        <v>Pending</v>
      </c>
      <c r="L54" s="30" t="s">
        <v>61</v>
      </c>
      <c r="M54" s="41"/>
      <c r="N54" s="57"/>
    </row>
    <row r="55" spans="1:14" ht="20.100000000000001" customHeight="1" x14ac:dyDescent="0.25">
      <c r="A55" s="30" t="str">
        <f t="shared" si="4"/>
        <v/>
      </c>
      <c r="B55" s="41"/>
      <c r="C55" s="35" t="str">
        <f>IF(B55="","",IFERROR(VLOOKUP(B55,DB_Customers!$A:$B,2,0),"❌ Account Not Found"))</f>
        <v/>
      </c>
      <c r="D55" s="42" t="str">
        <f t="shared" ca="1" si="5"/>
        <v/>
      </c>
      <c r="E55" s="32"/>
      <c r="F55" s="31"/>
      <c r="G55" s="41"/>
      <c r="H55" s="56">
        <v>2.5</v>
      </c>
      <c r="I55" s="43" t="str">
        <f t="shared" si="6"/>
        <v/>
      </c>
      <c r="J55" s="43" t="str">
        <f t="shared" si="7"/>
        <v/>
      </c>
      <c r="K55" s="33" t="str">
        <f>IF(B55="","Pending",IF(M55="","⚠️ Enter Code",IF(IFERROR(VLOOKUP(L55,DB_Agents!$B:$F,4,0),"")=TEXT(M55,"0"),"Pending Approval","🔒 WRONG CODE")))</f>
        <v>Pending</v>
      </c>
      <c r="L55" s="30" t="s">
        <v>61</v>
      </c>
      <c r="M55" s="41"/>
      <c r="N55" s="22"/>
    </row>
    <row r="56" spans="1:14" ht="20.100000000000001" customHeight="1" x14ac:dyDescent="0.25">
      <c r="A56" s="30" t="str">
        <f t="shared" si="4"/>
        <v/>
      </c>
      <c r="B56" s="41"/>
      <c r="C56" s="35" t="str">
        <f>IF(B56="","",IFERROR(VLOOKUP(B56,DB_Customers!$A:$B,2,0),"❌ Account Not Found"))</f>
        <v/>
      </c>
      <c r="D56" s="42" t="str">
        <f t="shared" ca="1" si="5"/>
        <v/>
      </c>
      <c r="E56" s="32"/>
      <c r="F56" s="31"/>
      <c r="G56" s="41"/>
      <c r="H56" s="56">
        <v>2.5</v>
      </c>
      <c r="I56" s="43" t="str">
        <f t="shared" si="6"/>
        <v/>
      </c>
      <c r="J56" s="43" t="str">
        <f t="shared" si="7"/>
        <v/>
      </c>
      <c r="K56" s="33" t="str">
        <f>IF(B56="","Pending",IF(M56="","⚠️ Enter Code",IF(IFERROR(VLOOKUP(L56,DB_Agents!$B:$F,4,0),"")=TEXT(M56,"0"),"Pending Approval","🔒 WRONG CODE")))</f>
        <v>Pending</v>
      </c>
      <c r="L56" s="30" t="s">
        <v>61</v>
      </c>
      <c r="M56" s="41"/>
      <c r="N56" s="57"/>
    </row>
    <row r="57" spans="1:14" ht="20.100000000000001" customHeight="1" x14ac:dyDescent="0.25">
      <c r="A57" s="30" t="str">
        <f t="shared" si="4"/>
        <v/>
      </c>
      <c r="B57" s="41"/>
      <c r="C57" s="35" t="str">
        <f>IF(B57="","",IFERROR(VLOOKUP(B57,DB_Customers!$A:$B,2,0),"❌ Account Not Found"))</f>
        <v/>
      </c>
      <c r="D57" s="42" t="str">
        <f t="shared" ca="1" si="5"/>
        <v/>
      </c>
      <c r="E57" s="32"/>
      <c r="F57" s="31"/>
      <c r="G57" s="41"/>
      <c r="H57" s="56">
        <v>2.5</v>
      </c>
      <c r="I57" s="43" t="str">
        <f t="shared" si="6"/>
        <v/>
      </c>
      <c r="J57" s="43" t="str">
        <f t="shared" si="7"/>
        <v/>
      </c>
      <c r="K57" s="33" t="str">
        <f>IF(B57="","Pending",IF(M57="","⚠️ Enter Code",IF(IFERROR(VLOOKUP(L57,DB_Agents!$B:$F,4,0),"")=TEXT(M57,"0"),"Pending Approval","🔒 WRONG CODE")))</f>
        <v>Pending</v>
      </c>
      <c r="L57" s="30" t="s">
        <v>61</v>
      </c>
      <c r="M57" s="41"/>
      <c r="N57" s="22"/>
    </row>
    <row r="58" spans="1:14" ht="20.100000000000001" customHeight="1" x14ac:dyDescent="0.25">
      <c r="A58" s="30" t="str">
        <f t="shared" si="4"/>
        <v/>
      </c>
      <c r="B58" s="41"/>
      <c r="C58" s="35" t="str">
        <f>IF(B58="","",IFERROR(VLOOKUP(B58,DB_Customers!$A:$B,2,0),"❌ Account Not Found"))</f>
        <v/>
      </c>
      <c r="D58" s="42" t="str">
        <f t="shared" ca="1" si="5"/>
        <v/>
      </c>
      <c r="E58" s="32"/>
      <c r="F58" s="31"/>
      <c r="G58" s="41"/>
      <c r="H58" s="56">
        <v>2.5</v>
      </c>
      <c r="I58" s="43" t="str">
        <f t="shared" si="6"/>
        <v/>
      </c>
      <c r="J58" s="43" t="str">
        <f t="shared" si="7"/>
        <v/>
      </c>
      <c r="K58" s="33" t="str">
        <f>IF(B58="","Pending",IF(M58="","⚠️ Enter Code",IF(IFERROR(VLOOKUP(L58,DB_Agents!$B:$F,4,0),"")=TEXT(M58,"0"),"Pending Approval","🔒 WRONG CODE")))</f>
        <v>Pending</v>
      </c>
      <c r="L58" s="30" t="s">
        <v>61</v>
      </c>
      <c r="M58" s="41"/>
      <c r="N58" s="57"/>
    </row>
    <row r="59" spans="1:14" ht="20.100000000000001" customHeight="1" x14ac:dyDescent="0.25">
      <c r="A59" s="30" t="str">
        <f t="shared" si="4"/>
        <v/>
      </c>
      <c r="B59" s="41"/>
      <c r="C59" s="35" t="str">
        <f>IF(B59="","",IFERROR(VLOOKUP(B59,DB_Customers!$A:$B,2,0),"❌ Account Not Found"))</f>
        <v/>
      </c>
      <c r="D59" s="42" t="str">
        <f t="shared" ca="1" si="5"/>
        <v/>
      </c>
      <c r="E59" s="32"/>
      <c r="F59" s="31"/>
      <c r="G59" s="41"/>
      <c r="H59" s="56">
        <v>2.5</v>
      </c>
      <c r="I59" s="43" t="str">
        <f t="shared" si="6"/>
        <v/>
      </c>
      <c r="J59" s="43" t="str">
        <f t="shared" si="7"/>
        <v/>
      </c>
      <c r="K59" s="33" t="str">
        <f>IF(B59="","Pending",IF(M59="","⚠️ Enter Code",IF(IFERROR(VLOOKUP(L59,DB_Agents!$B:$F,4,0),"")=TEXT(M59,"0"),"Pending Approval","🔒 WRONG CODE")))</f>
        <v>Pending</v>
      </c>
      <c r="L59" s="30" t="s">
        <v>61</v>
      </c>
      <c r="M59" s="41"/>
      <c r="N59" s="22"/>
    </row>
    <row r="60" spans="1:14" ht="20.100000000000001" customHeight="1" x14ac:dyDescent="0.25">
      <c r="A60" s="30" t="str">
        <f t="shared" si="4"/>
        <v/>
      </c>
      <c r="B60" s="41"/>
      <c r="C60" s="35" t="str">
        <f>IF(B60="","",IFERROR(VLOOKUP(B60,DB_Customers!$A:$B,2,0),"❌ Account Not Found"))</f>
        <v/>
      </c>
      <c r="D60" s="42" t="str">
        <f t="shared" ca="1" si="5"/>
        <v/>
      </c>
      <c r="E60" s="32"/>
      <c r="F60" s="31"/>
      <c r="G60" s="41"/>
      <c r="H60" s="56">
        <v>2.5</v>
      </c>
      <c r="I60" s="43" t="str">
        <f t="shared" si="6"/>
        <v/>
      </c>
      <c r="J60" s="43" t="str">
        <f t="shared" si="7"/>
        <v/>
      </c>
      <c r="K60" s="33" t="str">
        <f>IF(B60="","Pending",IF(M60="","⚠️ Enter Code",IF(IFERROR(VLOOKUP(L60,DB_Agents!$B:$F,4,0),"")=TEXT(M60,"0"),"Pending Approval","🔒 WRONG CODE")))</f>
        <v>Pending</v>
      </c>
      <c r="L60" s="30" t="s">
        <v>61</v>
      </c>
      <c r="M60" s="41"/>
      <c r="N60" s="57"/>
    </row>
    <row r="61" spans="1:14" ht="20.100000000000001" customHeight="1" x14ac:dyDescent="0.25">
      <c r="A61" s="30" t="str">
        <f t="shared" si="4"/>
        <v/>
      </c>
      <c r="B61" s="41"/>
      <c r="C61" s="35" t="str">
        <f>IF(B61="","",IFERROR(VLOOKUP(B61,DB_Customers!$A:$B,2,0),"❌ Account Not Found"))</f>
        <v/>
      </c>
      <c r="D61" s="42" t="str">
        <f t="shared" ca="1" si="5"/>
        <v/>
      </c>
      <c r="E61" s="32"/>
      <c r="F61" s="31"/>
      <c r="G61" s="41"/>
      <c r="H61" s="56">
        <v>2.5</v>
      </c>
      <c r="I61" s="43" t="str">
        <f t="shared" si="6"/>
        <v/>
      </c>
      <c r="J61" s="43" t="str">
        <f t="shared" si="7"/>
        <v/>
      </c>
      <c r="K61" s="33" t="str">
        <f>IF(B61="","Pending",IF(M61="","⚠️ Enter Code",IF(IFERROR(VLOOKUP(L61,DB_Agents!$B:$F,4,0),"")=TEXT(M61,"0"),"Pending Approval","🔒 WRONG CODE")))</f>
        <v>Pending</v>
      </c>
      <c r="L61" s="30" t="s">
        <v>61</v>
      </c>
      <c r="M61" s="41"/>
      <c r="N61" s="22"/>
    </row>
    <row r="62" spans="1:14" ht="20.100000000000001" customHeight="1" x14ac:dyDescent="0.25">
      <c r="A62" s="30" t="str">
        <f t="shared" si="4"/>
        <v/>
      </c>
      <c r="B62" s="41"/>
      <c r="C62" s="35" t="str">
        <f>IF(B62="","",IFERROR(VLOOKUP(B62,DB_Customers!$A:$B,2,0),"❌ Account Not Found"))</f>
        <v/>
      </c>
      <c r="D62" s="42" t="str">
        <f t="shared" ca="1" si="5"/>
        <v/>
      </c>
      <c r="E62" s="32"/>
      <c r="F62" s="31"/>
      <c r="G62" s="41"/>
      <c r="H62" s="56">
        <v>2.5</v>
      </c>
      <c r="I62" s="43" t="str">
        <f t="shared" si="6"/>
        <v/>
      </c>
      <c r="J62" s="43" t="str">
        <f t="shared" si="7"/>
        <v/>
      </c>
      <c r="K62" s="33" t="str">
        <f>IF(B62="","Pending",IF(M62="","⚠️ Enter Code",IF(IFERROR(VLOOKUP(L62,DB_Agents!$B:$F,4,0),"")=TEXT(M62,"0"),"Pending Approval","🔒 WRONG CODE")))</f>
        <v>Pending</v>
      </c>
      <c r="L62" s="30" t="s">
        <v>61</v>
      </c>
      <c r="M62" s="41"/>
      <c r="N62" s="57"/>
    </row>
    <row r="63" spans="1:14" ht="20.100000000000001" customHeight="1" x14ac:dyDescent="0.25">
      <c r="A63" s="30" t="str">
        <f t="shared" si="4"/>
        <v/>
      </c>
      <c r="B63" s="41"/>
      <c r="C63" s="35" t="str">
        <f>IF(B63="","",IFERROR(VLOOKUP(B63,DB_Customers!$A:$B,2,0),"❌ Account Not Found"))</f>
        <v/>
      </c>
      <c r="D63" s="42" t="str">
        <f t="shared" ca="1" si="5"/>
        <v/>
      </c>
      <c r="E63" s="32"/>
      <c r="F63" s="31"/>
      <c r="G63" s="41"/>
      <c r="H63" s="56">
        <v>2.5</v>
      </c>
      <c r="I63" s="43" t="str">
        <f t="shared" si="6"/>
        <v/>
      </c>
      <c r="J63" s="43" t="str">
        <f t="shared" si="7"/>
        <v/>
      </c>
      <c r="K63" s="33" t="str">
        <f>IF(B63="","Pending",IF(M63="","⚠️ Enter Code",IF(IFERROR(VLOOKUP(L63,DB_Agents!$B:$F,4,0),"")=TEXT(M63,"0"),"Pending Approval","🔒 WRONG CODE")))</f>
        <v>Pending</v>
      </c>
      <c r="L63" s="30" t="s">
        <v>61</v>
      </c>
      <c r="M63" s="41"/>
      <c r="N63" s="22"/>
    </row>
    <row r="64" spans="1:14" ht="20.100000000000001" customHeight="1" x14ac:dyDescent="0.25">
      <c r="A64" s="30" t="str">
        <f t="shared" si="4"/>
        <v/>
      </c>
      <c r="B64" s="41"/>
      <c r="C64" s="35" t="str">
        <f>IF(B64="","",IFERROR(VLOOKUP(B64,DB_Customers!$A:$B,2,0),"❌ Account Not Found"))</f>
        <v/>
      </c>
      <c r="D64" s="42" t="str">
        <f t="shared" ca="1" si="5"/>
        <v/>
      </c>
      <c r="E64" s="32"/>
      <c r="F64" s="31"/>
      <c r="G64" s="41"/>
      <c r="H64" s="56">
        <v>2.5</v>
      </c>
      <c r="I64" s="43" t="str">
        <f t="shared" si="6"/>
        <v/>
      </c>
      <c r="J64" s="43" t="str">
        <f t="shared" si="7"/>
        <v/>
      </c>
      <c r="K64" s="33" t="str">
        <f>IF(B64="","Pending",IF(M64="","⚠️ Enter Code",IF(IFERROR(VLOOKUP(L64,DB_Agents!$B:$F,4,0),"")=TEXT(M64,"0"),"Pending Approval","🔒 WRONG CODE")))</f>
        <v>Pending</v>
      </c>
      <c r="L64" s="30" t="s">
        <v>61</v>
      </c>
      <c r="M64" s="41"/>
      <c r="N64" s="57"/>
    </row>
    <row r="65" spans="1:14" ht="20.100000000000001" customHeight="1" x14ac:dyDescent="0.25">
      <c r="A65" s="30" t="str">
        <f t="shared" si="4"/>
        <v/>
      </c>
      <c r="B65" s="41"/>
      <c r="C65" s="35" t="str">
        <f>IF(B65="","",IFERROR(VLOOKUP(B65,DB_Customers!$A:$B,2,0),"❌ Account Not Found"))</f>
        <v/>
      </c>
      <c r="D65" s="42" t="str">
        <f t="shared" ca="1" si="5"/>
        <v/>
      </c>
      <c r="E65" s="32"/>
      <c r="F65" s="31"/>
      <c r="G65" s="41"/>
      <c r="H65" s="56">
        <v>2.5</v>
      </c>
      <c r="I65" s="43" t="str">
        <f t="shared" si="6"/>
        <v/>
      </c>
      <c r="J65" s="43" t="str">
        <f t="shared" si="7"/>
        <v/>
      </c>
      <c r="K65" s="33" t="str">
        <f>IF(B65="","Pending",IF(M65="","⚠️ Enter Code",IF(IFERROR(VLOOKUP(L65,DB_Agents!$B:$F,4,0),"")=TEXT(M65,"0"),"Pending Approval","🔒 WRONG CODE")))</f>
        <v>Pending</v>
      </c>
      <c r="L65" s="30" t="s">
        <v>61</v>
      </c>
      <c r="M65" s="41"/>
      <c r="N65" s="22"/>
    </row>
    <row r="66" spans="1:14" ht="20.100000000000001" customHeight="1" x14ac:dyDescent="0.25">
      <c r="A66" s="30" t="str">
        <f t="shared" si="4"/>
        <v/>
      </c>
      <c r="B66" s="41"/>
      <c r="C66" s="35" t="str">
        <f>IF(B66="","",IFERROR(VLOOKUP(B66,DB_Customers!$A:$B,2,0),"❌ Account Not Found"))</f>
        <v/>
      </c>
      <c r="D66" s="42" t="str">
        <f t="shared" ca="1" si="5"/>
        <v/>
      </c>
      <c r="E66" s="32"/>
      <c r="F66" s="31"/>
      <c r="G66" s="41"/>
      <c r="H66" s="56">
        <v>2.5</v>
      </c>
      <c r="I66" s="43" t="str">
        <f t="shared" si="6"/>
        <v/>
      </c>
      <c r="J66" s="43" t="str">
        <f t="shared" si="7"/>
        <v/>
      </c>
      <c r="K66" s="33" t="str">
        <f>IF(B66="","Pending",IF(M66="","⚠️ Enter Code",IF(IFERROR(VLOOKUP(L66,DB_Agents!$B:$F,4,0),"")=TEXT(M66,"0"),"Pending Approval","🔒 WRONG CODE")))</f>
        <v>Pending</v>
      </c>
      <c r="L66" s="30" t="s">
        <v>61</v>
      </c>
      <c r="M66" s="41"/>
      <c r="N66" s="57"/>
    </row>
    <row r="67" spans="1:14" ht="20.100000000000001" customHeight="1" x14ac:dyDescent="0.25">
      <c r="A67" s="30" t="str">
        <f t="shared" si="4"/>
        <v/>
      </c>
      <c r="B67" s="41"/>
      <c r="C67" s="35" t="str">
        <f>IF(B67="","",IFERROR(VLOOKUP(B67,DB_Customers!$A:$B,2,0),"❌ Account Not Found"))</f>
        <v/>
      </c>
      <c r="D67" s="42" t="str">
        <f t="shared" ca="1" si="5"/>
        <v/>
      </c>
      <c r="E67" s="32"/>
      <c r="F67" s="31"/>
      <c r="G67" s="41"/>
      <c r="H67" s="56">
        <v>2.5</v>
      </c>
      <c r="I67" s="43" t="str">
        <f t="shared" si="6"/>
        <v/>
      </c>
      <c r="J67" s="43" t="str">
        <f t="shared" si="7"/>
        <v/>
      </c>
      <c r="K67" s="33" t="str">
        <f>IF(B67="","Pending",IF(M67="","⚠️ Enter Code",IF(IFERROR(VLOOKUP(L67,DB_Agents!$B:$F,4,0),"")=TEXT(M67,"0"),"Pending Approval","🔒 WRONG CODE")))</f>
        <v>Pending</v>
      </c>
      <c r="L67" s="30" t="s">
        <v>61</v>
      </c>
      <c r="M67" s="41"/>
      <c r="N67" s="22"/>
    </row>
    <row r="68" spans="1:14" ht="20.100000000000001" customHeight="1" x14ac:dyDescent="0.25">
      <c r="A68" s="30" t="str">
        <f t="shared" si="4"/>
        <v/>
      </c>
      <c r="B68" s="41"/>
      <c r="C68" s="35" t="str">
        <f>IF(B68="","",IFERROR(VLOOKUP(B68,DB_Customers!$A:$B,2,0),"❌ Account Not Found"))</f>
        <v/>
      </c>
      <c r="D68" s="42" t="str">
        <f t="shared" ca="1" si="5"/>
        <v/>
      </c>
      <c r="E68" s="32"/>
      <c r="F68" s="31"/>
      <c r="G68" s="41"/>
      <c r="H68" s="56">
        <v>2.5</v>
      </c>
      <c r="I68" s="43" t="str">
        <f t="shared" si="6"/>
        <v/>
      </c>
      <c r="J68" s="43" t="str">
        <f t="shared" si="7"/>
        <v/>
      </c>
      <c r="K68" s="33" t="str">
        <f>IF(B68="","Pending",IF(M68="","⚠️ Enter Code",IF(IFERROR(VLOOKUP(L68,DB_Agents!$B:$F,4,0),"")=TEXT(M68,"0"),"Pending Approval","🔒 WRONG CODE")))</f>
        <v>Pending</v>
      </c>
      <c r="L68" s="30" t="s">
        <v>61</v>
      </c>
      <c r="M68" s="41"/>
      <c r="N68" s="57"/>
    </row>
    <row r="69" spans="1:14" ht="20.100000000000001" customHeight="1" x14ac:dyDescent="0.25">
      <c r="A69" s="30" t="str">
        <f t="shared" si="4"/>
        <v/>
      </c>
      <c r="B69" s="41"/>
      <c r="C69" s="35" t="str">
        <f>IF(B69="","",IFERROR(VLOOKUP(B69,DB_Customers!$A:$B,2,0),"❌ Account Not Found"))</f>
        <v/>
      </c>
      <c r="D69" s="42" t="str">
        <f t="shared" ca="1" si="5"/>
        <v/>
      </c>
      <c r="E69" s="32"/>
      <c r="F69" s="31"/>
      <c r="G69" s="41"/>
      <c r="H69" s="56">
        <v>2.5</v>
      </c>
      <c r="I69" s="43" t="str">
        <f t="shared" si="6"/>
        <v/>
      </c>
      <c r="J69" s="43" t="str">
        <f t="shared" si="7"/>
        <v/>
      </c>
      <c r="K69" s="33" t="str">
        <f>IF(B69="","Pending",IF(M69="","⚠️ Enter Code",IF(IFERROR(VLOOKUP(L69,DB_Agents!$B:$F,4,0),"")=TEXT(M69,"0"),"Pending Approval","🔒 WRONG CODE")))</f>
        <v>Pending</v>
      </c>
      <c r="L69" s="30" t="s">
        <v>61</v>
      </c>
      <c r="M69" s="41"/>
      <c r="N69" s="22"/>
    </row>
    <row r="70" spans="1:14" ht="20.100000000000001" customHeight="1" x14ac:dyDescent="0.25">
      <c r="A70" s="30" t="str">
        <f t="shared" si="4"/>
        <v/>
      </c>
      <c r="B70" s="41"/>
      <c r="C70" s="35" t="str">
        <f>IF(B70="","",IFERROR(VLOOKUP(B70,DB_Customers!$A:$B,2,0),"❌ Account Not Found"))</f>
        <v/>
      </c>
      <c r="D70" s="42" t="str">
        <f t="shared" ca="1" si="5"/>
        <v/>
      </c>
      <c r="E70" s="32"/>
      <c r="F70" s="31"/>
      <c r="G70" s="41"/>
      <c r="H70" s="56">
        <v>2.5</v>
      </c>
      <c r="I70" s="43" t="str">
        <f t="shared" si="6"/>
        <v/>
      </c>
      <c r="J70" s="43" t="str">
        <f t="shared" si="7"/>
        <v/>
      </c>
      <c r="K70" s="33" t="str">
        <f>IF(B70="","Pending",IF(M70="","⚠️ Enter Code",IF(IFERROR(VLOOKUP(L70,DB_Agents!$B:$F,4,0),"")=TEXT(M70,"0"),"Pending Approval","🔒 WRONG CODE")))</f>
        <v>Pending</v>
      </c>
      <c r="L70" s="30" t="s">
        <v>61</v>
      </c>
      <c r="M70" s="41"/>
      <c r="N70" s="57"/>
    </row>
    <row r="71" spans="1:14" ht="20.100000000000001" customHeight="1" x14ac:dyDescent="0.25">
      <c r="A71" s="30" t="str">
        <f t="shared" si="4"/>
        <v/>
      </c>
      <c r="B71" s="41"/>
      <c r="C71" s="35" t="str">
        <f>IF(B71="","",IFERROR(VLOOKUP(B71,DB_Customers!$A:$B,2,0),"❌ Account Not Found"))</f>
        <v/>
      </c>
      <c r="D71" s="42" t="str">
        <f t="shared" ca="1" si="5"/>
        <v/>
      </c>
      <c r="E71" s="32"/>
      <c r="F71" s="31"/>
      <c r="G71" s="41"/>
      <c r="H71" s="56">
        <v>2.5</v>
      </c>
      <c r="I71" s="43" t="str">
        <f t="shared" si="6"/>
        <v/>
      </c>
      <c r="J71" s="43" t="str">
        <f t="shared" si="7"/>
        <v/>
      </c>
      <c r="K71" s="33" t="str">
        <f>IF(B71="","Pending",IF(M71="","⚠️ Enter Code",IF(IFERROR(VLOOKUP(L71,DB_Agents!$B:$F,4,0),"")=TEXT(M71,"0"),"Pending Approval","🔒 WRONG CODE")))</f>
        <v>Pending</v>
      </c>
      <c r="L71" s="30" t="s">
        <v>61</v>
      </c>
      <c r="M71" s="41"/>
      <c r="N71" s="22"/>
    </row>
    <row r="72" spans="1:14" ht="20.100000000000001" customHeight="1" x14ac:dyDescent="0.25">
      <c r="A72" s="30" t="str">
        <f t="shared" si="4"/>
        <v/>
      </c>
      <c r="B72" s="41"/>
      <c r="C72" s="35" t="str">
        <f>IF(B72="","",IFERROR(VLOOKUP(B72,DB_Customers!$A:$B,2,0),"❌ Account Not Found"))</f>
        <v/>
      </c>
      <c r="D72" s="42" t="str">
        <f t="shared" ca="1" si="5"/>
        <v/>
      </c>
      <c r="E72" s="32"/>
      <c r="F72" s="31"/>
      <c r="G72" s="41"/>
      <c r="H72" s="56">
        <v>2.5</v>
      </c>
      <c r="I72" s="43" t="str">
        <f t="shared" si="6"/>
        <v/>
      </c>
      <c r="J72" s="43" t="str">
        <f t="shared" si="7"/>
        <v/>
      </c>
      <c r="K72" s="33" t="str">
        <f>IF(B72="","Pending",IF(M72="","⚠️ Enter Code",IF(IFERROR(VLOOKUP(L72,DB_Agents!$B:$F,4,0),"")=TEXT(M72,"0"),"Pending Approval","🔒 WRONG CODE")))</f>
        <v>Pending</v>
      </c>
      <c r="L72" s="30" t="s">
        <v>61</v>
      </c>
      <c r="M72" s="41"/>
      <c r="N72" s="57"/>
    </row>
    <row r="73" spans="1:14" ht="20.100000000000001" customHeight="1" x14ac:dyDescent="0.25">
      <c r="A73" s="30" t="str">
        <f t="shared" si="4"/>
        <v/>
      </c>
      <c r="B73" s="41"/>
      <c r="C73" s="35" t="str">
        <f>IF(B73="","",IFERROR(VLOOKUP(B73,DB_Customers!$A:$B,2,0),"❌ Account Not Found"))</f>
        <v/>
      </c>
      <c r="D73" s="42" t="str">
        <f t="shared" ca="1" si="5"/>
        <v/>
      </c>
      <c r="E73" s="32"/>
      <c r="F73" s="31"/>
      <c r="G73" s="41"/>
      <c r="H73" s="56">
        <v>2.5</v>
      </c>
      <c r="I73" s="43" t="str">
        <f t="shared" si="6"/>
        <v/>
      </c>
      <c r="J73" s="43" t="str">
        <f t="shared" si="7"/>
        <v/>
      </c>
      <c r="K73" s="33" t="str">
        <f>IF(B73="","Pending",IF(M73="","⚠️ Enter Code",IF(IFERROR(VLOOKUP(L73,DB_Agents!$B:$F,4,0),"")=TEXT(M73,"0"),"Pending Approval","🔒 WRONG CODE")))</f>
        <v>Pending</v>
      </c>
      <c r="L73" s="30" t="s">
        <v>61</v>
      </c>
      <c r="M73" s="41"/>
      <c r="N73" s="22"/>
    </row>
    <row r="74" spans="1:14" ht="20.100000000000001" customHeight="1" x14ac:dyDescent="0.25">
      <c r="A74" s="30" t="str">
        <f t="shared" si="4"/>
        <v/>
      </c>
      <c r="B74" s="41"/>
      <c r="C74" s="35" t="str">
        <f>IF(B74="","",IFERROR(VLOOKUP(B74,DB_Customers!$A:$B,2,0),"❌ Account Not Found"))</f>
        <v/>
      </c>
      <c r="D74" s="42" t="str">
        <f t="shared" ca="1" si="5"/>
        <v/>
      </c>
      <c r="E74" s="32"/>
      <c r="F74" s="31"/>
      <c r="G74" s="41"/>
      <c r="H74" s="56">
        <v>2.5</v>
      </c>
      <c r="I74" s="43" t="str">
        <f t="shared" si="6"/>
        <v/>
      </c>
      <c r="J74" s="43" t="str">
        <f t="shared" si="7"/>
        <v/>
      </c>
      <c r="K74" s="33" t="str">
        <f>IF(B74="","Pending",IF(M74="","⚠️ Enter Code",IF(IFERROR(VLOOKUP(L74,DB_Agents!$B:$F,4,0),"")=TEXT(M74,"0"),"Pending Approval","🔒 WRONG CODE")))</f>
        <v>Pending</v>
      </c>
      <c r="L74" s="30" t="s">
        <v>61</v>
      </c>
      <c r="M74" s="41"/>
      <c r="N74" s="57"/>
    </row>
    <row r="75" spans="1:14" ht="20.100000000000001" customHeight="1" x14ac:dyDescent="0.25">
      <c r="A75" s="30" t="str">
        <f t="shared" si="4"/>
        <v/>
      </c>
      <c r="B75" s="41"/>
      <c r="C75" s="35" t="str">
        <f>IF(B75="","",IFERROR(VLOOKUP(B75,DB_Customers!$A:$B,2,0),"❌ Account Not Found"))</f>
        <v/>
      </c>
      <c r="D75" s="42" t="str">
        <f t="shared" ca="1" si="5"/>
        <v/>
      </c>
      <c r="E75" s="32"/>
      <c r="F75" s="31"/>
      <c r="G75" s="41"/>
      <c r="H75" s="56">
        <v>2.5</v>
      </c>
      <c r="I75" s="43" t="str">
        <f t="shared" si="6"/>
        <v/>
      </c>
      <c r="J75" s="43" t="str">
        <f t="shared" si="7"/>
        <v/>
      </c>
      <c r="K75" s="33" t="str">
        <f>IF(B75="","Pending",IF(M75="","⚠️ Enter Code",IF(IFERROR(VLOOKUP(L75,DB_Agents!$B:$F,4,0),"")=TEXT(M75,"0"),"Pending Approval","🔒 WRONG CODE")))</f>
        <v>Pending</v>
      </c>
      <c r="L75" s="30" t="s">
        <v>61</v>
      </c>
      <c r="M75" s="41"/>
      <c r="N75" s="22"/>
    </row>
    <row r="76" spans="1:14" ht="20.100000000000001" customHeight="1" x14ac:dyDescent="0.25">
      <c r="A76" s="30" t="str">
        <f t="shared" si="4"/>
        <v/>
      </c>
      <c r="B76" s="41"/>
      <c r="C76" s="35" t="str">
        <f>IF(B76="","",IFERROR(VLOOKUP(B76,DB_Customers!$A:$B,2,0),"❌ Account Not Found"))</f>
        <v/>
      </c>
      <c r="D76" s="42" t="str">
        <f t="shared" ca="1" si="5"/>
        <v/>
      </c>
      <c r="E76" s="32"/>
      <c r="F76" s="31"/>
      <c r="G76" s="41"/>
      <c r="H76" s="56">
        <v>2.5</v>
      </c>
      <c r="I76" s="43" t="str">
        <f t="shared" si="6"/>
        <v/>
      </c>
      <c r="J76" s="43" t="str">
        <f t="shared" si="7"/>
        <v/>
      </c>
      <c r="K76" s="33" t="str">
        <f>IF(B76="","Pending",IF(M76="","⚠️ Enter Code",IF(IFERROR(VLOOKUP(L76,DB_Agents!$B:$F,4,0),"")=TEXT(M76,"0"),"Pending Approval","🔒 WRONG CODE")))</f>
        <v>Pending</v>
      </c>
      <c r="L76" s="30" t="s">
        <v>61</v>
      </c>
      <c r="M76" s="41"/>
      <c r="N76" s="57"/>
    </row>
    <row r="77" spans="1:14" ht="20.100000000000001" customHeight="1" x14ac:dyDescent="0.25">
      <c r="A77" s="30" t="str">
        <f t="shared" si="4"/>
        <v/>
      </c>
      <c r="B77" s="41"/>
      <c r="C77" s="35" t="str">
        <f>IF(B77="","",IFERROR(VLOOKUP(B77,DB_Customers!$A:$B,2,0),"❌ Account Not Found"))</f>
        <v/>
      </c>
      <c r="D77" s="42" t="str">
        <f t="shared" ca="1" si="5"/>
        <v/>
      </c>
      <c r="E77" s="32"/>
      <c r="F77" s="31"/>
      <c r="G77" s="41"/>
      <c r="H77" s="56">
        <v>2.5</v>
      </c>
      <c r="I77" s="43" t="str">
        <f t="shared" si="6"/>
        <v/>
      </c>
      <c r="J77" s="43" t="str">
        <f t="shared" si="7"/>
        <v/>
      </c>
      <c r="K77" s="33" t="str">
        <f>IF(B77="","Pending",IF(M77="","⚠️ Enter Code",IF(IFERROR(VLOOKUP(L77,DB_Agents!$B:$F,4,0),"")=TEXT(M77,"0"),"Pending Approval","🔒 WRONG CODE")))</f>
        <v>Pending</v>
      </c>
      <c r="L77" s="30" t="s">
        <v>61</v>
      </c>
      <c r="M77" s="41"/>
      <c r="N77" s="22"/>
    </row>
    <row r="78" spans="1:14" ht="20.100000000000001" customHeight="1" x14ac:dyDescent="0.25">
      <c r="A78" s="30" t="str">
        <f t="shared" ref="A78:A109" si="8">IF(B78="","",IF(C78="❌ Account Not Found","INVALID","LN"&amp;TEXT(D78,"YYYYMMDD")&amp;TEXT(ROW()-13,"0000")))</f>
        <v/>
      </c>
      <c r="B78" s="41"/>
      <c r="C78" s="35" t="str">
        <f>IF(B78="","",IFERROR(VLOOKUP(B78,DB_Customers!$A:$B,2,0),"❌ Account Not Found"))</f>
        <v/>
      </c>
      <c r="D78" s="42" t="str">
        <f t="shared" ref="D78:D109" ca="1" si="9">IF(B78="","",TODAY())</f>
        <v/>
      </c>
      <c r="E78" s="32"/>
      <c r="F78" s="31"/>
      <c r="G78" s="41"/>
      <c r="H78" s="56">
        <v>2.5</v>
      </c>
      <c r="I78" s="43" t="str">
        <f t="shared" ref="I78:I109" si="10">IF(E78="","",E78+(E78*H78/100*G78))</f>
        <v/>
      </c>
      <c r="J78" s="43" t="str">
        <f t="shared" ref="J78:J109" si="11">IFERROR(I78/G78,"")</f>
        <v/>
      </c>
      <c r="K78" s="33" t="str">
        <f>IF(B78="","Pending",IF(M78="","⚠️ Enter Code",IF(IFERROR(VLOOKUP(L78,DB_Agents!$B:$F,4,0),"")=TEXT(M78,"0"),"Pending Approval","🔒 WRONG CODE")))</f>
        <v>Pending</v>
      </c>
      <c r="L78" s="30" t="s">
        <v>61</v>
      </c>
      <c r="M78" s="41"/>
      <c r="N78" s="57"/>
    </row>
    <row r="79" spans="1:14" ht="20.100000000000001" customHeight="1" x14ac:dyDescent="0.25">
      <c r="A79" s="30" t="str">
        <f t="shared" si="8"/>
        <v/>
      </c>
      <c r="B79" s="41"/>
      <c r="C79" s="35" t="str">
        <f>IF(B79="","",IFERROR(VLOOKUP(B79,DB_Customers!$A:$B,2,0),"❌ Account Not Found"))</f>
        <v/>
      </c>
      <c r="D79" s="42" t="str">
        <f t="shared" ca="1" si="9"/>
        <v/>
      </c>
      <c r="E79" s="32"/>
      <c r="F79" s="31"/>
      <c r="G79" s="41"/>
      <c r="H79" s="56">
        <v>2.5</v>
      </c>
      <c r="I79" s="43" t="str">
        <f t="shared" si="10"/>
        <v/>
      </c>
      <c r="J79" s="43" t="str">
        <f t="shared" si="11"/>
        <v/>
      </c>
      <c r="K79" s="33" t="str">
        <f>IF(B79="","Pending",IF(M79="","⚠️ Enter Code",IF(IFERROR(VLOOKUP(L79,DB_Agents!$B:$F,4,0),"")=TEXT(M79,"0"),"Pending Approval","🔒 WRONG CODE")))</f>
        <v>Pending</v>
      </c>
      <c r="L79" s="30" t="s">
        <v>61</v>
      </c>
      <c r="M79" s="41"/>
      <c r="N79" s="22"/>
    </row>
    <row r="80" spans="1:14" ht="20.100000000000001" customHeight="1" x14ac:dyDescent="0.25">
      <c r="A80" s="30" t="str">
        <f t="shared" si="8"/>
        <v/>
      </c>
      <c r="B80" s="41"/>
      <c r="C80" s="35" t="str">
        <f>IF(B80="","",IFERROR(VLOOKUP(B80,DB_Customers!$A:$B,2,0),"❌ Account Not Found"))</f>
        <v/>
      </c>
      <c r="D80" s="42" t="str">
        <f t="shared" ca="1" si="9"/>
        <v/>
      </c>
      <c r="E80" s="32"/>
      <c r="F80" s="31"/>
      <c r="G80" s="41"/>
      <c r="H80" s="56">
        <v>2.5</v>
      </c>
      <c r="I80" s="43" t="str">
        <f t="shared" si="10"/>
        <v/>
      </c>
      <c r="J80" s="43" t="str">
        <f t="shared" si="11"/>
        <v/>
      </c>
      <c r="K80" s="33" t="str">
        <f>IF(B80="","Pending",IF(M80="","⚠️ Enter Code",IF(IFERROR(VLOOKUP(L80,DB_Agents!$B:$F,4,0),"")=TEXT(M80,"0"),"Pending Approval","🔒 WRONG CODE")))</f>
        <v>Pending</v>
      </c>
      <c r="L80" s="30" t="s">
        <v>61</v>
      </c>
      <c r="M80" s="41"/>
      <c r="N80" s="57"/>
    </row>
    <row r="81" spans="1:14" ht="20.100000000000001" customHeight="1" x14ac:dyDescent="0.25">
      <c r="A81" s="30" t="str">
        <f t="shared" si="8"/>
        <v/>
      </c>
      <c r="B81" s="41"/>
      <c r="C81" s="35" t="str">
        <f>IF(B81="","",IFERROR(VLOOKUP(B81,DB_Customers!$A:$B,2,0),"❌ Account Not Found"))</f>
        <v/>
      </c>
      <c r="D81" s="42" t="str">
        <f t="shared" ca="1" si="9"/>
        <v/>
      </c>
      <c r="E81" s="32"/>
      <c r="F81" s="31"/>
      <c r="G81" s="41"/>
      <c r="H81" s="56">
        <v>2.5</v>
      </c>
      <c r="I81" s="43" t="str">
        <f t="shared" si="10"/>
        <v/>
      </c>
      <c r="J81" s="43" t="str">
        <f t="shared" si="11"/>
        <v/>
      </c>
      <c r="K81" s="33" t="str">
        <f>IF(B81="","Pending",IF(M81="","⚠️ Enter Code",IF(IFERROR(VLOOKUP(L81,DB_Agents!$B:$F,4,0),"")=TEXT(M81,"0"),"Pending Approval","🔒 WRONG CODE")))</f>
        <v>Pending</v>
      </c>
      <c r="L81" s="30" t="s">
        <v>61</v>
      </c>
      <c r="M81" s="41"/>
      <c r="N81" s="22"/>
    </row>
    <row r="82" spans="1:14" ht="20.100000000000001" customHeight="1" x14ac:dyDescent="0.25">
      <c r="A82" s="30" t="str">
        <f t="shared" si="8"/>
        <v/>
      </c>
      <c r="B82" s="41"/>
      <c r="C82" s="35" t="str">
        <f>IF(B82="","",IFERROR(VLOOKUP(B82,DB_Customers!$A:$B,2,0),"❌ Account Not Found"))</f>
        <v/>
      </c>
      <c r="D82" s="42" t="str">
        <f t="shared" ca="1" si="9"/>
        <v/>
      </c>
      <c r="E82" s="32"/>
      <c r="F82" s="31"/>
      <c r="G82" s="41"/>
      <c r="H82" s="56">
        <v>2.5</v>
      </c>
      <c r="I82" s="43" t="str">
        <f t="shared" si="10"/>
        <v/>
      </c>
      <c r="J82" s="43" t="str">
        <f t="shared" si="11"/>
        <v/>
      </c>
      <c r="K82" s="33" t="str">
        <f>IF(B82="","Pending",IF(M82="","⚠️ Enter Code",IF(IFERROR(VLOOKUP(L82,DB_Agents!$B:$F,4,0),"")=TEXT(M82,"0"),"Pending Approval","🔒 WRONG CODE")))</f>
        <v>Pending</v>
      </c>
      <c r="L82" s="30" t="s">
        <v>61</v>
      </c>
      <c r="M82" s="41"/>
      <c r="N82" s="57"/>
    </row>
    <row r="83" spans="1:14" ht="20.100000000000001" customHeight="1" x14ac:dyDescent="0.25">
      <c r="A83" s="30" t="str">
        <f t="shared" si="8"/>
        <v/>
      </c>
      <c r="B83" s="41"/>
      <c r="C83" s="35" t="str">
        <f>IF(B83="","",IFERROR(VLOOKUP(B83,DB_Customers!$A:$B,2,0),"❌ Account Not Found"))</f>
        <v/>
      </c>
      <c r="D83" s="42" t="str">
        <f t="shared" ca="1" si="9"/>
        <v/>
      </c>
      <c r="E83" s="32"/>
      <c r="F83" s="31"/>
      <c r="G83" s="41"/>
      <c r="H83" s="56">
        <v>2.5</v>
      </c>
      <c r="I83" s="43" t="str">
        <f t="shared" si="10"/>
        <v/>
      </c>
      <c r="J83" s="43" t="str">
        <f t="shared" si="11"/>
        <v/>
      </c>
      <c r="K83" s="33" t="str">
        <f>IF(B83="","Pending",IF(M83="","⚠️ Enter Code",IF(IFERROR(VLOOKUP(L83,DB_Agents!$B:$F,4,0),"")=TEXT(M83,"0"),"Pending Approval","🔒 WRONG CODE")))</f>
        <v>Pending</v>
      </c>
      <c r="L83" s="30" t="s">
        <v>61</v>
      </c>
      <c r="M83" s="41"/>
      <c r="N83" s="22"/>
    </row>
    <row r="84" spans="1:14" ht="20.100000000000001" customHeight="1" x14ac:dyDescent="0.25">
      <c r="A84" s="30" t="str">
        <f t="shared" si="8"/>
        <v/>
      </c>
      <c r="B84" s="41"/>
      <c r="C84" s="35" t="str">
        <f>IF(B84="","",IFERROR(VLOOKUP(B84,DB_Customers!$A:$B,2,0),"❌ Account Not Found"))</f>
        <v/>
      </c>
      <c r="D84" s="42" t="str">
        <f t="shared" ca="1" si="9"/>
        <v/>
      </c>
      <c r="E84" s="32"/>
      <c r="F84" s="31"/>
      <c r="G84" s="41"/>
      <c r="H84" s="56">
        <v>2.5</v>
      </c>
      <c r="I84" s="43" t="str">
        <f t="shared" si="10"/>
        <v/>
      </c>
      <c r="J84" s="43" t="str">
        <f t="shared" si="11"/>
        <v/>
      </c>
      <c r="K84" s="33" t="str">
        <f>IF(B84="","Pending",IF(M84="","⚠️ Enter Code",IF(IFERROR(VLOOKUP(L84,DB_Agents!$B:$F,4,0),"")=TEXT(M84,"0"),"Pending Approval","🔒 WRONG CODE")))</f>
        <v>Pending</v>
      </c>
      <c r="L84" s="30" t="s">
        <v>61</v>
      </c>
      <c r="M84" s="41"/>
      <c r="N84" s="57"/>
    </row>
    <row r="85" spans="1:14" ht="20.100000000000001" customHeight="1" x14ac:dyDescent="0.25">
      <c r="A85" s="30" t="str">
        <f t="shared" si="8"/>
        <v/>
      </c>
      <c r="B85" s="41"/>
      <c r="C85" s="35" t="str">
        <f>IF(B85="","",IFERROR(VLOOKUP(B85,DB_Customers!$A:$B,2,0),"❌ Account Not Found"))</f>
        <v/>
      </c>
      <c r="D85" s="42" t="str">
        <f t="shared" ca="1" si="9"/>
        <v/>
      </c>
      <c r="E85" s="32"/>
      <c r="F85" s="31"/>
      <c r="G85" s="41"/>
      <c r="H85" s="56">
        <v>2.5</v>
      </c>
      <c r="I85" s="43" t="str">
        <f t="shared" si="10"/>
        <v/>
      </c>
      <c r="J85" s="43" t="str">
        <f t="shared" si="11"/>
        <v/>
      </c>
      <c r="K85" s="33" t="str">
        <f>IF(B85="","Pending",IF(M85="","⚠️ Enter Code",IF(IFERROR(VLOOKUP(L85,DB_Agents!$B:$F,4,0),"")=TEXT(M85,"0"),"Pending Approval","🔒 WRONG CODE")))</f>
        <v>Pending</v>
      </c>
      <c r="L85" s="30" t="s">
        <v>61</v>
      </c>
      <c r="M85" s="41"/>
      <c r="N85" s="22"/>
    </row>
    <row r="86" spans="1:14" ht="20.100000000000001" customHeight="1" x14ac:dyDescent="0.25">
      <c r="A86" s="30" t="str">
        <f t="shared" si="8"/>
        <v/>
      </c>
      <c r="B86" s="41"/>
      <c r="C86" s="35" t="str">
        <f>IF(B86="","",IFERROR(VLOOKUP(B86,DB_Customers!$A:$B,2,0),"❌ Account Not Found"))</f>
        <v/>
      </c>
      <c r="D86" s="42" t="str">
        <f t="shared" ca="1" si="9"/>
        <v/>
      </c>
      <c r="E86" s="32"/>
      <c r="F86" s="31"/>
      <c r="G86" s="41"/>
      <c r="H86" s="56">
        <v>2.5</v>
      </c>
      <c r="I86" s="43" t="str">
        <f t="shared" si="10"/>
        <v/>
      </c>
      <c r="J86" s="43" t="str">
        <f t="shared" si="11"/>
        <v/>
      </c>
      <c r="K86" s="33" t="str">
        <f>IF(B86="","Pending",IF(M86="","⚠️ Enter Code",IF(IFERROR(VLOOKUP(L86,DB_Agents!$B:$F,4,0),"")=TEXT(M86,"0"),"Pending Approval","🔒 WRONG CODE")))</f>
        <v>Pending</v>
      </c>
      <c r="L86" s="30" t="s">
        <v>61</v>
      </c>
      <c r="M86" s="41"/>
      <c r="N86" s="57"/>
    </row>
    <row r="87" spans="1:14" ht="20.100000000000001" customHeight="1" x14ac:dyDescent="0.25">
      <c r="A87" s="30" t="str">
        <f t="shared" si="8"/>
        <v/>
      </c>
      <c r="B87" s="41"/>
      <c r="C87" s="35" t="str">
        <f>IF(B87="","",IFERROR(VLOOKUP(B87,DB_Customers!$A:$B,2,0),"❌ Account Not Found"))</f>
        <v/>
      </c>
      <c r="D87" s="42" t="str">
        <f t="shared" ca="1" si="9"/>
        <v/>
      </c>
      <c r="E87" s="32"/>
      <c r="F87" s="31"/>
      <c r="G87" s="41"/>
      <c r="H87" s="56">
        <v>2.5</v>
      </c>
      <c r="I87" s="43" t="str">
        <f t="shared" si="10"/>
        <v/>
      </c>
      <c r="J87" s="43" t="str">
        <f t="shared" si="11"/>
        <v/>
      </c>
      <c r="K87" s="33" t="str">
        <f>IF(B87="","Pending",IF(M87="","⚠️ Enter Code",IF(IFERROR(VLOOKUP(L87,DB_Agents!$B:$F,4,0),"")=TEXT(M87,"0"),"Pending Approval","🔒 WRONG CODE")))</f>
        <v>Pending</v>
      </c>
      <c r="L87" s="30" t="s">
        <v>61</v>
      </c>
      <c r="M87" s="41"/>
      <c r="N87" s="22"/>
    </row>
    <row r="88" spans="1:14" ht="20.100000000000001" customHeight="1" x14ac:dyDescent="0.25">
      <c r="A88" s="30" t="str">
        <f t="shared" si="8"/>
        <v/>
      </c>
      <c r="B88" s="41"/>
      <c r="C88" s="35" t="str">
        <f>IF(B88="","",IFERROR(VLOOKUP(B88,DB_Customers!$A:$B,2,0),"❌ Account Not Found"))</f>
        <v/>
      </c>
      <c r="D88" s="42" t="str">
        <f t="shared" ca="1" si="9"/>
        <v/>
      </c>
      <c r="E88" s="32"/>
      <c r="F88" s="31"/>
      <c r="G88" s="41"/>
      <c r="H88" s="56">
        <v>2.5</v>
      </c>
      <c r="I88" s="43" t="str">
        <f t="shared" si="10"/>
        <v/>
      </c>
      <c r="J88" s="43" t="str">
        <f t="shared" si="11"/>
        <v/>
      </c>
      <c r="K88" s="33" t="str">
        <f>IF(B88="","Pending",IF(M88="","⚠️ Enter Code",IF(IFERROR(VLOOKUP(L88,DB_Agents!$B:$F,4,0),"")=TEXT(M88,"0"),"Pending Approval","🔒 WRONG CODE")))</f>
        <v>Pending</v>
      </c>
      <c r="L88" s="30" t="s">
        <v>61</v>
      </c>
      <c r="M88" s="41"/>
      <c r="N88" s="57"/>
    </row>
    <row r="89" spans="1:14" ht="20.100000000000001" customHeight="1" x14ac:dyDescent="0.25">
      <c r="A89" s="30" t="str">
        <f t="shared" si="8"/>
        <v/>
      </c>
      <c r="B89" s="41"/>
      <c r="C89" s="35" t="str">
        <f>IF(B89="","",IFERROR(VLOOKUP(B89,DB_Customers!$A:$B,2,0),"❌ Account Not Found"))</f>
        <v/>
      </c>
      <c r="D89" s="42" t="str">
        <f t="shared" ca="1" si="9"/>
        <v/>
      </c>
      <c r="E89" s="32"/>
      <c r="F89" s="31"/>
      <c r="G89" s="41"/>
      <c r="H89" s="56">
        <v>2.5</v>
      </c>
      <c r="I89" s="43" t="str">
        <f t="shared" si="10"/>
        <v/>
      </c>
      <c r="J89" s="43" t="str">
        <f t="shared" si="11"/>
        <v/>
      </c>
      <c r="K89" s="33" t="str">
        <f>IF(B89="","Pending",IF(M89="","⚠️ Enter Code",IF(IFERROR(VLOOKUP(L89,DB_Agents!$B:$F,4,0),"")=TEXT(M89,"0"),"Pending Approval","🔒 WRONG CODE")))</f>
        <v>Pending</v>
      </c>
      <c r="L89" s="30" t="s">
        <v>61</v>
      </c>
      <c r="M89" s="41"/>
      <c r="N89" s="22"/>
    </row>
    <row r="90" spans="1:14" ht="20.100000000000001" customHeight="1" x14ac:dyDescent="0.25">
      <c r="A90" s="30" t="str">
        <f t="shared" si="8"/>
        <v/>
      </c>
      <c r="B90" s="41"/>
      <c r="C90" s="35" t="str">
        <f>IF(B90="","",IFERROR(VLOOKUP(B90,DB_Customers!$A:$B,2,0),"❌ Account Not Found"))</f>
        <v/>
      </c>
      <c r="D90" s="42" t="str">
        <f t="shared" ca="1" si="9"/>
        <v/>
      </c>
      <c r="E90" s="32"/>
      <c r="F90" s="31"/>
      <c r="G90" s="41"/>
      <c r="H90" s="56">
        <v>2.5</v>
      </c>
      <c r="I90" s="43" t="str">
        <f t="shared" si="10"/>
        <v/>
      </c>
      <c r="J90" s="43" t="str">
        <f t="shared" si="11"/>
        <v/>
      </c>
      <c r="K90" s="33" t="str">
        <f>IF(B90="","Pending",IF(M90="","⚠️ Enter Code",IF(IFERROR(VLOOKUP(L90,DB_Agents!$B:$F,4,0),"")=TEXT(M90,"0"),"Pending Approval","🔒 WRONG CODE")))</f>
        <v>Pending</v>
      </c>
      <c r="L90" s="30" t="s">
        <v>61</v>
      </c>
      <c r="M90" s="41"/>
      <c r="N90" s="57"/>
    </row>
    <row r="91" spans="1:14" ht="20.100000000000001" customHeight="1" x14ac:dyDescent="0.25">
      <c r="A91" s="30" t="str">
        <f t="shared" si="8"/>
        <v/>
      </c>
      <c r="B91" s="41"/>
      <c r="C91" s="35" t="str">
        <f>IF(B91="","",IFERROR(VLOOKUP(B91,DB_Customers!$A:$B,2,0),"❌ Account Not Found"))</f>
        <v/>
      </c>
      <c r="D91" s="42" t="str">
        <f t="shared" ca="1" si="9"/>
        <v/>
      </c>
      <c r="E91" s="32"/>
      <c r="F91" s="31"/>
      <c r="G91" s="41"/>
      <c r="H91" s="56">
        <v>2.5</v>
      </c>
      <c r="I91" s="43" t="str">
        <f t="shared" si="10"/>
        <v/>
      </c>
      <c r="J91" s="43" t="str">
        <f t="shared" si="11"/>
        <v/>
      </c>
      <c r="K91" s="33" t="str">
        <f>IF(B91="","Pending",IF(M91="","⚠️ Enter Code",IF(IFERROR(VLOOKUP(L91,DB_Agents!$B:$F,4,0),"")=TEXT(M91,"0"),"Pending Approval","🔒 WRONG CODE")))</f>
        <v>Pending</v>
      </c>
      <c r="L91" s="30" t="s">
        <v>61</v>
      </c>
      <c r="M91" s="41"/>
      <c r="N91" s="22"/>
    </row>
    <row r="92" spans="1:14" ht="20.100000000000001" customHeight="1" x14ac:dyDescent="0.25">
      <c r="A92" s="30" t="str">
        <f t="shared" si="8"/>
        <v/>
      </c>
      <c r="B92" s="41"/>
      <c r="C92" s="35" t="str">
        <f>IF(B92="","",IFERROR(VLOOKUP(B92,DB_Customers!$A:$B,2,0),"❌ Account Not Found"))</f>
        <v/>
      </c>
      <c r="D92" s="42" t="str">
        <f t="shared" ca="1" si="9"/>
        <v/>
      </c>
      <c r="E92" s="32"/>
      <c r="F92" s="31"/>
      <c r="G92" s="41"/>
      <c r="H92" s="56">
        <v>2.5</v>
      </c>
      <c r="I92" s="43" t="str">
        <f t="shared" si="10"/>
        <v/>
      </c>
      <c r="J92" s="43" t="str">
        <f t="shared" si="11"/>
        <v/>
      </c>
      <c r="K92" s="33" t="str">
        <f>IF(B92="","Pending",IF(M92="","⚠️ Enter Code",IF(IFERROR(VLOOKUP(L92,DB_Agents!$B:$F,4,0),"")=TEXT(M92,"0"),"Pending Approval","🔒 WRONG CODE")))</f>
        <v>Pending</v>
      </c>
      <c r="L92" s="30" t="s">
        <v>61</v>
      </c>
      <c r="M92" s="41"/>
      <c r="N92" s="57"/>
    </row>
    <row r="93" spans="1:14" ht="20.100000000000001" customHeight="1" x14ac:dyDescent="0.25">
      <c r="A93" s="30" t="str">
        <f t="shared" si="8"/>
        <v/>
      </c>
      <c r="B93" s="41"/>
      <c r="C93" s="35" t="str">
        <f>IF(B93="","",IFERROR(VLOOKUP(B93,DB_Customers!$A:$B,2,0),"❌ Account Not Found"))</f>
        <v/>
      </c>
      <c r="D93" s="42" t="str">
        <f t="shared" ca="1" si="9"/>
        <v/>
      </c>
      <c r="E93" s="32"/>
      <c r="F93" s="31"/>
      <c r="G93" s="41"/>
      <c r="H93" s="56">
        <v>2.5</v>
      </c>
      <c r="I93" s="43" t="str">
        <f t="shared" si="10"/>
        <v/>
      </c>
      <c r="J93" s="43" t="str">
        <f t="shared" si="11"/>
        <v/>
      </c>
      <c r="K93" s="33" t="str">
        <f>IF(B93="","Pending",IF(M93="","⚠️ Enter Code",IF(IFERROR(VLOOKUP(L93,DB_Agents!$B:$F,4,0),"")=TEXT(M93,"0"),"Pending Approval","🔒 WRONG CODE")))</f>
        <v>Pending</v>
      </c>
      <c r="L93" s="30" t="s">
        <v>61</v>
      </c>
      <c r="M93" s="41"/>
      <c r="N93" s="22"/>
    </row>
    <row r="94" spans="1:14" ht="20.100000000000001" customHeight="1" x14ac:dyDescent="0.25">
      <c r="A94" s="30" t="str">
        <f t="shared" si="8"/>
        <v/>
      </c>
      <c r="B94" s="41"/>
      <c r="C94" s="35" t="str">
        <f>IF(B94="","",IFERROR(VLOOKUP(B94,DB_Customers!$A:$B,2,0),"❌ Account Not Found"))</f>
        <v/>
      </c>
      <c r="D94" s="42" t="str">
        <f t="shared" ca="1" si="9"/>
        <v/>
      </c>
      <c r="E94" s="32"/>
      <c r="F94" s="31"/>
      <c r="G94" s="41"/>
      <c r="H94" s="56">
        <v>2.5</v>
      </c>
      <c r="I94" s="43" t="str">
        <f t="shared" si="10"/>
        <v/>
      </c>
      <c r="J94" s="43" t="str">
        <f t="shared" si="11"/>
        <v/>
      </c>
      <c r="K94" s="33" t="str">
        <f>IF(B94="","Pending",IF(M94="","⚠️ Enter Code",IF(IFERROR(VLOOKUP(L94,DB_Agents!$B:$F,4,0),"")=TEXT(M94,"0"),"Pending Approval","🔒 WRONG CODE")))</f>
        <v>Pending</v>
      </c>
      <c r="L94" s="30" t="s">
        <v>61</v>
      </c>
      <c r="M94" s="41"/>
      <c r="N94" s="57"/>
    </row>
    <row r="95" spans="1:14" ht="20.100000000000001" customHeight="1" x14ac:dyDescent="0.25">
      <c r="A95" s="30" t="str">
        <f t="shared" si="8"/>
        <v/>
      </c>
      <c r="B95" s="41"/>
      <c r="C95" s="35" t="str">
        <f>IF(B95="","",IFERROR(VLOOKUP(B95,DB_Customers!$A:$B,2,0),"❌ Account Not Found"))</f>
        <v/>
      </c>
      <c r="D95" s="42" t="str">
        <f t="shared" ca="1" si="9"/>
        <v/>
      </c>
      <c r="E95" s="32"/>
      <c r="F95" s="31"/>
      <c r="G95" s="41"/>
      <c r="H95" s="56">
        <v>2.5</v>
      </c>
      <c r="I95" s="43" t="str">
        <f t="shared" si="10"/>
        <v/>
      </c>
      <c r="J95" s="43" t="str">
        <f t="shared" si="11"/>
        <v/>
      </c>
      <c r="K95" s="33" t="str">
        <f>IF(B95="","Pending",IF(M95="","⚠️ Enter Code",IF(IFERROR(VLOOKUP(L95,DB_Agents!$B:$F,4,0),"")=TEXT(M95,"0"),"Pending Approval","🔒 WRONG CODE")))</f>
        <v>Pending</v>
      </c>
      <c r="L95" s="30" t="s">
        <v>61</v>
      </c>
      <c r="M95" s="41"/>
      <c r="N95" s="22"/>
    </row>
    <row r="96" spans="1:14" ht="20.100000000000001" customHeight="1" x14ac:dyDescent="0.25">
      <c r="A96" s="30" t="str">
        <f t="shared" si="8"/>
        <v/>
      </c>
      <c r="B96" s="41"/>
      <c r="C96" s="35" t="str">
        <f>IF(B96="","",IFERROR(VLOOKUP(B96,DB_Customers!$A:$B,2,0),"❌ Account Not Found"))</f>
        <v/>
      </c>
      <c r="D96" s="42" t="str">
        <f t="shared" ca="1" si="9"/>
        <v/>
      </c>
      <c r="E96" s="32"/>
      <c r="F96" s="31"/>
      <c r="G96" s="41"/>
      <c r="H96" s="56">
        <v>2.5</v>
      </c>
      <c r="I96" s="43" t="str">
        <f t="shared" si="10"/>
        <v/>
      </c>
      <c r="J96" s="43" t="str">
        <f t="shared" si="11"/>
        <v/>
      </c>
      <c r="K96" s="33" t="str">
        <f>IF(B96="","Pending",IF(M96="","⚠️ Enter Code",IF(IFERROR(VLOOKUP(L96,DB_Agents!$B:$F,4,0),"")=TEXT(M96,"0"),"Pending Approval","🔒 WRONG CODE")))</f>
        <v>Pending</v>
      </c>
      <c r="L96" s="30" t="s">
        <v>61</v>
      </c>
      <c r="M96" s="41"/>
      <c r="N96" s="57"/>
    </row>
    <row r="97" spans="1:14" ht="20.100000000000001" customHeight="1" x14ac:dyDescent="0.25">
      <c r="A97" s="30" t="str">
        <f t="shared" si="8"/>
        <v/>
      </c>
      <c r="B97" s="41"/>
      <c r="C97" s="35" t="str">
        <f>IF(B97="","",IFERROR(VLOOKUP(B97,DB_Customers!$A:$B,2,0),"❌ Account Not Found"))</f>
        <v/>
      </c>
      <c r="D97" s="42" t="str">
        <f t="shared" ca="1" si="9"/>
        <v/>
      </c>
      <c r="E97" s="32"/>
      <c r="F97" s="31"/>
      <c r="G97" s="41"/>
      <c r="H97" s="56">
        <v>2.5</v>
      </c>
      <c r="I97" s="43" t="str">
        <f t="shared" si="10"/>
        <v/>
      </c>
      <c r="J97" s="43" t="str">
        <f t="shared" si="11"/>
        <v/>
      </c>
      <c r="K97" s="33" t="str">
        <f>IF(B97="","Pending",IF(M97="","⚠️ Enter Code",IF(IFERROR(VLOOKUP(L97,DB_Agents!$B:$F,4,0),"")=TEXT(M97,"0"),"Pending Approval","🔒 WRONG CODE")))</f>
        <v>Pending</v>
      </c>
      <c r="L97" s="30" t="s">
        <v>61</v>
      </c>
      <c r="M97" s="41"/>
      <c r="N97" s="22"/>
    </row>
    <row r="98" spans="1:14" ht="20.100000000000001" customHeight="1" x14ac:dyDescent="0.25">
      <c r="A98" s="30" t="str">
        <f t="shared" si="8"/>
        <v/>
      </c>
      <c r="B98" s="41"/>
      <c r="C98" s="35" t="str">
        <f>IF(B98="","",IFERROR(VLOOKUP(B98,DB_Customers!$A:$B,2,0),"❌ Account Not Found"))</f>
        <v/>
      </c>
      <c r="D98" s="42" t="str">
        <f t="shared" ca="1" si="9"/>
        <v/>
      </c>
      <c r="E98" s="32"/>
      <c r="F98" s="31"/>
      <c r="G98" s="41"/>
      <c r="H98" s="56">
        <v>2.5</v>
      </c>
      <c r="I98" s="43" t="str">
        <f t="shared" si="10"/>
        <v/>
      </c>
      <c r="J98" s="43" t="str">
        <f t="shared" si="11"/>
        <v/>
      </c>
      <c r="K98" s="33" t="str">
        <f>IF(B98="","Pending",IF(M98="","⚠️ Enter Code",IF(IFERROR(VLOOKUP(L98,DB_Agents!$B:$F,4,0),"")=TEXT(M98,"0"),"Pending Approval","🔒 WRONG CODE")))</f>
        <v>Pending</v>
      </c>
      <c r="L98" s="30" t="s">
        <v>61</v>
      </c>
      <c r="M98" s="41"/>
      <c r="N98" s="57"/>
    </row>
    <row r="99" spans="1:14" ht="20.100000000000001" customHeight="1" x14ac:dyDescent="0.25">
      <c r="A99" s="30" t="str">
        <f t="shared" si="8"/>
        <v/>
      </c>
      <c r="B99" s="41"/>
      <c r="C99" s="35" t="str">
        <f>IF(B99="","",IFERROR(VLOOKUP(B99,DB_Customers!$A:$B,2,0),"❌ Account Not Found"))</f>
        <v/>
      </c>
      <c r="D99" s="42" t="str">
        <f t="shared" ca="1" si="9"/>
        <v/>
      </c>
      <c r="E99" s="32"/>
      <c r="F99" s="31"/>
      <c r="G99" s="41"/>
      <c r="H99" s="56">
        <v>2.5</v>
      </c>
      <c r="I99" s="43" t="str">
        <f t="shared" si="10"/>
        <v/>
      </c>
      <c r="J99" s="43" t="str">
        <f t="shared" si="11"/>
        <v/>
      </c>
      <c r="K99" s="33" t="str">
        <f>IF(B99="","Pending",IF(M99="","⚠️ Enter Code",IF(IFERROR(VLOOKUP(L99,DB_Agents!$B:$F,4,0),"")=TEXT(M99,"0"),"Pending Approval","🔒 WRONG CODE")))</f>
        <v>Pending</v>
      </c>
      <c r="L99" s="30" t="s">
        <v>61</v>
      </c>
      <c r="M99" s="41"/>
      <c r="N99" s="22"/>
    </row>
    <row r="100" spans="1:14" ht="20.100000000000001" customHeight="1" x14ac:dyDescent="0.25">
      <c r="A100" s="30" t="str">
        <f t="shared" si="8"/>
        <v/>
      </c>
      <c r="B100" s="41"/>
      <c r="C100" s="35" t="str">
        <f>IF(B100="","",IFERROR(VLOOKUP(B100,DB_Customers!$A:$B,2,0),"❌ Account Not Found"))</f>
        <v/>
      </c>
      <c r="D100" s="42" t="str">
        <f t="shared" ca="1" si="9"/>
        <v/>
      </c>
      <c r="E100" s="32"/>
      <c r="F100" s="31"/>
      <c r="G100" s="41"/>
      <c r="H100" s="56">
        <v>2.5</v>
      </c>
      <c r="I100" s="43" t="str">
        <f t="shared" si="10"/>
        <v/>
      </c>
      <c r="J100" s="43" t="str">
        <f t="shared" si="11"/>
        <v/>
      </c>
      <c r="K100" s="33" t="str">
        <f>IF(B100="","Pending",IF(M100="","⚠️ Enter Code",IF(IFERROR(VLOOKUP(L100,DB_Agents!$B:$F,4,0),"")=TEXT(M100,"0"),"Pending Approval","🔒 WRONG CODE")))</f>
        <v>Pending</v>
      </c>
      <c r="L100" s="30" t="s">
        <v>61</v>
      </c>
      <c r="M100" s="41"/>
      <c r="N100" s="57"/>
    </row>
    <row r="101" spans="1:14" ht="20.100000000000001" customHeight="1" x14ac:dyDescent="0.25">
      <c r="A101" s="30" t="str">
        <f t="shared" si="8"/>
        <v/>
      </c>
      <c r="B101" s="41"/>
      <c r="C101" s="35" t="str">
        <f>IF(B101="","",IFERROR(VLOOKUP(B101,DB_Customers!$A:$B,2,0),"❌ Account Not Found"))</f>
        <v/>
      </c>
      <c r="D101" s="42" t="str">
        <f t="shared" ca="1" si="9"/>
        <v/>
      </c>
      <c r="E101" s="32"/>
      <c r="F101" s="31"/>
      <c r="G101" s="41"/>
      <c r="H101" s="56">
        <v>2.5</v>
      </c>
      <c r="I101" s="43" t="str">
        <f t="shared" si="10"/>
        <v/>
      </c>
      <c r="J101" s="43" t="str">
        <f t="shared" si="11"/>
        <v/>
      </c>
      <c r="K101" s="33" t="str">
        <f>IF(B101="","Pending",IF(M101="","⚠️ Enter Code",IF(IFERROR(VLOOKUP(L101,DB_Agents!$B:$F,4,0),"")=TEXT(M101,"0"),"Pending Approval","🔒 WRONG CODE")))</f>
        <v>Pending</v>
      </c>
      <c r="L101" s="30" t="s">
        <v>61</v>
      </c>
      <c r="M101" s="41"/>
      <c r="N101" s="22"/>
    </row>
    <row r="102" spans="1:14" ht="20.100000000000001" customHeight="1" x14ac:dyDescent="0.25">
      <c r="A102" s="30" t="str">
        <f t="shared" si="8"/>
        <v/>
      </c>
      <c r="B102" s="41"/>
      <c r="C102" s="35" t="str">
        <f>IF(B102="","",IFERROR(VLOOKUP(B102,DB_Customers!$A:$B,2,0),"❌ Account Not Found"))</f>
        <v/>
      </c>
      <c r="D102" s="42" t="str">
        <f t="shared" ca="1" si="9"/>
        <v/>
      </c>
      <c r="E102" s="32"/>
      <c r="F102" s="31"/>
      <c r="G102" s="41"/>
      <c r="H102" s="56">
        <v>2.5</v>
      </c>
      <c r="I102" s="43" t="str">
        <f t="shared" si="10"/>
        <v/>
      </c>
      <c r="J102" s="43" t="str">
        <f t="shared" si="11"/>
        <v/>
      </c>
      <c r="K102" s="33" t="str">
        <f>IF(B102="","Pending",IF(M102="","⚠️ Enter Code",IF(IFERROR(VLOOKUP(L102,DB_Agents!$B:$F,4,0),"")=TEXT(M102,"0"),"Pending Approval","🔒 WRONG CODE")))</f>
        <v>Pending</v>
      </c>
      <c r="L102" s="30" t="s">
        <v>61</v>
      </c>
      <c r="M102" s="41"/>
      <c r="N102" s="57"/>
    </row>
    <row r="103" spans="1:14" ht="20.100000000000001" customHeight="1" x14ac:dyDescent="0.25">
      <c r="A103" s="30" t="str">
        <f t="shared" si="8"/>
        <v/>
      </c>
      <c r="B103" s="41"/>
      <c r="C103" s="35" t="str">
        <f>IF(B103="","",IFERROR(VLOOKUP(B103,DB_Customers!$A:$B,2,0),"❌ Account Not Found"))</f>
        <v/>
      </c>
      <c r="D103" s="42" t="str">
        <f t="shared" ca="1" si="9"/>
        <v/>
      </c>
      <c r="E103" s="32"/>
      <c r="F103" s="31"/>
      <c r="G103" s="41"/>
      <c r="H103" s="56">
        <v>2.5</v>
      </c>
      <c r="I103" s="43" t="str">
        <f t="shared" si="10"/>
        <v/>
      </c>
      <c r="J103" s="43" t="str">
        <f t="shared" si="11"/>
        <v/>
      </c>
      <c r="K103" s="33" t="str">
        <f>IF(B103="","Pending",IF(M103="","⚠️ Enter Code",IF(IFERROR(VLOOKUP(L103,DB_Agents!$B:$F,4,0),"")=TEXT(M103,"0"),"Pending Approval","🔒 WRONG CODE")))</f>
        <v>Pending</v>
      </c>
      <c r="L103" s="30" t="s">
        <v>61</v>
      </c>
      <c r="M103" s="41"/>
      <c r="N103" s="22"/>
    </row>
    <row r="104" spans="1:14" ht="20.100000000000001" customHeight="1" x14ac:dyDescent="0.25">
      <c r="A104" s="30" t="str">
        <f t="shared" si="8"/>
        <v/>
      </c>
      <c r="B104" s="41"/>
      <c r="C104" s="35" t="str">
        <f>IF(B104="","",IFERROR(VLOOKUP(B104,DB_Customers!$A:$B,2,0),"❌ Account Not Found"))</f>
        <v/>
      </c>
      <c r="D104" s="42" t="str">
        <f t="shared" ca="1" si="9"/>
        <v/>
      </c>
      <c r="E104" s="32"/>
      <c r="F104" s="31"/>
      <c r="G104" s="41"/>
      <c r="H104" s="56">
        <v>2.5</v>
      </c>
      <c r="I104" s="43" t="str">
        <f t="shared" si="10"/>
        <v/>
      </c>
      <c r="J104" s="43" t="str">
        <f t="shared" si="11"/>
        <v/>
      </c>
      <c r="K104" s="33" t="str">
        <f>IF(B104="","Pending",IF(M104="","⚠️ Enter Code",IF(IFERROR(VLOOKUP(L104,DB_Agents!$B:$F,4,0),"")=TEXT(M104,"0"),"Pending Approval","🔒 WRONG CODE")))</f>
        <v>Pending</v>
      </c>
      <c r="L104" s="30" t="s">
        <v>61</v>
      </c>
      <c r="M104" s="41"/>
      <c r="N104" s="57"/>
    </row>
    <row r="105" spans="1:14" ht="20.100000000000001" customHeight="1" x14ac:dyDescent="0.25">
      <c r="A105" s="30" t="str">
        <f t="shared" si="8"/>
        <v/>
      </c>
      <c r="B105" s="41"/>
      <c r="C105" s="35" t="str">
        <f>IF(B105="","",IFERROR(VLOOKUP(B105,DB_Customers!$A:$B,2,0),"❌ Account Not Found"))</f>
        <v/>
      </c>
      <c r="D105" s="42" t="str">
        <f t="shared" ca="1" si="9"/>
        <v/>
      </c>
      <c r="E105" s="32"/>
      <c r="F105" s="31"/>
      <c r="G105" s="41"/>
      <c r="H105" s="56">
        <v>2.5</v>
      </c>
      <c r="I105" s="43" t="str">
        <f t="shared" si="10"/>
        <v/>
      </c>
      <c r="J105" s="43" t="str">
        <f t="shared" si="11"/>
        <v/>
      </c>
      <c r="K105" s="33" t="str">
        <f>IF(B105="","Pending",IF(M105="","⚠️ Enter Code",IF(IFERROR(VLOOKUP(L105,DB_Agents!$B:$F,4,0),"")=TEXT(M105,"0"),"Pending Approval","🔒 WRONG CODE")))</f>
        <v>Pending</v>
      </c>
      <c r="L105" s="30" t="s">
        <v>61</v>
      </c>
      <c r="M105" s="41"/>
      <c r="N105" s="22"/>
    </row>
    <row r="106" spans="1:14" ht="20.100000000000001" customHeight="1" x14ac:dyDescent="0.25">
      <c r="A106" s="30" t="str">
        <f t="shared" si="8"/>
        <v/>
      </c>
      <c r="B106" s="41"/>
      <c r="C106" s="35" t="str">
        <f>IF(B106="","",IFERROR(VLOOKUP(B106,DB_Customers!$A:$B,2,0),"❌ Account Not Found"))</f>
        <v/>
      </c>
      <c r="D106" s="42" t="str">
        <f t="shared" ca="1" si="9"/>
        <v/>
      </c>
      <c r="E106" s="32"/>
      <c r="F106" s="31"/>
      <c r="G106" s="41"/>
      <c r="H106" s="56">
        <v>2.5</v>
      </c>
      <c r="I106" s="43" t="str">
        <f t="shared" si="10"/>
        <v/>
      </c>
      <c r="J106" s="43" t="str">
        <f t="shared" si="11"/>
        <v/>
      </c>
      <c r="K106" s="33" t="str">
        <f>IF(B106="","Pending",IF(M106="","⚠️ Enter Code",IF(IFERROR(VLOOKUP(L106,DB_Agents!$B:$F,4,0),"")=TEXT(M106,"0"),"Pending Approval","🔒 WRONG CODE")))</f>
        <v>Pending</v>
      </c>
      <c r="L106" s="30" t="s">
        <v>61</v>
      </c>
      <c r="M106" s="41"/>
      <c r="N106" s="57"/>
    </row>
    <row r="107" spans="1:14" ht="20.100000000000001" customHeight="1" x14ac:dyDescent="0.25">
      <c r="A107" s="30" t="str">
        <f t="shared" si="8"/>
        <v/>
      </c>
      <c r="B107" s="41"/>
      <c r="C107" s="35" t="str">
        <f>IF(B107="","",IFERROR(VLOOKUP(B107,DB_Customers!$A:$B,2,0),"❌ Account Not Found"))</f>
        <v/>
      </c>
      <c r="D107" s="42" t="str">
        <f t="shared" ca="1" si="9"/>
        <v/>
      </c>
      <c r="E107" s="32"/>
      <c r="F107" s="31"/>
      <c r="G107" s="41"/>
      <c r="H107" s="56">
        <v>2.5</v>
      </c>
      <c r="I107" s="43" t="str">
        <f t="shared" si="10"/>
        <v/>
      </c>
      <c r="J107" s="43" t="str">
        <f t="shared" si="11"/>
        <v/>
      </c>
      <c r="K107" s="33" t="str">
        <f>IF(B107="","Pending",IF(M107="","⚠️ Enter Code",IF(IFERROR(VLOOKUP(L107,DB_Agents!$B:$F,4,0),"")=TEXT(M107,"0"),"Pending Approval","🔒 WRONG CODE")))</f>
        <v>Pending</v>
      </c>
      <c r="L107" s="30" t="s">
        <v>61</v>
      </c>
      <c r="M107" s="41"/>
      <c r="N107" s="22"/>
    </row>
    <row r="108" spans="1:14" ht="20.100000000000001" customHeight="1" x14ac:dyDescent="0.25">
      <c r="A108" s="30" t="str">
        <f t="shared" si="8"/>
        <v/>
      </c>
      <c r="B108" s="41"/>
      <c r="C108" s="35" t="str">
        <f>IF(B108="","",IFERROR(VLOOKUP(B108,DB_Customers!$A:$B,2,0),"❌ Account Not Found"))</f>
        <v/>
      </c>
      <c r="D108" s="42" t="str">
        <f t="shared" ca="1" si="9"/>
        <v/>
      </c>
      <c r="E108" s="32"/>
      <c r="F108" s="31"/>
      <c r="G108" s="41"/>
      <c r="H108" s="56">
        <v>2.5</v>
      </c>
      <c r="I108" s="43" t="str">
        <f t="shared" si="10"/>
        <v/>
      </c>
      <c r="J108" s="43" t="str">
        <f t="shared" si="11"/>
        <v/>
      </c>
      <c r="K108" s="33" t="str">
        <f>IF(B108="","Pending",IF(M108="","⚠️ Enter Code",IF(IFERROR(VLOOKUP(L108,DB_Agents!$B:$F,4,0),"")=TEXT(M108,"0"),"Pending Approval","🔒 WRONG CODE")))</f>
        <v>Pending</v>
      </c>
      <c r="L108" s="30" t="s">
        <v>61</v>
      </c>
      <c r="M108" s="41"/>
      <c r="N108" s="57"/>
    </row>
    <row r="109" spans="1:14" ht="20.100000000000001" customHeight="1" x14ac:dyDescent="0.25">
      <c r="A109" s="30" t="str">
        <f t="shared" si="8"/>
        <v/>
      </c>
      <c r="B109" s="41"/>
      <c r="C109" s="35" t="str">
        <f>IF(B109="","",IFERROR(VLOOKUP(B109,DB_Customers!$A:$B,2,0),"❌ Account Not Found"))</f>
        <v/>
      </c>
      <c r="D109" s="42" t="str">
        <f t="shared" ca="1" si="9"/>
        <v/>
      </c>
      <c r="E109" s="32"/>
      <c r="F109" s="31"/>
      <c r="G109" s="41"/>
      <c r="H109" s="56">
        <v>2.5</v>
      </c>
      <c r="I109" s="43" t="str">
        <f t="shared" si="10"/>
        <v/>
      </c>
      <c r="J109" s="43" t="str">
        <f t="shared" si="11"/>
        <v/>
      </c>
      <c r="K109" s="33" t="str">
        <f>IF(B109="","Pending",IF(M109="","⚠️ Enter Code",IF(IFERROR(VLOOKUP(L109,DB_Agents!$B:$F,4,0),"")=TEXT(M109,"0"),"Pending Approval","🔒 WRONG CODE")))</f>
        <v>Pending</v>
      </c>
      <c r="L109" s="30" t="s">
        <v>61</v>
      </c>
      <c r="M109" s="41"/>
      <c r="N109" s="22"/>
    </row>
    <row r="110" spans="1:14" ht="20.100000000000001" customHeight="1" x14ac:dyDescent="0.25">
      <c r="A110" s="30" t="str">
        <f t="shared" ref="A110:A141" si="12">IF(B110="","",IF(C110="❌ Account Not Found","INVALID","LN"&amp;TEXT(D110,"YYYYMMDD")&amp;TEXT(ROW()-13,"0000")))</f>
        <v/>
      </c>
      <c r="B110" s="41"/>
      <c r="C110" s="35" t="str">
        <f>IF(B110="","",IFERROR(VLOOKUP(B110,DB_Customers!$A:$B,2,0),"❌ Account Not Found"))</f>
        <v/>
      </c>
      <c r="D110" s="42" t="str">
        <f t="shared" ref="D110:D141" ca="1" si="13">IF(B110="","",TODAY())</f>
        <v/>
      </c>
      <c r="E110" s="32"/>
      <c r="F110" s="31"/>
      <c r="G110" s="41"/>
      <c r="H110" s="56">
        <v>2.5</v>
      </c>
      <c r="I110" s="43" t="str">
        <f t="shared" ref="I110:I141" si="14">IF(E110="","",E110+(E110*H110/100*G110))</f>
        <v/>
      </c>
      <c r="J110" s="43" t="str">
        <f t="shared" ref="J110:J141" si="15">IFERROR(I110/G110,"")</f>
        <v/>
      </c>
      <c r="K110" s="33" t="str">
        <f>IF(B110="","Pending",IF(M110="","⚠️ Enter Code",IF(IFERROR(VLOOKUP(L110,DB_Agents!$B:$F,4,0),"")=TEXT(M110,"0"),"Pending Approval","🔒 WRONG CODE")))</f>
        <v>Pending</v>
      </c>
      <c r="L110" s="30" t="s">
        <v>61</v>
      </c>
      <c r="M110" s="41"/>
      <c r="N110" s="57"/>
    </row>
    <row r="111" spans="1:14" ht="20.100000000000001" customHeight="1" x14ac:dyDescent="0.25">
      <c r="A111" s="30" t="str">
        <f t="shared" si="12"/>
        <v/>
      </c>
      <c r="B111" s="41"/>
      <c r="C111" s="35" t="str">
        <f>IF(B111="","",IFERROR(VLOOKUP(B111,DB_Customers!$A:$B,2,0),"❌ Account Not Found"))</f>
        <v/>
      </c>
      <c r="D111" s="42" t="str">
        <f t="shared" ca="1" si="13"/>
        <v/>
      </c>
      <c r="E111" s="32"/>
      <c r="F111" s="31"/>
      <c r="G111" s="41"/>
      <c r="H111" s="56">
        <v>2.5</v>
      </c>
      <c r="I111" s="43" t="str">
        <f t="shared" si="14"/>
        <v/>
      </c>
      <c r="J111" s="43" t="str">
        <f t="shared" si="15"/>
        <v/>
      </c>
      <c r="K111" s="33" t="str">
        <f>IF(B111="","Pending",IF(M111="","⚠️ Enter Code",IF(IFERROR(VLOOKUP(L111,DB_Agents!$B:$F,4,0),"")=TEXT(M111,"0"),"Pending Approval","🔒 WRONG CODE")))</f>
        <v>Pending</v>
      </c>
      <c r="L111" s="30" t="s">
        <v>61</v>
      </c>
      <c r="M111" s="41"/>
      <c r="N111" s="22"/>
    </row>
    <row r="112" spans="1:14" ht="20.100000000000001" customHeight="1" x14ac:dyDescent="0.25">
      <c r="A112" s="30" t="str">
        <f t="shared" si="12"/>
        <v/>
      </c>
      <c r="B112" s="41"/>
      <c r="C112" s="35" t="str">
        <f>IF(B112="","",IFERROR(VLOOKUP(B112,DB_Customers!$A:$B,2,0),"❌ Account Not Found"))</f>
        <v/>
      </c>
      <c r="D112" s="42" t="str">
        <f t="shared" ca="1" si="13"/>
        <v/>
      </c>
      <c r="E112" s="32"/>
      <c r="F112" s="31"/>
      <c r="G112" s="41"/>
      <c r="H112" s="56">
        <v>2.5</v>
      </c>
      <c r="I112" s="43" t="str">
        <f t="shared" si="14"/>
        <v/>
      </c>
      <c r="J112" s="43" t="str">
        <f t="shared" si="15"/>
        <v/>
      </c>
      <c r="K112" s="33" t="str">
        <f>IF(B112="","Pending",IF(M112="","⚠️ Enter Code",IF(IFERROR(VLOOKUP(L112,DB_Agents!$B:$F,4,0),"")=TEXT(M112,"0"),"Pending Approval","🔒 WRONG CODE")))</f>
        <v>Pending</v>
      </c>
      <c r="L112" s="30" t="s">
        <v>61</v>
      </c>
      <c r="M112" s="41"/>
      <c r="N112" s="57"/>
    </row>
    <row r="113" spans="1:14" ht="20.100000000000001" customHeight="1" x14ac:dyDescent="0.25">
      <c r="A113" s="30" t="str">
        <f t="shared" si="12"/>
        <v/>
      </c>
      <c r="B113" s="41"/>
      <c r="C113" s="35" t="str">
        <f>IF(B113="","",IFERROR(VLOOKUP(B113,DB_Customers!$A:$B,2,0),"❌ Account Not Found"))</f>
        <v/>
      </c>
      <c r="D113" s="42" t="str">
        <f t="shared" ca="1" si="13"/>
        <v/>
      </c>
      <c r="E113" s="32"/>
      <c r="F113" s="31"/>
      <c r="G113" s="41"/>
      <c r="H113" s="56">
        <v>2.5</v>
      </c>
      <c r="I113" s="43" t="str">
        <f t="shared" si="14"/>
        <v/>
      </c>
      <c r="J113" s="43" t="str">
        <f t="shared" si="15"/>
        <v/>
      </c>
      <c r="K113" s="33" t="str">
        <f>IF(B113="","Pending",IF(M113="","⚠️ Enter Code",IF(IFERROR(VLOOKUP(L113,DB_Agents!$B:$F,4,0),"")=TEXT(M113,"0"),"Pending Approval","🔒 WRONG CODE")))</f>
        <v>Pending</v>
      </c>
      <c r="L113" s="30" t="s">
        <v>61</v>
      </c>
      <c r="M113" s="41"/>
      <c r="N113" s="22"/>
    </row>
    <row r="114" spans="1:14" ht="20.100000000000001" customHeight="1" x14ac:dyDescent="0.25">
      <c r="A114" s="30" t="str">
        <f t="shared" si="12"/>
        <v/>
      </c>
      <c r="B114" s="41"/>
      <c r="C114" s="35" t="str">
        <f>IF(B114="","",IFERROR(VLOOKUP(B114,DB_Customers!$A:$B,2,0),"❌ Account Not Found"))</f>
        <v/>
      </c>
      <c r="D114" s="42" t="str">
        <f t="shared" ca="1" si="13"/>
        <v/>
      </c>
      <c r="E114" s="32"/>
      <c r="F114" s="31"/>
      <c r="G114" s="41"/>
      <c r="H114" s="56">
        <v>2.5</v>
      </c>
      <c r="I114" s="43" t="str">
        <f t="shared" si="14"/>
        <v/>
      </c>
      <c r="J114" s="43" t="str">
        <f t="shared" si="15"/>
        <v/>
      </c>
      <c r="K114" s="33" t="str">
        <f>IF(B114="","Pending",IF(M114="","⚠️ Enter Code",IF(IFERROR(VLOOKUP(L114,DB_Agents!$B:$F,4,0),"")=TEXT(M114,"0"),"Pending Approval","🔒 WRONG CODE")))</f>
        <v>Pending</v>
      </c>
      <c r="L114" s="30" t="s">
        <v>61</v>
      </c>
      <c r="M114" s="41"/>
      <c r="N114" s="57"/>
    </row>
    <row r="115" spans="1:14" ht="20.100000000000001" customHeight="1" x14ac:dyDescent="0.25">
      <c r="A115" s="30" t="str">
        <f t="shared" si="12"/>
        <v/>
      </c>
      <c r="B115" s="41"/>
      <c r="C115" s="35" t="str">
        <f>IF(B115="","",IFERROR(VLOOKUP(B115,DB_Customers!$A:$B,2,0),"❌ Account Not Found"))</f>
        <v/>
      </c>
      <c r="D115" s="42" t="str">
        <f t="shared" ca="1" si="13"/>
        <v/>
      </c>
      <c r="E115" s="32"/>
      <c r="F115" s="31"/>
      <c r="G115" s="41"/>
      <c r="H115" s="56">
        <v>2.5</v>
      </c>
      <c r="I115" s="43" t="str">
        <f t="shared" si="14"/>
        <v/>
      </c>
      <c r="J115" s="43" t="str">
        <f t="shared" si="15"/>
        <v/>
      </c>
      <c r="K115" s="33" t="str">
        <f>IF(B115="","Pending",IF(M115="","⚠️ Enter Code",IF(IFERROR(VLOOKUP(L115,DB_Agents!$B:$F,4,0),"")=TEXT(M115,"0"),"Pending Approval","🔒 WRONG CODE")))</f>
        <v>Pending</v>
      </c>
      <c r="L115" s="30" t="s">
        <v>61</v>
      </c>
      <c r="M115" s="41"/>
      <c r="N115" s="22"/>
    </row>
    <row r="116" spans="1:14" ht="20.100000000000001" customHeight="1" x14ac:dyDescent="0.25">
      <c r="A116" s="30" t="str">
        <f t="shared" si="12"/>
        <v/>
      </c>
      <c r="B116" s="41"/>
      <c r="C116" s="35" t="str">
        <f>IF(B116="","",IFERROR(VLOOKUP(B116,DB_Customers!$A:$B,2,0),"❌ Account Not Found"))</f>
        <v/>
      </c>
      <c r="D116" s="42" t="str">
        <f t="shared" ca="1" si="13"/>
        <v/>
      </c>
      <c r="E116" s="32"/>
      <c r="F116" s="31"/>
      <c r="G116" s="41"/>
      <c r="H116" s="56">
        <v>2.5</v>
      </c>
      <c r="I116" s="43" t="str">
        <f t="shared" si="14"/>
        <v/>
      </c>
      <c r="J116" s="43" t="str">
        <f t="shared" si="15"/>
        <v/>
      </c>
      <c r="K116" s="33" t="str">
        <f>IF(B116="","Pending",IF(M116="","⚠️ Enter Code",IF(IFERROR(VLOOKUP(L116,DB_Agents!$B:$F,4,0),"")=TEXT(M116,"0"),"Pending Approval","🔒 WRONG CODE")))</f>
        <v>Pending</v>
      </c>
      <c r="L116" s="30" t="s">
        <v>61</v>
      </c>
      <c r="M116" s="41"/>
      <c r="N116" s="57"/>
    </row>
    <row r="117" spans="1:14" ht="20.100000000000001" customHeight="1" x14ac:dyDescent="0.25">
      <c r="A117" s="30" t="str">
        <f t="shared" si="12"/>
        <v/>
      </c>
      <c r="B117" s="41"/>
      <c r="C117" s="35" t="str">
        <f>IF(B117="","",IFERROR(VLOOKUP(B117,DB_Customers!$A:$B,2,0),"❌ Account Not Found"))</f>
        <v/>
      </c>
      <c r="D117" s="42" t="str">
        <f t="shared" ca="1" si="13"/>
        <v/>
      </c>
      <c r="E117" s="32"/>
      <c r="F117" s="31"/>
      <c r="G117" s="41"/>
      <c r="H117" s="56">
        <v>2.5</v>
      </c>
      <c r="I117" s="43" t="str">
        <f t="shared" si="14"/>
        <v/>
      </c>
      <c r="J117" s="43" t="str">
        <f t="shared" si="15"/>
        <v/>
      </c>
      <c r="K117" s="33" t="str">
        <f>IF(B117="","Pending",IF(M117="","⚠️ Enter Code",IF(IFERROR(VLOOKUP(L117,DB_Agents!$B:$F,4,0),"")=TEXT(M117,"0"),"Pending Approval","🔒 WRONG CODE")))</f>
        <v>Pending</v>
      </c>
      <c r="L117" s="30" t="s">
        <v>61</v>
      </c>
      <c r="M117" s="41"/>
      <c r="N117" s="22"/>
    </row>
    <row r="118" spans="1:14" ht="20.100000000000001" customHeight="1" x14ac:dyDescent="0.25">
      <c r="A118" s="30" t="str">
        <f t="shared" si="12"/>
        <v/>
      </c>
      <c r="B118" s="41"/>
      <c r="C118" s="35" t="str">
        <f>IF(B118="","",IFERROR(VLOOKUP(B118,DB_Customers!$A:$B,2,0),"❌ Account Not Found"))</f>
        <v/>
      </c>
      <c r="D118" s="42" t="str">
        <f t="shared" ca="1" si="13"/>
        <v/>
      </c>
      <c r="E118" s="32"/>
      <c r="F118" s="31"/>
      <c r="G118" s="41"/>
      <c r="H118" s="56">
        <v>2.5</v>
      </c>
      <c r="I118" s="43" t="str">
        <f t="shared" si="14"/>
        <v/>
      </c>
      <c r="J118" s="43" t="str">
        <f t="shared" si="15"/>
        <v/>
      </c>
      <c r="K118" s="33" t="str">
        <f>IF(B118="","Pending",IF(M118="","⚠️ Enter Code",IF(IFERROR(VLOOKUP(L118,DB_Agents!$B:$F,4,0),"")=TEXT(M118,"0"),"Pending Approval","🔒 WRONG CODE")))</f>
        <v>Pending</v>
      </c>
      <c r="L118" s="30" t="s">
        <v>61</v>
      </c>
      <c r="M118" s="41"/>
      <c r="N118" s="57"/>
    </row>
    <row r="119" spans="1:14" ht="20.100000000000001" customHeight="1" x14ac:dyDescent="0.25">
      <c r="A119" s="30" t="str">
        <f t="shared" si="12"/>
        <v/>
      </c>
      <c r="B119" s="41"/>
      <c r="C119" s="35" t="str">
        <f>IF(B119="","",IFERROR(VLOOKUP(B119,DB_Customers!$A:$B,2,0),"❌ Account Not Found"))</f>
        <v/>
      </c>
      <c r="D119" s="42" t="str">
        <f t="shared" ca="1" si="13"/>
        <v/>
      </c>
      <c r="E119" s="32"/>
      <c r="F119" s="31"/>
      <c r="G119" s="41"/>
      <c r="H119" s="56">
        <v>2.5</v>
      </c>
      <c r="I119" s="43" t="str">
        <f t="shared" si="14"/>
        <v/>
      </c>
      <c r="J119" s="43" t="str">
        <f t="shared" si="15"/>
        <v/>
      </c>
      <c r="K119" s="33" t="str">
        <f>IF(B119="","Pending",IF(M119="","⚠️ Enter Code",IF(IFERROR(VLOOKUP(L119,DB_Agents!$B:$F,4,0),"")=TEXT(M119,"0"),"Pending Approval","🔒 WRONG CODE")))</f>
        <v>Pending</v>
      </c>
      <c r="L119" s="30" t="s">
        <v>61</v>
      </c>
      <c r="M119" s="41"/>
      <c r="N119" s="22"/>
    </row>
    <row r="120" spans="1:14" ht="20.100000000000001" customHeight="1" x14ac:dyDescent="0.25">
      <c r="A120" s="30" t="str">
        <f t="shared" si="12"/>
        <v/>
      </c>
      <c r="B120" s="41"/>
      <c r="C120" s="35" t="str">
        <f>IF(B120="","",IFERROR(VLOOKUP(B120,DB_Customers!$A:$B,2,0),"❌ Account Not Found"))</f>
        <v/>
      </c>
      <c r="D120" s="42" t="str">
        <f t="shared" ca="1" si="13"/>
        <v/>
      </c>
      <c r="E120" s="32"/>
      <c r="F120" s="31"/>
      <c r="G120" s="41"/>
      <c r="H120" s="56">
        <v>2.5</v>
      </c>
      <c r="I120" s="43" t="str">
        <f t="shared" si="14"/>
        <v/>
      </c>
      <c r="J120" s="43" t="str">
        <f t="shared" si="15"/>
        <v/>
      </c>
      <c r="K120" s="33" t="str">
        <f>IF(B120="","Pending",IF(M120="","⚠️ Enter Code",IF(IFERROR(VLOOKUP(L120,DB_Agents!$B:$F,4,0),"")=TEXT(M120,"0"),"Pending Approval","🔒 WRONG CODE")))</f>
        <v>Pending</v>
      </c>
      <c r="L120" s="30" t="s">
        <v>61</v>
      </c>
      <c r="M120" s="41"/>
      <c r="N120" s="57"/>
    </row>
    <row r="121" spans="1:14" ht="20.100000000000001" customHeight="1" x14ac:dyDescent="0.25">
      <c r="A121" s="30" t="str">
        <f t="shared" si="12"/>
        <v/>
      </c>
      <c r="B121" s="41"/>
      <c r="C121" s="35" t="str">
        <f>IF(B121="","",IFERROR(VLOOKUP(B121,DB_Customers!$A:$B,2,0),"❌ Account Not Found"))</f>
        <v/>
      </c>
      <c r="D121" s="42" t="str">
        <f t="shared" ca="1" si="13"/>
        <v/>
      </c>
      <c r="E121" s="32"/>
      <c r="F121" s="31"/>
      <c r="G121" s="41"/>
      <c r="H121" s="56">
        <v>2.5</v>
      </c>
      <c r="I121" s="43" t="str">
        <f t="shared" si="14"/>
        <v/>
      </c>
      <c r="J121" s="43" t="str">
        <f t="shared" si="15"/>
        <v/>
      </c>
      <c r="K121" s="33" t="str">
        <f>IF(B121="","Pending",IF(M121="","⚠️ Enter Code",IF(IFERROR(VLOOKUP(L121,DB_Agents!$B:$F,4,0),"")=TEXT(M121,"0"),"Pending Approval","🔒 WRONG CODE")))</f>
        <v>Pending</v>
      </c>
      <c r="L121" s="30" t="s">
        <v>61</v>
      </c>
      <c r="M121" s="41"/>
      <c r="N121" s="22"/>
    </row>
    <row r="122" spans="1:14" ht="20.100000000000001" customHeight="1" x14ac:dyDescent="0.25">
      <c r="A122" s="30" t="str">
        <f t="shared" si="12"/>
        <v/>
      </c>
      <c r="B122" s="41"/>
      <c r="C122" s="35" t="str">
        <f>IF(B122="","",IFERROR(VLOOKUP(B122,DB_Customers!$A:$B,2,0),"❌ Account Not Found"))</f>
        <v/>
      </c>
      <c r="D122" s="42" t="str">
        <f t="shared" ca="1" si="13"/>
        <v/>
      </c>
      <c r="E122" s="32"/>
      <c r="F122" s="31"/>
      <c r="G122" s="41"/>
      <c r="H122" s="56">
        <v>2.5</v>
      </c>
      <c r="I122" s="43" t="str">
        <f t="shared" si="14"/>
        <v/>
      </c>
      <c r="J122" s="43" t="str">
        <f t="shared" si="15"/>
        <v/>
      </c>
      <c r="K122" s="33" t="str">
        <f>IF(B122="","Pending",IF(M122="","⚠️ Enter Code",IF(IFERROR(VLOOKUP(L122,DB_Agents!$B:$F,4,0),"")=TEXT(M122,"0"),"Pending Approval","🔒 WRONG CODE")))</f>
        <v>Pending</v>
      </c>
      <c r="L122" s="30" t="s">
        <v>61</v>
      </c>
      <c r="M122" s="41"/>
      <c r="N122" s="57"/>
    </row>
    <row r="123" spans="1:14" ht="20.100000000000001" customHeight="1" x14ac:dyDescent="0.25">
      <c r="A123" s="30" t="str">
        <f t="shared" si="12"/>
        <v/>
      </c>
      <c r="B123" s="41"/>
      <c r="C123" s="35" t="str">
        <f>IF(B123="","",IFERROR(VLOOKUP(B123,DB_Customers!$A:$B,2,0),"❌ Account Not Found"))</f>
        <v/>
      </c>
      <c r="D123" s="42" t="str">
        <f t="shared" ca="1" si="13"/>
        <v/>
      </c>
      <c r="E123" s="32"/>
      <c r="F123" s="31"/>
      <c r="G123" s="41"/>
      <c r="H123" s="56">
        <v>2.5</v>
      </c>
      <c r="I123" s="43" t="str">
        <f t="shared" si="14"/>
        <v/>
      </c>
      <c r="J123" s="43" t="str">
        <f t="shared" si="15"/>
        <v/>
      </c>
      <c r="K123" s="33" t="str">
        <f>IF(B123="","Pending",IF(M123="","⚠️ Enter Code",IF(IFERROR(VLOOKUP(L123,DB_Agents!$B:$F,4,0),"")=TEXT(M123,"0"),"Pending Approval","🔒 WRONG CODE")))</f>
        <v>Pending</v>
      </c>
      <c r="L123" s="30" t="s">
        <v>61</v>
      </c>
      <c r="M123" s="41"/>
      <c r="N123" s="22"/>
    </row>
    <row r="124" spans="1:14" ht="20.100000000000001" customHeight="1" x14ac:dyDescent="0.25">
      <c r="A124" s="30" t="str">
        <f t="shared" si="12"/>
        <v/>
      </c>
      <c r="B124" s="41"/>
      <c r="C124" s="35" t="str">
        <f>IF(B124="","",IFERROR(VLOOKUP(B124,DB_Customers!$A:$B,2,0),"❌ Account Not Found"))</f>
        <v/>
      </c>
      <c r="D124" s="42" t="str">
        <f t="shared" ca="1" si="13"/>
        <v/>
      </c>
      <c r="E124" s="32"/>
      <c r="F124" s="31"/>
      <c r="G124" s="41"/>
      <c r="H124" s="56">
        <v>2.5</v>
      </c>
      <c r="I124" s="43" t="str">
        <f t="shared" si="14"/>
        <v/>
      </c>
      <c r="J124" s="43" t="str">
        <f t="shared" si="15"/>
        <v/>
      </c>
      <c r="K124" s="33" t="str">
        <f>IF(B124="","Pending",IF(M124="","⚠️ Enter Code",IF(IFERROR(VLOOKUP(L124,DB_Agents!$B:$F,4,0),"")=TEXT(M124,"0"),"Pending Approval","🔒 WRONG CODE")))</f>
        <v>Pending</v>
      </c>
      <c r="L124" s="30" t="s">
        <v>61</v>
      </c>
      <c r="M124" s="41"/>
      <c r="N124" s="57"/>
    </row>
    <row r="125" spans="1:14" ht="20.100000000000001" customHeight="1" x14ac:dyDescent="0.25">
      <c r="A125" s="30" t="str">
        <f t="shared" si="12"/>
        <v/>
      </c>
      <c r="B125" s="41"/>
      <c r="C125" s="35" t="str">
        <f>IF(B125="","",IFERROR(VLOOKUP(B125,DB_Customers!$A:$B,2,0),"❌ Account Not Found"))</f>
        <v/>
      </c>
      <c r="D125" s="42" t="str">
        <f t="shared" ca="1" si="13"/>
        <v/>
      </c>
      <c r="E125" s="32"/>
      <c r="F125" s="31"/>
      <c r="G125" s="41"/>
      <c r="H125" s="56">
        <v>2.5</v>
      </c>
      <c r="I125" s="43" t="str">
        <f t="shared" si="14"/>
        <v/>
      </c>
      <c r="J125" s="43" t="str">
        <f t="shared" si="15"/>
        <v/>
      </c>
      <c r="K125" s="33" t="str">
        <f>IF(B125="","Pending",IF(M125="","⚠️ Enter Code",IF(IFERROR(VLOOKUP(L125,DB_Agents!$B:$F,4,0),"")=TEXT(M125,"0"),"Pending Approval","🔒 WRONG CODE")))</f>
        <v>Pending</v>
      </c>
      <c r="L125" s="30" t="s">
        <v>61</v>
      </c>
      <c r="M125" s="41"/>
      <c r="N125" s="22"/>
    </row>
    <row r="126" spans="1:14" ht="20.100000000000001" customHeight="1" x14ac:dyDescent="0.25">
      <c r="A126" s="30" t="str">
        <f t="shared" si="12"/>
        <v/>
      </c>
      <c r="B126" s="41"/>
      <c r="C126" s="35" t="str">
        <f>IF(B126="","",IFERROR(VLOOKUP(B126,DB_Customers!$A:$B,2,0),"❌ Account Not Found"))</f>
        <v/>
      </c>
      <c r="D126" s="42" t="str">
        <f t="shared" ca="1" si="13"/>
        <v/>
      </c>
      <c r="E126" s="32"/>
      <c r="F126" s="31"/>
      <c r="G126" s="41"/>
      <c r="H126" s="56">
        <v>2.5</v>
      </c>
      <c r="I126" s="43" t="str">
        <f t="shared" si="14"/>
        <v/>
      </c>
      <c r="J126" s="43" t="str">
        <f t="shared" si="15"/>
        <v/>
      </c>
      <c r="K126" s="33" t="str">
        <f>IF(B126="","Pending",IF(M126="","⚠️ Enter Code",IF(IFERROR(VLOOKUP(L126,DB_Agents!$B:$F,4,0),"")=TEXT(M126,"0"),"Pending Approval","🔒 WRONG CODE")))</f>
        <v>Pending</v>
      </c>
      <c r="L126" s="30" t="s">
        <v>61</v>
      </c>
      <c r="M126" s="41"/>
      <c r="N126" s="57"/>
    </row>
    <row r="127" spans="1:14" ht="20.100000000000001" customHeight="1" x14ac:dyDescent="0.25">
      <c r="A127" s="30" t="str">
        <f t="shared" si="12"/>
        <v/>
      </c>
      <c r="B127" s="41"/>
      <c r="C127" s="35" t="str">
        <f>IF(B127="","",IFERROR(VLOOKUP(B127,DB_Customers!$A:$B,2,0),"❌ Account Not Found"))</f>
        <v/>
      </c>
      <c r="D127" s="42" t="str">
        <f t="shared" ca="1" si="13"/>
        <v/>
      </c>
      <c r="E127" s="32"/>
      <c r="F127" s="31"/>
      <c r="G127" s="41"/>
      <c r="H127" s="56">
        <v>2.5</v>
      </c>
      <c r="I127" s="43" t="str">
        <f t="shared" si="14"/>
        <v/>
      </c>
      <c r="J127" s="43" t="str">
        <f t="shared" si="15"/>
        <v/>
      </c>
      <c r="K127" s="33" t="str">
        <f>IF(B127="","Pending",IF(M127="","⚠️ Enter Code",IF(IFERROR(VLOOKUP(L127,DB_Agents!$B:$F,4,0),"")=TEXT(M127,"0"),"Pending Approval","🔒 WRONG CODE")))</f>
        <v>Pending</v>
      </c>
      <c r="L127" s="30" t="s">
        <v>61</v>
      </c>
      <c r="M127" s="41"/>
      <c r="N127" s="22"/>
    </row>
    <row r="128" spans="1:14" ht="20.100000000000001" customHeight="1" x14ac:dyDescent="0.25">
      <c r="A128" s="30" t="str">
        <f t="shared" si="12"/>
        <v/>
      </c>
      <c r="B128" s="41"/>
      <c r="C128" s="35" t="str">
        <f>IF(B128="","",IFERROR(VLOOKUP(B128,DB_Customers!$A:$B,2,0),"❌ Account Not Found"))</f>
        <v/>
      </c>
      <c r="D128" s="42" t="str">
        <f t="shared" ca="1" si="13"/>
        <v/>
      </c>
      <c r="E128" s="32"/>
      <c r="F128" s="31"/>
      <c r="G128" s="41"/>
      <c r="H128" s="56">
        <v>2.5</v>
      </c>
      <c r="I128" s="43" t="str">
        <f t="shared" si="14"/>
        <v/>
      </c>
      <c r="J128" s="43" t="str">
        <f t="shared" si="15"/>
        <v/>
      </c>
      <c r="K128" s="33" t="str">
        <f>IF(B128="","Pending",IF(M128="","⚠️ Enter Code",IF(IFERROR(VLOOKUP(L128,DB_Agents!$B:$F,4,0),"")=TEXT(M128,"0"),"Pending Approval","🔒 WRONG CODE")))</f>
        <v>Pending</v>
      </c>
      <c r="L128" s="30" t="s">
        <v>61</v>
      </c>
      <c r="M128" s="41"/>
      <c r="N128" s="57"/>
    </row>
    <row r="129" spans="1:14" ht="20.100000000000001" customHeight="1" x14ac:dyDescent="0.25">
      <c r="A129" s="30" t="str">
        <f t="shared" si="12"/>
        <v/>
      </c>
      <c r="B129" s="41"/>
      <c r="C129" s="35" t="str">
        <f>IF(B129="","",IFERROR(VLOOKUP(B129,DB_Customers!$A:$B,2,0),"❌ Account Not Found"))</f>
        <v/>
      </c>
      <c r="D129" s="42" t="str">
        <f t="shared" ca="1" si="13"/>
        <v/>
      </c>
      <c r="E129" s="32"/>
      <c r="F129" s="31"/>
      <c r="G129" s="41"/>
      <c r="H129" s="56">
        <v>2.5</v>
      </c>
      <c r="I129" s="43" t="str">
        <f t="shared" si="14"/>
        <v/>
      </c>
      <c r="J129" s="43" t="str">
        <f t="shared" si="15"/>
        <v/>
      </c>
      <c r="K129" s="33" t="str">
        <f>IF(B129="","Pending",IF(M129="","⚠️ Enter Code",IF(IFERROR(VLOOKUP(L129,DB_Agents!$B:$F,4,0),"")=TEXT(M129,"0"),"Pending Approval","🔒 WRONG CODE")))</f>
        <v>Pending</v>
      </c>
      <c r="L129" s="30" t="s">
        <v>61</v>
      </c>
      <c r="M129" s="41"/>
      <c r="N129" s="22"/>
    </row>
    <row r="130" spans="1:14" ht="20.100000000000001" customHeight="1" x14ac:dyDescent="0.25">
      <c r="A130" s="30" t="str">
        <f t="shared" si="12"/>
        <v/>
      </c>
      <c r="B130" s="41"/>
      <c r="C130" s="35" t="str">
        <f>IF(B130="","",IFERROR(VLOOKUP(B130,DB_Customers!$A:$B,2,0),"❌ Account Not Found"))</f>
        <v/>
      </c>
      <c r="D130" s="42" t="str">
        <f t="shared" ca="1" si="13"/>
        <v/>
      </c>
      <c r="E130" s="32"/>
      <c r="F130" s="31"/>
      <c r="G130" s="41"/>
      <c r="H130" s="56">
        <v>2.5</v>
      </c>
      <c r="I130" s="43" t="str">
        <f t="shared" si="14"/>
        <v/>
      </c>
      <c r="J130" s="43" t="str">
        <f t="shared" si="15"/>
        <v/>
      </c>
      <c r="K130" s="33" t="str">
        <f>IF(B130="","Pending",IF(M130="","⚠️ Enter Code",IF(IFERROR(VLOOKUP(L130,DB_Agents!$B:$F,4,0),"")=TEXT(M130,"0"),"Pending Approval","🔒 WRONG CODE")))</f>
        <v>Pending</v>
      </c>
      <c r="L130" s="30" t="s">
        <v>61</v>
      </c>
      <c r="M130" s="41"/>
      <c r="N130" s="57"/>
    </row>
    <row r="131" spans="1:14" ht="20.100000000000001" customHeight="1" x14ac:dyDescent="0.25">
      <c r="A131" s="30" t="str">
        <f t="shared" si="12"/>
        <v/>
      </c>
      <c r="B131" s="41"/>
      <c r="C131" s="35" t="str">
        <f>IF(B131="","",IFERROR(VLOOKUP(B131,DB_Customers!$A:$B,2,0),"❌ Account Not Found"))</f>
        <v/>
      </c>
      <c r="D131" s="42" t="str">
        <f t="shared" ca="1" si="13"/>
        <v/>
      </c>
      <c r="E131" s="32"/>
      <c r="F131" s="31"/>
      <c r="G131" s="41"/>
      <c r="H131" s="56">
        <v>2.5</v>
      </c>
      <c r="I131" s="43" t="str">
        <f t="shared" si="14"/>
        <v/>
      </c>
      <c r="J131" s="43" t="str">
        <f t="shared" si="15"/>
        <v/>
      </c>
      <c r="K131" s="33" t="str">
        <f>IF(B131="","Pending",IF(M131="","⚠️ Enter Code",IF(IFERROR(VLOOKUP(L131,DB_Agents!$B:$F,4,0),"")=TEXT(M131,"0"),"Pending Approval","🔒 WRONG CODE")))</f>
        <v>Pending</v>
      </c>
      <c r="L131" s="30" t="s">
        <v>61</v>
      </c>
      <c r="M131" s="41"/>
      <c r="N131" s="22"/>
    </row>
    <row r="132" spans="1:14" ht="20.100000000000001" customHeight="1" x14ac:dyDescent="0.25">
      <c r="A132" s="30" t="str">
        <f t="shared" si="12"/>
        <v/>
      </c>
      <c r="B132" s="41"/>
      <c r="C132" s="35" t="str">
        <f>IF(B132="","",IFERROR(VLOOKUP(B132,DB_Customers!$A:$B,2,0),"❌ Account Not Found"))</f>
        <v/>
      </c>
      <c r="D132" s="42" t="str">
        <f t="shared" ca="1" si="13"/>
        <v/>
      </c>
      <c r="E132" s="32"/>
      <c r="F132" s="31"/>
      <c r="G132" s="41"/>
      <c r="H132" s="56">
        <v>2.5</v>
      </c>
      <c r="I132" s="43" t="str">
        <f t="shared" si="14"/>
        <v/>
      </c>
      <c r="J132" s="43" t="str">
        <f t="shared" si="15"/>
        <v/>
      </c>
      <c r="K132" s="33" t="str">
        <f>IF(B132="","Pending",IF(M132="","⚠️ Enter Code",IF(IFERROR(VLOOKUP(L132,DB_Agents!$B:$F,4,0),"")=TEXT(M132,"0"),"Pending Approval","🔒 WRONG CODE")))</f>
        <v>Pending</v>
      </c>
      <c r="L132" s="30" t="s">
        <v>61</v>
      </c>
      <c r="M132" s="41"/>
      <c r="N132" s="57"/>
    </row>
    <row r="133" spans="1:14" ht="20.100000000000001" customHeight="1" x14ac:dyDescent="0.25">
      <c r="A133" s="30" t="str">
        <f t="shared" si="12"/>
        <v/>
      </c>
      <c r="B133" s="41"/>
      <c r="C133" s="35" t="str">
        <f>IF(B133="","",IFERROR(VLOOKUP(B133,DB_Customers!$A:$B,2,0),"❌ Account Not Found"))</f>
        <v/>
      </c>
      <c r="D133" s="42" t="str">
        <f t="shared" ca="1" si="13"/>
        <v/>
      </c>
      <c r="E133" s="32"/>
      <c r="F133" s="31"/>
      <c r="G133" s="41"/>
      <c r="H133" s="56">
        <v>2.5</v>
      </c>
      <c r="I133" s="43" t="str">
        <f t="shared" si="14"/>
        <v/>
      </c>
      <c r="J133" s="43" t="str">
        <f t="shared" si="15"/>
        <v/>
      </c>
      <c r="K133" s="33" t="str">
        <f>IF(B133="","Pending",IF(M133="","⚠️ Enter Code",IF(IFERROR(VLOOKUP(L133,DB_Agents!$B:$F,4,0),"")=TEXT(M133,"0"),"Pending Approval","🔒 WRONG CODE")))</f>
        <v>Pending</v>
      </c>
      <c r="L133" s="30" t="s">
        <v>61</v>
      </c>
      <c r="M133" s="41"/>
      <c r="N133" s="22"/>
    </row>
    <row r="134" spans="1:14" ht="20.100000000000001" customHeight="1" x14ac:dyDescent="0.25">
      <c r="A134" s="30" t="str">
        <f t="shared" si="12"/>
        <v/>
      </c>
      <c r="B134" s="41"/>
      <c r="C134" s="35" t="str">
        <f>IF(B134="","",IFERROR(VLOOKUP(B134,DB_Customers!$A:$B,2,0),"❌ Account Not Found"))</f>
        <v/>
      </c>
      <c r="D134" s="42" t="str">
        <f t="shared" ca="1" si="13"/>
        <v/>
      </c>
      <c r="E134" s="32"/>
      <c r="F134" s="31"/>
      <c r="G134" s="41"/>
      <c r="H134" s="56">
        <v>2.5</v>
      </c>
      <c r="I134" s="43" t="str">
        <f t="shared" si="14"/>
        <v/>
      </c>
      <c r="J134" s="43" t="str">
        <f t="shared" si="15"/>
        <v/>
      </c>
      <c r="K134" s="33" t="str">
        <f>IF(B134="","Pending",IF(M134="","⚠️ Enter Code",IF(IFERROR(VLOOKUP(L134,DB_Agents!$B:$F,4,0),"")=TEXT(M134,"0"),"Pending Approval","🔒 WRONG CODE")))</f>
        <v>Pending</v>
      </c>
      <c r="L134" s="30" t="s">
        <v>61</v>
      </c>
      <c r="M134" s="41"/>
      <c r="N134" s="57"/>
    </row>
    <row r="135" spans="1:14" ht="20.100000000000001" customHeight="1" x14ac:dyDescent="0.25">
      <c r="A135" s="30" t="str">
        <f t="shared" si="12"/>
        <v/>
      </c>
      <c r="B135" s="41"/>
      <c r="C135" s="35" t="str">
        <f>IF(B135="","",IFERROR(VLOOKUP(B135,DB_Customers!$A:$B,2,0),"❌ Account Not Found"))</f>
        <v/>
      </c>
      <c r="D135" s="42" t="str">
        <f t="shared" ca="1" si="13"/>
        <v/>
      </c>
      <c r="E135" s="32"/>
      <c r="F135" s="31"/>
      <c r="G135" s="41"/>
      <c r="H135" s="56">
        <v>2.5</v>
      </c>
      <c r="I135" s="43" t="str">
        <f t="shared" si="14"/>
        <v/>
      </c>
      <c r="J135" s="43" t="str">
        <f t="shared" si="15"/>
        <v/>
      </c>
      <c r="K135" s="33" t="str">
        <f>IF(B135="","Pending",IF(M135="","⚠️ Enter Code",IF(IFERROR(VLOOKUP(L135,DB_Agents!$B:$F,4,0),"")=TEXT(M135,"0"),"Pending Approval","🔒 WRONG CODE")))</f>
        <v>Pending</v>
      </c>
      <c r="L135" s="30" t="s">
        <v>61</v>
      </c>
      <c r="M135" s="41"/>
      <c r="N135" s="22"/>
    </row>
    <row r="136" spans="1:14" ht="20.100000000000001" customHeight="1" x14ac:dyDescent="0.25">
      <c r="A136" s="30" t="str">
        <f t="shared" si="12"/>
        <v/>
      </c>
      <c r="B136" s="41"/>
      <c r="C136" s="35" t="str">
        <f>IF(B136="","",IFERROR(VLOOKUP(B136,DB_Customers!$A:$B,2,0),"❌ Account Not Found"))</f>
        <v/>
      </c>
      <c r="D136" s="42" t="str">
        <f t="shared" ca="1" si="13"/>
        <v/>
      </c>
      <c r="E136" s="32"/>
      <c r="F136" s="31"/>
      <c r="G136" s="41"/>
      <c r="H136" s="56">
        <v>2.5</v>
      </c>
      <c r="I136" s="43" t="str">
        <f t="shared" si="14"/>
        <v/>
      </c>
      <c r="J136" s="43" t="str">
        <f t="shared" si="15"/>
        <v/>
      </c>
      <c r="K136" s="33" t="str">
        <f>IF(B136="","Pending",IF(M136="","⚠️ Enter Code",IF(IFERROR(VLOOKUP(L136,DB_Agents!$B:$F,4,0),"")=TEXT(M136,"0"),"Pending Approval","🔒 WRONG CODE")))</f>
        <v>Pending</v>
      </c>
      <c r="L136" s="30" t="s">
        <v>61</v>
      </c>
      <c r="M136" s="41"/>
      <c r="N136" s="57"/>
    </row>
    <row r="137" spans="1:14" ht="20.100000000000001" customHeight="1" x14ac:dyDescent="0.25">
      <c r="A137" s="30" t="str">
        <f t="shared" si="12"/>
        <v/>
      </c>
      <c r="B137" s="41"/>
      <c r="C137" s="35" t="str">
        <f>IF(B137="","",IFERROR(VLOOKUP(B137,DB_Customers!$A:$B,2,0),"❌ Account Not Found"))</f>
        <v/>
      </c>
      <c r="D137" s="42" t="str">
        <f t="shared" ca="1" si="13"/>
        <v/>
      </c>
      <c r="E137" s="32"/>
      <c r="F137" s="31"/>
      <c r="G137" s="41"/>
      <c r="H137" s="56">
        <v>2.5</v>
      </c>
      <c r="I137" s="43" t="str">
        <f t="shared" si="14"/>
        <v/>
      </c>
      <c r="J137" s="43" t="str">
        <f t="shared" si="15"/>
        <v/>
      </c>
      <c r="K137" s="33" t="str">
        <f>IF(B137="","Pending",IF(M137="","⚠️ Enter Code",IF(IFERROR(VLOOKUP(L137,DB_Agents!$B:$F,4,0),"")=TEXT(M137,"0"),"Pending Approval","🔒 WRONG CODE")))</f>
        <v>Pending</v>
      </c>
      <c r="L137" s="30" t="s">
        <v>61</v>
      </c>
      <c r="M137" s="41"/>
      <c r="N137" s="22"/>
    </row>
    <row r="138" spans="1:14" ht="20.100000000000001" customHeight="1" x14ac:dyDescent="0.25">
      <c r="A138" s="30" t="str">
        <f t="shared" si="12"/>
        <v/>
      </c>
      <c r="B138" s="41"/>
      <c r="C138" s="35" t="str">
        <f>IF(B138="","",IFERROR(VLOOKUP(B138,DB_Customers!$A:$B,2,0),"❌ Account Not Found"))</f>
        <v/>
      </c>
      <c r="D138" s="42" t="str">
        <f t="shared" ca="1" si="13"/>
        <v/>
      </c>
      <c r="E138" s="32"/>
      <c r="F138" s="31"/>
      <c r="G138" s="41"/>
      <c r="H138" s="56">
        <v>2.5</v>
      </c>
      <c r="I138" s="43" t="str">
        <f t="shared" si="14"/>
        <v/>
      </c>
      <c r="J138" s="43" t="str">
        <f t="shared" si="15"/>
        <v/>
      </c>
      <c r="K138" s="33" t="str">
        <f>IF(B138="","Pending",IF(M138="","⚠️ Enter Code",IF(IFERROR(VLOOKUP(L138,DB_Agents!$B:$F,4,0),"")=TEXT(M138,"0"),"Pending Approval","🔒 WRONG CODE")))</f>
        <v>Pending</v>
      </c>
      <c r="L138" s="30" t="s">
        <v>61</v>
      </c>
      <c r="M138" s="41"/>
      <c r="N138" s="57"/>
    </row>
    <row r="139" spans="1:14" ht="20.100000000000001" customHeight="1" x14ac:dyDescent="0.25">
      <c r="A139" s="30" t="str">
        <f t="shared" si="12"/>
        <v/>
      </c>
      <c r="B139" s="41"/>
      <c r="C139" s="35" t="str">
        <f>IF(B139="","",IFERROR(VLOOKUP(B139,DB_Customers!$A:$B,2,0),"❌ Account Not Found"))</f>
        <v/>
      </c>
      <c r="D139" s="42" t="str">
        <f t="shared" ca="1" si="13"/>
        <v/>
      </c>
      <c r="E139" s="32"/>
      <c r="F139" s="31"/>
      <c r="G139" s="41"/>
      <c r="H139" s="56">
        <v>2.5</v>
      </c>
      <c r="I139" s="43" t="str">
        <f t="shared" si="14"/>
        <v/>
      </c>
      <c r="J139" s="43" t="str">
        <f t="shared" si="15"/>
        <v/>
      </c>
      <c r="K139" s="33" t="str">
        <f>IF(B139="","Pending",IF(M139="","⚠️ Enter Code",IF(IFERROR(VLOOKUP(L139,DB_Agents!$B:$F,4,0),"")=TEXT(M139,"0"),"Pending Approval","🔒 WRONG CODE")))</f>
        <v>Pending</v>
      </c>
      <c r="L139" s="30" t="s">
        <v>61</v>
      </c>
      <c r="M139" s="41"/>
      <c r="N139" s="22"/>
    </row>
    <row r="140" spans="1:14" ht="20.100000000000001" customHeight="1" x14ac:dyDescent="0.25">
      <c r="A140" s="30" t="str">
        <f t="shared" si="12"/>
        <v/>
      </c>
      <c r="B140" s="41"/>
      <c r="C140" s="35" t="str">
        <f>IF(B140="","",IFERROR(VLOOKUP(B140,DB_Customers!$A:$B,2,0),"❌ Account Not Found"))</f>
        <v/>
      </c>
      <c r="D140" s="42" t="str">
        <f t="shared" ca="1" si="13"/>
        <v/>
      </c>
      <c r="E140" s="32"/>
      <c r="F140" s="31"/>
      <c r="G140" s="41"/>
      <c r="H140" s="56">
        <v>2.5</v>
      </c>
      <c r="I140" s="43" t="str">
        <f t="shared" si="14"/>
        <v/>
      </c>
      <c r="J140" s="43" t="str">
        <f t="shared" si="15"/>
        <v/>
      </c>
      <c r="K140" s="33" t="str">
        <f>IF(B140="","Pending",IF(M140="","⚠️ Enter Code",IF(IFERROR(VLOOKUP(L140,DB_Agents!$B:$F,4,0),"")=TEXT(M140,"0"),"Pending Approval","🔒 WRONG CODE")))</f>
        <v>Pending</v>
      </c>
      <c r="L140" s="30" t="s">
        <v>61</v>
      </c>
      <c r="M140" s="41"/>
      <c r="N140" s="57"/>
    </row>
    <row r="141" spans="1:14" ht="20.100000000000001" customHeight="1" x14ac:dyDescent="0.25">
      <c r="A141" s="30" t="str">
        <f t="shared" si="12"/>
        <v/>
      </c>
      <c r="B141" s="41"/>
      <c r="C141" s="35" t="str">
        <f>IF(B141="","",IFERROR(VLOOKUP(B141,DB_Customers!$A:$B,2,0),"❌ Account Not Found"))</f>
        <v/>
      </c>
      <c r="D141" s="42" t="str">
        <f t="shared" ca="1" si="13"/>
        <v/>
      </c>
      <c r="E141" s="32"/>
      <c r="F141" s="31"/>
      <c r="G141" s="41"/>
      <c r="H141" s="56">
        <v>2.5</v>
      </c>
      <c r="I141" s="43" t="str">
        <f t="shared" si="14"/>
        <v/>
      </c>
      <c r="J141" s="43" t="str">
        <f t="shared" si="15"/>
        <v/>
      </c>
      <c r="K141" s="33" t="str">
        <f>IF(B141="","Pending",IF(M141="","⚠️ Enter Code",IF(IFERROR(VLOOKUP(L141,DB_Agents!$B:$F,4,0),"")=TEXT(M141,"0"),"Pending Approval","🔒 WRONG CODE")))</f>
        <v>Pending</v>
      </c>
      <c r="L141" s="30" t="s">
        <v>61</v>
      </c>
      <c r="M141" s="41"/>
      <c r="N141" s="22"/>
    </row>
    <row r="142" spans="1:14" ht="20.100000000000001" customHeight="1" x14ac:dyDescent="0.25">
      <c r="A142" s="30" t="str">
        <f t="shared" ref="A142:A173" si="16">IF(B142="","",IF(C142="❌ Account Not Found","INVALID","LN"&amp;TEXT(D142,"YYYYMMDD")&amp;TEXT(ROW()-13,"0000")))</f>
        <v/>
      </c>
      <c r="B142" s="41"/>
      <c r="C142" s="35" t="str">
        <f>IF(B142="","",IFERROR(VLOOKUP(B142,DB_Customers!$A:$B,2,0),"❌ Account Not Found"))</f>
        <v/>
      </c>
      <c r="D142" s="42" t="str">
        <f t="shared" ref="D142:D173" ca="1" si="17">IF(B142="","",TODAY())</f>
        <v/>
      </c>
      <c r="E142" s="32"/>
      <c r="F142" s="31"/>
      <c r="G142" s="41"/>
      <c r="H142" s="56">
        <v>2.5</v>
      </c>
      <c r="I142" s="43" t="str">
        <f t="shared" ref="I142:I173" si="18">IF(E142="","",E142+(E142*H142/100*G142))</f>
        <v/>
      </c>
      <c r="J142" s="43" t="str">
        <f t="shared" ref="J142:J173" si="19">IFERROR(I142/G142,"")</f>
        <v/>
      </c>
      <c r="K142" s="33" t="str">
        <f>IF(B142="","Pending",IF(M142="","⚠️ Enter Code",IF(IFERROR(VLOOKUP(L142,DB_Agents!$B:$F,4,0),"")=TEXT(M142,"0"),"Pending Approval","🔒 WRONG CODE")))</f>
        <v>Pending</v>
      </c>
      <c r="L142" s="30" t="s">
        <v>61</v>
      </c>
      <c r="M142" s="41"/>
      <c r="N142" s="57"/>
    </row>
    <row r="143" spans="1:14" ht="20.100000000000001" customHeight="1" x14ac:dyDescent="0.25">
      <c r="A143" s="30" t="str">
        <f t="shared" si="16"/>
        <v/>
      </c>
      <c r="B143" s="41"/>
      <c r="C143" s="35" t="str">
        <f>IF(B143="","",IFERROR(VLOOKUP(B143,DB_Customers!$A:$B,2,0),"❌ Account Not Found"))</f>
        <v/>
      </c>
      <c r="D143" s="42" t="str">
        <f t="shared" ca="1" si="17"/>
        <v/>
      </c>
      <c r="E143" s="32"/>
      <c r="F143" s="31"/>
      <c r="G143" s="41"/>
      <c r="H143" s="56">
        <v>2.5</v>
      </c>
      <c r="I143" s="43" t="str">
        <f t="shared" si="18"/>
        <v/>
      </c>
      <c r="J143" s="43" t="str">
        <f t="shared" si="19"/>
        <v/>
      </c>
      <c r="K143" s="33" t="str">
        <f>IF(B143="","Pending",IF(M143="","⚠️ Enter Code",IF(IFERROR(VLOOKUP(L143,DB_Agents!$B:$F,4,0),"")=TEXT(M143,"0"),"Pending Approval","🔒 WRONG CODE")))</f>
        <v>Pending</v>
      </c>
      <c r="L143" s="30" t="s">
        <v>61</v>
      </c>
      <c r="M143" s="41"/>
      <c r="N143" s="22"/>
    </row>
    <row r="144" spans="1:14" ht="20.100000000000001" customHeight="1" x14ac:dyDescent="0.25">
      <c r="A144" s="30" t="str">
        <f t="shared" si="16"/>
        <v/>
      </c>
      <c r="B144" s="41"/>
      <c r="C144" s="35" t="str">
        <f>IF(B144="","",IFERROR(VLOOKUP(B144,DB_Customers!$A:$B,2,0),"❌ Account Not Found"))</f>
        <v/>
      </c>
      <c r="D144" s="42" t="str">
        <f t="shared" ca="1" si="17"/>
        <v/>
      </c>
      <c r="E144" s="32"/>
      <c r="F144" s="31"/>
      <c r="G144" s="41"/>
      <c r="H144" s="56">
        <v>2.5</v>
      </c>
      <c r="I144" s="43" t="str">
        <f t="shared" si="18"/>
        <v/>
      </c>
      <c r="J144" s="43" t="str">
        <f t="shared" si="19"/>
        <v/>
      </c>
      <c r="K144" s="33" t="str">
        <f>IF(B144="","Pending",IF(M144="","⚠️ Enter Code",IF(IFERROR(VLOOKUP(L144,DB_Agents!$B:$F,4,0),"")=TEXT(M144,"0"),"Pending Approval","🔒 WRONG CODE")))</f>
        <v>Pending</v>
      </c>
      <c r="L144" s="30" t="s">
        <v>61</v>
      </c>
      <c r="M144" s="41"/>
      <c r="N144" s="57"/>
    </row>
    <row r="145" spans="1:14" ht="20.100000000000001" customHeight="1" x14ac:dyDescent="0.25">
      <c r="A145" s="30" t="str">
        <f t="shared" si="16"/>
        <v/>
      </c>
      <c r="B145" s="41"/>
      <c r="C145" s="35" t="str">
        <f>IF(B145="","",IFERROR(VLOOKUP(B145,DB_Customers!$A:$B,2,0),"❌ Account Not Found"))</f>
        <v/>
      </c>
      <c r="D145" s="42" t="str">
        <f t="shared" ca="1" si="17"/>
        <v/>
      </c>
      <c r="E145" s="32"/>
      <c r="F145" s="31"/>
      <c r="G145" s="41"/>
      <c r="H145" s="56">
        <v>2.5</v>
      </c>
      <c r="I145" s="43" t="str">
        <f t="shared" si="18"/>
        <v/>
      </c>
      <c r="J145" s="43" t="str">
        <f t="shared" si="19"/>
        <v/>
      </c>
      <c r="K145" s="33" t="str">
        <f>IF(B145="","Pending",IF(M145="","⚠️ Enter Code",IF(IFERROR(VLOOKUP(L145,DB_Agents!$B:$F,4,0),"")=TEXT(M145,"0"),"Pending Approval","🔒 WRONG CODE")))</f>
        <v>Pending</v>
      </c>
      <c r="L145" s="30" t="s">
        <v>61</v>
      </c>
      <c r="M145" s="41"/>
      <c r="N145" s="22"/>
    </row>
    <row r="146" spans="1:14" ht="20.100000000000001" customHeight="1" x14ac:dyDescent="0.25">
      <c r="A146" s="30" t="str">
        <f t="shared" si="16"/>
        <v/>
      </c>
      <c r="B146" s="41"/>
      <c r="C146" s="35" t="str">
        <f>IF(B146="","",IFERROR(VLOOKUP(B146,DB_Customers!$A:$B,2,0),"❌ Account Not Found"))</f>
        <v/>
      </c>
      <c r="D146" s="42" t="str">
        <f t="shared" ca="1" si="17"/>
        <v/>
      </c>
      <c r="E146" s="32"/>
      <c r="F146" s="31"/>
      <c r="G146" s="41"/>
      <c r="H146" s="56">
        <v>2.5</v>
      </c>
      <c r="I146" s="43" t="str">
        <f t="shared" si="18"/>
        <v/>
      </c>
      <c r="J146" s="43" t="str">
        <f t="shared" si="19"/>
        <v/>
      </c>
      <c r="K146" s="33" t="str">
        <f>IF(B146="","Pending",IF(M146="","⚠️ Enter Code",IF(IFERROR(VLOOKUP(L146,DB_Agents!$B:$F,4,0),"")=TEXT(M146,"0"),"Pending Approval","🔒 WRONG CODE")))</f>
        <v>Pending</v>
      </c>
      <c r="L146" s="30" t="s">
        <v>61</v>
      </c>
      <c r="M146" s="41"/>
      <c r="N146" s="57"/>
    </row>
    <row r="147" spans="1:14" ht="20.100000000000001" customHeight="1" x14ac:dyDescent="0.25">
      <c r="A147" s="30" t="str">
        <f t="shared" si="16"/>
        <v/>
      </c>
      <c r="B147" s="41"/>
      <c r="C147" s="35" t="str">
        <f>IF(B147="","",IFERROR(VLOOKUP(B147,DB_Customers!$A:$B,2,0),"❌ Account Not Found"))</f>
        <v/>
      </c>
      <c r="D147" s="42" t="str">
        <f t="shared" ca="1" si="17"/>
        <v/>
      </c>
      <c r="E147" s="32"/>
      <c r="F147" s="31"/>
      <c r="G147" s="41"/>
      <c r="H147" s="56">
        <v>2.5</v>
      </c>
      <c r="I147" s="43" t="str">
        <f t="shared" si="18"/>
        <v/>
      </c>
      <c r="J147" s="43" t="str">
        <f t="shared" si="19"/>
        <v/>
      </c>
      <c r="K147" s="33" t="str">
        <f>IF(B147="","Pending",IF(M147="","⚠️ Enter Code",IF(IFERROR(VLOOKUP(L147,DB_Agents!$B:$F,4,0),"")=TEXT(M147,"0"),"Pending Approval","🔒 WRONG CODE")))</f>
        <v>Pending</v>
      </c>
      <c r="L147" s="30" t="s">
        <v>61</v>
      </c>
      <c r="M147" s="41"/>
      <c r="N147" s="22"/>
    </row>
    <row r="148" spans="1:14" ht="20.100000000000001" customHeight="1" x14ac:dyDescent="0.25">
      <c r="A148" s="30" t="str">
        <f t="shared" si="16"/>
        <v/>
      </c>
      <c r="B148" s="41"/>
      <c r="C148" s="35" t="str">
        <f>IF(B148="","",IFERROR(VLOOKUP(B148,DB_Customers!$A:$B,2,0),"❌ Account Not Found"))</f>
        <v/>
      </c>
      <c r="D148" s="42" t="str">
        <f t="shared" ca="1" si="17"/>
        <v/>
      </c>
      <c r="E148" s="32"/>
      <c r="F148" s="31"/>
      <c r="G148" s="41"/>
      <c r="H148" s="56">
        <v>2.5</v>
      </c>
      <c r="I148" s="43" t="str">
        <f t="shared" si="18"/>
        <v/>
      </c>
      <c r="J148" s="43" t="str">
        <f t="shared" si="19"/>
        <v/>
      </c>
      <c r="K148" s="33" t="str">
        <f>IF(B148="","Pending",IF(M148="","⚠️ Enter Code",IF(IFERROR(VLOOKUP(L148,DB_Agents!$B:$F,4,0),"")=TEXT(M148,"0"),"Pending Approval","🔒 WRONG CODE")))</f>
        <v>Pending</v>
      </c>
      <c r="L148" s="30" t="s">
        <v>61</v>
      </c>
      <c r="M148" s="41"/>
      <c r="N148" s="57"/>
    </row>
    <row r="149" spans="1:14" ht="20.100000000000001" customHeight="1" x14ac:dyDescent="0.25">
      <c r="A149" s="30" t="str">
        <f t="shared" si="16"/>
        <v/>
      </c>
      <c r="B149" s="41"/>
      <c r="C149" s="35" t="str">
        <f>IF(B149="","",IFERROR(VLOOKUP(B149,DB_Customers!$A:$B,2,0),"❌ Account Not Found"))</f>
        <v/>
      </c>
      <c r="D149" s="42" t="str">
        <f t="shared" ca="1" si="17"/>
        <v/>
      </c>
      <c r="E149" s="32"/>
      <c r="F149" s="31"/>
      <c r="G149" s="41"/>
      <c r="H149" s="56">
        <v>2.5</v>
      </c>
      <c r="I149" s="43" t="str">
        <f t="shared" si="18"/>
        <v/>
      </c>
      <c r="J149" s="43" t="str">
        <f t="shared" si="19"/>
        <v/>
      </c>
      <c r="K149" s="33" t="str">
        <f>IF(B149="","Pending",IF(M149="","⚠️ Enter Code",IF(IFERROR(VLOOKUP(L149,DB_Agents!$B:$F,4,0),"")=TEXT(M149,"0"),"Pending Approval","🔒 WRONG CODE")))</f>
        <v>Pending</v>
      </c>
      <c r="L149" s="30" t="s">
        <v>61</v>
      </c>
      <c r="M149" s="41"/>
      <c r="N149" s="22"/>
    </row>
    <row r="150" spans="1:14" ht="20.100000000000001" customHeight="1" x14ac:dyDescent="0.25">
      <c r="A150" s="30" t="str">
        <f t="shared" si="16"/>
        <v/>
      </c>
      <c r="B150" s="41"/>
      <c r="C150" s="35" t="str">
        <f>IF(B150="","",IFERROR(VLOOKUP(B150,DB_Customers!$A:$B,2,0),"❌ Account Not Found"))</f>
        <v/>
      </c>
      <c r="D150" s="42" t="str">
        <f t="shared" ca="1" si="17"/>
        <v/>
      </c>
      <c r="E150" s="32"/>
      <c r="F150" s="31"/>
      <c r="G150" s="41"/>
      <c r="H150" s="56">
        <v>2.5</v>
      </c>
      <c r="I150" s="43" t="str">
        <f t="shared" si="18"/>
        <v/>
      </c>
      <c r="J150" s="43" t="str">
        <f t="shared" si="19"/>
        <v/>
      </c>
      <c r="K150" s="33" t="str">
        <f>IF(B150="","Pending",IF(M150="","⚠️ Enter Code",IF(IFERROR(VLOOKUP(L150,DB_Agents!$B:$F,4,0),"")=TEXT(M150,"0"),"Pending Approval","🔒 WRONG CODE")))</f>
        <v>Pending</v>
      </c>
      <c r="L150" s="30" t="s">
        <v>61</v>
      </c>
      <c r="M150" s="41"/>
      <c r="N150" s="57"/>
    </row>
    <row r="151" spans="1:14" ht="20.100000000000001" customHeight="1" x14ac:dyDescent="0.25">
      <c r="A151" s="30" t="str">
        <f t="shared" si="16"/>
        <v/>
      </c>
      <c r="B151" s="41"/>
      <c r="C151" s="35" t="str">
        <f>IF(B151="","",IFERROR(VLOOKUP(B151,DB_Customers!$A:$B,2,0),"❌ Account Not Found"))</f>
        <v/>
      </c>
      <c r="D151" s="42" t="str">
        <f t="shared" ca="1" si="17"/>
        <v/>
      </c>
      <c r="E151" s="32"/>
      <c r="F151" s="31"/>
      <c r="G151" s="41"/>
      <c r="H151" s="56">
        <v>2.5</v>
      </c>
      <c r="I151" s="43" t="str">
        <f t="shared" si="18"/>
        <v/>
      </c>
      <c r="J151" s="43" t="str">
        <f t="shared" si="19"/>
        <v/>
      </c>
      <c r="K151" s="33" t="str">
        <f>IF(B151="","Pending",IF(M151="","⚠️ Enter Code",IF(IFERROR(VLOOKUP(L151,DB_Agents!$B:$F,4,0),"")=TEXT(M151,"0"),"Pending Approval","🔒 WRONG CODE")))</f>
        <v>Pending</v>
      </c>
      <c r="L151" s="30" t="s">
        <v>61</v>
      </c>
      <c r="M151" s="41"/>
      <c r="N151" s="22"/>
    </row>
    <row r="152" spans="1:14" ht="20.100000000000001" customHeight="1" x14ac:dyDescent="0.25">
      <c r="A152" s="30" t="str">
        <f t="shared" si="16"/>
        <v/>
      </c>
      <c r="B152" s="41"/>
      <c r="C152" s="35" t="str">
        <f>IF(B152="","",IFERROR(VLOOKUP(B152,DB_Customers!$A:$B,2,0),"❌ Account Not Found"))</f>
        <v/>
      </c>
      <c r="D152" s="42" t="str">
        <f t="shared" ca="1" si="17"/>
        <v/>
      </c>
      <c r="E152" s="32"/>
      <c r="F152" s="31"/>
      <c r="G152" s="41"/>
      <c r="H152" s="56">
        <v>2.5</v>
      </c>
      <c r="I152" s="43" t="str">
        <f t="shared" si="18"/>
        <v/>
      </c>
      <c r="J152" s="43" t="str">
        <f t="shared" si="19"/>
        <v/>
      </c>
      <c r="K152" s="33" t="str">
        <f>IF(B152="","Pending",IF(M152="","⚠️ Enter Code",IF(IFERROR(VLOOKUP(L152,DB_Agents!$B:$F,4,0),"")=TEXT(M152,"0"),"Pending Approval","🔒 WRONG CODE")))</f>
        <v>Pending</v>
      </c>
      <c r="L152" s="30" t="s">
        <v>61</v>
      </c>
      <c r="M152" s="41"/>
      <c r="N152" s="57"/>
    </row>
    <row r="153" spans="1:14" ht="20.100000000000001" customHeight="1" x14ac:dyDescent="0.25">
      <c r="A153" s="30" t="str">
        <f t="shared" si="16"/>
        <v/>
      </c>
      <c r="B153" s="41"/>
      <c r="C153" s="35" t="str">
        <f>IF(B153="","",IFERROR(VLOOKUP(B153,DB_Customers!$A:$B,2,0),"❌ Account Not Found"))</f>
        <v/>
      </c>
      <c r="D153" s="42" t="str">
        <f t="shared" ca="1" si="17"/>
        <v/>
      </c>
      <c r="E153" s="32"/>
      <c r="F153" s="31"/>
      <c r="G153" s="41"/>
      <c r="H153" s="56">
        <v>2.5</v>
      </c>
      <c r="I153" s="43" t="str">
        <f t="shared" si="18"/>
        <v/>
      </c>
      <c r="J153" s="43" t="str">
        <f t="shared" si="19"/>
        <v/>
      </c>
      <c r="K153" s="33" t="str">
        <f>IF(B153="","Pending",IF(M153="","⚠️ Enter Code",IF(IFERROR(VLOOKUP(L153,DB_Agents!$B:$F,4,0),"")=TEXT(M153,"0"),"Pending Approval","🔒 WRONG CODE")))</f>
        <v>Pending</v>
      </c>
      <c r="L153" s="30" t="s">
        <v>61</v>
      </c>
      <c r="M153" s="41"/>
      <c r="N153" s="22"/>
    </row>
    <row r="154" spans="1:14" ht="20.100000000000001" customHeight="1" x14ac:dyDescent="0.25">
      <c r="A154" s="30" t="str">
        <f t="shared" si="16"/>
        <v/>
      </c>
      <c r="B154" s="41"/>
      <c r="C154" s="35" t="str">
        <f>IF(B154="","",IFERROR(VLOOKUP(B154,DB_Customers!$A:$B,2,0),"❌ Account Not Found"))</f>
        <v/>
      </c>
      <c r="D154" s="42" t="str">
        <f t="shared" ca="1" si="17"/>
        <v/>
      </c>
      <c r="E154" s="32"/>
      <c r="F154" s="31"/>
      <c r="G154" s="41"/>
      <c r="H154" s="56">
        <v>2.5</v>
      </c>
      <c r="I154" s="43" t="str">
        <f t="shared" si="18"/>
        <v/>
      </c>
      <c r="J154" s="43" t="str">
        <f t="shared" si="19"/>
        <v/>
      </c>
      <c r="K154" s="33" t="str">
        <f>IF(B154="","Pending",IF(M154="","⚠️ Enter Code",IF(IFERROR(VLOOKUP(L154,DB_Agents!$B:$F,4,0),"")=TEXT(M154,"0"),"Pending Approval","🔒 WRONG CODE")))</f>
        <v>Pending</v>
      </c>
      <c r="L154" s="30" t="s">
        <v>61</v>
      </c>
      <c r="M154" s="41"/>
      <c r="N154" s="57"/>
    </row>
    <row r="155" spans="1:14" ht="20.100000000000001" customHeight="1" x14ac:dyDescent="0.25">
      <c r="A155" s="30" t="str">
        <f t="shared" si="16"/>
        <v/>
      </c>
      <c r="B155" s="41"/>
      <c r="C155" s="35" t="str">
        <f>IF(B155="","",IFERROR(VLOOKUP(B155,DB_Customers!$A:$B,2,0),"❌ Account Not Found"))</f>
        <v/>
      </c>
      <c r="D155" s="42" t="str">
        <f t="shared" ca="1" si="17"/>
        <v/>
      </c>
      <c r="E155" s="32"/>
      <c r="F155" s="31"/>
      <c r="G155" s="41"/>
      <c r="H155" s="56">
        <v>2.5</v>
      </c>
      <c r="I155" s="43" t="str">
        <f t="shared" si="18"/>
        <v/>
      </c>
      <c r="J155" s="43" t="str">
        <f t="shared" si="19"/>
        <v/>
      </c>
      <c r="K155" s="33" t="str">
        <f>IF(B155="","Pending",IF(M155="","⚠️ Enter Code",IF(IFERROR(VLOOKUP(L155,DB_Agents!$B:$F,4,0),"")=TEXT(M155,"0"),"Pending Approval","🔒 WRONG CODE")))</f>
        <v>Pending</v>
      </c>
      <c r="L155" s="30" t="s">
        <v>61</v>
      </c>
      <c r="M155" s="41"/>
      <c r="N155" s="22"/>
    </row>
    <row r="156" spans="1:14" ht="20.100000000000001" customHeight="1" x14ac:dyDescent="0.25">
      <c r="A156" s="30" t="str">
        <f t="shared" si="16"/>
        <v/>
      </c>
      <c r="B156" s="41"/>
      <c r="C156" s="35" t="str">
        <f>IF(B156="","",IFERROR(VLOOKUP(B156,DB_Customers!$A:$B,2,0),"❌ Account Not Found"))</f>
        <v/>
      </c>
      <c r="D156" s="42" t="str">
        <f t="shared" ca="1" si="17"/>
        <v/>
      </c>
      <c r="E156" s="32"/>
      <c r="F156" s="31"/>
      <c r="G156" s="41"/>
      <c r="H156" s="56">
        <v>2.5</v>
      </c>
      <c r="I156" s="43" t="str">
        <f t="shared" si="18"/>
        <v/>
      </c>
      <c r="J156" s="43" t="str">
        <f t="shared" si="19"/>
        <v/>
      </c>
      <c r="K156" s="33" t="str">
        <f>IF(B156="","Pending",IF(M156="","⚠️ Enter Code",IF(IFERROR(VLOOKUP(L156,DB_Agents!$B:$F,4,0),"")=TEXT(M156,"0"),"Pending Approval","🔒 WRONG CODE")))</f>
        <v>Pending</v>
      </c>
      <c r="L156" s="30" t="s">
        <v>61</v>
      </c>
      <c r="M156" s="41"/>
      <c r="N156" s="57"/>
    </row>
    <row r="157" spans="1:14" ht="20.100000000000001" customHeight="1" x14ac:dyDescent="0.25">
      <c r="A157" s="30" t="str">
        <f t="shared" si="16"/>
        <v/>
      </c>
      <c r="B157" s="41"/>
      <c r="C157" s="35" t="str">
        <f>IF(B157="","",IFERROR(VLOOKUP(B157,DB_Customers!$A:$B,2,0),"❌ Account Not Found"))</f>
        <v/>
      </c>
      <c r="D157" s="42" t="str">
        <f t="shared" ca="1" si="17"/>
        <v/>
      </c>
      <c r="E157" s="32"/>
      <c r="F157" s="31"/>
      <c r="G157" s="41"/>
      <c r="H157" s="56">
        <v>2.5</v>
      </c>
      <c r="I157" s="43" t="str">
        <f t="shared" si="18"/>
        <v/>
      </c>
      <c r="J157" s="43" t="str">
        <f t="shared" si="19"/>
        <v/>
      </c>
      <c r="K157" s="33" t="str">
        <f>IF(B157="","Pending",IF(M157="","⚠️ Enter Code",IF(IFERROR(VLOOKUP(L157,DB_Agents!$B:$F,4,0),"")=TEXT(M157,"0"),"Pending Approval","🔒 WRONG CODE")))</f>
        <v>Pending</v>
      </c>
      <c r="L157" s="30" t="s">
        <v>61</v>
      </c>
      <c r="M157" s="41"/>
      <c r="N157" s="22"/>
    </row>
    <row r="158" spans="1:14" ht="20.100000000000001" customHeight="1" x14ac:dyDescent="0.25">
      <c r="A158" s="30" t="str">
        <f t="shared" si="16"/>
        <v/>
      </c>
      <c r="B158" s="41"/>
      <c r="C158" s="35" t="str">
        <f>IF(B158="","",IFERROR(VLOOKUP(B158,DB_Customers!$A:$B,2,0),"❌ Account Not Found"))</f>
        <v/>
      </c>
      <c r="D158" s="42" t="str">
        <f t="shared" ca="1" si="17"/>
        <v/>
      </c>
      <c r="E158" s="32"/>
      <c r="F158" s="31"/>
      <c r="G158" s="41"/>
      <c r="H158" s="56">
        <v>2.5</v>
      </c>
      <c r="I158" s="43" t="str">
        <f t="shared" si="18"/>
        <v/>
      </c>
      <c r="J158" s="43" t="str">
        <f t="shared" si="19"/>
        <v/>
      </c>
      <c r="K158" s="33" t="str">
        <f>IF(B158="","Pending",IF(M158="","⚠️ Enter Code",IF(IFERROR(VLOOKUP(L158,DB_Agents!$B:$F,4,0),"")=TEXT(M158,"0"),"Pending Approval","🔒 WRONG CODE")))</f>
        <v>Pending</v>
      </c>
      <c r="L158" s="30" t="s">
        <v>61</v>
      </c>
      <c r="M158" s="41"/>
      <c r="N158" s="57"/>
    </row>
    <row r="159" spans="1:14" ht="20.100000000000001" customHeight="1" x14ac:dyDescent="0.25">
      <c r="A159" s="30" t="str">
        <f t="shared" si="16"/>
        <v/>
      </c>
      <c r="B159" s="41"/>
      <c r="C159" s="35" t="str">
        <f>IF(B159="","",IFERROR(VLOOKUP(B159,DB_Customers!$A:$B,2,0),"❌ Account Not Found"))</f>
        <v/>
      </c>
      <c r="D159" s="42" t="str">
        <f t="shared" ca="1" si="17"/>
        <v/>
      </c>
      <c r="E159" s="32"/>
      <c r="F159" s="31"/>
      <c r="G159" s="41"/>
      <c r="H159" s="56">
        <v>2.5</v>
      </c>
      <c r="I159" s="43" t="str">
        <f t="shared" si="18"/>
        <v/>
      </c>
      <c r="J159" s="43" t="str">
        <f t="shared" si="19"/>
        <v/>
      </c>
      <c r="K159" s="33" t="str">
        <f>IF(B159="","Pending",IF(M159="","⚠️ Enter Code",IF(IFERROR(VLOOKUP(L159,DB_Agents!$B:$F,4,0),"")=TEXT(M159,"0"),"Pending Approval","🔒 WRONG CODE")))</f>
        <v>Pending</v>
      </c>
      <c r="L159" s="30" t="s">
        <v>61</v>
      </c>
      <c r="M159" s="41"/>
      <c r="N159" s="22"/>
    </row>
    <row r="160" spans="1:14" ht="20.100000000000001" customHeight="1" x14ac:dyDescent="0.25">
      <c r="A160" s="30" t="str">
        <f t="shared" si="16"/>
        <v/>
      </c>
      <c r="B160" s="41"/>
      <c r="C160" s="35" t="str">
        <f>IF(B160="","",IFERROR(VLOOKUP(B160,DB_Customers!$A:$B,2,0),"❌ Account Not Found"))</f>
        <v/>
      </c>
      <c r="D160" s="42" t="str">
        <f t="shared" ca="1" si="17"/>
        <v/>
      </c>
      <c r="E160" s="32"/>
      <c r="F160" s="31"/>
      <c r="G160" s="41"/>
      <c r="H160" s="56">
        <v>2.5</v>
      </c>
      <c r="I160" s="43" t="str">
        <f t="shared" si="18"/>
        <v/>
      </c>
      <c r="J160" s="43" t="str">
        <f t="shared" si="19"/>
        <v/>
      </c>
      <c r="K160" s="33" t="str">
        <f>IF(B160="","Pending",IF(M160="","⚠️ Enter Code",IF(IFERROR(VLOOKUP(L160,DB_Agents!$B:$F,4,0),"")=TEXT(M160,"0"),"Pending Approval","🔒 WRONG CODE")))</f>
        <v>Pending</v>
      </c>
      <c r="L160" s="30" t="s">
        <v>61</v>
      </c>
      <c r="M160" s="41"/>
      <c r="N160" s="57"/>
    </row>
    <row r="161" spans="1:14" ht="20.100000000000001" customHeight="1" x14ac:dyDescent="0.25">
      <c r="A161" s="30" t="str">
        <f t="shared" si="16"/>
        <v/>
      </c>
      <c r="B161" s="41"/>
      <c r="C161" s="35" t="str">
        <f>IF(B161="","",IFERROR(VLOOKUP(B161,DB_Customers!$A:$B,2,0),"❌ Account Not Found"))</f>
        <v/>
      </c>
      <c r="D161" s="42" t="str">
        <f t="shared" ca="1" si="17"/>
        <v/>
      </c>
      <c r="E161" s="32"/>
      <c r="F161" s="31"/>
      <c r="G161" s="41"/>
      <c r="H161" s="56">
        <v>2.5</v>
      </c>
      <c r="I161" s="43" t="str">
        <f t="shared" si="18"/>
        <v/>
      </c>
      <c r="J161" s="43" t="str">
        <f t="shared" si="19"/>
        <v/>
      </c>
      <c r="K161" s="33" t="str">
        <f>IF(B161="","Pending",IF(M161="","⚠️ Enter Code",IF(IFERROR(VLOOKUP(L161,DB_Agents!$B:$F,4,0),"")=TEXT(M161,"0"),"Pending Approval","🔒 WRONG CODE")))</f>
        <v>Pending</v>
      </c>
      <c r="L161" s="30" t="s">
        <v>61</v>
      </c>
      <c r="M161" s="41"/>
      <c r="N161" s="22"/>
    </row>
    <row r="162" spans="1:14" ht="20.100000000000001" customHeight="1" x14ac:dyDescent="0.25">
      <c r="A162" s="30" t="str">
        <f t="shared" si="16"/>
        <v/>
      </c>
      <c r="B162" s="41"/>
      <c r="C162" s="35" t="str">
        <f>IF(B162="","",IFERROR(VLOOKUP(B162,DB_Customers!$A:$B,2,0),"❌ Account Not Found"))</f>
        <v/>
      </c>
      <c r="D162" s="42" t="str">
        <f t="shared" ca="1" si="17"/>
        <v/>
      </c>
      <c r="E162" s="32"/>
      <c r="F162" s="31"/>
      <c r="G162" s="41"/>
      <c r="H162" s="56">
        <v>2.5</v>
      </c>
      <c r="I162" s="43" t="str">
        <f t="shared" si="18"/>
        <v/>
      </c>
      <c r="J162" s="43" t="str">
        <f t="shared" si="19"/>
        <v/>
      </c>
      <c r="K162" s="33" t="str">
        <f>IF(B162="","Pending",IF(M162="","⚠️ Enter Code",IF(IFERROR(VLOOKUP(L162,DB_Agents!$B:$F,4,0),"")=TEXT(M162,"0"),"Pending Approval","🔒 WRONG CODE")))</f>
        <v>Pending</v>
      </c>
      <c r="L162" s="30" t="s">
        <v>61</v>
      </c>
      <c r="M162" s="41"/>
      <c r="N162" s="57"/>
    </row>
    <row r="163" spans="1:14" ht="20.100000000000001" customHeight="1" x14ac:dyDescent="0.25">
      <c r="A163" s="30" t="str">
        <f t="shared" si="16"/>
        <v/>
      </c>
      <c r="B163" s="41"/>
      <c r="C163" s="35" t="str">
        <f>IF(B163="","",IFERROR(VLOOKUP(B163,DB_Customers!$A:$B,2,0),"❌ Account Not Found"))</f>
        <v/>
      </c>
      <c r="D163" s="42" t="str">
        <f t="shared" ca="1" si="17"/>
        <v/>
      </c>
      <c r="E163" s="32"/>
      <c r="F163" s="31"/>
      <c r="G163" s="41"/>
      <c r="H163" s="56">
        <v>2.5</v>
      </c>
      <c r="I163" s="43" t="str">
        <f t="shared" si="18"/>
        <v/>
      </c>
      <c r="J163" s="43" t="str">
        <f t="shared" si="19"/>
        <v/>
      </c>
      <c r="K163" s="33" t="str">
        <f>IF(B163="","Pending",IF(M163="","⚠️ Enter Code",IF(IFERROR(VLOOKUP(L163,DB_Agents!$B:$F,4,0),"")=TEXT(M163,"0"),"Pending Approval","🔒 WRONG CODE")))</f>
        <v>Pending</v>
      </c>
      <c r="L163" s="30" t="s">
        <v>61</v>
      </c>
      <c r="M163" s="41"/>
      <c r="N163" s="22"/>
    </row>
    <row r="164" spans="1:14" ht="20.100000000000001" customHeight="1" x14ac:dyDescent="0.25">
      <c r="A164" s="30" t="str">
        <f t="shared" si="16"/>
        <v/>
      </c>
      <c r="B164" s="41"/>
      <c r="C164" s="35" t="str">
        <f>IF(B164="","",IFERROR(VLOOKUP(B164,DB_Customers!$A:$B,2,0),"❌ Account Not Found"))</f>
        <v/>
      </c>
      <c r="D164" s="42" t="str">
        <f t="shared" ca="1" si="17"/>
        <v/>
      </c>
      <c r="E164" s="32"/>
      <c r="F164" s="31"/>
      <c r="G164" s="41"/>
      <c r="H164" s="56">
        <v>2.5</v>
      </c>
      <c r="I164" s="43" t="str">
        <f t="shared" si="18"/>
        <v/>
      </c>
      <c r="J164" s="43" t="str">
        <f t="shared" si="19"/>
        <v/>
      </c>
      <c r="K164" s="33" t="str">
        <f>IF(B164="","Pending",IF(M164="","⚠️ Enter Code",IF(IFERROR(VLOOKUP(L164,DB_Agents!$B:$F,4,0),"")=TEXT(M164,"0"),"Pending Approval","🔒 WRONG CODE")))</f>
        <v>Pending</v>
      </c>
      <c r="L164" s="30" t="s">
        <v>61</v>
      </c>
      <c r="M164" s="41"/>
      <c r="N164" s="57"/>
    </row>
    <row r="165" spans="1:14" ht="20.100000000000001" customHeight="1" x14ac:dyDescent="0.25">
      <c r="A165" s="30" t="str">
        <f t="shared" si="16"/>
        <v/>
      </c>
      <c r="B165" s="41"/>
      <c r="C165" s="35" t="str">
        <f>IF(B165="","",IFERROR(VLOOKUP(B165,DB_Customers!$A:$B,2,0),"❌ Account Not Found"))</f>
        <v/>
      </c>
      <c r="D165" s="42" t="str">
        <f t="shared" ca="1" si="17"/>
        <v/>
      </c>
      <c r="E165" s="32"/>
      <c r="F165" s="31"/>
      <c r="G165" s="41"/>
      <c r="H165" s="56">
        <v>2.5</v>
      </c>
      <c r="I165" s="43" t="str">
        <f t="shared" si="18"/>
        <v/>
      </c>
      <c r="J165" s="43" t="str">
        <f t="shared" si="19"/>
        <v/>
      </c>
      <c r="K165" s="33" t="str">
        <f>IF(B165="","Pending",IF(M165="","⚠️ Enter Code",IF(IFERROR(VLOOKUP(L165,DB_Agents!$B:$F,4,0),"")=TEXT(M165,"0"),"Pending Approval","🔒 WRONG CODE")))</f>
        <v>Pending</v>
      </c>
      <c r="L165" s="30" t="s">
        <v>61</v>
      </c>
      <c r="M165" s="41"/>
      <c r="N165" s="22"/>
    </row>
    <row r="166" spans="1:14" ht="20.100000000000001" customHeight="1" x14ac:dyDescent="0.25">
      <c r="A166" s="30" t="str">
        <f t="shared" si="16"/>
        <v/>
      </c>
      <c r="B166" s="41"/>
      <c r="C166" s="35" t="str">
        <f>IF(B166="","",IFERROR(VLOOKUP(B166,DB_Customers!$A:$B,2,0),"❌ Account Not Found"))</f>
        <v/>
      </c>
      <c r="D166" s="42" t="str">
        <f t="shared" ca="1" si="17"/>
        <v/>
      </c>
      <c r="E166" s="32"/>
      <c r="F166" s="31"/>
      <c r="G166" s="41"/>
      <c r="H166" s="56">
        <v>2.5</v>
      </c>
      <c r="I166" s="43" t="str">
        <f t="shared" si="18"/>
        <v/>
      </c>
      <c r="J166" s="43" t="str">
        <f t="shared" si="19"/>
        <v/>
      </c>
      <c r="K166" s="33" t="str">
        <f>IF(B166="","Pending",IF(M166="","⚠️ Enter Code",IF(IFERROR(VLOOKUP(L166,DB_Agents!$B:$F,4,0),"")=TEXT(M166,"0"),"Pending Approval","🔒 WRONG CODE")))</f>
        <v>Pending</v>
      </c>
      <c r="L166" s="30" t="s">
        <v>61</v>
      </c>
      <c r="M166" s="41"/>
      <c r="N166" s="57"/>
    </row>
    <row r="167" spans="1:14" ht="20.100000000000001" customHeight="1" x14ac:dyDescent="0.25">
      <c r="A167" s="30" t="str">
        <f t="shared" si="16"/>
        <v/>
      </c>
      <c r="B167" s="41"/>
      <c r="C167" s="35" t="str">
        <f>IF(B167="","",IFERROR(VLOOKUP(B167,DB_Customers!$A:$B,2,0),"❌ Account Not Found"))</f>
        <v/>
      </c>
      <c r="D167" s="42" t="str">
        <f t="shared" ca="1" si="17"/>
        <v/>
      </c>
      <c r="E167" s="32"/>
      <c r="F167" s="31"/>
      <c r="G167" s="41"/>
      <c r="H167" s="56">
        <v>2.5</v>
      </c>
      <c r="I167" s="43" t="str">
        <f t="shared" si="18"/>
        <v/>
      </c>
      <c r="J167" s="43" t="str">
        <f t="shared" si="19"/>
        <v/>
      </c>
      <c r="K167" s="33" t="str">
        <f>IF(B167="","Pending",IF(M167="","⚠️ Enter Code",IF(IFERROR(VLOOKUP(L167,DB_Agents!$B:$F,4,0),"")=TEXT(M167,"0"),"Pending Approval","🔒 WRONG CODE")))</f>
        <v>Pending</v>
      </c>
      <c r="L167" s="30" t="s">
        <v>61</v>
      </c>
      <c r="M167" s="41"/>
      <c r="N167" s="22"/>
    </row>
    <row r="168" spans="1:14" ht="20.100000000000001" customHeight="1" x14ac:dyDescent="0.25">
      <c r="A168" s="30" t="str">
        <f t="shared" si="16"/>
        <v/>
      </c>
      <c r="B168" s="41"/>
      <c r="C168" s="35" t="str">
        <f>IF(B168="","",IFERROR(VLOOKUP(B168,DB_Customers!$A:$B,2,0),"❌ Account Not Found"))</f>
        <v/>
      </c>
      <c r="D168" s="42" t="str">
        <f t="shared" ca="1" si="17"/>
        <v/>
      </c>
      <c r="E168" s="32"/>
      <c r="F168" s="31"/>
      <c r="G168" s="41"/>
      <c r="H168" s="56">
        <v>2.5</v>
      </c>
      <c r="I168" s="43" t="str">
        <f t="shared" si="18"/>
        <v/>
      </c>
      <c r="J168" s="43" t="str">
        <f t="shared" si="19"/>
        <v/>
      </c>
      <c r="K168" s="33" t="str">
        <f>IF(B168="","Pending",IF(M168="","⚠️ Enter Code",IF(IFERROR(VLOOKUP(L168,DB_Agents!$B:$F,4,0),"")=TEXT(M168,"0"),"Pending Approval","🔒 WRONG CODE")))</f>
        <v>Pending</v>
      </c>
      <c r="L168" s="30" t="s">
        <v>61</v>
      </c>
      <c r="M168" s="41"/>
      <c r="N168" s="57"/>
    </row>
    <row r="169" spans="1:14" ht="20.100000000000001" customHeight="1" x14ac:dyDescent="0.25">
      <c r="A169" s="30" t="str">
        <f t="shared" si="16"/>
        <v/>
      </c>
      <c r="B169" s="41"/>
      <c r="C169" s="35" t="str">
        <f>IF(B169="","",IFERROR(VLOOKUP(B169,DB_Customers!$A:$B,2,0),"❌ Account Not Found"))</f>
        <v/>
      </c>
      <c r="D169" s="42" t="str">
        <f t="shared" ca="1" si="17"/>
        <v/>
      </c>
      <c r="E169" s="32"/>
      <c r="F169" s="31"/>
      <c r="G169" s="41"/>
      <c r="H169" s="56">
        <v>2.5</v>
      </c>
      <c r="I169" s="43" t="str">
        <f t="shared" si="18"/>
        <v/>
      </c>
      <c r="J169" s="43" t="str">
        <f t="shared" si="19"/>
        <v/>
      </c>
      <c r="K169" s="33" t="str">
        <f>IF(B169="","Pending",IF(M169="","⚠️ Enter Code",IF(IFERROR(VLOOKUP(L169,DB_Agents!$B:$F,4,0),"")=TEXT(M169,"0"),"Pending Approval","🔒 WRONG CODE")))</f>
        <v>Pending</v>
      </c>
      <c r="L169" s="30" t="s">
        <v>61</v>
      </c>
      <c r="M169" s="41"/>
      <c r="N169" s="22"/>
    </row>
    <row r="170" spans="1:14" ht="20.100000000000001" customHeight="1" x14ac:dyDescent="0.25">
      <c r="A170" s="30" t="str">
        <f t="shared" si="16"/>
        <v/>
      </c>
      <c r="B170" s="41"/>
      <c r="C170" s="35" t="str">
        <f>IF(B170="","",IFERROR(VLOOKUP(B170,DB_Customers!$A:$B,2,0),"❌ Account Not Found"))</f>
        <v/>
      </c>
      <c r="D170" s="42" t="str">
        <f t="shared" ca="1" si="17"/>
        <v/>
      </c>
      <c r="E170" s="32"/>
      <c r="F170" s="31"/>
      <c r="G170" s="41"/>
      <c r="H170" s="56">
        <v>2.5</v>
      </c>
      <c r="I170" s="43" t="str">
        <f t="shared" si="18"/>
        <v/>
      </c>
      <c r="J170" s="43" t="str">
        <f t="shared" si="19"/>
        <v/>
      </c>
      <c r="K170" s="33" t="str">
        <f>IF(B170="","Pending",IF(M170="","⚠️ Enter Code",IF(IFERROR(VLOOKUP(L170,DB_Agents!$B:$F,4,0),"")=TEXT(M170,"0"),"Pending Approval","🔒 WRONG CODE")))</f>
        <v>Pending</v>
      </c>
      <c r="L170" s="30" t="s">
        <v>61</v>
      </c>
      <c r="M170" s="41"/>
      <c r="N170" s="57"/>
    </row>
    <row r="171" spans="1:14" ht="20.100000000000001" customHeight="1" x14ac:dyDescent="0.25">
      <c r="A171" s="30" t="str">
        <f t="shared" si="16"/>
        <v/>
      </c>
      <c r="B171" s="41"/>
      <c r="C171" s="35" t="str">
        <f>IF(B171="","",IFERROR(VLOOKUP(B171,DB_Customers!$A:$B,2,0),"❌ Account Not Found"))</f>
        <v/>
      </c>
      <c r="D171" s="42" t="str">
        <f t="shared" ca="1" si="17"/>
        <v/>
      </c>
      <c r="E171" s="32"/>
      <c r="F171" s="31"/>
      <c r="G171" s="41"/>
      <c r="H171" s="56">
        <v>2.5</v>
      </c>
      <c r="I171" s="43" t="str">
        <f t="shared" si="18"/>
        <v/>
      </c>
      <c r="J171" s="43" t="str">
        <f t="shared" si="19"/>
        <v/>
      </c>
      <c r="K171" s="33" t="str">
        <f>IF(B171="","Pending",IF(M171="","⚠️ Enter Code",IF(IFERROR(VLOOKUP(L171,DB_Agents!$B:$F,4,0),"")=TEXT(M171,"0"),"Pending Approval","🔒 WRONG CODE")))</f>
        <v>Pending</v>
      </c>
      <c r="L171" s="30" t="s">
        <v>61</v>
      </c>
      <c r="M171" s="41"/>
      <c r="N171" s="22"/>
    </row>
    <row r="172" spans="1:14" ht="20.100000000000001" customHeight="1" x14ac:dyDescent="0.25">
      <c r="A172" s="30" t="str">
        <f t="shared" si="16"/>
        <v/>
      </c>
      <c r="B172" s="41"/>
      <c r="C172" s="35" t="str">
        <f>IF(B172="","",IFERROR(VLOOKUP(B172,DB_Customers!$A:$B,2,0),"❌ Account Not Found"))</f>
        <v/>
      </c>
      <c r="D172" s="42" t="str">
        <f t="shared" ca="1" si="17"/>
        <v/>
      </c>
      <c r="E172" s="32"/>
      <c r="F172" s="31"/>
      <c r="G172" s="41"/>
      <c r="H172" s="56">
        <v>2.5</v>
      </c>
      <c r="I172" s="43" t="str">
        <f t="shared" si="18"/>
        <v/>
      </c>
      <c r="J172" s="43" t="str">
        <f t="shared" si="19"/>
        <v/>
      </c>
      <c r="K172" s="33" t="str">
        <f>IF(B172="","Pending",IF(M172="","⚠️ Enter Code",IF(IFERROR(VLOOKUP(L172,DB_Agents!$B:$F,4,0),"")=TEXT(M172,"0"),"Pending Approval","🔒 WRONG CODE")))</f>
        <v>Pending</v>
      </c>
      <c r="L172" s="30" t="s">
        <v>61</v>
      </c>
      <c r="M172" s="41"/>
      <c r="N172" s="57"/>
    </row>
    <row r="173" spans="1:14" ht="20.100000000000001" customHeight="1" x14ac:dyDescent="0.25">
      <c r="A173" s="30" t="str">
        <f t="shared" si="16"/>
        <v/>
      </c>
      <c r="B173" s="41"/>
      <c r="C173" s="35" t="str">
        <f>IF(B173="","",IFERROR(VLOOKUP(B173,DB_Customers!$A:$B,2,0),"❌ Account Not Found"))</f>
        <v/>
      </c>
      <c r="D173" s="42" t="str">
        <f t="shared" ca="1" si="17"/>
        <v/>
      </c>
      <c r="E173" s="32"/>
      <c r="F173" s="31"/>
      <c r="G173" s="41"/>
      <c r="H173" s="56">
        <v>2.5</v>
      </c>
      <c r="I173" s="43" t="str">
        <f t="shared" si="18"/>
        <v/>
      </c>
      <c r="J173" s="43" t="str">
        <f t="shared" si="19"/>
        <v/>
      </c>
      <c r="K173" s="33" t="str">
        <f>IF(B173="","Pending",IF(M173="","⚠️ Enter Code",IF(IFERROR(VLOOKUP(L173,DB_Agents!$B:$F,4,0),"")=TEXT(M173,"0"),"Pending Approval","🔒 WRONG CODE")))</f>
        <v>Pending</v>
      </c>
      <c r="L173" s="30" t="s">
        <v>61</v>
      </c>
      <c r="M173" s="41"/>
      <c r="N173" s="22"/>
    </row>
    <row r="174" spans="1:14" ht="20.100000000000001" customHeight="1" x14ac:dyDescent="0.25">
      <c r="A174" s="30" t="str">
        <f t="shared" ref="A174:A205" si="20">IF(B174="","",IF(C174="❌ Account Not Found","INVALID","LN"&amp;TEXT(D174,"YYYYMMDD")&amp;TEXT(ROW()-13,"0000")))</f>
        <v/>
      </c>
      <c r="B174" s="41"/>
      <c r="C174" s="35" t="str">
        <f>IF(B174="","",IFERROR(VLOOKUP(B174,DB_Customers!$A:$B,2,0),"❌ Account Not Found"))</f>
        <v/>
      </c>
      <c r="D174" s="42" t="str">
        <f t="shared" ref="D174:D205" ca="1" si="21">IF(B174="","",TODAY())</f>
        <v/>
      </c>
      <c r="E174" s="32"/>
      <c r="F174" s="31"/>
      <c r="G174" s="41"/>
      <c r="H174" s="56">
        <v>2.5</v>
      </c>
      <c r="I174" s="43" t="str">
        <f t="shared" ref="I174:I205" si="22">IF(E174="","",E174+(E174*H174/100*G174))</f>
        <v/>
      </c>
      <c r="J174" s="43" t="str">
        <f t="shared" ref="J174:J205" si="23">IFERROR(I174/G174,"")</f>
        <v/>
      </c>
      <c r="K174" s="33" t="str">
        <f>IF(B174="","Pending",IF(M174="","⚠️ Enter Code",IF(IFERROR(VLOOKUP(L174,DB_Agents!$B:$F,4,0),"")=TEXT(M174,"0"),"Pending Approval","🔒 WRONG CODE")))</f>
        <v>Pending</v>
      </c>
      <c r="L174" s="30" t="s">
        <v>61</v>
      </c>
      <c r="M174" s="41"/>
      <c r="N174" s="57"/>
    </row>
    <row r="175" spans="1:14" ht="20.100000000000001" customHeight="1" x14ac:dyDescent="0.25">
      <c r="A175" s="30" t="str">
        <f t="shared" si="20"/>
        <v/>
      </c>
      <c r="B175" s="41"/>
      <c r="C175" s="35" t="str">
        <f>IF(B175="","",IFERROR(VLOOKUP(B175,DB_Customers!$A:$B,2,0),"❌ Account Not Found"))</f>
        <v/>
      </c>
      <c r="D175" s="42" t="str">
        <f t="shared" ca="1" si="21"/>
        <v/>
      </c>
      <c r="E175" s="32"/>
      <c r="F175" s="31"/>
      <c r="G175" s="41"/>
      <c r="H175" s="56">
        <v>2.5</v>
      </c>
      <c r="I175" s="43" t="str">
        <f t="shared" si="22"/>
        <v/>
      </c>
      <c r="J175" s="43" t="str">
        <f t="shared" si="23"/>
        <v/>
      </c>
      <c r="K175" s="33" t="str">
        <f>IF(B175="","Pending",IF(M175="","⚠️ Enter Code",IF(IFERROR(VLOOKUP(L175,DB_Agents!$B:$F,4,0),"")=TEXT(M175,"0"),"Pending Approval","🔒 WRONG CODE")))</f>
        <v>Pending</v>
      </c>
      <c r="L175" s="30" t="s">
        <v>61</v>
      </c>
      <c r="M175" s="41"/>
      <c r="N175" s="22"/>
    </row>
    <row r="176" spans="1:14" ht="20.100000000000001" customHeight="1" x14ac:dyDescent="0.25">
      <c r="A176" s="30" t="str">
        <f t="shared" si="20"/>
        <v/>
      </c>
      <c r="B176" s="41"/>
      <c r="C176" s="35" t="str">
        <f>IF(B176="","",IFERROR(VLOOKUP(B176,DB_Customers!$A:$B,2,0),"❌ Account Not Found"))</f>
        <v/>
      </c>
      <c r="D176" s="42" t="str">
        <f t="shared" ca="1" si="21"/>
        <v/>
      </c>
      <c r="E176" s="32"/>
      <c r="F176" s="31"/>
      <c r="G176" s="41"/>
      <c r="H176" s="56">
        <v>2.5</v>
      </c>
      <c r="I176" s="43" t="str">
        <f t="shared" si="22"/>
        <v/>
      </c>
      <c r="J176" s="43" t="str">
        <f t="shared" si="23"/>
        <v/>
      </c>
      <c r="K176" s="33" t="str">
        <f>IF(B176="","Pending",IF(M176="","⚠️ Enter Code",IF(IFERROR(VLOOKUP(L176,DB_Agents!$B:$F,4,0),"")=TEXT(M176,"0"),"Pending Approval","🔒 WRONG CODE")))</f>
        <v>Pending</v>
      </c>
      <c r="L176" s="30" t="s">
        <v>61</v>
      </c>
      <c r="M176" s="41"/>
      <c r="N176" s="57"/>
    </row>
    <row r="177" spans="1:14" ht="20.100000000000001" customHeight="1" x14ac:dyDescent="0.25">
      <c r="A177" s="30" t="str">
        <f t="shared" si="20"/>
        <v/>
      </c>
      <c r="B177" s="41"/>
      <c r="C177" s="35" t="str">
        <f>IF(B177="","",IFERROR(VLOOKUP(B177,DB_Customers!$A:$B,2,0),"❌ Account Not Found"))</f>
        <v/>
      </c>
      <c r="D177" s="42" t="str">
        <f t="shared" ca="1" si="21"/>
        <v/>
      </c>
      <c r="E177" s="32"/>
      <c r="F177" s="31"/>
      <c r="G177" s="41"/>
      <c r="H177" s="56">
        <v>2.5</v>
      </c>
      <c r="I177" s="43" t="str">
        <f t="shared" si="22"/>
        <v/>
      </c>
      <c r="J177" s="43" t="str">
        <f t="shared" si="23"/>
        <v/>
      </c>
      <c r="K177" s="33" t="str">
        <f>IF(B177="","Pending",IF(M177="","⚠️ Enter Code",IF(IFERROR(VLOOKUP(L177,DB_Agents!$B:$F,4,0),"")=TEXT(M177,"0"),"Pending Approval","🔒 WRONG CODE")))</f>
        <v>Pending</v>
      </c>
      <c r="L177" s="30" t="s">
        <v>61</v>
      </c>
      <c r="M177" s="41"/>
      <c r="N177" s="22"/>
    </row>
    <row r="178" spans="1:14" ht="20.100000000000001" customHeight="1" x14ac:dyDescent="0.25">
      <c r="A178" s="30" t="str">
        <f t="shared" si="20"/>
        <v/>
      </c>
      <c r="B178" s="41"/>
      <c r="C178" s="35" t="str">
        <f>IF(B178="","",IFERROR(VLOOKUP(B178,DB_Customers!$A:$B,2,0),"❌ Account Not Found"))</f>
        <v/>
      </c>
      <c r="D178" s="42" t="str">
        <f t="shared" ca="1" si="21"/>
        <v/>
      </c>
      <c r="E178" s="32"/>
      <c r="F178" s="31"/>
      <c r="G178" s="41"/>
      <c r="H178" s="56">
        <v>2.5</v>
      </c>
      <c r="I178" s="43" t="str">
        <f t="shared" si="22"/>
        <v/>
      </c>
      <c r="J178" s="43" t="str">
        <f t="shared" si="23"/>
        <v/>
      </c>
      <c r="K178" s="33" t="str">
        <f>IF(B178="","Pending",IF(M178="","⚠️ Enter Code",IF(IFERROR(VLOOKUP(L178,DB_Agents!$B:$F,4,0),"")=TEXT(M178,"0"),"Pending Approval","🔒 WRONG CODE")))</f>
        <v>Pending</v>
      </c>
      <c r="L178" s="30" t="s">
        <v>61</v>
      </c>
      <c r="M178" s="41"/>
      <c r="N178" s="57"/>
    </row>
    <row r="179" spans="1:14" ht="20.100000000000001" customHeight="1" x14ac:dyDescent="0.25">
      <c r="A179" s="30" t="str">
        <f t="shared" si="20"/>
        <v/>
      </c>
      <c r="B179" s="41"/>
      <c r="C179" s="35" t="str">
        <f>IF(B179="","",IFERROR(VLOOKUP(B179,DB_Customers!$A:$B,2,0),"❌ Account Not Found"))</f>
        <v/>
      </c>
      <c r="D179" s="42" t="str">
        <f t="shared" ca="1" si="21"/>
        <v/>
      </c>
      <c r="E179" s="32"/>
      <c r="F179" s="31"/>
      <c r="G179" s="41"/>
      <c r="H179" s="56">
        <v>2.5</v>
      </c>
      <c r="I179" s="43" t="str">
        <f t="shared" si="22"/>
        <v/>
      </c>
      <c r="J179" s="43" t="str">
        <f t="shared" si="23"/>
        <v/>
      </c>
      <c r="K179" s="33" t="str">
        <f>IF(B179="","Pending",IF(M179="","⚠️ Enter Code",IF(IFERROR(VLOOKUP(L179,DB_Agents!$B:$F,4,0),"")=TEXT(M179,"0"),"Pending Approval","🔒 WRONG CODE")))</f>
        <v>Pending</v>
      </c>
      <c r="L179" s="30" t="s">
        <v>61</v>
      </c>
      <c r="M179" s="41"/>
      <c r="N179" s="22"/>
    </row>
    <row r="180" spans="1:14" ht="20.100000000000001" customHeight="1" x14ac:dyDescent="0.25">
      <c r="A180" s="30" t="str">
        <f t="shared" si="20"/>
        <v/>
      </c>
      <c r="B180" s="41"/>
      <c r="C180" s="35" t="str">
        <f>IF(B180="","",IFERROR(VLOOKUP(B180,DB_Customers!$A:$B,2,0),"❌ Account Not Found"))</f>
        <v/>
      </c>
      <c r="D180" s="42" t="str">
        <f t="shared" ca="1" si="21"/>
        <v/>
      </c>
      <c r="E180" s="32"/>
      <c r="F180" s="31"/>
      <c r="G180" s="41"/>
      <c r="H180" s="56">
        <v>2.5</v>
      </c>
      <c r="I180" s="43" t="str">
        <f t="shared" si="22"/>
        <v/>
      </c>
      <c r="J180" s="43" t="str">
        <f t="shared" si="23"/>
        <v/>
      </c>
      <c r="K180" s="33" t="str">
        <f>IF(B180="","Pending",IF(M180="","⚠️ Enter Code",IF(IFERROR(VLOOKUP(L180,DB_Agents!$B:$F,4,0),"")=TEXT(M180,"0"),"Pending Approval","🔒 WRONG CODE")))</f>
        <v>Pending</v>
      </c>
      <c r="L180" s="30" t="s">
        <v>61</v>
      </c>
      <c r="M180" s="41"/>
      <c r="N180" s="57"/>
    </row>
    <row r="181" spans="1:14" ht="20.100000000000001" customHeight="1" x14ac:dyDescent="0.25">
      <c r="A181" s="30" t="str">
        <f t="shared" si="20"/>
        <v/>
      </c>
      <c r="B181" s="41"/>
      <c r="C181" s="35" t="str">
        <f>IF(B181="","",IFERROR(VLOOKUP(B181,DB_Customers!$A:$B,2,0),"❌ Account Not Found"))</f>
        <v/>
      </c>
      <c r="D181" s="42" t="str">
        <f t="shared" ca="1" si="21"/>
        <v/>
      </c>
      <c r="E181" s="32"/>
      <c r="F181" s="31"/>
      <c r="G181" s="41"/>
      <c r="H181" s="56">
        <v>2.5</v>
      </c>
      <c r="I181" s="43" t="str">
        <f t="shared" si="22"/>
        <v/>
      </c>
      <c r="J181" s="43" t="str">
        <f t="shared" si="23"/>
        <v/>
      </c>
      <c r="K181" s="33" t="str">
        <f>IF(B181="","Pending",IF(M181="","⚠️ Enter Code",IF(IFERROR(VLOOKUP(L181,DB_Agents!$B:$F,4,0),"")=TEXT(M181,"0"),"Pending Approval","🔒 WRONG CODE")))</f>
        <v>Pending</v>
      </c>
      <c r="L181" s="30" t="s">
        <v>61</v>
      </c>
      <c r="M181" s="41"/>
      <c r="N181" s="22"/>
    </row>
    <row r="182" spans="1:14" ht="20.100000000000001" customHeight="1" x14ac:dyDescent="0.25">
      <c r="A182" s="30" t="str">
        <f t="shared" si="20"/>
        <v/>
      </c>
      <c r="B182" s="41"/>
      <c r="C182" s="35" t="str">
        <f>IF(B182="","",IFERROR(VLOOKUP(B182,DB_Customers!$A:$B,2,0),"❌ Account Not Found"))</f>
        <v/>
      </c>
      <c r="D182" s="42" t="str">
        <f t="shared" ca="1" si="21"/>
        <v/>
      </c>
      <c r="E182" s="32"/>
      <c r="F182" s="31"/>
      <c r="G182" s="41"/>
      <c r="H182" s="56">
        <v>2.5</v>
      </c>
      <c r="I182" s="43" t="str">
        <f t="shared" si="22"/>
        <v/>
      </c>
      <c r="J182" s="43" t="str">
        <f t="shared" si="23"/>
        <v/>
      </c>
      <c r="K182" s="33" t="str">
        <f>IF(B182="","Pending",IF(M182="","⚠️ Enter Code",IF(IFERROR(VLOOKUP(L182,DB_Agents!$B:$F,4,0),"")=TEXT(M182,"0"),"Pending Approval","🔒 WRONG CODE")))</f>
        <v>Pending</v>
      </c>
      <c r="L182" s="30" t="s">
        <v>61</v>
      </c>
      <c r="M182" s="41"/>
      <c r="N182" s="57"/>
    </row>
    <row r="183" spans="1:14" ht="20.100000000000001" customHeight="1" x14ac:dyDescent="0.25">
      <c r="A183" s="30" t="str">
        <f t="shared" si="20"/>
        <v/>
      </c>
      <c r="B183" s="41"/>
      <c r="C183" s="35" t="str">
        <f>IF(B183="","",IFERROR(VLOOKUP(B183,DB_Customers!$A:$B,2,0),"❌ Account Not Found"))</f>
        <v/>
      </c>
      <c r="D183" s="42" t="str">
        <f t="shared" ca="1" si="21"/>
        <v/>
      </c>
      <c r="E183" s="32"/>
      <c r="F183" s="31"/>
      <c r="G183" s="41"/>
      <c r="H183" s="56">
        <v>2.5</v>
      </c>
      <c r="I183" s="43" t="str">
        <f t="shared" si="22"/>
        <v/>
      </c>
      <c r="J183" s="43" t="str">
        <f t="shared" si="23"/>
        <v/>
      </c>
      <c r="K183" s="33" t="str">
        <f>IF(B183="","Pending",IF(M183="","⚠️ Enter Code",IF(IFERROR(VLOOKUP(L183,DB_Agents!$B:$F,4,0),"")=TEXT(M183,"0"),"Pending Approval","🔒 WRONG CODE")))</f>
        <v>Pending</v>
      </c>
      <c r="L183" s="30" t="s">
        <v>61</v>
      </c>
      <c r="M183" s="41"/>
      <c r="N183" s="22"/>
    </row>
    <row r="184" spans="1:14" ht="20.100000000000001" customHeight="1" x14ac:dyDescent="0.25">
      <c r="A184" s="30" t="str">
        <f t="shared" si="20"/>
        <v/>
      </c>
      <c r="B184" s="41"/>
      <c r="C184" s="35" t="str">
        <f>IF(B184="","",IFERROR(VLOOKUP(B184,DB_Customers!$A:$B,2,0),"❌ Account Not Found"))</f>
        <v/>
      </c>
      <c r="D184" s="42" t="str">
        <f t="shared" ca="1" si="21"/>
        <v/>
      </c>
      <c r="E184" s="32"/>
      <c r="F184" s="31"/>
      <c r="G184" s="41"/>
      <c r="H184" s="56">
        <v>2.5</v>
      </c>
      <c r="I184" s="43" t="str">
        <f t="shared" si="22"/>
        <v/>
      </c>
      <c r="J184" s="43" t="str">
        <f t="shared" si="23"/>
        <v/>
      </c>
      <c r="K184" s="33" t="str">
        <f>IF(B184="","Pending",IF(M184="","⚠️ Enter Code",IF(IFERROR(VLOOKUP(L184,DB_Agents!$B:$F,4,0),"")=TEXT(M184,"0"),"Pending Approval","🔒 WRONG CODE")))</f>
        <v>Pending</v>
      </c>
      <c r="L184" s="30" t="s">
        <v>61</v>
      </c>
      <c r="M184" s="41"/>
      <c r="N184" s="57"/>
    </row>
    <row r="185" spans="1:14" ht="20.100000000000001" customHeight="1" x14ac:dyDescent="0.25">
      <c r="A185" s="30" t="str">
        <f t="shared" si="20"/>
        <v/>
      </c>
      <c r="B185" s="41"/>
      <c r="C185" s="35" t="str">
        <f>IF(B185="","",IFERROR(VLOOKUP(B185,DB_Customers!$A:$B,2,0),"❌ Account Not Found"))</f>
        <v/>
      </c>
      <c r="D185" s="42" t="str">
        <f t="shared" ca="1" si="21"/>
        <v/>
      </c>
      <c r="E185" s="32"/>
      <c r="F185" s="31"/>
      <c r="G185" s="41"/>
      <c r="H185" s="56">
        <v>2.5</v>
      </c>
      <c r="I185" s="43" t="str">
        <f t="shared" si="22"/>
        <v/>
      </c>
      <c r="J185" s="43" t="str">
        <f t="shared" si="23"/>
        <v/>
      </c>
      <c r="K185" s="33" t="str">
        <f>IF(B185="","Pending",IF(M185="","⚠️ Enter Code",IF(IFERROR(VLOOKUP(L185,DB_Agents!$B:$F,4,0),"")=TEXT(M185,"0"),"Pending Approval","🔒 WRONG CODE")))</f>
        <v>Pending</v>
      </c>
      <c r="L185" s="30" t="s">
        <v>61</v>
      </c>
      <c r="M185" s="41"/>
      <c r="N185" s="22"/>
    </row>
    <row r="186" spans="1:14" ht="20.100000000000001" customHeight="1" x14ac:dyDescent="0.25">
      <c r="A186" s="30" t="str">
        <f t="shared" si="20"/>
        <v/>
      </c>
      <c r="B186" s="41"/>
      <c r="C186" s="35" t="str">
        <f>IF(B186="","",IFERROR(VLOOKUP(B186,DB_Customers!$A:$B,2,0),"❌ Account Not Found"))</f>
        <v/>
      </c>
      <c r="D186" s="42" t="str">
        <f t="shared" ca="1" si="21"/>
        <v/>
      </c>
      <c r="E186" s="32"/>
      <c r="F186" s="31"/>
      <c r="G186" s="41"/>
      <c r="H186" s="56">
        <v>2.5</v>
      </c>
      <c r="I186" s="43" t="str">
        <f t="shared" si="22"/>
        <v/>
      </c>
      <c r="J186" s="43" t="str">
        <f t="shared" si="23"/>
        <v/>
      </c>
      <c r="K186" s="33" t="str">
        <f>IF(B186="","Pending",IF(M186="","⚠️ Enter Code",IF(IFERROR(VLOOKUP(L186,DB_Agents!$B:$F,4,0),"")=TEXT(M186,"0"),"Pending Approval","🔒 WRONG CODE")))</f>
        <v>Pending</v>
      </c>
      <c r="L186" s="30" t="s">
        <v>61</v>
      </c>
      <c r="M186" s="41"/>
      <c r="N186" s="57"/>
    </row>
    <row r="187" spans="1:14" ht="20.100000000000001" customHeight="1" x14ac:dyDescent="0.25">
      <c r="A187" s="30" t="str">
        <f t="shared" si="20"/>
        <v/>
      </c>
      <c r="B187" s="41"/>
      <c r="C187" s="35" t="str">
        <f>IF(B187="","",IFERROR(VLOOKUP(B187,DB_Customers!$A:$B,2,0),"❌ Account Not Found"))</f>
        <v/>
      </c>
      <c r="D187" s="42" t="str">
        <f t="shared" ca="1" si="21"/>
        <v/>
      </c>
      <c r="E187" s="32"/>
      <c r="F187" s="31"/>
      <c r="G187" s="41"/>
      <c r="H187" s="56">
        <v>2.5</v>
      </c>
      <c r="I187" s="43" t="str">
        <f t="shared" si="22"/>
        <v/>
      </c>
      <c r="J187" s="43" t="str">
        <f t="shared" si="23"/>
        <v/>
      </c>
      <c r="K187" s="33" t="str">
        <f>IF(B187="","Pending",IF(M187="","⚠️ Enter Code",IF(IFERROR(VLOOKUP(L187,DB_Agents!$B:$F,4,0),"")=TEXT(M187,"0"),"Pending Approval","🔒 WRONG CODE")))</f>
        <v>Pending</v>
      </c>
      <c r="L187" s="30" t="s">
        <v>61</v>
      </c>
      <c r="M187" s="41"/>
      <c r="N187" s="22"/>
    </row>
    <row r="188" spans="1:14" ht="20.100000000000001" customHeight="1" x14ac:dyDescent="0.25">
      <c r="A188" s="30" t="str">
        <f t="shared" si="20"/>
        <v/>
      </c>
      <c r="B188" s="41"/>
      <c r="C188" s="35" t="str">
        <f>IF(B188="","",IFERROR(VLOOKUP(B188,DB_Customers!$A:$B,2,0),"❌ Account Not Found"))</f>
        <v/>
      </c>
      <c r="D188" s="42" t="str">
        <f t="shared" ca="1" si="21"/>
        <v/>
      </c>
      <c r="E188" s="32"/>
      <c r="F188" s="31"/>
      <c r="G188" s="41"/>
      <c r="H188" s="56">
        <v>2.5</v>
      </c>
      <c r="I188" s="43" t="str">
        <f t="shared" si="22"/>
        <v/>
      </c>
      <c r="J188" s="43" t="str">
        <f t="shared" si="23"/>
        <v/>
      </c>
      <c r="K188" s="33" t="str">
        <f>IF(B188="","Pending",IF(M188="","⚠️ Enter Code",IF(IFERROR(VLOOKUP(L188,DB_Agents!$B:$F,4,0),"")=TEXT(M188,"0"),"Pending Approval","🔒 WRONG CODE")))</f>
        <v>Pending</v>
      </c>
      <c r="L188" s="30" t="s">
        <v>61</v>
      </c>
      <c r="M188" s="41"/>
      <c r="N188" s="57"/>
    </row>
    <row r="189" spans="1:14" ht="20.100000000000001" customHeight="1" x14ac:dyDescent="0.25">
      <c r="A189" s="30" t="str">
        <f t="shared" si="20"/>
        <v/>
      </c>
      <c r="B189" s="41"/>
      <c r="C189" s="35" t="str">
        <f>IF(B189="","",IFERROR(VLOOKUP(B189,DB_Customers!$A:$B,2,0),"❌ Account Not Found"))</f>
        <v/>
      </c>
      <c r="D189" s="42" t="str">
        <f t="shared" ca="1" si="21"/>
        <v/>
      </c>
      <c r="E189" s="32"/>
      <c r="F189" s="31"/>
      <c r="G189" s="41"/>
      <c r="H189" s="56">
        <v>2.5</v>
      </c>
      <c r="I189" s="43" t="str">
        <f t="shared" si="22"/>
        <v/>
      </c>
      <c r="J189" s="43" t="str">
        <f t="shared" si="23"/>
        <v/>
      </c>
      <c r="K189" s="33" t="str">
        <f>IF(B189="","Pending",IF(M189="","⚠️ Enter Code",IF(IFERROR(VLOOKUP(L189,DB_Agents!$B:$F,4,0),"")=TEXT(M189,"0"),"Pending Approval","🔒 WRONG CODE")))</f>
        <v>Pending</v>
      </c>
      <c r="L189" s="30" t="s">
        <v>61</v>
      </c>
      <c r="M189" s="41"/>
      <c r="N189" s="22"/>
    </row>
    <row r="190" spans="1:14" ht="20.100000000000001" customHeight="1" x14ac:dyDescent="0.25">
      <c r="A190" s="30" t="str">
        <f t="shared" si="20"/>
        <v/>
      </c>
      <c r="B190" s="41"/>
      <c r="C190" s="35" t="str">
        <f>IF(B190="","",IFERROR(VLOOKUP(B190,DB_Customers!$A:$B,2,0),"❌ Account Not Found"))</f>
        <v/>
      </c>
      <c r="D190" s="42" t="str">
        <f t="shared" ca="1" si="21"/>
        <v/>
      </c>
      <c r="E190" s="32"/>
      <c r="F190" s="31"/>
      <c r="G190" s="41"/>
      <c r="H190" s="56">
        <v>2.5</v>
      </c>
      <c r="I190" s="43" t="str">
        <f t="shared" si="22"/>
        <v/>
      </c>
      <c r="J190" s="43" t="str">
        <f t="shared" si="23"/>
        <v/>
      </c>
      <c r="K190" s="33" t="str">
        <f>IF(B190="","Pending",IF(M190="","⚠️ Enter Code",IF(IFERROR(VLOOKUP(L190,DB_Agents!$B:$F,4,0),"")=TEXT(M190,"0"),"Pending Approval","🔒 WRONG CODE")))</f>
        <v>Pending</v>
      </c>
      <c r="L190" s="30" t="s">
        <v>61</v>
      </c>
      <c r="M190" s="41"/>
      <c r="N190" s="57"/>
    </row>
    <row r="191" spans="1:14" ht="20.100000000000001" customHeight="1" x14ac:dyDescent="0.25">
      <c r="A191" s="30" t="str">
        <f t="shared" si="20"/>
        <v/>
      </c>
      <c r="B191" s="41"/>
      <c r="C191" s="35" t="str">
        <f>IF(B191="","",IFERROR(VLOOKUP(B191,DB_Customers!$A:$B,2,0),"❌ Account Not Found"))</f>
        <v/>
      </c>
      <c r="D191" s="42" t="str">
        <f t="shared" ca="1" si="21"/>
        <v/>
      </c>
      <c r="E191" s="32"/>
      <c r="F191" s="31"/>
      <c r="G191" s="41"/>
      <c r="H191" s="56">
        <v>2.5</v>
      </c>
      <c r="I191" s="43" t="str">
        <f t="shared" si="22"/>
        <v/>
      </c>
      <c r="J191" s="43" t="str">
        <f t="shared" si="23"/>
        <v/>
      </c>
      <c r="K191" s="33" t="str">
        <f>IF(B191="","Pending",IF(M191="","⚠️ Enter Code",IF(IFERROR(VLOOKUP(L191,DB_Agents!$B:$F,4,0),"")=TEXT(M191,"0"),"Pending Approval","🔒 WRONG CODE")))</f>
        <v>Pending</v>
      </c>
      <c r="L191" s="30" t="s">
        <v>61</v>
      </c>
      <c r="M191" s="41"/>
      <c r="N191" s="22"/>
    </row>
    <row r="192" spans="1:14" ht="20.100000000000001" customHeight="1" x14ac:dyDescent="0.25">
      <c r="A192" s="30" t="str">
        <f t="shared" si="20"/>
        <v/>
      </c>
      <c r="B192" s="41"/>
      <c r="C192" s="35" t="str">
        <f>IF(B192="","",IFERROR(VLOOKUP(B192,DB_Customers!$A:$B,2,0),"❌ Account Not Found"))</f>
        <v/>
      </c>
      <c r="D192" s="42" t="str">
        <f t="shared" ca="1" si="21"/>
        <v/>
      </c>
      <c r="E192" s="32"/>
      <c r="F192" s="31"/>
      <c r="G192" s="41"/>
      <c r="H192" s="56">
        <v>2.5</v>
      </c>
      <c r="I192" s="43" t="str">
        <f t="shared" si="22"/>
        <v/>
      </c>
      <c r="J192" s="43" t="str">
        <f t="shared" si="23"/>
        <v/>
      </c>
      <c r="K192" s="33" t="str">
        <f>IF(B192="","Pending",IF(M192="","⚠️ Enter Code",IF(IFERROR(VLOOKUP(L192,DB_Agents!$B:$F,4,0),"")=TEXT(M192,"0"),"Pending Approval","🔒 WRONG CODE")))</f>
        <v>Pending</v>
      </c>
      <c r="L192" s="30" t="s">
        <v>61</v>
      </c>
      <c r="M192" s="41"/>
      <c r="N192" s="57"/>
    </row>
    <row r="193" spans="1:14" ht="20.100000000000001" customHeight="1" x14ac:dyDescent="0.25">
      <c r="A193" s="30" t="str">
        <f t="shared" si="20"/>
        <v/>
      </c>
      <c r="B193" s="41"/>
      <c r="C193" s="35" t="str">
        <f>IF(B193="","",IFERROR(VLOOKUP(B193,DB_Customers!$A:$B,2,0),"❌ Account Not Found"))</f>
        <v/>
      </c>
      <c r="D193" s="42" t="str">
        <f t="shared" ca="1" si="21"/>
        <v/>
      </c>
      <c r="E193" s="32"/>
      <c r="F193" s="31"/>
      <c r="G193" s="41"/>
      <c r="H193" s="56">
        <v>2.5</v>
      </c>
      <c r="I193" s="43" t="str">
        <f t="shared" si="22"/>
        <v/>
      </c>
      <c r="J193" s="43" t="str">
        <f t="shared" si="23"/>
        <v/>
      </c>
      <c r="K193" s="33" t="str">
        <f>IF(B193="","Pending",IF(M193="","⚠️ Enter Code",IF(IFERROR(VLOOKUP(L193,DB_Agents!$B:$F,4,0),"")=TEXT(M193,"0"),"Pending Approval","🔒 WRONG CODE")))</f>
        <v>Pending</v>
      </c>
      <c r="L193" s="30" t="s">
        <v>61</v>
      </c>
      <c r="M193" s="41"/>
      <c r="N193" s="22"/>
    </row>
    <row r="194" spans="1:14" ht="20.100000000000001" customHeight="1" x14ac:dyDescent="0.25">
      <c r="A194" s="30" t="str">
        <f t="shared" si="20"/>
        <v/>
      </c>
      <c r="B194" s="41"/>
      <c r="C194" s="35" t="str">
        <f>IF(B194="","",IFERROR(VLOOKUP(B194,DB_Customers!$A:$B,2,0),"❌ Account Not Found"))</f>
        <v/>
      </c>
      <c r="D194" s="42" t="str">
        <f t="shared" ca="1" si="21"/>
        <v/>
      </c>
      <c r="E194" s="32"/>
      <c r="F194" s="31"/>
      <c r="G194" s="41"/>
      <c r="H194" s="56">
        <v>2.5</v>
      </c>
      <c r="I194" s="43" t="str">
        <f t="shared" si="22"/>
        <v/>
      </c>
      <c r="J194" s="43" t="str">
        <f t="shared" si="23"/>
        <v/>
      </c>
      <c r="K194" s="33" t="str">
        <f>IF(B194="","Pending",IF(M194="","⚠️ Enter Code",IF(IFERROR(VLOOKUP(L194,DB_Agents!$B:$F,4,0),"")=TEXT(M194,"0"),"Pending Approval","🔒 WRONG CODE")))</f>
        <v>Pending</v>
      </c>
      <c r="L194" s="30" t="s">
        <v>61</v>
      </c>
      <c r="M194" s="41"/>
      <c r="N194" s="57"/>
    </row>
    <row r="195" spans="1:14" ht="20.100000000000001" customHeight="1" x14ac:dyDescent="0.25">
      <c r="A195" s="30" t="str">
        <f t="shared" si="20"/>
        <v/>
      </c>
      <c r="B195" s="41"/>
      <c r="C195" s="35" t="str">
        <f>IF(B195="","",IFERROR(VLOOKUP(B195,DB_Customers!$A:$B,2,0),"❌ Account Not Found"))</f>
        <v/>
      </c>
      <c r="D195" s="42" t="str">
        <f t="shared" ca="1" si="21"/>
        <v/>
      </c>
      <c r="E195" s="32"/>
      <c r="F195" s="31"/>
      <c r="G195" s="41"/>
      <c r="H195" s="56">
        <v>2.5</v>
      </c>
      <c r="I195" s="43" t="str">
        <f t="shared" si="22"/>
        <v/>
      </c>
      <c r="J195" s="43" t="str">
        <f t="shared" si="23"/>
        <v/>
      </c>
      <c r="K195" s="33" t="str">
        <f>IF(B195="","Pending",IF(M195="","⚠️ Enter Code",IF(IFERROR(VLOOKUP(L195,DB_Agents!$B:$F,4,0),"")=TEXT(M195,"0"),"Pending Approval","🔒 WRONG CODE")))</f>
        <v>Pending</v>
      </c>
      <c r="L195" s="30" t="s">
        <v>61</v>
      </c>
      <c r="M195" s="41"/>
      <c r="N195" s="22"/>
    </row>
    <row r="196" spans="1:14" ht="20.100000000000001" customHeight="1" x14ac:dyDescent="0.25">
      <c r="A196" s="30" t="str">
        <f t="shared" si="20"/>
        <v/>
      </c>
      <c r="B196" s="41"/>
      <c r="C196" s="35" t="str">
        <f>IF(B196="","",IFERROR(VLOOKUP(B196,DB_Customers!$A:$B,2,0),"❌ Account Not Found"))</f>
        <v/>
      </c>
      <c r="D196" s="42" t="str">
        <f t="shared" ca="1" si="21"/>
        <v/>
      </c>
      <c r="E196" s="32"/>
      <c r="F196" s="31"/>
      <c r="G196" s="41"/>
      <c r="H196" s="56">
        <v>2.5</v>
      </c>
      <c r="I196" s="43" t="str">
        <f t="shared" si="22"/>
        <v/>
      </c>
      <c r="J196" s="43" t="str">
        <f t="shared" si="23"/>
        <v/>
      </c>
      <c r="K196" s="33" t="str">
        <f>IF(B196="","Pending",IF(M196="","⚠️ Enter Code",IF(IFERROR(VLOOKUP(L196,DB_Agents!$B:$F,4,0),"")=TEXT(M196,"0"),"Pending Approval","🔒 WRONG CODE")))</f>
        <v>Pending</v>
      </c>
      <c r="L196" s="30" t="s">
        <v>61</v>
      </c>
      <c r="M196" s="41"/>
      <c r="N196" s="57"/>
    </row>
    <row r="197" spans="1:14" ht="20.100000000000001" customHeight="1" x14ac:dyDescent="0.25">
      <c r="A197" s="30" t="str">
        <f t="shared" si="20"/>
        <v/>
      </c>
      <c r="B197" s="41"/>
      <c r="C197" s="35" t="str">
        <f>IF(B197="","",IFERROR(VLOOKUP(B197,DB_Customers!$A:$B,2,0),"❌ Account Not Found"))</f>
        <v/>
      </c>
      <c r="D197" s="42" t="str">
        <f t="shared" ca="1" si="21"/>
        <v/>
      </c>
      <c r="E197" s="32"/>
      <c r="F197" s="31"/>
      <c r="G197" s="41"/>
      <c r="H197" s="56">
        <v>2.5</v>
      </c>
      <c r="I197" s="43" t="str">
        <f t="shared" si="22"/>
        <v/>
      </c>
      <c r="J197" s="43" t="str">
        <f t="shared" si="23"/>
        <v/>
      </c>
      <c r="K197" s="33" t="str">
        <f>IF(B197="","Pending",IF(M197="","⚠️ Enter Code",IF(IFERROR(VLOOKUP(L197,DB_Agents!$B:$F,4,0),"")=TEXT(M197,"0"),"Pending Approval","🔒 WRONG CODE")))</f>
        <v>Pending</v>
      </c>
      <c r="L197" s="30" t="s">
        <v>61</v>
      </c>
      <c r="M197" s="41"/>
      <c r="N197" s="22"/>
    </row>
    <row r="198" spans="1:14" ht="20.100000000000001" customHeight="1" x14ac:dyDescent="0.25">
      <c r="A198" s="30" t="str">
        <f t="shared" si="20"/>
        <v/>
      </c>
      <c r="B198" s="41"/>
      <c r="C198" s="35" t="str">
        <f>IF(B198="","",IFERROR(VLOOKUP(B198,DB_Customers!$A:$B,2,0),"❌ Account Not Found"))</f>
        <v/>
      </c>
      <c r="D198" s="42" t="str">
        <f t="shared" ca="1" si="21"/>
        <v/>
      </c>
      <c r="E198" s="32"/>
      <c r="F198" s="31"/>
      <c r="G198" s="41"/>
      <c r="H198" s="56">
        <v>2.5</v>
      </c>
      <c r="I198" s="43" t="str">
        <f t="shared" si="22"/>
        <v/>
      </c>
      <c r="J198" s="43" t="str">
        <f t="shared" si="23"/>
        <v/>
      </c>
      <c r="K198" s="33" t="str">
        <f>IF(B198="","Pending",IF(M198="","⚠️ Enter Code",IF(IFERROR(VLOOKUP(L198,DB_Agents!$B:$F,4,0),"")=TEXT(M198,"0"),"Pending Approval","🔒 WRONG CODE")))</f>
        <v>Pending</v>
      </c>
      <c r="L198" s="30" t="s">
        <v>61</v>
      </c>
      <c r="M198" s="41"/>
      <c r="N198" s="57"/>
    </row>
    <row r="199" spans="1:14" ht="20.100000000000001" customHeight="1" x14ac:dyDescent="0.25">
      <c r="A199" s="30" t="str">
        <f t="shared" si="20"/>
        <v/>
      </c>
      <c r="B199" s="41"/>
      <c r="C199" s="35" t="str">
        <f>IF(B199="","",IFERROR(VLOOKUP(B199,DB_Customers!$A:$B,2,0),"❌ Account Not Found"))</f>
        <v/>
      </c>
      <c r="D199" s="42" t="str">
        <f t="shared" ca="1" si="21"/>
        <v/>
      </c>
      <c r="E199" s="32"/>
      <c r="F199" s="31"/>
      <c r="G199" s="41"/>
      <c r="H199" s="56">
        <v>2.5</v>
      </c>
      <c r="I199" s="43" t="str">
        <f t="shared" si="22"/>
        <v/>
      </c>
      <c r="J199" s="43" t="str">
        <f t="shared" si="23"/>
        <v/>
      </c>
      <c r="K199" s="33" t="str">
        <f>IF(B199="","Pending",IF(M199="","⚠️ Enter Code",IF(IFERROR(VLOOKUP(L199,DB_Agents!$B:$F,4,0),"")=TEXT(M199,"0"),"Pending Approval","🔒 WRONG CODE")))</f>
        <v>Pending</v>
      </c>
      <c r="L199" s="30" t="s">
        <v>61</v>
      </c>
      <c r="M199" s="41"/>
      <c r="N199" s="22"/>
    </row>
    <row r="200" spans="1:14" ht="20.100000000000001" customHeight="1" x14ac:dyDescent="0.25">
      <c r="A200" s="30" t="str">
        <f t="shared" si="20"/>
        <v/>
      </c>
      <c r="B200" s="41"/>
      <c r="C200" s="35" t="str">
        <f>IF(B200="","",IFERROR(VLOOKUP(B200,DB_Customers!$A:$B,2,0),"❌ Account Not Found"))</f>
        <v/>
      </c>
      <c r="D200" s="42" t="str">
        <f t="shared" ca="1" si="21"/>
        <v/>
      </c>
      <c r="E200" s="32"/>
      <c r="F200" s="31"/>
      <c r="G200" s="41"/>
      <c r="H200" s="56">
        <v>2.5</v>
      </c>
      <c r="I200" s="43" t="str">
        <f t="shared" si="22"/>
        <v/>
      </c>
      <c r="J200" s="43" t="str">
        <f t="shared" si="23"/>
        <v/>
      </c>
      <c r="K200" s="33" t="str">
        <f>IF(B200="","Pending",IF(M200="","⚠️ Enter Code",IF(IFERROR(VLOOKUP(L200,DB_Agents!$B:$F,4,0),"")=TEXT(M200,"0"),"Pending Approval","🔒 WRONG CODE")))</f>
        <v>Pending</v>
      </c>
      <c r="L200" s="30" t="s">
        <v>61</v>
      </c>
      <c r="M200" s="41"/>
      <c r="N200" s="57"/>
    </row>
    <row r="201" spans="1:14" ht="20.100000000000001" customHeight="1" x14ac:dyDescent="0.25">
      <c r="A201" s="30" t="str">
        <f t="shared" si="20"/>
        <v/>
      </c>
      <c r="B201" s="41"/>
      <c r="C201" s="35" t="str">
        <f>IF(B201="","",IFERROR(VLOOKUP(B201,DB_Customers!$A:$B,2,0),"❌ Account Not Found"))</f>
        <v/>
      </c>
      <c r="D201" s="42" t="str">
        <f t="shared" ca="1" si="21"/>
        <v/>
      </c>
      <c r="E201" s="32"/>
      <c r="F201" s="31"/>
      <c r="G201" s="41"/>
      <c r="H201" s="56">
        <v>2.5</v>
      </c>
      <c r="I201" s="43" t="str">
        <f t="shared" si="22"/>
        <v/>
      </c>
      <c r="J201" s="43" t="str">
        <f t="shared" si="23"/>
        <v/>
      </c>
      <c r="K201" s="33" t="str">
        <f>IF(B201="","Pending",IF(M201="","⚠️ Enter Code",IF(IFERROR(VLOOKUP(L201,DB_Agents!$B:$F,4,0),"")=TEXT(M201,"0"),"Pending Approval","🔒 WRONG CODE")))</f>
        <v>Pending</v>
      </c>
      <c r="L201" s="30" t="s">
        <v>61</v>
      </c>
      <c r="M201" s="41"/>
      <c r="N201" s="22"/>
    </row>
    <row r="202" spans="1:14" ht="20.100000000000001" customHeight="1" x14ac:dyDescent="0.25">
      <c r="A202" s="30" t="str">
        <f t="shared" si="20"/>
        <v/>
      </c>
      <c r="B202" s="41"/>
      <c r="C202" s="35" t="str">
        <f>IF(B202="","",IFERROR(VLOOKUP(B202,DB_Customers!$A:$B,2,0),"❌ Account Not Found"))</f>
        <v/>
      </c>
      <c r="D202" s="42" t="str">
        <f t="shared" ca="1" si="21"/>
        <v/>
      </c>
      <c r="E202" s="32"/>
      <c r="F202" s="31"/>
      <c r="G202" s="41"/>
      <c r="H202" s="56">
        <v>2.5</v>
      </c>
      <c r="I202" s="43" t="str">
        <f t="shared" si="22"/>
        <v/>
      </c>
      <c r="J202" s="43" t="str">
        <f t="shared" si="23"/>
        <v/>
      </c>
      <c r="K202" s="33" t="str">
        <f>IF(B202="","Pending",IF(M202="","⚠️ Enter Code",IF(IFERROR(VLOOKUP(L202,DB_Agents!$B:$F,4,0),"")=TEXT(M202,"0"),"Pending Approval","🔒 WRONG CODE")))</f>
        <v>Pending</v>
      </c>
      <c r="L202" s="30" t="s">
        <v>61</v>
      </c>
      <c r="M202" s="41"/>
      <c r="N202" s="57"/>
    </row>
    <row r="203" spans="1:14" ht="20.100000000000001" customHeight="1" x14ac:dyDescent="0.25">
      <c r="A203" s="30" t="str">
        <f t="shared" si="20"/>
        <v/>
      </c>
      <c r="B203" s="41"/>
      <c r="C203" s="35" t="str">
        <f>IF(B203="","",IFERROR(VLOOKUP(B203,DB_Customers!$A:$B,2,0),"❌ Account Not Found"))</f>
        <v/>
      </c>
      <c r="D203" s="42" t="str">
        <f t="shared" ca="1" si="21"/>
        <v/>
      </c>
      <c r="E203" s="32"/>
      <c r="F203" s="31"/>
      <c r="G203" s="41"/>
      <c r="H203" s="56">
        <v>2.5</v>
      </c>
      <c r="I203" s="43" t="str">
        <f t="shared" si="22"/>
        <v/>
      </c>
      <c r="J203" s="43" t="str">
        <f t="shared" si="23"/>
        <v/>
      </c>
      <c r="K203" s="33" t="str">
        <f>IF(B203="","Pending",IF(M203="","⚠️ Enter Code",IF(IFERROR(VLOOKUP(L203,DB_Agents!$B:$F,4,0),"")=TEXT(M203,"0"),"Pending Approval","🔒 WRONG CODE")))</f>
        <v>Pending</v>
      </c>
      <c r="L203" s="30" t="s">
        <v>61</v>
      </c>
      <c r="M203" s="41"/>
      <c r="N203" s="22"/>
    </row>
    <row r="204" spans="1:14" ht="20.100000000000001" customHeight="1" x14ac:dyDescent="0.25">
      <c r="A204" s="30" t="str">
        <f t="shared" si="20"/>
        <v/>
      </c>
      <c r="B204" s="41"/>
      <c r="C204" s="35" t="str">
        <f>IF(B204="","",IFERROR(VLOOKUP(B204,DB_Customers!$A:$B,2,0),"❌ Account Not Found"))</f>
        <v/>
      </c>
      <c r="D204" s="42" t="str">
        <f t="shared" ca="1" si="21"/>
        <v/>
      </c>
      <c r="E204" s="32"/>
      <c r="F204" s="31"/>
      <c r="G204" s="41"/>
      <c r="H204" s="56">
        <v>2.5</v>
      </c>
      <c r="I204" s="43" t="str">
        <f t="shared" si="22"/>
        <v/>
      </c>
      <c r="J204" s="43" t="str">
        <f t="shared" si="23"/>
        <v/>
      </c>
      <c r="K204" s="33" t="str">
        <f>IF(B204="","Pending",IF(M204="","⚠️ Enter Code",IF(IFERROR(VLOOKUP(L204,DB_Agents!$B:$F,4,0),"")=TEXT(M204,"0"),"Pending Approval","🔒 WRONG CODE")))</f>
        <v>Pending</v>
      </c>
      <c r="L204" s="30" t="s">
        <v>61</v>
      </c>
      <c r="M204" s="41"/>
      <c r="N204" s="57"/>
    </row>
    <row r="205" spans="1:14" ht="20.100000000000001" customHeight="1" x14ac:dyDescent="0.25">
      <c r="A205" s="30" t="str">
        <f t="shared" si="20"/>
        <v/>
      </c>
      <c r="B205" s="41"/>
      <c r="C205" s="35" t="str">
        <f>IF(B205="","",IFERROR(VLOOKUP(B205,DB_Customers!$A:$B,2,0),"❌ Account Not Found"))</f>
        <v/>
      </c>
      <c r="D205" s="42" t="str">
        <f t="shared" ca="1" si="21"/>
        <v/>
      </c>
      <c r="E205" s="32"/>
      <c r="F205" s="31"/>
      <c r="G205" s="41"/>
      <c r="H205" s="56">
        <v>2.5</v>
      </c>
      <c r="I205" s="43" t="str">
        <f t="shared" si="22"/>
        <v/>
      </c>
      <c r="J205" s="43" t="str">
        <f t="shared" si="23"/>
        <v/>
      </c>
      <c r="K205" s="33" t="str">
        <f>IF(B205="","Pending",IF(M205="","⚠️ Enter Code",IF(IFERROR(VLOOKUP(L205,DB_Agents!$B:$F,4,0),"")=TEXT(M205,"0"),"Pending Approval","🔒 WRONG CODE")))</f>
        <v>Pending</v>
      </c>
      <c r="L205" s="30" t="s">
        <v>61</v>
      </c>
      <c r="M205" s="41"/>
      <c r="N205" s="22"/>
    </row>
    <row r="206" spans="1:14" ht="20.100000000000001" customHeight="1" x14ac:dyDescent="0.25">
      <c r="A206" s="30" t="str">
        <f t="shared" ref="A206:A237" si="24">IF(B206="","",IF(C206="❌ Account Not Found","INVALID","LN"&amp;TEXT(D206,"YYYYMMDD")&amp;TEXT(ROW()-13,"0000")))</f>
        <v/>
      </c>
      <c r="B206" s="41"/>
      <c r="C206" s="35" t="str">
        <f>IF(B206="","",IFERROR(VLOOKUP(B206,DB_Customers!$A:$B,2,0),"❌ Account Not Found"))</f>
        <v/>
      </c>
      <c r="D206" s="42" t="str">
        <f t="shared" ref="D206:D213" ca="1" si="25">IF(B206="","",TODAY())</f>
        <v/>
      </c>
      <c r="E206" s="32"/>
      <c r="F206" s="31"/>
      <c r="G206" s="41"/>
      <c r="H206" s="56">
        <v>2.5</v>
      </c>
      <c r="I206" s="43" t="str">
        <f t="shared" ref="I206:I237" si="26">IF(E206="","",E206+(E206*H206/100*G206))</f>
        <v/>
      </c>
      <c r="J206" s="43" t="str">
        <f t="shared" ref="J206:J237" si="27">IFERROR(I206/G206,"")</f>
        <v/>
      </c>
      <c r="K206" s="33" t="str">
        <f>IF(B206="","Pending",IF(M206="","⚠️ Enter Code",IF(IFERROR(VLOOKUP(L206,DB_Agents!$B:$F,4,0),"")=TEXT(M206,"0"),"Pending Approval","🔒 WRONG CODE")))</f>
        <v>Pending</v>
      </c>
      <c r="L206" s="30" t="s">
        <v>61</v>
      </c>
      <c r="M206" s="41"/>
      <c r="N206" s="57"/>
    </row>
    <row r="207" spans="1:14" ht="20.100000000000001" customHeight="1" x14ac:dyDescent="0.25">
      <c r="A207" s="30" t="str">
        <f t="shared" si="24"/>
        <v/>
      </c>
      <c r="B207" s="41"/>
      <c r="C207" s="35" t="str">
        <f>IF(B207="","",IFERROR(VLOOKUP(B207,DB_Customers!$A:$B,2,0),"❌ Account Not Found"))</f>
        <v/>
      </c>
      <c r="D207" s="42" t="str">
        <f t="shared" ca="1" si="25"/>
        <v/>
      </c>
      <c r="E207" s="32"/>
      <c r="F207" s="31"/>
      <c r="G207" s="41"/>
      <c r="H207" s="56">
        <v>2.5</v>
      </c>
      <c r="I207" s="43" t="str">
        <f t="shared" si="26"/>
        <v/>
      </c>
      <c r="J207" s="43" t="str">
        <f t="shared" si="27"/>
        <v/>
      </c>
      <c r="K207" s="33" t="str">
        <f>IF(B207="","Pending",IF(M207="","⚠️ Enter Code",IF(IFERROR(VLOOKUP(L207,DB_Agents!$B:$F,4,0),"")=TEXT(M207,"0"),"Pending Approval","🔒 WRONG CODE")))</f>
        <v>Pending</v>
      </c>
      <c r="L207" s="30" t="s">
        <v>61</v>
      </c>
      <c r="M207" s="41"/>
      <c r="N207" s="22"/>
    </row>
    <row r="208" spans="1:14" ht="20.100000000000001" customHeight="1" x14ac:dyDescent="0.25">
      <c r="A208" s="30" t="str">
        <f t="shared" si="24"/>
        <v/>
      </c>
      <c r="B208" s="41"/>
      <c r="C208" s="35" t="str">
        <f>IF(B208="","",IFERROR(VLOOKUP(B208,DB_Customers!$A:$B,2,0),"❌ Account Not Found"))</f>
        <v/>
      </c>
      <c r="D208" s="42" t="str">
        <f t="shared" ca="1" si="25"/>
        <v/>
      </c>
      <c r="E208" s="32"/>
      <c r="F208" s="31"/>
      <c r="G208" s="41"/>
      <c r="H208" s="56">
        <v>2.5</v>
      </c>
      <c r="I208" s="43" t="str">
        <f t="shared" si="26"/>
        <v/>
      </c>
      <c r="J208" s="43" t="str">
        <f t="shared" si="27"/>
        <v/>
      </c>
      <c r="K208" s="33" t="str">
        <f>IF(B208="","Pending",IF(M208="","⚠️ Enter Code",IF(IFERROR(VLOOKUP(L208,DB_Agents!$B:$F,4,0),"")=TEXT(M208,"0"),"Pending Approval","🔒 WRONG CODE")))</f>
        <v>Pending</v>
      </c>
      <c r="L208" s="30" t="s">
        <v>61</v>
      </c>
      <c r="M208" s="41"/>
      <c r="N208" s="57"/>
    </row>
    <row r="209" spans="1:14" ht="20.100000000000001" customHeight="1" x14ac:dyDescent="0.25">
      <c r="A209" s="30" t="str">
        <f t="shared" si="24"/>
        <v/>
      </c>
      <c r="B209" s="41"/>
      <c r="C209" s="35" t="str">
        <f>IF(B209="","",IFERROR(VLOOKUP(B209,DB_Customers!$A:$B,2,0),"❌ Account Not Found"))</f>
        <v/>
      </c>
      <c r="D209" s="42" t="str">
        <f t="shared" ca="1" si="25"/>
        <v/>
      </c>
      <c r="E209" s="32"/>
      <c r="F209" s="31"/>
      <c r="G209" s="41"/>
      <c r="H209" s="56">
        <v>2.5</v>
      </c>
      <c r="I209" s="43" t="str">
        <f t="shared" si="26"/>
        <v/>
      </c>
      <c r="J209" s="43" t="str">
        <f t="shared" si="27"/>
        <v/>
      </c>
      <c r="K209" s="33" t="str">
        <f>IF(B209="","Pending",IF(M209="","⚠️ Enter Code",IF(IFERROR(VLOOKUP(L209,DB_Agents!$B:$F,4,0),"")=TEXT(M209,"0"),"Pending Approval","🔒 WRONG CODE")))</f>
        <v>Pending</v>
      </c>
      <c r="L209" s="30" t="s">
        <v>61</v>
      </c>
      <c r="M209" s="41"/>
      <c r="N209" s="22"/>
    </row>
    <row r="210" spans="1:14" ht="20.100000000000001" customHeight="1" x14ac:dyDescent="0.25">
      <c r="A210" s="30" t="str">
        <f t="shared" si="24"/>
        <v/>
      </c>
      <c r="B210" s="41"/>
      <c r="C210" s="35" t="str">
        <f>IF(B210="","",IFERROR(VLOOKUP(B210,DB_Customers!$A:$B,2,0),"❌ Account Not Found"))</f>
        <v/>
      </c>
      <c r="D210" s="42" t="str">
        <f t="shared" ca="1" si="25"/>
        <v/>
      </c>
      <c r="E210" s="32"/>
      <c r="F210" s="31"/>
      <c r="G210" s="41"/>
      <c r="H210" s="56">
        <v>2.5</v>
      </c>
      <c r="I210" s="43" t="str">
        <f t="shared" si="26"/>
        <v/>
      </c>
      <c r="J210" s="43" t="str">
        <f t="shared" si="27"/>
        <v/>
      </c>
      <c r="K210" s="33" t="str">
        <f>IF(B210="","Pending",IF(M210="","⚠️ Enter Code",IF(IFERROR(VLOOKUP(L210,DB_Agents!$B:$F,4,0),"")=TEXT(M210,"0"),"Pending Approval","🔒 WRONG CODE")))</f>
        <v>Pending</v>
      </c>
      <c r="L210" s="30" t="s">
        <v>61</v>
      </c>
      <c r="M210" s="41"/>
      <c r="N210" s="57"/>
    </row>
    <row r="211" spans="1:14" ht="20.100000000000001" customHeight="1" x14ac:dyDescent="0.25">
      <c r="A211" s="30" t="str">
        <f t="shared" si="24"/>
        <v/>
      </c>
      <c r="B211" s="41"/>
      <c r="C211" s="35" t="str">
        <f>IF(B211="","",IFERROR(VLOOKUP(B211,DB_Customers!$A:$B,2,0),"❌ Account Not Found"))</f>
        <v/>
      </c>
      <c r="D211" s="42" t="str">
        <f t="shared" ca="1" si="25"/>
        <v/>
      </c>
      <c r="E211" s="32"/>
      <c r="F211" s="31"/>
      <c r="G211" s="41"/>
      <c r="H211" s="56">
        <v>2.5</v>
      </c>
      <c r="I211" s="43" t="str">
        <f t="shared" si="26"/>
        <v/>
      </c>
      <c r="J211" s="43" t="str">
        <f t="shared" si="27"/>
        <v/>
      </c>
      <c r="K211" s="33" t="str">
        <f>IF(B211="","Pending",IF(M211="","⚠️ Enter Code",IF(IFERROR(VLOOKUP(L211,DB_Agents!$B:$F,4,0),"")=TEXT(M211,"0"),"Pending Approval","🔒 WRONG CODE")))</f>
        <v>Pending</v>
      </c>
      <c r="L211" s="30" t="s">
        <v>61</v>
      </c>
      <c r="M211" s="41"/>
      <c r="N211" s="22"/>
    </row>
    <row r="212" spans="1:14" ht="20.100000000000001" customHeight="1" x14ac:dyDescent="0.25">
      <c r="A212" s="30" t="str">
        <f t="shared" si="24"/>
        <v/>
      </c>
      <c r="B212" s="41"/>
      <c r="C212" s="35" t="str">
        <f>IF(B212="","",IFERROR(VLOOKUP(B212,DB_Customers!$A:$B,2,0),"❌ Account Not Found"))</f>
        <v/>
      </c>
      <c r="D212" s="42" t="str">
        <f t="shared" ca="1" si="25"/>
        <v/>
      </c>
      <c r="E212" s="32"/>
      <c r="F212" s="31"/>
      <c r="G212" s="41"/>
      <c r="H212" s="56">
        <v>2.5</v>
      </c>
      <c r="I212" s="43" t="str">
        <f t="shared" si="26"/>
        <v/>
      </c>
      <c r="J212" s="43" t="str">
        <f t="shared" si="27"/>
        <v/>
      </c>
      <c r="K212" s="33" t="str">
        <f>IF(B212="","Pending",IF(M212="","⚠️ Enter Code",IF(IFERROR(VLOOKUP(L212,DB_Agents!$B:$F,4,0),"")=TEXT(M212,"0"),"Pending Approval","🔒 WRONG CODE")))</f>
        <v>Pending</v>
      </c>
      <c r="L212" s="30" t="s">
        <v>61</v>
      </c>
      <c r="M212" s="41"/>
      <c r="N212" s="57"/>
    </row>
    <row r="213" spans="1:14" ht="20.100000000000001" customHeight="1" x14ac:dyDescent="0.25">
      <c r="A213" s="30" t="str">
        <f t="shared" si="24"/>
        <v/>
      </c>
      <c r="B213" s="41"/>
      <c r="C213" s="35" t="str">
        <f>IF(B213="","",IFERROR(VLOOKUP(B213,DB_Customers!$A:$B,2,0),"❌ Account Not Found"))</f>
        <v/>
      </c>
      <c r="D213" s="42" t="str">
        <f t="shared" ca="1" si="25"/>
        <v/>
      </c>
      <c r="E213" s="32"/>
      <c r="F213" s="31"/>
      <c r="G213" s="41"/>
      <c r="H213" s="56">
        <v>2.5</v>
      </c>
      <c r="I213" s="43" t="str">
        <f t="shared" si="26"/>
        <v/>
      </c>
      <c r="J213" s="43" t="str">
        <f t="shared" si="27"/>
        <v/>
      </c>
      <c r="K213" s="33" t="str">
        <f>IF(B213="","Pending",IF(M213="","⚠️ Enter Code",IF(IFERROR(VLOOKUP(L213,DB_Agents!$B:$F,4,0),"")=TEXT(M213,"0"),"Pending Approval","🔒 WRONG CODE")))</f>
        <v>Pending</v>
      </c>
      <c r="L213" s="30" t="s">
        <v>61</v>
      </c>
      <c r="M213" s="41"/>
      <c r="N213" s="22"/>
    </row>
  </sheetData>
  <mergeCells count="3">
    <mergeCell ref="A12:N12"/>
    <mergeCell ref="A2:N2"/>
    <mergeCell ref="A1:N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2.1" customHeight="1" x14ac:dyDescent="0.25">
      <c r="A1" s="93" t="s">
        <v>209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1.95" customHeight="1" x14ac:dyDescent="0.25">
      <c r="A2" s="97" t="s">
        <v>210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20.100000000000001" customHeight="1" x14ac:dyDescent="0.25">
      <c r="A3" s="44" t="s">
        <v>126</v>
      </c>
      <c r="D3" s="44" t="s">
        <v>127</v>
      </c>
      <c r="G3" s="44" t="s">
        <v>128</v>
      </c>
    </row>
    <row r="4" spans="1:11" ht="24" customHeight="1" x14ac:dyDescent="0.25">
      <c r="A4" s="45">
        <f ca="1">IFERROR(SUMIFS(DB_Savings!$F:$F,DB_Savings!$D:$D,"Agent 09",DB_Savings!$E:$E,TODAY()),0)</f>
        <v>0</v>
      </c>
      <c r="D4" s="45">
        <f ca="1">IFERROR(COUNTIFS(DB_Savings!$D:$D,"Agent 09",DB_Savings!$E:$E,TODAY()),0)</f>
        <v>0</v>
      </c>
      <c r="G4" s="45" t="str">
        <f ca="1">TEXT(TODAY(),"DDDD, DD MMMM YYYY")</f>
        <v>Saturday, 25 April 2026</v>
      </c>
    </row>
    <row r="6" spans="1:11" ht="26.1" customHeight="1" x14ac:dyDescent="0.25">
      <c r="A6" s="97" t="s">
        <v>129</v>
      </c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ht="21.95" customHeight="1" x14ac:dyDescent="0.25">
      <c r="A7" s="90" t="s">
        <v>211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spans="1:11" ht="30" customHeight="1" x14ac:dyDescent="0.25">
      <c r="A8" s="19" t="s">
        <v>131</v>
      </c>
      <c r="B8" s="19" t="s">
        <v>69</v>
      </c>
      <c r="C8" s="19" t="s">
        <v>84</v>
      </c>
      <c r="D8" s="19" t="s">
        <v>91</v>
      </c>
      <c r="E8" s="19" t="s">
        <v>132</v>
      </c>
      <c r="F8" s="19" t="s">
        <v>133</v>
      </c>
      <c r="G8" s="19" t="s">
        <v>45</v>
      </c>
      <c r="H8" s="19" t="s">
        <v>134</v>
      </c>
      <c r="I8" s="19" t="s">
        <v>77</v>
      </c>
      <c r="J8" s="19" t="s">
        <v>135</v>
      </c>
      <c r="K8" s="19" t="s">
        <v>95</v>
      </c>
    </row>
    <row r="9" spans="1:11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IF(A9="","",IFERROR(VLOOKUP(A9,DB_Customers!$A:$M,13,0),""))</f>
        <v/>
      </c>
      <c r="D9" s="42" t="str">
        <f t="shared" ref="D9:D40" ca="1" si="0">IF(A9="","",TODAY())</f>
        <v/>
      </c>
      <c r="E9" s="32"/>
      <c r="F9" s="43" t="str">
        <f t="shared" ref="F9:F40" si="1">IFERROR(IF(OR(A9="",E9=""),"",C9+E9),"")</f>
        <v/>
      </c>
      <c r="G9" s="30" t="s">
        <v>62</v>
      </c>
      <c r="H9" s="41"/>
      <c r="I9" s="33" t="str">
        <f>IF(A9="","",IF(H9="","⚠️ Enter Agent Code",IF(IFERROR(VLOOKUP(G9,DB_Agents!$B:$F,4,0),"")=TEXT(H9,"0"),IF(AND(A9&lt;&gt;"",E9&lt;&gt;""),"✅ Saved","Pending"),"🔒 WRONG CODE")))</f>
        <v/>
      </c>
      <c r="J9" s="33" t="str">
        <f t="shared" ref="J9:J40" ca="1" si="2">IF(I9="✅ Saved",TEXT(TODAY(),"YYYY-MM-DD")&amp;" Auto","—")</f>
        <v>—</v>
      </c>
      <c r="K9" s="22"/>
    </row>
    <row r="10" spans="1:11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IF(A10="","",IFERROR(VLOOKUP(A10,DB_Customers!$A:$M,13,0),""))</f>
        <v/>
      </c>
      <c r="D10" s="42" t="str">
        <f t="shared" ca="1" si="0"/>
        <v/>
      </c>
      <c r="E10" s="32"/>
      <c r="F10" s="43" t="str">
        <f t="shared" si="1"/>
        <v/>
      </c>
      <c r="G10" s="30" t="s">
        <v>62</v>
      </c>
      <c r="H10" s="41"/>
      <c r="I10" s="33" t="str">
        <f>IF(A10="","",IF(H10="","⚠️ Enter Agent Code",IF(IFERROR(VLOOKUP(G10,DB_Agents!$B:$F,4,0),"")=TEXT(H10,"0"),IF(AND(A10&lt;&gt;"",E10&lt;&gt;""),"✅ Saved","Pending"),"🔒 WRONG CODE")))</f>
        <v/>
      </c>
      <c r="J10" s="33" t="str">
        <f t="shared" ca="1" si="2"/>
        <v>—</v>
      </c>
      <c r="K10" s="46"/>
    </row>
    <row r="11" spans="1:11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IF(A11="","",IFERROR(VLOOKUP(A11,DB_Customers!$A:$M,13,0),""))</f>
        <v/>
      </c>
      <c r="D11" s="42" t="str">
        <f t="shared" ca="1" si="0"/>
        <v/>
      </c>
      <c r="E11" s="32"/>
      <c r="F11" s="43" t="str">
        <f t="shared" si="1"/>
        <v/>
      </c>
      <c r="G11" s="30" t="s">
        <v>62</v>
      </c>
      <c r="H11" s="41"/>
      <c r="I11" s="33" t="str">
        <f>IF(A11="","",IF(H11="","⚠️ Enter Agent Code",IF(IFERROR(VLOOKUP(G11,DB_Agents!$B:$F,4,0),"")=TEXT(H11,"0"),IF(AND(A11&lt;&gt;"",E11&lt;&gt;""),"✅ Saved","Pending"),"🔒 WRONG CODE")))</f>
        <v/>
      </c>
      <c r="J11" s="33" t="str">
        <f t="shared" ca="1" si="2"/>
        <v>—</v>
      </c>
      <c r="K11" s="22"/>
    </row>
    <row r="12" spans="1:11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IF(A12="","",IFERROR(VLOOKUP(A12,DB_Customers!$A:$M,13,0),""))</f>
        <v/>
      </c>
      <c r="D12" s="42" t="str">
        <f t="shared" ca="1" si="0"/>
        <v/>
      </c>
      <c r="E12" s="32"/>
      <c r="F12" s="43" t="str">
        <f t="shared" si="1"/>
        <v/>
      </c>
      <c r="G12" s="30" t="s">
        <v>62</v>
      </c>
      <c r="H12" s="41"/>
      <c r="I12" s="33" t="str">
        <f>IF(A12="","",IF(H12="","⚠️ Enter Agent Code",IF(IFERROR(VLOOKUP(G12,DB_Agents!$B:$F,4,0),"")=TEXT(H12,"0"),IF(AND(A12&lt;&gt;"",E12&lt;&gt;""),"✅ Saved","Pending"),"🔒 WRONG CODE")))</f>
        <v/>
      </c>
      <c r="J12" s="33" t="str">
        <f t="shared" ca="1" si="2"/>
        <v>—</v>
      </c>
      <c r="K12" s="46"/>
    </row>
    <row r="13" spans="1:11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IF(A13="","",IFERROR(VLOOKUP(A13,DB_Customers!$A:$M,13,0),""))</f>
        <v/>
      </c>
      <c r="D13" s="42" t="str">
        <f t="shared" ca="1" si="0"/>
        <v/>
      </c>
      <c r="E13" s="32"/>
      <c r="F13" s="43" t="str">
        <f t="shared" si="1"/>
        <v/>
      </c>
      <c r="G13" s="30" t="s">
        <v>62</v>
      </c>
      <c r="H13" s="41"/>
      <c r="I13" s="33" t="str">
        <f>IF(A13="","",IF(H13="","⚠️ Enter Agent Code",IF(IFERROR(VLOOKUP(G13,DB_Agents!$B:$F,4,0),"")=TEXT(H13,"0"),IF(AND(A13&lt;&gt;"",E13&lt;&gt;""),"✅ Saved","Pending"),"🔒 WRONG CODE")))</f>
        <v/>
      </c>
      <c r="J13" s="33" t="str">
        <f t="shared" ca="1" si="2"/>
        <v>—</v>
      </c>
      <c r="K13" s="22"/>
    </row>
    <row r="14" spans="1:11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IF(A14="","",IFERROR(VLOOKUP(A14,DB_Customers!$A:$M,13,0),""))</f>
        <v/>
      </c>
      <c r="D14" s="42" t="str">
        <f t="shared" ca="1" si="0"/>
        <v/>
      </c>
      <c r="E14" s="32"/>
      <c r="F14" s="43" t="str">
        <f t="shared" si="1"/>
        <v/>
      </c>
      <c r="G14" s="30" t="s">
        <v>62</v>
      </c>
      <c r="H14" s="41"/>
      <c r="I14" s="33" t="str">
        <f>IF(A14="","",IF(H14="","⚠️ Enter Agent Code",IF(IFERROR(VLOOKUP(G14,DB_Agents!$B:$F,4,0),"")=TEXT(H14,"0"),IF(AND(A14&lt;&gt;"",E14&lt;&gt;""),"✅ Saved","Pending"),"🔒 WRONG CODE")))</f>
        <v/>
      </c>
      <c r="J14" s="33" t="str">
        <f t="shared" ca="1" si="2"/>
        <v>—</v>
      </c>
      <c r="K14" s="46"/>
    </row>
    <row r="15" spans="1:11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IF(A15="","",IFERROR(VLOOKUP(A15,DB_Customers!$A:$M,13,0),""))</f>
        <v/>
      </c>
      <c r="D15" s="42" t="str">
        <f t="shared" ca="1" si="0"/>
        <v/>
      </c>
      <c r="E15" s="32"/>
      <c r="F15" s="43" t="str">
        <f t="shared" si="1"/>
        <v/>
      </c>
      <c r="G15" s="30" t="s">
        <v>62</v>
      </c>
      <c r="H15" s="41"/>
      <c r="I15" s="33" t="str">
        <f>IF(A15="","",IF(H15="","⚠️ Enter Agent Code",IF(IFERROR(VLOOKUP(G15,DB_Agents!$B:$F,4,0),"")=TEXT(H15,"0"),IF(AND(A15&lt;&gt;"",E15&lt;&gt;""),"✅ Saved","Pending"),"🔒 WRONG CODE")))</f>
        <v/>
      </c>
      <c r="J15" s="33" t="str">
        <f t="shared" ca="1" si="2"/>
        <v>—</v>
      </c>
      <c r="K15" s="22"/>
    </row>
    <row r="16" spans="1:11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IF(A16="","",IFERROR(VLOOKUP(A16,DB_Customers!$A:$M,13,0),""))</f>
        <v/>
      </c>
      <c r="D16" s="42" t="str">
        <f t="shared" ca="1" si="0"/>
        <v/>
      </c>
      <c r="E16" s="32"/>
      <c r="F16" s="43" t="str">
        <f t="shared" si="1"/>
        <v/>
      </c>
      <c r="G16" s="30" t="s">
        <v>62</v>
      </c>
      <c r="H16" s="41"/>
      <c r="I16" s="33" t="str">
        <f>IF(A16="","",IF(H16="","⚠️ Enter Agent Code",IF(IFERROR(VLOOKUP(G16,DB_Agents!$B:$F,4,0),"")=TEXT(H16,"0"),IF(AND(A16&lt;&gt;"",E16&lt;&gt;""),"✅ Saved","Pending"),"🔒 WRONG CODE")))</f>
        <v/>
      </c>
      <c r="J16" s="33" t="str">
        <f t="shared" ca="1" si="2"/>
        <v>—</v>
      </c>
      <c r="K16" s="46"/>
    </row>
    <row r="17" spans="1:11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IF(A17="","",IFERROR(VLOOKUP(A17,DB_Customers!$A:$M,13,0),""))</f>
        <v/>
      </c>
      <c r="D17" s="42" t="str">
        <f t="shared" ca="1" si="0"/>
        <v/>
      </c>
      <c r="E17" s="32"/>
      <c r="F17" s="43" t="str">
        <f t="shared" si="1"/>
        <v/>
      </c>
      <c r="G17" s="30" t="s">
        <v>62</v>
      </c>
      <c r="H17" s="41"/>
      <c r="I17" s="33" t="str">
        <f>IF(A17="","",IF(H17="","⚠️ Enter Agent Code",IF(IFERROR(VLOOKUP(G17,DB_Agents!$B:$F,4,0),"")=TEXT(H17,"0"),IF(AND(A17&lt;&gt;"",E17&lt;&gt;""),"✅ Saved","Pending"),"🔒 WRONG CODE")))</f>
        <v/>
      </c>
      <c r="J17" s="33" t="str">
        <f t="shared" ca="1" si="2"/>
        <v>—</v>
      </c>
      <c r="K17" s="22"/>
    </row>
    <row r="18" spans="1:11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IF(A18="","",IFERROR(VLOOKUP(A18,DB_Customers!$A:$M,13,0),""))</f>
        <v/>
      </c>
      <c r="D18" s="42" t="str">
        <f t="shared" ca="1" si="0"/>
        <v/>
      </c>
      <c r="E18" s="32"/>
      <c r="F18" s="43" t="str">
        <f t="shared" si="1"/>
        <v/>
      </c>
      <c r="G18" s="30" t="s">
        <v>62</v>
      </c>
      <c r="H18" s="41"/>
      <c r="I18" s="33" t="str">
        <f>IF(A18="","",IF(H18="","⚠️ Enter Agent Code",IF(IFERROR(VLOOKUP(G18,DB_Agents!$B:$F,4,0),"")=TEXT(H18,"0"),IF(AND(A18&lt;&gt;"",E18&lt;&gt;""),"✅ Saved","Pending"),"🔒 WRONG CODE")))</f>
        <v/>
      </c>
      <c r="J18" s="33" t="str">
        <f t="shared" ca="1" si="2"/>
        <v>—</v>
      </c>
      <c r="K18" s="46"/>
    </row>
    <row r="19" spans="1:11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IF(A19="","",IFERROR(VLOOKUP(A19,DB_Customers!$A:$M,13,0),""))</f>
        <v/>
      </c>
      <c r="D19" s="42" t="str">
        <f t="shared" ca="1" si="0"/>
        <v/>
      </c>
      <c r="E19" s="32"/>
      <c r="F19" s="43" t="str">
        <f t="shared" si="1"/>
        <v/>
      </c>
      <c r="G19" s="30" t="s">
        <v>62</v>
      </c>
      <c r="H19" s="41"/>
      <c r="I19" s="33" t="str">
        <f>IF(A19="","",IF(H19="","⚠️ Enter Agent Code",IF(IFERROR(VLOOKUP(G19,DB_Agents!$B:$F,4,0),"")=TEXT(H19,"0"),IF(AND(A19&lt;&gt;"",E19&lt;&gt;""),"✅ Saved","Pending"),"🔒 WRONG CODE")))</f>
        <v/>
      </c>
      <c r="J19" s="33" t="str">
        <f t="shared" ca="1" si="2"/>
        <v>—</v>
      </c>
      <c r="K19" s="22"/>
    </row>
    <row r="20" spans="1:11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IF(A20="","",IFERROR(VLOOKUP(A20,DB_Customers!$A:$M,13,0),""))</f>
        <v/>
      </c>
      <c r="D20" s="42" t="str">
        <f t="shared" ca="1" si="0"/>
        <v/>
      </c>
      <c r="E20" s="32"/>
      <c r="F20" s="43" t="str">
        <f t="shared" si="1"/>
        <v/>
      </c>
      <c r="G20" s="30" t="s">
        <v>62</v>
      </c>
      <c r="H20" s="41"/>
      <c r="I20" s="33" t="str">
        <f>IF(A20="","",IF(H20="","⚠️ Enter Agent Code",IF(IFERROR(VLOOKUP(G20,DB_Agents!$B:$F,4,0),"")=TEXT(H20,"0"),IF(AND(A20&lt;&gt;"",E20&lt;&gt;""),"✅ Saved","Pending"),"🔒 WRONG CODE")))</f>
        <v/>
      </c>
      <c r="J20" s="33" t="str">
        <f t="shared" ca="1" si="2"/>
        <v>—</v>
      </c>
      <c r="K20" s="46"/>
    </row>
    <row r="21" spans="1:11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IF(A21="","",IFERROR(VLOOKUP(A21,DB_Customers!$A:$M,13,0),""))</f>
        <v/>
      </c>
      <c r="D21" s="42" t="str">
        <f t="shared" ca="1" si="0"/>
        <v/>
      </c>
      <c r="E21" s="32"/>
      <c r="F21" s="43" t="str">
        <f t="shared" si="1"/>
        <v/>
      </c>
      <c r="G21" s="30" t="s">
        <v>62</v>
      </c>
      <c r="H21" s="41"/>
      <c r="I21" s="33" t="str">
        <f>IF(A21="","",IF(H21="","⚠️ Enter Agent Code",IF(IFERROR(VLOOKUP(G21,DB_Agents!$B:$F,4,0),"")=TEXT(H21,"0"),IF(AND(A21&lt;&gt;"",E21&lt;&gt;""),"✅ Saved","Pending"),"🔒 WRONG CODE")))</f>
        <v/>
      </c>
      <c r="J21" s="33" t="str">
        <f t="shared" ca="1" si="2"/>
        <v>—</v>
      </c>
      <c r="K21" s="22"/>
    </row>
    <row r="22" spans="1:11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IF(A22="","",IFERROR(VLOOKUP(A22,DB_Customers!$A:$M,13,0),""))</f>
        <v/>
      </c>
      <c r="D22" s="42" t="str">
        <f t="shared" ca="1" si="0"/>
        <v/>
      </c>
      <c r="E22" s="32"/>
      <c r="F22" s="43" t="str">
        <f t="shared" si="1"/>
        <v/>
      </c>
      <c r="G22" s="30" t="s">
        <v>62</v>
      </c>
      <c r="H22" s="41"/>
      <c r="I22" s="33" t="str">
        <f>IF(A22="","",IF(H22="","⚠️ Enter Agent Code",IF(IFERROR(VLOOKUP(G22,DB_Agents!$B:$F,4,0),"")=TEXT(H22,"0"),IF(AND(A22&lt;&gt;"",E22&lt;&gt;""),"✅ Saved","Pending"),"🔒 WRONG CODE")))</f>
        <v/>
      </c>
      <c r="J22" s="33" t="str">
        <f t="shared" ca="1" si="2"/>
        <v>—</v>
      </c>
      <c r="K22" s="46"/>
    </row>
    <row r="23" spans="1:11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IF(A23="","",IFERROR(VLOOKUP(A23,DB_Customers!$A:$M,13,0),""))</f>
        <v/>
      </c>
      <c r="D23" s="42" t="str">
        <f t="shared" ca="1" si="0"/>
        <v/>
      </c>
      <c r="E23" s="32"/>
      <c r="F23" s="43" t="str">
        <f t="shared" si="1"/>
        <v/>
      </c>
      <c r="G23" s="30" t="s">
        <v>62</v>
      </c>
      <c r="H23" s="41"/>
      <c r="I23" s="33" t="str">
        <f>IF(A23="","",IF(H23="","⚠️ Enter Agent Code",IF(IFERROR(VLOOKUP(G23,DB_Agents!$B:$F,4,0),"")=TEXT(H23,"0"),IF(AND(A23&lt;&gt;"",E23&lt;&gt;""),"✅ Saved","Pending"),"🔒 WRONG CODE")))</f>
        <v/>
      </c>
      <c r="J23" s="33" t="str">
        <f t="shared" ca="1" si="2"/>
        <v>—</v>
      </c>
      <c r="K23" s="22"/>
    </row>
    <row r="24" spans="1:11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IF(A24="","",IFERROR(VLOOKUP(A24,DB_Customers!$A:$M,13,0),""))</f>
        <v/>
      </c>
      <c r="D24" s="42" t="str">
        <f t="shared" ca="1" si="0"/>
        <v/>
      </c>
      <c r="E24" s="32"/>
      <c r="F24" s="43" t="str">
        <f t="shared" si="1"/>
        <v/>
      </c>
      <c r="G24" s="30" t="s">
        <v>62</v>
      </c>
      <c r="H24" s="41"/>
      <c r="I24" s="33" t="str">
        <f>IF(A24="","",IF(H24="","⚠️ Enter Agent Code",IF(IFERROR(VLOOKUP(G24,DB_Agents!$B:$F,4,0),"")=TEXT(H24,"0"),IF(AND(A24&lt;&gt;"",E24&lt;&gt;""),"✅ Saved","Pending"),"🔒 WRONG CODE")))</f>
        <v/>
      </c>
      <c r="J24" s="33" t="str">
        <f t="shared" ca="1" si="2"/>
        <v>—</v>
      </c>
      <c r="K24" s="46"/>
    </row>
    <row r="25" spans="1:11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IF(A25="","",IFERROR(VLOOKUP(A25,DB_Customers!$A:$M,13,0),""))</f>
        <v/>
      </c>
      <c r="D25" s="42" t="str">
        <f t="shared" ca="1" si="0"/>
        <v/>
      </c>
      <c r="E25" s="32"/>
      <c r="F25" s="43" t="str">
        <f t="shared" si="1"/>
        <v/>
      </c>
      <c r="G25" s="30" t="s">
        <v>62</v>
      </c>
      <c r="H25" s="41"/>
      <c r="I25" s="33" t="str">
        <f>IF(A25="","",IF(H25="","⚠️ Enter Agent Code",IF(IFERROR(VLOOKUP(G25,DB_Agents!$B:$F,4,0),"")=TEXT(H25,"0"),IF(AND(A25&lt;&gt;"",E25&lt;&gt;""),"✅ Saved","Pending"),"🔒 WRONG CODE")))</f>
        <v/>
      </c>
      <c r="J25" s="33" t="str">
        <f t="shared" ca="1" si="2"/>
        <v>—</v>
      </c>
      <c r="K25" s="22"/>
    </row>
    <row r="26" spans="1:11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IF(A26="","",IFERROR(VLOOKUP(A26,DB_Customers!$A:$M,13,0),""))</f>
        <v/>
      </c>
      <c r="D26" s="42" t="str">
        <f t="shared" ca="1" si="0"/>
        <v/>
      </c>
      <c r="E26" s="32"/>
      <c r="F26" s="43" t="str">
        <f t="shared" si="1"/>
        <v/>
      </c>
      <c r="G26" s="30" t="s">
        <v>62</v>
      </c>
      <c r="H26" s="41"/>
      <c r="I26" s="33" t="str">
        <f>IF(A26="","",IF(H26="","⚠️ Enter Agent Code",IF(IFERROR(VLOOKUP(G26,DB_Agents!$B:$F,4,0),"")=TEXT(H26,"0"),IF(AND(A26&lt;&gt;"",E26&lt;&gt;""),"✅ Saved","Pending"),"🔒 WRONG CODE")))</f>
        <v/>
      </c>
      <c r="J26" s="33" t="str">
        <f t="shared" ca="1" si="2"/>
        <v>—</v>
      </c>
      <c r="K26" s="46"/>
    </row>
    <row r="27" spans="1:11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IF(A27="","",IFERROR(VLOOKUP(A27,DB_Customers!$A:$M,13,0),""))</f>
        <v/>
      </c>
      <c r="D27" s="42" t="str">
        <f t="shared" ca="1" si="0"/>
        <v/>
      </c>
      <c r="E27" s="32"/>
      <c r="F27" s="43" t="str">
        <f t="shared" si="1"/>
        <v/>
      </c>
      <c r="G27" s="30" t="s">
        <v>62</v>
      </c>
      <c r="H27" s="41"/>
      <c r="I27" s="33" t="str">
        <f>IF(A27="","",IF(H27="","⚠️ Enter Agent Code",IF(IFERROR(VLOOKUP(G27,DB_Agents!$B:$F,4,0),"")=TEXT(H27,"0"),IF(AND(A27&lt;&gt;"",E27&lt;&gt;""),"✅ Saved","Pending"),"🔒 WRONG CODE")))</f>
        <v/>
      </c>
      <c r="J27" s="33" t="str">
        <f t="shared" ca="1" si="2"/>
        <v>—</v>
      </c>
      <c r="K27" s="22"/>
    </row>
    <row r="28" spans="1:11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IF(A28="","",IFERROR(VLOOKUP(A28,DB_Customers!$A:$M,13,0),""))</f>
        <v/>
      </c>
      <c r="D28" s="42" t="str">
        <f t="shared" ca="1" si="0"/>
        <v/>
      </c>
      <c r="E28" s="32"/>
      <c r="F28" s="43" t="str">
        <f t="shared" si="1"/>
        <v/>
      </c>
      <c r="G28" s="30" t="s">
        <v>62</v>
      </c>
      <c r="H28" s="41"/>
      <c r="I28" s="33" t="str">
        <f>IF(A28="","",IF(H28="","⚠️ Enter Agent Code",IF(IFERROR(VLOOKUP(G28,DB_Agents!$B:$F,4,0),"")=TEXT(H28,"0"),IF(AND(A28&lt;&gt;"",E28&lt;&gt;""),"✅ Saved","Pending"),"🔒 WRONG CODE")))</f>
        <v/>
      </c>
      <c r="J28" s="33" t="str">
        <f t="shared" ca="1" si="2"/>
        <v>—</v>
      </c>
      <c r="K28" s="46"/>
    </row>
    <row r="29" spans="1:11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IF(A29="","",IFERROR(VLOOKUP(A29,DB_Customers!$A:$M,13,0),""))</f>
        <v/>
      </c>
      <c r="D29" s="42" t="str">
        <f t="shared" ca="1" si="0"/>
        <v/>
      </c>
      <c r="E29" s="32"/>
      <c r="F29" s="43" t="str">
        <f t="shared" si="1"/>
        <v/>
      </c>
      <c r="G29" s="30" t="s">
        <v>62</v>
      </c>
      <c r="H29" s="41"/>
      <c r="I29" s="33" t="str">
        <f>IF(A29="","",IF(H29="","⚠️ Enter Agent Code",IF(IFERROR(VLOOKUP(G29,DB_Agents!$B:$F,4,0),"")=TEXT(H29,"0"),IF(AND(A29&lt;&gt;"",E29&lt;&gt;""),"✅ Saved","Pending"),"🔒 WRONG CODE")))</f>
        <v/>
      </c>
      <c r="J29" s="33" t="str">
        <f t="shared" ca="1" si="2"/>
        <v>—</v>
      </c>
      <c r="K29" s="22"/>
    </row>
    <row r="30" spans="1:11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IF(A30="","",IFERROR(VLOOKUP(A30,DB_Customers!$A:$M,13,0),""))</f>
        <v/>
      </c>
      <c r="D30" s="42" t="str">
        <f t="shared" ca="1" si="0"/>
        <v/>
      </c>
      <c r="E30" s="32"/>
      <c r="F30" s="43" t="str">
        <f t="shared" si="1"/>
        <v/>
      </c>
      <c r="G30" s="30" t="s">
        <v>62</v>
      </c>
      <c r="H30" s="41"/>
      <c r="I30" s="33" t="str">
        <f>IF(A30="","",IF(H30="","⚠️ Enter Agent Code",IF(IFERROR(VLOOKUP(G30,DB_Agents!$B:$F,4,0),"")=TEXT(H30,"0"),IF(AND(A30&lt;&gt;"",E30&lt;&gt;""),"✅ Saved","Pending"),"🔒 WRONG CODE")))</f>
        <v/>
      </c>
      <c r="J30" s="33" t="str">
        <f t="shared" ca="1" si="2"/>
        <v>—</v>
      </c>
      <c r="K30" s="46"/>
    </row>
    <row r="31" spans="1:11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IF(A31="","",IFERROR(VLOOKUP(A31,DB_Customers!$A:$M,13,0),""))</f>
        <v/>
      </c>
      <c r="D31" s="42" t="str">
        <f t="shared" ca="1" si="0"/>
        <v/>
      </c>
      <c r="E31" s="32"/>
      <c r="F31" s="43" t="str">
        <f t="shared" si="1"/>
        <v/>
      </c>
      <c r="G31" s="30" t="s">
        <v>62</v>
      </c>
      <c r="H31" s="41"/>
      <c r="I31" s="33" t="str">
        <f>IF(A31="","",IF(H31="","⚠️ Enter Agent Code",IF(IFERROR(VLOOKUP(G31,DB_Agents!$B:$F,4,0),"")=TEXT(H31,"0"),IF(AND(A31&lt;&gt;"",E31&lt;&gt;""),"✅ Saved","Pending"),"🔒 WRONG CODE")))</f>
        <v/>
      </c>
      <c r="J31" s="33" t="str">
        <f t="shared" ca="1" si="2"/>
        <v>—</v>
      </c>
      <c r="K31" s="22"/>
    </row>
    <row r="32" spans="1:11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IF(A32="","",IFERROR(VLOOKUP(A32,DB_Customers!$A:$M,13,0),""))</f>
        <v/>
      </c>
      <c r="D32" s="42" t="str">
        <f t="shared" ca="1" si="0"/>
        <v/>
      </c>
      <c r="E32" s="32"/>
      <c r="F32" s="43" t="str">
        <f t="shared" si="1"/>
        <v/>
      </c>
      <c r="G32" s="30" t="s">
        <v>62</v>
      </c>
      <c r="H32" s="41"/>
      <c r="I32" s="33" t="str">
        <f>IF(A32="","",IF(H32="","⚠️ Enter Agent Code",IF(IFERROR(VLOOKUP(G32,DB_Agents!$B:$F,4,0),"")=TEXT(H32,"0"),IF(AND(A32&lt;&gt;"",E32&lt;&gt;""),"✅ Saved","Pending"),"🔒 WRONG CODE")))</f>
        <v/>
      </c>
      <c r="J32" s="33" t="str">
        <f t="shared" ca="1" si="2"/>
        <v>—</v>
      </c>
      <c r="K32" s="46"/>
    </row>
    <row r="33" spans="1:11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IF(A33="","",IFERROR(VLOOKUP(A33,DB_Customers!$A:$M,13,0),""))</f>
        <v/>
      </c>
      <c r="D33" s="42" t="str">
        <f t="shared" ca="1" si="0"/>
        <v/>
      </c>
      <c r="E33" s="32"/>
      <c r="F33" s="43" t="str">
        <f t="shared" si="1"/>
        <v/>
      </c>
      <c r="G33" s="30" t="s">
        <v>62</v>
      </c>
      <c r="H33" s="41"/>
      <c r="I33" s="33" t="str">
        <f>IF(A33="","",IF(H33="","⚠️ Enter Agent Code",IF(IFERROR(VLOOKUP(G33,DB_Agents!$B:$F,4,0),"")=TEXT(H33,"0"),IF(AND(A33&lt;&gt;"",E33&lt;&gt;""),"✅ Saved","Pending"),"🔒 WRONG CODE")))</f>
        <v/>
      </c>
      <c r="J33" s="33" t="str">
        <f t="shared" ca="1" si="2"/>
        <v>—</v>
      </c>
      <c r="K33" s="22"/>
    </row>
    <row r="34" spans="1:11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IF(A34="","",IFERROR(VLOOKUP(A34,DB_Customers!$A:$M,13,0),""))</f>
        <v/>
      </c>
      <c r="D34" s="42" t="str">
        <f t="shared" ca="1" si="0"/>
        <v/>
      </c>
      <c r="E34" s="32"/>
      <c r="F34" s="43" t="str">
        <f t="shared" si="1"/>
        <v/>
      </c>
      <c r="G34" s="30" t="s">
        <v>62</v>
      </c>
      <c r="H34" s="41"/>
      <c r="I34" s="33" t="str">
        <f>IF(A34="","",IF(H34="","⚠️ Enter Agent Code",IF(IFERROR(VLOOKUP(G34,DB_Agents!$B:$F,4,0),"")=TEXT(H34,"0"),IF(AND(A34&lt;&gt;"",E34&lt;&gt;""),"✅ Saved","Pending"),"🔒 WRONG CODE")))</f>
        <v/>
      </c>
      <c r="J34" s="33" t="str">
        <f t="shared" ca="1" si="2"/>
        <v>—</v>
      </c>
      <c r="K34" s="46"/>
    </row>
    <row r="35" spans="1:11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IF(A35="","",IFERROR(VLOOKUP(A35,DB_Customers!$A:$M,13,0),""))</f>
        <v/>
      </c>
      <c r="D35" s="42" t="str">
        <f t="shared" ca="1" si="0"/>
        <v/>
      </c>
      <c r="E35" s="32"/>
      <c r="F35" s="43" t="str">
        <f t="shared" si="1"/>
        <v/>
      </c>
      <c r="G35" s="30" t="s">
        <v>62</v>
      </c>
      <c r="H35" s="41"/>
      <c r="I35" s="33" t="str">
        <f>IF(A35="","",IF(H35="","⚠️ Enter Agent Code",IF(IFERROR(VLOOKUP(G35,DB_Agents!$B:$F,4,0),"")=TEXT(H35,"0"),IF(AND(A35&lt;&gt;"",E35&lt;&gt;""),"✅ Saved","Pending"),"🔒 WRONG CODE")))</f>
        <v/>
      </c>
      <c r="J35" s="33" t="str">
        <f t="shared" ca="1" si="2"/>
        <v>—</v>
      </c>
      <c r="K35" s="22"/>
    </row>
    <row r="36" spans="1:11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IF(A36="","",IFERROR(VLOOKUP(A36,DB_Customers!$A:$M,13,0),""))</f>
        <v/>
      </c>
      <c r="D36" s="42" t="str">
        <f t="shared" ca="1" si="0"/>
        <v/>
      </c>
      <c r="E36" s="32"/>
      <c r="F36" s="43" t="str">
        <f t="shared" si="1"/>
        <v/>
      </c>
      <c r="G36" s="30" t="s">
        <v>62</v>
      </c>
      <c r="H36" s="41"/>
      <c r="I36" s="33" t="str">
        <f>IF(A36="","",IF(H36="","⚠️ Enter Agent Code",IF(IFERROR(VLOOKUP(G36,DB_Agents!$B:$F,4,0),"")=TEXT(H36,"0"),IF(AND(A36&lt;&gt;"",E36&lt;&gt;""),"✅ Saved","Pending"),"🔒 WRONG CODE")))</f>
        <v/>
      </c>
      <c r="J36" s="33" t="str">
        <f t="shared" ca="1" si="2"/>
        <v>—</v>
      </c>
      <c r="K36" s="46"/>
    </row>
    <row r="37" spans="1:11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IF(A37="","",IFERROR(VLOOKUP(A37,DB_Customers!$A:$M,13,0),""))</f>
        <v/>
      </c>
      <c r="D37" s="42" t="str">
        <f t="shared" ca="1" si="0"/>
        <v/>
      </c>
      <c r="E37" s="32"/>
      <c r="F37" s="43" t="str">
        <f t="shared" si="1"/>
        <v/>
      </c>
      <c r="G37" s="30" t="s">
        <v>62</v>
      </c>
      <c r="H37" s="41"/>
      <c r="I37" s="33" t="str">
        <f>IF(A37="","",IF(H37="","⚠️ Enter Agent Code",IF(IFERROR(VLOOKUP(G37,DB_Agents!$B:$F,4,0),"")=TEXT(H37,"0"),IF(AND(A37&lt;&gt;"",E37&lt;&gt;""),"✅ Saved","Pending"),"🔒 WRONG CODE")))</f>
        <v/>
      </c>
      <c r="J37" s="33" t="str">
        <f t="shared" ca="1" si="2"/>
        <v>—</v>
      </c>
      <c r="K37" s="22"/>
    </row>
    <row r="38" spans="1:11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IF(A38="","",IFERROR(VLOOKUP(A38,DB_Customers!$A:$M,13,0),""))</f>
        <v/>
      </c>
      <c r="D38" s="42" t="str">
        <f t="shared" ca="1" si="0"/>
        <v/>
      </c>
      <c r="E38" s="32"/>
      <c r="F38" s="43" t="str">
        <f t="shared" si="1"/>
        <v/>
      </c>
      <c r="G38" s="30" t="s">
        <v>62</v>
      </c>
      <c r="H38" s="41"/>
      <c r="I38" s="33" t="str">
        <f>IF(A38="","",IF(H38="","⚠️ Enter Agent Code",IF(IFERROR(VLOOKUP(G38,DB_Agents!$B:$F,4,0),"")=TEXT(H38,"0"),IF(AND(A38&lt;&gt;"",E38&lt;&gt;""),"✅ Saved","Pending"),"🔒 WRONG CODE")))</f>
        <v/>
      </c>
      <c r="J38" s="33" t="str">
        <f t="shared" ca="1" si="2"/>
        <v>—</v>
      </c>
      <c r="K38" s="46"/>
    </row>
    <row r="39" spans="1:11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IF(A39="","",IFERROR(VLOOKUP(A39,DB_Customers!$A:$M,13,0),""))</f>
        <v/>
      </c>
      <c r="D39" s="42" t="str">
        <f t="shared" ca="1" si="0"/>
        <v/>
      </c>
      <c r="E39" s="32"/>
      <c r="F39" s="43" t="str">
        <f t="shared" si="1"/>
        <v/>
      </c>
      <c r="G39" s="30" t="s">
        <v>62</v>
      </c>
      <c r="H39" s="41"/>
      <c r="I39" s="33" t="str">
        <f>IF(A39="","",IF(H39="","⚠️ Enter Agent Code",IF(IFERROR(VLOOKUP(G39,DB_Agents!$B:$F,4,0),"")=TEXT(H39,"0"),IF(AND(A39&lt;&gt;"",E39&lt;&gt;""),"✅ Saved","Pending"),"🔒 WRONG CODE")))</f>
        <v/>
      </c>
      <c r="J39" s="33" t="str">
        <f t="shared" ca="1" si="2"/>
        <v>—</v>
      </c>
      <c r="K39" s="22"/>
    </row>
    <row r="40" spans="1:11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IF(A40="","",IFERROR(VLOOKUP(A40,DB_Customers!$A:$M,13,0),""))</f>
        <v/>
      </c>
      <c r="D40" s="42" t="str">
        <f t="shared" ca="1" si="0"/>
        <v/>
      </c>
      <c r="E40" s="32"/>
      <c r="F40" s="43" t="str">
        <f t="shared" si="1"/>
        <v/>
      </c>
      <c r="G40" s="30" t="s">
        <v>62</v>
      </c>
      <c r="H40" s="41"/>
      <c r="I40" s="33" t="str">
        <f>IF(A40="","",IF(H40="","⚠️ Enter Agent Code",IF(IFERROR(VLOOKUP(G40,DB_Agents!$B:$F,4,0),"")=TEXT(H40,"0"),IF(AND(A40&lt;&gt;"",E40&lt;&gt;""),"✅ Saved","Pending"),"🔒 WRONG CODE")))</f>
        <v/>
      </c>
      <c r="J40" s="33" t="str">
        <f t="shared" ca="1" si="2"/>
        <v>—</v>
      </c>
      <c r="K40" s="46"/>
    </row>
    <row r="41" spans="1:11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IF(A41="","",IFERROR(VLOOKUP(A41,DB_Customers!$A:$M,13,0),""))</f>
        <v/>
      </c>
      <c r="D41" s="42" t="str">
        <f t="shared" ref="D41:D72" ca="1" si="3">IF(A41="","",TODAY())</f>
        <v/>
      </c>
      <c r="E41" s="32"/>
      <c r="F41" s="43" t="str">
        <f t="shared" ref="F41:F72" si="4">IFERROR(IF(OR(A41="",E41=""),"",C41+E41),"")</f>
        <v/>
      </c>
      <c r="G41" s="30" t="s">
        <v>62</v>
      </c>
      <c r="H41" s="41"/>
      <c r="I41" s="33" t="str">
        <f>IF(A41="","",IF(H41="","⚠️ Enter Agent Code",IF(IFERROR(VLOOKUP(G41,DB_Agents!$B:$F,4,0),"")=TEXT(H41,"0"),IF(AND(A41&lt;&gt;"",E41&lt;&gt;""),"✅ Saved","Pending"),"🔒 WRONG CODE")))</f>
        <v/>
      </c>
      <c r="J41" s="33" t="str">
        <f t="shared" ref="J41:J72" ca="1" si="5">IF(I41="✅ Saved",TEXT(TODAY(),"YYYY-MM-DD")&amp;" Auto","—")</f>
        <v>—</v>
      </c>
      <c r="K41" s="22"/>
    </row>
    <row r="42" spans="1:11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IF(A42="","",IFERROR(VLOOKUP(A42,DB_Customers!$A:$M,13,0),""))</f>
        <v/>
      </c>
      <c r="D42" s="42" t="str">
        <f t="shared" ca="1" si="3"/>
        <v/>
      </c>
      <c r="E42" s="32"/>
      <c r="F42" s="43" t="str">
        <f t="shared" si="4"/>
        <v/>
      </c>
      <c r="G42" s="30" t="s">
        <v>62</v>
      </c>
      <c r="H42" s="41"/>
      <c r="I42" s="33" t="str">
        <f>IF(A42="","",IF(H42="","⚠️ Enter Agent Code",IF(IFERROR(VLOOKUP(G42,DB_Agents!$B:$F,4,0),"")=TEXT(H42,"0"),IF(AND(A42&lt;&gt;"",E42&lt;&gt;""),"✅ Saved","Pending"),"🔒 WRONG CODE")))</f>
        <v/>
      </c>
      <c r="J42" s="33" t="str">
        <f t="shared" ca="1" si="5"/>
        <v>—</v>
      </c>
      <c r="K42" s="46"/>
    </row>
    <row r="43" spans="1:11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IF(A43="","",IFERROR(VLOOKUP(A43,DB_Customers!$A:$M,13,0),""))</f>
        <v/>
      </c>
      <c r="D43" s="42" t="str">
        <f t="shared" ca="1" si="3"/>
        <v/>
      </c>
      <c r="E43" s="32"/>
      <c r="F43" s="43" t="str">
        <f t="shared" si="4"/>
        <v/>
      </c>
      <c r="G43" s="30" t="s">
        <v>62</v>
      </c>
      <c r="H43" s="41"/>
      <c r="I43" s="33" t="str">
        <f>IF(A43="","",IF(H43="","⚠️ Enter Agent Code",IF(IFERROR(VLOOKUP(G43,DB_Agents!$B:$F,4,0),"")=TEXT(H43,"0"),IF(AND(A43&lt;&gt;"",E43&lt;&gt;""),"✅ Saved","Pending"),"🔒 WRONG CODE")))</f>
        <v/>
      </c>
      <c r="J43" s="33" t="str">
        <f t="shared" ca="1" si="5"/>
        <v>—</v>
      </c>
      <c r="K43" s="22"/>
    </row>
    <row r="44" spans="1:11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IF(A44="","",IFERROR(VLOOKUP(A44,DB_Customers!$A:$M,13,0),""))</f>
        <v/>
      </c>
      <c r="D44" s="42" t="str">
        <f t="shared" ca="1" si="3"/>
        <v/>
      </c>
      <c r="E44" s="32"/>
      <c r="F44" s="43" t="str">
        <f t="shared" si="4"/>
        <v/>
      </c>
      <c r="G44" s="30" t="s">
        <v>62</v>
      </c>
      <c r="H44" s="41"/>
      <c r="I44" s="33" t="str">
        <f>IF(A44="","",IF(H44="","⚠️ Enter Agent Code",IF(IFERROR(VLOOKUP(G44,DB_Agents!$B:$F,4,0),"")=TEXT(H44,"0"),IF(AND(A44&lt;&gt;"",E44&lt;&gt;""),"✅ Saved","Pending"),"🔒 WRONG CODE")))</f>
        <v/>
      </c>
      <c r="J44" s="33" t="str">
        <f t="shared" ca="1" si="5"/>
        <v>—</v>
      </c>
      <c r="K44" s="46"/>
    </row>
    <row r="45" spans="1:11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IF(A45="","",IFERROR(VLOOKUP(A45,DB_Customers!$A:$M,13,0),""))</f>
        <v/>
      </c>
      <c r="D45" s="42" t="str">
        <f t="shared" ca="1" si="3"/>
        <v/>
      </c>
      <c r="E45" s="32"/>
      <c r="F45" s="43" t="str">
        <f t="shared" si="4"/>
        <v/>
      </c>
      <c r="G45" s="30" t="s">
        <v>62</v>
      </c>
      <c r="H45" s="41"/>
      <c r="I45" s="33" t="str">
        <f>IF(A45="","",IF(H45="","⚠️ Enter Agent Code",IF(IFERROR(VLOOKUP(G45,DB_Agents!$B:$F,4,0),"")=TEXT(H45,"0"),IF(AND(A45&lt;&gt;"",E45&lt;&gt;""),"✅ Saved","Pending"),"🔒 WRONG CODE")))</f>
        <v/>
      </c>
      <c r="J45" s="33" t="str">
        <f t="shared" ca="1" si="5"/>
        <v>—</v>
      </c>
      <c r="K45" s="22"/>
    </row>
    <row r="46" spans="1:11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IF(A46="","",IFERROR(VLOOKUP(A46,DB_Customers!$A:$M,13,0),""))</f>
        <v/>
      </c>
      <c r="D46" s="42" t="str">
        <f t="shared" ca="1" si="3"/>
        <v/>
      </c>
      <c r="E46" s="32"/>
      <c r="F46" s="43" t="str">
        <f t="shared" si="4"/>
        <v/>
      </c>
      <c r="G46" s="30" t="s">
        <v>62</v>
      </c>
      <c r="H46" s="41"/>
      <c r="I46" s="33" t="str">
        <f>IF(A46="","",IF(H46="","⚠️ Enter Agent Code",IF(IFERROR(VLOOKUP(G46,DB_Agents!$B:$F,4,0),"")=TEXT(H46,"0"),IF(AND(A46&lt;&gt;"",E46&lt;&gt;""),"✅ Saved","Pending"),"🔒 WRONG CODE")))</f>
        <v/>
      </c>
      <c r="J46" s="33" t="str">
        <f t="shared" ca="1" si="5"/>
        <v>—</v>
      </c>
      <c r="K46" s="46"/>
    </row>
    <row r="47" spans="1:11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IF(A47="","",IFERROR(VLOOKUP(A47,DB_Customers!$A:$M,13,0),""))</f>
        <v/>
      </c>
      <c r="D47" s="42" t="str">
        <f t="shared" ca="1" si="3"/>
        <v/>
      </c>
      <c r="E47" s="32"/>
      <c r="F47" s="43" t="str">
        <f t="shared" si="4"/>
        <v/>
      </c>
      <c r="G47" s="30" t="s">
        <v>62</v>
      </c>
      <c r="H47" s="41"/>
      <c r="I47" s="33" t="str">
        <f>IF(A47="","",IF(H47="","⚠️ Enter Agent Code",IF(IFERROR(VLOOKUP(G47,DB_Agents!$B:$F,4,0),"")=TEXT(H47,"0"),IF(AND(A47&lt;&gt;"",E47&lt;&gt;""),"✅ Saved","Pending"),"🔒 WRONG CODE")))</f>
        <v/>
      </c>
      <c r="J47" s="33" t="str">
        <f t="shared" ca="1" si="5"/>
        <v>—</v>
      </c>
      <c r="K47" s="22"/>
    </row>
    <row r="48" spans="1:11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IF(A48="","",IFERROR(VLOOKUP(A48,DB_Customers!$A:$M,13,0),""))</f>
        <v/>
      </c>
      <c r="D48" s="42" t="str">
        <f t="shared" ca="1" si="3"/>
        <v/>
      </c>
      <c r="E48" s="32"/>
      <c r="F48" s="43" t="str">
        <f t="shared" si="4"/>
        <v/>
      </c>
      <c r="G48" s="30" t="s">
        <v>62</v>
      </c>
      <c r="H48" s="41"/>
      <c r="I48" s="33" t="str">
        <f>IF(A48="","",IF(H48="","⚠️ Enter Agent Code",IF(IFERROR(VLOOKUP(G48,DB_Agents!$B:$F,4,0),"")=TEXT(H48,"0"),IF(AND(A48&lt;&gt;"",E48&lt;&gt;""),"✅ Saved","Pending"),"🔒 WRONG CODE")))</f>
        <v/>
      </c>
      <c r="J48" s="33" t="str">
        <f t="shared" ca="1" si="5"/>
        <v>—</v>
      </c>
      <c r="K48" s="46"/>
    </row>
    <row r="49" spans="1:11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IF(A49="","",IFERROR(VLOOKUP(A49,DB_Customers!$A:$M,13,0),""))</f>
        <v/>
      </c>
      <c r="D49" s="42" t="str">
        <f t="shared" ca="1" si="3"/>
        <v/>
      </c>
      <c r="E49" s="32"/>
      <c r="F49" s="43" t="str">
        <f t="shared" si="4"/>
        <v/>
      </c>
      <c r="G49" s="30" t="s">
        <v>62</v>
      </c>
      <c r="H49" s="41"/>
      <c r="I49" s="33" t="str">
        <f>IF(A49="","",IF(H49="","⚠️ Enter Agent Code",IF(IFERROR(VLOOKUP(G49,DB_Agents!$B:$F,4,0),"")=TEXT(H49,"0"),IF(AND(A49&lt;&gt;"",E49&lt;&gt;""),"✅ Saved","Pending"),"🔒 WRONG CODE")))</f>
        <v/>
      </c>
      <c r="J49" s="33" t="str">
        <f t="shared" ca="1" si="5"/>
        <v>—</v>
      </c>
      <c r="K49" s="22"/>
    </row>
    <row r="50" spans="1:11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IF(A50="","",IFERROR(VLOOKUP(A50,DB_Customers!$A:$M,13,0),""))</f>
        <v/>
      </c>
      <c r="D50" s="42" t="str">
        <f t="shared" ca="1" si="3"/>
        <v/>
      </c>
      <c r="E50" s="32"/>
      <c r="F50" s="43" t="str">
        <f t="shared" si="4"/>
        <v/>
      </c>
      <c r="G50" s="30" t="s">
        <v>62</v>
      </c>
      <c r="H50" s="41"/>
      <c r="I50" s="33" t="str">
        <f>IF(A50="","",IF(H50="","⚠️ Enter Agent Code",IF(IFERROR(VLOOKUP(G50,DB_Agents!$B:$F,4,0),"")=TEXT(H50,"0"),IF(AND(A50&lt;&gt;"",E50&lt;&gt;""),"✅ Saved","Pending"),"🔒 WRONG CODE")))</f>
        <v/>
      </c>
      <c r="J50" s="33" t="str">
        <f t="shared" ca="1" si="5"/>
        <v>—</v>
      </c>
      <c r="K50" s="46"/>
    </row>
    <row r="51" spans="1:11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IF(A51="","",IFERROR(VLOOKUP(A51,DB_Customers!$A:$M,13,0),""))</f>
        <v/>
      </c>
      <c r="D51" s="42" t="str">
        <f t="shared" ca="1" si="3"/>
        <v/>
      </c>
      <c r="E51" s="32"/>
      <c r="F51" s="43" t="str">
        <f t="shared" si="4"/>
        <v/>
      </c>
      <c r="G51" s="30" t="s">
        <v>62</v>
      </c>
      <c r="H51" s="41"/>
      <c r="I51" s="33" t="str">
        <f>IF(A51="","",IF(H51="","⚠️ Enter Agent Code",IF(IFERROR(VLOOKUP(G51,DB_Agents!$B:$F,4,0),"")=TEXT(H51,"0"),IF(AND(A51&lt;&gt;"",E51&lt;&gt;""),"✅ Saved","Pending"),"🔒 WRONG CODE")))</f>
        <v/>
      </c>
      <c r="J51" s="33" t="str">
        <f t="shared" ca="1" si="5"/>
        <v>—</v>
      </c>
      <c r="K51" s="22"/>
    </row>
    <row r="52" spans="1:11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IF(A52="","",IFERROR(VLOOKUP(A52,DB_Customers!$A:$M,13,0),""))</f>
        <v/>
      </c>
      <c r="D52" s="42" t="str">
        <f t="shared" ca="1" si="3"/>
        <v/>
      </c>
      <c r="E52" s="32"/>
      <c r="F52" s="43" t="str">
        <f t="shared" si="4"/>
        <v/>
      </c>
      <c r="G52" s="30" t="s">
        <v>62</v>
      </c>
      <c r="H52" s="41"/>
      <c r="I52" s="33" t="str">
        <f>IF(A52="","",IF(H52="","⚠️ Enter Agent Code",IF(IFERROR(VLOOKUP(G52,DB_Agents!$B:$F,4,0),"")=TEXT(H52,"0"),IF(AND(A52&lt;&gt;"",E52&lt;&gt;""),"✅ Saved","Pending"),"🔒 WRONG CODE")))</f>
        <v/>
      </c>
      <c r="J52" s="33" t="str">
        <f t="shared" ca="1" si="5"/>
        <v>—</v>
      </c>
      <c r="K52" s="46"/>
    </row>
    <row r="53" spans="1:11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IF(A53="","",IFERROR(VLOOKUP(A53,DB_Customers!$A:$M,13,0),""))</f>
        <v/>
      </c>
      <c r="D53" s="42" t="str">
        <f t="shared" ca="1" si="3"/>
        <v/>
      </c>
      <c r="E53" s="32"/>
      <c r="F53" s="43" t="str">
        <f t="shared" si="4"/>
        <v/>
      </c>
      <c r="G53" s="30" t="s">
        <v>62</v>
      </c>
      <c r="H53" s="41"/>
      <c r="I53" s="33" t="str">
        <f>IF(A53="","",IF(H53="","⚠️ Enter Agent Code",IF(IFERROR(VLOOKUP(G53,DB_Agents!$B:$F,4,0),"")=TEXT(H53,"0"),IF(AND(A53&lt;&gt;"",E53&lt;&gt;""),"✅ Saved","Pending"),"🔒 WRONG CODE")))</f>
        <v/>
      </c>
      <c r="J53" s="33" t="str">
        <f t="shared" ca="1" si="5"/>
        <v>—</v>
      </c>
      <c r="K53" s="22"/>
    </row>
    <row r="54" spans="1:11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IF(A54="","",IFERROR(VLOOKUP(A54,DB_Customers!$A:$M,13,0),""))</f>
        <v/>
      </c>
      <c r="D54" s="42" t="str">
        <f t="shared" ca="1" si="3"/>
        <v/>
      </c>
      <c r="E54" s="32"/>
      <c r="F54" s="43" t="str">
        <f t="shared" si="4"/>
        <v/>
      </c>
      <c r="G54" s="30" t="s">
        <v>62</v>
      </c>
      <c r="H54" s="41"/>
      <c r="I54" s="33" t="str">
        <f>IF(A54="","",IF(H54="","⚠️ Enter Agent Code",IF(IFERROR(VLOOKUP(G54,DB_Agents!$B:$F,4,0),"")=TEXT(H54,"0"),IF(AND(A54&lt;&gt;"",E54&lt;&gt;""),"✅ Saved","Pending"),"🔒 WRONG CODE")))</f>
        <v/>
      </c>
      <c r="J54" s="33" t="str">
        <f t="shared" ca="1" si="5"/>
        <v>—</v>
      </c>
      <c r="K54" s="46"/>
    </row>
    <row r="55" spans="1:11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IF(A55="","",IFERROR(VLOOKUP(A55,DB_Customers!$A:$M,13,0),""))</f>
        <v/>
      </c>
      <c r="D55" s="42" t="str">
        <f t="shared" ca="1" si="3"/>
        <v/>
      </c>
      <c r="E55" s="32"/>
      <c r="F55" s="43" t="str">
        <f t="shared" si="4"/>
        <v/>
      </c>
      <c r="G55" s="30" t="s">
        <v>62</v>
      </c>
      <c r="H55" s="41"/>
      <c r="I55" s="33" t="str">
        <f>IF(A55="","",IF(H55="","⚠️ Enter Agent Code",IF(IFERROR(VLOOKUP(G55,DB_Agents!$B:$F,4,0),"")=TEXT(H55,"0"),IF(AND(A55&lt;&gt;"",E55&lt;&gt;""),"✅ Saved","Pending"),"🔒 WRONG CODE")))</f>
        <v/>
      </c>
      <c r="J55" s="33" t="str">
        <f t="shared" ca="1" si="5"/>
        <v>—</v>
      </c>
      <c r="K55" s="22"/>
    </row>
    <row r="56" spans="1:11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IF(A56="","",IFERROR(VLOOKUP(A56,DB_Customers!$A:$M,13,0),""))</f>
        <v/>
      </c>
      <c r="D56" s="42" t="str">
        <f t="shared" ca="1" si="3"/>
        <v/>
      </c>
      <c r="E56" s="32"/>
      <c r="F56" s="43" t="str">
        <f t="shared" si="4"/>
        <v/>
      </c>
      <c r="G56" s="30" t="s">
        <v>62</v>
      </c>
      <c r="H56" s="41"/>
      <c r="I56" s="33" t="str">
        <f>IF(A56="","",IF(H56="","⚠️ Enter Agent Code",IF(IFERROR(VLOOKUP(G56,DB_Agents!$B:$F,4,0),"")=TEXT(H56,"0"),IF(AND(A56&lt;&gt;"",E56&lt;&gt;""),"✅ Saved","Pending"),"🔒 WRONG CODE")))</f>
        <v/>
      </c>
      <c r="J56" s="33" t="str">
        <f t="shared" ca="1" si="5"/>
        <v>—</v>
      </c>
      <c r="K56" s="46"/>
    </row>
    <row r="57" spans="1:11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IF(A57="","",IFERROR(VLOOKUP(A57,DB_Customers!$A:$M,13,0),""))</f>
        <v/>
      </c>
      <c r="D57" s="42" t="str">
        <f t="shared" ca="1" si="3"/>
        <v/>
      </c>
      <c r="E57" s="32"/>
      <c r="F57" s="43" t="str">
        <f t="shared" si="4"/>
        <v/>
      </c>
      <c r="G57" s="30" t="s">
        <v>62</v>
      </c>
      <c r="H57" s="41"/>
      <c r="I57" s="33" t="str">
        <f>IF(A57="","",IF(H57="","⚠️ Enter Agent Code",IF(IFERROR(VLOOKUP(G57,DB_Agents!$B:$F,4,0),"")=TEXT(H57,"0"),IF(AND(A57&lt;&gt;"",E57&lt;&gt;""),"✅ Saved","Pending"),"🔒 WRONG CODE")))</f>
        <v/>
      </c>
      <c r="J57" s="33" t="str">
        <f t="shared" ca="1" si="5"/>
        <v>—</v>
      </c>
      <c r="K57" s="22"/>
    </row>
    <row r="58" spans="1:11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IF(A58="","",IFERROR(VLOOKUP(A58,DB_Customers!$A:$M,13,0),""))</f>
        <v/>
      </c>
      <c r="D58" s="42" t="str">
        <f t="shared" ca="1" si="3"/>
        <v/>
      </c>
      <c r="E58" s="32"/>
      <c r="F58" s="43" t="str">
        <f t="shared" si="4"/>
        <v/>
      </c>
      <c r="G58" s="30" t="s">
        <v>62</v>
      </c>
      <c r="H58" s="41"/>
      <c r="I58" s="33" t="str">
        <f>IF(A58="","",IF(H58="","⚠️ Enter Agent Code",IF(IFERROR(VLOOKUP(G58,DB_Agents!$B:$F,4,0),"")=TEXT(H58,"0"),IF(AND(A58&lt;&gt;"",E58&lt;&gt;""),"✅ Saved","Pending"),"🔒 WRONG CODE")))</f>
        <v/>
      </c>
      <c r="J58" s="33" t="str">
        <f t="shared" ca="1" si="5"/>
        <v>—</v>
      </c>
      <c r="K58" s="46"/>
    </row>
    <row r="59" spans="1:11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IF(A59="","",IFERROR(VLOOKUP(A59,DB_Customers!$A:$M,13,0),""))</f>
        <v/>
      </c>
      <c r="D59" s="42" t="str">
        <f t="shared" ca="1" si="3"/>
        <v/>
      </c>
      <c r="E59" s="32"/>
      <c r="F59" s="43" t="str">
        <f t="shared" si="4"/>
        <v/>
      </c>
      <c r="G59" s="30" t="s">
        <v>62</v>
      </c>
      <c r="H59" s="41"/>
      <c r="I59" s="33" t="str">
        <f>IF(A59="","",IF(H59="","⚠️ Enter Agent Code",IF(IFERROR(VLOOKUP(G59,DB_Agents!$B:$F,4,0),"")=TEXT(H59,"0"),IF(AND(A59&lt;&gt;"",E59&lt;&gt;""),"✅ Saved","Pending"),"🔒 WRONG CODE")))</f>
        <v/>
      </c>
      <c r="J59" s="33" t="str">
        <f t="shared" ca="1" si="5"/>
        <v>—</v>
      </c>
      <c r="K59" s="22"/>
    </row>
    <row r="60" spans="1:11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IF(A60="","",IFERROR(VLOOKUP(A60,DB_Customers!$A:$M,13,0),""))</f>
        <v/>
      </c>
      <c r="D60" s="42" t="str">
        <f t="shared" ca="1" si="3"/>
        <v/>
      </c>
      <c r="E60" s="32"/>
      <c r="F60" s="43" t="str">
        <f t="shared" si="4"/>
        <v/>
      </c>
      <c r="G60" s="30" t="s">
        <v>62</v>
      </c>
      <c r="H60" s="41"/>
      <c r="I60" s="33" t="str">
        <f>IF(A60="","",IF(H60="","⚠️ Enter Agent Code",IF(IFERROR(VLOOKUP(G60,DB_Agents!$B:$F,4,0),"")=TEXT(H60,"0"),IF(AND(A60&lt;&gt;"",E60&lt;&gt;""),"✅ Saved","Pending"),"🔒 WRONG CODE")))</f>
        <v/>
      </c>
      <c r="J60" s="33" t="str">
        <f t="shared" ca="1" si="5"/>
        <v>—</v>
      </c>
      <c r="K60" s="46"/>
    </row>
    <row r="61" spans="1:11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IF(A61="","",IFERROR(VLOOKUP(A61,DB_Customers!$A:$M,13,0),""))</f>
        <v/>
      </c>
      <c r="D61" s="42" t="str">
        <f t="shared" ca="1" si="3"/>
        <v/>
      </c>
      <c r="E61" s="32"/>
      <c r="F61" s="43" t="str">
        <f t="shared" si="4"/>
        <v/>
      </c>
      <c r="G61" s="30" t="s">
        <v>62</v>
      </c>
      <c r="H61" s="41"/>
      <c r="I61" s="33" t="str">
        <f>IF(A61="","",IF(H61="","⚠️ Enter Agent Code",IF(IFERROR(VLOOKUP(G61,DB_Agents!$B:$F,4,0),"")=TEXT(H61,"0"),IF(AND(A61&lt;&gt;"",E61&lt;&gt;""),"✅ Saved","Pending"),"🔒 WRONG CODE")))</f>
        <v/>
      </c>
      <c r="J61" s="33" t="str">
        <f t="shared" ca="1" si="5"/>
        <v>—</v>
      </c>
      <c r="K61" s="22"/>
    </row>
    <row r="62" spans="1:11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IF(A62="","",IFERROR(VLOOKUP(A62,DB_Customers!$A:$M,13,0),""))</f>
        <v/>
      </c>
      <c r="D62" s="42" t="str">
        <f t="shared" ca="1" si="3"/>
        <v/>
      </c>
      <c r="E62" s="32"/>
      <c r="F62" s="43" t="str">
        <f t="shared" si="4"/>
        <v/>
      </c>
      <c r="G62" s="30" t="s">
        <v>62</v>
      </c>
      <c r="H62" s="41"/>
      <c r="I62" s="33" t="str">
        <f>IF(A62="","",IF(H62="","⚠️ Enter Agent Code",IF(IFERROR(VLOOKUP(G62,DB_Agents!$B:$F,4,0),"")=TEXT(H62,"0"),IF(AND(A62&lt;&gt;"",E62&lt;&gt;""),"✅ Saved","Pending"),"🔒 WRONG CODE")))</f>
        <v/>
      </c>
      <c r="J62" s="33" t="str">
        <f t="shared" ca="1" si="5"/>
        <v>—</v>
      </c>
      <c r="K62" s="46"/>
    </row>
    <row r="63" spans="1:11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IF(A63="","",IFERROR(VLOOKUP(A63,DB_Customers!$A:$M,13,0),""))</f>
        <v/>
      </c>
      <c r="D63" s="42" t="str">
        <f t="shared" ca="1" si="3"/>
        <v/>
      </c>
      <c r="E63" s="32"/>
      <c r="F63" s="43" t="str">
        <f t="shared" si="4"/>
        <v/>
      </c>
      <c r="G63" s="30" t="s">
        <v>62</v>
      </c>
      <c r="H63" s="41"/>
      <c r="I63" s="33" t="str">
        <f>IF(A63="","",IF(H63="","⚠️ Enter Agent Code",IF(IFERROR(VLOOKUP(G63,DB_Agents!$B:$F,4,0),"")=TEXT(H63,"0"),IF(AND(A63&lt;&gt;"",E63&lt;&gt;""),"✅ Saved","Pending"),"🔒 WRONG CODE")))</f>
        <v/>
      </c>
      <c r="J63" s="33" t="str">
        <f t="shared" ca="1" si="5"/>
        <v>—</v>
      </c>
      <c r="K63" s="22"/>
    </row>
    <row r="64" spans="1:11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IF(A64="","",IFERROR(VLOOKUP(A64,DB_Customers!$A:$M,13,0),""))</f>
        <v/>
      </c>
      <c r="D64" s="42" t="str">
        <f t="shared" ca="1" si="3"/>
        <v/>
      </c>
      <c r="E64" s="32"/>
      <c r="F64" s="43" t="str">
        <f t="shared" si="4"/>
        <v/>
      </c>
      <c r="G64" s="30" t="s">
        <v>62</v>
      </c>
      <c r="H64" s="41"/>
      <c r="I64" s="33" t="str">
        <f>IF(A64="","",IF(H64="","⚠️ Enter Agent Code",IF(IFERROR(VLOOKUP(G64,DB_Agents!$B:$F,4,0),"")=TEXT(H64,"0"),IF(AND(A64&lt;&gt;"",E64&lt;&gt;""),"✅ Saved","Pending"),"🔒 WRONG CODE")))</f>
        <v/>
      </c>
      <c r="J64" s="33" t="str">
        <f t="shared" ca="1" si="5"/>
        <v>—</v>
      </c>
      <c r="K64" s="46"/>
    </row>
    <row r="65" spans="1:11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IF(A65="","",IFERROR(VLOOKUP(A65,DB_Customers!$A:$M,13,0),""))</f>
        <v/>
      </c>
      <c r="D65" s="42" t="str">
        <f t="shared" ca="1" si="3"/>
        <v/>
      </c>
      <c r="E65" s="32"/>
      <c r="F65" s="43" t="str">
        <f t="shared" si="4"/>
        <v/>
      </c>
      <c r="G65" s="30" t="s">
        <v>62</v>
      </c>
      <c r="H65" s="41"/>
      <c r="I65" s="33" t="str">
        <f>IF(A65="","",IF(H65="","⚠️ Enter Agent Code",IF(IFERROR(VLOOKUP(G65,DB_Agents!$B:$F,4,0),"")=TEXT(H65,"0"),IF(AND(A65&lt;&gt;"",E65&lt;&gt;""),"✅ Saved","Pending"),"🔒 WRONG CODE")))</f>
        <v/>
      </c>
      <c r="J65" s="33" t="str">
        <f t="shared" ca="1" si="5"/>
        <v>—</v>
      </c>
      <c r="K65" s="22"/>
    </row>
    <row r="66" spans="1:11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IF(A66="","",IFERROR(VLOOKUP(A66,DB_Customers!$A:$M,13,0),""))</f>
        <v/>
      </c>
      <c r="D66" s="42" t="str">
        <f t="shared" ca="1" si="3"/>
        <v/>
      </c>
      <c r="E66" s="32"/>
      <c r="F66" s="43" t="str">
        <f t="shared" si="4"/>
        <v/>
      </c>
      <c r="G66" s="30" t="s">
        <v>62</v>
      </c>
      <c r="H66" s="41"/>
      <c r="I66" s="33" t="str">
        <f>IF(A66="","",IF(H66="","⚠️ Enter Agent Code",IF(IFERROR(VLOOKUP(G66,DB_Agents!$B:$F,4,0),"")=TEXT(H66,"0"),IF(AND(A66&lt;&gt;"",E66&lt;&gt;""),"✅ Saved","Pending"),"🔒 WRONG CODE")))</f>
        <v/>
      </c>
      <c r="J66" s="33" t="str">
        <f t="shared" ca="1" si="5"/>
        <v>—</v>
      </c>
      <c r="K66" s="46"/>
    </row>
    <row r="67" spans="1:11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IF(A67="","",IFERROR(VLOOKUP(A67,DB_Customers!$A:$M,13,0),""))</f>
        <v/>
      </c>
      <c r="D67" s="42" t="str">
        <f t="shared" ca="1" si="3"/>
        <v/>
      </c>
      <c r="E67" s="32"/>
      <c r="F67" s="43" t="str">
        <f t="shared" si="4"/>
        <v/>
      </c>
      <c r="G67" s="30" t="s">
        <v>62</v>
      </c>
      <c r="H67" s="41"/>
      <c r="I67" s="33" t="str">
        <f>IF(A67="","",IF(H67="","⚠️ Enter Agent Code",IF(IFERROR(VLOOKUP(G67,DB_Agents!$B:$F,4,0),"")=TEXT(H67,"0"),IF(AND(A67&lt;&gt;"",E67&lt;&gt;""),"✅ Saved","Pending"),"🔒 WRONG CODE")))</f>
        <v/>
      </c>
      <c r="J67" s="33" t="str">
        <f t="shared" ca="1" si="5"/>
        <v>—</v>
      </c>
      <c r="K67" s="22"/>
    </row>
    <row r="68" spans="1:11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IF(A68="","",IFERROR(VLOOKUP(A68,DB_Customers!$A:$M,13,0),""))</f>
        <v/>
      </c>
      <c r="D68" s="42" t="str">
        <f t="shared" ca="1" si="3"/>
        <v/>
      </c>
      <c r="E68" s="32"/>
      <c r="F68" s="43" t="str">
        <f t="shared" si="4"/>
        <v/>
      </c>
      <c r="G68" s="30" t="s">
        <v>62</v>
      </c>
      <c r="H68" s="41"/>
      <c r="I68" s="33" t="str">
        <f>IF(A68="","",IF(H68="","⚠️ Enter Agent Code",IF(IFERROR(VLOOKUP(G68,DB_Agents!$B:$F,4,0),"")=TEXT(H68,"0"),IF(AND(A68&lt;&gt;"",E68&lt;&gt;""),"✅ Saved","Pending"),"🔒 WRONG CODE")))</f>
        <v/>
      </c>
      <c r="J68" s="33" t="str">
        <f t="shared" ca="1" si="5"/>
        <v>—</v>
      </c>
      <c r="K68" s="46"/>
    </row>
    <row r="69" spans="1:11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IF(A69="","",IFERROR(VLOOKUP(A69,DB_Customers!$A:$M,13,0),""))</f>
        <v/>
      </c>
      <c r="D69" s="42" t="str">
        <f t="shared" ca="1" si="3"/>
        <v/>
      </c>
      <c r="E69" s="32"/>
      <c r="F69" s="43" t="str">
        <f t="shared" si="4"/>
        <v/>
      </c>
      <c r="G69" s="30" t="s">
        <v>62</v>
      </c>
      <c r="H69" s="41"/>
      <c r="I69" s="33" t="str">
        <f>IF(A69="","",IF(H69="","⚠️ Enter Agent Code",IF(IFERROR(VLOOKUP(G69,DB_Agents!$B:$F,4,0),"")=TEXT(H69,"0"),IF(AND(A69&lt;&gt;"",E69&lt;&gt;""),"✅ Saved","Pending"),"🔒 WRONG CODE")))</f>
        <v/>
      </c>
      <c r="J69" s="33" t="str">
        <f t="shared" ca="1" si="5"/>
        <v>—</v>
      </c>
      <c r="K69" s="22"/>
    </row>
    <row r="70" spans="1:11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IF(A70="","",IFERROR(VLOOKUP(A70,DB_Customers!$A:$M,13,0),""))</f>
        <v/>
      </c>
      <c r="D70" s="42" t="str">
        <f t="shared" ca="1" si="3"/>
        <v/>
      </c>
      <c r="E70" s="32"/>
      <c r="F70" s="43" t="str">
        <f t="shared" si="4"/>
        <v/>
      </c>
      <c r="G70" s="30" t="s">
        <v>62</v>
      </c>
      <c r="H70" s="41"/>
      <c r="I70" s="33" t="str">
        <f>IF(A70="","",IF(H70="","⚠️ Enter Agent Code",IF(IFERROR(VLOOKUP(G70,DB_Agents!$B:$F,4,0),"")=TEXT(H70,"0"),IF(AND(A70&lt;&gt;"",E70&lt;&gt;""),"✅ Saved","Pending"),"🔒 WRONG CODE")))</f>
        <v/>
      </c>
      <c r="J70" s="33" t="str">
        <f t="shared" ca="1" si="5"/>
        <v>—</v>
      </c>
      <c r="K70" s="46"/>
    </row>
    <row r="71" spans="1:11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IF(A71="","",IFERROR(VLOOKUP(A71,DB_Customers!$A:$M,13,0),""))</f>
        <v/>
      </c>
      <c r="D71" s="42" t="str">
        <f t="shared" ca="1" si="3"/>
        <v/>
      </c>
      <c r="E71" s="32"/>
      <c r="F71" s="43" t="str">
        <f t="shared" si="4"/>
        <v/>
      </c>
      <c r="G71" s="30" t="s">
        <v>62</v>
      </c>
      <c r="H71" s="41"/>
      <c r="I71" s="33" t="str">
        <f>IF(A71="","",IF(H71="","⚠️ Enter Agent Code",IF(IFERROR(VLOOKUP(G71,DB_Agents!$B:$F,4,0),"")=TEXT(H71,"0"),IF(AND(A71&lt;&gt;"",E71&lt;&gt;""),"✅ Saved","Pending"),"🔒 WRONG CODE")))</f>
        <v/>
      </c>
      <c r="J71" s="33" t="str">
        <f t="shared" ca="1" si="5"/>
        <v>—</v>
      </c>
      <c r="K71" s="22"/>
    </row>
    <row r="72" spans="1:11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IF(A72="","",IFERROR(VLOOKUP(A72,DB_Customers!$A:$M,13,0),""))</f>
        <v/>
      </c>
      <c r="D72" s="42" t="str">
        <f t="shared" ca="1" si="3"/>
        <v/>
      </c>
      <c r="E72" s="32"/>
      <c r="F72" s="43" t="str">
        <f t="shared" si="4"/>
        <v/>
      </c>
      <c r="G72" s="30" t="s">
        <v>62</v>
      </c>
      <c r="H72" s="41"/>
      <c r="I72" s="33" t="str">
        <f>IF(A72="","",IF(H72="","⚠️ Enter Agent Code",IF(IFERROR(VLOOKUP(G72,DB_Agents!$B:$F,4,0),"")=TEXT(H72,"0"),IF(AND(A72&lt;&gt;"",E72&lt;&gt;""),"✅ Saved","Pending"),"🔒 WRONG CODE")))</f>
        <v/>
      </c>
      <c r="J72" s="33" t="str">
        <f t="shared" ca="1" si="5"/>
        <v>—</v>
      </c>
      <c r="K72" s="46"/>
    </row>
    <row r="73" spans="1:11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IF(A73="","",IFERROR(VLOOKUP(A73,DB_Customers!$A:$M,13,0),""))</f>
        <v/>
      </c>
      <c r="D73" s="42" t="str">
        <f t="shared" ref="D73:D104" ca="1" si="6">IF(A73="","",TODAY())</f>
        <v/>
      </c>
      <c r="E73" s="32"/>
      <c r="F73" s="43" t="str">
        <f t="shared" ref="F73:F104" si="7">IFERROR(IF(OR(A73="",E73=""),"",C73+E73),"")</f>
        <v/>
      </c>
      <c r="G73" s="30" t="s">
        <v>62</v>
      </c>
      <c r="H73" s="41"/>
      <c r="I73" s="33" t="str">
        <f>IF(A73="","",IF(H73="","⚠️ Enter Agent Code",IF(IFERROR(VLOOKUP(G73,DB_Agents!$B:$F,4,0),"")=TEXT(H73,"0"),IF(AND(A73&lt;&gt;"",E73&lt;&gt;""),"✅ Saved","Pending"),"🔒 WRONG CODE")))</f>
        <v/>
      </c>
      <c r="J73" s="33" t="str">
        <f t="shared" ref="J73:J104" ca="1" si="8">IF(I73="✅ Saved",TEXT(TODAY(),"YYYY-MM-DD")&amp;" Auto","—")</f>
        <v>—</v>
      </c>
      <c r="K73" s="22"/>
    </row>
    <row r="74" spans="1:11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IF(A74="","",IFERROR(VLOOKUP(A74,DB_Customers!$A:$M,13,0),""))</f>
        <v/>
      </c>
      <c r="D74" s="42" t="str">
        <f t="shared" ca="1" si="6"/>
        <v/>
      </c>
      <c r="E74" s="32"/>
      <c r="F74" s="43" t="str">
        <f t="shared" si="7"/>
        <v/>
      </c>
      <c r="G74" s="30" t="s">
        <v>62</v>
      </c>
      <c r="H74" s="41"/>
      <c r="I74" s="33" t="str">
        <f>IF(A74="","",IF(H74="","⚠️ Enter Agent Code",IF(IFERROR(VLOOKUP(G74,DB_Agents!$B:$F,4,0),"")=TEXT(H74,"0"),IF(AND(A74&lt;&gt;"",E74&lt;&gt;""),"✅ Saved","Pending"),"🔒 WRONG CODE")))</f>
        <v/>
      </c>
      <c r="J74" s="33" t="str">
        <f t="shared" ca="1" si="8"/>
        <v>—</v>
      </c>
      <c r="K74" s="46"/>
    </row>
    <row r="75" spans="1:11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IF(A75="","",IFERROR(VLOOKUP(A75,DB_Customers!$A:$M,13,0),""))</f>
        <v/>
      </c>
      <c r="D75" s="42" t="str">
        <f t="shared" ca="1" si="6"/>
        <v/>
      </c>
      <c r="E75" s="32"/>
      <c r="F75" s="43" t="str">
        <f t="shared" si="7"/>
        <v/>
      </c>
      <c r="G75" s="30" t="s">
        <v>62</v>
      </c>
      <c r="H75" s="41"/>
      <c r="I75" s="33" t="str">
        <f>IF(A75="","",IF(H75="","⚠️ Enter Agent Code",IF(IFERROR(VLOOKUP(G75,DB_Agents!$B:$F,4,0),"")=TEXT(H75,"0"),IF(AND(A75&lt;&gt;"",E75&lt;&gt;""),"✅ Saved","Pending"),"🔒 WRONG CODE")))</f>
        <v/>
      </c>
      <c r="J75" s="33" t="str">
        <f t="shared" ca="1" si="8"/>
        <v>—</v>
      </c>
      <c r="K75" s="22"/>
    </row>
    <row r="76" spans="1:11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IF(A76="","",IFERROR(VLOOKUP(A76,DB_Customers!$A:$M,13,0),""))</f>
        <v/>
      </c>
      <c r="D76" s="42" t="str">
        <f t="shared" ca="1" si="6"/>
        <v/>
      </c>
      <c r="E76" s="32"/>
      <c r="F76" s="43" t="str">
        <f t="shared" si="7"/>
        <v/>
      </c>
      <c r="G76" s="30" t="s">
        <v>62</v>
      </c>
      <c r="H76" s="41"/>
      <c r="I76" s="33" t="str">
        <f>IF(A76="","",IF(H76="","⚠️ Enter Agent Code",IF(IFERROR(VLOOKUP(G76,DB_Agents!$B:$F,4,0),"")=TEXT(H76,"0"),IF(AND(A76&lt;&gt;"",E76&lt;&gt;""),"✅ Saved","Pending"),"🔒 WRONG CODE")))</f>
        <v/>
      </c>
      <c r="J76" s="33" t="str">
        <f t="shared" ca="1" si="8"/>
        <v>—</v>
      </c>
      <c r="K76" s="46"/>
    </row>
    <row r="77" spans="1:11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IF(A77="","",IFERROR(VLOOKUP(A77,DB_Customers!$A:$M,13,0),""))</f>
        <v/>
      </c>
      <c r="D77" s="42" t="str">
        <f t="shared" ca="1" si="6"/>
        <v/>
      </c>
      <c r="E77" s="32"/>
      <c r="F77" s="43" t="str">
        <f t="shared" si="7"/>
        <v/>
      </c>
      <c r="G77" s="30" t="s">
        <v>62</v>
      </c>
      <c r="H77" s="41"/>
      <c r="I77" s="33" t="str">
        <f>IF(A77="","",IF(H77="","⚠️ Enter Agent Code",IF(IFERROR(VLOOKUP(G77,DB_Agents!$B:$F,4,0),"")=TEXT(H77,"0"),IF(AND(A77&lt;&gt;"",E77&lt;&gt;""),"✅ Saved","Pending"),"🔒 WRONG CODE")))</f>
        <v/>
      </c>
      <c r="J77" s="33" t="str">
        <f t="shared" ca="1" si="8"/>
        <v>—</v>
      </c>
      <c r="K77" s="22"/>
    </row>
    <row r="78" spans="1:11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IF(A78="","",IFERROR(VLOOKUP(A78,DB_Customers!$A:$M,13,0),""))</f>
        <v/>
      </c>
      <c r="D78" s="42" t="str">
        <f t="shared" ca="1" si="6"/>
        <v/>
      </c>
      <c r="E78" s="32"/>
      <c r="F78" s="43" t="str">
        <f t="shared" si="7"/>
        <v/>
      </c>
      <c r="G78" s="30" t="s">
        <v>62</v>
      </c>
      <c r="H78" s="41"/>
      <c r="I78" s="33" t="str">
        <f>IF(A78="","",IF(H78="","⚠️ Enter Agent Code",IF(IFERROR(VLOOKUP(G78,DB_Agents!$B:$F,4,0),"")=TEXT(H78,"0"),IF(AND(A78&lt;&gt;"",E78&lt;&gt;""),"✅ Saved","Pending"),"🔒 WRONG CODE")))</f>
        <v/>
      </c>
      <c r="J78" s="33" t="str">
        <f t="shared" ca="1" si="8"/>
        <v>—</v>
      </c>
      <c r="K78" s="46"/>
    </row>
    <row r="79" spans="1:11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IF(A79="","",IFERROR(VLOOKUP(A79,DB_Customers!$A:$M,13,0),""))</f>
        <v/>
      </c>
      <c r="D79" s="42" t="str">
        <f t="shared" ca="1" si="6"/>
        <v/>
      </c>
      <c r="E79" s="32"/>
      <c r="F79" s="43" t="str">
        <f t="shared" si="7"/>
        <v/>
      </c>
      <c r="G79" s="30" t="s">
        <v>62</v>
      </c>
      <c r="H79" s="41"/>
      <c r="I79" s="33" t="str">
        <f>IF(A79="","",IF(H79="","⚠️ Enter Agent Code",IF(IFERROR(VLOOKUP(G79,DB_Agents!$B:$F,4,0),"")=TEXT(H79,"0"),IF(AND(A79&lt;&gt;"",E79&lt;&gt;""),"✅ Saved","Pending"),"🔒 WRONG CODE")))</f>
        <v/>
      </c>
      <c r="J79" s="33" t="str">
        <f t="shared" ca="1" si="8"/>
        <v>—</v>
      </c>
      <c r="K79" s="22"/>
    </row>
    <row r="80" spans="1:11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IF(A80="","",IFERROR(VLOOKUP(A80,DB_Customers!$A:$M,13,0),""))</f>
        <v/>
      </c>
      <c r="D80" s="42" t="str">
        <f t="shared" ca="1" si="6"/>
        <v/>
      </c>
      <c r="E80" s="32"/>
      <c r="F80" s="43" t="str">
        <f t="shared" si="7"/>
        <v/>
      </c>
      <c r="G80" s="30" t="s">
        <v>62</v>
      </c>
      <c r="H80" s="41"/>
      <c r="I80" s="33" t="str">
        <f>IF(A80="","",IF(H80="","⚠️ Enter Agent Code",IF(IFERROR(VLOOKUP(G80,DB_Agents!$B:$F,4,0),"")=TEXT(H80,"0"),IF(AND(A80&lt;&gt;"",E80&lt;&gt;""),"✅ Saved","Pending"),"🔒 WRONG CODE")))</f>
        <v/>
      </c>
      <c r="J80" s="33" t="str">
        <f t="shared" ca="1" si="8"/>
        <v>—</v>
      </c>
      <c r="K80" s="46"/>
    </row>
    <row r="81" spans="1:11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IF(A81="","",IFERROR(VLOOKUP(A81,DB_Customers!$A:$M,13,0),""))</f>
        <v/>
      </c>
      <c r="D81" s="42" t="str">
        <f t="shared" ca="1" si="6"/>
        <v/>
      </c>
      <c r="E81" s="32"/>
      <c r="F81" s="43" t="str">
        <f t="shared" si="7"/>
        <v/>
      </c>
      <c r="G81" s="30" t="s">
        <v>62</v>
      </c>
      <c r="H81" s="41"/>
      <c r="I81" s="33" t="str">
        <f>IF(A81="","",IF(H81="","⚠️ Enter Agent Code",IF(IFERROR(VLOOKUP(G81,DB_Agents!$B:$F,4,0),"")=TEXT(H81,"0"),IF(AND(A81&lt;&gt;"",E81&lt;&gt;""),"✅ Saved","Pending"),"🔒 WRONG CODE")))</f>
        <v/>
      </c>
      <c r="J81" s="33" t="str">
        <f t="shared" ca="1" si="8"/>
        <v>—</v>
      </c>
      <c r="K81" s="22"/>
    </row>
    <row r="82" spans="1:11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IF(A82="","",IFERROR(VLOOKUP(A82,DB_Customers!$A:$M,13,0),""))</f>
        <v/>
      </c>
      <c r="D82" s="42" t="str">
        <f t="shared" ca="1" si="6"/>
        <v/>
      </c>
      <c r="E82" s="32"/>
      <c r="F82" s="43" t="str">
        <f t="shared" si="7"/>
        <v/>
      </c>
      <c r="G82" s="30" t="s">
        <v>62</v>
      </c>
      <c r="H82" s="41"/>
      <c r="I82" s="33" t="str">
        <f>IF(A82="","",IF(H82="","⚠️ Enter Agent Code",IF(IFERROR(VLOOKUP(G82,DB_Agents!$B:$F,4,0),"")=TEXT(H82,"0"),IF(AND(A82&lt;&gt;"",E82&lt;&gt;""),"✅ Saved","Pending"),"🔒 WRONG CODE")))</f>
        <v/>
      </c>
      <c r="J82" s="33" t="str">
        <f t="shared" ca="1" si="8"/>
        <v>—</v>
      </c>
      <c r="K82" s="46"/>
    </row>
    <row r="83" spans="1:11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IF(A83="","",IFERROR(VLOOKUP(A83,DB_Customers!$A:$M,13,0),""))</f>
        <v/>
      </c>
      <c r="D83" s="42" t="str">
        <f t="shared" ca="1" si="6"/>
        <v/>
      </c>
      <c r="E83" s="32"/>
      <c r="F83" s="43" t="str">
        <f t="shared" si="7"/>
        <v/>
      </c>
      <c r="G83" s="30" t="s">
        <v>62</v>
      </c>
      <c r="H83" s="41"/>
      <c r="I83" s="33" t="str">
        <f>IF(A83="","",IF(H83="","⚠️ Enter Agent Code",IF(IFERROR(VLOOKUP(G83,DB_Agents!$B:$F,4,0),"")=TEXT(H83,"0"),IF(AND(A83&lt;&gt;"",E83&lt;&gt;""),"✅ Saved","Pending"),"🔒 WRONG CODE")))</f>
        <v/>
      </c>
      <c r="J83" s="33" t="str">
        <f t="shared" ca="1" si="8"/>
        <v>—</v>
      </c>
      <c r="K83" s="22"/>
    </row>
    <row r="84" spans="1:11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IF(A84="","",IFERROR(VLOOKUP(A84,DB_Customers!$A:$M,13,0),""))</f>
        <v/>
      </c>
      <c r="D84" s="42" t="str">
        <f t="shared" ca="1" si="6"/>
        <v/>
      </c>
      <c r="E84" s="32"/>
      <c r="F84" s="43" t="str">
        <f t="shared" si="7"/>
        <v/>
      </c>
      <c r="G84" s="30" t="s">
        <v>62</v>
      </c>
      <c r="H84" s="41"/>
      <c r="I84" s="33" t="str">
        <f>IF(A84="","",IF(H84="","⚠️ Enter Agent Code",IF(IFERROR(VLOOKUP(G84,DB_Agents!$B:$F,4,0),"")=TEXT(H84,"0"),IF(AND(A84&lt;&gt;"",E84&lt;&gt;""),"✅ Saved","Pending"),"🔒 WRONG CODE")))</f>
        <v/>
      </c>
      <c r="J84" s="33" t="str">
        <f t="shared" ca="1" si="8"/>
        <v>—</v>
      </c>
      <c r="K84" s="46"/>
    </row>
    <row r="85" spans="1:11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IF(A85="","",IFERROR(VLOOKUP(A85,DB_Customers!$A:$M,13,0),""))</f>
        <v/>
      </c>
      <c r="D85" s="42" t="str">
        <f t="shared" ca="1" si="6"/>
        <v/>
      </c>
      <c r="E85" s="32"/>
      <c r="F85" s="43" t="str">
        <f t="shared" si="7"/>
        <v/>
      </c>
      <c r="G85" s="30" t="s">
        <v>62</v>
      </c>
      <c r="H85" s="41"/>
      <c r="I85" s="33" t="str">
        <f>IF(A85="","",IF(H85="","⚠️ Enter Agent Code",IF(IFERROR(VLOOKUP(G85,DB_Agents!$B:$F,4,0),"")=TEXT(H85,"0"),IF(AND(A85&lt;&gt;"",E85&lt;&gt;""),"✅ Saved","Pending"),"🔒 WRONG CODE")))</f>
        <v/>
      </c>
      <c r="J85" s="33" t="str">
        <f t="shared" ca="1" si="8"/>
        <v>—</v>
      </c>
      <c r="K85" s="22"/>
    </row>
    <row r="86" spans="1:11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IF(A86="","",IFERROR(VLOOKUP(A86,DB_Customers!$A:$M,13,0),""))</f>
        <v/>
      </c>
      <c r="D86" s="42" t="str">
        <f t="shared" ca="1" si="6"/>
        <v/>
      </c>
      <c r="E86" s="32"/>
      <c r="F86" s="43" t="str">
        <f t="shared" si="7"/>
        <v/>
      </c>
      <c r="G86" s="30" t="s">
        <v>62</v>
      </c>
      <c r="H86" s="41"/>
      <c r="I86" s="33" t="str">
        <f>IF(A86="","",IF(H86="","⚠️ Enter Agent Code",IF(IFERROR(VLOOKUP(G86,DB_Agents!$B:$F,4,0),"")=TEXT(H86,"0"),IF(AND(A86&lt;&gt;"",E86&lt;&gt;""),"✅ Saved","Pending"),"🔒 WRONG CODE")))</f>
        <v/>
      </c>
      <c r="J86" s="33" t="str">
        <f t="shared" ca="1" si="8"/>
        <v>—</v>
      </c>
      <c r="K86" s="46"/>
    </row>
    <row r="87" spans="1:11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IF(A87="","",IFERROR(VLOOKUP(A87,DB_Customers!$A:$M,13,0),""))</f>
        <v/>
      </c>
      <c r="D87" s="42" t="str">
        <f t="shared" ca="1" si="6"/>
        <v/>
      </c>
      <c r="E87" s="32"/>
      <c r="F87" s="43" t="str">
        <f t="shared" si="7"/>
        <v/>
      </c>
      <c r="G87" s="30" t="s">
        <v>62</v>
      </c>
      <c r="H87" s="41"/>
      <c r="I87" s="33" t="str">
        <f>IF(A87="","",IF(H87="","⚠️ Enter Agent Code",IF(IFERROR(VLOOKUP(G87,DB_Agents!$B:$F,4,0),"")=TEXT(H87,"0"),IF(AND(A87&lt;&gt;"",E87&lt;&gt;""),"✅ Saved","Pending"),"🔒 WRONG CODE")))</f>
        <v/>
      </c>
      <c r="J87" s="33" t="str">
        <f t="shared" ca="1" si="8"/>
        <v>—</v>
      </c>
      <c r="K87" s="22"/>
    </row>
    <row r="88" spans="1:11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IF(A88="","",IFERROR(VLOOKUP(A88,DB_Customers!$A:$M,13,0),""))</f>
        <v/>
      </c>
      <c r="D88" s="42" t="str">
        <f t="shared" ca="1" si="6"/>
        <v/>
      </c>
      <c r="E88" s="32"/>
      <c r="F88" s="43" t="str">
        <f t="shared" si="7"/>
        <v/>
      </c>
      <c r="G88" s="30" t="s">
        <v>62</v>
      </c>
      <c r="H88" s="41"/>
      <c r="I88" s="33" t="str">
        <f>IF(A88="","",IF(H88="","⚠️ Enter Agent Code",IF(IFERROR(VLOOKUP(G88,DB_Agents!$B:$F,4,0),"")=TEXT(H88,"0"),IF(AND(A88&lt;&gt;"",E88&lt;&gt;""),"✅ Saved","Pending"),"🔒 WRONG CODE")))</f>
        <v/>
      </c>
      <c r="J88" s="33" t="str">
        <f t="shared" ca="1" si="8"/>
        <v>—</v>
      </c>
      <c r="K88" s="46"/>
    </row>
    <row r="89" spans="1:11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IF(A89="","",IFERROR(VLOOKUP(A89,DB_Customers!$A:$M,13,0),""))</f>
        <v/>
      </c>
      <c r="D89" s="42" t="str">
        <f t="shared" ca="1" si="6"/>
        <v/>
      </c>
      <c r="E89" s="32"/>
      <c r="F89" s="43" t="str">
        <f t="shared" si="7"/>
        <v/>
      </c>
      <c r="G89" s="30" t="s">
        <v>62</v>
      </c>
      <c r="H89" s="41"/>
      <c r="I89" s="33" t="str">
        <f>IF(A89="","",IF(H89="","⚠️ Enter Agent Code",IF(IFERROR(VLOOKUP(G89,DB_Agents!$B:$F,4,0),"")=TEXT(H89,"0"),IF(AND(A89&lt;&gt;"",E89&lt;&gt;""),"✅ Saved","Pending"),"🔒 WRONG CODE")))</f>
        <v/>
      </c>
      <c r="J89" s="33" t="str">
        <f t="shared" ca="1" si="8"/>
        <v>—</v>
      </c>
      <c r="K89" s="22"/>
    </row>
    <row r="90" spans="1:11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IF(A90="","",IFERROR(VLOOKUP(A90,DB_Customers!$A:$M,13,0),""))</f>
        <v/>
      </c>
      <c r="D90" s="42" t="str">
        <f t="shared" ca="1" si="6"/>
        <v/>
      </c>
      <c r="E90" s="32"/>
      <c r="F90" s="43" t="str">
        <f t="shared" si="7"/>
        <v/>
      </c>
      <c r="G90" s="30" t="s">
        <v>62</v>
      </c>
      <c r="H90" s="41"/>
      <c r="I90" s="33" t="str">
        <f>IF(A90="","",IF(H90="","⚠️ Enter Agent Code",IF(IFERROR(VLOOKUP(G90,DB_Agents!$B:$F,4,0),"")=TEXT(H90,"0"),IF(AND(A90&lt;&gt;"",E90&lt;&gt;""),"✅ Saved","Pending"),"🔒 WRONG CODE")))</f>
        <v/>
      </c>
      <c r="J90" s="33" t="str">
        <f t="shared" ca="1" si="8"/>
        <v>—</v>
      </c>
      <c r="K90" s="46"/>
    </row>
    <row r="91" spans="1:11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IF(A91="","",IFERROR(VLOOKUP(A91,DB_Customers!$A:$M,13,0),""))</f>
        <v/>
      </c>
      <c r="D91" s="42" t="str">
        <f t="shared" ca="1" si="6"/>
        <v/>
      </c>
      <c r="E91" s="32"/>
      <c r="F91" s="43" t="str">
        <f t="shared" si="7"/>
        <v/>
      </c>
      <c r="G91" s="30" t="s">
        <v>62</v>
      </c>
      <c r="H91" s="41"/>
      <c r="I91" s="33" t="str">
        <f>IF(A91="","",IF(H91="","⚠️ Enter Agent Code",IF(IFERROR(VLOOKUP(G91,DB_Agents!$B:$F,4,0),"")=TEXT(H91,"0"),IF(AND(A91&lt;&gt;"",E91&lt;&gt;""),"✅ Saved","Pending"),"🔒 WRONG CODE")))</f>
        <v/>
      </c>
      <c r="J91" s="33" t="str">
        <f t="shared" ca="1" si="8"/>
        <v>—</v>
      </c>
      <c r="K91" s="22"/>
    </row>
    <row r="92" spans="1:11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IF(A92="","",IFERROR(VLOOKUP(A92,DB_Customers!$A:$M,13,0),""))</f>
        <v/>
      </c>
      <c r="D92" s="42" t="str">
        <f t="shared" ca="1" si="6"/>
        <v/>
      </c>
      <c r="E92" s="32"/>
      <c r="F92" s="43" t="str">
        <f t="shared" si="7"/>
        <v/>
      </c>
      <c r="G92" s="30" t="s">
        <v>62</v>
      </c>
      <c r="H92" s="41"/>
      <c r="I92" s="33" t="str">
        <f>IF(A92="","",IF(H92="","⚠️ Enter Agent Code",IF(IFERROR(VLOOKUP(G92,DB_Agents!$B:$F,4,0),"")=TEXT(H92,"0"),IF(AND(A92&lt;&gt;"",E92&lt;&gt;""),"✅ Saved","Pending"),"🔒 WRONG CODE")))</f>
        <v/>
      </c>
      <c r="J92" s="33" t="str">
        <f t="shared" ca="1" si="8"/>
        <v>—</v>
      </c>
      <c r="K92" s="46"/>
    </row>
    <row r="93" spans="1:11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IF(A93="","",IFERROR(VLOOKUP(A93,DB_Customers!$A:$M,13,0),""))</f>
        <v/>
      </c>
      <c r="D93" s="42" t="str">
        <f t="shared" ca="1" si="6"/>
        <v/>
      </c>
      <c r="E93" s="32"/>
      <c r="F93" s="43" t="str">
        <f t="shared" si="7"/>
        <v/>
      </c>
      <c r="G93" s="30" t="s">
        <v>62</v>
      </c>
      <c r="H93" s="41"/>
      <c r="I93" s="33" t="str">
        <f>IF(A93="","",IF(H93="","⚠️ Enter Agent Code",IF(IFERROR(VLOOKUP(G93,DB_Agents!$B:$F,4,0),"")=TEXT(H93,"0"),IF(AND(A93&lt;&gt;"",E93&lt;&gt;""),"✅ Saved","Pending"),"🔒 WRONG CODE")))</f>
        <v/>
      </c>
      <c r="J93" s="33" t="str">
        <f t="shared" ca="1" si="8"/>
        <v>—</v>
      </c>
      <c r="K93" s="22"/>
    </row>
    <row r="94" spans="1:11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IF(A94="","",IFERROR(VLOOKUP(A94,DB_Customers!$A:$M,13,0),""))</f>
        <v/>
      </c>
      <c r="D94" s="42" t="str">
        <f t="shared" ca="1" si="6"/>
        <v/>
      </c>
      <c r="E94" s="32"/>
      <c r="F94" s="43" t="str">
        <f t="shared" si="7"/>
        <v/>
      </c>
      <c r="G94" s="30" t="s">
        <v>62</v>
      </c>
      <c r="H94" s="41"/>
      <c r="I94" s="33" t="str">
        <f>IF(A94="","",IF(H94="","⚠️ Enter Agent Code",IF(IFERROR(VLOOKUP(G94,DB_Agents!$B:$F,4,0),"")=TEXT(H94,"0"),IF(AND(A94&lt;&gt;"",E94&lt;&gt;""),"✅ Saved","Pending"),"🔒 WRONG CODE")))</f>
        <v/>
      </c>
      <c r="J94" s="33" t="str">
        <f t="shared" ca="1" si="8"/>
        <v>—</v>
      </c>
      <c r="K94" s="46"/>
    </row>
    <row r="95" spans="1:11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IF(A95="","",IFERROR(VLOOKUP(A95,DB_Customers!$A:$M,13,0),""))</f>
        <v/>
      </c>
      <c r="D95" s="42" t="str">
        <f t="shared" ca="1" si="6"/>
        <v/>
      </c>
      <c r="E95" s="32"/>
      <c r="F95" s="43" t="str">
        <f t="shared" si="7"/>
        <v/>
      </c>
      <c r="G95" s="30" t="s">
        <v>62</v>
      </c>
      <c r="H95" s="41"/>
      <c r="I95" s="33" t="str">
        <f>IF(A95="","",IF(H95="","⚠️ Enter Agent Code",IF(IFERROR(VLOOKUP(G95,DB_Agents!$B:$F,4,0),"")=TEXT(H95,"0"),IF(AND(A95&lt;&gt;"",E95&lt;&gt;""),"✅ Saved","Pending"),"🔒 WRONG CODE")))</f>
        <v/>
      </c>
      <c r="J95" s="33" t="str">
        <f t="shared" ca="1" si="8"/>
        <v>—</v>
      </c>
      <c r="K95" s="22"/>
    </row>
    <row r="96" spans="1:11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IF(A96="","",IFERROR(VLOOKUP(A96,DB_Customers!$A:$M,13,0),""))</f>
        <v/>
      </c>
      <c r="D96" s="42" t="str">
        <f t="shared" ca="1" si="6"/>
        <v/>
      </c>
      <c r="E96" s="32"/>
      <c r="F96" s="43" t="str">
        <f t="shared" si="7"/>
        <v/>
      </c>
      <c r="G96" s="30" t="s">
        <v>62</v>
      </c>
      <c r="H96" s="41"/>
      <c r="I96" s="33" t="str">
        <f>IF(A96="","",IF(H96="","⚠️ Enter Agent Code",IF(IFERROR(VLOOKUP(G96,DB_Agents!$B:$F,4,0),"")=TEXT(H96,"0"),IF(AND(A96&lt;&gt;"",E96&lt;&gt;""),"✅ Saved","Pending"),"🔒 WRONG CODE")))</f>
        <v/>
      </c>
      <c r="J96" s="33" t="str">
        <f t="shared" ca="1" si="8"/>
        <v>—</v>
      </c>
      <c r="K96" s="46"/>
    </row>
    <row r="97" spans="1:11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IF(A97="","",IFERROR(VLOOKUP(A97,DB_Customers!$A:$M,13,0),""))</f>
        <v/>
      </c>
      <c r="D97" s="42" t="str">
        <f t="shared" ca="1" si="6"/>
        <v/>
      </c>
      <c r="E97" s="32"/>
      <c r="F97" s="43" t="str">
        <f t="shared" si="7"/>
        <v/>
      </c>
      <c r="G97" s="30" t="s">
        <v>62</v>
      </c>
      <c r="H97" s="41"/>
      <c r="I97" s="33" t="str">
        <f>IF(A97="","",IF(H97="","⚠️ Enter Agent Code",IF(IFERROR(VLOOKUP(G97,DB_Agents!$B:$F,4,0),"")=TEXT(H97,"0"),IF(AND(A97&lt;&gt;"",E97&lt;&gt;""),"✅ Saved","Pending"),"🔒 WRONG CODE")))</f>
        <v/>
      </c>
      <c r="J97" s="33" t="str">
        <f t="shared" ca="1" si="8"/>
        <v>—</v>
      </c>
      <c r="K97" s="22"/>
    </row>
    <row r="98" spans="1:11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IF(A98="","",IFERROR(VLOOKUP(A98,DB_Customers!$A:$M,13,0),""))</f>
        <v/>
      </c>
      <c r="D98" s="42" t="str">
        <f t="shared" ca="1" si="6"/>
        <v/>
      </c>
      <c r="E98" s="32"/>
      <c r="F98" s="43" t="str">
        <f t="shared" si="7"/>
        <v/>
      </c>
      <c r="G98" s="30" t="s">
        <v>62</v>
      </c>
      <c r="H98" s="41"/>
      <c r="I98" s="33" t="str">
        <f>IF(A98="","",IF(H98="","⚠️ Enter Agent Code",IF(IFERROR(VLOOKUP(G98,DB_Agents!$B:$F,4,0),"")=TEXT(H98,"0"),IF(AND(A98&lt;&gt;"",E98&lt;&gt;""),"✅ Saved","Pending"),"🔒 WRONG CODE")))</f>
        <v/>
      </c>
      <c r="J98" s="33" t="str">
        <f t="shared" ca="1" si="8"/>
        <v>—</v>
      </c>
      <c r="K98" s="46"/>
    </row>
    <row r="99" spans="1:11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IF(A99="","",IFERROR(VLOOKUP(A99,DB_Customers!$A:$M,13,0),""))</f>
        <v/>
      </c>
      <c r="D99" s="42" t="str">
        <f t="shared" ca="1" si="6"/>
        <v/>
      </c>
      <c r="E99" s="32"/>
      <c r="F99" s="43" t="str">
        <f t="shared" si="7"/>
        <v/>
      </c>
      <c r="G99" s="30" t="s">
        <v>62</v>
      </c>
      <c r="H99" s="41"/>
      <c r="I99" s="33" t="str">
        <f>IF(A99="","",IF(H99="","⚠️ Enter Agent Code",IF(IFERROR(VLOOKUP(G99,DB_Agents!$B:$F,4,0),"")=TEXT(H99,"0"),IF(AND(A99&lt;&gt;"",E99&lt;&gt;""),"✅ Saved","Pending"),"🔒 WRONG CODE")))</f>
        <v/>
      </c>
      <c r="J99" s="33" t="str">
        <f t="shared" ca="1" si="8"/>
        <v>—</v>
      </c>
      <c r="K99" s="22"/>
    </row>
    <row r="100" spans="1:11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IF(A100="","",IFERROR(VLOOKUP(A100,DB_Customers!$A:$M,13,0),""))</f>
        <v/>
      </c>
      <c r="D100" s="42" t="str">
        <f t="shared" ca="1" si="6"/>
        <v/>
      </c>
      <c r="E100" s="32"/>
      <c r="F100" s="43" t="str">
        <f t="shared" si="7"/>
        <v/>
      </c>
      <c r="G100" s="30" t="s">
        <v>62</v>
      </c>
      <c r="H100" s="41"/>
      <c r="I100" s="33" t="str">
        <f>IF(A100="","",IF(H100="","⚠️ Enter Agent Code",IF(IFERROR(VLOOKUP(G100,DB_Agents!$B:$F,4,0),"")=TEXT(H100,"0"),IF(AND(A100&lt;&gt;"",E100&lt;&gt;""),"✅ Saved","Pending"),"🔒 WRONG CODE")))</f>
        <v/>
      </c>
      <c r="J100" s="33" t="str">
        <f t="shared" ca="1" si="8"/>
        <v>—</v>
      </c>
      <c r="K100" s="46"/>
    </row>
    <row r="101" spans="1:11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IF(A101="","",IFERROR(VLOOKUP(A101,DB_Customers!$A:$M,13,0),""))</f>
        <v/>
      </c>
      <c r="D101" s="42" t="str">
        <f t="shared" ca="1" si="6"/>
        <v/>
      </c>
      <c r="E101" s="32"/>
      <c r="F101" s="43" t="str">
        <f t="shared" si="7"/>
        <v/>
      </c>
      <c r="G101" s="30" t="s">
        <v>62</v>
      </c>
      <c r="H101" s="41"/>
      <c r="I101" s="33" t="str">
        <f>IF(A101="","",IF(H101="","⚠️ Enter Agent Code",IF(IFERROR(VLOOKUP(G101,DB_Agents!$B:$F,4,0),"")=TEXT(H101,"0"),IF(AND(A101&lt;&gt;"",E101&lt;&gt;""),"✅ Saved","Pending"),"🔒 WRONG CODE")))</f>
        <v/>
      </c>
      <c r="J101" s="33" t="str">
        <f t="shared" ca="1" si="8"/>
        <v>—</v>
      </c>
      <c r="K101" s="22"/>
    </row>
    <row r="102" spans="1:11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IF(A102="","",IFERROR(VLOOKUP(A102,DB_Customers!$A:$M,13,0),""))</f>
        <v/>
      </c>
      <c r="D102" s="42" t="str">
        <f t="shared" ca="1" si="6"/>
        <v/>
      </c>
      <c r="E102" s="32"/>
      <c r="F102" s="43" t="str">
        <f t="shared" si="7"/>
        <v/>
      </c>
      <c r="G102" s="30" t="s">
        <v>62</v>
      </c>
      <c r="H102" s="41"/>
      <c r="I102" s="33" t="str">
        <f>IF(A102="","",IF(H102="","⚠️ Enter Agent Code",IF(IFERROR(VLOOKUP(G102,DB_Agents!$B:$F,4,0),"")=TEXT(H102,"0"),IF(AND(A102&lt;&gt;"",E102&lt;&gt;""),"✅ Saved","Pending"),"🔒 WRONG CODE")))</f>
        <v/>
      </c>
      <c r="J102" s="33" t="str">
        <f t="shared" ca="1" si="8"/>
        <v>—</v>
      </c>
      <c r="K102" s="46"/>
    </row>
    <row r="103" spans="1:11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IF(A103="","",IFERROR(VLOOKUP(A103,DB_Customers!$A:$M,13,0),""))</f>
        <v/>
      </c>
      <c r="D103" s="42" t="str">
        <f t="shared" ca="1" si="6"/>
        <v/>
      </c>
      <c r="E103" s="32"/>
      <c r="F103" s="43" t="str">
        <f t="shared" si="7"/>
        <v/>
      </c>
      <c r="G103" s="30" t="s">
        <v>62</v>
      </c>
      <c r="H103" s="41"/>
      <c r="I103" s="33" t="str">
        <f>IF(A103="","",IF(H103="","⚠️ Enter Agent Code",IF(IFERROR(VLOOKUP(G103,DB_Agents!$B:$F,4,0),"")=TEXT(H103,"0"),IF(AND(A103&lt;&gt;"",E103&lt;&gt;""),"✅ Saved","Pending"),"🔒 WRONG CODE")))</f>
        <v/>
      </c>
      <c r="J103" s="33" t="str">
        <f t="shared" ca="1" si="8"/>
        <v>—</v>
      </c>
      <c r="K103" s="22"/>
    </row>
    <row r="104" spans="1:11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IF(A104="","",IFERROR(VLOOKUP(A104,DB_Customers!$A:$M,13,0),""))</f>
        <v/>
      </c>
      <c r="D104" s="42" t="str">
        <f t="shared" ca="1" si="6"/>
        <v/>
      </c>
      <c r="E104" s="32"/>
      <c r="F104" s="43" t="str">
        <f t="shared" si="7"/>
        <v/>
      </c>
      <c r="G104" s="30" t="s">
        <v>62</v>
      </c>
      <c r="H104" s="41"/>
      <c r="I104" s="33" t="str">
        <f>IF(A104="","",IF(H104="","⚠️ Enter Agent Code",IF(IFERROR(VLOOKUP(G104,DB_Agents!$B:$F,4,0),"")=TEXT(H104,"0"),IF(AND(A104&lt;&gt;"",E104&lt;&gt;""),"✅ Saved","Pending"),"🔒 WRONG CODE")))</f>
        <v/>
      </c>
      <c r="J104" s="33" t="str">
        <f t="shared" ca="1" si="8"/>
        <v>—</v>
      </c>
      <c r="K104" s="46"/>
    </row>
    <row r="105" spans="1:11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IF(A105="","",IFERROR(VLOOKUP(A105,DB_Customers!$A:$M,13,0),""))</f>
        <v/>
      </c>
      <c r="D105" s="42" t="str">
        <f t="shared" ref="D105:D136" ca="1" si="9">IF(A105="","",TODAY())</f>
        <v/>
      </c>
      <c r="E105" s="32"/>
      <c r="F105" s="43" t="str">
        <f t="shared" ref="F105:F136" si="10">IFERROR(IF(OR(A105="",E105=""),"",C105+E105),"")</f>
        <v/>
      </c>
      <c r="G105" s="30" t="s">
        <v>62</v>
      </c>
      <c r="H105" s="41"/>
      <c r="I105" s="33" t="str">
        <f>IF(A105="","",IF(H105="","⚠️ Enter Agent Code",IF(IFERROR(VLOOKUP(G105,DB_Agents!$B:$F,4,0),"")=TEXT(H105,"0"),IF(AND(A105&lt;&gt;"",E105&lt;&gt;""),"✅ Saved","Pending"),"🔒 WRONG CODE")))</f>
        <v/>
      </c>
      <c r="J105" s="33" t="str">
        <f t="shared" ref="J105:J136" ca="1" si="11">IF(I105="✅ Saved",TEXT(TODAY(),"YYYY-MM-DD")&amp;" Auto","—")</f>
        <v>—</v>
      </c>
      <c r="K105" s="22"/>
    </row>
    <row r="106" spans="1:11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IF(A106="","",IFERROR(VLOOKUP(A106,DB_Customers!$A:$M,13,0),""))</f>
        <v/>
      </c>
      <c r="D106" s="42" t="str">
        <f t="shared" ca="1" si="9"/>
        <v/>
      </c>
      <c r="E106" s="32"/>
      <c r="F106" s="43" t="str">
        <f t="shared" si="10"/>
        <v/>
      </c>
      <c r="G106" s="30" t="s">
        <v>62</v>
      </c>
      <c r="H106" s="41"/>
      <c r="I106" s="33" t="str">
        <f>IF(A106="","",IF(H106="","⚠️ Enter Agent Code",IF(IFERROR(VLOOKUP(G106,DB_Agents!$B:$F,4,0),"")=TEXT(H106,"0"),IF(AND(A106&lt;&gt;"",E106&lt;&gt;""),"✅ Saved","Pending"),"🔒 WRONG CODE")))</f>
        <v/>
      </c>
      <c r="J106" s="33" t="str">
        <f t="shared" ca="1" si="11"/>
        <v>—</v>
      </c>
      <c r="K106" s="46"/>
    </row>
    <row r="107" spans="1:11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IF(A107="","",IFERROR(VLOOKUP(A107,DB_Customers!$A:$M,13,0),""))</f>
        <v/>
      </c>
      <c r="D107" s="42" t="str">
        <f t="shared" ca="1" si="9"/>
        <v/>
      </c>
      <c r="E107" s="32"/>
      <c r="F107" s="43" t="str">
        <f t="shared" si="10"/>
        <v/>
      </c>
      <c r="G107" s="30" t="s">
        <v>62</v>
      </c>
      <c r="H107" s="41"/>
      <c r="I107" s="33" t="str">
        <f>IF(A107="","",IF(H107="","⚠️ Enter Agent Code",IF(IFERROR(VLOOKUP(G107,DB_Agents!$B:$F,4,0),"")=TEXT(H107,"0"),IF(AND(A107&lt;&gt;"",E107&lt;&gt;""),"✅ Saved","Pending"),"🔒 WRONG CODE")))</f>
        <v/>
      </c>
      <c r="J107" s="33" t="str">
        <f t="shared" ca="1" si="11"/>
        <v>—</v>
      </c>
      <c r="K107" s="22"/>
    </row>
    <row r="108" spans="1:11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IF(A108="","",IFERROR(VLOOKUP(A108,DB_Customers!$A:$M,13,0),""))</f>
        <v/>
      </c>
      <c r="D108" s="42" t="str">
        <f t="shared" ca="1" si="9"/>
        <v/>
      </c>
      <c r="E108" s="32"/>
      <c r="F108" s="43" t="str">
        <f t="shared" si="10"/>
        <v/>
      </c>
      <c r="G108" s="30" t="s">
        <v>62</v>
      </c>
      <c r="H108" s="41"/>
      <c r="I108" s="33" t="str">
        <f>IF(A108="","",IF(H108="","⚠️ Enter Agent Code",IF(IFERROR(VLOOKUP(G108,DB_Agents!$B:$F,4,0),"")=TEXT(H108,"0"),IF(AND(A108&lt;&gt;"",E108&lt;&gt;""),"✅ Saved","Pending"),"🔒 WRONG CODE")))</f>
        <v/>
      </c>
      <c r="J108" s="33" t="str">
        <f t="shared" ca="1" si="11"/>
        <v>—</v>
      </c>
      <c r="K108" s="46"/>
    </row>
    <row r="109" spans="1:11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IF(A109="","",IFERROR(VLOOKUP(A109,DB_Customers!$A:$M,13,0),""))</f>
        <v/>
      </c>
      <c r="D109" s="42" t="str">
        <f t="shared" ca="1" si="9"/>
        <v/>
      </c>
      <c r="E109" s="32"/>
      <c r="F109" s="43" t="str">
        <f t="shared" si="10"/>
        <v/>
      </c>
      <c r="G109" s="30" t="s">
        <v>62</v>
      </c>
      <c r="H109" s="41"/>
      <c r="I109" s="33" t="str">
        <f>IF(A109="","",IF(H109="","⚠️ Enter Agent Code",IF(IFERROR(VLOOKUP(G109,DB_Agents!$B:$F,4,0),"")=TEXT(H109,"0"),IF(AND(A109&lt;&gt;"",E109&lt;&gt;""),"✅ Saved","Pending"),"🔒 WRONG CODE")))</f>
        <v/>
      </c>
      <c r="J109" s="33" t="str">
        <f t="shared" ca="1" si="11"/>
        <v>—</v>
      </c>
      <c r="K109" s="22"/>
    </row>
    <row r="110" spans="1:11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IF(A110="","",IFERROR(VLOOKUP(A110,DB_Customers!$A:$M,13,0),""))</f>
        <v/>
      </c>
      <c r="D110" s="42" t="str">
        <f t="shared" ca="1" si="9"/>
        <v/>
      </c>
      <c r="E110" s="32"/>
      <c r="F110" s="43" t="str">
        <f t="shared" si="10"/>
        <v/>
      </c>
      <c r="G110" s="30" t="s">
        <v>62</v>
      </c>
      <c r="H110" s="41"/>
      <c r="I110" s="33" t="str">
        <f>IF(A110="","",IF(H110="","⚠️ Enter Agent Code",IF(IFERROR(VLOOKUP(G110,DB_Agents!$B:$F,4,0),"")=TEXT(H110,"0"),IF(AND(A110&lt;&gt;"",E110&lt;&gt;""),"✅ Saved","Pending"),"🔒 WRONG CODE")))</f>
        <v/>
      </c>
      <c r="J110" s="33" t="str">
        <f t="shared" ca="1" si="11"/>
        <v>—</v>
      </c>
      <c r="K110" s="46"/>
    </row>
    <row r="111" spans="1:11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IF(A111="","",IFERROR(VLOOKUP(A111,DB_Customers!$A:$M,13,0),""))</f>
        <v/>
      </c>
      <c r="D111" s="42" t="str">
        <f t="shared" ca="1" si="9"/>
        <v/>
      </c>
      <c r="E111" s="32"/>
      <c r="F111" s="43" t="str">
        <f t="shared" si="10"/>
        <v/>
      </c>
      <c r="G111" s="30" t="s">
        <v>62</v>
      </c>
      <c r="H111" s="41"/>
      <c r="I111" s="33" t="str">
        <f>IF(A111="","",IF(H111="","⚠️ Enter Agent Code",IF(IFERROR(VLOOKUP(G111,DB_Agents!$B:$F,4,0),"")=TEXT(H111,"0"),IF(AND(A111&lt;&gt;"",E111&lt;&gt;""),"✅ Saved","Pending"),"🔒 WRONG CODE")))</f>
        <v/>
      </c>
      <c r="J111" s="33" t="str">
        <f t="shared" ca="1" si="11"/>
        <v>—</v>
      </c>
      <c r="K111" s="22"/>
    </row>
    <row r="112" spans="1:11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IF(A112="","",IFERROR(VLOOKUP(A112,DB_Customers!$A:$M,13,0),""))</f>
        <v/>
      </c>
      <c r="D112" s="42" t="str">
        <f t="shared" ca="1" si="9"/>
        <v/>
      </c>
      <c r="E112" s="32"/>
      <c r="F112" s="43" t="str">
        <f t="shared" si="10"/>
        <v/>
      </c>
      <c r="G112" s="30" t="s">
        <v>62</v>
      </c>
      <c r="H112" s="41"/>
      <c r="I112" s="33" t="str">
        <f>IF(A112="","",IF(H112="","⚠️ Enter Agent Code",IF(IFERROR(VLOOKUP(G112,DB_Agents!$B:$F,4,0),"")=TEXT(H112,"0"),IF(AND(A112&lt;&gt;"",E112&lt;&gt;""),"✅ Saved","Pending"),"🔒 WRONG CODE")))</f>
        <v/>
      </c>
      <c r="J112" s="33" t="str">
        <f t="shared" ca="1" si="11"/>
        <v>—</v>
      </c>
      <c r="K112" s="46"/>
    </row>
    <row r="113" spans="1:11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IF(A113="","",IFERROR(VLOOKUP(A113,DB_Customers!$A:$M,13,0),""))</f>
        <v/>
      </c>
      <c r="D113" s="42" t="str">
        <f t="shared" ca="1" si="9"/>
        <v/>
      </c>
      <c r="E113" s="32"/>
      <c r="F113" s="43" t="str">
        <f t="shared" si="10"/>
        <v/>
      </c>
      <c r="G113" s="30" t="s">
        <v>62</v>
      </c>
      <c r="H113" s="41"/>
      <c r="I113" s="33" t="str">
        <f>IF(A113="","",IF(H113="","⚠️ Enter Agent Code",IF(IFERROR(VLOOKUP(G113,DB_Agents!$B:$F,4,0),"")=TEXT(H113,"0"),IF(AND(A113&lt;&gt;"",E113&lt;&gt;""),"✅ Saved","Pending"),"🔒 WRONG CODE")))</f>
        <v/>
      </c>
      <c r="J113" s="33" t="str">
        <f t="shared" ca="1" si="11"/>
        <v>—</v>
      </c>
      <c r="K113" s="22"/>
    </row>
    <row r="114" spans="1:11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IF(A114="","",IFERROR(VLOOKUP(A114,DB_Customers!$A:$M,13,0),""))</f>
        <v/>
      </c>
      <c r="D114" s="42" t="str">
        <f t="shared" ca="1" si="9"/>
        <v/>
      </c>
      <c r="E114" s="32"/>
      <c r="F114" s="43" t="str">
        <f t="shared" si="10"/>
        <v/>
      </c>
      <c r="G114" s="30" t="s">
        <v>62</v>
      </c>
      <c r="H114" s="41"/>
      <c r="I114" s="33" t="str">
        <f>IF(A114="","",IF(H114="","⚠️ Enter Agent Code",IF(IFERROR(VLOOKUP(G114,DB_Agents!$B:$F,4,0),"")=TEXT(H114,"0"),IF(AND(A114&lt;&gt;"",E114&lt;&gt;""),"✅ Saved","Pending"),"🔒 WRONG CODE")))</f>
        <v/>
      </c>
      <c r="J114" s="33" t="str">
        <f t="shared" ca="1" si="11"/>
        <v>—</v>
      </c>
      <c r="K114" s="46"/>
    </row>
    <row r="115" spans="1:11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IF(A115="","",IFERROR(VLOOKUP(A115,DB_Customers!$A:$M,13,0),""))</f>
        <v/>
      </c>
      <c r="D115" s="42" t="str">
        <f t="shared" ca="1" si="9"/>
        <v/>
      </c>
      <c r="E115" s="32"/>
      <c r="F115" s="43" t="str">
        <f t="shared" si="10"/>
        <v/>
      </c>
      <c r="G115" s="30" t="s">
        <v>62</v>
      </c>
      <c r="H115" s="41"/>
      <c r="I115" s="33" t="str">
        <f>IF(A115="","",IF(H115="","⚠️ Enter Agent Code",IF(IFERROR(VLOOKUP(G115,DB_Agents!$B:$F,4,0),"")=TEXT(H115,"0"),IF(AND(A115&lt;&gt;"",E115&lt;&gt;""),"✅ Saved","Pending"),"🔒 WRONG CODE")))</f>
        <v/>
      </c>
      <c r="J115" s="33" t="str">
        <f t="shared" ca="1" si="11"/>
        <v>—</v>
      </c>
      <c r="K115" s="22"/>
    </row>
    <row r="116" spans="1:11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IF(A116="","",IFERROR(VLOOKUP(A116,DB_Customers!$A:$M,13,0),""))</f>
        <v/>
      </c>
      <c r="D116" s="42" t="str">
        <f t="shared" ca="1" si="9"/>
        <v/>
      </c>
      <c r="E116" s="32"/>
      <c r="F116" s="43" t="str">
        <f t="shared" si="10"/>
        <v/>
      </c>
      <c r="G116" s="30" t="s">
        <v>62</v>
      </c>
      <c r="H116" s="41"/>
      <c r="I116" s="33" t="str">
        <f>IF(A116="","",IF(H116="","⚠️ Enter Agent Code",IF(IFERROR(VLOOKUP(G116,DB_Agents!$B:$F,4,0),"")=TEXT(H116,"0"),IF(AND(A116&lt;&gt;"",E116&lt;&gt;""),"✅ Saved","Pending"),"🔒 WRONG CODE")))</f>
        <v/>
      </c>
      <c r="J116" s="33" t="str">
        <f t="shared" ca="1" si="11"/>
        <v>—</v>
      </c>
      <c r="K116" s="46"/>
    </row>
    <row r="117" spans="1:11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IF(A117="","",IFERROR(VLOOKUP(A117,DB_Customers!$A:$M,13,0),""))</f>
        <v/>
      </c>
      <c r="D117" s="42" t="str">
        <f t="shared" ca="1" si="9"/>
        <v/>
      </c>
      <c r="E117" s="32"/>
      <c r="F117" s="43" t="str">
        <f t="shared" si="10"/>
        <v/>
      </c>
      <c r="G117" s="30" t="s">
        <v>62</v>
      </c>
      <c r="H117" s="41"/>
      <c r="I117" s="33" t="str">
        <f>IF(A117="","",IF(H117="","⚠️ Enter Agent Code",IF(IFERROR(VLOOKUP(G117,DB_Agents!$B:$F,4,0),"")=TEXT(H117,"0"),IF(AND(A117&lt;&gt;"",E117&lt;&gt;""),"✅ Saved","Pending"),"🔒 WRONG CODE")))</f>
        <v/>
      </c>
      <c r="J117" s="33" t="str">
        <f t="shared" ca="1" si="11"/>
        <v>—</v>
      </c>
      <c r="K117" s="22"/>
    </row>
    <row r="118" spans="1:11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IF(A118="","",IFERROR(VLOOKUP(A118,DB_Customers!$A:$M,13,0),""))</f>
        <v/>
      </c>
      <c r="D118" s="42" t="str">
        <f t="shared" ca="1" si="9"/>
        <v/>
      </c>
      <c r="E118" s="32"/>
      <c r="F118" s="43" t="str">
        <f t="shared" si="10"/>
        <v/>
      </c>
      <c r="G118" s="30" t="s">
        <v>62</v>
      </c>
      <c r="H118" s="41"/>
      <c r="I118" s="33" t="str">
        <f>IF(A118="","",IF(H118="","⚠️ Enter Agent Code",IF(IFERROR(VLOOKUP(G118,DB_Agents!$B:$F,4,0),"")=TEXT(H118,"0"),IF(AND(A118&lt;&gt;"",E118&lt;&gt;""),"✅ Saved","Pending"),"🔒 WRONG CODE")))</f>
        <v/>
      </c>
      <c r="J118" s="33" t="str">
        <f t="shared" ca="1" si="11"/>
        <v>—</v>
      </c>
      <c r="K118" s="46"/>
    </row>
    <row r="119" spans="1:11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IF(A119="","",IFERROR(VLOOKUP(A119,DB_Customers!$A:$M,13,0),""))</f>
        <v/>
      </c>
      <c r="D119" s="42" t="str">
        <f t="shared" ca="1" si="9"/>
        <v/>
      </c>
      <c r="E119" s="32"/>
      <c r="F119" s="43" t="str">
        <f t="shared" si="10"/>
        <v/>
      </c>
      <c r="G119" s="30" t="s">
        <v>62</v>
      </c>
      <c r="H119" s="41"/>
      <c r="I119" s="33" t="str">
        <f>IF(A119="","",IF(H119="","⚠️ Enter Agent Code",IF(IFERROR(VLOOKUP(G119,DB_Agents!$B:$F,4,0),"")=TEXT(H119,"0"),IF(AND(A119&lt;&gt;"",E119&lt;&gt;""),"✅ Saved","Pending"),"🔒 WRONG CODE")))</f>
        <v/>
      </c>
      <c r="J119" s="33" t="str">
        <f t="shared" ca="1" si="11"/>
        <v>—</v>
      </c>
      <c r="K119" s="22"/>
    </row>
    <row r="120" spans="1:11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IF(A120="","",IFERROR(VLOOKUP(A120,DB_Customers!$A:$M,13,0),""))</f>
        <v/>
      </c>
      <c r="D120" s="42" t="str">
        <f t="shared" ca="1" si="9"/>
        <v/>
      </c>
      <c r="E120" s="32"/>
      <c r="F120" s="43" t="str">
        <f t="shared" si="10"/>
        <v/>
      </c>
      <c r="G120" s="30" t="s">
        <v>62</v>
      </c>
      <c r="H120" s="41"/>
      <c r="I120" s="33" t="str">
        <f>IF(A120="","",IF(H120="","⚠️ Enter Agent Code",IF(IFERROR(VLOOKUP(G120,DB_Agents!$B:$F,4,0),"")=TEXT(H120,"0"),IF(AND(A120&lt;&gt;"",E120&lt;&gt;""),"✅ Saved","Pending"),"🔒 WRONG CODE")))</f>
        <v/>
      </c>
      <c r="J120" s="33" t="str">
        <f t="shared" ca="1" si="11"/>
        <v>—</v>
      </c>
      <c r="K120" s="46"/>
    </row>
    <row r="121" spans="1:11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IF(A121="","",IFERROR(VLOOKUP(A121,DB_Customers!$A:$M,13,0),""))</f>
        <v/>
      </c>
      <c r="D121" s="42" t="str">
        <f t="shared" ca="1" si="9"/>
        <v/>
      </c>
      <c r="E121" s="32"/>
      <c r="F121" s="43" t="str">
        <f t="shared" si="10"/>
        <v/>
      </c>
      <c r="G121" s="30" t="s">
        <v>62</v>
      </c>
      <c r="H121" s="41"/>
      <c r="I121" s="33" t="str">
        <f>IF(A121="","",IF(H121="","⚠️ Enter Agent Code",IF(IFERROR(VLOOKUP(G121,DB_Agents!$B:$F,4,0),"")=TEXT(H121,"0"),IF(AND(A121&lt;&gt;"",E121&lt;&gt;""),"✅ Saved","Pending"),"🔒 WRONG CODE")))</f>
        <v/>
      </c>
      <c r="J121" s="33" t="str">
        <f t="shared" ca="1" si="11"/>
        <v>—</v>
      </c>
      <c r="K121" s="22"/>
    </row>
    <row r="122" spans="1:11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IF(A122="","",IFERROR(VLOOKUP(A122,DB_Customers!$A:$M,13,0),""))</f>
        <v/>
      </c>
      <c r="D122" s="42" t="str">
        <f t="shared" ca="1" si="9"/>
        <v/>
      </c>
      <c r="E122" s="32"/>
      <c r="F122" s="43" t="str">
        <f t="shared" si="10"/>
        <v/>
      </c>
      <c r="G122" s="30" t="s">
        <v>62</v>
      </c>
      <c r="H122" s="41"/>
      <c r="I122" s="33" t="str">
        <f>IF(A122="","",IF(H122="","⚠️ Enter Agent Code",IF(IFERROR(VLOOKUP(G122,DB_Agents!$B:$F,4,0),"")=TEXT(H122,"0"),IF(AND(A122&lt;&gt;"",E122&lt;&gt;""),"✅ Saved","Pending"),"🔒 WRONG CODE")))</f>
        <v/>
      </c>
      <c r="J122" s="33" t="str">
        <f t="shared" ca="1" si="11"/>
        <v>—</v>
      </c>
      <c r="K122" s="46"/>
    </row>
    <row r="123" spans="1:11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IF(A123="","",IFERROR(VLOOKUP(A123,DB_Customers!$A:$M,13,0),""))</f>
        <v/>
      </c>
      <c r="D123" s="42" t="str">
        <f t="shared" ca="1" si="9"/>
        <v/>
      </c>
      <c r="E123" s="32"/>
      <c r="F123" s="43" t="str">
        <f t="shared" si="10"/>
        <v/>
      </c>
      <c r="G123" s="30" t="s">
        <v>62</v>
      </c>
      <c r="H123" s="41"/>
      <c r="I123" s="33" t="str">
        <f>IF(A123="","",IF(H123="","⚠️ Enter Agent Code",IF(IFERROR(VLOOKUP(G123,DB_Agents!$B:$F,4,0),"")=TEXT(H123,"0"),IF(AND(A123&lt;&gt;"",E123&lt;&gt;""),"✅ Saved","Pending"),"🔒 WRONG CODE")))</f>
        <v/>
      </c>
      <c r="J123" s="33" t="str">
        <f t="shared" ca="1" si="11"/>
        <v>—</v>
      </c>
      <c r="K123" s="22"/>
    </row>
    <row r="124" spans="1:11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IF(A124="","",IFERROR(VLOOKUP(A124,DB_Customers!$A:$M,13,0),""))</f>
        <v/>
      </c>
      <c r="D124" s="42" t="str">
        <f t="shared" ca="1" si="9"/>
        <v/>
      </c>
      <c r="E124" s="32"/>
      <c r="F124" s="43" t="str">
        <f t="shared" si="10"/>
        <v/>
      </c>
      <c r="G124" s="30" t="s">
        <v>62</v>
      </c>
      <c r="H124" s="41"/>
      <c r="I124" s="33" t="str">
        <f>IF(A124="","",IF(H124="","⚠️ Enter Agent Code",IF(IFERROR(VLOOKUP(G124,DB_Agents!$B:$F,4,0),"")=TEXT(H124,"0"),IF(AND(A124&lt;&gt;"",E124&lt;&gt;""),"✅ Saved","Pending"),"🔒 WRONG CODE")))</f>
        <v/>
      </c>
      <c r="J124" s="33" t="str">
        <f t="shared" ca="1" si="11"/>
        <v>—</v>
      </c>
      <c r="K124" s="46"/>
    </row>
    <row r="125" spans="1:11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IF(A125="","",IFERROR(VLOOKUP(A125,DB_Customers!$A:$M,13,0),""))</f>
        <v/>
      </c>
      <c r="D125" s="42" t="str">
        <f t="shared" ca="1" si="9"/>
        <v/>
      </c>
      <c r="E125" s="32"/>
      <c r="F125" s="43" t="str">
        <f t="shared" si="10"/>
        <v/>
      </c>
      <c r="G125" s="30" t="s">
        <v>62</v>
      </c>
      <c r="H125" s="41"/>
      <c r="I125" s="33" t="str">
        <f>IF(A125="","",IF(H125="","⚠️ Enter Agent Code",IF(IFERROR(VLOOKUP(G125,DB_Agents!$B:$F,4,0),"")=TEXT(H125,"0"),IF(AND(A125&lt;&gt;"",E125&lt;&gt;""),"✅ Saved","Pending"),"🔒 WRONG CODE")))</f>
        <v/>
      </c>
      <c r="J125" s="33" t="str">
        <f t="shared" ca="1" si="11"/>
        <v>—</v>
      </c>
      <c r="K125" s="22"/>
    </row>
    <row r="126" spans="1:11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IF(A126="","",IFERROR(VLOOKUP(A126,DB_Customers!$A:$M,13,0),""))</f>
        <v/>
      </c>
      <c r="D126" s="42" t="str">
        <f t="shared" ca="1" si="9"/>
        <v/>
      </c>
      <c r="E126" s="32"/>
      <c r="F126" s="43" t="str">
        <f t="shared" si="10"/>
        <v/>
      </c>
      <c r="G126" s="30" t="s">
        <v>62</v>
      </c>
      <c r="H126" s="41"/>
      <c r="I126" s="33" t="str">
        <f>IF(A126="","",IF(H126="","⚠️ Enter Agent Code",IF(IFERROR(VLOOKUP(G126,DB_Agents!$B:$F,4,0),"")=TEXT(H126,"0"),IF(AND(A126&lt;&gt;"",E126&lt;&gt;""),"✅ Saved","Pending"),"🔒 WRONG CODE")))</f>
        <v/>
      </c>
      <c r="J126" s="33" t="str">
        <f t="shared" ca="1" si="11"/>
        <v>—</v>
      </c>
      <c r="K126" s="46"/>
    </row>
    <row r="127" spans="1:11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IF(A127="","",IFERROR(VLOOKUP(A127,DB_Customers!$A:$M,13,0),""))</f>
        <v/>
      </c>
      <c r="D127" s="42" t="str">
        <f t="shared" ca="1" si="9"/>
        <v/>
      </c>
      <c r="E127" s="32"/>
      <c r="F127" s="43" t="str">
        <f t="shared" si="10"/>
        <v/>
      </c>
      <c r="G127" s="30" t="s">
        <v>62</v>
      </c>
      <c r="H127" s="41"/>
      <c r="I127" s="33" t="str">
        <f>IF(A127="","",IF(H127="","⚠️ Enter Agent Code",IF(IFERROR(VLOOKUP(G127,DB_Agents!$B:$F,4,0),"")=TEXT(H127,"0"),IF(AND(A127&lt;&gt;"",E127&lt;&gt;""),"✅ Saved","Pending"),"🔒 WRONG CODE")))</f>
        <v/>
      </c>
      <c r="J127" s="33" t="str">
        <f t="shared" ca="1" si="11"/>
        <v>—</v>
      </c>
      <c r="K127" s="22"/>
    </row>
    <row r="128" spans="1:11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IF(A128="","",IFERROR(VLOOKUP(A128,DB_Customers!$A:$M,13,0),""))</f>
        <v/>
      </c>
      <c r="D128" s="42" t="str">
        <f t="shared" ca="1" si="9"/>
        <v/>
      </c>
      <c r="E128" s="32"/>
      <c r="F128" s="43" t="str">
        <f t="shared" si="10"/>
        <v/>
      </c>
      <c r="G128" s="30" t="s">
        <v>62</v>
      </c>
      <c r="H128" s="41"/>
      <c r="I128" s="33" t="str">
        <f>IF(A128="","",IF(H128="","⚠️ Enter Agent Code",IF(IFERROR(VLOOKUP(G128,DB_Agents!$B:$F,4,0),"")=TEXT(H128,"0"),IF(AND(A128&lt;&gt;"",E128&lt;&gt;""),"✅ Saved","Pending"),"🔒 WRONG CODE")))</f>
        <v/>
      </c>
      <c r="J128" s="33" t="str">
        <f t="shared" ca="1" si="11"/>
        <v>—</v>
      </c>
      <c r="K128" s="46"/>
    </row>
    <row r="129" spans="1:11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IF(A129="","",IFERROR(VLOOKUP(A129,DB_Customers!$A:$M,13,0),""))</f>
        <v/>
      </c>
      <c r="D129" s="42" t="str">
        <f t="shared" ca="1" si="9"/>
        <v/>
      </c>
      <c r="E129" s="32"/>
      <c r="F129" s="43" t="str">
        <f t="shared" si="10"/>
        <v/>
      </c>
      <c r="G129" s="30" t="s">
        <v>62</v>
      </c>
      <c r="H129" s="41"/>
      <c r="I129" s="33" t="str">
        <f>IF(A129="","",IF(H129="","⚠️ Enter Agent Code",IF(IFERROR(VLOOKUP(G129,DB_Agents!$B:$F,4,0),"")=TEXT(H129,"0"),IF(AND(A129&lt;&gt;"",E129&lt;&gt;""),"✅ Saved","Pending"),"🔒 WRONG CODE")))</f>
        <v/>
      </c>
      <c r="J129" s="33" t="str">
        <f t="shared" ca="1" si="11"/>
        <v>—</v>
      </c>
      <c r="K129" s="22"/>
    </row>
    <row r="130" spans="1:11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IF(A130="","",IFERROR(VLOOKUP(A130,DB_Customers!$A:$M,13,0),""))</f>
        <v/>
      </c>
      <c r="D130" s="42" t="str">
        <f t="shared" ca="1" si="9"/>
        <v/>
      </c>
      <c r="E130" s="32"/>
      <c r="F130" s="43" t="str">
        <f t="shared" si="10"/>
        <v/>
      </c>
      <c r="G130" s="30" t="s">
        <v>62</v>
      </c>
      <c r="H130" s="41"/>
      <c r="I130" s="33" t="str">
        <f>IF(A130="","",IF(H130="","⚠️ Enter Agent Code",IF(IFERROR(VLOOKUP(G130,DB_Agents!$B:$F,4,0),"")=TEXT(H130,"0"),IF(AND(A130&lt;&gt;"",E130&lt;&gt;""),"✅ Saved","Pending"),"🔒 WRONG CODE")))</f>
        <v/>
      </c>
      <c r="J130" s="33" t="str">
        <f t="shared" ca="1" si="11"/>
        <v>—</v>
      </c>
      <c r="K130" s="46"/>
    </row>
    <row r="131" spans="1:11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IF(A131="","",IFERROR(VLOOKUP(A131,DB_Customers!$A:$M,13,0),""))</f>
        <v/>
      </c>
      <c r="D131" s="42" t="str">
        <f t="shared" ca="1" si="9"/>
        <v/>
      </c>
      <c r="E131" s="32"/>
      <c r="F131" s="43" t="str">
        <f t="shared" si="10"/>
        <v/>
      </c>
      <c r="G131" s="30" t="s">
        <v>62</v>
      </c>
      <c r="H131" s="41"/>
      <c r="I131" s="33" t="str">
        <f>IF(A131="","",IF(H131="","⚠️ Enter Agent Code",IF(IFERROR(VLOOKUP(G131,DB_Agents!$B:$F,4,0),"")=TEXT(H131,"0"),IF(AND(A131&lt;&gt;"",E131&lt;&gt;""),"✅ Saved","Pending"),"🔒 WRONG CODE")))</f>
        <v/>
      </c>
      <c r="J131" s="33" t="str">
        <f t="shared" ca="1" si="11"/>
        <v>—</v>
      </c>
      <c r="K131" s="22"/>
    </row>
    <row r="132" spans="1:11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IF(A132="","",IFERROR(VLOOKUP(A132,DB_Customers!$A:$M,13,0),""))</f>
        <v/>
      </c>
      <c r="D132" s="42" t="str">
        <f t="shared" ca="1" si="9"/>
        <v/>
      </c>
      <c r="E132" s="32"/>
      <c r="F132" s="43" t="str">
        <f t="shared" si="10"/>
        <v/>
      </c>
      <c r="G132" s="30" t="s">
        <v>62</v>
      </c>
      <c r="H132" s="41"/>
      <c r="I132" s="33" t="str">
        <f>IF(A132="","",IF(H132="","⚠️ Enter Agent Code",IF(IFERROR(VLOOKUP(G132,DB_Agents!$B:$F,4,0),"")=TEXT(H132,"0"),IF(AND(A132&lt;&gt;"",E132&lt;&gt;""),"✅ Saved","Pending"),"🔒 WRONG CODE")))</f>
        <v/>
      </c>
      <c r="J132" s="33" t="str">
        <f t="shared" ca="1" si="11"/>
        <v>—</v>
      </c>
      <c r="K132" s="46"/>
    </row>
    <row r="133" spans="1:11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IF(A133="","",IFERROR(VLOOKUP(A133,DB_Customers!$A:$M,13,0),""))</f>
        <v/>
      </c>
      <c r="D133" s="42" t="str">
        <f t="shared" ca="1" si="9"/>
        <v/>
      </c>
      <c r="E133" s="32"/>
      <c r="F133" s="43" t="str">
        <f t="shared" si="10"/>
        <v/>
      </c>
      <c r="G133" s="30" t="s">
        <v>62</v>
      </c>
      <c r="H133" s="41"/>
      <c r="I133" s="33" t="str">
        <f>IF(A133="","",IF(H133="","⚠️ Enter Agent Code",IF(IFERROR(VLOOKUP(G133,DB_Agents!$B:$F,4,0),"")=TEXT(H133,"0"),IF(AND(A133&lt;&gt;"",E133&lt;&gt;""),"✅ Saved","Pending"),"🔒 WRONG CODE")))</f>
        <v/>
      </c>
      <c r="J133" s="33" t="str">
        <f t="shared" ca="1" si="11"/>
        <v>—</v>
      </c>
      <c r="K133" s="22"/>
    </row>
    <row r="134" spans="1:11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IF(A134="","",IFERROR(VLOOKUP(A134,DB_Customers!$A:$M,13,0),""))</f>
        <v/>
      </c>
      <c r="D134" s="42" t="str">
        <f t="shared" ca="1" si="9"/>
        <v/>
      </c>
      <c r="E134" s="32"/>
      <c r="F134" s="43" t="str">
        <f t="shared" si="10"/>
        <v/>
      </c>
      <c r="G134" s="30" t="s">
        <v>62</v>
      </c>
      <c r="H134" s="41"/>
      <c r="I134" s="33" t="str">
        <f>IF(A134="","",IF(H134="","⚠️ Enter Agent Code",IF(IFERROR(VLOOKUP(G134,DB_Agents!$B:$F,4,0),"")=TEXT(H134,"0"),IF(AND(A134&lt;&gt;"",E134&lt;&gt;""),"✅ Saved","Pending"),"🔒 WRONG CODE")))</f>
        <v/>
      </c>
      <c r="J134" s="33" t="str">
        <f t="shared" ca="1" si="11"/>
        <v>—</v>
      </c>
      <c r="K134" s="46"/>
    </row>
    <row r="135" spans="1:11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IF(A135="","",IFERROR(VLOOKUP(A135,DB_Customers!$A:$M,13,0),""))</f>
        <v/>
      </c>
      <c r="D135" s="42" t="str">
        <f t="shared" ca="1" si="9"/>
        <v/>
      </c>
      <c r="E135" s="32"/>
      <c r="F135" s="43" t="str">
        <f t="shared" si="10"/>
        <v/>
      </c>
      <c r="G135" s="30" t="s">
        <v>62</v>
      </c>
      <c r="H135" s="41"/>
      <c r="I135" s="33" t="str">
        <f>IF(A135="","",IF(H135="","⚠️ Enter Agent Code",IF(IFERROR(VLOOKUP(G135,DB_Agents!$B:$F,4,0),"")=TEXT(H135,"0"),IF(AND(A135&lt;&gt;"",E135&lt;&gt;""),"✅ Saved","Pending"),"🔒 WRONG CODE")))</f>
        <v/>
      </c>
      <c r="J135" s="33" t="str">
        <f t="shared" ca="1" si="11"/>
        <v>—</v>
      </c>
      <c r="K135" s="22"/>
    </row>
    <row r="136" spans="1:11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IF(A136="","",IFERROR(VLOOKUP(A136,DB_Customers!$A:$M,13,0),""))</f>
        <v/>
      </c>
      <c r="D136" s="42" t="str">
        <f t="shared" ca="1" si="9"/>
        <v/>
      </c>
      <c r="E136" s="32"/>
      <c r="F136" s="43" t="str">
        <f t="shared" si="10"/>
        <v/>
      </c>
      <c r="G136" s="30" t="s">
        <v>62</v>
      </c>
      <c r="H136" s="41"/>
      <c r="I136" s="33" t="str">
        <f>IF(A136="","",IF(H136="","⚠️ Enter Agent Code",IF(IFERROR(VLOOKUP(G136,DB_Agents!$B:$F,4,0),"")=TEXT(H136,"0"),IF(AND(A136&lt;&gt;"",E136&lt;&gt;""),"✅ Saved","Pending"),"🔒 WRONG CODE")))</f>
        <v/>
      </c>
      <c r="J136" s="33" t="str">
        <f t="shared" ca="1" si="11"/>
        <v>—</v>
      </c>
      <c r="K136" s="46"/>
    </row>
    <row r="137" spans="1:11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IF(A137="","",IFERROR(VLOOKUP(A137,DB_Customers!$A:$M,13,0),""))</f>
        <v/>
      </c>
      <c r="D137" s="42" t="str">
        <f t="shared" ref="D137:D168" ca="1" si="12">IF(A137="","",TODAY())</f>
        <v/>
      </c>
      <c r="E137" s="32"/>
      <c r="F137" s="43" t="str">
        <f t="shared" ref="F137:F168" si="13">IFERROR(IF(OR(A137="",E137=""),"",C137+E137),"")</f>
        <v/>
      </c>
      <c r="G137" s="30" t="s">
        <v>62</v>
      </c>
      <c r="H137" s="41"/>
      <c r="I137" s="33" t="str">
        <f>IF(A137="","",IF(H137="","⚠️ Enter Agent Code",IF(IFERROR(VLOOKUP(G137,DB_Agents!$B:$F,4,0),"")=TEXT(H137,"0"),IF(AND(A137&lt;&gt;"",E137&lt;&gt;""),"✅ Saved","Pending"),"🔒 WRONG CODE")))</f>
        <v/>
      </c>
      <c r="J137" s="33" t="str">
        <f t="shared" ref="J137:J168" ca="1" si="14">IF(I137="✅ Saved",TEXT(TODAY(),"YYYY-MM-DD")&amp;" Auto","—")</f>
        <v>—</v>
      </c>
      <c r="K137" s="22"/>
    </row>
    <row r="138" spans="1:11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IF(A138="","",IFERROR(VLOOKUP(A138,DB_Customers!$A:$M,13,0),""))</f>
        <v/>
      </c>
      <c r="D138" s="42" t="str">
        <f t="shared" ca="1" si="12"/>
        <v/>
      </c>
      <c r="E138" s="32"/>
      <c r="F138" s="43" t="str">
        <f t="shared" si="13"/>
        <v/>
      </c>
      <c r="G138" s="30" t="s">
        <v>62</v>
      </c>
      <c r="H138" s="41"/>
      <c r="I138" s="33" t="str">
        <f>IF(A138="","",IF(H138="","⚠️ Enter Agent Code",IF(IFERROR(VLOOKUP(G138,DB_Agents!$B:$F,4,0),"")=TEXT(H138,"0"),IF(AND(A138&lt;&gt;"",E138&lt;&gt;""),"✅ Saved","Pending"),"🔒 WRONG CODE")))</f>
        <v/>
      </c>
      <c r="J138" s="33" t="str">
        <f t="shared" ca="1" si="14"/>
        <v>—</v>
      </c>
      <c r="K138" s="46"/>
    </row>
    <row r="139" spans="1:11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IF(A139="","",IFERROR(VLOOKUP(A139,DB_Customers!$A:$M,13,0),""))</f>
        <v/>
      </c>
      <c r="D139" s="42" t="str">
        <f t="shared" ca="1" si="12"/>
        <v/>
      </c>
      <c r="E139" s="32"/>
      <c r="F139" s="43" t="str">
        <f t="shared" si="13"/>
        <v/>
      </c>
      <c r="G139" s="30" t="s">
        <v>62</v>
      </c>
      <c r="H139" s="41"/>
      <c r="I139" s="33" t="str">
        <f>IF(A139="","",IF(H139="","⚠️ Enter Agent Code",IF(IFERROR(VLOOKUP(G139,DB_Agents!$B:$F,4,0),"")=TEXT(H139,"0"),IF(AND(A139&lt;&gt;"",E139&lt;&gt;""),"✅ Saved","Pending"),"🔒 WRONG CODE")))</f>
        <v/>
      </c>
      <c r="J139" s="33" t="str">
        <f t="shared" ca="1" si="14"/>
        <v>—</v>
      </c>
      <c r="K139" s="22"/>
    </row>
    <row r="140" spans="1:11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IF(A140="","",IFERROR(VLOOKUP(A140,DB_Customers!$A:$M,13,0),""))</f>
        <v/>
      </c>
      <c r="D140" s="42" t="str">
        <f t="shared" ca="1" si="12"/>
        <v/>
      </c>
      <c r="E140" s="32"/>
      <c r="F140" s="43" t="str">
        <f t="shared" si="13"/>
        <v/>
      </c>
      <c r="G140" s="30" t="s">
        <v>62</v>
      </c>
      <c r="H140" s="41"/>
      <c r="I140" s="33" t="str">
        <f>IF(A140="","",IF(H140="","⚠️ Enter Agent Code",IF(IFERROR(VLOOKUP(G140,DB_Agents!$B:$F,4,0),"")=TEXT(H140,"0"),IF(AND(A140&lt;&gt;"",E140&lt;&gt;""),"✅ Saved","Pending"),"🔒 WRONG CODE")))</f>
        <v/>
      </c>
      <c r="J140" s="33" t="str">
        <f t="shared" ca="1" si="14"/>
        <v>—</v>
      </c>
      <c r="K140" s="46"/>
    </row>
    <row r="141" spans="1:11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IF(A141="","",IFERROR(VLOOKUP(A141,DB_Customers!$A:$M,13,0),""))</f>
        <v/>
      </c>
      <c r="D141" s="42" t="str">
        <f t="shared" ca="1" si="12"/>
        <v/>
      </c>
      <c r="E141" s="32"/>
      <c r="F141" s="43" t="str">
        <f t="shared" si="13"/>
        <v/>
      </c>
      <c r="G141" s="30" t="s">
        <v>62</v>
      </c>
      <c r="H141" s="41"/>
      <c r="I141" s="33" t="str">
        <f>IF(A141="","",IF(H141="","⚠️ Enter Agent Code",IF(IFERROR(VLOOKUP(G141,DB_Agents!$B:$F,4,0),"")=TEXT(H141,"0"),IF(AND(A141&lt;&gt;"",E141&lt;&gt;""),"✅ Saved","Pending"),"🔒 WRONG CODE")))</f>
        <v/>
      </c>
      <c r="J141" s="33" t="str">
        <f t="shared" ca="1" si="14"/>
        <v>—</v>
      </c>
      <c r="K141" s="22"/>
    </row>
    <row r="142" spans="1:11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IF(A142="","",IFERROR(VLOOKUP(A142,DB_Customers!$A:$M,13,0),""))</f>
        <v/>
      </c>
      <c r="D142" s="42" t="str">
        <f t="shared" ca="1" si="12"/>
        <v/>
      </c>
      <c r="E142" s="32"/>
      <c r="F142" s="43" t="str">
        <f t="shared" si="13"/>
        <v/>
      </c>
      <c r="G142" s="30" t="s">
        <v>62</v>
      </c>
      <c r="H142" s="41"/>
      <c r="I142" s="33" t="str">
        <f>IF(A142="","",IF(H142="","⚠️ Enter Agent Code",IF(IFERROR(VLOOKUP(G142,DB_Agents!$B:$F,4,0),"")=TEXT(H142,"0"),IF(AND(A142&lt;&gt;"",E142&lt;&gt;""),"✅ Saved","Pending"),"🔒 WRONG CODE")))</f>
        <v/>
      </c>
      <c r="J142" s="33" t="str">
        <f t="shared" ca="1" si="14"/>
        <v>—</v>
      </c>
      <c r="K142" s="46"/>
    </row>
    <row r="143" spans="1:11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IF(A143="","",IFERROR(VLOOKUP(A143,DB_Customers!$A:$M,13,0),""))</f>
        <v/>
      </c>
      <c r="D143" s="42" t="str">
        <f t="shared" ca="1" si="12"/>
        <v/>
      </c>
      <c r="E143" s="32"/>
      <c r="F143" s="43" t="str">
        <f t="shared" si="13"/>
        <v/>
      </c>
      <c r="G143" s="30" t="s">
        <v>62</v>
      </c>
      <c r="H143" s="41"/>
      <c r="I143" s="33" t="str">
        <f>IF(A143="","",IF(H143="","⚠️ Enter Agent Code",IF(IFERROR(VLOOKUP(G143,DB_Agents!$B:$F,4,0),"")=TEXT(H143,"0"),IF(AND(A143&lt;&gt;"",E143&lt;&gt;""),"✅ Saved","Pending"),"🔒 WRONG CODE")))</f>
        <v/>
      </c>
      <c r="J143" s="33" t="str">
        <f t="shared" ca="1" si="14"/>
        <v>—</v>
      </c>
      <c r="K143" s="22"/>
    </row>
    <row r="144" spans="1:11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IF(A144="","",IFERROR(VLOOKUP(A144,DB_Customers!$A:$M,13,0),""))</f>
        <v/>
      </c>
      <c r="D144" s="42" t="str">
        <f t="shared" ca="1" si="12"/>
        <v/>
      </c>
      <c r="E144" s="32"/>
      <c r="F144" s="43" t="str">
        <f t="shared" si="13"/>
        <v/>
      </c>
      <c r="G144" s="30" t="s">
        <v>62</v>
      </c>
      <c r="H144" s="41"/>
      <c r="I144" s="33" t="str">
        <f>IF(A144="","",IF(H144="","⚠️ Enter Agent Code",IF(IFERROR(VLOOKUP(G144,DB_Agents!$B:$F,4,0),"")=TEXT(H144,"0"),IF(AND(A144&lt;&gt;"",E144&lt;&gt;""),"✅ Saved","Pending"),"🔒 WRONG CODE")))</f>
        <v/>
      </c>
      <c r="J144" s="33" t="str">
        <f t="shared" ca="1" si="14"/>
        <v>—</v>
      </c>
      <c r="K144" s="46"/>
    </row>
    <row r="145" spans="1:11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IF(A145="","",IFERROR(VLOOKUP(A145,DB_Customers!$A:$M,13,0),""))</f>
        <v/>
      </c>
      <c r="D145" s="42" t="str">
        <f t="shared" ca="1" si="12"/>
        <v/>
      </c>
      <c r="E145" s="32"/>
      <c r="F145" s="43" t="str">
        <f t="shared" si="13"/>
        <v/>
      </c>
      <c r="G145" s="30" t="s">
        <v>62</v>
      </c>
      <c r="H145" s="41"/>
      <c r="I145" s="33" t="str">
        <f>IF(A145="","",IF(H145="","⚠️ Enter Agent Code",IF(IFERROR(VLOOKUP(G145,DB_Agents!$B:$F,4,0),"")=TEXT(H145,"0"),IF(AND(A145&lt;&gt;"",E145&lt;&gt;""),"✅ Saved","Pending"),"🔒 WRONG CODE")))</f>
        <v/>
      </c>
      <c r="J145" s="33" t="str">
        <f t="shared" ca="1" si="14"/>
        <v>—</v>
      </c>
      <c r="K145" s="22"/>
    </row>
    <row r="146" spans="1:11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IF(A146="","",IFERROR(VLOOKUP(A146,DB_Customers!$A:$M,13,0),""))</f>
        <v/>
      </c>
      <c r="D146" s="42" t="str">
        <f t="shared" ca="1" si="12"/>
        <v/>
      </c>
      <c r="E146" s="32"/>
      <c r="F146" s="43" t="str">
        <f t="shared" si="13"/>
        <v/>
      </c>
      <c r="G146" s="30" t="s">
        <v>62</v>
      </c>
      <c r="H146" s="41"/>
      <c r="I146" s="33" t="str">
        <f>IF(A146="","",IF(H146="","⚠️ Enter Agent Code",IF(IFERROR(VLOOKUP(G146,DB_Agents!$B:$F,4,0),"")=TEXT(H146,"0"),IF(AND(A146&lt;&gt;"",E146&lt;&gt;""),"✅ Saved","Pending"),"🔒 WRONG CODE")))</f>
        <v/>
      </c>
      <c r="J146" s="33" t="str">
        <f t="shared" ca="1" si="14"/>
        <v>—</v>
      </c>
      <c r="K146" s="46"/>
    </row>
    <row r="147" spans="1:11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IF(A147="","",IFERROR(VLOOKUP(A147,DB_Customers!$A:$M,13,0),""))</f>
        <v/>
      </c>
      <c r="D147" s="42" t="str">
        <f t="shared" ca="1" si="12"/>
        <v/>
      </c>
      <c r="E147" s="32"/>
      <c r="F147" s="43" t="str">
        <f t="shared" si="13"/>
        <v/>
      </c>
      <c r="G147" s="30" t="s">
        <v>62</v>
      </c>
      <c r="H147" s="41"/>
      <c r="I147" s="33" t="str">
        <f>IF(A147="","",IF(H147="","⚠️ Enter Agent Code",IF(IFERROR(VLOOKUP(G147,DB_Agents!$B:$F,4,0),"")=TEXT(H147,"0"),IF(AND(A147&lt;&gt;"",E147&lt;&gt;""),"✅ Saved","Pending"),"🔒 WRONG CODE")))</f>
        <v/>
      </c>
      <c r="J147" s="33" t="str">
        <f t="shared" ca="1" si="14"/>
        <v>—</v>
      </c>
      <c r="K147" s="22"/>
    </row>
    <row r="148" spans="1:11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IF(A148="","",IFERROR(VLOOKUP(A148,DB_Customers!$A:$M,13,0),""))</f>
        <v/>
      </c>
      <c r="D148" s="42" t="str">
        <f t="shared" ca="1" si="12"/>
        <v/>
      </c>
      <c r="E148" s="32"/>
      <c r="F148" s="43" t="str">
        <f t="shared" si="13"/>
        <v/>
      </c>
      <c r="G148" s="30" t="s">
        <v>62</v>
      </c>
      <c r="H148" s="41"/>
      <c r="I148" s="33" t="str">
        <f>IF(A148="","",IF(H148="","⚠️ Enter Agent Code",IF(IFERROR(VLOOKUP(G148,DB_Agents!$B:$F,4,0),"")=TEXT(H148,"0"),IF(AND(A148&lt;&gt;"",E148&lt;&gt;""),"✅ Saved","Pending"),"🔒 WRONG CODE")))</f>
        <v/>
      </c>
      <c r="J148" s="33" t="str">
        <f t="shared" ca="1" si="14"/>
        <v>—</v>
      </c>
      <c r="K148" s="46"/>
    </row>
    <row r="149" spans="1:11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IF(A149="","",IFERROR(VLOOKUP(A149,DB_Customers!$A:$M,13,0),""))</f>
        <v/>
      </c>
      <c r="D149" s="42" t="str">
        <f t="shared" ca="1" si="12"/>
        <v/>
      </c>
      <c r="E149" s="32"/>
      <c r="F149" s="43" t="str">
        <f t="shared" si="13"/>
        <v/>
      </c>
      <c r="G149" s="30" t="s">
        <v>62</v>
      </c>
      <c r="H149" s="41"/>
      <c r="I149" s="33" t="str">
        <f>IF(A149="","",IF(H149="","⚠️ Enter Agent Code",IF(IFERROR(VLOOKUP(G149,DB_Agents!$B:$F,4,0),"")=TEXT(H149,"0"),IF(AND(A149&lt;&gt;"",E149&lt;&gt;""),"✅ Saved","Pending"),"🔒 WRONG CODE")))</f>
        <v/>
      </c>
      <c r="J149" s="33" t="str">
        <f t="shared" ca="1" si="14"/>
        <v>—</v>
      </c>
      <c r="K149" s="22"/>
    </row>
    <row r="150" spans="1:11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IF(A150="","",IFERROR(VLOOKUP(A150,DB_Customers!$A:$M,13,0),""))</f>
        <v/>
      </c>
      <c r="D150" s="42" t="str">
        <f t="shared" ca="1" si="12"/>
        <v/>
      </c>
      <c r="E150" s="32"/>
      <c r="F150" s="43" t="str">
        <f t="shared" si="13"/>
        <v/>
      </c>
      <c r="G150" s="30" t="s">
        <v>62</v>
      </c>
      <c r="H150" s="41"/>
      <c r="I150" s="33" t="str">
        <f>IF(A150="","",IF(H150="","⚠️ Enter Agent Code",IF(IFERROR(VLOOKUP(G150,DB_Agents!$B:$F,4,0),"")=TEXT(H150,"0"),IF(AND(A150&lt;&gt;"",E150&lt;&gt;""),"✅ Saved","Pending"),"🔒 WRONG CODE")))</f>
        <v/>
      </c>
      <c r="J150" s="33" t="str">
        <f t="shared" ca="1" si="14"/>
        <v>—</v>
      </c>
      <c r="K150" s="46"/>
    </row>
    <row r="151" spans="1:11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IF(A151="","",IFERROR(VLOOKUP(A151,DB_Customers!$A:$M,13,0),""))</f>
        <v/>
      </c>
      <c r="D151" s="42" t="str">
        <f t="shared" ca="1" si="12"/>
        <v/>
      </c>
      <c r="E151" s="32"/>
      <c r="F151" s="43" t="str">
        <f t="shared" si="13"/>
        <v/>
      </c>
      <c r="G151" s="30" t="s">
        <v>62</v>
      </c>
      <c r="H151" s="41"/>
      <c r="I151" s="33" t="str">
        <f>IF(A151="","",IF(H151="","⚠️ Enter Agent Code",IF(IFERROR(VLOOKUP(G151,DB_Agents!$B:$F,4,0),"")=TEXT(H151,"0"),IF(AND(A151&lt;&gt;"",E151&lt;&gt;""),"✅ Saved","Pending"),"🔒 WRONG CODE")))</f>
        <v/>
      </c>
      <c r="J151" s="33" t="str">
        <f t="shared" ca="1" si="14"/>
        <v>—</v>
      </c>
      <c r="K151" s="22"/>
    </row>
    <row r="152" spans="1:11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IF(A152="","",IFERROR(VLOOKUP(A152,DB_Customers!$A:$M,13,0),""))</f>
        <v/>
      </c>
      <c r="D152" s="42" t="str">
        <f t="shared" ca="1" si="12"/>
        <v/>
      </c>
      <c r="E152" s="32"/>
      <c r="F152" s="43" t="str">
        <f t="shared" si="13"/>
        <v/>
      </c>
      <c r="G152" s="30" t="s">
        <v>62</v>
      </c>
      <c r="H152" s="41"/>
      <c r="I152" s="33" t="str">
        <f>IF(A152="","",IF(H152="","⚠️ Enter Agent Code",IF(IFERROR(VLOOKUP(G152,DB_Agents!$B:$F,4,0),"")=TEXT(H152,"0"),IF(AND(A152&lt;&gt;"",E152&lt;&gt;""),"✅ Saved","Pending"),"🔒 WRONG CODE")))</f>
        <v/>
      </c>
      <c r="J152" s="33" t="str">
        <f t="shared" ca="1" si="14"/>
        <v>—</v>
      </c>
      <c r="K152" s="46"/>
    </row>
    <row r="153" spans="1:11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IF(A153="","",IFERROR(VLOOKUP(A153,DB_Customers!$A:$M,13,0),""))</f>
        <v/>
      </c>
      <c r="D153" s="42" t="str">
        <f t="shared" ca="1" si="12"/>
        <v/>
      </c>
      <c r="E153" s="32"/>
      <c r="F153" s="43" t="str">
        <f t="shared" si="13"/>
        <v/>
      </c>
      <c r="G153" s="30" t="s">
        <v>62</v>
      </c>
      <c r="H153" s="41"/>
      <c r="I153" s="33" t="str">
        <f>IF(A153="","",IF(H153="","⚠️ Enter Agent Code",IF(IFERROR(VLOOKUP(G153,DB_Agents!$B:$F,4,0),"")=TEXT(H153,"0"),IF(AND(A153&lt;&gt;"",E153&lt;&gt;""),"✅ Saved","Pending"),"🔒 WRONG CODE")))</f>
        <v/>
      </c>
      <c r="J153" s="33" t="str">
        <f t="shared" ca="1" si="14"/>
        <v>—</v>
      </c>
      <c r="K153" s="22"/>
    </row>
    <row r="154" spans="1:11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IF(A154="","",IFERROR(VLOOKUP(A154,DB_Customers!$A:$M,13,0),""))</f>
        <v/>
      </c>
      <c r="D154" s="42" t="str">
        <f t="shared" ca="1" si="12"/>
        <v/>
      </c>
      <c r="E154" s="32"/>
      <c r="F154" s="43" t="str">
        <f t="shared" si="13"/>
        <v/>
      </c>
      <c r="G154" s="30" t="s">
        <v>62</v>
      </c>
      <c r="H154" s="41"/>
      <c r="I154" s="33" t="str">
        <f>IF(A154="","",IF(H154="","⚠️ Enter Agent Code",IF(IFERROR(VLOOKUP(G154,DB_Agents!$B:$F,4,0),"")=TEXT(H154,"0"),IF(AND(A154&lt;&gt;"",E154&lt;&gt;""),"✅ Saved","Pending"),"🔒 WRONG CODE")))</f>
        <v/>
      </c>
      <c r="J154" s="33" t="str">
        <f t="shared" ca="1" si="14"/>
        <v>—</v>
      </c>
      <c r="K154" s="46"/>
    </row>
    <row r="155" spans="1:11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IF(A155="","",IFERROR(VLOOKUP(A155,DB_Customers!$A:$M,13,0),""))</f>
        <v/>
      </c>
      <c r="D155" s="42" t="str">
        <f t="shared" ca="1" si="12"/>
        <v/>
      </c>
      <c r="E155" s="32"/>
      <c r="F155" s="43" t="str">
        <f t="shared" si="13"/>
        <v/>
      </c>
      <c r="G155" s="30" t="s">
        <v>62</v>
      </c>
      <c r="H155" s="41"/>
      <c r="I155" s="33" t="str">
        <f>IF(A155="","",IF(H155="","⚠️ Enter Agent Code",IF(IFERROR(VLOOKUP(G155,DB_Agents!$B:$F,4,0),"")=TEXT(H155,"0"),IF(AND(A155&lt;&gt;"",E155&lt;&gt;""),"✅ Saved","Pending"),"🔒 WRONG CODE")))</f>
        <v/>
      </c>
      <c r="J155" s="33" t="str">
        <f t="shared" ca="1" si="14"/>
        <v>—</v>
      </c>
      <c r="K155" s="22"/>
    </row>
    <row r="156" spans="1:11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IF(A156="","",IFERROR(VLOOKUP(A156,DB_Customers!$A:$M,13,0),""))</f>
        <v/>
      </c>
      <c r="D156" s="42" t="str">
        <f t="shared" ca="1" si="12"/>
        <v/>
      </c>
      <c r="E156" s="32"/>
      <c r="F156" s="43" t="str">
        <f t="shared" si="13"/>
        <v/>
      </c>
      <c r="G156" s="30" t="s">
        <v>62</v>
      </c>
      <c r="H156" s="41"/>
      <c r="I156" s="33" t="str">
        <f>IF(A156="","",IF(H156="","⚠️ Enter Agent Code",IF(IFERROR(VLOOKUP(G156,DB_Agents!$B:$F,4,0),"")=TEXT(H156,"0"),IF(AND(A156&lt;&gt;"",E156&lt;&gt;""),"✅ Saved","Pending"),"🔒 WRONG CODE")))</f>
        <v/>
      </c>
      <c r="J156" s="33" t="str">
        <f t="shared" ca="1" si="14"/>
        <v>—</v>
      </c>
      <c r="K156" s="46"/>
    </row>
    <row r="157" spans="1:11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IF(A157="","",IFERROR(VLOOKUP(A157,DB_Customers!$A:$M,13,0),""))</f>
        <v/>
      </c>
      <c r="D157" s="42" t="str">
        <f t="shared" ca="1" si="12"/>
        <v/>
      </c>
      <c r="E157" s="32"/>
      <c r="F157" s="43" t="str">
        <f t="shared" si="13"/>
        <v/>
      </c>
      <c r="G157" s="30" t="s">
        <v>62</v>
      </c>
      <c r="H157" s="41"/>
      <c r="I157" s="33" t="str">
        <f>IF(A157="","",IF(H157="","⚠️ Enter Agent Code",IF(IFERROR(VLOOKUP(G157,DB_Agents!$B:$F,4,0),"")=TEXT(H157,"0"),IF(AND(A157&lt;&gt;"",E157&lt;&gt;""),"✅ Saved","Pending"),"🔒 WRONG CODE")))</f>
        <v/>
      </c>
      <c r="J157" s="33" t="str">
        <f t="shared" ca="1" si="14"/>
        <v>—</v>
      </c>
      <c r="K157" s="22"/>
    </row>
    <row r="158" spans="1:11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IF(A158="","",IFERROR(VLOOKUP(A158,DB_Customers!$A:$M,13,0),""))</f>
        <v/>
      </c>
      <c r="D158" s="42" t="str">
        <f t="shared" ca="1" si="12"/>
        <v/>
      </c>
      <c r="E158" s="32"/>
      <c r="F158" s="43" t="str">
        <f t="shared" si="13"/>
        <v/>
      </c>
      <c r="G158" s="30" t="s">
        <v>62</v>
      </c>
      <c r="H158" s="41"/>
      <c r="I158" s="33" t="str">
        <f>IF(A158="","",IF(H158="","⚠️ Enter Agent Code",IF(IFERROR(VLOOKUP(G158,DB_Agents!$B:$F,4,0),"")=TEXT(H158,"0"),IF(AND(A158&lt;&gt;"",E158&lt;&gt;""),"✅ Saved","Pending"),"🔒 WRONG CODE")))</f>
        <v/>
      </c>
      <c r="J158" s="33" t="str">
        <f t="shared" ca="1" si="14"/>
        <v>—</v>
      </c>
      <c r="K158" s="46"/>
    </row>
    <row r="159" spans="1:11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IF(A159="","",IFERROR(VLOOKUP(A159,DB_Customers!$A:$M,13,0),""))</f>
        <v/>
      </c>
      <c r="D159" s="42" t="str">
        <f t="shared" ca="1" si="12"/>
        <v/>
      </c>
      <c r="E159" s="32"/>
      <c r="F159" s="43" t="str">
        <f t="shared" si="13"/>
        <v/>
      </c>
      <c r="G159" s="30" t="s">
        <v>62</v>
      </c>
      <c r="H159" s="41"/>
      <c r="I159" s="33" t="str">
        <f>IF(A159="","",IF(H159="","⚠️ Enter Agent Code",IF(IFERROR(VLOOKUP(G159,DB_Agents!$B:$F,4,0),"")=TEXT(H159,"0"),IF(AND(A159&lt;&gt;"",E159&lt;&gt;""),"✅ Saved","Pending"),"🔒 WRONG CODE")))</f>
        <v/>
      </c>
      <c r="J159" s="33" t="str">
        <f t="shared" ca="1" si="14"/>
        <v>—</v>
      </c>
      <c r="K159" s="22"/>
    </row>
    <row r="160" spans="1:11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IF(A160="","",IFERROR(VLOOKUP(A160,DB_Customers!$A:$M,13,0),""))</f>
        <v/>
      </c>
      <c r="D160" s="42" t="str">
        <f t="shared" ca="1" si="12"/>
        <v/>
      </c>
      <c r="E160" s="32"/>
      <c r="F160" s="43" t="str">
        <f t="shared" si="13"/>
        <v/>
      </c>
      <c r="G160" s="30" t="s">
        <v>62</v>
      </c>
      <c r="H160" s="41"/>
      <c r="I160" s="33" t="str">
        <f>IF(A160="","",IF(H160="","⚠️ Enter Agent Code",IF(IFERROR(VLOOKUP(G160,DB_Agents!$B:$F,4,0),"")=TEXT(H160,"0"),IF(AND(A160&lt;&gt;"",E160&lt;&gt;""),"✅ Saved","Pending"),"🔒 WRONG CODE")))</f>
        <v/>
      </c>
      <c r="J160" s="33" t="str">
        <f t="shared" ca="1" si="14"/>
        <v>—</v>
      </c>
      <c r="K160" s="46"/>
    </row>
    <row r="161" spans="1:11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IF(A161="","",IFERROR(VLOOKUP(A161,DB_Customers!$A:$M,13,0),""))</f>
        <v/>
      </c>
      <c r="D161" s="42" t="str">
        <f t="shared" ca="1" si="12"/>
        <v/>
      </c>
      <c r="E161" s="32"/>
      <c r="F161" s="43" t="str">
        <f t="shared" si="13"/>
        <v/>
      </c>
      <c r="G161" s="30" t="s">
        <v>62</v>
      </c>
      <c r="H161" s="41"/>
      <c r="I161" s="33" t="str">
        <f>IF(A161="","",IF(H161="","⚠️ Enter Agent Code",IF(IFERROR(VLOOKUP(G161,DB_Agents!$B:$F,4,0),"")=TEXT(H161,"0"),IF(AND(A161&lt;&gt;"",E161&lt;&gt;""),"✅ Saved","Pending"),"🔒 WRONG CODE")))</f>
        <v/>
      </c>
      <c r="J161" s="33" t="str">
        <f t="shared" ca="1" si="14"/>
        <v>—</v>
      </c>
      <c r="K161" s="22"/>
    </row>
    <row r="162" spans="1:11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IF(A162="","",IFERROR(VLOOKUP(A162,DB_Customers!$A:$M,13,0),""))</f>
        <v/>
      </c>
      <c r="D162" s="42" t="str">
        <f t="shared" ca="1" si="12"/>
        <v/>
      </c>
      <c r="E162" s="32"/>
      <c r="F162" s="43" t="str">
        <f t="shared" si="13"/>
        <v/>
      </c>
      <c r="G162" s="30" t="s">
        <v>62</v>
      </c>
      <c r="H162" s="41"/>
      <c r="I162" s="33" t="str">
        <f>IF(A162="","",IF(H162="","⚠️ Enter Agent Code",IF(IFERROR(VLOOKUP(G162,DB_Agents!$B:$F,4,0),"")=TEXT(H162,"0"),IF(AND(A162&lt;&gt;"",E162&lt;&gt;""),"✅ Saved","Pending"),"🔒 WRONG CODE")))</f>
        <v/>
      </c>
      <c r="J162" s="33" t="str">
        <f t="shared" ca="1" si="14"/>
        <v>—</v>
      </c>
      <c r="K162" s="46"/>
    </row>
    <row r="163" spans="1:11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IF(A163="","",IFERROR(VLOOKUP(A163,DB_Customers!$A:$M,13,0),""))</f>
        <v/>
      </c>
      <c r="D163" s="42" t="str">
        <f t="shared" ca="1" si="12"/>
        <v/>
      </c>
      <c r="E163" s="32"/>
      <c r="F163" s="43" t="str">
        <f t="shared" si="13"/>
        <v/>
      </c>
      <c r="G163" s="30" t="s">
        <v>62</v>
      </c>
      <c r="H163" s="41"/>
      <c r="I163" s="33" t="str">
        <f>IF(A163="","",IF(H163="","⚠️ Enter Agent Code",IF(IFERROR(VLOOKUP(G163,DB_Agents!$B:$F,4,0),"")=TEXT(H163,"0"),IF(AND(A163&lt;&gt;"",E163&lt;&gt;""),"✅ Saved","Pending"),"🔒 WRONG CODE")))</f>
        <v/>
      </c>
      <c r="J163" s="33" t="str">
        <f t="shared" ca="1" si="14"/>
        <v>—</v>
      </c>
      <c r="K163" s="22"/>
    </row>
    <row r="164" spans="1:11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IF(A164="","",IFERROR(VLOOKUP(A164,DB_Customers!$A:$M,13,0),""))</f>
        <v/>
      </c>
      <c r="D164" s="42" t="str">
        <f t="shared" ca="1" si="12"/>
        <v/>
      </c>
      <c r="E164" s="32"/>
      <c r="F164" s="43" t="str">
        <f t="shared" si="13"/>
        <v/>
      </c>
      <c r="G164" s="30" t="s">
        <v>62</v>
      </c>
      <c r="H164" s="41"/>
      <c r="I164" s="33" t="str">
        <f>IF(A164="","",IF(H164="","⚠️ Enter Agent Code",IF(IFERROR(VLOOKUP(G164,DB_Agents!$B:$F,4,0),"")=TEXT(H164,"0"),IF(AND(A164&lt;&gt;"",E164&lt;&gt;""),"✅ Saved","Pending"),"🔒 WRONG CODE")))</f>
        <v/>
      </c>
      <c r="J164" s="33" t="str">
        <f t="shared" ca="1" si="14"/>
        <v>—</v>
      </c>
      <c r="K164" s="46"/>
    </row>
    <row r="165" spans="1:11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IF(A165="","",IFERROR(VLOOKUP(A165,DB_Customers!$A:$M,13,0),""))</f>
        <v/>
      </c>
      <c r="D165" s="42" t="str">
        <f t="shared" ca="1" si="12"/>
        <v/>
      </c>
      <c r="E165" s="32"/>
      <c r="F165" s="43" t="str">
        <f t="shared" si="13"/>
        <v/>
      </c>
      <c r="G165" s="30" t="s">
        <v>62</v>
      </c>
      <c r="H165" s="41"/>
      <c r="I165" s="33" t="str">
        <f>IF(A165="","",IF(H165="","⚠️ Enter Agent Code",IF(IFERROR(VLOOKUP(G165,DB_Agents!$B:$F,4,0),"")=TEXT(H165,"0"),IF(AND(A165&lt;&gt;"",E165&lt;&gt;""),"✅ Saved","Pending"),"🔒 WRONG CODE")))</f>
        <v/>
      </c>
      <c r="J165" s="33" t="str">
        <f t="shared" ca="1" si="14"/>
        <v>—</v>
      </c>
      <c r="K165" s="22"/>
    </row>
    <row r="166" spans="1:11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IF(A166="","",IFERROR(VLOOKUP(A166,DB_Customers!$A:$M,13,0),""))</f>
        <v/>
      </c>
      <c r="D166" s="42" t="str">
        <f t="shared" ca="1" si="12"/>
        <v/>
      </c>
      <c r="E166" s="32"/>
      <c r="F166" s="43" t="str">
        <f t="shared" si="13"/>
        <v/>
      </c>
      <c r="G166" s="30" t="s">
        <v>62</v>
      </c>
      <c r="H166" s="41"/>
      <c r="I166" s="33" t="str">
        <f>IF(A166="","",IF(H166="","⚠️ Enter Agent Code",IF(IFERROR(VLOOKUP(G166,DB_Agents!$B:$F,4,0),"")=TEXT(H166,"0"),IF(AND(A166&lt;&gt;"",E166&lt;&gt;""),"✅ Saved","Pending"),"🔒 WRONG CODE")))</f>
        <v/>
      </c>
      <c r="J166" s="33" t="str">
        <f t="shared" ca="1" si="14"/>
        <v>—</v>
      </c>
      <c r="K166" s="46"/>
    </row>
    <row r="167" spans="1:11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IF(A167="","",IFERROR(VLOOKUP(A167,DB_Customers!$A:$M,13,0),""))</f>
        <v/>
      </c>
      <c r="D167" s="42" t="str">
        <f t="shared" ca="1" si="12"/>
        <v/>
      </c>
      <c r="E167" s="32"/>
      <c r="F167" s="43" t="str">
        <f t="shared" si="13"/>
        <v/>
      </c>
      <c r="G167" s="30" t="s">
        <v>62</v>
      </c>
      <c r="H167" s="41"/>
      <c r="I167" s="33" t="str">
        <f>IF(A167="","",IF(H167="","⚠️ Enter Agent Code",IF(IFERROR(VLOOKUP(G167,DB_Agents!$B:$F,4,0),"")=TEXT(H167,"0"),IF(AND(A167&lt;&gt;"",E167&lt;&gt;""),"✅ Saved","Pending"),"🔒 WRONG CODE")))</f>
        <v/>
      </c>
      <c r="J167" s="33" t="str">
        <f t="shared" ca="1" si="14"/>
        <v>—</v>
      </c>
      <c r="K167" s="22"/>
    </row>
    <row r="168" spans="1:11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IF(A168="","",IFERROR(VLOOKUP(A168,DB_Customers!$A:$M,13,0),""))</f>
        <v/>
      </c>
      <c r="D168" s="42" t="str">
        <f t="shared" ca="1" si="12"/>
        <v/>
      </c>
      <c r="E168" s="32"/>
      <c r="F168" s="43" t="str">
        <f t="shared" si="13"/>
        <v/>
      </c>
      <c r="G168" s="30" t="s">
        <v>62</v>
      </c>
      <c r="H168" s="41"/>
      <c r="I168" s="33" t="str">
        <f>IF(A168="","",IF(H168="","⚠️ Enter Agent Code",IF(IFERROR(VLOOKUP(G168,DB_Agents!$B:$F,4,0),"")=TEXT(H168,"0"),IF(AND(A168&lt;&gt;"",E168&lt;&gt;""),"✅ Saved","Pending"),"🔒 WRONG CODE")))</f>
        <v/>
      </c>
      <c r="J168" s="33" t="str">
        <f t="shared" ca="1" si="14"/>
        <v>—</v>
      </c>
      <c r="K168" s="46"/>
    </row>
    <row r="169" spans="1:11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IF(A169="","",IFERROR(VLOOKUP(A169,DB_Customers!$A:$M,13,0),""))</f>
        <v/>
      </c>
      <c r="D169" s="42" t="str">
        <f t="shared" ref="D169:D200" ca="1" si="15">IF(A169="","",TODAY())</f>
        <v/>
      </c>
      <c r="E169" s="32"/>
      <c r="F169" s="43" t="str">
        <f t="shared" ref="F169:F200" si="16">IFERROR(IF(OR(A169="",E169=""),"",C169+E169),"")</f>
        <v/>
      </c>
      <c r="G169" s="30" t="s">
        <v>62</v>
      </c>
      <c r="H169" s="41"/>
      <c r="I169" s="33" t="str">
        <f>IF(A169="","",IF(H169="","⚠️ Enter Agent Code",IF(IFERROR(VLOOKUP(G169,DB_Agents!$B:$F,4,0),"")=TEXT(H169,"0"),IF(AND(A169&lt;&gt;"",E169&lt;&gt;""),"✅ Saved","Pending"),"🔒 WRONG CODE")))</f>
        <v/>
      </c>
      <c r="J169" s="33" t="str">
        <f t="shared" ref="J169:J200" ca="1" si="17">IF(I169="✅ Saved",TEXT(TODAY(),"YYYY-MM-DD")&amp;" Auto","—")</f>
        <v>—</v>
      </c>
      <c r="K169" s="22"/>
    </row>
    <row r="170" spans="1:11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IF(A170="","",IFERROR(VLOOKUP(A170,DB_Customers!$A:$M,13,0),""))</f>
        <v/>
      </c>
      <c r="D170" s="42" t="str">
        <f t="shared" ca="1" si="15"/>
        <v/>
      </c>
      <c r="E170" s="32"/>
      <c r="F170" s="43" t="str">
        <f t="shared" si="16"/>
        <v/>
      </c>
      <c r="G170" s="30" t="s">
        <v>62</v>
      </c>
      <c r="H170" s="41"/>
      <c r="I170" s="33" t="str">
        <f>IF(A170="","",IF(H170="","⚠️ Enter Agent Code",IF(IFERROR(VLOOKUP(G170,DB_Agents!$B:$F,4,0),"")=TEXT(H170,"0"),IF(AND(A170&lt;&gt;"",E170&lt;&gt;""),"✅ Saved","Pending"),"🔒 WRONG CODE")))</f>
        <v/>
      </c>
      <c r="J170" s="33" t="str">
        <f t="shared" ca="1" si="17"/>
        <v>—</v>
      </c>
      <c r="K170" s="46"/>
    </row>
    <row r="171" spans="1:11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IF(A171="","",IFERROR(VLOOKUP(A171,DB_Customers!$A:$M,13,0),""))</f>
        <v/>
      </c>
      <c r="D171" s="42" t="str">
        <f t="shared" ca="1" si="15"/>
        <v/>
      </c>
      <c r="E171" s="32"/>
      <c r="F171" s="43" t="str">
        <f t="shared" si="16"/>
        <v/>
      </c>
      <c r="G171" s="30" t="s">
        <v>62</v>
      </c>
      <c r="H171" s="41"/>
      <c r="I171" s="33" t="str">
        <f>IF(A171="","",IF(H171="","⚠️ Enter Agent Code",IF(IFERROR(VLOOKUP(G171,DB_Agents!$B:$F,4,0),"")=TEXT(H171,"0"),IF(AND(A171&lt;&gt;"",E171&lt;&gt;""),"✅ Saved","Pending"),"🔒 WRONG CODE")))</f>
        <v/>
      </c>
      <c r="J171" s="33" t="str">
        <f t="shared" ca="1" si="17"/>
        <v>—</v>
      </c>
      <c r="K171" s="22"/>
    </row>
    <row r="172" spans="1:11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IF(A172="","",IFERROR(VLOOKUP(A172,DB_Customers!$A:$M,13,0),""))</f>
        <v/>
      </c>
      <c r="D172" s="42" t="str">
        <f t="shared" ca="1" si="15"/>
        <v/>
      </c>
      <c r="E172" s="32"/>
      <c r="F172" s="43" t="str">
        <f t="shared" si="16"/>
        <v/>
      </c>
      <c r="G172" s="30" t="s">
        <v>62</v>
      </c>
      <c r="H172" s="41"/>
      <c r="I172" s="33" t="str">
        <f>IF(A172="","",IF(H172="","⚠️ Enter Agent Code",IF(IFERROR(VLOOKUP(G172,DB_Agents!$B:$F,4,0),"")=TEXT(H172,"0"),IF(AND(A172&lt;&gt;"",E172&lt;&gt;""),"✅ Saved","Pending"),"🔒 WRONG CODE")))</f>
        <v/>
      </c>
      <c r="J172" s="33" t="str">
        <f t="shared" ca="1" si="17"/>
        <v>—</v>
      </c>
      <c r="K172" s="46"/>
    </row>
    <row r="173" spans="1:11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IF(A173="","",IFERROR(VLOOKUP(A173,DB_Customers!$A:$M,13,0),""))</f>
        <v/>
      </c>
      <c r="D173" s="42" t="str">
        <f t="shared" ca="1" si="15"/>
        <v/>
      </c>
      <c r="E173" s="32"/>
      <c r="F173" s="43" t="str">
        <f t="shared" si="16"/>
        <v/>
      </c>
      <c r="G173" s="30" t="s">
        <v>62</v>
      </c>
      <c r="H173" s="41"/>
      <c r="I173" s="33" t="str">
        <f>IF(A173="","",IF(H173="","⚠️ Enter Agent Code",IF(IFERROR(VLOOKUP(G173,DB_Agents!$B:$F,4,0),"")=TEXT(H173,"0"),IF(AND(A173&lt;&gt;"",E173&lt;&gt;""),"✅ Saved","Pending"),"🔒 WRONG CODE")))</f>
        <v/>
      </c>
      <c r="J173" s="33" t="str">
        <f t="shared" ca="1" si="17"/>
        <v>—</v>
      </c>
      <c r="K173" s="22"/>
    </row>
    <row r="174" spans="1:11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IF(A174="","",IFERROR(VLOOKUP(A174,DB_Customers!$A:$M,13,0),""))</f>
        <v/>
      </c>
      <c r="D174" s="42" t="str">
        <f t="shared" ca="1" si="15"/>
        <v/>
      </c>
      <c r="E174" s="32"/>
      <c r="F174" s="43" t="str">
        <f t="shared" si="16"/>
        <v/>
      </c>
      <c r="G174" s="30" t="s">
        <v>62</v>
      </c>
      <c r="H174" s="41"/>
      <c r="I174" s="33" t="str">
        <f>IF(A174="","",IF(H174="","⚠️ Enter Agent Code",IF(IFERROR(VLOOKUP(G174,DB_Agents!$B:$F,4,0),"")=TEXT(H174,"0"),IF(AND(A174&lt;&gt;"",E174&lt;&gt;""),"✅ Saved","Pending"),"🔒 WRONG CODE")))</f>
        <v/>
      </c>
      <c r="J174" s="33" t="str">
        <f t="shared" ca="1" si="17"/>
        <v>—</v>
      </c>
      <c r="K174" s="46"/>
    </row>
    <row r="175" spans="1:11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IF(A175="","",IFERROR(VLOOKUP(A175,DB_Customers!$A:$M,13,0),""))</f>
        <v/>
      </c>
      <c r="D175" s="42" t="str">
        <f t="shared" ca="1" si="15"/>
        <v/>
      </c>
      <c r="E175" s="32"/>
      <c r="F175" s="43" t="str">
        <f t="shared" si="16"/>
        <v/>
      </c>
      <c r="G175" s="30" t="s">
        <v>62</v>
      </c>
      <c r="H175" s="41"/>
      <c r="I175" s="33" t="str">
        <f>IF(A175="","",IF(H175="","⚠️ Enter Agent Code",IF(IFERROR(VLOOKUP(G175,DB_Agents!$B:$F,4,0),"")=TEXT(H175,"0"),IF(AND(A175&lt;&gt;"",E175&lt;&gt;""),"✅ Saved","Pending"),"🔒 WRONG CODE")))</f>
        <v/>
      </c>
      <c r="J175" s="33" t="str">
        <f t="shared" ca="1" si="17"/>
        <v>—</v>
      </c>
      <c r="K175" s="22"/>
    </row>
    <row r="176" spans="1:11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IF(A176="","",IFERROR(VLOOKUP(A176,DB_Customers!$A:$M,13,0),""))</f>
        <v/>
      </c>
      <c r="D176" s="42" t="str">
        <f t="shared" ca="1" si="15"/>
        <v/>
      </c>
      <c r="E176" s="32"/>
      <c r="F176" s="43" t="str">
        <f t="shared" si="16"/>
        <v/>
      </c>
      <c r="G176" s="30" t="s">
        <v>62</v>
      </c>
      <c r="H176" s="41"/>
      <c r="I176" s="33" t="str">
        <f>IF(A176="","",IF(H176="","⚠️ Enter Agent Code",IF(IFERROR(VLOOKUP(G176,DB_Agents!$B:$F,4,0),"")=TEXT(H176,"0"),IF(AND(A176&lt;&gt;"",E176&lt;&gt;""),"✅ Saved","Pending"),"🔒 WRONG CODE")))</f>
        <v/>
      </c>
      <c r="J176" s="33" t="str">
        <f t="shared" ca="1" si="17"/>
        <v>—</v>
      </c>
      <c r="K176" s="46"/>
    </row>
    <row r="177" spans="1:11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IF(A177="","",IFERROR(VLOOKUP(A177,DB_Customers!$A:$M,13,0),""))</f>
        <v/>
      </c>
      <c r="D177" s="42" t="str">
        <f t="shared" ca="1" si="15"/>
        <v/>
      </c>
      <c r="E177" s="32"/>
      <c r="F177" s="43" t="str">
        <f t="shared" si="16"/>
        <v/>
      </c>
      <c r="G177" s="30" t="s">
        <v>62</v>
      </c>
      <c r="H177" s="41"/>
      <c r="I177" s="33" t="str">
        <f>IF(A177="","",IF(H177="","⚠️ Enter Agent Code",IF(IFERROR(VLOOKUP(G177,DB_Agents!$B:$F,4,0),"")=TEXT(H177,"0"),IF(AND(A177&lt;&gt;"",E177&lt;&gt;""),"✅ Saved","Pending"),"🔒 WRONG CODE")))</f>
        <v/>
      </c>
      <c r="J177" s="33" t="str">
        <f t="shared" ca="1" si="17"/>
        <v>—</v>
      </c>
      <c r="K177" s="22"/>
    </row>
    <row r="178" spans="1:11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IF(A178="","",IFERROR(VLOOKUP(A178,DB_Customers!$A:$M,13,0),""))</f>
        <v/>
      </c>
      <c r="D178" s="42" t="str">
        <f t="shared" ca="1" si="15"/>
        <v/>
      </c>
      <c r="E178" s="32"/>
      <c r="F178" s="43" t="str">
        <f t="shared" si="16"/>
        <v/>
      </c>
      <c r="G178" s="30" t="s">
        <v>62</v>
      </c>
      <c r="H178" s="41"/>
      <c r="I178" s="33" t="str">
        <f>IF(A178="","",IF(H178="","⚠️ Enter Agent Code",IF(IFERROR(VLOOKUP(G178,DB_Agents!$B:$F,4,0),"")=TEXT(H178,"0"),IF(AND(A178&lt;&gt;"",E178&lt;&gt;""),"✅ Saved","Pending"),"🔒 WRONG CODE")))</f>
        <v/>
      </c>
      <c r="J178" s="33" t="str">
        <f t="shared" ca="1" si="17"/>
        <v>—</v>
      </c>
      <c r="K178" s="46"/>
    </row>
    <row r="179" spans="1:11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IF(A179="","",IFERROR(VLOOKUP(A179,DB_Customers!$A:$M,13,0),""))</f>
        <v/>
      </c>
      <c r="D179" s="42" t="str">
        <f t="shared" ca="1" si="15"/>
        <v/>
      </c>
      <c r="E179" s="32"/>
      <c r="F179" s="43" t="str">
        <f t="shared" si="16"/>
        <v/>
      </c>
      <c r="G179" s="30" t="s">
        <v>62</v>
      </c>
      <c r="H179" s="41"/>
      <c r="I179" s="33" t="str">
        <f>IF(A179="","",IF(H179="","⚠️ Enter Agent Code",IF(IFERROR(VLOOKUP(G179,DB_Agents!$B:$F,4,0),"")=TEXT(H179,"0"),IF(AND(A179&lt;&gt;"",E179&lt;&gt;""),"✅ Saved","Pending"),"🔒 WRONG CODE")))</f>
        <v/>
      </c>
      <c r="J179" s="33" t="str">
        <f t="shared" ca="1" si="17"/>
        <v>—</v>
      </c>
      <c r="K179" s="22"/>
    </row>
    <row r="180" spans="1:11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IF(A180="","",IFERROR(VLOOKUP(A180,DB_Customers!$A:$M,13,0),""))</f>
        <v/>
      </c>
      <c r="D180" s="42" t="str">
        <f t="shared" ca="1" si="15"/>
        <v/>
      </c>
      <c r="E180" s="32"/>
      <c r="F180" s="43" t="str">
        <f t="shared" si="16"/>
        <v/>
      </c>
      <c r="G180" s="30" t="s">
        <v>62</v>
      </c>
      <c r="H180" s="41"/>
      <c r="I180" s="33" t="str">
        <f>IF(A180="","",IF(H180="","⚠️ Enter Agent Code",IF(IFERROR(VLOOKUP(G180,DB_Agents!$B:$F,4,0),"")=TEXT(H180,"0"),IF(AND(A180&lt;&gt;"",E180&lt;&gt;""),"✅ Saved","Pending"),"🔒 WRONG CODE")))</f>
        <v/>
      </c>
      <c r="J180" s="33" t="str">
        <f t="shared" ca="1" si="17"/>
        <v>—</v>
      </c>
      <c r="K180" s="46"/>
    </row>
    <row r="181" spans="1:11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IF(A181="","",IFERROR(VLOOKUP(A181,DB_Customers!$A:$M,13,0),""))</f>
        <v/>
      </c>
      <c r="D181" s="42" t="str">
        <f t="shared" ca="1" si="15"/>
        <v/>
      </c>
      <c r="E181" s="32"/>
      <c r="F181" s="43" t="str">
        <f t="shared" si="16"/>
        <v/>
      </c>
      <c r="G181" s="30" t="s">
        <v>62</v>
      </c>
      <c r="H181" s="41"/>
      <c r="I181" s="33" t="str">
        <f>IF(A181="","",IF(H181="","⚠️ Enter Agent Code",IF(IFERROR(VLOOKUP(G181,DB_Agents!$B:$F,4,0),"")=TEXT(H181,"0"),IF(AND(A181&lt;&gt;"",E181&lt;&gt;""),"✅ Saved","Pending"),"🔒 WRONG CODE")))</f>
        <v/>
      </c>
      <c r="J181" s="33" t="str">
        <f t="shared" ca="1" si="17"/>
        <v>—</v>
      </c>
      <c r="K181" s="22"/>
    </row>
    <row r="182" spans="1:11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IF(A182="","",IFERROR(VLOOKUP(A182,DB_Customers!$A:$M,13,0),""))</f>
        <v/>
      </c>
      <c r="D182" s="42" t="str">
        <f t="shared" ca="1" si="15"/>
        <v/>
      </c>
      <c r="E182" s="32"/>
      <c r="F182" s="43" t="str">
        <f t="shared" si="16"/>
        <v/>
      </c>
      <c r="G182" s="30" t="s">
        <v>62</v>
      </c>
      <c r="H182" s="41"/>
      <c r="I182" s="33" t="str">
        <f>IF(A182="","",IF(H182="","⚠️ Enter Agent Code",IF(IFERROR(VLOOKUP(G182,DB_Agents!$B:$F,4,0),"")=TEXT(H182,"0"),IF(AND(A182&lt;&gt;"",E182&lt;&gt;""),"✅ Saved","Pending"),"🔒 WRONG CODE")))</f>
        <v/>
      </c>
      <c r="J182" s="33" t="str">
        <f t="shared" ca="1" si="17"/>
        <v>—</v>
      </c>
      <c r="K182" s="46"/>
    </row>
    <row r="183" spans="1:11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IF(A183="","",IFERROR(VLOOKUP(A183,DB_Customers!$A:$M,13,0),""))</f>
        <v/>
      </c>
      <c r="D183" s="42" t="str">
        <f t="shared" ca="1" si="15"/>
        <v/>
      </c>
      <c r="E183" s="32"/>
      <c r="F183" s="43" t="str">
        <f t="shared" si="16"/>
        <v/>
      </c>
      <c r="G183" s="30" t="s">
        <v>62</v>
      </c>
      <c r="H183" s="41"/>
      <c r="I183" s="33" t="str">
        <f>IF(A183="","",IF(H183="","⚠️ Enter Agent Code",IF(IFERROR(VLOOKUP(G183,DB_Agents!$B:$F,4,0),"")=TEXT(H183,"0"),IF(AND(A183&lt;&gt;"",E183&lt;&gt;""),"✅ Saved","Pending"),"🔒 WRONG CODE")))</f>
        <v/>
      </c>
      <c r="J183" s="33" t="str">
        <f t="shared" ca="1" si="17"/>
        <v>—</v>
      </c>
      <c r="K183" s="22"/>
    </row>
    <row r="184" spans="1:11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IF(A184="","",IFERROR(VLOOKUP(A184,DB_Customers!$A:$M,13,0),""))</f>
        <v/>
      </c>
      <c r="D184" s="42" t="str">
        <f t="shared" ca="1" si="15"/>
        <v/>
      </c>
      <c r="E184" s="32"/>
      <c r="F184" s="43" t="str">
        <f t="shared" si="16"/>
        <v/>
      </c>
      <c r="G184" s="30" t="s">
        <v>62</v>
      </c>
      <c r="H184" s="41"/>
      <c r="I184" s="33" t="str">
        <f>IF(A184="","",IF(H184="","⚠️ Enter Agent Code",IF(IFERROR(VLOOKUP(G184,DB_Agents!$B:$F,4,0),"")=TEXT(H184,"0"),IF(AND(A184&lt;&gt;"",E184&lt;&gt;""),"✅ Saved","Pending"),"🔒 WRONG CODE")))</f>
        <v/>
      </c>
      <c r="J184" s="33" t="str">
        <f t="shared" ca="1" si="17"/>
        <v>—</v>
      </c>
      <c r="K184" s="46"/>
    </row>
    <row r="185" spans="1:11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IF(A185="","",IFERROR(VLOOKUP(A185,DB_Customers!$A:$M,13,0),""))</f>
        <v/>
      </c>
      <c r="D185" s="42" t="str">
        <f t="shared" ca="1" si="15"/>
        <v/>
      </c>
      <c r="E185" s="32"/>
      <c r="F185" s="43" t="str">
        <f t="shared" si="16"/>
        <v/>
      </c>
      <c r="G185" s="30" t="s">
        <v>62</v>
      </c>
      <c r="H185" s="41"/>
      <c r="I185" s="33" t="str">
        <f>IF(A185="","",IF(H185="","⚠️ Enter Agent Code",IF(IFERROR(VLOOKUP(G185,DB_Agents!$B:$F,4,0),"")=TEXT(H185,"0"),IF(AND(A185&lt;&gt;"",E185&lt;&gt;""),"✅ Saved","Pending"),"🔒 WRONG CODE")))</f>
        <v/>
      </c>
      <c r="J185" s="33" t="str">
        <f t="shared" ca="1" si="17"/>
        <v>—</v>
      </c>
      <c r="K185" s="22"/>
    </row>
    <row r="186" spans="1:11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IF(A186="","",IFERROR(VLOOKUP(A186,DB_Customers!$A:$M,13,0),""))</f>
        <v/>
      </c>
      <c r="D186" s="42" t="str">
        <f t="shared" ca="1" si="15"/>
        <v/>
      </c>
      <c r="E186" s="32"/>
      <c r="F186" s="43" t="str">
        <f t="shared" si="16"/>
        <v/>
      </c>
      <c r="G186" s="30" t="s">
        <v>62</v>
      </c>
      <c r="H186" s="41"/>
      <c r="I186" s="33" t="str">
        <f>IF(A186="","",IF(H186="","⚠️ Enter Agent Code",IF(IFERROR(VLOOKUP(G186,DB_Agents!$B:$F,4,0),"")=TEXT(H186,"0"),IF(AND(A186&lt;&gt;"",E186&lt;&gt;""),"✅ Saved","Pending"),"🔒 WRONG CODE")))</f>
        <v/>
      </c>
      <c r="J186" s="33" t="str">
        <f t="shared" ca="1" si="17"/>
        <v>—</v>
      </c>
      <c r="K186" s="46"/>
    </row>
    <row r="187" spans="1:11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IF(A187="","",IFERROR(VLOOKUP(A187,DB_Customers!$A:$M,13,0),""))</f>
        <v/>
      </c>
      <c r="D187" s="42" t="str">
        <f t="shared" ca="1" si="15"/>
        <v/>
      </c>
      <c r="E187" s="32"/>
      <c r="F187" s="43" t="str">
        <f t="shared" si="16"/>
        <v/>
      </c>
      <c r="G187" s="30" t="s">
        <v>62</v>
      </c>
      <c r="H187" s="41"/>
      <c r="I187" s="33" t="str">
        <f>IF(A187="","",IF(H187="","⚠️ Enter Agent Code",IF(IFERROR(VLOOKUP(G187,DB_Agents!$B:$F,4,0),"")=TEXT(H187,"0"),IF(AND(A187&lt;&gt;"",E187&lt;&gt;""),"✅ Saved","Pending"),"🔒 WRONG CODE")))</f>
        <v/>
      </c>
      <c r="J187" s="33" t="str">
        <f t="shared" ca="1" si="17"/>
        <v>—</v>
      </c>
      <c r="K187" s="22"/>
    </row>
    <row r="188" spans="1:11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IF(A188="","",IFERROR(VLOOKUP(A188,DB_Customers!$A:$M,13,0),""))</f>
        <v/>
      </c>
      <c r="D188" s="42" t="str">
        <f t="shared" ca="1" si="15"/>
        <v/>
      </c>
      <c r="E188" s="32"/>
      <c r="F188" s="43" t="str">
        <f t="shared" si="16"/>
        <v/>
      </c>
      <c r="G188" s="30" t="s">
        <v>62</v>
      </c>
      <c r="H188" s="41"/>
      <c r="I188" s="33" t="str">
        <f>IF(A188="","",IF(H188="","⚠️ Enter Agent Code",IF(IFERROR(VLOOKUP(G188,DB_Agents!$B:$F,4,0),"")=TEXT(H188,"0"),IF(AND(A188&lt;&gt;"",E188&lt;&gt;""),"✅ Saved","Pending"),"🔒 WRONG CODE")))</f>
        <v/>
      </c>
      <c r="J188" s="33" t="str">
        <f t="shared" ca="1" si="17"/>
        <v>—</v>
      </c>
      <c r="K188" s="46"/>
    </row>
    <row r="189" spans="1:11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IF(A189="","",IFERROR(VLOOKUP(A189,DB_Customers!$A:$M,13,0),""))</f>
        <v/>
      </c>
      <c r="D189" s="42" t="str">
        <f t="shared" ca="1" si="15"/>
        <v/>
      </c>
      <c r="E189" s="32"/>
      <c r="F189" s="43" t="str">
        <f t="shared" si="16"/>
        <v/>
      </c>
      <c r="G189" s="30" t="s">
        <v>62</v>
      </c>
      <c r="H189" s="41"/>
      <c r="I189" s="33" t="str">
        <f>IF(A189="","",IF(H189="","⚠️ Enter Agent Code",IF(IFERROR(VLOOKUP(G189,DB_Agents!$B:$F,4,0),"")=TEXT(H189,"0"),IF(AND(A189&lt;&gt;"",E189&lt;&gt;""),"✅ Saved","Pending"),"🔒 WRONG CODE")))</f>
        <v/>
      </c>
      <c r="J189" s="33" t="str">
        <f t="shared" ca="1" si="17"/>
        <v>—</v>
      </c>
      <c r="K189" s="22"/>
    </row>
    <row r="190" spans="1:11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IF(A190="","",IFERROR(VLOOKUP(A190,DB_Customers!$A:$M,13,0),""))</f>
        <v/>
      </c>
      <c r="D190" s="42" t="str">
        <f t="shared" ca="1" si="15"/>
        <v/>
      </c>
      <c r="E190" s="32"/>
      <c r="F190" s="43" t="str">
        <f t="shared" si="16"/>
        <v/>
      </c>
      <c r="G190" s="30" t="s">
        <v>62</v>
      </c>
      <c r="H190" s="41"/>
      <c r="I190" s="33" t="str">
        <f>IF(A190="","",IF(H190="","⚠️ Enter Agent Code",IF(IFERROR(VLOOKUP(G190,DB_Agents!$B:$F,4,0),"")=TEXT(H190,"0"),IF(AND(A190&lt;&gt;"",E190&lt;&gt;""),"✅ Saved","Pending"),"🔒 WRONG CODE")))</f>
        <v/>
      </c>
      <c r="J190" s="33" t="str">
        <f t="shared" ca="1" si="17"/>
        <v>—</v>
      </c>
      <c r="K190" s="46"/>
    </row>
    <row r="191" spans="1:11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IF(A191="","",IFERROR(VLOOKUP(A191,DB_Customers!$A:$M,13,0),""))</f>
        <v/>
      </c>
      <c r="D191" s="42" t="str">
        <f t="shared" ca="1" si="15"/>
        <v/>
      </c>
      <c r="E191" s="32"/>
      <c r="F191" s="43" t="str">
        <f t="shared" si="16"/>
        <v/>
      </c>
      <c r="G191" s="30" t="s">
        <v>62</v>
      </c>
      <c r="H191" s="41"/>
      <c r="I191" s="33" t="str">
        <f>IF(A191="","",IF(H191="","⚠️ Enter Agent Code",IF(IFERROR(VLOOKUP(G191,DB_Agents!$B:$F,4,0),"")=TEXT(H191,"0"),IF(AND(A191&lt;&gt;"",E191&lt;&gt;""),"✅ Saved","Pending"),"🔒 WRONG CODE")))</f>
        <v/>
      </c>
      <c r="J191" s="33" t="str">
        <f t="shared" ca="1" si="17"/>
        <v>—</v>
      </c>
      <c r="K191" s="22"/>
    </row>
    <row r="192" spans="1:11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IF(A192="","",IFERROR(VLOOKUP(A192,DB_Customers!$A:$M,13,0),""))</f>
        <v/>
      </c>
      <c r="D192" s="42" t="str">
        <f t="shared" ca="1" si="15"/>
        <v/>
      </c>
      <c r="E192" s="32"/>
      <c r="F192" s="43" t="str">
        <f t="shared" si="16"/>
        <v/>
      </c>
      <c r="G192" s="30" t="s">
        <v>62</v>
      </c>
      <c r="H192" s="41"/>
      <c r="I192" s="33" t="str">
        <f>IF(A192="","",IF(H192="","⚠️ Enter Agent Code",IF(IFERROR(VLOOKUP(G192,DB_Agents!$B:$F,4,0),"")=TEXT(H192,"0"),IF(AND(A192&lt;&gt;"",E192&lt;&gt;""),"✅ Saved","Pending"),"🔒 WRONG CODE")))</f>
        <v/>
      </c>
      <c r="J192" s="33" t="str">
        <f t="shared" ca="1" si="17"/>
        <v>—</v>
      </c>
      <c r="K192" s="46"/>
    </row>
    <row r="193" spans="1:11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IF(A193="","",IFERROR(VLOOKUP(A193,DB_Customers!$A:$M,13,0),""))</f>
        <v/>
      </c>
      <c r="D193" s="42" t="str">
        <f t="shared" ca="1" si="15"/>
        <v/>
      </c>
      <c r="E193" s="32"/>
      <c r="F193" s="43" t="str">
        <f t="shared" si="16"/>
        <v/>
      </c>
      <c r="G193" s="30" t="s">
        <v>62</v>
      </c>
      <c r="H193" s="41"/>
      <c r="I193" s="33" t="str">
        <f>IF(A193="","",IF(H193="","⚠️ Enter Agent Code",IF(IFERROR(VLOOKUP(G193,DB_Agents!$B:$F,4,0),"")=TEXT(H193,"0"),IF(AND(A193&lt;&gt;"",E193&lt;&gt;""),"✅ Saved","Pending"),"🔒 WRONG CODE")))</f>
        <v/>
      </c>
      <c r="J193" s="33" t="str">
        <f t="shared" ca="1" si="17"/>
        <v>—</v>
      </c>
      <c r="K193" s="22"/>
    </row>
    <row r="194" spans="1:11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IF(A194="","",IFERROR(VLOOKUP(A194,DB_Customers!$A:$M,13,0),""))</f>
        <v/>
      </c>
      <c r="D194" s="42" t="str">
        <f t="shared" ca="1" si="15"/>
        <v/>
      </c>
      <c r="E194" s="32"/>
      <c r="F194" s="43" t="str">
        <f t="shared" si="16"/>
        <v/>
      </c>
      <c r="G194" s="30" t="s">
        <v>62</v>
      </c>
      <c r="H194" s="41"/>
      <c r="I194" s="33" t="str">
        <f>IF(A194="","",IF(H194="","⚠️ Enter Agent Code",IF(IFERROR(VLOOKUP(G194,DB_Agents!$B:$F,4,0),"")=TEXT(H194,"0"),IF(AND(A194&lt;&gt;"",E194&lt;&gt;""),"✅ Saved","Pending"),"🔒 WRONG CODE")))</f>
        <v/>
      </c>
      <c r="J194" s="33" t="str">
        <f t="shared" ca="1" si="17"/>
        <v>—</v>
      </c>
      <c r="K194" s="46"/>
    </row>
    <row r="195" spans="1:11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IF(A195="","",IFERROR(VLOOKUP(A195,DB_Customers!$A:$M,13,0),""))</f>
        <v/>
      </c>
      <c r="D195" s="42" t="str">
        <f t="shared" ca="1" si="15"/>
        <v/>
      </c>
      <c r="E195" s="32"/>
      <c r="F195" s="43" t="str">
        <f t="shared" si="16"/>
        <v/>
      </c>
      <c r="G195" s="30" t="s">
        <v>62</v>
      </c>
      <c r="H195" s="41"/>
      <c r="I195" s="33" t="str">
        <f>IF(A195="","",IF(H195="","⚠️ Enter Agent Code",IF(IFERROR(VLOOKUP(G195,DB_Agents!$B:$F,4,0),"")=TEXT(H195,"0"),IF(AND(A195&lt;&gt;"",E195&lt;&gt;""),"✅ Saved","Pending"),"🔒 WRONG CODE")))</f>
        <v/>
      </c>
      <c r="J195" s="33" t="str">
        <f t="shared" ca="1" si="17"/>
        <v>—</v>
      </c>
      <c r="K195" s="22"/>
    </row>
    <row r="196" spans="1:11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IF(A196="","",IFERROR(VLOOKUP(A196,DB_Customers!$A:$M,13,0),""))</f>
        <v/>
      </c>
      <c r="D196" s="42" t="str">
        <f t="shared" ca="1" si="15"/>
        <v/>
      </c>
      <c r="E196" s="32"/>
      <c r="F196" s="43" t="str">
        <f t="shared" si="16"/>
        <v/>
      </c>
      <c r="G196" s="30" t="s">
        <v>62</v>
      </c>
      <c r="H196" s="41"/>
      <c r="I196" s="33" t="str">
        <f>IF(A196="","",IF(H196="","⚠️ Enter Agent Code",IF(IFERROR(VLOOKUP(G196,DB_Agents!$B:$F,4,0),"")=TEXT(H196,"0"),IF(AND(A196&lt;&gt;"",E196&lt;&gt;""),"✅ Saved","Pending"),"🔒 WRONG CODE")))</f>
        <v/>
      </c>
      <c r="J196" s="33" t="str">
        <f t="shared" ca="1" si="17"/>
        <v>—</v>
      </c>
      <c r="K196" s="46"/>
    </row>
    <row r="197" spans="1:11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IF(A197="","",IFERROR(VLOOKUP(A197,DB_Customers!$A:$M,13,0),""))</f>
        <v/>
      </c>
      <c r="D197" s="42" t="str">
        <f t="shared" ca="1" si="15"/>
        <v/>
      </c>
      <c r="E197" s="32"/>
      <c r="F197" s="43" t="str">
        <f t="shared" si="16"/>
        <v/>
      </c>
      <c r="G197" s="30" t="s">
        <v>62</v>
      </c>
      <c r="H197" s="41"/>
      <c r="I197" s="33" t="str">
        <f>IF(A197="","",IF(H197="","⚠️ Enter Agent Code",IF(IFERROR(VLOOKUP(G197,DB_Agents!$B:$F,4,0),"")=TEXT(H197,"0"),IF(AND(A197&lt;&gt;"",E197&lt;&gt;""),"✅ Saved","Pending"),"🔒 WRONG CODE")))</f>
        <v/>
      </c>
      <c r="J197" s="33" t="str">
        <f t="shared" ca="1" si="17"/>
        <v>—</v>
      </c>
      <c r="K197" s="22"/>
    </row>
    <row r="198" spans="1:11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IF(A198="","",IFERROR(VLOOKUP(A198,DB_Customers!$A:$M,13,0),""))</f>
        <v/>
      </c>
      <c r="D198" s="42" t="str">
        <f t="shared" ca="1" si="15"/>
        <v/>
      </c>
      <c r="E198" s="32"/>
      <c r="F198" s="43" t="str">
        <f t="shared" si="16"/>
        <v/>
      </c>
      <c r="G198" s="30" t="s">
        <v>62</v>
      </c>
      <c r="H198" s="41"/>
      <c r="I198" s="33" t="str">
        <f>IF(A198="","",IF(H198="","⚠️ Enter Agent Code",IF(IFERROR(VLOOKUP(G198,DB_Agents!$B:$F,4,0),"")=TEXT(H198,"0"),IF(AND(A198&lt;&gt;"",E198&lt;&gt;""),"✅ Saved","Pending"),"🔒 WRONG CODE")))</f>
        <v/>
      </c>
      <c r="J198" s="33" t="str">
        <f t="shared" ca="1" si="17"/>
        <v>—</v>
      </c>
      <c r="K198" s="46"/>
    </row>
    <row r="199" spans="1:11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IF(A199="","",IFERROR(VLOOKUP(A199,DB_Customers!$A:$M,13,0),""))</f>
        <v/>
      </c>
      <c r="D199" s="42" t="str">
        <f t="shared" ca="1" si="15"/>
        <v/>
      </c>
      <c r="E199" s="32"/>
      <c r="F199" s="43" t="str">
        <f t="shared" si="16"/>
        <v/>
      </c>
      <c r="G199" s="30" t="s">
        <v>62</v>
      </c>
      <c r="H199" s="41"/>
      <c r="I199" s="33" t="str">
        <f>IF(A199="","",IF(H199="","⚠️ Enter Agent Code",IF(IFERROR(VLOOKUP(G199,DB_Agents!$B:$F,4,0),"")=TEXT(H199,"0"),IF(AND(A199&lt;&gt;"",E199&lt;&gt;""),"✅ Saved","Pending"),"🔒 WRONG CODE")))</f>
        <v/>
      </c>
      <c r="J199" s="33" t="str">
        <f t="shared" ca="1" si="17"/>
        <v>—</v>
      </c>
      <c r="K199" s="22"/>
    </row>
    <row r="200" spans="1:11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IF(A200="","",IFERROR(VLOOKUP(A200,DB_Customers!$A:$M,13,0),""))</f>
        <v/>
      </c>
      <c r="D200" s="42" t="str">
        <f t="shared" ca="1" si="15"/>
        <v/>
      </c>
      <c r="E200" s="32"/>
      <c r="F200" s="43" t="str">
        <f t="shared" si="16"/>
        <v/>
      </c>
      <c r="G200" s="30" t="s">
        <v>62</v>
      </c>
      <c r="H200" s="41"/>
      <c r="I200" s="33" t="str">
        <f>IF(A200="","",IF(H200="","⚠️ Enter Agent Code",IF(IFERROR(VLOOKUP(G200,DB_Agents!$B:$F,4,0),"")=TEXT(H200,"0"),IF(AND(A200&lt;&gt;"",E200&lt;&gt;""),"✅ Saved","Pending"),"🔒 WRONG CODE")))</f>
        <v/>
      </c>
      <c r="J200" s="33" t="str">
        <f t="shared" ca="1" si="17"/>
        <v>—</v>
      </c>
      <c r="K200" s="46"/>
    </row>
    <row r="201" spans="1:11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IF(A201="","",IFERROR(VLOOKUP(A201,DB_Customers!$A:$M,13,0),""))</f>
        <v/>
      </c>
      <c r="D201" s="42" t="str">
        <f t="shared" ref="D201:D208" ca="1" si="18">IF(A201="","",TODAY())</f>
        <v/>
      </c>
      <c r="E201" s="32"/>
      <c r="F201" s="43" t="str">
        <f t="shared" ref="F201:F232" si="19">IFERROR(IF(OR(A201="",E201=""),"",C201+E201),"")</f>
        <v/>
      </c>
      <c r="G201" s="30" t="s">
        <v>62</v>
      </c>
      <c r="H201" s="41"/>
      <c r="I201" s="33" t="str">
        <f>IF(A201="","",IF(H201="","⚠️ Enter Agent Code",IF(IFERROR(VLOOKUP(G201,DB_Agents!$B:$F,4,0),"")=TEXT(H201,"0"),IF(AND(A201&lt;&gt;"",E201&lt;&gt;""),"✅ Saved","Pending"),"🔒 WRONG CODE")))</f>
        <v/>
      </c>
      <c r="J201" s="33" t="str">
        <f t="shared" ref="J201:J232" ca="1" si="20">IF(I201="✅ Saved",TEXT(TODAY(),"YYYY-MM-DD")&amp;" Auto","—")</f>
        <v>—</v>
      </c>
      <c r="K201" s="22"/>
    </row>
    <row r="202" spans="1:11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IF(A202="","",IFERROR(VLOOKUP(A202,DB_Customers!$A:$M,13,0),""))</f>
        <v/>
      </c>
      <c r="D202" s="42" t="str">
        <f t="shared" ca="1" si="18"/>
        <v/>
      </c>
      <c r="E202" s="32"/>
      <c r="F202" s="43" t="str">
        <f t="shared" si="19"/>
        <v/>
      </c>
      <c r="G202" s="30" t="s">
        <v>62</v>
      </c>
      <c r="H202" s="41"/>
      <c r="I202" s="33" t="str">
        <f>IF(A202="","",IF(H202="","⚠️ Enter Agent Code",IF(IFERROR(VLOOKUP(G202,DB_Agents!$B:$F,4,0),"")=TEXT(H202,"0"),IF(AND(A202&lt;&gt;"",E202&lt;&gt;""),"✅ Saved","Pending"),"🔒 WRONG CODE")))</f>
        <v/>
      </c>
      <c r="J202" s="33" t="str">
        <f t="shared" ca="1" si="20"/>
        <v>—</v>
      </c>
      <c r="K202" s="46"/>
    </row>
    <row r="203" spans="1:11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IF(A203="","",IFERROR(VLOOKUP(A203,DB_Customers!$A:$M,13,0),""))</f>
        <v/>
      </c>
      <c r="D203" s="42" t="str">
        <f t="shared" ca="1" si="18"/>
        <v/>
      </c>
      <c r="E203" s="32"/>
      <c r="F203" s="43" t="str">
        <f t="shared" si="19"/>
        <v/>
      </c>
      <c r="G203" s="30" t="s">
        <v>62</v>
      </c>
      <c r="H203" s="41"/>
      <c r="I203" s="33" t="str">
        <f>IF(A203="","",IF(H203="","⚠️ Enter Agent Code",IF(IFERROR(VLOOKUP(G203,DB_Agents!$B:$F,4,0),"")=TEXT(H203,"0"),IF(AND(A203&lt;&gt;"",E203&lt;&gt;""),"✅ Saved","Pending"),"🔒 WRONG CODE")))</f>
        <v/>
      </c>
      <c r="J203" s="33" t="str">
        <f t="shared" ca="1" si="20"/>
        <v>—</v>
      </c>
      <c r="K203" s="22"/>
    </row>
    <row r="204" spans="1:11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IF(A204="","",IFERROR(VLOOKUP(A204,DB_Customers!$A:$M,13,0),""))</f>
        <v/>
      </c>
      <c r="D204" s="42" t="str">
        <f t="shared" ca="1" si="18"/>
        <v/>
      </c>
      <c r="E204" s="32"/>
      <c r="F204" s="43" t="str">
        <f t="shared" si="19"/>
        <v/>
      </c>
      <c r="G204" s="30" t="s">
        <v>62</v>
      </c>
      <c r="H204" s="41"/>
      <c r="I204" s="33" t="str">
        <f>IF(A204="","",IF(H204="","⚠️ Enter Agent Code",IF(IFERROR(VLOOKUP(G204,DB_Agents!$B:$F,4,0),"")=TEXT(H204,"0"),IF(AND(A204&lt;&gt;"",E204&lt;&gt;""),"✅ Saved","Pending"),"🔒 WRONG CODE")))</f>
        <v/>
      </c>
      <c r="J204" s="33" t="str">
        <f t="shared" ca="1" si="20"/>
        <v>—</v>
      </c>
      <c r="K204" s="46"/>
    </row>
    <row r="205" spans="1:11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IF(A205="","",IFERROR(VLOOKUP(A205,DB_Customers!$A:$M,13,0),""))</f>
        <v/>
      </c>
      <c r="D205" s="42" t="str">
        <f t="shared" ca="1" si="18"/>
        <v/>
      </c>
      <c r="E205" s="32"/>
      <c r="F205" s="43" t="str">
        <f t="shared" si="19"/>
        <v/>
      </c>
      <c r="G205" s="30" t="s">
        <v>62</v>
      </c>
      <c r="H205" s="41"/>
      <c r="I205" s="33" t="str">
        <f>IF(A205="","",IF(H205="","⚠️ Enter Agent Code",IF(IFERROR(VLOOKUP(G205,DB_Agents!$B:$F,4,0),"")=TEXT(H205,"0"),IF(AND(A205&lt;&gt;"",E205&lt;&gt;""),"✅ Saved","Pending"),"🔒 WRONG CODE")))</f>
        <v/>
      </c>
      <c r="J205" s="33" t="str">
        <f t="shared" ca="1" si="20"/>
        <v>—</v>
      </c>
      <c r="K205" s="22"/>
    </row>
    <row r="206" spans="1:11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IF(A206="","",IFERROR(VLOOKUP(A206,DB_Customers!$A:$M,13,0),""))</f>
        <v/>
      </c>
      <c r="D206" s="42" t="str">
        <f t="shared" ca="1" si="18"/>
        <v/>
      </c>
      <c r="E206" s="32"/>
      <c r="F206" s="43" t="str">
        <f t="shared" si="19"/>
        <v/>
      </c>
      <c r="G206" s="30" t="s">
        <v>62</v>
      </c>
      <c r="H206" s="41"/>
      <c r="I206" s="33" t="str">
        <f>IF(A206="","",IF(H206="","⚠️ Enter Agent Code",IF(IFERROR(VLOOKUP(G206,DB_Agents!$B:$F,4,0),"")=TEXT(H206,"0"),IF(AND(A206&lt;&gt;"",E206&lt;&gt;""),"✅ Saved","Pending"),"🔒 WRONG CODE")))</f>
        <v/>
      </c>
      <c r="J206" s="33" t="str">
        <f t="shared" ca="1" si="20"/>
        <v>—</v>
      </c>
      <c r="K206" s="46"/>
    </row>
    <row r="207" spans="1:11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IF(A207="","",IFERROR(VLOOKUP(A207,DB_Customers!$A:$M,13,0),""))</f>
        <v/>
      </c>
      <c r="D207" s="42" t="str">
        <f t="shared" ca="1" si="18"/>
        <v/>
      </c>
      <c r="E207" s="32"/>
      <c r="F207" s="43" t="str">
        <f t="shared" si="19"/>
        <v/>
      </c>
      <c r="G207" s="30" t="s">
        <v>62</v>
      </c>
      <c r="H207" s="41"/>
      <c r="I207" s="33" t="str">
        <f>IF(A207="","",IF(H207="","⚠️ Enter Agent Code",IF(IFERROR(VLOOKUP(G207,DB_Agents!$B:$F,4,0),"")=TEXT(H207,"0"),IF(AND(A207&lt;&gt;"",E207&lt;&gt;""),"✅ Saved","Pending"),"🔒 WRONG CODE")))</f>
        <v/>
      </c>
      <c r="J207" s="33" t="str">
        <f t="shared" ca="1" si="20"/>
        <v>—</v>
      </c>
      <c r="K207" s="22"/>
    </row>
    <row r="208" spans="1:11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IF(A208="","",IFERROR(VLOOKUP(A208,DB_Customers!$A:$M,13,0),""))</f>
        <v/>
      </c>
      <c r="D208" s="42" t="str">
        <f t="shared" ca="1" si="18"/>
        <v/>
      </c>
      <c r="E208" s="32"/>
      <c r="F208" s="43" t="str">
        <f t="shared" si="19"/>
        <v/>
      </c>
      <c r="G208" s="30" t="s">
        <v>62</v>
      </c>
      <c r="H208" s="41"/>
      <c r="I208" s="33" t="str">
        <f>IF(A208="","",IF(H208="","⚠️ Enter Agent Code",IF(IFERROR(VLOOKUP(G208,DB_Agents!$B:$F,4,0),"")=TEXT(H208,"0"),IF(AND(A208&lt;&gt;"",E208&lt;&gt;""),"✅ Saved","Pending"),"🔒 WRONG CODE")))</f>
        <v/>
      </c>
      <c r="J208" s="33" t="str">
        <f t="shared" ca="1" si="20"/>
        <v>—</v>
      </c>
      <c r="K208" s="46"/>
    </row>
  </sheetData>
  <mergeCells count="4">
    <mergeCell ref="A2:K2"/>
    <mergeCell ref="A6:K6"/>
    <mergeCell ref="A1:K1"/>
    <mergeCell ref="A7:K7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2.1" customHeight="1" x14ac:dyDescent="0.25">
      <c r="A1" s="94" t="s">
        <v>212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26.1" customHeight="1" x14ac:dyDescent="0.25">
      <c r="A2" s="97" t="s">
        <v>213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20.100000000000001" customHeight="1" x14ac:dyDescent="0.25">
      <c r="A3" s="47" t="s">
        <v>138</v>
      </c>
      <c r="D3" s="44" t="s">
        <v>139</v>
      </c>
      <c r="G3" s="48" t="s">
        <v>140</v>
      </c>
      <c r="J3" s="47" t="s">
        <v>128</v>
      </c>
    </row>
    <row r="4" spans="1:12" ht="24" customHeight="1" x14ac:dyDescent="0.25">
      <c r="A4" s="49">
        <f ca="1">IFERROR(SUMIFS(DB_Withdrawals!$G:$G,DB_Withdrawals!$I:$I,"Agent 09",DB_Withdrawals!$E:$E,TODAY()),0)</f>
        <v>0</v>
      </c>
      <c r="D4" s="49">
        <f ca="1">IFERROR(COUNTIFS(DB_Withdrawals!$I:$I,"Agent 09",DB_Withdrawals!$J:$J,"✅ Successful",DB_Withdrawals!$E:$E,TODAY()),0)</f>
        <v>0</v>
      </c>
      <c r="G4" s="49">
        <f ca="1">IFERROR(COUNTIFS(DB_Withdrawals!$I:$I,"Agent 09",DB_Withdrawals!$J:$J,"❌ Insufficient Funds",DB_Withdrawals!$E:$E,TODAY()),0)</f>
        <v>0</v>
      </c>
      <c r="J4" s="49" t="str">
        <f ca="1">TEXT(TODAY(),"DD MMM YYYY")</f>
        <v>25 Apr 2026</v>
      </c>
    </row>
    <row r="6" spans="1:12" ht="26.1" customHeight="1" x14ac:dyDescent="0.25">
      <c r="A6" s="90" t="s">
        <v>141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</row>
    <row r="8" spans="1:12" ht="30" customHeight="1" x14ac:dyDescent="0.25">
      <c r="A8" s="19" t="s">
        <v>131</v>
      </c>
      <c r="B8" s="19" t="s">
        <v>69</v>
      </c>
      <c r="C8" s="19" t="s">
        <v>85</v>
      </c>
      <c r="D8" s="19" t="s">
        <v>91</v>
      </c>
      <c r="E8" s="19" t="s">
        <v>142</v>
      </c>
      <c r="F8" s="19" t="s">
        <v>143</v>
      </c>
      <c r="G8" s="19" t="s">
        <v>133</v>
      </c>
      <c r="H8" s="19" t="s">
        <v>45</v>
      </c>
      <c r="I8" s="19" t="s">
        <v>134</v>
      </c>
      <c r="J8" s="19" t="s">
        <v>77</v>
      </c>
      <c r="K8" s="19" t="s">
        <v>135</v>
      </c>
      <c r="L8" s="19" t="s">
        <v>95</v>
      </c>
    </row>
    <row r="9" spans="1:12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IF(A9="","",IFERROR(VLOOKUP(A9,DB_Customers!$A:$N,14,0),""))</f>
        <v/>
      </c>
      <c r="D9" s="42" t="str">
        <f t="shared" ref="D9:D40" ca="1" si="0">IF(A9="","",TODAY())</f>
        <v/>
      </c>
      <c r="E9" s="32"/>
      <c r="F9" s="31"/>
      <c r="G9" s="43" t="str">
        <f t="shared" ref="G9:G40" si="1">IFERROR(IF(OR(A9="",E9=""),"",C9-E9),"")</f>
        <v/>
      </c>
      <c r="H9" s="30" t="s">
        <v>62</v>
      </c>
      <c r="I9" s="41"/>
      <c r="J9" s="33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9" s="33" t="str">
        <f t="shared" ref="K9:K40" ca="1" si="2">IF(J9="✅ Successful",TEXT(TODAY(),"YYYY-MM-DD")&amp;" Auto","—")</f>
        <v>—</v>
      </c>
      <c r="L9" s="22"/>
    </row>
    <row r="10" spans="1:12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IF(A10="","",IFERROR(VLOOKUP(A10,DB_Customers!$A:$N,14,0),""))</f>
        <v/>
      </c>
      <c r="D10" s="42" t="str">
        <f t="shared" ca="1" si="0"/>
        <v/>
      </c>
      <c r="E10" s="32"/>
      <c r="F10" s="31"/>
      <c r="G10" s="43" t="str">
        <f t="shared" si="1"/>
        <v/>
      </c>
      <c r="H10" s="30" t="s">
        <v>62</v>
      </c>
      <c r="I10" s="41"/>
      <c r="J10" s="33" t="str">
        <f>IF(AND(A10&lt;&gt;"",E10&lt;&gt;""),IF(I10="","⚠️ Enter Code",IF(IFERROR(VLOOKUP(H10,DB_Agents!$B:$F,4,0),"")=TEXT(I10,"0"),IF(C10&gt;=E10,"✅ Successful","❌ Insufficient Funds"),"🔒 WRONG CODE")),"Pending")</f>
        <v>Pending</v>
      </c>
      <c r="K10" s="33" t="str">
        <f t="shared" ca="1" si="2"/>
        <v>—</v>
      </c>
      <c r="L10" s="50"/>
    </row>
    <row r="11" spans="1:12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IF(A11="","",IFERROR(VLOOKUP(A11,DB_Customers!$A:$N,14,0),""))</f>
        <v/>
      </c>
      <c r="D11" s="42" t="str">
        <f t="shared" ca="1" si="0"/>
        <v/>
      </c>
      <c r="E11" s="32"/>
      <c r="F11" s="31"/>
      <c r="G11" s="43" t="str">
        <f t="shared" si="1"/>
        <v/>
      </c>
      <c r="H11" s="30" t="s">
        <v>62</v>
      </c>
      <c r="I11" s="41"/>
      <c r="J11" s="33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1" s="33" t="str">
        <f t="shared" ca="1" si="2"/>
        <v>—</v>
      </c>
      <c r="L11" s="22"/>
    </row>
    <row r="12" spans="1:12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IF(A12="","",IFERROR(VLOOKUP(A12,DB_Customers!$A:$N,14,0),""))</f>
        <v/>
      </c>
      <c r="D12" s="42" t="str">
        <f t="shared" ca="1" si="0"/>
        <v/>
      </c>
      <c r="E12" s="32"/>
      <c r="F12" s="31"/>
      <c r="G12" s="43" t="str">
        <f t="shared" si="1"/>
        <v/>
      </c>
      <c r="H12" s="30" t="s">
        <v>62</v>
      </c>
      <c r="I12" s="41"/>
      <c r="J12" s="33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2" s="33" t="str">
        <f t="shared" ca="1" si="2"/>
        <v>—</v>
      </c>
      <c r="L12" s="50"/>
    </row>
    <row r="13" spans="1:12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IF(A13="","",IFERROR(VLOOKUP(A13,DB_Customers!$A:$N,14,0),""))</f>
        <v/>
      </c>
      <c r="D13" s="42" t="str">
        <f t="shared" ca="1" si="0"/>
        <v/>
      </c>
      <c r="E13" s="32"/>
      <c r="F13" s="31"/>
      <c r="G13" s="43" t="str">
        <f t="shared" si="1"/>
        <v/>
      </c>
      <c r="H13" s="30" t="s">
        <v>62</v>
      </c>
      <c r="I13" s="41"/>
      <c r="J13" s="33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3" s="33" t="str">
        <f t="shared" ca="1" si="2"/>
        <v>—</v>
      </c>
      <c r="L13" s="22"/>
    </row>
    <row r="14" spans="1:12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IF(A14="","",IFERROR(VLOOKUP(A14,DB_Customers!$A:$N,14,0),""))</f>
        <v/>
      </c>
      <c r="D14" s="42" t="str">
        <f t="shared" ca="1" si="0"/>
        <v/>
      </c>
      <c r="E14" s="32"/>
      <c r="F14" s="31"/>
      <c r="G14" s="43" t="str">
        <f t="shared" si="1"/>
        <v/>
      </c>
      <c r="H14" s="30" t="s">
        <v>62</v>
      </c>
      <c r="I14" s="41"/>
      <c r="J14" s="33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4" s="33" t="str">
        <f t="shared" ca="1" si="2"/>
        <v>—</v>
      </c>
      <c r="L14" s="50"/>
    </row>
    <row r="15" spans="1:12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IF(A15="","",IFERROR(VLOOKUP(A15,DB_Customers!$A:$N,14,0),""))</f>
        <v/>
      </c>
      <c r="D15" s="42" t="str">
        <f t="shared" ca="1" si="0"/>
        <v/>
      </c>
      <c r="E15" s="32"/>
      <c r="F15" s="31"/>
      <c r="G15" s="43" t="str">
        <f t="shared" si="1"/>
        <v/>
      </c>
      <c r="H15" s="30" t="s">
        <v>62</v>
      </c>
      <c r="I15" s="41"/>
      <c r="J15" s="33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5" s="33" t="str">
        <f t="shared" ca="1" si="2"/>
        <v>—</v>
      </c>
      <c r="L15" s="22"/>
    </row>
    <row r="16" spans="1:12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IF(A16="","",IFERROR(VLOOKUP(A16,DB_Customers!$A:$N,14,0),""))</f>
        <v/>
      </c>
      <c r="D16" s="42" t="str">
        <f t="shared" ca="1" si="0"/>
        <v/>
      </c>
      <c r="E16" s="32"/>
      <c r="F16" s="31"/>
      <c r="G16" s="43" t="str">
        <f t="shared" si="1"/>
        <v/>
      </c>
      <c r="H16" s="30" t="s">
        <v>62</v>
      </c>
      <c r="I16" s="41"/>
      <c r="J16" s="33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6" s="33" t="str">
        <f t="shared" ca="1" si="2"/>
        <v>—</v>
      </c>
      <c r="L16" s="50"/>
    </row>
    <row r="17" spans="1:12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IF(A17="","",IFERROR(VLOOKUP(A17,DB_Customers!$A:$N,14,0),""))</f>
        <v/>
      </c>
      <c r="D17" s="42" t="str">
        <f t="shared" ca="1" si="0"/>
        <v/>
      </c>
      <c r="E17" s="32"/>
      <c r="F17" s="31"/>
      <c r="G17" s="43" t="str">
        <f t="shared" si="1"/>
        <v/>
      </c>
      <c r="H17" s="30" t="s">
        <v>62</v>
      </c>
      <c r="I17" s="41"/>
      <c r="J17" s="33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7" s="33" t="str">
        <f t="shared" ca="1" si="2"/>
        <v>—</v>
      </c>
      <c r="L17" s="22"/>
    </row>
    <row r="18" spans="1:12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IF(A18="","",IFERROR(VLOOKUP(A18,DB_Customers!$A:$N,14,0),""))</f>
        <v/>
      </c>
      <c r="D18" s="42" t="str">
        <f t="shared" ca="1" si="0"/>
        <v/>
      </c>
      <c r="E18" s="32"/>
      <c r="F18" s="31"/>
      <c r="G18" s="43" t="str">
        <f t="shared" si="1"/>
        <v/>
      </c>
      <c r="H18" s="30" t="s">
        <v>62</v>
      </c>
      <c r="I18" s="41"/>
      <c r="J18" s="33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18" s="33" t="str">
        <f t="shared" ca="1" si="2"/>
        <v>—</v>
      </c>
      <c r="L18" s="50"/>
    </row>
    <row r="19" spans="1:12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IF(A19="","",IFERROR(VLOOKUP(A19,DB_Customers!$A:$N,14,0),""))</f>
        <v/>
      </c>
      <c r="D19" s="42" t="str">
        <f t="shared" ca="1" si="0"/>
        <v/>
      </c>
      <c r="E19" s="32"/>
      <c r="F19" s="31"/>
      <c r="G19" s="43" t="str">
        <f t="shared" si="1"/>
        <v/>
      </c>
      <c r="H19" s="30" t="s">
        <v>62</v>
      </c>
      <c r="I19" s="41"/>
      <c r="J19" s="33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19" s="33" t="str">
        <f t="shared" ca="1" si="2"/>
        <v>—</v>
      </c>
      <c r="L19" s="22"/>
    </row>
    <row r="20" spans="1:12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IF(A20="","",IFERROR(VLOOKUP(A20,DB_Customers!$A:$N,14,0),""))</f>
        <v/>
      </c>
      <c r="D20" s="42" t="str">
        <f t="shared" ca="1" si="0"/>
        <v/>
      </c>
      <c r="E20" s="32"/>
      <c r="F20" s="31"/>
      <c r="G20" s="43" t="str">
        <f t="shared" si="1"/>
        <v/>
      </c>
      <c r="H20" s="30" t="s">
        <v>62</v>
      </c>
      <c r="I20" s="41"/>
      <c r="J20" s="33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0" s="33" t="str">
        <f t="shared" ca="1" si="2"/>
        <v>—</v>
      </c>
      <c r="L20" s="50"/>
    </row>
    <row r="21" spans="1:12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IF(A21="","",IFERROR(VLOOKUP(A21,DB_Customers!$A:$N,14,0),""))</f>
        <v/>
      </c>
      <c r="D21" s="42" t="str">
        <f t="shared" ca="1" si="0"/>
        <v/>
      </c>
      <c r="E21" s="32"/>
      <c r="F21" s="31"/>
      <c r="G21" s="43" t="str">
        <f t="shared" si="1"/>
        <v/>
      </c>
      <c r="H21" s="30" t="s">
        <v>62</v>
      </c>
      <c r="I21" s="41"/>
      <c r="J21" s="33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1" s="33" t="str">
        <f t="shared" ca="1" si="2"/>
        <v>—</v>
      </c>
      <c r="L21" s="22"/>
    </row>
    <row r="22" spans="1:12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IF(A22="","",IFERROR(VLOOKUP(A22,DB_Customers!$A:$N,14,0),""))</f>
        <v/>
      </c>
      <c r="D22" s="42" t="str">
        <f t="shared" ca="1" si="0"/>
        <v/>
      </c>
      <c r="E22" s="32"/>
      <c r="F22" s="31"/>
      <c r="G22" s="43" t="str">
        <f t="shared" si="1"/>
        <v/>
      </c>
      <c r="H22" s="30" t="s">
        <v>62</v>
      </c>
      <c r="I22" s="41"/>
      <c r="J22" s="33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2" s="33" t="str">
        <f t="shared" ca="1" si="2"/>
        <v>—</v>
      </c>
      <c r="L22" s="50"/>
    </row>
    <row r="23" spans="1:12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IF(A23="","",IFERROR(VLOOKUP(A23,DB_Customers!$A:$N,14,0),""))</f>
        <v/>
      </c>
      <c r="D23" s="42" t="str">
        <f t="shared" ca="1" si="0"/>
        <v/>
      </c>
      <c r="E23" s="32"/>
      <c r="F23" s="31"/>
      <c r="G23" s="43" t="str">
        <f t="shared" si="1"/>
        <v/>
      </c>
      <c r="H23" s="30" t="s">
        <v>62</v>
      </c>
      <c r="I23" s="41"/>
      <c r="J23" s="33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3" s="33" t="str">
        <f t="shared" ca="1" si="2"/>
        <v>—</v>
      </c>
      <c r="L23" s="22"/>
    </row>
    <row r="24" spans="1:12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IF(A24="","",IFERROR(VLOOKUP(A24,DB_Customers!$A:$N,14,0),""))</f>
        <v/>
      </c>
      <c r="D24" s="42" t="str">
        <f t="shared" ca="1" si="0"/>
        <v/>
      </c>
      <c r="E24" s="32"/>
      <c r="F24" s="31"/>
      <c r="G24" s="43" t="str">
        <f t="shared" si="1"/>
        <v/>
      </c>
      <c r="H24" s="30" t="s">
        <v>62</v>
      </c>
      <c r="I24" s="41"/>
      <c r="J24" s="33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4" s="33" t="str">
        <f t="shared" ca="1" si="2"/>
        <v>—</v>
      </c>
      <c r="L24" s="50"/>
    </row>
    <row r="25" spans="1:12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IF(A25="","",IFERROR(VLOOKUP(A25,DB_Customers!$A:$N,14,0),""))</f>
        <v/>
      </c>
      <c r="D25" s="42" t="str">
        <f t="shared" ca="1" si="0"/>
        <v/>
      </c>
      <c r="E25" s="32"/>
      <c r="F25" s="31"/>
      <c r="G25" s="43" t="str">
        <f t="shared" si="1"/>
        <v/>
      </c>
      <c r="H25" s="30" t="s">
        <v>62</v>
      </c>
      <c r="I25" s="41"/>
      <c r="J25" s="33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5" s="33" t="str">
        <f t="shared" ca="1" si="2"/>
        <v>—</v>
      </c>
      <c r="L25" s="22"/>
    </row>
    <row r="26" spans="1:12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IF(A26="","",IFERROR(VLOOKUP(A26,DB_Customers!$A:$N,14,0),""))</f>
        <v/>
      </c>
      <c r="D26" s="42" t="str">
        <f t="shared" ca="1" si="0"/>
        <v/>
      </c>
      <c r="E26" s="32"/>
      <c r="F26" s="31"/>
      <c r="G26" s="43" t="str">
        <f t="shared" si="1"/>
        <v/>
      </c>
      <c r="H26" s="30" t="s">
        <v>62</v>
      </c>
      <c r="I26" s="41"/>
      <c r="J26" s="33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6" s="33" t="str">
        <f t="shared" ca="1" si="2"/>
        <v>—</v>
      </c>
      <c r="L26" s="50"/>
    </row>
    <row r="27" spans="1:12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IF(A27="","",IFERROR(VLOOKUP(A27,DB_Customers!$A:$N,14,0),""))</f>
        <v/>
      </c>
      <c r="D27" s="42" t="str">
        <f t="shared" ca="1" si="0"/>
        <v/>
      </c>
      <c r="E27" s="32"/>
      <c r="F27" s="31"/>
      <c r="G27" s="43" t="str">
        <f t="shared" si="1"/>
        <v/>
      </c>
      <c r="H27" s="30" t="s">
        <v>62</v>
      </c>
      <c r="I27" s="41"/>
      <c r="J27" s="33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7" s="33" t="str">
        <f t="shared" ca="1" si="2"/>
        <v>—</v>
      </c>
      <c r="L27" s="22"/>
    </row>
    <row r="28" spans="1:12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IF(A28="","",IFERROR(VLOOKUP(A28,DB_Customers!$A:$N,14,0),""))</f>
        <v/>
      </c>
      <c r="D28" s="42" t="str">
        <f t="shared" ca="1" si="0"/>
        <v/>
      </c>
      <c r="E28" s="32"/>
      <c r="F28" s="31"/>
      <c r="G28" s="43" t="str">
        <f t="shared" si="1"/>
        <v/>
      </c>
      <c r="H28" s="30" t="s">
        <v>62</v>
      </c>
      <c r="I28" s="41"/>
      <c r="J28" s="33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28" s="33" t="str">
        <f t="shared" ca="1" si="2"/>
        <v>—</v>
      </c>
      <c r="L28" s="50"/>
    </row>
    <row r="29" spans="1:12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IF(A29="","",IFERROR(VLOOKUP(A29,DB_Customers!$A:$N,14,0),""))</f>
        <v/>
      </c>
      <c r="D29" s="42" t="str">
        <f t="shared" ca="1" si="0"/>
        <v/>
      </c>
      <c r="E29" s="32"/>
      <c r="F29" s="31"/>
      <c r="G29" s="43" t="str">
        <f t="shared" si="1"/>
        <v/>
      </c>
      <c r="H29" s="30" t="s">
        <v>62</v>
      </c>
      <c r="I29" s="41"/>
      <c r="J29" s="33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29" s="33" t="str">
        <f t="shared" ca="1" si="2"/>
        <v>—</v>
      </c>
      <c r="L29" s="22"/>
    </row>
    <row r="30" spans="1:12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IF(A30="","",IFERROR(VLOOKUP(A30,DB_Customers!$A:$N,14,0),""))</f>
        <v/>
      </c>
      <c r="D30" s="42" t="str">
        <f t="shared" ca="1" si="0"/>
        <v/>
      </c>
      <c r="E30" s="32"/>
      <c r="F30" s="31"/>
      <c r="G30" s="43" t="str">
        <f t="shared" si="1"/>
        <v/>
      </c>
      <c r="H30" s="30" t="s">
        <v>62</v>
      </c>
      <c r="I30" s="41"/>
      <c r="J30" s="33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0" s="33" t="str">
        <f t="shared" ca="1" si="2"/>
        <v>—</v>
      </c>
      <c r="L30" s="50"/>
    </row>
    <row r="31" spans="1:12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IF(A31="","",IFERROR(VLOOKUP(A31,DB_Customers!$A:$N,14,0),""))</f>
        <v/>
      </c>
      <c r="D31" s="42" t="str">
        <f t="shared" ca="1" si="0"/>
        <v/>
      </c>
      <c r="E31" s="32"/>
      <c r="F31" s="31"/>
      <c r="G31" s="43" t="str">
        <f t="shared" si="1"/>
        <v/>
      </c>
      <c r="H31" s="30" t="s">
        <v>62</v>
      </c>
      <c r="I31" s="41"/>
      <c r="J31" s="33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1" s="33" t="str">
        <f t="shared" ca="1" si="2"/>
        <v>—</v>
      </c>
      <c r="L31" s="22"/>
    </row>
    <row r="32" spans="1:12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IF(A32="","",IFERROR(VLOOKUP(A32,DB_Customers!$A:$N,14,0),""))</f>
        <v/>
      </c>
      <c r="D32" s="42" t="str">
        <f t="shared" ca="1" si="0"/>
        <v/>
      </c>
      <c r="E32" s="32"/>
      <c r="F32" s="31"/>
      <c r="G32" s="43" t="str">
        <f t="shared" si="1"/>
        <v/>
      </c>
      <c r="H32" s="30" t="s">
        <v>62</v>
      </c>
      <c r="I32" s="41"/>
      <c r="J32" s="33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2" s="33" t="str">
        <f t="shared" ca="1" si="2"/>
        <v>—</v>
      </c>
      <c r="L32" s="50"/>
    </row>
    <row r="33" spans="1:12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IF(A33="","",IFERROR(VLOOKUP(A33,DB_Customers!$A:$N,14,0),""))</f>
        <v/>
      </c>
      <c r="D33" s="42" t="str">
        <f t="shared" ca="1" si="0"/>
        <v/>
      </c>
      <c r="E33" s="32"/>
      <c r="F33" s="31"/>
      <c r="G33" s="43" t="str">
        <f t="shared" si="1"/>
        <v/>
      </c>
      <c r="H33" s="30" t="s">
        <v>62</v>
      </c>
      <c r="I33" s="41"/>
      <c r="J33" s="33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3" s="33" t="str">
        <f t="shared" ca="1" si="2"/>
        <v>—</v>
      </c>
      <c r="L33" s="22"/>
    </row>
    <row r="34" spans="1:12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IF(A34="","",IFERROR(VLOOKUP(A34,DB_Customers!$A:$N,14,0),""))</f>
        <v/>
      </c>
      <c r="D34" s="42" t="str">
        <f t="shared" ca="1" si="0"/>
        <v/>
      </c>
      <c r="E34" s="32"/>
      <c r="F34" s="31"/>
      <c r="G34" s="43" t="str">
        <f t="shared" si="1"/>
        <v/>
      </c>
      <c r="H34" s="30" t="s">
        <v>62</v>
      </c>
      <c r="I34" s="41"/>
      <c r="J34" s="33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4" s="33" t="str">
        <f t="shared" ca="1" si="2"/>
        <v>—</v>
      </c>
      <c r="L34" s="50"/>
    </row>
    <row r="35" spans="1:12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IF(A35="","",IFERROR(VLOOKUP(A35,DB_Customers!$A:$N,14,0),""))</f>
        <v/>
      </c>
      <c r="D35" s="42" t="str">
        <f t="shared" ca="1" si="0"/>
        <v/>
      </c>
      <c r="E35" s="32"/>
      <c r="F35" s="31"/>
      <c r="G35" s="43" t="str">
        <f t="shared" si="1"/>
        <v/>
      </c>
      <c r="H35" s="30" t="s">
        <v>62</v>
      </c>
      <c r="I35" s="41"/>
      <c r="J35" s="33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5" s="33" t="str">
        <f t="shared" ca="1" si="2"/>
        <v>—</v>
      </c>
      <c r="L35" s="22"/>
    </row>
    <row r="36" spans="1:12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IF(A36="","",IFERROR(VLOOKUP(A36,DB_Customers!$A:$N,14,0),""))</f>
        <v/>
      </c>
      <c r="D36" s="42" t="str">
        <f t="shared" ca="1" si="0"/>
        <v/>
      </c>
      <c r="E36" s="32"/>
      <c r="F36" s="31"/>
      <c r="G36" s="43" t="str">
        <f t="shared" si="1"/>
        <v/>
      </c>
      <c r="H36" s="30" t="s">
        <v>62</v>
      </c>
      <c r="I36" s="41"/>
      <c r="J36" s="33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6" s="33" t="str">
        <f t="shared" ca="1" si="2"/>
        <v>—</v>
      </c>
      <c r="L36" s="50"/>
    </row>
    <row r="37" spans="1:12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IF(A37="","",IFERROR(VLOOKUP(A37,DB_Customers!$A:$N,14,0),""))</f>
        <v/>
      </c>
      <c r="D37" s="42" t="str">
        <f t="shared" ca="1" si="0"/>
        <v/>
      </c>
      <c r="E37" s="32"/>
      <c r="F37" s="31"/>
      <c r="G37" s="43" t="str">
        <f t="shared" si="1"/>
        <v/>
      </c>
      <c r="H37" s="30" t="s">
        <v>62</v>
      </c>
      <c r="I37" s="41"/>
      <c r="J37" s="33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7" s="33" t="str">
        <f t="shared" ca="1" si="2"/>
        <v>—</v>
      </c>
      <c r="L37" s="22"/>
    </row>
    <row r="38" spans="1:12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IF(A38="","",IFERROR(VLOOKUP(A38,DB_Customers!$A:$N,14,0),""))</f>
        <v/>
      </c>
      <c r="D38" s="42" t="str">
        <f t="shared" ca="1" si="0"/>
        <v/>
      </c>
      <c r="E38" s="32"/>
      <c r="F38" s="31"/>
      <c r="G38" s="43" t="str">
        <f t="shared" si="1"/>
        <v/>
      </c>
      <c r="H38" s="30" t="s">
        <v>62</v>
      </c>
      <c r="I38" s="41"/>
      <c r="J38" s="33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38" s="33" t="str">
        <f t="shared" ca="1" si="2"/>
        <v>—</v>
      </c>
      <c r="L38" s="50"/>
    </row>
    <row r="39" spans="1:12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IF(A39="","",IFERROR(VLOOKUP(A39,DB_Customers!$A:$N,14,0),""))</f>
        <v/>
      </c>
      <c r="D39" s="42" t="str">
        <f t="shared" ca="1" si="0"/>
        <v/>
      </c>
      <c r="E39" s="32"/>
      <c r="F39" s="31"/>
      <c r="G39" s="43" t="str">
        <f t="shared" si="1"/>
        <v/>
      </c>
      <c r="H39" s="30" t="s">
        <v>62</v>
      </c>
      <c r="I39" s="41"/>
      <c r="J39" s="33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39" s="33" t="str">
        <f t="shared" ca="1" si="2"/>
        <v>—</v>
      </c>
      <c r="L39" s="22"/>
    </row>
    <row r="40" spans="1:12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IF(A40="","",IFERROR(VLOOKUP(A40,DB_Customers!$A:$N,14,0),""))</f>
        <v/>
      </c>
      <c r="D40" s="42" t="str">
        <f t="shared" ca="1" si="0"/>
        <v/>
      </c>
      <c r="E40" s="32"/>
      <c r="F40" s="31"/>
      <c r="G40" s="43" t="str">
        <f t="shared" si="1"/>
        <v/>
      </c>
      <c r="H40" s="30" t="s">
        <v>62</v>
      </c>
      <c r="I40" s="41"/>
      <c r="J40" s="33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0" s="33" t="str">
        <f t="shared" ca="1" si="2"/>
        <v>—</v>
      </c>
      <c r="L40" s="50"/>
    </row>
    <row r="41" spans="1:12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IF(A41="","",IFERROR(VLOOKUP(A41,DB_Customers!$A:$N,14,0),""))</f>
        <v/>
      </c>
      <c r="D41" s="42" t="str">
        <f t="shared" ref="D41:D72" ca="1" si="3">IF(A41="","",TODAY())</f>
        <v/>
      </c>
      <c r="E41" s="32"/>
      <c r="F41" s="31"/>
      <c r="G41" s="43" t="str">
        <f t="shared" ref="G41:G72" si="4">IFERROR(IF(OR(A41="",E41=""),"",C41-E41),"")</f>
        <v/>
      </c>
      <c r="H41" s="30" t="s">
        <v>62</v>
      </c>
      <c r="I41" s="41"/>
      <c r="J41" s="33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1" s="33" t="str">
        <f t="shared" ref="K41:K72" ca="1" si="5">IF(J41="✅ Successful",TEXT(TODAY(),"YYYY-MM-DD")&amp;" Auto","—")</f>
        <v>—</v>
      </c>
      <c r="L41" s="22"/>
    </row>
    <row r="42" spans="1:12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IF(A42="","",IFERROR(VLOOKUP(A42,DB_Customers!$A:$N,14,0),""))</f>
        <v/>
      </c>
      <c r="D42" s="42" t="str">
        <f t="shared" ca="1" si="3"/>
        <v/>
      </c>
      <c r="E42" s="32"/>
      <c r="F42" s="31"/>
      <c r="G42" s="43" t="str">
        <f t="shared" si="4"/>
        <v/>
      </c>
      <c r="H42" s="30" t="s">
        <v>62</v>
      </c>
      <c r="I42" s="41"/>
      <c r="J42" s="33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2" s="33" t="str">
        <f t="shared" ca="1" si="5"/>
        <v>—</v>
      </c>
      <c r="L42" s="50"/>
    </row>
    <row r="43" spans="1:12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IF(A43="","",IFERROR(VLOOKUP(A43,DB_Customers!$A:$N,14,0),""))</f>
        <v/>
      </c>
      <c r="D43" s="42" t="str">
        <f t="shared" ca="1" si="3"/>
        <v/>
      </c>
      <c r="E43" s="32"/>
      <c r="F43" s="31"/>
      <c r="G43" s="43" t="str">
        <f t="shared" si="4"/>
        <v/>
      </c>
      <c r="H43" s="30" t="s">
        <v>62</v>
      </c>
      <c r="I43" s="41"/>
      <c r="J43" s="33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3" s="33" t="str">
        <f t="shared" ca="1" si="5"/>
        <v>—</v>
      </c>
      <c r="L43" s="22"/>
    </row>
    <row r="44" spans="1:12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IF(A44="","",IFERROR(VLOOKUP(A44,DB_Customers!$A:$N,14,0),""))</f>
        <v/>
      </c>
      <c r="D44" s="42" t="str">
        <f t="shared" ca="1" si="3"/>
        <v/>
      </c>
      <c r="E44" s="32"/>
      <c r="F44" s="31"/>
      <c r="G44" s="43" t="str">
        <f t="shared" si="4"/>
        <v/>
      </c>
      <c r="H44" s="30" t="s">
        <v>62</v>
      </c>
      <c r="I44" s="41"/>
      <c r="J44" s="33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4" s="33" t="str">
        <f t="shared" ca="1" si="5"/>
        <v>—</v>
      </c>
      <c r="L44" s="50"/>
    </row>
    <row r="45" spans="1:12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IF(A45="","",IFERROR(VLOOKUP(A45,DB_Customers!$A:$N,14,0),""))</f>
        <v/>
      </c>
      <c r="D45" s="42" t="str">
        <f t="shared" ca="1" si="3"/>
        <v/>
      </c>
      <c r="E45" s="32"/>
      <c r="F45" s="31"/>
      <c r="G45" s="43" t="str">
        <f t="shared" si="4"/>
        <v/>
      </c>
      <c r="H45" s="30" t="s">
        <v>62</v>
      </c>
      <c r="I45" s="41"/>
      <c r="J45" s="33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5" s="33" t="str">
        <f t="shared" ca="1" si="5"/>
        <v>—</v>
      </c>
      <c r="L45" s="22"/>
    </row>
    <row r="46" spans="1:12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IF(A46="","",IFERROR(VLOOKUP(A46,DB_Customers!$A:$N,14,0),""))</f>
        <v/>
      </c>
      <c r="D46" s="42" t="str">
        <f t="shared" ca="1" si="3"/>
        <v/>
      </c>
      <c r="E46" s="32"/>
      <c r="F46" s="31"/>
      <c r="G46" s="43" t="str">
        <f t="shared" si="4"/>
        <v/>
      </c>
      <c r="H46" s="30" t="s">
        <v>62</v>
      </c>
      <c r="I46" s="41"/>
      <c r="J46" s="33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6" s="33" t="str">
        <f t="shared" ca="1" si="5"/>
        <v>—</v>
      </c>
      <c r="L46" s="50"/>
    </row>
    <row r="47" spans="1:12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IF(A47="","",IFERROR(VLOOKUP(A47,DB_Customers!$A:$N,14,0),""))</f>
        <v/>
      </c>
      <c r="D47" s="42" t="str">
        <f t="shared" ca="1" si="3"/>
        <v/>
      </c>
      <c r="E47" s="32"/>
      <c r="F47" s="31"/>
      <c r="G47" s="43" t="str">
        <f t="shared" si="4"/>
        <v/>
      </c>
      <c r="H47" s="30" t="s">
        <v>62</v>
      </c>
      <c r="I47" s="41"/>
      <c r="J47" s="33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7" s="33" t="str">
        <f t="shared" ca="1" si="5"/>
        <v>—</v>
      </c>
      <c r="L47" s="22"/>
    </row>
    <row r="48" spans="1:12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IF(A48="","",IFERROR(VLOOKUP(A48,DB_Customers!$A:$N,14,0),""))</f>
        <v/>
      </c>
      <c r="D48" s="42" t="str">
        <f t="shared" ca="1" si="3"/>
        <v/>
      </c>
      <c r="E48" s="32"/>
      <c r="F48" s="31"/>
      <c r="G48" s="43" t="str">
        <f t="shared" si="4"/>
        <v/>
      </c>
      <c r="H48" s="30" t="s">
        <v>62</v>
      </c>
      <c r="I48" s="41"/>
      <c r="J48" s="33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48" s="33" t="str">
        <f t="shared" ca="1" si="5"/>
        <v>—</v>
      </c>
      <c r="L48" s="50"/>
    </row>
    <row r="49" spans="1:12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IF(A49="","",IFERROR(VLOOKUP(A49,DB_Customers!$A:$N,14,0),""))</f>
        <v/>
      </c>
      <c r="D49" s="42" t="str">
        <f t="shared" ca="1" si="3"/>
        <v/>
      </c>
      <c r="E49" s="32"/>
      <c r="F49" s="31"/>
      <c r="G49" s="43" t="str">
        <f t="shared" si="4"/>
        <v/>
      </c>
      <c r="H49" s="30" t="s">
        <v>62</v>
      </c>
      <c r="I49" s="41"/>
      <c r="J49" s="33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49" s="33" t="str">
        <f t="shared" ca="1" si="5"/>
        <v>—</v>
      </c>
      <c r="L49" s="22"/>
    </row>
    <row r="50" spans="1:12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IF(A50="","",IFERROR(VLOOKUP(A50,DB_Customers!$A:$N,14,0),""))</f>
        <v/>
      </c>
      <c r="D50" s="42" t="str">
        <f t="shared" ca="1" si="3"/>
        <v/>
      </c>
      <c r="E50" s="32"/>
      <c r="F50" s="31"/>
      <c r="G50" s="43" t="str">
        <f t="shared" si="4"/>
        <v/>
      </c>
      <c r="H50" s="30" t="s">
        <v>62</v>
      </c>
      <c r="I50" s="41"/>
      <c r="J50" s="33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0" s="33" t="str">
        <f t="shared" ca="1" si="5"/>
        <v>—</v>
      </c>
      <c r="L50" s="50"/>
    </row>
    <row r="51" spans="1:12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IF(A51="","",IFERROR(VLOOKUP(A51,DB_Customers!$A:$N,14,0),""))</f>
        <v/>
      </c>
      <c r="D51" s="42" t="str">
        <f t="shared" ca="1" si="3"/>
        <v/>
      </c>
      <c r="E51" s="32"/>
      <c r="F51" s="31"/>
      <c r="G51" s="43" t="str">
        <f t="shared" si="4"/>
        <v/>
      </c>
      <c r="H51" s="30" t="s">
        <v>62</v>
      </c>
      <c r="I51" s="41"/>
      <c r="J51" s="33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1" s="33" t="str">
        <f t="shared" ca="1" si="5"/>
        <v>—</v>
      </c>
      <c r="L51" s="22"/>
    </row>
    <row r="52" spans="1:12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IF(A52="","",IFERROR(VLOOKUP(A52,DB_Customers!$A:$N,14,0),""))</f>
        <v/>
      </c>
      <c r="D52" s="42" t="str">
        <f t="shared" ca="1" si="3"/>
        <v/>
      </c>
      <c r="E52" s="32"/>
      <c r="F52" s="31"/>
      <c r="G52" s="43" t="str">
        <f t="shared" si="4"/>
        <v/>
      </c>
      <c r="H52" s="30" t="s">
        <v>62</v>
      </c>
      <c r="I52" s="41"/>
      <c r="J52" s="33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2" s="33" t="str">
        <f t="shared" ca="1" si="5"/>
        <v>—</v>
      </c>
      <c r="L52" s="50"/>
    </row>
    <row r="53" spans="1:12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IF(A53="","",IFERROR(VLOOKUP(A53,DB_Customers!$A:$N,14,0),""))</f>
        <v/>
      </c>
      <c r="D53" s="42" t="str">
        <f t="shared" ca="1" si="3"/>
        <v/>
      </c>
      <c r="E53" s="32"/>
      <c r="F53" s="31"/>
      <c r="G53" s="43" t="str">
        <f t="shared" si="4"/>
        <v/>
      </c>
      <c r="H53" s="30" t="s">
        <v>62</v>
      </c>
      <c r="I53" s="41"/>
      <c r="J53" s="33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3" s="33" t="str">
        <f t="shared" ca="1" si="5"/>
        <v>—</v>
      </c>
      <c r="L53" s="22"/>
    </row>
    <row r="54" spans="1:12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IF(A54="","",IFERROR(VLOOKUP(A54,DB_Customers!$A:$N,14,0),""))</f>
        <v/>
      </c>
      <c r="D54" s="42" t="str">
        <f t="shared" ca="1" si="3"/>
        <v/>
      </c>
      <c r="E54" s="32"/>
      <c r="F54" s="31"/>
      <c r="G54" s="43" t="str">
        <f t="shared" si="4"/>
        <v/>
      </c>
      <c r="H54" s="30" t="s">
        <v>62</v>
      </c>
      <c r="I54" s="41"/>
      <c r="J54" s="33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4" s="33" t="str">
        <f t="shared" ca="1" si="5"/>
        <v>—</v>
      </c>
      <c r="L54" s="50"/>
    </row>
    <row r="55" spans="1:12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IF(A55="","",IFERROR(VLOOKUP(A55,DB_Customers!$A:$N,14,0),""))</f>
        <v/>
      </c>
      <c r="D55" s="42" t="str">
        <f t="shared" ca="1" si="3"/>
        <v/>
      </c>
      <c r="E55" s="32"/>
      <c r="F55" s="31"/>
      <c r="G55" s="43" t="str">
        <f t="shared" si="4"/>
        <v/>
      </c>
      <c r="H55" s="30" t="s">
        <v>62</v>
      </c>
      <c r="I55" s="41"/>
      <c r="J55" s="33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5" s="33" t="str">
        <f t="shared" ca="1" si="5"/>
        <v>—</v>
      </c>
      <c r="L55" s="22"/>
    </row>
    <row r="56" spans="1:12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IF(A56="","",IFERROR(VLOOKUP(A56,DB_Customers!$A:$N,14,0),""))</f>
        <v/>
      </c>
      <c r="D56" s="42" t="str">
        <f t="shared" ca="1" si="3"/>
        <v/>
      </c>
      <c r="E56" s="32"/>
      <c r="F56" s="31"/>
      <c r="G56" s="43" t="str">
        <f t="shared" si="4"/>
        <v/>
      </c>
      <c r="H56" s="30" t="s">
        <v>62</v>
      </c>
      <c r="I56" s="41"/>
      <c r="J56" s="33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6" s="33" t="str">
        <f t="shared" ca="1" si="5"/>
        <v>—</v>
      </c>
      <c r="L56" s="50"/>
    </row>
    <row r="57" spans="1:12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IF(A57="","",IFERROR(VLOOKUP(A57,DB_Customers!$A:$N,14,0),""))</f>
        <v/>
      </c>
      <c r="D57" s="42" t="str">
        <f t="shared" ca="1" si="3"/>
        <v/>
      </c>
      <c r="E57" s="32"/>
      <c r="F57" s="31"/>
      <c r="G57" s="43" t="str">
        <f t="shared" si="4"/>
        <v/>
      </c>
      <c r="H57" s="30" t="s">
        <v>62</v>
      </c>
      <c r="I57" s="41"/>
      <c r="J57" s="33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7" s="33" t="str">
        <f t="shared" ca="1" si="5"/>
        <v>—</v>
      </c>
      <c r="L57" s="22"/>
    </row>
    <row r="58" spans="1:12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IF(A58="","",IFERROR(VLOOKUP(A58,DB_Customers!$A:$N,14,0),""))</f>
        <v/>
      </c>
      <c r="D58" s="42" t="str">
        <f t="shared" ca="1" si="3"/>
        <v/>
      </c>
      <c r="E58" s="32"/>
      <c r="F58" s="31"/>
      <c r="G58" s="43" t="str">
        <f t="shared" si="4"/>
        <v/>
      </c>
      <c r="H58" s="30" t="s">
        <v>62</v>
      </c>
      <c r="I58" s="41"/>
      <c r="J58" s="33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58" s="33" t="str">
        <f t="shared" ca="1" si="5"/>
        <v>—</v>
      </c>
      <c r="L58" s="50"/>
    </row>
    <row r="59" spans="1:12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IF(A59="","",IFERROR(VLOOKUP(A59,DB_Customers!$A:$N,14,0),""))</f>
        <v/>
      </c>
      <c r="D59" s="42" t="str">
        <f t="shared" ca="1" si="3"/>
        <v/>
      </c>
      <c r="E59" s="32"/>
      <c r="F59" s="31"/>
      <c r="G59" s="43" t="str">
        <f t="shared" si="4"/>
        <v/>
      </c>
      <c r="H59" s="30" t="s">
        <v>62</v>
      </c>
      <c r="I59" s="41"/>
      <c r="J59" s="33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59" s="33" t="str">
        <f t="shared" ca="1" si="5"/>
        <v>—</v>
      </c>
      <c r="L59" s="22"/>
    </row>
    <row r="60" spans="1:12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IF(A60="","",IFERROR(VLOOKUP(A60,DB_Customers!$A:$N,14,0),""))</f>
        <v/>
      </c>
      <c r="D60" s="42" t="str">
        <f t="shared" ca="1" si="3"/>
        <v/>
      </c>
      <c r="E60" s="32"/>
      <c r="F60" s="31"/>
      <c r="G60" s="43" t="str">
        <f t="shared" si="4"/>
        <v/>
      </c>
      <c r="H60" s="30" t="s">
        <v>62</v>
      </c>
      <c r="I60" s="41"/>
      <c r="J60" s="33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0" s="33" t="str">
        <f t="shared" ca="1" si="5"/>
        <v>—</v>
      </c>
      <c r="L60" s="50"/>
    </row>
    <row r="61" spans="1:12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IF(A61="","",IFERROR(VLOOKUP(A61,DB_Customers!$A:$N,14,0),""))</f>
        <v/>
      </c>
      <c r="D61" s="42" t="str">
        <f t="shared" ca="1" si="3"/>
        <v/>
      </c>
      <c r="E61" s="32"/>
      <c r="F61" s="31"/>
      <c r="G61" s="43" t="str">
        <f t="shared" si="4"/>
        <v/>
      </c>
      <c r="H61" s="30" t="s">
        <v>62</v>
      </c>
      <c r="I61" s="41"/>
      <c r="J61" s="33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1" s="33" t="str">
        <f t="shared" ca="1" si="5"/>
        <v>—</v>
      </c>
      <c r="L61" s="22"/>
    </row>
    <row r="62" spans="1:12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IF(A62="","",IFERROR(VLOOKUP(A62,DB_Customers!$A:$N,14,0),""))</f>
        <v/>
      </c>
      <c r="D62" s="42" t="str">
        <f t="shared" ca="1" si="3"/>
        <v/>
      </c>
      <c r="E62" s="32"/>
      <c r="F62" s="31"/>
      <c r="G62" s="43" t="str">
        <f t="shared" si="4"/>
        <v/>
      </c>
      <c r="H62" s="30" t="s">
        <v>62</v>
      </c>
      <c r="I62" s="41"/>
      <c r="J62" s="33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2" s="33" t="str">
        <f t="shared" ca="1" si="5"/>
        <v>—</v>
      </c>
      <c r="L62" s="50"/>
    </row>
    <row r="63" spans="1:12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IF(A63="","",IFERROR(VLOOKUP(A63,DB_Customers!$A:$N,14,0),""))</f>
        <v/>
      </c>
      <c r="D63" s="42" t="str">
        <f t="shared" ca="1" si="3"/>
        <v/>
      </c>
      <c r="E63" s="32"/>
      <c r="F63" s="31"/>
      <c r="G63" s="43" t="str">
        <f t="shared" si="4"/>
        <v/>
      </c>
      <c r="H63" s="30" t="s">
        <v>62</v>
      </c>
      <c r="I63" s="41"/>
      <c r="J63" s="33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3" s="33" t="str">
        <f t="shared" ca="1" si="5"/>
        <v>—</v>
      </c>
      <c r="L63" s="22"/>
    </row>
    <row r="64" spans="1:12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IF(A64="","",IFERROR(VLOOKUP(A64,DB_Customers!$A:$N,14,0),""))</f>
        <v/>
      </c>
      <c r="D64" s="42" t="str">
        <f t="shared" ca="1" si="3"/>
        <v/>
      </c>
      <c r="E64" s="32"/>
      <c r="F64" s="31"/>
      <c r="G64" s="43" t="str">
        <f t="shared" si="4"/>
        <v/>
      </c>
      <c r="H64" s="30" t="s">
        <v>62</v>
      </c>
      <c r="I64" s="41"/>
      <c r="J64" s="33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4" s="33" t="str">
        <f t="shared" ca="1" si="5"/>
        <v>—</v>
      </c>
      <c r="L64" s="50"/>
    </row>
    <row r="65" spans="1:12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IF(A65="","",IFERROR(VLOOKUP(A65,DB_Customers!$A:$N,14,0),""))</f>
        <v/>
      </c>
      <c r="D65" s="42" t="str">
        <f t="shared" ca="1" si="3"/>
        <v/>
      </c>
      <c r="E65" s="32"/>
      <c r="F65" s="31"/>
      <c r="G65" s="43" t="str">
        <f t="shared" si="4"/>
        <v/>
      </c>
      <c r="H65" s="30" t="s">
        <v>62</v>
      </c>
      <c r="I65" s="41"/>
      <c r="J65" s="33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5" s="33" t="str">
        <f t="shared" ca="1" si="5"/>
        <v>—</v>
      </c>
      <c r="L65" s="22"/>
    </row>
    <row r="66" spans="1:12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IF(A66="","",IFERROR(VLOOKUP(A66,DB_Customers!$A:$N,14,0),""))</f>
        <v/>
      </c>
      <c r="D66" s="42" t="str">
        <f t="shared" ca="1" si="3"/>
        <v/>
      </c>
      <c r="E66" s="32"/>
      <c r="F66" s="31"/>
      <c r="G66" s="43" t="str">
        <f t="shared" si="4"/>
        <v/>
      </c>
      <c r="H66" s="30" t="s">
        <v>62</v>
      </c>
      <c r="I66" s="41"/>
      <c r="J66" s="33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6" s="33" t="str">
        <f t="shared" ca="1" si="5"/>
        <v>—</v>
      </c>
      <c r="L66" s="50"/>
    </row>
    <row r="67" spans="1:12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IF(A67="","",IFERROR(VLOOKUP(A67,DB_Customers!$A:$N,14,0),""))</f>
        <v/>
      </c>
      <c r="D67" s="42" t="str">
        <f t="shared" ca="1" si="3"/>
        <v/>
      </c>
      <c r="E67" s="32"/>
      <c r="F67" s="31"/>
      <c r="G67" s="43" t="str">
        <f t="shared" si="4"/>
        <v/>
      </c>
      <c r="H67" s="30" t="s">
        <v>62</v>
      </c>
      <c r="I67" s="41"/>
      <c r="J67" s="33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7" s="33" t="str">
        <f t="shared" ca="1" si="5"/>
        <v>—</v>
      </c>
      <c r="L67" s="22"/>
    </row>
    <row r="68" spans="1:12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IF(A68="","",IFERROR(VLOOKUP(A68,DB_Customers!$A:$N,14,0),""))</f>
        <v/>
      </c>
      <c r="D68" s="42" t="str">
        <f t="shared" ca="1" si="3"/>
        <v/>
      </c>
      <c r="E68" s="32"/>
      <c r="F68" s="31"/>
      <c r="G68" s="43" t="str">
        <f t="shared" si="4"/>
        <v/>
      </c>
      <c r="H68" s="30" t="s">
        <v>62</v>
      </c>
      <c r="I68" s="41"/>
      <c r="J68" s="33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68" s="33" t="str">
        <f t="shared" ca="1" si="5"/>
        <v>—</v>
      </c>
      <c r="L68" s="50"/>
    </row>
    <row r="69" spans="1:12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IF(A69="","",IFERROR(VLOOKUP(A69,DB_Customers!$A:$N,14,0),""))</f>
        <v/>
      </c>
      <c r="D69" s="42" t="str">
        <f t="shared" ca="1" si="3"/>
        <v/>
      </c>
      <c r="E69" s="32"/>
      <c r="F69" s="31"/>
      <c r="G69" s="43" t="str">
        <f t="shared" si="4"/>
        <v/>
      </c>
      <c r="H69" s="30" t="s">
        <v>62</v>
      </c>
      <c r="I69" s="41"/>
      <c r="J69" s="33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69" s="33" t="str">
        <f t="shared" ca="1" si="5"/>
        <v>—</v>
      </c>
      <c r="L69" s="22"/>
    </row>
    <row r="70" spans="1:12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IF(A70="","",IFERROR(VLOOKUP(A70,DB_Customers!$A:$N,14,0),""))</f>
        <v/>
      </c>
      <c r="D70" s="42" t="str">
        <f t="shared" ca="1" si="3"/>
        <v/>
      </c>
      <c r="E70" s="32"/>
      <c r="F70" s="31"/>
      <c r="G70" s="43" t="str">
        <f t="shared" si="4"/>
        <v/>
      </c>
      <c r="H70" s="30" t="s">
        <v>62</v>
      </c>
      <c r="I70" s="41"/>
      <c r="J70" s="33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0" s="33" t="str">
        <f t="shared" ca="1" si="5"/>
        <v>—</v>
      </c>
      <c r="L70" s="50"/>
    </row>
    <row r="71" spans="1:12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IF(A71="","",IFERROR(VLOOKUP(A71,DB_Customers!$A:$N,14,0),""))</f>
        <v/>
      </c>
      <c r="D71" s="42" t="str">
        <f t="shared" ca="1" si="3"/>
        <v/>
      </c>
      <c r="E71" s="32"/>
      <c r="F71" s="31"/>
      <c r="G71" s="43" t="str">
        <f t="shared" si="4"/>
        <v/>
      </c>
      <c r="H71" s="30" t="s">
        <v>62</v>
      </c>
      <c r="I71" s="41"/>
      <c r="J71" s="33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1" s="33" t="str">
        <f t="shared" ca="1" si="5"/>
        <v>—</v>
      </c>
      <c r="L71" s="22"/>
    </row>
    <row r="72" spans="1:12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IF(A72="","",IFERROR(VLOOKUP(A72,DB_Customers!$A:$N,14,0),""))</f>
        <v/>
      </c>
      <c r="D72" s="42" t="str">
        <f t="shared" ca="1" si="3"/>
        <v/>
      </c>
      <c r="E72" s="32"/>
      <c r="F72" s="31"/>
      <c r="G72" s="43" t="str">
        <f t="shared" si="4"/>
        <v/>
      </c>
      <c r="H72" s="30" t="s">
        <v>62</v>
      </c>
      <c r="I72" s="41"/>
      <c r="J72" s="33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2" s="33" t="str">
        <f t="shared" ca="1" si="5"/>
        <v>—</v>
      </c>
      <c r="L72" s="50"/>
    </row>
    <row r="73" spans="1:12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IF(A73="","",IFERROR(VLOOKUP(A73,DB_Customers!$A:$N,14,0),""))</f>
        <v/>
      </c>
      <c r="D73" s="42" t="str">
        <f t="shared" ref="D73:D104" ca="1" si="6">IF(A73="","",TODAY())</f>
        <v/>
      </c>
      <c r="E73" s="32"/>
      <c r="F73" s="31"/>
      <c r="G73" s="43" t="str">
        <f t="shared" ref="G73:G104" si="7">IFERROR(IF(OR(A73="",E73=""),"",C73-E73),"")</f>
        <v/>
      </c>
      <c r="H73" s="30" t="s">
        <v>62</v>
      </c>
      <c r="I73" s="41"/>
      <c r="J73" s="33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3" s="33" t="str">
        <f t="shared" ref="K73:K104" ca="1" si="8">IF(J73="✅ Successful",TEXT(TODAY(),"YYYY-MM-DD")&amp;" Auto","—")</f>
        <v>—</v>
      </c>
      <c r="L73" s="22"/>
    </row>
    <row r="74" spans="1:12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IF(A74="","",IFERROR(VLOOKUP(A74,DB_Customers!$A:$N,14,0),""))</f>
        <v/>
      </c>
      <c r="D74" s="42" t="str">
        <f t="shared" ca="1" si="6"/>
        <v/>
      </c>
      <c r="E74" s="32"/>
      <c r="F74" s="31"/>
      <c r="G74" s="43" t="str">
        <f t="shared" si="7"/>
        <v/>
      </c>
      <c r="H74" s="30" t="s">
        <v>62</v>
      </c>
      <c r="I74" s="41"/>
      <c r="J74" s="33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4" s="33" t="str">
        <f t="shared" ca="1" si="8"/>
        <v>—</v>
      </c>
      <c r="L74" s="50"/>
    </row>
    <row r="75" spans="1:12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IF(A75="","",IFERROR(VLOOKUP(A75,DB_Customers!$A:$N,14,0),""))</f>
        <v/>
      </c>
      <c r="D75" s="42" t="str">
        <f t="shared" ca="1" si="6"/>
        <v/>
      </c>
      <c r="E75" s="32"/>
      <c r="F75" s="31"/>
      <c r="G75" s="43" t="str">
        <f t="shared" si="7"/>
        <v/>
      </c>
      <c r="H75" s="30" t="s">
        <v>62</v>
      </c>
      <c r="I75" s="41"/>
      <c r="J75" s="33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5" s="33" t="str">
        <f t="shared" ca="1" si="8"/>
        <v>—</v>
      </c>
      <c r="L75" s="22"/>
    </row>
    <row r="76" spans="1:12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IF(A76="","",IFERROR(VLOOKUP(A76,DB_Customers!$A:$N,14,0),""))</f>
        <v/>
      </c>
      <c r="D76" s="42" t="str">
        <f t="shared" ca="1" si="6"/>
        <v/>
      </c>
      <c r="E76" s="32"/>
      <c r="F76" s="31"/>
      <c r="G76" s="43" t="str">
        <f t="shared" si="7"/>
        <v/>
      </c>
      <c r="H76" s="30" t="s">
        <v>62</v>
      </c>
      <c r="I76" s="41"/>
      <c r="J76" s="33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6" s="33" t="str">
        <f t="shared" ca="1" si="8"/>
        <v>—</v>
      </c>
      <c r="L76" s="50"/>
    </row>
    <row r="77" spans="1:12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IF(A77="","",IFERROR(VLOOKUP(A77,DB_Customers!$A:$N,14,0),""))</f>
        <v/>
      </c>
      <c r="D77" s="42" t="str">
        <f t="shared" ca="1" si="6"/>
        <v/>
      </c>
      <c r="E77" s="32"/>
      <c r="F77" s="31"/>
      <c r="G77" s="43" t="str">
        <f t="shared" si="7"/>
        <v/>
      </c>
      <c r="H77" s="30" t="s">
        <v>62</v>
      </c>
      <c r="I77" s="41"/>
      <c r="J77" s="33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7" s="33" t="str">
        <f t="shared" ca="1" si="8"/>
        <v>—</v>
      </c>
      <c r="L77" s="22"/>
    </row>
    <row r="78" spans="1:12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IF(A78="","",IFERROR(VLOOKUP(A78,DB_Customers!$A:$N,14,0),""))</f>
        <v/>
      </c>
      <c r="D78" s="42" t="str">
        <f t="shared" ca="1" si="6"/>
        <v/>
      </c>
      <c r="E78" s="32"/>
      <c r="F78" s="31"/>
      <c r="G78" s="43" t="str">
        <f t="shared" si="7"/>
        <v/>
      </c>
      <c r="H78" s="30" t="s">
        <v>62</v>
      </c>
      <c r="I78" s="41"/>
      <c r="J78" s="33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78" s="33" t="str">
        <f t="shared" ca="1" si="8"/>
        <v>—</v>
      </c>
      <c r="L78" s="50"/>
    </row>
    <row r="79" spans="1:12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IF(A79="","",IFERROR(VLOOKUP(A79,DB_Customers!$A:$N,14,0),""))</f>
        <v/>
      </c>
      <c r="D79" s="42" t="str">
        <f t="shared" ca="1" si="6"/>
        <v/>
      </c>
      <c r="E79" s="32"/>
      <c r="F79" s="31"/>
      <c r="G79" s="43" t="str">
        <f t="shared" si="7"/>
        <v/>
      </c>
      <c r="H79" s="30" t="s">
        <v>62</v>
      </c>
      <c r="I79" s="41"/>
      <c r="J79" s="33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79" s="33" t="str">
        <f t="shared" ca="1" si="8"/>
        <v>—</v>
      </c>
      <c r="L79" s="22"/>
    </row>
    <row r="80" spans="1:12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IF(A80="","",IFERROR(VLOOKUP(A80,DB_Customers!$A:$N,14,0),""))</f>
        <v/>
      </c>
      <c r="D80" s="42" t="str">
        <f t="shared" ca="1" si="6"/>
        <v/>
      </c>
      <c r="E80" s="32"/>
      <c r="F80" s="31"/>
      <c r="G80" s="43" t="str">
        <f t="shared" si="7"/>
        <v/>
      </c>
      <c r="H80" s="30" t="s">
        <v>62</v>
      </c>
      <c r="I80" s="41"/>
      <c r="J80" s="33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0" s="33" t="str">
        <f t="shared" ca="1" si="8"/>
        <v>—</v>
      </c>
      <c r="L80" s="50"/>
    </row>
    <row r="81" spans="1:12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IF(A81="","",IFERROR(VLOOKUP(A81,DB_Customers!$A:$N,14,0),""))</f>
        <v/>
      </c>
      <c r="D81" s="42" t="str">
        <f t="shared" ca="1" si="6"/>
        <v/>
      </c>
      <c r="E81" s="32"/>
      <c r="F81" s="31"/>
      <c r="G81" s="43" t="str">
        <f t="shared" si="7"/>
        <v/>
      </c>
      <c r="H81" s="30" t="s">
        <v>62</v>
      </c>
      <c r="I81" s="41"/>
      <c r="J81" s="33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1" s="33" t="str">
        <f t="shared" ca="1" si="8"/>
        <v>—</v>
      </c>
      <c r="L81" s="22"/>
    </row>
    <row r="82" spans="1:12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IF(A82="","",IFERROR(VLOOKUP(A82,DB_Customers!$A:$N,14,0),""))</f>
        <v/>
      </c>
      <c r="D82" s="42" t="str">
        <f t="shared" ca="1" si="6"/>
        <v/>
      </c>
      <c r="E82" s="32"/>
      <c r="F82" s="31"/>
      <c r="G82" s="43" t="str">
        <f t="shared" si="7"/>
        <v/>
      </c>
      <c r="H82" s="30" t="s">
        <v>62</v>
      </c>
      <c r="I82" s="41"/>
      <c r="J82" s="33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2" s="33" t="str">
        <f t="shared" ca="1" si="8"/>
        <v>—</v>
      </c>
      <c r="L82" s="50"/>
    </row>
    <row r="83" spans="1:12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IF(A83="","",IFERROR(VLOOKUP(A83,DB_Customers!$A:$N,14,0),""))</f>
        <v/>
      </c>
      <c r="D83" s="42" t="str">
        <f t="shared" ca="1" si="6"/>
        <v/>
      </c>
      <c r="E83" s="32"/>
      <c r="F83" s="31"/>
      <c r="G83" s="43" t="str">
        <f t="shared" si="7"/>
        <v/>
      </c>
      <c r="H83" s="30" t="s">
        <v>62</v>
      </c>
      <c r="I83" s="41"/>
      <c r="J83" s="33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3" s="33" t="str">
        <f t="shared" ca="1" si="8"/>
        <v>—</v>
      </c>
      <c r="L83" s="22"/>
    </row>
    <row r="84" spans="1:12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IF(A84="","",IFERROR(VLOOKUP(A84,DB_Customers!$A:$N,14,0),""))</f>
        <v/>
      </c>
      <c r="D84" s="42" t="str">
        <f t="shared" ca="1" si="6"/>
        <v/>
      </c>
      <c r="E84" s="32"/>
      <c r="F84" s="31"/>
      <c r="G84" s="43" t="str">
        <f t="shared" si="7"/>
        <v/>
      </c>
      <c r="H84" s="30" t="s">
        <v>62</v>
      </c>
      <c r="I84" s="41"/>
      <c r="J84" s="33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4" s="33" t="str">
        <f t="shared" ca="1" si="8"/>
        <v>—</v>
      </c>
      <c r="L84" s="50"/>
    </row>
    <row r="85" spans="1:12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IF(A85="","",IFERROR(VLOOKUP(A85,DB_Customers!$A:$N,14,0),""))</f>
        <v/>
      </c>
      <c r="D85" s="42" t="str">
        <f t="shared" ca="1" si="6"/>
        <v/>
      </c>
      <c r="E85" s="32"/>
      <c r="F85" s="31"/>
      <c r="G85" s="43" t="str">
        <f t="shared" si="7"/>
        <v/>
      </c>
      <c r="H85" s="30" t="s">
        <v>62</v>
      </c>
      <c r="I85" s="41"/>
      <c r="J85" s="33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5" s="33" t="str">
        <f t="shared" ca="1" si="8"/>
        <v>—</v>
      </c>
      <c r="L85" s="22"/>
    </row>
    <row r="86" spans="1:12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IF(A86="","",IFERROR(VLOOKUP(A86,DB_Customers!$A:$N,14,0),""))</f>
        <v/>
      </c>
      <c r="D86" s="42" t="str">
        <f t="shared" ca="1" si="6"/>
        <v/>
      </c>
      <c r="E86" s="32"/>
      <c r="F86" s="31"/>
      <c r="G86" s="43" t="str">
        <f t="shared" si="7"/>
        <v/>
      </c>
      <c r="H86" s="30" t="s">
        <v>62</v>
      </c>
      <c r="I86" s="41"/>
      <c r="J86" s="33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6" s="33" t="str">
        <f t="shared" ca="1" si="8"/>
        <v>—</v>
      </c>
      <c r="L86" s="50"/>
    </row>
    <row r="87" spans="1:12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IF(A87="","",IFERROR(VLOOKUP(A87,DB_Customers!$A:$N,14,0),""))</f>
        <v/>
      </c>
      <c r="D87" s="42" t="str">
        <f t="shared" ca="1" si="6"/>
        <v/>
      </c>
      <c r="E87" s="32"/>
      <c r="F87" s="31"/>
      <c r="G87" s="43" t="str">
        <f t="shared" si="7"/>
        <v/>
      </c>
      <c r="H87" s="30" t="s">
        <v>62</v>
      </c>
      <c r="I87" s="41"/>
      <c r="J87" s="33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7" s="33" t="str">
        <f t="shared" ca="1" si="8"/>
        <v>—</v>
      </c>
      <c r="L87" s="22"/>
    </row>
    <row r="88" spans="1:12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IF(A88="","",IFERROR(VLOOKUP(A88,DB_Customers!$A:$N,14,0),""))</f>
        <v/>
      </c>
      <c r="D88" s="42" t="str">
        <f t="shared" ca="1" si="6"/>
        <v/>
      </c>
      <c r="E88" s="32"/>
      <c r="F88" s="31"/>
      <c r="G88" s="43" t="str">
        <f t="shared" si="7"/>
        <v/>
      </c>
      <c r="H88" s="30" t="s">
        <v>62</v>
      </c>
      <c r="I88" s="41"/>
      <c r="J88" s="33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88" s="33" t="str">
        <f t="shared" ca="1" si="8"/>
        <v>—</v>
      </c>
      <c r="L88" s="50"/>
    </row>
    <row r="89" spans="1:12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IF(A89="","",IFERROR(VLOOKUP(A89,DB_Customers!$A:$N,14,0),""))</f>
        <v/>
      </c>
      <c r="D89" s="42" t="str">
        <f t="shared" ca="1" si="6"/>
        <v/>
      </c>
      <c r="E89" s="32"/>
      <c r="F89" s="31"/>
      <c r="G89" s="43" t="str">
        <f t="shared" si="7"/>
        <v/>
      </c>
      <c r="H89" s="30" t="s">
        <v>62</v>
      </c>
      <c r="I89" s="41"/>
      <c r="J89" s="33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89" s="33" t="str">
        <f t="shared" ca="1" si="8"/>
        <v>—</v>
      </c>
      <c r="L89" s="22"/>
    </row>
    <row r="90" spans="1:12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IF(A90="","",IFERROR(VLOOKUP(A90,DB_Customers!$A:$N,14,0),""))</f>
        <v/>
      </c>
      <c r="D90" s="42" t="str">
        <f t="shared" ca="1" si="6"/>
        <v/>
      </c>
      <c r="E90" s="32"/>
      <c r="F90" s="31"/>
      <c r="G90" s="43" t="str">
        <f t="shared" si="7"/>
        <v/>
      </c>
      <c r="H90" s="30" t="s">
        <v>62</v>
      </c>
      <c r="I90" s="41"/>
      <c r="J90" s="33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0" s="33" t="str">
        <f t="shared" ca="1" si="8"/>
        <v>—</v>
      </c>
      <c r="L90" s="50"/>
    </row>
    <row r="91" spans="1:12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IF(A91="","",IFERROR(VLOOKUP(A91,DB_Customers!$A:$N,14,0),""))</f>
        <v/>
      </c>
      <c r="D91" s="42" t="str">
        <f t="shared" ca="1" si="6"/>
        <v/>
      </c>
      <c r="E91" s="32"/>
      <c r="F91" s="31"/>
      <c r="G91" s="43" t="str">
        <f t="shared" si="7"/>
        <v/>
      </c>
      <c r="H91" s="30" t="s">
        <v>62</v>
      </c>
      <c r="I91" s="41"/>
      <c r="J91" s="33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1" s="33" t="str">
        <f t="shared" ca="1" si="8"/>
        <v>—</v>
      </c>
      <c r="L91" s="22"/>
    </row>
    <row r="92" spans="1:12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IF(A92="","",IFERROR(VLOOKUP(A92,DB_Customers!$A:$N,14,0),""))</f>
        <v/>
      </c>
      <c r="D92" s="42" t="str">
        <f t="shared" ca="1" si="6"/>
        <v/>
      </c>
      <c r="E92" s="32"/>
      <c r="F92" s="31"/>
      <c r="G92" s="43" t="str">
        <f t="shared" si="7"/>
        <v/>
      </c>
      <c r="H92" s="30" t="s">
        <v>62</v>
      </c>
      <c r="I92" s="41"/>
      <c r="J92" s="33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2" s="33" t="str">
        <f t="shared" ca="1" si="8"/>
        <v>—</v>
      </c>
      <c r="L92" s="50"/>
    </row>
    <row r="93" spans="1:12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IF(A93="","",IFERROR(VLOOKUP(A93,DB_Customers!$A:$N,14,0),""))</f>
        <v/>
      </c>
      <c r="D93" s="42" t="str">
        <f t="shared" ca="1" si="6"/>
        <v/>
      </c>
      <c r="E93" s="32"/>
      <c r="F93" s="31"/>
      <c r="G93" s="43" t="str">
        <f t="shared" si="7"/>
        <v/>
      </c>
      <c r="H93" s="30" t="s">
        <v>62</v>
      </c>
      <c r="I93" s="41"/>
      <c r="J93" s="33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3" s="33" t="str">
        <f t="shared" ca="1" si="8"/>
        <v>—</v>
      </c>
      <c r="L93" s="22"/>
    </row>
    <row r="94" spans="1:12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IF(A94="","",IFERROR(VLOOKUP(A94,DB_Customers!$A:$N,14,0),""))</f>
        <v/>
      </c>
      <c r="D94" s="42" t="str">
        <f t="shared" ca="1" si="6"/>
        <v/>
      </c>
      <c r="E94" s="32"/>
      <c r="F94" s="31"/>
      <c r="G94" s="43" t="str">
        <f t="shared" si="7"/>
        <v/>
      </c>
      <c r="H94" s="30" t="s">
        <v>62</v>
      </c>
      <c r="I94" s="41"/>
      <c r="J94" s="33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4" s="33" t="str">
        <f t="shared" ca="1" si="8"/>
        <v>—</v>
      </c>
      <c r="L94" s="50"/>
    </row>
    <row r="95" spans="1:12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IF(A95="","",IFERROR(VLOOKUP(A95,DB_Customers!$A:$N,14,0),""))</f>
        <v/>
      </c>
      <c r="D95" s="42" t="str">
        <f t="shared" ca="1" si="6"/>
        <v/>
      </c>
      <c r="E95" s="32"/>
      <c r="F95" s="31"/>
      <c r="G95" s="43" t="str">
        <f t="shared" si="7"/>
        <v/>
      </c>
      <c r="H95" s="30" t="s">
        <v>62</v>
      </c>
      <c r="I95" s="41"/>
      <c r="J95" s="33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5" s="33" t="str">
        <f t="shared" ca="1" si="8"/>
        <v>—</v>
      </c>
      <c r="L95" s="22"/>
    </row>
    <row r="96" spans="1:12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IF(A96="","",IFERROR(VLOOKUP(A96,DB_Customers!$A:$N,14,0),""))</f>
        <v/>
      </c>
      <c r="D96" s="42" t="str">
        <f t="shared" ca="1" si="6"/>
        <v/>
      </c>
      <c r="E96" s="32"/>
      <c r="F96" s="31"/>
      <c r="G96" s="43" t="str">
        <f t="shared" si="7"/>
        <v/>
      </c>
      <c r="H96" s="30" t="s">
        <v>62</v>
      </c>
      <c r="I96" s="41"/>
      <c r="J96" s="33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6" s="33" t="str">
        <f t="shared" ca="1" si="8"/>
        <v>—</v>
      </c>
      <c r="L96" s="50"/>
    </row>
    <row r="97" spans="1:12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IF(A97="","",IFERROR(VLOOKUP(A97,DB_Customers!$A:$N,14,0),""))</f>
        <v/>
      </c>
      <c r="D97" s="42" t="str">
        <f t="shared" ca="1" si="6"/>
        <v/>
      </c>
      <c r="E97" s="32"/>
      <c r="F97" s="31"/>
      <c r="G97" s="43" t="str">
        <f t="shared" si="7"/>
        <v/>
      </c>
      <c r="H97" s="30" t="s">
        <v>62</v>
      </c>
      <c r="I97" s="41"/>
      <c r="J97" s="33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7" s="33" t="str">
        <f t="shared" ca="1" si="8"/>
        <v>—</v>
      </c>
      <c r="L97" s="22"/>
    </row>
    <row r="98" spans="1:12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IF(A98="","",IFERROR(VLOOKUP(A98,DB_Customers!$A:$N,14,0),""))</f>
        <v/>
      </c>
      <c r="D98" s="42" t="str">
        <f t="shared" ca="1" si="6"/>
        <v/>
      </c>
      <c r="E98" s="32"/>
      <c r="F98" s="31"/>
      <c r="G98" s="43" t="str">
        <f t="shared" si="7"/>
        <v/>
      </c>
      <c r="H98" s="30" t="s">
        <v>62</v>
      </c>
      <c r="I98" s="41"/>
      <c r="J98" s="33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98" s="33" t="str">
        <f t="shared" ca="1" si="8"/>
        <v>—</v>
      </c>
      <c r="L98" s="50"/>
    </row>
    <row r="99" spans="1:12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IF(A99="","",IFERROR(VLOOKUP(A99,DB_Customers!$A:$N,14,0),""))</f>
        <v/>
      </c>
      <c r="D99" s="42" t="str">
        <f t="shared" ca="1" si="6"/>
        <v/>
      </c>
      <c r="E99" s="32"/>
      <c r="F99" s="31"/>
      <c r="G99" s="43" t="str">
        <f t="shared" si="7"/>
        <v/>
      </c>
      <c r="H99" s="30" t="s">
        <v>62</v>
      </c>
      <c r="I99" s="41"/>
      <c r="J99" s="33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99" s="33" t="str">
        <f t="shared" ca="1" si="8"/>
        <v>—</v>
      </c>
      <c r="L99" s="22"/>
    </row>
    <row r="100" spans="1:12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IF(A100="","",IFERROR(VLOOKUP(A100,DB_Customers!$A:$N,14,0),""))</f>
        <v/>
      </c>
      <c r="D100" s="42" t="str">
        <f t="shared" ca="1" si="6"/>
        <v/>
      </c>
      <c r="E100" s="32"/>
      <c r="F100" s="31"/>
      <c r="G100" s="43" t="str">
        <f t="shared" si="7"/>
        <v/>
      </c>
      <c r="H100" s="30" t="s">
        <v>62</v>
      </c>
      <c r="I100" s="41"/>
      <c r="J100" s="33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0" s="33" t="str">
        <f t="shared" ca="1" si="8"/>
        <v>—</v>
      </c>
      <c r="L100" s="50"/>
    </row>
    <row r="101" spans="1:12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IF(A101="","",IFERROR(VLOOKUP(A101,DB_Customers!$A:$N,14,0),""))</f>
        <v/>
      </c>
      <c r="D101" s="42" t="str">
        <f t="shared" ca="1" si="6"/>
        <v/>
      </c>
      <c r="E101" s="32"/>
      <c r="F101" s="31"/>
      <c r="G101" s="43" t="str">
        <f t="shared" si="7"/>
        <v/>
      </c>
      <c r="H101" s="30" t="s">
        <v>62</v>
      </c>
      <c r="I101" s="41"/>
      <c r="J101" s="33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1" s="33" t="str">
        <f t="shared" ca="1" si="8"/>
        <v>—</v>
      </c>
      <c r="L101" s="22"/>
    </row>
    <row r="102" spans="1:12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IF(A102="","",IFERROR(VLOOKUP(A102,DB_Customers!$A:$N,14,0),""))</f>
        <v/>
      </c>
      <c r="D102" s="42" t="str">
        <f t="shared" ca="1" si="6"/>
        <v/>
      </c>
      <c r="E102" s="32"/>
      <c r="F102" s="31"/>
      <c r="G102" s="43" t="str">
        <f t="shared" si="7"/>
        <v/>
      </c>
      <c r="H102" s="30" t="s">
        <v>62</v>
      </c>
      <c r="I102" s="41"/>
      <c r="J102" s="33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2" s="33" t="str">
        <f t="shared" ca="1" si="8"/>
        <v>—</v>
      </c>
      <c r="L102" s="50"/>
    </row>
    <row r="103" spans="1:12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IF(A103="","",IFERROR(VLOOKUP(A103,DB_Customers!$A:$N,14,0),""))</f>
        <v/>
      </c>
      <c r="D103" s="42" t="str">
        <f t="shared" ca="1" si="6"/>
        <v/>
      </c>
      <c r="E103" s="32"/>
      <c r="F103" s="31"/>
      <c r="G103" s="43" t="str">
        <f t="shared" si="7"/>
        <v/>
      </c>
      <c r="H103" s="30" t="s">
        <v>62</v>
      </c>
      <c r="I103" s="41"/>
      <c r="J103" s="33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3" s="33" t="str">
        <f t="shared" ca="1" si="8"/>
        <v>—</v>
      </c>
      <c r="L103" s="22"/>
    </row>
    <row r="104" spans="1:12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IF(A104="","",IFERROR(VLOOKUP(A104,DB_Customers!$A:$N,14,0),""))</f>
        <v/>
      </c>
      <c r="D104" s="42" t="str">
        <f t="shared" ca="1" si="6"/>
        <v/>
      </c>
      <c r="E104" s="32"/>
      <c r="F104" s="31"/>
      <c r="G104" s="43" t="str">
        <f t="shared" si="7"/>
        <v/>
      </c>
      <c r="H104" s="30" t="s">
        <v>62</v>
      </c>
      <c r="I104" s="41"/>
      <c r="J104" s="33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4" s="33" t="str">
        <f t="shared" ca="1" si="8"/>
        <v>—</v>
      </c>
      <c r="L104" s="50"/>
    </row>
    <row r="105" spans="1:12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IF(A105="","",IFERROR(VLOOKUP(A105,DB_Customers!$A:$N,14,0),""))</f>
        <v/>
      </c>
      <c r="D105" s="42" t="str">
        <f t="shared" ref="D105:D136" ca="1" si="9">IF(A105="","",TODAY())</f>
        <v/>
      </c>
      <c r="E105" s="32"/>
      <c r="F105" s="31"/>
      <c r="G105" s="43" t="str">
        <f t="shared" ref="G105:G136" si="10">IFERROR(IF(OR(A105="",E105=""),"",C105-E105),"")</f>
        <v/>
      </c>
      <c r="H105" s="30" t="s">
        <v>62</v>
      </c>
      <c r="I105" s="41"/>
      <c r="J105" s="33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5" s="33" t="str">
        <f t="shared" ref="K105:K136" ca="1" si="11">IF(J105="✅ Successful",TEXT(TODAY(),"YYYY-MM-DD")&amp;" Auto","—")</f>
        <v>—</v>
      </c>
      <c r="L105" s="22"/>
    </row>
    <row r="106" spans="1:12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IF(A106="","",IFERROR(VLOOKUP(A106,DB_Customers!$A:$N,14,0),""))</f>
        <v/>
      </c>
      <c r="D106" s="42" t="str">
        <f t="shared" ca="1" si="9"/>
        <v/>
      </c>
      <c r="E106" s="32"/>
      <c r="F106" s="31"/>
      <c r="G106" s="43" t="str">
        <f t="shared" si="10"/>
        <v/>
      </c>
      <c r="H106" s="30" t="s">
        <v>62</v>
      </c>
      <c r="I106" s="41"/>
      <c r="J106" s="33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6" s="33" t="str">
        <f t="shared" ca="1" si="11"/>
        <v>—</v>
      </c>
      <c r="L106" s="50"/>
    </row>
    <row r="107" spans="1:12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IF(A107="","",IFERROR(VLOOKUP(A107,DB_Customers!$A:$N,14,0),""))</f>
        <v/>
      </c>
      <c r="D107" s="42" t="str">
        <f t="shared" ca="1" si="9"/>
        <v/>
      </c>
      <c r="E107" s="32"/>
      <c r="F107" s="31"/>
      <c r="G107" s="43" t="str">
        <f t="shared" si="10"/>
        <v/>
      </c>
      <c r="H107" s="30" t="s">
        <v>62</v>
      </c>
      <c r="I107" s="41"/>
      <c r="J107" s="33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7" s="33" t="str">
        <f t="shared" ca="1" si="11"/>
        <v>—</v>
      </c>
      <c r="L107" s="22"/>
    </row>
    <row r="108" spans="1:12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IF(A108="","",IFERROR(VLOOKUP(A108,DB_Customers!$A:$N,14,0),""))</f>
        <v/>
      </c>
      <c r="D108" s="42" t="str">
        <f t="shared" ca="1" si="9"/>
        <v/>
      </c>
      <c r="E108" s="32"/>
      <c r="F108" s="31"/>
      <c r="G108" s="43" t="str">
        <f t="shared" si="10"/>
        <v/>
      </c>
      <c r="H108" s="30" t="s">
        <v>62</v>
      </c>
      <c r="I108" s="41"/>
      <c r="J108" s="33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08" s="33" t="str">
        <f t="shared" ca="1" si="11"/>
        <v>—</v>
      </c>
      <c r="L108" s="50"/>
    </row>
    <row r="109" spans="1:12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IF(A109="","",IFERROR(VLOOKUP(A109,DB_Customers!$A:$N,14,0),""))</f>
        <v/>
      </c>
      <c r="D109" s="42" t="str">
        <f t="shared" ca="1" si="9"/>
        <v/>
      </c>
      <c r="E109" s="32"/>
      <c r="F109" s="31"/>
      <c r="G109" s="43" t="str">
        <f t="shared" si="10"/>
        <v/>
      </c>
      <c r="H109" s="30" t="s">
        <v>62</v>
      </c>
      <c r="I109" s="41"/>
      <c r="J109" s="33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09" s="33" t="str">
        <f t="shared" ca="1" si="11"/>
        <v>—</v>
      </c>
      <c r="L109" s="22"/>
    </row>
    <row r="110" spans="1:12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IF(A110="","",IFERROR(VLOOKUP(A110,DB_Customers!$A:$N,14,0),""))</f>
        <v/>
      </c>
      <c r="D110" s="42" t="str">
        <f t="shared" ca="1" si="9"/>
        <v/>
      </c>
      <c r="E110" s="32"/>
      <c r="F110" s="31"/>
      <c r="G110" s="43" t="str">
        <f t="shared" si="10"/>
        <v/>
      </c>
      <c r="H110" s="30" t="s">
        <v>62</v>
      </c>
      <c r="I110" s="41"/>
      <c r="J110" s="33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0" s="33" t="str">
        <f t="shared" ca="1" si="11"/>
        <v>—</v>
      </c>
      <c r="L110" s="50"/>
    </row>
    <row r="111" spans="1:12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IF(A111="","",IFERROR(VLOOKUP(A111,DB_Customers!$A:$N,14,0),""))</f>
        <v/>
      </c>
      <c r="D111" s="42" t="str">
        <f t="shared" ca="1" si="9"/>
        <v/>
      </c>
      <c r="E111" s="32"/>
      <c r="F111" s="31"/>
      <c r="G111" s="43" t="str">
        <f t="shared" si="10"/>
        <v/>
      </c>
      <c r="H111" s="30" t="s">
        <v>62</v>
      </c>
      <c r="I111" s="41"/>
      <c r="J111" s="33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1" s="33" t="str">
        <f t="shared" ca="1" si="11"/>
        <v>—</v>
      </c>
      <c r="L111" s="22"/>
    </row>
    <row r="112" spans="1:12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IF(A112="","",IFERROR(VLOOKUP(A112,DB_Customers!$A:$N,14,0),""))</f>
        <v/>
      </c>
      <c r="D112" s="42" t="str">
        <f t="shared" ca="1" si="9"/>
        <v/>
      </c>
      <c r="E112" s="32"/>
      <c r="F112" s="31"/>
      <c r="G112" s="43" t="str">
        <f t="shared" si="10"/>
        <v/>
      </c>
      <c r="H112" s="30" t="s">
        <v>62</v>
      </c>
      <c r="I112" s="41"/>
      <c r="J112" s="33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2" s="33" t="str">
        <f t="shared" ca="1" si="11"/>
        <v>—</v>
      </c>
      <c r="L112" s="50"/>
    </row>
    <row r="113" spans="1:12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IF(A113="","",IFERROR(VLOOKUP(A113,DB_Customers!$A:$N,14,0),""))</f>
        <v/>
      </c>
      <c r="D113" s="42" t="str">
        <f t="shared" ca="1" si="9"/>
        <v/>
      </c>
      <c r="E113" s="32"/>
      <c r="F113" s="31"/>
      <c r="G113" s="43" t="str">
        <f t="shared" si="10"/>
        <v/>
      </c>
      <c r="H113" s="30" t="s">
        <v>62</v>
      </c>
      <c r="I113" s="41"/>
      <c r="J113" s="33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3" s="33" t="str">
        <f t="shared" ca="1" si="11"/>
        <v>—</v>
      </c>
      <c r="L113" s="22"/>
    </row>
    <row r="114" spans="1:12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IF(A114="","",IFERROR(VLOOKUP(A114,DB_Customers!$A:$N,14,0),""))</f>
        <v/>
      </c>
      <c r="D114" s="42" t="str">
        <f t="shared" ca="1" si="9"/>
        <v/>
      </c>
      <c r="E114" s="32"/>
      <c r="F114" s="31"/>
      <c r="G114" s="43" t="str">
        <f t="shared" si="10"/>
        <v/>
      </c>
      <c r="H114" s="30" t="s">
        <v>62</v>
      </c>
      <c r="I114" s="41"/>
      <c r="J114" s="33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4" s="33" t="str">
        <f t="shared" ca="1" si="11"/>
        <v>—</v>
      </c>
      <c r="L114" s="50"/>
    </row>
    <row r="115" spans="1:12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IF(A115="","",IFERROR(VLOOKUP(A115,DB_Customers!$A:$N,14,0),""))</f>
        <v/>
      </c>
      <c r="D115" s="42" t="str">
        <f t="shared" ca="1" si="9"/>
        <v/>
      </c>
      <c r="E115" s="32"/>
      <c r="F115" s="31"/>
      <c r="G115" s="43" t="str">
        <f t="shared" si="10"/>
        <v/>
      </c>
      <c r="H115" s="30" t="s">
        <v>62</v>
      </c>
      <c r="I115" s="41"/>
      <c r="J115" s="33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5" s="33" t="str">
        <f t="shared" ca="1" si="11"/>
        <v>—</v>
      </c>
      <c r="L115" s="22"/>
    </row>
    <row r="116" spans="1:12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IF(A116="","",IFERROR(VLOOKUP(A116,DB_Customers!$A:$N,14,0),""))</f>
        <v/>
      </c>
      <c r="D116" s="42" t="str">
        <f t="shared" ca="1" si="9"/>
        <v/>
      </c>
      <c r="E116" s="32"/>
      <c r="F116" s="31"/>
      <c r="G116" s="43" t="str">
        <f t="shared" si="10"/>
        <v/>
      </c>
      <c r="H116" s="30" t="s">
        <v>62</v>
      </c>
      <c r="I116" s="41"/>
      <c r="J116" s="33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6" s="33" t="str">
        <f t="shared" ca="1" si="11"/>
        <v>—</v>
      </c>
      <c r="L116" s="50"/>
    </row>
    <row r="117" spans="1:12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IF(A117="","",IFERROR(VLOOKUP(A117,DB_Customers!$A:$N,14,0),""))</f>
        <v/>
      </c>
      <c r="D117" s="42" t="str">
        <f t="shared" ca="1" si="9"/>
        <v/>
      </c>
      <c r="E117" s="32"/>
      <c r="F117" s="31"/>
      <c r="G117" s="43" t="str">
        <f t="shared" si="10"/>
        <v/>
      </c>
      <c r="H117" s="30" t="s">
        <v>62</v>
      </c>
      <c r="I117" s="41"/>
      <c r="J117" s="33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7" s="33" t="str">
        <f t="shared" ca="1" si="11"/>
        <v>—</v>
      </c>
      <c r="L117" s="22"/>
    </row>
    <row r="118" spans="1:12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IF(A118="","",IFERROR(VLOOKUP(A118,DB_Customers!$A:$N,14,0),""))</f>
        <v/>
      </c>
      <c r="D118" s="42" t="str">
        <f t="shared" ca="1" si="9"/>
        <v/>
      </c>
      <c r="E118" s="32"/>
      <c r="F118" s="31"/>
      <c r="G118" s="43" t="str">
        <f t="shared" si="10"/>
        <v/>
      </c>
      <c r="H118" s="30" t="s">
        <v>62</v>
      </c>
      <c r="I118" s="41"/>
      <c r="J118" s="33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18" s="33" t="str">
        <f t="shared" ca="1" si="11"/>
        <v>—</v>
      </c>
      <c r="L118" s="50"/>
    </row>
    <row r="119" spans="1:12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IF(A119="","",IFERROR(VLOOKUP(A119,DB_Customers!$A:$N,14,0),""))</f>
        <v/>
      </c>
      <c r="D119" s="42" t="str">
        <f t="shared" ca="1" si="9"/>
        <v/>
      </c>
      <c r="E119" s="32"/>
      <c r="F119" s="31"/>
      <c r="G119" s="43" t="str">
        <f t="shared" si="10"/>
        <v/>
      </c>
      <c r="H119" s="30" t="s">
        <v>62</v>
      </c>
      <c r="I119" s="41"/>
      <c r="J119" s="33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19" s="33" t="str">
        <f t="shared" ca="1" si="11"/>
        <v>—</v>
      </c>
      <c r="L119" s="22"/>
    </row>
    <row r="120" spans="1:12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IF(A120="","",IFERROR(VLOOKUP(A120,DB_Customers!$A:$N,14,0),""))</f>
        <v/>
      </c>
      <c r="D120" s="42" t="str">
        <f t="shared" ca="1" si="9"/>
        <v/>
      </c>
      <c r="E120" s="32"/>
      <c r="F120" s="31"/>
      <c r="G120" s="43" t="str">
        <f t="shared" si="10"/>
        <v/>
      </c>
      <c r="H120" s="30" t="s">
        <v>62</v>
      </c>
      <c r="I120" s="41"/>
      <c r="J120" s="33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0" s="33" t="str">
        <f t="shared" ca="1" si="11"/>
        <v>—</v>
      </c>
      <c r="L120" s="50"/>
    </row>
    <row r="121" spans="1:12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IF(A121="","",IFERROR(VLOOKUP(A121,DB_Customers!$A:$N,14,0),""))</f>
        <v/>
      </c>
      <c r="D121" s="42" t="str">
        <f t="shared" ca="1" si="9"/>
        <v/>
      </c>
      <c r="E121" s="32"/>
      <c r="F121" s="31"/>
      <c r="G121" s="43" t="str">
        <f t="shared" si="10"/>
        <v/>
      </c>
      <c r="H121" s="30" t="s">
        <v>62</v>
      </c>
      <c r="I121" s="41"/>
      <c r="J121" s="33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1" s="33" t="str">
        <f t="shared" ca="1" si="11"/>
        <v>—</v>
      </c>
      <c r="L121" s="22"/>
    </row>
    <row r="122" spans="1:12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IF(A122="","",IFERROR(VLOOKUP(A122,DB_Customers!$A:$N,14,0),""))</f>
        <v/>
      </c>
      <c r="D122" s="42" t="str">
        <f t="shared" ca="1" si="9"/>
        <v/>
      </c>
      <c r="E122" s="32"/>
      <c r="F122" s="31"/>
      <c r="G122" s="43" t="str">
        <f t="shared" si="10"/>
        <v/>
      </c>
      <c r="H122" s="30" t="s">
        <v>62</v>
      </c>
      <c r="I122" s="41"/>
      <c r="J122" s="33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2" s="33" t="str">
        <f t="shared" ca="1" si="11"/>
        <v>—</v>
      </c>
      <c r="L122" s="50"/>
    </row>
    <row r="123" spans="1:12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IF(A123="","",IFERROR(VLOOKUP(A123,DB_Customers!$A:$N,14,0),""))</f>
        <v/>
      </c>
      <c r="D123" s="42" t="str">
        <f t="shared" ca="1" si="9"/>
        <v/>
      </c>
      <c r="E123" s="32"/>
      <c r="F123" s="31"/>
      <c r="G123" s="43" t="str">
        <f t="shared" si="10"/>
        <v/>
      </c>
      <c r="H123" s="30" t="s">
        <v>62</v>
      </c>
      <c r="I123" s="41"/>
      <c r="J123" s="33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3" s="33" t="str">
        <f t="shared" ca="1" si="11"/>
        <v>—</v>
      </c>
      <c r="L123" s="22"/>
    </row>
    <row r="124" spans="1:12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IF(A124="","",IFERROR(VLOOKUP(A124,DB_Customers!$A:$N,14,0),""))</f>
        <v/>
      </c>
      <c r="D124" s="42" t="str">
        <f t="shared" ca="1" si="9"/>
        <v/>
      </c>
      <c r="E124" s="32"/>
      <c r="F124" s="31"/>
      <c r="G124" s="43" t="str">
        <f t="shared" si="10"/>
        <v/>
      </c>
      <c r="H124" s="30" t="s">
        <v>62</v>
      </c>
      <c r="I124" s="41"/>
      <c r="J124" s="33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4" s="33" t="str">
        <f t="shared" ca="1" si="11"/>
        <v>—</v>
      </c>
      <c r="L124" s="50"/>
    </row>
    <row r="125" spans="1:12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IF(A125="","",IFERROR(VLOOKUP(A125,DB_Customers!$A:$N,14,0),""))</f>
        <v/>
      </c>
      <c r="D125" s="42" t="str">
        <f t="shared" ca="1" si="9"/>
        <v/>
      </c>
      <c r="E125" s="32"/>
      <c r="F125" s="31"/>
      <c r="G125" s="43" t="str">
        <f t="shared" si="10"/>
        <v/>
      </c>
      <c r="H125" s="30" t="s">
        <v>62</v>
      </c>
      <c r="I125" s="41"/>
      <c r="J125" s="33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5" s="33" t="str">
        <f t="shared" ca="1" si="11"/>
        <v>—</v>
      </c>
      <c r="L125" s="22"/>
    </row>
    <row r="126" spans="1:12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IF(A126="","",IFERROR(VLOOKUP(A126,DB_Customers!$A:$N,14,0),""))</f>
        <v/>
      </c>
      <c r="D126" s="42" t="str">
        <f t="shared" ca="1" si="9"/>
        <v/>
      </c>
      <c r="E126" s="32"/>
      <c r="F126" s="31"/>
      <c r="G126" s="43" t="str">
        <f t="shared" si="10"/>
        <v/>
      </c>
      <c r="H126" s="30" t="s">
        <v>62</v>
      </c>
      <c r="I126" s="41"/>
      <c r="J126" s="33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6" s="33" t="str">
        <f t="shared" ca="1" si="11"/>
        <v>—</v>
      </c>
      <c r="L126" s="50"/>
    </row>
    <row r="127" spans="1:12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IF(A127="","",IFERROR(VLOOKUP(A127,DB_Customers!$A:$N,14,0),""))</f>
        <v/>
      </c>
      <c r="D127" s="42" t="str">
        <f t="shared" ca="1" si="9"/>
        <v/>
      </c>
      <c r="E127" s="32"/>
      <c r="F127" s="31"/>
      <c r="G127" s="43" t="str">
        <f t="shared" si="10"/>
        <v/>
      </c>
      <c r="H127" s="30" t="s">
        <v>62</v>
      </c>
      <c r="I127" s="41"/>
      <c r="J127" s="33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7" s="33" t="str">
        <f t="shared" ca="1" si="11"/>
        <v>—</v>
      </c>
      <c r="L127" s="22"/>
    </row>
    <row r="128" spans="1:12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IF(A128="","",IFERROR(VLOOKUP(A128,DB_Customers!$A:$N,14,0),""))</f>
        <v/>
      </c>
      <c r="D128" s="42" t="str">
        <f t="shared" ca="1" si="9"/>
        <v/>
      </c>
      <c r="E128" s="32"/>
      <c r="F128" s="31"/>
      <c r="G128" s="43" t="str">
        <f t="shared" si="10"/>
        <v/>
      </c>
      <c r="H128" s="30" t="s">
        <v>62</v>
      </c>
      <c r="I128" s="41"/>
      <c r="J128" s="33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28" s="33" t="str">
        <f t="shared" ca="1" si="11"/>
        <v>—</v>
      </c>
      <c r="L128" s="50"/>
    </row>
    <row r="129" spans="1:12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IF(A129="","",IFERROR(VLOOKUP(A129,DB_Customers!$A:$N,14,0),""))</f>
        <v/>
      </c>
      <c r="D129" s="42" t="str">
        <f t="shared" ca="1" si="9"/>
        <v/>
      </c>
      <c r="E129" s="32"/>
      <c r="F129" s="31"/>
      <c r="G129" s="43" t="str">
        <f t="shared" si="10"/>
        <v/>
      </c>
      <c r="H129" s="30" t="s">
        <v>62</v>
      </c>
      <c r="I129" s="41"/>
      <c r="J129" s="33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29" s="33" t="str">
        <f t="shared" ca="1" si="11"/>
        <v>—</v>
      </c>
      <c r="L129" s="22"/>
    </row>
    <row r="130" spans="1:12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IF(A130="","",IFERROR(VLOOKUP(A130,DB_Customers!$A:$N,14,0),""))</f>
        <v/>
      </c>
      <c r="D130" s="42" t="str">
        <f t="shared" ca="1" si="9"/>
        <v/>
      </c>
      <c r="E130" s="32"/>
      <c r="F130" s="31"/>
      <c r="G130" s="43" t="str">
        <f t="shared" si="10"/>
        <v/>
      </c>
      <c r="H130" s="30" t="s">
        <v>62</v>
      </c>
      <c r="I130" s="41"/>
      <c r="J130" s="33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0" s="33" t="str">
        <f t="shared" ca="1" si="11"/>
        <v>—</v>
      </c>
      <c r="L130" s="50"/>
    </row>
    <row r="131" spans="1:12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IF(A131="","",IFERROR(VLOOKUP(A131,DB_Customers!$A:$N,14,0),""))</f>
        <v/>
      </c>
      <c r="D131" s="42" t="str">
        <f t="shared" ca="1" si="9"/>
        <v/>
      </c>
      <c r="E131" s="32"/>
      <c r="F131" s="31"/>
      <c r="G131" s="43" t="str">
        <f t="shared" si="10"/>
        <v/>
      </c>
      <c r="H131" s="30" t="s">
        <v>62</v>
      </c>
      <c r="I131" s="41"/>
      <c r="J131" s="33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1" s="33" t="str">
        <f t="shared" ca="1" si="11"/>
        <v>—</v>
      </c>
      <c r="L131" s="22"/>
    </row>
    <row r="132" spans="1:12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IF(A132="","",IFERROR(VLOOKUP(A132,DB_Customers!$A:$N,14,0),""))</f>
        <v/>
      </c>
      <c r="D132" s="42" t="str">
        <f t="shared" ca="1" si="9"/>
        <v/>
      </c>
      <c r="E132" s="32"/>
      <c r="F132" s="31"/>
      <c r="G132" s="43" t="str">
        <f t="shared" si="10"/>
        <v/>
      </c>
      <c r="H132" s="30" t="s">
        <v>62</v>
      </c>
      <c r="I132" s="41"/>
      <c r="J132" s="33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2" s="33" t="str">
        <f t="shared" ca="1" si="11"/>
        <v>—</v>
      </c>
      <c r="L132" s="50"/>
    </row>
    <row r="133" spans="1:12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IF(A133="","",IFERROR(VLOOKUP(A133,DB_Customers!$A:$N,14,0),""))</f>
        <v/>
      </c>
      <c r="D133" s="42" t="str">
        <f t="shared" ca="1" si="9"/>
        <v/>
      </c>
      <c r="E133" s="32"/>
      <c r="F133" s="31"/>
      <c r="G133" s="43" t="str">
        <f t="shared" si="10"/>
        <v/>
      </c>
      <c r="H133" s="30" t="s">
        <v>62</v>
      </c>
      <c r="I133" s="41"/>
      <c r="J133" s="33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3" s="33" t="str">
        <f t="shared" ca="1" si="11"/>
        <v>—</v>
      </c>
      <c r="L133" s="22"/>
    </row>
    <row r="134" spans="1:12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IF(A134="","",IFERROR(VLOOKUP(A134,DB_Customers!$A:$N,14,0),""))</f>
        <v/>
      </c>
      <c r="D134" s="42" t="str">
        <f t="shared" ca="1" si="9"/>
        <v/>
      </c>
      <c r="E134" s="32"/>
      <c r="F134" s="31"/>
      <c r="G134" s="43" t="str">
        <f t="shared" si="10"/>
        <v/>
      </c>
      <c r="H134" s="30" t="s">
        <v>62</v>
      </c>
      <c r="I134" s="41"/>
      <c r="J134" s="33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4" s="33" t="str">
        <f t="shared" ca="1" si="11"/>
        <v>—</v>
      </c>
      <c r="L134" s="50"/>
    </row>
    <row r="135" spans="1:12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IF(A135="","",IFERROR(VLOOKUP(A135,DB_Customers!$A:$N,14,0),""))</f>
        <v/>
      </c>
      <c r="D135" s="42" t="str">
        <f t="shared" ca="1" si="9"/>
        <v/>
      </c>
      <c r="E135" s="32"/>
      <c r="F135" s="31"/>
      <c r="G135" s="43" t="str">
        <f t="shared" si="10"/>
        <v/>
      </c>
      <c r="H135" s="30" t="s">
        <v>62</v>
      </c>
      <c r="I135" s="41"/>
      <c r="J135" s="33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5" s="33" t="str">
        <f t="shared" ca="1" si="11"/>
        <v>—</v>
      </c>
      <c r="L135" s="22"/>
    </row>
    <row r="136" spans="1:12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IF(A136="","",IFERROR(VLOOKUP(A136,DB_Customers!$A:$N,14,0),""))</f>
        <v/>
      </c>
      <c r="D136" s="42" t="str">
        <f t="shared" ca="1" si="9"/>
        <v/>
      </c>
      <c r="E136" s="32"/>
      <c r="F136" s="31"/>
      <c r="G136" s="43" t="str">
        <f t="shared" si="10"/>
        <v/>
      </c>
      <c r="H136" s="30" t="s">
        <v>62</v>
      </c>
      <c r="I136" s="41"/>
      <c r="J136" s="33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6" s="33" t="str">
        <f t="shared" ca="1" si="11"/>
        <v>—</v>
      </c>
      <c r="L136" s="50"/>
    </row>
    <row r="137" spans="1:12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IF(A137="","",IFERROR(VLOOKUP(A137,DB_Customers!$A:$N,14,0),""))</f>
        <v/>
      </c>
      <c r="D137" s="42" t="str">
        <f t="shared" ref="D137:D168" ca="1" si="12">IF(A137="","",TODAY())</f>
        <v/>
      </c>
      <c r="E137" s="32"/>
      <c r="F137" s="31"/>
      <c r="G137" s="43" t="str">
        <f t="shared" ref="G137:G168" si="13">IFERROR(IF(OR(A137="",E137=""),"",C137-E137),"")</f>
        <v/>
      </c>
      <c r="H137" s="30" t="s">
        <v>62</v>
      </c>
      <c r="I137" s="41"/>
      <c r="J137" s="33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7" s="33" t="str">
        <f t="shared" ref="K137:K168" ca="1" si="14">IF(J137="✅ Successful",TEXT(TODAY(),"YYYY-MM-DD")&amp;" Auto","—")</f>
        <v>—</v>
      </c>
      <c r="L137" s="22"/>
    </row>
    <row r="138" spans="1:12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IF(A138="","",IFERROR(VLOOKUP(A138,DB_Customers!$A:$N,14,0),""))</f>
        <v/>
      </c>
      <c r="D138" s="42" t="str">
        <f t="shared" ca="1" si="12"/>
        <v/>
      </c>
      <c r="E138" s="32"/>
      <c r="F138" s="31"/>
      <c r="G138" s="43" t="str">
        <f t="shared" si="13"/>
        <v/>
      </c>
      <c r="H138" s="30" t="s">
        <v>62</v>
      </c>
      <c r="I138" s="41"/>
      <c r="J138" s="33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38" s="33" t="str">
        <f t="shared" ca="1" si="14"/>
        <v>—</v>
      </c>
      <c r="L138" s="50"/>
    </row>
    <row r="139" spans="1:12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IF(A139="","",IFERROR(VLOOKUP(A139,DB_Customers!$A:$N,14,0),""))</f>
        <v/>
      </c>
      <c r="D139" s="42" t="str">
        <f t="shared" ca="1" si="12"/>
        <v/>
      </c>
      <c r="E139" s="32"/>
      <c r="F139" s="31"/>
      <c r="G139" s="43" t="str">
        <f t="shared" si="13"/>
        <v/>
      </c>
      <c r="H139" s="30" t="s">
        <v>62</v>
      </c>
      <c r="I139" s="41"/>
      <c r="J139" s="33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39" s="33" t="str">
        <f t="shared" ca="1" si="14"/>
        <v>—</v>
      </c>
      <c r="L139" s="22"/>
    </row>
    <row r="140" spans="1:12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IF(A140="","",IFERROR(VLOOKUP(A140,DB_Customers!$A:$N,14,0),""))</f>
        <v/>
      </c>
      <c r="D140" s="42" t="str">
        <f t="shared" ca="1" si="12"/>
        <v/>
      </c>
      <c r="E140" s="32"/>
      <c r="F140" s="31"/>
      <c r="G140" s="43" t="str">
        <f t="shared" si="13"/>
        <v/>
      </c>
      <c r="H140" s="30" t="s">
        <v>62</v>
      </c>
      <c r="I140" s="41"/>
      <c r="J140" s="33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0" s="33" t="str">
        <f t="shared" ca="1" si="14"/>
        <v>—</v>
      </c>
      <c r="L140" s="50"/>
    </row>
    <row r="141" spans="1:12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IF(A141="","",IFERROR(VLOOKUP(A141,DB_Customers!$A:$N,14,0),""))</f>
        <v/>
      </c>
      <c r="D141" s="42" t="str">
        <f t="shared" ca="1" si="12"/>
        <v/>
      </c>
      <c r="E141" s="32"/>
      <c r="F141" s="31"/>
      <c r="G141" s="43" t="str">
        <f t="shared" si="13"/>
        <v/>
      </c>
      <c r="H141" s="30" t="s">
        <v>62</v>
      </c>
      <c r="I141" s="41"/>
      <c r="J141" s="33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1" s="33" t="str">
        <f t="shared" ca="1" si="14"/>
        <v>—</v>
      </c>
      <c r="L141" s="22"/>
    </row>
    <row r="142" spans="1:12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IF(A142="","",IFERROR(VLOOKUP(A142,DB_Customers!$A:$N,14,0),""))</f>
        <v/>
      </c>
      <c r="D142" s="42" t="str">
        <f t="shared" ca="1" si="12"/>
        <v/>
      </c>
      <c r="E142" s="32"/>
      <c r="F142" s="31"/>
      <c r="G142" s="43" t="str">
        <f t="shared" si="13"/>
        <v/>
      </c>
      <c r="H142" s="30" t="s">
        <v>62</v>
      </c>
      <c r="I142" s="41"/>
      <c r="J142" s="33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2" s="33" t="str">
        <f t="shared" ca="1" si="14"/>
        <v>—</v>
      </c>
      <c r="L142" s="50"/>
    </row>
    <row r="143" spans="1:12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IF(A143="","",IFERROR(VLOOKUP(A143,DB_Customers!$A:$N,14,0),""))</f>
        <v/>
      </c>
      <c r="D143" s="42" t="str">
        <f t="shared" ca="1" si="12"/>
        <v/>
      </c>
      <c r="E143" s="32"/>
      <c r="F143" s="31"/>
      <c r="G143" s="43" t="str">
        <f t="shared" si="13"/>
        <v/>
      </c>
      <c r="H143" s="30" t="s">
        <v>62</v>
      </c>
      <c r="I143" s="41"/>
      <c r="J143" s="33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3" s="33" t="str">
        <f t="shared" ca="1" si="14"/>
        <v>—</v>
      </c>
      <c r="L143" s="22"/>
    </row>
    <row r="144" spans="1:12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IF(A144="","",IFERROR(VLOOKUP(A144,DB_Customers!$A:$N,14,0),""))</f>
        <v/>
      </c>
      <c r="D144" s="42" t="str">
        <f t="shared" ca="1" si="12"/>
        <v/>
      </c>
      <c r="E144" s="32"/>
      <c r="F144" s="31"/>
      <c r="G144" s="43" t="str">
        <f t="shared" si="13"/>
        <v/>
      </c>
      <c r="H144" s="30" t="s">
        <v>62</v>
      </c>
      <c r="I144" s="41"/>
      <c r="J144" s="33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4" s="33" t="str">
        <f t="shared" ca="1" si="14"/>
        <v>—</v>
      </c>
      <c r="L144" s="50"/>
    </row>
    <row r="145" spans="1:12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IF(A145="","",IFERROR(VLOOKUP(A145,DB_Customers!$A:$N,14,0),""))</f>
        <v/>
      </c>
      <c r="D145" s="42" t="str">
        <f t="shared" ca="1" si="12"/>
        <v/>
      </c>
      <c r="E145" s="32"/>
      <c r="F145" s="31"/>
      <c r="G145" s="43" t="str">
        <f t="shared" si="13"/>
        <v/>
      </c>
      <c r="H145" s="30" t="s">
        <v>62</v>
      </c>
      <c r="I145" s="41"/>
      <c r="J145" s="33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5" s="33" t="str">
        <f t="shared" ca="1" si="14"/>
        <v>—</v>
      </c>
      <c r="L145" s="22"/>
    </row>
    <row r="146" spans="1:12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IF(A146="","",IFERROR(VLOOKUP(A146,DB_Customers!$A:$N,14,0),""))</f>
        <v/>
      </c>
      <c r="D146" s="42" t="str">
        <f t="shared" ca="1" si="12"/>
        <v/>
      </c>
      <c r="E146" s="32"/>
      <c r="F146" s="31"/>
      <c r="G146" s="43" t="str">
        <f t="shared" si="13"/>
        <v/>
      </c>
      <c r="H146" s="30" t="s">
        <v>62</v>
      </c>
      <c r="I146" s="41"/>
      <c r="J146" s="33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6" s="33" t="str">
        <f t="shared" ca="1" si="14"/>
        <v>—</v>
      </c>
      <c r="L146" s="50"/>
    </row>
    <row r="147" spans="1:12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IF(A147="","",IFERROR(VLOOKUP(A147,DB_Customers!$A:$N,14,0),""))</f>
        <v/>
      </c>
      <c r="D147" s="42" t="str">
        <f t="shared" ca="1" si="12"/>
        <v/>
      </c>
      <c r="E147" s="32"/>
      <c r="F147" s="31"/>
      <c r="G147" s="43" t="str">
        <f t="shared" si="13"/>
        <v/>
      </c>
      <c r="H147" s="30" t="s">
        <v>62</v>
      </c>
      <c r="I147" s="41"/>
      <c r="J147" s="33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7" s="33" t="str">
        <f t="shared" ca="1" si="14"/>
        <v>—</v>
      </c>
      <c r="L147" s="22"/>
    </row>
    <row r="148" spans="1:12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IF(A148="","",IFERROR(VLOOKUP(A148,DB_Customers!$A:$N,14,0),""))</f>
        <v/>
      </c>
      <c r="D148" s="42" t="str">
        <f t="shared" ca="1" si="12"/>
        <v/>
      </c>
      <c r="E148" s="32"/>
      <c r="F148" s="31"/>
      <c r="G148" s="43" t="str">
        <f t="shared" si="13"/>
        <v/>
      </c>
      <c r="H148" s="30" t="s">
        <v>62</v>
      </c>
      <c r="I148" s="41"/>
      <c r="J148" s="33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48" s="33" t="str">
        <f t="shared" ca="1" si="14"/>
        <v>—</v>
      </c>
      <c r="L148" s="50"/>
    </row>
    <row r="149" spans="1:12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IF(A149="","",IFERROR(VLOOKUP(A149,DB_Customers!$A:$N,14,0),""))</f>
        <v/>
      </c>
      <c r="D149" s="42" t="str">
        <f t="shared" ca="1" si="12"/>
        <v/>
      </c>
      <c r="E149" s="32"/>
      <c r="F149" s="31"/>
      <c r="G149" s="43" t="str">
        <f t="shared" si="13"/>
        <v/>
      </c>
      <c r="H149" s="30" t="s">
        <v>62</v>
      </c>
      <c r="I149" s="41"/>
      <c r="J149" s="33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49" s="33" t="str">
        <f t="shared" ca="1" si="14"/>
        <v>—</v>
      </c>
      <c r="L149" s="22"/>
    </row>
    <row r="150" spans="1:12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IF(A150="","",IFERROR(VLOOKUP(A150,DB_Customers!$A:$N,14,0),""))</f>
        <v/>
      </c>
      <c r="D150" s="42" t="str">
        <f t="shared" ca="1" si="12"/>
        <v/>
      </c>
      <c r="E150" s="32"/>
      <c r="F150" s="31"/>
      <c r="G150" s="43" t="str">
        <f t="shared" si="13"/>
        <v/>
      </c>
      <c r="H150" s="30" t="s">
        <v>62</v>
      </c>
      <c r="I150" s="41"/>
      <c r="J150" s="33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0" s="33" t="str">
        <f t="shared" ca="1" si="14"/>
        <v>—</v>
      </c>
      <c r="L150" s="50"/>
    </row>
    <row r="151" spans="1:12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IF(A151="","",IFERROR(VLOOKUP(A151,DB_Customers!$A:$N,14,0),""))</f>
        <v/>
      </c>
      <c r="D151" s="42" t="str">
        <f t="shared" ca="1" si="12"/>
        <v/>
      </c>
      <c r="E151" s="32"/>
      <c r="F151" s="31"/>
      <c r="G151" s="43" t="str">
        <f t="shared" si="13"/>
        <v/>
      </c>
      <c r="H151" s="30" t="s">
        <v>62</v>
      </c>
      <c r="I151" s="41"/>
      <c r="J151" s="33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1" s="33" t="str">
        <f t="shared" ca="1" si="14"/>
        <v>—</v>
      </c>
      <c r="L151" s="22"/>
    </row>
    <row r="152" spans="1:12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IF(A152="","",IFERROR(VLOOKUP(A152,DB_Customers!$A:$N,14,0),""))</f>
        <v/>
      </c>
      <c r="D152" s="42" t="str">
        <f t="shared" ca="1" si="12"/>
        <v/>
      </c>
      <c r="E152" s="32"/>
      <c r="F152" s="31"/>
      <c r="G152" s="43" t="str">
        <f t="shared" si="13"/>
        <v/>
      </c>
      <c r="H152" s="30" t="s">
        <v>62</v>
      </c>
      <c r="I152" s="41"/>
      <c r="J152" s="33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2" s="33" t="str">
        <f t="shared" ca="1" si="14"/>
        <v>—</v>
      </c>
      <c r="L152" s="50"/>
    </row>
    <row r="153" spans="1:12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IF(A153="","",IFERROR(VLOOKUP(A153,DB_Customers!$A:$N,14,0),""))</f>
        <v/>
      </c>
      <c r="D153" s="42" t="str">
        <f t="shared" ca="1" si="12"/>
        <v/>
      </c>
      <c r="E153" s="32"/>
      <c r="F153" s="31"/>
      <c r="G153" s="43" t="str">
        <f t="shared" si="13"/>
        <v/>
      </c>
      <c r="H153" s="30" t="s">
        <v>62</v>
      </c>
      <c r="I153" s="41"/>
      <c r="J153" s="33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3" s="33" t="str">
        <f t="shared" ca="1" si="14"/>
        <v>—</v>
      </c>
      <c r="L153" s="22"/>
    </row>
    <row r="154" spans="1:12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IF(A154="","",IFERROR(VLOOKUP(A154,DB_Customers!$A:$N,14,0),""))</f>
        <v/>
      </c>
      <c r="D154" s="42" t="str">
        <f t="shared" ca="1" si="12"/>
        <v/>
      </c>
      <c r="E154" s="32"/>
      <c r="F154" s="31"/>
      <c r="G154" s="43" t="str">
        <f t="shared" si="13"/>
        <v/>
      </c>
      <c r="H154" s="30" t="s">
        <v>62</v>
      </c>
      <c r="I154" s="41"/>
      <c r="J154" s="33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4" s="33" t="str">
        <f t="shared" ca="1" si="14"/>
        <v>—</v>
      </c>
      <c r="L154" s="50"/>
    </row>
    <row r="155" spans="1:12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IF(A155="","",IFERROR(VLOOKUP(A155,DB_Customers!$A:$N,14,0),""))</f>
        <v/>
      </c>
      <c r="D155" s="42" t="str">
        <f t="shared" ca="1" si="12"/>
        <v/>
      </c>
      <c r="E155" s="32"/>
      <c r="F155" s="31"/>
      <c r="G155" s="43" t="str">
        <f t="shared" si="13"/>
        <v/>
      </c>
      <c r="H155" s="30" t="s">
        <v>62</v>
      </c>
      <c r="I155" s="41"/>
      <c r="J155" s="33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5" s="33" t="str">
        <f t="shared" ca="1" si="14"/>
        <v>—</v>
      </c>
      <c r="L155" s="22"/>
    </row>
    <row r="156" spans="1:12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IF(A156="","",IFERROR(VLOOKUP(A156,DB_Customers!$A:$N,14,0),""))</f>
        <v/>
      </c>
      <c r="D156" s="42" t="str">
        <f t="shared" ca="1" si="12"/>
        <v/>
      </c>
      <c r="E156" s="32"/>
      <c r="F156" s="31"/>
      <c r="G156" s="43" t="str">
        <f t="shared" si="13"/>
        <v/>
      </c>
      <c r="H156" s="30" t="s">
        <v>62</v>
      </c>
      <c r="I156" s="41"/>
      <c r="J156" s="33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6" s="33" t="str">
        <f t="shared" ca="1" si="14"/>
        <v>—</v>
      </c>
      <c r="L156" s="50"/>
    </row>
    <row r="157" spans="1:12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IF(A157="","",IFERROR(VLOOKUP(A157,DB_Customers!$A:$N,14,0),""))</f>
        <v/>
      </c>
      <c r="D157" s="42" t="str">
        <f t="shared" ca="1" si="12"/>
        <v/>
      </c>
      <c r="E157" s="32"/>
      <c r="F157" s="31"/>
      <c r="G157" s="43" t="str">
        <f t="shared" si="13"/>
        <v/>
      </c>
      <c r="H157" s="30" t="s">
        <v>62</v>
      </c>
      <c r="I157" s="41"/>
      <c r="J157" s="33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7" s="33" t="str">
        <f t="shared" ca="1" si="14"/>
        <v>—</v>
      </c>
      <c r="L157" s="22"/>
    </row>
    <row r="158" spans="1:12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IF(A158="","",IFERROR(VLOOKUP(A158,DB_Customers!$A:$N,14,0),""))</f>
        <v/>
      </c>
      <c r="D158" s="42" t="str">
        <f t="shared" ca="1" si="12"/>
        <v/>
      </c>
      <c r="E158" s="32"/>
      <c r="F158" s="31"/>
      <c r="G158" s="43" t="str">
        <f t="shared" si="13"/>
        <v/>
      </c>
      <c r="H158" s="30" t="s">
        <v>62</v>
      </c>
      <c r="I158" s="41"/>
      <c r="J158" s="33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58" s="33" t="str">
        <f t="shared" ca="1" si="14"/>
        <v>—</v>
      </c>
      <c r="L158" s="50"/>
    </row>
    <row r="159" spans="1:12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IF(A159="","",IFERROR(VLOOKUP(A159,DB_Customers!$A:$N,14,0),""))</f>
        <v/>
      </c>
      <c r="D159" s="42" t="str">
        <f t="shared" ca="1" si="12"/>
        <v/>
      </c>
      <c r="E159" s="32"/>
      <c r="F159" s="31"/>
      <c r="G159" s="43" t="str">
        <f t="shared" si="13"/>
        <v/>
      </c>
      <c r="H159" s="30" t="s">
        <v>62</v>
      </c>
      <c r="I159" s="41"/>
      <c r="J159" s="33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59" s="33" t="str">
        <f t="shared" ca="1" si="14"/>
        <v>—</v>
      </c>
      <c r="L159" s="22"/>
    </row>
    <row r="160" spans="1:12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IF(A160="","",IFERROR(VLOOKUP(A160,DB_Customers!$A:$N,14,0),""))</f>
        <v/>
      </c>
      <c r="D160" s="42" t="str">
        <f t="shared" ca="1" si="12"/>
        <v/>
      </c>
      <c r="E160" s="32"/>
      <c r="F160" s="31"/>
      <c r="G160" s="43" t="str">
        <f t="shared" si="13"/>
        <v/>
      </c>
      <c r="H160" s="30" t="s">
        <v>62</v>
      </c>
      <c r="I160" s="41"/>
      <c r="J160" s="33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0" s="33" t="str">
        <f t="shared" ca="1" si="14"/>
        <v>—</v>
      </c>
      <c r="L160" s="50"/>
    </row>
    <row r="161" spans="1:12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IF(A161="","",IFERROR(VLOOKUP(A161,DB_Customers!$A:$N,14,0),""))</f>
        <v/>
      </c>
      <c r="D161" s="42" t="str">
        <f t="shared" ca="1" si="12"/>
        <v/>
      </c>
      <c r="E161" s="32"/>
      <c r="F161" s="31"/>
      <c r="G161" s="43" t="str">
        <f t="shared" si="13"/>
        <v/>
      </c>
      <c r="H161" s="30" t="s">
        <v>62</v>
      </c>
      <c r="I161" s="41"/>
      <c r="J161" s="33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1" s="33" t="str">
        <f t="shared" ca="1" si="14"/>
        <v>—</v>
      </c>
      <c r="L161" s="22"/>
    </row>
    <row r="162" spans="1:12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IF(A162="","",IFERROR(VLOOKUP(A162,DB_Customers!$A:$N,14,0),""))</f>
        <v/>
      </c>
      <c r="D162" s="42" t="str">
        <f t="shared" ca="1" si="12"/>
        <v/>
      </c>
      <c r="E162" s="32"/>
      <c r="F162" s="31"/>
      <c r="G162" s="43" t="str">
        <f t="shared" si="13"/>
        <v/>
      </c>
      <c r="H162" s="30" t="s">
        <v>62</v>
      </c>
      <c r="I162" s="41"/>
      <c r="J162" s="33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2" s="33" t="str">
        <f t="shared" ca="1" si="14"/>
        <v>—</v>
      </c>
      <c r="L162" s="50"/>
    </row>
    <row r="163" spans="1:12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IF(A163="","",IFERROR(VLOOKUP(A163,DB_Customers!$A:$N,14,0),""))</f>
        <v/>
      </c>
      <c r="D163" s="42" t="str">
        <f t="shared" ca="1" si="12"/>
        <v/>
      </c>
      <c r="E163" s="32"/>
      <c r="F163" s="31"/>
      <c r="G163" s="43" t="str">
        <f t="shared" si="13"/>
        <v/>
      </c>
      <c r="H163" s="30" t="s">
        <v>62</v>
      </c>
      <c r="I163" s="41"/>
      <c r="J163" s="33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3" s="33" t="str">
        <f t="shared" ca="1" si="14"/>
        <v>—</v>
      </c>
      <c r="L163" s="22"/>
    </row>
    <row r="164" spans="1:12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IF(A164="","",IFERROR(VLOOKUP(A164,DB_Customers!$A:$N,14,0),""))</f>
        <v/>
      </c>
      <c r="D164" s="42" t="str">
        <f t="shared" ca="1" si="12"/>
        <v/>
      </c>
      <c r="E164" s="32"/>
      <c r="F164" s="31"/>
      <c r="G164" s="43" t="str">
        <f t="shared" si="13"/>
        <v/>
      </c>
      <c r="H164" s="30" t="s">
        <v>62</v>
      </c>
      <c r="I164" s="41"/>
      <c r="J164" s="33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4" s="33" t="str">
        <f t="shared" ca="1" si="14"/>
        <v>—</v>
      </c>
      <c r="L164" s="50"/>
    </row>
    <row r="165" spans="1:12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IF(A165="","",IFERROR(VLOOKUP(A165,DB_Customers!$A:$N,14,0),""))</f>
        <v/>
      </c>
      <c r="D165" s="42" t="str">
        <f t="shared" ca="1" si="12"/>
        <v/>
      </c>
      <c r="E165" s="32"/>
      <c r="F165" s="31"/>
      <c r="G165" s="43" t="str">
        <f t="shared" si="13"/>
        <v/>
      </c>
      <c r="H165" s="30" t="s">
        <v>62</v>
      </c>
      <c r="I165" s="41"/>
      <c r="J165" s="33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5" s="33" t="str">
        <f t="shared" ca="1" si="14"/>
        <v>—</v>
      </c>
      <c r="L165" s="22"/>
    </row>
    <row r="166" spans="1:12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IF(A166="","",IFERROR(VLOOKUP(A166,DB_Customers!$A:$N,14,0),""))</f>
        <v/>
      </c>
      <c r="D166" s="42" t="str">
        <f t="shared" ca="1" si="12"/>
        <v/>
      </c>
      <c r="E166" s="32"/>
      <c r="F166" s="31"/>
      <c r="G166" s="43" t="str">
        <f t="shared" si="13"/>
        <v/>
      </c>
      <c r="H166" s="30" t="s">
        <v>62</v>
      </c>
      <c r="I166" s="41"/>
      <c r="J166" s="33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6" s="33" t="str">
        <f t="shared" ca="1" si="14"/>
        <v>—</v>
      </c>
      <c r="L166" s="50"/>
    </row>
    <row r="167" spans="1:12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IF(A167="","",IFERROR(VLOOKUP(A167,DB_Customers!$A:$N,14,0),""))</f>
        <v/>
      </c>
      <c r="D167" s="42" t="str">
        <f t="shared" ca="1" si="12"/>
        <v/>
      </c>
      <c r="E167" s="32"/>
      <c r="F167" s="31"/>
      <c r="G167" s="43" t="str">
        <f t="shared" si="13"/>
        <v/>
      </c>
      <c r="H167" s="30" t="s">
        <v>62</v>
      </c>
      <c r="I167" s="41"/>
      <c r="J167" s="33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7" s="33" t="str">
        <f t="shared" ca="1" si="14"/>
        <v>—</v>
      </c>
      <c r="L167" s="22"/>
    </row>
    <row r="168" spans="1:12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IF(A168="","",IFERROR(VLOOKUP(A168,DB_Customers!$A:$N,14,0),""))</f>
        <v/>
      </c>
      <c r="D168" s="42" t="str">
        <f t="shared" ca="1" si="12"/>
        <v/>
      </c>
      <c r="E168" s="32"/>
      <c r="F168" s="31"/>
      <c r="G168" s="43" t="str">
        <f t="shared" si="13"/>
        <v/>
      </c>
      <c r="H168" s="30" t="s">
        <v>62</v>
      </c>
      <c r="I168" s="41"/>
      <c r="J168" s="33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68" s="33" t="str">
        <f t="shared" ca="1" si="14"/>
        <v>—</v>
      </c>
      <c r="L168" s="50"/>
    </row>
    <row r="169" spans="1:12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IF(A169="","",IFERROR(VLOOKUP(A169,DB_Customers!$A:$N,14,0),""))</f>
        <v/>
      </c>
      <c r="D169" s="42" t="str">
        <f t="shared" ref="D169:D200" ca="1" si="15">IF(A169="","",TODAY())</f>
        <v/>
      </c>
      <c r="E169" s="32"/>
      <c r="F169" s="31"/>
      <c r="G169" s="43" t="str">
        <f t="shared" ref="G169:G200" si="16">IFERROR(IF(OR(A169="",E169=""),"",C169-E169),"")</f>
        <v/>
      </c>
      <c r="H169" s="30" t="s">
        <v>62</v>
      </c>
      <c r="I169" s="41"/>
      <c r="J169" s="33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69" s="33" t="str">
        <f t="shared" ref="K169:K200" ca="1" si="17">IF(J169="✅ Successful",TEXT(TODAY(),"YYYY-MM-DD")&amp;" Auto","—")</f>
        <v>—</v>
      </c>
      <c r="L169" s="22"/>
    </row>
    <row r="170" spans="1:12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IF(A170="","",IFERROR(VLOOKUP(A170,DB_Customers!$A:$N,14,0),""))</f>
        <v/>
      </c>
      <c r="D170" s="42" t="str">
        <f t="shared" ca="1" si="15"/>
        <v/>
      </c>
      <c r="E170" s="32"/>
      <c r="F170" s="31"/>
      <c r="G170" s="43" t="str">
        <f t="shared" si="16"/>
        <v/>
      </c>
      <c r="H170" s="30" t="s">
        <v>62</v>
      </c>
      <c r="I170" s="41"/>
      <c r="J170" s="33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0" s="33" t="str">
        <f t="shared" ca="1" si="17"/>
        <v>—</v>
      </c>
      <c r="L170" s="50"/>
    </row>
    <row r="171" spans="1:12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IF(A171="","",IFERROR(VLOOKUP(A171,DB_Customers!$A:$N,14,0),""))</f>
        <v/>
      </c>
      <c r="D171" s="42" t="str">
        <f t="shared" ca="1" si="15"/>
        <v/>
      </c>
      <c r="E171" s="32"/>
      <c r="F171" s="31"/>
      <c r="G171" s="43" t="str">
        <f t="shared" si="16"/>
        <v/>
      </c>
      <c r="H171" s="30" t="s">
        <v>62</v>
      </c>
      <c r="I171" s="41"/>
      <c r="J171" s="33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1" s="33" t="str">
        <f t="shared" ca="1" si="17"/>
        <v>—</v>
      </c>
      <c r="L171" s="22"/>
    </row>
    <row r="172" spans="1:12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IF(A172="","",IFERROR(VLOOKUP(A172,DB_Customers!$A:$N,14,0),""))</f>
        <v/>
      </c>
      <c r="D172" s="42" t="str">
        <f t="shared" ca="1" si="15"/>
        <v/>
      </c>
      <c r="E172" s="32"/>
      <c r="F172" s="31"/>
      <c r="G172" s="43" t="str">
        <f t="shared" si="16"/>
        <v/>
      </c>
      <c r="H172" s="30" t="s">
        <v>62</v>
      </c>
      <c r="I172" s="41"/>
      <c r="J172" s="33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2" s="33" t="str">
        <f t="shared" ca="1" si="17"/>
        <v>—</v>
      </c>
      <c r="L172" s="50"/>
    </row>
    <row r="173" spans="1:12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IF(A173="","",IFERROR(VLOOKUP(A173,DB_Customers!$A:$N,14,0),""))</f>
        <v/>
      </c>
      <c r="D173" s="42" t="str">
        <f t="shared" ca="1" si="15"/>
        <v/>
      </c>
      <c r="E173" s="32"/>
      <c r="F173" s="31"/>
      <c r="G173" s="43" t="str">
        <f t="shared" si="16"/>
        <v/>
      </c>
      <c r="H173" s="30" t="s">
        <v>62</v>
      </c>
      <c r="I173" s="41"/>
      <c r="J173" s="33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3" s="33" t="str">
        <f t="shared" ca="1" si="17"/>
        <v>—</v>
      </c>
      <c r="L173" s="22"/>
    </row>
    <row r="174" spans="1:12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IF(A174="","",IFERROR(VLOOKUP(A174,DB_Customers!$A:$N,14,0),""))</f>
        <v/>
      </c>
      <c r="D174" s="42" t="str">
        <f t="shared" ca="1" si="15"/>
        <v/>
      </c>
      <c r="E174" s="32"/>
      <c r="F174" s="31"/>
      <c r="G174" s="43" t="str">
        <f t="shared" si="16"/>
        <v/>
      </c>
      <c r="H174" s="30" t="s">
        <v>62</v>
      </c>
      <c r="I174" s="41"/>
      <c r="J174" s="33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4" s="33" t="str">
        <f t="shared" ca="1" si="17"/>
        <v>—</v>
      </c>
      <c r="L174" s="50"/>
    </row>
    <row r="175" spans="1:12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IF(A175="","",IFERROR(VLOOKUP(A175,DB_Customers!$A:$N,14,0),""))</f>
        <v/>
      </c>
      <c r="D175" s="42" t="str">
        <f t="shared" ca="1" si="15"/>
        <v/>
      </c>
      <c r="E175" s="32"/>
      <c r="F175" s="31"/>
      <c r="G175" s="43" t="str">
        <f t="shared" si="16"/>
        <v/>
      </c>
      <c r="H175" s="30" t="s">
        <v>62</v>
      </c>
      <c r="I175" s="41"/>
      <c r="J175" s="33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5" s="33" t="str">
        <f t="shared" ca="1" si="17"/>
        <v>—</v>
      </c>
      <c r="L175" s="22"/>
    </row>
    <row r="176" spans="1:12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IF(A176="","",IFERROR(VLOOKUP(A176,DB_Customers!$A:$N,14,0),""))</f>
        <v/>
      </c>
      <c r="D176" s="42" t="str">
        <f t="shared" ca="1" si="15"/>
        <v/>
      </c>
      <c r="E176" s="32"/>
      <c r="F176" s="31"/>
      <c r="G176" s="43" t="str">
        <f t="shared" si="16"/>
        <v/>
      </c>
      <c r="H176" s="30" t="s">
        <v>62</v>
      </c>
      <c r="I176" s="41"/>
      <c r="J176" s="33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6" s="33" t="str">
        <f t="shared" ca="1" si="17"/>
        <v>—</v>
      </c>
      <c r="L176" s="50"/>
    </row>
    <row r="177" spans="1:12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IF(A177="","",IFERROR(VLOOKUP(A177,DB_Customers!$A:$N,14,0),""))</f>
        <v/>
      </c>
      <c r="D177" s="42" t="str">
        <f t="shared" ca="1" si="15"/>
        <v/>
      </c>
      <c r="E177" s="32"/>
      <c r="F177" s="31"/>
      <c r="G177" s="43" t="str">
        <f t="shared" si="16"/>
        <v/>
      </c>
      <c r="H177" s="30" t="s">
        <v>62</v>
      </c>
      <c r="I177" s="41"/>
      <c r="J177" s="33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7" s="33" t="str">
        <f t="shared" ca="1" si="17"/>
        <v>—</v>
      </c>
      <c r="L177" s="22"/>
    </row>
    <row r="178" spans="1:12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IF(A178="","",IFERROR(VLOOKUP(A178,DB_Customers!$A:$N,14,0),""))</f>
        <v/>
      </c>
      <c r="D178" s="42" t="str">
        <f t="shared" ca="1" si="15"/>
        <v/>
      </c>
      <c r="E178" s="32"/>
      <c r="F178" s="31"/>
      <c r="G178" s="43" t="str">
        <f t="shared" si="16"/>
        <v/>
      </c>
      <c r="H178" s="30" t="s">
        <v>62</v>
      </c>
      <c r="I178" s="41"/>
      <c r="J178" s="33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78" s="33" t="str">
        <f t="shared" ca="1" si="17"/>
        <v>—</v>
      </c>
      <c r="L178" s="50"/>
    </row>
    <row r="179" spans="1:12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IF(A179="","",IFERROR(VLOOKUP(A179,DB_Customers!$A:$N,14,0),""))</f>
        <v/>
      </c>
      <c r="D179" s="42" t="str">
        <f t="shared" ca="1" si="15"/>
        <v/>
      </c>
      <c r="E179" s="32"/>
      <c r="F179" s="31"/>
      <c r="G179" s="43" t="str">
        <f t="shared" si="16"/>
        <v/>
      </c>
      <c r="H179" s="30" t="s">
        <v>62</v>
      </c>
      <c r="I179" s="41"/>
      <c r="J179" s="33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79" s="33" t="str">
        <f t="shared" ca="1" si="17"/>
        <v>—</v>
      </c>
      <c r="L179" s="22"/>
    </row>
    <row r="180" spans="1:12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IF(A180="","",IFERROR(VLOOKUP(A180,DB_Customers!$A:$N,14,0),""))</f>
        <v/>
      </c>
      <c r="D180" s="42" t="str">
        <f t="shared" ca="1" si="15"/>
        <v/>
      </c>
      <c r="E180" s="32"/>
      <c r="F180" s="31"/>
      <c r="G180" s="43" t="str">
        <f t="shared" si="16"/>
        <v/>
      </c>
      <c r="H180" s="30" t="s">
        <v>62</v>
      </c>
      <c r="I180" s="41"/>
      <c r="J180" s="33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0" s="33" t="str">
        <f t="shared" ca="1" si="17"/>
        <v>—</v>
      </c>
      <c r="L180" s="50"/>
    </row>
    <row r="181" spans="1:12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IF(A181="","",IFERROR(VLOOKUP(A181,DB_Customers!$A:$N,14,0),""))</f>
        <v/>
      </c>
      <c r="D181" s="42" t="str">
        <f t="shared" ca="1" si="15"/>
        <v/>
      </c>
      <c r="E181" s="32"/>
      <c r="F181" s="31"/>
      <c r="G181" s="43" t="str">
        <f t="shared" si="16"/>
        <v/>
      </c>
      <c r="H181" s="30" t="s">
        <v>62</v>
      </c>
      <c r="I181" s="41"/>
      <c r="J181" s="33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1" s="33" t="str">
        <f t="shared" ca="1" si="17"/>
        <v>—</v>
      </c>
      <c r="L181" s="22"/>
    </row>
    <row r="182" spans="1:12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IF(A182="","",IFERROR(VLOOKUP(A182,DB_Customers!$A:$N,14,0),""))</f>
        <v/>
      </c>
      <c r="D182" s="42" t="str">
        <f t="shared" ca="1" si="15"/>
        <v/>
      </c>
      <c r="E182" s="32"/>
      <c r="F182" s="31"/>
      <c r="G182" s="43" t="str">
        <f t="shared" si="16"/>
        <v/>
      </c>
      <c r="H182" s="30" t="s">
        <v>62</v>
      </c>
      <c r="I182" s="41"/>
      <c r="J182" s="33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2" s="33" t="str">
        <f t="shared" ca="1" si="17"/>
        <v>—</v>
      </c>
      <c r="L182" s="50"/>
    </row>
    <row r="183" spans="1:12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IF(A183="","",IFERROR(VLOOKUP(A183,DB_Customers!$A:$N,14,0),""))</f>
        <v/>
      </c>
      <c r="D183" s="42" t="str">
        <f t="shared" ca="1" si="15"/>
        <v/>
      </c>
      <c r="E183" s="32"/>
      <c r="F183" s="31"/>
      <c r="G183" s="43" t="str">
        <f t="shared" si="16"/>
        <v/>
      </c>
      <c r="H183" s="30" t="s">
        <v>62</v>
      </c>
      <c r="I183" s="41"/>
      <c r="J183" s="33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3" s="33" t="str">
        <f t="shared" ca="1" si="17"/>
        <v>—</v>
      </c>
      <c r="L183" s="22"/>
    </row>
    <row r="184" spans="1:12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IF(A184="","",IFERROR(VLOOKUP(A184,DB_Customers!$A:$N,14,0),""))</f>
        <v/>
      </c>
      <c r="D184" s="42" t="str">
        <f t="shared" ca="1" si="15"/>
        <v/>
      </c>
      <c r="E184" s="32"/>
      <c r="F184" s="31"/>
      <c r="G184" s="43" t="str">
        <f t="shared" si="16"/>
        <v/>
      </c>
      <c r="H184" s="30" t="s">
        <v>62</v>
      </c>
      <c r="I184" s="41"/>
      <c r="J184" s="33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4" s="33" t="str">
        <f t="shared" ca="1" si="17"/>
        <v>—</v>
      </c>
      <c r="L184" s="50"/>
    </row>
    <row r="185" spans="1:12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IF(A185="","",IFERROR(VLOOKUP(A185,DB_Customers!$A:$N,14,0),""))</f>
        <v/>
      </c>
      <c r="D185" s="42" t="str">
        <f t="shared" ca="1" si="15"/>
        <v/>
      </c>
      <c r="E185" s="32"/>
      <c r="F185" s="31"/>
      <c r="G185" s="43" t="str">
        <f t="shared" si="16"/>
        <v/>
      </c>
      <c r="H185" s="30" t="s">
        <v>62</v>
      </c>
      <c r="I185" s="41"/>
      <c r="J185" s="33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5" s="33" t="str">
        <f t="shared" ca="1" si="17"/>
        <v>—</v>
      </c>
      <c r="L185" s="22"/>
    </row>
    <row r="186" spans="1:12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IF(A186="","",IFERROR(VLOOKUP(A186,DB_Customers!$A:$N,14,0),""))</f>
        <v/>
      </c>
      <c r="D186" s="42" t="str">
        <f t="shared" ca="1" si="15"/>
        <v/>
      </c>
      <c r="E186" s="32"/>
      <c r="F186" s="31"/>
      <c r="G186" s="43" t="str">
        <f t="shared" si="16"/>
        <v/>
      </c>
      <c r="H186" s="30" t="s">
        <v>62</v>
      </c>
      <c r="I186" s="41"/>
      <c r="J186" s="33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6" s="33" t="str">
        <f t="shared" ca="1" si="17"/>
        <v>—</v>
      </c>
      <c r="L186" s="50"/>
    </row>
    <row r="187" spans="1:12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IF(A187="","",IFERROR(VLOOKUP(A187,DB_Customers!$A:$N,14,0),""))</f>
        <v/>
      </c>
      <c r="D187" s="42" t="str">
        <f t="shared" ca="1" si="15"/>
        <v/>
      </c>
      <c r="E187" s="32"/>
      <c r="F187" s="31"/>
      <c r="G187" s="43" t="str">
        <f t="shared" si="16"/>
        <v/>
      </c>
      <c r="H187" s="30" t="s">
        <v>62</v>
      </c>
      <c r="I187" s="41"/>
      <c r="J187" s="33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7" s="33" t="str">
        <f t="shared" ca="1" si="17"/>
        <v>—</v>
      </c>
      <c r="L187" s="22"/>
    </row>
    <row r="188" spans="1:12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IF(A188="","",IFERROR(VLOOKUP(A188,DB_Customers!$A:$N,14,0),""))</f>
        <v/>
      </c>
      <c r="D188" s="42" t="str">
        <f t="shared" ca="1" si="15"/>
        <v/>
      </c>
      <c r="E188" s="32"/>
      <c r="F188" s="31"/>
      <c r="G188" s="43" t="str">
        <f t="shared" si="16"/>
        <v/>
      </c>
      <c r="H188" s="30" t="s">
        <v>62</v>
      </c>
      <c r="I188" s="41"/>
      <c r="J188" s="33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88" s="33" t="str">
        <f t="shared" ca="1" si="17"/>
        <v>—</v>
      </c>
      <c r="L188" s="50"/>
    </row>
    <row r="189" spans="1:12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IF(A189="","",IFERROR(VLOOKUP(A189,DB_Customers!$A:$N,14,0),""))</f>
        <v/>
      </c>
      <c r="D189" s="42" t="str">
        <f t="shared" ca="1" si="15"/>
        <v/>
      </c>
      <c r="E189" s="32"/>
      <c r="F189" s="31"/>
      <c r="G189" s="43" t="str">
        <f t="shared" si="16"/>
        <v/>
      </c>
      <c r="H189" s="30" t="s">
        <v>62</v>
      </c>
      <c r="I189" s="41"/>
      <c r="J189" s="33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89" s="33" t="str">
        <f t="shared" ca="1" si="17"/>
        <v>—</v>
      </c>
      <c r="L189" s="22"/>
    </row>
    <row r="190" spans="1:12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IF(A190="","",IFERROR(VLOOKUP(A190,DB_Customers!$A:$N,14,0),""))</f>
        <v/>
      </c>
      <c r="D190" s="42" t="str">
        <f t="shared" ca="1" si="15"/>
        <v/>
      </c>
      <c r="E190" s="32"/>
      <c r="F190" s="31"/>
      <c r="G190" s="43" t="str">
        <f t="shared" si="16"/>
        <v/>
      </c>
      <c r="H190" s="30" t="s">
        <v>62</v>
      </c>
      <c r="I190" s="41"/>
      <c r="J190" s="33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0" s="33" t="str">
        <f t="shared" ca="1" si="17"/>
        <v>—</v>
      </c>
      <c r="L190" s="50"/>
    </row>
    <row r="191" spans="1:12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IF(A191="","",IFERROR(VLOOKUP(A191,DB_Customers!$A:$N,14,0),""))</f>
        <v/>
      </c>
      <c r="D191" s="42" t="str">
        <f t="shared" ca="1" si="15"/>
        <v/>
      </c>
      <c r="E191" s="32"/>
      <c r="F191" s="31"/>
      <c r="G191" s="43" t="str">
        <f t="shared" si="16"/>
        <v/>
      </c>
      <c r="H191" s="30" t="s">
        <v>62</v>
      </c>
      <c r="I191" s="41"/>
      <c r="J191" s="33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1" s="33" t="str">
        <f t="shared" ca="1" si="17"/>
        <v>—</v>
      </c>
      <c r="L191" s="22"/>
    </row>
    <row r="192" spans="1:12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IF(A192="","",IFERROR(VLOOKUP(A192,DB_Customers!$A:$N,14,0),""))</f>
        <v/>
      </c>
      <c r="D192" s="42" t="str">
        <f t="shared" ca="1" si="15"/>
        <v/>
      </c>
      <c r="E192" s="32"/>
      <c r="F192" s="31"/>
      <c r="G192" s="43" t="str">
        <f t="shared" si="16"/>
        <v/>
      </c>
      <c r="H192" s="30" t="s">
        <v>62</v>
      </c>
      <c r="I192" s="41"/>
      <c r="J192" s="33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2" s="33" t="str">
        <f t="shared" ca="1" si="17"/>
        <v>—</v>
      </c>
      <c r="L192" s="50"/>
    </row>
    <row r="193" spans="1:12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IF(A193="","",IFERROR(VLOOKUP(A193,DB_Customers!$A:$N,14,0),""))</f>
        <v/>
      </c>
      <c r="D193" s="42" t="str">
        <f t="shared" ca="1" si="15"/>
        <v/>
      </c>
      <c r="E193" s="32"/>
      <c r="F193" s="31"/>
      <c r="G193" s="43" t="str">
        <f t="shared" si="16"/>
        <v/>
      </c>
      <c r="H193" s="30" t="s">
        <v>62</v>
      </c>
      <c r="I193" s="41"/>
      <c r="J193" s="33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3" s="33" t="str">
        <f t="shared" ca="1" si="17"/>
        <v>—</v>
      </c>
      <c r="L193" s="22"/>
    </row>
    <row r="194" spans="1:12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IF(A194="","",IFERROR(VLOOKUP(A194,DB_Customers!$A:$N,14,0),""))</f>
        <v/>
      </c>
      <c r="D194" s="42" t="str">
        <f t="shared" ca="1" si="15"/>
        <v/>
      </c>
      <c r="E194" s="32"/>
      <c r="F194" s="31"/>
      <c r="G194" s="43" t="str">
        <f t="shared" si="16"/>
        <v/>
      </c>
      <c r="H194" s="30" t="s">
        <v>62</v>
      </c>
      <c r="I194" s="41"/>
      <c r="J194" s="33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4" s="33" t="str">
        <f t="shared" ca="1" si="17"/>
        <v>—</v>
      </c>
      <c r="L194" s="50"/>
    </row>
    <row r="195" spans="1:12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IF(A195="","",IFERROR(VLOOKUP(A195,DB_Customers!$A:$N,14,0),""))</f>
        <v/>
      </c>
      <c r="D195" s="42" t="str">
        <f t="shared" ca="1" si="15"/>
        <v/>
      </c>
      <c r="E195" s="32"/>
      <c r="F195" s="31"/>
      <c r="G195" s="43" t="str">
        <f t="shared" si="16"/>
        <v/>
      </c>
      <c r="H195" s="30" t="s">
        <v>62</v>
      </c>
      <c r="I195" s="41"/>
      <c r="J195" s="33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5" s="33" t="str">
        <f t="shared" ca="1" si="17"/>
        <v>—</v>
      </c>
      <c r="L195" s="22"/>
    </row>
    <row r="196" spans="1:12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IF(A196="","",IFERROR(VLOOKUP(A196,DB_Customers!$A:$N,14,0),""))</f>
        <v/>
      </c>
      <c r="D196" s="42" t="str">
        <f t="shared" ca="1" si="15"/>
        <v/>
      </c>
      <c r="E196" s="32"/>
      <c r="F196" s="31"/>
      <c r="G196" s="43" t="str">
        <f t="shared" si="16"/>
        <v/>
      </c>
      <c r="H196" s="30" t="s">
        <v>62</v>
      </c>
      <c r="I196" s="41"/>
      <c r="J196" s="33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6" s="33" t="str">
        <f t="shared" ca="1" si="17"/>
        <v>—</v>
      </c>
      <c r="L196" s="50"/>
    </row>
    <row r="197" spans="1:12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IF(A197="","",IFERROR(VLOOKUP(A197,DB_Customers!$A:$N,14,0),""))</f>
        <v/>
      </c>
      <c r="D197" s="42" t="str">
        <f t="shared" ca="1" si="15"/>
        <v/>
      </c>
      <c r="E197" s="32"/>
      <c r="F197" s="31"/>
      <c r="G197" s="43" t="str">
        <f t="shared" si="16"/>
        <v/>
      </c>
      <c r="H197" s="30" t="s">
        <v>62</v>
      </c>
      <c r="I197" s="41"/>
      <c r="J197" s="33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7" s="33" t="str">
        <f t="shared" ca="1" si="17"/>
        <v>—</v>
      </c>
      <c r="L197" s="22"/>
    </row>
    <row r="198" spans="1:12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IF(A198="","",IFERROR(VLOOKUP(A198,DB_Customers!$A:$N,14,0),""))</f>
        <v/>
      </c>
      <c r="D198" s="42" t="str">
        <f t="shared" ca="1" si="15"/>
        <v/>
      </c>
      <c r="E198" s="32"/>
      <c r="F198" s="31"/>
      <c r="G198" s="43" t="str">
        <f t="shared" si="16"/>
        <v/>
      </c>
      <c r="H198" s="30" t="s">
        <v>62</v>
      </c>
      <c r="I198" s="41"/>
      <c r="J198" s="33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198" s="33" t="str">
        <f t="shared" ca="1" si="17"/>
        <v>—</v>
      </c>
      <c r="L198" s="50"/>
    </row>
    <row r="199" spans="1:12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IF(A199="","",IFERROR(VLOOKUP(A199,DB_Customers!$A:$N,14,0),""))</f>
        <v/>
      </c>
      <c r="D199" s="42" t="str">
        <f t="shared" ca="1" si="15"/>
        <v/>
      </c>
      <c r="E199" s="32"/>
      <c r="F199" s="31"/>
      <c r="G199" s="43" t="str">
        <f t="shared" si="16"/>
        <v/>
      </c>
      <c r="H199" s="30" t="s">
        <v>62</v>
      </c>
      <c r="I199" s="41"/>
      <c r="J199" s="33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199" s="33" t="str">
        <f t="shared" ca="1" si="17"/>
        <v>—</v>
      </c>
      <c r="L199" s="22"/>
    </row>
    <row r="200" spans="1:12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IF(A200="","",IFERROR(VLOOKUP(A200,DB_Customers!$A:$N,14,0),""))</f>
        <v/>
      </c>
      <c r="D200" s="42" t="str">
        <f t="shared" ca="1" si="15"/>
        <v/>
      </c>
      <c r="E200" s="32"/>
      <c r="F200" s="31"/>
      <c r="G200" s="43" t="str">
        <f t="shared" si="16"/>
        <v/>
      </c>
      <c r="H200" s="30" t="s">
        <v>62</v>
      </c>
      <c r="I200" s="41"/>
      <c r="J200" s="33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0" s="33" t="str">
        <f t="shared" ca="1" si="17"/>
        <v>—</v>
      </c>
      <c r="L200" s="50"/>
    </row>
    <row r="201" spans="1:12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IF(A201="","",IFERROR(VLOOKUP(A201,DB_Customers!$A:$N,14,0),""))</f>
        <v/>
      </c>
      <c r="D201" s="42" t="str">
        <f t="shared" ref="D201:D208" ca="1" si="18">IF(A201="","",TODAY())</f>
        <v/>
      </c>
      <c r="E201" s="32"/>
      <c r="F201" s="31"/>
      <c r="G201" s="43" t="str">
        <f t="shared" ref="G201:G208" si="19">IFERROR(IF(OR(A201="",E201=""),"",C201-E201),"")</f>
        <v/>
      </c>
      <c r="H201" s="30" t="s">
        <v>62</v>
      </c>
      <c r="I201" s="41"/>
      <c r="J201" s="33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1" s="33" t="str">
        <f t="shared" ref="K201:K232" ca="1" si="20">IF(J201="✅ Successful",TEXT(TODAY(),"YYYY-MM-DD")&amp;" Auto","—")</f>
        <v>—</v>
      </c>
      <c r="L201" s="22"/>
    </row>
    <row r="202" spans="1:12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IF(A202="","",IFERROR(VLOOKUP(A202,DB_Customers!$A:$N,14,0),""))</f>
        <v/>
      </c>
      <c r="D202" s="42" t="str">
        <f t="shared" ca="1" si="18"/>
        <v/>
      </c>
      <c r="E202" s="32"/>
      <c r="F202" s="31"/>
      <c r="G202" s="43" t="str">
        <f t="shared" si="19"/>
        <v/>
      </c>
      <c r="H202" s="30" t="s">
        <v>62</v>
      </c>
      <c r="I202" s="41"/>
      <c r="J202" s="33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2" s="33" t="str">
        <f t="shared" ca="1" si="20"/>
        <v>—</v>
      </c>
      <c r="L202" s="50"/>
    </row>
    <row r="203" spans="1:12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IF(A203="","",IFERROR(VLOOKUP(A203,DB_Customers!$A:$N,14,0),""))</f>
        <v/>
      </c>
      <c r="D203" s="42" t="str">
        <f t="shared" ca="1" si="18"/>
        <v/>
      </c>
      <c r="E203" s="32"/>
      <c r="F203" s="31"/>
      <c r="G203" s="43" t="str">
        <f t="shared" si="19"/>
        <v/>
      </c>
      <c r="H203" s="30" t="s">
        <v>62</v>
      </c>
      <c r="I203" s="41"/>
      <c r="J203" s="33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3" s="33" t="str">
        <f t="shared" ca="1" si="20"/>
        <v>—</v>
      </c>
      <c r="L203" s="22"/>
    </row>
    <row r="204" spans="1:12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IF(A204="","",IFERROR(VLOOKUP(A204,DB_Customers!$A:$N,14,0),""))</f>
        <v/>
      </c>
      <c r="D204" s="42" t="str">
        <f t="shared" ca="1" si="18"/>
        <v/>
      </c>
      <c r="E204" s="32"/>
      <c r="F204" s="31"/>
      <c r="G204" s="43" t="str">
        <f t="shared" si="19"/>
        <v/>
      </c>
      <c r="H204" s="30" t="s">
        <v>62</v>
      </c>
      <c r="I204" s="41"/>
      <c r="J204" s="33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4" s="33" t="str">
        <f t="shared" ca="1" si="20"/>
        <v>—</v>
      </c>
      <c r="L204" s="50"/>
    </row>
    <row r="205" spans="1:12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IF(A205="","",IFERROR(VLOOKUP(A205,DB_Customers!$A:$N,14,0),""))</f>
        <v/>
      </c>
      <c r="D205" s="42" t="str">
        <f t="shared" ca="1" si="18"/>
        <v/>
      </c>
      <c r="E205" s="32"/>
      <c r="F205" s="31"/>
      <c r="G205" s="43" t="str">
        <f t="shared" si="19"/>
        <v/>
      </c>
      <c r="H205" s="30" t="s">
        <v>62</v>
      </c>
      <c r="I205" s="41"/>
      <c r="J205" s="33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5" s="33" t="str">
        <f t="shared" ca="1" si="20"/>
        <v>—</v>
      </c>
      <c r="L205" s="22"/>
    </row>
    <row r="206" spans="1:12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IF(A206="","",IFERROR(VLOOKUP(A206,DB_Customers!$A:$N,14,0),""))</f>
        <v/>
      </c>
      <c r="D206" s="42" t="str">
        <f t="shared" ca="1" si="18"/>
        <v/>
      </c>
      <c r="E206" s="32"/>
      <c r="F206" s="31"/>
      <c r="G206" s="43" t="str">
        <f t="shared" si="19"/>
        <v/>
      </c>
      <c r="H206" s="30" t="s">
        <v>62</v>
      </c>
      <c r="I206" s="41"/>
      <c r="J206" s="33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6" s="33" t="str">
        <f t="shared" ca="1" si="20"/>
        <v>—</v>
      </c>
      <c r="L206" s="50"/>
    </row>
    <row r="207" spans="1:12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IF(A207="","",IFERROR(VLOOKUP(A207,DB_Customers!$A:$N,14,0),""))</f>
        <v/>
      </c>
      <c r="D207" s="42" t="str">
        <f t="shared" ca="1" si="18"/>
        <v/>
      </c>
      <c r="E207" s="32"/>
      <c r="F207" s="31"/>
      <c r="G207" s="43" t="str">
        <f t="shared" si="19"/>
        <v/>
      </c>
      <c r="H207" s="30" t="s">
        <v>62</v>
      </c>
      <c r="I207" s="41"/>
      <c r="J207" s="33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7" s="33" t="str">
        <f t="shared" ca="1" si="20"/>
        <v>—</v>
      </c>
      <c r="L207" s="22"/>
    </row>
    <row r="208" spans="1:12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IF(A208="","",IFERROR(VLOOKUP(A208,DB_Customers!$A:$N,14,0),""))</f>
        <v/>
      </c>
      <c r="D208" s="42" t="str">
        <f t="shared" ca="1" si="18"/>
        <v/>
      </c>
      <c r="E208" s="32"/>
      <c r="F208" s="31"/>
      <c r="G208" s="43" t="str">
        <f t="shared" si="19"/>
        <v/>
      </c>
      <c r="H208" s="30" t="s">
        <v>62</v>
      </c>
      <c r="I208" s="41"/>
      <c r="J208" s="33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08" s="33" t="str">
        <f t="shared" ca="1" si="20"/>
        <v>—</v>
      </c>
      <c r="L208" s="50"/>
    </row>
  </sheetData>
  <mergeCells count="3">
    <mergeCell ref="A2:L2"/>
    <mergeCell ref="A6:L6"/>
    <mergeCell ref="A1:L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5" t="s">
        <v>214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21.95" customHeight="1" x14ac:dyDescent="0.25">
      <c r="A2" s="97" t="s">
        <v>215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4" spans="1:14" x14ac:dyDescent="0.25">
      <c r="A4" s="51" t="s">
        <v>146</v>
      </c>
    </row>
    <row r="5" spans="1:14" x14ac:dyDescent="0.25">
      <c r="A5" s="52" t="s">
        <v>147</v>
      </c>
      <c r="B5" s="32"/>
    </row>
    <row r="6" spans="1:14" x14ac:dyDescent="0.25">
      <c r="A6" s="52" t="s">
        <v>148</v>
      </c>
      <c r="B6" s="53"/>
    </row>
    <row r="7" spans="1:14" x14ac:dyDescent="0.25">
      <c r="A7" s="52" t="s">
        <v>149</v>
      </c>
      <c r="B7" s="54">
        <v>2.5</v>
      </c>
    </row>
    <row r="8" spans="1:14" x14ac:dyDescent="0.25">
      <c r="A8" s="55" t="s">
        <v>150</v>
      </c>
      <c r="B8" s="43" t="str">
        <f>IF(B5="","",B5*B7/100*B6)</f>
        <v/>
      </c>
    </row>
    <row r="9" spans="1:14" x14ac:dyDescent="0.25">
      <c r="A9" s="55" t="s">
        <v>151</v>
      </c>
      <c r="B9" s="43" t="str">
        <f>IF(B5="","",B5+(B5*B7/100*B6))</f>
        <v/>
      </c>
    </row>
    <row r="10" spans="1:14" x14ac:dyDescent="0.25">
      <c r="A10" s="55" t="s">
        <v>152</v>
      </c>
      <c r="B10" s="43" t="str">
        <f>IFERROR(B9/B6,"")</f>
        <v/>
      </c>
    </row>
    <row r="12" spans="1:14" ht="21.95" customHeight="1" x14ac:dyDescent="0.25">
      <c r="A12" s="97" t="s">
        <v>153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</row>
    <row r="13" spans="1:14" ht="30" customHeight="1" x14ac:dyDescent="0.25">
      <c r="A13" s="19" t="s">
        <v>154</v>
      </c>
      <c r="B13" s="19" t="s">
        <v>131</v>
      </c>
      <c r="C13" s="19" t="s">
        <v>69</v>
      </c>
      <c r="D13" s="19" t="s">
        <v>155</v>
      </c>
      <c r="E13" s="19" t="s">
        <v>156</v>
      </c>
      <c r="F13" s="19" t="s">
        <v>109</v>
      </c>
      <c r="G13" s="19" t="s">
        <v>110</v>
      </c>
      <c r="H13" s="19" t="s">
        <v>157</v>
      </c>
      <c r="I13" s="19" t="s">
        <v>158</v>
      </c>
      <c r="J13" s="19" t="s">
        <v>159</v>
      </c>
      <c r="K13" s="19" t="s">
        <v>77</v>
      </c>
      <c r="L13" s="19" t="s">
        <v>45</v>
      </c>
      <c r="M13" s="19" t="s">
        <v>134</v>
      </c>
      <c r="N13" s="19" t="s">
        <v>95</v>
      </c>
    </row>
    <row r="14" spans="1:14" ht="20.100000000000001" customHeight="1" x14ac:dyDescent="0.25">
      <c r="A14" s="30" t="str">
        <f t="shared" ref="A14:A45" si="0">IF(B14="","",IF(C14="❌ Account Not Found","INVALID","LN"&amp;TEXT(D14,"YYYYMMDD")&amp;TEXT(ROW()-13,"0000")))</f>
        <v/>
      </c>
      <c r="B14" s="41"/>
      <c r="C14" s="35" t="str">
        <f>IF(B14="","",IFERROR(VLOOKUP(B14,DB_Customers!$A:$B,2,0),"❌ Account Not Found"))</f>
        <v/>
      </c>
      <c r="D14" s="42" t="str">
        <f t="shared" ref="D14:D45" ca="1" si="1">IF(B14="","",TODAY())</f>
        <v/>
      </c>
      <c r="E14" s="32"/>
      <c r="F14" s="31"/>
      <c r="G14" s="41"/>
      <c r="H14" s="56">
        <v>2.5</v>
      </c>
      <c r="I14" s="43" t="str">
        <f t="shared" ref="I14:I45" si="2">IF(E14="","",E14+(E14*H14/100*G14))</f>
        <v/>
      </c>
      <c r="J14" s="43" t="str">
        <f t="shared" ref="J14:J45" si="3">IFERROR(I14/G14,"")</f>
        <v/>
      </c>
      <c r="K14" s="33" t="str">
        <f>IF(B14="","Pending",IF(M14="","⚠️ Enter Code",IF(IFERROR(VLOOKUP(L14,DB_Agents!$B:$F,4,0),"")=TEXT(M14,"0"),"Pending Approval","🔒 WRONG CODE")))</f>
        <v>Pending</v>
      </c>
      <c r="L14" s="30" t="s">
        <v>62</v>
      </c>
      <c r="M14" s="41"/>
      <c r="N14" s="57"/>
    </row>
    <row r="15" spans="1:14" ht="20.100000000000001" customHeight="1" x14ac:dyDescent="0.25">
      <c r="A15" s="30" t="str">
        <f t="shared" si="0"/>
        <v/>
      </c>
      <c r="B15" s="41"/>
      <c r="C15" s="35" t="str">
        <f>IF(B15="","",IFERROR(VLOOKUP(B15,DB_Customers!$A:$B,2,0),"❌ Account Not Found"))</f>
        <v/>
      </c>
      <c r="D15" s="42" t="str">
        <f t="shared" ca="1" si="1"/>
        <v/>
      </c>
      <c r="E15" s="32"/>
      <c r="F15" s="31"/>
      <c r="G15" s="41"/>
      <c r="H15" s="56">
        <v>2.5</v>
      </c>
      <c r="I15" s="43" t="str">
        <f t="shared" si="2"/>
        <v/>
      </c>
      <c r="J15" s="43" t="str">
        <f t="shared" si="3"/>
        <v/>
      </c>
      <c r="K15" s="33" t="str">
        <f>IF(B15="","Pending",IF(M15="","⚠️ Enter Code",IF(IFERROR(VLOOKUP(L15,DB_Agents!$B:$F,4,0),"")=TEXT(M15,"0"),"Pending Approval","🔒 WRONG CODE")))</f>
        <v>Pending</v>
      </c>
      <c r="L15" s="30" t="s">
        <v>62</v>
      </c>
      <c r="M15" s="41"/>
      <c r="N15" s="22"/>
    </row>
    <row r="16" spans="1:14" ht="20.100000000000001" customHeight="1" x14ac:dyDescent="0.25">
      <c r="A16" s="30" t="str">
        <f t="shared" si="0"/>
        <v/>
      </c>
      <c r="B16" s="41"/>
      <c r="C16" s="35" t="str">
        <f>IF(B16="","",IFERROR(VLOOKUP(B16,DB_Customers!$A:$B,2,0),"❌ Account Not Found"))</f>
        <v/>
      </c>
      <c r="D16" s="42" t="str">
        <f t="shared" ca="1" si="1"/>
        <v/>
      </c>
      <c r="E16" s="32"/>
      <c r="F16" s="31"/>
      <c r="G16" s="41"/>
      <c r="H16" s="56">
        <v>2.5</v>
      </c>
      <c r="I16" s="43" t="str">
        <f t="shared" si="2"/>
        <v/>
      </c>
      <c r="J16" s="43" t="str">
        <f t="shared" si="3"/>
        <v/>
      </c>
      <c r="K16" s="33" t="str">
        <f>IF(B16="","Pending",IF(M16="","⚠️ Enter Code",IF(IFERROR(VLOOKUP(L16,DB_Agents!$B:$F,4,0),"")=TEXT(M16,"0"),"Pending Approval","🔒 WRONG CODE")))</f>
        <v>Pending</v>
      </c>
      <c r="L16" s="30" t="s">
        <v>62</v>
      </c>
      <c r="M16" s="41"/>
      <c r="N16" s="57"/>
    </row>
    <row r="17" spans="1:14" ht="20.100000000000001" customHeight="1" x14ac:dyDescent="0.25">
      <c r="A17" s="30" t="str">
        <f t="shared" si="0"/>
        <v/>
      </c>
      <c r="B17" s="41"/>
      <c r="C17" s="35" t="str">
        <f>IF(B17="","",IFERROR(VLOOKUP(B17,DB_Customers!$A:$B,2,0),"❌ Account Not Found"))</f>
        <v/>
      </c>
      <c r="D17" s="42" t="str">
        <f t="shared" ca="1" si="1"/>
        <v/>
      </c>
      <c r="E17" s="32"/>
      <c r="F17" s="31"/>
      <c r="G17" s="41"/>
      <c r="H17" s="56">
        <v>2.5</v>
      </c>
      <c r="I17" s="43" t="str">
        <f t="shared" si="2"/>
        <v/>
      </c>
      <c r="J17" s="43" t="str">
        <f t="shared" si="3"/>
        <v/>
      </c>
      <c r="K17" s="33" t="str">
        <f>IF(B17="","Pending",IF(M17="","⚠️ Enter Code",IF(IFERROR(VLOOKUP(L17,DB_Agents!$B:$F,4,0),"")=TEXT(M17,"0"),"Pending Approval","🔒 WRONG CODE")))</f>
        <v>Pending</v>
      </c>
      <c r="L17" s="30" t="s">
        <v>62</v>
      </c>
      <c r="M17" s="41"/>
      <c r="N17" s="22"/>
    </row>
    <row r="18" spans="1:14" ht="20.100000000000001" customHeight="1" x14ac:dyDescent="0.25">
      <c r="A18" s="30" t="str">
        <f t="shared" si="0"/>
        <v/>
      </c>
      <c r="B18" s="41"/>
      <c r="C18" s="35" t="str">
        <f>IF(B18="","",IFERROR(VLOOKUP(B18,DB_Customers!$A:$B,2,0),"❌ Account Not Found"))</f>
        <v/>
      </c>
      <c r="D18" s="42" t="str">
        <f t="shared" ca="1" si="1"/>
        <v/>
      </c>
      <c r="E18" s="32"/>
      <c r="F18" s="31"/>
      <c r="G18" s="41"/>
      <c r="H18" s="56">
        <v>2.5</v>
      </c>
      <c r="I18" s="43" t="str">
        <f t="shared" si="2"/>
        <v/>
      </c>
      <c r="J18" s="43" t="str">
        <f t="shared" si="3"/>
        <v/>
      </c>
      <c r="K18" s="33" t="str">
        <f>IF(B18="","Pending",IF(M18="","⚠️ Enter Code",IF(IFERROR(VLOOKUP(L18,DB_Agents!$B:$F,4,0),"")=TEXT(M18,"0"),"Pending Approval","🔒 WRONG CODE")))</f>
        <v>Pending</v>
      </c>
      <c r="L18" s="30" t="s">
        <v>62</v>
      </c>
      <c r="M18" s="41"/>
      <c r="N18" s="57"/>
    </row>
    <row r="19" spans="1:14" ht="20.100000000000001" customHeight="1" x14ac:dyDescent="0.25">
      <c r="A19" s="30" t="str">
        <f t="shared" si="0"/>
        <v/>
      </c>
      <c r="B19" s="41"/>
      <c r="C19" s="35" t="str">
        <f>IF(B19="","",IFERROR(VLOOKUP(B19,DB_Customers!$A:$B,2,0),"❌ Account Not Found"))</f>
        <v/>
      </c>
      <c r="D19" s="42" t="str">
        <f t="shared" ca="1" si="1"/>
        <v/>
      </c>
      <c r="E19" s="32"/>
      <c r="F19" s="31"/>
      <c r="G19" s="41"/>
      <c r="H19" s="56">
        <v>2.5</v>
      </c>
      <c r="I19" s="43" t="str">
        <f t="shared" si="2"/>
        <v/>
      </c>
      <c r="J19" s="43" t="str">
        <f t="shared" si="3"/>
        <v/>
      </c>
      <c r="K19" s="33" t="str">
        <f>IF(B19="","Pending",IF(M19="","⚠️ Enter Code",IF(IFERROR(VLOOKUP(L19,DB_Agents!$B:$F,4,0),"")=TEXT(M19,"0"),"Pending Approval","🔒 WRONG CODE")))</f>
        <v>Pending</v>
      </c>
      <c r="L19" s="30" t="s">
        <v>62</v>
      </c>
      <c r="M19" s="41"/>
      <c r="N19" s="22"/>
    </row>
    <row r="20" spans="1:14" ht="20.100000000000001" customHeight="1" x14ac:dyDescent="0.25">
      <c r="A20" s="30" t="str">
        <f t="shared" si="0"/>
        <v/>
      </c>
      <c r="B20" s="41"/>
      <c r="C20" s="35" t="str">
        <f>IF(B20="","",IFERROR(VLOOKUP(B20,DB_Customers!$A:$B,2,0),"❌ Account Not Found"))</f>
        <v/>
      </c>
      <c r="D20" s="42" t="str">
        <f t="shared" ca="1" si="1"/>
        <v/>
      </c>
      <c r="E20" s="32"/>
      <c r="F20" s="31"/>
      <c r="G20" s="41"/>
      <c r="H20" s="56">
        <v>2.5</v>
      </c>
      <c r="I20" s="43" t="str">
        <f t="shared" si="2"/>
        <v/>
      </c>
      <c r="J20" s="43" t="str">
        <f t="shared" si="3"/>
        <v/>
      </c>
      <c r="K20" s="33" t="str">
        <f>IF(B20="","Pending",IF(M20="","⚠️ Enter Code",IF(IFERROR(VLOOKUP(L20,DB_Agents!$B:$F,4,0),"")=TEXT(M20,"0"),"Pending Approval","🔒 WRONG CODE")))</f>
        <v>Pending</v>
      </c>
      <c r="L20" s="30" t="s">
        <v>62</v>
      </c>
      <c r="M20" s="41"/>
      <c r="N20" s="57"/>
    </row>
    <row r="21" spans="1:14" ht="20.100000000000001" customHeight="1" x14ac:dyDescent="0.25">
      <c r="A21" s="30" t="str">
        <f t="shared" si="0"/>
        <v/>
      </c>
      <c r="B21" s="41"/>
      <c r="C21" s="35" t="str">
        <f>IF(B21="","",IFERROR(VLOOKUP(B21,DB_Customers!$A:$B,2,0),"❌ Account Not Found"))</f>
        <v/>
      </c>
      <c r="D21" s="42" t="str">
        <f t="shared" ca="1" si="1"/>
        <v/>
      </c>
      <c r="E21" s="32"/>
      <c r="F21" s="31"/>
      <c r="G21" s="41"/>
      <c r="H21" s="56">
        <v>2.5</v>
      </c>
      <c r="I21" s="43" t="str">
        <f t="shared" si="2"/>
        <v/>
      </c>
      <c r="J21" s="43" t="str">
        <f t="shared" si="3"/>
        <v/>
      </c>
      <c r="K21" s="33" t="str">
        <f>IF(B21="","Pending",IF(M21="","⚠️ Enter Code",IF(IFERROR(VLOOKUP(L21,DB_Agents!$B:$F,4,0),"")=TEXT(M21,"0"),"Pending Approval","🔒 WRONG CODE")))</f>
        <v>Pending</v>
      </c>
      <c r="L21" s="30" t="s">
        <v>62</v>
      </c>
      <c r="M21" s="41"/>
      <c r="N21" s="22"/>
    </row>
    <row r="22" spans="1:14" ht="20.100000000000001" customHeight="1" x14ac:dyDescent="0.25">
      <c r="A22" s="30" t="str">
        <f t="shared" si="0"/>
        <v/>
      </c>
      <c r="B22" s="41"/>
      <c r="C22" s="35" t="str">
        <f>IF(B22="","",IFERROR(VLOOKUP(B22,DB_Customers!$A:$B,2,0),"❌ Account Not Found"))</f>
        <v/>
      </c>
      <c r="D22" s="42" t="str">
        <f t="shared" ca="1" si="1"/>
        <v/>
      </c>
      <c r="E22" s="32"/>
      <c r="F22" s="31"/>
      <c r="G22" s="41"/>
      <c r="H22" s="56">
        <v>2.5</v>
      </c>
      <c r="I22" s="43" t="str">
        <f t="shared" si="2"/>
        <v/>
      </c>
      <c r="J22" s="43" t="str">
        <f t="shared" si="3"/>
        <v/>
      </c>
      <c r="K22" s="33" t="str">
        <f>IF(B22="","Pending",IF(M22="","⚠️ Enter Code",IF(IFERROR(VLOOKUP(L22,DB_Agents!$B:$F,4,0),"")=TEXT(M22,"0"),"Pending Approval","🔒 WRONG CODE")))</f>
        <v>Pending</v>
      </c>
      <c r="L22" s="30" t="s">
        <v>62</v>
      </c>
      <c r="M22" s="41"/>
      <c r="N22" s="57"/>
    </row>
    <row r="23" spans="1:14" ht="20.100000000000001" customHeight="1" x14ac:dyDescent="0.25">
      <c r="A23" s="30" t="str">
        <f t="shared" si="0"/>
        <v/>
      </c>
      <c r="B23" s="41"/>
      <c r="C23" s="35" t="str">
        <f>IF(B23="","",IFERROR(VLOOKUP(B23,DB_Customers!$A:$B,2,0),"❌ Account Not Found"))</f>
        <v/>
      </c>
      <c r="D23" s="42" t="str">
        <f t="shared" ca="1" si="1"/>
        <v/>
      </c>
      <c r="E23" s="32"/>
      <c r="F23" s="31"/>
      <c r="G23" s="41"/>
      <c r="H23" s="56">
        <v>2.5</v>
      </c>
      <c r="I23" s="43" t="str">
        <f t="shared" si="2"/>
        <v/>
      </c>
      <c r="J23" s="43" t="str">
        <f t="shared" si="3"/>
        <v/>
      </c>
      <c r="K23" s="33" t="str">
        <f>IF(B23="","Pending",IF(M23="","⚠️ Enter Code",IF(IFERROR(VLOOKUP(L23,DB_Agents!$B:$F,4,0),"")=TEXT(M23,"0"),"Pending Approval","🔒 WRONG CODE")))</f>
        <v>Pending</v>
      </c>
      <c r="L23" s="30" t="s">
        <v>62</v>
      </c>
      <c r="M23" s="41"/>
      <c r="N23" s="22"/>
    </row>
    <row r="24" spans="1:14" ht="20.100000000000001" customHeight="1" x14ac:dyDescent="0.25">
      <c r="A24" s="30" t="str">
        <f t="shared" si="0"/>
        <v/>
      </c>
      <c r="B24" s="41"/>
      <c r="C24" s="35" t="str">
        <f>IF(B24="","",IFERROR(VLOOKUP(B24,DB_Customers!$A:$B,2,0),"❌ Account Not Found"))</f>
        <v/>
      </c>
      <c r="D24" s="42" t="str">
        <f t="shared" ca="1" si="1"/>
        <v/>
      </c>
      <c r="E24" s="32"/>
      <c r="F24" s="31"/>
      <c r="G24" s="41"/>
      <c r="H24" s="56">
        <v>2.5</v>
      </c>
      <c r="I24" s="43" t="str">
        <f t="shared" si="2"/>
        <v/>
      </c>
      <c r="J24" s="43" t="str">
        <f t="shared" si="3"/>
        <v/>
      </c>
      <c r="K24" s="33" t="str">
        <f>IF(B24="","Pending",IF(M24="","⚠️ Enter Code",IF(IFERROR(VLOOKUP(L24,DB_Agents!$B:$F,4,0),"")=TEXT(M24,"0"),"Pending Approval","🔒 WRONG CODE")))</f>
        <v>Pending</v>
      </c>
      <c r="L24" s="30" t="s">
        <v>62</v>
      </c>
      <c r="M24" s="41"/>
      <c r="N24" s="57"/>
    </row>
    <row r="25" spans="1:14" ht="20.100000000000001" customHeight="1" x14ac:dyDescent="0.25">
      <c r="A25" s="30" t="str">
        <f t="shared" si="0"/>
        <v/>
      </c>
      <c r="B25" s="41"/>
      <c r="C25" s="35" t="str">
        <f>IF(B25="","",IFERROR(VLOOKUP(B25,DB_Customers!$A:$B,2,0),"❌ Account Not Found"))</f>
        <v/>
      </c>
      <c r="D25" s="42" t="str">
        <f t="shared" ca="1" si="1"/>
        <v/>
      </c>
      <c r="E25" s="32"/>
      <c r="F25" s="31"/>
      <c r="G25" s="41"/>
      <c r="H25" s="56">
        <v>2.5</v>
      </c>
      <c r="I25" s="43" t="str">
        <f t="shared" si="2"/>
        <v/>
      </c>
      <c r="J25" s="43" t="str">
        <f t="shared" si="3"/>
        <v/>
      </c>
      <c r="K25" s="33" t="str">
        <f>IF(B25="","Pending",IF(M25="","⚠️ Enter Code",IF(IFERROR(VLOOKUP(L25,DB_Agents!$B:$F,4,0),"")=TEXT(M25,"0"),"Pending Approval","🔒 WRONG CODE")))</f>
        <v>Pending</v>
      </c>
      <c r="L25" s="30" t="s">
        <v>62</v>
      </c>
      <c r="M25" s="41"/>
      <c r="N25" s="22"/>
    </row>
    <row r="26" spans="1:14" ht="20.100000000000001" customHeight="1" x14ac:dyDescent="0.25">
      <c r="A26" s="30" t="str">
        <f t="shared" si="0"/>
        <v/>
      </c>
      <c r="B26" s="41"/>
      <c r="C26" s="35" t="str">
        <f>IF(B26="","",IFERROR(VLOOKUP(B26,DB_Customers!$A:$B,2,0),"❌ Account Not Found"))</f>
        <v/>
      </c>
      <c r="D26" s="42" t="str">
        <f t="shared" ca="1" si="1"/>
        <v/>
      </c>
      <c r="E26" s="32"/>
      <c r="F26" s="31"/>
      <c r="G26" s="41"/>
      <c r="H26" s="56">
        <v>2.5</v>
      </c>
      <c r="I26" s="43" t="str">
        <f t="shared" si="2"/>
        <v/>
      </c>
      <c r="J26" s="43" t="str">
        <f t="shared" si="3"/>
        <v/>
      </c>
      <c r="K26" s="33" t="str">
        <f>IF(B26="","Pending",IF(M26="","⚠️ Enter Code",IF(IFERROR(VLOOKUP(L26,DB_Agents!$B:$F,4,0),"")=TEXT(M26,"0"),"Pending Approval","🔒 WRONG CODE")))</f>
        <v>Pending</v>
      </c>
      <c r="L26" s="30" t="s">
        <v>62</v>
      </c>
      <c r="M26" s="41"/>
      <c r="N26" s="57"/>
    </row>
    <row r="27" spans="1:14" ht="20.100000000000001" customHeight="1" x14ac:dyDescent="0.25">
      <c r="A27" s="30" t="str">
        <f t="shared" si="0"/>
        <v/>
      </c>
      <c r="B27" s="41"/>
      <c r="C27" s="35" t="str">
        <f>IF(B27="","",IFERROR(VLOOKUP(B27,DB_Customers!$A:$B,2,0),"❌ Account Not Found"))</f>
        <v/>
      </c>
      <c r="D27" s="42" t="str">
        <f t="shared" ca="1" si="1"/>
        <v/>
      </c>
      <c r="E27" s="32"/>
      <c r="F27" s="31"/>
      <c r="G27" s="41"/>
      <c r="H27" s="56">
        <v>2.5</v>
      </c>
      <c r="I27" s="43" t="str">
        <f t="shared" si="2"/>
        <v/>
      </c>
      <c r="J27" s="43" t="str">
        <f t="shared" si="3"/>
        <v/>
      </c>
      <c r="K27" s="33" t="str">
        <f>IF(B27="","Pending",IF(M27="","⚠️ Enter Code",IF(IFERROR(VLOOKUP(L27,DB_Agents!$B:$F,4,0),"")=TEXT(M27,"0"),"Pending Approval","🔒 WRONG CODE")))</f>
        <v>Pending</v>
      </c>
      <c r="L27" s="30" t="s">
        <v>62</v>
      </c>
      <c r="M27" s="41"/>
      <c r="N27" s="22"/>
    </row>
    <row r="28" spans="1:14" ht="20.100000000000001" customHeight="1" x14ac:dyDescent="0.25">
      <c r="A28" s="30" t="str">
        <f t="shared" si="0"/>
        <v/>
      </c>
      <c r="B28" s="41"/>
      <c r="C28" s="35" t="str">
        <f>IF(B28="","",IFERROR(VLOOKUP(B28,DB_Customers!$A:$B,2,0),"❌ Account Not Found"))</f>
        <v/>
      </c>
      <c r="D28" s="42" t="str">
        <f t="shared" ca="1" si="1"/>
        <v/>
      </c>
      <c r="E28" s="32"/>
      <c r="F28" s="31"/>
      <c r="G28" s="41"/>
      <c r="H28" s="56">
        <v>2.5</v>
      </c>
      <c r="I28" s="43" t="str">
        <f t="shared" si="2"/>
        <v/>
      </c>
      <c r="J28" s="43" t="str">
        <f t="shared" si="3"/>
        <v/>
      </c>
      <c r="K28" s="33" t="str">
        <f>IF(B28="","Pending",IF(M28="","⚠️ Enter Code",IF(IFERROR(VLOOKUP(L28,DB_Agents!$B:$F,4,0),"")=TEXT(M28,"0"),"Pending Approval","🔒 WRONG CODE")))</f>
        <v>Pending</v>
      </c>
      <c r="L28" s="30" t="s">
        <v>62</v>
      </c>
      <c r="M28" s="41"/>
      <c r="N28" s="57"/>
    </row>
    <row r="29" spans="1:14" ht="20.100000000000001" customHeight="1" x14ac:dyDescent="0.25">
      <c r="A29" s="30" t="str">
        <f t="shared" si="0"/>
        <v/>
      </c>
      <c r="B29" s="41"/>
      <c r="C29" s="35" t="str">
        <f>IF(B29="","",IFERROR(VLOOKUP(B29,DB_Customers!$A:$B,2,0),"❌ Account Not Found"))</f>
        <v/>
      </c>
      <c r="D29" s="42" t="str">
        <f t="shared" ca="1" si="1"/>
        <v/>
      </c>
      <c r="E29" s="32"/>
      <c r="F29" s="31"/>
      <c r="G29" s="41"/>
      <c r="H29" s="56">
        <v>2.5</v>
      </c>
      <c r="I29" s="43" t="str">
        <f t="shared" si="2"/>
        <v/>
      </c>
      <c r="J29" s="43" t="str">
        <f t="shared" si="3"/>
        <v/>
      </c>
      <c r="K29" s="33" t="str">
        <f>IF(B29="","Pending",IF(M29="","⚠️ Enter Code",IF(IFERROR(VLOOKUP(L29,DB_Agents!$B:$F,4,0),"")=TEXT(M29,"0"),"Pending Approval","🔒 WRONG CODE")))</f>
        <v>Pending</v>
      </c>
      <c r="L29" s="30" t="s">
        <v>62</v>
      </c>
      <c r="M29" s="41"/>
      <c r="N29" s="22"/>
    </row>
    <row r="30" spans="1:14" ht="20.100000000000001" customHeight="1" x14ac:dyDescent="0.25">
      <c r="A30" s="30" t="str">
        <f t="shared" si="0"/>
        <v/>
      </c>
      <c r="B30" s="41"/>
      <c r="C30" s="35" t="str">
        <f>IF(B30="","",IFERROR(VLOOKUP(B30,DB_Customers!$A:$B,2,0),"❌ Account Not Found"))</f>
        <v/>
      </c>
      <c r="D30" s="42" t="str">
        <f t="shared" ca="1" si="1"/>
        <v/>
      </c>
      <c r="E30" s="32"/>
      <c r="F30" s="31"/>
      <c r="G30" s="41"/>
      <c r="H30" s="56">
        <v>2.5</v>
      </c>
      <c r="I30" s="43" t="str">
        <f t="shared" si="2"/>
        <v/>
      </c>
      <c r="J30" s="43" t="str">
        <f t="shared" si="3"/>
        <v/>
      </c>
      <c r="K30" s="33" t="str">
        <f>IF(B30="","Pending",IF(M30="","⚠️ Enter Code",IF(IFERROR(VLOOKUP(L30,DB_Agents!$B:$F,4,0),"")=TEXT(M30,"0"),"Pending Approval","🔒 WRONG CODE")))</f>
        <v>Pending</v>
      </c>
      <c r="L30" s="30" t="s">
        <v>62</v>
      </c>
      <c r="M30" s="41"/>
      <c r="N30" s="57"/>
    </row>
    <row r="31" spans="1:14" ht="20.100000000000001" customHeight="1" x14ac:dyDescent="0.25">
      <c r="A31" s="30" t="str">
        <f t="shared" si="0"/>
        <v/>
      </c>
      <c r="B31" s="41"/>
      <c r="C31" s="35" t="str">
        <f>IF(B31="","",IFERROR(VLOOKUP(B31,DB_Customers!$A:$B,2,0),"❌ Account Not Found"))</f>
        <v/>
      </c>
      <c r="D31" s="42" t="str">
        <f t="shared" ca="1" si="1"/>
        <v/>
      </c>
      <c r="E31" s="32"/>
      <c r="F31" s="31"/>
      <c r="G31" s="41"/>
      <c r="H31" s="56">
        <v>2.5</v>
      </c>
      <c r="I31" s="43" t="str">
        <f t="shared" si="2"/>
        <v/>
      </c>
      <c r="J31" s="43" t="str">
        <f t="shared" si="3"/>
        <v/>
      </c>
      <c r="K31" s="33" t="str">
        <f>IF(B31="","Pending",IF(M31="","⚠️ Enter Code",IF(IFERROR(VLOOKUP(L31,DB_Agents!$B:$F,4,0),"")=TEXT(M31,"0"),"Pending Approval","🔒 WRONG CODE")))</f>
        <v>Pending</v>
      </c>
      <c r="L31" s="30" t="s">
        <v>62</v>
      </c>
      <c r="M31" s="41"/>
      <c r="N31" s="22"/>
    </row>
    <row r="32" spans="1:14" ht="20.100000000000001" customHeight="1" x14ac:dyDescent="0.25">
      <c r="A32" s="30" t="str">
        <f t="shared" si="0"/>
        <v/>
      </c>
      <c r="B32" s="41"/>
      <c r="C32" s="35" t="str">
        <f>IF(B32="","",IFERROR(VLOOKUP(B32,DB_Customers!$A:$B,2,0),"❌ Account Not Found"))</f>
        <v/>
      </c>
      <c r="D32" s="42" t="str">
        <f t="shared" ca="1" si="1"/>
        <v/>
      </c>
      <c r="E32" s="32"/>
      <c r="F32" s="31"/>
      <c r="G32" s="41"/>
      <c r="H32" s="56">
        <v>2.5</v>
      </c>
      <c r="I32" s="43" t="str">
        <f t="shared" si="2"/>
        <v/>
      </c>
      <c r="J32" s="43" t="str">
        <f t="shared" si="3"/>
        <v/>
      </c>
      <c r="K32" s="33" t="str">
        <f>IF(B32="","Pending",IF(M32="","⚠️ Enter Code",IF(IFERROR(VLOOKUP(L32,DB_Agents!$B:$F,4,0),"")=TEXT(M32,"0"),"Pending Approval","🔒 WRONG CODE")))</f>
        <v>Pending</v>
      </c>
      <c r="L32" s="30" t="s">
        <v>62</v>
      </c>
      <c r="M32" s="41"/>
      <c r="N32" s="57"/>
    </row>
    <row r="33" spans="1:14" ht="20.100000000000001" customHeight="1" x14ac:dyDescent="0.25">
      <c r="A33" s="30" t="str">
        <f t="shared" si="0"/>
        <v/>
      </c>
      <c r="B33" s="41"/>
      <c r="C33" s="35" t="str">
        <f>IF(B33="","",IFERROR(VLOOKUP(B33,DB_Customers!$A:$B,2,0),"❌ Account Not Found"))</f>
        <v/>
      </c>
      <c r="D33" s="42" t="str">
        <f t="shared" ca="1" si="1"/>
        <v/>
      </c>
      <c r="E33" s="32"/>
      <c r="F33" s="31"/>
      <c r="G33" s="41"/>
      <c r="H33" s="56">
        <v>2.5</v>
      </c>
      <c r="I33" s="43" t="str">
        <f t="shared" si="2"/>
        <v/>
      </c>
      <c r="J33" s="43" t="str">
        <f t="shared" si="3"/>
        <v/>
      </c>
      <c r="K33" s="33" t="str">
        <f>IF(B33="","Pending",IF(M33="","⚠️ Enter Code",IF(IFERROR(VLOOKUP(L33,DB_Agents!$B:$F,4,0),"")=TEXT(M33,"0"),"Pending Approval","🔒 WRONG CODE")))</f>
        <v>Pending</v>
      </c>
      <c r="L33" s="30" t="s">
        <v>62</v>
      </c>
      <c r="M33" s="41"/>
      <c r="N33" s="22"/>
    </row>
    <row r="34" spans="1:14" ht="20.100000000000001" customHeight="1" x14ac:dyDescent="0.25">
      <c r="A34" s="30" t="str">
        <f t="shared" si="0"/>
        <v/>
      </c>
      <c r="B34" s="41"/>
      <c r="C34" s="35" t="str">
        <f>IF(B34="","",IFERROR(VLOOKUP(B34,DB_Customers!$A:$B,2,0),"❌ Account Not Found"))</f>
        <v/>
      </c>
      <c r="D34" s="42" t="str">
        <f t="shared" ca="1" si="1"/>
        <v/>
      </c>
      <c r="E34" s="32"/>
      <c r="F34" s="31"/>
      <c r="G34" s="41"/>
      <c r="H34" s="56">
        <v>2.5</v>
      </c>
      <c r="I34" s="43" t="str">
        <f t="shared" si="2"/>
        <v/>
      </c>
      <c r="J34" s="43" t="str">
        <f t="shared" si="3"/>
        <v/>
      </c>
      <c r="K34" s="33" t="str">
        <f>IF(B34="","Pending",IF(M34="","⚠️ Enter Code",IF(IFERROR(VLOOKUP(L34,DB_Agents!$B:$F,4,0),"")=TEXT(M34,"0"),"Pending Approval","🔒 WRONG CODE")))</f>
        <v>Pending</v>
      </c>
      <c r="L34" s="30" t="s">
        <v>62</v>
      </c>
      <c r="M34" s="41"/>
      <c r="N34" s="57"/>
    </row>
    <row r="35" spans="1:14" ht="20.100000000000001" customHeight="1" x14ac:dyDescent="0.25">
      <c r="A35" s="30" t="str">
        <f t="shared" si="0"/>
        <v/>
      </c>
      <c r="B35" s="41"/>
      <c r="C35" s="35" t="str">
        <f>IF(B35="","",IFERROR(VLOOKUP(B35,DB_Customers!$A:$B,2,0),"❌ Account Not Found"))</f>
        <v/>
      </c>
      <c r="D35" s="42" t="str">
        <f t="shared" ca="1" si="1"/>
        <v/>
      </c>
      <c r="E35" s="32"/>
      <c r="F35" s="31"/>
      <c r="G35" s="41"/>
      <c r="H35" s="56">
        <v>2.5</v>
      </c>
      <c r="I35" s="43" t="str">
        <f t="shared" si="2"/>
        <v/>
      </c>
      <c r="J35" s="43" t="str">
        <f t="shared" si="3"/>
        <v/>
      </c>
      <c r="K35" s="33" t="str">
        <f>IF(B35="","Pending",IF(M35="","⚠️ Enter Code",IF(IFERROR(VLOOKUP(L35,DB_Agents!$B:$F,4,0),"")=TEXT(M35,"0"),"Pending Approval","🔒 WRONG CODE")))</f>
        <v>Pending</v>
      </c>
      <c r="L35" s="30" t="s">
        <v>62</v>
      </c>
      <c r="M35" s="41"/>
      <c r="N35" s="22"/>
    </row>
    <row r="36" spans="1:14" ht="20.100000000000001" customHeight="1" x14ac:dyDescent="0.25">
      <c r="A36" s="30" t="str">
        <f t="shared" si="0"/>
        <v/>
      </c>
      <c r="B36" s="41"/>
      <c r="C36" s="35" t="str">
        <f>IF(B36="","",IFERROR(VLOOKUP(B36,DB_Customers!$A:$B,2,0),"❌ Account Not Found"))</f>
        <v/>
      </c>
      <c r="D36" s="42" t="str">
        <f t="shared" ca="1" si="1"/>
        <v/>
      </c>
      <c r="E36" s="32"/>
      <c r="F36" s="31"/>
      <c r="G36" s="41"/>
      <c r="H36" s="56">
        <v>2.5</v>
      </c>
      <c r="I36" s="43" t="str">
        <f t="shared" si="2"/>
        <v/>
      </c>
      <c r="J36" s="43" t="str">
        <f t="shared" si="3"/>
        <v/>
      </c>
      <c r="K36" s="33" t="str">
        <f>IF(B36="","Pending",IF(M36="","⚠️ Enter Code",IF(IFERROR(VLOOKUP(L36,DB_Agents!$B:$F,4,0),"")=TEXT(M36,"0"),"Pending Approval","🔒 WRONG CODE")))</f>
        <v>Pending</v>
      </c>
      <c r="L36" s="30" t="s">
        <v>62</v>
      </c>
      <c r="M36" s="41"/>
      <c r="N36" s="57"/>
    </row>
    <row r="37" spans="1:14" ht="20.100000000000001" customHeight="1" x14ac:dyDescent="0.25">
      <c r="A37" s="30" t="str">
        <f t="shared" si="0"/>
        <v/>
      </c>
      <c r="B37" s="41"/>
      <c r="C37" s="35" t="str">
        <f>IF(B37="","",IFERROR(VLOOKUP(B37,DB_Customers!$A:$B,2,0),"❌ Account Not Found"))</f>
        <v/>
      </c>
      <c r="D37" s="42" t="str">
        <f t="shared" ca="1" si="1"/>
        <v/>
      </c>
      <c r="E37" s="32"/>
      <c r="F37" s="31"/>
      <c r="G37" s="41"/>
      <c r="H37" s="56">
        <v>2.5</v>
      </c>
      <c r="I37" s="43" t="str">
        <f t="shared" si="2"/>
        <v/>
      </c>
      <c r="J37" s="43" t="str">
        <f t="shared" si="3"/>
        <v/>
      </c>
      <c r="K37" s="33" t="str">
        <f>IF(B37="","Pending",IF(M37="","⚠️ Enter Code",IF(IFERROR(VLOOKUP(L37,DB_Agents!$B:$F,4,0),"")=TEXT(M37,"0"),"Pending Approval","🔒 WRONG CODE")))</f>
        <v>Pending</v>
      </c>
      <c r="L37" s="30" t="s">
        <v>62</v>
      </c>
      <c r="M37" s="41"/>
      <c r="N37" s="22"/>
    </row>
    <row r="38" spans="1:14" ht="20.100000000000001" customHeight="1" x14ac:dyDescent="0.25">
      <c r="A38" s="30" t="str">
        <f t="shared" si="0"/>
        <v/>
      </c>
      <c r="B38" s="41"/>
      <c r="C38" s="35" t="str">
        <f>IF(B38="","",IFERROR(VLOOKUP(B38,DB_Customers!$A:$B,2,0),"❌ Account Not Found"))</f>
        <v/>
      </c>
      <c r="D38" s="42" t="str">
        <f t="shared" ca="1" si="1"/>
        <v/>
      </c>
      <c r="E38" s="32"/>
      <c r="F38" s="31"/>
      <c r="G38" s="41"/>
      <c r="H38" s="56">
        <v>2.5</v>
      </c>
      <c r="I38" s="43" t="str">
        <f t="shared" si="2"/>
        <v/>
      </c>
      <c r="J38" s="43" t="str">
        <f t="shared" si="3"/>
        <v/>
      </c>
      <c r="K38" s="33" t="str">
        <f>IF(B38="","Pending",IF(M38="","⚠️ Enter Code",IF(IFERROR(VLOOKUP(L38,DB_Agents!$B:$F,4,0),"")=TEXT(M38,"0"),"Pending Approval","🔒 WRONG CODE")))</f>
        <v>Pending</v>
      </c>
      <c r="L38" s="30" t="s">
        <v>62</v>
      </c>
      <c r="M38" s="41"/>
      <c r="N38" s="57"/>
    </row>
    <row r="39" spans="1:14" ht="20.100000000000001" customHeight="1" x14ac:dyDescent="0.25">
      <c r="A39" s="30" t="str">
        <f t="shared" si="0"/>
        <v/>
      </c>
      <c r="B39" s="41"/>
      <c r="C39" s="35" t="str">
        <f>IF(B39="","",IFERROR(VLOOKUP(B39,DB_Customers!$A:$B,2,0),"❌ Account Not Found"))</f>
        <v/>
      </c>
      <c r="D39" s="42" t="str">
        <f t="shared" ca="1" si="1"/>
        <v/>
      </c>
      <c r="E39" s="32"/>
      <c r="F39" s="31"/>
      <c r="G39" s="41"/>
      <c r="H39" s="56">
        <v>2.5</v>
      </c>
      <c r="I39" s="43" t="str">
        <f t="shared" si="2"/>
        <v/>
      </c>
      <c r="J39" s="43" t="str">
        <f t="shared" si="3"/>
        <v/>
      </c>
      <c r="K39" s="33" t="str">
        <f>IF(B39="","Pending",IF(M39="","⚠️ Enter Code",IF(IFERROR(VLOOKUP(L39,DB_Agents!$B:$F,4,0),"")=TEXT(M39,"0"),"Pending Approval","🔒 WRONG CODE")))</f>
        <v>Pending</v>
      </c>
      <c r="L39" s="30" t="s">
        <v>62</v>
      </c>
      <c r="M39" s="41"/>
      <c r="N39" s="22"/>
    </row>
    <row r="40" spans="1:14" ht="20.100000000000001" customHeight="1" x14ac:dyDescent="0.25">
      <c r="A40" s="30" t="str">
        <f t="shared" si="0"/>
        <v/>
      </c>
      <c r="B40" s="41"/>
      <c r="C40" s="35" t="str">
        <f>IF(B40="","",IFERROR(VLOOKUP(B40,DB_Customers!$A:$B,2,0),"❌ Account Not Found"))</f>
        <v/>
      </c>
      <c r="D40" s="42" t="str">
        <f t="shared" ca="1" si="1"/>
        <v/>
      </c>
      <c r="E40" s="32"/>
      <c r="F40" s="31"/>
      <c r="G40" s="41"/>
      <c r="H40" s="56">
        <v>2.5</v>
      </c>
      <c r="I40" s="43" t="str">
        <f t="shared" si="2"/>
        <v/>
      </c>
      <c r="J40" s="43" t="str">
        <f t="shared" si="3"/>
        <v/>
      </c>
      <c r="K40" s="33" t="str">
        <f>IF(B40="","Pending",IF(M40="","⚠️ Enter Code",IF(IFERROR(VLOOKUP(L40,DB_Agents!$B:$F,4,0),"")=TEXT(M40,"0"),"Pending Approval","🔒 WRONG CODE")))</f>
        <v>Pending</v>
      </c>
      <c r="L40" s="30" t="s">
        <v>62</v>
      </c>
      <c r="M40" s="41"/>
      <c r="N40" s="57"/>
    </row>
    <row r="41" spans="1:14" ht="20.100000000000001" customHeight="1" x14ac:dyDescent="0.25">
      <c r="A41" s="30" t="str">
        <f t="shared" si="0"/>
        <v/>
      </c>
      <c r="B41" s="41"/>
      <c r="C41" s="35" t="str">
        <f>IF(B41="","",IFERROR(VLOOKUP(B41,DB_Customers!$A:$B,2,0),"❌ Account Not Found"))</f>
        <v/>
      </c>
      <c r="D41" s="42" t="str">
        <f t="shared" ca="1" si="1"/>
        <v/>
      </c>
      <c r="E41" s="32"/>
      <c r="F41" s="31"/>
      <c r="G41" s="41"/>
      <c r="H41" s="56">
        <v>2.5</v>
      </c>
      <c r="I41" s="43" t="str">
        <f t="shared" si="2"/>
        <v/>
      </c>
      <c r="J41" s="43" t="str">
        <f t="shared" si="3"/>
        <v/>
      </c>
      <c r="K41" s="33" t="str">
        <f>IF(B41="","Pending",IF(M41="","⚠️ Enter Code",IF(IFERROR(VLOOKUP(L41,DB_Agents!$B:$F,4,0),"")=TEXT(M41,"0"),"Pending Approval","🔒 WRONG CODE")))</f>
        <v>Pending</v>
      </c>
      <c r="L41" s="30" t="s">
        <v>62</v>
      </c>
      <c r="M41" s="41"/>
      <c r="N41" s="22"/>
    </row>
    <row r="42" spans="1:14" ht="20.100000000000001" customHeight="1" x14ac:dyDescent="0.25">
      <c r="A42" s="30" t="str">
        <f t="shared" si="0"/>
        <v/>
      </c>
      <c r="B42" s="41"/>
      <c r="C42" s="35" t="str">
        <f>IF(B42="","",IFERROR(VLOOKUP(B42,DB_Customers!$A:$B,2,0),"❌ Account Not Found"))</f>
        <v/>
      </c>
      <c r="D42" s="42" t="str">
        <f t="shared" ca="1" si="1"/>
        <v/>
      </c>
      <c r="E42" s="32"/>
      <c r="F42" s="31"/>
      <c r="G42" s="41"/>
      <c r="H42" s="56">
        <v>2.5</v>
      </c>
      <c r="I42" s="43" t="str">
        <f t="shared" si="2"/>
        <v/>
      </c>
      <c r="J42" s="43" t="str">
        <f t="shared" si="3"/>
        <v/>
      </c>
      <c r="K42" s="33" t="str">
        <f>IF(B42="","Pending",IF(M42="","⚠️ Enter Code",IF(IFERROR(VLOOKUP(L42,DB_Agents!$B:$F,4,0),"")=TEXT(M42,"0"),"Pending Approval","🔒 WRONG CODE")))</f>
        <v>Pending</v>
      </c>
      <c r="L42" s="30" t="s">
        <v>62</v>
      </c>
      <c r="M42" s="41"/>
      <c r="N42" s="57"/>
    </row>
    <row r="43" spans="1:14" ht="20.100000000000001" customHeight="1" x14ac:dyDescent="0.25">
      <c r="A43" s="30" t="str">
        <f t="shared" si="0"/>
        <v/>
      </c>
      <c r="B43" s="41"/>
      <c r="C43" s="35" t="str">
        <f>IF(B43="","",IFERROR(VLOOKUP(B43,DB_Customers!$A:$B,2,0),"❌ Account Not Found"))</f>
        <v/>
      </c>
      <c r="D43" s="42" t="str">
        <f t="shared" ca="1" si="1"/>
        <v/>
      </c>
      <c r="E43" s="32"/>
      <c r="F43" s="31"/>
      <c r="G43" s="41"/>
      <c r="H43" s="56">
        <v>2.5</v>
      </c>
      <c r="I43" s="43" t="str">
        <f t="shared" si="2"/>
        <v/>
      </c>
      <c r="J43" s="43" t="str">
        <f t="shared" si="3"/>
        <v/>
      </c>
      <c r="K43" s="33" t="str">
        <f>IF(B43="","Pending",IF(M43="","⚠️ Enter Code",IF(IFERROR(VLOOKUP(L43,DB_Agents!$B:$F,4,0),"")=TEXT(M43,"0"),"Pending Approval","🔒 WRONG CODE")))</f>
        <v>Pending</v>
      </c>
      <c r="L43" s="30" t="s">
        <v>62</v>
      </c>
      <c r="M43" s="41"/>
      <c r="N43" s="22"/>
    </row>
    <row r="44" spans="1:14" ht="20.100000000000001" customHeight="1" x14ac:dyDescent="0.25">
      <c r="A44" s="30" t="str">
        <f t="shared" si="0"/>
        <v/>
      </c>
      <c r="B44" s="41"/>
      <c r="C44" s="35" t="str">
        <f>IF(B44="","",IFERROR(VLOOKUP(B44,DB_Customers!$A:$B,2,0),"❌ Account Not Found"))</f>
        <v/>
      </c>
      <c r="D44" s="42" t="str">
        <f t="shared" ca="1" si="1"/>
        <v/>
      </c>
      <c r="E44" s="32"/>
      <c r="F44" s="31"/>
      <c r="G44" s="41"/>
      <c r="H44" s="56">
        <v>2.5</v>
      </c>
      <c r="I44" s="43" t="str">
        <f t="shared" si="2"/>
        <v/>
      </c>
      <c r="J44" s="43" t="str">
        <f t="shared" si="3"/>
        <v/>
      </c>
      <c r="K44" s="33" t="str">
        <f>IF(B44="","Pending",IF(M44="","⚠️ Enter Code",IF(IFERROR(VLOOKUP(L44,DB_Agents!$B:$F,4,0),"")=TEXT(M44,"0"),"Pending Approval","🔒 WRONG CODE")))</f>
        <v>Pending</v>
      </c>
      <c r="L44" s="30" t="s">
        <v>62</v>
      </c>
      <c r="M44" s="41"/>
      <c r="N44" s="57"/>
    </row>
    <row r="45" spans="1:14" ht="20.100000000000001" customHeight="1" x14ac:dyDescent="0.25">
      <c r="A45" s="30" t="str">
        <f t="shared" si="0"/>
        <v/>
      </c>
      <c r="B45" s="41"/>
      <c r="C45" s="35" t="str">
        <f>IF(B45="","",IFERROR(VLOOKUP(B45,DB_Customers!$A:$B,2,0),"❌ Account Not Found"))</f>
        <v/>
      </c>
      <c r="D45" s="42" t="str">
        <f t="shared" ca="1" si="1"/>
        <v/>
      </c>
      <c r="E45" s="32"/>
      <c r="F45" s="31"/>
      <c r="G45" s="41"/>
      <c r="H45" s="56">
        <v>2.5</v>
      </c>
      <c r="I45" s="43" t="str">
        <f t="shared" si="2"/>
        <v/>
      </c>
      <c r="J45" s="43" t="str">
        <f t="shared" si="3"/>
        <v/>
      </c>
      <c r="K45" s="33" t="str">
        <f>IF(B45="","Pending",IF(M45="","⚠️ Enter Code",IF(IFERROR(VLOOKUP(L45,DB_Agents!$B:$F,4,0),"")=TEXT(M45,"0"),"Pending Approval","🔒 WRONG CODE")))</f>
        <v>Pending</v>
      </c>
      <c r="L45" s="30" t="s">
        <v>62</v>
      </c>
      <c r="M45" s="41"/>
      <c r="N45" s="22"/>
    </row>
    <row r="46" spans="1:14" ht="20.100000000000001" customHeight="1" x14ac:dyDescent="0.25">
      <c r="A46" s="30" t="str">
        <f t="shared" ref="A46:A77" si="4">IF(B46="","",IF(C46="❌ Account Not Found","INVALID","LN"&amp;TEXT(D46,"YYYYMMDD")&amp;TEXT(ROW()-13,"0000")))</f>
        <v/>
      </c>
      <c r="B46" s="41"/>
      <c r="C46" s="35" t="str">
        <f>IF(B46="","",IFERROR(VLOOKUP(B46,DB_Customers!$A:$B,2,0),"❌ Account Not Found"))</f>
        <v/>
      </c>
      <c r="D46" s="42" t="str">
        <f t="shared" ref="D46:D77" ca="1" si="5">IF(B46="","",TODAY())</f>
        <v/>
      </c>
      <c r="E46" s="32"/>
      <c r="F46" s="31"/>
      <c r="G46" s="41"/>
      <c r="H46" s="56">
        <v>2.5</v>
      </c>
      <c r="I46" s="43" t="str">
        <f t="shared" ref="I46:I77" si="6">IF(E46="","",E46+(E46*H46/100*G46))</f>
        <v/>
      </c>
      <c r="J46" s="43" t="str">
        <f t="shared" ref="J46:J77" si="7">IFERROR(I46/G46,"")</f>
        <v/>
      </c>
      <c r="K46" s="33" t="str">
        <f>IF(B46="","Pending",IF(M46="","⚠️ Enter Code",IF(IFERROR(VLOOKUP(L46,DB_Agents!$B:$F,4,0),"")=TEXT(M46,"0"),"Pending Approval","🔒 WRONG CODE")))</f>
        <v>Pending</v>
      </c>
      <c r="L46" s="30" t="s">
        <v>62</v>
      </c>
      <c r="M46" s="41"/>
      <c r="N46" s="57"/>
    </row>
    <row r="47" spans="1:14" ht="20.100000000000001" customHeight="1" x14ac:dyDescent="0.25">
      <c r="A47" s="30" t="str">
        <f t="shared" si="4"/>
        <v/>
      </c>
      <c r="B47" s="41"/>
      <c r="C47" s="35" t="str">
        <f>IF(B47="","",IFERROR(VLOOKUP(B47,DB_Customers!$A:$B,2,0),"❌ Account Not Found"))</f>
        <v/>
      </c>
      <c r="D47" s="42" t="str">
        <f t="shared" ca="1" si="5"/>
        <v/>
      </c>
      <c r="E47" s="32"/>
      <c r="F47" s="31"/>
      <c r="G47" s="41"/>
      <c r="H47" s="56">
        <v>2.5</v>
      </c>
      <c r="I47" s="43" t="str">
        <f t="shared" si="6"/>
        <v/>
      </c>
      <c r="J47" s="43" t="str">
        <f t="shared" si="7"/>
        <v/>
      </c>
      <c r="K47" s="33" t="str">
        <f>IF(B47="","Pending",IF(M47="","⚠️ Enter Code",IF(IFERROR(VLOOKUP(L47,DB_Agents!$B:$F,4,0),"")=TEXT(M47,"0"),"Pending Approval","🔒 WRONG CODE")))</f>
        <v>Pending</v>
      </c>
      <c r="L47" s="30" t="s">
        <v>62</v>
      </c>
      <c r="M47" s="41"/>
      <c r="N47" s="22"/>
    </row>
    <row r="48" spans="1:14" ht="20.100000000000001" customHeight="1" x14ac:dyDescent="0.25">
      <c r="A48" s="30" t="str">
        <f t="shared" si="4"/>
        <v/>
      </c>
      <c r="B48" s="41"/>
      <c r="C48" s="35" t="str">
        <f>IF(B48="","",IFERROR(VLOOKUP(B48,DB_Customers!$A:$B,2,0),"❌ Account Not Found"))</f>
        <v/>
      </c>
      <c r="D48" s="42" t="str">
        <f t="shared" ca="1" si="5"/>
        <v/>
      </c>
      <c r="E48" s="32"/>
      <c r="F48" s="31"/>
      <c r="G48" s="41"/>
      <c r="H48" s="56">
        <v>2.5</v>
      </c>
      <c r="I48" s="43" t="str">
        <f t="shared" si="6"/>
        <v/>
      </c>
      <c r="J48" s="43" t="str">
        <f t="shared" si="7"/>
        <v/>
      </c>
      <c r="K48" s="33" t="str">
        <f>IF(B48="","Pending",IF(M48="","⚠️ Enter Code",IF(IFERROR(VLOOKUP(L48,DB_Agents!$B:$F,4,0),"")=TEXT(M48,"0"),"Pending Approval","🔒 WRONG CODE")))</f>
        <v>Pending</v>
      </c>
      <c r="L48" s="30" t="s">
        <v>62</v>
      </c>
      <c r="M48" s="41"/>
      <c r="N48" s="57"/>
    </row>
    <row r="49" spans="1:14" ht="20.100000000000001" customHeight="1" x14ac:dyDescent="0.25">
      <c r="A49" s="30" t="str">
        <f t="shared" si="4"/>
        <v/>
      </c>
      <c r="B49" s="41"/>
      <c r="C49" s="35" t="str">
        <f>IF(B49="","",IFERROR(VLOOKUP(B49,DB_Customers!$A:$B,2,0),"❌ Account Not Found"))</f>
        <v/>
      </c>
      <c r="D49" s="42" t="str">
        <f t="shared" ca="1" si="5"/>
        <v/>
      </c>
      <c r="E49" s="32"/>
      <c r="F49" s="31"/>
      <c r="G49" s="41"/>
      <c r="H49" s="56">
        <v>2.5</v>
      </c>
      <c r="I49" s="43" t="str">
        <f t="shared" si="6"/>
        <v/>
      </c>
      <c r="J49" s="43" t="str">
        <f t="shared" si="7"/>
        <v/>
      </c>
      <c r="K49" s="33" t="str">
        <f>IF(B49="","Pending",IF(M49="","⚠️ Enter Code",IF(IFERROR(VLOOKUP(L49,DB_Agents!$B:$F,4,0),"")=TEXT(M49,"0"),"Pending Approval","🔒 WRONG CODE")))</f>
        <v>Pending</v>
      </c>
      <c r="L49" s="30" t="s">
        <v>62</v>
      </c>
      <c r="M49" s="41"/>
      <c r="N49" s="22"/>
    </row>
    <row r="50" spans="1:14" ht="20.100000000000001" customHeight="1" x14ac:dyDescent="0.25">
      <c r="A50" s="30" t="str">
        <f t="shared" si="4"/>
        <v/>
      </c>
      <c r="B50" s="41"/>
      <c r="C50" s="35" t="str">
        <f>IF(B50="","",IFERROR(VLOOKUP(B50,DB_Customers!$A:$B,2,0),"❌ Account Not Found"))</f>
        <v/>
      </c>
      <c r="D50" s="42" t="str">
        <f t="shared" ca="1" si="5"/>
        <v/>
      </c>
      <c r="E50" s="32"/>
      <c r="F50" s="31"/>
      <c r="G50" s="41"/>
      <c r="H50" s="56">
        <v>2.5</v>
      </c>
      <c r="I50" s="43" t="str">
        <f t="shared" si="6"/>
        <v/>
      </c>
      <c r="J50" s="43" t="str">
        <f t="shared" si="7"/>
        <v/>
      </c>
      <c r="K50" s="33" t="str">
        <f>IF(B50="","Pending",IF(M50="","⚠️ Enter Code",IF(IFERROR(VLOOKUP(L50,DB_Agents!$B:$F,4,0),"")=TEXT(M50,"0"),"Pending Approval","🔒 WRONG CODE")))</f>
        <v>Pending</v>
      </c>
      <c r="L50" s="30" t="s">
        <v>62</v>
      </c>
      <c r="M50" s="41"/>
      <c r="N50" s="57"/>
    </row>
    <row r="51" spans="1:14" ht="20.100000000000001" customHeight="1" x14ac:dyDescent="0.25">
      <c r="A51" s="30" t="str">
        <f t="shared" si="4"/>
        <v/>
      </c>
      <c r="B51" s="41"/>
      <c r="C51" s="35" t="str">
        <f>IF(B51="","",IFERROR(VLOOKUP(B51,DB_Customers!$A:$B,2,0),"❌ Account Not Found"))</f>
        <v/>
      </c>
      <c r="D51" s="42" t="str">
        <f t="shared" ca="1" si="5"/>
        <v/>
      </c>
      <c r="E51" s="32"/>
      <c r="F51" s="31"/>
      <c r="G51" s="41"/>
      <c r="H51" s="56">
        <v>2.5</v>
      </c>
      <c r="I51" s="43" t="str">
        <f t="shared" si="6"/>
        <v/>
      </c>
      <c r="J51" s="43" t="str">
        <f t="shared" si="7"/>
        <v/>
      </c>
      <c r="K51" s="33" t="str">
        <f>IF(B51="","Pending",IF(M51="","⚠️ Enter Code",IF(IFERROR(VLOOKUP(L51,DB_Agents!$B:$F,4,0),"")=TEXT(M51,"0"),"Pending Approval","🔒 WRONG CODE")))</f>
        <v>Pending</v>
      </c>
      <c r="L51" s="30" t="s">
        <v>62</v>
      </c>
      <c r="M51" s="41"/>
      <c r="N51" s="22"/>
    </row>
    <row r="52" spans="1:14" ht="20.100000000000001" customHeight="1" x14ac:dyDescent="0.25">
      <c r="A52" s="30" t="str">
        <f t="shared" si="4"/>
        <v/>
      </c>
      <c r="B52" s="41"/>
      <c r="C52" s="35" t="str">
        <f>IF(B52="","",IFERROR(VLOOKUP(B52,DB_Customers!$A:$B,2,0),"❌ Account Not Found"))</f>
        <v/>
      </c>
      <c r="D52" s="42" t="str">
        <f t="shared" ca="1" si="5"/>
        <v/>
      </c>
      <c r="E52" s="32"/>
      <c r="F52" s="31"/>
      <c r="G52" s="41"/>
      <c r="H52" s="56">
        <v>2.5</v>
      </c>
      <c r="I52" s="43" t="str">
        <f t="shared" si="6"/>
        <v/>
      </c>
      <c r="J52" s="43" t="str">
        <f t="shared" si="7"/>
        <v/>
      </c>
      <c r="K52" s="33" t="str">
        <f>IF(B52="","Pending",IF(M52="","⚠️ Enter Code",IF(IFERROR(VLOOKUP(L52,DB_Agents!$B:$F,4,0),"")=TEXT(M52,"0"),"Pending Approval","🔒 WRONG CODE")))</f>
        <v>Pending</v>
      </c>
      <c r="L52" s="30" t="s">
        <v>62</v>
      </c>
      <c r="M52" s="41"/>
      <c r="N52" s="57"/>
    </row>
    <row r="53" spans="1:14" ht="20.100000000000001" customHeight="1" x14ac:dyDescent="0.25">
      <c r="A53" s="30" t="str">
        <f t="shared" si="4"/>
        <v/>
      </c>
      <c r="B53" s="41"/>
      <c r="C53" s="35" t="str">
        <f>IF(B53="","",IFERROR(VLOOKUP(B53,DB_Customers!$A:$B,2,0),"❌ Account Not Found"))</f>
        <v/>
      </c>
      <c r="D53" s="42" t="str">
        <f t="shared" ca="1" si="5"/>
        <v/>
      </c>
      <c r="E53" s="32"/>
      <c r="F53" s="31"/>
      <c r="G53" s="41"/>
      <c r="H53" s="56">
        <v>2.5</v>
      </c>
      <c r="I53" s="43" t="str">
        <f t="shared" si="6"/>
        <v/>
      </c>
      <c r="J53" s="43" t="str">
        <f t="shared" si="7"/>
        <v/>
      </c>
      <c r="K53" s="33" t="str">
        <f>IF(B53="","Pending",IF(M53="","⚠️ Enter Code",IF(IFERROR(VLOOKUP(L53,DB_Agents!$B:$F,4,0),"")=TEXT(M53,"0"),"Pending Approval","🔒 WRONG CODE")))</f>
        <v>Pending</v>
      </c>
      <c r="L53" s="30" t="s">
        <v>62</v>
      </c>
      <c r="M53" s="41"/>
      <c r="N53" s="22"/>
    </row>
    <row r="54" spans="1:14" ht="20.100000000000001" customHeight="1" x14ac:dyDescent="0.25">
      <c r="A54" s="30" t="str">
        <f t="shared" si="4"/>
        <v/>
      </c>
      <c r="B54" s="41"/>
      <c r="C54" s="35" t="str">
        <f>IF(B54="","",IFERROR(VLOOKUP(B54,DB_Customers!$A:$B,2,0),"❌ Account Not Found"))</f>
        <v/>
      </c>
      <c r="D54" s="42" t="str">
        <f t="shared" ca="1" si="5"/>
        <v/>
      </c>
      <c r="E54" s="32"/>
      <c r="F54" s="31"/>
      <c r="G54" s="41"/>
      <c r="H54" s="56">
        <v>2.5</v>
      </c>
      <c r="I54" s="43" t="str">
        <f t="shared" si="6"/>
        <v/>
      </c>
      <c r="J54" s="43" t="str">
        <f t="shared" si="7"/>
        <v/>
      </c>
      <c r="K54" s="33" t="str">
        <f>IF(B54="","Pending",IF(M54="","⚠️ Enter Code",IF(IFERROR(VLOOKUP(L54,DB_Agents!$B:$F,4,0),"")=TEXT(M54,"0"),"Pending Approval","🔒 WRONG CODE")))</f>
        <v>Pending</v>
      </c>
      <c r="L54" s="30" t="s">
        <v>62</v>
      </c>
      <c r="M54" s="41"/>
      <c r="N54" s="57"/>
    </row>
    <row r="55" spans="1:14" ht="20.100000000000001" customHeight="1" x14ac:dyDescent="0.25">
      <c r="A55" s="30" t="str">
        <f t="shared" si="4"/>
        <v/>
      </c>
      <c r="B55" s="41"/>
      <c r="C55" s="35" t="str">
        <f>IF(B55="","",IFERROR(VLOOKUP(B55,DB_Customers!$A:$B,2,0),"❌ Account Not Found"))</f>
        <v/>
      </c>
      <c r="D55" s="42" t="str">
        <f t="shared" ca="1" si="5"/>
        <v/>
      </c>
      <c r="E55" s="32"/>
      <c r="F55" s="31"/>
      <c r="G55" s="41"/>
      <c r="H55" s="56">
        <v>2.5</v>
      </c>
      <c r="I55" s="43" t="str">
        <f t="shared" si="6"/>
        <v/>
      </c>
      <c r="J55" s="43" t="str">
        <f t="shared" si="7"/>
        <v/>
      </c>
      <c r="K55" s="33" t="str">
        <f>IF(B55="","Pending",IF(M55="","⚠️ Enter Code",IF(IFERROR(VLOOKUP(L55,DB_Agents!$B:$F,4,0),"")=TEXT(M55,"0"),"Pending Approval","🔒 WRONG CODE")))</f>
        <v>Pending</v>
      </c>
      <c r="L55" s="30" t="s">
        <v>62</v>
      </c>
      <c r="M55" s="41"/>
      <c r="N55" s="22"/>
    </row>
    <row r="56" spans="1:14" ht="20.100000000000001" customHeight="1" x14ac:dyDescent="0.25">
      <c r="A56" s="30" t="str">
        <f t="shared" si="4"/>
        <v/>
      </c>
      <c r="B56" s="41"/>
      <c r="C56" s="35" t="str">
        <f>IF(B56="","",IFERROR(VLOOKUP(B56,DB_Customers!$A:$B,2,0),"❌ Account Not Found"))</f>
        <v/>
      </c>
      <c r="D56" s="42" t="str">
        <f t="shared" ca="1" si="5"/>
        <v/>
      </c>
      <c r="E56" s="32"/>
      <c r="F56" s="31"/>
      <c r="G56" s="41"/>
      <c r="H56" s="56">
        <v>2.5</v>
      </c>
      <c r="I56" s="43" t="str">
        <f t="shared" si="6"/>
        <v/>
      </c>
      <c r="J56" s="43" t="str">
        <f t="shared" si="7"/>
        <v/>
      </c>
      <c r="K56" s="33" t="str">
        <f>IF(B56="","Pending",IF(M56="","⚠️ Enter Code",IF(IFERROR(VLOOKUP(L56,DB_Agents!$B:$F,4,0),"")=TEXT(M56,"0"),"Pending Approval","🔒 WRONG CODE")))</f>
        <v>Pending</v>
      </c>
      <c r="L56" s="30" t="s">
        <v>62</v>
      </c>
      <c r="M56" s="41"/>
      <c r="N56" s="57"/>
    </row>
    <row r="57" spans="1:14" ht="20.100000000000001" customHeight="1" x14ac:dyDescent="0.25">
      <c r="A57" s="30" t="str">
        <f t="shared" si="4"/>
        <v/>
      </c>
      <c r="B57" s="41"/>
      <c r="C57" s="35" t="str">
        <f>IF(B57="","",IFERROR(VLOOKUP(B57,DB_Customers!$A:$B,2,0),"❌ Account Not Found"))</f>
        <v/>
      </c>
      <c r="D57" s="42" t="str">
        <f t="shared" ca="1" si="5"/>
        <v/>
      </c>
      <c r="E57" s="32"/>
      <c r="F57" s="31"/>
      <c r="G57" s="41"/>
      <c r="H57" s="56">
        <v>2.5</v>
      </c>
      <c r="I57" s="43" t="str">
        <f t="shared" si="6"/>
        <v/>
      </c>
      <c r="J57" s="43" t="str">
        <f t="shared" si="7"/>
        <v/>
      </c>
      <c r="K57" s="33" t="str">
        <f>IF(B57="","Pending",IF(M57="","⚠️ Enter Code",IF(IFERROR(VLOOKUP(L57,DB_Agents!$B:$F,4,0),"")=TEXT(M57,"0"),"Pending Approval","🔒 WRONG CODE")))</f>
        <v>Pending</v>
      </c>
      <c r="L57" s="30" t="s">
        <v>62</v>
      </c>
      <c r="M57" s="41"/>
      <c r="N57" s="22"/>
    </row>
    <row r="58" spans="1:14" ht="20.100000000000001" customHeight="1" x14ac:dyDescent="0.25">
      <c r="A58" s="30" t="str">
        <f t="shared" si="4"/>
        <v/>
      </c>
      <c r="B58" s="41"/>
      <c r="C58" s="35" t="str">
        <f>IF(B58="","",IFERROR(VLOOKUP(B58,DB_Customers!$A:$B,2,0),"❌ Account Not Found"))</f>
        <v/>
      </c>
      <c r="D58" s="42" t="str">
        <f t="shared" ca="1" si="5"/>
        <v/>
      </c>
      <c r="E58" s="32"/>
      <c r="F58" s="31"/>
      <c r="G58" s="41"/>
      <c r="H58" s="56">
        <v>2.5</v>
      </c>
      <c r="I58" s="43" t="str">
        <f t="shared" si="6"/>
        <v/>
      </c>
      <c r="J58" s="43" t="str">
        <f t="shared" si="7"/>
        <v/>
      </c>
      <c r="K58" s="33" t="str">
        <f>IF(B58="","Pending",IF(M58="","⚠️ Enter Code",IF(IFERROR(VLOOKUP(L58,DB_Agents!$B:$F,4,0),"")=TEXT(M58,"0"),"Pending Approval","🔒 WRONG CODE")))</f>
        <v>Pending</v>
      </c>
      <c r="L58" s="30" t="s">
        <v>62</v>
      </c>
      <c r="M58" s="41"/>
      <c r="N58" s="57"/>
    </row>
    <row r="59" spans="1:14" ht="20.100000000000001" customHeight="1" x14ac:dyDescent="0.25">
      <c r="A59" s="30" t="str">
        <f t="shared" si="4"/>
        <v/>
      </c>
      <c r="B59" s="41"/>
      <c r="C59" s="35" t="str">
        <f>IF(B59="","",IFERROR(VLOOKUP(B59,DB_Customers!$A:$B,2,0),"❌ Account Not Found"))</f>
        <v/>
      </c>
      <c r="D59" s="42" t="str">
        <f t="shared" ca="1" si="5"/>
        <v/>
      </c>
      <c r="E59" s="32"/>
      <c r="F59" s="31"/>
      <c r="G59" s="41"/>
      <c r="H59" s="56">
        <v>2.5</v>
      </c>
      <c r="I59" s="43" t="str">
        <f t="shared" si="6"/>
        <v/>
      </c>
      <c r="J59" s="43" t="str">
        <f t="shared" si="7"/>
        <v/>
      </c>
      <c r="K59" s="33" t="str">
        <f>IF(B59="","Pending",IF(M59="","⚠️ Enter Code",IF(IFERROR(VLOOKUP(L59,DB_Agents!$B:$F,4,0),"")=TEXT(M59,"0"),"Pending Approval","🔒 WRONG CODE")))</f>
        <v>Pending</v>
      </c>
      <c r="L59" s="30" t="s">
        <v>62</v>
      </c>
      <c r="M59" s="41"/>
      <c r="N59" s="22"/>
    </row>
    <row r="60" spans="1:14" ht="20.100000000000001" customHeight="1" x14ac:dyDescent="0.25">
      <c r="A60" s="30" t="str">
        <f t="shared" si="4"/>
        <v/>
      </c>
      <c r="B60" s="41"/>
      <c r="C60" s="35" t="str">
        <f>IF(B60="","",IFERROR(VLOOKUP(B60,DB_Customers!$A:$B,2,0),"❌ Account Not Found"))</f>
        <v/>
      </c>
      <c r="D60" s="42" t="str">
        <f t="shared" ca="1" si="5"/>
        <v/>
      </c>
      <c r="E60" s="32"/>
      <c r="F60" s="31"/>
      <c r="G60" s="41"/>
      <c r="H60" s="56">
        <v>2.5</v>
      </c>
      <c r="I60" s="43" t="str">
        <f t="shared" si="6"/>
        <v/>
      </c>
      <c r="J60" s="43" t="str">
        <f t="shared" si="7"/>
        <v/>
      </c>
      <c r="K60" s="33" t="str">
        <f>IF(B60="","Pending",IF(M60="","⚠️ Enter Code",IF(IFERROR(VLOOKUP(L60,DB_Agents!$B:$F,4,0),"")=TEXT(M60,"0"),"Pending Approval","🔒 WRONG CODE")))</f>
        <v>Pending</v>
      </c>
      <c r="L60" s="30" t="s">
        <v>62</v>
      </c>
      <c r="M60" s="41"/>
      <c r="N60" s="57"/>
    </row>
    <row r="61" spans="1:14" ht="20.100000000000001" customHeight="1" x14ac:dyDescent="0.25">
      <c r="A61" s="30" t="str">
        <f t="shared" si="4"/>
        <v/>
      </c>
      <c r="B61" s="41"/>
      <c r="C61" s="35" t="str">
        <f>IF(B61="","",IFERROR(VLOOKUP(B61,DB_Customers!$A:$B,2,0),"❌ Account Not Found"))</f>
        <v/>
      </c>
      <c r="D61" s="42" t="str">
        <f t="shared" ca="1" si="5"/>
        <v/>
      </c>
      <c r="E61" s="32"/>
      <c r="F61" s="31"/>
      <c r="G61" s="41"/>
      <c r="H61" s="56">
        <v>2.5</v>
      </c>
      <c r="I61" s="43" t="str">
        <f t="shared" si="6"/>
        <v/>
      </c>
      <c r="J61" s="43" t="str">
        <f t="shared" si="7"/>
        <v/>
      </c>
      <c r="K61" s="33" t="str">
        <f>IF(B61="","Pending",IF(M61="","⚠️ Enter Code",IF(IFERROR(VLOOKUP(L61,DB_Agents!$B:$F,4,0),"")=TEXT(M61,"0"),"Pending Approval","🔒 WRONG CODE")))</f>
        <v>Pending</v>
      </c>
      <c r="L61" s="30" t="s">
        <v>62</v>
      </c>
      <c r="M61" s="41"/>
      <c r="N61" s="22"/>
    </row>
    <row r="62" spans="1:14" ht="20.100000000000001" customHeight="1" x14ac:dyDescent="0.25">
      <c r="A62" s="30" t="str">
        <f t="shared" si="4"/>
        <v/>
      </c>
      <c r="B62" s="41"/>
      <c r="C62" s="35" t="str">
        <f>IF(B62="","",IFERROR(VLOOKUP(B62,DB_Customers!$A:$B,2,0),"❌ Account Not Found"))</f>
        <v/>
      </c>
      <c r="D62" s="42" t="str">
        <f t="shared" ca="1" si="5"/>
        <v/>
      </c>
      <c r="E62" s="32"/>
      <c r="F62" s="31"/>
      <c r="G62" s="41"/>
      <c r="H62" s="56">
        <v>2.5</v>
      </c>
      <c r="I62" s="43" t="str">
        <f t="shared" si="6"/>
        <v/>
      </c>
      <c r="J62" s="43" t="str">
        <f t="shared" si="7"/>
        <v/>
      </c>
      <c r="K62" s="33" t="str">
        <f>IF(B62="","Pending",IF(M62="","⚠️ Enter Code",IF(IFERROR(VLOOKUP(L62,DB_Agents!$B:$F,4,0),"")=TEXT(M62,"0"),"Pending Approval","🔒 WRONG CODE")))</f>
        <v>Pending</v>
      </c>
      <c r="L62" s="30" t="s">
        <v>62</v>
      </c>
      <c r="M62" s="41"/>
      <c r="N62" s="57"/>
    </row>
    <row r="63" spans="1:14" ht="20.100000000000001" customHeight="1" x14ac:dyDescent="0.25">
      <c r="A63" s="30" t="str">
        <f t="shared" si="4"/>
        <v/>
      </c>
      <c r="B63" s="41"/>
      <c r="C63" s="35" t="str">
        <f>IF(B63="","",IFERROR(VLOOKUP(B63,DB_Customers!$A:$B,2,0),"❌ Account Not Found"))</f>
        <v/>
      </c>
      <c r="D63" s="42" t="str">
        <f t="shared" ca="1" si="5"/>
        <v/>
      </c>
      <c r="E63" s="32"/>
      <c r="F63" s="31"/>
      <c r="G63" s="41"/>
      <c r="H63" s="56">
        <v>2.5</v>
      </c>
      <c r="I63" s="43" t="str">
        <f t="shared" si="6"/>
        <v/>
      </c>
      <c r="J63" s="43" t="str">
        <f t="shared" si="7"/>
        <v/>
      </c>
      <c r="K63" s="33" t="str">
        <f>IF(B63="","Pending",IF(M63="","⚠️ Enter Code",IF(IFERROR(VLOOKUP(L63,DB_Agents!$B:$F,4,0),"")=TEXT(M63,"0"),"Pending Approval","🔒 WRONG CODE")))</f>
        <v>Pending</v>
      </c>
      <c r="L63" s="30" t="s">
        <v>62</v>
      </c>
      <c r="M63" s="41"/>
      <c r="N63" s="22"/>
    </row>
    <row r="64" spans="1:14" ht="20.100000000000001" customHeight="1" x14ac:dyDescent="0.25">
      <c r="A64" s="30" t="str">
        <f t="shared" si="4"/>
        <v/>
      </c>
      <c r="B64" s="41"/>
      <c r="C64" s="35" t="str">
        <f>IF(B64="","",IFERROR(VLOOKUP(B64,DB_Customers!$A:$B,2,0),"❌ Account Not Found"))</f>
        <v/>
      </c>
      <c r="D64" s="42" t="str">
        <f t="shared" ca="1" si="5"/>
        <v/>
      </c>
      <c r="E64" s="32"/>
      <c r="F64" s="31"/>
      <c r="G64" s="41"/>
      <c r="H64" s="56">
        <v>2.5</v>
      </c>
      <c r="I64" s="43" t="str">
        <f t="shared" si="6"/>
        <v/>
      </c>
      <c r="J64" s="43" t="str">
        <f t="shared" si="7"/>
        <v/>
      </c>
      <c r="K64" s="33" t="str">
        <f>IF(B64="","Pending",IF(M64="","⚠️ Enter Code",IF(IFERROR(VLOOKUP(L64,DB_Agents!$B:$F,4,0),"")=TEXT(M64,"0"),"Pending Approval","🔒 WRONG CODE")))</f>
        <v>Pending</v>
      </c>
      <c r="L64" s="30" t="s">
        <v>62</v>
      </c>
      <c r="M64" s="41"/>
      <c r="N64" s="57"/>
    </row>
    <row r="65" spans="1:14" ht="20.100000000000001" customHeight="1" x14ac:dyDescent="0.25">
      <c r="A65" s="30" t="str">
        <f t="shared" si="4"/>
        <v/>
      </c>
      <c r="B65" s="41"/>
      <c r="C65" s="35" t="str">
        <f>IF(B65="","",IFERROR(VLOOKUP(B65,DB_Customers!$A:$B,2,0),"❌ Account Not Found"))</f>
        <v/>
      </c>
      <c r="D65" s="42" t="str">
        <f t="shared" ca="1" si="5"/>
        <v/>
      </c>
      <c r="E65" s="32"/>
      <c r="F65" s="31"/>
      <c r="G65" s="41"/>
      <c r="H65" s="56">
        <v>2.5</v>
      </c>
      <c r="I65" s="43" t="str">
        <f t="shared" si="6"/>
        <v/>
      </c>
      <c r="J65" s="43" t="str">
        <f t="shared" si="7"/>
        <v/>
      </c>
      <c r="K65" s="33" t="str">
        <f>IF(B65="","Pending",IF(M65="","⚠️ Enter Code",IF(IFERROR(VLOOKUP(L65,DB_Agents!$B:$F,4,0),"")=TEXT(M65,"0"),"Pending Approval","🔒 WRONG CODE")))</f>
        <v>Pending</v>
      </c>
      <c r="L65" s="30" t="s">
        <v>62</v>
      </c>
      <c r="M65" s="41"/>
      <c r="N65" s="22"/>
    </row>
    <row r="66" spans="1:14" ht="20.100000000000001" customHeight="1" x14ac:dyDescent="0.25">
      <c r="A66" s="30" t="str">
        <f t="shared" si="4"/>
        <v/>
      </c>
      <c r="B66" s="41"/>
      <c r="C66" s="35" t="str">
        <f>IF(B66="","",IFERROR(VLOOKUP(B66,DB_Customers!$A:$B,2,0),"❌ Account Not Found"))</f>
        <v/>
      </c>
      <c r="D66" s="42" t="str">
        <f t="shared" ca="1" si="5"/>
        <v/>
      </c>
      <c r="E66" s="32"/>
      <c r="F66" s="31"/>
      <c r="G66" s="41"/>
      <c r="H66" s="56">
        <v>2.5</v>
      </c>
      <c r="I66" s="43" t="str">
        <f t="shared" si="6"/>
        <v/>
      </c>
      <c r="J66" s="43" t="str">
        <f t="shared" si="7"/>
        <v/>
      </c>
      <c r="K66" s="33" t="str">
        <f>IF(B66="","Pending",IF(M66="","⚠️ Enter Code",IF(IFERROR(VLOOKUP(L66,DB_Agents!$B:$F,4,0),"")=TEXT(M66,"0"),"Pending Approval","🔒 WRONG CODE")))</f>
        <v>Pending</v>
      </c>
      <c r="L66" s="30" t="s">
        <v>62</v>
      </c>
      <c r="M66" s="41"/>
      <c r="N66" s="57"/>
    </row>
    <row r="67" spans="1:14" ht="20.100000000000001" customHeight="1" x14ac:dyDescent="0.25">
      <c r="A67" s="30" t="str">
        <f t="shared" si="4"/>
        <v/>
      </c>
      <c r="B67" s="41"/>
      <c r="C67" s="35" t="str">
        <f>IF(B67="","",IFERROR(VLOOKUP(B67,DB_Customers!$A:$B,2,0),"❌ Account Not Found"))</f>
        <v/>
      </c>
      <c r="D67" s="42" t="str">
        <f t="shared" ca="1" si="5"/>
        <v/>
      </c>
      <c r="E67" s="32"/>
      <c r="F67" s="31"/>
      <c r="G67" s="41"/>
      <c r="H67" s="56">
        <v>2.5</v>
      </c>
      <c r="I67" s="43" t="str">
        <f t="shared" si="6"/>
        <v/>
      </c>
      <c r="J67" s="43" t="str">
        <f t="shared" si="7"/>
        <v/>
      </c>
      <c r="K67" s="33" t="str">
        <f>IF(B67="","Pending",IF(M67="","⚠️ Enter Code",IF(IFERROR(VLOOKUP(L67,DB_Agents!$B:$F,4,0),"")=TEXT(M67,"0"),"Pending Approval","🔒 WRONG CODE")))</f>
        <v>Pending</v>
      </c>
      <c r="L67" s="30" t="s">
        <v>62</v>
      </c>
      <c r="M67" s="41"/>
      <c r="N67" s="22"/>
    </row>
    <row r="68" spans="1:14" ht="20.100000000000001" customHeight="1" x14ac:dyDescent="0.25">
      <c r="A68" s="30" t="str">
        <f t="shared" si="4"/>
        <v/>
      </c>
      <c r="B68" s="41"/>
      <c r="C68" s="35" t="str">
        <f>IF(B68="","",IFERROR(VLOOKUP(B68,DB_Customers!$A:$B,2,0),"❌ Account Not Found"))</f>
        <v/>
      </c>
      <c r="D68" s="42" t="str">
        <f t="shared" ca="1" si="5"/>
        <v/>
      </c>
      <c r="E68" s="32"/>
      <c r="F68" s="31"/>
      <c r="G68" s="41"/>
      <c r="H68" s="56">
        <v>2.5</v>
      </c>
      <c r="I68" s="43" t="str">
        <f t="shared" si="6"/>
        <v/>
      </c>
      <c r="J68" s="43" t="str">
        <f t="shared" si="7"/>
        <v/>
      </c>
      <c r="K68" s="33" t="str">
        <f>IF(B68="","Pending",IF(M68="","⚠️ Enter Code",IF(IFERROR(VLOOKUP(L68,DB_Agents!$B:$F,4,0),"")=TEXT(M68,"0"),"Pending Approval","🔒 WRONG CODE")))</f>
        <v>Pending</v>
      </c>
      <c r="L68" s="30" t="s">
        <v>62</v>
      </c>
      <c r="M68" s="41"/>
      <c r="N68" s="57"/>
    </row>
    <row r="69" spans="1:14" ht="20.100000000000001" customHeight="1" x14ac:dyDescent="0.25">
      <c r="A69" s="30" t="str">
        <f t="shared" si="4"/>
        <v/>
      </c>
      <c r="B69" s="41"/>
      <c r="C69" s="35" t="str">
        <f>IF(B69="","",IFERROR(VLOOKUP(B69,DB_Customers!$A:$B,2,0),"❌ Account Not Found"))</f>
        <v/>
      </c>
      <c r="D69" s="42" t="str">
        <f t="shared" ca="1" si="5"/>
        <v/>
      </c>
      <c r="E69" s="32"/>
      <c r="F69" s="31"/>
      <c r="G69" s="41"/>
      <c r="H69" s="56">
        <v>2.5</v>
      </c>
      <c r="I69" s="43" t="str">
        <f t="shared" si="6"/>
        <v/>
      </c>
      <c r="J69" s="43" t="str">
        <f t="shared" si="7"/>
        <v/>
      </c>
      <c r="K69" s="33" t="str">
        <f>IF(B69="","Pending",IF(M69="","⚠️ Enter Code",IF(IFERROR(VLOOKUP(L69,DB_Agents!$B:$F,4,0),"")=TEXT(M69,"0"),"Pending Approval","🔒 WRONG CODE")))</f>
        <v>Pending</v>
      </c>
      <c r="L69" s="30" t="s">
        <v>62</v>
      </c>
      <c r="M69" s="41"/>
      <c r="N69" s="22"/>
    </row>
    <row r="70" spans="1:14" ht="20.100000000000001" customHeight="1" x14ac:dyDescent="0.25">
      <c r="A70" s="30" t="str">
        <f t="shared" si="4"/>
        <v/>
      </c>
      <c r="B70" s="41"/>
      <c r="C70" s="35" t="str">
        <f>IF(B70="","",IFERROR(VLOOKUP(B70,DB_Customers!$A:$B,2,0),"❌ Account Not Found"))</f>
        <v/>
      </c>
      <c r="D70" s="42" t="str">
        <f t="shared" ca="1" si="5"/>
        <v/>
      </c>
      <c r="E70" s="32"/>
      <c r="F70" s="31"/>
      <c r="G70" s="41"/>
      <c r="H70" s="56">
        <v>2.5</v>
      </c>
      <c r="I70" s="43" t="str">
        <f t="shared" si="6"/>
        <v/>
      </c>
      <c r="J70" s="43" t="str">
        <f t="shared" si="7"/>
        <v/>
      </c>
      <c r="K70" s="33" t="str">
        <f>IF(B70="","Pending",IF(M70="","⚠️ Enter Code",IF(IFERROR(VLOOKUP(L70,DB_Agents!$B:$F,4,0),"")=TEXT(M70,"0"),"Pending Approval","🔒 WRONG CODE")))</f>
        <v>Pending</v>
      </c>
      <c r="L70" s="30" t="s">
        <v>62</v>
      </c>
      <c r="M70" s="41"/>
      <c r="N70" s="57"/>
    </row>
    <row r="71" spans="1:14" ht="20.100000000000001" customHeight="1" x14ac:dyDescent="0.25">
      <c r="A71" s="30" t="str">
        <f t="shared" si="4"/>
        <v/>
      </c>
      <c r="B71" s="41"/>
      <c r="C71" s="35" t="str">
        <f>IF(B71="","",IFERROR(VLOOKUP(B71,DB_Customers!$A:$B,2,0),"❌ Account Not Found"))</f>
        <v/>
      </c>
      <c r="D71" s="42" t="str">
        <f t="shared" ca="1" si="5"/>
        <v/>
      </c>
      <c r="E71" s="32"/>
      <c r="F71" s="31"/>
      <c r="G71" s="41"/>
      <c r="H71" s="56">
        <v>2.5</v>
      </c>
      <c r="I71" s="43" t="str">
        <f t="shared" si="6"/>
        <v/>
      </c>
      <c r="J71" s="43" t="str">
        <f t="shared" si="7"/>
        <v/>
      </c>
      <c r="K71" s="33" t="str">
        <f>IF(B71="","Pending",IF(M71="","⚠️ Enter Code",IF(IFERROR(VLOOKUP(L71,DB_Agents!$B:$F,4,0),"")=TEXT(M71,"0"),"Pending Approval","🔒 WRONG CODE")))</f>
        <v>Pending</v>
      </c>
      <c r="L71" s="30" t="s">
        <v>62</v>
      </c>
      <c r="M71" s="41"/>
      <c r="N71" s="22"/>
    </row>
    <row r="72" spans="1:14" ht="20.100000000000001" customHeight="1" x14ac:dyDescent="0.25">
      <c r="A72" s="30" t="str">
        <f t="shared" si="4"/>
        <v/>
      </c>
      <c r="B72" s="41"/>
      <c r="C72" s="35" t="str">
        <f>IF(B72="","",IFERROR(VLOOKUP(B72,DB_Customers!$A:$B,2,0),"❌ Account Not Found"))</f>
        <v/>
      </c>
      <c r="D72" s="42" t="str">
        <f t="shared" ca="1" si="5"/>
        <v/>
      </c>
      <c r="E72" s="32"/>
      <c r="F72" s="31"/>
      <c r="G72" s="41"/>
      <c r="H72" s="56">
        <v>2.5</v>
      </c>
      <c r="I72" s="43" t="str">
        <f t="shared" si="6"/>
        <v/>
      </c>
      <c r="J72" s="43" t="str">
        <f t="shared" si="7"/>
        <v/>
      </c>
      <c r="K72" s="33" t="str">
        <f>IF(B72="","Pending",IF(M72="","⚠️ Enter Code",IF(IFERROR(VLOOKUP(L72,DB_Agents!$B:$F,4,0),"")=TEXT(M72,"0"),"Pending Approval","🔒 WRONG CODE")))</f>
        <v>Pending</v>
      </c>
      <c r="L72" s="30" t="s">
        <v>62</v>
      </c>
      <c r="M72" s="41"/>
      <c r="N72" s="57"/>
    </row>
    <row r="73" spans="1:14" ht="20.100000000000001" customHeight="1" x14ac:dyDescent="0.25">
      <c r="A73" s="30" t="str">
        <f t="shared" si="4"/>
        <v/>
      </c>
      <c r="B73" s="41"/>
      <c r="C73" s="35" t="str">
        <f>IF(B73="","",IFERROR(VLOOKUP(B73,DB_Customers!$A:$B,2,0),"❌ Account Not Found"))</f>
        <v/>
      </c>
      <c r="D73" s="42" t="str">
        <f t="shared" ca="1" si="5"/>
        <v/>
      </c>
      <c r="E73" s="32"/>
      <c r="F73" s="31"/>
      <c r="G73" s="41"/>
      <c r="H73" s="56">
        <v>2.5</v>
      </c>
      <c r="I73" s="43" t="str">
        <f t="shared" si="6"/>
        <v/>
      </c>
      <c r="J73" s="43" t="str">
        <f t="shared" si="7"/>
        <v/>
      </c>
      <c r="K73" s="33" t="str">
        <f>IF(B73="","Pending",IF(M73="","⚠️ Enter Code",IF(IFERROR(VLOOKUP(L73,DB_Agents!$B:$F,4,0),"")=TEXT(M73,"0"),"Pending Approval","🔒 WRONG CODE")))</f>
        <v>Pending</v>
      </c>
      <c r="L73" s="30" t="s">
        <v>62</v>
      </c>
      <c r="M73" s="41"/>
      <c r="N73" s="22"/>
    </row>
    <row r="74" spans="1:14" ht="20.100000000000001" customHeight="1" x14ac:dyDescent="0.25">
      <c r="A74" s="30" t="str">
        <f t="shared" si="4"/>
        <v/>
      </c>
      <c r="B74" s="41"/>
      <c r="C74" s="35" t="str">
        <f>IF(B74="","",IFERROR(VLOOKUP(B74,DB_Customers!$A:$B,2,0),"❌ Account Not Found"))</f>
        <v/>
      </c>
      <c r="D74" s="42" t="str">
        <f t="shared" ca="1" si="5"/>
        <v/>
      </c>
      <c r="E74" s="32"/>
      <c r="F74" s="31"/>
      <c r="G74" s="41"/>
      <c r="H74" s="56">
        <v>2.5</v>
      </c>
      <c r="I74" s="43" t="str">
        <f t="shared" si="6"/>
        <v/>
      </c>
      <c r="J74" s="43" t="str">
        <f t="shared" si="7"/>
        <v/>
      </c>
      <c r="K74" s="33" t="str">
        <f>IF(B74="","Pending",IF(M74="","⚠️ Enter Code",IF(IFERROR(VLOOKUP(L74,DB_Agents!$B:$F,4,0),"")=TEXT(M74,"0"),"Pending Approval","🔒 WRONG CODE")))</f>
        <v>Pending</v>
      </c>
      <c r="L74" s="30" t="s">
        <v>62</v>
      </c>
      <c r="M74" s="41"/>
      <c r="N74" s="57"/>
    </row>
    <row r="75" spans="1:14" ht="20.100000000000001" customHeight="1" x14ac:dyDescent="0.25">
      <c r="A75" s="30" t="str">
        <f t="shared" si="4"/>
        <v/>
      </c>
      <c r="B75" s="41"/>
      <c r="C75" s="35" t="str">
        <f>IF(B75="","",IFERROR(VLOOKUP(B75,DB_Customers!$A:$B,2,0),"❌ Account Not Found"))</f>
        <v/>
      </c>
      <c r="D75" s="42" t="str">
        <f t="shared" ca="1" si="5"/>
        <v/>
      </c>
      <c r="E75" s="32"/>
      <c r="F75" s="31"/>
      <c r="G75" s="41"/>
      <c r="H75" s="56">
        <v>2.5</v>
      </c>
      <c r="I75" s="43" t="str">
        <f t="shared" si="6"/>
        <v/>
      </c>
      <c r="J75" s="43" t="str">
        <f t="shared" si="7"/>
        <v/>
      </c>
      <c r="K75" s="33" t="str">
        <f>IF(B75="","Pending",IF(M75="","⚠️ Enter Code",IF(IFERROR(VLOOKUP(L75,DB_Agents!$B:$F,4,0),"")=TEXT(M75,"0"),"Pending Approval","🔒 WRONG CODE")))</f>
        <v>Pending</v>
      </c>
      <c r="L75" s="30" t="s">
        <v>62</v>
      </c>
      <c r="M75" s="41"/>
      <c r="N75" s="22"/>
    </row>
    <row r="76" spans="1:14" ht="20.100000000000001" customHeight="1" x14ac:dyDescent="0.25">
      <c r="A76" s="30" t="str">
        <f t="shared" si="4"/>
        <v/>
      </c>
      <c r="B76" s="41"/>
      <c r="C76" s="35" t="str">
        <f>IF(B76="","",IFERROR(VLOOKUP(B76,DB_Customers!$A:$B,2,0),"❌ Account Not Found"))</f>
        <v/>
      </c>
      <c r="D76" s="42" t="str">
        <f t="shared" ca="1" si="5"/>
        <v/>
      </c>
      <c r="E76" s="32"/>
      <c r="F76" s="31"/>
      <c r="G76" s="41"/>
      <c r="H76" s="56">
        <v>2.5</v>
      </c>
      <c r="I76" s="43" t="str">
        <f t="shared" si="6"/>
        <v/>
      </c>
      <c r="J76" s="43" t="str">
        <f t="shared" si="7"/>
        <v/>
      </c>
      <c r="K76" s="33" t="str">
        <f>IF(B76="","Pending",IF(M76="","⚠️ Enter Code",IF(IFERROR(VLOOKUP(L76,DB_Agents!$B:$F,4,0),"")=TEXT(M76,"0"),"Pending Approval","🔒 WRONG CODE")))</f>
        <v>Pending</v>
      </c>
      <c r="L76" s="30" t="s">
        <v>62</v>
      </c>
      <c r="M76" s="41"/>
      <c r="N76" s="57"/>
    </row>
    <row r="77" spans="1:14" ht="20.100000000000001" customHeight="1" x14ac:dyDescent="0.25">
      <c r="A77" s="30" t="str">
        <f t="shared" si="4"/>
        <v/>
      </c>
      <c r="B77" s="41"/>
      <c r="C77" s="35" t="str">
        <f>IF(B77="","",IFERROR(VLOOKUP(B77,DB_Customers!$A:$B,2,0),"❌ Account Not Found"))</f>
        <v/>
      </c>
      <c r="D77" s="42" t="str">
        <f t="shared" ca="1" si="5"/>
        <v/>
      </c>
      <c r="E77" s="32"/>
      <c r="F77" s="31"/>
      <c r="G77" s="41"/>
      <c r="H77" s="56">
        <v>2.5</v>
      </c>
      <c r="I77" s="43" t="str">
        <f t="shared" si="6"/>
        <v/>
      </c>
      <c r="J77" s="43" t="str">
        <f t="shared" si="7"/>
        <v/>
      </c>
      <c r="K77" s="33" t="str">
        <f>IF(B77="","Pending",IF(M77="","⚠️ Enter Code",IF(IFERROR(VLOOKUP(L77,DB_Agents!$B:$F,4,0),"")=TEXT(M77,"0"),"Pending Approval","🔒 WRONG CODE")))</f>
        <v>Pending</v>
      </c>
      <c r="L77" s="30" t="s">
        <v>62</v>
      </c>
      <c r="M77" s="41"/>
      <c r="N77" s="22"/>
    </row>
    <row r="78" spans="1:14" ht="20.100000000000001" customHeight="1" x14ac:dyDescent="0.25">
      <c r="A78" s="30" t="str">
        <f t="shared" ref="A78:A109" si="8">IF(B78="","",IF(C78="❌ Account Not Found","INVALID","LN"&amp;TEXT(D78,"YYYYMMDD")&amp;TEXT(ROW()-13,"0000")))</f>
        <v/>
      </c>
      <c r="B78" s="41"/>
      <c r="C78" s="35" t="str">
        <f>IF(B78="","",IFERROR(VLOOKUP(B78,DB_Customers!$A:$B,2,0),"❌ Account Not Found"))</f>
        <v/>
      </c>
      <c r="D78" s="42" t="str">
        <f t="shared" ref="D78:D109" ca="1" si="9">IF(B78="","",TODAY())</f>
        <v/>
      </c>
      <c r="E78" s="32"/>
      <c r="F78" s="31"/>
      <c r="G78" s="41"/>
      <c r="H78" s="56">
        <v>2.5</v>
      </c>
      <c r="I78" s="43" t="str">
        <f t="shared" ref="I78:I109" si="10">IF(E78="","",E78+(E78*H78/100*G78))</f>
        <v/>
      </c>
      <c r="J78" s="43" t="str">
        <f t="shared" ref="J78:J109" si="11">IFERROR(I78/G78,"")</f>
        <v/>
      </c>
      <c r="K78" s="33" t="str">
        <f>IF(B78="","Pending",IF(M78="","⚠️ Enter Code",IF(IFERROR(VLOOKUP(L78,DB_Agents!$B:$F,4,0),"")=TEXT(M78,"0"),"Pending Approval","🔒 WRONG CODE")))</f>
        <v>Pending</v>
      </c>
      <c r="L78" s="30" t="s">
        <v>62</v>
      </c>
      <c r="M78" s="41"/>
      <c r="N78" s="57"/>
    </row>
    <row r="79" spans="1:14" ht="20.100000000000001" customHeight="1" x14ac:dyDescent="0.25">
      <c r="A79" s="30" t="str">
        <f t="shared" si="8"/>
        <v/>
      </c>
      <c r="B79" s="41"/>
      <c r="C79" s="35" t="str">
        <f>IF(B79="","",IFERROR(VLOOKUP(B79,DB_Customers!$A:$B,2,0),"❌ Account Not Found"))</f>
        <v/>
      </c>
      <c r="D79" s="42" t="str">
        <f t="shared" ca="1" si="9"/>
        <v/>
      </c>
      <c r="E79" s="32"/>
      <c r="F79" s="31"/>
      <c r="G79" s="41"/>
      <c r="H79" s="56">
        <v>2.5</v>
      </c>
      <c r="I79" s="43" t="str">
        <f t="shared" si="10"/>
        <v/>
      </c>
      <c r="J79" s="43" t="str">
        <f t="shared" si="11"/>
        <v/>
      </c>
      <c r="K79" s="33" t="str">
        <f>IF(B79="","Pending",IF(M79="","⚠️ Enter Code",IF(IFERROR(VLOOKUP(L79,DB_Agents!$B:$F,4,0),"")=TEXT(M79,"0"),"Pending Approval","🔒 WRONG CODE")))</f>
        <v>Pending</v>
      </c>
      <c r="L79" s="30" t="s">
        <v>62</v>
      </c>
      <c r="M79" s="41"/>
      <c r="N79" s="22"/>
    </row>
    <row r="80" spans="1:14" ht="20.100000000000001" customHeight="1" x14ac:dyDescent="0.25">
      <c r="A80" s="30" t="str">
        <f t="shared" si="8"/>
        <v/>
      </c>
      <c r="B80" s="41"/>
      <c r="C80" s="35" t="str">
        <f>IF(B80="","",IFERROR(VLOOKUP(B80,DB_Customers!$A:$B,2,0),"❌ Account Not Found"))</f>
        <v/>
      </c>
      <c r="D80" s="42" t="str">
        <f t="shared" ca="1" si="9"/>
        <v/>
      </c>
      <c r="E80" s="32"/>
      <c r="F80" s="31"/>
      <c r="G80" s="41"/>
      <c r="H80" s="56">
        <v>2.5</v>
      </c>
      <c r="I80" s="43" t="str">
        <f t="shared" si="10"/>
        <v/>
      </c>
      <c r="J80" s="43" t="str">
        <f t="shared" si="11"/>
        <v/>
      </c>
      <c r="K80" s="33" t="str">
        <f>IF(B80="","Pending",IF(M80="","⚠️ Enter Code",IF(IFERROR(VLOOKUP(L80,DB_Agents!$B:$F,4,0),"")=TEXT(M80,"0"),"Pending Approval","🔒 WRONG CODE")))</f>
        <v>Pending</v>
      </c>
      <c r="L80" s="30" t="s">
        <v>62</v>
      </c>
      <c r="M80" s="41"/>
      <c r="N80" s="57"/>
    </row>
    <row r="81" spans="1:14" ht="20.100000000000001" customHeight="1" x14ac:dyDescent="0.25">
      <c r="A81" s="30" t="str">
        <f t="shared" si="8"/>
        <v/>
      </c>
      <c r="B81" s="41"/>
      <c r="C81" s="35" t="str">
        <f>IF(B81="","",IFERROR(VLOOKUP(B81,DB_Customers!$A:$B,2,0),"❌ Account Not Found"))</f>
        <v/>
      </c>
      <c r="D81" s="42" t="str">
        <f t="shared" ca="1" si="9"/>
        <v/>
      </c>
      <c r="E81" s="32"/>
      <c r="F81" s="31"/>
      <c r="G81" s="41"/>
      <c r="H81" s="56">
        <v>2.5</v>
      </c>
      <c r="I81" s="43" t="str">
        <f t="shared" si="10"/>
        <v/>
      </c>
      <c r="J81" s="43" t="str">
        <f t="shared" si="11"/>
        <v/>
      </c>
      <c r="K81" s="33" t="str">
        <f>IF(B81="","Pending",IF(M81="","⚠️ Enter Code",IF(IFERROR(VLOOKUP(L81,DB_Agents!$B:$F,4,0),"")=TEXT(M81,"0"),"Pending Approval","🔒 WRONG CODE")))</f>
        <v>Pending</v>
      </c>
      <c r="L81" s="30" t="s">
        <v>62</v>
      </c>
      <c r="M81" s="41"/>
      <c r="N81" s="22"/>
    </row>
    <row r="82" spans="1:14" ht="20.100000000000001" customHeight="1" x14ac:dyDescent="0.25">
      <c r="A82" s="30" t="str">
        <f t="shared" si="8"/>
        <v/>
      </c>
      <c r="B82" s="41"/>
      <c r="C82" s="35" t="str">
        <f>IF(B82="","",IFERROR(VLOOKUP(B82,DB_Customers!$A:$B,2,0),"❌ Account Not Found"))</f>
        <v/>
      </c>
      <c r="D82" s="42" t="str">
        <f t="shared" ca="1" si="9"/>
        <v/>
      </c>
      <c r="E82" s="32"/>
      <c r="F82" s="31"/>
      <c r="G82" s="41"/>
      <c r="H82" s="56">
        <v>2.5</v>
      </c>
      <c r="I82" s="43" t="str">
        <f t="shared" si="10"/>
        <v/>
      </c>
      <c r="J82" s="43" t="str">
        <f t="shared" si="11"/>
        <v/>
      </c>
      <c r="K82" s="33" t="str">
        <f>IF(B82="","Pending",IF(M82="","⚠️ Enter Code",IF(IFERROR(VLOOKUP(L82,DB_Agents!$B:$F,4,0),"")=TEXT(M82,"0"),"Pending Approval","🔒 WRONG CODE")))</f>
        <v>Pending</v>
      </c>
      <c r="L82" s="30" t="s">
        <v>62</v>
      </c>
      <c r="M82" s="41"/>
      <c r="N82" s="57"/>
    </row>
    <row r="83" spans="1:14" ht="20.100000000000001" customHeight="1" x14ac:dyDescent="0.25">
      <c r="A83" s="30" t="str">
        <f t="shared" si="8"/>
        <v/>
      </c>
      <c r="B83" s="41"/>
      <c r="C83" s="35" t="str">
        <f>IF(B83="","",IFERROR(VLOOKUP(B83,DB_Customers!$A:$B,2,0),"❌ Account Not Found"))</f>
        <v/>
      </c>
      <c r="D83" s="42" t="str">
        <f t="shared" ca="1" si="9"/>
        <v/>
      </c>
      <c r="E83" s="32"/>
      <c r="F83" s="31"/>
      <c r="G83" s="41"/>
      <c r="H83" s="56">
        <v>2.5</v>
      </c>
      <c r="I83" s="43" t="str">
        <f t="shared" si="10"/>
        <v/>
      </c>
      <c r="J83" s="43" t="str">
        <f t="shared" si="11"/>
        <v/>
      </c>
      <c r="K83" s="33" t="str">
        <f>IF(B83="","Pending",IF(M83="","⚠️ Enter Code",IF(IFERROR(VLOOKUP(L83,DB_Agents!$B:$F,4,0),"")=TEXT(M83,"0"),"Pending Approval","🔒 WRONG CODE")))</f>
        <v>Pending</v>
      </c>
      <c r="L83" s="30" t="s">
        <v>62</v>
      </c>
      <c r="M83" s="41"/>
      <c r="N83" s="22"/>
    </row>
    <row r="84" spans="1:14" ht="20.100000000000001" customHeight="1" x14ac:dyDescent="0.25">
      <c r="A84" s="30" t="str">
        <f t="shared" si="8"/>
        <v/>
      </c>
      <c r="B84" s="41"/>
      <c r="C84" s="35" t="str">
        <f>IF(B84="","",IFERROR(VLOOKUP(B84,DB_Customers!$A:$B,2,0),"❌ Account Not Found"))</f>
        <v/>
      </c>
      <c r="D84" s="42" t="str">
        <f t="shared" ca="1" si="9"/>
        <v/>
      </c>
      <c r="E84" s="32"/>
      <c r="F84" s="31"/>
      <c r="G84" s="41"/>
      <c r="H84" s="56">
        <v>2.5</v>
      </c>
      <c r="I84" s="43" t="str">
        <f t="shared" si="10"/>
        <v/>
      </c>
      <c r="J84" s="43" t="str">
        <f t="shared" si="11"/>
        <v/>
      </c>
      <c r="K84" s="33" t="str">
        <f>IF(B84="","Pending",IF(M84="","⚠️ Enter Code",IF(IFERROR(VLOOKUP(L84,DB_Agents!$B:$F,4,0),"")=TEXT(M84,"0"),"Pending Approval","🔒 WRONG CODE")))</f>
        <v>Pending</v>
      </c>
      <c r="L84" s="30" t="s">
        <v>62</v>
      </c>
      <c r="M84" s="41"/>
      <c r="N84" s="57"/>
    </row>
    <row r="85" spans="1:14" ht="20.100000000000001" customHeight="1" x14ac:dyDescent="0.25">
      <c r="A85" s="30" t="str">
        <f t="shared" si="8"/>
        <v/>
      </c>
      <c r="B85" s="41"/>
      <c r="C85" s="35" t="str">
        <f>IF(B85="","",IFERROR(VLOOKUP(B85,DB_Customers!$A:$B,2,0),"❌ Account Not Found"))</f>
        <v/>
      </c>
      <c r="D85" s="42" t="str">
        <f t="shared" ca="1" si="9"/>
        <v/>
      </c>
      <c r="E85" s="32"/>
      <c r="F85" s="31"/>
      <c r="G85" s="41"/>
      <c r="H85" s="56">
        <v>2.5</v>
      </c>
      <c r="I85" s="43" t="str">
        <f t="shared" si="10"/>
        <v/>
      </c>
      <c r="J85" s="43" t="str">
        <f t="shared" si="11"/>
        <v/>
      </c>
      <c r="K85" s="33" t="str">
        <f>IF(B85="","Pending",IF(M85="","⚠️ Enter Code",IF(IFERROR(VLOOKUP(L85,DB_Agents!$B:$F,4,0),"")=TEXT(M85,"0"),"Pending Approval","🔒 WRONG CODE")))</f>
        <v>Pending</v>
      </c>
      <c r="L85" s="30" t="s">
        <v>62</v>
      </c>
      <c r="M85" s="41"/>
      <c r="N85" s="22"/>
    </row>
    <row r="86" spans="1:14" ht="20.100000000000001" customHeight="1" x14ac:dyDescent="0.25">
      <c r="A86" s="30" t="str">
        <f t="shared" si="8"/>
        <v/>
      </c>
      <c r="B86" s="41"/>
      <c r="C86" s="35" t="str">
        <f>IF(B86="","",IFERROR(VLOOKUP(B86,DB_Customers!$A:$B,2,0),"❌ Account Not Found"))</f>
        <v/>
      </c>
      <c r="D86" s="42" t="str">
        <f t="shared" ca="1" si="9"/>
        <v/>
      </c>
      <c r="E86" s="32"/>
      <c r="F86" s="31"/>
      <c r="G86" s="41"/>
      <c r="H86" s="56">
        <v>2.5</v>
      </c>
      <c r="I86" s="43" t="str">
        <f t="shared" si="10"/>
        <v/>
      </c>
      <c r="J86" s="43" t="str">
        <f t="shared" si="11"/>
        <v/>
      </c>
      <c r="K86" s="33" t="str">
        <f>IF(B86="","Pending",IF(M86="","⚠️ Enter Code",IF(IFERROR(VLOOKUP(L86,DB_Agents!$B:$F,4,0),"")=TEXT(M86,"0"),"Pending Approval","🔒 WRONG CODE")))</f>
        <v>Pending</v>
      </c>
      <c r="L86" s="30" t="s">
        <v>62</v>
      </c>
      <c r="M86" s="41"/>
      <c r="N86" s="57"/>
    </row>
    <row r="87" spans="1:14" ht="20.100000000000001" customHeight="1" x14ac:dyDescent="0.25">
      <c r="A87" s="30" t="str">
        <f t="shared" si="8"/>
        <v/>
      </c>
      <c r="B87" s="41"/>
      <c r="C87" s="35" t="str">
        <f>IF(B87="","",IFERROR(VLOOKUP(B87,DB_Customers!$A:$B,2,0),"❌ Account Not Found"))</f>
        <v/>
      </c>
      <c r="D87" s="42" t="str">
        <f t="shared" ca="1" si="9"/>
        <v/>
      </c>
      <c r="E87" s="32"/>
      <c r="F87" s="31"/>
      <c r="G87" s="41"/>
      <c r="H87" s="56">
        <v>2.5</v>
      </c>
      <c r="I87" s="43" t="str">
        <f t="shared" si="10"/>
        <v/>
      </c>
      <c r="J87" s="43" t="str">
        <f t="shared" si="11"/>
        <v/>
      </c>
      <c r="K87" s="33" t="str">
        <f>IF(B87="","Pending",IF(M87="","⚠️ Enter Code",IF(IFERROR(VLOOKUP(L87,DB_Agents!$B:$F,4,0),"")=TEXT(M87,"0"),"Pending Approval","🔒 WRONG CODE")))</f>
        <v>Pending</v>
      </c>
      <c r="L87" s="30" t="s">
        <v>62</v>
      </c>
      <c r="M87" s="41"/>
      <c r="N87" s="22"/>
    </row>
    <row r="88" spans="1:14" ht="20.100000000000001" customHeight="1" x14ac:dyDescent="0.25">
      <c r="A88" s="30" t="str">
        <f t="shared" si="8"/>
        <v/>
      </c>
      <c r="B88" s="41"/>
      <c r="C88" s="35" t="str">
        <f>IF(B88="","",IFERROR(VLOOKUP(B88,DB_Customers!$A:$B,2,0),"❌ Account Not Found"))</f>
        <v/>
      </c>
      <c r="D88" s="42" t="str">
        <f t="shared" ca="1" si="9"/>
        <v/>
      </c>
      <c r="E88" s="32"/>
      <c r="F88" s="31"/>
      <c r="G88" s="41"/>
      <c r="H88" s="56">
        <v>2.5</v>
      </c>
      <c r="I88" s="43" t="str">
        <f t="shared" si="10"/>
        <v/>
      </c>
      <c r="J88" s="43" t="str">
        <f t="shared" si="11"/>
        <v/>
      </c>
      <c r="K88" s="33" t="str">
        <f>IF(B88="","Pending",IF(M88="","⚠️ Enter Code",IF(IFERROR(VLOOKUP(L88,DB_Agents!$B:$F,4,0),"")=TEXT(M88,"0"),"Pending Approval","🔒 WRONG CODE")))</f>
        <v>Pending</v>
      </c>
      <c r="L88" s="30" t="s">
        <v>62</v>
      </c>
      <c r="M88" s="41"/>
      <c r="N88" s="57"/>
    </row>
    <row r="89" spans="1:14" ht="20.100000000000001" customHeight="1" x14ac:dyDescent="0.25">
      <c r="A89" s="30" t="str">
        <f t="shared" si="8"/>
        <v/>
      </c>
      <c r="B89" s="41"/>
      <c r="C89" s="35" t="str">
        <f>IF(B89="","",IFERROR(VLOOKUP(B89,DB_Customers!$A:$B,2,0),"❌ Account Not Found"))</f>
        <v/>
      </c>
      <c r="D89" s="42" t="str">
        <f t="shared" ca="1" si="9"/>
        <v/>
      </c>
      <c r="E89" s="32"/>
      <c r="F89" s="31"/>
      <c r="G89" s="41"/>
      <c r="H89" s="56">
        <v>2.5</v>
      </c>
      <c r="I89" s="43" t="str">
        <f t="shared" si="10"/>
        <v/>
      </c>
      <c r="J89" s="43" t="str">
        <f t="shared" si="11"/>
        <v/>
      </c>
      <c r="K89" s="33" t="str">
        <f>IF(B89="","Pending",IF(M89="","⚠️ Enter Code",IF(IFERROR(VLOOKUP(L89,DB_Agents!$B:$F,4,0),"")=TEXT(M89,"0"),"Pending Approval","🔒 WRONG CODE")))</f>
        <v>Pending</v>
      </c>
      <c r="L89" s="30" t="s">
        <v>62</v>
      </c>
      <c r="M89" s="41"/>
      <c r="N89" s="22"/>
    </row>
    <row r="90" spans="1:14" ht="20.100000000000001" customHeight="1" x14ac:dyDescent="0.25">
      <c r="A90" s="30" t="str">
        <f t="shared" si="8"/>
        <v/>
      </c>
      <c r="B90" s="41"/>
      <c r="C90" s="35" t="str">
        <f>IF(B90="","",IFERROR(VLOOKUP(B90,DB_Customers!$A:$B,2,0),"❌ Account Not Found"))</f>
        <v/>
      </c>
      <c r="D90" s="42" t="str">
        <f t="shared" ca="1" si="9"/>
        <v/>
      </c>
      <c r="E90" s="32"/>
      <c r="F90" s="31"/>
      <c r="G90" s="41"/>
      <c r="H90" s="56">
        <v>2.5</v>
      </c>
      <c r="I90" s="43" t="str">
        <f t="shared" si="10"/>
        <v/>
      </c>
      <c r="J90" s="43" t="str">
        <f t="shared" si="11"/>
        <v/>
      </c>
      <c r="K90" s="33" t="str">
        <f>IF(B90="","Pending",IF(M90="","⚠️ Enter Code",IF(IFERROR(VLOOKUP(L90,DB_Agents!$B:$F,4,0),"")=TEXT(M90,"0"),"Pending Approval","🔒 WRONG CODE")))</f>
        <v>Pending</v>
      </c>
      <c r="L90" s="30" t="s">
        <v>62</v>
      </c>
      <c r="M90" s="41"/>
      <c r="N90" s="57"/>
    </row>
    <row r="91" spans="1:14" ht="20.100000000000001" customHeight="1" x14ac:dyDescent="0.25">
      <c r="A91" s="30" t="str">
        <f t="shared" si="8"/>
        <v/>
      </c>
      <c r="B91" s="41"/>
      <c r="C91" s="35" t="str">
        <f>IF(B91="","",IFERROR(VLOOKUP(B91,DB_Customers!$A:$B,2,0),"❌ Account Not Found"))</f>
        <v/>
      </c>
      <c r="D91" s="42" t="str">
        <f t="shared" ca="1" si="9"/>
        <v/>
      </c>
      <c r="E91" s="32"/>
      <c r="F91" s="31"/>
      <c r="G91" s="41"/>
      <c r="H91" s="56">
        <v>2.5</v>
      </c>
      <c r="I91" s="43" t="str">
        <f t="shared" si="10"/>
        <v/>
      </c>
      <c r="J91" s="43" t="str">
        <f t="shared" si="11"/>
        <v/>
      </c>
      <c r="K91" s="33" t="str">
        <f>IF(B91="","Pending",IF(M91="","⚠️ Enter Code",IF(IFERROR(VLOOKUP(L91,DB_Agents!$B:$F,4,0),"")=TEXT(M91,"0"),"Pending Approval","🔒 WRONG CODE")))</f>
        <v>Pending</v>
      </c>
      <c r="L91" s="30" t="s">
        <v>62</v>
      </c>
      <c r="M91" s="41"/>
      <c r="N91" s="22"/>
    </row>
    <row r="92" spans="1:14" ht="20.100000000000001" customHeight="1" x14ac:dyDescent="0.25">
      <c r="A92" s="30" t="str">
        <f t="shared" si="8"/>
        <v/>
      </c>
      <c r="B92" s="41"/>
      <c r="C92" s="35" t="str">
        <f>IF(B92="","",IFERROR(VLOOKUP(B92,DB_Customers!$A:$B,2,0),"❌ Account Not Found"))</f>
        <v/>
      </c>
      <c r="D92" s="42" t="str">
        <f t="shared" ca="1" si="9"/>
        <v/>
      </c>
      <c r="E92" s="32"/>
      <c r="F92" s="31"/>
      <c r="G92" s="41"/>
      <c r="H92" s="56">
        <v>2.5</v>
      </c>
      <c r="I92" s="43" t="str">
        <f t="shared" si="10"/>
        <v/>
      </c>
      <c r="J92" s="43" t="str">
        <f t="shared" si="11"/>
        <v/>
      </c>
      <c r="K92" s="33" t="str">
        <f>IF(B92="","Pending",IF(M92="","⚠️ Enter Code",IF(IFERROR(VLOOKUP(L92,DB_Agents!$B:$F,4,0),"")=TEXT(M92,"0"),"Pending Approval","🔒 WRONG CODE")))</f>
        <v>Pending</v>
      </c>
      <c r="L92" s="30" t="s">
        <v>62</v>
      </c>
      <c r="M92" s="41"/>
      <c r="N92" s="57"/>
    </row>
    <row r="93" spans="1:14" ht="20.100000000000001" customHeight="1" x14ac:dyDescent="0.25">
      <c r="A93" s="30" t="str">
        <f t="shared" si="8"/>
        <v/>
      </c>
      <c r="B93" s="41"/>
      <c r="C93" s="35" t="str">
        <f>IF(B93="","",IFERROR(VLOOKUP(B93,DB_Customers!$A:$B,2,0),"❌ Account Not Found"))</f>
        <v/>
      </c>
      <c r="D93" s="42" t="str">
        <f t="shared" ca="1" si="9"/>
        <v/>
      </c>
      <c r="E93" s="32"/>
      <c r="F93" s="31"/>
      <c r="G93" s="41"/>
      <c r="H93" s="56">
        <v>2.5</v>
      </c>
      <c r="I93" s="43" t="str">
        <f t="shared" si="10"/>
        <v/>
      </c>
      <c r="J93" s="43" t="str">
        <f t="shared" si="11"/>
        <v/>
      </c>
      <c r="K93" s="33" t="str">
        <f>IF(B93="","Pending",IF(M93="","⚠️ Enter Code",IF(IFERROR(VLOOKUP(L93,DB_Agents!$B:$F,4,0),"")=TEXT(M93,"0"),"Pending Approval","🔒 WRONG CODE")))</f>
        <v>Pending</v>
      </c>
      <c r="L93" s="30" t="s">
        <v>62</v>
      </c>
      <c r="M93" s="41"/>
      <c r="N93" s="22"/>
    </row>
    <row r="94" spans="1:14" ht="20.100000000000001" customHeight="1" x14ac:dyDescent="0.25">
      <c r="A94" s="30" t="str">
        <f t="shared" si="8"/>
        <v/>
      </c>
      <c r="B94" s="41"/>
      <c r="C94" s="35" t="str">
        <f>IF(B94="","",IFERROR(VLOOKUP(B94,DB_Customers!$A:$B,2,0),"❌ Account Not Found"))</f>
        <v/>
      </c>
      <c r="D94" s="42" t="str">
        <f t="shared" ca="1" si="9"/>
        <v/>
      </c>
      <c r="E94" s="32"/>
      <c r="F94" s="31"/>
      <c r="G94" s="41"/>
      <c r="H94" s="56">
        <v>2.5</v>
      </c>
      <c r="I94" s="43" t="str">
        <f t="shared" si="10"/>
        <v/>
      </c>
      <c r="J94" s="43" t="str">
        <f t="shared" si="11"/>
        <v/>
      </c>
      <c r="K94" s="33" t="str">
        <f>IF(B94="","Pending",IF(M94="","⚠️ Enter Code",IF(IFERROR(VLOOKUP(L94,DB_Agents!$B:$F,4,0),"")=TEXT(M94,"0"),"Pending Approval","🔒 WRONG CODE")))</f>
        <v>Pending</v>
      </c>
      <c r="L94" s="30" t="s">
        <v>62</v>
      </c>
      <c r="M94" s="41"/>
      <c r="N94" s="57"/>
    </row>
    <row r="95" spans="1:14" ht="20.100000000000001" customHeight="1" x14ac:dyDescent="0.25">
      <c r="A95" s="30" t="str">
        <f t="shared" si="8"/>
        <v/>
      </c>
      <c r="B95" s="41"/>
      <c r="C95" s="35" t="str">
        <f>IF(B95="","",IFERROR(VLOOKUP(B95,DB_Customers!$A:$B,2,0),"❌ Account Not Found"))</f>
        <v/>
      </c>
      <c r="D95" s="42" t="str">
        <f t="shared" ca="1" si="9"/>
        <v/>
      </c>
      <c r="E95" s="32"/>
      <c r="F95" s="31"/>
      <c r="G95" s="41"/>
      <c r="H95" s="56">
        <v>2.5</v>
      </c>
      <c r="I95" s="43" t="str">
        <f t="shared" si="10"/>
        <v/>
      </c>
      <c r="J95" s="43" t="str">
        <f t="shared" si="11"/>
        <v/>
      </c>
      <c r="K95" s="33" t="str">
        <f>IF(B95="","Pending",IF(M95="","⚠️ Enter Code",IF(IFERROR(VLOOKUP(L95,DB_Agents!$B:$F,4,0),"")=TEXT(M95,"0"),"Pending Approval","🔒 WRONG CODE")))</f>
        <v>Pending</v>
      </c>
      <c r="L95" s="30" t="s">
        <v>62</v>
      </c>
      <c r="M95" s="41"/>
      <c r="N95" s="22"/>
    </row>
    <row r="96" spans="1:14" ht="20.100000000000001" customHeight="1" x14ac:dyDescent="0.25">
      <c r="A96" s="30" t="str">
        <f t="shared" si="8"/>
        <v/>
      </c>
      <c r="B96" s="41"/>
      <c r="C96" s="35" t="str">
        <f>IF(B96="","",IFERROR(VLOOKUP(B96,DB_Customers!$A:$B,2,0),"❌ Account Not Found"))</f>
        <v/>
      </c>
      <c r="D96" s="42" t="str">
        <f t="shared" ca="1" si="9"/>
        <v/>
      </c>
      <c r="E96" s="32"/>
      <c r="F96" s="31"/>
      <c r="G96" s="41"/>
      <c r="H96" s="56">
        <v>2.5</v>
      </c>
      <c r="I96" s="43" t="str">
        <f t="shared" si="10"/>
        <v/>
      </c>
      <c r="J96" s="43" t="str">
        <f t="shared" si="11"/>
        <v/>
      </c>
      <c r="K96" s="33" t="str">
        <f>IF(B96="","Pending",IF(M96="","⚠️ Enter Code",IF(IFERROR(VLOOKUP(L96,DB_Agents!$B:$F,4,0),"")=TEXT(M96,"0"),"Pending Approval","🔒 WRONG CODE")))</f>
        <v>Pending</v>
      </c>
      <c r="L96" s="30" t="s">
        <v>62</v>
      </c>
      <c r="M96" s="41"/>
      <c r="N96" s="57"/>
    </row>
    <row r="97" spans="1:14" ht="20.100000000000001" customHeight="1" x14ac:dyDescent="0.25">
      <c r="A97" s="30" t="str">
        <f t="shared" si="8"/>
        <v/>
      </c>
      <c r="B97" s="41"/>
      <c r="C97" s="35" t="str">
        <f>IF(B97="","",IFERROR(VLOOKUP(B97,DB_Customers!$A:$B,2,0),"❌ Account Not Found"))</f>
        <v/>
      </c>
      <c r="D97" s="42" t="str">
        <f t="shared" ca="1" si="9"/>
        <v/>
      </c>
      <c r="E97" s="32"/>
      <c r="F97" s="31"/>
      <c r="G97" s="41"/>
      <c r="H97" s="56">
        <v>2.5</v>
      </c>
      <c r="I97" s="43" t="str">
        <f t="shared" si="10"/>
        <v/>
      </c>
      <c r="J97" s="43" t="str">
        <f t="shared" si="11"/>
        <v/>
      </c>
      <c r="K97" s="33" t="str">
        <f>IF(B97="","Pending",IF(M97="","⚠️ Enter Code",IF(IFERROR(VLOOKUP(L97,DB_Agents!$B:$F,4,0),"")=TEXT(M97,"0"),"Pending Approval","🔒 WRONG CODE")))</f>
        <v>Pending</v>
      </c>
      <c r="L97" s="30" t="s">
        <v>62</v>
      </c>
      <c r="M97" s="41"/>
      <c r="N97" s="22"/>
    </row>
    <row r="98" spans="1:14" ht="20.100000000000001" customHeight="1" x14ac:dyDescent="0.25">
      <c r="A98" s="30" t="str">
        <f t="shared" si="8"/>
        <v/>
      </c>
      <c r="B98" s="41"/>
      <c r="C98" s="35" t="str">
        <f>IF(B98="","",IFERROR(VLOOKUP(B98,DB_Customers!$A:$B,2,0),"❌ Account Not Found"))</f>
        <v/>
      </c>
      <c r="D98" s="42" t="str">
        <f t="shared" ca="1" si="9"/>
        <v/>
      </c>
      <c r="E98" s="32"/>
      <c r="F98" s="31"/>
      <c r="G98" s="41"/>
      <c r="H98" s="56">
        <v>2.5</v>
      </c>
      <c r="I98" s="43" t="str">
        <f t="shared" si="10"/>
        <v/>
      </c>
      <c r="J98" s="43" t="str">
        <f t="shared" si="11"/>
        <v/>
      </c>
      <c r="K98" s="33" t="str">
        <f>IF(B98="","Pending",IF(M98="","⚠️ Enter Code",IF(IFERROR(VLOOKUP(L98,DB_Agents!$B:$F,4,0),"")=TEXT(M98,"0"),"Pending Approval","🔒 WRONG CODE")))</f>
        <v>Pending</v>
      </c>
      <c r="L98" s="30" t="s">
        <v>62</v>
      </c>
      <c r="M98" s="41"/>
      <c r="N98" s="57"/>
    </row>
    <row r="99" spans="1:14" ht="20.100000000000001" customHeight="1" x14ac:dyDescent="0.25">
      <c r="A99" s="30" t="str">
        <f t="shared" si="8"/>
        <v/>
      </c>
      <c r="B99" s="41"/>
      <c r="C99" s="35" t="str">
        <f>IF(B99="","",IFERROR(VLOOKUP(B99,DB_Customers!$A:$B,2,0),"❌ Account Not Found"))</f>
        <v/>
      </c>
      <c r="D99" s="42" t="str">
        <f t="shared" ca="1" si="9"/>
        <v/>
      </c>
      <c r="E99" s="32"/>
      <c r="F99" s="31"/>
      <c r="G99" s="41"/>
      <c r="H99" s="56">
        <v>2.5</v>
      </c>
      <c r="I99" s="43" t="str">
        <f t="shared" si="10"/>
        <v/>
      </c>
      <c r="J99" s="43" t="str">
        <f t="shared" si="11"/>
        <v/>
      </c>
      <c r="K99" s="33" t="str">
        <f>IF(B99="","Pending",IF(M99="","⚠️ Enter Code",IF(IFERROR(VLOOKUP(L99,DB_Agents!$B:$F,4,0),"")=TEXT(M99,"0"),"Pending Approval","🔒 WRONG CODE")))</f>
        <v>Pending</v>
      </c>
      <c r="L99" s="30" t="s">
        <v>62</v>
      </c>
      <c r="M99" s="41"/>
      <c r="N99" s="22"/>
    </row>
    <row r="100" spans="1:14" ht="20.100000000000001" customHeight="1" x14ac:dyDescent="0.25">
      <c r="A100" s="30" t="str">
        <f t="shared" si="8"/>
        <v/>
      </c>
      <c r="B100" s="41"/>
      <c r="C100" s="35" t="str">
        <f>IF(B100="","",IFERROR(VLOOKUP(B100,DB_Customers!$A:$B,2,0),"❌ Account Not Found"))</f>
        <v/>
      </c>
      <c r="D100" s="42" t="str">
        <f t="shared" ca="1" si="9"/>
        <v/>
      </c>
      <c r="E100" s="32"/>
      <c r="F100" s="31"/>
      <c r="G100" s="41"/>
      <c r="H100" s="56">
        <v>2.5</v>
      </c>
      <c r="I100" s="43" t="str">
        <f t="shared" si="10"/>
        <v/>
      </c>
      <c r="J100" s="43" t="str">
        <f t="shared" si="11"/>
        <v/>
      </c>
      <c r="K100" s="33" t="str">
        <f>IF(B100="","Pending",IF(M100="","⚠️ Enter Code",IF(IFERROR(VLOOKUP(L100,DB_Agents!$B:$F,4,0),"")=TEXT(M100,"0"),"Pending Approval","🔒 WRONG CODE")))</f>
        <v>Pending</v>
      </c>
      <c r="L100" s="30" t="s">
        <v>62</v>
      </c>
      <c r="M100" s="41"/>
      <c r="N100" s="57"/>
    </row>
    <row r="101" spans="1:14" ht="20.100000000000001" customHeight="1" x14ac:dyDescent="0.25">
      <c r="A101" s="30" t="str">
        <f t="shared" si="8"/>
        <v/>
      </c>
      <c r="B101" s="41"/>
      <c r="C101" s="35" t="str">
        <f>IF(B101="","",IFERROR(VLOOKUP(B101,DB_Customers!$A:$B,2,0),"❌ Account Not Found"))</f>
        <v/>
      </c>
      <c r="D101" s="42" t="str">
        <f t="shared" ca="1" si="9"/>
        <v/>
      </c>
      <c r="E101" s="32"/>
      <c r="F101" s="31"/>
      <c r="G101" s="41"/>
      <c r="H101" s="56">
        <v>2.5</v>
      </c>
      <c r="I101" s="43" t="str">
        <f t="shared" si="10"/>
        <v/>
      </c>
      <c r="J101" s="43" t="str">
        <f t="shared" si="11"/>
        <v/>
      </c>
      <c r="K101" s="33" t="str">
        <f>IF(B101="","Pending",IF(M101="","⚠️ Enter Code",IF(IFERROR(VLOOKUP(L101,DB_Agents!$B:$F,4,0),"")=TEXT(M101,"0"),"Pending Approval","🔒 WRONG CODE")))</f>
        <v>Pending</v>
      </c>
      <c r="L101" s="30" t="s">
        <v>62</v>
      </c>
      <c r="M101" s="41"/>
      <c r="N101" s="22"/>
    </row>
    <row r="102" spans="1:14" ht="20.100000000000001" customHeight="1" x14ac:dyDescent="0.25">
      <c r="A102" s="30" t="str">
        <f t="shared" si="8"/>
        <v/>
      </c>
      <c r="B102" s="41"/>
      <c r="C102" s="35" t="str">
        <f>IF(B102="","",IFERROR(VLOOKUP(B102,DB_Customers!$A:$B,2,0),"❌ Account Not Found"))</f>
        <v/>
      </c>
      <c r="D102" s="42" t="str">
        <f t="shared" ca="1" si="9"/>
        <v/>
      </c>
      <c r="E102" s="32"/>
      <c r="F102" s="31"/>
      <c r="G102" s="41"/>
      <c r="H102" s="56">
        <v>2.5</v>
      </c>
      <c r="I102" s="43" t="str">
        <f t="shared" si="10"/>
        <v/>
      </c>
      <c r="J102" s="43" t="str">
        <f t="shared" si="11"/>
        <v/>
      </c>
      <c r="K102" s="33" t="str">
        <f>IF(B102="","Pending",IF(M102="","⚠️ Enter Code",IF(IFERROR(VLOOKUP(L102,DB_Agents!$B:$F,4,0),"")=TEXT(M102,"0"),"Pending Approval","🔒 WRONG CODE")))</f>
        <v>Pending</v>
      </c>
      <c r="L102" s="30" t="s">
        <v>62</v>
      </c>
      <c r="M102" s="41"/>
      <c r="N102" s="57"/>
    </row>
    <row r="103" spans="1:14" ht="20.100000000000001" customHeight="1" x14ac:dyDescent="0.25">
      <c r="A103" s="30" t="str">
        <f t="shared" si="8"/>
        <v/>
      </c>
      <c r="B103" s="41"/>
      <c r="C103" s="35" t="str">
        <f>IF(B103="","",IFERROR(VLOOKUP(B103,DB_Customers!$A:$B,2,0),"❌ Account Not Found"))</f>
        <v/>
      </c>
      <c r="D103" s="42" t="str">
        <f t="shared" ca="1" si="9"/>
        <v/>
      </c>
      <c r="E103" s="32"/>
      <c r="F103" s="31"/>
      <c r="G103" s="41"/>
      <c r="H103" s="56">
        <v>2.5</v>
      </c>
      <c r="I103" s="43" t="str">
        <f t="shared" si="10"/>
        <v/>
      </c>
      <c r="J103" s="43" t="str">
        <f t="shared" si="11"/>
        <v/>
      </c>
      <c r="K103" s="33" t="str">
        <f>IF(B103="","Pending",IF(M103="","⚠️ Enter Code",IF(IFERROR(VLOOKUP(L103,DB_Agents!$B:$F,4,0),"")=TEXT(M103,"0"),"Pending Approval","🔒 WRONG CODE")))</f>
        <v>Pending</v>
      </c>
      <c r="L103" s="30" t="s">
        <v>62</v>
      </c>
      <c r="M103" s="41"/>
      <c r="N103" s="22"/>
    </row>
    <row r="104" spans="1:14" ht="20.100000000000001" customHeight="1" x14ac:dyDescent="0.25">
      <c r="A104" s="30" t="str">
        <f t="shared" si="8"/>
        <v/>
      </c>
      <c r="B104" s="41"/>
      <c r="C104" s="35" t="str">
        <f>IF(B104="","",IFERROR(VLOOKUP(B104,DB_Customers!$A:$B,2,0),"❌ Account Not Found"))</f>
        <v/>
      </c>
      <c r="D104" s="42" t="str">
        <f t="shared" ca="1" si="9"/>
        <v/>
      </c>
      <c r="E104" s="32"/>
      <c r="F104" s="31"/>
      <c r="G104" s="41"/>
      <c r="H104" s="56">
        <v>2.5</v>
      </c>
      <c r="I104" s="43" t="str">
        <f t="shared" si="10"/>
        <v/>
      </c>
      <c r="J104" s="43" t="str">
        <f t="shared" si="11"/>
        <v/>
      </c>
      <c r="K104" s="33" t="str">
        <f>IF(B104="","Pending",IF(M104="","⚠️ Enter Code",IF(IFERROR(VLOOKUP(L104,DB_Agents!$B:$F,4,0),"")=TEXT(M104,"0"),"Pending Approval","🔒 WRONG CODE")))</f>
        <v>Pending</v>
      </c>
      <c r="L104" s="30" t="s">
        <v>62</v>
      </c>
      <c r="M104" s="41"/>
      <c r="N104" s="57"/>
    </row>
    <row r="105" spans="1:14" ht="20.100000000000001" customHeight="1" x14ac:dyDescent="0.25">
      <c r="A105" s="30" t="str">
        <f t="shared" si="8"/>
        <v/>
      </c>
      <c r="B105" s="41"/>
      <c r="C105" s="35" t="str">
        <f>IF(B105="","",IFERROR(VLOOKUP(B105,DB_Customers!$A:$B,2,0),"❌ Account Not Found"))</f>
        <v/>
      </c>
      <c r="D105" s="42" t="str">
        <f t="shared" ca="1" si="9"/>
        <v/>
      </c>
      <c r="E105" s="32"/>
      <c r="F105" s="31"/>
      <c r="G105" s="41"/>
      <c r="H105" s="56">
        <v>2.5</v>
      </c>
      <c r="I105" s="43" t="str">
        <f t="shared" si="10"/>
        <v/>
      </c>
      <c r="J105" s="43" t="str">
        <f t="shared" si="11"/>
        <v/>
      </c>
      <c r="K105" s="33" t="str">
        <f>IF(B105="","Pending",IF(M105="","⚠️ Enter Code",IF(IFERROR(VLOOKUP(L105,DB_Agents!$B:$F,4,0),"")=TEXT(M105,"0"),"Pending Approval","🔒 WRONG CODE")))</f>
        <v>Pending</v>
      </c>
      <c r="L105" s="30" t="s">
        <v>62</v>
      </c>
      <c r="M105" s="41"/>
      <c r="N105" s="22"/>
    </row>
    <row r="106" spans="1:14" ht="20.100000000000001" customHeight="1" x14ac:dyDescent="0.25">
      <c r="A106" s="30" t="str">
        <f t="shared" si="8"/>
        <v/>
      </c>
      <c r="B106" s="41"/>
      <c r="C106" s="35" t="str">
        <f>IF(B106="","",IFERROR(VLOOKUP(B106,DB_Customers!$A:$B,2,0),"❌ Account Not Found"))</f>
        <v/>
      </c>
      <c r="D106" s="42" t="str">
        <f t="shared" ca="1" si="9"/>
        <v/>
      </c>
      <c r="E106" s="32"/>
      <c r="F106" s="31"/>
      <c r="G106" s="41"/>
      <c r="H106" s="56">
        <v>2.5</v>
      </c>
      <c r="I106" s="43" t="str">
        <f t="shared" si="10"/>
        <v/>
      </c>
      <c r="J106" s="43" t="str">
        <f t="shared" si="11"/>
        <v/>
      </c>
      <c r="K106" s="33" t="str">
        <f>IF(B106="","Pending",IF(M106="","⚠️ Enter Code",IF(IFERROR(VLOOKUP(L106,DB_Agents!$B:$F,4,0),"")=TEXT(M106,"0"),"Pending Approval","🔒 WRONG CODE")))</f>
        <v>Pending</v>
      </c>
      <c r="L106" s="30" t="s">
        <v>62</v>
      </c>
      <c r="M106" s="41"/>
      <c r="N106" s="57"/>
    </row>
    <row r="107" spans="1:14" ht="20.100000000000001" customHeight="1" x14ac:dyDescent="0.25">
      <c r="A107" s="30" t="str">
        <f t="shared" si="8"/>
        <v/>
      </c>
      <c r="B107" s="41"/>
      <c r="C107" s="35" t="str">
        <f>IF(B107="","",IFERROR(VLOOKUP(B107,DB_Customers!$A:$B,2,0),"❌ Account Not Found"))</f>
        <v/>
      </c>
      <c r="D107" s="42" t="str">
        <f t="shared" ca="1" si="9"/>
        <v/>
      </c>
      <c r="E107" s="32"/>
      <c r="F107" s="31"/>
      <c r="G107" s="41"/>
      <c r="H107" s="56">
        <v>2.5</v>
      </c>
      <c r="I107" s="43" t="str">
        <f t="shared" si="10"/>
        <v/>
      </c>
      <c r="J107" s="43" t="str">
        <f t="shared" si="11"/>
        <v/>
      </c>
      <c r="K107" s="33" t="str">
        <f>IF(B107="","Pending",IF(M107="","⚠️ Enter Code",IF(IFERROR(VLOOKUP(L107,DB_Agents!$B:$F,4,0),"")=TEXT(M107,"0"),"Pending Approval","🔒 WRONG CODE")))</f>
        <v>Pending</v>
      </c>
      <c r="L107" s="30" t="s">
        <v>62</v>
      </c>
      <c r="M107" s="41"/>
      <c r="N107" s="22"/>
    </row>
    <row r="108" spans="1:14" ht="20.100000000000001" customHeight="1" x14ac:dyDescent="0.25">
      <c r="A108" s="30" t="str">
        <f t="shared" si="8"/>
        <v/>
      </c>
      <c r="B108" s="41"/>
      <c r="C108" s="35" t="str">
        <f>IF(B108="","",IFERROR(VLOOKUP(B108,DB_Customers!$A:$B,2,0),"❌ Account Not Found"))</f>
        <v/>
      </c>
      <c r="D108" s="42" t="str">
        <f t="shared" ca="1" si="9"/>
        <v/>
      </c>
      <c r="E108" s="32"/>
      <c r="F108" s="31"/>
      <c r="G108" s="41"/>
      <c r="H108" s="56">
        <v>2.5</v>
      </c>
      <c r="I108" s="43" t="str">
        <f t="shared" si="10"/>
        <v/>
      </c>
      <c r="J108" s="43" t="str">
        <f t="shared" si="11"/>
        <v/>
      </c>
      <c r="K108" s="33" t="str">
        <f>IF(B108="","Pending",IF(M108="","⚠️ Enter Code",IF(IFERROR(VLOOKUP(L108,DB_Agents!$B:$F,4,0),"")=TEXT(M108,"0"),"Pending Approval","🔒 WRONG CODE")))</f>
        <v>Pending</v>
      </c>
      <c r="L108" s="30" t="s">
        <v>62</v>
      </c>
      <c r="M108" s="41"/>
      <c r="N108" s="57"/>
    </row>
    <row r="109" spans="1:14" ht="20.100000000000001" customHeight="1" x14ac:dyDescent="0.25">
      <c r="A109" s="30" t="str">
        <f t="shared" si="8"/>
        <v/>
      </c>
      <c r="B109" s="41"/>
      <c r="C109" s="35" t="str">
        <f>IF(B109="","",IFERROR(VLOOKUP(B109,DB_Customers!$A:$B,2,0),"❌ Account Not Found"))</f>
        <v/>
      </c>
      <c r="D109" s="42" t="str">
        <f t="shared" ca="1" si="9"/>
        <v/>
      </c>
      <c r="E109" s="32"/>
      <c r="F109" s="31"/>
      <c r="G109" s="41"/>
      <c r="H109" s="56">
        <v>2.5</v>
      </c>
      <c r="I109" s="43" t="str">
        <f t="shared" si="10"/>
        <v/>
      </c>
      <c r="J109" s="43" t="str">
        <f t="shared" si="11"/>
        <v/>
      </c>
      <c r="K109" s="33" t="str">
        <f>IF(B109="","Pending",IF(M109="","⚠️ Enter Code",IF(IFERROR(VLOOKUP(L109,DB_Agents!$B:$F,4,0),"")=TEXT(M109,"0"),"Pending Approval","🔒 WRONG CODE")))</f>
        <v>Pending</v>
      </c>
      <c r="L109" s="30" t="s">
        <v>62</v>
      </c>
      <c r="M109" s="41"/>
      <c r="N109" s="22"/>
    </row>
    <row r="110" spans="1:14" ht="20.100000000000001" customHeight="1" x14ac:dyDescent="0.25">
      <c r="A110" s="30" t="str">
        <f t="shared" ref="A110:A141" si="12">IF(B110="","",IF(C110="❌ Account Not Found","INVALID","LN"&amp;TEXT(D110,"YYYYMMDD")&amp;TEXT(ROW()-13,"0000")))</f>
        <v/>
      </c>
      <c r="B110" s="41"/>
      <c r="C110" s="35" t="str">
        <f>IF(B110="","",IFERROR(VLOOKUP(B110,DB_Customers!$A:$B,2,0),"❌ Account Not Found"))</f>
        <v/>
      </c>
      <c r="D110" s="42" t="str">
        <f t="shared" ref="D110:D141" ca="1" si="13">IF(B110="","",TODAY())</f>
        <v/>
      </c>
      <c r="E110" s="32"/>
      <c r="F110" s="31"/>
      <c r="G110" s="41"/>
      <c r="H110" s="56">
        <v>2.5</v>
      </c>
      <c r="I110" s="43" t="str">
        <f t="shared" ref="I110:I141" si="14">IF(E110="","",E110+(E110*H110/100*G110))</f>
        <v/>
      </c>
      <c r="J110" s="43" t="str">
        <f t="shared" ref="J110:J141" si="15">IFERROR(I110/G110,"")</f>
        <v/>
      </c>
      <c r="K110" s="33" t="str">
        <f>IF(B110="","Pending",IF(M110="","⚠️ Enter Code",IF(IFERROR(VLOOKUP(L110,DB_Agents!$B:$F,4,0),"")=TEXT(M110,"0"),"Pending Approval","🔒 WRONG CODE")))</f>
        <v>Pending</v>
      </c>
      <c r="L110" s="30" t="s">
        <v>62</v>
      </c>
      <c r="M110" s="41"/>
      <c r="N110" s="57"/>
    </row>
    <row r="111" spans="1:14" ht="20.100000000000001" customHeight="1" x14ac:dyDescent="0.25">
      <c r="A111" s="30" t="str">
        <f t="shared" si="12"/>
        <v/>
      </c>
      <c r="B111" s="41"/>
      <c r="C111" s="35" t="str">
        <f>IF(B111="","",IFERROR(VLOOKUP(B111,DB_Customers!$A:$B,2,0),"❌ Account Not Found"))</f>
        <v/>
      </c>
      <c r="D111" s="42" t="str">
        <f t="shared" ca="1" si="13"/>
        <v/>
      </c>
      <c r="E111" s="32"/>
      <c r="F111" s="31"/>
      <c r="G111" s="41"/>
      <c r="H111" s="56">
        <v>2.5</v>
      </c>
      <c r="I111" s="43" t="str">
        <f t="shared" si="14"/>
        <v/>
      </c>
      <c r="J111" s="43" t="str">
        <f t="shared" si="15"/>
        <v/>
      </c>
      <c r="K111" s="33" t="str">
        <f>IF(B111="","Pending",IF(M111="","⚠️ Enter Code",IF(IFERROR(VLOOKUP(L111,DB_Agents!$B:$F,4,0),"")=TEXT(M111,"0"),"Pending Approval","🔒 WRONG CODE")))</f>
        <v>Pending</v>
      </c>
      <c r="L111" s="30" t="s">
        <v>62</v>
      </c>
      <c r="M111" s="41"/>
      <c r="N111" s="22"/>
    </row>
    <row r="112" spans="1:14" ht="20.100000000000001" customHeight="1" x14ac:dyDescent="0.25">
      <c r="A112" s="30" t="str">
        <f t="shared" si="12"/>
        <v/>
      </c>
      <c r="B112" s="41"/>
      <c r="C112" s="35" t="str">
        <f>IF(B112="","",IFERROR(VLOOKUP(B112,DB_Customers!$A:$B,2,0),"❌ Account Not Found"))</f>
        <v/>
      </c>
      <c r="D112" s="42" t="str">
        <f t="shared" ca="1" si="13"/>
        <v/>
      </c>
      <c r="E112" s="32"/>
      <c r="F112" s="31"/>
      <c r="G112" s="41"/>
      <c r="H112" s="56">
        <v>2.5</v>
      </c>
      <c r="I112" s="43" t="str">
        <f t="shared" si="14"/>
        <v/>
      </c>
      <c r="J112" s="43" t="str">
        <f t="shared" si="15"/>
        <v/>
      </c>
      <c r="K112" s="33" t="str">
        <f>IF(B112="","Pending",IF(M112="","⚠️ Enter Code",IF(IFERROR(VLOOKUP(L112,DB_Agents!$B:$F,4,0),"")=TEXT(M112,"0"),"Pending Approval","🔒 WRONG CODE")))</f>
        <v>Pending</v>
      </c>
      <c r="L112" s="30" t="s">
        <v>62</v>
      </c>
      <c r="M112" s="41"/>
      <c r="N112" s="57"/>
    </row>
    <row r="113" spans="1:14" ht="20.100000000000001" customHeight="1" x14ac:dyDescent="0.25">
      <c r="A113" s="30" t="str">
        <f t="shared" si="12"/>
        <v/>
      </c>
      <c r="B113" s="41"/>
      <c r="C113" s="35" t="str">
        <f>IF(B113="","",IFERROR(VLOOKUP(B113,DB_Customers!$A:$B,2,0),"❌ Account Not Found"))</f>
        <v/>
      </c>
      <c r="D113" s="42" t="str">
        <f t="shared" ca="1" si="13"/>
        <v/>
      </c>
      <c r="E113" s="32"/>
      <c r="F113" s="31"/>
      <c r="G113" s="41"/>
      <c r="H113" s="56">
        <v>2.5</v>
      </c>
      <c r="I113" s="43" t="str">
        <f t="shared" si="14"/>
        <v/>
      </c>
      <c r="J113" s="43" t="str">
        <f t="shared" si="15"/>
        <v/>
      </c>
      <c r="K113" s="33" t="str">
        <f>IF(B113="","Pending",IF(M113="","⚠️ Enter Code",IF(IFERROR(VLOOKUP(L113,DB_Agents!$B:$F,4,0),"")=TEXT(M113,"0"),"Pending Approval","🔒 WRONG CODE")))</f>
        <v>Pending</v>
      </c>
      <c r="L113" s="30" t="s">
        <v>62</v>
      </c>
      <c r="M113" s="41"/>
      <c r="N113" s="22"/>
    </row>
    <row r="114" spans="1:14" ht="20.100000000000001" customHeight="1" x14ac:dyDescent="0.25">
      <c r="A114" s="30" t="str">
        <f t="shared" si="12"/>
        <v/>
      </c>
      <c r="B114" s="41"/>
      <c r="C114" s="35" t="str">
        <f>IF(B114="","",IFERROR(VLOOKUP(B114,DB_Customers!$A:$B,2,0),"❌ Account Not Found"))</f>
        <v/>
      </c>
      <c r="D114" s="42" t="str">
        <f t="shared" ca="1" si="13"/>
        <v/>
      </c>
      <c r="E114" s="32"/>
      <c r="F114" s="31"/>
      <c r="G114" s="41"/>
      <c r="H114" s="56">
        <v>2.5</v>
      </c>
      <c r="I114" s="43" t="str">
        <f t="shared" si="14"/>
        <v/>
      </c>
      <c r="J114" s="43" t="str">
        <f t="shared" si="15"/>
        <v/>
      </c>
      <c r="K114" s="33" t="str">
        <f>IF(B114="","Pending",IF(M114="","⚠️ Enter Code",IF(IFERROR(VLOOKUP(L114,DB_Agents!$B:$F,4,0),"")=TEXT(M114,"0"),"Pending Approval","🔒 WRONG CODE")))</f>
        <v>Pending</v>
      </c>
      <c r="L114" s="30" t="s">
        <v>62</v>
      </c>
      <c r="M114" s="41"/>
      <c r="N114" s="57"/>
    </row>
    <row r="115" spans="1:14" ht="20.100000000000001" customHeight="1" x14ac:dyDescent="0.25">
      <c r="A115" s="30" t="str">
        <f t="shared" si="12"/>
        <v/>
      </c>
      <c r="B115" s="41"/>
      <c r="C115" s="35" t="str">
        <f>IF(B115="","",IFERROR(VLOOKUP(B115,DB_Customers!$A:$B,2,0),"❌ Account Not Found"))</f>
        <v/>
      </c>
      <c r="D115" s="42" t="str">
        <f t="shared" ca="1" si="13"/>
        <v/>
      </c>
      <c r="E115" s="32"/>
      <c r="F115" s="31"/>
      <c r="G115" s="41"/>
      <c r="H115" s="56">
        <v>2.5</v>
      </c>
      <c r="I115" s="43" t="str">
        <f t="shared" si="14"/>
        <v/>
      </c>
      <c r="J115" s="43" t="str">
        <f t="shared" si="15"/>
        <v/>
      </c>
      <c r="K115" s="33" t="str">
        <f>IF(B115="","Pending",IF(M115="","⚠️ Enter Code",IF(IFERROR(VLOOKUP(L115,DB_Agents!$B:$F,4,0),"")=TEXT(M115,"0"),"Pending Approval","🔒 WRONG CODE")))</f>
        <v>Pending</v>
      </c>
      <c r="L115" s="30" t="s">
        <v>62</v>
      </c>
      <c r="M115" s="41"/>
      <c r="N115" s="22"/>
    </row>
    <row r="116" spans="1:14" ht="20.100000000000001" customHeight="1" x14ac:dyDescent="0.25">
      <c r="A116" s="30" t="str">
        <f t="shared" si="12"/>
        <v/>
      </c>
      <c r="B116" s="41"/>
      <c r="C116" s="35" t="str">
        <f>IF(B116="","",IFERROR(VLOOKUP(B116,DB_Customers!$A:$B,2,0),"❌ Account Not Found"))</f>
        <v/>
      </c>
      <c r="D116" s="42" t="str">
        <f t="shared" ca="1" si="13"/>
        <v/>
      </c>
      <c r="E116" s="32"/>
      <c r="F116" s="31"/>
      <c r="G116" s="41"/>
      <c r="H116" s="56">
        <v>2.5</v>
      </c>
      <c r="I116" s="43" t="str">
        <f t="shared" si="14"/>
        <v/>
      </c>
      <c r="J116" s="43" t="str">
        <f t="shared" si="15"/>
        <v/>
      </c>
      <c r="K116" s="33" t="str">
        <f>IF(B116="","Pending",IF(M116="","⚠️ Enter Code",IF(IFERROR(VLOOKUP(L116,DB_Agents!$B:$F,4,0),"")=TEXT(M116,"0"),"Pending Approval","🔒 WRONG CODE")))</f>
        <v>Pending</v>
      </c>
      <c r="L116" s="30" t="s">
        <v>62</v>
      </c>
      <c r="M116" s="41"/>
      <c r="N116" s="57"/>
    </row>
    <row r="117" spans="1:14" ht="20.100000000000001" customHeight="1" x14ac:dyDescent="0.25">
      <c r="A117" s="30" t="str">
        <f t="shared" si="12"/>
        <v/>
      </c>
      <c r="B117" s="41"/>
      <c r="C117" s="35" t="str">
        <f>IF(B117="","",IFERROR(VLOOKUP(B117,DB_Customers!$A:$B,2,0),"❌ Account Not Found"))</f>
        <v/>
      </c>
      <c r="D117" s="42" t="str">
        <f t="shared" ca="1" si="13"/>
        <v/>
      </c>
      <c r="E117" s="32"/>
      <c r="F117" s="31"/>
      <c r="G117" s="41"/>
      <c r="H117" s="56">
        <v>2.5</v>
      </c>
      <c r="I117" s="43" t="str">
        <f t="shared" si="14"/>
        <v/>
      </c>
      <c r="J117" s="43" t="str">
        <f t="shared" si="15"/>
        <v/>
      </c>
      <c r="K117" s="33" t="str">
        <f>IF(B117="","Pending",IF(M117="","⚠️ Enter Code",IF(IFERROR(VLOOKUP(L117,DB_Agents!$B:$F,4,0),"")=TEXT(M117,"0"),"Pending Approval","🔒 WRONG CODE")))</f>
        <v>Pending</v>
      </c>
      <c r="L117" s="30" t="s">
        <v>62</v>
      </c>
      <c r="M117" s="41"/>
      <c r="N117" s="22"/>
    </row>
    <row r="118" spans="1:14" ht="20.100000000000001" customHeight="1" x14ac:dyDescent="0.25">
      <c r="A118" s="30" t="str">
        <f t="shared" si="12"/>
        <v/>
      </c>
      <c r="B118" s="41"/>
      <c r="C118" s="35" t="str">
        <f>IF(B118="","",IFERROR(VLOOKUP(B118,DB_Customers!$A:$B,2,0),"❌ Account Not Found"))</f>
        <v/>
      </c>
      <c r="D118" s="42" t="str">
        <f t="shared" ca="1" si="13"/>
        <v/>
      </c>
      <c r="E118" s="32"/>
      <c r="F118" s="31"/>
      <c r="G118" s="41"/>
      <c r="H118" s="56">
        <v>2.5</v>
      </c>
      <c r="I118" s="43" t="str">
        <f t="shared" si="14"/>
        <v/>
      </c>
      <c r="J118" s="43" t="str">
        <f t="shared" si="15"/>
        <v/>
      </c>
      <c r="K118" s="33" t="str">
        <f>IF(B118="","Pending",IF(M118="","⚠️ Enter Code",IF(IFERROR(VLOOKUP(L118,DB_Agents!$B:$F,4,0),"")=TEXT(M118,"0"),"Pending Approval","🔒 WRONG CODE")))</f>
        <v>Pending</v>
      </c>
      <c r="L118" s="30" t="s">
        <v>62</v>
      </c>
      <c r="M118" s="41"/>
      <c r="N118" s="57"/>
    </row>
    <row r="119" spans="1:14" ht="20.100000000000001" customHeight="1" x14ac:dyDescent="0.25">
      <c r="A119" s="30" t="str">
        <f t="shared" si="12"/>
        <v/>
      </c>
      <c r="B119" s="41"/>
      <c r="C119" s="35" t="str">
        <f>IF(B119="","",IFERROR(VLOOKUP(B119,DB_Customers!$A:$B,2,0),"❌ Account Not Found"))</f>
        <v/>
      </c>
      <c r="D119" s="42" t="str">
        <f t="shared" ca="1" si="13"/>
        <v/>
      </c>
      <c r="E119" s="32"/>
      <c r="F119" s="31"/>
      <c r="G119" s="41"/>
      <c r="H119" s="56">
        <v>2.5</v>
      </c>
      <c r="I119" s="43" t="str">
        <f t="shared" si="14"/>
        <v/>
      </c>
      <c r="J119" s="43" t="str">
        <f t="shared" si="15"/>
        <v/>
      </c>
      <c r="K119" s="33" t="str">
        <f>IF(B119="","Pending",IF(M119="","⚠️ Enter Code",IF(IFERROR(VLOOKUP(L119,DB_Agents!$B:$F,4,0),"")=TEXT(M119,"0"),"Pending Approval","🔒 WRONG CODE")))</f>
        <v>Pending</v>
      </c>
      <c r="L119" s="30" t="s">
        <v>62</v>
      </c>
      <c r="M119" s="41"/>
      <c r="N119" s="22"/>
    </row>
    <row r="120" spans="1:14" ht="20.100000000000001" customHeight="1" x14ac:dyDescent="0.25">
      <c r="A120" s="30" t="str">
        <f t="shared" si="12"/>
        <v/>
      </c>
      <c r="B120" s="41"/>
      <c r="C120" s="35" t="str">
        <f>IF(B120="","",IFERROR(VLOOKUP(B120,DB_Customers!$A:$B,2,0),"❌ Account Not Found"))</f>
        <v/>
      </c>
      <c r="D120" s="42" t="str">
        <f t="shared" ca="1" si="13"/>
        <v/>
      </c>
      <c r="E120" s="32"/>
      <c r="F120" s="31"/>
      <c r="G120" s="41"/>
      <c r="H120" s="56">
        <v>2.5</v>
      </c>
      <c r="I120" s="43" t="str">
        <f t="shared" si="14"/>
        <v/>
      </c>
      <c r="J120" s="43" t="str">
        <f t="shared" si="15"/>
        <v/>
      </c>
      <c r="K120" s="33" t="str">
        <f>IF(B120="","Pending",IF(M120="","⚠️ Enter Code",IF(IFERROR(VLOOKUP(L120,DB_Agents!$B:$F,4,0),"")=TEXT(M120,"0"),"Pending Approval","🔒 WRONG CODE")))</f>
        <v>Pending</v>
      </c>
      <c r="L120" s="30" t="s">
        <v>62</v>
      </c>
      <c r="M120" s="41"/>
      <c r="N120" s="57"/>
    </row>
    <row r="121" spans="1:14" ht="20.100000000000001" customHeight="1" x14ac:dyDescent="0.25">
      <c r="A121" s="30" t="str">
        <f t="shared" si="12"/>
        <v/>
      </c>
      <c r="B121" s="41"/>
      <c r="C121" s="35" t="str">
        <f>IF(B121="","",IFERROR(VLOOKUP(B121,DB_Customers!$A:$B,2,0),"❌ Account Not Found"))</f>
        <v/>
      </c>
      <c r="D121" s="42" t="str">
        <f t="shared" ca="1" si="13"/>
        <v/>
      </c>
      <c r="E121" s="32"/>
      <c r="F121" s="31"/>
      <c r="G121" s="41"/>
      <c r="H121" s="56">
        <v>2.5</v>
      </c>
      <c r="I121" s="43" t="str">
        <f t="shared" si="14"/>
        <v/>
      </c>
      <c r="J121" s="43" t="str">
        <f t="shared" si="15"/>
        <v/>
      </c>
      <c r="K121" s="33" t="str">
        <f>IF(B121="","Pending",IF(M121="","⚠️ Enter Code",IF(IFERROR(VLOOKUP(L121,DB_Agents!$B:$F,4,0),"")=TEXT(M121,"0"),"Pending Approval","🔒 WRONG CODE")))</f>
        <v>Pending</v>
      </c>
      <c r="L121" s="30" t="s">
        <v>62</v>
      </c>
      <c r="M121" s="41"/>
      <c r="N121" s="22"/>
    </row>
    <row r="122" spans="1:14" ht="20.100000000000001" customHeight="1" x14ac:dyDescent="0.25">
      <c r="A122" s="30" t="str">
        <f t="shared" si="12"/>
        <v/>
      </c>
      <c r="B122" s="41"/>
      <c r="C122" s="35" t="str">
        <f>IF(B122="","",IFERROR(VLOOKUP(B122,DB_Customers!$A:$B,2,0),"❌ Account Not Found"))</f>
        <v/>
      </c>
      <c r="D122" s="42" t="str">
        <f t="shared" ca="1" si="13"/>
        <v/>
      </c>
      <c r="E122" s="32"/>
      <c r="F122" s="31"/>
      <c r="G122" s="41"/>
      <c r="H122" s="56">
        <v>2.5</v>
      </c>
      <c r="I122" s="43" t="str">
        <f t="shared" si="14"/>
        <v/>
      </c>
      <c r="J122" s="43" t="str">
        <f t="shared" si="15"/>
        <v/>
      </c>
      <c r="K122" s="33" t="str">
        <f>IF(B122="","Pending",IF(M122="","⚠️ Enter Code",IF(IFERROR(VLOOKUP(L122,DB_Agents!$B:$F,4,0),"")=TEXT(M122,"0"),"Pending Approval","🔒 WRONG CODE")))</f>
        <v>Pending</v>
      </c>
      <c r="L122" s="30" t="s">
        <v>62</v>
      </c>
      <c r="M122" s="41"/>
      <c r="N122" s="57"/>
    </row>
    <row r="123" spans="1:14" ht="20.100000000000001" customHeight="1" x14ac:dyDescent="0.25">
      <c r="A123" s="30" t="str">
        <f t="shared" si="12"/>
        <v/>
      </c>
      <c r="B123" s="41"/>
      <c r="C123" s="35" t="str">
        <f>IF(B123="","",IFERROR(VLOOKUP(B123,DB_Customers!$A:$B,2,0),"❌ Account Not Found"))</f>
        <v/>
      </c>
      <c r="D123" s="42" t="str">
        <f t="shared" ca="1" si="13"/>
        <v/>
      </c>
      <c r="E123" s="32"/>
      <c r="F123" s="31"/>
      <c r="G123" s="41"/>
      <c r="H123" s="56">
        <v>2.5</v>
      </c>
      <c r="I123" s="43" t="str">
        <f t="shared" si="14"/>
        <v/>
      </c>
      <c r="J123" s="43" t="str">
        <f t="shared" si="15"/>
        <v/>
      </c>
      <c r="K123" s="33" t="str">
        <f>IF(B123="","Pending",IF(M123="","⚠️ Enter Code",IF(IFERROR(VLOOKUP(L123,DB_Agents!$B:$F,4,0),"")=TEXT(M123,"0"),"Pending Approval","🔒 WRONG CODE")))</f>
        <v>Pending</v>
      </c>
      <c r="L123" s="30" t="s">
        <v>62</v>
      </c>
      <c r="M123" s="41"/>
      <c r="N123" s="22"/>
    </row>
    <row r="124" spans="1:14" ht="20.100000000000001" customHeight="1" x14ac:dyDescent="0.25">
      <c r="A124" s="30" t="str">
        <f t="shared" si="12"/>
        <v/>
      </c>
      <c r="B124" s="41"/>
      <c r="C124" s="35" t="str">
        <f>IF(B124="","",IFERROR(VLOOKUP(B124,DB_Customers!$A:$B,2,0),"❌ Account Not Found"))</f>
        <v/>
      </c>
      <c r="D124" s="42" t="str">
        <f t="shared" ca="1" si="13"/>
        <v/>
      </c>
      <c r="E124" s="32"/>
      <c r="F124" s="31"/>
      <c r="G124" s="41"/>
      <c r="H124" s="56">
        <v>2.5</v>
      </c>
      <c r="I124" s="43" t="str">
        <f t="shared" si="14"/>
        <v/>
      </c>
      <c r="J124" s="43" t="str">
        <f t="shared" si="15"/>
        <v/>
      </c>
      <c r="K124" s="33" t="str">
        <f>IF(B124="","Pending",IF(M124="","⚠️ Enter Code",IF(IFERROR(VLOOKUP(L124,DB_Agents!$B:$F,4,0),"")=TEXT(M124,"0"),"Pending Approval","🔒 WRONG CODE")))</f>
        <v>Pending</v>
      </c>
      <c r="L124" s="30" t="s">
        <v>62</v>
      </c>
      <c r="M124" s="41"/>
      <c r="N124" s="57"/>
    </row>
    <row r="125" spans="1:14" ht="20.100000000000001" customHeight="1" x14ac:dyDescent="0.25">
      <c r="A125" s="30" t="str">
        <f t="shared" si="12"/>
        <v/>
      </c>
      <c r="B125" s="41"/>
      <c r="C125" s="35" t="str">
        <f>IF(B125="","",IFERROR(VLOOKUP(B125,DB_Customers!$A:$B,2,0),"❌ Account Not Found"))</f>
        <v/>
      </c>
      <c r="D125" s="42" t="str">
        <f t="shared" ca="1" si="13"/>
        <v/>
      </c>
      <c r="E125" s="32"/>
      <c r="F125" s="31"/>
      <c r="G125" s="41"/>
      <c r="H125" s="56">
        <v>2.5</v>
      </c>
      <c r="I125" s="43" t="str">
        <f t="shared" si="14"/>
        <v/>
      </c>
      <c r="J125" s="43" t="str">
        <f t="shared" si="15"/>
        <v/>
      </c>
      <c r="K125" s="33" t="str">
        <f>IF(B125="","Pending",IF(M125="","⚠️ Enter Code",IF(IFERROR(VLOOKUP(L125,DB_Agents!$B:$F,4,0),"")=TEXT(M125,"0"),"Pending Approval","🔒 WRONG CODE")))</f>
        <v>Pending</v>
      </c>
      <c r="L125" s="30" t="s">
        <v>62</v>
      </c>
      <c r="M125" s="41"/>
      <c r="N125" s="22"/>
    </row>
    <row r="126" spans="1:14" ht="20.100000000000001" customHeight="1" x14ac:dyDescent="0.25">
      <c r="A126" s="30" t="str">
        <f t="shared" si="12"/>
        <v/>
      </c>
      <c r="B126" s="41"/>
      <c r="C126" s="35" t="str">
        <f>IF(B126="","",IFERROR(VLOOKUP(B126,DB_Customers!$A:$B,2,0),"❌ Account Not Found"))</f>
        <v/>
      </c>
      <c r="D126" s="42" t="str">
        <f t="shared" ca="1" si="13"/>
        <v/>
      </c>
      <c r="E126" s="32"/>
      <c r="F126" s="31"/>
      <c r="G126" s="41"/>
      <c r="H126" s="56">
        <v>2.5</v>
      </c>
      <c r="I126" s="43" t="str">
        <f t="shared" si="14"/>
        <v/>
      </c>
      <c r="J126" s="43" t="str">
        <f t="shared" si="15"/>
        <v/>
      </c>
      <c r="K126" s="33" t="str">
        <f>IF(B126="","Pending",IF(M126="","⚠️ Enter Code",IF(IFERROR(VLOOKUP(L126,DB_Agents!$B:$F,4,0),"")=TEXT(M126,"0"),"Pending Approval","🔒 WRONG CODE")))</f>
        <v>Pending</v>
      </c>
      <c r="L126" s="30" t="s">
        <v>62</v>
      </c>
      <c r="M126" s="41"/>
      <c r="N126" s="57"/>
    </row>
    <row r="127" spans="1:14" ht="20.100000000000001" customHeight="1" x14ac:dyDescent="0.25">
      <c r="A127" s="30" t="str">
        <f t="shared" si="12"/>
        <v/>
      </c>
      <c r="B127" s="41"/>
      <c r="C127" s="35" t="str">
        <f>IF(B127="","",IFERROR(VLOOKUP(B127,DB_Customers!$A:$B,2,0),"❌ Account Not Found"))</f>
        <v/>
      </c>
      <c r="D127" s="42" t="str">
        <f t="shared" ca="1" si="13"/>
        <v/>
      </c>
      <c r="E127" s="32"/>
      <c r="F127" s="31"/>
      <c r="G127" s="41"/>
      <c r="H127" s="56">
        <v>2.5</v>
      </c>
      <c r="I127" s="43" t="str">
        <f t="shared" si="14"/>
        <v/>
      </c>
      <c r="J127" s="43" t="str">
        <f t="shared" si="15"/>
        <v/>
      </c>
      <c r="K127" s="33" t="str">
        <f>IF(B127="","Pending",IF(M127="","⚠️ Enter Code",IF(IFERROR(VLOOKUP(L127,DB_Agents!$B:$F,4,0),"")=TEXT(M127,"0"),"Pending Approval","🔒 WRONG CODE")))</f>
        <v>Pending</v>
      </c>
      <c r="L127" s="30" t="s">
        <v>62</v>
      </c>
      <c r="M127" s="41"/>
      <c r="N127" s="22"/>
    </row>
    <row r="128" spans="1:14" ht="20.100000000000001" customHeight="1" x14ac:dyDescent="0.25">
      <c r="A128" s="30" t="str">
        <f t="shared" si="12"/>
        <v/>
      </c>
      <c r="B128" s="41"/>
      <c r="C128" s="35" t="str">
        <f>IF(B128="","",IFERROR(VLOOKUP(B128,DB_Customers!$A:$B,2,0),"❌ Account Not Found"))</f>
        <v/>
      </c>
      <c r="D128" s="42" t="str">
        <f t="shared" ca="1" si="13"/>
        <v/>
      </c>
      <c r="E128" s="32"/>
      <c r="F128" s="31"/>
      <c r="G128" s="41"/>
      <c r="H128" s="56">
        <v>2.5</v>
      </c>
      <c r="I128" s="43" t="str">
        <f t="shared" si="14"/>
        <v/>
      </c>
      <c r="J128" s="43" t="str">
        <f t="shared" si="15"/>
        <v/>
      </c>
      <c r="K128" s="33" t="str">
        <f>IF(B128="","Pending",IF(M128="","⚠️ Enter Code",IF(IFERROR(VLOOKUP(L128,DB_Agents!$B:$F,4,0),"")=TEXT(M128,"0"),"Pending Approval","🔒 WRONG CODE")))</f>
        <v>Pending</v>
      </c>
      <c r="L128" s="30" t="s">
        <v>62</v>
      </c>
      <c r="M128" s="41"/>
      <c r="N128" s="57"/>
    </row>
    <row r="129" spans="1:14" ht="20.100000000000001" customHeight="1" x14ac:dyDescent="0.25">
      <c r="A129" s="30" t="str">
        <f t="shared" si="12"/>
        <v/>
      </c>
      <c r="B129" s="41"/>
      <c r="C129" s="35" t="str">
        <f>IF(B129="","",IFERROR(VLOOKUP(B129,DB_Customers!$A:$B,2,0),"❌ Account Not Found"))</f>
        <v/>
      </c>
      <c r="D129" s="42" t="str">
        <f t="shared" ca="1" si="13"/>
        <v/>
      </c>
      <c r="E129" s="32"/>
      <c r="F129" s="31"/>
      <c r="G129" s="41"/>
      <c r="H129" s="56">
        <v>2.5</v>
      </c>
      <c r="I129" s="43" t="str">
        <f t="shared" si="14"/>
        <v/>
      </c>
      <c r="J129" s="43" t="str">
        <f t="shared" si="15"/>
        <v/>
      </c>
      <c r="K129" s="33" t="str">
        <f>IF(B129="","Pending",IF(M129="","⚠️ Enter Code",IF(IFERROR(VLOOKUP(L129,DB_Agents!$B:$F,4,0),"")=TEXT(M129,"0"),"Pending Approval","🔒 WRONG CODE")))</f>
        <v>Pending</v>
      </c>
      <c r="L129" s="30" t="s">
        <v>62</v>
      </c>
      <c r="M129" s="41"/>
      <c r="N129" s="22"/>
    </row>
    <row r="130" spans="1:14" ht="20.100000000000001" customHeight="1" x14ac:dyDescent="0.25">
      <c r="A130" s="30" t="str">
        <f t="shared" si="12"/>
        <v/>
      </c>
      <c r="B130" s="41"/>
      <c r="C130" s="35" t="str">
        <f>IF(B130="","",IFERROR(VLOOKUP(B130,DB_Customers!$A:$B,2,0),"❌ Account Not Found"))</f>
        <v/>
      </c>
      <c r="D130" s="42" t="str">
        <f t="shared" ca="1" si="13"/>
        <v/>
      </c>
      <c r="E130" s="32"/>
      <c r="F130" s="31"/>
      <c r="G130" s="41"/>
      <c r="H130" s="56">
        <v>2.5</v>
      </c>
      <c r="I130" s="43" t="str">
        <f t="shared" si="14"/>
        <v/>
      </c>
      <c r="J130" s="43" t="str">
        <f t="shared" si="15"/>
        <v/>
      </c>
      <c r="K130" s="33" t="str">
        <f>IF(B130="","Pending",IF(M130="","⚠️ Enter Code",IF(IFERROR(VLOOKUP(L130,DB_Agents!$B:$F,4,0),"")=TEXT(M130,"0"),"Pending Approval","🔒 WRONG CODE")))</f>
        <v>Pending</v>
      </c>
      <c r="L130" s="30" t="s">
        <v>62</v>
      </c>
      <c r="M130" s="41"/>
      <c r="N130" s="57"/>
    </row>
    <row r="131" spans="1:14" ht="20.100000000000001" customHeight="1" x14ac:dyDescent="0.25">
      <c r="A131" s="30" t="str">
        <f t="shared" si="12"/>
        <v/>
      </c>
      <c r="B131" s="41"/>
      <c r="C131" s="35" t="str">
        <f>IF(B131="","",IFERROR(VLOOKUP(B131,DB_Customers!$A:$B,2,0),"❌ Account Not Found"))</f>
        <v/>
      </c>
      <c r="D131" s="42" t="str">
        <f t="shared" ca="1" si="13"/>
        <v/>
      </c>
      <c r="E131" s="32"/>
      <c r="F131" s="31"/>
      <c r="G131" s="41"/>
      <c r="H131" s="56">
        <v>2.5</v>
      </c>
      <c r="I131" s="43" t="str">
        <f t="shared" si="14"/>
        <v/>
      </c>
      <c r="J131" s="43" t="str">
        <f t="shared" si="15"/>
        <v/>
      </c>
      <c r="K131" s="33" t="str">
        <f>IF(B131="","Pending",IF(M131="","⚠️ Enter Code",IF(IFERROR(VLOOKUP(L131,DB_Agents!$B:$F,4,0),"")=TEXT(M131,"0"),"Pending Approval","🔒 WRONG CODE")))</f>
        <v>Pending</v>
      </c>
      <c r="L131" s="30" t="s">
        <v>62</v>
      </c>
      <c r="M131" s="41"/>
      <c r="N131" s="22"/>
    </row>
    <row r="132" spans="1:14" ht="20.100000000000001" customHeight="1" x14ac:dyDescent="0.25">
      <c r="A132" s="30" t="str">
        <f t="shared" si="12"/>
        <v/>
      </c>
      <c r="B132" s="41"/>
      <c r="C132" s="35" t="str">
        <f>IF(B132="","",IFERROR(VLOOKUP(B132,DB_Customers!$A:$B,2,0),"❌ Account Not Found"))</f>
        <v/>
      </c>
      <c r="D132" s="42" t="str">
        <f t="shared" ca="1" si="13"/>
        <v/>
      </c>
      <c r="E132" s="32"/>
      <c r="F132" s="31"/>
      <c r="G132" s="41"/>
      <c r="H132" s="56">
        <v>2.5</v>
      </c>
      <c r="I132" s="43" t="str">
        <f t="shared" si="14"/>
        <v/>
      </c>
      <c r="J132" s="43" t="str">
        <f t="shared" si="15"/>
        <v/>
      </c>
      <c r="K132" s="33" t="str">
        <f>IF(B132="","Pending",IF(M132="","⚠️ Enter Code",IF(IFERROR(VLOOKUP(L132,DB_Agents!$B:$F,4,0),"")=TEXT(M132,"0"),"Pending Approval","🔒 WRONG CODE")))</f>
        <v>Pending</v>
      </c>
      <c r="L132" s="30" t="s">
        <v>62</v>
      </c>
      <c r="M132" s="41"/>
      <c r="N132" s="57"/>
    </row>
    <row r="133" spans="1:14" ht="20.100000000000001" customHeight="1" x14ac:dyDescent="0.25">
      <c r="A133" s="30" t="str">
        <f t="shared" si="12"/>
        <v/>
      </c>
      <c r="B133" s="41"/>
      <c r="C133" s="35" t="str">
        <f>IF(B133="","",IFERROR(VLOOKUP(B133,DB_Customers!$A:$B,2,0),"❌ Account Not Found"))</f>
        <v/>
      </c>
      <c r="D133" s="42" t="str">
        <f t="shared" ca="1" si="13"/>
        <v/>
      </c>
      <c r="E133" s="32"/>
      <c r="F133" s="31"/>
      <c r="G133" s="41"/>
      <c r="H133" s="56">
        <v>2.5</v>
      </c>
      <c r="I133" s="43" t="str">
        <f t="shared" si="14"/>
        <v/>
      </c>
      <c r="J133" s="43" t="str">
        <f t="shared" si="15"/>
        <v/>
      </c>
      <c r="K133" s="33" t="str">
        <f>IF(B133="","Pending",IF(M133="","⚠️ Enter Code",IF(IFERROR(VLOOKUP(L133,DB_Agents!$B:$F,4,0),"")=TEXT(M133,"0"),"Pending Approval","🔒 WRONG CODE")))</f>
        <v>Pending</v>
      </c>
      <c r="L133" s="30" t="s">
        <v>62</v>
      </c>
      <c r="M133" s="41"/>
      <c r="N133" s="22"/>
    </row>
    <row r="134" spans="1:14" ht="20.100000000000001" customHeight="1" x14ac:dyDescent="0.25">
      <c r="A134" s="30" t="str">
        <f t="shared" si="12"/>
        <v/>
      </c>
      <c r="B134" s="41"/>
      <c r="C134" s="35" t="str">
        <f>IF(B134="","",IFERROR(VLOOKUP(B134,DB_Customers!$A:$B,2,0),"❌ Account Not Found"))</f>
        <v/>
      </c>
      <c r="D134" s="42" t="str">
        <f t="shared" ca="1" si="13"/>
        <v/>
      </c>
      <c r="E134" s="32"/>
      <c r="F134" s="31"/>
      <c r="G134" s="41"/>
      <c r="H134" s="56">
        <v>2.5</v>
      </c>
      <c r="I134" s="43" t="str">
        <f t="shared" si="14"/>
        <v/>
      </c>
      <c r="J134" s="43" t="str">
        <f t="shared" si="15"/>
        <v/>
      </c>
      <c r="K134" s="33" t="str">
        <f>IF(B134="","Pending",IF(M134="","⚠️ Enter Code",IF(IFERROR(VLOOKUP(L134,DB_Agents!$B:$F,4,0),"")=TEXT(M134,"0"),"Pending Approval","🔒 WRONG CODE")))</f>
        <v>Pending</v>
      </c>
      <c r="L134" s="30" t="s">
        <v>62</v>
      </c>
      <c r="M134" s="41"/>
      <c r="N134" s="57"/>
    </row>
    <row r="135" spans="1:14" ht="20.100000000000001" customHeight="1" x14ac:dyDescent="0.25">
      <c r="A135" s="30" t="str">
        <f t="shared" si="12"/>
        <v/>
      </c>
      <c r="B135" s="41"/>
      <c r="C135" s="35" t="str">
        <f>IF(B135="","",IFERROR(VLOOKUP(B135,DB_Customers!$A:$B,2,0),"❌ Account Not Found"))</f>
        <v/>
      </c>
      <c r="D135" s="42" t="str">
        <f t="shared" ca="1" si="13"/>
        <v/>
      </c>
      <c r="E135" s="32"/>
      <c r="F135" s="31"/>
      <c r="G135" s="41"/>
      <c r="H135" s="56">
        <v>2.5</v>
      </c>
      <c r="I135" s="43" t="str">
        <f t="shared" si="14"/>
        <v/>
      </c>
      <c r="J135" s="43" t="str">
        <f t="shared" si="15"/>
        <v/>
      </c>
      <c r="K135" s="33" t="str">
        <f>IF(B135="","Pending",IF(M135="","⚠️ Enter Code",IF(IFERROR(VLOOKUP(L135,DB_Agents!$B:$F,4,0),"")=TEXT(M135,"0"),"Pending Approval","🔒 WRONG CODE")))</f>
        <v>Pending</v>
      </c>
      <c r="L135" s="30" t="s">
        <v>62</v>
      </c>
      <c r="M135" s="41"/>
      <c r="N135" s="22"/>
    </row>
    <row r="136" spans="1:14" ht="20.100000000000001" customHeight="1" x14ac:dyDescent="0.25">
      <c r="A136" s="30" t="str">
        <f t="shared" si="12"/>
        <v/>
      </c>
      <c r="B136" s="41"/>
      <c r="C136" s="35" t="str">
        <f>IF(B136="","",IFERROR(VLOOKUP(B136,DB_Customers!$A:$B,2,0),"❌ Account Not Found"))</f>
        <v/>
      </c>
      <c r="D136" s="42" t="str">
        <f t="shared" ca="1" si="13"/>
        <v/>
      </c>
      <c r="E136" s="32"/>
      <c r="F136" s="31"/>
      <c r="G136" s="41"/>
      <c r="H136" s="56">
        <v>2.5</v>
      </c>
      <c r="I136" s="43" t="str">
        <f t="shared" si="14"/>
        <v/>
      </c>
      <c r="J136" s="43" t="str">
        <f t="shared" si="15"/>
        <v/>
      </c>
      <c r="K136" s="33" t="str">
        <f>IF(B136="","Pending",IF(M136="","⚠️ Enter Code",IF(IFERROR(VLOOKUP(L136,DB_Agents!$B:$F,4,0),"")=TEXT(M136,"0"),"Pending Approval","🔒 WRONG CODE")))</f>
        <v>Pending</v>
      </c>
      <c r="L136" s="30" t="s">
        <v>62</v>
      </c>
      <c r="M136" s="41"/>
      <c r="N136" s="57"/>
    </row>
    <row r="137" spans="1:14" ht="20.100000000000001" customHeight="1" x14ac:dyDescent="0.25">
      <c r="A137" s="30" t="str">
        <f t="shared" si="12"/>
        <v/>
      </c>
      <c r="B137" s="41"/>
      <c r="C137" s="35" t="str">
        <f>IF(B137="","",IFERROR(VLOOKUP(B137,DB_Customers!$A:$B,2,0),"❌ Account Not Found"))</f>
        <v/>
      </c>
      <c r="D137" s="42" t="str">
        <f t="shared" ca="1" si="13"/>
        <v/>
      </c>
      <c r="E137" s="32"/>
      <c r="F137" s="31"/>
      <c r="G137" s="41"/>
      <c r="H137" s="56">
        <v>2.5</v>
      </c>
      <c r="I137" s="43" t="str">
        <f t="shared" si="14"/>
        <v/>
      </c>
      <c r="J137" s="43" t="str">
        <f t="shared" si="15"/>
        <v/>
      </c>
      <c r="K137" s="33" t="str">
        <f>IF(B137="","Pending",IF(M137="","⚠️ Enter Code",IF(IFERROR(VLOOKUP(L137,DB_Agents!$B:$F,4,0),"")=TEXT(M137,"0"),"Pending Approval","🔒 WRONG CODE")))</f>
        <v>Pending</v>
      </c>
      <c r="L137" s="30" t="s">
        <v>62</v>
      </c>
      <c r="M137" s="41"/>
      <c r="N137" s="22"/>
    </row>
    <row r="138" spans="1:14" ht="20.100000000000001" customHeight="1" x14ac:dyDescent="0.25">
      <c r="A138" s="30" t="str">
        <f t="shared" si="12"/>
        <v/>
      </c>
      <c r="B138" s="41"/>
      <c r="C138" s="35" t="str">
        <f>IF(B138="","",IFERROR(VLOOKUP(B138,DB_Customers!$A:$B,2,0),"❌ Account Not Found"))</f>
        <v/>
      </c>
      <c r="D138" s="42" t="str">
        <f t="shared" ca="1" si="13"/>
        <v/>
      </c>
      <c r="E138" s="32"/>
      <c r="F138" s="31"/>
      <c r="G138" s="41"/>
      <c r="H138" s="56">
        <v>2.5</v>
      </c>
      <c r="I138" s="43" t="str">
        <f t="shared" si="14"/>
        <v/>
      </c>
      <c r="J138" s="43" t="str">
        <f t="shared" si="15"/>
        <v/>
      </c>
      <c r="K138" s="33" t="str">
        <f>IF(B138="","Pending",IF(M138="","⚠️ Enter Code",IF(IFERROR(VLOOKUP(L138,DB_Agents!$B:$F,4,0),"")=TEXT(M138,"0"),"Pending Approval","🔒 WRONG CODE")))</f>
        <v>Pending</v>
      </c>
      <c r="L138" s="30" t="s">
        <v>62</v>
      </c>
      <c r="M138" s="41"/>
      <c r="N138" s="57"/>
    </row>
    <row r="139" spans="1:14" ht="20.100000000000001" customHeight="1" x14ac:dyDescent="0.25">
      <c r="A139" s="30" t="str">
        <f t="shared" si="12"/>
        <v/>
      </c>
      <c r="B139" s="41"/>
      <c r="C139" s="35" t="str">
        <f>IF(B139="","",IFERROR(VLOOKUP(B139,DB_Customers!$A:$B,2,0),"❌ Account Not Found"))</f>
        <v/>
      </c>
      <c r="D139" s="42" t="str">
        <f t="shared" ca="1" si="13"/>
        <v/>
      </c>
      <c r="E139" s="32"/>
      <c r="F139" s="31"/>
      <c r="G139" s="41"/>
      <c r="H139" s="56">
        <v>2.5</v>
      </c>
      <c r="I139" s="43" t="str">
        <f t="shared" si="14"/>
        <v/>
      </c>
      <c r="J139" s="43" t="str">
        <f t="shared" si="15"/>
        <v/>
      </c>
      <c r="K139" s="33" t="str">
        <f>IF(B139="","Pending",IF(M139="","⚠️ Enter Code",IF(IFERROR(VLOOKUP(L139,DB_Agents!$B:$F,4,0),"")=TEXT(M139,"0"),"Pending Approval","🔒 WRONG CODE")))</f>
        <v>Pending</v>
      </c>
      <c r="L139" s="30" t="s">
        <v>62</v>
      </c>
      <c r="M139" s="41"/>
      <c r="N139" s="22"/>
    </row>
    <row r="140" spans="1:14" ht="20.100000000000001" customHeight="1" x14ac:dyDescent="0.25">
      <c r="A140" s="30" t="str">
        <f t="shared" si="12"/>
        <v/>
      </c>
      <c r="B140" s="41"/>
      <c r="C140" s="35" t="str">
        <f>IF(B140="","",IFERROR(VLOOKUP(B140,DB_Customers!$A:$B,2,0),"❌ Account Not Found"))</f>
        <v/>
      </c>
      <c r="D140" s="42" t="str">
        <f t="shared" ca="1" si="13"/>
        <v/>
      </c>
      <c r="E140" s="32"/>
      <c r="F140" s="31"/>
      <c r="G140" s="41"/>
      <c r="H140" s="56">
        <v>2.5</v>
      </c>
      <c r="I140" s="43" t="str">
        <f t="shared" si="14"/>
        <v/>
      </c>
      <c r="J140" s="43" t="str">
        <f t="shared" si="15"/>
        <v/>
      </c>
      <c r="K140" s="33" t="str">
        <f>IF(B140="","Pending",IF(M140="","⚠️ Enter Code",IF(IFERROR(VLOOKUP(L140,DB_Agents!$B:$F,4,0),"")=TEXT(M140,"0"),"Pending Approval","🔒 WRONG CODE")))</f>
        <v>Pending</v>
      </c>
      <c r="L140" s="30" t="s">
        <v>62</v>
      </c>
      <c r="M140" s="41"/>
      <c r="N140" s="57"/>
    </row>
    <row r="141" spans="1:14" ht="20.100000000000001" customHeight="1" x14ac:dyDescent="0.25">
      <c r="A141" s="30" t="str">
        <f t="shared" si="12"/>
        <v/>
      </c>
      <c r="B141" s="41"/>
      <c r="C141" s="35" t="str">
        <f>IF(B141="","",IFERROR(VLOOKUP(B141,DB_Customers!$A:$B,2,0),"❌ Account Not Found"))</f>
        <v/>
      </c>
      <c r="D141" s="42" t="str">
        <f t="shared" ca="1" si="13"/>
        <v/>
      </c>
      <c r="E141" s="32"/>
      <c r="F141" s="31"/>
      <c r="G141" s="41"/>
      <c r="H141" s="56">
        <v>2.5</v>
      </c>
      <c r="I141" s="43" t="str">
        <f t="shared" si="14"/>
        <v/>
      </c>
      <c r="J141" s="43" t="str">
        <f t="shared" si="15"/>
        <v/>
      </c>
      <c r="K141" s="33" t="str">
        <f>IF(B141="","Pending",IF(M141="","⚠️ Enter Code",IF(IFERROR(VLOOKUP(L141,DB_Agents!$B:$F,4,0),"")=TEXT(M141,"0"),"Pending Approval","🔒 WRONG CODE")))</f>
        <v>Pending</v>
      </c>
      <c r="L141" s="30" t="s">
        <v>62</v>
      </c>
      <c r="M141" s="41"/>
      <c r="N141" s="22"/>
    </row>
    <row r="142" spans="1:14" ht="20.100000000000001" customHeight="1" x14ac:dyDescent="0.25">
      <c r="A142" s="30" t="str">
        <f t="shared" ref="A142:A173" si="16">IF(B142="","",IF(C142="❌ Account Not Found","INVALID","LN"&amp;TEXT(D142,"YYYYMMDD")&amp;TEXT(ROW()-13,"0000")))</f>
        <v/>
      </c>
      <c r="B142" s="41"/>
      <c r="C142" s="35" t="str">
        <f>IF(B142="","",IFERROR(VLOOKUP(B142,DB_Customers!$A:$B,2,0),"❌ Account Not Found"))</f>
        <v/>
      </c>
      <c r="D142" s="42" t="str">
        <f t="shared" ref="D142:D173" ca="1" si="17">IF(B142="","",TODAY())</f>
        <v/>
      </c>
      <c r="E142" s="32"/>
      <c r="F142" s="31"/>
      <c r="G142" s="41"/>
      <c r="H142" s="56">
        <v>2.5</v>
      </c>
      <c r="I142" s="43" t="str">
        <f t="shared" ref="I142:I173" si="18">IF(E142="","",E142+(E142*H142/100*G142))</f>
        <v/>
      </c>
      <c r="J142" s="43" t="str">
        <f t="shared" ref="J142:J173" si="19">IFERROR(I142/G142,"")</f>
        <v/>
      </c>
      <c r="K142" s="33" t="str">
        <f>IF(B142="","Pending",IF(M142="","⚠️ Enter Code",IF(IFERROR(VLOOKUP(L142,DB_Agents!$B:$F,4,0),"")=TEXT(M142,"0"),"Pending Approval","🔒 WRONG CODE")))</f>
        <v>Pending</v>
      </c>
      <c r="L142" s="30" t="s">
        <v>62</v>
      </c>
      <c r="M142" s="41"/>
      <c r="N142" s="57"/>
    </row>
    <row r="143" spans="1:14" ht="20.100000000000001" customHeight="1" x14ac:dyDescent="0.25">
      <c r="A143" s="30" t="str">
        <f t="shared" si="16"/>
        <v/>
      </c>
      <c r="B143" s="41"/>
      <c r="C143" s="35" t="str">
        <f>IF(B143="","",IFERROR(VLOOKUP(B143,DB_Customers!$A:$B,2,0),"❌ Account Not Found"))</f>
        <v/>
      </c>
      <c r="D143" s="42" t="str">
        <f t="shared" ca="1" si="17"/>
        <v/>
      </c>
      <c r="E143" s="32"/>
      <c r="F143" s="31"/>
      <c r="G143" s="41"/>
      <c r="H143" s="56">
        <v>2.5</v>
      </c>
      <c r="I143" s="43" t="str">
        <f t="shared" si="18"/>
        <v/>
      </c>
      <c r="J143" s="43" t="str">
        <f t="shared" si="19"/>
        <v/>
      </c>
      <c r="K143" s="33" t="str">
        <f>IF(B143="","Pending",IF(M143="","⚠️ Enter Code",IF(IFERROR(VLOOKUP(L143,DB_Agents!$B:$F,4,0),"")=TEXT(M143,"0"),"Pending Approval","🔒 WRONG CODE")))</f>
        <v>Pending</v>
      </c>
      <c r="L143" s="30" t="s">
        <v>62</v>
      </c>
      <c r="M143" s="41"/>
      <c r="N143" s="22"/>
    </row>
    <row r="144" spans="1:14" ht="20.100000000000001" customHeight="1" x14ac:dyDescent="0.25">
      <c r="A144" s="30" t="str">
        <f t="shared" si="16"/>
        <v/>
      </c>
      <c r="B144" s="41"/>
      <c r="C144" s="35" t="str">
        <f>IF(B144="","",IFERROR(VLOOKUP(B144,DB_Customers!$A:$B,2,0),"❌ Account Not Found"))</f>
        <v/>
      </c>
      <c r="D144" s="42" t="str">
        <f t="shared" ca="1" si="17"/>
        <v/>
      </c>
      <c r="E144" s="32"/>
      <c r="F144" s="31"/>
      <c r="G144" s="41"/>
      <c r="H144" s="56">
        <v>2.5</v>
      </c>
      <c r="I144" s="43" t="str">
        <f t="shared" si="18"/>
        <v/>
      </c>
      <c r="J144" s="43" t="str">
        <f t="shared" si="19"/>
        <v/>
      </c>
      <c r="K144" s="33" t="str">
        <f>IF(B144="","Pending",IF(M144="","⚠️ Enter Code",IF(IFERROR(VLOOKUP(L144,DB_Agents!$B:$F,4,0),"")=TEXT(M144,"0"),"Pending Approval","🔒 WRONG CODE")))</f>
        <v>Pending</v>
      </c>
      <c r="L144" s="30" t="s">
        <v>62</v>
      </c>
      <c r="M144" s="41"/>
      <c r="N144" s="57"/>
    </row>
    <row r="145" spans="1:14" ht="20.100000000000001" customHeight="1" x14ac:dyDescent="0.25">
      <c r="A145" s="30" t="str">
        <f t="shared" si="16"/>
        <v/>
      </c>
      <c r="B145" s="41"/>
      <c r="C145" s="35" t="str">
        <f>IF(B145="","",IFERROR(VLOOKUP(B145,DB_Customers!$A:$B,2,0),"❌ Account Not Found"))</f>
        <v/>
      </c>
      <c r="D145" s="42" t="str">
        <f t="shared" ca="1" si="17"/>
        <v/>
      </c>
      <c r="E145" s="32"/>
      <c r="F145" s="31"/>
      <c r="G145" s="41"/>
      <c r="H145" s="56">
        <v>2.5</v>
      </c>
      <c r="I145" s="43" t="str">
        <f t="shared" si="18"/>
        <v/>
      </c>
      <c r="J145" s="43" t="str">
        <f t="shared" si="19"/>
        <v/>
      </c>
      <c r="K145" s="33" t="str">
        <f>IF(B145="","Pending",IF(M145="","⚠️ Enter Code",IF(IFERROR(VLOOKUP(L145,DB_Agents!$B:$F,4,0),"")=TEXT(M145,"0"),"Pending Approval","🔒 WRONG CODE")))</f>
        <v>Pending</v>
      </c>
      <c r="L145" s="30" t="s">
        <v>62</v>
      </c>
      <c r="M145" s="41"/>
      <c r="N145" s="22"/>
    </row>
    <row r="146" spans="1:14" ht="20.100000000000001" customHeight="1" x14ac:dyDescent="0.25">
      <c r="A146" s="30" t="str">
        <f t="shared" si="16"/>
        <v/>
      </c>
      <c r="B146" s="41"/>
      <c r="C146" s="35" t="str">
        <f>IF(B146="","",IFERROR(VLOOKUP(B146,DB_Customers!$A:$B,2,0),"❌ Account Not Found"))</f>
        <v/>
      </c>
      <c r="D146" s="42" t="str">
        <f t="shared" ca="1" si="17"/>
        <v/>
      </c>
      <c r="E146" s="32"/>
      <c r="F146" s="31"/>
      <c r="G146" s="41"/>
      <c r="H146" s="56">
        <v>2.5</v>
      </c>
      <c r="I146" s="43" t="str">
        <f t="shared" si="18"/>
        <v/>
      </c>
      <c r="J146" s="43" t="str">
        <f t="shared" si="19"/>
        <v/>
      </c>
      <c r="K146" s="33" t="str">
        <f>IF(B146="","Pending",IF(M146="","⚠️ Enter Code",IF(IFERROR(VLOOKUP(L146,DB_Agents!$B:$F,4,0),"")=TEXT(M146,"0"),"Pending Approval","🔒 WRONG CODE")))</f>
        <v>Pending</v>
      </c>
      <c r="L146" s="30" t="s">
        <v>62</v>
      </c>
      <c r="M146" s="41"/>
      <c r="N146" s="57"/>
    </row>
    <row r="147" spans="1:14" ht="20.100000000000001" customHeight="1" x14ac:dyDescent="0.25">
      <c r="A147" s="30" t="str">
        <f t="shared" si="16"/>
        <v/>
      </c>
      <c r="B147" s="41"/>
      <c r="C147" s="35" t="str">
        <f>IF(B147="","",IFERROR(VLOOKUP(B147,DB_Customers!$A:$B,2,0),"❌ Account Not Found"))</f>
        <v/>
      </c>
      <c r="D147" s="42" t="str">
        <f t="shared" ca="1" si="17"/>
        <v/>
      </c>
      <c r="E147" s="32"/>
      <c r="F147" s="31"/>
      <c r="G147" s="41"/>
      <c r="H147" s="56">
        <v>2.5</v>
      </c>
      <c r="I147" s="43" t="str">
        <f t="shared" si="18"/>
        <v/>
      </c>
      <c r="J147" s="43" t="str">
        <f t="shared" si="19"/>
        <v/>
      </c>
      <c r="K147" s="33" t="str">
        <f>IF(B147="","Pending",IF(M147="","⚠️ Enter Code",IF(IFERROR(VLOOKUP(L147,DB_Agents!$B:$F,4,0),"")=TEXT(M147,"0"),"Pending Approval","🔒 WRONG CODE")))</f>
        <v>Pending</v>
      </c>
      <c r="L147" s="30" t="s">
        <v>62</v>
      </c>
      <c r="M147" s="41"/>
      <c r="N147" s="22"/>
    </row>
    <row r="148" spans="1:14" ht="20.100000000000001" customHeight="1" x14ac:dyDescent="0.25">
      <c r="A148" s="30" t="str">
        <f t="shared" si="16"/>
        <v/>
      </c>
      <c r="B148" s="41"/>
      <c r="C148" s="35" t="str">
        <f>IF(B148="","",IFERROR(VLOOKUP(B148,DB_Customers!$A:$B,2,0),"❌ Account Not Found"))</f>
        <v/>
      </c>
      <c r="D148" s="42" t="str">
        <f t="shared" ca="1" si="17"/>
        <v/>
      </c>
      <c r="E148" s="32"/>
      <c r="F148" s="31"/>
      <c r="G148" s="41"/>
      <c r="H148" s="56">
        <v>2.5</v>
      </c>
      <c r="I148" s="43" t="str">
        <f t="shared" si="18"/>
        <v/>
      </c>
      <c r="J148" s="43" t="str">
        <f t="shared" si="19"/>
        <v/>
      </c>
      <c r="K148" s="33" t="str">
        <f>IF(B148="","Pending",IF(M148="","⚠️ Enter Code",IF(IFERROR(VLOOKUP(L148,DB_Agents!$B:$F,4,0),"")=TEXT(M148,"0"),"Pending Approval","🔒 WRONG CODE")))</f>
        <v>Pending</v>
      </c>
      <c r="L148" s="30" t="s">
        <v>62</v>
      </c>
      <c r="M148" s="41"/>
      <c r="N148" s="57"/>
    </row>
    <row r="149" spans="1:14" ht="20.100000000000001" customHeight="1" x14ac:dyDescent="0.25">
      <c r="A149" s="30" t="str">
        <f t="shared" si="16"/>
        <v/>
      </c>
      <c r="B149" s="41"/>
      <c r="C149" s="35" t="str">
        <f>IF(B149="","",IFERROR(VLOOKUP(B149,DB_Customers!$A:$B,2,0),"❌ Account Not Found"))</f>
        <v/>
      </c>
      <c r="D149" s="42" t="str">
        <f t="shared" ca="1" si="17"/>
        <v/>
      </c>
      <c r="E149" s="32"/>
      <c r="F149" s="31"/>
      <c r="G149" s="41"/>
      <c r="H149" s="56">
        <v>2.5</v>
      </c>
      <c r="I149" s="43" t="str">
        <f t="shared" si="18"/>
        <v/>
      </c>
      <c r="J149" s="43" t="str">
        <f t="shared" si="19"/>
        <v/>
      </c>
      <c r="K149" s="33" t="str">
        <f>IF(B149="","Pending",IF(M149="","⚠️ Enter Code",IF(IFERROR(VLOOKUP(L149,DB_Agents!$B:$F,4,0),"")=TEXT(M149,"0"),"Pending Approval","🔒 WRONG CODE")))</f>
        <v>Pending</v>
      </c>
      <c r="L149" s="30" t="s">
        <v>62</v>
      </c>
      <c r="M149" s="41"/>
      <c r="N149" s="22"/>
    </row>
    <row r="150" spans="1:14" ht="20.100000000000001" customHeight="1" x14ac:dyDescent="0.25">
      <c r="A150" s="30" t="str">
        <f t="shared" si="16"/>
        <v/>
      </c>
      <c r="B150" s="41"/>
      <c r="C150" s="35" t="str">
        <f>IF(B150="","",IFERROR(VLOOKUP(B150,DB_Customers!$A:$B,2,0),"❌ Account Not Found"))</f>
        <v/>
      </c>
      <c r="D150" s="42" t="str">
        <f t="shared" ca="1" si="17"/>
        <v/>
      </c>
      <c r="E150" s="32"/>
      <c r="F150" s="31"/>
      <c r="G150" s="41"/>
      <c r="H150" s="56">
        <v>2.5</v>
      </c>
      <c r="I150" s="43" t="str">
        <f t="shared" si="18"/>
        <v/>
      </c>
      <c r="J150" s="43" t="str">
        <f t="shared" si="19"/>
        <v/>
      </c>
      <c r="K150" s="33" t="str">
        <f>IF(B150="","Pending",IF(M150="","⚠️ Enter Code",IF(IFERROR(VLOOKUP(L150,DB_Agents!$B:$F,4,0),"")=TEXT(M150,"0"),"Pending Approval","🔒 WRONG CODE")))</f>
        <v>Pending</v>
      </c>
      <c r="L150" s="30" t="s">
        <v>62</v>
      </c>
      <c r="M150" s="41"/>
      <c r="N150" s="57"/>
    </row>
    <row r="151" spans="1:14" ht="20.100000000000001" customHeight="1" x14ac:dyDescent="0.25">
      <c r="A151" s="30" t="str">
        <f t="shared" si="16"/>
        <v/>
      </c>
      <c r="B151" s="41"/>
      <c r="C151" s="35" t="str">
        <f>IF(B151="","",IFERROR(VLOOKUP(B151,DB_Customers!$A:$B,2,0),"❌ Account Not Found"))</f>
        <v/>
      </c>
      <c r="D151" s="42" t="str">
        <f t="shared" ca="1" si="17"/>
        <v/>
      </c>
      <c r="E151" s="32"/>
      <c r="F151" s="31"/>
      <c r="G151" s="41"/>
      <c r="H151" s="56">
        <v>2.5</v>
      </c>
      <c r="I151" s="43" t="str">
        <f t="shared" si="18"/>
        <v/>
      </c>
      <c r="J151" s="43" t="str">
        <f t="shared" si="19"/>
        <v/>
      </c>
      <c r="K151" s="33" t="str">
        <f>IF(B151="","Pending",IF(M151="","⚠️ Enter Code",IF(IFERROR(VLOOKUP(L151,DB_Agents!$B:$F,4,0),"")=TEXT(M151,"0"),"Pending Approval","🔒 WRONG CODE")))</f>
        <v>Pending</v>
      </c>
      <c r="L151" s="30" t="s">
        <v>62</v>
      </c>
      <c r="M151" s="41"/>
      <c r="N151" s="22"/>
    </row>
    <row r="152" spans="1:14" ht="20.100000000000001" customHeight="1" x14ac:dyDescent="0.25">
      <c r="A152" s="30" t="str">
        <f t="shared" si="16"/>
        <v/>
      </c>
      <c r="B152" s="41"/>
      <c r="C152" s="35" t="str">
        <f>IF(B152="","",IFERROR(VLOOKUP(B152,DB_Customers!$A:$B,2,0),"❌ Account Not Found"))</f>
        <v/>
      </c>
      <c r="D152" s="42" t="str">
        <f t="shared" ca="1" si="17"/>
        <v/>
      </c>
      <c r="E152" s="32"/>
      <c r="F152" s="31"/>
      <c r="G152" s="41"/>
      <c r="H152" s="56">
        <v>2.5</v>
      </c>
      <c r="I152" s="43" t="str">
        <f t="shared" si="18"/>
        <v/>
      </c>
      <c r="J152" s="43" t="str">
        <f t="shared" si="19"/>
        <v/>
      </c>
      <c r="K152" s="33" t="str">
        <f>IF(B152="","Pending",IF(M152="","⚠️ Enter Code",IF(IFERROR(VLOOKUP(L152,DB_Agents!$B:$F,4,0),"")=TEXT(M152,"0"),"Pending Approval","🔒 WRONG CODE")))</f>
        <v>Pending</v>
      </c>
      <c r="L152" s="30" t="s">
        <v>62</v>
      </c>
      <c r="M152" s="41"/>
      <c r="N152" s="57"/>
    </row>
    <row r="153" spans="1:14" ht="20.100000000000001" customHeight="1" x14ac:dyDescent="0.25">
      <c r="A153" s="30" t="str">
        <f t="shared" si="16"/>
        <v/>
      </c>
      <c r="B153" s="41"/>
      <c r="C153" s="35" t="str">
        <f>IF(B153="","",IFERROR(VLOOKUP(B153,DB_Customers!$A:$B,2,0),"❌ Account Not Found"))</f>
        <v/>
      </c>
      <c r="D153" s="42" t="str">
        <f t="shared" ca="1" si="17"/>
        <v/>
      </c>
      <c r="E153" s="32"/>
      <c r="F153" s="31"/>
      <c r="G153" s="41"/>
      <c r="H153" s="56">
        <v>2.5</v>
      </c>
      <c r="I153" s="43" t="str">
        <f t="shared" si="18"/>
        <v/>
      </c>
      <c r="J153" s="43" t="str">
        <f t="shared" si="19"/>
        <v/>
      </c>
      <c r="K153" s="33" t="str">
        <f>IF(B153="","Pending",IF(M153="","⚠️ Enter Code",IF(IFERROR(VLOOKUP(L153,DB_Agents!$B:$F,4,0),"")=TEXT(M153,"0"),"Pending Approval","🔒 WRONG CODE")))</f>
        <v>Pending</v>
      </c>
      <c r="L153" s="30" t="s">
        <v>62</v>
      </c>
      <c r="M153" s="41"/>
      <c r="N153" s="22"/>
    </row>
    <row r="154" spans="1:14" ht="20.100000000000001" customHeight="1" x14ac:dyDescent="0.25">
      <c r="A154" s="30" t="str">
        <f t="shared" si="16"/>
        <v/>
      </c>
      <c r="B154" s="41"/>
      <c r="C154" s="35" t="str">
        <f>IF(B154="","",IFERROR(VLOOKUP(B154,DB_Customers!$A:$B,2,0),"❌ Account Not Found"))</f>
        <v/>
      </c>
      <c r="D154" s="42" t="str">
        <f t="shared" ca="1" si="17"/>
        <v/>
      </c>
      <c r="E154" s="32"/>
      <c r="F154" s="31"/>
      <c r="G154" s="41"/>
      <c r="H154" s="56">
        <v>2.5</v>
      </c>
      <c r="I154" s="43" t="str">
        <f t="shared" si="18"/>
        <v/>
      </c>
      <c r="J154" s="43" t="str">
        <f t="shared" si="19"/>
        <v/>
      </c>
      <c r="K154" s="33" t="str">
        <f>IF(B154="","Pending",IF(M154="","⚠️ Enter Code",IF(IFERROR(VLOOKUP(L154,DB_Agents!$B:$F,4,0),"")=TEXT(M154,"0"),"Pending Approval","🔒 WRONG CODE")))</f>
        <v>Pending</v>
      </c>
      <c r="L154" s="30" t="s">
        <v>62</v>
      </c>
      <c r="M154" s="41"/>
      <c r="N154" s="57"/>
    </row>
    <row r="155" spans="1:14" ht="20.100000000000001" customHeight="1" x14ac:dyDescent="0.25">
      <c r="A155" s="30" t="str">
        <f t="shared" si="16"/>
        <v/>
      </c>
      <c r="B155" s="41"/>
      <c r="C155" s="35" t="str">
        <f>IF(B155="","",IFERROR(VLOOKUP(B155,DB_Customers!$A:$B,2,0),"❌ Account Not Found"))</f>
        <v/>
      </c>
      <c r="D155" s="42" t="str">
        <f t="shared" ca="1" si="17"/>
        <v/>
      </c>
      <c r="E155" s="32"/>
      <c r="F155" s="31"/>
      <c r="G155" s="41"/>
      <c r="H155" s="56">
        <v>2.5</v>
      </c>
      <c r="I155" s="43" t="str">
        <f t="shared" si="18"/>
        <v/>
      </c>
      <c r="J155" s="43" t="str">
        <f t="shared" si="19"/>
        <v/>
      </c>
      <c r="K155" s="33" t="str">
        <f>IF(B155="","Pending",IF(M155="","⚠️ Enter Code",IF(IFERROR(VLOOKUP(L155,DB_Agents!$B:$F,4,0),"")=TEXT(M155,"0"),"Pending Approval","🔒 WRONG CODE")))</f>
        <v>Pending</v>
      </c>
      <c r="L155" s="30" t="s">
        <v>62</v>
      </c>
      <c r="M155" s="41"/>
      <c r="N155" s="22"/>
    </row>
    <row r="156" spans="1:14" ht="20.100000000000001" customHeight="1" x14ac:dyDescent="0.25">
      <c r="A156" s="30" t="str">
        <f t="shared" si="16"/>
        <v/>
      </c>
      <c r="B156" s="41"/>
      <c r="C156" s="35" t="str">
        <f>IF(B156="","",IFERROR(VLOOKUP(B156,DB_Customers!$A:$B,2,0),"❌ Account Not Found"))</f>
        <v/>
      </c>
      <c r="D156" s="42" t="str">
        <f t="shared" ca="1" si="17"/>
        <v/>
      </c>
      <c r="E156" s="32"/>
      <c r="F156" s="31"/>
      <c r="G156" s="41"/>
      <c r="H156" s="56">
        <v>2.5</v>
      </c>
      <c r="I156" s="43" t="str">
        <f t="shared" si="18"/>
        <v/>
      </c>
      <c r="J156" s="43" t="str">
        <f t="shared" si="19"/>
        <v/>
      </c>
      <c r="K156" s="33" t="str">
        <f>IF(B156="","Pending",IF(M156="","⚠️ Enter Code",IF(IFERROR(VLOOKUP(L156,DB_Agents!$B:$F,4,0),"")=TEXT(M156,"0"),"Pending Approval","🔒 WRONG CODE")))</f>
        <v>Pending</v>
      </c>
      <c r="L156" s="30" t="s">
        <v>62</v>
      </c>
      <c r="M156" s="41"/>
      <c r="N156" s="57"/>
    </row>
    <row r="157" spans="1:14" ht="20.100000000000001" customHeight="1" x14ac:dyDescent="0.25">
      <c r="A157" s="30" t="str">
        <f t="shared" si="16"/>
        <v/>
      </c>
      <c r="B157" s="41"/>
      <c r="C157" s="35" t="str">
        <f>IF(B157="","",IFERROR(VLOOKUP(B157,DB_Customers!$A:$B,2,0),"❌ Account Not Found"))</f>
        <v/>
      </c>
      <c r="D157" s="42" t="str">
        <f t="shared" ca="1" si="17"/>
        <v/>
      </c>
      <c r="E157" s="32"/>
      <c r="F157" s="31"/>
      <c r="G157" s="41"/>
      <c r="H157" s="56">
        <v>2.5</v>
      </c>
      <c r="I157" s="43" t="str">
        <f t="shared" si="18"/>
        <v/>
      </c>
      <c r="J157" s="43" t="str">
        <f t="shared" si="19"/>
        <v/>
      </c>
      <c r="K157" s="33" t="str">
        <f>IF(B157="","Pending",IF(M157="","⚠️ Enter Code",IF(IFERROR(VLOOKUP(L157,DB_Agents!$B:$F,4,0),"")=TEXT(M157,"0"),"Pending Approval","🔒 WRONG CODE")))</f>
        <v>Pending</v>
      </c>
      <c r="L157" s="30" t="s">
        <v>62</v>
      </c>
      <c r="M157" s="41"/>
      <c r="N157" s="22"/>
    </row>
    <row r="158" spans="1:14" ht="20.100000000000001" customHeight="1" x14ac:dyDescent="0.25">
      <c r="A158" s="30" t="str">
        <f t="shared" si="16"/>
        <v/>
      </c>
      <c r="B158" s="41"/>
      <c r="C158" s="35" t="str">
        <f>IF(B158="","",IFERROR(VLOOKUP(B158,DB_Customers!$A:$B,2,0),"❌ Account Not Found"))</f>
        <v/>
      </c>
      <c r="D158" s="42" t="str">
        <f t="shared" ca="1" si="17"/>
        <v/>
      </c>
      <c r="E158" s="32"/>
      <c r="F158" s="31"/>
      <c r="G158" s="41"/>
      <c r="H158" s="56">
        <v>2.5</v>
      </c>
      <c r="I158" s="43" t="str">
        <f t="shared" si="18"/>
        <v/>
      </c>
      <c r="J158" s="43" t="str">
        <f t="shared" si="19"/>
        <v/>
      </c>
      <c r="K158" s="33" t="str">
        <f>IF(B158="","Pending",IF(M158="","⚠️ Enter Code",IF(IFERROR(VLOOKUP(L158,DB_Agents!$B:$F,4,0),"")=TEXT(M158,"0"),"Pending Approval","🔒 WRONG CODE")))</f>
        <v>Pending</v>
      </c>
      <c r="L158" s="30" t="s">
        <v>62</v>
      </c>
      <c r="M158" s="41"/>
      <c r="N158" s="57"/>
    </row>
    <row r="159" spans="1:14" ht="20.100000000000001" customHeight="1" x14ac:dyDescent="0.25">
      <c r="A159" s="30" t="str">
        <f t="shared" si="16"/>
        <v/>
      </c>
      <c r="B159" s="41"/>
      <c r="C159" s="35" t="str">
        <f>IF(B159="","",IFERROR(VLOOKUP(B159,DB_Customers!$A:$B,2,0),"❌ Account Not Found"))</f>
        <v/>
      </c>
      <c r="D159" s="42" t="str">
        <f t="shared" ca="1" si="17"/>
        <v/>
      </c>
      <c r="E159" s="32"/>
      <c r="F159" s="31"/>
      <c r="G159" s="41"/>
      <c r="H159" s="56">
        <v>2.5</v>
      </c>
      <c r="I159" s="43" t="str">
        <f t="shared" si="18"/>
        <v/>
      </c>
      <c r="J159" s="43" t="str">
        <f t="shared" si="19"/>
        <v/>
      </c>
      <c r="K159" s="33" t="str">
        <f>IF(B159="","Pending",IF(M159="","⚠️ Enter Code",IF(IFERROR(VLOOKUP(L159,DB_Agents!$B:$F,4,0),"")=TEXT(M159,"0"),"Pending Approval","🔒 WRONG CODE")))</f>
        <v>Pending</v>
      </c>
      <c r="L159" s="30" t="s">
        <v>62</v>
      </c>
      <c r="M159" s="41"/>
      <c r="N159" s="22"/>
    </row>
    <row r="160" spans="1:14" ht="20.100000000000001" customHeight="1" x14ac:dyDescent="0.25">
      <c r="A160" s="30" t="str">
        <f t="shared" si="16"/>
        <v/>
      </c>
      <c r="B160" s="41"/>
      <c r="C160" s="35" t="str">
        <f>IF(B160="","",IFERROR(VLOOKUP(B160,DB_Customers!$A:$B,2,0),"❌ Account Not Found"))</f>
        <v/>
      </c>
      <c r="D160" s="42" t="str">
        <f t="shared" ca="1" si="17"/>
        <v/>
      </c>
      <c r="E160" s="32"/>
      <c r="F160" s="31"/>
      <c r="G160" s="41"/>
      <c r="H160" s="56">
        <v>2.5</v>
      </c>
      <c r="I160" s="43" t="str">
        <f t="shared" si="18"/>
        <v/>
      </c>
      <c r="J160" s="43" t="str">
        <f t="shared" si="19"/>
        <v/>
      </c>
      <c r="K160" s="33" t="str">
        <f>IF(B160="","Pending",IF(M160="","⚠️ Enter Code",IF(IFERROR(VLOOKUP(L160,DB_Agents!$B:$F,4,0),"")=TEXT(M160,"0"),"Pending Approval","🔒 WRONG CODE")))</f>
        <v>Pending</v>
      </c>
      <c r="L160" s="30" t="s">
        <v>62</v>
      </c>
      <c r="M160" s="41"/>
      <c r="N160" s="57"/>
    </row>
    <row r="161" spans="1:14" ht="20.100000000000001" customHeight="1" x14ac:dyDescent="0.25">
      <c r="A161" s="30" t="str">
        <f t="shared" si="16"/>
        <v/>
      </c>
      <c r="B161" s="41"/>
      <c r="C161" s="35" t="str">
        <f>IF(B161="","",IFERROR(VLOOKUP(B161,DB_Customers!$A:$B,2,0),"❌ Account Not Found"))</f>
        <v/>
      </c>
      <c r="D161" s="42" t="str">
        <f t="shared" ca="1" si="17"/>
        <v/>
      </c>
      <c r="E161" s="32"/>
      <c r="F161" s="31"/>
      <c r="G161" s="41"/>
      <c r="H161" s="56">
        <v>2.5</v>
      </c>
      <c r="I161" s="43" t="str">
        <f t="shared" si="18"/>
        <v/>
      </c>
      <c r="J161" s="43" t="str">
        <f t="shared" si="19"/>
        <v/>
      </c>
      <c r="K161" s="33" t="str">
        <f>IF(B161="","Pending",IF(M161="","⚠️ Enter Code",IF(IFERROR(VLOOKUP(L161,DB_Agents!$B:$F,4,0),"")=TEXT(M161,"0"),"Pending Approval","🔒 WRONG CODE")))</f>
        <v>Pending</v>
      </c>
      <c r="L161" s="30" t="s">
        <v>62</v>
      </c>
      <c r="M161" s="41"/>
      <c r="N161" s="22"/>
    </row>
    <row r="162" spans="1:14" ht="20.100000000000001" customHeight="1" x14ac:dyDescent="0.25">
      <c r="A162" s="30" t="str">
        <f t="shared" si="16"/>
        <v/>
      </c>
      <c r="B162" s="41"/>
      <c r="C162" s="35" t="str">
        <f>IF(B162="","",IFERROR(VLOOKUP(B162,DB_Customers!$A:$B,2,0),"❌ Account Not Found"))</f>
        <v/>
      </c>
      <c r="D162" s="42" t="str">
        <f t="shared" ca="1" si="17"/>
        <v/>
      </c>
      <c r="E162" s="32"/>
      <c r="F162" s="31"/>
      <c r="G162" s="41"/>
      <c r="H162" s="56">
        <v>2.5</v>
      </c>
      <c r="I162" s="43" t="str">
        <f t="shared" si="18"/>
        <v/>
      </c>
      <c r="J162" s="43" t="str">
        <f t="shared" si="19"/>
        <v/>
      </c>
      <c r="K162" s="33" t="str">
        <f>IF(B162="","Pending",IF(M162="","⚠️ Enter Code",IF(IFERROR(VLOOKUP(L162,DB_Agents!$B:$F,4,0),"")=TEXT(M162,"0"),"Pending Approval","🔒 WRONG CODE")))</f>
        <v>Pending</v>
      </c>
      <c r="L162" s="30" t="s">
        <v>62</v>
      </c>
      <c r="M162" s="41"/>
      <c r="N162" s="57"/>
    </row>
    <row r="163" spans="1:14" ht="20.100000000000001" customHeight="1" x14ac:dyDescent="0.25">
      <c r="A163" s="30" t="str">
        <f t="shared" si="16"/>
        <v/>
      </c>
      <c r="B163" s="41"/>
      <c r="C163" s="35" t="str">
        <f>IF(B163="","",IFERROR(VLOOKUP(B163,DB_Customers!$A:$B,2,0),"❌ Account Not Found"))</f>
        <v/>
      </c>
      <c r="D163" s="42" t="str">
        <f t="shared" ca="1" si="17"/>
        <v/>
      </c>
      <c r="E163" s="32"/>
      <c r="F163" s="31"/>
      <c r="G163" s="41"/>
      <c r="H163" s="56">
        <v>2.5</v>
      </c>
      <c r="I163" s="43" t="str">
        <f t="shared" si="18"/>
        <v/>
      </c>
      <c r="J163" s="43" t="str">
        <f t="shared" si="19"/>
        <v/>
      </c>
      <c r="K163" s="33" t="str">
        <f>IF(B163="","Pending",IF(M163="","⚠️ Enter Code",IF(IFERROR(VLOOKUP(L163,DB_Agents!$B:$F,4,0),"")=TEXT(M163,"0"),"Pending Approval","🔒 WRONG CODE")))</f>
        <v>Pending</v>
      </c>
      <c r="L163" s="30" t="s">
        <v>62</v>
      </c>
      <c r="M163" s="41"/>
      <c r="N163" s="22"/>
    </row>
    <row r="164" spans="1:14" ht="20.100000000000001" customHeight="1" x14ac:dyDescent="0.25">
      <c r="A164" s="30" t="str">
        <f t="shared" si="16"/>
        <v/>
      </c>
      <c r="B164" s="41"/>
      <c r="C164" s="35" t="str">
        <f>IF(B164="","",IFERROR(VLOOKUP(B164,DB_Customers!$A:$B,2,0),"❌ Account Not Found"))</f>
        <v/>
      </c>
      <c r="D164" s="42" t="str">
        <f t="shared" ca="1" si="17"/>
        <v/>
      </c>
      <c r="E164" s="32"/>
      <c r="F164" s="31"/>
      <c r="G164" s="41"/>
      <c r="H164" s="56">
        <v>2.5</v>
      </c>
      <c r="I164" s="43" t="str">
        <f t="shared" si="18"/>
        <v/>
      </c>
      <c r="J164" s="43" t="str">
        <f t="shared" si="19"/>
        <v/>
      </c>
      <c r="K164" s="33" t="str">
        <f>IF(B164="","Pending",IF(M164="","⚠️ Enter Code",IF(IFERROR(VLOOKUP(L164,DB_Agents!$B:$F,4,0),"")=TEXT(M164,"0"),"Pending Approval","🔒 WRONG CODE")))</f>
        <v>Pending</v>
      </c>
      <c r="L164" s="30" t="s">
        <v>62</v>
      </c>
      <c r="M164" s="41"/>
      <c r="N164" s="57"/>
    </row>
    <row r="165" spans="1:14" ht="20.100000000000001" customHeight="1" x14ac:dyDescent="0.25">
      <c r="A165" s="30" t="str">
        <f t="shared" si="16"/>
        <v/>
      </c>
      <c r="B165" s="41"/>
      <c r="C165" s="35" t="str">
        <f>IF(B165="","",IFERROR(VLOOKUP(B165,DB_Customers!$A:$B,2,0),"❌ Account Not Found"))</f>
        <v/>
      </c>
      <c r="D165" s="42" t="str">
        <f t="shared" ca="1" si="17"/>
        <v/>
      </c>
      <c r="E165" s="32"/>
      <c r="F165" s="31"/>
      <c r="G165" s="41"/>
      <c r="H165" s="56">
        <v>2.5</v>
      </c>
      <c r="I165" s="43" t="str">
        <f t="shared" si="18"/>
        <v/>
      </c>
      <c r="J165" s="43" t="str">
        <f t="shared" si="19"/>
        <v/>
      </c>
      <c r="K165" s="33" t="str">
        <f>IF(B165="","Pending",IF(M165="","⚠️ Enter Code",IF(IFERROR(VLOOKUP(L165,DB_Agents!$B:$F,4,0),"")=TEXT(M165,"0"),"Pending Approval","🔒 WRONG CODE")))</f>
        <v>Pending</v>
      </c>
      <c r="L165" s="30" t="s">
        <v>62</v>
      </c>
      <c r="M165" s="41"/>
      <c r="N165" s="22"/>
    </row>
    <row r="166" spans="1:14" ht="20.100000000000001" customHeight="1" x14ac:dyDescent="0.25">
      <c r="A166" s="30" t="str">
        <f t="shared" si="16"/>
        <v/>
      </c>
      <c r="B166" s="41"/>
      <c r="C166" s="35" t="str">
        <f>IF(B166="","",IFERROR(VLOOKUP(B166,DB_Customers!$A:$B,2,0),"❌ Account Not Found"))</f>
        <v/>
      </c>
      <c r="D166" s="42" t="str">
        <f t="shared" ca="1" si="17"/>
        <v/>
      </c>
      <c r="E166" s="32"/>
      <c r="F166" s="31"/>
      <c r="G166" s="41"/>
      <c r="H166" s="56">
        <v>2.5</v>
      </c>
      <c r="I166" s="43" t="str">
        <f t="shared" si="18"/>
        <v/>
      </c>
      <c r="J166" s="43" t="str">
        <f t="shared" si="19"/>
        <v/>
      </c>
      <c r="K166" s="33" t="str">
        <f>IF(B166="","Pending",IF(M166="","⚠️ Enter Code",IF(IFERROR(VLOOKUP(L166,DB_Agents!$B:$F,4,0),"")=TEXT(M166,"0"),"Pending Approval","🔒 WRONG CODE")))</f>
        <v>Pending</v>
      </c>
      <c r="L166" s="30" t="s">
        <v>62</v>
      </c>
      <c r="M166" s="41"/>
      <c r="N166" s="57"/>
    </row>
    <row r="167" spans="1:14" ht="20.100000000000001" customHeight="1" x14ac:dyDescent="0.25">
      <c r="A167" s="30" t="str">
        <f t="shared" si="16"/>
        <v/>
      </c>
      <c r="B167" s="41"/>
      <c r="C167" s="35" t="str">
        <f>IF(B167="","",IFERROR(VLOOKUP(B167,DB_Customers!$A:$B,2,0),"❌ Account Not Found"))</f>
        <v/>
      </c>
      <c r="D167" s="42" t="str">
        <f t="shared" ca="1" si="17"/>
        <v/>
      </c>
      <c r="E167" s="32"/>
      <c r="F167" s="31"/>
      <c r="G167" s="41"/>
      <c r="H167" s="56">
        <v>2.5</v>
      </c>
      <c r="I167" s="43" t="str">
        <f t="shared" si="18"/>
        <v/>
      </c>
      <c r="J167" s="43" t="str">
        <f t="shared" si="19"/>
        <v/>
      </c>
      <c r="K167" s="33" t="str">
        <f>IF(B167="","Pending",IF(M167="","⚠️ Enter Code",IF(IFERROR(VLOOKUP(L167,DB_Agents!$B:$F,4,0),"")=TEXT(M167,"0"),"Pending Approval","🔒 WRONG CODE")))</f>
        <v>Pending</v>
      </c>
      <c r="L167" s="30" t="s">
        <v>62</v>
      </c>
      <c r="M167" s="41"/>
      <c r="N167" s="22"/>
    </row>
    <row r="168" spans="1:14" ht="20.100000000000001" customHeight="1" x14ac:dyDescent="0.25">
      <c r="A168" s="30" t="str">
        <f t="shared" si="16"/>
        <v/>
      </c>
      <c r="B168" s="41"/>
      <c r="C168" s="35" t="str">
        <f>IF(B168="","",IFERROR(VLOOKUP(B168,DB_Customers!$A:$B,2,0),"❌ Account Not Found"))</f>
        <v/>
      </c>
      <c r="D168" s="42" t="str">
        <f t="shared" ca="1" si="17"/>
        <v/>
      </c>
      <c r="E168" s="32"/>
      <c r="F168" s="31"/>
      <c r="G168" s="41"/>
      <c r="H168" s="56">
        <v>2.5</v>
      </c>
      <c r="I168" s="43" t="str">
        <f t="shared" si="18"/>
        <v/>
      </c>
      <c r="J168" s="43" t="str">
        <f t="shared" si="19"/>
        <v/>
      </c>
      <c r="K168" s="33" t="str">
        <f>IF(B168="","Pending",IF(M168="","⚠️ Enter Code",IF(IFERROR(VLOOKUP(L168,DB_Agents!$B:$F,4,0),"")=TEXT(M168,"0"),"Pending Approval","🔒 WRONG CODE")))</f>
        <v>Pending</v>
      </c>
      <c r="L168" s="30" t="s">
        <v>62</v>
      </c>
      <c r="M168" s="41"/>
      <c r="N168" s="57"/>
    </row>
    <row r="169" spans="1:14" ht="20.100000000000001" customHeight="1" x14ac:dyDescent="0.25">
      <c r="A169" s="30" t="str">
        <f t="shared" si="16"/>
        <v/>
      </c>
      <c r="B169" s="41"/>
      <c r="C169" s="35" t="str">
        <f>IF(B169="","",IFERROR(VLOOKUP(B169,DB_Customers!$A:$B,2,0),"❌ Account Not Found"))</f>
        <v/>
      </c>
      <c r="D169" s="42" t="str">
        <f t="shared" ca="1" si="17"/>
        <v/>
      </c>
      <c r="E169" s="32"/>
      <c r="F169" s="31"/>
      <c r="G169" s="41"/>
      <c r="H169" s="56">
        <v>2.5</v>
      </c>
      <c r="I169" s="43" t="str">
        <f t="shared" si="18"/>
        <v/>
      </c>
      <c r="J169" s="43" t="str">
        <f t="shared" si="19"/>
        <v/>
      </c>
      <c r="K169" s="33" t="str">
        <f>IF(B169="","Pending",IF(M169="","⚠️ Enter Code",IF(IFERROR(VLOOKUP(L169,DB_Agents!$B:$F,4,0),"")=TEXT(M169,"0"),"Pending Approval","🔒 WRONG CODE")))</f>
        <v>Pending</v>
      </c>
      <c r="L169" s="30" t="s">
        <v>62</v>
      </c>
      <c r="M169" s="41"/>
      <c r="N169" s="22"/>
    </row>
    <row r="170" spans="1:14" ht="20.100000000000001" customHeight="1" x14ac:dyDescent="0.25">
      <c r="A170" s="30" t="str">
        <f t="shared" si="16"/>
        <v/>
      </c>
      <c r="B170" s="41"/>
      <c r="C170" s="35" t="str">
        <f>IF(B170="","",IFERROR(VLOOKUP(B170,DB_Customers!$A:$B,2,0),"❌ Account Not Found"))</f>
        <v/>
      </c>
      <c r="D170" s="42" t="str">
        <f t="shared" ca="1" si="17"/>
        <v/>
      </c>
      <c r="E170" s="32"/>
      <c r="F170" s="31"/>
      <c r="G170" s="41"/>
      <c r="H170" s="56">
        <v>2.5</v>
      </c>
      <c r="I170" s="43" t="str">
        <f t="shared" si="18"/>
        <v/>
      </c>
      <c r="J170" s="43" t="str">
        <f t="shared" si="19"/>
        <v/>
      </c>
      <c r="K170" s="33" t="str">
        <f>IF(B170="","Pending",IF(M170="","⚠️ Enter Code",IF(IFERROR(VLOOKUP(L170,DB_Agents!$B:$F,4,0),"")=TEXT(M170,"0"),"Pending Approval","🔒 WRONG CODE")))</f>
        <v>Pending</v>
      </c>
      <c r="L170" s="30" t="s">
        <v>62</v>
      </c>
      <c r="M170" s="41"/>
      <c r="N170" s="57"/>
    </row>
    <row r="171" spans="1:14" ht="20.100000000000001" customHeight="1" x14ac:dyDescent="0.25">
      <c r="A171" s="30" t="str">
        <f t="shared" si="16"/>
        <v/>
      </c>
      <c r="B171" s="41"/>
      <c r="C171" s="35" t="str">
        <f>IF(B171="","",IFERROR(VLOOKUP(B171,DB_Customers!$A:$B,2,0),"❌ Account Not Found"))</f>
        <v/>
      </c>
      <c r="D171" s="42" t="str">
        <f t="shared" ca="1" si="17"/>
        <v/>
      </c>
      <c r="E171" s="32"/>
      <c r="F171" s="31"/>
      <c r="G171" s="41"/>
      <c r="H171" s="56">
        <v>2.5</v>
      </c>
      <c r="I171" s="43" t="str">
        <f t="shared" si="18"/>
        <v/>
      </c>
      <c r="J171" s="43" t="str">
        <f t="shared" si="19"/>
        <v/>
      </c>
      <c r="K171" s="33" t="str">
        <f>IF(B171="","Pending",IF(M171="","⚠️ Enter Code",IF(IFERROR(VLOOKUP(L171,DB_Agents!$B:$F,4,0),"")=TEXT(M171,"0"),"Pending Approval","🔒 WRONG CODE")))</f>
        <v>Pending</v>
      </c>
      <c r="L171" s="30" t="s">
        <v>62</v>
      </c>
      <c r="M171" s="41"/>
      <c r="N171" s="22"/>
    </row>
    <row r="172" spans="1:14" ht="20.100000000000001" customHeight="1" x14ac:dyDescent="0.25">
      <c r="A172" s="30" t="str">
        <f t="shared" si="16"/>
        <v/>
      </c>
      <c r="B172" s="41"/>
      <c r="C172" s="35" t="str">
        <f>IF(B172="","",IFERROR(VLOOKUP(B172,DB_Customers!$A:$B,2,0),"❌ Account Not Found"))</f>
        <v/>
      </c>
      <c r="D172" s="42" t="str">
        <f t="shared" ca="1" si="17"/>
        <v/>
      </c>
      <c r="E172" s="32"/>
      <c r="F172" s="31"/>
      <c r="G172" s="41"/>
      <c r="H172" s="56">
        <v>2.5</v>
      </c>
      <c r="I172" s="43" t="str">
        <f t="shared" si="18"/>
        <v/>
      </c>
      <c r="J172" s="43" t="str">
        <f t="shared" si="19"/>
        <v/>
      </c>
      <c r="K172" s="33" t="str">
        <f>IF(B172="","Pending",IF(M172="","⚠️ Enter Code",IF(IFERROR(VLOOKUP(L172,DB_Agents!$B:$F,4,0),"")=TEXT(M172,"0"),"Pending Approval","🔒 WRONG CODE")))</f>
        <v>Pending</v>
      </c>
      <c r="L172" s="30" t="s">
        <v>62</v>
      </c>
      <c r="M172" s="41"/>
      <c r="N172" s="57"/>
    </row>
    <row r="173" spans="1:14" ht="20.100000000000001" customHeight="1" x14ac:dyDescent="0.25">
      <c r="A173" s="30" t="str">
        <f t="shared" si="16"/>
        <v/>
      </c>
      <c r="B173" s="41"/>
      <c r="C173" s="35" t="str">
        <f>IF(B173="","",IFERROR(VLOOKUP(B173,DB_Customers!$A:$B,2,0),"❌ Account Not Found"))</f>
        <v/>
      </c>
      <c r="D173" s="42" t="str">
        <f t="shared" ca="1" si="17"/>
        <v/>
      </c>
      <c r="E173" s="32"/>
      <c r="F173" s="31"/>
      <c r="G173" s="41"/>
      <c r="H173" s="56">
        <v>2.5</v>
      </c>
      <c r="I173" s="43" t="str">
        <f t="shared" si="18"/>
        <v/>
      </c>
      <c r="J173" s="43" t="str">
        <f t="shared" si="19"/>
        <v/>
      </c>
      <c r="K173" s="33" t="str">
        <f>IF(B173="","Pending",IF(M173="","⚠️ Enter Code",IF(IFERROR(VLOOKUP(L173,DB_Agents!$B:$F,4,0),"")=TEXT(M173,"0"),"Pending Approval","🔒 WRONG CODE")))</f>
        <v>Pending</v>
      </c>
      <c r="L173" s="30" t="s">
        <v>62</v>
      </c>
      <c r="M173" s="41"/>
      <c r="N173" s="22"/>
    </row>
    <row r="174" spans="1:14" ht="20.100000000000001" customHeight="1" x14ac:dyDescent="0.25">
      <c r="A174" s="30" t="str">
        <f t="shared" ref="A174:A205" si="20">IF(B174="","",IF(C174="❌ Account Not Found","INVALID","LN"&amp;TEXT(D174,"YYYYMMDD")&amp;TEXT(ROW()-13,"0000")))</f>
        <v/>
      </c>
      <c r="B174" s="41"/>
      <c r="C174" s="35" t="str">
        <f>IF(B174="","",IFERROR(VLOOKUP(B174,DB_Customers!$A:$B,2,0),"❌ Account Not Found"))</f>
        <v/>
      </c>
      <c r="D174" s="42" t="str">
        <f t="shared" ref="D174:D205" ca="1" si="21">IF(B174="","",TODAY())</f>
        <v/>
      </c>
      <c r="E174" s="32"/>
      <c r="F174" s="31"/>
      <c r="G174" s="41"/>
      <c r="H174" s="56">
        <v>2.5</v>
      </c>
      <c r="I174" s="43" t="str">
        <f t="shared" ref="I174:I205" si="22">IF(E174="","",E174+(E174*H174/100*G174))</f>
        <v/>
      </c>
      <c r="J174" s="43" t="str">
        <f t="shared" ref="J174:J205" si="23">IFERROR(I174/G174,"")</f>
        <v/>
      </c>
      <c r="K174" s="33" t="str">
        <f>IF(B174="","Pending",IF(M174="","⚠️ Enter Code",IF(IFERROR(VLOOKUP(L174,DB_Agents!$B:$F,4,0),"")=TEXT(M174,"0"),"Pending Approval","🔒 WRONG CODE")))</f>
        <v>Pending</v>
      </c>
      <c r="L174" s="30" t="s">
        <v>62</v>
      </c>
      <c r="M174" s="41"/>
      <c r="N174" s="57"/>
    </row>
    <row r="175" spans="1:14" ht="20.100000000000001" customHeight="1" x14ac:dyDescent="0.25">
      <c r="A175" s="30" t="str">
        <f t="shared" si="20"/>
        <v/>
      </c>
      <c r="B175" s="41"/>
      <c r="C175" s="35" t="str">
        <f>IF(B175="","",IFERROR(VLOOKUP(B175,DB_Customers!$A:$B,2,0),"❌ Account Not Found"))</f>
        <v/>
      </c>
      <c r="D175" s="42" t="str">
        <f t="shared" ca="1" si="21"/>
        <v/>
      </c>
      <c r="E175" s="32"/>
      <c r="F175" s="31"/>
      <c r="G175" s="41"/>
      <c r="H175" s="56">
        <v>2.5</v>
      </c>
      <c r="I175" s="43" t="str">
        <f t="shared" si="22"/>
        <v/>
      </c>
      <c r="J175" s="43" t="str">
        <f t="shared" si="23"/>
        <v/>
      </c>
      <c r="K175" s="33" t="str">
        <f>IF(B175="","Pending",IF(M175="","⚠️ Enter Code",IF(IFERROR(VLOOKUP(L175,DB_Agents!$B:$F,4,0),"")=TEXT(M175,"0"),"Pending Approval","🔒 WRONG CODE")))</f>
        <v>Pending</v>
      </c>
      <c r="L175" s="30" t="s">
        <v>62</v>
      </c>
      <c r="M175" s="41"/>
      <c r="N175" s="22"/>
    </row>
    <row r="176" spans="1:14" ht="20.100000000000001" customHeight="1" x14ac:dyDescent="0.25">
      <c r="A176" s="30" t="str">
        <f t="shared" si="20"/>
        <v/>
      </c>
      <c r="B176" s="41"/>
      <c r="C176" s="35" t="str">
        <f>IF(B176="","",IFERROR(VLOOKUP(B176,DB_Customers!$A:$B,2,0),"❌ Account Not Found"))</f>
        <v/>
      </c>
      <c r="D176" s="42" t="str">
        <f t="shared" ca="1" si="21"/>
        <v/>
      </c>
      <c r="E176" s="32"/>
      <c r="F176" s="31"/>
      <c r="G176" s="41"/>
      <c r="H176" s="56">
        <v>2.5</v>
      </c>
      <c r="I176" s="43" t="str">
        <f t="shared" si="22"/>
        <v/>
      </c>
      <c r="J176" s="43" t="str">
        <f t="shared" si="23"/>
        <v/>
      </c>
      <c r="K176" s="33" t="str">
        <f>IF(B176="","Pending",IF(M176="","⚠️ Enter Code",IF(IFERROR(VLOOKUP(L176,DB_Agents!$B:$F,4,0),"")=TEXT(M176,"0"),"Pending Approval","🔒 WRONG CODE")))</f>
        <v>Pending</v>
      </c>
      <c r="L176" s="30" t="s">
        <v>62</v>
      </c>
      <c r="M176" s="41"/>
      <c r="N176" s="57"/>
    </row>
    <row r="177" spans="1:14" ht="20.100000000000001" customHeight="1" x14ac:dyDescent="0.25">
      <c r="A177" s="30" t="str">
        <f t="shared" si="20"/>
        <v/>
      </c>
      <c r="B177" s="41"/>
      <c r="C177" s="35" t="str">
        <f>IF(B177="","",IFERROR(VLOOKUP(B177,DB_Customers!$A:$B,2,0),"❌ Account Not Found"))</f>
        <v/>
      </c>
      <c r="D177" s="42" t="str">
        <f t="shared" ca="1" si="21"/>
        <v/>
      </c>
      <c r="E177" s="32"/>
      <c r="F177" s="31"/>
      <c r="G177" s="41"/>
      <c r="H177" s="56">
        <v>2.5</v>
      </c>
      <c r="I177" s="43" t="str">
        <f t="shared" si="22"/>
        <v/>
      </c>
      <c r="J177" s="43" t="str">
        <f t="shared" si="23"/>
        <v/>
      </c>
      <c r="K177" s="33" t="str">
        <f>IF(B177="","Pending",IF(M177="","⚠️ Enter Code",IF(IFERROR(VLOOKUP(L177,DB_Agents!$B:$F,4,0),"")=TEXT(M177,"0"),"Pending Approval","🔒 WRONG CODE")))</f>
        <v>Pending</v>
      </c>
      <c r="L177" s="30" t="s">
        <v>62</v>
      </c>
      <c r="M177" s="41"/>
      <c r="N177" s="22"/>
    </row>
    <row r="178" spans="1:14" ht="20.100000000000001" customHeight="1" x14ac:dyDescent="0.25">
      <c r="A178" s="30" t="str">
        <f t="shared" si="20"/>
        <v/>
      </c>
      <c r="B178" s="41"/>
      <c r="C178" s="35" t="str">
        <f>IF(B178="","",IFERROR(VLOOKUP(B178,DB_Customers!$A:$B,2,0),"❌ Account Not Found"))</f>
        <v/>
      </c>
      <c r="D178" s="42" t="str">
        <f t="shared" ca="1" si="21"/>
        <v/>
      </c>
      <c r="E178" s="32"/>
      <c r="F178" s="31"/>
      <c r="G178" s="41"/>
      <c r="H178" s="56">
        <v>2.5</v>
      </c>
      <c r="I178" s="43" t="str">
        <f t="shared" si="22"/>
        <v/>
      </c>
      <c r="J178" s="43" t="str">
        <f t="shared" si="23"/>
        <v/>
      </c>
      <c r="K178" s="33" t="str">
        <f>IF(B178="","Pending",IF(M178="","⚠️ Enter Code",IF(IFERROR(VLOOKUP(L178,DB_Agents!$B:$F,4,0),"")=TEXT(M178,"0"),"Pending Approval","🔒 WRONG CODE")))</f>
        <v>Pending</v>
      </c>
      <c r="L178" s="30" t="s">
        <v>62</v>
      </c>
      <c r="M178" s="41"/>
      <c r="N178" s="57"/>
    </row>
    <row r="179" spans="1:14" ht="20.100000000000001" customHeight="1" x14ac:dyDescent="0.25">
      <c r="A179" s="30" t="str">
        <f t="shared" si="20"/>
        <v/>
      </c>
      <c r="B179" s="41"/>
      <c r="C179" s="35" t="str">
        <f>IF(B179="","",IFERROR(VLOOKUP(B179,DB_Customers!$A:$B,2,0),"❌ Account Not Found"))</f>
        <v/>
      </c>
      <c r="D179" s="42" t="str">
        <f t="shared" ca="1" si="21"/>
        <v/>
      </c>
      <c r="E179" s="32"/>
      <c r="F179" s="31"/>
      <c r="G179" s="41"/>
      <c r="H179" s="56">
        <v>2.5</v>
      </c>
      <c r="I179" s="43" t="str">
        <f t="shared" si="22"/>
        <v/>
      </c>
      <c r="J179" s="43" t="str">
        <f t="shared" si="23"/>
        <v/>
      </c>
      <c r="K179" s="33" t="str">
        <f>IF(B179="","Pending",IF(M179="","⚠️ Enter Code",IF(IFERROR(VLOOKUP(L179,DB_Agents!$B:$F,4,0),"")=TEXT(M179,"0"),"Pending Approval","🔒 WRONG CODE")))</f>
        <v>Pending</v>
      </c>
      <c r="L179" s="30" t="s">
        <v>62</v>
      </c>
      <c r="M179" s="41"/>
      <c r="N179" s="22"/>
    </row>
    <row r="180" spans="1:14" ht="20.100000000000001" customHeight="1" x14ac:dyDescent="0.25">
      <c r="A180" s="30" t="str">
        <f t="shared" si="20"/>
        <v/>
      </c>
      <c r="B180" s="41"/>
      <c r="C180" s="35" t="str">
        <f>IF(B180="","",IFERROR(VLOOKUP(B180,DB_Customers!$A:$B,2,0),"❌ Account Not Found"))</f>
        <v/>
      </c>
      <c r="D180" s="42" t="str">
        <f t="shared" ca="1" si="21"/>
        <v/>
      </c>
      <c r="E180" s="32"/>
      <c r="F180" s="31"/>
      <c r="G180" s="41"/>
      <c r="H180" s="56">
        <v>2.5</v>
      </c>
      <c r="I180" s="43" t="str">
        <f t="shared" si="22"/>
        <v/>
      </c>
      <c r="J180" s="43" t="str">
        <f t="shared" si="23"/>
        <v/>
      </c>
      <c r="K180" s="33" t="str">
        <f>IF(B180="","Pending",IF(M180="","⚠️ Enter Code",IF(IFERROR(VLOOKUP(L180,DB_Agents!$B:$F,4,0),"")=TEXT(M180,"0"),"Pending Approval","🔒 WRONG CODE")))</f>
        <v>Pending</v>
      </c>
      <c r="L180" s="30" t="s">
        <v>62</v>
      </c>
      <c r="M180" s="41"/>
      <c r="N180" s="57"/>
    </row>
    <row r="181" spans="1:14" ht="20.100000000000001" customHeight="1" x14ac:dyDescent="0.25">
      <c r="A181" s="30" t="str">
        <f t="shared" si="20"/>
        <v/>
      </c>
      <c r="B181" s="41"/>
      <c r="C181" s="35" t="str">
        <f>IF(B181="","",IFERROR(VLOOKUP(B181,DB_Customers!$A:$B,2,0),"❌ Account Not Found"))</f>
        <v/>
      </c>
      <c r="D181" s="42" t="str">
        <f t="shared" ca="1" si="21"/>
        <v/>
      </c>
      <c r="E181" s="32"/>
      <c r="F181" s="31"/>
      <c r="G181" s="41"/>
      <c r="H181" s="56">
        <v>2.5</v>
      </c>
      <c r="I181" s="43" t="str">
        <f t="shared" si="22"/>
        <v/>
      </c>
      <c r="J181" s="43" t="str">
        <f t="shared" si="23"/>
        <v/>
      </c>
      <c r="K181" s="33" t="str">
        <f>IF(B181="","Pending",IF(M181="","⚠️ Enter Code",IF(IFERROR(VLOOKUP(L181,DB_Agents!$B:$F,4,0),"")=TEXT(M181,"0"),"Pending Approval","🔒 WRONG CODE")))</f>
        <v>Pending</v>
      </c>
      <c r="L181" s="30" t="s">
        <v>62</v>
      </c>
      <c r="M181" s="41"/>
      <c r="N181" s="22"/>
    </row>
    <row r="182" spans="1:14" ht="20.100000000000001" customHeight="1" x14ac:dyDescent="0.25">
      <c r="A182" s="30" t="str">
        <f t="shared" si="20"/>
        <v/>
      </c>
      <c r="B182" s="41"/>
      <c r="C182" s="35" t="str">
        <f>IF(B182="","",IFERROR(VLOOKUP(B182,DB_Customers!$A:$B,2,0),"❌ Account Not Found"))</f>
        <v/>
      </c>
      <c r="D182" s="42" t="str">
        <f t="shared" ca="1" si="21"/>
        <v/>
      </c>
      <c r="E182" s="32"/>
      <c r="F182" s="31"/>
      <c r="G182" s="41"/>
      <c r="H182" s="56">
        <v>2.5</v>
      </c>
      <c r="I182" s="43" t="str">
        <f t="shared" si="22"/>
        <v/>
      </c>
      <c r="J182" s="43" t="str">
        <f t="shared" si="23"/>
        <v/>
      </c>
      <c r="K182" s="33" t="str">
        <f>IF(B182="","Pending",IF(M182="","⚠️ Enter Code",IF(IFERROR(VLOOKUP(L182,DB_Agents!$B:$F,4,0),"")=TEXT(M182,"0"),"Pending Approval","🔒 WRONG CODE")))</f>
        <v>Pending</v>
      </c>
      <c r="L182" s="30" t="s">
        <v>62</v>
      </c>
      <c r="M182" s="41"/>
      <c r="N182" s="57"/>
    </row>
    <row r="183" spans="1:14" ht="20.100000000000001" customHeight="1" x14ac:dyDescent="0.25">
      <c r="A183" s="30" t="str">
        <f t="shared" si="20"/>
        <v/>
      </c>
      <c r="B183" s="41"/>
      <c r="C183" s="35" t="str">
        <f>IF(B183="","",IFERROR(VLOOKUP(B183,DB_Customers!$A:$B,2,0),"❌ Account Not Found"))</f>
        <v/>
      </c>
      <c r="D183" s="42" t="str">
        <f t="shared" ca="1" si="21"/>
        <v/>
      </c>
      <c r="E183" s="32"/>
      <c r="F183" s="31"/>
      <c r="G183" s="41"/>
      <c r="H183" s="56">
        <v>2.5</v>
      </c>
      <c r="I183" s="43" t="str">
        <f t="shared" si="22"/>
        <v/>
      </c>
      <c r="J183" s="43" t="str">
        <f t="shared" si="23"/>
        <v/>
      </c>
      <c r="K183" s="33" t="str">
        <f>IF(B183="","Pending",IF(M183="","⚠️ Enter Code",IF(IFERROR(VLOOKUP(L183,DB_Agents!$B:$F,4,0),"")=TEXT(M183,"0"),"Pending Approval","🔒 WRONG CODE")))</f>
        <v>Pending</v>
      </c>
      <c r="L183" s="30" t="s">
        <v>62</v>
      </c>
      <c r="M183" s="41"/>
      <c r="N183" s="22"/>
    </row>
    <row r="184" spans="1:14" ht="20.100000000000001" customHeight="1" x14ac:dyDescent="0.25">
      <c r="A184" s="30" t="str">
        <f t="shared" si="20"/>
        <v/>
      </c>
      <c r="B184" s="41"/>
      <c r="C184" s="35" t="str">
        <f>IF(B184="","",IFERROR(VLOOKUP(B184,DB_Customers!$A:$B,2,0),"❌ Account Not Found"))</f>
        <v/>
      </c>
      <c r="D184" s="42" t="str">
        <f t="shared" ca="1" si="21"/>
        <v/>
      </c>
      <c r="E184" s="32"/>
      <c r="F184" s="31"/>
      <c r="G184" s="41"/>
      <c r="H184" s="56">
        <v>2.5</v>
      </c>
      <c r="I184" s="43" t="str">
        <f t="shared" si="22"/>
        <v/>
      </c>
      <c r="J184" s="43" t="str">
        <f t="shared" si="23"/>
        <v/>
      </c>
      <c r="K184" s="33" t="str">
        <f>IF(B184="","Pending",IF(M184="","⚠️ Enter Code",IF(IFERROR(VLOOKUP(L184,DB_Agents!$B:$F,4,0),"")=TEXT(M184,"0"),"Pending Approval","🔒 WRONG CODE")))</f>
        <v>Pending</v>
      </c>
      <c r="L184" s="30" t="s">
        <v>62</v>
      </c>
      <c r="M184" s="41"/>
      <c r="N184" s="57"/>
    </row>
    <row r="185" spans="1:14" ht="20.100000000000001" customHeight="1" x14ac:dyDescent="0.25">
      <c r="A185" s="30" t="str">
        <f t="shared" si="20"/>
        <v/>
      </c>
      <c r="B185" s="41"/>
      <c r="C185" s="35" t="str">
        <f>IF(B185="","",IFERROR(VLOOKUP(B185,DB_Customers!$A:$B,2,0),"❌ Account Not Found"))</f>
        <v/>
      </c>
      <c r="D185" s="42" t="str">
        <f t="shared" ca="1" si="21"/>
        <v/>
      </c>
      <c r="E185" s="32"/>
      <c r="F185" s="31"/>
      <c r="G185" s="41"/>
      <c r="H185" s="56">
        <v>2.5</v>
      </c>
      <c r="I185" s="43" t="str">
        <f t="shared" si="22"/>
        <v/>
      </c>
      <c r="J185" s="43" t="str">
        <f t="shared" si="23"/>
        <v/>
      </c>
      <c r="K185" s="33" t="str">
        <f>IF(B185="","Pending",IF(M185="","⚠️ Enter Code",IF(IFERROR(VLOOKUP(L185,DB_Agents!$B:$F,4,0),"")=TEXT(M185,"0"),"Pending Approval","🔒 WRONG CODE")))</f>
        <v>Pending</v>
      </c>
      <c r="L185" s="30" t="s">
        <v>62</v>
      </c>
      <c r="M185" s="41"/>
      <c r="N185" s="22"/>
    </row>
    <row r="186" spans="1:14" ht="20.100000000000001" customHeight="1" x14ac:dyDescent="0.25">
      <c r="A186" s="30" t="str">
        <f t="shared" si="20"/>
        <v/>
      </c>
      <c r="B186" s="41"/>
      <c r="C186" s="35" t="str">
        <f>IF(B186="","",IFERROR(VLOOKUP(B186,DB_Customers!$A:$B,2,0),"❌ Account Not Found"))</f>
        <v/>
      </c>
      <c r="D186" s="42" t="str">
        <f t="shared" ca="1" si="21"/>
        <v/>
      </c>
      <c r="E186" s="32"/>
      <c r="F186" s="31"/>
      <c r="G186" s="41"/>
      <c r="H186" s="56">
        <v>2.5</v>
      </c>
      <c r="I186" s="43" t="str">
        <f t="shared" si="22"/>
        <v/>
      </c>
      <c r="J186" s="43" t="str">
        <f t="shared" si="23"/>
        <v/>
      </c>
      <c r="K186" s="33" t="str">
        <f>IF(B186="","Pending",IF(M186="","⚠️ Enter Code",IF(IFERROR(VLOOKUP(L186,DB_Agents!$B:$F,4,0),"")=TEXT(M186,"0"),"Pending Approval","🔒 WRONG CODE")))</f>
        <v>Pending</v>
      </c>
      <c r="L186" s="30" t="s">
        <v>62</v>
      </c>
      <c r="M186" s="41"/>
      <c r="N186" s="57"/>
    </row>
    <row r="187" spans="1:14" ht="20.100000000000001" customHeight="1" x14ac:dyDescent="0.25">
      <c r="A187" s="30" t="str">
        <f t="shared" si="20"/>
        <v/>
      </c>
      <c r="B187" s="41"/>
      <c r="C187" s="35" t="str">
        <f>IF(B187="","",IFERROR(VLOOKUP(B187,DB_Customers!$A:$B,2,0),"❌ Account Not Found"))</f>
        <v/>
      </c>
      <c r="D187" s="42" t="str">
        <f t="shared" ca="1" si="21"/>
        <v/>
      </c>
      <c r="E187" s="32"/>
      <c r="F187" s="31"/>
      <c r="G187" s="41"/>
      <c r="H187" s="56">
        <v>2.5</v>
      </c>
      <c r="I187" s="43" t="str">
        <f t="shared" si="22"/>
        <v/>
      </c>
      <c r="J187" s="43" t="str">
        <f t="shared" si="23"/>
        <v/>
      </c>
      <c r="K187" s="33" t="str">
        <f>IF(B187="","Pending",IF(M187="","⚠️ Enter Code",IF(IFERROR(VLOOKUP(L187,DB_Agents!$B:$F,4,0),"")=TEXT(M187,"0"),"Pending Approval","🔒 WRONG CODE")))</f>
        <v>Pending</v>
      </c>
      <c r="L187" s="30" t="s">
        <v>62</v>
      </c>
      <c r="M187" s="41"/>
      <c r="N187" s="22"/>
    </row>
    <row r="188" spans="1:14" ht="20.100000000000001" customHeight="1" x14ac:dyDescent="0.25">
      <c r="A188" s="30" t="str">
        <f t="shared" si="20"/>
        <v/>
      </c>
      <c r="B188" s="41"/>
      <c r="C188" s="35" t="str">
        <f>IF(B188="","",IFERROR(VLOOKUP(B188,DB_Customers!$A:$B,2,0),"❌ Account Not Found"))</f>
        <v/>
      </c>
      <c r="D188" s="42" t="str">
        <f t="shared" ca="1" si="21"/>
        <v/>
      </c>
      <c r="E188" s="32"/>
      <c r="F188" s="31"/>
      <c r="G188" s="41"/>
      <c r="H188" s="56">
        <v>2.5</v>
      </c>
      <c r="I188" s="43" t="str">
        <f t="shared" si="22"/>
        <v/>
      </c>
      <c r="J188" s="43" t="str">
        <f t="shared" si="23"/>
        <v/>
      </c>
      <c r="K188" s="33" t="str">
        <f>IF(B188="","Pending",IF(M188="","⚠️ Enter Code",IF(IFERROR(VLOOKUP(L188,DB_Agents!$B:$F,4,0),"")=TEXT(M188,"0"),"Pending Approval","🔒 WRONG CODE")))</f>
        <v>Pending</v>
      </c>
      <c r="L188" s="30" t="s">
        <v>62</v>
      </c>
      <c r="M188" s="41"/>
      <c r="N188" s="57"/>
    </row>
    <row r="189" spans="1:14" ht="20.100000000000001" customHeight="1" x14ac:dyDescent="0.25">
      <c r="A189" s="30" t="str">
        <f t="shared" si="20"/>
        <v/>
      </c>
      <c r="B189" s="41"/>
      <c r="C189" s="35" t="str">
        <f>IF(B189="","",IFERROR(VLOOKUP(B189,DB_Customers!$A:$B,2,0),"❌ Account Not Found"))</f>
        <v/>
      </c>
      <c r="D189" s="42" t="str">
        <f t="shared" ca="1" si="21"/>
        <v/>
      </c>
      <c r="E189" s="32"/>
      <c r="F189" s="31"/>
      <c r="G189" s="41"/>
      <c r="H189" s="56">
        <v>2.5</v>
      </c>
      <c r="I189" s="43" t="str">
        <f t="shared" si="22"/>
        <v/>
      </c>
      <c r="J189" s="43" t="str">
        <f t="shared" si="23"/>
        <v/>
      </c>
      <c r="K189" s="33" t="str">
        <f>IF(B189="","Pending",IF(M189="","⚠️ Enter Code",IF(IFERROR(VLOOKUP(L189,DB_Agents!$B:$F,4,0),"")=TEXT(M189,"0"),"Pending Approval","🔒 WRONG CODE")))</f>
        <v>Pending</v>
      </c>
      <c r="L189" s="30" t="s">
        <v>62</v>
      </c>
      <c r="M189" s="41"/>
      <c r="N189" s="22"/>
    </row>
    <row r="190" spans="1:14" ht="20.100000000000001" customHeight="1" x14ac:dyDescent="0.25">
      <c r="A190" s="30" t="str">
        <f t="shared" si="20"/>
        <v/>
      </c>
      <c r="B190" s="41"/>
      <c r="C190" s="35" t="str">
        <f>IF(B190="","",IFERROR(VLOOKUP(B190,DB_Customers!$A:$B,2,0),"❌ Account Not Found"))</f>
        <v/>
      </c>
      <c r="D190" s="42" t="str">
        <f t="shared" ca="1" si="21"/>
        <v/>
      </c>
      <c r="E190" s="32"/>
      <c r="F190" s="31"/>
      <c r="G190" s="41"/>
      <c r="H190" s="56">
        <v>2.5</v>
      </c>
      <c r="I190" s="43" t="str">
        <f t="shared" si="22"/>
        <v/>
      </c>
      <c r="J190" s="43" t="str">
        <f t="shared" si="23"/>
        <v/>
      </c>
      <c r="K190" s="33" t="str">
        <f>IF(B190="","Pending",IF(M190="","⚠️ Enter Code",IF(IFERROR(VLOOKUP(L190,DB_Agents!$B:$F,4,0),"")=TEXT(M190,"0"),"Pending Approval","🔒 WRONG CODE")))</f>
        <v>Pending</v>
      </c>
      <c r="L190" s="30" t="s">
        <v>62</v>
      </c>
      <c r="M190" s="41"/>
      <c r="N190" s="57"/>
    </row>
    <row r="191" spans="1:14" ht="20.100000000000001" customHeight="1" x14ac:dyDescent="0.25">
      <c r="A191" s="30" t="str">
        <f t="shared" si="20"/>
        <v/>
      </c>
      <c r="B191" s="41"/>
      <c r="C191" s="35" t="str">
        <f>IF(B191="","",IFERROR(VLOOKUP(B191,DB_Customers!$A:$B,2,0),"❌ Account Not Found"))</f>
        <v/>
      </c>
      <c r="D191" s="42" t="str">
        <f t="shared" ca="1" si="21"/>
        <v/>
      </c>
      <c r="E191" s="32"/>
      <c r="F191" s="31"/>
      <c r="G191" s="41"/>
      <c r="H191" s="56">
        <v>2.5</v>
      </c>
      <c r="I191" s="43" t="str">
        <f t="shared" si="22"/>
        <v/>
      </c>
      <c r="J191" s="43" t="str">
        <f t="shared" si="23"/>
        <v/>
      </c>
      <c r="K191" s="33" t="str">
        <f>IF(B191="","Pending",IF(M191="","⚠️ Enter Code",IF(IFERROR(VLOOKUP(L191,DB_Agents!$B:$F,4,0),"")=TEXT(M191,"0"),"Pending Approval","🔒 WRONG CODE")))</f>
        <v>Pending</v>
      </c>
      <c r="L191" s="30" t="s">
        <v>62</v>
      </c>
      <c r="M191" s="41"/>
      <c r="N191" s="22"/>
    </row>
    <row r="192" spans="1:14" ht="20.100000000000001" customHeight="1" x14ac:dyDescent="0.25">
      <c r="A192" s="30" t="str">
        <f t="shared" si="20"/>
        <v/>
      </c>
      <c r="B192" s="41"/>
      <c r="C192" s="35" t="str">
        <f>IF(B192="","",IFERROR(VLOOKUP(B192,DB_Customers!$A:$B,2,0),"❌ Account Not Found"))</f>
        <v/>
      </c>
      <c r="D192" s="42" t="str">
        <f t="shared" ca="1" si="21"/>
        <v/>
      </c>
      <c r="E192" s="32"/>
      <c r="F192" s="31"/>
      <c r="G192" s="41"/>
      <c r="H192" s="56">
        <v>2.5</v>
      </c>
      <c r="I192" s="43" t="str">
        <f t="shared" si="22"/>
        <v/>
      </c>
      <c r="J192" s="43" t="str">
        <f t="shared" si="23"/>
        <v/>
      </c>
      <c r="K192" s="33" t="str">
        <f>IF(B192="","Pending",IF(M192="","⚠️ Enter Code",IF(IFERROR(VLOOKUP(L192,DB_Agents!$B:$F,4,0),"")=TEXT(M192,"0"),"Pending Approval","🔒 WRONG CODE")))</f>
        <v>Pending</v>
      </c>
      <c r="L192" s="30" t="s">
        <v>62</v>
      </c>
      <c r="M192" s="41"/>
      <c r="N192" s="57"/>
    </row>
    <row r="193" spans="1:14" ht="20.100000000000001" customHeight="1" x14ac:dyDescent="0.25">
      <c r="A193" s="30" t="str">
        <f t="shared" si="20"/>
        <v/>
      </c>
      <c r="B193" s="41"/>
      <c r="C193" s="35" t="str">
        <f>IF(B193="","",IFERROR(VLOOKUP(B193,DB_Customers!$A:$B,2,0),"❌ Account Not Found"))</f>
        <v/>
      </c>
      <c r="D193" s="42" t="str">
        <f t="shared" ca="1" si="21"/>
        <v/>
      </c>
      <c r="E193" s="32"/>
      <c r="F193" s="31"/>
      <c r="G193" s="41"/>
      <c r="H193" s="56">
        <v>2.5</v>
      </c>
      <c r="I193" s="43" t="str">
        <f t="shared" si="22"/>
        <v/>
      </c>
      <c r="J193" s="43" t="str">
        <f t="shared" si="23"/>
        <v/>
      </c>
      <c r="K193" s="33" t="str">
        <f>IF(B193="","Pending",IF(M193="","⚠️ Enter Code",IF(IFERROR(VLOOKUP(L193,DB_Agents!$B:$F,4,0),"")=TEXT(M193,"0"),"Pending Approval","🔒 WRONG CODE")))</f>
        <v>Pending</v>
      </c>
      <c r="L193" s="30" t="s">
        <v>62</v>
      </c>
      <c r="M193" s="41"/>
      <c r="N193" s="22"/>
    </row>
    <row r="194" spans="1:14" ht="20.100000000000001" customHeight="1" x14ac:dyDescent="0.25">
      <c r="A194" s="30" t="str">
        <f t="shared" si="20"/>
        <v/>
      </c>
      <c r="B194" s="41"/>
      <c r="C194" s="35" t="str">
        <f>IF(B194="","",IFERROR(VLOOKUP(B194,DB_Customers!$A:$B,2,0),"❌ Account Not Found"))</f>
        <v/>
      </c>
      <c r="D194" s="42" t="str">
        <f t="shared" ca="1" si="21"/>
        <v/>
      </c>
      <c r="E194" s="32"/>
      <c r="F194" s="31"/>
      <c r="G194" s="41"/>
      <c r="H194" s="56">
        <v>2.5</v>
      </c>
      <c r="I194" s="43" t="str">
        <f t="shared" si="22"/>
        <v/>
      </c>
      <c r="J194" s="43" t="str">
        <f t="shared" si="23"/>
        <v/>
      </c>
      <c r="K194" s="33" t="str">
        <f>IF(B194="","Pending",IF(M194="","⚠️ Enter Code",IF(IFERROR(VLOOKUP(L194,DB_Agents!$B:$F,4,0),"")=TEXT(M194,"0"),"Pending Approval","🔒 WRONG CODE")))</f>
        <v>Pending</v>
      </c>
      <c r="L194" s="30" t="s">
        <v>62</v>
      </c>
      <c r="M194" s="41"/>
      <c r="N194" s="57"/>
    </row>
    <row r="195" spans="1:14" ht="20.100000000000001" customHeight="1" x14ac:dyDescent="0.25">
      <c r="A195" s="30" t="str">
        <f t="shared" si="20"/>
        <v/>
      </c>
      <c r="B195" s="41"/>
      <c r="C195" s="35" t="str">
        <f>IF(B195="","",IFERROR(VLOOKUP(B195,DB_Customers!$A:$B,2,0),"❌ Account Not Found"))</f>
        <v/>
      </c>
      <c r="D195" s="42" t="str">
        <f t="shared" ca="1" si="21"/>
        <v/>
      </c>
      <c r="E195" s="32"/>
      <c r="F195" s="31"/>
      <c r="G195" s="41"/>
      <c r="H195" s="56">
        <v>2.5</v>
      </c>
      <c r="I195" s="43" t="str">
        <f t="shared" si="22"/>
        <v/>
      </c>
      <c r="J195" s="43" t="str">
        <f t="shared" si="23"/>
        <v/>
      </c>
      <c r="K195" s="33" t="str">
        <f>IF(B195="","Pending",IF(M195="","⚠️ Enter Code",IF(IFERROR(VLOOKUP(L195,DB_Agents!$B:$F,4,0),"")=TEXT(M195,"0"),"Pending Approval","🔒 WRONG CODE")))</f>
        <v>Pending</v>
      </c>
      <c r="L195" s="30" t="s">
        <v>62</v>
      </c>
      <c r="M195" s="41"/>
      <c r="N195" s="22"/>
    </row>
    <row r="196" spans="1:14" ht="20.100000000000001" customHeight="1" x14ac:dyDescent="0.25">
      <c r="A196" s="30" t="str">
        <f t="shared" si="20"/>
        <v/>
      </c>
      <c r="B196" s="41"/>
      <c r="C196" s="35" t="str">
        <f>IF(B196="","",IFERROR(VLOOKUP(B196,DB_Customers!$A:$B,2,0),"❌ Account Not Found"))</f>
        <v/>
      </c>
      <c r="D196" s="42" t="str">
        <f t="shared" ca="1" si="21"/>
        <v/>
      </c>
      <c r="E196" s="32"/>
      <c r="F196" s="31"/>
      <c r="G196" s="41"/>
      <c r="H196" s="56">
        <v>2.5</v>
      </c>
      <c r="I196" s="43" t="str">
        <f t="shared" si="22"/>
        <v/>
      </c>
      <c r="J196" s="43" t="str">
        <f t="shared" si="23"/>
        <v/>
      </c>
      <c r="K196" s="33" t="str">
        <f>IF(B196="","Pending",IF(M196="","⚠️ Enter Code",IF(IFERROR(VLOOKUP(L196,DB_Agents!$B:$F,4,0),"")=TEXT(M196,"0"),"Pending Approval","🔒 WRONG CODE")))</f>
        <v>Pending</v>
      </c>
      <c r="L196" s="30" t="s">
        <v>62</v>
      </c>
      <c r="M196" s="41"/>
      <c r="N196" s="57"/>
    </row>
    <row r="197" spans="1:14" ht="20.100000000000001" customHeight="1" x14ac:dyDescent="0.25">
      <c r="A197" s="30" t="str">
        <f t="shared" si="20"/>
        <v/>
      </c>
      <c r="B197" s="41"/>
      <c r="C197" s="35" t="str">
        <f>IF(B197="","",IFERROR(VLOOKUP(B197,DB_Customers!$A:$B,2,0),"❌ Account Not Found"))</f>
        <v/>
      </c>
      <c r="D197" s="42" t="str">
        <f t="shared" ca="1" si="21"/>
        <v/>
      </c>
      <c r="E197" s="32"/>
      <c r="F197" s="31"/>
      <c r="G197" s="41"/>
      <c r="H197" s="56">
        <v>2.5</v>
      </c>
      <c r="I197" s="43" t="str">
        <f t="shared" si="22"/>
        <v/>
      </c>
      <c r="J197" s="43" t="str">
        <f t="shared" si="23"/>
        <v/>
      </c>
      <c r="K197" s="33" t="str">
        <f>IF(B197="","Pending",IF(M197="","⚠️ Enter Code",IF(IFERROR(VLOOKUP(L197,DB_Agents!$B:$F,4,0),"")=TEXT(M197,"0"),"Pending Approval","🔒 WRONG CODE")))</f>
        <v>Pending</v>
      </c>
      <c r="L197" s="30" t="s">
        <v>62</v>
      </c>
      <c r="M197" s="41"/>
      <c r="N197" s="22"/>
    </row>
    <row r="198" spans="1:14" ht="20.100000000000001" customHeight="1" x14ac:dyDescent="0.25">
      <c r="A198" s="30" t="str">
        <f t="shared" si="20"/>
        <v/>
      </c>
      <c r="B198" s="41"/>
      <c r="C198" s="35" t="str">
        <f>IF(B198="","",IFERROR(VLOOKUP(B198,DB_Customers!$A:$B,2,0),"❌ Account Not Found"))</f>
        <v/>
      </c>
      <c r="D198" s="42" t="str">
        <f t="shared" ca="1" si="21"/>
        <v/>
      </c>
      <c r="E198" s="32"/>
      <c r="F198" s="31"/>
      <c r="G198" s="41"/>
      <c r="H198" s="56">
        <v>2.5</v>
      </c>
      <c r="I198" s="43" t="str">
        <f t="shared" si="22"/>
        <v/>
      </c>
      <c r="J198" s="43" t="str">
        <f t="shared" si="23"/>
        <v/>
      </c>
      <c r="K198" s="33" t="str">
        <f>IF(B198="","Pending",IF(M198="","⚠️ Enter Code",IF(IFERROR(VLOOKUP(L198,DB_Agents!$B:$F,4,0),"")=TEXT(M198,"0"),"Pending Approval","🔒 WRONG CODE")))</f>
        <v>Pending</v>
      </c>
      <c r="L198" s="30" t="s">
        <v>62</v>
      </c>
      <c r="M198" s="41"/>
      <c r="N198" s="57"/>
    </row>
    <row r="199" spans="1:14" ht="20.100000000000001" customHeight="1" x14ac:dyDescent="0.25">
      <c r="A199" s="30" t="str">
        <f t="shared" si="20"/>
        <v/>
      </c>
      <c r="B199" s="41"/>
      <c r="C199" s="35" t="str">
        <f>IF(B199="","",IFERROR(VLOOKUP(B199,DB_Customers!$A:$B,2,0),"❌ Account Not Found"))</f>
        <v/>
      </c>
      <c r="D199" s="42" t="str">
        <f t="shared" ca="1" si="21"/>
        <v/>
      </c>
      <c r="E199" s="32"/>
      <c r="F199" s="31"/>
      <c r="G199" s="41"/>
      <c r="H199" s="56">
        <v>2.5</v>
      </c>
      <c r="I199" s="43" t="str">
        <f t="shared" si="22"/>
        <v/>
      </c>
      <c r="J199" s="43" t="str">
        <f t="shared" si="23"/>
        <v/>
      </c>
      <c r="K199" s="33" t="str">
        <f>IF(B199="","Pending",IF(M199="","⚠️ Enter Code",IF(IFERROR(VLOOKUP(L199,DB_Agents!$B:$F,4,0),"")=TEXT(M199,"0"),"Pending Approval","🔒 WRONG CODE")))</f>
        <v>Pending</v>
      </c>
      <c r="L199" s="30" t="s">
        <v>62</v>
      </c>
      <c r="M199" s="41"/>
      <c r="N199" s="22"/>
    </row>
    <row r="200" spans="1:14" ht="20.100000000000001" customHeight="1" x14ac:dyDescent="0.25">
      <c r="A200" s="30" t="str">
        <f t="shared" si="20"/>
        <v/>
      </c>
      <c r="B200" s="41"/>
      <c r="C200" s="35" t="str">
        <f>IF(B200="","",IFERROR(VLOOKUP(B200,DB_Customers!$A:$B,2,0),"❌ Account Not Found"))</f>
        <v/>
      </c>
      <c r="D200" s="42" t="str">
        <f t="shared" ca="1" si="21"/>
        <v/>
      </c>
      <c r="E200" s="32"/>
      <c r="F200" s="31"/>
      <c r="G200" s="41"/>
      <c r="H200" s="56">
        <v>2.5</v>
      </c>
      <c r="I200" s="43" t="str">
        <f t="shared" si="22"/>
        <v/>
      </c>
      <c r="J200" s="43" t="str">
        <f t="shared" si="23"/>
        <v/>
      </c>
      <c r="K200" s="33" t="str">
        <f>IF(B200="","Pending",IF(M200="","⚠️ Enter Code",IF(IFERROR(VLOOKUP(L200,DB_Agents!$B:$F,4,0),"")=TEXT(M200,"0"),"Pending Approval","🔒 WRONG CODE")))</f>
        <v>Pending</v>
      </c>
      <c r="L200" s="30" t="s">
        <v>62</v>
      </c>
      <c r="M200" s="41"/>
      <c r="N200" s="57"/>
    </row>
    <row r="201" spans="1:14" ht="20.100000000000001" customHeight="1" x14ac:dyDescent="0.25">
      <c r="A201" s="30" t="str">
        <f t="shared" si="20"/>
        <v/>
      </c>
      <c r="B201" s="41"/>
      <c r="C201" s="35" t="str">
        <f>IF(B201="","",IFERROR(VLOOKUP(B201,DB_Customers!$A:$B,2,0),"❌ Account Not Found"))</f>
        <v/>
      </c>
      <c r="D201" s="42" t="str">
        <f t="shared" ca="1" si="21"/>
        <v/>
      </c>
      <c r="E201" s="32"/>
      <c r="F201" s="31"/>
      <c r="G201" s="41"/>
      <c r="H201" s="56">
        <v>2.5</v>
      </c>
      <c r="I201" s="43" t="str">
        <f t="shared" si="22"/>
        <v/>
      </c>
      <c r="J201" s="43" t="str">
        <f t="shared" si="23"/>
        <v/>
      </c>
      <c r="K201" s="33" t="str">
        <f>IF(B201="","Pending",IF(M201="","⚠️ Enter Code",IF(IFERROR(VLOOKUP(L201,DB_Agents!$B:$F,4,0),"")=TEXT(M201,"0"),"Pending Approval","🔒 WRONG CODE")))</f>
        <v>Pending</v>
      </c>
      <c r="L201" s="30" t="s">
        <v>62</v>
      </c>
      <c r="M201" s="41"/>
      <c r="N201" s="22"/>
    </row>
    <row r="202" spans="1:14" ht="20.100000000000001" customHeight="1" x14ac:dyDescent="0.25">
      <c r="A202" s="30" t="str">
        <f t="shared" si="20"/>
        <v/>
      </c>
      <c r="B202" s="41"/>
      <c r="C202" s="35" t="str">
        <f>IF(B202="","",IFERROR(VLOOKUP(B202,DB_Customers!$A:$B,2,0),"❌ Account Not Found"))</f>
        <v/>
      </c>
      <c r="D202" s="42" t="str">
        <f t="shared" ca="1" si="21"/>
        <v/>
      </c>
      <c r="E202" s="32"/>
      <c r="F202" s="31"/>
      <c r="G202" s="41"/>
      <c r="H202" s="56">
        <v>2.5</v>
      </c>
      <c r="I202" s="43" t="str">
        <f t="shared" si="22"/>
        <v/>
      </c>
      <c r="J202" s="43" t="str">
        <f t="shared" si="23"/>
        <v/>
      </c>
      <c r="K202" s="33" t="str">
        <f>IF(B202="","Pending",IF(M202="","⚠️ Enter Code",IF(IFERROR(VLOOKUP(L202,DB_Agents!$B:$F,4,0),"")=TEXT(M202,"0"),"Pending Approval","🔒 WRONG CODE")))</f>
        <v>Pending</v>
      </c>
      <c r="L202" s="30" t="s">
        <v>62</v>
      </c>
      <c r="M202" s="41"/>
      <c r="N202" s="57"/>
    </row>
    <row r="203" spans="1:14" ht="20.100000000000001" customHeight="1" x14ac:dyDescent="0.25">
      <c r="A203" s="30" t="str">
        <f t="shared" si="20"/>
        <v/>
      </c>
      <c r="B203" s="41"/>
      <c r="C203" s="35" t="str">
        <f>IF(B203="","",IFERROR(VLOOKUP(B203,DB_Customers!$A:$B,2,0),"❌ Account Not Found"))</f>
        <v/>
      </c>
      <c r="D203" s="42" t="str">
        <f t="shared" ca="1" si="21"/>
        <v/>
      </c>
      <c r="E203" s="32"/>
      <c r="F203" s="31"/>
      <c r="G203" s="41"/>
      <c r="H203" s="56">
        <v>2.5</v>
      </c>
      <c r="I203" s="43" t="str">
        <f t="shared" si="22"/>
        <v/>
      </c>
      <c r="J203" s="43" t="str">
        <f t="shared" si="23"/>
        <v/>
      </c>
      <c r="K203" s="33" t="str">
        <f>IF(B203="","Pending",IF(M203="","⚠️ Enter Code",IF(IFERROR(VLOOKUP(L203,DB_Agents!$B:$F,4,0),"")=TEXT(M203,"0"),"Pending Approval","🔒 WRONG CODE")))</f>
        <v>Pending</v>
      </c>
      <c r="L203" s="30" t="s">
        <v>62</v>
      </c>
      <c r="M203" s="41"/>
      <c r="N203" s="22"/>
    </row>
    <row r="204" spans="1:14" ht="20.100000000000001" customHeight="1" x14ac:dyDescent="0.25">
      <c r="A204" s="30" t="str">
        <f t="shared" si="20"/>
        <v/>
      </c>
      <c r="B204" s="41"/>
      <c r="C204" s="35" t="str">
        <f>IF(B204="","",IFERROR(VLOOKUP(B204,DB_Customers!$A:$B,2,0),"❌ Account Not Found"))</f>
        <v/>
      </c>
      <c r="D204" s="42" t="str">
        <f t="shared" ca="1" si="21"/>
        <v/>
      </c>
      <c r="E204" s="32"/>
      <c r="F204" s="31"/>
      <c r="G204" s="41"/>
      <c r="H204" s="56">
        <v>2.5</v>
      </c>
      <c r="I204" s="43" t="str">
        <f t="shared" si="22"/>
        <v/>
      </c>
      <c r="J204" s="43" t="str">
        <f t="shared" si="23"/>
        <v/>
      </c>
      <c r="K204" s="33" t="str">
        <f>IF(B204="","Pending",IF(M204="","⚠️ Enter Code",IF(IFERROR(VLOOKUP(L204,DB_Agents!$B:$F,4,0),"")=TEXT(M204,"0"),"Pending Approval","🔒 WRONG CODE")))</f>
        <v>Pending</v>
      </c>
      <c r="L204" s="30" t="s">
        <v>62</v>
      </c>
      <c r="M204" s="41"/>
      <c r="N204" s="57"/>
    </row>
    <row r="205" spans="1:14" ht="20.100000000000001" customHeight="1" x14ac:dyDescent="0.25">
      <c r="A205" s="30" t="str">
        <f t="shared" si="20"/>
        <v/>
      </c>
      <c r="B205" s="41"/>
      <c r="C205" s="35" t="str">
        <f>IF(B205="","",IFERROR(VLOOKUP(B205,DB_Customers!$A:$B,2,0),"❌ Account Not Found"))</f>
        <v/>
      </c>
      <c r="D205" s="42" t="str">
        <f t="shared" ca="1" si="21"/>
        <v/>
      </c>
      <c r="E205" s="32"/>
      <c r="F205" s="31"/>
      <c r="G205" s="41"/>
      <c r="H205" s="56">
        <v>2.5</v>
      </c>
      <c r="I205" s="43" t="str">
        <f t="shared" si="22"/>
        <v/>
      </c>
      <c r="J205" s="43" t="str">
        <f t="shared" si="23"/>
        <v/>
      </c>
      <c r="K205" s="33" t="str">
        <f>IF(B205="","Pending",IF(M205="","⚠️ Enter Code",IF(IFERROR(VLOOKUP(L205,DB_Agents!$B:$F,4,0),"")=TEXT(M205,"0"),"Pending Approval","🔒 WRONG CODE")))</f>
        <v>Pending</v>
      </c>
      <c r="L205" s="30" t="s">
        <v>62</v>
      </c>
      <c r="M205" s="41"/>
      <c r="N205" s="22"/>
    </row>
    <row r="206" spans="1:14" ht="20.100000000000001" customHeight="1" x14ac:dyDescent="0.25">
      <c r="A206" s="30" t="str">
        <f t="shared" ref="A206:A237" si="24">IF(B206="","",IF(C206="❌ Account Not Found","INVALID","LN"&amp;TEXT(D206,"YYYYMMDD")&amp;TEXT(ROW()-13,"0000")))</f>
        <v/>
      </c>
      <c r="B206" s="41"/>
      <c r="C206" s="35" t="str">
        <f>IF(B206="","",IFERROR(VLOOKUP(B206,DB_Customers!$A:$B,2,0),"❌ Account Not Found"))</f>
        <v/>
      </c>
      <c r="D206" s="42" t="str">
        <f t="shared" ref="D206:D213" ca="1" si="25">IF(B206="","",TODAY())</f>
        <v/>
      </c>
      <c r="E206" s="32"/>
      <c r="F206" s="31"/>
      <c r="G206" s="41"/>
      <c r="H206" s="56">
        <v>2.5</v>
      </c>
      <c r="I206" s="43" t="str">
        <f t="shared" ref="I206:I237" si="26">IF(E206="","",E206+(E206*H206/100*G206))</f>
        <v/>
      </c>
      <c r="J206" s="43" t="str">
        <f t="shared" ref="J206:J237" si="27">IFERROR(I206/G206,"")</f>
        <v/>
      </c>
      <c r="K206" s="33" t="str">
        <f>IF(B206="","Pending",IF(M206="","⚠️ Enter Code",IF(IFERROR(VLOOKUP(L206,DB_Agents!$B:$F,4,0),"")=TEXT(M206,"0"),"Pending Approval","🔒 WRONG CODE")))</f>
        <v>Pending</v>
      </c>
      <c r="L206" s="30" t="s">
        <v>62</v>
      </c>
      <c r="M206" s="41"/>
      <c r="N206" s="57"/>
    </row>
    <row r="207" spans="1:14" ht="20.100000000000001" customHeight="1" x14ac:dyDescent="0.25">
      <c r="A207" s="30" t="str">
        <f t="shared" si="24"/>
        <v/>
      </c>
      <c r="B207" s="41"/>
      <c r="C207" s="35" t="str">
        <f>IF(B207="","",IFERROR(VLOOKUP(B207,DB_Customers!$A:$B,2,0),"❌ Account Not Found"))</f>
        <v/>
      </c>
      <c r="D207" s="42" t="str">
        <f t="shared" ca="1" si="25"/>
        <v/>
      </c>
      <c r="E207" s="32"/>
      <c r="F207" s="31"/>
      <c r="G207" s="41"/>
      <c r="H207" s="56">
        <v>2.5</v>
      </c>
      <c r="I207" s="43" t="str">
        <f t="shared" si="26"/>
        <v/>
      </c>
      <c r="J207" s="43" t="str">
        <f t="shared" si="27"/>
        <v/>
      </c>
      <c r="K207" s="33" t="str">
        <f>IF(B207="","Pending",IF(M207="","⚠️ Enter Code",IF(IFERROR(VLOOKUP(L207,DB_Agents!$B:$F,4,0),"")=TEXT(M207,"0"),"Pending Approval","🔒 WRONG CODE")))</f>
        <v>Pending</v>
      </c>
      <c r="L207" s="30" t="s">
        <v>62</v>
      </c>
      <c r="M207" s="41"/>
      <c r="N207" s="22"/>
    </row>
    <row r="208" spans="1:14" ht="20.100000000000001" customHeight="1" x14ac:dyDescent="0.25">
      <c r="A208" s="30" t="str">
        <f t="shared" si="24"/>
        <v/>
      </c>
      <c r="B208" s="41"/>
      <c r="C208" s="35" t="str">
        <f>IF(B208="","",IFERROR(VLOOKUP(B208,DB_Customers!$A:$B,2,0),"❌ Account Not Found"))</f>
        <v/>
      </c>
      <c r="D208" s="42" t="str">
        <f t="shared" ca="1" si="25"/>
        <v/>
      </c>
      <c r="E208" s="32"/>
      <c r="F208" s="31"/>
      <c r="G208" s="41"/>
      <c r="H208" s="56">
        <v>2.5</v>
      </c>
      <c r="I208" s="43" t="str">
        <f t="shared" si="26"/>
        <v/>
      </c>
      <c r="J208" s="43" t="str">
        <f t="shared" si="27"/>
        <v/>
      </c>
      <c r="K208" s="33" t="str">
        <f>IF(B208="","Pending",IF(M208="","⚠️ Enter Code",IF(IFERROR(VLOOKUP(L208,DB_Agents!$B:$F,4,0),"")=TEXT(M208,"0"),"Pending Approval","🔒 WRONG CODE")))</f>
        <v>Pending</v>
      </c>
      <c r="L208" s="30" t="s">
        <v>62</v>
      </c>
      <c r="M208" s="41"/>
      <c r="N208" s="57"/>
    </row>
    <row r="209" spans="1:14" ht="20.100000000000001" customHeight="1" x14ac:dyDescent="0.25">
      <c r="A209" s="30" t="str">
        <f t="shared" si="24"/>
        <v/>
      </c>
      <c r="B209" s="41"/>
      <c r="C209" s="35" t="str">
        <f>IF(B209="","",IFERROR(VLOOKUP(B209,DB_Customers!$A:$B,2,0),"❌ Account Not Found"))</f>
        <v/>
      </c>
      <c r="D209" s="42" t="str">
        <f t="shared" ca="1" si="25"/>
        <v/>
      </c>
      <c r="E209" s="32"/>
      <c r="F209" s="31"/>
      <c r="G209" s="41"/>
      <c r="H209" s="56">
        <v>2.5</v>
      </c>
      <c r="I209" s="43" t="str">
        <f t="shared" si="26"/>
        <v/>
      </c>
      <c r="J209" s="43" t="str">
        <f t="shared" si="27"/>
        <v/>
      </c>
      <c r="K209" s="33" t="str">
        <f>IF(B209="","Pending",IF(M209="","⚠️ Enter Code",IF(IFERROR(VLOOKUP(L209,DB_Agents!$B:$F,4,0),"")=TEXT(M209,"0"),"Pending Approval","🔒 WRONG CODE")))</f>
        <v>Pending</v>
      </c>
      <c r="L209" s="30" t="s">
        <v>62</v>
      </c>
      <c r="M209" s="41"/>
      <c r="N209" s="22"/>
    </row>
    <row r="210" spans="1:14" ht="20.100000000000001" customHeight="1" x14ac:dyDescent="0.25">
      <c r="A210" s="30" t="str">
        <f t="shared" si="24"/>
        <v/>
      </c>
      <c r="B210" s="41"/>
      <c r="C210" s="35" t="str">
        <f>IF(B210="","",IFERROR(VLOOKUP(B210,DB_Customers!$A:$B,2,0),"❌ Account Not Found"))</f>
        <v/>
      </c>
      <c r="D210" s="42" t="str">
        <f t="shared" ca="1" si="25"/>
        <v/>
      </c>
      <c r="E210" s="32"/>
      <c r="F210" s="31"/>
      <c r="G210" s="41"/>
      <c r="H210" s="56">
        <v>2.5</v>
      </c>
      <c r="I210" s="43" t="str">
        <f t="shared" si="26"/>
        <v/>
      </c>
      <c r="J210" s="43" t="str">
        <f t="shared" si="27"/>
        <v/>
      </c>
      <c r="K210" s="33" t="str">
        <f>IF(B210="","Pending",IF(M210="","⚠️ Enter Code",IF(IFERROR(VLOOKUP(L210,DB_Agents!$B:$F,4,0),"")=TEXT(M210,"0"),"Pending Approval","🔒 WRONG CODE")))</f>
        <v>Pending</v>
      </c>
      <c r="L210" s="30" t="s">
        <v>62</v>
      </c>
      <c r="M210" s="41"/>
      <c r="N210" s="57"/>
    </row>
    <row r="211" spans="1:14" ht="20.100000000000001" customHeight="1" x14ac:dyDescent="0.25">
      <c r="A211" s="30" t="str">
        <f t="shared" si="24"/>
        <v/>
      </c>
      <c r="B211" s="41"/>
      <c r="C211" s="35" t="str">
        <f>IF(B211="","",IFERROR(VLOOKUP(B211,DB_Customers!$A:$B,2,0),"❌ Account Not Found"))</f>
        <v/>
      </c>
      <c r="D211" s="42" t="str">
        <f t="shared" ca="1" si="25"/>
        <v/>
      </c>
      <c r="E211" s="32"/>
      <c r="F211" s="31"/>
      <c r="G211" s="41"/>
      <c r="H211" s="56">
        <v>2.5</v>
      </c>
      <c r="I211" s="43" t="str">
        <f t="shared" si="26"/>
        <v/>
      </c>
      <c r="J211" s="43" t="str">
        <f t="shared" si="27"/>
        <v/>
      </c>
      <c r="K211" s="33" t="str">
        <f>IF(B211="","Pending",IF(M211="","⚠️ Enter Code",IF(IFERROR(VLOOKUP(L211,DB_Agents!$B:$F,4,0),"")=TEXT(M211,"0"),"Pending Approval","🔒 WRONG CODE")))</f>
        <v>Pending</v>
      </c>
      <c r="L211" s="30" t="s">
        <v>62</v>
      </c>
      <c r="M211" s="41"/>
      <c r="N211" s="22"/>
    </row>
    <row r="212" spans="1:14" ht="20.100000000000001" customHeight="1" x14ac:dyDescent="0.25">
      <c r="A212" s="30" t="str">
        <f t="shared" si="24"/>
        <v/>
      </c>
      <c r="B212" s="41"/>
      <c r="C212" s="35" t="str">
        <f>IF(B212="","",IFERROR(VLOOKUP(B212,DB_Customers!$A:$B,2,0),"❌ Account Not Found"))</f>
        <v/>
      </c>
      <c r="D212" s="42" t="str">
        <f t="shared" ca="1" si="25"/>
        <v/>
      </c>
      <c r="E212" s="32"/>
      <c r="F212" s="31"/>
      <c r="G212" s="41"/>
      <c r="H212" s="56">
        <v>2.5</v>
      </c>
      <c r="I212" s="43" t="str">
        <f t="shared" si="26"/>
        <v/>
      </c>
      <c r="J212" s="43" t="str">
        <f t="shared" si="27"/>
        <v/>
      </c>
      <c r="K212" s="33" t="str">
        <f>IF(B212="","Pending",IF(M212="","⚠️ Enter Code",IF(IFERROR(VLOOKUP(L212,DB_Agents!$B:$F,4,0),"")=TEXT(M212,"0"),"Pending Approval","🔒 WRONG CODE")))</f>
        <v>Pending</v>
      </c>
      <c r="L212" s="30" t="s">
        <v>62</v>
      </c>
      <c r="M212" s="41"/>
      <c r="N212" s="57"/>
    </row>
    <row r="213" spans="1:14" ht="20.100000000000001" customHeight="1" x14ac:dyDescent="0.25">
      <c r="A213" s="30" t="str">
        <f t="shared" si="24"/>
        <v/>
      </c>
      <c r="B213" s="41"/>
      <c r="C213" s="35" t="str">
        <f>IF(B213="","",IFERROR(VLOOKUP(B213,DB_Customers!$A:$B,2,0),"❌ Account Not Found"))</f>
        <v/>
      </c>
      <c r="D213" s="42" t="str">
        <f t="shared" ca="1" si="25"/>
        <v/>
      </c>
      <c r="E213" s="32"/>
      <c r="F213" s="31"/>
      <c r="G213" s="41"/>
      <c r="H213" s="56">
        <v>2.5</v>
      </c>
      <c r="I213" s="43" t="str">
        <f t="shared" si="26"/>
        <v/>
      </c>
      <c r="J213" s="43" t="str">
        <f t="shared" si="27"/>
        <v/>
      </c>
      <c r="K213" s="33" t="str">
        <f>IF(B213="","Pending",IF(M213="","⚠️ Enter Code",IF(IFERROR(VLOOKUP(L213,DB_Agents!$B:$F,4,0),"")=TEXT(M213,"0"),"Pending Approval","🔒 WRONG CODE")))</f>
        <v>Pending</v>
      </c>
      <c r="L213" s="30" t="s">
        <v>62</v>
      </c>
      <c r="M213" s="41"/>
      <c r="N213" s="22"/>
    </row>
  </sheetData>
  <mergeCells count="3">
    <mergeCell ref="A12:N12"/>
    <mergeCell ref="A2:N2"/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375623"/>
  </sheetPr>
  <dimension ref="A1:K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2" customWidth="1"/>
    <col min="4" max="4" width="14" customWidth="1"/>
    <col min="5" max="6" width="22" customWidth="1"/>
    <col min="7" max="7" width="12" customWidth="1"/>
    <col min="8" max="8" width="14" customWidth="1"/>
    <col min="9" max="10" width="22" customWidth="1"/>
    <col min="11" max="11" width="20" customWidth="1"/>
  </cols>
  <sheetData>
    <row r="1" spans="1:11" ht="32.1" customHeight="1" x14ac:dyDescent="0.25">
      <c r="A1" s="93" t="s">
        <v>216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1.95" customHeight="1" x14ac:dyDescent="0.25">
      <c r="A2" s="97" t="s">
        <v>217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20.100000000000001" customHeight="1" x14ac:dyDescent="0.25">
      <c r="A3" s="44" t="s">
        <v>126</v>
      </c>
      <c r="D3" s="44" t="s">
        <v>127</v>
      </c>
      <c r="G3" s="44" t="s">
        <v>128</v>
      </c>
    </row>
    <row r="4" spans="1:11" ht="24" customHeight="1" x14ac:dyDescent="0.25">
      <c r="A4" s="45">
        <f ca="1">IFERROR(SUMIFS(DB_Savings!$F:$F,DB_Savings!$D:$D,"Agent 10",DB_Savings!$E:$E,TODAY()),0)</f>
        <v>0</v>
      </c>
      <c r="D4" s="45">
        <f ca="1">IFERROR(COUNTIFS(DB_Savings!$D:$D,"Agent 10",DB_Savings!$E:$E,TODAY()),0)</f>
        <v>0</v>
      </c>
      <c r="G4" s="45" t="str">
        <f ca="1">TEXT(TODAY(),"DDDD, DD MMMM YYYY")</f>
        <v>Saturday, 25 April 2026</v>
      </c>
    </row>
    <row r="6" spans="1:11" ht="26.1" customHeight="1" x14ac:dyDescent="0.25">
      <c r="A6" s="97" t="s">
        <v>129</v>
      </c>
      <c r="B6" s="71"/>
      <c r="C6" s="71"/>
      <c r="D6" s="71"/>
      <c r="E6" s="71"/>
      <c r="F6" s="71"/>
      <c r="G6" s="71"/>
      <c r="H6" s="71"/>
      <c r="I6" s="71"/>
      <c r="J6" s="71"/>
      <c r="K6" s="71"/>
    </row>
    <row r="7" spans="1:11" ht="21.95" customHeight="1" x14ac:dyDescent="0.25">
      <c r="A7" s="90" t="s">
        <v>218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spans="1:11" ht="30" customHeight="1" x14ac:dyDescent="0.25">
      <c r="A8" s="19" t="s">
        <v>131</v>
      </c>
      <c r="B8" s="19" t="s">
        <v>69</v>
      </c>
      <c r="C8" s="19" t="s">
        <v>84</v>
      </c>
      <c r="D8" s="19" t="s">
        <v>91</v>
      </c>
      <c r="E8" s="19" t="s">
        <v>132</v>
      </c>
      <c r="F8" s="19" t="s">
        <v>133</v>
      </c>
      <c r="G8" s="19" t="s">
        <v>45</v>
      </c>
      <c r="H8" s="19" t="s">
        <v>134</v>
      </c>
      <c r="I8" s="19" t="s">
        <v>77</v>
      </c>
      <c r="J8" s="19" t="s">
        <v>135</v>
      </c>
      <c r="K8" s="19" t="s">
        <v>95</v>
      </c>
    </row>
    <row r="9" spans="1:11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IF(A9="","",IFERROR(VLOOKUP(A9,DB_Customers!$A:$M,13,0),""))</f>
        <v/>
      </c>
      <c r="D9" s="42" t="str">
        <f t="shared" ref="D9:D40" ca="1" si="0">IF(A9="","",TODAY())</f>
        <v/>
      </c>
      <c r="E9" s="32"/>
      <c r="F9" s="43" t="str">
        <f t="shared" ref="F9:F40" si="1">IFERROR(IF(OR(A9="",E9=""),"",C9+E9),"")</f>
        <v/>
      </c>
      <c r="G9" s="30" t="s">
        <v>63</v>
      </c>
      <c r="H9" s="41"/>
      <c r="I9" s="33" t="str">
        <f>IF(A9="","",IF(H9="","⚠️ Enter Agent Code",IF(IFERROR(VLOOKUP(G9,DB_Agents!$B:$F,4,0),"")=TEXT(H9,"0"),IF(AND(A9&lt;&gt;"",E9&lt;&gt;""),"✅ Saved","Pending"),"🔒 WRONG CODE")))</f>
        <v/>
      </c>
      <c r="J9" s="33" t="str">
        <f t="shared" ref="J9:J40" ca="1" si="2">IF(I9="✅ Saved",TEXT(TODAY(),"YYYY-MM-DD")&amp;" Auto","—")</f>
        <v>—</v>
      </c>
      <c r="K9" s="22"/>
    </row>
    <row r="10" spans="1:11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IF(A10="","",IFERROR(VLOOKUP(A10,DB_Customers!$A:$M,13,0),""))</f>
        <v/>
      </c>
      <c r="D10" s="42" t="str">
        <f t="shared" ca="1" si="0"/>
        <v/>
      </c>
      <c r="E10" s="32"/>
      <c r="F10" s="43" t="str">
        <f t="shared" si="1"/>
        <v/>
      </c>
      <c r="G10" s="30" t="s">
        <v>63</v>
      </c>
      <c r="H10" s="41"/>
      <c r="I10" s="33" t="str">
        <f>IF(A10="","",IF(H10="","⚠️ Enter Agent Code",IF(IFERROR(VLOOKUP(G10,DB_Agents!$B:$F,4,0),"")=TEXT(H10,"0"),IF(AND(A10&lt;&gt;"",E10&lt;&gt;""),"✅ Saved","Pending"),"🔒 WRONG CODE")))</f>
        <v/>
      </c>
      <c r="J10" s="33" t="str">
        <f t="shared" ca="1" si="2"/>
        <v>—</v>
      </c>
      <c r="K10" s="46"/>
    </row>
    <row r="11" spans="1:11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IF(A11="","",IFERROR(VLOOKUP(A11,DB_Customers!$A:$M,13,0),""))</f>
        <v/>
      </c>
      <c r="D11" s="42" t="str">
        <f t="shared" ca="1" si="0"/>
        <v/>
      </c>
      <c r="E11" s="32"/>
      <c r="F11" s="43" t="str">
        <f t="shared" si="1"/>
        <v/>
      </c>
      <c r="G11" s="30" t="s">
        <v>63</v>
      </c>
      <c r="H11" s="41"/>
      <c r="I11" s="33" t="str">
        <f>IF(A11="","",IF(H11="","⚠️ Enter Agent Code",IF(IFERROR(VLOOKUP(G11,DB_Agents!$B:$F,4,0),"")=TEXT(H11,"0"),IF(AND(A11&lt;&gt;"",E11&lt;&gt;""),"✅ Saved","Pending"),"🔒 WRONG CODE")))</f>
        <v/>
      </c>
      <c r="J11" s="33" t="str">
        <f t="shared" ca="1" si="2"/>
        <v>—</v>
      </c>
      <c r="K11" s="22"/>
    </row>
    <row r="12" spans="1:11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IF(A12="","",IFERROR(VLOOKUP(A12,DB_Customers!$A:$M,13,0),""))</f>
        <v/>
      </c>
      <c r="D12" s="42" t="str">
        <f t="shared" ca="1" si="0"/>
        <v/>
      </c>
      <c r="E12" s="32"/>
      <c r="F12" s="43" t="str">
        <f t="shared" si="1"/>
        <v/>
      </c>
      <c r="G12" s="30" t="s">
        <v>63</v>
      </c>
      <c r="H12" s="41"/>
      <c r="I12" s="33" t="str">
        <f>IF(A12="","",IF(H12="","⚠️ Enter Agent Code",IF(IFERROR(VLOOKUP(G12,DB_Agents!$B:$F,4,0),"")=TEXT(H12,"0"),IF(AND(A12&lt;&gt;"",E12&lt;&gt;""),"✅ Saved","Pending"),"🔒 WRONG CODE")))</f>
        <v/>
      </c>
      <c r="J12" s="33" t="str">
        <f t="shared" ca="1" si="2"/>
        <v>—</v>
      </c>
      <c r="K12" s="46"/>
    </row>
    <row r="13" spans="1:11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IF(A13="","",IFERROR(VLOOKUP(A13,DB_Customers!$A:$M,13,0),""))</f>
        <v/>
      </c>
      <c r="D13" s="42" t="str">
        <f t="shared" ca="1" si="0"/>
        <v/>
      </c>
      <c r="E13" s="32"/>
      <c r="F13" s="43" t="str">
        <f t="shared" si="1"/>
        <v/>
      </c>
      <c r="G13" s="30" t="s">
        <v>63</v>
      </c>
      <c r="H13" s="41"/>
      <c r="I13" s="33" t="str">
        <f>IF(A13="","",IF(H13="","⚠️ Enter Agent Code",IF(IFERROR(VLOOKUP(G13,DB_Agents!$B:$F,4,0),"")=TEXT(H13,"0"),IF(AND(A13&lt;&gt;"",E13&lt;&gt;""),"✅ Saved","Pending"),"🔒 WRONG CODE")))</f>
        <v/>
      </c>
      <c r="J13" s="33" t="str">
        <f t="shared" ca="1" si="2"/>
        <v>—</v>
      </c>
      <c r="K13" s="22"/>
    </row>
    <row r="14" spans="1:11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IF(A14="","",IFERROR(VLOOKUP(A14,DB_Customers!$A:$M,13,0),""))</f>
        <v/>
      </c>
      <c r="D14" s="42" t="str">
        <f t="shared" ca="1" si="0"/>
        <v/>
      </c>
      <c r="E14" s="32"/>
      <c r="F14" s="43" t="str">
        <f t="shared" si="1"/>
        <v/>
      </c>
      <c r="G14" s="30" t="s">
        <v>63</v>
      </c>
      <c r="H14" s="41"/>
      <c r="I14" s="33" t="str">
        <f>IF(A14="","",IF(H14="","⚠️ Enter Agent Code",IF(IFERROR(VLOOKUP(G14,DB_Agents!$B:$F,4,0),"")=TEXT(H14,"0"),IF(AND(A14&lt;&gt;"",E14&lt;&gt;""),"✅ Saved","Pending"),"🔒 WRONG CODE")))</f>
        <v/>
      </c>
      <c r="J14" s="33" t="str">
        <f t="shared" ca="1" si="2"/>
        <v>—</v>
      </c>
      <c r="K14" s="46"/>
    </row>
    <row r="15" spans="1:11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IF(A15="","",IFERROR(VLOOKUP(A15,DB_Customers!$A:$M,13,0),""))</f>
        <v/>
      </c>
      <c r="D15" s="42" t="str">
        <f t="shared" ca="1" si="0"/>
        <v/>
      </c>
      <c r="E15" s="32"/>
      <c r="F15" s="43" t="str">
        <f t="shared" si="1"/>
        <v/>
      </c>
      <c r="G15" s="30" t="s">
        <v>63</v>
      </c>
      <c r="H15" s="41"/>
      <c r="I15" s="33" t="str">
        <f>IF(A15="","",IF(H15="","⚠️ Enter Agent Code",IF(IFERROR(VLOOKUP(G15,DB_Agents!$B:$F,4,0),"")=TEXT(H15,"0"),IF(AND(A15&lt;&gt;"",E15&lt;&gt;""),"✅ Saved","Pending"),"🔒 WRONG CODE")))</f>
        <v/>
      </c>
      <c r="J15" s="33" t="str">
        <f t="shared" ca="1" si="2"/>
        <v>—</v>
      </c>
      <c r="K15" s="22"/>
    </row>
    <row r="16" spans="1:11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IF(A16="","",IFERROR(VLOOKUP(A16,DB_Customers!$A:$M,13,0),""))</f>
        <v/>
      </c>
      <c r="D16" s="42" t="str">
        <f t="shared" ca="1" si="0"/>
        <v/>
      </c>
      <c r="E16" s="32"/>
      <c r="F16" s="43" t="str">
        <f t="shared" si="1"/>
        <v/>
      </c>
      <c r="G16" s="30" t="s">
        <v>63</v>
      </c>
      <c r="H16" s="41"/>
      <c r="I16" s="33" t="str">
        <f>IF(A16="","",IF(H16="","⚠️ Enter Agent Code",IF(IFERROR(VLOOKUP(G16,DB_Agents!$B:$F,4,0),"")=TEXT(H16,"0"),IF(AND(A16&lt;&gt;"",E16&lt;&gt;""),"✅ Saved","Pending"),"🔒 WRONG CODE")))</f>
        <v/>
      </c>
      <c r="J16" s="33" t="str">
        <f t="shared" ca="1" si="2"/>
        <v>—</v>
      </c>
      <c r="K16" s="46"/>
    </row>
    <row r="17" spans="1:11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IF(A17="","",IFERROR(VLOOKUP(A17,DB_Customers!$A:$M,13,0),""))</f>
        <v/>
      </c>
      <c r="D17" s="42" t="str">
        <f t="shared" ca="1" si="0"/>
        <v/>
      </c>
      <c r="E17" s="32"/>
      <c r="F17" s="43" t="str">
        <f t="shared" si="1"/>
        <v/>
      </c>
      <c r="G17" s="30" t="s">
        <v>63</v>
      </c>
      <c r="H17" s="41"/>
      <c r="I17" s="33" t="str">
        <f>IF(A17="","",IF(H17="","⚠️ Enter Agent Code",IF(IFERROR(VLOOKUP(G17,DB_Agents!$B:$F,4,0),"")=TEXT(H17,"0"),IF(AND(A17&lt;&gt;"",E17&lt;&gt;""),"✅ Saved","Pending"),"🔒 WRONG CODE")))</f>
        <v/>
      </c>
      <c r="J17" s="33" t="str">
        <f t="shared" ca="1" si="2"/>
        <v>—</v>
      </c>
      <c r="K17" s="22"/>
    </row>
    <row r="18" spans="1:11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IF(A18="","",IFERROR(VLOOKUP(A18,DB_Customers!$A:$M,13,0),""))</f>
        <v/>
      </c>
      <c r="D18" s="42" t="str">
        <f t="shared" ca="1" si="0"/>
        <v/>
      </c>
      <c r="E18" s="32"/>
      <c r="F18" s="43" t="str">
        <f t="shared" si="1"/>
        <v/>
      </c>
      <c r="G18" s="30" t="s">
        <v>63</v>
      </c>
      <c r="H18" s="41"/>
      <c r="I18" s="33" t="str">
        <f>IF(A18="","",IF(H18="","⚠️ Enter Agent Code",IF(IFERROR(VLOOKUP(G18,DB_Agents!$B:$F,4,0),"")=TEXT(H18,"0"),IF(AND(A18&lt;&gt;"",E18&lt;&gt;""),"✅ Saved","Pending"),"🔒 WRONG CODE")))</f>
        <v/>
      </c>
      <c r="J18" s="33" t="str">
        <f t="shared" ca="1" si="2"/>
        <v>—</v>
      </c>
      <c r="K18" s="46"/>
    </row>
    <row r="19" spans="1:11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IF(A19="","",IFERROR(VLOOKUP(A19,DB_Customers!$A:$M,13,0),""))</f>
        <v/>
      </c>
      <c r="D19" s="42" t="str">
        <f t="shared" ca="1" si="0"/>
        <v/>
      </c>
      <c r="E19" s="32"/>
      <c r="F19" s="43" t="str">
        <f t="shared" si="1"/>
        <v/>
      </c>
      <c r="G19" s="30" t="s">
        <v>63</v>
      </c>
      <c r="H19" s="41"/>
      <c r="I19" s="33" t="str">
        <f>IF(A19="","",IF(H19="","⚠️ Enter Agent Code",IF(IFERROR(VLOOKUP(G19,DB_Agents!$B:$F,4,0),"")=TEXT(H19,"0"),IF(AND(A19&lt;&gt;"",E19&lt;&gt;""),"✅ Saved","Pending"),"🔒 WRONG CODE")))</f>
        <v/>
      </c>
      <c r="J19" s="33" t="str">
        <f t="shared" ca="1" si="2"/>
        <v>—</v>
      </c>
      <c r="K19" s="22"/>
    </row>
    <row r="20" spans="1:11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IF(A20="","",IFERROR(VLOOKUP(A20,DB_Customers!$A:$M,13,0),""))</f>
        <v/>
      </c>
      <c r="D20" s="42" t="str">
        <f t="shared" ca="1" si="0"/>
        <v/>
      </c>
      <c r="E20" s="32"/>
      <c r="F20" s="43" t="str">
        <f t="shared" si="1"/>
        <v/>
      </c>
      <c r="G20" s="30" t="s">
        <v>63</v>
      </c>
      <c r="H20" s="41"/>
      <c r="I20" s="33" t="str">
        <f>IF(A20="","",IF(H20="","⚠️ Enter Agent Code",IF(IFERROR(VLOOKUP(G20,DB_Agents!$B:$F,4,0),"")=TEXT(H20,"0"),IF(AND(A20&lt;&gt;"",E20&lt;&gt;""),"✅ Saved","Pending"),"🔒 WRONG CODE")))</f>
        <v/>
      </c>
      <c r="J20" s="33" t="str">
        <f t="shared" ca="1" si="2"/>
        <v>—</v>
      </c>
      <c r="K20" s="46"/>
    </row>
    <row r="21" spans="1:11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IF(A21="","",IFERROR(VLOOKUP(A21,DB_Customers!$A:$M,13,0),""))</f>
        <v/>
      </c>
      <c r="D21" s="42" t="str">
        <f t="shared" ca="1" si="0"/>
        <v/>
      </c>
      <c r="E21" s="32"/>
      <c r="F21" s="43" t="str">
        <f t="shared" si="1"/>
        <v/>
      </c>
      <c r="G21" s="30" t="s">
        <v>63</v>
      </c>
      <c r="H21" s="41"/>
      <c r="I21" s="33" t="str">
        <f>IF(A21="","",IF(H21="","⚠️ Enter Agent Code",IF(IFERROR(VLOOKUP(G21,DB_Agents!$B:$F,4,0),"")=TEXT(H21,"0"),IF(AND(A21&lt;&gt;"",E21&lt;&gt;""),"✅ Saved","Pending"),"🔒 WRONG CODE")))</f>
        <v/>
      </c>
      <c r="J21" s="33" t="str">
        <f t="shared" ca="1" si="2"/>
        <v>—</v>
      </c>
      <c r="K21" s="22"/>
    </row>
    <row r="22" spans="1:11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IF(A22="","",IFERROR(VLOOKUP(A22,DB_Customers!$A:$M,13,0),""))</f>
        <v/>
      </c>
      <c r="D22" s="42" t="str">
        <f t="shared" ca="1" si="0"/>
        <v/>
      </c>
      <c r="E22" s="32"/>
      <c r="F22" s="43" t="str">
        <f t="shared" si="1"/>
        <v/>
      </c>
      <c r="G22" s="30" t="s">
        <v>63</v>
      </c>
      <c r="H22" s="41"/>
      <c r="I22" s="33" t="str">
        <f>IF(A22="","",IF(H22="","⚠️ Enter Agent Code",IF(IFERROR(VLOOKUP(G22,DB_Agents!$B:$F,4,0),"")=TEXT(H22,"0"),IF(AND(A22&lt;&gt;"",E22&lt;&gt;""),"✅ Saved","Pending"),"🔒 WRONG CODE")))</f>
        <v/>
      </c>
      <c r="J22" s="33" t="str">
        <f t="shared" ca="1" si="2"/>
        <v>—</v>
      </c>
      <c r="K22" s="46"/>
    </row>
    <row r="23" spans="1:11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IF(A23="","",IFERROR(VLOOKUP(A23,DB_Customers!$A:$M,13,0),""))</f>
        <v/>
      </c>
      <c r="D23" s="42" t="str">
        <f t="shared" ca="1" si="0"/>
        <v/>
      </c>
      <c r="E23" s="32"/>
      <c r="F23" s="43" t="str">
        <f t="shared" si="1"/>
        <v/>
      </c>
      <c r="G23" s="30" t="s">
        <v>63</v>
      </c>
      <c r="H23" s="41"/>
      <c r="I23" s="33" t="str">
        <f>IF(A23="","",IF(H23="","⚠️ Enter Agent Code",IF(IFERROR(VLOOKUP(G23,DB_Agents!$B:$F,4,0),"")=TEXT(H23,"0"),IF(AND(A23&lt;&gt;"",E23&lt;&gt;""),"✅ Saved","Pending"),"🔒 WRONG CODE")))</f>
        <v/>
      </c>
      <c r="J23" s="33" t="str">
        <f t="shared" ca="1" si="2"/>
        <v>—</v>
      </c>
      <c r="K23" s="22"/>
    </row>
    <row r="24" spans="1:11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IF(A24="","",IFERROR(VLOOKUP(A24,DB_Customers!$A:$M,13,0),""))</f>
        <v/>
      </c>
      <c r="D24" s="42" t="str">
        <f t="shared" ca="1" si="0"/>
        <v/>
      </c>
      <c r="E24" s="32"/>
      <c r="F24" s="43" t="str">
        <f t="shared" si="1"/>
        <v/>
      </c>
      <c r="G24" s="30" t="s">
        <v>63</v>
      </c>
      <c r="H24" s="41"/>
      <c r="I24" s="33" t="str">
        <f>IF(A24="","",IF(H24="","⚠️ Enter Agent Code",IF(IFERROR(VLOOKUP(G24,DB_Agents!$B:$F,4,0),"")=TEXT(H24,"0"),IF(AND(A24&lt;&gt;"",E24&lt;&gt;""),"✅ Saved","Pending"),"🔒 WRONG CODE")))</f>
        <v/>
      </c>
      <c r="J24" s="33" t="str">
        <f t="shared" ca="1" si="2"/>
        <v>—</v>
      </c>
      <c r="K24" s="46"/>
    </row>
    <row r="25" spans="1:11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IF(A25="","",IFERROR(VLOOKUP(A25,DB_Customers!$A:$M,13,0),""))</f>
        <v/>
      </c>
      <c r="D25" s="42" t="str">
        <f t="shared" ca="1" si="0"/>
        <v/>
      </c>
      <c r="E25" s="32"/>
      <c r="F25" s="43" t="str">
        <f t="shared" si="1"/>
        <v/>
      </c>
      <c r="G25" s="30" t="s">
        <v>63</v>
      </c>
      <c r="H25" s="41"/>
      <c r="I25" s="33" t="str">
        <f>IF(A25="","",IF(H25="","⚠️ Enter Agent Code",IF(IFERROR(VLOOKUP(G25,DB_Agents!$B:$F,4,0),"")=TEXT(H25,"0"),IF(AND(A25&lt;&gt;"",E25&lt;&gt;""),"✅ Saved","Pending"),"🔒 WRONG CODE")))</f>
        <v/>
      </c>
      <c r="J25" s="33" t="str">
        <f t="shared" ca="1" si="2"/>
        <v>—</v>
      </c>
      <c r="K25" s="22"/>
    </row>
    <row r="26" spans="1:11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IF(A26="","",IFERROR(VLOOKUP(A26,DB_Customers!$A:$M,13,0),""))</f>
        <v/>
      </c>
      <c r="D26" s="42" t="str">
        <f t="shared" ca="1" si="0"/>
        <v/>
      </c>
      <c r="E26" s="32"/>
      <c r="F26" s="43" t="str">
        <f t="shared" si="1"/>
        <v/>
      </c>
      <c r="G26" s="30" t="s">
        <v>63</v>
      </c>
      <c r="H26" s="41"/>
      <c r="I26" s="33" t="str">
        <f>IF(A26="","",IF(H26="","⚠️ Enter Agent Code",IF(IFERROR(VLOOKUP(G26,DB_Agents!$B:$F,4,0),"")=TEXT(H26,"0"),IF(AND(A26&lt;&gt;"",E26&lt;&gt;""),"✅ Saved","Pending"),"🔒 WRONG CODE")))</f>
        <v/>
      </c>
      <c r="J26" s="33" t="str">
        <f t="shared" ca="1" si="2"/>
        <v>—</v>
      </c>
      <c r="K26" s="46"/>
    </row>
    <row r="27" spans="1:11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IF(A27="","",IFERROR(VLOOKUP(A27,DB_Customers!$A:$M,13,0),""))</f>
        <v/>
      </c>
      <c r="D27" s="42" t="str">
        <f t="shared" ca="1" si="0"/>
        <v/>
      </c>
      <c r="E27" s="32"/>
      <c r="F27" s="43" t="str">
        <f t="shared" si="1"/>
        <v/>
      </c>
      <c r="G27" s="30" t="s">
        <v>63</v>
      </c>
      <c r="H27" s="41"/>
      <c r="I27" s="33" t="str">
        <f>IF(A27="","",IF(H27="","⚠️ Enter Agent Code",IF(IFERROR(VLOOKUP(G27,DB_Agents!$B:$F,4,0),"")=TEXT(H27,"0"),IF(AND(A27&lt;&gt;"",E27&lt;&gt;""),"✅ Saved","Pending"),"🔒 WRONG CODE")))</f>
        <v/>
      </c>
      <c r="J27" s="33" t="str">
        <f t="shared" ca="1" si="2"/>
        <v>—</v>
      </c>
      <c r="K27" s="22"/>
    </row>
    <row r="28" spans="1:11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IF(A28="","",IFERROR(VLOOKUP(A28,DB_Customers!$A:$M,13,0),""))</f>
        <v/>
      </c>
      <c r="D28" s="42" t="str">
        <f t="shared" ca="1" si="0"/>
        <v/>
      </c>
      <c r="E28" s="32"/>
      <c r="F28" s="43" t="str">
        <f t="shared" si="1"/>
        <v/>
      </c>
      <c r="G28" s="30" t="s">
        <v>63</v>
      </c>
      <c r="H28" s="41"/>
      <c r="I28" s="33" t="str">
        <f>IF(A28="","",IF(H28="","⚠️ Enter Agent Code",IF(IFERROR(VLOOKUP(G28,DB_Agents!$B:$F,4,0),"")=TEXT(H28,"0"),IF(AND(A28&lt;&gt;"",E28&lt;&gt;""),"✅ Saved","Pending"),"🔒 WRONG CODE")))</f>
        <v/>
      </c>
      <c r="J28" s="33" t="str">
        <f t="shared" ca="1" si="2"/>
        <v>—</v>
      </c>
      <c r="K28" s="46"/>
    </row>
    <row r="29" spans="1:11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IF(A29="","",IFERROR(VLOOKUP(A29,DB_Customers!$A:$M,13,0),""))</f>
        <v/>
      </c>
      <c r="D29" s="42" t="str">
        <f t="shared" ca="1" si="0"/>
        <v/>
      </c>
      <c r="E29" s="32"/>
      <c r="F29" s="43" t="str">
        <f t="shared" si="1"/>
        <v/>
      </c>
      <c r="G29" s="30" t="s">
        <v>63</v>
      </c>
      <c r="H29" s="41"/>
      <c r="I29" s="33" t="str">
        <f>IF(A29="","",IF(H29="","⚠️ Enter Agent Code",IF(IFERROR(VLOOKUP(G29,DB_Agents!$B:$F,4,0),"")=TEXT(H29,"0"),IF(AND(A29&lt;&gt;"",E29&lt;&gt;""),"✅ Saved","Pending"),"🔒 WRONG CODE")))</f>
        <v/>
      </c>
      <c r="J29" s="33" t="str">
        <f t="shared" ca="1" si="2"/>
        <v>—</v>
      </c>
      <c r="K29" s="22"/>
    </row>
    <row r="30" spans="1:11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IF(A30="","",IFERROR(VLOOKUP(A30,DB_Customers!$A:$M,13,0),""))</f>
        <v/>
      </c>
      <c r="D30" s="42" t="str">
        <f t="shared" ca="1" si="0"/>
        <v/>
      </c>
      <c r="E30" s="32"/>
      <c r="F30" s="43" t="str">
        <f t="shared" si="1"/>
        <v/>
      </c>
      <c r="G30" s="30" t="s">
        <v>63</v>
      </c>
      <c r="H30" s="41"/>
      <c r="I30" s="33" t="str">
        <f>IF(A30="","",IF(H30="","⚠️ Enter Agent Code",IF(IFERROR(VLOOKUP(G30,DB_Agents!$B:$F,4,0),"")=TEXT(H30,"0"),IF(AND(A30&lt;&gt;"",E30&lt;&gt;""),"✅ Saved","Pending"),"🔒 WRONG CODE")))</f>
        <v/>
      </c>
      <c r="J30" s="33" t="str">
        <f t="shared" ca="1" si="2"/>
        <v>—</v>
      </c>
      <c r="K30" s="46"/>
    </row>
    <row r="31" spans="1:11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IF(A31="","",IFERROR(VLOOKUP(A31,DB_Customers!$A:$M,13,0),""))</f>
        <v/>
      </c>
      <c r="D31" s="42" t="str">
        <f t="shared" ca="1" si="0"/>
        <v/>
      </c>
      <c r="E31" s="32"/>
      <c r="F31" s="43" t="str">
        <f t="shared" si="1"/>
        <v/>
      </c>
      <c r="G31" s="30" t="s">
        <v>63</v>
      </c>
      <c r="H31" s="41"/>
      <c r="I31" s="33" t="str">
        <f>IF(A31="","",IF(H31="","⚠️ Enter Agent Code",IF(IFERROR(VLOOKUP(G31,DB_Agents!$B:$F,4,0),"")=TEXT(H31,"0"),IF(AND(A31&lt;&gt;"",E31&lt;&gt;""),"✅ Saved","Pending"),"🔒 WRONG CODE")))</f>
        <v/>
      </c>
      <c r="J31" s="33" t="str">
        <f t="shared" ca="1" si="2"/>
        <v>—</v>
      </c>
      <c r="K31" s="22"/>
    </row>
    <row r="32" spans="1:11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IF(A32="","",IFERROR(VLOOKUP(A32,DB_Customers!$A:$M,13,0),""))</f>
        <v/>
      </c>
      <c r="D32" s="42" t="str">
        <f t="shared" ca="1" si="0"/>
        <v/>
      </c>
      <c r="E32" s="32"/>
      <c r="F32" s="43" t="str">
        <f t="shared" si="1"/>
        <v/>
      </c>
      <c r="G32" s="30" t="s">
        <v>63</v>
      </c>
      <c r="H32" s="41"/>
      <c r="I32" s="33" t="str">
        <f>IF(A32="","",IF(H32="","⚠️ Enter Agent Code",IF(IFERROR(VLOOKUP(G32,DB_Agents!$B:$F,4,0),"")=TEXT(H32,"0"),IF(AND(A32&lt;&gt;"",E32&lt;&gt;""),"✅ Saved","Pending"),"🔒 WRONG CODE")))</f>
        <v/>
      </c>
      <c r="J32" s="33" t="str">
        <f t="shared" ca="1" si="2"/>
        <v>—</v>
      </c>
      <c r="K32" s="46"/>
    </row>
    <row r="33" spans="1:11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IF(A33="","",IFERROR(VLOOKUP(A33,DB_Customers!$A:$M,13,0),""))</f>
        <v/>
      </c>
      <c r="D33" s="42" t="str">
        <f t="shared" ca="1" si="0"/>
        <v/>
      </c>
      <c r="E33" s="32"/>
      <c r="F33" s="43" t="str">
        <f t="shared" si="1"/>
        <v/>
      </c>
      <c r="G33" s="30" t="s">
        <v>63</v>
      </c>
      <c r="H33" s="41"/>
      <c r="I33" s="33" t="str">
        <f>IF(A33="","",IF(H33="","⚠️ Enter Agent Code",IF(IFERROR(VLOOKUP(G33,DB_Agents!$B:$F,4,0),"")=TEXT(H33,"0"),IF(AND(A33&lt;&gt;"",E33&lt;&gt;""),"✅ Saved","Pending"),"🔒 WRONG CODE")))</f>
        <v/>
      </c>
      <c r="J33" s="33" t="str">
        <f t="shared" ca="1" si="2"/>
        <v>—</v>
      </c>
      <c r="K33" s="22"/>
    </row>
    <row r="34" spans="1:11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IF(A34="","",IFERROR(VLOOKUP(A34,DB_Customers!$A:$M,13,0),""))</f>
        <v/>
      </c>
      <c r="D34" s="42" t="str">
        <f t="shared" ca="1" si="0"/>
        <v/>
      </c>
      <c r="E34" s="32"/>
      <c r="F34" s="43" t="str">
        <f t="shared" si="1"/>
        <v/>
      </c>
      <c r="G34" s="30" t="s">
        <v>63</v>
      </c>
      <c r="H34" s="41"/>
      <c r="I34" s="33" t="str">
        <f>IF(A34="","",IF(H34="","⚠️ Enter Agent Code",IF(IFERROR(VLOOKUP(G34,DB_Agents!$B:$F,4,0),"")=TEXT(H34,"0"),IF(AND(A34&lt;&gt;"",E34&lt;&gt;""),"✅ Saved","Pending"),"🔒 WRONG CODE")))</f>
        <v/>
      </c>
      <c r="J34" s="33" t="str">
        <f t="shared" ca="1" si="2"/>
        <v>—</v>
      </c>
      <c r="K34" s="46"/>
    </row>
    <row r="35" spans="1:11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IF(A35="","",IFERROR(VLOOKUP(A35,DB_Customers!$A:$M,13,0),""))</f>
        <v/>
      </c>
      <c r="D35" s="42" t="str">
        <f t="shared" ca="1" si="0"/>
        <v/>
      </c>
      <c r="E35" s="32"/>
      <c r="F35" s="43" t="str">
        <f t="shared" si="1"/>
        <v/>
      </c>
      <c r="G35" s="30" t="s">
        <v>63</v>
      </c>
      <c r="H35" s="41"/>
      <c r="I35" s="33" t="str">
        <f>IF(A35="","",IF(H35="","⚠️ Enter Agent Code",IF(IFERROR(VLOOKUP(G35,DB_Agents!$B:$F,4,0),"")=TEXT(H35,"0"),IF(AND(A35&lt;&gt;"",E35&lt;&gt;""),"✅ Saved","Pending"),"🔒 WRONG CODE")))</f>
        <v/>
      </c>
      <c r="J35" s="33" t="str">
        <f t="shared" ca="1" si="2"/>
        <v>—</v>
      </c>
      <c r="K35" s="22"/>
    </row>
    <row r="36" spans="1:11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IF(A36="","",IFERROR(VLOOKUP(A36,DB_Customers!$A:$M,13,0),""))</f>
        <v/>
      </c>
      <c r="D36" s="42" t="str">
        <f t="shared" ca="1" si="0"/>
        <v/>
      </c>
      <c r="E36" s="32"/>
      <c r="F36" s="43" t="str">
        <f t="shared" si="1"/>
        <v/>
      </c>
      <c r="G36" s="30" t="s">
        <v>63</v>
      </c>
      <c r="H36" s="41"/>
      <c r="I36" s="33" t="str">
        <f>IF(A36="","",IF(H36="","⚠️ Enter Agent Code",IF(IFERROR(VLOOKUP(G36,DB_Agents!$B:$F,4,0),"")=TEXT(H36,"0"),IF(AND(A36&lt;&gt;"",E36&lt;&gt;""),"✅ Saved","Pending"),"🔒 WRONG CODE")))</f>
        <v/>
      </c>
      <c r="J36" s="33" t="str">
        <f t="shared" ca="1" si="2"/>
        <v>—</v>
      </c>
      <c r="K36" s="46"/>
    </row>
    <row r="37" spans="1:11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IF(A37="","",IFERROR(VLOOKUP(A37,DB_Customers!$A:$M,13,0),""))</f>
        <v/>
      </c>
      <c r="D37" s="42" t="str">
        <f t="shared" ca="1" si="0"/>
        <v/>
      </c>
      <c r="E37" s="32"/>
      <c r="F37" s="43" t="str">
        <f t="shared" si="1"/>
        <v/>
      </c>
      <c r="G37" s="30" t="s">
        <v>63</v>
      </c>
      <c r="H37" s="41"/>
      <c r="I37" s="33" t="str">
        <f>IF(A37="","",IF(H37="","⚠️ Enter Agent Code",IF(IFERROR(VLOOKUP(G37,DB_Agents!$B:$F,4,0),"")=TEXT(H37,"0"),IF(AND(A37&lt;&gt;"",E37&lt;&gt;""),"✅ Saved","Pending"),"🔒 WRONG CODE")))</f>
        <v/>
      </c>
      <c r="J37" s="33" t="str">
        <f t="shared" ca="1" si="2"/>
        <v>—</v>
      </c>
      <c r="K37" s="22"/>
    </row>
    <row r="38" spans="1:11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IF(A38="","",IFERROR(VLOOKUP(A38,DB_Customers!$A:$M,13,0),""))</f>
        <v/>
      </c>
      <c r="D38" s="42" t="str">
        <f t="shared" ca="1" si="0"/>
        <v/>
      </c>
      <c r="E38" s="32"/>
      <c r="F38" s="43" t="str">
        <f t="shared" si="1"/>
        <v/>
      </c>
      <c r="G38" s="30" t="s">
        <v>63</v>
      </c>
      <c r="H38" s="41"/>
      <c r="I38" s="33" t="str">
        <f>IF(A38="","",IF(H38="","⚠️ Enter Agent Code",IF(IFERROR(VLOOKUP(G38,DB_Agents!$B:$F,4,0),"")=TEXT(H38,"0"),IF(AND(A38&lt;&gt;"",E38&lt;&gt;""),"✅ Saved","Pending"),"🔒 WRONG CODE")))</f>
        <v/>
      </c>
      <c r="J38" s="33" t="str">
        <f t="shared" ca="1" si="2"/>
        <v>—</v>
      </c>
      <c r="K38" s="46"/>
    </row>
    <row r="39" spans="1:11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IF(A39="","",IFERROR(VLOOKUP(A39,DB_Customers!$A:$M,13,0),""))</f>
        <v/>
      </c>
      <c r="D39" s="42" t="str">
        <f t="shared" ca="1" si="0"/>
        <v/>
      </c>
      <c r="E39" s="32"/>
      <c r="F39" s="43" t="str">
        <f t="shared" si="1"/>
        <v/>
      </c>
      <c r="G39" s="30" t="s">
        <v>63</v>
      </c>
      <c r="H39" s="41"/>
      <c r="I39" s="33" t="str">
        <f>IF(A39="","",IF(H39="","⚠️ Enter Agent Code",IF(IFERROR(VLOOKUP(G39,DB_Agents!$B:$F,4,0),"")=TEXT(H39,"0"),IF(AND(A39&lt;&gt;"",E39&lt;&gt;""),"✅ Saved","Pending"),"🔒 WRONG CODE")))</f>
        <v/>
      </c>
      <c r="J39" s="33" t="str">
        <f t="shared" ca="1" si="2"/>
        <v>—</v>
      </c>
      <c r="K39" s="22"/>
    </row>
    <row r="40" spans="1:11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IF(A40="","",IFERROR(VLOOKUP(A40,DB_Customers!$A:$M,13,0),""))</f>
        <v/>
      </c>
      <c r="D40" s="42" t="str">
        <f t="shared" ca="1" si="0"/>
        <v/>
      </c>
      <c r="E40" s="32"/>
      <c r="F40" s="43" t="str">
        <f t="shared" si="1"/>
        <v/>
      </c>
      <c r="G40" s="30" t="s">
        <v>63</v>
      </c>
      <c r="H40" s="41"/>
      <c r="I40" s="33" t="str">
        <f>IF(A40="","",IF(H40="","⚠️ Enter Agent Code",IF(IFERROR(VLOOKUP(G40,DB_Agents!$B:$F,4,0),"")=TEXT(H40,"0"),IF(AND(A40&lt;&gt;"",E40&lt;&gt;""),"✅ Saved","Pending"),"🔒 WRONG CODE")))</f>
        <v/>
      </c>
      <c r="J40" s="33" t="str">
        <f t="shared" ca="1" si="2"/>
        <v>—</v>
      </c>
      <c r="K40" s="46"/>
    </row>
    <row r="41" spans="1:11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IF(A41="","",IFERROR(VLOOKUP(A41,DB_Customers!$A:$M,13,0),""))</f>
        <v/>
      </c>
      <c r="D41" s="42" t="str">
        <f t="shared" ref="D41:D72" ca="1" si="3">IF(A41="","",TODAY())</f>
        <v/>
      </c>
      <c r="E41" s="32"/>
      <c r="F41" s="43" t="str">
        <f t="shared" ref="F41:F72" si="4">IFERROR(IF(OR(A41="",E41=""),"",C41+E41),"")</f>
        <v/>
      </c>
      <c r="G41" s="30" t="s">
        <v>63</v>
      </c>
      <c r="H41" s="41"/>
      <c r="I41" s="33" t="str">
        <f>IF(A41="","",IF(H41="","⚠️ Enter Agent Code",IF(IFERROR(VLOOKUP(G41,DB_Agents!$B:$F,4,0),"")=TEXT(H41,"0"),IF(AND(A41&lt;&gt;"",E41&lt;&gt;""),"✅ Saved","Pending"),"🔒 WRONG CODE")))</f>
        <v/>
      </c>
      <c r="J41" s="33" t="str">
        <f t="shared" ref="J41:J72" ca="1" si="5">IF(I41="✅ Saved",TEXT(TODAY(),"YYYY-MM-DD")&amp;" Auto","—")</f>
        <v>—</v>
      </c>
      <c r="K41" s="22"/>
    </row>
    <row r="42" spans="1:11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IF(A42="","",IFERROR(VLOOKUP(A42,DB_Customers!$A:$M,13,0),""))</f>
        <v/>
      </c>
      <c r="D42" s="42" t="str">
        <f t="shared" ca="1" si="3"/>
        <v/>
      </c>
      <c r="E42" s="32"/>
      <c r="F42" s="43" t="str">
        <f t="shared" si="4"/>
        <v/>
      </c>
      <c r="G42" s="30" t="s">
        <v>63</v>
      </c>
      <c r="H42" s="41"/>
      <c r="I42" s="33" t="str">
        <f>IF(A42="","",IF(H42="","⚠️ Enter Agent Code",IF(IFERROR(VLOOKUP(G42,DB_Agents!$B:$F,4,0),"")=TEXT(H42,"0"),IF(AND(A42&lt;&gt;"",E42&lt;&gt;""),"✅ Saved","Pending"),"🔒 WRONG CODE")))</f>
        <v/>
      </c>
      <c r="J42" s="33" t="str">
        <f t="shared" ca="1" si="5"/>
        <v>—</v>
      </c>
      <c r="K42" s="46"/>
    </row>
    <row r="43" spans="1:11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IF(A43="","",IFERROR(VLOOKUP(A43,DB_Customers!$A:$M,13,0),""))</f>
        <v/>
      </c>
      <c r="D43" s="42" t="str">
        <f t="shared" ca="1" si="3"/>
        <v/>
      </c>
      <c r="E43" s="32"/>
      <c r="F43" s="43" t="str">
        <f t="shared" si="4"/>
        <v/>
      </c>
      <c r="G43" s="30" t="s">
        <v>63</v>
      </c>
      <c r="H43" s="41"/>
      <c r="I43" s="33" t="str">
        <f>IF(A43="","",IF(H43="","⚠️ Enter Agent Code",IF(IFERROR(VLOOKUP(G43,DB_Agents!$B:$F,4,0),"")=TEXT(H43,"0"),IF(AND(A43&lt;&gt;"",E43&lt;&gt;""),"✅ Saved","Pending"),"🔒 WRONG CODE")))</f>
        <v/>
      </c>
      <c r="J43" s="33" t="str">
        <f t="shared" ca="1" si="5"/>
        <v>—</v>
      </c>
      <c r="K43" s="22"/>
    </row>
    <row r="44" spans="1:11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IF(A44="","",IFERROR(VLOOKUP(A44,DB_Customers!$A:$M,13,0),""))</f>
        <v/>
      </c>
      <c r="D44" s="42" t="str">
        <f t="shared" ca="1" si="3"/>
        <v/>
      </c>
      <c r="E44" s="32"/>
      <c r="F44" s="43" t="str">
        <f t="shared" si="4"/>
        <v/>
      </c>
      <c r="G44" s="30" t="s">
        <v>63</v>
      </c>
      <c r="H44" s="41"/>
      <c r="I44" s="33" t="str">
        <f>IF(A44="","",IF(H44="","⚠️ Enter Agent Code",IF(IFERROR(VLOOKUP(G44,DB_Agents!$B:$F,4,0),"")=TEXT(H44,"0"),IF(AND(A44&lt;&gt;"",E44&lt;&gt;""),"✅ Saved","Pending"),"🔒 WRONG CODE")))</f>
        <v/>
      </c>
      <c r="J44" s="33" t="str">
        <f t="shared" ca="1" si="5"/>
        <v>—</v>
      </c>
      <c r="K44" s="46"/>
    </row>
    <row r="45" spans="1:11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IF(A45="","",IFERROR(VLOOKUP(A45,DB_Customers!$A:$M,13,0),""))</f>
        <v/>
      </c>
      <c r="D45" s="42" t="str">
        <f t="shared" ca="1" si="3"/>
        <v/>
      </c>
      <c r="E45" s="32"/>
      <c r="F45" s="43" t="str">
        <f t="shared" si="4"/>
        <v/>
      </c>
      <c r="G45" s="30" t="s">
        <v>63</v>
      </c>
      <c r="H45" s="41"/>
      <c r="I45" s="33" t="str">
        <f>IF(A45="","",IF(H45="","⚠️ Enter Agent Code",IF(IFERROR(VLOOKUP(G45,DB_Agents!$B:$F,4,0),"")=TEXT(H45,"0"),IF(AND(A45&lt;&gt;"",E45&lt;&gt;""),"✅ Saved","Pending"),"🔒 WRONG CODE")))</f>
        <v/>
      </c>
      <c r="J45" s="33" t="str">
        <f t="shared" ca="1" si="5"/>
        <v>—</v>
      </c>
      <c r="K45" s="22"/>
    </row>
    <row r="46" spans="1:11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IF(A46="","",IFERROR(VLOOKUP(A46,DB_Customers!$A:$M,13,0),""))</f>
        <v/>
      </c>
      <c r="D46" s="42" t="str">
        <f t="shared" ca="1" si="3"/>
        <v/>
      </c>
      <c r="E46" s="32"/>
      <c r="F46" s="43" t="str">
        <f t="shared" si="4"/>
        <v/>
      </c>
      <c r="G46" s="30" t="s">
        <v>63</v>
      </c>
      <c r="H46" s="41"/>
      <c r="I46" s="33" t="str">
        <f>IF(A46="","",IF(H46="","⚠️ Enter Agent Code",IF(IFERROR(VLOOKUP(G46,DB_Agents!$B:$F,4,0),"")=TEXT(H46,"0"),IF(AND(A46&lt;&gt;"",E46&lt;&gt;""),"✅ Saved","Pending"),"🔒 WRONG CODE")))</f>
        <v/>
      </c>
      <c r="J46" s="33" t="str">
        <f t="shared" ca="1" si="5"/>
        <v>—</v>
      </c>
      <c r="K46" s="46"/>
    </row>
    <row r="47" spans="1:11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IF(A47="","",IFERROR(VLOOKUP(A47,DB_Customers!$A:$M,13,0),""))</f>
        <v/>
      </c>
      <c r="D47" s="42" t="str">
        <f t="shared" ca="1" si="3"/>
        <v/>
      </c>
      <c r="E47" s="32"/>
      <c r="F47" s="43" t="str">
        <f t="shared" si="4"/>
        <v/>
      </c>
      <c r="G47" s="30" t="s">
        <v>63</v>
      </c>
      <c r="H47" s="41"/>
      <c r="I47" s="33" t="str">
        <f>IF(A47="","",IF(H47="","⚠️ Enter Agent Code",IF(IFERROR(VLOOKUP(G47,DB_Agents!$B:$F,4,0),"")=TEXT(H47,"0"),IF(AND(A47&lt;&gt;"",E47&lt;&gt;""),"✅ Saved","Pending"),"🔒 WRONG CODE")))</f>
        <v/>
      </c>
      <c r="J47" s="33" t="str">
        <f t="shared" ca="1" si="5"/>
        <v>—</v>
      </c>
      <c r="K47" s="22"/>
    </row>
    <row r="48" spans="1:11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IF(A48="","",IFERROR(VLOOKUP(A48,DB_Customers!$A:$M,13,0),""))</f>
        <v/>
      </c>
      <c r="D48" s="42" t="str">
        <f t="shared" ca="1" si="3"/>
        <v/>
      </c>
      <c r="E48" s="32"/>
      <c r="F48" s="43" t="str">
        <f t="shared" si="4"/>
        <v/>
      </c>
      <c r="G48" s="30" t="s">
        <v>63</v>
      </c>
      <c r="H48" s="41"/>
      <c r="I48" s="33" t="str">
        <f>IF(A48="","",IF(H48="","⚠️ Enter Agent Code",IF(IFERROR(VLOOKUP(G48,DB_Agents!$B:$F,4,0),"")=TEXT(H48,"0"),IF(AND(A48&lt;&gt;"",E48&lt;&gt;""),"✅ Saved","Pending"),"🔒 WRONG CODE")))</f>
        <v/>
      </c>
      <c r="J48" s="33" t="str">
        <f t="shared" ca="1" si="5"/>
        <v>—</v>
      </c>
      <c r="K48" s="46"/>
    </row>
    <row r="49" spans="1:11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IF(A49="","",IFERROR(VLOOKUP(A49,DB_Customers!$A:$M,13,0),""))</f>
        <v/>
      </c>
      <c r="D49" s="42" t="str">
        <f t="shared" ca="1" si="3"/>
        <v/>
      </c>
      <c r="E49" s="32"/>
      <c r="F49" s="43" t="str">
        <f t="shared" si="4"/>
        <v/>
      </c>
      <c r="G49" s="30" t="s">
        <v>63</v>
      </c>
      <c r="H49" s="41"/>
      <c r="I49" s="33" t="str">
        <f>IF(A49="","",IF(H49="","⚠️ Enter Agent Code",IF(IFERROR(VLOOKUP(G49,DB_Agents!$B:$F,4,0),"")=TEXT(H49,"0"),IF(AND(A49&lt;&gt;"",E49&lt;&gt;""),"✅ Saved","Pending"),"🔒 WRONG CODE")))</f>
        <v/>
      </c>
      <c r="J49" s="33" t="str">
        <f t="shared" ca="1" si="5"/>
        <v>—</v>
      </c>
      <c r="K49" s="22"/>
    </row>
    <row r="50" spans="1:11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IF(A50="","",IFERROR(VLOOKUP(A50,DB_Customers!$A:$M,13,0),""))</f>
        <v/>
      </c>
      <c r="D50" s="42" t="str">
        <f t="shared" ca="1" si="3"/>
        <v/>
      </c>
      <c r="E50" s="32"/>
      <c r="F50" s="43" t="str">
        <f t="shared" si="4"/>
        <v/>
      </c>
      <c r="G50" s="30" t="s">
        <v>63</v>
      </c>
      <c r="H50" s="41"/>
      <c r="I50" s="33" t="str">
        <f>IF(A50="","",IF(H50="","⚠️ Enter Agent Code",IF(IFERROR(VLOOKUP(G50,DB_Agents!$B:$F,4,0),"")=TEXT(H50,"0"),IF(AND(A50&lt;&gt;"",E50&lt;&gt;""),"✅ Saved","Pending"),"🔒 WRONG CODE")))</f>
        <v/>
      </c>
      <c r="J50" s="33" t="str">
        <f t="shared" ca="1" si="5"/>
        <v>—</v>
      </c>
      <c r="K50" s="46"/>
    </row>
    <row r="51" spans="1:11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IF(A51="","",IFERROR(VLOOKUP(A51,DB_Customers!$A:$M,13,0),""))</f>
        <v/>
      </c>
      <c r="D51" s="42" t="str">
        <f t="shared" ca="1" si="3"/>
        <v/>
      </c>
      <c r="E51" s="32"/>
      <c r="F51" s="43" t="str">
        <f t="shared" si="4"/>
        <v/>
      </c>
      <c r="G51" s="30" t="s">
        <v>63</v>
      </c>
      <c r="H51" s="41"/>
      <c r="I51" s="33" t="str">
        <f>IF(A51="","",IF(H51="","⚠️ Enter Agent Code",IF(IFERROR(VLOOKUP(G51,DB_Agents!$B:$F,4,0),"")=TEXT(H51,"0"),IF(AND(A51&lt;&gt;"",E51&lt;&gt;""),"✅ Saved","Pending"),"🔒 WRONG CODE")))</f>
        <v/>
      </c>
      <c r="J51" s="33" t="str">
        <f t="shared" ca="1" si="5"/>
        <v>—</v>
      </c>
      <c r="K51" s="22"/>
    </row>
    <row r="52" spans="1:11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IF(A52="","",IFERROR(VLOOKUP(A52,DB_Customers!$A:$M,13,0),""))</f>
        <v/>
      </c>
      <c r="D52" s="42" t="str">
        <f t="shared" ca="1" si="3"/>
        <v/>
      </c>
      <c r="E52" s="32"/>
      <c r="F52" s="43" t="str">
        <f t="shared" si="4"/>
        <v/>
      </c>
      <c r="G52" s="30" t="s">
        <v>63</v>
      </c>
      <c r="H52" s="41"/>
      <c r="I52" s="33" t="str">
        <f>IF(A52="","",IF(H52="","⚠️ Enter Agent Code",IF(IFERROR(VLOOKUP(G52,DB_Agents!$B:$F,4,0),"")=TEXT(H52,"0"),IF(AND(A52&lt;&gt;"",E52&lt;&gt;""),"✅ Saved","Pending"),"🔒 WRONG CODE")))</f>
        <v/>
      </c>
      <c r="J52" s="33" t="str">
        <f t="shared" ca="1" si="5"/>
        <v>—</v>
      </c>
      <c r="K52" s="46"/>
    </row>
    <row r="53" spans="1:11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IF(A53="","",IFERROR(VLOOKUP(A53,DB_Customers!$A:$M,13,0),""))</f>
        <v/>
      </c>
      <c r="D53" s="42" t="str">
        <f t="shared" ca="1" si="3"/>
        <v/>
      </c>
      <c r="E53" s="32"/>
      <c r="F53" s="43" t="str">
        <f t="shared" si="4"/>
        <v/>
      </c>
      <c r="G53" s="30" t="s">
        <v>63</v>
      </c>
      <c r="H53" s="41"/>
      <c r="I53" s="33" t="str">
        <f>IF(A53="","",IF(H53="","⚠️ Enter Agent Code",IF(IFERROR(VLOOKUP(G53,DB_Agents!$B:$F,4,0),"")=TEXT(H53,"0"),IF(AND(A53&lt;&gt;"",E53&lt;&gt;""),"✅ Saved","Pending"),"🔒 WRONG CODE")))</f>
        <v/>
      </c>
      <c r="J53" s="33" t="str">
        <f t="shared" ca="1" si="5"/>
        <v>—</v>
      </c>
      <c r="K53" s="22"/>
    </row>
    <row r="54" spans="1:11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IF(A54="","",IFERROR(VLOOKUP(A54,DB_Customers!$A:$M,13,0),""))</f>
        <v/>
      </c>
      <c r="D54" s="42" t="str">
        <f t="shared" ca="1" si="3"/>
        <v/>
      </c>
      <c r="E54" s="32"/>
      <c r="F54" s="43" t="str">
        <f t="shared" si="4"/>
        <v/>
      </c>
      <c r="G54" s="30" t="s">
        <v>63</v>
      </c>
      <c r="H54" s="41"/>
      <c r="I54" s="33" t="str">
        <f>IF(A54="","",IF(H54="","⚠️ Enter Agent Code",IF(IFERROR(VLOOKUP(G54,DB_Agents!$B:$F,4,0),"")=TEXT(H54,"0"),IF(AND(A54&lt;&gt;"",E54&lt;&gt;""),"✅ Saved","Pending"),"🔒 WRONG CODE")))</f>
        <v/>
      </c>
      <c r="J54" s="33" t="str">
        <f t="shared" ca="1" si="5"/>
        <v>—</v>
      </c>
      <c r="K54" s="46"/>
    </row>
    <row r="55" spans="1:11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IF(A55="","",IFERROR(VLOOKUP(A55,DB_Customers!$A:$M,13,0),""))</f>
        <v/>
      </c>
      <c r="D55" s="42" t="str">
        <f t="shared" ca="1" si="3"/>
        <v/>
      </c>
      <c r="E55" s="32"/>
      <c r="F55" s="43" t="str">
        <f t="shared" si="4"/>
        <v/>
      </c>
      <c r="G55" s="30" t="s">
        <v>63</v>
      </c>
      <c r="H55" s="41"/>
      <c r="I55" s="33" t="str">
        <f>IF(A55="","",IF(H55="","⚠️ Enter Agent Code",IF(IFERROR(VLOOKUP(G55,DB_Agents!$B:$F,4,0),"")=TEXT(H55,"0"),IF(AND(A55&lt;&gt;"",E55&lt;&gt;""),"✅ Saved","Pending"),"🔒 WRONG CODE")))</f>
        <v/>
      </c>
      <c r="J55" s="33" t="str">
        <f t="shared" ca="1" si="5"/>
        <v>—</v>
      </c>
      <c r="K55" s="22"/>
    </row>
    <row r="56" spans="1:11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IF(A56="","",IFERROR(VLOOKUP(A56,DB_Customers!$A:$M,13,0),""))</f>
        <v/>
      </c>
      <c r="D56" s="42" t="str">
        <f t="shared" ca="1" si="3"/>
        <v/>
      </c>
      <c r="E56" s="32"/>
      <c r="F56" s="43" t="str">
        <f t="shared" si="4"/>
        <v/>
      </c>
      <c r="G56" s="30" t="s">
        <v>63</v>
      </c>
      <c r="H56" s="41"/>
      <c r="I56" s="33" t="str">
        <f>IF(A56="","",IF(H56="","⚠️ Enter Agent Code",IF(IFERROR(VLOOKUP(G56,DB_Agents!$B:$F,4,0),"")=TEXT(H56,"0"),IF(AND(A56&lt;&gt;"",E56&lt;&gt;""),"✅ Saved","Pending"),"🔒 WRONG CODE")))</f>
        <v/>
      </c>
      <c r="J56" s="33" t="str">
        <f t="shared" ca="1" si="5"/>
        <v>—</v>
      </c>
      <c r="K56" s="46"/>
    </row>
    <row r="57" spans="1:11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IF(A57="","",IFERROR(VLOOKUP(A57,DB_Customers!$A:$M,13,0),""))</f>
        <v/>
      </c>
      <c r="D57" s="42" t="str">
        <f t="shared" ca="1" si="3"/>
        <v/>
      </c>
      <c r="E57" s="32"/>
      <c r="F57" s="43" t="str">
        <f t="shared" si="4"/>
        <v/>
      </c>
      <c r="G57" s="30" t="s">
        <v>63</v>
      </c>
      <c r="H57" s="41"/>
      <c r="I57" s="33" t="str">
        <f>IF(A57="","",IF(H57="","⚠️ Enter Agent Code",IF(IFERROR(VLOOKUP(G57,DB_Agents!$B:$F,4,0),"")=TEXT(H57,"0"),IF(AND(A57&lt;&gt;"",E57&lt;&gt;""),"✅ Saved","Pending"),"🔒 WRONG CODE")))</f>
        <v/>
      </c>
      <c r="J57" s="33" t="str">
        <f t="shared" ca="1" si="5"/>
        <v>—</v>
      </c>
      <c r="K57" s="22"/>
    </row>
    <row r="58" spans="1:11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IF(A58="","",IFERROR(VLOOKUP(A58,DB_Customers!$A:$M,13,0),""))</f>
        <v/>
      </c>
      <c r="D58" s="42" t="str">
        <f t="shared" ca="1" si="3"/>
        <v/>
      </c>
      <c r="E58" s="32"/>
      <c r="F58" s="43" t="str">
        <f t="shared" si="4"/>
        <v/>
      </c>
      <c r="G58" s="30" t="s">
        <v>63</v>
      </c>
      <c r="H58" s="41"/>
      <c r="I58" s="33" t="str">
        <f>IF(A58="","",IF(H58="","⚠️ Enter Agent Code",IF(IFERROR(VLOOKUP(G58,DB_Agents!$B:$F,4,0),"")=TEXT(H58,"0"),IF(AND(A58&lt;&gt;"",E58&lt;&gt;""),"✅ Saved","Pending"),"🔒 WRONG CODE")))</f>
        <v/>
      </c>
      <c r="J58" s="33" t="str">
        <f t="shared" ca="1" si="5"/>
        <v>—</v>
      </c>
      <c r="K58" s="46"/>
    </row>
    <row r="59" spans="1:11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IF(A59="","",IFERROR(VLOOKUP(A59,DB_Customers!$A:$M,13,0),""))</f>
        <v/>
      </c>
      <c r="D59" s="42" t="str">
        <f t="shared" ca="1" si="3"/>
        <v/>
      </c>
      <c r="E59" s="32"/>
      <c r="F59" s="43" t="str">
        <f t="shared" si="4"/>
        <v/>
      </c>
      <c r="G59" s="30" t="s">
        <v>63</v>
      </c>
      <c r="H59" s="41"/>
      <c r="I59" s="33" t="str">
        <f>IF(A59="","",IF(H59="","⚠️ Enter Agent Code",IF(IFERROR(VLOOKUP(G59,DB_Agents!$B:$F,4,0),"")=TEXT(H59,"0"),IF(AND(A59&lt;&gt;"",E59&lt;&gt;""),"✅ Saved","Pending"),"🔒 WRONG CODE")))</f>
        <v/>
      </c>
      <c r="J59" s="33" t="str">
        <f t="shared" ca="1" si="5"/>
        <v>—</v>
      </c>
      <c r="K59" s="22"/>
    </row>
    <row r="60" spans="1:11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IF(A60="","",IFERROR(VLOOKUP(A60,DB_Customers!$A:$M,13,0),""))</f>
        <v/>
      </c>
      <c r="D60" s="42" t="str">
        <f t="shared" ca="1" si="3"/>
        <v/>
      </c>
      <c r="E60" s="32"/>
      <c r="F60" s="43" t="str">
        <f t="shared" si="4"/>
        <v/>
      </c>
      <c r="G60" s="30" t="s">
        <v>63</v>
      </c>
      <c r="H60" s="41"/>
      <c r="I60" s="33" t="str">
        <f>IF(A60="","",IF(H60="","⚠️ Enter Agent Code",IF(IFERROR(VLOOKUP(G60,DB_Agents!$B:$F,4,0),"")=TEXT(H60,"0"),IF(AND(A60&lt;&gt;"",E60&lt;&gt;""),"✅ Saved","Pending"),"🔒 WRONG CODE")))</f>
        <v/>
      </c>
      <c r="J60" s="33" t="str">
        <f t="shared" ca="1" si="5"/>
        <v>—</v>
      </c>
      <c r="K60" s="46"/>
    </row>
    <row r="61" spans="1:11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IF(A61="","",IFERROR(VLOOKUP(A61,DB_Customers!$A:$M,13,0),""))</f>
        <v/>
      </c>
      <c r="D61" s="42" t="str">
        <f t="shared" ca="1" si="3"/>
        <v/>
      </c>
      <c r="E61" s="32"/>
      <c r="F61" s="43" t="str">
        <f t="shared" si="4"/>
        <v/>
      </c>
      <c r="G61" s="30" t="s">
        <v>63</v>
      </c>
      <c r="H61" s="41"/>
      <c r="I61" s="33" t="str">
        <f>IF(A61="","",IF(H61="","⚠️ Enter Agent Code",IF(IFERROR(VLOOKUP(G61,DB_Agents!$B:$F,4,0),"")=TEXT(H61,"0"),IF(AND(A61&lt;&gt;"",E61&lt;&gt;""),"✅ Saved","Pending"),"🔒 WRONG CODE")))</f>
        <v/>
      </c>
      <c r="J61" s="33" t="str">
        <f t="shared" ca="1" si="5"/>
        <v>—</v>
      </c>
      <c r="K61" s="22"/>
    </row>
    <row r="62" spans="1:11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IF(A62="","",IFERROR(VLOOKUP(A62,DB_Customers!$A:$M,13,0),""))</f>
        <v/>
      </c>
      <c r="D62" s="42" t="str">
        <f t="shared" ca="1" si="3"/>
        <v/>
      </c>
      <c r="E62" s="32"/>
      <c r="F62" s="43" t="str">
        <f t="shared" si="4"/>
        <v/>
      </c>
      <c r="G62" s="30" t="s">
        <v>63</v>
      </c>
      <c r="H62" s="41"/>
      <c r="I62" s="33" t="str">
        <f>IF(A62="","",IF(H62="","⚠️ Enter Agent Code",IF(IFERROR(VLOOKUP(G62,DB_Agents!$B:$F,4,0),"")=TEXT(H62,"0"),IF(AND(A62&lt;&gt;"",E62&lt;&gt;""),"✅ Saved","Pending"),"🔒 WRONG CODE")))</f>
        <v/>
      </c>
      <c r="J62" s="33" t="str">
        <f t="shared" ca="1" si="5"/>
        <v>—</v>
      </c>
      <c r="K62" s="46"/>
    </row>
    <row r="63" spans="1:11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IF(A63="","",IFERROR(VLOOKUP(A63,DB_Customers!$A:$M,13,0),""))</f>
        <v/>
      </c>
      <c r="D63" s="42" t="str">
        <f t="shared" ca="1" si="3"/>
        <v/>
      </c>
      <c r="E63" s="32"/>
      <c r="F63" s="43" t="str">
        <f t="shared" si="4"/>
        <v/>
      </c>
      <c r="G63" s="30" t="s">
        <v>63</v>
      </c>
      <c r="H63" s="41"/>
      <c r="I63" s="33" t="str">
        <f>IF(A63="","",IF(H63="","⚠️ Enter Agent Code",IF(IFERROR(VLOOKUP(G63,DB_Agents!$B:$F,4,0),"")=TEXT(H63,"0"),IF(AND(A63&lt;&gt;"",E63&lt;&gt;""),"✅ Saved","Pending"),"🔒 WRONG CODE")))</f>
        <v/>
      </c>
      <c r="J63" s="33" t="str">
        <f t="shared" ca="1" si="5"/>
        <v>—</v>
      </c>
      <c r="K63" s="22"/>
    </row>
    <row r="64" spans="1:11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IF(A64="","",IFERROR(VLOOKUP(A64,DB_Customers!$A:$M,13,0),""))</f>
        <v/>
      </c>
      <c r="D64" s="42" t="str">
        <f t="shared" ca="1" si="3"/>
        <v/>
      </c>
      <c r="E64" s="32"/>
      <c r="F64" s="43" t="str">
        <f t="shared" si="4"/>
        <v/>
      </c>
      <c r="G64" s="30" t="s">
        <v>63</v>
      </c>
      <c r="H64" s="41"/>
      <c r="I64" s="33" t="str">
        <f>IF(A64="","",IF(H64="","⚠️ Enter Agent Code",IF(IFERROR(VLOOKUP(G64,DB_Agents!$B:$F,4,0),"")=TEXT(H64,"0"),IF(AND(A64&lt;&gt;"",E64&lt;&gt;""),"✅ Saved","Pending"),"🔒 WRONG CODE")))</f>
        <v/>
      </c>
      <c r="J64" s="33" t="str">
        <f t="shared" ca="1" si="5"/>
        <v>—</v>
      </c>
      <c r="K64" s="46"/>
    </row>
    <row r="65" spans="1:11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IF(A65="","",IFERROR(VLOOKUP(A65,DB_Customers!$A:$M,13,0),""))</f>
        <v/>
      </c>
      <c r="D65" s="42" t="str">
        <f t="shared" ca="1" si="3"/>
        <v/>
      </c>
      <c r="E65" s="32"/>
      <c r="F65" s="43" t="str">
        <f t="shared" si="4"/>
        <v/>
      </c>
      <c r="G65" s="30" t="s">
        <v>63</v>
      </c>
      <c r="H65" s="41"/>
      <c r="I65" s="33" t="str">
        <f>IF(A65="","",IF(H65="","⚠️ Enter Agent Code",IF(IFERROR(VLOOKUP(G65,DB_Agents!$B:$F,4,0),"")=TEXT(H65,"0"),IF(AND(A65&lt;&gt;"",E65&lt;&gt;""),"✅ Saved","Pending"),"🔒 WRONG CODE")))</f>
        <v/>
      </c>
      <c r="J65" s="33" t="str">
        <f t="shared" ca="1" si="5"/>
        <v>—</v>
      </c>
      <c r="K65" s="22"/>
    </row>
    <row r="66" spans="1:11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IF(A66="","",IFERROR(VLOOKUP(A66,DB_Customers!$A:$M,13,0),""))</f>
        <v/>
      </c>
      <c r="D66" s="42" t="str">
        <f t="shared" ca="1" si="3"/>
        <v/>
      </c>
      <c r="E66" s="32"/>
      <c r="F66" s="43" t="str">
        <f t="shared" si="4"/>
        <v/>
      </c>
      <c r="G66" s="30" t="s">
        <v>63</v>
      </c>
      <c r="H66" s="41"/>
      <c r="I66" s="33" t="str">
        <f>IF(A66="","",IF(H66="","⚠️ Enter Agent Code",IF(IFERROR(VLOOKUP(G66,DB_Agents!$B:$F,4,0),"")=TEXT(H66,"0"),IF(AND(A66&lt;&gt;"",E66&lt;&gt;""),"✅ Saved","Pending"),"🔒 WRONG CODE")))</f>
        <v/>
      </c>
      <c r="J66" s="33" t="str">
        <f t="shared" ca="1" si="5"/>
        <v>—</v>
      </c>
      <c r="K66" s="46"/>
    </row>
    <row r="67" spans="1:11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IF(A67="","",IFERROR(VLOOKUP(A67,DB_Customers!$A:$M,13,0),""))</f>
        <v/>
      </c>
      <c r="D67" s="42" t="str">
        <f t="shared" ca="1" si="3"/>
        <v/>
      </c>
      <c r="E67" s="32"/>
      <c r="F67" s="43" t="str">
        <f t="shared" si="4"/>
        <v/>
      </c>
      <c r="G67" s="30" t="s">
        <v>63</v>
      </c>
      <c r="H67" s="41"/>
      <c r="I67" s="33" t="str">
        <f>IF(A67="","",IF(H67="","⚠️ Enter Agent Code",IF(IFERROR(VLOOKUP(G67,DB_Agents!$B:$F,4,0),"")=TEXT(H67,"0"),IF(AND(A67&lt;&gt;"",E67&lt;&gt;""),"✅ Saved","Pending"),"🔒 WRONG CODE")))</f>
        <v/>
      </c>
      <c r="J67" s="33" t="str">
        <f t="shared" ca="1" si="5"/>
        <v>—</v>
      </c>
      <c r="K67" s="22"/>
    </row>
    <row r="68" spans="1:11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IF(A68="","",IFERROR(VLOOKUP(A68,DB_Customers!$A:$M,13,0),""))</f>
        <v/>
      </c>
      <c r="D68" s="42" t="str">
        <f t="shared" ca="1" si="3"/>
        <v/>
      </c>
      <c r="E68" s="32"/>
      <c r="F68" s="43" t="str">
        <f t="shared" si="4"/>
        <v/>
      </c>
      <c r="G68" s="30" t="s">
        <v>63</v>
      </c>
      <c r="H68" s="41"/>
      <c r="I68" s="33" t="str">
        <f>IF(A68="","",IF(H68="","⚠️ Enter Agent Code",IF(IFERROR(VLOOKUP(G68,DB_Agents!$B:$F,4,0),"")=TEXT(H68,"0"),IF(AND(A68&lt;&gt;"",E68&lt;&gt;""),"✅ Saved","Pending"),"🔒 WRONG CODE")))</f>
        <v/>
      </c>
      <c r="J68" s="33" t="str">
        <f t="shared" ca="1" si="5"/>
        <v>—</v>
      </c>
      <c r="K68" s="46"/>
    </row>
    <row r="69" spans="1:11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IF(A69="","",IFERROR(VLOOKUP(A69,DB_Customers!$A:$M,13,0),""))</f>
        <v/>
      </c>
      <c r="D69" s="42" t="str">
        <f t="shared" ca="1" si="3"/>
        <v/>
      </c>
      <c r="E69" s="32"/>
      <c r="F69" s="43" t="str">
        <f t="shared" si="4"/>
        <v/>
      </c>
      <c r="G69" s="30" t="s">
        <v>63</v>
      </c>
      <c r="H69" s="41"/>
      <c r="I69" s="33" t="str">
        <f>IF(A69="","",IF(H69="","⚠️ Enter Agent Code",IF(IFERROR(VLOOKUP(G69,DB_Agents!$B:$F,4,0),"")=TEXT(H69,"0"),IF(AND(A69&lt;&gt;"",E69&lt;&gt;""),"✅ Saved","Pending"),"🔒 WRONG CODE")))</f>
        <v/>
      </c>
      <c r="J69" s="33" t="str">
        <f t="shared" ca="1" si="5"/>
        <v>—</v>
      </c>
      <c r="K69" s="22"/>
    </row>
    <row r="70" spans="1:11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IF(A70="","",IFERROR(VLOOKUP(A70,DB_Customers!$A:$M,13,0),""))</f>
        <v/>
      </c>
      <c r="D70" s="42" t="str">
        <f t="shared" ca="1" si="3"/>
        <v/>
      </c>
      <c r="E70" s="32"/>
      <c r="F70" s="43" t="str">
        <f t="shared" si="4"/>
        <v/>
      </c>
      <c r="G70" s="30" t="s">
        <v>63</v>
      </c>
      <c r="H70" s="41"/>
      <c r="I70" s="33" t="str">
        <f>IF(A70="","",IF(H70="","⚠️ Enter Agent Code",IF(IFERROR(VLOOKUP(G70,DB_Agents!$B:$F,4,0),"")=TEXT(H70,"0"),IF(AND(A70&lt;&gt;"",E70&lt;&gt;""),"✅ Saved","Pending"),"🔒 WRONG CODE")))</f>
        <v/>
      </c>
      <c r="J70" s="33" t="str">
        <f t="shared" ca="1" si="5"/>
        <v>—</v>
      </c>
      <c r="K70" s="46"/>
    </row>
    <row r="71" spans="1:11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IF(A71="","",IFERROR(VLOOKUP(A71,DB_Customers!$A:$M,13,0),""))</f>
        <v/>
      </c>
      <c r="D71" s="42" t="str">
        <f t="shared" ca="1" si="3"/>
        <v/>
      </c>
      <c r="E71" s="32"/>
      <c r="F71" s="43" t="str">
        <f t="shared" si="4"/>
        <v/>
      </c>
      <c r="G71" s="30" t="s">
        <v>63</v>
      </c>
      <c r="H71" s="41"/>
      <c r="I71" s="33" t="str">
        <f>IF(A71="","",IF(H71="","⚠️ Enter Agent Code",IF(IFERROR(VLOOKUP(G71,DB_Agents!$B:$F,4,0),"")=TEXT(H71,"0"),IF(AND(A71&lt;&gt;"",E71&lt;&gt;""),"✅ Saved","Pending"),"🔒 WRONG CODE")))</f>
        <v/>
      </c>
      <c r="J71" s="33" t="str">
        <f t="shared" ca="1" si="5"/>
        <v>—</v>
      </c>
      <c r="K71" s="22"/>
    </row>
    <row r="72" spans="1:11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IF(A72="","",IFERROR(VLOOKUP(A72,DB_Customers!$A:$M,13,0),""))</f>
        <v/>
      </c>
      <c r="D72" s="42" t="str">
        <f t="shared" ca="1" si="3"/>
        <v/>
      </c>
      <c r="E72" s="32"/>
      <c r="F72" s="43" t="str">
        <f t="shared" si="4"/>
        <v/>
      </c>
      <c r="G72" s="30" t="s">
        <v>63</v>
      </c>
      <c r="H72" s="41"/>
      <c r="I72" s="33" t="str">
        <f>IF(A72="","",IF(H72="","⚠️ Enter Agent Code",IF(IFERROR(VLOOKUP(G72,DB_Agents!$B:$F,4,0),"")=TEXT(H72,"0"),IF(AND(A72&lt;&gt;"",E72&lt;&gt;""),"✅ Saved","Pending"),"🔒 WRONG CODE")))</f>
        <v/>
      </c>
      <c r="J72" s="33" t="str">
        <f t="shared" ca="1" si="5"/>
        <v>—</v>
      </c>
      <c r="K72" s="46"/>
    </row>
    <row r="73" spans="1:11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IF(A73="","",IFERROR(VLOOKUP(A73,DB_Customers!$A:$M,13,0),""))</f>
        <v/>
      </c>
      <c r="D73" s="42" t="str">
        <f t="shared" ref="D73:D104" ca="1" si="6">IF(A73="","",TODAY())</f>
        <v/>
      </c>
      <c r="E73" s="32"/>
      <c r="F73" s="43" t="str">
        <f t="shared" ref="F73:F104" si="7">IFERROR(IF(OR(A73="",E73=""),"",C73+E73),"")</f>
        <v/>
      </c>
      <c r="G73" s="30" t="s">
        <v>63</v>
      </c>
      <c r="H73" s="41"/>
      <c r="I73" s="33" t="str">
        <f>IF(A73="","",IF(H73="","⚠️ Enter Agent Code",IF(IFERROR(VLOOKUP(G73,DB_Agents!$B:$F,4,0),"")=TEXT(H73,"0"),IF(AND(A73&lt;&gt;"",E73&lt;&gt;""),"✅ Saved","Pending"),"🔒 WRONG CODE")))</f>
        <v/>
      </c>
      <c r="J73" s="33" t="str">
        <f t="shared" ref="J73:J104" ca="1" si="8">IF(I73="✅ Saved",TEXT(TODAY(),"YYYY-MM-DD")&amp;" Auto","—")</f>
        <v>—</v>
      </c>
      <c r="K73" s="22"/>
    </row>
    <row r="74" spans="1:11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IF(A74="","",IFERROR(VLOOKUP(A74,DB_Customers!$A:$M,13,0),""))</f>
        <v/>
      </c>
      <c r="D74" s="42" t="str">
        <f t="shared" ca="1" si="6"/>
        <v/>
      </c>
      <c r="E74" s="32"/>
      <c r="F74" s="43" t="str">
        <f t="shared" si="7"/>
        <v/>
      </c>
      <c r="G74" s="30" t="s">
        <v>63</v>
      </c>
      <c r="H74" s="41"/>
      <c r="I74" s="33" t="str">
        <f>IF(A74="","",IF(H74="","⚠️ Enter Agent Code",IF(IFERROR(VLOOKUP(G74,DB_Agents!$B:$F,4,0),"")=TEXT(H74,"0"),IF(AND(A74&lt;&gt;"",E74&lt;&gt;""),"✅ Saved","Pending"),"🔒 WRONG CODE")))</f>
        <v/>
      </c>
      <c r="J74" s="33" t="str">
        <f t="shared" ca="1" si="8"/>
        <v>—</v>
      </c>
      <c r="K74" s="46"/>
    </row>
    <row r="75" spans="1:11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IF(A75="","",IFERROR(VLOOKUP(A75,DB_Customers!$A:$M,13,0),""))</f>
        <v/>
      </c>
      <c r="D75" s="42" t="str">
        <f t="shared" ca="1" si="6"/>
        <v/>
      </c>
      <c r="E75" s="32"/>
      <c r="F75" s="43" t="str">
        <f t="shared" si="7"/>
        <v/>
      </c>
      <c r="G75" s="30" t="s">
        <v>63</v>
      </c>
      <c r="H75" s="41"/>
      <c r="I75" s="33" t="str">
        <f>IF(A75="","",IF(H75="","⚠️ Enter Agent Code",IF(IFERROR(VLOOKUP(G75,DB_Agents!$B:$F,4,0),"")=TEXT(H75,"0"),IF(AND(A75&lt;&gt;"",E75&lt;&gt;""),"✅ Saved","Pending"),"🔒 WRONG CODE")))</f>
        <v/>
      </c>
      <c r="J75" s="33" t="str">
        <f t="shared" ca="1" si="8"/>
        <v>—</v>
      </c>
      <c r="K75" s="22"/>
    </row>
    <row r="76" spans="1:11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IF(A76="","",IFERROR(VLOOKUP(A76,DB_Customers!$A:$M,13,0),""))</f>
        <v/>
      </c>
      <c r="D76" s="42" t="str">
        <f t="shared" ca="1" si="6"/>
        <v/>
      </c>
      <c r="E76" s="32"/>
      <c r="F76" s="43" t="str">
        <f t="shared" si="7"/>
        <v/>
      </c>
      <c r="G76" s="30" t="s">
        <v>63</v>
      </c>
      <c r="H76" s="41"/>
      <c r="I76" s="33" t="str">
        <f>IF(A76="","",IF(H76="","⚠️ Enter Agent Code",IF(IFERROR(VLOOKUP(G76,DB_Agents!$B:$F,4,0),"")=TEXT(H76,"0"),IF(AND(A76&lt;&gt;"",E76&lt;&gt;""),"✅ Saved","Pending"),"🔒 WRONG CODE")))</f>
        <v/>
      </c>
      <c r="J76" s="33" t="str">
        <f t="shared" ca="1" si="8"/>
        <v>—</v>
      </c>
      <c r="K76" s="46"/>
    </row>
    <row r="77" spans="1:11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IF(A77="","",IFERROR(VLOOKUP(A77,DB_Customers!$A:$M,13,0),""))</f>
        <v/>
      </c>
      <c r="D77" s="42" t="str">
        <f t="shared" ca="1" si="6"/>
        <v/>
      </c>
      <c r="E77" s="32"/>
      <c r="F77" s="43" t="str">
        <f t="shared" si="7"/>
        <v/>
      </c>
      <c r="G77" s="30" t="s">
        <v>63</v>
      </c>
      <c r="H77" s="41"/>
      <c r="I77" s="33" t="str">
        <f>IF(A77="","",IF(H77="","⚠️ Enter Agent Code",IF(IFERROR(VLOOKUP(G77,DB_Agents!$B:$F,4,0),"")=TEXT(H77,"0"),IF(AND(A77&lt;&gt;"",E77&lt;&gt;""),"✅ Saved","Pending"),"🔒 WRONG CODE")))</f>
        <v/>
      </c>
      <c r="J77" s="33" t="str">
        <f t="shared" ca="1" si="8"/>
        <v>—</v>
      </c>
      <c r="K77" s="22"/>
    </row>
    <row r="78" spans="1:11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IF(A78="","",IFERROR(VLOOKUP(A78,DB_Customers!$A:$M,13,0),""))</f>
        <v/>
      </c>
      <c r="D78" s="42" t="str">
        <f t="shared" ca="1" si="6"/>
        <v/>
      </c>
      <c r="E78" s="32"/>
      <c r="F78" s="43" t="str">
        <f t="shared" si="7"/>
        <v/>
      </c>
      <c r="G78" s="30" t="s">
        <v>63</v>
      </c>
      <c r="H78" s="41"/>
      <c r="I78" s="33" t="str">
        <f>IF(A78="","",IF(H78="","⚠️ Enter Agent Code",IF(IFERROR(VLOOKUP(G78,DB_Agents!$B:$F,4,0),"")=TEXT(H78,"0"),IF(AND(A78&lt;&gt;"",E78&lt;&gt;""),"✅ Saved","Pending"),"🔒 WRONG CODE")))</f>
        <v/>
      </c>
      <c r="J78" s="33" t="str">
        <f t="shared" ca="1" si="8"/>
        <v>—</v>
      </c>
      <c r="K78" s="46"/>
    </row>
    <row r="79" spans="1:11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IF(A79="","",IFERROR(VLOOKUP(A79,DB_Customers!$A:$M,13,0),""))</f>
        <v/>
      </c>
      <c r="D79" s="42" t="str">
        <f t="shared" ca="1" si="6"/>
        <v/>
      </c>
      <c r="E79" s="32"/>
      <c r="F79" s="43" t="str">
        <f t="shared" si="7"/>
        <v/>
      </c>
      <c r="G79" s="30" t="s">
        <v>63</v>
      </c>
      <c r="H79" s="41"/>
      <c r="I79" s="33" t="str">
        <f>IF(A79="","",IF(H79="","⚠️ Enter Agent Code",IF(IFERROR(VLOOKUP(G79,DB_Agents!$B:$F,4,0),"")=TEXT(H79,"0"),IF(AND(A79&lt;&gt;"",E79&lt;&gt;""),"✅ Saved","Pending"),"🔒 WRONG CODE")))</f>
        <v/>
      </c>
      <c r="J79" s="33" t="str">
        <f t="shared" ca="1" si="8"/>
        <v>—</v>
      </c>
      <c r="K79" s="22"/>
    </row>
    <row r="80" spans="1:11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IF(A80="","",IFERROR(VLOOKUP(A80,DB_Customers!$A:$M,13,0),""))</f>
        <v/>
      </c>
      <c r="D80" s="42" t="str">
        <f t="shared" ca="1" si="6"/>
        <v/>
      </c>
      <c r="E80" s="32"/>
      <c r="F80" s="43" t="str">
        <f t="shared" si="7"/>
        <v/>
      </c>
      <c r="G80" s="30" t="s">
        <v>63</v>
      </c>
      <c r="H80" s="41"/>
      <c r="I80" s="33" t="str">
        <f>IF(A80="","",IF(H80="","⚠️ Enter Agent Code",IF(IFERROR(VLOOKUP(G80,DB_Agents!$B:$F,4,0),"")=TEXT(H80,"0"),IF(AND(A80&lt;&gt;"",E80&lt;&gt;""),"✅ Saved","Pending"),"🔒 WRONG CODE")))</f>
        <v/>
      </c>
      <c r="J80" s="33" t="str">
        <f t="shared" ca="1" si="8"/>
        <v>—</v>
      </c>
      <c r="K80" s="46"/>
    </row>
    <row r="81" spans="1:11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IF(A81="","",IFERROR(VLOOKUP(A81,DB_Customers!$A:$M,13,0),""))</f>
        <v/>
      </c>
      <c r="D81" s="42" t="str">
        <f t="shared" ca="1" si="6"/>
        <v/>
      </c>
      <c r="E81" s="32"/>
      <c r="F81" s="43" t="str">
        <f t="shared" si="7"/>
        <v/>
      </c>
      <c r="G81" s="30" t="s">
        <v>63</v>
      </c>
      <c r="H81" s="41"/>
      <c r="I81" s="33" t="str">
        <f>IF(A81="","",IF(H81="","⚠️ Enter Agent Code",IF(IFERROR(VLOOKUP(G81,DB_Agents!$B:$F,4,0),"")=TEXT(H81,"0"),IF(AND(A81&lt;&gt;"",E81&lt;&gt;""),"✅ Saved","Pending"),"🔒 WRONG CODE")))</f>
        <v/>
      </c>
      <c r="J81" s="33" t="str">
        <f t="shared" ca="1" si="8"/>
        <v>—</v>
      </c>
      <c r="K81" s="22"/>
    </row>
    <row r="82" spans="1:11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IF(A82="","",IFERROR(VLOOKUP(A82,DB_Customers!$A:$M,13,0),""))</f>
        <v/>
      </c>
      <c r="D82" s="42" t="str">
        <f t="shared" ca="1" si="6"/>
        <v/>
      </c>
      <c r="E82" s="32"/>
      <c r="F82" s="43" t="str">
        <f t="shared" si="7"/>
        <v/>
      </c>
      <c r="G82" s="30" t="s">
        <v>63</v>
      </c>
      <c r="H82" s="41"/>
      <c r="I82" s="33" t="str">
        <f>IF(A82="","",IF(H82="","⚠️ Enter Agent Code",IF(IFERROR(VLOOKUP(G82,DB_Agents!$B:$F,4,0),"")=TEXT(H82,"0"),IF(AND(A82&lt;&gt;"",E82&lt;&gt;""),"✅ Saved","Pending"),"🔒 WRONG CODE")))</f>
        <v/>
      </c>
      <c r="J82" s="33" t="str">
        <f t="shared" ca="1" si="8"/>
        <v>—</v>
      </c>
      <c r="K82" s="46"/>
    </row>
    <row r="83" spans="1:11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IF(A83="","",IFERROR(VLOOKUP(A83,DB_Customers!$A:$M,13,0),""))</f>
        <v/>
      </c>
      <c r="D83" s="42" t="str">
        <f t="shared" ca="1" si="6"/>
        <v/>
      </c>
      <c r="E83" s="32"/>
      <c r="F83" s="43" t="str">
        <f t="shared" si="7"/>
        <v/>
      </c>
      <c r="G83" s="30" t="s">
        <v>63</v>
      </c>
      <c r="H83" s="41"/>
      <c r="I83" s="33" t="str">
        <f>IF(A83="","",IF(H83="","⚠️ Enter Agent Code",IF(IFERROR(VLOOKUP(G83,DB_Agents!$B:$F,4,0),"")=TEXT(H83,"0"),IF(AND(A83&lt;&gt;"",E83&lt;&gt;""),"✅ Saved","Pending"),"🔒 WRONG CODE")))</f>
        <v/>
      </c>
      <c r="J83" s="33" t="str">
        <f t="shared" ca="1" si="8"/>
        <v>—</v>
      </c>
      <c r="K83" s="22"/>
    </row>
    <row r="84" spans="1:11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IF(A84="","",IFERROR(VLOOKUP(A84,DB_Customers!$A:$M,13,0),""))</f>
        <v/>
      </c>
      <c r="D84" s="42" t="str">
        <f t="shared" ca="1" si="6"/>
        <v/>
      </c>
      <c r="E84" s="32"/>
      <c r="F84" s="43" t="str">
        <f t="shared" si="7"/>
        <v/>
      </c>
      <c r="G84" s="30" t="s">
        <v>63</v>
      </c>
      <c r="H84" s="41"/>
      <c r="I84" s="33" t="str">
        <f>IF(A84="","",IF(H84="","⚠️ Enter Agent Code",IF(IFERROR(VLOOKUP(G84,DB_Agents!$B:$F,4,0),"")=TEXT(H84,"0"),IF(AND(A84&lt;&gt;"",E84&lt;&gt;""),"✅ Saved","Pending"),"🔒 WRONG CODE")))</f>
        <v/>
      </c>
      <c r="J84" s="33" t="str">
        <f t="shared" ca="1" si="8"/>
        <v>—</v>
      </c>
      <c r="K84" s="46"/>
    </row>
    <row r="85" spans="1:11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IF(A85="","",IFERROR(VLOOKUP(A85,DB_Customers!$A:$M,13,0),""))</f>
        <v/>
      </c>
      <c r="D85" s="42" t="str">
        <f t="shared" ca="1" si="6"/>
        <v/>
      </c>
      <c r="E85" s="32"/>
      <c r="F85" s="43" t="str">
        <f t="shared" si="7"/>
        <v/>
      </c>
      <c r="G85" s="30" t="s">
        <v>63</v>
      </c>
      <c r="H85" s="41"/>
      <c r="I85" s="33" t="str">
        <f>IF(A85="","",IF(H85="","⚠️ Enter Agent Code",IF(IFERROR(VLOOKUP(G85,DB_Agents!$B:$F,4,0),"")=TEXT(H85,"0"),IF(AND(A85&lt;&gt;"",E85&lt;&gt;""),"✅ Saved","Pending"),"🔒 WRONG CODE")))</f>
        <v/>
      </c>
      <c r="J85" s="33" t="str">
        <f t="shared" ca="1" si="8"/>
        <v>—</v>
      </c>
      <c r="K85" s="22"/>
    </row>
    <row r="86" spans="1:11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IF(A86="","",IFERROR(VLOOKUP(A86,DB_Customers!$A:$M,13,0),""))</f>
        <v/>
      </c>
      <c r="D86" s="42" t="str">
        <f t="shared" ca="1" si="6"/>
        <v/>
      </c>
      <c r="E86" s="32"/>
      <c r="F86" s="43" t="str">
        <f t="shared" si="7"/>
        <v/>
      </c>
      <c r="G86" s="30" t="s">
        <v>63</v>
      </c>
      <c r="H86" s="41"/>
      <c r="I86" s="33" t="str">
        <f>IF(A86="","",IF(H86="","⚠️ Enter Agent Code",IF(IFERROR(VLOOKUP(G86,DB_Agents!$B:$F,4,0),"")=TEXT(H86,"0"),IF(AND(A86&lt;&gt;"",E86&lt;&gt;""),"✅ Saved","Pending"),"🔒 WRONG CODE")))</f>
        <v/>
      </c>
      <c r="J86" s="33" t="str">
        <f t="shared" ca="1" si="8"/>
        <v>—</v>
      </c>
      <c r="K86" s="46"/>
    </row>
    <row r="87" spans="1:11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IF(A87="","",IFERROR(VLOOKUP(A87,DB_Customers!$A:$M,13,0),""))</f>
        <v/>
      </c>
      <c r="D87" s="42" t="str">
        <f t="shared" ca="1" si="6"/>
        <v/>
      </c>
      <c r="E87" s="32"/>
      <c r="F87" s="43" t="str">
        <f t="shared" si="7"/>
        <v/>
      </c>
      <c r="G87" s="30" t="s">
        <v>63</v>
      </c>
      <c r="H87" s="41"/>
      <c r="I87" s="33" t="str">
        <f>IF(A87="","",IF(H87="","⚠️ Enter Agent Code",IF(IFERROR(VLOOKUP(G87,DB_Agents!$B:$F,4,0),"")=TEXT(H87,"0"),IF(AND(A87&lt;&gt;"",E87&lt;&gt;""),"✅ Saved","Pending"),"🔒 WRONG CODE")))</f>
        <v/>
      </c>
      <c r="J87" s="33" t="str">
        <f t="shared" ca="1" si="8"/>
        <v>—</v>
      </c>
      <c r="K87" s="22"/>
    </row>
    <row r="88" spans="1:11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IF(A88="","",IFERROR(VLOOKUP(A88,DB_Customers!$A:$M,13,0),""))</f>
        <v/>
      </c>
      <c r="D88" s="42" t="str">
        <f t="shared" ca="1" si="6"/>
        <v/>
      </c>
      <c r="E88" s="32"/>
      <c r="F88" s="43" t="str">
        <f t="shared" si="7"/>
        <v/>
      </c>
      <c r="G88" s="30" t="s">
        <v>63</v>
      </c>
      <c r="H88" s="41"/>
      <c r="I88" s="33" t="str">
        <f>IF(A88="","",IF(H88="","⚠️ Enter Agent Code",IF(IFERROR(VLOOKUP(G88,DB_Agents!$B:$F,4,0),"")=TEXT(H88,"0"),IF(AND(A88&lt;&gt;"",E88&lt;&gt;""),"✅ Saved","Pending"),"🔒 WRONG CODE")))</f>
        <v/>
      </c>
      <c r="J88" s="33" t="str">
        <f t="shared" ca="1" si="8"/>
        <v>—</v>
      </c>
      <c r="K88" s="46"/>
    </row>
    <row r="89" spans="1:11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IF(A89="","",IFERROR(VLOOKUP(A89,DB_Customers!$A:$M,13,0),""))</f>
        <v/>
      </c>
      <c r="D89" s="42" t="str">
        <f t="shared" ca="1" si="6"/>
        <v/>
      </c>
      <c r="E89" s="32"/>
      <c r="F89" s="43" t="str">
        <f t="shared" si="7"/>
        <v/>
      </c>
      <c r="G89" s="30" t="s">
        <v>63</v>
      </c>
      <c r="H89" s="41"/>
      <c r="I89" s="33" t="str">
        <f>IF(A89="","",IF(H89="","⚠️ Enter Agent Code",IF(IFERROR(VLOOKUP(G89,DB_Agents!$B:$F,4,0),"")=TEXT(H89,"0"),IF(AND(A89&lt;&gt;"",E89&lt;&gt;""),"✅ Saved","Pending"),"🔒 WRONG CODE")))</f>
        <v/>
      </c>
      <c r="J89" s="33" t="str">
        <f t="shared" ca="1" si="8"/>
        <v>—</v>
      </c>
      <c r="K89" s="22"/>
    </row>
    <row r="90" spans="1:11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IF(A90="","",IFERROR(VLOOKUP(A90,DB_Customers!$A:$M,13,0),""))</f>
        <v/>
      </c>
      <c r="D90" s="42" t="str">
        <f t="shared" ca="1" si="6"/>
        <v/>
      </c>
      <c r="E90" s="32"/>
      <c r="F90" s="43" t="str">
        <f t="shared" si="7"/>
        <v/>
      </c>
      <c r="G90" s="30" t="s">
        <v>63</v>
      </c>
      <c r="H90" s="41"/>
      <c r="I90" s="33" t="str">
        <f>IF(A90="","",IF(H90="","⚠️ Enter Agent Code",IF(IFERROR(VLOOKUP(G90,DB_Agents!$B:$F,4,0),"")=TEXT(H90,"0"),IF(AND(A90&lt;&gt;"",E90&lt;&gt;""),"✅ Saved","Pending"),"🔒 WRONG CODE")))</f>
        <v/>
      </c>
      <c r="J90" s="33" t="str">
        <f t="shared" ca="1" si="8"/>
        <v>—</v>
      </c>
      <c r="K90" s="46"/>
    </row>
    <row r="91" spans="1:11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IF(A91="","",IFERROR(VLOOKUP(A91,DB_Customers!$A:$M,13,0),""))</f>
        <v/>
      </c>
      <c r="D91" s="42" t="str">
        <f t="shared" ca="1" si="6"/>
        <v/>
      </c>
      <c r="E91" s="32"/>
      <c r="F91" s="43" t="str">
        <f t="shared" si="7"/>
        <v/>
      </c>
      <c r="G91" s="30" t="s">
        <v>63</v>
      </c>
      <c r="H91" s="41"/>
      <c r="I91" s="33" t="str">
        <f>IF(A91="","",IF(H91="","⚠️ Enter Agent Code",IF(IFERROR(VLOOKUP(G91,DB_Agents!$B:$F,4,0),"")=TEXT(H91,"0"),IF(AND(A91&lt;&gt;"",E91&lt;&gt;""),"✅ Saved","Pending"),"🔒 WRONG CODE")))</f>
        <v/>
      </c>
      <c r="J91" s="33" t="str">
        <f t="shared" ca="1" si="8"/>
        <v>—</v>
      </c>
      <c r="K91" s="22"/>
    </row>
    <row r="92" spans="1:11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IF(A92="","",IFERROR(VLOOKUP(A92,DB_Customers!$A:$M,13,0),""))</f>
        <v/>
      </c>
      <c r="D92" s="42" t="str">
        <f t="shared" ca="1" si="6"/>
        <v/>
      </c>
      <c r="E92" s="32"/>
      <c r="F92" s="43" t="str">
        <f t="shared" si="7"/>
        <v/>
      </c>
      <c r="G92" s="30" t="s">
        <v>63</v>
      </c>
      <c r="H92" s="41"/>
      <c r="I92" s="33" t="str">
        <f>IF(A92="","",IF(H92="","⚠️ Enter Agent Code",IF(IFERROR(VLOOKUP(G92,DB_Agents!$B:$F,4,0),"")=TEXT(H92,"0"),IF(AND(A92&lt;&gt;"",E92&lt;&gt;""),"✅ Saved","Pending"),"🔒 WRONG CODE")))</f>
        <v/>
      </c>
      <c r="J92" s="33" t="str">
        <f t="shared" ca="1" si="8"/>
        <v>—</v>
      </c>
      <c r="K92" s="46"/>
    </row>
    <row r="93" spans="1:11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IF(A93="","",IFERROR(VLOOKUP(A93,DB_Customers!$A:$M,13,0),""))</f>
        <v/>
      </c>
      <c r="D93" s="42" t="str">
        <f t="shared" ca="1" si="6"/>
        <v/>
      </c>
      <c r="E93" s="32"/>
      <c r="F93" s="43" t="str">
        <f t="shared" si="7"/>
        <v/>
      </c>
      <c r="G93" s="30" t="s">
        <v>63</v>
      </c>
      <c r="H93" s="41"/>
      <c r="I93" s="33" t="str">
        <f>IF(A93="","",IF(H93="","⚠️ Enter Agent Code",IF(IFERROR(VLOOKUP(G93,DB_Agents!$B:$F,4,0),"")=TEXT(H93,"0"),IF(AND(A93&lt;&gt;"",E93&lt;&gt;""),"✅ Saved","Pending"),"🔒 WRONG CODE")))</f>
        <v/>
      </c>
      <c r="J93" s="33" t="str">
        <f t="shared" ca="1" si="8"/>
        <v>—</v>
      </c>
      <c r="K93" s="22"/>
    </row>
    <row r="94" spans="1:11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IF(A94="","",IFERROR(VLOOKUP(A94,DB_Customers!$A:$M,13,0),""))</f>
        <v/>
      </c>
      <c r="D94" s="42" t="str">
        <f t="shared" ca="1" si="6"/>
        <v/>
      </c>
      <c r="E94" s="32"/>
      <c r="F94" s="43" t="str">
        <f t="shared" si="7"/>
        <v/>
      </c>
      <c r="G94" s="30" t="s">
        <v>63</v>
      </c>
      <c r="H94" s="41"/>
      <c r="I94" s="33" t="str">
        <f>IF(A94="","",IF(H94="","⚠️ Enter Agent Code",IF(IFERROR(VLOOKUP(G94,DB_Agents!$B:$F,4,0),"")=TEXT(H94,"0"),IF(AND(A94&lt;&gt;"",E94&lt;&gt;""),"✅ Saved","Pending"),"🔒 WRONG CODE")))</f>
        <v/>
      </c>
      <c r="J94" s="33" t="str">
        <f t="shared" ca="1" si="8"/>
        <v>—</v>
      </c>
      <c r="K94" s="46"/>
    </row>
    <row r="95" spans="1:11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IF(A95="","",IFERROR(VLOOKUP(A95,DB_Customers!$A:$M,13,0),""))</f>
        <v/>
      </c>
      <c r="D95" s="42" t="str">
        <f t="shared" ca="1" si="6"/>
        <v/>
      </c>
      <c r="E95" s="32"/>
      <c r="F95" s="43" t="str">
        <f t="shared" si="7"/>
        <v/>
      </c>
      <c r="G95" s="30" t="s">
        <v>63</v>
      </c>
      <c r="H95" s="41"/>
      <c r="I95" s="33" t="str">
        <f>IF(A95="","",IF(H95="","⚠️ Enter Agent Code",IF(IFERROR(VLOOKUP(G95,DB_Agents!$B:$F,4,0),"")=TEXT(H95,"0"),IF(AND(A95&lt;&gt;"",E95&lt;&gt;""),"✅ Saved","Pending"),"🔒 WRONG CODE")))</f>
        <v/>
      </c>
      <c r="J95" s="33" t="str">
        <f t="shared" ca="1" si="8"/>
        <v>—</v>
      </c>
      <c r="K95" s="22"/>
    </row>
    <row r="96" spans="1:11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IF(A96="","",IFERROR(VLOOKUP(A96,DB_Customers!$A:$M,13,0),""))</f>
        <v/>
      </c>
      <c r="D96" s="42" t="str">
        <f t="shared" ca="1" si="6"/>
        <v/>
      </c>
      <c r="E96" s="32"/>
      <c r="F96" s="43" t="str">
        <f t="shared" si="7"/>
        <v/>
      </c>
      <c r="G96" s="30" t="s">
        <v>63</v>
      </c>
      <c r="H96" s="41"/>
      <c r="I96" s="33" t="str">
        <f>IF(A96="","",IF(H96="","⚠️ Enter Agent Code",IF(IFERROR(VLOOKUP(G96,DB_Agents!$B:$F,4,0),"")=TEXT(H96,"0"),IF(AND(A96&lt;&gt;"",E96&lt;&gt;""),"✅ Saved","Pending"),"🔒 WRONG CODE")))</f>
        <v/>
      </c>
      <c r="J96" s="33" t="str">
        <f t="shared" ca="1" si="8"/>
        <v>—</v>
      </c>
      <c r="K96" s="46"/>
    </row>
    <row r="97" spans="1:11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IF(A97="","",IFERROR(VLOOKUP(A97,DB_Customers!$A:$M,13,0),""))</f>
        <v/>
      </c>
      <c r="D97" s="42" t="str">
        <f t="shared" ca="1" si="6"/>
        <v/>
      </c>
      <c r="E97" s="32"/>
      <c r="F97" s="43" t="str">
        <f t="shared" si="7"/>
        <v/>
      </c>
      <c r="G97" s="30" t="s">
        <v>63</v>
      </c>
      <c r="H97" s="41"/>
      <c r="I97" s="33" t="str">
        <f>IF(A97="","",IF(H97="","⚠️ Enter Agent Code",IF(IFERROR(VLOOKUP(G97,DB_Agents!$B:$F,4,0),"")=TEXT(H97,"0"),IF(AND(A97&lt;&gt;"",E97&lt;&gt;""),"✅ Saved","Pending"),"🔒 WRONG CODE")))</f>
        <v/>
      </c>
      <c r="J97" s="33" t="str">
        <f t="shared" ca="1" si="8"/>
        <v>—</v>
      </c>
      <c r="K97" s="22"/>
    </row>
    <row r="98" spans="1:11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IF(A98="","",IFERROR(VLOOKUP(A98,DB_Customers!$A:$M,13,0),""))</f>
        <v/>
      </c>
      <c r="D98" s="42" t="str">
        <f t="shared" ca="1" si="6"/>
        <v/>
      </c>
      <c r="E98" s="32"/>
      <c r="F98" s="43" t="str">
        <f t="shared" si="7"/>
        <v/>
      </c>
      <c r="G98" s="30" t="s">
        <v>63</v>
      </c>
      <c r="H98" s="41"/>
      <c r="I98" s="33" t="str">
        <f>IF(A98="","",IF(H98="","⚠️ Enter Agent Code",IF(IFERROR(VLOOKUP(G98,DB_Agents!$B:$F,4,0),"")=TEXT(H98,"0"),IF(AND(A98&lt;&gt;"",E98&lt;&gt;""),"✅ Saved","Pending"),"🔒 WRONG CODE")))</f>
        <v/>
      </c>
      <c r="J98" s="33" t="str">
        <f t="shared" ca="1" si="8"/>
        <v>—</v>
      </c>
      <c r="K98" s="46"/>
    </row>
    <row r="99" spans="1:11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IF(A99="","",IFERROR(VLOOKUP(A99,DB_Customers!$A:$M,13,0),""))</f>
        <v/>
      </c>
      <c r="D99" s="42" t="str">
        <f t="shared" ca="1" si="6"/>
        <v/>
      </c>
      <c r="E99" s="32"/>
      <c r="F99" s="43" t="str">
        <f t="shared" si="7"/>
        <v/>
      </c>
      <c r="G99" s="30" t="s">
        <v>63</v>
      </c>
      <c r="H99" s="41"/>
      <c r="I99" s="33" t="str">
        <f>IF(A99="","",IF(H99="","⚠️ Enter Agent Code",IF(IFERROR(VLOOKUP(G99,DB_Agents!$B:$F,4,0),"")=TEXT(H99,"0"),IF(AND(A99&lt;&gt;"",E99&lt;&gt;""),"✅ Saved","Pending"),"🔒 WRONG CODE")))</f>
        <v/>
      </c>
      <c r="J99" s="33" t="str">
        <f t="shared" ca="1" si="8"/>
        <v>—</v>
      </c>
      <c r="K99" s="22"/>
    </row>
    <row r="100" spans="1:11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IF(A100="","",IFERROR(VLOOKUP(A100,DB_Customers!$A:$M,13,0),""))</f>
        <v/>
      </c>
      <c r="D100" s="42" t="str">
        <f t="shared" ca="1" si="6"/>
        <v/>
      </c>
      <c r="E100" s="32"/>
      <c r="F100" s="43" t="str">
        <f t="shared" si="7"/>
        <v/>
      </c>
      <c r="G100" s="30" t="s">
        <v>63</v>
      </c>
      <c r="H100" s="41"/>
      <c r="I100" s="33" t="str">
        <f>IF(A100="","",IF(H100="","⚠️ Enter Agent Code",IF(IFERROR(VLOOKUP(G100,DB_Agents!$B:$F,4,0),"")=TEXT(H100,"0"),IF(AND(A100&lt;&gt;"",E100&lt;&gt;""),"✅ Saved","Pending"),"🔒 WRONG CODE")))</f>
        <v/>
      </c>
      <c r="J100" s="33" t="str">
        <f t="shared" ca="1" si="8"/>
        <v>—</v>
      </c>
      <c r="K100" s="46"/>
    </row>
    <row r="101" spans="1:11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IF(A101="","",IFERROR(VLOOKUP(A101,DB_Customers!$A:$M,13,0),""))</f>
        <v/>
      </c>
      <c r="D101" s="42" t="str">
        <f t="shared" ca="1" si="6"/>
        <v/>
      </c>
      <c r="E101" s="32"/>
      <c r="F101" s="43" t="str">
        <f t="shared" si="7"/>
        <v/>
      </c>
      <c r="G101" s="30" t="s">
        <v>63</v>
      </c>
      <c r="H101" s="41"/>
      <c r="I101" s="33" t="str">
        <f>IF(A101="","",IF(H101="","⚠️ Enter Agent Code",IF(IFERROR(VLOOKUP(G101,DB_Agents!$B:$F,4,0),"")=TEXT(H101,"0"),IF(AND(A101&lt;&gt;"",E101&lt;&gt;""),"✅ Saved","Pending"),"🔒 WRONG CODE")))</f>
        <v/>
      </c>
      <c r="J101" s="33" t="str">
        <f t="shared" ca="1" si="8"/>
        <v>—</v>
      </c>
      <c r="K101" s="22"/>
    </row>
    <row r="102" spans="1:11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IF(A102="","",IFERROR(VLOOKUP(A102,DB_Customers!$A:$M,13,0),""))</f>
        <v/>
      </c>
      <c r="D102" s="42" t="str">
        <f t="shared" ca="1" si="6"/>
        <v/>
      </c>
      <c r="E102" s="32"/>
      <c r="F102" s="43" t="str">
        <f t="shared" si="7"/>
        <v/>
      </c>
      <c r="G102" s="30" t="s">
        <v>63</v>
      </c>
      <c r="H102" s="41"/>
      <c r="I102" s="33" t="str">
        <f>IF(A102="","",IF(H102="","⚠️ Enter Agent Code",IF(IFERROR(VLOOKUP(G102,DB_Agents!$B:$F,4,0),"")=TEXT(H102,"0"),IF(AND(A102&lt;&gt;"",E102&lt;&gt;""),"✅ Saved","Pending"),"🔒 WRONG CODE")))</f>
        <v/>
      </c>
      <c r="J102" s="33" t="str">
        <f t="shared" ca="1" si="8"/>
        <v>—</v>
      </c>
      <c r="K102" s="46"/>
    </row>
    <row r="103" spans="1:11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IF(A103="","",IFERROR(VLOOKUP(A103,DB_Customers!$A:$M,13,0),""))</f>
        <v/>
      </c>
      <c r="D103" s="42" t="str">
        <f t="shared" ca="1" si="6"/>
        <v/>
      </c>
      <c r="E103" s="32"/>
      <c r="F103" s="43" t="str">
        <f t="shared" si="7"/>
        <v/>
      </c>
      <c r="G103" s="30" t="s">
        <v>63</v>
      </c>
      <c r="H103" s="41"/>
      <c r="I103" s="33" t="str">
        <f>IF(A103="","",IF(H103="","⚠️ Enter Agent Code",IF(IFERROR(VLOOKUP(G103,DB_Agents!$B:$F,4,0),"")=TEXT(H103,"0"),IF(AND(A103&lt;&gt;"",E103&lt;&gt;""),"✅ Saved","Pending"),"🔒 WRONG CODE")))</f>
        <v/>
      </c>
      <c r="J103" s="33" t="str">
        <f t="shared" ca="1" si="8"/>
        <v>—</v>
      </c>
      <c r="K103" s="22"/>
    </row>
    <row r="104" spans="1:11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IF(A104="","",IFERROR(VLOOKUP(A104,DB_Customers!$A:$M,13,0),""))</f>
        <v/>
      </c>
      <c r="D104" s="42" t="str">
        <f t="shared" ca="1" si="6"/>
        <v/>
      </c>
      <c r="E104" s="32"/>
      <c r="F104" s="43" t="str">
        <f t="shared" si="7"/>
        <v/>
      </c>
      <c r="G104" s="30" t="s">
        <v>63</v>
      </c>
      <c r="H104" s="41"/>
      <c r="I104" s="33" t="str">
        <f>IF(A104="","",IF(H104="","⚠️ Enter Agent Code",IF(IFERROR(VLOOKUP(G104,DB_Agents!$B:$F,4,0),"")=TEXT(H104,"0"),IF(AND(A104&lt;&gt;"",E104&lt;&gt;""),"✅ Saved","Pending"),"🔒 WRONG CODE")))</f>
        <v/>
      </c>
      <c r="J104" s="33" t="str">
        <f t="shared" ca="1" si="8"/>
        <v>—</v>
      </c>
      <c r="K104" s="46"/>
    </row>
    <row r="105" spans="1:11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IF(A105="","",IFERROR(VLOOKUP(A105,DB_Customers!$A:$M,13,0),""))</f>
        <v/>
      </c>
      <c r="D105" s="42" t="str">
        <f t="shared" ref="D105:D136" ca="1" si="9">IF(A105="","",TODAY())</f>
        <v/>
      </c>
      <c r="E105" s="32"/>
      <c r="F105" s="43" t="str">
        <f t="shared" ref="F105:F136" si="10">IFERROR(IF(OR(A105="",E105=""),"",C105+E105),"")</f>
        <v/>
      </c>
      <c r="G105" s="30" t="s">
        <v>63</v>
      </c>
      <c r="H105" s="41"/>
      <c r="I105" s="33" t="str">
        <f>IF(A105="","",IF(H105="","⚠️ Enter Agent Code",IF(IFERROR(VLOOKUP(G105,DB_Agents!$B:$F,4,0),"")=TEXT(H105,"0"),IF(AND(A105&lt;&gt;"",E105&lt;&gt;""),"✅ Saved","Pending"),"🔒 WRONG CODE")))</f>
        <v/>
      </c>
      <c r="J105" s="33" t="str">
        <f t="shared" ref="J105:J136" ca="1" si="11">IF(I105="✅ Saved",TEXT(TODAY(),"YYYY-MM-DD")&amp;" Auto","—")</f>
        <v>—</v>
      </c>
      <c r="K105" s="22"/>
    </row>
    <row r="106" spans="1:11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IF(A106="","",IFERROR(VLOOKUP(A106,DB_Customers!$A:$M,13,0),""))</f>
        <v/>
      </c>
      <c r="D106" s="42" t="str">
        <f t="shared" ca="1" si="9"/>
        <v/>
      </c>
      <c r="E106" s="32"/>
      <c r="F106" s="43" t="str">
        <f t="shared" si="10"/>
        <v/>
      </c>
      <c r="G106" s="30" t="s">
        <v>63</v>
      </c>
      <c r="H106" s="41"/>
      <c r="I106" s="33" t="str">
        <f>IF(A106="","",IF(H106="","⚠️ Enter Agent Code",IF(IFERROR(VLOOKUP(G106,DB_Agents!$B:$F,4,0),"")=TEXT(H106,"0"),IF(AND(A106&lt;&gt;"",E106&lt;&gt;""),"✅ Saved","Pending"),"🔒 WRONG CODE")))</f>
        <v/>
      </c>
      <c r="J106" s="33" t="str">
        <f t="shared" ca="1" si="11"/>
        <v>—</v>
      </c>
      <c r="K106" s="46"/>
    </row>
    <row r="107" spans="1:11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IF(A107="","",IFERROR(VLOOKUP(A107,DB_Customers!$A:$M,13,0),""))</f>
        <v/>
      </c>
      <c r="D107" s="42" t="str">
        <f t="shared" ca="1" si="9"/>
        <v/>
      </c>
      <c r="E107" s="32"/>
      <c r="F107" s="43" t="str">
        <f t="shared" si="10"/>
        <v/>
      </c>
      <c r="G107" s="30" t="s">
        <v>63</v>
      </c>
      <c r="H107" s="41"/>
      <c r="I107" s="33" t="str">
        <f>IF(A107="","",IF(H107="","⚠️ Enter Agent Code",IF(IFERROR(VLOOKUP(G107,DB_Agents!$B:$F,4,0),"")=TEXT(H107,"0"),IF(AND(A107&lt;&gt;"",E107&lt;&gt;""),"✅ Saved","Pending"),"🔒 WRONG CODE")))</f>
        <v/>
      </c>
      <c r="J107" s="33" t="str">
        <f t="shared" ca="1" si="11"/>
        <v>—</v>
      </c>
      <c r="K107" s="22"/>
    </row>
    <row r="108" spans="1:11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IF(A108="","",IFERROR(VLOOKUP(A108,DB_Customers!$A:$M,13,0),""))</f>
        <v/>
      </c>
      <c r="D108" s="42" t="str">
        <f t="shared" ca="1" si="9"/>
        <v/>
      </c>
      <c r="E108" s="32"/>
      <c r="F108" s="43" t="str">
        <f t="shared" si="10"/>
        <v/>
      </c>
      <c r="G108" s="30" t="s">
        <v>63</v>
      </c>
      <c r="H108" s="41"/>
      <c r="I108" s="33" t="str">
        <f>IF(A108="","",IF(H108="","⚠️ Enter Agent Code",IF(IFERROR(VLOOKUP(G108,DB_Agents!$B:$F,4,0),"")=TEXT(H108,"0"),IF(AND(A108&lt;&gt;"",E108&lt;&gt;""),"✅ Saved","Pending"),"🔒 WRONG CODE")))</f>
        <v/>
      </c>
      <c r="J108" s="33" t="str">
        <f t="shared" ca="1" si="11"/>
        <v>—</v>
      </c>
      <c r="K108" s="46"/>
    </row>
    <row r="109" spans="1:11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IF(A109="","",IFERROR(VLOOKUP(A109,DB_Customers!$A:$M,13,0),""))</f>
        <v/>
      </c>
      <c r="D109" s="42" t="str">
        <f t="shared" ca="1" si="9"/>
        <v/>
      </c>
      <c r="E109" s="32"/>
      <c r="F109" s="43" t="str">
        <f t="shared" si="10"/>
        <v/>
      </c>
      <c r="G109" s="30" t="s">
        <v>63</v>
      </c>
      <c r="H109" s="41"/>
      <c r="I109" s="33" t="str">
        <f>IF(A109="","",IF(H109="","⚠️ Enter Agent Code",IF(IFERROR(VLOOKUP(G109,DB_Agents!$B:$F,4,0),"")=TEXT(H109,"0"),IF(AND(A109&lt;&gt;"",E109&lt;&gt;""),"✅ Saved","Pending"),"🔒 WRONG CODE")))</f>
        <v/>
      </c>
      <c r="J109" s="33" t="str">
        <f t="shared" ca="1" si="11"/>
        <v>—</v>
      </c>
      <c r="K109" s="22"/>
    </row>
    <row r="110" spans="1:11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IF(A110="","",IFERROR(VLOOKUP(A110,DB_Customers!$A:$M,13,0),""))</f>
        <v/>
      </c>
      <c r="D110" s="42" t="str">
        <f t="shared" ca="1" si="9"/>
        <v/>
      </c>
      <c r="E110" s="32"/>
      <c r="F110" s="43" t="str">
        <f t="shared" si="10"/>
        <v/>
      </c>
      <c r="G110" s="30" t="s">
        <v>63</v>
      </c>
      <c r="H110" s="41"/>
      <c r="I110" s="33" t="str">
        <f>IF(A110="","",IF(H110="","⚠️ Enter Agent Code",IF(IFERROR(VLOOKUP(G110,DB_Agents!$B:$F,4,0),"")=TEXT(H110,"0"),IF(AND(A110&lt;&gt;"",E110&lt;&gt;""),"✅ Saved","Pending"),"🔒 WRONG CODE")))</f>
        <v/>
      </c>
      <c r="J110" s="33" t="str">
        <f t="shared" ca="1" si="11"/>
        <v>—</v>
      </c>
      <c r="K110" s="46"/>
    </row>
    <row r="111" spans="1:11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IF(A111="","",IFERROR(VLOOKUP(A111,DB_Customers!$A:$M,13,0),""))</f>
        <v/>
      </c>
      <c r="D111" s="42" t="str">
        <f t="shared" ca="1" si="9"/>
        <v/>
      </c>
      <c r="E111" s="32"/>
      <c r="F111" s="43" t="str">
        <f t="shared" si="10"/>
        <v/>
      </c>
      <c r="G111" s="30" t="s">
        <v>63</v>
      </c>
      <c r="H111" s="41"/>
      <c r="I111" s="33" t="str">
        <f>IF(A111="","",IF(H111="","⚠️ Enter Agent Code",IF(IFERROR(VLOOKUP(G111,DB_Agents!$B:$F,4,0),"")=TEXT(H111,"0"),IF(AND(A111&lt;&gt;"",E111&lt;&gt;""),"✅ Saved","Pending"),"🔒 WRONG CODE")))</f>
        <v/>
      </c>
      <c r="J111" s="33" t="str">
        <f t="shared" ca="1" si="11"/>
        <v>—</v>
      </c>
      <c r="K111" s="22"/>
    </row>
    <row r="112" spans="1:11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IF(A112="","",IFERROR(VLOOKUP(A112,DB_Customers!$A:$M,13,0),""))</f>
        <v/>
      </c>
      <c r="D112" s="42" t="str">
        <f t="shared" ca="1" si="9"/>
        <v/>
      </c>
      <c r="E112" s="32"/>
      <c r="F112" s="43" t="str">
        <f t="shared" si="10"/>
        <v/>
      </c>
      <c r="G112" s="30" t="s">
        <v>63</v>
      </c>
      <c r="H112" s="41"/>
      <c r="I112" s="33" t="str">
        <f>IF(A112="","",IF(H112="","⚠️ Enter Agent Code",IF(IFERROR(VLOOKUP(G112,DB_Agents!$B:$F,4,0),"")=TEXT(H112,"0"),IF(AND(A112&lt;&gt;"",E112&lt;&gt;""),"✅ Saved","Pending"),"🔒 WRONG CODE")))</f>
        <v/>
      </c>
      <c r="J112" s="33" t="str">
        <f t="shared" ca="1" si="11"/>
        <v>—</v>
      </c>
      <c r="K112" s="46"/>
    </row>
    <row r="113" spans="1:11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IF(A113="","",IFERROR(VLOOKUP(A113,DB_Customers!$A:$M,13,0),""))</f>
        <v/>
      </c>
      <c r="D113" s="42" t="str">
        <f t="shared" ca="1" si="9"/>
        <v/>
      </c>
      <c r="E113" s="32"/>
      <c r="F113" s="43" t="str">
        <f t="shared" si="10"/>
        <v/>
      </c>
      <c r="G113" s="30" t="s">
        <v>63</v>
      </c>
      <c r="H113" s="41"/>
      <c r="I113" s="33" t="str">
        <f>IF(A113="","",IF(H113="","⚠️ Enter Agent Code",IF(IFERROR(VLOOKUP(G113,DB_Agents!$B:$F,4,0),"")=TEXT(H113,"0"),IF(AND(A113&lt;&gt;"",E113&lt;&gt;""),"✅ Saved","Pending"),"🔒 WRONG CODE")))</f>
        <v/>
      </c>
      <c r="J113" s="33" t="str">
        <f t="shared" ca="1" si="11"/>
        <v>—</v>
      </c>
      <c r="K113" s="22"/>
    </row>
    <row r="114" spans="1:11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IF(A114="","",IFERROR(VLOOKUP(A114,DB_Customers!$A:$M,13,0),""))</f>
        <v/>
      </c>
      <c r="D114" s="42" t="str">
        <f t="shared" ca="1" si="9"/>
        <v/>
      </c>
      <c r="E114" s="32"/>
      <c r="F114" s="43" t="str">
        <f t="shared" si="10"/>
        <v/>
      </c>
      <c r="G114" s="30" t="s">
        <v>63</v>
      </c>
      <c r="H114" s="41"/>
      <c r="I114" s="33" t="str">
        <f>IF(A114="","",IF(H114="","⚠️ Enter Agent Code",IF(IFERROR(VLOOKUP(G114,DB_Agents!$B:$F,4,0),"")=TEXT(H114,"0"),IF(AND(A114&lt;&gt;"",E114&lt;&gt;""),"✅ Saved","Pending"),"🔒 WRONG CODE")))</f>
        <v/>
      </c>
      <c r="J114" s="33" t="str">
        <f t="shared" ca="1" si="11"/>
        <v>—</v>
      </c>
      <c r="K114" s="46"/>
    </row>
    <row r="115" spans="1:11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IF(A115="","",IFERROR(VLOOKUP(A115,DB_Customers!$A:$M,13,0),""))</f>
        <v/>
      </c>
      <c r="D115" s="42" t="str">
        <f t="shared" ca="1" si="9"/>
        <v/>
      </c>
      <c r="E115" s="32"/>
      <c r="F115" s="43" t="str">
        <f t="shared" si="10"/>
        <v/>
      </c>
      <c r="G115" s="30" t="s">
        <v>63</v>
      </c>
      <c r="H115" s="41"/>
      <c r="I115" s="33" t="str">
        <f>IF(A115="","",IF(H115="","⚠️ Enter Agent Code",IF(IFERROR(VLOOKUP(G115,DB_Agents!$B:$F,4,0),"")=TEXT(H115,"0"),IF(AND(A115&lt;&gt;"",E115&lt;&gt;""),"✅ Saved","Pending"),"🔒 WRONG CODE")))</f>
        <v/>
      </c>
      <c r="J115" s="33" t="str">
        <f t="shared" ca="1" si="11"/>
        <v>—</v>
      </c>
      <c r="K115" s="22"/>
    </row>
    <row r="116" spans="1:11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IF(A116="","",IFERROR(VLOOKUP(A116,DB_Customers!$A:$M,13,0),""))</f>
        <v/>
      </c>
      <c r="D116" s="42" t="str">
        <f t="shared" ca="1" si="9"/>
        <v/>
      </c>
      <c r="E116" s="32"/>
      <c r="F116" s="43" t="str">
        <f t="shared" si="10"/>
        <v/>
      </c>
      <c r="G116" s="30" t="s">
        <v>63</v>
      </c>
      <c r="H116" s="41"/>
      <c r="I116" s="33" t="str">
        <f>IF(A116="","",IF(H116="","⚠️ Enter Agent Code",IF(IFERROR(VLOOKUP(G116,DB_Agents!$B:$F,4,0),"")=TEXT(H116,"0"),IF(AND(A116&lt;&gt;"",E116&lt;&gt;""),"✅ Saved","Pending"),"🔒 WRONG CODE")))</f>
        <v/>
      </c>
      <c r="J116" s="33" t="str">
        <f t="shared" ca="1" si="11"/>
        <v>—</v>
      </c>
      <c r="K116" s="46"/>
    </row>
    <row r="117" spans="1:11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IF(A117="","",IFERROR(VLOOKUP(A117,DB_Customers!$A:$M,13,0),""))</f>
        <v/>
      </c>
      <c r="D117" s="42" t="str">
        <f t="shared" ca="1" si="9"/>
        <v/>
      </c>
      <c r="E117" s="32"/>
      <c r="F117" s="43" t="str">
        <f t="shared" si="10"/>
        <v/>
      </c>
      <c r="G117" s="30" t="s">
        <v>63</v>
      </c>
      <c r="H117" s="41"/>
      <c r="I117" s="33" t="str">
        <f>IF(A117="","",IF(H117="","⚠️ Enter Agent Code",IF(IFERROR(VLOOKUP(G117,DB_Agents!$B:$F,4,0),"")=TEXT(H117,"0"),IF(AND(A117&lt;&gt;"",E117&lt;&gt;""),"✅ Saved","Pending"),"🔒 WRONG CODE")))</f>
        <v/>
      </c>
      <c r="J117" s="33" t="str">
        <f t="shared" ca="1" si="11"/>
        <v>—</v>
      </c>
      <c r="K117" s="22"/>
    </row>
    <row r="118" spans="1:11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IF(A118="","",IFERROR(VLOOKUP(A118,DB_Customers!$A:$M,13,0),""))</f>
        <v/>
      </c>
      <c r="D118" s="42" t="str">
        <f t="shared" ca="1" si="9"/>
        <v/>
      </c>
      <c r="E118" s="32"/>
      <c r="F118" s="43" t="str">
        <f t="shared" si="10"/>
        <v/>
      </c>
      <c r="G118" s="30" t="s">
        <v>63</v>
      </c>
      <c r="H118" s="41"/>
      <c r="I118" s="33" t="str">
        <f>IF(A118="","",IF(H118="","⚠️ Enter Agent Code",IF(IFERROR(VLOOKUP(G118,DB_Agents!$B:$F,4,0),"")=TEXT(H118,"0"),IF(AND(A118&lt;&gt;"",E118&lt;&gt;""),"✅ Saved","Pending"),"🔒 WRONG CODE")))</f>
        <v/>
      </c>
      <c r="J118" s="33" t="str">
        <f t="shared" ca="1" si="11"/>
        <v>—</v>
      </c>
      <c r="K118" s="46"/>
    </row>
    <row r="119" spans="1:11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IF(A119="","",IFERROR(VLOOKUP(A119,DB_Customers!$A:$M,13,0),""))</f>
        <v/>
      </c>
      <c r="D119" s="42" t="str">
        <f t="shared" ca="1" si="9"/>
        <v/>
      </c>
      <c r="E119" s="32"/>
      <c r="F119" s="43" t="str">
        <f t="shared" si="10"/>
        <v/>
      </c>
      <c r="G119" s="30" t="s">
        <v>63</v>
      </c>
      <c r="H119" s="41"/>
      <c r="I119" s="33" t="str">
        <f>IF(A119="","",IF(H119="","⚠️ Enter Agent Code",IF(IFERROR(VLOOKUP(G119,DB_Agents!$B:$F,4,0),"")=TEXT(H119,"0"),IF(AND(A119&lt;&gt;"",E119&lt;&gt;""),"✅ Saved","Pending"),"🔒 WRONG CODE")))</f>
        <v/>
      </c>
      <c r="J119" s="33" t="str">
        <f t="shared" ca="1" si="11"/>
        <v>—</v>
      </c>
      <c r="K119" s="22"/>
    </row>
    <row r="120" spans="1:11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IF(A120="","",IFERROR(VLOOKUP(A120,DB_Customers!$A:$M,13,0),""))</f>
        <v/>
      </c>
      <c r="D120" s="42" t="str">
        <f t="shared" ca="1" si="9"/>
        <v/>
      </c>
      <c r="E120" s="32"/>
      <c r="F120" s="43" t="str">
        <f t="shared" si="10"/>
        <v/>
      </c>
      <c r="G120" s="30" t="s">
        <v>63</v>
      </c>
      <c r="H120" s="41"/>
      <c r="I120" s="33" t="str">
        <f>IF(A120="","",IF(H120="","⚠️ Enter Agent Code",IF(IFERROR(VLOOKUP(G120,DB_Agents!$B:$F,4,0),"")=TEXT(H120,"0"),IF(AND(A120&lt;&gt;"",E120&lt;&gt;""),"✅ Saved","Pending"),"🔒 WRONG CODE")))</f>
        <v/>
      </c>
      <c r="J120" s="33" t="str">
        <f t="shared" ca="1" si="11"/>
        <v>—</v>
      </c>
      <c r="K120" s="46"/>
    </row>
    <row r="121" spans="1:11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IF(A121="","",IFERROR(VLOOKUP(A121,DB_Customers!$A:$M,13,0),""))</f>
        <v/>
      </c>
      <c r="D121" s="42" t="str">
        <f t="shared" ca="1" si="9"/>
        <v/>
      </c>
      <c r="E121" s="32"/>
      <c r="F121" s="43" t="str">
        <f t="shared" si="10"/>
        <v/>
      </c>
      <c r="G121" s="30" t="s">
        <v>63</v>
      </c>
      <c r="H121" s="41"/>
      <c r="I121" s="33" t="str">
        <f>IF(A121="","",IF(H121="","⚠️ Enter Agent Code",IF(IFERROR(VLOOKUP(G121,DB_Agents!$B:$F,4,0),"")=TEXT(H121,"0"),IF(AND(A121&lt;&gt;"",E121&lt;&gt;""),"✅ Saved","Pending"),"🔒 WRONG CODE")))</f>
        <v/>
      </c>
      <c r="J121" s="33" t="str">
        <f t="shared" ca="1" si="11"/>
        <v>—</v>
      </c>
      <c r="K121" s="22"/>
    </row>
    <row r="122" spans="1:11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IF(A122="","",IFERROR(VLOOKUP(A122,DB_Customers!$A:$M,13,0),""))</f>
        <v/>
      </c>
      <c r="D122" s="42" t="str">
        <f t="shared" ca="1" si="9"/>
        <v/>
      </c>
      <c r="E122" s="32"/>
      <c r="F122" s="43" t="str">
        <f t="shared" si="10"/>
        <v/>
      </c>
      <c r="G122" s="30" t="s">
        <v>63</v>
      </c>
      <c r="H122" s="41"/>
      <c r="I122" s="33" t="str">
        <f>IF(A122="","",IF(H122="","⚠️ Enter Agent Code",IF(IFERROR(VLOOKUP(G122,DB_Agents!$B:$F,4,0),"")=TEXT(H122,"0"),IF(AND(A122&lt;&gt;"",E122&lt;&gt;""),"✅ Saved","Pending"),"🔒 WRONG CODE")))</f>
        <v/>
      </c>
      <c r="J122" s="33" t="str">
        <f t="shared" ca="1" si="11"/>
        <v>—</v>
      </c>
      <c r="K122" s="46"/>
    </row>
    <row r="123" spans="1:11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IF(A123="","",IFERROR(VLOOKUP(A123,DB_Customers!$A:$M,13,0),""))</f>
        <v/>
      </c>
      <c r="D123" s="42" t="str">
        <f t="shared" ca="1" si="9"/>
        <v/>
      </c>
      <c r="E123" s="32"/>
      <c r="F123" s="43" t="str">
        <f t="shared" si="10"/>
        <v/>
      </c>
      <c r="G123" s="30" t="s">
        <v>63</v>
      </c>
      <c r="H123" s="41"/>
      <c r="I123" s="33" t="str">
        <f>IF(A123="","",IF(H123="","⚠️ Enter Agent Code",IF(IFERROR(VLOOKUP(G123,DB_Agents!$B:$F,4,0),"")=TEXT(H123,"0"),IF(AND(A123&lt;&gt;"",E123&lt;&gt;""),"✅ Saved","Pending"),"🔒 WRONG CODE")))</f>
        <v/>
      </c>
      <c r="J123" s="33" t="str">
        <f t="shared" ca="1" si="11"/>
        <v>—</v>
      </c>
      <c r="K123" s="22"/>
    </row>
    <row r="124" spans="1:11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IF(A124="","",IFERROR(VLOOKUP(A124,DB_Customers!$A:$M,13,0),""))</f>
        <v/>
      </c>
      <c r="D124" s="42" t="str">
        <f t="shared" ca="1" si="9"/>
        <v/>
      </c>
      <c r="E124" s="32"/>
      <c r="F124" s="43" t="str">
        <f t="shared" si="10"/>
        <v/>
      </c>
      <c r="G124" s="30" t="s">
        <v>63</v>
      </c>
      <c r="H124" s="41"/>
      <c r="I124" s="33" t="str">
        <f>IF(A124="","",IF(H124="","⚠️ Enter Agent Code",IF(IFERROR(VLOOKUP(G124,DB_Agents!$B:$F,4,0),"")=TEXT(H124,"0"),IF(AND(A124&lt;&gt;"",E124&lt;&gt;""),"✅ Saved","Pending"),"🔒 WRONG CODE")))</f>
        <v/>
      </c>
      <c r="J124" s="33" t="str">
        <f t="shared" ca="1" si="11"/>
        <v>—</v>
      </c>
      <c r="K124" s="46"/>
    </row>
    <row r="125" spans="1:11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IF(A125="","",IFERROR(VLOOKUP(A125,DB_Customers!$A:$M,13,0),""))</f>
        <v/>
      </c>
      <c r="D125" s="42" t="str">
        <f t="shared" ca="1" si="9"/>
        <v/>
      </c>
      <c r="E125" s="32"/>
      <c r="F125" s="43" t="str">
        <f t="shared" si="10"/>
        <v/>
      </c>
      <c r="G125" s="30" t="s">
        <v>63</v>
      </c>
      <c r="H125" s="41"/>
      <c r="I125" s="33" t="str">
        <f>IF(A125="","",IF(H125="","⚠️ Enter Agent Code",IF(IFERROR(VLOOKUP(G125,DB_Agents!$B:$F,4,0),"")=TEXT(H125,"0"),IF(AND(A125&lt;&gt;"",E125&lt;&gt;""),"✅ Saved","Pending"),"🔒 WRONG CODE")))</f>
        <v/>
      </c>
      <c r="J125" s="33" t="str">
        <f t="shared" ca="1" si="11"/>
        <v>—</v>
      </c>
      <c r="K125" s="22"/>
    </row>
    <row r="126" spans="1:11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IF(A126="","",IFERROR(VLOOKUP(A126,DB_Customers!$A:$M,13,0),""))</f>
        <v/>
      </c>
      <c r="D126" s="42" t="str">
        <f t="shared" ca="1" si="9"/>
        <v/>
      </c>
      <c r="E126" s="32"/>
      <c r="F126" s="43" t="str">
        <f t="shared" si="10"/>
        <v/>
      </c>
      <c r="G126" s="30" t="s">
        <v>63</v>
      </c>
      <c r="H126" s="41"/>
      <c r="I126" s="33" t="str">
        <f>IF(A126="","",IF(H126="","⚠️ Enter Agent Code",IF(IFERROR(VLOOKUP(G126,DB_Agents!$B:$F,4,0),"")=TEXT(H126,"0"),IF(AND(A126&lt;&gt;"",E126&lt;&gt;""),"✅ Saved","Pending"),"🔒 WRONG CODE")))</f>
        <v/>
      </c>
      <c r="J126" s="33" t="str">
        <f t="shared" ca="1" si="11"/>
        <v>—</v>
      </c>
      <c r="K126" s="46"/>
    </row>
    <row r="127" spans="1:11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IF(A127="","",IFERROR(VLOOKUP(A127,DB_Customers!$A:$M,13,0),""))</f>
        <v/>
      </c>
      <c r="D127" s="42" t="str">
        <f t="shared" ca="1" si="9"/>
        <v/>
      </c>
      <c r="E127" s="32"/>
      <c r="F127" s="43" t="str">
        <f t="shared" si="10"/>
        <v/>
      </c>
      <c r="G127" s="30" t="s">
        <v>63</v>
      </c>
      <c r="H127" s="41"/>
      <c r="I127" s="33" t="str">
        <f>IF(A127="","",IF(H127="","⚠️ Enter Agent Code",IF(IFERROR(VLOOKUP(G127,DB_Agents!$B:$F,4,0),"")=TEXT(H127,"0"),IF(AND(A127&lt;&gt;"",E127&lt;&gt;""),"✅ Saved","Pending"),"🔒 WRONG CODE")))</f>
        <v/>
      </c>
      <c r="J127" s="33" t="str">
        <f t="shared" ca="1" si="11"/>
        <v>—</v>
      </c>
      <c r="K127" s="22"/>
    </row>
    <row r="128" spans="1:11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IF(A128="","",IFERROR(VLOOKUP(A128,DB_Customers!$A:$M,13,0),""))</f>
        <v/>
      </c>
      <c r="D128" s="42" t="str">
        <f t="shared" ca="1" si="9"/>
        <v/>
      </c>
      <c r="E128" s="32"/>
      <c r="F128" s="43" t="str">
        <f t="shared" si="10"/>
        <v/>
      </c>
      <c r="G128" s="30" t="s">
        <v>63</v>
      </c>
      <c r="H128" s="41"/>
      <c r="I128" s="33" t="str">
        <f>IF(A128="","",IF(H128="","⚠️ Enter Agent Code",IF(IFERROR(VLOOKUP(G128,DB_Agents!$B:$F,4,0),"")=TEXT(H128,"0"),IF(AND(A128&lt;&gt;"",E128&lt;&gt;""),"✅ Saved","Pending"),"🔒 WRONG CODE")))</f>
        <v/>
      </c>
      <c r="J128" s="33" t="str">
        <f t="shared" ca="1" si="11"/>
        <v>—</v>
      </c>
      <c r="K128" s="46"/>
    </row>
    <row r="129" spans="1:11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IF(A129="","",IFERROR(VLOOKUP(A129,DB_Customers!$A:$M,13,0),""))</f>
        <v/>
      </c>
      <c r="D129" s="42" t="str">
        <f t="shared" ca="1" si="9"/>
        <v/>
      </c>
      <c r="E129" s="32"/>
      <c r="F129" s="43" t="str">
        <f t="shared" si="10"/>
        <v/>
      </c>
      <c r="G129" s="30" t="s">
        <v>63</v>
      </c>
      <c r="H129" s="41"/>
      <c r="I129" s="33" t="str">
        <f>IF(A129="","",IF(H129="","⚠️ Enter Agent Code",IF(IFERROR(VLOOKUP(G129,DB_Agents!$B:$F,4,0),"")=TEXT(H129,"0"),IF(AND(A129&lt;&gt;"",E129&lt;&gt;""),"✅ Saved","Pending"),"🔒 WRONG CODE")))</f>
        <v/>
      </c>
      <c r="J129" s="33" t="str">
        <f t="shared" ca="1" si="11"/>
        <v>—</v>
      </c>
      <c r="K129" s="22"/>
    </row>
    <row r="130" spans="1:11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IF(A130="","",IFERROR(VLOOKUP(A130,DB_Customers!$A:$M,13,0),""))</f>
        <v/>
      </c>
      <c r="D130" s="42" t="str">
        <f t="shared" ca="1" si="9"/>
        <v/>
      </c>
      <c r="E130" s="32"/>
      <c r="F130" s="43" t="str">
        <f t="shared" si="10"/>
        <v/>
      </c>
      <c r="G130" s="30" t="s">
        <v>63</v>
      </c>
      <c r="H130" s="41"/>
      <c r="I130" s="33" t="str">
        <f>IF(A130="","",IF(H130="","⚠️ Enter Agent Code",IF(IFERROR(VLOOKUP(G130,DB_Agents!$B:$F,4,0),"")=TEXT(H130,"0"),IF(AND(A130&lt;&gt;"",E130&lt;&gt;""),"✅ Saved","Pending"),"🔒 WRONG CODE")))</f>
        <v/>
      </c>
      <c r="J130" s="33" t="str">
        <f t="shared" ca="1" si="11"/>
        <v>—</v>
      </c>
      <c r="K130" s="46"/>
    </row>
    <row r="131" spans="1:11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IF(A131="","",IFERROR(VLOOKUP(A131,DB_Customers!$A:$M,13,0),""))</f>
        <v/>
      </c>
      <c r="D131" s="42" t="str">
        <f t="shared" ca="1" si="9"/>
        <v/>
      </c>
      <c r="E131" s="32"/>
      <c r="F131" s="43" t="str">
        <f t="shared" si="10"/>
        <v/>
      </c>
      <c r="G131" s="30" t="s">
        <v>63</v>
      </c>
      <c r="H131" s="41"/>
      <c r="I131" s="33" t="str">
        <f>IF(A131="","",IF(H131="","⚠️ Enter Agent Code",IF(IFERROR(VLOOKUP(G131,DB_Agents!$B:$F,4,0),"")=TEXT(H131,"0"),IF(AND(A131&lt;&gt;"",E131&lt;&gt;""),"✅ Saved","Pending"),"🔒 WRONG CODE")))</f>
        <v/>
      </c>
      <c r="J131" s="33" t="str">
        <f t="shared" ca="1" si="11"/>
        <v>—</v>
      </c>
      <c r="K131" s="22"/>
    </row>
    <row r="132" spans="1:11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IF(A132="","",IFERROR(VLOOKUP(A132,DB_Customers!$A:$M,13,0),""))</f>
        <v/>
      </c>
      <c r="D132" s="42" t="str">
        <f t="shared" ca="1" si="9"/>
        <v/>
      </c>
      <c r="E132" s="32"/>
      <c r="F132" s="43" t="str">
        <f t="shared" si="10"/>
        <v/>
      </c>
      <c r="G132" s="30" t="s">
        <v>63</v>
      </c>
      <c r="H132" s="41"/>
      <c r="I132" s="33" t="str">
        <f>IF(A132="","",IF(H132="","⚠️ Enter Agent Code",IF(IFERROR(VLOOKUP(G132,DB_Agents!$B:$F,4,0),"")=TEXT(H132,"0"),IF(AND(A132&lt;&gt;"",E132&lt;&gt;""),"✅ Saved","Pending"),"🔒 WRONG CODE")))</f>
        <v/>
      </c>
      <c r="J132" s="33" t="str">
        <f t="shared" ca="1" si="11"/>
        <v>—</v>
      </c>
      <c r="K132" s="46"/>
    </row>
    <row r="133" spans="1:11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IF(A133="","",IFERROR(VLOOKUP(A133,DB_Customers!$A:$M,13,0),""))</f>
        <v/>
      </c>
      <c r="D133" s="42" t="str">
        <f t="shared" ca="1" si="9"/>
        <v/>
      </c>
      <c r="E133" s="32"/>
      <c r="F133" s="43" t="str">
        <f t="shared" si="10"/>
        <v/>
      </c>
      <c r="G133" s="30" t="s">
        <v>63</v>
      </c>
      <c r="H133" s="41"/>
      <c r="I133" s="33" t="str">
        <f>IF(A133="","",IF(H133="","⚠️ Enter Agent Code",IF(IFERROR(VLOOKUP(G133,DB_Agents!$B:$F,4,0),"")=TEXT(H133,"0"),IF(AND(A133&lt;&gt;"",E133&lt;&gt;""),"✅ Saved","Pending"),"🔒 WRONG CODE")))</f>
        <v/>
      </c>
      <c r="J133" s="33" t="str">
        <f t="shared" ca="1" si="11"/>
        <v>—</v>
      </c>
      <c r="K133" s="22"/>
    </row>
    <row r="134" spans="1:11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IF(A134="","",IFERROR(VLOOKUP(A134,DB_Customers!$A:$M,13,0),""))</f>
        <v/>
      </c>
      <c r="D134" s="42" t="str">
        <f t="shared" ca="1" si="9"/>
        <v/>
      </c>
      <c r="E134" s="32"/>
      <c r="F134" s="43" t="str">
        <f t="shared" si="10"/>
        <v/>
      </c>
      <c r="G134" s="30" t="s">
        <v>63</v>
      </c>
      <c r="H134" s="41"/>
      <c r="I134" s="33" t="str">
        <f>IF(A134="","",IF(H134="","⚠️ Enter Agent Code",IF(IFERROR(VLOOKUP(G134,DB_Agents!$B:$F,4,0),"")=TEXT(H134,"0"),IF(AND(A134&lt;&gt;"",E134&lt;&gt;""),"✅ Saved","Pending"),"🔒 WRONG CODE")))</f>
        <v/>
      </c>
      <c r="J134" s="33" t="str">
        <f t="shared" ca="1" si="11"/>
        <v>—</v>
      </c>
      <c r="K134" s="46"/>
    </row>
    <row r="135" spans="1:11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IF(A135="","",IFERROR(VLOOKUP(A135,DB_Customers!$A:$M,13,0),""))</f>
        <v/>
      </c>
      <c r="D135" s="42" t="str">
        <f t="shared" ca="1" si="9"/>
        <v/>
      </c>
      <c r="E135" s="32"/>
      <c r="F135" s="43" t="str">
        <f t="shared" si="10"/>
        <v/>
      </c>
      <c r="G135" s="30" t="s">
        <v>63</v>
      </c>
      <c r="H135" s="41"/>
      <c r="I135" s="33" t="str">
        <f>IF(A135="","",IF(H135="","⚠️ Enter Agent Code",IF(IFERROR(VLOOKUP(G135,DB_Agents!$B:$F,4,0),"")=TEXT(H135,"0"),IF(AND(A135&lt;&gt;"",E135&lt;&gt;""),"✅ Saved","Pending"),"🔒 WRONG CODE")))</f>
        <v/>
      </c>
      <c r="J135" s="33" t="str">
        <f t="shared" ca="1" si="11"/>
        <v>—</v>
      </c>
      <c r="K135" s="22"/>
    </row>
    <row r="136" spans="1:11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IF(A136="","",IFERROR(VLOOKUP(A136,DB_Customers!$A:$M,13,0),""))</f>
        <v/>
      </c>
      <c r="D136" s="42" t="str">
        <f t="shared" ca="1" si="9"/>
        <v/>
      </c>
      <c r="E136" s="32"/>
      <c r="F136" s="43" t="str">
        <f t="shared" si="10"/>
        <v/>
      </c>
      <c r="G136" s="30" t="s">
        <v>63</v>
      </c>
      <c r="H136" s="41"/>
      <c r="I136" s="33" t="str">
        <f>IF(A136="","",IF(H136="","⚠️ Enter Agent Code",IF(IFERROR(VLOOKUP(G136,DB_Agents!$B:$F,4,0),"")=TEXT(H136,"0"),IF(AND(A136&lt;&gt;"",E136&lt;&gt;""),"✅ Saved","Pending"),"🔒 WRONG CODE")))</f>
        <v/>
      </c>
      <c r="J136" s="33" t="str">
        <f t="shared" ca="1" si="11"/>
        <v>—</v>
      </c>
      <c r="K136" s="46"/>
    </row>
    <row r="137" spans="1:11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IF(A137="","",IFERROR(VLOOKUP(A137,DB_Customers!$A:$M,13,0),""))</f>
        <v/>
      </c>
      <c r="D137" s="42" t="str">
        <f t="shared" ref="D137:D168" ca="1" si="12">IF(A137="","",TODAY())</f>
        <v/>
      </c>
      <c r="E137" s="32"/>
      <c r="F137" s="43" t="str">
        <f t="shared" ref="F137:F168" si="13">IFERROR(IF(OR(A137="",E137=""),"",C137+E137),"")</f>
        <v/>
      </c>
      <c r="G137" s="30" t="s">
        <v>63</v>
      </c>
      <c r="H137" s="41"/>
      <c r="I137" s="33" t="str">
        <f>IF(A137="","",IF(H137="","⚠️ Enter Agent Code",IF(IFERROR(VLOOKUP(G137,DB_Agents!$B:$F,4,0),"")=TEXT(H137,"0"),IF(AND(A137&lt;&gt;"",E137&lt;&gt;""),"✅ Saved","Pending"),"🔒 WRONG CODE")))</f>
        <v/>
      </c>
      <c r="J137" s="33" t="str">
        <f t="shared" ref="J137:J168" ca="1" si="14">IF(I137="✅ Saved",TEXT(TODAY(),"YYYY-MM-DD")&amp;" Auto","—")</f>
        <v>—</v>
      </c>
      <c r="K137" s="22"/>
    </row>
    <row r="138" spans="1:11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IF(A138="","",IFERROR(VLOOKUP(A138,DB_Customers!$A:$M,13,0),""))</f>
        <v/>
      </c>
      <c r="D138" s="42" t="str">
        <f t="shared" ca="1" si="12"/>
        <v/>
      </c>
      <c r="E138" s="32"/>
      <c r="F138" s="43" t="str">
        <f t="shared" si="13"/>
        <v/>
      </c>
      <c r="G138" s="30" t="s">
        <v>63</v>
      </c>
      <c r="H138" s="41"/>
      <c r="I138" s="33" t="str">
        <f>IF(A138="","",IF(H138="","⚠️ Enter Agent Code",IF(IFERROR(VLOOKUP(G138,DB_Agents!$B:$F,4,0),"")=TEXT(H138,"0"),IF(AND(A138&lt;&gt;"",E138&lt;&gt;""),"✅ Saved","Pending"),"🔒 WRONG CODE")))</f>
        <v/>
      </c>
      <c r="J138" s="33" t="str">
        <f t="shared" ca="1" si="14"/>
        <v>—</v>
      </c>
      <c r="K138" s="46"/>
    </row>
    <row r="139" spans="1:11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IF(A139="","",IFERROR(VLOOKUP(A139,DB_Customers!$A:$M,13,0),""))</f>
        <v/>
      </c>
      <c r="D139" s="42" t="str">
        <f t="shared" ca="1" si="12"/>
        <v/>
      </c>
      <c r="E139" s="32"/>
      <c r="F139" s="43" t="str">
        <f t="shared" si="13"/>
        <v/>
      </c>
      <c r="G139" s="30" t="s">
        <v>63</v>
      </c>
      <c r="H139" s="41"/>
      <c r="I139" s="33" t="str">
        <f>IF(A139="","",IF(H139="","⚠️ Enter Agent Code",IF(IFERROR(VLOOKUP(G139,DB_Agents!$B:$F,4,0),"")=TEXT(H139,"0"),IF(AND(A139&lt;&gt;"",E139&lt;&gt;""),"✅ Saved","Pending"),"🔒 WRONG CODE")))</f>
        <v/>
      </c>
      <c r="J139" s="33" t="str">
        <f t="shared" ca="1" si="14"/>
        <v>—</v>
      </c>
      <c r="K139" s="22"/>
    </row>
    <row r="140" spans="1:11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IF(A140="","",IFERROR(VLOOKUP(A140,DB_Customers!$A:$M,13,0),""))</f>
        <v/>
      </c>
      <c r="D140" s="42" t="str">
        <f t="shared" ca="1" si="12"/>
        <v/>
      </c>
      <c r="E140" s="32"/>
      <c r="F140" s="43" t="str">
        <f t="shared" si="13"/>
        <v/>
      </c>
      <c r="G140" s="30" t="s">
        <v>63</v>
      </c>
      <c r="H140" s="41"/>
      <c r="I140" s="33" t="str">
        <f>IF(A140="","",IF(H140="","⚠️ Enter Agent Code",IF(IFERROR(VLOOKUP(G140,DB_Agents!$B:$F,4,0),"")=TEXT(H140,"0"),IF(AND(A140&lt;&gt;"",E140&lt;&gt;""),"✅ Saved","Pending"),"🔒 WRONG CODE")))</f>
        <v/>
      </c>
      <c r="J140" s="33" t="str">
        <f t="shared" ca="1" si="14"/>
        <v>—</v>
      </c>
      <c r="K140" s="46"/>
    </row>
    <row r="141" spans="1:11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IF(A141="","",IFERROR(VLOOKUP(A141,DB_Customers!$A:$M,13,0),""))</f>
        <v/>
      </c>
      <c r="D141" s="42" t="str">
        <f t="shared" ca="1" si="12"/>
        <v/>
      </c>
      <c r="E141" s="32"/>
      <c r="F141" s="43" t="str">
        <f t="shared" si="13"/>
        <v/>
      </c>
      <c r="G141" s="30" t="s">
        <v>63</v>
      </c>
      <c r="H141" s="41"/>
      <c r="I141" s="33" t="str">
        <f>IF(A141="","",IF(H141="","⚠️ Enter Agent Code",IF(IFERROR(VLOOKUP(G141,DB_Agents!$B:$F,4,0),"")=TEXT(H141,"0"),IF(AND(A141&lt;&gt;"",E141&lt;&gt;""),"✅ Saved","Pending"),"🔒 WRONG CODE")))</f>
        <v/>
      </c>
      <c r="J141" s="33" t="str">
        <f t="shared" ca="1" si="14"/>
        <v>—</v>
      </c>
      <c r="K141" s="22"/>
    </row>
    <row r="142" spans="1:11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IF(A142="","",IFERROR(VLOOKUP(A142,DB_Customers!$A:$M,13,0),""))</f>
        <v/>
      </c>
      <c r="D142" s="42" t="str">
        <f t="shared" ca="1" si="12"/>
        <v/>
      </c>
      <c r="E142" s="32"/>
      <c r="F142" s="43" t="str">
        <f t="shared" si="13"/>
        <v/>
      </c>
      <c r="G142" s="30" t="s">
        <v>63</v>
      </c>
      <c r="H142" s="41"/>
      <c r="I142" s="33" t="str">
        <f>IF(A142="","",IF(H142="","⚠️ Enter Agent Code",IF(IFERROR(VLOOKUP(G142,DB_Agents!$B:$F,4,0),"")=TEXT(H142,"0"),IF(AND(A142&lt;&gt;"",E142&lt;&gt;""),"✅ Saved","Pending"),"🔒 WRONG CODE")))</f>
        <v/>
      </c>
      <c r="J142" s="33" t="str">
        <f t="shared" ca="1" si="14"/>
        <v>—</v>
      </c>
      <c r="K142" s="46"/>
    </row>
    <row r="143" spans="1:11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IF(A143="","",IFERROR(VLOOKUP(A143,DB_Customers!$A:$M,13,0),""))</f>
        <v/>
      </c>
      <c r="D143" s="42" t="str">
        <f t="shared" ca="1" si="12"/>
        <v/>
      </c>
      <c r="E143" s="32"/>
      <c r="F143" s="43" t="str">
        <f t="shared" si="13"/>
        <v/>
      </c>
      <c r="G143" s="30" t="s">
        <v>63</v>
      </c>
      <c r="H143" s="41"/>
      <c r="I143" s="33" t="str">
        <f>IF(A143="","",IF(H143="","⚠️ Enter Agent Code",IF(IFERROR(VLOOKUP(G143,DB_Agents!$B:$F,4,0),"")=TEXT(H143,"0"),IF(AND(A143&lt;&gt;"",E143&lt;&gt;""),"✅ Saved","Pending"),"🔒 WRONG CODE")))</f>
        <v/>
      </c>
      <c r="J143" s="33" t="str">
        <f t="shared" ca="1" si="14"/>
        <v>—</v>
      </c>
      <c r="K143" s="22"/>
    </row>
    <row r="144" spans="1:11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IF(A144="","",IFERROR(VLOOKUP(A144,DB_Customers!$A:$M,13,0),""))</f>
        <v/>
      </c>
      <c r="D144" s="42" t="str">
        <f t="shared" ca="1" si="12"/>
        <v/>
      </c>
      <c r="E144" s="32"/>
      <c r="F144" s="43" t="str">
        <f t="shared" si="13"/>
        <v/>
      </c>
      <c r="G144" s="30" t="s">
        <v>63</v>
      </c>
      <c r="H144" s="41"/>
      <c r="I144" s="33" t="str">
        <f>IF(A144="","",IF(H144="","⚠️ Enter Agent Code",IF(IFERROR(VLOOKUP(G144,DB_Agents!$B:$F,4,0),"")=TEXT(H144,"0"),IF(AND(A144&lt;&gt;"",E144&lt;&gt;""),"✅ Saved","Pending"),"🔒 WRONG CODE")))</f>
        <v/>
      </c>
      <c r="J144" s="33" t="str">
        <f t="shared" ca="1" si="14"/>
        <v>—</v>
      </c>
      <c r="K144" s="46"/>
    </row>
    <row r="145" spans="1:11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IF(A145="","",IFERROR(VLOOKUP(A145,DB_Customers!$A:$M,13,0),""))</f>
        <v/>
      </c>
      <c r="D145" s="42" t="str">
        <f t="shared" ca="1" si="12"/>
        <v/>
      </c>
      <c r="E145" s="32"/>
      <c r="F145" s="43" t="str">
        <f t="shared" si="13"/>
        <v/>
      </c>
      <c r="G145" s="30" t="s">
        <v>63</v>
      </c>
      <c r="H145" s="41"/>
      <c r="I145" s="33" t="str">
        <f>IF(A145="","",IF(H145="","⚠️ Enter Agent Code",IF(IFERROR(VLOOKUP(G145,DB_Agents!$B:$F,4,0),"")=TEXT(H145,"0"),IF(AND(A145&lt;&gt;"",E145&lt;&gt;""),"✅ Saved","Pending"),"🔒 WRONG CODE")))</f>
        <v/>
      </c>
      <c r="J145" s="33" t="str">
        <f t="shared" ca="1" si="14"/>
        <v>—</v>
      </c>
      <c r="K145" s="22"/>
    </row>
    <row r="146" spans="1:11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IF(A146="","",IFERROR(VLOOKUP(A146,DB_Customers!$A:$M,13,0),""))</f>
        <v/>
      </c>
      <c r="D146" s="42" t="str">
        <f t="shared" ca="1" si="12"/>
        <v/>
      </c>
      <c r="E146" s="32"/>
      <c r="F146" s="43" t="str">
        <f t="shared" si="13"/>
        <v/>
      </c>
      <c r="G146" s="30" t="s">
        <v>63</v>
      </c>
      <c r="H146" s="41"/>
      <c r="I146" s="33" t="str">
        <f>IF(A146="","",IF(H146="","⚠️ Enter Agent Code",IF(IFERROR(VLOOKUP(G146,DB_Agents!$B:$F,4,0),"")=TEXT(H146,"0"),IF(AND(A146&lt;&gt;"",E146&lt;&gt;""),"✅ Saved","Pending"),"🔒 WRONG CODE")))</f>
        <v/>
      </c>
      <c r="J146" s="33" t="str">
        <f t="shared" ca="1" si="14"/>
        <v>—</v>
      </c>
      <c r="K146" s="46"/>
    </row>
    <row r="147" spans="1:11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IF(A147="","",IFERROR(VLOOKUP(A147,DB_Customers!$A:$M,13,0),""))</f>
        <v/>
      </c>
      <c r="D147" s="42" t="str">
        <f t="shared" ca="1" si="12"/>
        <v/>
      </c>
      <c r="E147" s="32"/>
      <c r="F147" s="43" t="str">
        <f t="shared" si="13"/>
        <v/>
      </c>
      <c r="G147" s="30" t="s">
        <v>63</v>
      </c>
      <c r="H147" s="41"/>
      <c r="I147" s="33" t="str">
        <f>IF(A147="","",IF(H147="","⚠️ Enter Agent Code",IF(IFERROR(VLOOKUP(G147,DB_Agents!$B:$F,4,0),"")=TEXT(H147,"0"),IF(AND(A147&lt;&gt;"",E147&lt;&gt;""),"✅ Saved","Pending"),"🔒 WRONG CODE")))</f>
        <v/>
      </c>
      <c r="J147" s="33" t="str">
        <f t="shared" ca="1" si="14"/>
        <v>—</v>
      </c>
      <c r="K147" s="22"/>
    </row>
    <row r="148" spans="1:11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IF(A148="","",IFERROR(VLOOKUP(A148,DB_Customers!$A:$M,13,0),""))</f>
        <v/>
      </c>
      <c r="D148" s="42" t="str">
        <f t="shared" ca="1" si="12"/>
        <v/>
      </c>
      <c r="E148" s="32"/>
      <c r="F148" s="43" t="str">
        <f t="shared" si="13"/>
        <v/>
      </c>
      <c r="G148" s="30" t="s">
        <v>63</v>
      </c>
      <c r="H148" s="41"/>
      <c r="I148" s="33" t="str">
        <f>IF(A148="","",IF(H148="","⚠️ Enter Agent Code",IF(IFERROR(VLOOKUP(G148,DB_Agents!$B:$F,4,0),"")=TEXT(H148,"0"),IF(AND(A148&lt;&gt;"",E148&lt;&gt;""),"✅ Saved","Pending"),"🔒 WRONG CODE")))</f>
        <v/>
      </c>
      <c r="J148" s="33" t="str">
        <f t="shared" ca="1" si="14"/>
        <v>—</v>
      </c>
      <c r="K148" s="46"/>
    </row>
    <row r="149" spans="1:11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IF(A149="","",IFERROR(VLOOKUP(A149,DB_Customers!$A:$M,13,0),""))</f>
        <v/>
      </c>
      <c r="D149" s="42" t="str">
        <f t="shared" ca="1" si="12"/>
        <v/>
      </c>
      <c r="E149" s="32"/>
      <c r="F149" s="43" t="str">
        <f t="shared" si="13"/>
        <v/>
      </c>
      <c r="G149" s="30" t="s">
        <v>63</v>
      </c>
      <c r="H149" s="41"/>
      <c r="I149" s="33" t="str">
        <f>IF(A149="","",IF(H149="","⚠️ Enter Agent Code",IF(IFERROR(VLOOKUP(G149,DB_Agents!$B:$F,4,0),"")=TEXT(H149,"0"),IF(AND(A149&lt;&gt;"",E149&lt;&gt;""),"✅ Saved","Pending"),"🔒 WRONG CODE")))</f>
        <v/>
      </c>
      <c r="J149" s="33" t="str">
        <f t="shared" ca="1" si="14"/>
        <v>—</v>
      </c>
      <c r="K149" s="22"/>
    </row>
    <row r="150" spans="1:11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IF(A150="","",IFERROR(VLOOKUP(A150,DB_Customers!$A:$M,13,0),""))</f>
        <v/>
      </c>
      <c r="D150" s="42" t="str">
        <f t="shared" ca="1" si="12"/>
        <v/>
      </c>
      <c r="E150" s="32"/>
      <c r="F150" s="43" t="str">
        <f t="shared" si="13"/>
        <v/>
      </c>
      <c r="G150" s="30" t="s">
        <v>63</v>
      </c>
      <c r="H150" s="41"/>
      <c r="I150" s="33" t="str">
        <f>IF(A150="","",IF(H150="","⚠️ Enter Agent Code",IF(IFERROR(VLOOKUP(G150,DB_Agents!$B:$F,4,0),"")=TEXT(H150,"0"),IF(AND(A150&lt;&gt;"",E150&lt;&gt;""),"✅ Saved","Pending"),"🔒 WRONG CODE")))</f>
        <v/>
      </c>
      <c r="J150" s="33" t="str">
        <f t="shared" ca="1" si="14"/>
        <v>—</v>
      </c>
      <c r="K150" s="46"/>
    </row>
    <row r="151" spans="1:11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IF(A151="","",IFERROR(VLOOKUP(A151,DB_Customers!$A:$M,13,0),""))</f>
        <v/>
      </c>
      <c r="D151" s="42" t="str">
        <f t="shared" ca="1" si="12"/>
        <v/>
      </c>
      <c r="E151" s="32"/>
      <c r="F151" s="43" t="str">
        <f t="shared" si="13"/>
        <v/>
      </c>
      <c r="G151" s="30" t="s">
        <v>63</v>
      </c>
      <c r="H151" s="41"/>
      <c r="I151" s="33" t="str">
        <f>IF(A151="","",IF(H151="","⚠️ Enter Agent Code",IF(IFERROR(VLOOKUP(G151,DB_Agents!$B:$F,4,0),"")=TEXT(H151,"0"),IF(AND(A151&lt;&gt;"",E151&lt;&gt;""),"✅ Saved","Pending"),"🔒 WRONG CODE")))</f>
        <v/>
      </c>
      <c r="J151" s="33" t="str">
        <f t="shared" ca="1" si="14"/>
        <v>—</v>
      </c>
      <c r="K151" s="22"/>
    </row>
    <row r="152" spans="1:11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IF(A152="","",IFERROR(VLOOKUP(A152,DB_Customers!$A:$M,13,0),""))</f>
        <v/>
      </c>
      <c r="D152" s="42" t="str">
        <f t="shared" ca="1" si="12"/>
        <v/>
      </c>
      <c r="E152" s="32"/>
      <c r="F152" s="43" t="str">
        <f t="shared" si="13"/>
        <v/>
      </c>
      <c r="G152" s="30" t="s">
        <v>63</v>
      </c>
      <c r="H152" s="41"/>
      <c r="I152" s="33" t="str">
        <f>IF(A152="","",IF(H152="","⚠️ Enter Agent Code",IF(IFERROR(VLOOKUP(G152,DB_Agents!$B:$F,4,0),"")=TEXT(H152,"0"),IF(AND(A152&lt;&gt;"",E152&lt;&gt;""),"✅ Saved","Pending"),"🔒 WRONG CODE")))</f>
        <v/>
      </c>
      <c r="J152" s="33" t="str">
        <f t="shared" ca="1" si="14"/>
        <v>—</v>
      </c>
      <c r="K152" s="46"/>
    </row>
    <row r="153" spans="1:11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IF(A153="","",IFERROR(VLOOKUP(A153,DB_Customers!$A:$M,13,0),""))</f>
        <v/>
      </c>
      <c r="D153" s="42" t="str">
        <f t="shared" ca="1" si="12"/>
        <v/>
      </c>
      <c r="E153" s="32"/>
      <c r="F153" s="43" t="str">
        <f t="shared" si="13"/>
        <v/>
      </c>
      <c r="G153" s="30" t="s">
        <v>63</v>
      </c>
      <c r="H153" s="41"/>
      <c r="I153" s="33" t="str">
        <f>IF(A153="","",IF(H153="","⚠️ Enter Agent Code",IF(IFERROR(VLOOKUP(G153,DB_Agents!$B:$F,4,0),"")=TEXT(H153,"0"),IF(AND(A153&lt;&gt;"",E153&lt;&gt;""),"✅ Saved","Pending"),"🔒 WRONG CODE")))</f>
        <v/>
      </c>
      <c r="J153" s="33" t="str">
        <f t="shared" ca="1" si="14"/>
        <v>—</v>
      </c>
      <c r="K153" s="22"/>
    </row>
    <row r="154" spans="1:11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IF(A154="","",IFERROR(VLOOKUP(A154,DB_Customers!$A:$M,13,0),""))</f>
        <v/>
      </c>
      <c r="D154" s="42" t="str">
        <f t="shared" ca="1" si="12"/>
        <v/>
      </c>
      <c r="E154" s="32"/>
      <c r="F154" s="43" t="str">
        <f t="shared" si="13"/>
        <v/>
      </c>
      <c r="G154" s="30" t="s">
        <v>63</v>
      </c>
      <c r="H154" s="41"/>
      <c r="I154" s="33" t="str">
        <f>IF(A154="","",IF(H154="","⚠️ Enter Agent Code",IF(IFERROR(VLOOKUP(G154,DB_Agents!$B:$F,4,0),"")=TEXT(H154,"0"),IF(AND(A154&lt;&gt;"",E154&lt;&gt;""),"✅ Saved","Pending"),"🔒 WRONG CODE")))</f>
        <v/>
      </c>
      <c r="J154" s="33" t="str">
        <f t="shared" ca="1" si="14"/>
        <v>—</v>
      </c>
      <c r="K154" s="46"/>
    </row>
    <row r="155" spans="1:11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IF(A155="","",IFERROR(VLOOKUP(A155,DB_Customers!$A:$M,13,0),""))</f>
        <v/>
      </c>
      <c r="D155" s="42" t="str">
        <f t="shared" ca="1" si="12"/>
        <v/>
      </c>
      <c r="E155" s="32"/>
      <c r="F155" s="43" t="str">
        <f t="shared" si="13"/>
        <v/>
      </c>
      <c r="G155" s="30" t="s">
        <v>63</v>
      </c>
      <c r="H155" s="41"/>
      <c r="I155" s="33" t="str">
        <f>IF(A155="","",IF(H155="","⚠️ Enter Agent Code",IF(IFERROR(VLOOKUP(G155,DB_Agents!$B:$F,4,0),"")=TEXT(H155,"0"),IF(AND(A155&lt;&gt;"",E155&lt;&gt;""),"✅ Saved","Pending"),"🔒 WRONG CODE")))</f>
        <v/>
      </c>
      <c r="J155" s="33" t="str">
        <f t="shared" ca="1" si="14"/>
        <v>—</v>
      </c>
      <c r="K155" s="22"/>
    </row>
    <row r="156" spans="1:11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IF(A156="","",IFERROR(VLOOKUP(A156,DB_Customers!$A:$M,13,0),""))</f>
        <v/>
      </c>
      <c r="D156" s="42" t="str">
        <f t="shared" ca="1" si="12"/>
        <v/>
      </c>
      <c r="E156" s="32"/>
      <c r="F156" s="43" t="str">
        <f t="shared" si="13"/>
        <v/>
      </c>
      <c r="G156" s="30" t="s">
        <v>63</v>
      </c>
      <c r="H156" s="41"/>
      <c r="I156" s="33" t="str">
        <f>IF(A156="","",IF(H156="","⚠️ Enter Agent Code",IF(IFERROR(VLOOKUP(G156,DB_Agents!$B:$F,4,0),"")=TEXT(H156,"0"),IF(AND(A156&lt;&gt;"",E156&lt;&gt;""),"✅ Saved","Pending"),"🔒 WRONG CODE")))</f>
        <v/>
      </c>
      <c r="J156" s="33" t="str">
        <f t="shared" ca="1" si="14"/>
        <v>—</v>
      </c>
      <c r="K156" s="46"/>
    </row>
    <row r="157" spans="1:11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IF(A157="","",IFERROR(VLOOKUP(A157,DB_Customers!$A:$M,13,0),""))</f>
        <v/>
      </c>
      <c r="D157" s="42" t="str">
        <f t="shared" ca="1" si="12"/>
        <v/>
      </c>
      <c r="E157" s="32"/>
      <c r="F157" s="43" t="str">
        <f t="shared" si="13"/>
        <v/>
      </c>
      <c r="G157" s="30" t="s">
        <v>63</v>
      </c>
      <c r="H157" s="41"/>
      <c r="I157" s="33" t="str">
        <f>IF(A157="","",IF(H157="","⚠️ Enter Agent Code",IF(IFERROR(VLOOKUP(G157,DB_Agents!$B:$F,4,0),"")=TEXT(H157,"0"),IF(AND(A157&lt;&gt;"",E157&lt;&gt;""),"✅ Saved","Pending"),"🔒 WRONG CODE")))</f>
        <v/>
      </c>
      <c r="J157" s="33" t="str">
        <f t="shared" ca="1" si="14"/>
        <v>—</v>
      </c>
      <c r="K157" s="22"/>
    </row>
    <row r="158" spans="1:11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IF(A158="","",IFERROR(VLOOKUP(A158,DB_Customers!$A:$M,13,0),""))</f>
        <v/>
      </c>
      <c r="D158" s="42" t="str">
        <f t="shared" ca="1" si="12"/>
        <v/>
      </c>
      <c r="E158" s="32"/>
      <c r="F158" s="43" t="str">
        <f t="shared" si="13"/>
        <v/>
      </c>
      <c r="G158" s="30" t="s">
        <v>63</v>
      </c>
      <c r="H158" s="41"/>
      <c r="I158" s="33" t="str">
        <f>IF(A158="","",IF(H158="","⚠️ Enter Agent Code",IF(IFERROR(VLOOKUP(G158,DB_Agents!$B:$F,4,0),"")=TEXT(H158,"0"),IF(AND(A158&lt;&gt;"",E158&lt;&gt;""),"✅ Saved","Pending"),"🔒 WRONG CODE")))</f>
        <v/>
      </c>
      <c r="J158" s="33" t="str">
        <f t="shared" ca="1" si="14"/>
        <v>—</v>
      </c>
      <c r="K158" s="46"/>
    </row>
    <row r="159" spans="1:11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IF(A159="","",IFERROR(VLOOKUP(A159,DB_Customers!$A:$M,13,0),""))</f>
        <v/>
      </c>
      <c r="D159" s="42" t="str">
        <f t="shared" ca="1" si="12"/>
        <v/>
      </c>
      <c r="E159" s="32"/>
      <c r="F159" s="43" t="str">
        <f t="shared" si="13"/>
        <v/>
      </c>
      <c r="G159" s="30" t="s">
        <v>63</v>
      </c>
      <c r="H159" s="41"/>
      <c r="I159" s="33" t="str">
        <f>IF(A159="","",IF(H159="","⚠️ Enter Agent Code",IF(IFERROR(VLOOKUP(G159,DB_Agents!$B:$F,4,0),"")=TEXT(H159,"0"),IF(AND(A159&lt;&gt;"",E159&lt;&gt;""),"✅ Saved","Pending"),"🔒 WRONG CODE")))</f>
        <v/>
      </c>
      <c r="J159" s="33" t="str">
        <f t="shared" ca="1" si="14"/>
        <v>—</v>
      </c>
      <c r="K159" s="22"/>
    </row>
    <row r="160" spans="1:11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IF(A160="","",IFERROR(VLOOKUP(A160,DB_Customers!$A:$M,13,0),""))</f>
        <v/>
      </c>
      <c r="D160" s="42" t="str">
        <f t="shared" ca="1" si="12"/>
        <v/>
      </c>
      <c r="E160" s="32"/>
      <c r="F160" s="43" t="str">
        <f t="shared" si="13"/>
        <v/>
      </c>
      <c r="G160" s="30" t="s">
        <v>63</v>
      </c>
      <c r="H160" s="41"/>
      <c r="I160" s="33" t="str">
        <f>IF(A160="","",IF(H160="","⚠️ Enter Agent Code",IF(IFERROR(VLOOKUP(G160,DB_Agents!$B:$F,4,0),"")=TEXT(H160,"0"),IF(AND(A160&lt;&gt;"",E160&lt;&gt;""),"✅ Saved","Pending"),"🔒 WRONG CODE")))</f>
        <v/>
      </c>
      <c r="J160" s="33" t="str">
        <f t="shared" ca="1" si="14"/>
        <v>—</v>
      </c>
      <c r="K160" s="46"/>
    </row>
    <row r="161" spans="1:11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IF(A161="","",IFERROR(VLOOKUP(A161,DB_Customers!$A:$M,13,0),""))</f>
        <v/>
      </c>
      <c r="D161" s="42" t="str">
        <f t="shared" ca="1" si="12"/>
        <v/>
      </c>
      <c r="E161" s="32"/>
      <c r="F161" s="43" t="str">
        <f t="shared" si="13"/>
        <v/>
      </c>
      <c r="G161" s="30" t="s">
        <v>63</v>
      </c>
      <c r="H161" s="41"/>
      <c r="I161" s="33" t="str">
        <f>IF(A161="","",IF(H161="","⚠️ Enter Agent Code",IF(IFERROR(VLOOKUP(G161,DB_Agents!$B:$F,4,0),"")=TEXT(H161,"0"),IF(AND(A161&lt;&gt;"",E161&lt;&gt;""),"✅ Saved","Pending"),"🔒 WRONG CODE")))</f>
        <v/>
      </c>
      <c r="J161" s="33" t="str">
        <f t="shared" ca="1" si="14"/>
        <v>—</v>
      </c>
      <c r="K161" s="22"/>
    </row>
    <row r="162" spans="1:11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IF(A162="","",IFERROR(VLOOKUP(A162,DB_Customers!$A:$M,13,0),""))</f>
        <v/>
      </c>
      <c r="D162" s="42" t="str">
        <f t="shared" ca="1" si="12"/>
        <v/>
      </c>
      <c r="E162" s="32"/>
      <c r="F162" s="43" t="str">
        <f t="shared" si="13"/>
        <v/>
      </c>
      <c r="G162" s="30" t="s">
        <v>63</v>
      </c>
      <c r="H162" s="41"/>
      <c r="I162" s="33" t="str">
        <f>IF(A162="","",IF(H162="","⚠️ Enter Agent Code",IF(IFERROR(VLOOKUP(G162,DB_Agents!$B:$F,4,0),"")=TEXT(H162,"0"),IF(AND(A162&lt;&gt;"",E162&lt;&gt;""),"✅ Saved","Pending"),"🔒 WRONG CODE")))</f>
        <v/>
      </c>
      <c r="J162" s="33" t="str">
        <f t="shared" ca="1" si="14"/>
        <v>—</v>
      </c>
      <c r="K162" s="46"/>
    </row>
    <row r="163" spans="1:11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IF(A163="","",IFERROR(VLOOKUP(A163,DB_Customers!$A:$M,13,0),""))</f>
        <v/>
      </c>
      <c r="D163" s="42" t="str">
        <f t="shared" ca="1" si="12"/>
        <v/>
      </c>
      <c r="E163" s="32"/>
      <c r="F163" s="43" t="str">
        <f t="shared" si="13"/>
        <v/>
      </c>
      <c r="G163" s="30" t="s">
        <v>63</v>
      </c>
      <c r="H163" s="41"/>
      <c r="I163" s="33" t="str">
        <f>IF(A163="","",IF(H163="","⚠️ Enter Agent Code",IF(IFERROR(VLOOKUP(G163,DB_Agents!$B:$F,4,0),"")=TEXT(H163,"0"),IF(AND(A163&lt;&gt;"",E163&lt;&gt;""),"✅ Saved","Pending"),"🔒 WRONG CODE")))</f>
        <v/>
      </c>
      <c r="J163" s="33" t="str">
        <f t="shared" ca="1" si="14"/>
        <v>—</v>
      </c>
      <c r="K163" s="22"/>
    </row>
    <row r="164" spans="1:11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IF(A164="","",IFERROR(VLOOKUP(A164,DB_Customers!$A:$M,13,0),""))</f>
        <v/>
      </c>
      <c r="D164" s="42" t="str">
        <f t="shared" ca="1" si="12"/>
        <v/>
      </c>
      <c r="E164" s="32"/>
      <c r="F164" s="43" t="str">
        <f t="shared" si="13"/>
        <v/>
      </c>
      <c r="G164" s="30" t="s">
        <v>63</v>
      </c>
      <c r="H164" s="41"/>
      <c r="I164" s="33" t="str">
        <f>IF(A164="","",IF(H164="","⚠️ Enter Agent Code",IF(IFERROR(VLOOKUP(G164,DB_Agents!$B:$F,4,0),"")=TEXT(H164,"0"),IF(AND(A164&lt;&gt;"",E164&lt;&gt;""),"✅ Saved","Pending"),"🔒 WRONG CODE")))</f>
        <v/>
      </c>
      <c r="J164" s="33" t="str">
        <f t="shared" ca="1" si="14"/>
        <v>—</v>
      </c>
      <c r="K164" s="46"/>
    </row>
    <row r="165" spans="1:11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IF(A165="","",IFERROR(VLOOKUP(A165,DB_Customers!$A:$M,13,0),""))</f>
        <v/>
      </c>
      <c r="D165" s="42" t="str">
        <f t="shared" ca="1" si="12"/>
        <v/>
      </c>
      <c r="E165" s="32"/>
      <c r="F165" s="43" t="str">
        <f t="shared" si="13"/>
        <v/>
      </c>
      <c r="G165" s="30" t="s">
        <v>63</v>
      </c>
      <c r="H165" s="41"/>
      <c r="I165" s="33" t="str">
        <f>IF(A165="","",IF(H165="","⚠️ Enter Agent Code",IF(IFERROR(VLOOKUP(G165,DB_Agents!$B:$F,4,0),"")=TEXT(H165,"0"),IF(AND(A165&lt;&gt;"",E165&lt;&gt;""),"✅ Saved","Pending"),"🔒 WRONG CODE")))</f>
        <v/>
      </c>
      <c r="J165" s="33" t="str">
        <f t="shared" ca="1" si="14"/>
        <v>—</v>
      </c>
      <c r="K165" s="22"/>
    </row>
    <row r="166" spans="1:11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IF(A166="","",IFERROR(VLOOKUP(A166,DB_Customers!$A:$M,13,0),""))</f>
        <v/>
      </c>
      <c r="D166" s="42" t="str">
        <f t="shared" ca="1" si="12"/>
        <v/>
      </c>
      <c r="E166" s="32"/>
      <c r="F166" s="43" t="str">
        <f t="shared" si="13"/>
        <v/>
      </c>
      <c r="G166" s="30" t="s">
        <v>63</v>
      </c>
      <c r="H166" s="41"/>
      <c r="I166" s="33" t="str">
        <f>IF(A166="","",IF(H166="","⚠️ Enter Agent Code",IF(IFERROR(VLOOKUP(G166,DB_Agents!$B:$F,4,0),"")=TEXT(H166,"0"),IF(AND(A166&lt;&gt;"",E166&lt;&gt;""),"✅ Saved","Pending"),"🔒 WRONG CODE")))</f>
        <v/>
      </c>
      <c r="J166" s="33" t="str">
        <f t="shared" ca="1" si="14"/>
        <v>—</v>
      </c>
      <c r="K166" s="46"/>
    </row>
    <row r="167" spans="1:11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IF(A167="","",IFERROR(VLOOKUP(A167,DB_Customers!$A:$M,13,0),""))</f>
        <v/>
      </c>
      <c r="D167" s="42" t="str">
        <f t="shared" ca="1" si="12"/>
        <v/>
      </c>
      <c r="E167" s="32"/>
      <c r="F167" s="43" t="str">
        <f t="shared" si="13"/>
        <v/>
      </c>
      <c r="G167" s="30" t="s">
        <v>63</v>
      </c>
      <c r="H167" s="41"/>
      <c r="I167" s="33" t="str">
        <f>IF(A167="","",IF(H167="","⚠️ Enter Agent Code",IF(IFERROR(VLOOKUP(G167,DB_Agents!$B:$F,4,0),"")=TEXT(H167,"0"),IF(AND(A167&lt;&gt;"",E167&lt;&gt;""),"✅ Saved","Pending"),"🔒 WRONG CODE")))</f>
        <v/>
      </c>
      <c r="J167" s="33" t="str">
        <f t="shared" ca="1" si="14"/>
        <v>—</v>
      </c>
      <c r="K167" s="22"/>
    </row>
    <row r="168" spans="1:11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IF(A168="","",IFERROR(VLOOKUP(A168,DB_Customers!$A:$M,13,0),""))</f>
        <v/>
      </c>
      <c r="D168" s="42" t="str">
        <f t="shared" ca="1" si="12"/>
        <v/>
      </c>
      <c r="E168" s="32"/>
      <c r="F168" s="43" t="str">
        <f t="shared" si="13"/>
        <v/>
      </c>
      <c r="G168" s="30" t="s">
        <v>63</v>
      </c>
      <c r="H168" s="41"/>
      <c r="I168" s="33" t="str">
        <f>IF(A168="","",IF(H168="","⚠️ Enter Agent Code",IF(IFERROR(VLOOKUP(G168,DB_Agents!$B:$F,4,0),"")=TEXT(H168,"0"),IF(AND(A168&lt;&gt;"",E168&lt;&gt;""),"✅ Saved","Pending"),"🔒 WRONG CODE")))</f>
        <v/>
      </c>
      <c r="J168" s="33" t="str">
        <f t="shared" ca="1" si="14"/>
        <v>—</v>
      </c>
      <c r="K168" s="46"/>
    </row>
    <row r="169" spans="1:11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IF(A169="","",IFERROR(VLOOKUP(A169,DB_Customers!$A:$M,13,0),""))</f>
        <v/>
      </c>
      <c r="D169" s="42" t="str">
        <f t="shared" ref="D169:D200" ca="1" si="15">IF(A169="","",TODAY())</f>
        <v/>
      </c>
      <c r="E169" s="32"/>
      <c r="F169" s="43" t="str">
        <f t="shared" ref="F169:F200" si="16">IFERROR(IF(OR(A169="",E169=""),"",C169+E169),"")</f>
        <v/>
      </c>
      <c r="G169" s="30" t="s">
        <v>63</v>
      </c>
      <c r="H169" s="41"/>
      <c r="I169" s="33" t="str">
        <f>IF(A169="","",IF(H169="","⚠️ Enter Agent Code",IF(IFERROR(VLOOKUP(G169,DB_Agents!$B:$F,4,0),"")=TEXT(H169,"0"),IF(AND(A169&lt;&gt;"",E169&lt;&gt;""),"✅ Saved","Pending"),"🔒 WRONG CODE")))</f>
        <v/>
      </c>
      <c r="J169" s="33" t="str">
        <f t="shared" ref="J169:J200" ca="1" si="17">IF(I169="✅ Saved",TEXT(TODAY(),"YYYY-MM-DD")&amp;" Auto","—")</f>
        <v>—</v>
      </c>
      <c r="K169" s="22"/>
    </row>
    <row r="170" spans="1:11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IF(A170="","",IFERROR(VLOOKUP(A170,DB_Customers!$A:$M,13,0),""))</f>
        <v/>
      </c>
      <c r="D170" s="42" t="str">
        <f t="shared" ca="1" si="15"/>
        <v/>
      </c>
      <c r="E170" s="32"/>
      <c r="F170" s="43" t="str">
        <f t="shared" si="16"/>
        <v/>
      </c>
      <c r="G170" s="30" t="s">
        <v>63</v>
      </c>
      <c r="H170" s="41"/>
      <c r="I170" s="33" t="str">
        <f>IF(A170="","",IF(H170="","⚠️ Enter Agent Code",IF(IFERROR(VLOOKUP(G170,DB_Agents!$B:$F,4,0),"")=TEXT(H170,"0"),IF(AND(A170&lt;&gt;"",E170&lt;&gt;""),"✅ Saved","Pending"),"🔒 WRONG CODE")))</f>
        <v/>
      </c>
      <c r="J170" s="33" t="str">
        <f t="shared" ca="1" si="17"/>
        <v>—</v>
      </c>
      <c r="K170" s="46"/>
    </row>
    <row r="171" spans="1:11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IF(A171="","",IFERROR(VLOOKUP(A171,DB_Customers!$A:$M,13,0),""))</f>
        <v/>
      </c>
      <c r="D171" s="42" t="str">
        <f t="shared" ca="1" si="15"/>
        <v/>
      </c>
      <c r="E171" s="32"/>
      <c r="F171" s="43" t="str">
        <f t="shared" si="16"/>
        <v/>
      </c>
      <c r="G171" s="30" t="s">
        <v>63</v>
      </c>
      <c r="H171" s="41"/>
      <c r="I171" s="33" t="str">
        <f>IF(A171="","",IF(H171="","⚠️ Enter Agent Code",IF(IFERROR(VLOOKUP(G171,DB_Agents!$B:$F,4,0),"")=TEXT(H171,"0"),IF(AND(A171&lt;&gt;"",E171&lt;&gt;""),"✅ Saved","Pending"),"🔒 WRONG CODE")))</f>
        <v/>
      </c>
      <c r="J171" s="33" t="str">
        <f t="shared" ca="1" si="17"/>
        <v>—</v>
      </c>
      <c r="K171" s="22"/>
    </row>
    <row r="172" spans="1:11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IF(A172="","",IFERROR(VLOOKUP(A172,DB_Customers!$A:$M,13,0),""))</f>
        <v/>
      </c>
      <c r="D172" s="42" t="str">
        <f t="shared" ca="1" si="15"/>
        <v/>
      </c>
      <c r="E172" s="32"/>
      <c r="F172" s="43" t="str">
        <f t="shared" si="16"/>
        <v/>
      </c>
      <c r="G172" s="30" t="s">
        <v>63</v>
      </c>
      <c r="H172" s="41"/>
      <c r="I172" s="33" t="str">
        <f>IF(A172="","",IF(H172="","⚠️ Enter Agent Code",IF(IFERROR(VLOOKUP(G172,DB_Agents!$B:$F,4,0),"")=TEXT(H172,"0"),IF(AND(A172&lt;&gt;"",E172&lt;&gt;""),"✅ Saved","Pending"),"🔒 WRONG CODE")))</f>
        <v/>
      </c>
      <c r="J172" s="33" t="str">
        <f t="shared" ca="1" si="17"/>
        <v>—</v>
      </c>
      <c r="K172" s="46"/>
    </row>
    <row r="173" spans="1:11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IF(A173="","",IFERROR(VLOOKUP(A173,DB_Customers!$A:$M,13,0),""))</f>
        <v/>
      </c>
      <c r="D173" s="42" t="str">
        <f t="shared" ca="1" si="15"/>
        <v/>
      </c>
      <c r="E173" s="32"/>
      <c r="F173" s="43" t="str">
        <f t="shared" si="16"/>
        <v/>
      </c>
      <c r="G173" s="30" t="s">
        <v>63</v>
      </c>
      <c r="H173" s="41"/>
      <c r="I173" s="33" t="str">
        <f>IF(A173="","",IF(H173="","⚠️ Enter Agent Code",IF(IFERROR(VLOOKUP(G173,DB_Agents!$B:$F,4,0),"")=TEXT(H173,"0"),IF(AND(A173&lt;&gt;"",E173&lt;&gt;""),"✅ Saved","Pending"),"🔒 WRONG CODE")))</f>
        <v/>
      </c>
      <c r="J173" s="33" t="str">
        <f t="shared" ca="1" si="17"/>
        <v>—</v>
      </c>
      <c r="K173" s="22"/>
    </row>
    <row r="174" spans="1:11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IF(A174="","",IFERROR(VLOOKUP(A174,DB_Customers!$A:$M,13,0),""))</f>
        <v/>
      </c>
      <c r="D174" s="42" t="str">
        <f t="shared" ca="1" si="15"/>
        <v/>
      </c>
      <c r="E174" s="32"/>
      <c r="F174" s="43" t="str">
        <f t="shared" si="16"/>
        <v/>
      </c>
      <c r="G174" s="30" t="s">
        <v>63</v>
      </c>
      <c r="H174" s="41"/>
      <c r="I174" s="33" t="str">
        <f>IF(A174="","",IF(H174="","⚠️ Enter Agent Code",IF(IFERROR(VLOOKUP(G174,DB_Agents!$B:$F,4,0),"")=TEXT(H174,"0"),IF(AND(A174&lt;&gt;"",E174&lt;&gt;""),"✅ Saved","Pending"),"🔒 WRONG CODE")))</f>
        <v/>
      </c>
      <c r="J174" s="33" t="str">
        <f t="shared" ca="1" si="17"/>
        <v>—</v>
      </c>
      <c r="K174" s="46"/>
    </row>
    <row r="175" spans="1:11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IF(A175="","",IFERROR(VLOOKUP(A175,DB_Customers!$A:$M,13,0),""))</f>
        <v/>
      </c>
      <c r="D175" s="42" t="str">
        <f t="shared" ca="1" si="15"/>
        <v/>
      </c>
      <c r="E175" s="32"/>
      <c r="F175" s="43" t="str">
        <f t="shared" si="16"/>
        <v/>
      </c>
      <c r="G175" s="30" t="s">
        <v>63</v>
      </c>
      <c r="H175" s="41"/>
      <c r="I175" s="33" t="str">
        <f>IF(A175="","",IF(H175="","⚠️ Enter Agent Code",IF(IFERROR(VLOOKUP(G175,DB_Agents!$B:$F,4,0),"")=TEXT(H175,"0"),IF(AND(A175&lt;&gt;"",E175&lt;&gt;""),"✅ Saved","Pending"),"🔒 WRONG CODE")))</f>
        <v/>
      </c>
      <c r="J175" s="33" t="str">
        <f t="shared" ca="1" si="17"/>
        <v>—</v>
      </c>
      <c r="K175" s="22"/>
    </row>
    <row r="176" spans="1:11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IF(A176="","",IFERROR(VLOOKUP(A176,DB_Customers!$A:$M,13,0),""))</f>
        <v/>
      </c>
      <c r="D176" s="42" t="str">
        <f t="shared" ca="1" si="15"/>
        <v/>
      </c>
      <c r="E176" s="32"/>
      <c r="F176" s="43" t="str">
        <f t="shared" si="16"/>
        <v/>
      </c>
      <c r="G176" s="30" t="s">
        <v>63</v>
      </c>
      <c r="H176" s="41"/>
      <c r="I176" s="33" t="str">
        <f>IF(A176="","",IF(H176="","⚠️ Enter Agent Code",IF(IFERROR(VLOOKUP(G176,DB_Agents!$B:$F,4,0),"")=TEXT(H176,"0"),IF(AND(A176&lt;&gt;"",E176&lt;&gt;""),"✅ Saved","Pending"),"🔒 WRONG CODE")))</f>
        <v/>
      </c>
      <c r="J176" s="33" t="str">
        <f t="shared" ca="1" si="17"/>
        <v>—</v>
      </c>
      <c r="K176" s="46"/>
    </row>
    <row r="177" spans="1:11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IF(A177="","",IFERROR(VLOOKUP(A177,DB_Customers!$A:$M,13,0),""))</f>
        <v/>
      </c>
      <c r="D177" s="42" t="str">
        <f t="shared" ca="1" si="15"/>
        <v/>
      </c>
      <c r="E177" s="32"/>
      <c r="F177" s="43" t="str">
        <f t="shared" si="16"/>
        <v/>
      </c>
      <c r="G177" s="30" t="s">
        <v>63</v>
      </c>
      <c r="H177" s="41"/>
      <c r="I177" s="33" t="str">
        <f>IF(A177="","",IF(H177="","⚠️ Enter Agent Code",IF(IFERROR(VLOOKUP(G177,DB_Agents!$B:$F,4,0),"")=TEXT(H177,"0"),IF(AND(A177&lt;&gt;"",E177&lt;&gt;""),"✅ Saved","Pending"),"🔒 WRONG CODE")))</f>
        <v/>
      </c>
      <c r="J177" s="33" t="str">
        <f t="shared" ca="1" si="17"/>
        <v>—</v>
      </c>
      <c r="K177" s="22"/>
    </row>
    <row r="178" spans="1:11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IF(A178="","",IFERROR(VLOOKUP(A178,DB_Customers!$A:$M,13,0),""))</f>
        <v/>
      </c>
      <c r="D178" s="42" t="str">
        <f t="shared" ca="1" si="15"/>
        <v/>
      </c>
      <c r="E178" s="32"/>
      <c r="F178" s="43" t="str">
        <f t="shared" si="16"/>
        <v/>
      </c>
      <c r="G178" s="30" t="s">
        <v>63</v>
      </c>
      <c r="H178" s="41"/>
      <c r="I178" s="33" t="str">
        <f>IF(A178="","",IF(H178="","⚠️ Enter Agent Code",IF(IFERROR(VLOOKUP(G178,DB_Agents!$B:$F,4,0),"")=TEXT(H178,"0"),IF(AND(A178&lt;&gt;"",E178&lt;&gt;""),"✅ Saved","Pending"),"🔒 WRONG CODE")))</f>
        <v/>
      </c>
      <c r="J178" s="33" t="str">
        <f t="shared" ca="1" si="17"/>
        <v>—</v>
      </c>
      <c r="K178" s="46"/>
    </row>
    <row r="179" spans="1:11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IF(A179="","",IFERROR(VLOOKUP(A179,DB_Customers!$A:$M,13,0),""))</f>
        <v/>
      </c>
      <c r="D179" s="42" t="str">
        <f t="shared" ca="1" si="15"/>
        <v/>
      </c>
      <c r="E179" s="32"/>
      <c r="F179" s="43" t="str">
        <f t="shared" si="16"/>
        <v/>
      </c>
      <c r="G179" s="30" t="s">
        <v>63</v>
      </c>
      <c r="H179" s="41"/>
      <c r="I179" s="33" t="str">
        <f>IF(A179="","",IF(H179="","⚠️ Enter Agent Code",IF(IFERROR(VLOOKUP(G179,DB_Agents!$B:$F,4,0),"")=TEXT(H179,"0"),IF(AND(A179&lt;&gt;"",E179&lt;&gt;""),"✅ Saved","Pending"),"🔒 WRONG CODE")))</f>
        <v/>
      </c>
      <c r="J179" s="33" t="str">
        <f t="shared" ca="1" si="17"/>
        <v>—</v>
      </c>
      <c r="K179" s="22"/>
    </row>
    <row r="180" spans="1:11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IF(A180="","",IFERROR(VLOOKUP(A180,DB_Customers!$A:$M,13,0),""))</f>
        <v/>
      </c>
      <c r="D180" s="42" t="str">
        <f t="shared" ca="1" si="15"/>
        <v/>
      </c>
      <c r="E180" s="32"/>
      <c r="F180" s="43" t="str">
        <f t="shared" si="16"/>
        <v/>
      </c>
      <c r="G180" s="30" t="s">
        <v>63</v>
      </c>
      <c r="H180" s="41"/>
      <c r="I180" s="33" t="str">
        <f>IF(A180="","",IF(H180="","⚠️ Enter Agent Code",IF(IFERROR(VLOOKUP(G180,DB_Agents!$B:$F,4,0),"")=TEXT(H180,"0"),IF(AND(A180&lt;&gt;"",E180&lt;&gt;""),"✅ Saved","Pending"),"🔒 WRONG CODE")))</f>
        <v/>
      </c>
      <c r="J180" s="33" t="str">
        <f t="shared" ca="1" si="17"/>
        <v>—</v>
      </c>
      <c r="K180" s="46"/>
    </row>
    <row r="181" spans="1:11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IF(A181="","",IFERROR(VLOOKUP(A181,DB_Customers!$A:$M,13,0),""))</f>
        <v/>
      </c>
      <c r="D181" s="42" t="str">
        <f t="shared" ca="1" si="15"/>
        <v/>
      </c>
      <c r="E181" s="32"/>
      <c r="F181" s="43" t="str">
        <f t="shared" si="16"/>
        <v/>
      </c>
      <c r="G181" s="30" t="s">
        <v>63</v>
      </c>
      <c r="H181" s="41"/>
      <c r="I181" s="33" t="str">
        <f>IF(A181="","",IF(H181="","⚠️ Enter Agent Code",IF(IFERROR(VLOOKUP(G181,DB_Agents!$B:$F,4,0),"")=TEXT(H181,"0"),IF(AND(A181&lt;&gt;"",E181&lt;&gt;""),"✅ Saved","Pending"),"🔒 WRONG CODE")))</f>
        <v/>
      </c>
      <c r="J181" s="33" t="str">
        <f t="shared" ca="1" si="17"/>
        <v>—</v>
      </c>
      <c r="K181" s="22"/>
    </row>
    <row r="182" spans="1:11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IF(A182="","",IFERROR(VLOOKUP(A182,DB_Customers!$A:$M,13,0),""))</f>
        <v/>
      </c>
      <c r="D182" s="42" t="str">
        <f t="shared" ca="1" si="15"/>
        <v/>
      </c>
      <c r="E182" s="32"/>
      <c r="F182" s="43" t="str">
        <f t="shared" si="16"/>
        <v/>
      </c>
      <c r="G182" s="30" t="s">
        <v>63</v>
      </c>
      <c r="H182" s="41"/>
      <c r="I182" s="33" t="str">
        <f>IF(A182="","",IF(H182="","⚠️ Enter Agent Code",IF(IFERROR(VLOOKUP(G182,DB_Agents!$B:$F,4,0),"")=TEXT(H182,"0"),IF(AND(A182&lt;&gt;"",E182&lt;&gt;""),"✅ Saved","Pending"),"🔒 WRONG CODE")))</f>
        <v/>
      </c>
      <c r="J182" s="33" t="str">
        <f t="shared" ca="1" si="17"/>
        <v>—</v>
      </c>
      <c r="K182" s="46"/>
    </row>
    <row r="183" spans="1:11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IF(A183="","",IFERROR(VLOOKUP(A183,DB_Customers!$A:$M,13,0),""))</f>
        <v/>
      </c>
      <c r="D183" s="42" t="str">
        <f t="shared" ca="1" si="15"/>
        <v/>
      </c>
      <c r="E183" s="32"/>
      <c r="F183" s="43" t="str">
        <f t="shared" si="16"/>
        <v/>
      </c>
      <c r="G183" s="30" t="s">
        <v>63</v>
      </c>
      <c r="H183" s="41"/>
      <c r="I183" s="33" t="str">
        <f>IF(A183="","",IF(H183="","⚠️ Enter Agent Code",IF(IFERROR(VLOOKUP(G183,DB_Agents!$B:$F,4,0),"")=TEXT(H183,"0"),IF(AND(A183&lt;&gt;"",E183&lt;&gt;""),"✅ Saved","Pending"),"🔒 WRONG CODE")))</f>
        <v/>
      </c>
      <c r="J183" s="33" t="str">
        <f t="shared" ca="1" si="17"/>
        <v>—</v>
      </c>
      <c r="K183" s="22"/>
    </row>
    <row r="184" spans="1:11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IF(A184="","",IFERROR(VLOOKUP(A184,DB_Customers!$A:$M,13,0),""))</f>
        <v/>
      </c>
      <c r="D184" s="42" t="str">
        <f t="shared" ca="1" si="15"/>
        <v/>
      </c>
      <c r="E184" s="32"/>
      <c r="F184" s="43" t="str">
        <f t="shared" si="16"/>
        <v/>
      </c>
      <c r="G184" s="30" t="s">
        <v>63</v>
      </c>
      <c r="H184" s="41"/>
      <c r="I184" s="33" t="str">
        <f>IF(A184="","",IF(H184="","⚠️ Enter Agent Code",IF(IFERROR(VLOOKUP(G184,DB_Agents!$B:$F,4,0),"")=TEXT(H184,"0"),IF(AND(A184&lt;&gt;"",E184&lt;&gt;""),"✅ Saved","Pending"),"🔒 WRONG CODE")))</f>
        <v/>
      </c>
      <c r="J184" s="33" t="str">
        <f t="shared" ca="1" si="17"/>
        <v>—</v>
      </c>
      <c r="K184" s="46"/>
    </row>
    <row r="185" spans="1:11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IF(A185="","",IFERROR(VLOOKUP(A185,DB_Customers!$A:$M,13,0),""))</f>
        <v/>
      </c>
      <c r="D185" s="42" t="str">
        <f t="shared" ca="1" si="15"/>
        <v/>
      </c>
      <c r="E185" s="32"/>
      <c r="F185" s="43" t="str">
        <f t="shared" si="16"/>
        <v/>
      </c>
      <c r="G185" s="30" t="s">
        <v>63</v>
      </c>
      <c r="H185" s="41"/>
      <c r="I185" s="33" t="str">
        <f>IF(A185="","",IF(H185="","⚠️ Enter Agent Code",IF(IFERROR(VLOOKUP(G185,DB_Agents!$B:$F,4,0),"")=TEXT(H185,"0"),IF(AND(A185&lt;&gt;"",E185&lt;&gt;""),"✅ Saved","Pending"),"🔒 WRONG CODE")))</f>
        <v/>
      </c>
      <c r="J185" s="33" t="str">
        <f t="shared" ca="1" si="17"/>
        <v>—</v>
      </c>
      <c r="K185" s="22"/>
    </row>
    <row r="186" spans="1:11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IF(A186="","",IFERROR(VLOOKUP(A186,DB_Customers!$A:$M,13,0),""))</f>
        <v/>
      </c>
      <c r="D186" s="42" t="str">
        <f t="shared" ca="1" si="15"/>
        <v/>
      </c>
      <c r="E186" s="32"/>
      <c r="F186" s="43" t="str">
        <f t="shared" si="16"/>
        <v/>
      </c>
      <c r="G186" s="30" t="s">
        <v>63</v>
      </c>
      <c r="H186" s="41"/>
      <c r="I186" s="33" t="str">
        <f>IF(A186="","",IF(H186="","⚠️ Enter Agent Code",IF(IFERROR(VLOOKUP(G186,DB_Agents!$B:$F,4,0),"")=TEXT(H186,"0"),IF(AND(A186&lt;&gt;"",E186&lt;&gt;""),"✅ Saved","Pending"),"🔒 WRONG CODE")))</f>
        <v/>
      </c>
      <c r="J186" s="33" t="str">
        <f t="shared" ca="1" si="17"/>
        <v>—</v>
      </c>
      <c r="K186" s="46"/>
    </row>
    <row r="187" spans="1:11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IF(A187="","",IFERROR(VLOOKUP(A187,DB_Customers!$A:$M,13,0),""))</f>
        <v/>
      </c>
      <c r="D187" s="42" t="str">
        <f t="shared" ca="1" si="15"/>
        <v/>
      </c>
      <c r="E187" s="32"/>
      <c r="F187" s="43" t="str">
        <f t="shared" si="16"/>
        <v/>
      </c>
      <c r="G187" s="30" t="s">
        <v>63</v>
      </c>
      <c r="H187" s="41"/>
      <c r="I187" s="33" t="str">
        <f>IF(A187="","",IF(H187="","⚠️ Enter Agent Code",IF(IFERROR(VLOOKUP(G187,DB_Agents!$B:$F,4,0),"")=TEXT(H187,"0"),IF(AND(A187&lt;&gt;"",E187&lt;&gt;""),"✅ Saved","Pending"),"🔒 WRONG CODE")))</f>
        <v/>
      </c>
      <c r="J187" s="33" t="str">
        <f t="shared" ca="1" si="17"/>
        <v>—</v>
      </c>
      <c r="K187" s="22"/>
    </row>
    <row r="188" spans="1:11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IF(A188="","",IFERROR(VLOOKUP(A188,DB_Customers!$A:$M,13,0),""))</f>
        <v/>
      </c>
      <c r="D188" s="42" t="str">
        <f t="shared" ca="1" si="15"/>
        <v/>
      </c>
      <c r="E188" s="32"/>
      <c r="F188" s="43" t="str">
        <f t="shared" si="16"/>
        <v/>
      </c>
      <c r="G188" s="30" t="s">
        <v>63</v>
      </c>
      <c r="H188" s="41"/>
      <c r="I188" s="33" t="str">
        <f>IF(A188="","",IF(H188="","⚠️ Enter Agent Code",IF(IFERROR(VLOOKUP(G188,DB_Agents!$B:$F,4,0),"")=TEXT(H188,"0"),IF(AND(A188&lt;&gt;"",E188&lt;&gt;""),"✅ Saved","Pending"),"🔒 WRONG CODE")))</f>
        <v/>
      </c>
      <c r="J188" s="33" t="str">
        <f t="shared" ca="1" si="17"/>
        <v>—</v>
      </c>
      <c r="K188" s="46"/>
    </row>
    <row r="189" spans="1:11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IF(A189="","",IFERROR(VLOOKUP(A189,DB_Customers!$A:$M,13,0),""))</f>
        <v/>
      </c>
      <c r="D189" s="42" t="str">
        <f t="shared" ca="1" si="15"/>
        <v/>
      </c>
      <c r="E189" s="32"/>
      <c r="F189" s="43" t="str">
        <f t="shared" si="16"/>
        <v/>
      </c>
      <c r="G189" s="30" t="s">
        <v>63</v>
      </c>
      <c r="H189" s="41"/>
      <c r="I189" s="33" t="str">
        <f>IF(A189="","",IF(H189="","⚠️ Enter Agent Code",IF(IFERROR(VLOOKUP(G189,DB_Agents!$B:$F,4,0),"")=TEXT(H189,"0"),IF(AND(A189&lt;&gt;"",E189&lt;&gt;""),"✅ Saved","Pending"),"🔒 WRONG CODE")))</f>
        <v/>
      </c>
      <c r="J189" s="33" t="str">
        <f t="shared" ca="1" si="17"/>
        <v>—</v>
      </c>
      <c r="K189" s="22"/>
    </row>
    <row r="190" spans="1:11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IF(A190="","",IFERROR(VLOOKUP(A190,DB_Customers!$A:$M,13,0),""))</f>
        <v/>
      </c>
      <c r="D190" s="42" t="str">
        <f t="shared" ca="1" si="15"/>
        <v/>
      </c>
      <c r="E190" s="32"/>
      <c r="F190" s="43" t="str">
        <f t="shared" si="16"/>
        <v/>
      </c>
      <c r="G190" s="30" t="s">
        <v>63</v>
      </c>
      <c r="H190" s="41"/>
      <c r="I190" s="33" t="str">
        <f>IF(A190="","",IF(H190="","⚠️ Enter Agent Code",IF(IFERROR(VLOOKUP(G190,DB_Agents!$B:$F,4,0),"")=TEXT(H190,"0"),IF(AND(A190&lt;&gt;"",E190&lt;&gt;""),"✅ Saved","Pending"),"🔒 WRONG CODE")))</f>
        <v/>
      </c>
      <c r="J190" s="33" t="str">
        <f t="shared" ca="1" si="17"/>
        <v>—</v>
      </c>
      <c r="K190" s="46"/>
    </row>
    <row r="191" spans="1:11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IF(A191="","",IFERROR(VLOOKUP(A191,DB_Customers!$A:$M,13,0),""))</f>
        <v/>
      </c>
      <c r="D191" s="42" t="str">
        <f t="shared" ca="1" si="15"/>
        <v/>
      </c>
      <c r="E191" s="32"/>
      <c r="F191" s="43" t="str">
        <f t="shared" si="16"/>
        <v/>
      </c>
      <c r="G191" s="30" t="s">
        <v>63</v>
      </c>
      <c r="H191" s="41"/>
      <c r="I191" s="33" t="str">
        <f>IF(A191="","",IF(H191="","⚠️ Enter Agent Code",IF(IFERROR(VLOOKUP(G191,DB_Agents!$B:$F,4,0),"")=TEXT(H191,"0"),IF(AND(A191&lt;&gt;"",E191&lt;&gt;""),"✅ Saved","Pending"),"🔒 WRONG CODE")))</f>
        <v/>
      </c>
      <c r="J191" s="33" t="str">
        <f t="shared" ca="1" si="17"/>
        <v>—</v>
      </c>
      <c r="K191" s="22"/>
    </row>
    <row r="192" spans="1:11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IF(A192="","",IFERROR(VLOOKUP(A192,DB_Customers!$A:$M,13,0),""))</f>
        <v/>
      </c>
      <c r="D192" s="42" t="str">
        <f t="shared" ca="1" si="15"/>
        <v/>
      </c>
      <c r="E192" s="32"/>
      <c r="F192" s="43" t="str">
        <f t="shared" si="16"/>
        <v/>
      </c>
      <c r="G192" s="30" t="s">
        <v>63</v>
      </c>
      <c r="H192" s="41"/>
      <c r="I192" s="33" t="str">
        <f>IF(A192="","",IF(H192="","⚠️ Enter Agent Code",IF(IFERROR(VLOOKUP(G192,DB_Agents!$B:$F,4,0),"")=TEXT(H192,"0"),IF(AND(A192&lt;&gt;"",E192&lt;&gt;""),"✅ Saved","Pending"),"🔒 WRONG CODE")))</f>
        <v/>
      </c>
      <c r="J192" s="33" t="str">
        <f t="shared" ca="1" si="17"/>
        <v>—</v>
      </c>
      <c r="K192" s="46"/>
    </row>
    <row r="193" spans="1:11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IF(A193="","",IFERROR(VLOOKUP(A193,DB_Customers!$A:$M,13,0),""))</f>
        <v/>
      </c>
      <c r="D193" s="42" t="str">
        <f t="shared" ca="1" si="15"/>
        <v/>
      </c>
      <c r="E193" s="32"/>
      <c r="F193" s="43" t="str">
        <f t="shared" si="16"/>
        <v/>
      </c>
      <c r="G193" s="30" t="s">
        <v>63</v>
      </c>
      <c r="H193" s="41"/>
      <c r="I193" s="33" t="str">
        <f>IF(A193="","",IF(H193="","⚠️ Enter Agent Code",IF(IFERROR(VLOOKUP(G193,DB_Agents!$B:$F,4,0),"")=TEXT(H193,"0"),IF(AND(A193&lt;&gt;"",E193&lt;&gt;""),"✅ Saved","Pending"),"🔒 WRONG CODE")))</f>
        <v/>
      </c>
      <c r="J193" s="33" t="str">
        <f t="shared" ca="1" si="17"/>
        <v>—</v>
      </c>
      <c r="K193" s="22"/>
    </row>
    <row r="194" spans="1:11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IF(A194="","",IFERROR(VLOOKUP(A194,DB_Customers!$A:$M,13,0),""))</f>
        <v/>
      </c>
      <c r="D194" s="42" t="str">
        <f t="shared" ca="1" si="15"/>
        <v/>
      </c>
      <c r="E194" s="32"/>
      <c r="F194" s="43" t="str">
        <f t="shared" si="16"/>
        <v/>
      </c>
      <c r="G194" s="30" t="s">
        <v>63</v>
      </c>
      <c r="H194" s="41"/>
      <c r="I194" s="33" t="str">
        <f>IF(A194="","",IF(H194="","⚠️ Enter Agent Code",IF(IFERROR(VLOOKUP(G194,DB_Agents!$B:$F,4,0),"")=TEXT(H194,"0"),IF(AND(A194&lt;&gt;"",E194&lt;&gt;""),"✅ Saved","Pending"),"🔒 WRONG CODE")))</f>
        <v/>
      </c>
      <c r="J194" s="33" t="str">
        <f t="shared" ca="1" si="17"/>
        <v>—</v>
      </c>
      <c r="K194" s="46"/>
    </row>
    <row r="195" spans="1:11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IF(A195="","",IFERROR(VLOOKUP(A195,DB_Customers!$A:$M,13,0),""))</f>
        <v/>
      </c>
      <c r="D195" s="42" t="str">
        <f t="shared" ca="1" si="15"/>
        <v/>
      </c>
      <c r="E195" s="32"/>
      <c r="F195" s="43" t="str">
        <f t="shared" si="16"/>
        <v/>
      </c>
      <c r="G195" s="30" t="s">
        <v>63</v>
      </c>
      <c r="H195" s="41"/>
      <c r="I195" s="33" t="str">
        <f>IF(A195="","",IF(H195="","⚠️ Enter Agent Code",IF(IFERROR(VLOOKUP(G195,DB_Agents!$B:$F,4,0),"")=TEXT(H195,"0"),IF(AND(A195&lt;&gt;"",E195&lt;&gt;""),"✅ Saved","Pending"),"🔒 WRONG CODE")))</f>
        <v/>
      </c>
      <c r="J195" s="33" t="str">
        <f t="shared" ca="1" si="17"/>
        <v>—</v>
      </c>
      <c r="K195" s="22"/>
    </row>
    <row r="196" spans="1:11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IF(A196="","",IFERROR(VLOOKUP(A196,DB_Customers!$A:$M,13,0),""))</f>
        <v/>
      </c>
      <c r="D196" s="42" t="str">
        <f t="shared" ca="1" si="15"/>
        <v/>
      </c>
      <c r="E196" s="32"/>
      <c r="F196" s="43" t="str">
        <f t="shared" si="16"/>
        <v/>
      </c>
      <c r="G196" s="30" t="s">
        <v>63</v>
      </c>
      <c r="H196" s="41"/>
      <c r="I196" s="33" t="str">
        <f>IF(A196="","",IF(H196="","⚠️ Enter Agent Code",IF(IFERROR(VLOOKUP(G196,DB_Agents!$B:$F,4,0),"")=TEXT(H196,"0"),IF(AND(A196&lt;&gt;"",E196&lt;&gt;""),"✅ Saved","Pending"),"🔒 WRONG CODE")))</f>
        <v/>
      </c>
      <c r="J196" s="33" t="str">
        <f t="shared" ca="1" si="17"/>
        <v>—</v>
      </c>
      <c r="K196" s="46"/>
    </row>
    <row r="197" spans="1:11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IF(A197="","",IFERROR(VLOOKUP(A197,DB_Customers!$A:$M,13,0),""))</f>
        <v/>
      </c>
      <c r="D197" s="42" t="str">
        <f t="shared" ca="1" si="15"/>
        <v/>
      </c>
      <c r="E197" s="32"/>
      <c r="F197" s="43" t="str">
        <f t="shared" si="16"/>
        <v/>
      </c>
      <c r="G197" s="30" t="s">
        <v>63</v>
      </c>
      <c r="H197" s="41"/>
      <c r="I197" s="33" t="str">
        <f>IF(A197="","",IF(H197="","⚠️ Enter Agent Code",IF(IFERROR(VLOOKUP(G197,DB_Agents!$B:$F,4,0),"")=TEXT(H197,"0"),IF(AND(A197&lt;&gt;"",E197&lt;&gt;""),"✅ Saved","Pending"),"🔒 WRONG CODE")))</f>
        <v/>
      </c>
      <c r="J197" s="33" t="str">
        <f t="shared" ca="1" si="17"/>
        <v>—</v>
      </c>
      <c r="K197" s="22"/>
    </row>
    <row r="198" spans="1:11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IF(A198="","",IFERROR(VLOOKUP(A198,DB_Customers!$A:$M,13,0),""))</f>
        <v/>
      </c>
      <c r="D198" s="42" t="str">
        <f t="shared" ca="1" si="15"/>
        <v/>
      </c>
      <c r="E198" s="32"/>
      <c r="F198" s="43" t="str">
        <f t="shared" si="16"/>
        <v/>
      </c>
      <c r="G198" s="30" t="s">
        <v>63</v>
      </c>
      <c r="H198" s="41"/>
      <c r="I198" s="33" t="str">
        <f>IF(A198="","",IF(H198="","⚠️ Enter Agent Code",IF(IFERROR(VLOOKUP(G198,DB_Agents!$B:$F,4,0),"")=TEXT(H198,"0"),IF(AND(A198&lt;&gt;"",E198&lt;&gt;""),"✅ Saved","Pending"),"🔒 WRONG CODE")))</f>
        <v/>
      </c>
      <c r="J198" s="33" t="str">
        <f t="shared" ca="1" si="17"/>
        <v>—</v>
      </c>
      <c r="K198" s="46"/>
    </row>
    <row r="199" spans="1:11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IF(A199="","",IFERROR(VLOOKUP(A199,DB_Customers!$A:$M,13,0),""))</f>
        <v/>
      </c>
      <c r="D199" s="42" t="str">
        <f t="shared" ca="1" si="15"/>
        <v/>
      </c>
      <c r="E199" s="32"/>
      <c r="F199" s="43" t="str">
        <f t="shared" si="16"/>
        <v/>
      </c>
      <c r="G199" s="30" t="s">
        <v>63</v>
      </c>
      <c r="H199" s="41"/>
      <c r="I199" s="33" t="str">
        <f>IF(A199="","",IF(H199="","⚠️ Enter Agent Code",IF(IFERROR(VLOOKUP(G199,DB_Agents!$B:$F,4,0),"")=TEXT(H199,"0"),IF(AND(A199&lt;&gt;"",E199&lt;&gt;""),"✅ Saved","Pending"),"🔒 WRONG CODE")))</f>
        <v/>
      </c>
      <c r="J199" s="33" t="str">
        <f t="shared" ca="1" si="17"/>
        <v>—</v>
      </c>
      <c r="K199" s="22"/>
    </row>
    <row r="200" spans="1:11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IF(A200="","",IFERROR(VLOOKUP(A200,DB_Customers!$A:$M,13,0),""))</f>
        <v/>
      </c>
      <c r="D200" s="42" t="str">
        <f t="shared" ca="1" si="15"/>
        <v/>
      </c>
      <c r="E200" s="32"/>
      <c r="F200" s="43" t="str">
        <f t="shared" si="16"/>
        <v/>
      </c>
      <c r="G200" s="30" t="s">
        <v>63</v>
      </c>
      <c r="H200" s="41"/>
      <c r="I200" s="33" t="str">
        <f>IF(A200="","",IF(H200="","⚠️ Enter Agent Code",IF(IFERROR(VLOOKUP(G200,DB_Agents!$B:$F,4,0),"")=TEXT(H200,"0"),IF(AND(A200&lt;&gt;"",E200&lt;&gt;""),"✅ Saved","Pending"),"🔒 WRONG CODE")))</f>
        <v/>
      </c>
      <c r="J200" s="33" t="str">
        <f t="shared" ca="1" si="17"/>
        <v>—</v>
      </c>
      <c r="K200" s="46"/>
    </row>
    <row r="201" spans="1:11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IF(A201="","",IFERROR(VLOOKUP(A201,DB_Customers!$A:$M,13,0),""))</f>
        <v/>
      </c>
      <c r="D201" s="42" t="str">
        <f t="shared" ref="D201:D208" ca="1" si="18">IF(A201="","",TODAY())</f>
        <v/>
      </c>
      <c r="E201" s="32"/>
      <c r="F201" s="43" t="str">
        <f t="shared" ref="F201:F232" si="19">IFERROR(IF(OR(A201="",E201=""),"",C201+E201),"")</f>
        <v/>
      </c>
      <c r="G201" s="30" t="s">
        <v>63</v>
      </c>
      <c r="H201" s="41"/>
      <c r="I201" s="33" t="str">
        <f>IF(A201="","",IF(H201="","⚠️ Enter Agent Code",IF(IFERROR(VLOOKUP(G201,DB_Agents!$B:$F,4,0),"")=TEXT(H201,"0"),IF(AND(A201&lt;&gt;"",E201&lt;&gt;""),"✅ Saved","Pending"),"🔒 WRONG CODE")))</f>
        <v/>
      </c>
      <c r="J201" s="33" t="str">
        <f t="shared" ref="J201:J232" ca="1" si="20">IF(I201="✅ Saved",TEXT(TODAY(),"YYYY-MM-DD")&amp;" Auto","—")</f>
        <v>—</v>
      </c>
      <c r="K201" s="22"/>
    </row>
    <row r="202" spans="1:11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IF(A202="","",IFERROR(VLOOKUP(A202,DB_Customers!$A:$M,13,0),""))</f>
        <v/>
      </c>
      <c r="D202" s="42" t="str">
        <f t="shared" ca="1" si="18"/>
        <v/>
      </c>
      <c r="E202" s="32"/>
      <c r="F202" s="43" t="str">
        <f t="shared" si="19"/>
        <v/>
      </c>
      <c r="G202" s="30" t="s">
        <v>63</v>
      </c>
      <c r="H202" s="41"/>
      <c r="I202" s="33" t="str">
        <f>IF(A202="","",IF(H202="","⚠️ Enter Agent Code",IF(IFERROR(VLOOKUP(G202,DB_Agents!$B:$F,4,0),"")=TEXT(H202,"0"),IF(AND(A202&lt;&gt;"",E202&lt;&gt;""),"✅ Saved","Pending"),"🔒 WRONG CODE")))</f>
        <v/>
      </c>
      <c r="J202" s="33" t="str">
        <f t="shared" ca="1" si="20"/>
        <v>—</v>
      </c>
      <c r="K202" s="46"/>
    </row>
    <row r="203" spans="1:11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IF(A203="","",IFERROR(VLOOKUP(A203,DB_Customers!$A:$M,13,0),""))</f>
        <v/>
      </c>
      <c r="D203" s="42" t="str">
        <f t="shared" ca="1" si="18"/>
        <v/>
      </c>
      <c r="E203" s="32"/>
      <c r="F203" s="43" t="str">
        <f t="shared" si="19"/>
        <v/>
      </c>
      <c r="G203" s="30" t="s">
        <v>63</v>
      </c>
      <c r="H203" s="41"/>
      <c r="I203" s="33" t="str">
        <f>IF(A203="","",IF(H203="","⚠️ Enter Agent Code",IF(IFERROR(VLOOKUP(G203,DB_Agents!$B:$F,4,0),"")=TEXT(H203,"0"),IF(AND(A203&lt;&gt;"",E203&lt;&gt;""),"✅ Saved","Pending"),"🔒 WRONG CODE")))</f>
        <v/>
      </c>
      <c r="J203" s="33" t="str">
        <f t="shared" ca="1" si="20"/>
        <v>—</v>
      </c>
      <c r="K203" s="22"/>
    </row>
    <row r="204" spans="1:11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IF(A204="","",IFERROR(VLOOKUP(A204,DB_Customers!$A:$M,13,0),""))</f>
        <v/>
      </c>
      <c r="D204" s="42" t="str">
        <f t="shared" ca="1" si="18"/>
        <v/>
      </c>
      <c r="E204" s="32"/>
      <c r="F204" s="43" t="str">
        <f t="shared" si="19"/>
        <v/>
      </c>
      <c r="G204" s="30" t="s">
        <v>63</v>
      </c>
      <c r="H204" s="41"/>
      <c r="I204" s="33" t="str">
        <f>IF(A204="","",IF(H204="","⚠️ Enter Agent Code",IF(IFERROR(VLOOKUP(G204,DB_Agents!$B:$F,4,0),"")=TEXT(H204,"0"),IF(AND(A204&lt;&gt;"",E204&lt;&gt;""),"✅ Saved","Pending"),"🔒 WRONG CODE")))</f>
        <v/>
      </c>
      <c r="J204" s="33" t="str">
        <f t="shared" ca="1" si="20"/>
        <v>—</v>
      </c>
      <c r="K204" s="46"/>
    </row>
    <row r="205" spans="1:11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IF(A205="","",IFERROR(VLOOKUP(A205,DB_Customers!$A:$M,13,0),""))</f>
        <v/>
      </c>
      <c r="D205" s="42" t="str">
        <f t="shared" ca="1" si="18"/>
        <v/>
      </c>
      <c r="E205" s="32"/>
      <c r="F205" s="43" t="str">
        <f t="shared" si="19"/>
        <v/>
      </c>
      <c r="G205" s="30" t="s">
        <v>63</v>
      </c>
      <c r="H205" s="41"/>
      <c r="I205" s="33" t="str">
        <f>IF(A205="","",IF(H205="","⚠️ Enter Agent Code",IF(IFERROR(VLOOKUP(G205,DB_Agents!$B:$F,4,0),"")=TEXT(H205,"0"),IF(AND(A205&lt;&gt;"",E205&lt;&gt;""),"✅ Saved","Pending"),"🔒 WRONG CODE")))</f>
        <v/>
      </c>
      <c r="J205" s="33" t="str">
        <f t="shared" ca="1" si="20"/>
        <v>—</v>
      </c>
      <c r="K205" s="22"/>
    </row>
    <row r="206" spans="1:11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IF(A206="","",IFERROR(VLOOKUP(A206,DB_Customers!$A:$M,13,0),""))</f>
        <v/>
      </c>
      <c r="D206" s="42" t="str">
        <f t="shared" ca="1" si="18"/>
        <v/>
      </c>
      <c r="E206" s="32"/>
      <c r="F206" s="43" t="str">
        <f t="shared" si="19"/>
        <v/>
      </c>
      <c r="G206" s="30" t="s">
        <v>63</v>
      </c>
      <c r="H206" s="41"/>
      <c r="I206" s="33" t="str">
        <f>IF(A206="","",IF(H206="","⚠️ Enter Agent Code",IF(IFERROR(VLOOKUP(G206,DB_Agents!$B:$F,4,0),"")=TEXT(H206,"0"),IF(AND(A206&lt;&gt;"",E206&lt;&gt;""),"✅ Saved","Pending"),"🔒 WRONG CODE")))</f>
        <v/>
      </c>
      <c r="J206" s="33" t="str">
        <f t="shared" ca="1" si="20"/>
        <v>—</v>
      </c>
      <c r="K206" s="46"/>
    </row>
    <row r="207" spans="1:11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IF(A207="","",IFERROR(VLOOKUP(A207,DB_Customers!$A:$M,13,0),""))</f>
        <v/>
      </c>
      <c r="D207" s="42" t="str">
        <f t="shared" ca="1" si="18"/>
        <v/>
      </c>
      <c r="E207" s="32"/>
      <c r="F207" s="43" t="str">
        <f t="shared" si="19"/>
        <v/>
      </c>
      <c r="G207" s="30" t="s">
        <v>63</v>
      </c>
      <c r="H207" s="41"/>
      <c r="I207" s="33" t="str">
        <f>IF(A207="","",IF(H207="","⚠️ Enter Agent Code",IF(IFERROR(VLOOKUP(G207,DB_Agents!$B:$F,4,0),"")=TEXT(H207,"0"),IF(AND(A207&lt;&gt;"",E207&lt;&gt;""),"✅ Saved","Pending"),"🔒 WRONG CODE")))</f>
        <v/>
      </c>
      <c r="J207" s="33" t="str">
        <f t="shared" ca="1" si="20"/>
        <v>—</v>
      </c>
      <c r="K207" s="22"/>
    </row>
    <row r="208" spans="1:11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IF(A208="","",IFERROR(VLOOKUP(A208,DB_Customers!$A:$M,13,0),""))</f>
        <v/>
      </c>
      <c r="D208" s="42" t="str">
        <f t="shared" ca="1" si="18"/>
        <v/>
      </c>
      <c r="E208" s="32"/>
      <c r="F208" s="43" t="str">
        <f t="shared" si="19"/>
        <v/>
      </c>
      <c r="G208" s="30" t="s">
        <v>63</v>
      </c>
      <c r="H208" s="41"/>
      <c r="I208" s="33" t="str">
        <f>IF(A208="","",IF(H208="","⚠️ Enter Agent Code",IF(IFERROR(VLOOKUP(G208,DB_Agents!$B:$F,4,0),"")=TEXT(H208,"0"),IF(AND(A208&lt;&gt;"",E208&lt;&gt;""),"✅ Saved","Pending"),"🔒 WRONG CODE")))</f>
        <v/>
      </c>
      <c r="J208" s="33" t="str">
        <f t="shared" ca="1" si="20"/>
        <v>—</v>
      </c>
      <c r="K208" s="46"/>
    </row>
  </sheetData>
  <mergeCells count="4">
    <mergeCell ref="A2:K2"/>
    <mergeCell ref="A6:K6"/>
    <mergeCell ref="A1:K1"/>
    <mergeCell ref="A7:K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C55A11"/>
  </sheetPr>
  <dimension ref="A1:L208"/>
  <sheetViews>
    <sheetView showGridLines="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8" customWidth="1"/>
    <col min="3" max="3" width="26" customWidth="1"/>
    <col min="4" max="4" width="14" customWidth="1"/>
    <col min="5" max="5" width="24" customWidth="1"/>
    <col min="6" max="6" width="18" customWidth="1"/>
    <col min="7" max="7" width="22" customWidth="1"/>
    <col min="8" max="8" width="12" customWidth="1"/>
    <col min="9" max="9" width="14" customWidth="1"/>
    <col min="10" max="10" width="24" customWidth="1"/>
    <col min="11" max="11" width="22" customWidth="1"/>
    <col min="12" max="12" width="18" customWidth="1"/>
  </cols>
  <sheetData>
    <row r="1" spans="1:12" ht="32.1" customHeight="1" x14ac:dyDescent="0.25">
      <c r="A1" s="94" t="s">
        <v>219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26.1" customHeight="1" x14ac:dyDescent="0.25">
      <c r="A2" s="97" t="s">
        <v>220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20.100000000000001" customHeight="1" x14ac:dyDescent="0.25">
      <c r="A3" s="47" t="s">
        <v>138</v>
      </c>
      <c r="D3" s="44" t="s">
        <v>139</v>
      </c>
      <c r="G3" s="48" t="s">
        <v>140</v>
      </c>
      <c r="J3" s="47" t="s">
        <v>128</v>
      </c>
    </row>
    <row r="4" spans="1:12" ht="24" customHeight="1" x14ac:dyDescent="0.25">
      <c r="A4" s="49">
        <f ca="1">IFERROR(SUMIFS(DB_Withdrawals!$G:$G,DB_Withdrawals!$I:$I,"Agent 10",DB_Withdrawals!$E:$E,TODAY()),0)</f>
        <v>0</v>
      </c>
      <c r="D4" s="49">
        <f ca="1">IFERROR(COUNTIFS(DB_Withdrawals!$I:$I,"Agent 10",DB_Withdrawals!$J:$J,"✅ Successful",DB_Withdrawals!$E:$E,TODAY()),0)</f>
        <v>0</v>
      </c>
      <c r="G4" s="49">
        <f ca="1">IFERROR(COUNTIFS(DB_Withdrawals!$I:$I,"Agent 10",DB_Withdrawals!$J:$J,"❌ Insufficient Funds",DB_Withdrawals!$E:$E,TODAY()),0)</f>
        <v>0</v>
      </c>
      <c r="J4" s="49" t="str">
        <f ca="1">TEXT(TODAY(),"DD MMM YYYY")</f>
        <v>25 Apr 2026</v>
      </c>
    </row>
    <row r="6" spans="1:12" ht="26.1" customHeight="1" x14ac:dyDescent="0.25">
      <c r="A6" s="90" t="s">
        <v>141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</row>
    <row r="8" spans="1:12" ht="30" customHeight="1" x14ac:dyDescent="0.25">
      <c r="A8" s="19" t="s">
        <v>131</v>
      </c>
      <c r="B8" s="19" t="s">
        <v>69</v>
      </c>
      <c r="C8" s="19" t="s">
        <v>85</v>
      </c>
      <c r="D8" s="19" t="s">
        <v>91</v>
      </c>
      <c r="E8" s="19" t="s">
        <v>142</v>
      </c>
      <c r="F8" s="19" t="s">
        <v>143</v>
      </c>
      <c r="G8" s="19" t="s">
        <v>133</v>
      </c>
      <c r="H8" s="19" t="s">
        <v>45</v>
      </c>
      <c r="I8" s="19" t="s">
        <v>134</v>
      </c>
      <c r="J8" s="19" t="s">
        <v>77</v>
      </c>
      <c r="K8" s="19" t="s">
        <v>135</v>
      </c>
      <c r="L8" s="19" t="s">
        <v>95</v>
      </c>
    </row>
    <row r="9" spans="1:12" ht="20.100000000000001" customHeight="1" x14ac:dyDescent="0.25">
      <c r="A9" s="41"/>
      <c r="B9" s="35" t="str">
        <f>IF(A9="","",IFERROR(VLOOKUP(A9,DB_Customers!$A:$B,2,0),"❌ Account Not Found"))</f>
        <v/>
      </c>
      <c r="C9" s="43" t="str">
        <f>IF(A9="","",IFERROR(VLOOKUP(A9,DB_Customers!$A:$N,14,0),""))</f>
        <v/>
      </c>
      <c r="D9" s="42" t="str">
        <f t="shared" ref="D9:D40" ca="1" si="0">IF(A9="","",TODAY())</f>
        <v/>
      </c>
      <c r="E9" s="32"/>
      <c r="F9" s="31"/>
      <c r="G9" s="43" t="str">
        <f t="shared" ref="G9:G40" si="1">IFERROR(IF(OR(A9="",E9=""),"",C9-E9),"")</f>
        <v/>
      </c>
      <c r="H9" s="30" t="s">
        <v>63</v>
      </c>
      <c r="I9" s="41"/>
      <c r="J9" s="33" t="str">
        <f>IF(AND(A9&lt;&gt;"",E9&lt;&gt;""),IF(I9="","⚠️ Enter Code",IF(IFERROR(VLOOKUP(H9,DB_Agents!$B:$F,4,0),"")=TEXT(I9,"0"),IF(C9&gt;=E9,"✅ Successful","❌ Insufficient Funds"),"🔒 WRONG CODE")),"Pending")</f>
        <v>Pending</v>
      </c>
      <c r="K9" s="33" t="str">
        <f t="shared" ref="K9:K40" ca="1" si="2">IF(J9="✅ Successful",TEXT(TODAY(),"YYYY-MM-DD")&amp;" Auto","—")</f>
        <v>—</v>
      </c>
      <c r="L9" s="22"/>
    </row>
    <row r="10" spans="1:12" ht="20.100000000000001" customHeight="1" x14ac:dyDescent="0.25">
      <c r="A10" s="41"/>
      <c r="B10" s="35" t="str">
        <f>IF(A10="","",IFERROR(VLOOKUP(A10,DB_Customers!$A:$B,2,0),"❌ Account Not Found"))</f>
        <v/>
      </c>
      <c r="C10" s="43" t="str">
        <f>IF(A10="","",IFERROR(VLOOKUP(A10,DB_Customers!$A:$N,14,0),""))</f>
        <v/>
      </c>
      <c r="D10" s="42" t="str">
        <f t="shared" ca="1" si="0"/>
        <v/>
      </c>
      <c r="E10" s="32"/>
      <c r="F10" s="31"/>
      <c r="G10" s="43" t="str">
        <f t="shared" si="1"/>
        <v/>
      </c>
      <c r="H10" s="30" t="s">
        <v>63</v>
      </c>
      <c r="I10" s="41"/>
      <c r="J10" s="33" t="str">
        <f>IF(AND(A10&lt;&gt;"",E10&lt;&gt;""),IF(I10="","⚠️ Enter Code",IF(IFERROR(VLOOKUP(H10,DB_Agents!$B:$F,4,0),"")=TEXT(I10,"0"),IF(C10&gt;=E10,"✅ Successful","❌ Insufficient Funds"),"🔒 WRONG CODE")),"Pending")</f>
        <v>Pending</v>
      </c>
      <c r="K10" s="33" t="str">
        <f t="shared" ca="1" si="2"/>
        <v>—</v>
      </c>
      <c r="L10" s="50"/>
    </row>
    <row r="11" spans="1:12" ht="20.100000000000001" customHeight="1" x14ac:dyDescent="0.25">
      <c r="A11" s="41"/>
      <c r="B11" s="35" t="str">
        <f>IF(A11="","",IFERROR(VLOOKUP(A11,DB_Customers!$A:$B,2,0),"❌ Account Not Found"))</f>
        <v/>
      </c>
      <c r="C11" s="43" t="str">
        <f>IF(A11="","",IFERROR(VLOOKUP(A11,DB_Customers!$A:$N,14,0),""))</f>
        <v/>
      </c>
      <c r="D11" s="42" t="str">
        <f t="shared" ca="1" si="0"/>
        <v/>
      </c>
      <c r="E11" s="32"/>
      <c r="F11" s="31"/>
      <c r="G11" s="43" t="str">
        <f t="shared" si="1"/>
        <v/>
      </c>
      <c r="H11" s="30" t="s">
        <v>63</v>
      </c>
      <c r="I11" s="41"/>
      <c r="J11" s="33" t="str">
        <f>IF(AND(A11&lt;&gt;"",E11&lt;&gt;""),IF(I11="","⚠️ Enter Code",IF(IFERROR(VLOOKUP(H11,DB_Agents!$B:$F,4,0),"")=TEXT(I11,"0"),IF(C11&gt;=E11,"✅ Successful","❌ Insufficient Funds"),"🔒 WRONG CODE")),"Pending")</f>
        <v>Pending</v>
      </c>
      <c r="K11" s="33" t="str">
        <f t="shared" ca="1" si="2"/>
        <v>—</v>
      </c>
      <c r="L11" s="22"/>
    </row>
    <row r="12" spans="1:12" ht="20.100000000000001" customHeight="1" x14ac:dyDescent="0.25">
      <c r="A12" s="41"/>
      <c r="B12" s="35" t="str">
        <f>IF(A12="","",IFERROR(VLOOKUP(A12,DB_Customers!$A:$B,2,0),"❌ Account Not Found"))</f>
        <v/>
      </c>
      <c r="C12" s="43" t="str">
        <f>IF(A12="","",IFERROR(VLOOKUP(A12,DB_Customers!$A:$N,14,0),""))</f>
        <v/>
      </c>
      <c r="D12" s="42" t="str">
        <f t="shared" ca="1" si="0"/>
        <v/>
      </c>
      <c r="E12" s="32"/>
      <c r="F12" s="31"/>
      <c r="G12" s="43" t="str">
        <f t="shared" si="1"/>
        <v/>
      </c>
      <c r="H12" s="30" t="s">
        <v>63</v>
      </c>
      <c r="I12" s="41"/>
      <c r="J12" s="33" t="str">
        <f>IF(AND(A12&lt;&gt;"",E12&lt;&gt;""),IF(I12="","⚠️ Enter Code",IF(IFERROR(VLOOKUP(H12,DB_Agents!$B:$F,4,0),"")=TEXT(I12,"0"),IF(C12&gt;=E12,"✅ Successful","❌ Insufficient Funds"),"🔒 WRONG CODE")),"Pending")</f>
        <v>Pending</v>
      </c>
      <c r="K12" s="33" t="str">
        <f t="shared" ca="1" si="2"/>
        <v>—</v>
      </c>
      <c r="L12" s="50"/>
    </row>
    <row r="13" spans="1:12" ht="20.100000000000001" customHeight="1" x14ac:dyDescent="0.25">
      <c r="A13" s="41"/>
      <c r="B13" s="35" t="str">
        <f>IF(A13="","",IFERROR(VLOOKUP(A13,DB_Customers!$A:$B,2,0),"❌ Account Not Found"))</f>
        <v/>
      </c>
      <c r="C13" s="43" t="str">
        <f>IF(A13="","",IFERROR(VLOOKUP(A13,DB_Customers!$A:$N,14,0),""))</f>
        <v/>
      </c>
      <c r="D13" s="42" t="str">
        <f t="shared" ca="1" si="0"/>
        <v/>
      </c>
      <c r="E13" s="32"/>
      <c r="F13" s="31"/>
      <c r="G13" s="43" t="str">
        <f t="shared" si="1"/>
        <v/>
      </c>
      <c r="H13" s="30" t="s">
        <v>63</v>
      </c>
      <c r="I13" s="41"/>
      <c r="J13" s="33" t="str">
        <f>IF(AND(A13&lt;&gt;"",E13&lt;&gt;""),IF(I13="","⚠️ Enter Code",IF(IFERROR(VLOOKUP(H13,DB_Agents!$B:$F,4,0),"")=TEXT(I13,"0"),IF(C13&gt;=E13,"✅ Successful","❌ Insufficient Funds"),"🔒 WRONG CODE")),"Pending")</f>
        <v>Pending</v>
      </c>
      <c r="K13" s="33" t="str">
        <f t="shared" ca="1" si="2"/>
        <v>—</v>
      </c>
      <c r="L13" s="22"/>
    </row>
    <row r="14" spans="1:12" ht="20.100000000000001" customHeight="1" x14ac:dyDescent="0.25">
      <c r="A14" s="41"/>
      <c r="B14" s="35" t="str">
        <f>IF(A14="","",IFERROR(VLOOKUP(A14,DB_Customers!$A:$B,2,0),"❌ Account Not Found"))</f>
        <v/>
      </c>
      <c r="C14" s="43" t="str">
        <f>IF(A14="","",IFERROR(VLOOKUP(A14,DB_Customers!$A:$N,14,0),""))</f>
        <v/>
      </c>
      <c r="D14" s="42" t="str">
        <f t="shared" ca="1" si="0"/>
        <v/>
      </c>
      <c r="E14" s="32"/>
      <c r="F14" s="31"/>
      <c r="G14" s="43" t="str">
        <f t="shared" si="1"/>
        <v/>
      </c>
      <c r="H14" s="30" t="s">
        <v>63</v>
      </c>
      <c r="I14" s="41"/>
      <c r="J14" s="33" t="str">
        <f>IF(AND(A14&lt;&gt;"",E14&lt;&gt;""),IF(I14="","⚠️ Enter Code",IF(IFERROR(VLOOKUP(H14,DB_Agents!$B:$F,4,0),"")=TEXT(I14,"0"),IF(C14&gt;=E14,"✅ Successful","❌ Insufficient Funds"),"🔒 WRONG CODE")),"Pending")</f>
        <v>Pending</v>
      </c>
      <c r="K14" s="33" t="str">
        <f t="shared" ca="1" si="2"/>
        <v>—</v>
      </c>
      <c r="L14" s="50"/>
    </row>
    <row r="15" spans="1:12" ht="20.100000000000001" customHeight="1" x14ac:dyDescent="0.25">
      <c r="A15" s="41"/>
      <c r="B15" s="35" t="str">
        <f>IF(A15="","",IFERROR(VLOOKUP(A15,DB_Customers!$A:$B,2,0),"❌ Account Not Found"))</f>
        <v/>
      </c>
      <c r="C15" s="43" t="str">
        <f>IF(A15="","",IFERROR(VLOOKUP(A15,DB_Customers!$A:$N,14,0),""))</f>
        <v/>
      </c>
      <c r="D15" s="42" t="str">
        <f t="shared" ca="1" si="0"/>
        <v/>
      </c>
      <c r="E15" s="32"/>
      <c r="F15" s="31"/>
      <c r="G15" s="43" t="str">
        <f t="shared" si="1"/>
        <v/>
      </c>
      <c r="H15" s="30" t="s">
        <v>63</v>
      </c>
      <c r="I15" s="41"/>
      <c r="J15" s="33" t="str">
        <f>IF(AND(A15&lt;&gt;"",E15&lt;&gt;""),IF(I15="","⚠️ Enter Code",IF(IFERROR(VLOOKUP(H15,DB_Agents!$B:$F,4,0),"")=TEXT(I15,"0"),IF(C15&gt;=E15,"✅ Successful","❌ Insufficient Funds"),"🔒 WRONG CODE")),"Pending")</f>
        <v>Pending</v>
      </c>
      <c r="K15" s="33" t="str">
        <f t="shared" ca="1" si="2"/>
        <v>—</v>
      </c>
      <c r="L15" s="22"/>
    </row>
    <row r="16" spans="1:12" ht="20.100000000000001" customHeight="1" x14ac:dyDescent="0.25">
      <c r="A16" s="41"/>
      <c r="B16" s="35" t="str">
        <f>IF(A16="","",IFERROR(VLOOKUP(A16,DB_Customers!$A:$B,2,0),"❌ Account Not Found"))</f>
        <v/>
      </c>
      <c r="C16" s="43" t="str">
        <f>IF(A16="","",IFERROR(VLOOKUP(A16,DB_Customers!$A:$N,14,0),""))</f>
        <v/>
      </c>
      <c r="D16" s="42" t="str">
        <f t="shared" ca="1" si="0"/>
        <v/>
      </c>
      <c r="E16" s="32"/>
      <c r="F16" s="31"/>
      <c r="G16" s="43" t="str">
        <f t="shared" si="1"/>
        <v/>
      </c>
      <c r="H16" s="30" t="s">
        <v>63</v>
      </c>
      <c r="I16" s="41"/>
      <c r="J16" s="33" t="str">
        <f>IF(AND(A16&lt;&gt;"",E16&lt;&gt;""),IF(I16="","⚠️ Enter Code",IF(IFERROR(VLOOKUP(H16,DB_Agents!$B:$F,4,0),"")=TEXT(I16,"0"),IF(C16&gt;=E16,"✅ Successful","❌ Insufficient Funds"),"🔒 WRONG CODE")),"Pending")</f>
        <v>Pending</v>
      </c>
      <c r="K16" s="33" t="str">
        <f t="shared" ca="1" si="2"/>
        <v>—</v>
      </c>
      <c r="L16" s="50"/>
    </row>
    <row r="17" spans="1:12" ht="20.100000000000001" customHeight="1" x14ac:dyDescent="0.25">
      <c r="A17" s="41"/>
      <c r="B17" s="35" t="str">
        <f>IF(A17="","",IFERROR(VLOOKUP(A17,DB_Customers!$A:$B,2,0),"❌ Account Not Found"))</f>
        <v/>
      </c>
      <c r="C17" s="43" t="str">
        <f>IF(A17="","",IFERROR(VLOOKUP(A17,DB_Customers!$A:$N,14,0),""))</f>
        <v/>
      </c>
      <c r="D17" s="42" t="str">
        <f t="shared" ca="1" si="0"/>
        <v/>
      </c>
      <c r="E17" s="32"/>
      <c r="F17" s="31"/>
      <c r="G17" s="43" t="str">
        <f t="shared" si="1"/>
        <v/>
      </c>
      <c r="H17" s="30" t="s">
        <v>63</v>
      </c>
      <c r="I17" s="41"/>
      <c r="J17" s="33" t="str">
        <f>IF(AND(A17&lt;&gt;"",E17&lt;&gt;""),IF(I17="","⚠️ Enter Code",IF(IFERROR(VLOOKUP(H17,DB_Agents!$B:$F,4,0),"")=TEXT(I17,"0"),IF(C17&gt;=E17,"✅ Successful","❌ Insufficient Funds"),"🔒 WRONG CODE")),"Pending")</f>
        <v>Pending</v>
      </c>
      <c r="K17" s="33" t="str">
        <f t="shared" ca="1" si="2"/>
        <v>—</v>
      </c>
      <c r="L17" s="22"/>
    </row>
    <row r="18" spans="1:12" ht="20.100000000000001" customHeight="1" x14ac:dyDescent="0.25">
      <c r="A18" s="41"/>
      <c r="B18" s="35" t="str">
        <f>IF(A18="","",IFERROR(VLOOKUP(A18,DB_Customers!$A:$B,2,0),"❌ Account Not Found"))</f>
        <v/>
      </c>
      <c r="C18" s="43" t="str">
        <f>IF(A18="","",IFERROR(VLOOKUP(A18,DB_Customers!$A:$N,14,0),""))</f>
        <v/>
      </c>
      <c r="D18" s="42" t="str">
        <f t="shared" ca="1" si="0"/>
        <v/>
      </c>
      <c r="E18" s="32"/>
      <c r="F18" s="31"/>
      <c r="G18" s="43" t="str">
        <f t="shared" si="1"/>
        <v/>
      </c>
      <c r="H18" s="30" t="s">
        <v>63</v>
      </c>
      <c r="I18" s="41"/>
      <c r="J18" s="33" t="str">
        <f>IF(AND(A18&lt;&gt;"",E18&lt;&gt;""),IF(I18="","⚠️ Enter Code",IF(IFERROR(VLOOKUP(H18,DB_Agents!$B:$F,4,0),"")=TEXT(I18,"0"),IF(C18&gt;=E18,"✅ Successful","❌ Insufficient Funds"),"🔒 WRONG CODE")),"Pending")</f>
        <v>Pending</v>
      </c>
      <c r="K18" s="33" t="str">
        <f t="shared" ca="1" si="2"/>
        <v>—</v>
      </c>
      <c r="L18" s="50"/>
    </row>
    <row r="19" spans="1:12" ht="20.100000000000001" customHeight="1" x14ac:dyDescent="0.25">
      <c r="A19" s="41"/>
      <c r="B19" s="35" t="str">
        <f>IF(A19="","",IFERROR(VLOOKUP(A19,DB_Customers!$A:$B,2,0),"❌ Account Not Found"))</f>
        <v/>
      </c>
      <c r="C19" s="43" t="str">
        <f>IF(A19="","",IFERROR(VLOOKUP(A19,DB_Customers!$A:$N,14,0),""))</f>
        <v/>
      </c>
      <c r="D19" s="42" t="str">
        <f t="shared" ca="1" si="0"/>
        <v/>
      </c>
      <c r="E19" s="32"/>
      <c r="F19" s="31"/>
      <c r="G19" s="43" t="str">
        <f t="shared" si="1"/>
        <v/>
      </c>
      <c r="H19" s="30" t="s">
        <v>63</v>
      </c>
      <c r="I19" s="41"/>
      <c r="J19" s="33" t="str">
        <f>IF(AND(A19&lt;&gt;"",E19&lt;&gt;""),IF(I19="","⚠️ Enter Code",IF(IFERROR(VLOOKUP(H19,DB_Agents!$B:$F,4,0),"")=TEXT(I19,"0"),IF(C19&gt;=E19,"✅ Successful","❌ Insufficient Funds"),"🔒 WRONG CODE")),"Pending")</f>
        <v>Pending</v>
      </c>
      <c r="K19" s="33" t="str">
        <f t="shared" ca="1" si="2"/>
        <v>—</v>
      </c>
      <c r="L19" s="22"/>
    </row>
    <row r="20" spans="1:12" ht="20.100000000000001" customHeight="1" x14ac:dyDescent="0.25">
      <c r="A20" s="41"/>
      <c r="B20" s="35" t="str">
        <f>IF(A20="","",IFERROR(VLOOKUP(A20,DB_Customers!$A:$B,2,0),"❌ Account Not Found"))</f>
        <v/>
      </c>
      <c r="C20" s="43" t="str">
        <f>IF(A20="","",IFERROR(VLOOKUP(A20,DB_Customers!$A:$N,14,0),""))</f>
        <v/>
      </c>
      <c r="D20" s="42" t="str">
        <f t="shared" ca="1" si="0"/>
        <v/>
      </c>
      <c r="E20" s="32"/>
      <c r="F20" s="31"/>
      <c r="G20" s="43" t="str">
        <f t="shared" si="1"/>
        <v/>
      </c>
      <c r="H20" s="30" t="s">
        <v>63</v>
      </c>
      <c r="I20" s="41"/>
      <c r="J20" s="33" t="str">
        <f>IF(AND(A20&lt;&gt;"",E20&lt;&gt;""),IF(I20="","⚠️ Enter Code",IF(IFERROR(VLOOKUP(H20,DB_Agents!$B:$F,4,0),"")=TEXT(I20,"0"),IF(C20&gt;=E20,"✅ Successful","❌ Insufficient Funds"),"🔒 WRONG CODE")),"Pending")</f>
        <v>Pending</v>
      </c>
      <c r="K20" s="33" t="str">
        <f t="shared" ca="1" si="2"/>
        <v>—</v>
      </c>
      <c r="L20" s="50"/>
    </row>
    <row r="21" spans="1:12" ht="20.100000000000001" customHeight="1" x14ac:dyDescent="0.25">
      <c r="A21" s="41"/>
      <c r="B21" s="35" t="str">
        <f>IF(A21="","",IFERROR(VLOOKUP(A21,DB_Customers!$A:$B,2,0),"❌ Account Not Found"))</f>
        <v/>
      </c>
      <c r="C21" s="43" t="str">
        <f>IF(A21="","",IFERROR(VLOOKUP(A21,DB_Customers!$A:$N,14,0),""))</f>
        <v/>
      </c>
      <c r="D21" s="42" t="str">
        <f t="shared" ca="1" si="0"/>
        <v/>
      </c>
      <c r="E21" s="32"/>
      <c r="F21" s="31"/>
      <c r="G21" s="43" t="str">
        <f t="shared" si="1"/>
        <v/>
      </c>
      <c r="H21" s="30" t="s">
        <v>63</v>
      </c>
      <c r="I21" s="41"/>
      <c r="J21" s="33" t="str">
        <f>IF(AND(A21&lt;&gt;"",E21&lt;&gt;""),IF(I21="","⚠️ Enter Code",IF(IFERROR(VLOOKUP(H21,DB_Agents!$B:$F,4,0),"")=TEXT(I21,"0"),IF(C21&gt;=E21,"✅ Successful","❌ Insufficient Funds"),"🔒 WRONG CODE")),"Pending")</f>
        <v>Pending</v>
      </c>
      <c r="K21" s="33" t="str">
        <f t="shared" ca="1" si="2"/>
        <v>—</v>
      </c>
      <c r="L21" s="22"/>
    </row>
    <row r="22" spans="1:12" ht="20.100000000000001" customHeight="1" x14ac:dyDescent="0.25">
      <c r="A22" s="41"/>
      <c r="B22" s="35" t="str">
        <f>IF(A22="","",IFERROR(VLOOKUP(A22,DB_Customers!$A:$B,2,0),"❌ Account Not Found"))</f>
        <v/>
      </c>
      <c r="C22" s="43" t="str">
        <f>IF(A22="","",IFERROR(VLOOKUP(A22,DB_Customers!$A:$N,14,0),""))</f>
        <v/>
      </c>
      <c r="D22" s="42" t="str">
        <f t="shared" ca="1" si="0"/>
        <v/>
      </c>
      <c r="E22" s="32"/>
      <c r="F22" s="31"/>
      <c r="G22" s="43" t="str">
        <f t="shared" si="1"/>
        <v/>
      </c>
      <c r="H22" s="30" t="s">
        <v>63</v>
      </c>
      <c r="I22" s="41"/>
      <c r="J22" s="33" t="str">
        <f>IF(AND(A22&lt;&gt;"",E22&lt;&gt;""),IF(I22="","⚠️ Enter Code",IF(IFERROR(VLOOKUP(H22,DB_Agents!$B:$F,4,0),"")=TEXT(I22,"0"),IF(C22&gt;=E22,"✅ Successful","❌ Insufficient Funds"),"🔒 WRONG CODE")),"Pending")</f>
        <v>Pending</v>
      </c>
      <c r="K22" s="33" t="str">
        <f t="shared" ca="1" si="2"/>
        <v>—</v>
      </c>
      <c r="L22" s="50"/>
    </row>
    <row r="23" spans="1:12" ht="20.100000000000001" customHeight="1" x14ac:dyDescent="0.25">
      <c r="A23" s="41"/>
      <c r="B23" s="35" t="str">
        <f>IF(A23="","",IFERROR(VLOOKUP(A23,DB_Customers!$A:$B,2,0),"❌ Account Not Found"))</f>
        <v/>
      </c>
      <c r="C23" s="43" t="str">
        <f>IF(A23="","",IFERROR(VLOOKUP(A23,DB_Customers!$A:$N,14,0),""))</f>
        <v/>
      </c>
      <c r="D23" s="42" t="str">
        <f t="shared" ca="1" si="0"/>
        <v/>
      </c>
      <c r="E23" s="32"/>
      <c r="F23" s="31"/>
      <c r="G23" s="43" t="str">
        <f t="shared" si="1"/>
        <v/>
      </c>
      <c r="H23" s="30" t="s">
        <v>63</v>
      </c>
      <c r="I23" s="41"/>
      <c r="J23" s="33" t="str">
        <f>IF(AND(A23&lt;&gt;"",E23&lt;&gt;""),IF(I23="","⚠️ Enter Code",IF(IFERROR(VLOOKUP(H23,DB_Agents!$B:$F,4,0),"")=TEXT(I23,"0"),IF(C23&gt;=E23,"✅ Successful","❌ Insufficient Funds"),"🔒 WRONG CODE")),"Pending")</f>
        <v>Pending</v>
      </c>
      <c r="K23" s="33" t="str">
        <f t="shared" ca="1" si="2"/>
        <v>—</v>
      </c>
      <c r="L23" s="22"/>
    </row>
    <row r="24" spans="1:12" ht="20.100000000000001" customHeight="1" x14ac:dyDescent="0.25">
      <c r="A24" s="41"/>
      <c r="B24" s="35" t="str">
        <f>IF(A24="","",IFERROR(VLOOKUP(A24,DB_Customers!$A:$B,2,0),"❌ Account Not Found"))</f>
        <v/>
      </c>
      <c r="C24" s="43" t="str">
        <f>IF(A24="","",IFERROR(VLOOKUP(A24,DB_Customers!$A:$N,14,0),""))</f>
        <v/>
      </c>
      <c r="D24" s="42" t="str">
        <f t="shared" ca="1" si="0"/>
        <v/>
      </c>
      <c r="E24" s="32"/>
      <c r="F24" s="31"/>
      <c r="G24" s="43" t="str">
        <f t="shared" si="1"/>
        <v/>
      </c>
      <c r="H24" s="30" t="s">
        <v>63</v>
      </c>
      <c r="I24" s="41"/>
      <c r="J24" s="33" t="str">
        <f>IF(AND(A24&lt;&gt;"",E24&lt;&gt;""),IF(I24="","⚠️ Enter Code",IF(IFERROR(VLOOKUP(H24,DB_Agents!$B:$F,4,0),"")=TEXT(I24,"0"),IF(C24&gt;=E24,"✅ Successful","❌ Insufficient Funds"),"🔒 WRONG CODE")),"Pending")</f>
        <v>Pending</v>
      </c>
      <c r="K24" s="33" t="str">
        <f t="shared" ca="1" si="2"/>
        <v>—</v>
      </c>
      <c r="L24" s="50"/>
    </row>
    <row r="25" spans="1:12" ht="20.100000000000001" customHeight="1" x14ac:dyDescent="0.25">
      <c r="A25" s="41"/>
      <c r="B25" s="35" t="str">
        <f>IF(A25="","",IFERROR(VLOOKUP(A25,DB_Customers!$A:$B,2,0),"❌ Account Not Found"))</f>
        <v/>
      </c>
      <c r="C25" s="43" t="str">
        <f>IF(A25="","",IFERROR(VLOOKUP(A25,DB_Customers!$A:$N,14,0),""))</f>
        <v/>
      </c>
      <c r="D25" s="42" t="str">
        <f t="shared" ca="1" si="0"/>
        <v/>
      </c>
      <c r="E25" s="32"/>
      <c r="F25" s="31"/>
      <c r="G25" s="43" t="str">
        <f t="shared" si="1"/>
        <v/>
      </c>
      <c r="H25" s="30" t="s">
        <v>63</v>
      </c>
      <c r="I25" s="41"/>
      <c r="J25" s="33" t="str">
        <f>IF(AND(A25&lt;&gt;"",E25&lt;&gt;""),IF(I25="","⚠️ Enter Code",IF(IFERROR(VLOOKUP(H25,DB_Agents!$B:$F,4,0),"")=TEXT(I25,"0"),IF(C25&gt;=E25,"✅ Successful","❌ Insufficient Funds"),"🔒 WRONG CODE")),"Pending")</f>
        <v>Pending</v>
      </c>
      <c r="K25" s="33" t="str">
        <f t="shared" ca="1" si="2"/>
        <v>—</v>
      </c>
      <c r="L25" s="22"/>
    </row>
    <row r="26" spans="1:12" ht="20.100000000000001" customHeight="1" x14ac:dyDescent="0.25">
      <c r="A26" s="41"/>
      <c r="B26" s="35" t="str">
        <f>IF(A26="","",IFERROR(VLOOKUP(A26,DB_Customers!$A:$B,2,0),"❌ Account Not Found"))</f>
        <v/>
      </c>
      <c r="C26" s="43" t="str">
        <f>IF(A26="","",IFERROR(VLOOKUP(A26,DB_Customers!$A:$N,14,0),""))</f>
        <v/>
      </c>
      <c r="D26" s="42" t="str">
        <f t="shared" ca="1" si="0"/>
        <v/>
      </c>
      <c r="E26" s="32"/>
      <c r="F26" s="31"/>
      <c r="G26" s="43" t="str">
        <f t="shared" si="1"/>
        <v/>
      </c>
      <c r="H26" s="30" t="s">
        <v>63</v>
      </c>
      <c r="I26" s="41"/>
      <c r="J26" s="33" t="str">
        <f>IF(AND(A26&lt;&gt;"",E26&lt;&gt;""),IF(I26="","⚠️ Enter Code",IF(IFERROR(VLOOKUP(H26,DB_Agents!$B:$F,4,0),"")=TEXT(I26,"0"),IF(C26&gt;=E26,"✅ Successful","❌ Insufficient Funds"),"🔒 WRONG CODE")),"Pending")</f>
        <v>Pending</v>
      </c>
      <c r="K26" s="33" t="str">
        <f t="shared" ca="1" si="2"/>
        <v>—</v>
      </c>
      <c r="L26" s="50"/>
    </row>
    <row r="27" spans="1:12" ht="20.100000000000001" customHeight="1" x14ac:dyDescent="0.25">
      <c r="A27" s="41"/>
      <c r="B27" s="35" t="str">
        <f>IF(A27="","",IFERROR(VLOOKUP(A27,DB_Customers!$A:$B,2,0),"❌ Account Not Found"))</f>
        <v/>
      </c>
      <c r="C27" s="43" t="str">
        <f>IF(A27="","",IFERROR(VLOOKUP(A27,DB_Customers!$A:$N,14,0),""))</f>
        <v/>
      </c>
      <c r="D27" s="42" t="str">
        <f t="shared" ca="1" si="0"/>
        <v/>
      </c>
      <c r="E27" s="32"/>
      <c r="F27" s="31"/>
      <c r="G27" s="43" t="str">
        <f t="shared" si="1"/>
        <v/>
      </c>
      <c r="H27" s="30" t="s">
        <v>63</v>
      </c>
      <c r="I27" s="41"/>
      <c r="J27" s="33" t="str">
        <f>IF(AND(A27&lt;&gt;"",E27&lt;&gt;""),IF(I27="","⚠️ Enter Code",IF(IFERROR(VLOOKUP(H27,DB_Agents!$B:$F,4,0),"")=TEXT(I27,"0"),IF(C27&gt;=E27,"✅ Successful","❌ Insufficient Funds"),"🔒 WRONG CODE")),"Pending")</f>
        <v>Pending</v>
      </c>
      <c r="K27" s="33" t="str">
        <f t="shared" ca="1" si="2"/>
        <v>—</v>
      </c>
      <c r="L27" s="22"/>
    </row>
    <row r="28" spans="1:12" ht="20.100000000000001" customHeight="1" x14ac:dyDescent="0.25">
      <c r="A28" s="41"/>
      <c r="B28" s="35" t="str">
        <f>IF(A28="","",IFERROR(VLOOKUP(A28,DB_Customers!$A:$B,2,0),"❌ Account Not Found"))</f>
        <v/>
      </c>
      <c r="C28" s="43" t="str">
        <f>IF(A28="","",IFERROR(VLOOKUP(A28,DB_Customers!$A:$N,14,0),""))</f>
        <v/>
      </c>
      <c r="D28" s="42" t="str">
        <f t="shared" ca="1" si="0"/>
        <v/>
      </c>
      <c r="E28" s="32"/>
      <c r="F28" s="31"/>
      <c r="G28" s="43" t="str">
        <f t="shared" si="1"/>
        <v/>
      </c>
      <c r="H28" s="30" t="s">
        <v>63</v>
      </c>
      <c r="I28" s="41"/>
      <c r="J28" s="33" t="str">
        <f>IF(AND(A28&lt;&gt;"",E28&lt;&gt;""),IF(I28="","⚠️ Enter Code",IF(IFERROR(VLOOKUP(H28,DB_Agents!$B:$F,4,0),"")=TEXT(I28,"0"),IF(C28&gt;=E28,"✅ Successful","❌ Insufficient Funds"),"🔒 WRONG CODE")),"Pending")</f>
        <v>Pending</v>
      </c>
      <c r="K28" s="33" t="str">
        <f t="shared" ca="1" si="2"/>
        <v>—</v>
      </c>
      <c r="L28" s="50"/>
    </row>
    <row r="29" spans="1:12" ht="20.100000000000001" customHeight="1" x14ac:dyDescent="0.25">
      <c r="A29" s="41"/>
      <c r="B29" s="35" t="str">
        <f>IF(A29="","",IFERROR(VLOOKUP(A29,DB_Customers!$A:$B,2,0),"❌ Account Not Found"))</f>
        <v/>
      </c>
      <c r="C29" s="43" t="str">
        <f>IF(A29="","",IFERROR(VLOOKUP(A29,DB_Customers!$A:$N,14,0),""))</f>
        <v/>
      </c>
      <c r="D29" s="42" t="str">
        <f t="shared" ca="1" si="0"/>
        <v/>
      </c>
      <c r="E29" s="32"/>
      <c r="F29" s="31"/>
      <c r="G29" s="43" t="str">
        <f t="shared" si="1"/>
        <v/>
      </c>
      <c r="H29" s="30" t="s">
        <v>63</v>
      </c>
      <c r="I29" s="41"/>
      <c r="J29" s="33" t="str">
        <f>IF(AND(A29&lt;&gt;"",E29&lt;&gt;""),IF(I29="","⚠️ Enter Code",IF(IFERROR(VLOOKUP(H29,DB_Agents!$B:$F,4,0),"")=TEXT(I29,"0"),IF(C29&gt;=E29,"✅ Successful","❌ Insufficient Funds"),"🔒 WRONG CODE")),"Pending")</f>
        <v>Pending</v>
      </c>
      <c r="K29" s="33" t="str">
        <f t="shared" ca="1" si="2"/>
        <v>—</v>
      </c>
      <c r="L29" s="22"/>
    </row>
    <row r="30" spans="1:12" ht="20.100000000000001" customHeight="1" x14ac:dyDescent="0.25">
      <c r="A30" s="41"/>
      <c r="B30" s="35" t="str">
        <f>IF(A30="","",IFERROR(VLOOKUP(A30,DB_Customers!$A:$B,2,0),"❌ Account Not Found"))</f>
        <v/>
      </c>
      <c r="C30" s="43" t="str">
        <f>IF(A30="","",IFERROR(VLOOKUP(A30,DB_Customers!$A:$N,14,0),""))</f>
        <v/>
      </c>
      <c r="D30" s="42" t="str">
        <f t="shared" ca="1" si="0"/>
        <v/>
      </c>
      <c r="E30" s="32"/>
      <c r="F30" s="31"/>
      <c r="G30" s="43" t="str">
        <f t="shared" si="1"/>
        <v/>
      </c>
      <c r="H30" s="30" t="s">
        <v>63</v>
      </c>
      <c r="I30" s="41"/>
      <c r="J30" s="33" t="str">
        <f>IF(AND(A30&lt;&gt;"",E30&lt;&gt;""),IF(I30="","⚠️ Enter Code",IF(IFERROR(VLOOKUP(H30,DB_Agents!$B:$F,4,0),"")=TEXT(I30,"0"),IF(C30&gt;=E30,"✅ Successful","❌ Insufficient Funds"),"🔒 WRONG CODE")),"Pending")</f>
        <v>Pending</v>
      </c>
      <c r="K30" s="33" t="str">
        <f t="shared" ca="1" si="2"/>
        <v>—</v>
      </c>
      <c r="L30" s="50"/>
    </row>
    <row r="31" spans="1:12" ht="20.100000000000001" customHeight="1" x14ac:dyDescent="0.25">
      <c r="A31" s="41"/>
      <c r="B31" s="35" t="str">
        <f>IF(A31="","",IFERROR(VLOOKUP(A31,DB_Customers!$A:$B,2,0),"❌ Account Not Found"))</f>
        <v/>
      </c>
      <c r="C31" s="43" t="str">
        <f>IF(A31="","",IFERROR(VLOOKUP(A31,DB_Customers!$A:$N,14,0),""))</f>
        <v/>
      </c>
      <c r="D31" s="42" t="str">
        <f t="shared" ca="1" si="0"/>
        <v/>
      </c>
      <c r="E31" s="32"/>
      <c r="F31" s="31"/>
      <c r="G31" s="43" t="str">
        <f t="shared" si="1"/>
        <v/>
      </c>
      <c r="H31" s="30" t="s">
        <v>63</v>
      </c>
      <c r="I31" s="41"/>
      <c r="J31" s="33" t="str">
        <f>IF(AND(A31&lt;&gt;"",E31&lt;&gt;""),IF(I31="","⚠️ Enter Code",IF(IFERROR(VLOOKUP(H31,DB_Agents!$B:$F,4,0),"")=TEXT(I31,"0"),IF(C31&gt;=E31,"✅ Successful","❌ Insufficient Funds"),"🔒 WRONG CODE")),"Pending")</f>
        <v>Pending</v>
      </c>
      <c r="K31" s="33" t="str">
        <f t="shared" ca="1" si="2"/>
        <v>—</v>
      </c>
      <c r="L31" s="22"/>
    </row>
    <row r="32" spans="1:12" ht="20.100000000000001" customHeight="1" x14ac:dyDescent="0.25">
      <c r="A32" s="41"/>
      <c r="B32" s="35" t="str">
        <f>IF(A32="","",IFERROR(VLOOKUP(A32,DB_Customers!$A:$B,2,0),"❌ Account Not Found"))</f>
        <v/>
      </c>
      <c r="C32" s="43" t="str">
        <f>IF(A32="","",IFERROR(VLOOKUP(A32,DB_Customers!$A:$N,14,0),""))</f>
        <v/>
      </c>
      <c r="D32" s="42" t="str">
        <f t="shared" ca="1" si="0"/>
        <v/>
      </c>
      <c r="E32" s="32"/>
      <c r="F32" s="31"/>
      <c r="G32" s="43" t="str">
        <f t="shared" si="1"/>
        <v/>
      </c>
      <c r="H32" s="30" t="s">
        <v>63</v>
      </c>
      <c r="I32" s="41"/>
      <c r="J32" s="33" t="str">
        <f>IF(AND(A32&lt;&gt;"",E32&lt;&gt;""),IF(I32="","⚠️ Enter Code",IF(IFERROR(VLOOKUP(H32,DB_Agents!$B:$F,4,0),"")=TEXT(I32,"0"),IF(C32&gt;=E32,"✅ Successful","❌ Insufficient Funds"),"🔒 WRONG CODE")),"Pending")</f>
        <v>Pending</v>
      </c>
      <c r="K32" s="33" t="str">
        <f t="shared" ca="1" si="2"/>
        <v>—</v>
      </c>
      <c r="L32" s="50"/>
    </row>
    <row r="33" spans="1:12" ht="20.100000000000001" customHeight="1" x14ac:dyDescent="0.25">
      <c r="A33" s="41"/>
      <c r="B33" s="35" t="str">
        <f>IF(A33="","",IFERROR(VLOOKUP(A33,DB_Customers!$A:$B,2,0),"❌ Account Not Found"))</f>
        <v/>
      </c>
      <c r="C33" s="43" t="str">
        <f>IF(A33="","",IFERROR(VLOOKUP(A33,DB_Customers!$A:$N,14,0),""))</f>
        <v/>
      </c>
      <c r="D33" s="42" t="str">
        <f t="shared" ca="1" si="0"/>
        <v/>
      </c>
      <c r="E33" s="32"/>
      <c r="F33" s="31"/>
      <c r="G33" s="43" t="str">
        <f t="shared" si="1"/>
        <v/>
      </c>
      <c r="H33" s="30" t="s">
        <v>63</v>
      </c>
      <c r="I33" s="41"/>
      <c r="J33" s="33" t="str">
        <f>IF(AND(A33&lt;&gt;"",E33&lt;&gt;""),IF(I33="","⚠️ Enter Code",IF(IFERROR(VLOOKUP(H33,DB_Agents!$B:$F,4,0),"")=TEXT(I33,"0"),IF(C33&gt;=E33,"✅ Successful","❌ Insufficient Funds"),"🔒 WRONG CODE")),"Pending")</f>
        <v>Pending</v>
      </c>
      <c r="K33" s="33" t="str">
        <f t="shared" ca="1" si="2"/>
        <v>—</v>
      </c>
      <c r="L33" s="22"/>
    </row>
    <row r="34" spans="1:12" ht="20.100000000000001" customHeight="1" x14ac:dyDescent="0.25">
      <c r="A34" s="41"/>
      <c r="B34" s="35" t="str">
        <f>IF(A34="","",IFERROR(VLOOKUP(A34,DB_Customers!$A:$B,2,0),"❌ Account Not Found"))</f>
        <v/>
      </c>
      <c r="C34" s="43" t="str">
        <f>IF(A34="","",IFERROR(VLOOKUP(A34,DB_Customers!$A:$N,14,0),""))</f>
        <v/>
      </c>
      <c r="D34" s="42" t="str">
        <f t="shared" ca="1" si="0"/>
        <v/>
      </c>
      <c r="E34" s="32"/>
      <c r="F34" s="31"/>
      <c r="G34" s="43" t="str">
        <f t="shared" si="1"/>
        <v/>
      </c>
      <c r="H34" s="30" t="s">
        <v>63</v>
      </c>
      <c r="I34" s="41"/>
      <c r="J34" s="33" t="str">
        <f>IF(AND(A34&lt;&gt;"",E34&lt;&gt;""),IF(I34="","⚠️ Enter Code",IF(IFERROR(VLOOKUP(H34,DB_Agents!$B:$F,4,0),"")=TEXT(I34,"0"),IF(C34&gt;=E34,"✅ Successful","❌ Insufficient Funds"),"🔒 WRONG CODE")),"Pending")</f>
        <v>Pending</v>
      </c>
      <c r="K34" s="33" t="str">
        <f t="shared" ca="1" si="2"/>
        <v>—</v>
      </c>
      <c r="L34" s="50"/>
    </row>
    <row r="35" spans="1:12" ht="20.100000000000001" customHeight="1" x14ac:dyDescent="0.25">
      <c r="A35" s="41"/>
      <c r="B35" s="35" t="str">
        <f>IF(A35="","",IFERROR(VLOOKUP(A35,DB_Customers!$A:$B,2,0),"❌ Account Not Found"))</f>
        <v/>
      </c>
      <c r="C35" s="43" t="str">
        <f>IF(A35="","",IFERROR(VLOOKUP(A35,DB_Customers!$A:$N,14,0),""))</f>
        <v/>
      </c>
      <c r="D35" s="42" t="str">
        <f t="shared" ca="1" si="0"/>
        <v/>
      </c>
      <c r="E35" s="32"/>
      <c r="F35" s="31"/>
      <c r="G35" s="43" t="str">
        <f t="shared" si="1"/>
        <v/>
      </c>
      <c r="H35" s="30" t="s">
        <v>63</v>
      </c>
      <c r="I35" s="41"/>
      <c r="J35" s="33" t="str">
        <f>IF(AND(A35&lt;&gt;"",E35&lt;&gt;""),IF(I35="","⚠️ Enter Code",IF(IFERROR(VLOOKUP(H35,DB_Agents!$B:$F,4,0),"")=TEXT(I35,"0"),IF(C35&gt;=E35,"✅ Successful","❌ Insufficient Funds"),"🔒 WRONG CODE")),"Pending")</f>
        <v>Pending</v>
      </c>
      <c r="K35" s="33" t="str">
        <f t="shared" ca="1" si="2"/>
        <v>—</v>
      </c>
      <c r="L35" s="22"/>
    </row>
    <row r="36" spans="1:12" ht="20.100000000000001" customHeight="1" x14ac:dyDescent="0.25">
      <c r="A36" s="41"/>
      <c r="B36" s="35" t="str">
        <f>IF(A36="","",IFERROR(VLOOKUP(A36,DB_Customers!$A:$B,2,0),"❌ Account Not Found"))</f>
        <v/>
      </c>
      <c r="C36" s="43" t="str">
        <f>IF(A36="","",IFERROR(VLOOKUP(A36,DB_Customers!$A:$N,14,0),""))</f>
        <v/>
      </c>
      <c r="D36" s="42" t="str">
        <f t="shared" ca="1" si="0"/>
        <v/>
      </c>
      <c r="E36" s="32"/>
      <c r="F36" s="31"/>
      <c r="G36" s="43" t="str">
        <f t="shared" si="1"/>
        <v/>
      </c>
      <c r="H36" s="30" t="s">
        <v>63</v>
      </c>
      <c r="I36" s="41"/>
      <c r="J36" s="33" t="str">
        <f>IF(AND(A36&lt;&gt;"",E36&lt;&gt;""),IF(I36="","⚠️ Enter Code",IF(IFERROR(VLOOKUP(H36,DB_Agents!$B:$F,4,0),"")=TEXT(I36,"0"),IF(C36&gt;=E36,"✅ Successful","❌ Insufficient Funds"),"🔒 WRONG CODE")),"Pending")</f>
        <v>Pending</v>
      </c>
      <c r="K36" s="33" t="str">
        <f t="shared" ca="1" si="2"/>
        <v>—</v>
      </c>
      <c r="L36" s="50"/>
    </row>
    <row r="37" spans="1:12" ht="20.100000000000001" customHeight="1" x14ac:dyDescent="0.25">
      <c r="A37" s="41"/>
      <c r="B37" s="35" t="str">
        <f>IF(A37="","",IFERROR(VLOOKUP(A37,DB_Customers!$A:$B,2,0),"❌ Account Not Found"))</f>
        <v/>
      </c>
      <c r="C37" s="43" t="str">
        <f>IF(A37="","",IFERROR(VLOOKUP(A37,DB_Customers!$A:$N,14,0),""))</f>
        <v/>
      </c>
      <c r="D37" s="42" t="str">
        <f t="shared" ca="1" si="0"/>
        <v/>
      </c>
      <c r="E37" s="32"/>
      <c r="F37" s="31"/>
      <c r="G37" s="43" t="str">
        <f t="shared" si="1"/>
        <v/>
      </c>
      <c r="H37" s="30" t="s">
        <v>63</v>
      </c>
      <c r="I37" s="41"/>
      <c r="J37" s="33" t="str">
        <f>IF(AND(A37&lt;&gt;"",E37&lt;&gt;""),IF(I37="","⚠️ Enter Code",IF(IFERROR(VLOOKUP(H37,DB_Agents!$B:$F,4,0),"")=TEXT(I37,"0"),IF(C37&gt;=E37,"✅ Successful","❌ Insufficient Funds"),"🔒 WRONG CODE")),"Pending")</f>
        <v>Pending</v>
      </c>
      <c r="K37" s="33" t="str">
        <f t="shared" ca="1" si="2"/>
        <v>—</v>
      </c>
      <c r="L37" s="22"/>
    </row>
    <row r="38" spans="1:12" ht="20.100000000000001" customHeight="1" x14ac:dyDescent="0.25">
      <c r="A38" s="41"/>
      <c r="B38" s="35" t="str">
        <f>IF(A38="","",IFERROR(VLOOKUP(A38,DB_Customers!$A:$B,2,0),"❌ Account Not Found"))</f>
        <v/>
      </c>
      <c r="C38" s="43" t="str">
        <f>IF(A38="","",IFERROR(VLOOKUP(A38,DB_Customers!$A:$N,14,0),""))</f>
        <v/>
      </c>
      <c r="D38" s="42" t="str">
        <f t="shared" ca="1" si="0"/>
        <v/>
      </c>
      <c r="E38" s="32"/>
      <c r="F38" s="31"/>
      <c r="G38" s="43" t="str">
        <f t="shared" si="1"/>
        <v/>
      </c>
      <c r="H38" s="30" t="s">
        <v>63</v>
      </c>
      <c r="I38" s="41"/>
      <c r="J38" s="33" t="str">
        <f>IF(AND(A38&lt;&gt;"",E38&lt;&gt;""),IF(I38="","⚠️ Enter Code",IF(IFERROR(VLOOKUP(H38,DB_Agents!$B:$F,4,0),"")=TEXT(I38,"0"),IF(C38&gt;=E38,"✅ Successful","❌ Insufficient Funds"),"🔒 WRONG CODE")),"Pending")</f>
        <v>Pending</v>
      </c>
      <c r="K38" s="33" t="str">
        <f t="shared" ca="1" si="2"/>
        <v>—</v>
      </c>
      <c r="L38" s="50"/>
    </row>
    <row r="39" spans="1:12" ht="20.100000000000001" customHeight="1" x14ac:dyDescent="0.25">
      <c r="A39" s="41"/>
      <c r="B39" s="35" t="str">
        <f>IF(A39="","",IFERROR(VLOOKUP(A39,DB_Customers!$A:$B,2,0),"❌ Account Not Found"))</f>
        <v/>
      </c>
      <c r="C39" s="43" t="str">
        <f>IF(A39="","",IFERROR(VLOOKUP(A39,DB_Customers!$A:$N,14,0),""))</f>
        <v/>
      </c>
      <c r="D39" s="42" t="str">
        <f t="shared" ca="1" si="0"/>
        <v/>
      </c>
      <c r="E39" s="32"/>
      <c r="F39" s="31"/>
      <c r="G39" s="43" t="str">
        <f t="shared" si="1"/>
        <v/>
      </c>
      <c r="H39" s="30" t="s">
        <v>63</v>
      </c>
      <c r="I39" s="41"/>
      <c r="J39" s="33" t="str">
        <f>IF(AND(A39&lt;&gt;"",E39&lt;&gt;""),IF(I39="","⚠️ Enter Code",IF(IFERROR(VLOOKUP(H39,DB_Agents!$B:$F,4,0),"")=TEXT(I39,"0"),IF(C39&gt;=E39,"✅ Successful","❌ Insufficient Funds"),"🔒 WRONG CODE")),"Pending")</f>
        <v>Pending</v>
      </c>
      <c r="K39" s="33" t="str">
        <f t="shared" ca="1" si="2"/>
        <v>—</v>
      </c>
      <c r="L39" s="22"/>
    </row>
    <row r="40" spans="1:12" ht="20.100000000000001" customHeight="1" x14ac:dyDescent="0.25">
      <c r="A40" s="41"/>
      <c r="B40" s="35" t="str">
        <f>IF(A40="","",IFERROR(VLOOKUP(A40,DB_Customers!$A:$B,2,0),"❌ Account Not Found"))</f>
        <v/>
      </c>
      <c r="C40" s="43" t="str">
        <f>IF(A40="","",IFERROR(VLOOKUP(A40,DB_Customers!$A:$N,14,0),""))</f>
        <v/>
      </c>
      <c r="D40" s="42" t="str">
        <f t="shared" ca="1" si="0"/>
        <v/>
      </c>
      <c r="E40" s="32"/>
      <c r="F40" s="31"/>
      <c r="G40" s="43" t="str">
        <f t="shared" si="1"/>
        <v/>
      </c>
      <c r="H40" s="30" t="s">
        <v>63</v>
      </c>
      <c r="I40" s="41"/>
      <c r="J40" s="33" t="str">
        <f>IF(AND(A40&lt;&gt;"",E40&lt;&gt;""),IF(I40="","⚠️ Enter Code",IF(IFERROR(VLOOKUP(H40,DB_Agents!$B:$F,4,0),"")=TEXT(I40,"0"),IF(C40&gt;=E40,"✅ Successful","❌ Insufficient Funds"),"🔒 WRONG CODE")),"Pending")</f>
        <v>Pending</v>
      </c>
      <c r="K40" s="33" t="str">
        <f t="shared" ca="1" si="2"/>
        <v>—</v>
      </c>
      <c r="L40" s="50"/>
    </row>
    <row r="41" spans="1:12" ht="20.100000000000001" customHeight="1" x14ac:dyDescent="0.25">
      <c r="A41" s="41"/>
      <c r="B41" s="35" t="str">
        <f>IF(A41="","",IFERROR(VLOOKUP(A41,DB_Customers!$A:$B,2,0),"❌ Account Not Found"))</f>
        <v/>
      </c>
      <c r="C41" s="43" t="str">
        <f>IF(A41="","",IFERROR(VLOOKUP(A41,DB_Customers!$A:$N,14,0),""))</f>
        <v/>
      </c>
      <c r="D41" s="42" t="str">
        <f t="shared" ref="D41:D72" ca="1" si="3">IF(A41="","",TODAY())</f>
        <v/>
      </c>
      <c r="E41" s="32"/>
      <c r="F41" s="31"/>
      <c r="G41" s="43" t="str">
        <f t="shared" ref="G41:G72" si="4">IFERROR(IF(OR(A41="",E41=""),"",C41-E41),"")</f>
        <v/>
      </c>
      <c r="H41" s="30" t="s">
        <v>63</v>
      </c>
      <c r="I41" s="41"/>
      <c r="J41" s="33" t="str">
        <f>IF(AND(A41&lt;&gt;"",E41&lt;&gt;""),IF(I41="","⚠️ Enter Code",IF(IFERROR(VLOOKUP(H41,DB_Agents!$B:$F,4,0),"")=TEXT(I41,"0"),IF(C41&gt;=E41,"✅ Successful","❌ Insufficient Funds"),"🔒 WRONG CODE")),"Pending")</f>
        <v>Pending</v>
      </c>
      <c r="K41" s="33" t="str">
        <f t="shared" ref="K41:K72" ca="1" si="5">IF(J41="✅ Successful",TEXT(TODAY(),"YYYY-MM-DD")&amp;" Auto","—")</f>
        <v>—</v>
      </c>
      <c r="L41" s="22"/>
    </row>
    <row r="42" spans="1:12" ht="20.100000000000001" customHeight="1" x14ac:dyDescent="0.25">
      <c r="A42" s="41"/>
      <c r="B42" s="35" t="str">
        <f>IF(A42="","",IFERROR(VLOOKUP(A42,DB_Customers!$A:$B,2,0),"❌ Account Not Found"))</f>
        <v/>
      </c>
      <c r="C42" s="43" t="str">
        <f>IF(A42="","",IFERROR(VLOOKUP(A42,DB_Customers!$A:$N,14,0),""))</f>
        <v/>
      </c>
      <c r="D42" s="42" t="str">
        <f t="shared" ca="1" si="3"/>
        <v/>
      </c>
      <c r="E42" s="32"/>
      <c r="F42" s="31"/>
      <c r="G42" s="43" t="str">
        <f t="shared" si="4"/>
        <v/>
      </c>
      <c r="H42" s="30" t="s">
        <v>63</v>
      </c>
      <c r="I42" s="41"/>
      <c r="J42" s="33" t="str">
        <f>IF(AND(A42&lt;&gt;"",E42&lt;&gt;""),IF(I42="","⚠️ Enter Code",IF(IFERROR(VLOOKUP(H42,DB_Agents!$B:$F,4,0),"")=TEXT(I42,"0"),IF(C42&gt;=E42,"✅ Successful","❌ Insufficient Funds"),"🔒 WRONG CODE")),"Pending")</f>
        <v>Pending</v>
      </c>
      <c r="K42" s="33" t="str">
        <f t="shared" ca="1" si="5"/>
        <v>—</v>
      </c>
      <c r="L42" s="50"/>
    </row>
    <row r="43" spans="1:12" ht="20.100000000000001" customHeight="1" x14ac:dyDescent="0.25">
      <c r="A43" s="41"/>
      <c r="B43" s="35" t="str">
        <f>IF(A43="","",IFERROR(VLOOKUP(A43,DB_Customers!$A:$B,2,0),"❌ Account Not Found"))</f>
        <v/>
      </c>
      <c r="C43" s="43" t="str">
        <f>IF(A43="","",IFERROR(VLOOKUP(A43,DB_Customers!$A:$N,14,0),""))</f>
        <v/>
      </c>
      <c r="D43" s="42" t="str">
        <f t="shared" ca="1" si="3"/>
        <v/>
      </c>
      <c r="E43" s="32"/>
      <c r="F43" s="31"/>
      <c r="G43" s="43" t="str">
        <f t="shared" si="4"/>
        <v/>
      </c>
      <c r="H43" s="30" t="s">
        <v>63</v>
      </c>
      <c r="I43" s="41"/>
      <c r="J43" s="33" t="str">
        <f>IF(AND(A43&lt;&gt;"",E43&lt;&gt;""),IF(I43="","⚠️ Enter Code",IF(IFERROR(VLOOKUP(H43,DB_Agents!$B:$F,4,0),"")=TEXT(I43,"0"),IF(C43&gt;=E43,"✅ Successful","❌ Insufficient Funds"),"🔒 WRONG CODE")),"Pending")</f>
        <v>Pending</v>
      </c>
      <c r="K43" s="33" t="str">
        <f t="shared" ca="1" si="5"/>
        <v>—</v>
      </c>
      <c r="L43" s="22"/>
    </row>
    <row r="44" spans="1:12" ht="20.100000000000001" customHeight="1" x14ac:dyDescent="0.25">
      <c r="A44" s="41"/>
      <c r="B44" s="35" t="str">
        <f>IF(A44="","",IFERROR(VLOOKUP(A44,DB_Customers!$A:$B,2,0),"❌ Account Not Found"))</f>
        <v/>
      </c>
      <c r="C44" s="43" t="str">
        <f>IF(A44="","",IFERROR(VLOOKUP(A44,DB_Customers!$A:$N,14,0),""))</f>
        <v/>
      </c>
      <c r="D44" s="42" t="str">
        <f t="shared" ca="1" si="3"/>
        <v/>
      </c>
      <c r="E44" s="32"/>
      <c r="F44" s="31"/>
      <c r="G44" s="43" t="str">
        <f t="shared" si="4"/>
        <v/>
      </c>
      <c r="H44" s="30" t="s">
        <v>63</v>
      </c>
      <c r="I44" s="41"/>
      <c r="J44" s="33" t="str">
        <f>IF(AND(A44&lt;&gt;"",E44&lt;&gt;""),IF(I44="","⚠️ Enter Code",IF(IFERROR(VLOOKUP(H44,DB_Agents!$B:$F,4,0),"")=TEXT(I44,"0"),IF(C44&gt;=E44,"✅ Successful","❌ Insufficient Funds"),"🔒 WRONG CODE")),"Pending")</f>
        <v>Pending</v>
      </c>
      <c r="K44" s="33" t="str">
        <f t="shared" ca="1" si="5"/>
        <v>—</v>
      </c>
      <c r="L44" s="50"/>
    </row>
    <row r="45" spans="1:12" ht="20.100000000000001" customHeight="1" x14ac:dyDescent="0.25">
      <c r="A45" s="41"/>
      <c r="B45" s="35" t="str">
        <f>IF(A45="","",IFERROR(VLOOKUP(A45,DB_Customers!$A:$B,2,0),"❌ Account Not Found"))</f>
        <v/>
      </c>
      <c r="C45" s="43" t="str">
        <f>IF(A45="","",IFERROR(VLOOKUP(A45,DB_Customers!$A:$N,14,0),""))</f>
        <v/>
      </c>
      <c r="D45" s="42" t="str">
        <f t="shared" ca="1" si="3"/>
        <v/>
      </c>
      <c r="E45" s="32"/>
      <c r="F45" s="31"/>
      <c r="G45" s="43" t="str">
        <f t="shared" si="4"/>
        <v/>
      </c>
      <c r="H45" s="30" t="s">
        <v>63</v>
      </c>
      <c r="I45" s="41"/>
      <c r="J45" s="33" t="str">
        <f>IF(AND(A45&lt;&gt;"",E45&lt;&gt;""),IF(I45="","⚠️ Enter Code",IF(IFERROR(VLOOKUP(H45,DB_Agents!$B:$F,4,0),"")=TEXT(I45,"0"),IF(C45&gt;=E45,"✅ Successful","❌ Insufficient Funds"),"🔒 WRONG CODE")),"Pending")</f>
        <v>Pending</v>
      </c>
      <c r="K45" s="33" t="str">
        <f t="shared" ca="1" si="5"/>
        <v>—</v>
      </c>
      <c r="L45" s="22"/>
    </row>
    <row r="46" spans="1:12" ht="20.100000000000001" customHeight="1" x14ac:dyDescent="0.25">
      <c r="A46" s="41"/>
      <c r="B46" s="35" t="str">
        <f>IF(A46="","",IFERROR(VLOOKUP(A46,DB_Customers!$A:$B,2,0),"❌ Account Not Found"))</f>
        <v/>
      </c>
      <c r="C46" s="43" t="str">
        <f>IF(A46="","",IFERROR(VLOOKUP(A46,DB_Customers!$A:$N,14,0),""))</f>
        <v/>
      </c>
      <c r="D46" s="42" t="str">
        <f t="shared" ca="1" si="3"/>
        <v/>
      </c>
      <c r="E46" s="32"/>
      <c r="F46" s="31"/>
      <c r="G46" s="43" t="str">
        <f t="shared" si="4"/>
        <v/>
      </c>
      <c r="H46" s="30" t="s">
        <v>63</v>
      </c>
      <c r="I46" s="41"/>
      <c r="J46" s="33" t="str">
        <f>IF(AND(A46&lt;&gt;"",E46&lt;&gt;""),IF(I46="","⚠️ Enter Code",IF(IFERROR(VLOOKUP(H46,DB_Agents!$B:$F,4,0),"")=TEXT(I46,"0"),IF(C46&gt;=E46,"✅ Successful","❌ Insufficient Funds"),"🔒 WRONG CODE")),"Pending")</f>
        <v>Pending</v>
      </c>
      <c r="K46" s="33" t="str">
        <f t="shared" ca="1" si="5"/>
        <v>—</v>
      </c>
      <c r="L46" s="50"/>
    </row>
    <row r="47" spans="1:12" ht="20.100000000000001" customHeight="1" x14ac:dyDescent="0.25">
      <c r="A47" s="41"/>
      <c r="B47" s="35" t="str">
        <f>IF(A47="","",IFERROR(VLOOKUP(A47,DB_Customers!$A:$B,2,0),"❌ Account Not Found"))</f>
        <v/>
      </c>
      <c r="C47" s="43" t="str">
        <f>IF(A47="","",IFERROR(VLOOKUP(A47,DB_Customers!$A:$N,14,0),""))</f>
        <v/>
      </c>
      <c r="D47" s="42" t="str">
        <f t="shared" ca="1" si="3"/>
        <v/>
      </c>
      <c r="E47" s="32"/>
      <c r="F47" s="31"/>
      <c r="G47" s="43" t="str">
        <f t="shared" si="4"/>
        <v/>
      </c>
      <c r="H47" s="30" t="s">
        <v>63</v>
      </c>
      <c r="I47" s="41"/>
      <c r="J47" s="33" t="str">
        <f>IF(AND(A47&lt;&gt;"",E47&lt;&gt;""),IF(I47="","⚠️ Enter Code",IF(IFERROR(VLOOKUP(H47,DB_Agents!$B:$F,4,0),"")=TEXT(I47,"0"),IF(C47&gt;=E47,"✅ Successful","❌ Insufficient Funds"),"🔒 WRONG CODE")),"Pending")</f>
        <v>Pending</v>
      </c>
      <c r="K47" s="33" t="str">
        <f t="shared" ca="1" si="5"/>
        <v>—</v>
      </c>
      <c r="L47" s="22"/>
    </row>
    <row r="48" spans="1:12" ht="20.100000000000001" customHeight="1" x14ac:dyDescent="0.25">
      <c r="A48" s="41"/>
      <c r="B48" s="35" t="str">
        <f>IF(A48="","",IFERROR(VLOOKUP(A48,DB_Customers!$A:$B,2,0),"❌ Account Not Found"))</f>
        <v/>
      </c>
      <c r="C48" s="43" t="str">
        <f>IF(A48="","",IFERROR(VLOOKUP(A48,DB_Customers!$A:$N,14,0),""))</f>
        <v/>
      </c>
      <c r="D48" s="42" t="str">
        <f t="shared" ca="1" si="3"/>
        <v/>
      </c>
      <c r="E48" s="32"/>
      <c r="F48" s="31"/>
      <c r="G48" s="43" t="str">
        <f t="shared" si="4"/>
        <v/>
      </c>
      <c r="H48" s="30" t="s">
        <v>63</v>
      </c>
      <c r="I48" s="41"/>
      <c r="J48" s="33" t="str">
        <f>IF(AND(A48&lt;&gt;"",E48&lt;&gt;""),IF(I48="","⚠️ Enter Code",IF(IFERROR(VLOOKUP(H48,DB_Agents!$B:$F,4,0),"")=TEXT(I48,"0"),IF(C48&gt;=E48,"✅ Successful","❌ Insufficient Funds"),"🔒 WRONG CODE")),"Pending")</f>
        <v>Pending</v>
      </c>
      <c r="K48" s="33" t="str">
        <f t="shared" ca="1" si="5"/>
        <v>—</v>
      </c>
      <c r="L48" s="50"/>
    </row>
    <row r="49" spans="1:12" ht="20.100000000000001" customHeight="1" x14ac:dyDescent="0.25">
      <c r="A49" s="41"/>
      <c r="B49" s="35" t="str">
        <f>IF(A49="","",IFERROR(VLOOKUP(A49,DB_Customers!$A:$B,2,0),"❌ Account Not Found"))</f>
        <v/>
      </c>
      <c r="C49" s="43" t="str">
        <f>IF(A49="","",IFERROR(VLOOKUP(A49,DB_Customers!$A:$N,14,0),""))</f>
        <v/>
      </c>
      <c r="D49" s="42" t="str">
        <f t="shared" ca="1" si="3"/>
        <v/>
      </c>
      <c r="E49" s="32"/>
      <c r="F49" s="31"/>
      <c r="G49" s="43" t="str">
        <f t="shared" si="4"/>
        <v/>
      </c>
      <c r="H49" s="30" t="s">
        <v>63</v>
      </c>
      <c r="I49" s="41"/>
      <c r="J49" s="33" t="str">
        <f>IF(AND(A49&lt;&gt;"",E49&lt;&gt;""),IF(I49="","⚠️ Enter Code",IF(IFERROR(VLOOKUP(H49,DB_Agents!$B:$F,4,0),"")=TEXT(I49,"0"),IF(C49&gt;=E49,"✅ Successful","❌ Insufficient Funds"),"🔒 WRONG CODE")),"Pending")</f>
        <v>Pending</v>
      </c>
      <c r="K49" s="33" t="str">
        <f t="shared" ca="1" si="5"/>
        <v>—</v>
      </c>
      <c r="L49" s="22"/>
    </row>
    <row r="50" spans="1:12" ht="20.100000000000001" customHeight="1" x14ac:dyDescent="0.25">
      <c r="A50" s="41"/>
      <c r="B50" s="35" t="str">
        <f>IF(A50="","",IFERROR(VLOOKUP(A50,DB_Customers!$A:$B,2,0),"❌ Account Not Found"))</f>
        <v/>
      </c>
      <c r="C50" s="43" t="str">
        <f>IF(A50="","",IFERROR(VLOOKUP(A50,DB_Customers!$A:$N,14,0),""))</f>
        <v/>
      </c>
      <c r="D50" s="42" t="str">
        <f t="shared" ca="1" si="3"/>
        <v/>
      </c>
      <c r="E50" s="32"/>
      <c r="F50" s="31"/>
      <c r="G50" s="43" t="str">
        <f t="shared" si="4"/>
        <v/>
      </c>
      <c r="H50" s="30" t="s">
        <v>63</v>
      </c>
      <c r="I50" s="41"/>
      <c r="J50" s="33" t="str">
        <f>IF(AND(A50&lt;&gt;"",E50&lt;&gt;""),IF(I50="","⚠️ Enter Code",IF(IFERROR(VLOOKUP(H50,DB_Agents!$B:$F,4,0),"")=TEXT(I50,"0"),IF(C50&gt;=E50,"✅ Successful","❌ Insufficient Funds"),"🔒 WRONG CODE")),"Pending")</f>
        <v>Pending</v>
      </c>
      <c r="K50" s="33" t="str">
        <f t="shared" ca="1" si="5"/>
        <v>—</v>
      </c>
      <c r="L50" s="50"/>
    </row>
    <row r="51" spans="1:12" ht="20.100000000000001" customHeight="1" x14ac:dyDescent="0.25">
      <c r="A51" s="41"/>
      <c r="B51" s="35" t="str">
        <f>IF(A51="","",IFERROR(VLOOKUP(A51,DB_Customers!$A:$B,2,0),"❌ Account Not Found"))</f>
        <v/>
      </c>
      <c r="C51" s="43" t="str">
        <f>IF(A51="","",IFERROR(VLOOKUP(A51,DB_Customers!$A:$N,14,0),""))</f>
        <v/>
      </c>
      <c r="D51" s="42" t="str">
        <f t="shared" ca="1" si="3"/>
        <v/>
      </c>
      <c r="E51" s="32"/>
      <c r="F51" s="31"/>
      <c r="G51" s="43" t="str">
        <f t="shared" si="4"/>
        <v/>
      </c>
      <c r="H51" s="30" t="s">
        <v>63</v>
      </c>
      <c r="I51" s="41"/>
      <c r="J51" s="33" t="str">
        <f>IF(AND(A51&lt;&gt;"",E51&lt;&gt;""),IF(I51="","⚠️ Enter Code",IF(IFERROR(VLOOKUP(H51,DB_Agents!$B:$F,4,0),"")=TEXT(I51,"0"),IF(C51&gt;=E51,"✅ Successful","❌ Insufficient Funds"),"🔒 WRONG CODE")),"Pending")</f>
        <v>Pending</v>
      </c>
      <c r="K51" s="33" t="str">
        <f t="shared" ca="1" si="5"/>
        <v>—</v>
      </c>
      <c r="L51" s="22"/>
    </row>
    <row r="52" spans="1:12" ht="20.100000000000001" customHeight="1" x14ac:dyDescent="0.25">
      <c r="A52" s="41"/>
      <c r="B52" s="35" t="str">
        <f>IF(A52="","",IFERROR(VLOOKUP(A52,DB_Customers!$A:$B,2,0),"❌ Account Not Found"))</f>
        <v/>
      </c>
      <c r="C52" s="43" t="str">
        <f>IF(A52="","",IFERROR(VLOOKUP(A52,DB_Customers!$A:$N,14,0),""))</f>
        <v/>
      </c>
      <c r="D52" s="42" t="str">
        <f t="shared" ca="1" si="3"/>
        <v/>
      </c>
      <c r="E52" s="32"/>
      <c r="F52" s="31"/>
      <c r="G52" s="43" t="str">
        <f t="shared" si="4"/>
        <v/>
      </c>
      <c r="H52" s="30" t="s">
        <v>63</v>
      </c>
      <c r="I52" s="41"/>
      <c r="J52" s="33" t="str">
        <f>IF(AND(A52&lt;&gt;"",E52&lt;&gt;""),IF(I52="","⚠️ Enter Code",IF(IFERROR(VLOOKUP(H52,DB_Agents!$B:$F,4,0),"")=TEXT(I52,"0"),IF(C52&gt;=E52,"✅ Successful","❌ Insufficient Funds"),"🔒 WRONG CODE")),"Pending")</f>
        <v>Pending</v>
      </c>
      <c r="K52" s="33" t="str">
        <f t="shared" ca="1" si="5"/>
        <v>—</v>
      </c>
      <c r="L52" s="50"/>
    </row>
    <row r="53" spans="1:12" ht="20.100000000000001" customHeight="1" x14ac:dyDescent="0.25">
      <c r="A53" s="41"/>
      <c r="B53" s="35" t="str">
        <f>IF(A53="","",IFERROR(VLOOKUP(A53,DB_Customers!$A:$B,2,0),"❌ Account Not Found"))</f>
        <v/>
      </c>
      <c r="C53" s="43" t="str">
        <f>IF(A53="","",IFERROR(VLOOKUP(A53,DB_Customers!$A:$N,14,0),""))</f>
        <v/>
      </c>
      <c r="D53" s="42" t="str">
        <f t="shared" ca="1" si="3"/>
        <v/>
      </c>
      <c r="E53" s="32"/>
      <c r="F53" s="31"/>
      <c r="G53" s="43" t="str">
        <f t="shared" si="4"/>
        <v/>
      </c>
      <c r="H53" s="30" t="s">
        <v>63</v>
      </c>
      <c r="I53" s="41"/>
      <c r="J53" s="33" t="str">
        <f>IF(AND(A53&lt;&gt;"",E53&lt;&gt;""),IF(I53="","⚠️ Enter Code",IF(IFERROR(VLOOKUP(H53,DB_Agents!$B:$F,4,0),"")=TEXT(I53,"0"),IF(C53&gt;=E53,"✅ Successful","❌ Insufficient Funds"),"🔒 WRONG CODE")),"Pending")</f>
        <v>Pending</v>
      </c>
      <c r="K53" s="33" t="str">
        <f t="shared" ca="1" si="5"/>
        <v>—</v>
      </c>
      <c r="L53" s="22"/>
    </row>
    <row r="54" spans="1:12" ht="20.100000000000001" customHeight="1" x14ac:dyDescent="0.25">
      <c r="A54" s="41"/>
      <c r="B54" s="35" t="str">
        <f>IF(A54="","",IFERROR(VLOOKUP(A54,DB_Customers!$A:$B,2,0),"❌ Account Not Found"))</f>
        <v/>
      </c>
      <c r="C54" s="43" t="str">
        <f>IF(A54="","",IFERROR(VLOOKUP(A54,DB_Customers!$A:$N,14,0),""))</f>
        <v/>
      </c>
      <c r="D54" s="42" t="str">
        <f t="shared" ca="1" si="3"/>
        <v/>
      </c>
      <c r="E54" s="32"/>
      <c r="F54" s="31"/>
      <c r="G54" s="43" t="str">
        <f t="shared" si="4"/>
        <v/>
      </c>
      <c r="H54" s="30" t="s">
        <v>63</v>
      </c>
      <c r="I54" s="41"/>
      <c r="J54" s="33" t="str">
        <f>IF(AND(A54&lt;&gt;"",E54&lt;&gt;""),IF(I54="","⚠️ Enter Code",IF(IFERROR(VLOOKUP(H54,DB_Agents!$B:$F,4,0),"")=TEXT(I54,"0"),IF(C54&gt;=E54,"✅ Successful","❌ Insufficient Funds"),"🔒 WRONG CODE")),"Pending")</f>
        <v>Pending</v>
      </c>
      <c r="K54" s="33" t="str">
        <f t="shared" ca="1" si="5"/>
        <v>—</v>
      </c>
      <c r="L54" s="50"/>
    </row>
    <row r="55" spans="1:12" ht="20.100000000000001" customHeight="1" x14ac:dyDescent="0.25">
      <c r="A55" s="41"/>
      <c r="B55" s="35" t="str">
        <f>IF(A55="","",IFERROR(VLOOKUP(A55,DB_Customers!$A:$B,2,0),"❌ Account Not Found"))</f>
        <v/>
      </c>
      <c r="C55" s="43" t="str">
        <f>IF(A55="","",IFERROR(VLOOKUP(A55,DB_Customers!$A:$N,14,0),""))</f>
        <v/>
      </c>
      <c r="D55" s="42" t="str">
        <f t="shared" ca="1" si="3"/>
        <v/>
      </c>
      <c r="E55" s="32"/>
      <c r="F55" s="31"/>
      <c r="G55" s="43" t="str">
        <f t="shared" si="4"/>
        <v/>
      </c>
      <c r="H55" s="30" t="s">
        <v>63</v>
      </c>
      <c r="I55" s="41"/>
      <c r="J55" s="33" t="str">
        <f>IF(AND(A55&lt;&gt;"",E55&lt;&gt;""),IF(I55="","⚠️ Enter Code",IF(IFERROR(VLOOKUP(H55,DB_Agents!$B:$F,4,0),"")=TEXT(I55,"0"),IF(C55&gt;=E55,"✅ Successful","❌ Insufficient Funds"),"🔒 WRONG CODE")),"Pending")</f>
        <v>Pending</v>
      </c>
      <c r="K55" s="33" t="str">
        <f t="shared" ca="1" si="5"/>
        <v>—</v>
      </c>
      <c r="L55" s="22"/>
    </row>
    <row r="56" spans="1:12" ht="20.100000000000001" customHeight="1" x14ac:dyDescent="0.25">
      <c r="A56" s="41"/>
      <c r="B56" s="35" t="str">
        <f>IF(A56="","",IFERROR(VLOOKUP(A56,DB_Customers!$A:$B,2,0),"❌ Account Not Found"))</f>
        <v/>
      </c>
      <c r="C56" s="43" t="str">
        <f>IF(A56="","",IFERROR(VLOOKUP(A56,DB_Customers!$A:$N,14,0),""))</f>
        <v/>
      </c>
      <c r="D56" s="42" t="str">
        <f t="shared" ca="1" si="3"/>
        <v/>
      </c>
      <c r="E56" s="32"/>
      <c r="F56" s="31"/>
      <c r="G56" s="43" t="str">
        <f t="shared" si="4"/>
        <v/>
      </c>
      <c r="H56" s="30" t="s">
        <v>63</v>
      </c>
      <c r="I56" s="41"/>
      <c r="J56" s="33" t="str">
        <f>IF(AND(A56&lt;&gt;"",E56&lt;&gt;""),IF(I56="","⚠️ Enter Code",IF(IFERROR(VLOOKUP(H56,DB_Agents!$B:$F,4,0),"")=TEXT(I56,"0"),IF(C56&gt;=E56,"✅ Successful","❌ Insufficient Funds"),"🔒 WRONG CODE")),"Pending")</f>
        <v>Pending</v>
      </c>
      <c r="K56" s="33" t="str">
        <f t="shared" ca="1" si="5"/>
        <v>—</v>
      </c>
      <c r="L56" s="50"/>
    </row>
    <row r="57" spans="1:12" ht="20.100000000000001" customHeight="1" x14ac:dyDescent="0.25">
      <c r="A57" s="41"/>
      <c r="B57" s="35" t="str">
        <f>IF(A57="","",IFERROR(VLOOKUP(A57,DB_Customers!$A:$B,2,0),"❌ Account Not Found"))</f>
        <v/>
      </c>
      <c r="C57" s="43" t="str">
        <f>IF(A57="","",IFERROR(VLOOKUP(A57,DB_Customers!$A:$N,14,0),""))</f>
        <v/>
      </c>
      <c r="D57" s="42" t="str">
        <f t="shared" ca="1" si="3"/>
        <v/>
      </c>
      <c r="E57" s="32"/>
      <c r="F57" s="31"/>
      <c r="G57" s="43" t="str">
        <f t="shared" si="4"/>
        <v/>
      </c>
      <c r="H57" s="30" t="s">
        <v>63</v>
      </c>
      <c r="I57" s="41"/>
      <c r="J57" s="33" t="str">
        <f>IF(AND(A57&lt;&gt;"",E57&lt;&gt;""),IF(I57="","⚠️ Enter Code",IF(IFERROR(VLOOKUP(H57,DB_Agents!$B:$F,4,0),"")=TEXT(I57,"0"),IF(C57&gt;=E57,"✅ Successful","❌ Insufficient Funds"),"🔒 WRONG CODE")),"Pending")</f>
        <v>Pending</v>
      </c>
      <c r="K57" s="33" t="str">
        <f t="shared" ca="1" si="5"/>
        <v>—</v>
      </c>
      <c r="L57" s="22"/>
    </row>
    <row r="58" spans="1:12" ht="20.100000000000001" customHeight="1" x14ac:dyDescent="0.25">
      <c r="A58" s="41"/>
      <c r="B58" s="35" t="str">
        <f>IF(A58="","",IFERROR(VLOOKUP(A58,DB_Customers!$A:$B,2,0),"❌ Account Not Found"))</f>
        <v/>
      </c>
      <c r="C58" s="43" t="str">
        <f>IF(A58="","",IFERROR(VLOOKUP(A58,DB_Customers!$A:$N,14,0),""))</f>
        <v/>
      </c>
      <c r="D58" s="42" t="str">
        <f t="shared" ca="1" si="3"/>
        <v/>
      </c>
      <c r="E58" s="32"/>
      <c r="F58" s="31"/>
      <c r="G58" s="43" t="str">
        <f t="shared" si="4"/>
        <v/>
      </c>
      <c r="H58" s="30" t="s">
        <v>63</v>
      </c>
      <c r="I58" s="41"/>
      <c r="J58" s="33" t="str">
        <f>IF(AND(A58&lt;&gt;"",E58&lt;&gt;""),IF(I58="","⚠️ Enter Code",IF(IFERROR(VLOOKUP(H58,DB_Agents!$B:$F,4,0),"")=TEXT(I58,"0"),IF(C58&gt;=E58,"✅ Successful","❌ Insufficient Funds"),"🔒 WRONG CODE")),"Pending")</f>
        <v>Pending</v>
      </c>
      <c r="K58" s="33" t="str">
        <f t="shared" ca="1" si="5"/>
        <v>—</v>
      </c>
      <c r="L58" s="50"/>
    </row>
    <row r="59" spans="1:12" ht="20.100000000000001" customHeight="1" x14ac:dyDescent="0.25">
      <c r="A59" s="41"/>
      <c r="B59" s="35" t="str">
        <f>IF(A59="","",IFERROR(VLOOKUP(A59,DB_Customers!$A:$B,2,0),"❌ Account Not Found"))</f>
        <v/>
      </c>
      <c r="C59" s="43" t="str">
        <f>IF(A59="","",IFERROR(VLOOKUP(A59,DB_Customers!$A:$N,14,0),""))</f>
        <v/>
      </c>
      <c r="D59" s="42" t="str">
        <f t="shared" ca="1" si="3"/>
        <v/>
      </c>
      <c r="E59" s="32"/>
      <c r="F59" s="31"/>
      <c r="G59" s="43" t="str">
        <f t="shared" si="4"/>
        <v/>
      </c>
      <c r="H59" s="30" t="s">
        <v>63</v>
      </c>
      <c r="I59" s="41"/>
      <c r="J59" s="33" t="str">
        <f>IF(AND(A59&lt;&gt;"",E59&lt;&gt;""),IF(I59="","⚠️ Enter Code",IF(IFERROR(VLOOKUP(H59,DB_Agents!$B:$F,4,0),"")=TEXT(I59,"0"),IF(C59&gt;=E59,"✅ Successful","❌ Insufficient Funds"),"🔒 WRONG CODE")),"Pending")</f>
        <v>Pending</v>
      </c>
      <c r="K59" s="33" t="str">
        <f t="shared" ca="1" si="5"/>
        <v>—</v>
      </c>
      <c r="L59" s="22"/>
    </row>
    <row r="60" spans="1:12" ht="20.100000000000001" customHeight="1" x14ac:dyDescent="0.25">
      <c r="A60" s="41"/>
      <c r="B60" s="35" t="str">
        <f>IF(A60="","",IFERROR(VLOOKUP(A60,DB_Customers!$A:$B,2,0),"❌ Account Not Found"))</f>
        <v/>
      </c>
      <c r="C60" s="43" t="str">
        <f>IF(A60="","",IFERROR(VLOOKUP(A60,DB_Customers!$A:$N,14,0),""))</f>
        <v/>
      </c>
      <c r="D60" s="42" t="str">
        <f t="shared" ca="1" si="3"/>
        <v/>
      </c>
      <c r="E60" s="32"/>
      <c r="F60" s="31"/>
      <c r="G60" s="43" t="str">
        <f t="shared" si="4"/>
        <v/>
      </c>
      <c r="H60" s="30" t="s">
        <v>63</v>
      </c>
      <c r="I60" s="41"/>
      <c r="J60" s="33" t="str">
        <f>IF(AND(A60&lt;&gt;"",E60&lt;&gt;""),IF(I60="","⚠️ Enter Code",IF(IFERROR(VLOOKUP(H60,DB_Agents!$B:$F,4,0),"")=TEXT(I60,"0"),IF(C60&gt;=E60,"✅ Successful","❌ Insufficient Funds"),"🔒 WRONG CODE")),"Pending")</f>
        <v>Pending</v>
      </c>
      <c r="K60" s="33" t="str">
        <f t="shared" ca="1" si="5"/>
        <v>—</v>
      </c>
      <c r="L60" s="50"/>
    </row>
    <row r="61" spans="1:12" ht="20.100000000000001" customHeight="1" x14ac:dyDescent="0.25">
      <c r="A61" s="41"/>
      <c r="B61" s="35" t="str">
        <f>IF(A61="","",IFERROR(VLOOKUP(A61,DB_Customers!$A:$B,2,0),"❌ Account Not Found"))</f>
        <v/>
      </c>
      <c r="C61" s="43" t="str">
        <f>IF(A61="","",IFERROR(VLOOKUP(A61,DB_Customers!$A:$N,14,0),""))</f>
        <v/>
      </c>
      <c r="D61" s="42" t="str">
        <f t="shared" ca="1" si="3"/>
        <v/>
      </c>
      <c r="E61" s="32"/>
      <c r="F61" s="31"/>
      <c r="G61" s="43" t="str">
        <f t="shared" si="4"/>
        <v/>
      </c>
      <c r="H61" s="30" t="s">
        <v>63</v>
      </c>
      <c r="I61" s="41"/>
      <c r="J61" s="33" t="str">
        <f>IF(AND(A61&lt;&gt;"",E61&lt;&gt;""),IF(I61="","⚠️ Enter Code",IF(IFERROR(VLOOKUP(H61,DB_Agents!$B:$F,4,0),"")=TEXT(I61,"0"),IF(C61&gt;=E61,"✅ Successful","❌ Insufficient Funds"),"🔒 WRONG CODE")),"Pending")</f>
        <v>Pending</v>
      </c>
      <c r="K61" s="33" t="str">
        <f t="shared" ca="1" si="5"/>
        <v>—</v>
      </c>
      <c r="L61" s="22"/>
    </row>
    <row r="62" spans="1:12" ht="20.100000000000001" customHeight="1" x14ac:dyDescent="0.25">
      <c r="A62" s="41"/>
      <c r="B62" s="35" t="str">
        <f>IF(A62="","",IFERROR(VLOOKUP(A62,DB_Customers!$A:$B,2,0),"❌ Account Not Found"))</f>
        <v/>
      </c>
      <c r="C62" s="43" t="str">
        <f>IF(A62="","",IFERROR(VLOOKUP(A62,DB_Customers!$A:$N,14,0),""))</f>
        <v/>
      </c>
      <c r="D62" s="42" t="str">
        <f t="shared" ca="1" si="3"/>
        <v/>
      </c>
      <c r="E62" s="32"/>
      <c r="F62" s="31"/>
      <c r="G62" s="43" t="str">
        <f t="shared" si="4"/>
        <v/>
      </c>
      <c r="H62" s="30" t="s">
        <v>63</v>
      </c>
      <c r="I62" s="41"/>
      <c r="J62" s="33" t="str">
        <f>IF(AND(A62&lt;&gt;"",E62&lt;&gt;""),IF(I62="","⚠️ Enter Code",IF(IFERROR(VLOOKUP(H62,DB_Agents!$B:$F,4,0),"")=TEXT(I62,"0"),IF(C62&gt;=E62,"✅ Successful","❌ Insufficient Funds"),"🔒 WRONG CODE")),"Pending")</f>
        <v>Pending</v>
      </c>
      <c r="K62" s="33" t="str">
        <f t="shared" ca="1" si="5"/>
        <v>—</v>
      </c>
      <c r="L62" s="50"/>
    </row>
    <row r="63" spans="1:12" ht="20.100000000000001" customHeight="1" x14ac:dyDescent="0.25">
      <c r="A63" s="41"/>
      <c r="B63" s="35" t="str">
        <f>IF(A63="","",IFERROR(VLOOKUP(A63,DB_Customers!$A:$B,2,0),"❌ Account Not Found"))</f>
        <v/>
      </c>
      <c r="C63" s="43" t="str">
        <f>IF(A63="","",IFERROR(VLOOKUP(A63,DB_Customers!$A:$N,14,0),""))</f>
        <v/>
      </c>
      <c r="D63" s="42" t="str">
        <f t="shared" ca="1" si="3"/>
        <v/>
      </c>
      <c r="E63" s="32"/>
      <c r="F63" s="31"/>
      <c r="G63" s="43" t="str">
        <f t="shared" si="4"/>
        <v/>
      </c>
      <c r="H63" s="30" t="s">
        <v>63</v>
      </c>
      <c r="I63" s="41"/>
      <c r="J63" s="33" t="str">
        <f>IF(AND(A63&lt;&gt;"",E63&lt;&gt;""),IF(I63="","⚠️ Enter Code",IF(IFERROR(VLOOKUP(H63,DB_Agents!$B:$F,4,0),"")=TEXT(I63,"0"),IF(C63&gt;=E63,"✅ Successful","❌ Insufficient Funds"),"🔒 WRONG CODE")),"Pending")</f>
        <v>Pending</v>
      </c>
      <c r="K63" s="33" t="str">
        <f t="shared" ca="1" si="5"/>
        <v>—</v>
      </c>
      <c r="L63" s="22"/>
    </row>
    <row r="64" spans="1:12" ht="20.100000000000001" customHeight="1" x14ac:dyDescent="0.25">
      <c r="A64" s="41"/>
      <c r="B64" s="35" t="str">
        <f>IF(A64="","",IFERROR(VLOOKUP(A64,DB_Customers!$A:$B,2,0),"❌ Account Not Found"))</f>
        <v/>
      </c>
      <c r="C64" s="43" t="str">
        <f>IF(A64="","",IFERROR(VLOOKUP(A64,DB_Customers!$A:$N,14,0),""))</f>
        <v/>
      </c>
      <c r="D64" s="42" t="str">
        <f t="shared" ca="1" si="3"/>
        <v/>
      </c>
      <c r="E64" s="32"/>
      <c r="F64" s="31"/>
      <c r="G64" s="43" t="str">
        <f t="shared" si="4"/>
        <v/>
      </c>
      <c r="H64" s="30" t="s">
        <v>63</v>
      </c>
      <c r="I64" s="41"/>
      <c r="J64" s="33" t="str">
        <f>IF(AND(A64&lt;&gt;"",E64&lt;&gt;""),IF(I64="","⚠️ Enter Code",IF(IFERROR(VLOOKUP(H64,DB_Agents!$B:$F,4,0),"")=TEXT(I64,"0"),IF(C64&gt;=E64,"✅ Successful","❌ Insufficient Funds"),"🔒 WRONG CODE")),"Pending")</f>
        <v>Pending</v>
      </c>
      <c r="K64" s="33" t="str">
        <f t="shared" ca="1" si="5"/>
        <v>—</v>
      </c>
      <c r="L64" s="50"/>
    </row>
    <row r="65" spans="1:12" ht="20.100000000000001" customHeight="1" x14ac:dyDescent="0.25">
      <c r="A65" s="41"/>
      <c r="B65" s="35" t="str">
        <f>IF(A65="","",IFERROR(VLOOKUP(A65,DB_Customers!$A:$B,2,0),"❌ Account Not Found"))</f>
        <v/>
      </c>
      <c r="C65" s="43" t="str">
        <f>IF(A65="","",IFERROR(VLOOKUP(A65,DB_Customers!$A:$N,14,0),""))</f>
        <v/>
      </c>
      <c r="D65" s="42" t="str">
        <f t="shared" ca="1" si="3"/>
        <v/>
      </c>
      <c r="E65" s="32"/>
      <c r="F65" s="31"/>
      <c r="G65" s="43" t="str">
        <f t="shared" si="4"/>
        <v/>
      </c>
      <c r="H65" s="30" t="s">
        <v>63</v>
      </c>
      <c r="I65" s="41"/>
      <c r="J65" s="33" t="str">
        <f>IF(AND(A65&lt;&gt;"",E65&lt;&gt;""),IF(I65="","⚠️ Enter Code",IF(IFERROR(VLOOKUP(H65,DB_Agents!$B:$F,4,0),"")=TEXT(I65,"0"),IF(C65&gt;=E65,"✅ Successful","❌ Insufficient Funds"),"🔒 WRONG CODE")),"Pending")</f>
        <v>Pending</v>
      </c>
      <c r="K65" s="33" t="str">
        <f t="shared" ca="1" si="5"/>
        <v>—</v>
      </c>
      <c r="L65" s="22"/>
    </row>
    <row r="66" spans="1:12" ht="20.100000000000001" customHeight="1" x14ac:dyDescent="0.25">
      <c r="A66" s="41"/>
      <c r="B66" s="35" t="str">
        <f>IF(A66="","",IFERROR(VLOOKUP(A66,DB_Customers!$A:$B,2,0),"❌ Account Not Found"))</f>
        <v/>
      </c>
      <c r="C66" s="43" t="str">
        <f>IF(A66="","",IFERROR(VLOOKUP(A66,DB_Customers!$A:$N,14,0),""))</f>
        <v/>
      </c>
      <c r="D66" s="42" t="str">
        <f t="shared" ca="1" si="3"/>
        <v/>
      </c>
      <c r="E66" s="32"/>
      <c r="F66" s="31"/>
      <c r="G66" s="43" t="str">
        <f t="shared" si="4"/>
        <v/>
      </c>
      <c r="H66" s="30" t="s">
        <v>63</v>
      </c>
      <c r="I66" s="41"/>
      <c r="J66" s="33" t="str">
        <f>IF(AND(A66&lt;&gt;"",E66&lt;&gt;""),IF(I66="","⚠️ Enter Code",IF(IFERROR(VLOOKUP(H66,DB_Agents!$B:$F,4,0),"")=TEXT(I66,"0"),IF(C66&gt;=E66,"✅ Successful","❌ Insufficient Funds"),"🔒 WRONG CODE")),"Pending")</f>
        <v>Pending</v>
      </c>
      <c r="K66" s="33" t="str">
        <f t="shared" ca="1" si="5"/>
        <v>—</v>
      </c>
      <c r="L66" s="50"/>
    </row>
    <row r="67" spans="1:12" ht="20.100000000000001" customHeight="1" x14ac:dyDescent="0.25">
      <c r="A67" s="41"/>
      <c r="B67" s="35" t="str">
        <f>IF(A67="","",IFERROR(VLOOKUP(A67,DB_Customers!$A:$B,2,0),"❌ Account Not Found"))</f>
        <v/>
      </c>
      <c r="C67" s="43" t="str">
        <f>IF(A67="","",IFERROR(VLOOKUP(A67,DB_Customers!$A:$N,14,0),""))</f>
        <v/>
      </c>
      <c r="D67" s="42" t="str">
        <f t="shared" ca="1" si="3"/>
        <v/>
      </c>
      <c r="E67" s="32"/>
      <c r="F67" s="31"/>
      <c r="G67" s="43" t="str">
        <f t="shared" si="4"/>
        <v/>
      </c>
      <c r="H67" s="30" t="s">
        <v>63</v>
      </c>
      <c r="I67" s="41"/>
      <c r="J67" s="33" t="str">
        <f>IF(AND(A67&lt;&gt;"",E67&lt;&gt;""),IF(I67="","⚠️ Enter Code",IF(IFERROR(VLOOKUP(H67,DB_Agents!$B:$F,4,0),"")=TEXT(I67,"0"),IF(C67&gt;=E67,"✅ Successful","❌ Insufficient Funds"),"🔒 WRONG CODE")),"Pending")</f>
        <v>Pending</v>
      </c>
      <c r="K67" s="33" t="str">
        <f t="shared" ca="1" si="5"/>
        <v>—</v>
      </c>
      <c r="L67" s="22"/>
    </row>
    <row r="68" spans="1:12" ht="20.100000000000001" customHeight="1" x14ac:dyDescent="0.25">
      <c r="A68" s="41"/>
      <c r="B68" s="35" t="str">
        <f>IF(A68="","",IFERROR(VLOOKUP(A68,DB_Customers!$A:$B,2,0),"❌ Account Not Found"))</f>
        <v/>
      </c>
      <c r="C68" s="43" t="str">
        <f>IF(A68="","",IFERROR(VLOOKUP(A68,DB_Customers!$A:$N,14,0),""))</f>
        <v/>
      </c>
      <c r="D68" s="42" t="str">
        <f t="shared" ca="1" si="3"/>
        <v/>
      </c>
      <c r="E68" s="32"/>
      <c r="F68" s="31"/>
      <c r="G68" s="43" t="str">
        <f t="shared" si="4"/>
        <v/>
      </c>
      <c r="H68" s="30" t="s">
        <v>63</v>
      </c>
      <c r="I68" s="41"/>
      <c r="J68" s="33" t="str">
        <f>IF(AND(A68&lt;&gt;"",E68&lt;&gt;""),IF(I68="","⚠️ Enter Code",IF(IFERROR(VLOOKUP(H68,DB_Agents!$B:$F,4,0),"")=TEXT(I68,"0"),IF(C68&gt;=E68,"✅ Successful","❌ Insufficient Funds"),"🔒 WRONG CODE")),"Pending")</f>
        <v>Pending</v>
      </c>
      <c r="K68" s="33" t="str">
        <f t="shared" ca="1" si="5"/>
        <v>—</v>
      </c>
      <c r="L68" s="50"/>
    </row>
    <row r="69" spans="1:12" ht="20.100000000000001" customHeight="1" x14ac:dyDescent="0.25">
      <c r="A69" s="41"/>
      <c r="B69" s="35" t="str">
        <f>IF(A69="","",IFERROR(VLOOKUP(A69,DB_Customers!$A:$B,2,0),"❌ Account Not Found"))</f>
        <v/>
      </c>
      <c r="C69" s="43" t="str">
        <f>IF(A69="","",IFERROR(VLOOKUP(A69,DB_Customers!$A:$N,14,0),""))</f>
        <v/>
      </c>
      <c r="D69" s="42" t="str">
        <f t="shared" ca="1" si="3"/>
        <v/>
      </c>
      <c r="E69" s="32"/>
      <c r="F69" s="31"/>
      <c r="G69" s="43" t="str">
        <f t="shared" si="4"/>
        <v/>
      </c>
      <c r="H69" s="30" t="s">
        <v>63</v>
      </c>
      <c r="I69" s="41"/>
      <c r="J69" s="33" t="str">
        <f>IF(AND(A69&lt;&gt;"",E69&lt;&gt;""),IF(I69="","⚠️ Enter Code",IF(IFERROR(VLOOKUP(H69,DB_Agents!$B:$F,4,0),"")=TEXT(I69,"0"),IF(C69&gt;=E69,"✅ Successful","❌ Insufficient Funds"),"🔒 WRONG CODE")),"Pending")</f>
        <v>Pending</v>
      </c>
      <c r="K69" s="33" t="str">
        <f t="shared" ca="1" si="5"/>
        <v>—</v>
      </c>
      <c r="L69" s="22"/>
    </row>
    <row r="70" spans="1:12" ht="20.100000000000001" customHeight="1" x14ac:dyDescent="0.25">
      <c r="A70" s="41"/>
      <c r="B70" s="35" t="str">
        <f>IF(A70="","",IFERROR(VLOOKUP(A70,DB_Customers!$A:$B,2,0),"❌ Account Not Found"))</f>
        <v/>
      </c>
      <c r="C70" s="43" t="str">
        <f>IF(A70="","",IFERROR(VLOOKUP(A70,DB_Customers!$A:$N,14,0),""))</f>
        <v/>
      </c>
      <c r="D70" s="42" t="str">
        <f t="shared" ca="1" si="3"/>
        <v/>
      </c>
      <c r="E70" s="32"/>
      <c r="F70" s="31"/>
      <c r="G70" s="43" t="str">
        <f t="shared" si="4"/>
        <v/>
      </c>
      <c r="H70" s="30" t="s">
        <v>63</v>
      </c>
      <c r="I70" s="41"/>
      <c r="J70" s="33" t="str">
        <f>IF(AND(A70&lt;&gt;"",E70&lt;&gt;""),IF(I70="","⚠️ Enter Code",IF(IFERROR(VLOOKUP(H70,DB_Agents!$B:$F,4,0),"")=TEXT(I70,"0"),IF(C70&gt;=E70,"✅ Successful","❌ Insufficient Funds"),"🔒 WRONG CODE")),"Pending")</f>
        <v>Pending</v>
      </c>
      <c r="K70" s="33" t="str">
        <f t="shared" ca="1" si="5"/>
        <v>—</v>
      </c>
      <c r="L70" s="50"/>
    </row>
    <row r="71" spans="1:12" ht="20.100000000000001" customHeight="1" x14ac:dyDescent="0.25">
      <c r="A71" s="41"/>
      <c r="B71" s="35" t="str">
        <f>IF(A71="","",IFERROR(VLOOKUP(A71,DB_Customers!$A:$B,2,0),"❌ Account Not Found"))</f>
        <v/>
      </c>
      <c r="C71" s="43" t="str">
        <f>IF(A71="","",IFERROR(VLOOKUP(A71,DB_Customers!$A:$N,14,0),""))</f>
        <v/>
      </c>
      <c r="D71" s="42" t="str">
        <f t="shared" ca="1" si="3"/>
        <v/>
      </c>
      <c r="E71" s="32"/>
      <c r="F71" s="31"/>
      <c r="G71" s="43" t="str">
        <f t="shared" si="4"/>
        <v/>
      </c>
      <c r="H71" s="30" t="s">
        <v>63</v>
      </c>
      <c r="I71" s="41"/>
      <c r="J71" s="33" t="str">
        <f>IF(AND(A71&lt;&gt;"",E71&lt;&gt;""),IF(I71="","⚠️ Enter Code",IF(IFERROR(VLOOKUP(H71,DB_Agents!$B:$F,4,0),"")=TEXT(I71,"0"),IF(C71&gt;=E71,"✅ Successful","❌ Insufficient Funds"),"🔒 WRONG CODE")),"Pending")</f>
        <v>Pending</v>
      </c>
      <c r="K71" s="33" t="str">
        <f t="shared" ca="1" si="5"/>
        <v>—</v>
      </c>
      <c r="L71" s="22"/>
    </row>
    <row r="72" spans="1:12" ht="20.100000000000001" customHeight="1" x14ac:dyDescent="0.25">
      <c r="A72" s="41"/>
      <c r="B72" s="35" t="str">
        <f>IF(A72="","",IFERROR(VLOOKUP(A72,DB_Customers!$A:$B,2,0),"❌ Account Not Found"))</f>
        <v/>
      </c>
      <c r="C72" s="43" t="str">
        <f>IF(A72="","",IFERROR(VLOOKUP(A72,DB_Customers!$A:$N,14,0),""))</f>
        <v/>
      </c>
      <c r="D72" s="42" t="str">
        <f t="shared" ca="1" si="3"/>
        <v/>
      </c>
      <c r="E72" s="32"/>
      <c r="F72" s="31"/>
      <c r="G72" s="43" t="str">
        <f t="shared" si="4"/>
        <v/>
      </c>
      <c r="H72" s="30" t="s">
        <v>63</v>
      </c>
      <c r="I72" s="41"/>
      <c r="J72" s="33" t="str">
        <f>IF(AND(A72&lt;&gt;"",E72&lt;&gt;""),IF(I72="","⚠️ Enter Code",IF(IFERROR(VLOOKUP(H72,DB_Agents!$B:$F,4,0),"")=TEXT(I72,"0"),IF(C72&gt;=E72,"✅ Successful","❌ Insufficient Funds"),"🔒 WRONG CODE")),"Pending")</f>
        <v>Pending</v>
      </c>
      <c r="K72" s="33" t="str">
        <f t="shared" ca="1" si="5"/>
        <v>—</v>
      </c>
      <c r="L72" s="50"/>
    </row>
    <row r="73" spans="1:12" ht="20.100000000000001" customHeight="1" x14ac:dyDescent="0.25">
      <c r="A73" s="41"/>
      <c r="B73" s="35" t="str">
        <f>IF(A73="","",IFERROR(VLOOKUP(A73,DB_Customers!$A:$B,2,0),"❌ Account Not Found"))</f>
        <v/>
      </c>
      <c r="C73" s="43" t="str">
        <f>IF(A73="","",IFERROR(VLOOKUP(A73,DB_Customers!$A:$N,14,0),""))</f>
        <v/>
      </c>
      <c r="D73" s="42" t="str">
        <f t="shared" ref="D73:D104" ca="1" si="6">IF(A73="","",TODAY())</f>
        <v/>
      </c>
      <c r="E73" s="32"/>
      <c r="F73" s="31"/>
      <c r="G73" s="43" t="str">
        <f t="shared" ref="G73:G104" si="7">IFERROR(IF(OR(A73="",E73=""),"",C73-E73),"")</f>
        <v/>
      </c>
      <c r="H73" s="30" t="s">
        <v>63</v>
      </c>
      <c r="I73" s="41"/>
      <c r="J73" s="33" t="str">
        <f>IF(AND(A73&lt;&gt;"",E73&lt;&gt;""),IF(I73="","⚠️ Enter Code",IF(IFERROR(VLOOKUP(H73,DB_Agents!$B:$F,4,0),"")=TEXT(I73,"0"),IF(C73&gt;=E73,"✅ Successful","❌ Insufficient Funds"),"🔒 WRONG CODE")),"Pending")</f>
        <v>Pending</v>
      </c>
      <c r="K73" s="33" t="str">
        <f t="shared" ref="K73:K104" ca="1" si="8">IF(J73="✅ Successful",TEXT(TODAY(),"YYYY-MM-DD")&amp;" Auto","—")</f>
        <v>—</v>
      </c>
      <c r="L73" s="22"/>
    </row>
    <row r="74" spans="1:12" ht="20.100000000000001" customHeight="1" x14ac:dyDescent="0.25">
      <c r="A74" s="41"/>
      <c r="B74" s="35" t="str">
        <f>IF(A74="","",IFERROR(VLOOKUP(A74,DB_Customers!$A:$B,2,0),"❌ Account Not Found"))</f>
        <v/>
      </c>
      <c r="C74" s="43" t="str">
        <f>IF(A74="","",IFERROR(VLOOKUP(A74,DB_Customers!$A:$N,14,0),""))</f>
        <v/>
      </c>
      <c r="D74" s="42" t="str">
        <f t="shared" ca="1" si="6"/>
        <v/>
      </c>
      <c r="E74" s="32"/>
      <c r="F74" s="31"/>
      <c r="G74" s="43" t="str">
        <f t="shared" si="7"/>
        <v/>
      </c>
      <c r="H74" s="30" t="s">
        <v>63</v>
      </c>
      <c r="I74" s="41"/>
      <c r="J74" s="33" t="str">
        <f>IF(AND(A74&lt;&gt;"",E74&lt;&gt;""),IF(I74="","⚠️ Enter Code",IF(IFERROR(VLOOKUP(H74,DB_Agents!$B:$F,4,0),"")=TEXT(I74,"0"),IF(C74&gt;=E74,"✅ Successful","❌ Insufficient Funds"),"🔒 WRONG CODE")),"Pending")</f>
        <v>Pending</v>
      </c>
      <c r="K74" s="33" t="str">
        <f t="shared" ca="1" si="8"/>
        <v>—</v>
      </c>
      <c r="L74" s="50"/>
    </row>
    <row r="75" spans="1:12" ht="20.100000000000001" customHeight="1" x14ac:dyDescent="0.25">
      <c r="A75" s="41"/>
      <c r="B75" s="35" t="str">
        <f>IF(A75="","",IFERROR(VLOOKUP(A75,DB_Customers!$A:$B,2,0),"❌ Account Not Found"))</f>
        <v/>
      </c>
      <c r="C75" s="43" t="str">
        <f>IF(A75="","",IFERROR(VLOOKUP(A75,DB_Customers!$A:$N,14,0),""))</f>
        <v/>
      </c>
      <c r="D75" s="42" t="str">
        <f t="shared" ca="1" si="6"/>
        <v/>
      </c>
      <c r="E75" s="32"/>
      <c r="F75" s="31"/>
      <c r="G75" s="43" t="str">
        <f t="shared" si="7"/>
        <v/>
      </c>
      <c r="H75" s="30" t="s">
        <v>63</v>
      </c>
      <c r="I75" s="41"/>
      <c r="J75" s="33" t="str">
        <f>IF(AND(A75&lt;&gt;"",E75&lt;&gt;""),IF(I75="","⚠️ Enter Code",IF(IFERROR(VLOOKUP(H75,DB_Agents!$B:$F,4,0),"")=TEXT(I75,"0"),IF(C75&gt;=E75,"✅ Successful","❌ Insufficient Funds"),"🔒 WRONG CODE")),"Pending")</f>
        <v>Pending</v>
      </c>
      <c r="K75" s="33" t="str">
        <f t="shared" ca="1" si="8"/>
        <v>—</v>
      </c>
      <c r="L75" s="22"/>
    </row>
    <row r="76" spans="1:12" ht="20.100000000000001" customHeight="1" x14ac:dyDescent="0.25">
      <c r="A76" s="41"/>
      <c r="B76" s="35" t="str">
        <f>IF(A76="","",IFERROR(VLOOKUP(A76,DB_Customers!$A:$B,2,0),"❌ Account Not Found"))</f>
        <v/>
      </c>
      <c r="C76" s="43" t="str">
        <f>IF(A76="","",IFERROR(VLOOKUP(A76,DB_Customers!$A:$N,14,0),""))</f>
        <v/>
      </c>
      <c r="D76" s="42" t="str">
        <f t="shared" ca="1" si="6"/>
        <v/>
      </c>
      <c r="E76" s="32"/>
      <c r="F76" s="31"/>
      <c r="G76" s="43" t="str">
        <f t="shared" si="7"/>
        <v/>
      </c>
      <c r="H76" s="30" t="s">
        <v>63</v>
      </c>
      <c r="I76" s="41"/>
      <c r="J76" s="33" t="str">
        <f>IF(AND(A76&lt;&gt;"",E76&lt;&gt;""),IF(I76="","⚠️ Enter Code",IF(IFERROR(VLOOKUP(H76,DB_Agents!$B:$F,4,0),"")=TEXT(I76,"0"),IF(C76&gt;=E76,"✅ Successful","❌ Insufficient Funds"),"🔒 WRONG CODE")),"Pending")</f>
        <v>Pending</v>
      </c>
      <c r="K76" s="33" t="str">
        <f t="shared" ca="1" si="8"/>
        <v>—</v>
      </c>
      <c r="L76" s="50"/>
    </row>
    <row r="77" spans="1:12" ht="20.100000000000001" customHeight="1" x14ac:dyDescent="0.25">
      <c r="A77" s="41"/>
      <c r="B77" s="35" t="str">
        <f>IF(A77="","",IFERROR(VLOOKUP(A77,DB_Customers!$A:$B,2,0),"❌ Account Not Found"))</f>
        <v/>
      </c>
      <c r="C77" s="43" t="str">
        <f>IF(A77="","",IFERROR(VLOOKUP(A77,DB_Customers!$A:$N,14,0),""))</f>
        <v/>
      </c>
      <c r="D77" s="42" t="str">
        <f t="shared" ca="1" si="6"/>
        <v/>
      </c>
      <c r="E77" s="32"/>
      <c r="F77" s="31"/>
      <c r="G77" s="43" t="str">
        <f t="shared" si="7"/>
        <v/>
      </c>
      <c r="H77" s="30" t="s">
        <v>63</v>
      </c>
      <c r="I77" s="41"/>
      <c r="J77" s="33" t="str">
        <f>IF(AND(A77&lt;&gt;"",E77&lt;&gt;""),IF(I77="","⚠️ Enter Code",IF(IFERROR(VLOOKUP(H77,DB_Agents!$B:$F,4,0),"")=TEXT(I77,"0"),IF(C77&gt;=E77,"✅ Successful","❌ Insufficient Funds"),"🔒 WRONG CODE")),"Pending")</f>
        <v>Pending</v>
      </c>
      <c r="K77" s="33" t="str">
        <f t="shared" ca="1" si="8"/>
        <v>—</v>
      </c>
      <c r="L77" s="22"/>
    </row>
    <row r="78" spans="1:12" ht="20.100000000000001" customHeight="1" x14ac:dyDescent="0.25">
      <c r="A78" s="41"/>
      <c r="B78" s="35" t="str">
        <f>IF(A78="","",IFERROR(VLOOKUP(A78,DB_Customers!$A:$B,2,0),"❌ Account Not Found"))</f>
        <v/>
      </c>
      <c r="C78" s="43" t="str">
        <f>IF(A78="","",IFERROR(VLOOKUP(A78,DB_Customers!$A:$N,14,0),""))</f>
        <v/>
      </c>
      <c r="D78" s="42" t="str">
        <f t="shared" ca="1" si="6"/>
        <v/>
      </c>
      <c r="E78" s="32"/>
      <c r="F78" s="31"/>
      <c r="G78" s="43" t="str">
        <f t="shared" si="7"/>
        <v/>
      </c>
      <c r="H78" s="30" t="s">
        <v>63</v>
      </c>
      <c r="I78" s="41"/>
      <c r="J78" s="33" t="str">
        <f>IF(AND(A78&lt;&gt;"",E78&lt;&gt;""),IF(I78="","⚠️ Enter Code",IF(IFERROR(VLOOKUP(H78,DB_Agents!$B:$F,4,0),"")=TEXT(I78,"0"),IF(C78&gt;=E78,"✅ Successful","❌ Insufficient Funds"),"🔒 WRONG CODE")),"Pending")</f>
        <v>Pending</v>
      </c>
      <c r="K78" s="33" t="str">
        <f t="shared" ca="1" si="8"/>
        <v>—</v>
      </c>
      <c r="L78" s="50"/>
    </row>
    <row r="79" spans="1:12" ht="20.100000000000001" customHeight="1" x14ac:dyDescent="0.25">
      <c r="A79" s="41"/>
      <c r="B79" s="35" t="str">
        <f>IF(A79="","",IFERROR(VLOOKUP(A79,DB_Customers!$A:$B,2,0),"❌ Account Not Found"))</f>
        <v/>
      </c>
      <c r="C79" s="43" t="str">
        <f>IF(A79="","",IFERROR(VLOOKUP(A79,DB_Customers!$A:$N,14,0),""))</f>
        <v/>
      </c>
      <c r="D79" s="42" t="str">
        <f t="shared" ca="1" si="6"/>
        <v/>
      </c>
      <c r="E79" s="32"/>
      <c r="F79" s="31"/>
      <c r="G79" s="43" t="str">
        <f t="shared" si="7"/>
        <v/>
      </c>
      <c r="H79" s="30" t="s">
        <v>63</v>
      </c>
      <c r="I79" s="41"/>
      <c r="J79" s="33" t="str">
        <f>IF(AND(A79&lt;&gt;"",E79&lt;&gt;""),IF(I79="","⚠️ Enter Code",IF(IFERROR(VLOOKUP(H79,DB_Agents!$B:$F,4,0),"")=TEXT(I79,"0"),IF(C79&gt;=E79,"✅ Successful","❌ Insufficient Funds"),"🔒 WRONG CODE")),"Pending")</f>
        <v>Pending</v>
      </c>
      <c r="K79" s="33" t="str">
        <f t="shared" ca="1" si="8"/>
        <v>—</v>
      </c>
      <c r="L79" s="22"/>
    </row>
    <row r="80" spans="1:12" ht="20.100000000000001" customHeight="1" x14ac:dyDescent="0.25">
      <c r="A80" s="41"/>
      <c r="B80" s="35" t="str">
        <f>IF(A80="","",IFERROR(VLOOKUP(A80,DB_Customers!$A:$B,2,0),"❌ Account Not Found"))</f>
        <v/>
      </c>
      <c r="C80" s="43" t="str">
        <f>IF(A80="","",IFERROR(VLOOKUP(A80,DB_Customers!$A:$N,14,0),""))</f>
        <v/>
      </c>
      <c r="D80" s="42" t="str">
        <f t="shared" ca="1" si="6"/>
        <v/>
      </c>
      <c r="E80" s="32"/>
      <c r="F80" s="31"/>
      <c r="G80" s="43" t="str">
        <f t="shared" si="7"/>
        <v/>
      </c>
      <c r="H80" s="30" t="s">
        <v>63</v>
      </c>
      <c r="I80" s="41"/>
      <c r="J80" s="33" t="str">
        <f>IF(AND(A80&lt;&gt;"",E80&lt;&gt;""),IF(I80="","⚠️ Enter Code",IF(IFERROR(VLOOKUP(H80,DB_Agents!$B:$F,4,0),"")=TEXT(I80,"0"),IF(C80&gt;=E80,"✅ Successful","❌ Insufficient Funds"),"🔒 WRONG CODE")),"Pending")</f>
        <v>Pending</v>
      </c>
      <c r="K80" s="33" t="str">
        <f t="shared" ca="1" si="8"/>
        <v>—</v>
      </c>
      <c r="L80" s="50"/>
    </row>
    <row r="81" spans="1:12" ht="20.100000000000001" customHeight="1" x14ac:dyDescent="0.25">
      <c r="A81" s="41"/>
      <c r="B81" s="35" t="str">
        <f>IF(A81="","",IFERROR(VLOOKUP(A81,DB_Customers!$A:$B,2,0),"❌ Account Not Found"))</f>
        <v/>
      </c>
      <c r="C81" s="43" t="str">
        <f>IF(A81="","",IFERROR(VLOOKUP(A81,DB_Customers!$A:$N,14,0),""))</f>
        <v/>
      </c>
      <c r="D81" s="42" t="str">
        <f t="shared" ca="1" si="6"/>
        <v/>
      </c>
      <c r="E81" s="32"/>
      <c r="F81" s="31"/>
      <c r="G81" s="43" t="str">
        <f t="shared" si="7"/>
        <v/>
      </c>
      <c r="H81" s="30" t="s">
        <v>63</v>
      </c>
      <c r="I81" s="41"/>
      <c r="J81" s="33" t="str">
        <f>IF(AND(A81&lt;&gt;"",E81&lt;&gt;""),IF(I81="","⚠️ Enter Code",IF(IFERROR(VLOOKUP(H81,DB_Agents!$B:$F,4,0),"")=TEXT(I81,"0"),IF(C81&gt;=E81,"✅ Successful","❌ Insufficient Funds"),"🔒 WRONG CODE")),"Pending")</f>
        <v>Pending</v>
      </c>
      <c r="K81" s="33" t="str">
        <f t="shared" ca="1" si="8"/>
        <v>—</v>
      </c>
      <c r="L81" s="22"/>
    </row>
    <row r="82" spans="1:12" ht="20.100000000000001" customHeight="1" x14ac:dyDescent="0.25">
      <c r="A82" s="41"/>
      <c r="B82" s="35" t="str">
        <f>IF(A82="","",IFERROR(VLOOKUP(A82,DB_Customers!$A:$B,2,0),"❌ Account Not Found"))</f>
        <v/>
      </c>
      <c r="C82" s="43" t="str">
        <f>IF(A82="","",IFERROR(VLOOKUP(A82,DB_Customers!$A:$N,14,0),""))</f>
        <v/>
      </c>
      <c r="D82" s="42" t="str">
        <f t="shared" ca="1" si="6"/>
        <v/>
      </c>
      <c r="E82" s="32"/>
      <c r="F82" s="31"/>
      <c r="G82" s="43" t="str">
        <f t="shared" si="7"/>
        <v/>
      </c>
      <c r="H82" s="30" t="s">
        <v>63</v>
      </c>
      <c r="I82" s="41"/>
      <c r="J82" s="33" t="str">
        <f>IF(AND(A82&lt;&gt;"",E82&lt;&gt;""),IF(I82="","⚠️ Enter Code",IF(IFERROR(VLOOKUP(H82,DB_Agents!$B:$F,4,0),"")=TEXT(I82,"0"),IF(C82&gt;=E82,"✅ Successful","❌ Insufficient Funds"),"🔒 WRONG CODE")),"Pending")</f>
        <v>Pending</v>
      </c>
      <c r="K82" s="33" t="str">
        <f t="shared" ca="1" si="8"/>
        <v>—</v>
      </c>
      <c r="L82" s="50"/>
    </row>
    <row r="83" spans="1:12" ht="20.100000000000001" customHeight="1" x14ac:dyDescent="0.25">
      <c r="A83" s="41"/>
      <c r="B83" s="35" t="str">
        <f>IF(A83="","",IFERROR(VLOOKUP(A83,DB_Customers!$A:$B,2,0),"❌ Account Not Found"))</f>
        <v/>
      </c>
      <c r="C83" s="43" t="str">
        <f>IF(A83="","",IFERROR(VLOOKUP(A83,DB_Customers!$A:$N,14,0),""))</f>
        <v/>
      </c>
      <c r="D83" s="42" t="str">
        <f t="shared" ca="1" si="6"/>
        <v/>
      </c>
      <c r="E83" s="32"/>
      <c r="F83" s="31"/>
      <c r="G83" s="43" t="str">
        <f t="shared" si="7"/>
        <v/>
      </c>
      <c r="H83" s="30" t="s">
        <v>63</v>
      </c>
      <c r="I83" s="41"/>
      <c r="J83" s="33" t="str">
        <f>IF(AND(A83&lt;&gt;"",E83&lt;&gt;""),IF(I83="","⚠️ Enter Code",IF(IFERROR(VLOOKUP(H83,DB_Agents!$B:$F,4,0),"")=TEXT(I83,"0"),IF(C83&gt;=E83,"✅ Successful","❌ Insufficient Funds"),"🔒 WRONG CODE")),"Pending")</f>
        <v>Pending</v>
      </c>
      <c r="K83" s="33" t="str">
        <f t="shared" ca="1" si="8"/>
        <v>—</v>
      </c>
      <c r="L83" s="22"/>
    </row>
    <row r="84" spans="1:12" ht="20.100000000000001" customHeight="1" x14ac:dyDescent="0.25">
      <c r="A84" s="41"/>
      <c r="B84" s="35" t="str">
        <f>IF(A84="","",IFERROR(VLOOKUP(A84,DB_Customers!$A:$B,2,0),"❌ Account Not Found"))</f>
        <v/>
      </c>
      <c r="C84" s="43" t="str">
        <f>IF(A84="","",IFERROR(VLOOKUP(A84,DB_Customers!$A:$N,14,0),""))</f>
        <v/>
      </c>
      <c r="D84" s="42" t="str">
        <f t="shared" ca="1" si="6"/>
        <v/>
      </c>
      <c r="E84" s="32"/>
      <c r="F84" s="31"/>
      <c r="G84" s="43" t="str">
        <f t="shared" si="7"/>
        <v/>
      </c>
      <c r="H84" s="30" t="s">
        <v>63</v>
      </c>
      <c r="I84" s="41"/>
      <c r="J84" s="33" t="str">
        <f>IF(AND(A84&lt;&gt;"",E84&lt;&gt;""),IF(I84="","⚠️ Enter Code",IF(IFERROR(VLOOKUP(H84,DB_Agents!$B:$F,4,0),"")=TEXT(I84,"0"),IF(C84&gt;=E84,"✅ Successful","❌ Insufficient Funds"),"🔒 WRONG CODE")),"Pending")</f>
        <v>Pending</v>
      </c>
      <c r="K84" s="33" t="str">
        <f t="shared" ca="1" si="8"/>
        <v>—</v>
      </c>
      <c r="L84" s="50"/>
    </row>
    <row r="85" spans="1:12" ht="20.100000000000001" customHeight="1" x14ac:dyDescent="0.25">
      <c r="A85" s="41"/>
      <c r="B85" s="35" t="str">
        <f>IF(A85="","",IFERROR(VLOOKUP(A85,DB_Customers!$A:$B,2,0),"❌ Account Not Found"))</f>
        <v/>
      </c>
      <c r="C85" s="43" t="str">
        <f>IF(A85="","",IFERROR(VLOOKUP(A85,DB_Customers!$A:$N,14,0),""))</f>
        <v/>
      </c>
      <c r="D85" s="42" t="str">
        <f t="shared" ca="1" si="6"/>
        <v/>
      </c>
      <c r="E85" s="32"/>
      <c r="F85" s="31"/>
      <c r="G85" s="43" t="str">
        <f t="shared" si="7"/>
        <v/>
      </c>
      <c r="H85" s="30" t="s">
        <v>63</v>
      </c>
      <c r="I85" s="41"/>
      <c r="J85" s="33" t="str">
        <f>IF(AND(A85&lt;&gt;"",E85&lt;&gt;""),IF(I85="","⚠️ Enter Code",IF(IFERROR(VLOOKUP(H85,DB_Agents!$B:$F,4,0),"")=TEXT(I85,"0"),IF(C85&gt;=E85,"✅ Successful","❌ Insufficient Funds"),"🔒 WRONG CODE")),"Pending")</f>
        <v>Pending</v>
      </c>
      <c r="K85" s="33" t="str">
        <f t="shared" ca="1" si="8"/>
        <v>—</v>
      </c>
      <c r="L85" s="22"/>
    </row>
    <row r="86" spans="1:12" ht="20.100000000000001" customHeight="1" x14ac:dyDescent="0.25">
      <c r="A86" s="41"/>
      <c r="B86" s="35" t="str">
        <f>IF(A86="","",IFERROR(VLOOKUP(A86,DB_Customers!$A:$B,2,0),"❌ Account Not Found"))</f>
        <v/>
      </c>
      <c r="C86" s="43" t="str">
        <f>IF(A86="","",IFERROR(VLOOKUP(A86,DB_Customers!$A:$N,14,0),""))</f>
        <v/>
      </c>
      <c r="D86" s="42" t="str">
        <f t="shared" ca="1" si="6"/>
        <v/>
      </c>
      <c r="E86" s="32"/>
      <c r="F86" s="31"/>
      <c r="G86" s="43" t="str">
        <f t="shared" si="7"/>
        <v/>
      </c>
      <c r="H86" s="30" t="s">
        <v>63</v>
      </c>
      <c r="I86" s="41"/>
      <c r="J86" s="33" t="str">
        <f>IF(AND(A86&lt;&gt;"",E86&lt;&gt;""),IF(I86="","⚠️ Enter Code",IF(IFERROR(VLOOKUP(H86,DB_Agents!$B:$F,4,0),"")=TEXT(I86,"0"),IF(C86&gt;=E86,"✅ Successful","❌ Insufficient Funds"),"🔒 WRONG CODE")),"Pending")</f>
        <v>Pending</v>
      </c>
      <c r="K86" s="33" t="str">
        <f t="shared" ca="1" si="8"/>
        <v>—</v>
      </c>
      <c r="L86" s="50"/>
    </row>
    <row r="87" spans="1:12" ht="20.100000000000001" customHeight="1" x14ac:dyDescent="0.25">
      <c r="A87" s="41"/>
      <c r="B87" s="35" t="str">
        <f>IF(A87="","",IFERROR(VLOOKUP(A87,DB_Customers!$A:$B,2,0),"❌ Account Not Found"))</f>
        <v/>
      </c>
      <c r="C87" s="43" t="str">
        <f>IF(A87="","",IFERROR(VLOOKUP(A87,DB_Customers!$A:$N,14,0),""))</f>
        <v/>
      </c>
      <c r="D87" s="42" t="str">
        <f t="shared" ca="1" si="6"/>
        <v/>
      </c>
      <c r="E87" s="32"/>
      <c r="F87" s="31"/>
      <c r="G87" s="43" t="str">
        <f t="shared" si="7"/>
        <v/>
      </c>
      <c r="H87" s="30" t="s">
        <v>63</v>
      </c>
      <c r="I87" s="41"/>
      <c r="J87" s="33" t="str">
        <f>IF(AND(A87&lt;&gt;"",E87&lt;&gt;""),IF(I87="","⚠️ Enter Code",IF(IFERROR(VLOOKUP(H87,DB_Agents!$B:$F,4,0),"")=TEXT(I87,"0"),IF(C87&gt;=E87,"✅ Successful","❌ Insufficient Funds"),"🔒 WRONG CODE")),"Pending")</f>
        <v>Pending</v>
      </c>
      <c r="K87" s="33" t="str">
        <f t="shared" ca="1" si="8"/>
        <v>—</v>
      </c>
      <c r="L87" s="22"/>
    </row>
    <row r="88" spans="1:12" ht="20.100000000000001" customHeight="1" x14ac:dyDescent="0.25">
      <c r="A88" s="41"/>
      <c r="B88" s="35" t="str">
        <f>IF(A88="","",IFERROR(VLOOKUP(A88,DB_Customers!$A:$B,2,0),"❌ Account Not Found"))</f>
        <v/>
      </c>
      <c r="C88" s="43" t="str">
        <f>IF(A88="","",IFERROR(VLOOKUP(A88,DB_Customers!$A:$N,14,0),""))</f>
        <v/>
      </c>
      <c r="D88" s="42" t="str">
        <f t="shared" ca="1" si="6"/>
        <v/>
      </c>
      <c r="E88" s="32"/>
      <c r="F88" s="31"/>
      <c r="G88" s="43" t="str">
        <f t="shared" si="7"/>
        <v/>
      </c>
      <c r="H88" s="30" t="s">
        <v>63</v>
      </c>
      <c r="I88" s="41"/>
      <c r="J88" s="33" t="str">
        <f>IF(AND(A88&lt;&gt;"",E88&lt;&gt;""),IF(I88="","⚠️ Enter Code",IF(IFERROR(VLOOKUP(H88,DB_Agents!$B:$F,4,0),"")=TEXT(I88,"0"),IF(C88&gt;=E88,"✅ Successful","❌ Insufficient Funds"),"🔒 WRONG CODE")),"Pending")</f>
        <v>Pending</v>
      </c>
      <c r="K88" s="33" t="str">
        <f t="shared" ca="1" si="8"/>
        <v>—</v>
      </c>
      <c r="L88" s="50"/>
    </row>
    <row r="89" spans="1:12" ht="20.100000000000001" customHeight="1" x14ac:dyDescent="0.25">
      <c r="A89" s="41"/>
      <c r="B89" s="35" t="str">
        <f>IF(A89="","",IFERROR(VLOOKUP(A89,DB_Customers!$A:$B,2,0),"❌ Account Not Found"))</f>
        <v/>
      </c>
      <c r="C89" s="43" t="str">
        <f>IF(A89="","",IFERROR(VLOOKUP(A89,DB_Customers!$A:$N,14,0),""))</f>
        <v/>
      </c>
      <c r="D89" s="42" t="str">
        <f t="shared" ca="1" si="6"/>
        <v/>
      </c>
      <c r="E89" s="32"/>
      <c r="F89" s="31"/>
      <c r="G89" s="43" t="str">
        <f t="shared" si="7"/>
        <v/>
      </c>
      <c r="H89" s="30" t="s">
        <v>63</v>
      </c>
      <c r="I89" s="41"/>
      <c r="J89" s="33" t="str">
        <f>IF(AND(A89&lt;&gt;"",E89&lt;&gt;""),IF(I89="","⚠️ Enter Code",IF(IFERROR(VLOOKUP(H89,DB_Agents!$B:$F,4,0),"")=TEXT(I89,"0"),IF(C89&gt;=E89,"✅ Successful","❌ Insufficient Funds"),"🔒 WRONG CODE")),"Pending")</f>
        <v>Pending</v>
      </c>
      <c r="K89" s="33" t="str">
        <f t="shared" ca="1" si="8"/>
        <v>—</v>
      </c>
      <c r="L89" s="22"/>
    </row>
    <row r="90" spans="1:12" ht="20.100000000000001" customHeight="1" x14ac:dyDescent="0.25">
      <c r="A90" s="41"/>
      <c r="B90" s="35" t="str">
        <f>IF(A90="","",IFERROR(VLOOKUP(A90,DB_Customers!$A:$B,2,0),"❌ Account Not Found"))</f>
        <v/>
      </c>
      <c r="C90" s="43" t="str">
        <f>IF(A90="","",IFERROR(VLOOKUP(A90,DB_Customers!$A:$N,14,0),""))</f>
        <v/>
      </c>
      <c r="D90" s="42" t="str">
        <f t="shared" ca="1" si="6"/>
        <v/>
      </c>
      <c r="E90" s="32"/>
      <c r="F90" s="31"/>
      <c r="G90" s="43" t="str">
        <f t="shared" si="7"/>
        <v/>
      </c>
      <c r="H90" s="30" t="s">
        <v>63</v>
      </c>
      <c r="I90" s="41"/>
      <c r="J90" s="33" t="str">
        <f>IF(AND(A90&lt;&gt;"",E90&lt;&gt;""),IF(I90="","⚠️ Enter Code",IF(IFERROR(VLOOKUP(H90,DB_Agents!$B:$F,4,0),"")=TEXT(I90,"0"),IF(C90&gt;=E90,"✅ Successful","❌ Insufficient Funds"),"🔒 WRONG CODE")),"Pending")</f>
        <v>Pending</v>
      </c>
      <c r="K90" s="33" t="str">
        <f t="shared" ca="1" si="8"/>
        <v>—</v>
      </c>
      <c r="L90" s="50"/>
    </row>
    <row r="91" spans="1:12" ht="20.100000000000001" customHeight="1" x14ac:dyDescent="0.25">
      <c r="A91" s="41"/>
      <c r="B91" s="35" t="str">
        <f>IF(A91="","",IFERROR(VLOOKUP(A91,DB_Customers!$A:$B,2,0),"❌ Account Not Found"))</f>
        <v/>
      </c>
      <c r="C91" s="43" t="str">
        <f>IF(A91="","",IFERROR(VLOOKUP(A91,DB_Customers!$A:$N,14,0),""))</f>
        <v/>
      </c>
      <c r="D91" s="42" t="str">
        <f t="shared" ca="1" si="6"/>
        <v/>
      </c>
      <c r="E91" s="32"/>
      <c r="F91" s="31"/>
      <c r="G91" s="43" t="str">
        <f t="shared" si="7"/>
        <v/>
      </c>
      <c r="H91" s="30" t="s">
        <v>63</v>
      </c>
      <c r="I91" s="41"/>
      <c r="J91" s="33" t="str">
        <f>IF(AND(A91&lt;&gt;"",E91&lt;&gt;""),IF(I91="","⚠️ Enter Code",IF(IFERROR(VLOOKUP(H91,DB_Agents!$B:$F,4,0),"")=TEXT(I91,"0"),IF(C91&gt;=E91,"✅ Successful","❌ Insufficient Funds"),"🔒 WRONG CODE")),"Pending")</f>
        <v>Pending</v>
      </c>
      <c r="K91" s="33" t="str">
        <f t="shared" ca="1" si="8"/>
        <v>—</v>
      </c>
      <c r="L91" s="22"/>
    </row>
    <row r="92" spans="1:12" ht="20.100000000000001" customHeight="1" x14ac:dyDescent="0.25">
      <c r="A92" s="41"/>
      <c r="B92" s="35" t="str">
        <f>IF(A92="","",IFERROR(VLOOKUP(A92,DB_Customers!$A:$B,2,0),"❌ Account Not Found"))</f>
        <v/>
      </c>
      <c r="C92" s="43" t="str">
        <f>IF(A92="","",IFERROR(VLOOKUP(A92,DB_Customers!$A:$N,14,0),""))</f>
        <v/>
      </c>
      <c r="D92" s="42" t="str">
        <f t="shared" ca="1" si="6"/>
        <v/>
      </c>
      <c r="E92" s="32"/>
      <c r="F92" s="31"/>
      <c r="G92" s="43" t="str">
        <f t="shared" si="7"/>
        <v/>
      </c>
      <c r="H92" s="30" t="s">
        <v>63</v>
      </c>
      <c r="I92" s="41"/>
      <c r="J92" s="33" t="str">
        <f>IF(AND(A92&lt;&gt;"",E92&lt;&gt;""),IF(I92="","⚠️ Enter Code",IF(IFERROR(VLOOKUP(H92,DB_Agents!$B:$F,4,0),"")=TEXT(I92,"0"),IF(C92&gt;=E92,"✅ Successful","❌ Insufficient Funds"),"🔒 WRONG CODE")),"Pending")</f>
        <v>Pending</v>
      </c>
      <c r="K92" s="33" t="str">
        <f t="shared" ca="1" si="8"/>
        <v>—</v>
      </c>
      <c r="L92" s="50"/>
    </row>
    <row r="93" spans="1:12" ht="20.100000000000001" customHeight="1" x14ac:dyDescent="0.25">
      <c r="A93" s="41"/>
      <c r="B93" s="35" t="str">
        <f>IF(A93="","",IFERROR(VLOOKUP(A93,DB_Customers!$A:$B,2,0),"❌ Account Not Found"))</f>
        <v/>
      </c>
      <c r="C93" s="43" t="str">
        <f>IF(A93="","",IFERROR(VLOOKUP(A93,DB_Customers!$A:$N,14,0),""))</f>
        <v/>
      </c>
      <c r="D93" s="42" t="str">
        <f t="shared" ca="1" si="6"/>
        <v/>
      </c>
      <c r="E93" s="32"/>
      <c r="F93" s="31"/>
      <c r="G93" s="43" t="str">
        <f t="shared" si="7"/>
        <v/>
      </c>
      <c r="H93" s="30" t="s">
        <v>63</v>
      </c>
      <c r="I93" s="41"/>
      <c r="J93" s="33" t="str">
        <f>IF(AND(A93&lt;&gt;"",E93&lt;&gt;""),IF(I93="","⚠️ Enter Code",IF(IFERROR(VLOOKUP(H93,DB_Agents!$B:$F,4,0),"")=TEXT(I93,"0"),IF(C93&gt;=E93,"✅ Successful","❌ Insufficient Funds"),"🔒 WRONG CODE")),"Pending")</f>
        <v>Pending</v>
      </c>
      <c r="K93" s="33" t="str">
        <f t="shared" ca="1" si="8"/>
        <v>—</v>
      </c>
      <c r="L93" s="22"/>
    </row>
    <row r="94" spans="1:12" ht="20.100000000000001" customHeight="1" x14ac:dyDescent="0.25">
      <c r="A94" s="41"/>
      <c r="B94" s="35" t="str">
        <f>IF(A94="","",IFERROR(VLOOKUP(A94,DB_Customers!$A:$B,2,0),"❌ Account Not Found"))</f>
        <v/>
      </c>
      <c r="C94" s="43" t="str">
        <f>IF(A94="","",IFERROR(VLOOKUP(A94,DB_Customers!$A:$N,14,0),""))</f>
        <v/>
      </c>
      <c r="D94" s="42" t="str">
        <f t="shared" ca="1" si="6"/>
        <v/>
      </c>
      <c r="E94" s="32"/>
      <c r="F94" s="31"/>
      <c r="G94" s="43" t="str">
        <f t="shared" si="7"/>
        <v/>
      </c>
      <c r="H94" s="30" t="s">
        <v>63</v>
      </c>
      <c r="I94" s="41"/>
      <c r="J94" s="33" t="str">
        <f>IF(AND(A94&lt;&gt;"",E94&lt;&gt;""),IF(I94="","⚠️ Enter Code",IF(IFERROR(VLOOKUP(H94,DB_Agents!$B:$F,4,0),"")=TEXT(I94,"0"),IF(C94&gt;=E94,"✅ Successful","❌ Insufficient Funds"),"🔒 WRONG CODE")),"Pending")</f>
        <v>Pending</v>
      </c>
      <c r="K94" s="33" t="str">
        <f t="shared" ca="1" si="8"/>
        <v>—</v>
      </c>
      <c r="L94" s="50"/>
    </row>
    <row r="95" spans="1:12" ht="20.100000000000001" customHeight="1" x14ac:dyDescent="0.25">
      <c r="A95" s="41"/>
      <c r="B95" s="35" t="str">
        <f>IF(A95="","",IFERROR(VLOOKUP(A95,DB_Customers!$A:$B,2,0),"❌ Account Not Found"))</f>
        <v/>
      </c>
      <c r="C95" s="43" t="str">
        <f>IF(A95="","",IFERROR(VLOOKUP(A95,DB_Customers!$A:$N,14,0),""))</f>
        <v/>
      </c>
      <c r="D95" s="42" t="str">
        <f t="shared" ca="1" si="6"/>
        <v/>
      </c>
      <c r="E95" s="32"/>
      <c r="F95" s="31"/>
      <c r="G95" s="43" t="str">
        <f t="shared" si="7"/>
        <v/>
      </c>
      <c r="H95" s="30" t="s">
        <v>63</v>
      </c>
      <c r="I95" s="41"/>
      <c r="J95" s="33" t="str">
        <f>IF(AND(A95&lt;&gt;"",E95&lt;&gt;""),IF(I95="","⚠️ Enter Code",IF(IFERROR(VLOOKUP(H95,DB_Agents!$B:$F,4,0),"")=TEXT(I95,"0"),IF(C95&gt;=E95,"✅ Successful","❌ Insufficient Funds"),"🔒 WRONG CODE")),"Pending")</f>
        <v>Pending</v>
      </c>
      <c r="K95" s="33" t="str">
        <f t="shared" ca="1" si="8"/>
        <v>—</v>
      </c>
      <c r="L95" s="22"/>
    </row>
    <row r="96" spans="1:12" ht="20.100000000000001" customHeight="1" x14ac:dyDescent="0.25">
      <c r="A96" s="41"/>
      <c r="B96" s="35" t="str">
        <f>IF(A96="","",IFERROR(VLOOKUP(A96,DB_Customers!$A:$B,2,0),"❌ Account Not Found"))</f>
        <v/>
      </c>
      <c r="C96" s="43" t="str">
        <f>IF(A96="","",IFERROR(VLOOKUP(A96,DB_Customers!$A:$N,14,0),""))</f>
        <v/>
      </c>
      <c r="D96" s="42" t="str">
        <f t="shared" ca="1" si="6"/>
        <v/>
      </c>
      <c r="E96" s="32"/>
      <c r="F96" s="31"/>
      <c r="G96" s="43" t="str">
        <f t="shared" si="7"/>
        <v/>
      </c>
      <c r="H96" s="30" t="s">
        <v>63</v>
      </c>
      <c r="I96" s="41"/>
      <c r="J96" s="33" t="str">
        <f>IF(AND(A96&lt;&gt;"",E96&lt;&gt;""),IF(I96="","⚠️ Enter Code",IF(IFERROR(VLOOKUP(H96,DB_Agents!$B:$F,4,0),"")=TEXT(I96,"0"),IF(C96&gt;=E96,"✅ Successful","❌ Insufficient Funds"),"🔒 WRONG CODE")),"Pending")</f>
        <v>Pending</v>
      </c>
      <c r="K96" s="33" t="str">
        <f t="shared" ca="1" si="8"/>
        <v>—</v>
      </c>
      <c r="L96" s="50"/>
    </row>
    <row r="97" spans="1:12" ht="20.100000000000001" customHeight="1" x14ac:dyDescent="0.25">
      <c r="A97" s="41"/>
      <c r="B97" s="35" t="str">
        <f>IF(A97="","",IFERROR(VLOOKUP(A97,DB_Customers!$A:$B,2,0),"❌ Account Not Found"))</f>
        <v/>
      </c>
      <c r="C97" s="43" t="str">
        <f>IF(A97="","",IFERROR(VLOOKUP(A97,DB_Customers!$A:$N,14,0),""))</f>
        <v/>
      </c>
      <c r="D97" s="42" t="str">
        <f t="shared" ca="1" si="6"/>
        <v/>
      </c>
      <c r="E97" s="32"/>
      <c r="F97" s="31"/>
      <c r="G97" s="43" t="str">
        <f t="shared" si="7"/>
        <v/>
      </c>
      <c r="H97" s="30" t="s">
        <v>63</v>
      </c>
      <c r="I97" s="41"/>
      <c r="J97" s="33" t="str">
        <f>IF(AND(A97&lt;&gt;"",E97&lt;&gt;""),IF(I97="","⚠️ Enter Code",IF(IFERROR(VLOOKUP(H97,DB_Agents!$B:$F,4,0),"")=TEXT(I97,"0"),IF(C97&gt;=E97,"✅ Successful","❌ Insufficient Funds"),"🔒 WRONG CODE")),"Pending")</f>
        <v>Pending</v>
      </c>
      <c r="K97" s="33" t="str">
        <f t="shared" ca="1" si="8"/>
        <v>—</v>
      </c>
      <c r="L97" s="22"/>
    </row>
    <row r="98" spans="1:12" ht="20.100000000000001" customHeight="1" x14ac:dyDescent="0.25">
      <c r="A98" s="41"/>
      <c r="B98" s="35" t="str">
        <f>IF(A98="","",IFERROR(VLOOKUP(A98,DB_Customers!$A:$B,2,0),"❌ Account Not Found"))</f>
        <v/>
      </c>
      <c r="C98" s="43" t="str">
        <f>IF(A98="","",IFERROR(VLOOKUP(A98,DB_Customers!$A:$N,14,0),""))</f>
        <v/>
      </c>
      <c r="D98" s="42" t="str">
        <f t="shared" ca="1" si="6"/>
        <v/>
      </c>
      <c r="E98" s="32"/>
      <c r="F98" s="31"/>
      <c r="G98" s="43" t="str">
        <f t="shared" si="7"/>
        <v/>
      </c>
      <c r="H98" s="30" t="s">
        <v>63</v>
      </c>
      <c r="I98" s="41"/>
      <c r="J98" s="33" t="str">
        <f>IF(AND(A98&lt;&gt;"",E98&lt;&gt;""),IF(I98="","⚠️ Enter Code",IF(IFERROR(VLOOKUP(H98,DB_Agents!$B:$F,4,0),"")=TEXT(I98,"0"),IF(C98&gt;=E98,"✅ Successful","❌ Insufficient Funds"),"🔒 WRONG CODE")),"Pending")</f>
        <v>Pending</v>
      </c>
      <c r="K98" s="33" t="str">
        <f t="shared" ca="1" si="8"/>
        <v>—</v>
      </c>
      <c r="L98" s="50"/>
    </row>
    <row r="99" spans="1:12" ht="20.100000000000001" customHeight="1" x14ac:dyDescent="0.25">
      <c r="A99" s="41"/>
      <c r="B99" s="35" t="str">
        <f>IF(A99="","",IFERROR(VLOOKUP(A99,DB_Customers!$A:$B,2,0),"❌ Account Not Found"))</f>
        <v/>
      </c>
      <c r="C99" s="43" t="str">
        <f>IF(A99="","",IFERROR(VLOOKUP(A99,DB_Customers!$A:$N,14,0),""))</f>
        <v/>
      </c>
      <c r="D99" s="42" t="str">
        <f t="shared" ca="1" si="6"/>
        <v/>
      </c>
      <c r="E99" s="32"/>
      <c r="F99" s="31"/>
      <c r="G99" s="43" t="str">
        <f t="shared" si="7"/>
        <v/>
      </c>
      <c r="H99" s="30" t="s">
        <v>63</v>
      </c>
      <c r="I99" s="41"/>
      <c r="J99" s="33" t="str">
        <f>IF(AND(A99&lt;&gt;"",E99&lt;&gt;""),IF(I99="","⚠️ Enter Code",IF(IFERROR(VLOOKUP(H99,DB_Agents!$B:$F,4,0),"")=TEXT(I99,"0"),IF(C99&gt;=E99,"✅ Successful","❌ Insufficient Funds"),"🔒 WRONG CODE")),"Pending")</f>
        <v>Pending</v>
      </c>
      <c r="K99" s="33" t="str">
        <f t="shared" ca="1" si="8"/>
        <v>—</v>
      </c>
      <c r="L99" s="22"/>
    </row>
    <row r="100" spans="1:12" ht="20.100000000000001" customHeight="1" x14ac:dyDescent="0.25">
      <c r="A100" s="41"/>
      <c r="B100" s="35" t="str">
        <f>IF(A100="","",IFERROR(VLOOKUP(A100,DB_Customers!$A:$B,2,0),"❌ Account Not Found"))</f>
        <v/>
      </c>
      <c r="C100" s="43" t="str">
        <f>IF(A100="","",IFERROR(VLOOKUP(A100,DB_Customers!$A:$N,14,0),""))</f>
        <v/>
      </c>
      <c r="D100" s="42" t="str">
        <f t="shared" ca="1" si="6"/>
        <v/>
      </c>
      <c r="E100" s="32"/>
      <c r="F100" s="31"/>
      <c r="G100" s="43" t="str">
        <f t="shared" si="7"/>
        <v/>
      </c>
      <c r="H100" s="30" t="s">
        <v>63</v>
      </c>
      <c r="I100" s="41"/>
      <c r="J100" s="33" t="str">
        <f>IF(AND(A100&lt;&gt;"",E100&lt;&gt;""),IF(I100="","⚠️ Enter Code",IF(IFERROR(VLOOKUP(H100,DB_Agents!$B:$F,4,0),"")=TEXT(I100,"0"),IF(C100&gt;=E100,"✅ Successful","❌ Insufficient Funds"),"🔒 WRONG CODE")),"Pending")</f>
        <v>Pending</v>
      </c>
      <c r="K100" s="33" t="str">
        <f t="shared" ca="1" si="8"/>
        <v>—</v>
      </c>
      <c r="L100" s="50"/>
    </row>
    <row r="101" spans="1:12" ht="20.100000000000001" customHeight="1" x14ac:dyDescent="0.25">
      <c r="A101" s="41"/>
      <c r="B101" s="35" t="str">
        <f>IF(A101="","",IFERROR(VLOOKUP(A101,DB_Customers!$A:$B,2,0),"❌ Account Not Found"))</f>
        <v/>
      </c>
      <c r="C101" s="43" t="str">
        <f>IF(A101="","",IFERROR(VLOOKUP(A101,DB_Customers!$A:$N,14,0),""))</f>
        <v/>
      </c>
      <c r="D101" s="42" t="str">
        <f t="shared" ca="1" si="6"/>
        <v/>
      </c>
      <c r="E101" s="32"/>
      <c r="F101" s="31"/>
      <c r="G101" s="43" t="str">
        <f t="shared" si="7"/>
        <v/>
      </c>
      <c r="H101" s="30" t="s">
        <v>63</v>
      </c>
      <c r="I101" s="41"/>
      <c r="J101" s="33" t="str">
        <f>IF(AND(A101&lt;&gt;"",E101&lt;&gt;""),IF(I101="","⚠️ Enter Code",IF(IFERROR(VLOOKUP(H101,DB_Agents!$B:$F,4,0),"")=TEXT(I101,"0"),IF(C101&gt;=E101,"✅ Successful","❌ Insufficient Funds"),"🔒 WRONG CODE")),"Pending")</f>
        <v>Pending</v>
      </c>
      <c r="K101" s="33" t="str">
        <f t="shared" ca="1" si="8"/>
        <v>—</v>
      </c>
      <c r="L101" s="22"/>
    </row>
    <row r="102" spans="1:12" ht="20.100000000000001" customHeight="1" x14ac:dyDescent="0.25">
      <c r="A102" s="41"/>
      <c r="B102" s="35" t="str">
        <f>IF(A102="","",IFERROR(VLOOKUP(A102,DB_Customers!$A:$B,2,0),"❌ Account Not Found"))</f>
        <v/>
      </c>
      <c r="C102" s="43" t="str">
        <f>IF(A102="","",IFERROR(VLOOKUP(A102,DB_Customers!$A:$N,14,0),""))</f>
        <v/>
      </c>
      <c r="D102" s="42" t="str">
        <f t="shared" ca="1" si="6"/>
        <v/>
      </c>
      <c r="E102" s="32"/>
      <c r="F102" s="31"/>
      <c r="G102" s="43" t="str">
        <f t="shared" si="7"/>
        <v/>
      </c>
      <c r="H102" s="30" t="s">
        <v>63</v>
      </c>
      <c r="I102" s="41"/>
      <c r="J102" s="33" t="str">
        <f>IF(AND(A102&lt;&gt;"",E102&lt;&gt;""),IF(I102="","⚠️ Enter Code",IF(IFERROR(VLOOKUP(H102,DB_Agents!$B:$F,4,0),"")=TEXT(I102,"0"),IF(C102&gt;=E102,"✅ Successful","❌ Insufficient Funds"),"🔒 WRONG CODE")),"Pending")</f>
        <v>Pending</v>
      </c>
      <c r="K102" s="33" t="str">
        <f t="shared" ca="1" si="8"/>
        <v>—</v>
      </c>
      <c r="L102" s="50"/>
    </row>
    <row r="103" spans="1:12" ht="20.100000000000001" customHeight="1" x14ac:dyDescent="0.25">
      <c r="A103" s="41"/>
      <c r="B103" s="35" t="str">
        <f>IF(A103="","",IFERROR(VLOOKUP(A103,DB_Customers!$A:$B,2,0),"❌ Account Not Found"))</f>
        <v/>
      </c>
      <c r="C103" s="43" t="str">
        <f>IF(A103="","",IFERROR(VLOOKUP(A103,DB_Customers!$A:$N,14,0),""))</f>
        <v/>
      </c>
      <c r="D103" s="42" t="str">
        <f t="shared" ca="1" si="6"/>
        <v/>
      </c>
      <c r="E103" s="32"/>
      <c r="F103" s="31"/>
      <c r="G103" s="43" t="str">
        <f t="shared" si="7"/>
        <v/>
      </c>
      <c r="H103" s="30" t="s">
        <v>63</v>
      </c>
      <c r="I103" s="41"/>
      <c r="J103" s="33" t="str">
        <f>IF(AND(A103&lt;&gt;"",E103&lt;&gt;""),IF(I103="","⚠️ Enter Code",IF(IFERROR(VLOOKUP(H103,DB_Agents!$B:$F,4,0),"")=TEXT(I103,"0"),IF(C103&gt;=E103,"✅ Successful","❌ Insufficient Funds"),"🔒 WRONG CODE")),"Pending")</f>
        <v>Pending</v>
      </c>
      <c r="K103" s="33" t="str">
        <f t="shared" ca="1" si="8"/>
        <v>—</v>
      </c>
      <c r="L103" s="22"/>
    </row>
    <row r="104" spans="1:12" ht="20.100000000000001" customHeight="1" x14ac:dyDescent="0.25">
      <c r="A104" s="41"/>
      <c r="B104" s="35" t="str">
        <f>IF(A104="","",IFERROR(VLOOKUP(A104,DB_Customers!$A:$B,2,0),"❌ Account Not Found"))</f>
        <v/>
      </c>
      <c r="C104" s="43" t="str">
        <f>IF(A104="","",IFERROR(VLOOKUP(A104,DB_Customers!$A:$N,14,0),""))</f>
        <v/>
      </c>
      <c r="D104" s="42" t="str">
        <f t="shared" ca="1" si="6"/>
        <v/>
      </c>
      <c r="E104" s="32"/>
      <c r="F104" s="31"/>
      <c r="G104" s="43" t="str">
        <f t="shared" si="7"/>
        <v/>
      </c>
      <c r="H104" s="30" t="s">
        <v>63</v>
      </c>
      <c r="I104" s="41"/>
      <c r="J104" s="33" t="str">
        <f>IF(AND(A104&lt;&gt;"",E104&lt;&gt;""),IF(I104="","⚠️ Enter Code",IF(IFERROR(VLOOKUP(H104,DB_Agents!$B:$F,4,0),"")=TEXT(I104,"0"),IF(C104&gt;=E104,"✅ Successful","❌ Insufficient Funds"),"🔒 WRONG CODE")),"Pending")</f>
        <v>Pending</v>
      </c>
      <c r="K104" s="33" t="str">
        <f t="shared" ca="1" si="8"/>
        <v>—</v>
      </c>
      <c r="L104" s="50"/>
    </row>
    <row r="105" spans="1:12" ht="20.100000000000001" customHeight="1" x14ac:dyDescent="0.25">
      <c r="A105" s="41"/>
      <c r="B105" s="35" t="str">
        <f>IF(A105="","",IFERROR(VLOOKUP(A105,DB_Customers!$A:$B,2,0),"❌ Account Not Found"))</f>
        <v/>
      </c>
      <c r="C105" s="43" t="str">
        <f>IF(A105="","",IFERROR(VLOOKUP(A105,DB_Customers!$A:$N,14,0),""))</f>
        <v/>
      </c>
      <c r="D105" s="42" t="str">
        <f t="shared" ref="D105:D136" ca="1" si="9">IF(A105="","",TODAY())</f>
        <v/>
      </c>
      <c r="E105" s="32"/>
      <c r="F105" s="31"/>
      <c r="G105" s="43" t="str">
        <f t="shared" ref="G105:G136" si="10">IFERROR(IF(OR(A105="",E105=""),"",C105-E105),"")</f>
        <v/>
      </c>
      <c r="H105" s="30" t="s">
        <v>63</v>
      </c>
      <c r="I105" s="41"/>
      <c r="J105" s="33" t="str">
        <f>IF(AND(A105&lt;&gt;"",E105&lt;&gt;""),IF(I105="","⚠️ Enter Code",IF(IFERROR(VLOOKUP(H105,DB_Agents!$B:$F,4,0),"")=TEXT(I105,"0"),IF(C105&gt;=E105,"✅ Successful","❌ Insufficient Funds"),"🔒 WRONG CODE")),"Pending")</f>
        <v>Pending</v>
      </c>
      <c r="K105" s="33" t="str">
        <f t="shared" ref="K105:K136" ca="1" si="11">IF(J105="✅ Successful",TEXT(TODAY(),"YYYY-MM-DD")&amp;" Auto","—")</f>
        <v>—</v>
      </c>
      <c r="L105" s="22"/>
    </row>
    <row r="106" spans="1:12" ht="20.100000000000001" customHeight="1" x14ac:dyDescent="0.25">
      <c r="A106" s="41"/>
      <c r="B106" s="35" t="str">
        <f>IF(A106="","",IFERROR(VLOOKUP(A106,DB_Customers!$A:$B,2,0),"❌ Account Not Found"))</f>
        <v/>
      </c>
      <c r="C106" s="43" t="str">
        <f>IF(A106="","",IFERROR(VLOOKUP(A106,DB_Customers!$A:$N,14,0),""))</f>
        <v/>
      </c>
      <c r="D106" s="42" t="str">
        <f t="shared" ca="1" si="9"/>
        <v/>
      </c>
      <c r="E106" s="32"/>
      <c r="F106" s="31"/>
      <c r="G106" s="43" t="str">
        <f t="shared" si="10"/>
        <v/>
      </c>
      <c r="H106" s="30" t="s">
        <v>63</v>
      </c>
      <c r="I106" s="41"/>
      <c r="J106" s="33" t="str">
        <f>IF(AND(A106&lt;&gt;"",E106&lt;&gt;""),IF(I106="","⚠️ Enter Code",IF(IFERROR(VLOOKUP(H106,DB_Agents!$B:$F,4,0),"")=TEXT(I106,"0"),IF(C106&gt;=E106,"✅ Successful","❌ Insufficient Funds"),"🔒 WRONG CODE")),"Pending")</f>
        <v>Pending</v>
      </c>
      <c r="K106" s="33" t="str">
        <f t="shared" ca="1" si="11"/>
        <v>—</v>
      </c>
      <c r="L106" s="50"/>
    </row>
    <row r="107" spans="1:12" ht="20.100000000000001" customHeight="1" x14ac:dyDescent="0.25">
      <c r="A107" s="41"/>
      <c r="B107" s="35" t="str">
        <f>IF(A107="","",IFERROR(VLOOKUP(A107,DB_Customers!$A:$B,2,0),"❌ Account Not Found"))</f>
        <v/>
      </c>
      <c r="C107" s="43" t="str">
        <f>IF(A107="","",IFERROR(VLOOKUP(A107,DB_Customers!$A:$N,14,0),""))</f>
        <v/>
      </c>
      <c r="D107" s="42" t="str">
        <f t="shared" ca="1" si="9"/>
        <v/>
      </c>
      <c r="E107" s="32"/>
      <c r="F107" s="31"/>
      <c r="G107" s="43" t="str">
        <f t="shared" si="10"/>
        <v/>
      </c>
      <c r="H107" s="30" t="s">
        <v>63</v>
      </c>
      <c r="I107" s="41"/>
      <c r="J107" s="33" t="str">
        <f>IF(AND(A107&lt;&gt;"",E107&lt;&gt;""),IF(I107="","⚠️ Enter Code",IF(IFERROR(VLOOKUP(H107,DB_Agents!$B:$F,4,0),"")=TEXT(I107,"0"),IF(C107&gt;=E107,"✅ Successful","❌ Insufficient Funds"),"🔒 WRONG CODE")),"Pending")</f>
        <v>Pending</v>
      </c>
      <c r="K107" s="33" t="str">
        <f t="shared" ca="1" si="11"/>
        <v>—</v>
      </c>
      <c r="L107" s="22"/>
    </row>
    <row r="108" spans="1:12" ht="20.100000000000001" customHeight="1" x14ac:dyDescent="0.25">
      <c r="A108" s="41"/>
      <c r="B108" s="35" t="str">
        <f>IF(A108="","",IFERROR(VLOOKUP(A108,DB_Customers!$A:$B,2,0),"❌ Account Not Found"))</f>
        <v/>
      </c>
      <c r="C108" s="43" t="str">
        <f>IF(A108="","",IFERROR(VLOOKUP(A108,DB_Customers!$A:$N,14,0),""))</f>
        <v/>
      </c>
      <c r="D108" s="42" t="str">
        <f t="shared" ca="1" si="9"/>
        <v/>
      </c>
      <c r="E108" s="32"/>
      <c r="F108" s="31"/>
      <c r="G108" s="43" t="str">
        <f t="shared" si="10"/>
        <v/>
      </c>
      <c r="H108" s="30" t="s">
        <v>63</v>
      </c>
      <c r="I108" s="41"/>
      <c r="J108" s="33" t="str">
        <f>IF(AND(A108&lt;&gt;"",E108&lt;&gt;""),IF(I108="","⚠️ Enter Code",IF(IFERROR(VLOOKUP(H108,DB_Agents!$B:$F,4,0),"")=TEXT(I108,"0"),IF(C108&gt;=E108,"✅ Successful","❌ Insufficient Funds"),"🔒 WRONG CODE")),"Pending")</f>
        <v>Pending</v>
      </c>
      <c r="K108" s="33" t="str">
        <f t="shared" ca="1" si="11"/>
        <v>—</v>
      </c>
      <c r="L108" s="50"/>
    </row>
    <row r="109" spans="1:12" ht="20.100000000000001" customHeight="1" x14ac:dyDescent="0.25">
      <c r="A109" s="41"/>
      <c r="B109" s="35" t="str">
        <f>IF(A109="","",IFERROR(VLOOKUP(A109,DB_Customers!$A:$B,2,0),"❌ Account Not Found"))</f>
        <v/>
      </c>
      <c r="C109" s="43" t="str">
        <f>IF(A109="","",IFERROR(VLOOKUP(A109,DB_Customers!$A:$N,14,0),""))</f>
        <v/>
      </c>
      <c r="D109" s="42" t="str">
        <f t="shared" ca="1" si="9"/>
        <v/>
      </c>
      <c r="E109" s="32"/>
      <c r="F109" s="31"/>
      <c r="G109" s="43" t="str">
        <f t="shared" si="10"/>
        <v/>
      </c>
      <c r="H109" s="30" t="s">
        <v>63</v>
      </c>
      <c r="I109" s="41"/>
      <c r="J109" s="33" t="str">
        <f>IF(AND(A109&lt;&gt;"",E109&lt;&gt;""),IF(I109="","⚠️ Enter Code",IF(IFERROR(VLOOKUP(H109,DB_Agents!$B:$F,4,0),"")=TEXT(I109,"0"),IF(C109&gt;=E109,"✅ Successful","❌ Insufficient Funds"),"🔒 WRONG CODE")),"Pending")</f>
        <v>Pending</v>
      </c>
      <c r="K109" s="33" t="str">
        <f t="shared" ca="1" si="11"/>
        <v>—</v>
      </c>
      <c r="L109" s="22"/>
    </row>
    <row r="110" spans="1:12" ht="20.100000000000001" customHeight="1" x14ac:dyDescent="0.25">
      <c r="A110" s="41"/>
      <c r="B110" s="35" t="str">
        <f>IF(A110="","",IFERROR(VLOOKUP(A110,DB_Customers!$A:$B,2,0),"❌ Account Not Found"))</f>
        <v/>
      </c>
      <c r="C110" s="43" t="str">
        <f>IF(A110="","",IFERROR(VLOOKUP(A110,DB_Customers!$A:$N,14,0),""))</f>
        <v/>
      </c>
      <c r="D110" s="42" t="str">
        <f t="shared" ca="1" si="9"/>
        <v/>
      </c>
      <c r="E110" s="32"/>
      <c r="F110" s="31"/>
      <c r="G110" s="43" t="str">
        <f t="shared" si="10"/>
        <v/>
      </c>
      <c r="H110" s="30" t="s">
        <v>63</v>
      </c>
      <c r="I110" s="41"/>
      <c r="J110" s="33" t="str">
        <f>IF(AND(A110&lt;&gt;"",E110&lt;&gt;""),IF(I110="","⚠️ Enter Code",IF(IFERROR(VLOOKUP(H110,DB_Agents!$B:$F,4,0),"")=TEXT(I110,"0"),IF(C110&gt;=E110,"✅ Successful","❌ Insufficient Funds"),"🔒 WRONG CODE")),"Pending")</f>
        <v>Pending</v>
      </c>
      <c r="K110" s="33" t="str">
        <f t="shared" ca="1" si="11"/>
        <v>—</v>
      </c>
      <c r="L110" s="50"/>
    </row>
    <row r="111" spans="1:12" ht="20.100000000000001" customHeight="1" x14ac:dyDescent="0.25">
      <c r="A111" s="41"/>
      <c r="B111" s="35" t="str">
        <f>IF(A111="","",IFERROR(VLOOKUP(A111,DB_Customers!$A:$B,2,0),"❌ Account Not Found"))</f>
        <v/>
      </c>
      <c r="C111" s="43" t="str">
        <f>IF(A111="","",IFERROR(VLOOKUP(A111,DB_Customers!$A:$N,14,0),""))</f>
        <v/>
      </c>
      <c r="D111" s="42" t="str">
        <f t="shared" ca="1" si="9"/>
        <v/>
      </c>
      <c r="E111" s="32"/>
      <c r="F111" s="31"/>
      <c r="G111" s="43" t="str">
        <f t="shared" si="10"/>
        <v/>
      </c>
      <c r="H111" s="30" t="s">
        <v>63</v>
      </c>
      <c r="I111" s="41"/>
      <c r="J111" s="33" t="str">
        <f>IF(AND(A111&lt;&gt;"",E111&lt;&gt;""),IF(I111="","⚠️ Enter Code",IF(IFERROR(VLOOKUP(H111,DB_Agents!$B:$F,4,0),"")=TEXT(I111,"0"),IF(C111&gt;=E111,"✅ Successful","❌ Insufficient Funds"),"🔒 WRONG CODE")),"Pending")</f>
        <v>Pending</v>
      </c>
      <c r="K111" s="33" t="str">
        <f t="shared" ca="1" si="11"/>
        <v>—</v>
      </c>
      <c r="L111" s="22"/>
    </row>
    <row r="112" spans="1:12" ht="20.100000000000001" customHeight="1" x14ac:dyDescent="0.25">
      <c r="A112" s="41"/>
      <c r="B112" s="35" t="str">
        <f>IF(A112="","",IFERROR(VLOOKUP(A112,DB_Customers!$A:$B,2,0),"❌ Account Not Found"))</f>
        <v/>
      </c>
      <c r="C112" s="43" t="str">
        <f>IF(A112="","",IFERROR(VLOOKUP(A112,DB_Customers!$A:$N,14,0),""))</f>
        <v/>
      </c>
      <c r="D112" s="42" t="str">
        <f t="shared" ca="1" si="9"/>
        <v/>
      </c>
      <c r="E112" s="32"/>
      <c r="F112" s="31"/>
      <c r="G112" s="43" t="str">
        <f t="shared" si="10"/>
        <v/>
      </c>
      <c r="H112" s="30" t="s">
        <v>63</v>
      </c>
      <c r="I112" s="41"/>
      <c r="J112" s="33" t="str">
        <f>IF(AND(A112&lt;&gt;"",E112&lt;&gt;""),IF(I112="","⚠️ Enter Code",IF(IFERROR(VLOOKUP(H112,DB_Agents!$B:$F,4,0),"")=TEXT(I112,"0"),IF(C112&gt;=E112,"✅ Successful","❌ Insufficient Funds"),"🔒 WRONG CODE")),"Pending")</f>
        <v>Pending</v>
      </c>
      <c r="K112" s="33" t="str">
        <f t="shared" ca="1" si="11"/>
        <v>—</v>
      </c>
      <c r="L112" s="50"/>
    </row>
    <row r="113" spans="1:12" ht="20.100000000000001" customHeight="1" x14ac:dyDescent="0.25">
      <c r="A113" s="41"/>
      <c r="B113" s="35" t="str">
        <f>IF(A113="","",IFERROR(VLOOKUP(A113,DB_Customers!$A:$B,2,0),"❌ Account Not Found"))</f>
        <v/>
      </c>
      <c r="C113" s="43" t="str">
        <f>IF(A113="","",IFERROR(VLOOKUP(A113,DB_Customers!$A:$N,14,0),""))</f>
        <v/>
      </c>
      <c r="D113" s="42" t="str">
        <f t="shared" ca="1" si="9"/>
        <v/>
      </c>
      <c r="E113" s="32"/>
      <c r="F113" s="31"/>
      <c r="G113" s="43" t="str">
        <f t="shared" si="10"/>
        <v/>
      </c>
      <c r="H113" s="30" t="s">
        <v>63</v>
      </c>
      <c r="I113" s="41"/>
      <c r="J113" s="33" t="str">
        <f>IF(AND(A113&lt;&gt;"",E113&lt;&gt;""),IF(I113="","⚠️ Enter Code",IF(IFERROR(VLOOKUP(H113,DB_Agents!$B:$F,4,0),"")=TEXT(I113,"0"),IF(C113&gt;=E113,"✅ Successful","❌ Insufficient Funds"),"🔒 WRONG CODE")),"Pending")</f>
        <v>Pending</v>
      </c>
      <c r="K113" s="33" t="str">
        <f t="shared" ca="1" si="11"/>
        <v>—</v>
      </c>
      <c r="L113" s="22"/>
    </row>
    <row r="114" spans="1:12" ht="20.100000000000001" customHeight="1" x14ac:dyDescent="0.25">
      <c r="A114" s="41"/>
      <c r="B114" s="35" t="str">
        <f>IF(A114="","",IFERROR(VLOOKUP(A114,DB_Customers!$A:$B,2,0),"❌ Account Not Found"))</f>
        <v/>
      </c>
      <c r="C114" s="43" t="str">
        <f>IF(A114="","",IFERROR(VLOOKUP(A114,DB_Customers!$A:$N,14,0),""))</f>
        <v/>
      </c>
      <c r="D114" s="42" t="str">
        <f t="shared" ca="1" si="9"/>
        <v/>
      </c>
      <c r="E114" s="32"/>
      <c r="F114" s="31"/>
      <c r="G114" s="43" t="str">
        <f t="shared" si="10"/>
        <v/>
      </c>
      <c r="H114" s="30" t="s">
        <v>63</v>
      </c>
      <c r="I114" s="41"/>
      <c r="J114" s="33" t="str">
        <f>IF(AND(A114&lt;&gt;"",E114&lt;&gt;""),IF(I114="","⚠️ Enter Code",IF(IFERROR(VLOOKUP(H114,DB_Agents!$B:$F,4,0),"")=TEXT(I114,"0"),IF(C114&gt;=E114,"✅ Successful","❌ Insufficient Funds"),"🔒 WRONG CODE")),"Pending")</f>
        <v>Pending</v>
      </c>
      <c r="K114" s="33" t="str">
        <f t="shared" ca="1" si="11"/>
        <v>—</v>
      </c>
      <c r="L114" s="50"/>
    </row>
    <row r="115" spans="1:12" ht="20.100000000000001" customHeight="1" x14ac:dyDescent="0.25">
      <c r="A115" s="41"/>
      <c r="B115" s="35" t="str">
        <f>IF(A115="","",IFERROR(VLOOKUP(A115,DB_Customers!$A:$B,2,0),"❌ Account Not Found"))</f>
        <v/>
      </c>
      <c r="C115" s="43" t="str">
        <f>IF(A115="","",IFERROR(VLOOKUP(A115,DB_Customers!$A:$N,14,0),""))</f>
        <v/>
      </c>
      <c r="D115" s="42" t="str">
        <f t="shared" ca="1" si="9"/>
        <v/>
      </c>
      <c r="E115" s="32"/>
      <c r="F115" s="31"/>
      <c r="G115" s="43" t="str">
        <f t="shared" si="10"/>
        <v/>
      </c>
      <c r="H115" s="30" t="s">
        <v>63</v>
      </c>
      <c r="I115" s="41"/>
      <c r="J115" s="33" t="str">
        <f>IF(AND(A115&lt;&gt;"",E115&lt;&gt;""),IF(I115="","⚠️ Enter Code",IF(IFERROR(VLOOKUP(H115,DB_Agents!$B:$F,4,0),"")=TEXT(I115,"0"),IF(C115&gt;=E115,"✅ Successful","❌ Insufficient Funds"),"🔒 WRONG CODE")),"Pending")</f>
        <v>Pending</v>
      </c>
      <c r="K115" s="33" t="str">
        <f t="shared" ca="1" si="11"/>
        <v>—</v>
      </c>
      <c r="L115" s="22"/>
    </row>
    <row r="116" spans="1:12" ht="20.100000000000001" customHeight="1" x14ac:dyDescent="0.25">
      <c r="A116" s="41"/>
      <c r="B116" s="35" t="str">
        <f>IF(A116="","",IFERROR(VLOOKUP(A116,DB_Customers!$A:$B,2,0),"❌ Account Not Found"))</f>
        <v/>
      </c>
      <c r="C116" s="43" t="str">
        <f>IF(A116="","",IFERROR(VLOOKUP(A116,DB_Customers!$A:$N,14,0),""))</f>
        <v/>
      </c>
      <c r="D116" s="42" t="str">
        <f t="shared" ca="1" si="9"/>
        <v/>
      </c>
      <c r="E116" s="32"/>
      <c r="F116" s="31"/>
      <c r="G116" s="43" t="str">
        <f t="shared" si="10"/>
        <v/>
      </c>
      <c r="H116" s="30" t="s">
        <v>63</v>
      </c>
      <c r="I116" s="41"/>
      <c r="J116" s="33" t="str">
        <f>IF(AND(A116&lt;&gt;"",E116&lt;&gt;""),IF(I116="","⚠️ Enter Code",IF(IFERROR(VLOOKUP(H116,DB_Agents!$B:$F,4,0),"")=TEXT(I116,"0"),IF(C116&gt;=E116,"✅ Successful","❌ Insufficient Funds"),"🔒 WRONG CODE")),"Pending")</f>
        <v>Pending</v>
      </c>
      <c r="K116" s="33" t="str">
        <f t="shared" ca="1" si="11"/>
        <v>—</v>
      </c>
      <c r="L116" s="50"/>
    </row>
    <row r="117" spans="1:12" ht="20.100000000000001" customHeight="1" x14ac:dyDescent="0.25">
      <c r="A117" s="41"/>
      <c r="B117" s="35" t="str">
        <f>IF(A117="","",IFERROR(VLOOKUP(A117,DB_Customers!$A:$B,2,0),"❌ Account Not Found"))</f>
        <v/>
      </c>
      <c r="C117" s="43" t="str">
        <f>IF(A117="","",IFERROR(VLOOKUP(A117,DB_Customers!$A:$N,14,0),""))</f>
        <v/>
      </c>
      <c r="D117" s="42" t="str">
        <f t="shared" ca="1" si="9"/>
        <v/>
      </c>
      <c r="E117" s="32"/>
      <c r="F117" s="31"/>
      <c r="G117" s="43" t="str">
        <f t="shared" si="10"/>
        <v/>
      </c>
      <c r="H117" s="30" t="s">
        <v>63</v>
      </c>
      <c r="I117" s="41"/>
      <c r="J117" s="33" t="str">
        <f>IF(AND(A117&lt;&gt;"",E117&lt;&gt;""),IF(I117="","⚠️ Enter Code",IF(IFERROR(VLOOKUP(H117,DB_Agents!$B:$F,4,0),"")=TEXT(I117,"0"),IF(C117&gt;=E117,"✅ Successful","❌ Insufficient Funds"),"🔒 WRONG CODE")),"Pending")</f>
        <v>Pending</v>
      </c>
      <c r="K117" s="33" t="str">
        <f t="shared" ca="1" si="11"/>
        <v>—</v>
      </c>
      <c r="L117" s="22"/>
    </row>
    <row r="118" spans="1:12" ht="20.100000000000001" customHeight="1" x14ac:dyDescent="0.25">
      <c r="A118" s="41"/>
      <c r="B118" s="35" t="str">
        <f>IF(A118="","",IFERROR(VLOOKUP(A118,DB_Customers!$A:$B,2,0),"❌ Account Not Found"))</f>
        <v/>
      </c>
      <c r="C118" s="43" t="str">
        <f>IF(A118="","",IFERROR(VLOOKUP(A118,DB_Customers!$A:$N,14,0),""))</f>
        <v/>
      </c>
      <c r="D118" s="42" t="str">
        <f t="shared" ca="1" si="9"/>
        <v/>
      </c>
      <c r="E118" s="32"/>
      <c r="F118" s="31"/>
      <c r="G118" s="43" t="str">
        <f t="shared" si="10"/>
        <v/>
      </c>
      <c r="H118" s="30" t="s">
        <v>63</v>
      </c>
      <c r="I118" s="41"/>
      <c r="J118" s="33" t="str">
        <f>IF(AND(A118&lt;&gt;"",E118&lt;&gt;""),IF(I118="","⚠️ Enter Code",IF(IFERROR(VLOOKUP(H118,DB_Agents!$B:$F,4,0),"")=TEXT(I118,"0"),IF(C118&gt;=E118,"✅ Successful","❌ Insufficient Funds"),"🔒 WRONG CODE")),"Pending")</f>
        <v>Pending</v>
      </c>
      <c r="K118" s="33" t="str">
        <f t="shared" ca="1" si="11"/>
        <v>—</v>
      </c>
      <c r="L118" s="50"/>
    </row>
    <row r="119" spans="1:12" ht="20.100000000000001" customHeight="1" x14ac:dyDescent="0.25">
      <c r="A119" s="41"/>
      <c r="B119" s="35" t="str">
        <f>IF(A119="","",IFERROR(VLOOKUP(A119,DB_Customers!$A:$B,2,0),"❌ Account Not Found"))</f>
        <v/>
      </c>
      <c r="C119" s="43" t="str">
        <f>IF(A119="","",IFERROR(VLOOKUP(A119,DB_Customers!$A:$N,14,0),""))</f>
        <v/>
      </c>
      <c r="D119" s="42" t="str">
        <f t="shared" ca="1" si="9"/>
        <v/>
      </c>
      <c r="E119" s="32"/>
      <c r="F119" s="31"/>
      <c r="G119" s="43" t="str">
        <f t="shared" si="10"/>
        <v/>
      </c>
      <c r="H119" s="30" t="s">
        <v>63</v>
      </c>
      <c r="I119" s="41"/>
      <c r="J119" s="33" t="str">
        <f>IF(AND(A119&lt;&gt;"",E119&lt;&gt;""),IF(I119="","⚠️ Enter Code",IF(IFERROR(VLOOKUP(H119,DB_Agents!$B:$F,4,0),"")=TEXT(I119,"0"),IF(C119&gt;=E119,"✅ Successful","❌ Insufficient Funds"),"🔒 WRONG CODE")),"Pending")</f>
        <v>Pending</v>
      </c>
      <c r="K119" s="33" t="str">
        <f t="shared" ca="1" si="11"/>
        <v>—</v>
      </c>
      <c r="L119" s="22"/>
    </row>
    <row r="120" spans="1:12" ht="20.100000000000001" customHeight="1" x14ac:dyDescent="0.25">
      <c r="A120" s="41"/>
      <c r="B120" s="35" t="str">
        <f>IF(A120="","",IFERROR(VLOOKUP(A120,DB_Customers!$A:$B,2,0),"❌ Account Not Found"))</f>
        <v/>
      </c>
      <c r="C120" s="43" t="str">
        <f>IF(A120="","",IFERROR(VLOOKUP(A120,DB_Customers!$A:$N,14,0),""))</f>
        <v/>
      </c>
      <c r="D120" s="42" t="str">
        <f t="shared" ca="1" si="9"/>
        <v/>
      </c>
      <c r="E120" s="32"/>
      <c r="F120" s="31"/>
      <c r="G120" s="43" t="str">
        <f t="shared" si="10"/>
        <v/>
      </c>
      <c r="H120" s="30" t="s">
        <v>63</v>
      </c>
      <c r="I120" s="41"/>
      <c r="J120" s="33" t="str">
        <f>IF(AND(A120&lt;&gt;"",E120&lt;&gt;""),IF(I120="","⚠️ Enter Code",IF(IFERROR(VLOOKUP(H120,DB_Agents!$B:$F,4,0),"")=TEXT(I120,"0"),IF(C120&gt;=E120,"✅ Successful","❌ Insufficient Funds"),"🔒 WRONG CODE")),"Pending")</f>
        <v>Pending</v>
      </c>
      <c r="K120" s="33" t="str">
        <f t="shared" ca="1" si="11"/>
        <v>—</v>
      </c>
      <c r="L120" s="50"/>
    </row>
    <row r="121" spans="1:12" ht="20.100000000000001" customHeight="1" x14ac:dyDescent="0.25">
      <c r="A121" s="41"/>
      <c r="B121" s="35" t="str">
        <f>IF(A121="","",IFERROR(VLOOKUP(A121,DB_Customers!$A:$B,2,0),"❌ Account Not Found"))</f>
        <v/>
      </c>
      <c r="C121" s="43" t="str">
        <f>IF(A121="","",IFERROR(VLOOKUP(A121,DB_Customers!$A:$N,14,0),""))</f>
        <v/>
      </c>
      <c r="D121" s="42" t="str">
        <f t="shared" ca="1" si="9"/>
        <v/>
      </c>
      <c r="E121" s="32"/>
      <c r="F121" s="31"/>
      <c r="G121" s="43" t="str">
        <f t="shared" si="10"/>
        <v/>
      </c>
      <c r="H121" s="30" t="s">
        <v>63</v>
      </c>
      <c r="I121" s="41"/>
      <c r="J121" s="33" t="str">
        <f>IF(AND(A121&lt;&gt;"",E121&lt;&gt;""),IF(I121="","⚠️ Enter Code",IF(IFERROR(VLOOKUP(H121,DB_Agents!$B:$F,4,0),"")=TEXT(I121,"0"),IF(C121&gt;=E121,"✅ Successful","❌ Insufficient Funds"),"🔒 WRONG CODE")),"Pending")</f>
        <v>Pending</v>
      </c>
      <c r="K121" s="33" t="str">
        <f t="shared" ca="1" si="11"/>
        <v>—</v>
      </c>
      <c r="L121" s="22"/>
    </row>
    <row r="122" spans="1:12" ht="20.100000000000001" customHeight="1" x14ac:dyDescent="0.25">
      <c r="A122" s="41"/>
      <c r="B122" s="35" t="str">
        <f>IF(A122="","",IFERROR(VLOOKUP(A122,DB_Customers!$A:$B,2,0),"❌ Account Not Found"))</f>
        <v/>
      </c>
      <c r="C122" s="43" t="str">
        <f>IF(A122="","",IFERROR(VLOOKUP(A122,DB_Customers!$A:$N,14,0),""))</f>
        <v/>
      </c>
      <c r="D122" s="42" t="str">
        <f t="shared" ca="1" si="9"/>
        <v/>
      </c>
      <c r="E122" s="32"/>
      <c r="F122" s="31"/>
      <c r="G122" s="43" t="str">
        <f t="shared" si="10"/>
        <v/>
      </c>
      <c r="H122" s="30" t="s">
        <v>63</v>
      </c>
      <c r="I122" s="41"/>
      <c r="J122" s="33" t="str">
        <f>IF(AND(A122&lt;&gt;"",E122&lt;&gt;""),IF(I122="","⚠️ Enter Code",IF(IFERROR(VLOOKUP(H122,DB_Agents!$B:$F,4,0),"")=TEXT(I122,"0"),IF(C122&gt;=E122,"✅ Successful","❌ Insufficient Funds"),"🔒 WRONG CODE")),"Pending")</f>
        <v>Pending</v>
      </c>
      <c r="K122" s="33" t="str">
        <f t="shared" ca="1" si="11"/>
        <v>—</v>
      </c>
      <c r="L122" s="50"/>
    </row>
    <row r="123" spans="1:12" ht="20.100000000000001" customHeight="1" x14ac:dyDescent="0.25">
      <c r="A123" s="41"/>
      <c r="B123" s="35" t="str">
        <f>IF(A123="","",IFERROR(VLOOKUP(A123,DB_Customers!$A:$B,2,0),"❌ Account Not Found"))</f>
        <v/>
      </c>
      <c r="C123" s="43" t="str">
        <f>IF(A123="","",IFERROR(VLOOKUP(A123,DB_Customers!$A:$N,14,0),""))</f>
        <v/>
      </c>
      <c r="D123" s="42" t="str">
        <f t="shared" ca="1" si="9"/>
        <v/>
      </c>
      <c r="E123" s="32"/>
      <c r="F123" s="31"/>
      <c r="G123" s="43" t="str">
        <f t="shared" si="10"/>
        <v/>
      </c>
      <c r="H123" s="30" t="s">
        <v>63</v>
      </c>
      <c r="I123" s="41"/>
      <c r="J123" s="33" t="str">
        <f>IF(AND(A123&lt;&gt;"",E123&lt;&gt;""),IF(I123="","⚠️ Enter Code",IF(IFERROR(VLOOKUP(H123,DB_Agents!$B:$F,4,0),"")=TEXT(I123,"0"),IF(C123&gt;=E123,"✅ Successful","❌ Insufficient Funds"),"🔒 WRONG CODE")),"Pending")</f>
        <v>Pending</v>
      </c>
      <c r="K123" s="33" t="str">
        <f t="shared" ca="1" si="11"/>
        <v>—</v>
      </c>
      <c r="L123" s="22"/>
    </row>
    <row r="124" spans="1:12" ht="20.100000000000001" customHeight="1" x14ac:dyDescent="0.25">
      <c r="A124" s="41"/>
      <c r="B124" s="35" t="str">
        <f>IF(A124="","",IFERROR(VLOOKUP(A124,DB_Customers!$A:$B,2,0),"❌ Account Not Found"))</f>
        <v/>
      </c>
      <c r="C124" s="43" t="str">
        <f>IF(A124="","",IFERROR(VLOOKUP(A124,DB_Customers!$A:$N,14,0),""))</f>
        <v/>
      </c>
      <c r="D124" s="42" t="str">
        <f t="shared" ca="1" si="9"/>
        <v/>
      </c>
      <c r="E124" s="32"/>
      <c r="F124" s="31"/>
      <c r="G124" s="43" t="str">
        <f t="shared" si="10"/>
        <v/>
      </c>
      <c r="H124" s="30" t="s">
        <v>63</v>
      </c>
      <c r="I124" s="41"/>
      <c r="J124" s="33" t="str">
        <f>IF(AND(A124&lt;&gt;"",E124&lt;&gt;""),IF(I124="","⚠️ Enter Code",IF(IFERROR(VLOOKUP(H124,DB_Agents!$B:$F,4,0),"")=TEXT(I124,"0"),IF(C124&gt;=E124,"✅ Successful","❌ Insufficient Funds"),"🔒 WRONG CODE")),"Pending")</f>
        <v>Pending</v>
      </c>
      <c r="K124" s="33" t="str">
        <f t="shared" ca="1" si="11"/>
        <v>—</v>
      </c>
      <c r="L124" s="50"/>
    </row>
    <row r="125" spans="1:12" ht="20.100000000000001" customHeight="1" x14ac:dyDescent="0.25">
      <c r="A125" s="41"/>
      <c r="B125" s="35" t="str">
        <f>IF(A125="","",IFERROR(VLOOKUP(A125,DB_Customers!$A:$B,2,0),"❌ Account Not Found"))</f>
        <v/>
      </c>
      <c r="C125" s="43" t="str">
        <f>IF(A125="","",IFERROR(VLOOKUP(A125,DB_Customers!$A:$N,14,0),""))</f>
        <v/>
      </c>
      <c r="D125" s="42" t="str">
        <f t="shared" ca="1" si="9"/>
        <v/>
      </c>
      <c r="E125" s="32"/>
      <c r="F125" s="31"/>
      <c r="G125" s="43" t="str">
        <f t="shared" si="10"/>
        <v/>
      </c>
      <c r="H125" s="30" t="s">
        <v>63</v>
      </c>
      <c r="I125" s="41"/>
      <c r="J125" s="33" t="str">
        <f>IF(AND(A125&lt;&gt;"",E125&lt;&gt;""),IF(I125="","⚠️ Enter Code",IF(IFERROR(VLOOKUP(H125,DB_Agents!$B:$F,4,0),"")=TEXT(I125,"0"),IF(C125&gt;=E125,"✅ Successful","❌ Insufficient Funds"),"🔒 WRONG CODE")),"Pending")</f>
        <v>Pending</v>
      </c>
      <c r="K125" s="33" t="str">
        <f t="shared" ca="1" si="11"/>
        <v>—</v>
      </c>
      <c r="L125" s="22"/>
    </row>
    <row r="126" spans="1:12" ht="20.100000000000001" customHeight="1" x14ac:dyDescent="0.25">
      <c r="A126" s="41"/>
      <c r="B126" s="35" t="str">
        <f>IF(A126="","",IFERROR(VLOOKUP(A126,DB_Customers!$A:$B,2,0),"❌ Account Not Found"))</f>
        <v/>
      </c>
      <c r="C126" s="43" t="str">
        <f>IF(A126="","",IFERROR(VLOOKUP(A126,DB_Customers!$A:$N,14,0),""))</f>
        <v/>
      </c>
      <c r="D126" s="42" t="str">
        <f t="shared" ca="1" si="9"/>
        <v/>
      </c>
      <c r="E126" s="32"/>
      <c r="F126" s="31"/>
      <c r="G126" s="43" t="str">
        <f t="shared" si="10"/>
        <v/>
      </c>
      <c r="H126" s="30" t="s">
        <v>63</v>
      </c>
      <c r="I126" s="41"/>
      <c r="J126" s="33" t="str">
        <f>IF(AND(A126&lt;&gt;"",E126&lt;&gt;""),IF(I126="","⚠️ Enter Code",IF(IFERROR(VLOOKUP(H126,DB_Agents!$B:$F,4,0),"")=TEXT(I126,"0"),IF(C126&gt;=E126,"✅ Successful","❌ Insufficient Funds"),"🔒 WRONG CODE")),"Pending")</f>
        <v>Pending</v>
      </c>
      <c r="K126" s="33" t="str">
        <f t="shared" ca="1" si="11"/>
        <v>—</v>
      </c>
      <c r="L126" s="50"/>
    </row>
    <row r="127" spans="1:12" ht="20.100000000000001" customHeight="1" x14ac:dyDescent="0.25">
      <c r="A127" s="41"/>
      <c r="B127" s="35" t="str">
        <f>IF(A127="","",IFERROR(VLOOKUP(A127,DB_Customers!$A:$B,2,0),"❌ Account Not Found"))</f>
        <v/>
      </c>
      <c r="C127" s="43" t="str">
        <f>IF(A127="","",IFERROR(VLOOKUP(A127,DB_Customers!$A:$N,14,0),""))</f>
        <v/>
      </c>
      <c r="D127" s="42" t="str">
        <f t="shared" ca="1" si="9"/>
        <v/>
      </c>
      <c r="E127" s="32"/>
      <c r="F127" s="31"/>
      <c r="G127" s="43" t="str">
        <f t="shared" si="10"/>
        <v/>
      </c>
      <c r="H127" s="30" t="s">
        <v>63</v>
      </c>
      <c r="I127" s="41"/>
      <c r="J127" s="33" t="str">
        <f>IF(AND(A127&lt;&gt;"",E127&lt;&gt;""),IF(I127="","⚠️ Enter Code",IF(IFERROR(VLOOKUP(H127,DB_Agents!$B:$F,4,0),"")=TEXT(I127,"0"),IF(C127&gt;=E127,"✅ Successful","❌ Insufficient Funds"),"🔒 WRONG CODE")),"Pending")</f>
        <v>Pending</v>
      </c>
      <c r="K127" s="33" t="str">
        <f t="shared" ca="1" si="11"/>
        <v>—</v>
      </c>
      <c r="L127" s="22"/>
    </row>
    <row r="128" spans="1:12" ht="20.100000000000001" customHeight="1" x14ac:dyDescent="0.25">
      <c r="A128" s="41"/>
      <c r="B128" s="35" t="str">
        <f>IF(A128="","",IFERROR(VLOOKUP(A128,DB_Customers!$A:$B,2,0),"❌ Account Not Found"))</f>
        <v/>
      </c>
      <c r="C128" s="43" t="str">
        <f>IF(A128="","",IFERROR(VLOOKUP(A128,DB_Customers!$A:$N,14,0),""))</f>
        <v/>
      </c>
      <c r="D128" s="42" t="str">
        <f t="shared" ca="1" si="9"/>
        <v/>
      </c>
      <c r="E128" s="32"/>
      <c r="F128" s="31"/>
      <c r="G128" s="43" t="str">
        <f t="shared" si="10"/>
        <v/>
      </c>
      <c r="H128" s="30" t="s">
        <v>63</v>
      </c>
      <c r="I128" s="41"/>
      <c r="J128" s="33" t="str">
        <f>IF(AND(A128&lt;&gt;"",E128&lt;&gt;""),IF(I128="","⚠️ Enter Code",IF(IFERROR(VLOOKUP(H128,DB_Agents!$B:$F,4,0),"")=TEXT(I128,"0"),IF(C128&gt;=E128,"✅ Successful","❌ Insufficient Funds"),"🔒 WRONG CODE")),"Pending")</f>
        <v>Pending</v>
      </c>
      <c r="K128" s="33" t="str">
        <f t="shared" ca="1" si="11"/>
        <v>—</v>
      </c>
      <c r="L128" s="50"/>
    </row>
    <row r="129" spans="1:12" ht="20.100000000000001" customHeight="1" x14ac:dyDescent="0.25">
      <c r="A129" s="41"/>
      <c r="B129" s="35" t="str">
        <f>IF(A129="","",IFERROR(VLOOKUP(A129,DB_Customers!$A:$B,2,0),"❌ Account Not Found"))</f>
        <v/>
      </c>
      <c r="C129" s="43" t="str">
        <f>IF(A129="","",IFERROR(VLOOKUP(A129,DB_Customers!$A:$N,14,0),""))</f>
        <v/>
      </c>
      <c r="D129" s="42" t="str">
        <f t="shared" ca="1" si="9"/>
        <v/>
      </c>
      <c r="E129" s="32"/>
      <c r="F129" s="31"/>
      <c r="G129" s="43" t="str">
        <f t="shared" si="10"/>
        <v/>
      </c>
      <c r="H129" s="30" t="s">
        <v>63</v>
      </c>
      <c r="I129" s="41"/>
      <c r="J129" s="33" t="str">
        <f>IF(AND(A129&lt;&gt;"",E129&lt;&gt;""),IF(I129="","⚠️ Enter Code",IF(IFERROR(VLOOKUP(H129,DB_Agents!$B:$F,4,0),"")=TEXT(I129,"0"),IF(C129&gt;=E129,"✅ Successful","❌ Insufficient Funds"),"🔒 WRONG CODE")),"Pending")</f>
        <v>Pending</v>
      </c>
      <c r="K129" s="33" t="str">
        <f t="shared" ca="1" si="11"/>
        <v>—</v>
      </c>
      <c r="L129" s="22"/>
    </row>
    <row r="130" spans="1:12" ht="20.100000000000001" customHeight="1" x14ac:dyDescent="0.25">
      <c r="A130" s="41"/>
      <c r="B130" s="35" t="str">
        <f>IF(A130="","",IFERROR(VLOOKUP(A130,DB_Customers!$A:$B,2,0),"❌ Account Not Found"))</f>
        <v/>
      </c>
      <c r="C130" s="43" t="str">
        <f>IF(A130="","",IFERROR(VLOOKUP(A130,DB_Customers!$A:$N,14,0),""))</f>
        <v/>
      </c>
      <c r="D130" s="42" t="str">
        <f t="shared" ca="1" si="9"/>
        <v/>
      </c>
      <c r="E130" s="32"/>
      <c r="F130" s="31"/>
      <c r="G130" s="43" t="str">
        <f t="shared" si="10"/>
        <v/>
      </c>
      <c r="H130" s="30" t="s">
        <v>63</v>
      </c>
      <c r="I130" s="41"/>
      <c r="J130" s="33" t="str">
        <f>IF(AND(A130&lt;&gt;"",E130&lt;&gt;""),IF(I130="","⚠️ Enter Code",IF(IFERROR(VLOOKUP(H130,DB_Agents!$B:$F,4,0),"")=TEXT(I130,"0"),IF(C130&gt;=E130,"✅ Successful","❌ Insufficient Funds"),"🔒 WRONG CODE")),"Pending")</f>
        <v>Pending</v>
      </c>
      <c r="K130" s="33" t="str">
        <f t="shared" ca="1" si="11"/>
        <v>—</v>
      </c>
      <c r="L130" s="50"/>
    </row>
    <row r="131" spans="1:12" ht="20.100000000000001" customHeight="1" x14ac:dyDescent="0.25">
      <c r="A131" s="41"/>
      <c r="B131" s="35" t="str">
        <f>IF(A131="","",IFERROR(VLOOKUP(A131,DB_Customers!$A:$B,2,0),"❌ Account Not Found"))</f>
        <v/>
      </c>
      <c r="C131" s="43" t="str">
        <f>IF(A131="","",IFERROR(VLOOKUP(A131,DB_Customers!$A:$N,14,0),""))</f>
        <v/>
      </c>
      <c r="D131" s="42" t="str">
        <f t="shared" ca="1" si="9"/>
        <v/>
      </c>
      <c r="E131" s="32"/>
      <c r="F131" s="31"/>
      <c r="G131" s="43" t="str">
        <f t="shared" si="10"/>
        <v/>
      </c>
      <c r="H131" s="30" t="s">
        <v>63</v>
      </c>
      <c r="I131" s="41"/>
      <c r="J131" s="33" t="str">
        <f>IF(AND(A131&lt;&gt;"",E131&lt;&gt;""),IF(I131="","⚠️ Enter Code",IF(IFERROR(VLOOKUP(H131,DB_Agents!$B:$F,4,0),"")=TEXT(I131,"0"),IF(C131&gt;=E131,"✅ Successful","❌ Insufficient Funds"),"🔒 WRONG CODE")),"Pending")</f>
        <v>Pending</v>
      </c>
      <c r="K131" s="33" t="str">
        <f t="shared" ca="1" si="11"/>
        <v>—</v>
      </c>
      <c r="L131" s="22"/>
    </row>
    <row r="132" spans="1:12" ht="20.100000000000001" customHeight="1" x14ac:dyDescent="0.25">
      <c r="A132" s="41"/>
      <c r="B132" s="35" t="str">
        <f>IF(A132="","",IFERROR(VLOOKUP(A132,DB_Customers!$A:$B,2,0),"❌ Account Not Found"))</f>
        <v/>
      </c>
      <c r="C132" s="43" t="str">
        <f>IF(A132="","",IFERROR(VLOOKUP(A132,DB_Customers!$A:$N,14,0),""))</f>
        <v/>
      </c>
      <c r="D132" s="42" t="str">
        <f t="shared" ca="1" si="9"/>
        <v/>
      </c>
      <c r="E132" s="32"/>
      <c r="F132" s="31"/>
      <c r="G132" s="43" t="str">
        <f t="shared" si="10"/>
        <v/>
      </c>
      <c r="H132" s="30" t="s">
        <v>63</v>
      </c>
      <c r="I132" s="41"/>
      <c r="J132" s="33" t="str">
        <f>IF(AND(A132&lt;&gt;"",E132&lt;&gt;""),IF(I132="","⚠️ Enter Code",IF(IFERROR(VLOOKUP(H132,DB_Agents!$B:$F,4,0),"")=TEXT(I132,"0"),IF(C132&gt;=E132,"✅ Successful","❌ Insufficient Funds"),"🔒 WRONG CODE")),"Pending")</f>
        <v>Pending</v>
      </c>
      <c r="K132" s="33" t="str">
        <f t="shared" ca="1" si="11"/>
        <v>—</v>
      </c>
      <c r="L132" s="50"/>
    </row>
    <row r="133" spans="1:12" ht="20.100000000000001" customHeight="1" x14ac:dyDescent="0.25">
      <c r="A133" s="41"/>
      <c r="B133" s="35" t="str">
        <f>IF(A133="","",IFERROR(VLOOKUP(A133,DB_Customers!$A:$B,2,0),"❌ Account Not Found"))</f>
        <v/>
      </c>
      <c r="C133" s="43" t="str">
        <f>IF(A133="","",IFERROR(VLOOKUP(A133,DB_Customers!$A:$N,14,0),""))</f>
        <v/>
      </c>
      <c r="D133" s="42" t="str">
        <f t="shared" ca="1" si="9"/>
        <v/>
      </c>
      <c r="E133" s="32"/>
      <c r="F133" s="31"/>
      <c r="G133" s="43" t="str">
        <f t="shared" si="10"/>
        <v/>
      </c>
      <c r="H133" s="30" t="s">
        <v>63</v>
      </c>
      <c r="I133" s="41"/>
      <c r="J133" s="33" t="str">
        <f>IF(AND(A133&lt;&gt;"",E133&lt;&gt;""),IF(I133="","⚠️ Enter Code",IF(IFERROR(VLOOKUP(H133,DB_Agents!$B:$F,4,0),"")=TEXT(I133,"0"),IF(C133&gt;=E133,"✅ Successful","❌ Insufficient Funds"),"🔒 WRONG CODE")),"Pending")</f>
        <v>Pending</v>
      </c>
      <c r="K133" s="33" t="str">
        <f t="shared" ca="1" si="11"/>
        <v>—</v>
      </c>
      <c r="L133" s="22"/>
    </row>
    <row r="134" spans="1:12" ht="20.100000000000001" customHeight="1" x14ac:dyDescent="0.25">
      <c r="A134" s="41"/>
      <c r="B134" s="35" t="str">
        <f>IF(A134="","",IFERROR(VLOOKUP(A134,DB_Customers!$A:$B,2,0),"❌ Account Not Found"))</f>
        <v/>
      </c>
      <c r="C134" s="43" t="str">
        <f>IF(A134="","",IFERROR(VLOOKUP(A134,DB_Customers!$A:$N,14,0),""))</f>
        <v/>
      </c>
      <c r="D134" s="42" t="str">
        <f t="shared" ca="1" si="9"/>
        <v/>
      </c>
      <c r="E134" s="32"/>
      <c r="F134" s="31"/>
      <c r="G134" s="43" t="str">
        <f t="shared" si="10"/>
        <v/>
      </c>
      <c r="H134" s="30" t="s">
        <v>63</v>
      </c>
      <c r="I134" s="41"/>
      <c r="J134" s="33" t="str">
        <f>IF(AND(A134&lt;&gt;"",E134&lt;&gt;""),IF(I134="","⚠️ Enter Code",IF(IFERROR(VLOOKUP(H134,DB_Agents!$B:$F,4,0),"")=TEXT(I134,"0"),IF(C134&gt;=E134,"✅ Successful","❌ Insufficient Funds"),"🔒 WRONG CODE")),"Pending")</f>
        <v>Pending</v>
      </c>
      <c r="K134" s="33" t="str">
        <f t="shared" ca="1" si="11"/>
        <v>—</v>
      </c>
      <c r="L134" s="50"/>
    </row>
    <row r="135" spans="1:12" ht="20.100000000000001" customHeight="1" x14ac:dyDescent="0.25">
      <c r="A135" s="41"/>
      <c r="B135" s="35" t="str">
        <f>IF(A135="","",IFERROR(VLOOKUP(A135,DB_Customers!$A:$B,2,0),"❌ Account Not Found"))</f>
        <v/>
      </c>
      <c r="C135" s="43" t="str">
        <f>IF(A135="","",IFERROR(VLOOKUP(A135,DB_Customers!$A:$N,14,0),""))</f>
        <v/>
      </c>
      <c r="D135" s="42" t="str">
        <f t="shared" ca="1" si="9"/>
        <v/>
      </c>
      <c r="E135" s="32"/>
      <c r="F135" s="31"/>
      <c r="G135" s="43" t="str">
        <f t="shared" si="10"/>
        <v/>
      </c>
      <c r="H135" s="30" t="s">
        <v>63</v>
      </c>
      <c r="I135" s="41"/>
      <c r="J135" s="33" t="str">
        <f>IF(AND(A135&lt;&gt;"",E135&lt;&gt;""),IF(I135="","⚠️ Enter Code",IF(IFERROR(VLOOKUP(H135,DB_Agents!$B:$F,4,0),"")=TEXT(I135,"0"),IF(C135&gt;=E135,"✅ Successful","❌ Insufficient Funds"),"🔒 WRONG CODE")),"Pending")</f>
        <v>Pending</v>
      </c>
      <c r="K135" s="33" t="str">
        <f t="shared" ca="1" si="11"/>
        <v>—</v>
      </c>
      <c r="L135" s="22"/>
    </row>
    <row r="136" spans="1:12" ht="20.100000000000001" customHeight="1" x14ac:dyDescent="0.25">
      <c r="A136" s="41"/>
      <c r="B136" s="35" t="str">
        <f>IF(A136="","",IFERROR(VLOOKUP(A136,DB_Customers!$A:$B,2,0),"❌ Account Not Found"))</f>
        <v/>
      </c>
      <c r="C136" s="43" t="str">
        <f>IF(A136="","",IFERROR(VLOOKUP(A136,DB_Customers!$A:$N,14,0),""))</f>
        <v/>
      </c>
      <c r="D136" s="42" t="str">
        <f t="shared" ca="1" si="9"/>
        <v/>
      </c>
      <c r="E136" s="32"/>
      <c r="F136" s="31"/>
      <c r="G136" s="43" t="str">
        <f t="shared" si="10"/>
        <v/>
      </c>
      <c r="H136" s="30" t="s">
        <v>63</v>
      </c>
      <c r="I136" s="41"/>
      <c r="J136" s="33" t="str">
        <f>IF(AND(A136&lt;&gt;"",E136&lt;&gt;""),IF(I136="","⚠️ Enter Code",IF(IFERROR(VLOOKUP(H136,DB_Agents!$B:$F,4,0),"")=TEXT(I136,"0"),IF(C136&gt;=E136,"✅ Successful","❌ Insufficient Funds"),"🔒 WRONG CODE")),"Pending")</f>
        <v>Pending</v>
      </c>
      <c r="K136" s="33" t="str">
        <f t="shared" ca="1" si="11"/>
        <v>—</v>
      </c>
      <c r="L136" s="50"/>
    </row>
    <row r="137" spans="1:12" ht="20.100000000000001" customHeight="1" x14ac:dyDescent="0.25">
      <c r="A137" s="41"/>
      <c r="B137" s="35" t="str">
        <f>IF(A137="","",IFERROR(VLOOKUP(A137,DB_Customers!$A:$B,2,0),"❌ Account Not Found"))</f>
        <v/>
      </c>
      <c r="C137" s="43" t="str">
        <f>IF(A137="","",IFERROR(VLOOKUP(A137,DB_Customers!$A:$N,14,0),""))</f>
        <v/>
      </c>
      <c r="D137" s="42" t="str">
        <f t="shared" ref="D137:D168" ca="1" si="12">IF(A137="","",TODAY())</f>
        <v/>
      </c>
      <c r="E137" s="32"/>
      <c r="F137" s="31"/>
      <c r="G137" s="43" t="str">
        <f t="shared" ref="G137:G168" si="13">IFERROR(IF(OR(A137="",E137=""),"",C137-E137),"")</f>
        <v/>
      </c>
      <c r="H137" s="30" t="s">
        <v>63</v>
      </c>
      <c r="I137" s="41"/>
      <c r="J137" s="33" t="str">
        <f>IF(AND(A137&lt;&gt;"",E137&lt;&gt;""),IF(I137="","⚠️ Enter Code",IF(IFERROR(VLOOKUP(H137,DB_Agents!$B:$F,4,0),"")=TEXT(I137,"0"),IF(C137&gt;=E137,"✅ Successful","❌ Insufficient Funds"),"🔒 WRONG CODE")),"Pending")</f>
        <v>Pending</v>
      </c>
      <c r="K137" s="33" t="str">
        <f t="shared" ref="K137:K168" ca="1" si="14">IF(J137="✅ Successful",TEXT(TODAY(),"YYYY-MM-DD")&amp;" Auto","—")</f>
        <v>—</v>
      </c>
      <c r="L137" s="22"/>
    </row>
    <row r="138" spans="1:12" ht="20.100000000000001" customHeight="1" x14ac:dyDescent="0.25">
      <c r="A138" s="41"/>
      <c r="B138" s="35" t="str">
        <f>IF(A138="","",IFERROR(VLOOKUP(A138,DB_Customers!$A:$B,2,0),"❌ Account Not Found"))</f>
        <v/>
      </c>
      <c r="C138" s="43" t="str">
        <f>IF(A138="","",IFERROR(VLOOKUP(A138,DB_Customers!$A:$N,14,0),""))</f>
        <v/>
      </c>
      <c r="D138" s="42" t="str">
        <f t="shared" ca="1" si="12"/>
        <v/>
      </c>
      <c r="E138" s="32"/>
      <c r="F138" s="31"/>
      <c r="G138" s="43" t="str">
        <f t="shared" si="13"/>
        <v/>
      </c>
      <c r="H138" s="30" t="s">
        <v>63</v>
      </c>
      <c r="I138" s="41"/>
      <c r="J138" s="33" t="str">
        <f>IF(AND(A138&lt;&gt;"",E138&lt;&gt;""),IF(I138="","⚠️ Enter Code",IF(IFERROR(VLOOKUP(H138,DB_Agents!$B:$F,4,0),"")=TEXT(I138,"0"),IF(C138&gt;=E138,"✅ Successful","❌ Insufficient Funds"),"🔒 WRONG CODE")),"Pending")</f>
        <v>Pending</v>
      </c>
      <c r="K138" s="33" t="str">
        <f t="shared" ca="1" si="14"/>
        <v>—</v>
      </c>
      <c r="L138" s="50"/>
    </row>
    <row r="139" spans="1:12" ht="20.100000000000001" customHeight="1" x14ac:dyDescent="0.25">
      <c r="A139" s="41"/>
      <c r="B139" s="35" t="str">
        <f>IF(A139="","",IFERROR(VLOOKUP(A139,DB_Customers!$A:$B,2,0),"❌ Account Not Found"))</f>
        <v/>
      </c>
      <c r="C139" s="43" t="str">
        <f>IF(A139="","",IFERROR(VLOOKUP(A139,DB_Customers!$A:$N,14,0),""))</f>
        <v/>
      </c>
      <c r="D139" s="42" t="str">
        <f t="shared" ca="1" si="12"/>
        <v/>
      </c>
      <c r="E139" s="32"/>
      <c r="F139" s="31"/>
      <c r="G139" s="43" t="str">
        <f t="shared" si="13"/>
        <v/>
      </c>
      <c r="H139" s="30" t="s">
        <v>63</v>
      </c>
      <c r="I139" s="41"/>
      <c r="J139" s="33" t="str">
        <f>IF(AND(A139&lt;&gt;"",E139&lt;&gt;""),IF(I139="","⚠️ Enter Code",IF(IFERROR(VLOOKUP(H139,DB_Agents!$B:$F,4,0),"")=TEXT(I139,"0"),IF(C139&gt;=E139,"✅ Successful","❌ Insufficient Funds"),"🔒 WRONG CODE")),"Pending")</f>
        <v>Pending</v>
      </c>
      <c r="K139" s="33" t="str">
        <f t="shared" ca="1" si="14"/>
        <v>—</v>
      </c>
      <c r="L139" s="22"/>
    </row>
    <row r="140" spans="1:12" ht="20.100000000000001" customHeight="1" x14ac:dyDescent="0.25">
      <c r="A140" s="41"/>
      <c r="B140" s="35" t="str">
        <f>IF(A140="","",IFERROR(VLOOKUP(A140,DB_Customers!$A:$B,2,0),"❌ Account Not Found"))</f>
        <v/>
      </c>
      <c r="C140" s="43" t="str">
        <f>IF(A140="","",IFERROR(VLOOKUP(A140,DB_Customers!$A:$N,14,0),""))</f>
        <v/>
      </c>
      <c r="D140" s="42" t="str">
        <f t="shared" ca="1" si="12"/>
        <v/>
      </c>
      <c r="E140" s="32"/>
      <c r="F140" s="31"/>
      <c r="G140" s="43" t="str">
        <f t="shared" si="13"/>
        <v/>
      </c>
      <c r="H140" s="30" t="s">
        <v>63</v>
      </c>
      <c r="I140" s="41"/>
      <c r="J140" s="33" t="str">
        <f>IF(AND(A140&lt;&gt;"",E140&lt;&gt;""),IF(I140="","⚠️ Enter Code",IF(IFERROR(VLOOKUP(H140,DB_Agents!$B:$F,4,0),"")=TEXT(I140,"0"),IF(C140&gt;=E140,"✅ Successful","❌ Insufficient Funds"),"🔒 WRONG CODE")),"Pending")</f>
        <v>Pending</v>
      </c>
      <c r="K140" s="33" t="str">
        <f t="shared" ca="1" si="14"/>
        <v>—</v>
      </c>
      <c r="L140" s="50"/>
    </row>
    <row r="141" spans="1:12" ht="20.100000000000001" customHeight="1" x14ac:dyDescent="0.25">
      <c r="A141" s="41"/>
      <c r="B141" s="35" t="str">
        <f>IF(A141="","",IFERROR(VLOOKUP(A141,DB_Customers!$A:$B,2,0),"❌ Account Not Found"))</f>
        <v/>
      </c>
      <c r="C141" s="43" t="str">
        <f>IF(A141="","",IFERROR(VLOOKUP(A141,DB_Customers!$A:$N,14,0),""))</f>
        <v/>
      </c>
      <c r="D141" s="42" t="str">
        <f t="shared" ca="1" si="12"/>
        <v/>
      </c>
      <c r="E141" s="32"/>
      <c r="F141" s="31"/>
      <c r="G141" s="43" t="str">
        <f t="shared" si="13"/>
        <v/>
      </c>
      <c r="H141" s="30" t="s">
        <v>63</v>
      </c>
      <c r="I141" s="41"/>
      <c r="J141" s="33" t="str">
        <f>IF(AND(A141&lt;&gt;"",E141&lt;&gt;""),IF(I141="","⚠️ Enter Code",IF(IFERROR(VLOOKUP(H141,DB_Agents!$B:$F,4,0),"")=TEXT(I141,"0"),IF(C141&gt;=E141,"✅ Successful","❌ Insufficient Funds"),"🔒 WRONG CODE")),"Pending")</f>
        <v>Pending</v>
      </c>
      <c r="K141" s="33" t="str">
        <f t="shared" ca="1" si="14"/>
        <v>—</v>
      </c>
      <c r="L141" s="22"/>
    </row>
    <row r="142" spans="1:12" ht="20.100000000000001" customHeight="1" x14ac:dyDescent="0.25">
      <c r="A142" s="41"/>
      <c r="B142" s="35" t="str">
        <f>IF(A142="","",IFERROR(VLOOKUP(A142,DB_Customers!$A:$B,2,0),"❌ Account Not Found"))</f>
        <v/>
      </c>
      <c r="C142" s="43" t="str">
        <f>IF(A142="","",IFERROR(VLOOKUP(A142,DB_Customers!$A:$N,14,0),""))</f>
        <v/>
      </c>
      <c r="D142" s="42" t="str">
        <f t="shared" ca="1" si="12"/>
        <v/>
      </c>
      <c r="E142" s="32"/>
      <c r="F142" s="31"/>
      <c r="G142" s="43" t="str">
        <f t="shared" si="13"/>
        <v/>
      </c>
      <c r="H142" s="30" t="s">
        <v>63</v>
      </c>
      <c r="I142" s="41"/>
      <c r="J142" s="33" t="str">
        <f>IF(AND(A142&lt;&gt;"",E142&lt;&gt;""),IF(I142="","⚠️ Enter Code",IF(IFERROR(VLOOKUP(H142,DB_Agents!$B:$F,4,0),"")=TEXT(I142,"0"),IF(C142&gt;=E142,"✅ Successful","❌ Insufficient Funds"),"🔒 WRONG CODE")),"Pending")</f>
        <v>Pending</v>
      </c>
      <c r="K142" s="33" t="str">
        <f t="shared" ca="1" si="14"/>
        <v>—</v>
      </c>
      <c r="L142" s="50"/>
    </row>
    <row r="143" spans="1:12" ht="20.100000000000001" customHeight="1" x14ac:dyDescent="0.25">
      <c r="A143" s="41"/>
      <c r="B143" s="35" t="str">
        <f>IF(A143="","",IFERROR(VLOOKUP(A143,DB_Customers!$A:$B,2,0),"❌ Account Not Found"))</f>
        <v/>
      </c>
      <c r="C143" s="43" t="str">
        <f>IF(A143="","",IFERROR(VLOOKUP(A143,DB_Customers!$A:$N,14,0),""))</f>
        <v/>
      </c>
      <c r="D143" s="42" t="str">
        <f t="shared" ca="1" si="12"/>
        <v/>
      </c>
      <c r="E143" s="32"/>
      <c r="F143" s="31"/>
      <c r="G143" s="43" t="str">
        <f t="shared" si="13"/>
        <v/>
      </c>
      <c r="H143" s="30" t="s">
        <v>63</v>
      </c>
      <c r="I143" s="41"/>
      <c r="J143" s="33" t="str">
        <f>IF(AND(A143&lt;&gt;"",E143&lt;&gt;""),IF(I143="","⚠️ Enter Code",IF(IFERROR(VLOOKUP(H143,DB_Agents!$B:$F,4,0),"")=TEXT(I143,"0"),IF(C143&gt;=E143,"✅ Successful","❌ Insufficient Funds"),"🔒 WRONG CODE")),"Pending")</f>
        <v>Pending</v>
      </c>
      <c r="K143" s="33" t="str">
        <f t="shared" ca="1" si="14"/>
        <v>—</v>
      </c>
      <c r="L143" s="22"/>
    </row>
    <row r="144" spans="1:12" ht="20.100000000000001" customHeight="1" x14ac:dyDescent="0.25">
      <c r="A144" s="41"/>
      <c r="B144" s="35" t="str">
        <f>IF(A144="","",IFERROR(VLOOKUP(A144,DB_Customers!$A:$B,2,0),"❌ Account Not Found"))</f>
        <v/>
      </c>
      <c r="C144" s="43" t="str">
        <f>IF(A144="","",IFERROR(VLOOKUP(A144,DB_Customers!$A:$N,14,0),""))</f>
        <v/>
      </c>
      <c r="D144" s="42" t="str">
        <f t="shared" ca="1" si="12"/>
        <v/>
      </c>
      <c r="E144" s="32"/>
      <c r="F144" s="31"/>
      <c r="G144" s="43" t="str">
        <f t="shared" si="13"/>
        <v/>
      </c>
      <c r="H144" s="30" t="s">
        <v>63</v>
      </c>
      <c r="I144" s="41"/>
      <c r="J144" s="33" t="str">
        <f>IF(AND(A144&lt;&gt;"",E144&lt;&gt;""),IF(I144="","⚠️ Enter Code",IF(IFERROR(VLOOKUP(H144,DB_Agents!$B:$F,4,0),"")=TEXT(I144,"0"),IF(C144&gt;=E144,"✅ Successful","❌ Insufficient Funds"),"🔒 WRONG CODE")),"Pending")</f>
        <v>Pending</v>
      </c>
      <c r="K144" s="33" t="str">
        <f t="shared" ca="1" si="14"/>
        <v>—</v>
      </c>
      <c r="L144" s="50"/>
    </row>
    <row r="145" spans="1:12" ht="20.100000000000001" customHeight="1" x14ac:dyDescent="0.25">
      <c r="A145" s="41"/>
      <c r="B145" s="35" t="str">
        <f>IF(A145="","",IFERROR(VLOOKUP(A145,DB_Customers!$A:$B,2,0),"❌ Account Not Found"))</f>
        <v/>
      </c>
      <c r="C145" s="43" t="str">
        <f>IF(A145="","",IFERROR(VLOOKUP(A145,DB_Customers!$A:$N,14,0),""))</f>
        <v/>
      </c>
      <c r="D145" s="42" t="str">
        <f t="shared" ca="1" si="12"/>
        <v/>
      </c>
      <c r="E145" s="32"/>
      <c r="F145" s="31"/>
      <c r="G145" s="43" t="str">
        <f t="shared" si="13"/>
        <v/>
      </c>
      <c r="H145" s="30" t="s">
        <v>63</v>
      </c>
      <c r="I145" s="41"/>
      <c r="J145" s="33" t="str">
        <f>IF(AND(A145&lt;&gt;"",E145&lt;&gt;""),IF(I145="","⚠️ Enter Code",IF(IFERROR(VLOOKUP(H145,DB_Agents!$B:$F,4,0),"")=TEXT(I145,"0"),IF(C145&gt;=E145,"✅ Successful","❌ Insufficient Funds"),"🔒 WRONG CODE")),"Pending")</f>
        <v>Pending</v>
      </c>
      <c r="K145" s="33" t="str">
        <f t="shared" ca="1" si="14"/>
        <v>—</v>
      </c>
      <c r="L145" s="22"/>
    </row>
    <row r="146" spans="1:12" ht="20.100000000000001" customHeight="1" x14ac:dyDescent="0.25">
      <c r="A146" s="41"/>
      <c r="B146" s="35" t="str">
        <f>IF(A146="","",IFERROR(VLOOKUP(A146,DB_Customers!$A:$B,2,0),"❌ Account Not Found"))</f>
        <v/>
      </c>
      <c r="C146" s="43" t="str">
        <f>IF(A146="","",IFERROR(VLOOKUP(A146,DB_Customers!$A:$N,14,0),""))</f>
        <v/>
      </c>
      <c r="D146" s="42" t="str">
        <f t="shared" ca="1" si="12"/>
        <v/>
      </c>
      <c r="E146" s="32"/>
      <c r="F146" s="31"/>
      <c r="G146" s="43" t="str">
        <f t="shared" si="13"/>
        <v/>
      </c>
      <c r="H146" s="30" t="s">
        <v>63</v>
      </c>
      <c r="I146" s="41"/>
      <c r="J146" s="33" t="str">
        <f>IF(AND(A146&lt;&gt;"",E146&lt;&gt;""),IF(I146="","⚠️ Enter Code",IF(IFERROR(VLOOKUP(H146,DB_Agents!$B:$F,4,0),"")=TEXT(I146,"0"),IF(C146&gt;=E146,"✅ Successful","❌ Insufficient Funds"),"🔒 WRONG CODE")),"Pending")</f>
        <v>Pending</v>
      </c>
      <c r="K146" s="33" t="str">
        <f t="shared" ca="1" si="14"/>
        <v>—</v>
      </c>
      <c r="L146" s="50"/>
    </row>
    <row r="147" spans="1:12" ht="20.100000000000001" customHeight="1" x14ac:dyDescent="0.25">
      <c r="A147" s="41"/>
      <c r="B147" s="35" t="str">
        <f>IF(A147="","",IFERROR(VLOOKUP(A147,DB_Customers!$A:$B,2,0),"❌ Account Not Found"))</f>
        <v/>
      </c>
      <c r="C147" s="43" t="str">
        <f>IF(A147="","",IFERROR(VLOOKUP(A147,DB_Customers!$A:$N,14,0),""))</f>
        <v/>
      </c>
      <c r="D147" s="42" t="str">
        <f t="shared" ca="1" si="12"/>
        <v/>
      </c>
      <c r="E147" s="32"/>
      <c r="F147" s="31"/>
      <c r="G147" s="43" t="str">
        <f t="shared" si="13"/>
        <v/>
      </c>
      <c r="H147" s="30" t="s">
        <v>63</v>
      </c>
      <c r="I147" s="41"/>
      <c r="J147" s="33" t="str">
        <f>IF(AND(A147&lt;&gt;"",E147&lt;&gt;""),IF(I147="","⚠️ Enter Code",IF(IFERROR(VLOOKUP(H147,DB_Agents!$B:$F,4,0),"")=TEXT(I147,"0"),IF(C147&gt;=E147,"✅ Successful","❌ Insufficient Funds"),"🔒 WRONG CODE")),"Pending")</f>
        <v>Pending</v>
      </c>
      <c r="K147" s="33" t="str">
        <f t="shared" ca="1" si="14"/>
        <v>—</v>
      </c>
      <c r="L147" s="22"/>
    </row>
    <row r="148" spans="1:12" ht="20.100000000000001" customHeight="1" x14ac:dyDescent="0.25">
      <c r="A148" s="41"/>
      <c r="B148" s="35" t="str">
        <f>IF(A148="","",IFERROR(VLOOKUP(A148,DB_Customers!$A:$B,2,0),"❌ Account Not Found"))</f>
        <v/>
      </c>
      <c r="C148" s="43" t="str">
        <f>IF(A148="","",IFERROR(VLOOKUP(A148,DB_Customers!$A:$N,14,0),""))</f>
        <v/>
      </c>
      <c r="D148" s="42" t="str">
        <f t="shared" ca="1" si="12"/>
        <v/>
      </c>
      <c r="E148" s="32"/>
      <c r="F148" s="31"/>
      <c r="G148" s="43" t="str">
        <f t="shared" si="13"/>
        <v/>
      </c>
      <c r="H148" s="30" t="s">
        <v>63</v>
      </c>
      <c r="I148" s="41"/>
      <c r="J148" s="33" t="str">
        <f>IF(AND(A148&lt;&gt;"",E148&lt;&gt;""),IF(I148="","⚠️ Enter Code",IF(IFERROR(VLOOKUP(H148,DB_Agents!$B:$F,4,0),"")=TEXT(I148,"0"),IF(C148&gt;=E148,"✅ Successful","❌ Insufficient Funds"),"🔒 WRONG CODE")),"Pending")</f>
        <v>Pending</v>
      </c>
      <c r="K148" s="33" t="str">
        <f t="shared" ca="1" si="14"/>
        <v>—</v>
      </c>
      <c r="L148" s="50"/>
    </row>
    <row r="149" spans="1:12" ht="20.100000000000001" customHeight="1" x14ac:dyDescent="0.25">
      <c r="A149" s="41"/>
      <c r="B149" s="35" t="str">
        <f>IF(A149="","",IFERROR(VLOOKUP(A149,DB_Customers!$A:$B,2,0),"❌ Account Not Found"))</f>
        <v/>
      </c>
      <c r="C149" s="43" t="str">
        <f>IF(A149="","",IFERROR(VLOOKUP(A149,DB_Customers!$A:$N,14,0),""))</f>
        <v/>
      </c>
      <c r="D149" s="42" t="str">
        <f t="shared" ca="1" si="12"/>
        <v/>
      </c>
      <c r="E149" s="32"/>
      <c r="F149" s="31"/>
      <c r="G149" s="43" t="str">
        <f t="shared" si="13"/>
        <v/>
      </c>
      <c r="H149" s="30" t="s">
        <v>63</v>
      </c>
      <c r="I149" s="41"/>
      <c r="J149" s="33" t="str">
        <f>IF(AND(A149&lt;&gt;"",E149&lt;&gt;""),IF(I149="","⚠️ Enter Code",IF(IFERROR(VLOOKUP(H149,DB_Agents!$B:$F,4,0),"")=TEXT(I149,"0"),IF(C149&gt;=E149,"✅ Successful","❌ Insufficient Funds"),"🔒 WRONG CODE")),"Pending")</f>
        <v>Pending</v>
      </c>
      <c r="K149" s="33" t="str">
        <f t="shared" ca="1" si="14"/>
        <v>—</v>
      </c>
      <c r="L149" s="22"/>
    </row>
    <row r="150" spans="1:12" ht="20.100000000000001" customHeight="1" x14ac:dyDescent="0.25">
      <c r="A150" s="41"/>
      <c r="B150" s="35" t="str">
        <f>IF(A150="","",IFERROR(VLOOKUP(A150,DB_Customers!$A:$B,2,0),"❌ Account Not Found"))</f>
        <v/>
      </c>
      <c r="C150" s="43" t="str">
        <f>IF(A150="","",IFERROR(VLOOKUP(A150,DB_Customers!$A:$N,14,0),""))</f>
        <v/>
      </c>
      <c r="D150" s="42" t="str">
        <f t="shared" ca="1" si="12"/>
        <v/>
      </c>
      <c r="E150" s="32"/>
      <c r="F150" s="31"/>
      <c r="G150" s="43" t="str">
        <f t="shared" si="13"/>
        <v/>
      </c>
      <c r="H150" s="30" t="s">
        <v>63</v>
      </c>
      <c r="I150" s="41"/>
      <c r="J150" s="33" t="str">
        <f>IF(AND(A150&lt;&gt;"",E150&lt;&gt;""),IF(I150="","⚠️ Enter Code",IF(IFERROR(VLOOKUP(H150,DB_Agents!$B:$F,4,0),"")=TEXT(I150,"0"),IF(C150&gt;=E150,"✅ Successful","❌ Insufficient Funds"),"🔒 WRONG CODE")),"Pending")</f>
        <v>Pending</v>
      </c>
      <c r="K150" s="33" t="str">
        <f t="shared" ca="1" si="14"/>
        <v>—</v>
      </c>
      <c r="L150" s="50"/>
    </row>
    <row r="151" spans="1:12" ht="20.100000000000001" customHeight="1" x14ac:dyDescent="0.25">
      <c r="A151" s="41"/>
      <c r="B151" s="35" t="str">
        <f>IF(A151="","",IFERROR(VLOOKUP(A151,DB_Customers!$A:$B,2,0),"❌ Account Not Found"))</f>
        <v/>
      </c>
      <c r="C151" s="43" t="str">
        <f>IF(A151="","",IFERROR(VLOOKUP(A151,DB_Customers!$A:$N,14,0),""))</f>
        <v/>
      </c>
      <c r="D151" s="42" t="str">
        <f t="shared" ca="1" si="12"/>
        <v/>
      </c>
      <c r="E151" s="32"/>
      <c r="F151" s="31"/>
      <c r="G151" s="43" t="str">
        <f t="shared" si="13"/>
        <v/>
      </c>
      <c r="H151" s="30" t="s">
        <v>63</v>
      </c>
      <c r="I151" s="41"/>
      <c r="J151" s="33" t="str">
        <f>IF(AND(A151&lt;&gt;"",E151&lt;&gt;""),IF(I151="","⚠️ Enter Code",IF(IFERROR(VLOOKUP(H151,DB_Agents!$B:$F,4,0),"")=TEXT(I151,"0"),IF(C151&gt;=E151,"✅ Successful","❌ Insufficient Funds"),"🔒 WRONG CODE")),"Pending")</f>
        <v>Pending</v>
      </c>
      <c r="K151" s="33" t="str">
        <f t="shared" ca="1" si="14"/>
        <v>—</v>
      </c>
      <c r="L151" s="22"/>
    </row>
    <row r="152" spans="1:12" ht="20.100000000000001" customHeight="1" x14ac:dyDescent="0.25">
      <c r="A152" s="41"/>
      <c r="B152" s="35" t="str">
        <f>IF(A152="","",IFERROR(VLOOKUP(A152,DB_Customers!$A:$B,2,0),"❌ Account Not Found"))</f>
        <v/>
      </c>
      <c r="C152" s="43" t="str">
        <f>IF(A152="","",IFERROR(VLOOKUP(A152,DB_Customers!$A:$N,14,0),""))</f>
        <v/>
      </c>
      <c r="D152" s="42" t="str">
        <f t="shared" ca="1" si="12"/>
        <v/>
      </c>
      <c r="E152" s="32"/>
      <c r="F152" s="31"/>
      <c r="G152" s="43" t="str">
        <f t="shared" si="13"/>
        <v/>
      </c>
      <c r="H152" s="30" t="s">
        <v>63</v>
      </c>
      <c r="I152" s="41"/>
      <c r="J152" s="33" t="str">
        <f>IF(AND(A152&lt;&gt;"",E152&lt;&gt;""),IF(I152="","⚠️ Enter Code",IF(IFERROR(VLOOKUP(H152,DB_Agents!$B:$F,4,0),"")=TEXT(I152,"0"),IF(C152&gt;=E152,"✅ Successful","❌ Insufficient Funds"),"🔒 WRONG CODE")),"Pending")</f>
        <v>Pending</v>
      </c>
      <c r="K152" s="33" t="str">
        <f t="shared" ca="1" si="14"/>
        <v>—</v>
      </c>
      <c r="L152" s="50"/>
    </row>
    <row r="153" spans="1:12" ht="20.100000000000001" customHeight="1" x14ac:dyDescent="0.25">
      <c r="A153" s="41"/>
      <c r="B153" s="35" t="str">
        <f>IF(A153="","",IFERROR(VLOOKUP(A153,DB_Customers!$A:$B,2,0),"❌ Account Not Found"))</f>
        <v/>
      </c>
      <c r="C153" s="43" t="str">
        <f>IF(A153="","",IFERROR(VLOOKUP(A153,DB_Customers!$A:$N,14,0),""))</f>
        <v/>
      </c>
      <c r="D153" s="42" t="str">
        <f t="shared" ca="1" si="12"/>
        <v/>
      </c>
      <c r="E153" s="32"/>
      <c r="F153" s="31"/>
      <c r="G153" s="43" t="str">
        <f t="shared" si="13"/>
        <v/>
      </c>
      <c r="H153" s="30" t="s">
        <v>63</v>
      </c>
      <c r="I153" s="41"/>
      <c r="J153" s="33" t="str">
        <f>IF(AND(A153&lt;&gt;"",E153&lt;&gt;""),IF(I153="","⚠️ Enter Code",IF(IFERROR(VLOOKUP(H153,DB_Agents!$B:$F,4,0),"")=TEXT(I153,"0"),IF(C153&gt;=E153,"✅ Successful","❌ Insufficient Funds"),"🔒 WRONG CODE")),"Pending")</f>
        <v>Pending</v>
      </c>
      <c r="K153" s="33" t="str">
        <f t="shared" ca="1" si="14"/>
        <v>—</v>
      </c>
      <c r="L153" s="22"/>
    </row>
    <row r="154" spans="1:12" ht="20.100000000000001" customHeight="1" x14ac:dyDescent="0.25">
      <c r="A154" s="41"/>
      <c r="B154" s="35" t="str">
        <f>IF(A154="","",IFERROR(VLOOKUP(A154,DB_Customers!$A:$B,2,0),"❌ Account Not Found"))</f>
        <v/>
      </c>
      <c r="C154" s="43" t="str">
        <f>IF(A154="","",IFERROR(VLOOKUP(A154,DB_Customers!$A:$N,14,0),""))</f>
        <v/>
      </c>
      <c r="D154" s="42" t="str">
        <f t="shared" ca="1" si="12"/>
        <v/>
      </c>
      <c r="E154" s="32"/>
      <c r="F154" s="31"/>
      <c r="G154" s="43" t="str">
        <f t="shared" si="13"/>
        <v/>
      </c>
      <c r="H154" s="30" t="s">
        <v>63</v>
      </c>
      <c r="I154" s="41"/>
      <c r="J154" s="33" t="str">
        <f>IF(AND(A154&lt;&gt;"",E154&lt;&gt;""),IF(I154="","⚠️ Enter Code",IF(IFERROR(VLOOKUP(H154,DB_Agents!$B:$F,4,0),"")=TEXT(I154,"0"),IF(C154&gt;=E154,"✅ Successful","❌ Insufficient Funds"),"🔒 WRONG CODE")),"Pending")</f>
        <v>Pending</v>
      </c>
      <c r="K154" s="33" t="str">
        <f t="shared" ca="1" si="14"/>
        <v>—</v>
      </c>
      <c r="L154" s="50"/>
    </row>
    <row r="155" spans="1:12" ht="20.100000000000001" customHeight="1" x14ac:dyDescent="0.25">
      <c r="A155" s="41"/>
      <c r="B155" s="35" t="str">
        <f>IF(A155="","",IFERROR(VLOOKUP(A155,DB_Customers!$A:$B,2,0),"❌ Account Not Found"))</f>
        <v/>
      </c>
      <c r="C155" s="43" t="str">
        <f>IF(A155="","",IFERROR(VLOOKUP(A155,DB_Customers!$A:$N,14,0),""))</f>
        <v/>
      </c>
      <c r="D155" s="42" t="str">
        <f t="shared" ca="1" si="12"/>
        <v/>
      </c>
      <c r="E155" s="32"/>
      <c r="F155" s="31"/>
      <c r="G155" s="43" t="str">
        <f t="shared" si="13"/>
        <v/>
      </c>
      <c r="H155" s="30" t="s">
        <v>63</v>
      </c>
      <c r="I155" s="41"/>
      <c r="J155" s="33" t="str">
        <f>IF(AND(A155&lt;&gt;"",E155&lt;&gt;""),IF(I155="","⚠️ Enter Code",IF(IFERROR(VLOOKUP(H155,DB_Agents!$B:$F,4,0),"")=TEXT(I155,"0"),IF(C155&gt;=E155,"✅ Successful","❌ Insufficient Funds"),"🔒 WRONG CODE")),"Pending")</f>
        <v>Pending</v>
      </c>
      <c r="K155" s="33" t="str">
        <f t="shared" ca="1" si="14"/>
        <v>—</v>
      </c>
      <c r="L155" s="22"/>
    </row>
    <row r="156" spans="1:12" ht="20.100000000000001" customHeight="1" x14ac:dyDescent="0.25">
      <c r="A156" s="41"/>
      <c r="B156" s="35" t="str">
        <f>IF(A156="","",IFERROR(VLOOKUP(A156,DB_Customers!$A:$B,2,0),"❌ Account Not Found"))</f>
        <v/>
      </c>
      <c r="C156" s="43" t="str">
        <f>IF(A156="","",IFERROR(VLOOKUP(A156,DB_Customers!$A:$N,14,0),""))</f>
        <v/>
      </c>
      <c r="D156" s="42" t="str">
        <f t="shared" ca="1" si="12"/>
        <v/>
      </c>
      <c r="E156" s="32"/>
      <c r="F156" s="31"/>
      <c r="G156" s="43" t="str">
        <f t="shared" si="13"/>
        <v/>
      </c>
      <c r="H156" s="30" t="s">
        <v>63</v>
      </c>
      <c r="I156" s="41"/>
      <c r="J156" s="33" t="str">
        <f>IF(AND(A156&lt;&gt;"",E156&lt;&gt;""),IF(I156="","⚠️ Enter Code",IF(IFERROR(VLOOKUP(H156,DB_Agents!$B:$F,4,0),"")=TEXT(I156,"0"),IF(C156&gt;=E156,"✅ Successful","❌ Insufficient Funds"),"🔒 WRONG CODE")),"Pending")</f>
        <v>Pending</v>
      </c>
      <c r="K156" s="33" t="str">
        <f t="shared" ca="1" si="14"/>
        <v>—</v>
      </c>
      <c r="L156" s="50"/>
    </row>
    <row r="157" spans="1:12" ht="20.100000000000001" customHeight="1" x14ac:dyDescent="0.25">
      <c r="A157" s="41"/>
      <c r="B157" s="35" t="str">
        <f>IF(A157="","",IFERROR(VLOOKUP(A157,DB_Customers!$A:$B,2,0),"❌ Account Not Found"))</f>
        <v/>
      </c>
      <c r="C157" s="43" t="str">
        <f>IF(A157="","",IFERROR(VLOOKUP(A157,DB_Customers!$A:$N,14,0),""))</f>
        <v/>
      </c>
      <c r="D157" s="42" t="str">
        <f t="shared" ca="1" si="12"/>
        <v/>
      </c>
      <c r="E157" s="32"/>
      <c r="F157" s="31"/>
      <c r="G157" s="43" t="str">
        <f t="shared" si="13"/>
        <v/>
      </c>
      <c r="H157" s="30" t="s">
        <v>63</v>
      </c>
      <c r="I157" s="41"/>
      <c r="J157" s="33" t="str">
        <f>IF(AND(A157&lt;&gt;"",E157&lt;&gt;""),IF(I157="","⚠️ Enter Code",IF(IFERROR(VLOOKUP(H157,DB_Agents!$B:$F,4,0),"")=TEXT(I157,"0"),IF(C157&gt;=E157,"✅ Successful","❌ Insufficient Funds"),"🔒 WRONG CODE")),"Pending")</f>
        <v>Pending</v>
      </c>
      <c r="K157" s="33" t="str">
        <f t="shared" ca="1" si="14"/>
        <v>—</v>
      </c>
      <c r="L157" s="22"/>
    </row>
    <row r="158" spans="1:12" ht="20.100000000000001" customHeight="1" x14ac:dyDescent="0.25">
      <c r="A158" s="41"/>
      <c r="B158" s="35" t="str">
        <f>IF(A158="","",IFERROR(VLOOKUP(A158,DB_Customers!$A:$B,2,0),"❌ Account Not Found"))</f>
        <v/>
      </c>
      <c r="C158" s="43" t="str">
        <f>IF(A158="","",IFERROR(VLOOKUP(A158,DB_Customers!$A:$N,14,0),""))</f>
        <v/>
      </c>
      <c r="D158" s="42" t="str">
        <f t="shared" ca="1" si="12"/>
        <v/>
      </c>
      <c r="E158" s="32"/>
      <c r="F158" s="31"/>
      <c r="G158" s="43" t="str">
        <f t="shared" si="13"/>
        <v/>
      </c>
      <c r="H158" s="30" t="s">
        <v>63</v>
      </c>
      <c r="I158" s="41"/>
      <c r="J158" s="33" t="str">
        <f>IF(AND(A158&lt;&gt;"",E158&lt;&gt;""),IF(I158="","⚠️ Enter Code",IF(IFERROR(VLOOKUP(H158,DB_Agents!$B:$F,4,0),"")=TEXT(I158,"0"),IF(C158&gt;=E158,"✅ Successful","❌ Insufficient Funds"),"🔒 WRONG CODE")),"Pending")</f>
        <v>Pending</v>
      </c>
      <c r="K158" s="33" t="str">
        <f t="shared" ca="1" si="14"/>
        <v>—</v>
      </c>
      <c r="L158" s="50"/>
    </row>
    <row r="159" spans="1:12" ht="20.100000000000001" customHeight="1" x14ac:dyDescent="0.25">
      <c r="A159" s="41"/>
      <c r="B159" s="35" t="str">
        <f>IF(A159="","",IFERROR(VLOOKUP(A159,DB_Customers!$A:$B,2,0),"❌ Account Not Found"))</f>
        <v/>
      </c>
      <c r="C159" s="43" t="str">
        <f>IF(A159="","",IFERROR(VLOOKUP(A159,DB_Customers!$A:$N,14,0),""))</f>
        <v/>
      </c>
      <c r="D159" s="42" t="str">
        <f t="shared" ca="1" si="12"/>
        <v/>
      </c>
      <c r="E159" s="32"/>
      <c r="F159" s="31"/>
      <c r="G159" s="43" t="str">
        <f t="shared" si="13"/>
        <v/>
      </c>
      <c r="H159" s="30" t="s">
        <v>63</v>
      </c>
      <c r="I159" s="41"/>
      <c r="J159" s="33" t="str">
        <f>IF(AND(A159&lt;&gt;"",E159&lt;&gt;""),IF(I159="","⚠️ Enter Code",IF(IFERROR(VLOOKUP(H159,DB_Agents!$B:$F,4,0),"")=TEXT(I159,"0"),IF(C159&gt;=E159,"✅ Successful","❌ Insufficient Funds"),"🔒 WRONG CODE")),"Pending")</f>
        <v>Pending</v>
      </c>
      <c r="K159" s="33" t="str">
        <f t="shared" ca="1" si="14"/>
        <v>—</v>
      </c>
      <c r="L159" s="22"/>
    </row>
    <row r="160" spans="1:12" ht="20.100000000000001" customHeight="1" x14ac:dyDescent="0.25">
      <c r="A160" s="41"/>
      <c r="B160" s="35" t="str">
        <f>IF(A160="","",IFERROR(VLOOKUP(A160,DB_Customers!$A:$B,2,0),"❌ Account Not Found"))</f>
        <v/>
      </c>
      <c r="C160" s="43" t="str">
        <f>IF(A160="","",IFERROR(VLOOKUP(A160,DB_Customers!$A:$N,14,0),""))</f>
        <v/>
      </c>
      <c r="D160" s="42" t="str">
        <f t="shared" ca="1" si="12"/>
        <v/>
      </c>
      <c r="E160" s="32"/>
      <c r="F160" s="31"/>
      <c r="G160" s="43" t="str">
        <f t="shared" si="13"/>
        <v/>
      </c>
      <c r="H160" s="30" t="s">
        <v>63</v>
      </c>
      <c r="I160" s="41"/>
      <c r="J160" s="33" t="str">
        <f>IF(AND(A160&lt;&gt;"",E160&lt;&gt;""),IF(I160="","⚠️ Enter Code",IF(IFERROR(VLOOKUP(H160,DB_Agents!$B:$F,4,0),"")=TEXT(I160,"0"),IF(C160&gt;=E160,"✅ Successful","❌ Insufficient Funds"),"🔒 WRONG CODE")),"Pending")</f>
        <v>Pending</v>
      </c>
      <c r="K160" s="33" t="str">
        <f t="shared" ca="1" si="14"/>
        <v>—</v>
      </c>
      <c r="L160" s="50"/>
    </row>
    <row r="161" spans="1:12" ht="20.100000000000001" customHeight="1" x14ac:dyDescent="0.25">
      <c r="A161" s="41"/>
      <c r="B161" s="35" t="str">
        <f>IF(A161="","",IFERROR(VLOOKUP(A161,DB_Customers!$A:$B,2,0),"❌ Account Not Found"))</f>
        <v/>
      </c>
      <c r="C161" s="43" t="str">
        <f>IF(A161="","",IFERROR(VLOOKUP(A161,DB_Customers!$A:$N,14,0),""))</f>
        <v/>
      </c>
      <c r="D161" s="42" t="str">
        <f t="shared" ca="1" si="12"/>
        <v/>
      </c>
      <c r="E161" s="32"/>
      <c r="F161" s="31"/>
      <c r="G161" s="43" t="str">
        <f t="shared" si="13"/>
        <v/>
      </c>
      <c r="H161" s="30" t="s">
        <v>63</v>
      </c>
      <c r="I161" s="41"/>
      <c r="J161" s="33" t="str">
        <f>IF(AND(A161&lt;&gt;"",E161&lt;&gt;""),IF(I161="","⚠️ Enter Code",IF(IFERROR(VLOOKUP(H161,DB_Agents!$B:$F,4,0),"")=TEXT(I161,"0"),IF(C161&gt;=E161,"✅ Successful","❌ Insufficient Funds"),"🔒 WRONG CODE")),"Pending")</f>
        <v>Pending</v>
      </c>
      <c r="K161" s="33" t="str">
        <f t="shared" ca="1" si="14"/>
        <v>—</v>
      </c>
      <c r="L161" s="22"/>
    </row>
    <row r="162" spans="1:12" ht="20.100000000000001" customHeight="1" x14ac:dyDescent="0.25">
      <c r="A162" s="41"/>
      <c r="B162" s="35" t="str">
        <f>IF(A162="","",IFERROR(VLOOKUP(A162,DB_Customers!$A:$B,2,0),"❌ Account Not Found"))</f>
        <v/>
      </c>
      <c r="C162" s="43" t="str">
        <f>IF(A162="","",IFERROR(VLOOKUP(A162,DB_Customers!$A:$N,14,0),""))</f>
        <v/>
      </c>
      <c r="D162" s="42" t="str">
        <f t="shared" ca="1" si="12"/>
        <v/>
      </c>
      <c r="E162" s="32"/>
      <c r="F162" s="31"/>
      <c r="G162" s="43" t="str">
        <f t="shared" si="13"/>
        <v/>
      </c>
      <c r="H162" s="30" t="s">
        <v>63</v>
      </c>
      <c r="I162" s="41"/>
      <c r="J162" s="33" t="str">
        <f>IF(AND(A162&lt;&gt;"",E162&lt;&gt;""),IF(I162="","⚠️ Enter Code",IF(IFERROR(VLOOKUP(H162,DB_Agents!$B:$F,4,0),"")=TEXT(I162,"0"),IF(C162&gt;=E162,"✅ Successful","❌ Insufficient Funds"),"🔒 WRONG CODE")),"Pending")</f>
        <v>Pending</v>
      </c>
      <c r="K162" s="33" t="str">
        <f t="shared" ca="1" si="14"/>
        <v>—</v>
      </c>
      <c r="L162" s="50"/>
    </row>
    <row r="163" spans="1:12" ht="20.100000000000001" customHeight="1" x14ac:dyDescent="0.25">
      <c r="A163" s="41"/>
      <c r="B163" s="35" t="str">
        <f>IF(A163="","",IFERROR(VLOOKUP(A163,DB_Customers!$A:$B,2,0),"❌ Account Not Found"))</f>
        <v/>
      </c>
      <c r="C163" s="43" t="str">
        <f>IF(A163="","",IFERROR(VLOOKUP(A163,DB_Customers!$A:$N,14,0),""))</f>
        <v/>
      </c>
      <c r="D163" s="42" t="str">
        <f t="shared" ca="1" si="12"/>
        <v/>
      </c>
      <c r="E163" s="32"/>
      <c r="F163" s="31"/>
      <c r="G163" s="43" t="str">
        <f t="shared" si="13"/>
        <v/>
      </c>
      <c r="H163" s="30" t="s">
        <v>63</v>
      </c>
      <c r="I163" s="41"/>
      <c r="J163" s="33" t="str">
        <f>IF(AND(A163&lt;&gt;"",E163&lt;&gt;""),IF(I163="","⚠️ Enter Code",IF(IFERROR(VLOOKUP(H163,DB_Agents!$B:$F,4,0),"")=TEXT(I163,"0"),IF(C163&gt;=E163,"✅ Successful","❌ Insufficient Funds"),"🔒 WRONG CODE")),"Pending")</f>
        <v>Pending</v>
      </c>
      <c r="K163" s="33" t="str">
        <f t="shared" ca="1" si="14"/>
        <v>—</v>
      </c>
      <c r="L163" s="22"/>
    </row>
    <row r="164" spans="1:12" ht="20.100000000000001" customHeight="1" x14ac:dyDescent="0.25">
      <c r="A164" s="41"/>
      <c r="B164" s="35" t="str">
        <f>IF(A164="","",IFERROR(VLOOKUP(A164,DB_Customers!$A:$B,2,0),"❌ Account Not Found"))</f>
        <v/>
      </c>
      <c r="C164" s="43" t="str">
        <f>IF(A164="","",IFERROR(VLOOKUP(A164,DB_Customers!$A:$N,14,0),""))</f>
        <v/>
      </c>
      <c r="D164" s="42" t="str">
        <f t="shared" ca="1" si="12"/>
        <v/>
      </c>
      <c r="E164" s="32"/>
      <c r="F164" s="31"/>
      <c r="G164" s="43" t="str">
        <f t="shared" si="13"/>
        <v/>
      </c>
      <c r="H164" s="30" t="s">
        <v>63</v>
      </c>
      <c r="I164" s="41"/>
      <c r="J164" s="33" t="str">
        <f>IF(AND(A164&lt;&gt;"",E164&lt;&gt;""),IF(I164="","⚠️ Enter Code",IF(IFERROR(VLOOKUP(H164,DB_Agents!$B:$F,4,0),"")=TEXT(I164,"0"),IF(C164&gt;=E164,"✅ Successful","❌ Insufficient Funds"),"🔒 WRONG CODE")),"Pending")</f>
        <v>Pending</v>
      </c>
      <c r="K164" s="33" t="str">
        <f t="shared" ca="1" si="14"/>
        <v>—</v>
      </c>
      <c r="L164" s="50"/>
    </row>
    <row r="165" spans="1:12" ht="20.100000000000001" customHeight="1" x14ac:dyDescent="0.25">
      <c r="A165" s="41"/>
      <c r="B165" s="35" t="str">
        <f>IF(A165="","",IFERROR(VLOOKUP(A165,DB_Customers!$A:$B,2,0),"❌ Account Not Found"))</f>
        <v/>
      </c>
      <c r="C165" s="43" t="str">
        <f>IF(A165="","",IFERROR(VLOOKUP(A165,DB_Customers!$A:$N,14,0),""))</f>
        <v/>
      </c>
      <c r="D165" s="42" t="str">
        <f t="shared" ca="1" si="12"/>
        <v/>
      </c>
      <c r="E165" s="32"/>
      <c r="F165" s="31"/>
      <c r="G165" s="43" t="str">
        <f t="shared" si="13"/>
        <v/>
      </c>
      <c r="H165" s="30" t="s">
        <v>63</v>
      </c>
      <c r="I165" s="41"/>
      <c r="J165" s="33" t="str">
        <f>IF(AND(A165&lt;&gt;"",E165&lt;&gt;""),IF(I165="","⚠️ Enter Code",IF(IFERROR(VLOOKUP(H165,DB_Agents!$B:$F,4,0),"")=TEXT(I165,"0"),IF(C165&gt;=E165,"✅ Successful","❌ Insufficient Funds"),"🔒 WRONG CODE")),"Pending")</f>
        <v>Pending</v>
      </c>
      <c r="K165" s="33" t="str">
        <f t="shared" ca="1" si="14"/>
        <v>—</v>
      </c>
      <c r="L165" s="22"/>
    </row>
    <row r="166" spans="1:12" ht="20.100000000000001" customHeight="1" x14ac:dyDescent="0.25">
      <c r="A166" s="41"/>
      <c r="B166" s="35" t="str">
        <f>IF(A166="","",IFERROR(VLOOKUP(A166,DB_Customers!$A:$B,2,0),"❌ Account Not Found"))</f>
        <v/>
      </c>
      <c r="C166" s="43" t="str">
        <f>IF(A166="","",IFERROR(VLOOKUP(A166,DB_Customers!$A:$N,14,0),""))</f>
        <v/>
      </c>
      <c r="D166" s="42" t="str">
        <f t="shared" ca="1" si="12"/>
        <v/>
      </c>
      <c r="E166" s="32"/>
      <c r="F166" s="31"/>
      <c r="G166" s="43" t="str">
        <f t="shared" si="13"/>
        <v/>
      </c>
      <c r="H166" s="30" t="s">
        <v>63</v>
      </c>
      <c r="I166" s="41"/>
      <c r="J166" s="33" t="str">
        <f>IF(AND(A166&lt;&gt;"",E166&lt;&gt;""),IF(I166="","⚠️ Enter Code",IF(IFERROR(VLOOKUP(H166,DB_Agents!$B:$F,4,0),"")=TEXT(I166,"0"),IF(C166&gt;=E166,"✅ Successful","❌ Insufficient Funds"),"🔒 WRONG CODE")),"Pending")</f>
        <v>Pending</v>
      </c>
      <c r="K166" s="33" t="str">
        <f t="shared" ca="1" si="14"/>
        <v>—</v>
      </c>
      <c r="L166" s="50"/>
    </row>
    <row r="167" spans="1:12" ht="20.100000000000001" customHeight="1" x14ac:dyDescent="0.25">
      <c r="A167" s="41"/>
      <c r="B167" s="35" t="str">
        <f>IF(A167="","",IFERROR(VLOOKUP(A167,DB_Customers!$A:$B,2,0),"❌ Account Not Found"))</f>
        <v/>
      </c>
      <c r="C167" s="43" t="str">
        <f>IF(A167="","",IFERROR(VLOOKUP(A167,DB_Customers!$A:$N,14,0),""))</f>
        <v/>
      </c>
      <c r="D167" s="42" t="str">
        <f t="shared" ca="1" si="12"/>
        <v/>
      </c>
      <c r="E167" s="32"/>
      <c r="F167" s="31"/>
      <c r="G167" s="43" t="str">
        <f t="shared" si="13"/>
        <v/>
      </c>
      <c r="H167" s="30" t="s">
        <v>63</v>
      </c>
      <c r="I167" s="41"/>
      <c r="J167" s="33" t="str">
        <f>IF(AND(A167&lt;&gt;"",E167&lt;&gt;""),IF(I167="","⚠️ Enter Code",IF(IFERROR(VLOOKUP(H167,DB_Agents!$B:$F,4,0),"")=TEXT(I167,"0"),IF(C167&gt;=E167,"✅ Successful","❌ Insufficient Funds"),"🔒 WRONG CODE")),"Pending")</f>
        <v>Pending</v>
      </c>
      <c r="K167" s="33" t="str">
        <f t="shared" ca="1" si="14"/>
        <v>—</v>
      </c>
      <c r="L167" s="22"/>
    </row>
    <row r="168" spans="1:12" ht="20.100000000000001" customHeight="1" x14ac:dyDescent="0.25">
      <c r="A168" s="41"/>
      <c r="B168" s="35" t="str">
        <f>IF(A168="","",IFERROR(VLOOKUP(A168,DB_Customers!$A:$B,2,0),"❌ Account Not Found"))</f>
        <v/>
      </c>
      <c r="C168" s="43" t="str">
        <f>IF(A168="","",IFERROR(VLOOKUP(A168,DB_Customers!$A:$N,14,0),""))</f>
        <v/>
      </c>
      <c r="D168" s="42" t="str">
        <f t="shared" ca="1" si="12"/>
        <v/>
      </c>
      <c r="E168" s="32"/>
      <c r="F168" s="31"/>
      <c r="G168" s="43" t="str">
        <f t="shared" si="13"/>
        <v/>
      </c>
      <c r="H168" s="30" t="s">
        <v>63</v>
      </c>
      <c r="I168" s="41"/>
      <c r="J168" s="33" t="str">
        <f>IF(AND(A168&lt;&gt;"",E168&lt;&gt;""),IF(I168="","⚠️ Enter Code",IF(IFERROR(VLOOKUP(H168,DB_Agents!$B:$F,4,0),"")=TEXT(I168,"0"),IF(C168&gt;=E168,"✅ Successful","❌ Insufficient Funds"),"🔒 WRONG CODE")),"Pending")</f>
        <v>Pending</v>
      </c>
      <c r="K168" s="33" t="str">
        <f t="shared" ca="1" si="14"/>
        <v>—</v>
      </c>
      <c r="L168" s="50"/>
    </row>
    <row r="169" spans="1:12" ht="20.100000000000001" customHeight="1" x14ac:dyDescent="0.25">
      <c r="A169" s="41"/>
      <c r="B169" s="35" t="str">
        <f>IF(A169="","",IFERROR(VLOOKUP(A169,DB_Customers!$A:$B,2,0),"❌ Account Not Found"))</f>
        <v/>
      </c>
      <c r="C169" s="43" t="str">
        <f>IF(A169="","",IFERROR(VLOOKUP(A169,DB_Customers!$A:$N,14,0),""))</f>
        <v/>
      </c>
      <c r="D169" s="42" t="str">
        <f t="shared" ref="D169:D200" ca="1" si="15">IF(A169="","",TODAY())</f>
        <v/>
      </c>
      <c r="E169" s="32"/>
      <c r="F169" s="31"/>
      <c r="G169" s="43" t="str">
        <f t="shared" ref="G169:G200" si="16">IFERROR(IF(OR(A169="",E169=""),"",C169-E169),"")</f>
        <v/>
      </c>
      <c r="H169" s="30" t="s">
        <v>63</v>
      </c>
      <c r="I169" s="41"/>
      <c r="J169" s="33" t="str">
        <f>IF(AND(A169&lt;&gt;"",E169&lt;&gt;""),IF(I169="","⚠️ Enter Code",IF(IFERROR(VLOOKUP(H169,DB_Agents!$B:$F,4,0),"")=TEXT(I169,"0"),IF(C169&gt;=E169,"✅ Successful","❌ Insufficient Funds"),"🔒 WRONG CODE")),"Pending")</f>
        <v>Pending</v>
      </c>
      <c r="K169" s="33" t="str">
        <f t="shared" ref="K169:K200" ca="1" si="17">IF(J169="✅ Successful",TEXT(TODAY(),"YYYY-MM-DD")&amp;" Auto","—")</f>
        <v>—</v>
      </c>
      <c r="L169" s="22"/>
    </row>
    <row r="170" spans="1:12" ht="20.100000000000001" customHeight="1" x14ac:dyDescent="0.25">
      <c r="A170" s="41"/>
      <c r="B170" s="35" t="str">
        <f>IF(A170="","",IFERROR(VLOOKUP(A170,DB_Customers!$A:$B,2,0),"❌ Account Not Found"))</f>
        <v/>
      </c>
      <c r="C170" s="43" t="str">
        <f>IF(A170="","",IFERROR(VLOOKUP(A170,DB_Customers!$A:$N,14,0),""))</f>
        <v/>
      </c>
      <c r="D170" s="42" t="str">
        <f t="shared" ca="1" si="15"/>
        <v/>
      </c>
      <c r="E170" s="32"/>
      <c r="F170" s="31"/>
      <c r="G170" s="43" t="str">
        <f t="shared" si="16"/>
        <v/>
      </c>
      <c r="H170" s="30" t="s">
        <v>63</v>
      </c>
      <c r="I170" s="41"/>
      <c r="J170" s="33" t="str">
        <f>IF(AND(A170&lt;&gt;"",E170&lt;&gt;""),IF(I170="","⚠️ Enter Code",IF(IFERROR(VLOOKUP(H170,DB_Agents!$B:$F,4,0),"")=TEXT(I170,"0"),IF(C170&gt;=E170,"✅ Successful","❌ Insufficient Funds"),"🔒 WRONG CODE")),"Pending")</f>
        <v>Pending</v>
      </c>
      <c r="K170" s="33" t="str">
        <f t="shared" ca="1" si="17"/>
        <v>—</v>
      </c>
      <c r="L170" s="50"/>
    </row>
    <row r="171" spans="1:12" ht="20.100000000000001" customHeight="1" x14ac:dyDescent="0.25">
      <c r="A171" s="41"/>
      <c r="B171" s="35" t="str">
        <f>IF(A171="","",IFERROR(VLOOKUP(A171,DB_Customers!$A:$B,2,0),"❌ Account Not Found"))</f>
        <v/>
      </c>
      <c r="C171" s="43" t="str">
        <f>IF(A171="","",IFERROR(VLOOKUP(A171,DB_Customers!$A:$N,14,0),""))</f>
        <v/>
      </c>
      <c r="D171" s="42" t="str">
        <f t="shared" ca="1" si="15"/>
        <v/>
      </c>
      <c r="E171" s="32"/>
      <c r="F171" s="31"/>
      <c r="G171" s="43" t="str">
        <f t="shared" si="16"/>
        <v/>
      </c>
      <c r="H171" s="30" t="s">
        <v>63</v>
      </c>
      <c r="I171" s="41"/>
      <c r="J171" s="33" t="str">
        <f>IF(AND(A171&lt;&gt;"",E171&lt;&gt;""),IF(I171="","⚠️ Enter Code",IF(IFERROR(VLOOKUP(H171,DB_Agents!$B:$F,4,0),"")=TEXT(I171,"0"),IF(C171&gt;=E171,"✅ Successful","❌ Insufficient Funds"),"🔒 WRONG CODE")),"Pending")</f>
        <v>Pending</v>
      </c>
      <c r="K171" s="33" t="str">
        <f t="shared" ca="1" si="17"/>
        <v>—</v>
      </c>
      <c r="L171" s="22"/>
    </row>
    <row r="172" spans="1:12" ht="20.100000000000001" customHeight="1" x14ac:dyDescent="0.25">
      <c r="A172" s="41"/>
      <c r="B172" s="35" t="str">
        <f>IF(A172="","",IFERROR(VLOOKUP(A172,DB_Customers!$A:$B,2,0),"❌ Account Not Found"))</f>
        <v/>
      </c>
      <c r="C172" s="43" t="str">
        <f>IF(A172="","",IFERROR(VLOOKUP(A172,DB_Customers!$A:$N,14,0),""))</f>
        <v/>
      </c>
      <c r="D172" s="42" t="str">
        <f t="shared" ca="1" si="15"/>
        <v/>
      </c>
      <c r="E172" s="32"/>
      <c r="F172" s="31"/>
      <c r="G172" s="43" t="str">
        <f t="shared" si="16"/>
        <v/>
      </c>
      <c r="H172" s="30" t="s">
        <v>63</v>
      </c>
      <c r="I172" s="41"/>
      <c r="J172" s="33" t="str">
        <f>IF(AND(A172&lt;&gt;"",E172&lt;&gt;""),IF(I172="","⚠️ Enter Code",IF(IFERROR(VLOOKUP(H172,DB_Agents!$B:$F,4,0),"")=TEXT(I172,"0"),IF(C172&gt;=E172,"✅ Successful","❌ Insufficient Funds"),"🔒 WRONG CODE")),"Pending")</f>
        <v>Pending</v>
      </c>
      <c r="K172" s="33" t="str">
        <f t="shared" ca="1" si="17"/>
        <v>—</v>
      </c>
      <c r="L172" s="50"/>
    </row>
    <row r="173" spans="1:12" ht="20.100000000000001" customHeight="1" x14ac:dyDescent="0.25">
      <c r="A173" s="41"/>
      <c r="B173" s="35" t="str">
        <f>IF(A173="","",IFERROR(VLOOKUP(A173,DB_Customers!$A:$B,2,0),"❌ Account Not Found"))</f>
        <v/>
      </c>
      <c r="C173" s="43" t="str">
        <f>IF(A173="","",IFERROR(VLOOKUP(A173,DB_Customers!$A:$N,14,0),""))</f>
        <v/>
      </c>
      <c r="D173" s="42" t="str">
        <f t="shared" ca="1" si="15"/>
        <v/>
      </c>
      <c r="E173" s="32"/>
      <c r="F173" s="31"/>
      <c r="G173" s="43" t="str">
        <f t="shared" si="16"/>
        <v/>
      </c>
      <c r="H173" s="30" t="s">
        <v>63</v>
      </c>
      <c r="I173" s="41"/>
      <c r="J173" s="33" t="str">
        <f>IF(AND(A173&lt;&gt;"",E173&lt;&gt;""),IF(I173="","⚠️ Enter Code",IF(IFERROR(VLOOKUP(H173,DB_Agents!$B:$F,4,0),"")=TEXT(I173,"0"),IF(C173&gt;=E173,"✅ Successful","❌ Insufficient Funds"),"🔒 WRONG CODE")),"Pending")</f>
        <v>Pending</v>
      </c>
      <c r="K173" s="33" t="str">
        <f t="shared" ca="1" si="17"/>
        <v>—</v>
      </c>
      <c r="L173" s="22"/>
    </row>
    <row r="174" spans="1:12" ht="20.100000000000001" customHeight="1" x14ac:dyDescent="0.25">
      <c r="A174" s="41"/>
      <c r="B174" s="35" t="str">
        <f>IF(A174="","",IFERROR(VLOOKUP(A174,DB_Customers!$A:$B,2,0),"❌ Account Not Found"))</f>
        <v/>
      </c>
      <c r="C174" s="43" t="str">
        <f>IF(A174="","",IFERROR(VLOOKUP(A174,DB_Customers!$A:$N,14,0),""))</f>
        <v/>
      </c>
      <c r="D174" s="42" t="str">
        <f t="shared" ca="1" si="15"/>
        <v/>
      </c>
      <c r="E174" s="32"/>
      <c r="F174" s="31"/>
      <c r="G174" s="43" t="str">
        <f t="shared" si="16"/>
        <v/>
      </c>
      <c r="H174" s="30" t="s">
        <v>63</v>
      </c>
      <c r="I174" s="41"/>
      <c r="J174" s="33" t="str">
        <f>IF(AND(A174&lt;&gt;"",E174&lt;&gt;""),IF(I174="","⚠️ Enter Code",IF(IFERROR(VLOOKUP(H174,DB_Agents!$B:$F,4,0),"")=TEXT(I174,"0"),IF(C174&gt;=E174,"✅ Successful","❌ Insufficient Funds"),"🔒 WRONG CODE")),"Pending")</f>
        <v>Pending</v>
      </c>
      <c r="K174" s="33" t="str">
        <f t="shared" ca="1" si="17"/>
        <v>—</v>
      </c>
      <c r="L174" s="50"/>
    </row>
    <row r="175" spans="1:12" ht="20.100000000000001" customHeight="1" x14ac:dyDescent="0.25">
      <c r="A175" s="41"/>
      <c r="B175" s="35" t="str">
        <f>IF(A175="","",IFERROR(VLOOKUP(A175,DB_Customers!$A:$B,2,0),"❌ Account Not Found"))</f>
        <v/>
      </c>
      <c r="C175" s="43" t="str">
        <f>IF(A175="","",IFERROR(VLOOKUP(A175,DB_Customers!$A:$N,14,0),""))</f>
        <v/>
      </c>
      <c r="D175" s="42" t="str">
        <f t="shared" ca="1" si="15"/>
        <v/>
      </c>
      <c r="E175" s="32"/>
      <c r="F175" s="31"/>
      <c r="G175" s="43" t="str">
        <f t="shared" si="16"/>
        <v/>
      </c>
      <c r="H175" s="30" t="s">
        <v>63</v>
      </c>
      <c r="I175" s="41"/>
      <c r="J175" s="33" t="str">
        <f>IF(AND(A175&lt;&gt;"",E175&lt;&gt;""),IF(I175="","⚠️ Enter Code",IF(IFERROR(VLOOKUP(H175,DB_Agents!$B:$F,4,0),"")=TEXT(I175,"0"),IF(C175&gt;=E175,"✅ Successful","❌ Insufficient Funds"),"🔒 WRONG CODE")),"Pending")</f>
        <v>Pending</v>
      </c>
      <c r="K175" s="33" t="str">
        <f t="shared" ca="1" si="17"/>
        <v>—</v>
      </c>
      <c r="L175" s="22"/>
    </row>
    <row r="176" spans="1:12" ht="20.100000000000001" customHeight="1" x14ac:dyDescent="0.25">
      <c r="A176" s="41"/>
      <c r="B176" s="35" t="str">
        <f>IF(A176="","",IFERROR(VLOOKUP(A176,DB_Customers!$A:$B,2,0),"❌ Account Not Found"))</f>
        <v/>
      </c>
      <c r="C176" s="43" t="str">
        <f>IF(A176="","",IFERROR(VLOOKUP(A176,DB_Customers!$A:$N,14,0),""))</f>
        <v/>
      </c>
      <c r="D176" s="42" t="str">
        <f t="shared" ca="1" si="15"/>
        <v/>
      </c>
      <c r="E176" s="32"/>
      <c r="F176" s="31"/>
      <c r="G176" s="43" t="str">
        <f t="shared" si="16"/>
        <v/>
      </c>
      <c r="H176" s="30" t="s">
        <v>63</v>
      </c>
      <c r="I176" s="41"/>
      <c r="J176" s="33" t="str">
        <f>IF(AND(A176&lt;&gt;"",E176&lt;&gt;""),IF(I176="","⚠️ Enter Code",IF(IFERROR(VLOOKUP(H176,DB_Agents!$B:$F,4,0),"")=TEXT(I176,"0"),IF(C176&gt;=E176,"✅ Successful","❌ Insufficient Funds"),"🔒 WRONG CODE")),"Pending")</f>
        <v>Pending</v>
      </c>
      <c r="K176" s="33" t="str">
        <f t="shared" ca="1" si="17"/>
        <v>—</v>
      </c>
      <c r="L176" s="50"/>
    </row>
    <row r="177" spans="1:12" ht="20.100000000000001" customHeight="1" x14ac:dyDescent="0.25">
      <c r="A177" s="41"/>
      <c r="B177" s="35" t="str">
        <f>IF(A177="","",IFERROR(VLOOKUP(A177,DB_Customers!$A:$B,2,0),"❌ Account Not Found"))</f>
        <v/>
      </c>
      <c r="C177" s="43" t="str">
        <f>IF(A177="","",IFERROR(VLOOKUP(A177,DB_Customers!$A:$N,14,0),""))</f>
        <v/>
      </c>
      <c r="D177" s="42" t="str">
        <f t="shared" ca="1" si="15"/>
        <v/>
      </c>
      <c r="E177" s="32"/>
      <c r="F177" s="31"/>
      <c r="G177" s="43" t="str">
        <f t="shared" si="16"/>
        <v/>
      </c>
      <c r="H177" s="30" t="s">
        <v>63</v>
      </c>
      <c r="I177" s="41"/>
      <c r="J177" s="33" t="str">
        <f>IF(AND(A177&lt;&gt;"",E177&lt;&gt;""),IF(I177="","⚠️ Enter Code",IF(IFERROR(VLOOKUP(H177,DB_Agents!$B:$F,4,0),"")=TEXT(I177,"0"),IF(C177&gt;=E177,"✅ Successful","❌ Insufficient Funds"),"🔒 WRONG CODE")),"Pending")</f>
        <v>Pending</v>
      </c>
      <c r="K177" s="33" t="str">
        <f t="shared" ca="1" si="17"/>
        <v>—</v>
      </c>
      <c r="L177" s="22"/>
    </row>
    <row r="178" spans="1:12" ht="20.100000000000001" customHeight="1" x14ac:dyDescent="0.25">
      <c r="A178" s="41"/>
      <c r="B178" s="35" t="str">
        <f>IF(A178="","",IFERROR(VLOOKUP(A178,DB_Customers!$A:$B,2,0),"❌ Account Not Found"))</f>
        <v/>
      </c>
      <c r="C178" s="43" t="str">
        <f>IF(A178="","",IFERROR(VLOOKUP(A178,DB_Customers!$A:$N,14,0),""))</f>
        <v/>
      </c>
      <c r="D178" s="42" t="str">
        <f t="shared" ca="1" si="15"/>
        <v/>
      </c>
      <c r="E178" s="32"/>
      <c r="F178" s="31"/>
      <c r="G178" s="43" t="str">
        <f t="shared" si="16"/>
        <v/>
      </c>
      <c r="H178" s="30" t="s">
        <v>63</v>
      </c>
      <c r="I178" s="41"/>
      <c r="J178" s="33" t="str">
        <f>IF(AND(A178&lt;&gt;"",E178&lt;&gt;""),IF(I178="","⚠️ Enter Code",IF(IFERROR(VLOOKUP(H178,DB_Agents!$B:$F,4,0),"")=TEXT(I178,"0"),IF(C178&gt;=E178,"✅ Successful","❌ Insufficient Funds"),"🔒 WRONG CODE")),"Pending")</f>
        <v>Pending</v>
      </c>
      <c r="K178" s="33" t="str">
        <f t="shared" ca="1" si="17"/>
        <v>—</v>
      </c>
      <c r="L178" s="50"/>
    </row>
    <row r="179" spans="1:12" ht="20.100000000000001" customHeight="1" x14ac:dyDescent="0.25">
      <c r="A179" s="41"/>
      <c r="B179" s="35" t="str">
        <f>IF(A179="","",IFERROR(VLOOKUP(A179,DB_Customers!$A:$B,2,0),"❌ Account Not Found"))</f>
        <v/>
      </c>
      <c r="C179" s="43" t="str">
        <f>IF(A179="","",IFERROR(VLOOKUP(A179,DB_Customers!$A:$N,14,0),""))</f>
        <v/>
      </c>
      <c r="D179" s="42" t="str">
        <f t="shared" ca="1" si="15"/>
        <v/>
      </c>
      <c r="E179" s="32"/>
      <c r="F179" s="31"/>
      <c r="G179" s="43" t="str">
        <f t="shared" si="16"/>
        <v/>
      </c>
      <c r="H179" s="30" t="s">
        <v>63</v>
      </c>
      <c r="I179" s="41"/>
      <c r="J179" s="33" t="str">
        <f>IF(AND(A179&lt;&gt;"",E179&lt;&gt;""),IF(I179="","⚠️ Enter Code",IF(IFERROR(VLOOKUP(H179,DB_Agents!$B:$F,4,0),"")=TEXT(I179,"0"),IF(C179&gt;=E179,"✅ Successful","❌ Insufficient Funds"),"🔒 WRONG CODE")),"Pending")</f>
        <v>Pending</v>
      </c>
      <c r="K179" s="33" t="str">
        <f t="shared" ca="1" si="17"/>
        <v>—</v>
      </c>
      <c r="L179" s="22"/>
    </row>
    <row r="180" spans="1:12" ht="20.100000000000001" customHeight="1" x14ac:dyDescent="0.25">
      <c r="A180" s="41"/>
      <c r="B180" s="35" t="str">
        <f>IF(A180="","",IFERROR(VLOOKUP(A180,DB_Customers!$A:$B,2,0),"❌ Account Not Found"))</f>
        <v/>
      </c>
      <c r="C180" s="43" t="str">
        <f>IF(A180="","",IFERROR(VLOOKUP(A180,DB_Customers!$A:$N,14,0),""))</f>
        <v/>
      </c>
      <c r="D180" s="42" t="str">
        <f t="shared" ca="1" si="15"/>
        <v/>
      </c>
      <c r="E180" s="32"/>
      <c r="F180" s="31"/>
      <c r="G180" s="43" t="str">
        <f t="shared" si="16"/>
        <v/>
      </c>
      <c r="H180" s="30" t="s">
        <v>63</v>
      </c>
      <c r="I180" s="41"/>
      <c r="J180" s="33" t="str">
        <f>IF(AND(A180&lt;&gt;"",E180&lt;&gt;""),IF(I180="","⚠️ Enter Code",IF(IFERROR(VLOOKUP(H180,DB_Agents!$B:$F,4,0),"")=TEXT(I180,"0"),IF(C180&gt;=E180,"✅ Successful","❌ Insufficient Funds"),"🔒 WRONG CODE")),"Pending")</f>
        <v>Pending</v>
      </c>
      <c r="K180" s="33" t="str">
        <f t="shared" ca="1" si="17"/>
        <v>—</v>
      </c>
      <c r="L180" s="50"/>
    </row>
    <row r="181" spans="1:12" ht="20.100000000000001" customHeight="1" x14ac:dyDescent="0.25">
      <c r="A181" s="41"/>
      <c r="B181" s="35" t="str">
        <f>IF(A181="","",IFERROR(VLOOKUP(A181,DB_Customers!$A:$B,2,0),"❌ Account Not Found"))</f>
        <v/>
      </c>
      <c r="C181" s="43" t="str">
        <f>IF(A181="","",IFERROR(VLOOKUP(A181,DB_Customers!$A:$N,14,0),""))</f>
        <v/>
      </c>
      <c r="D181" s="42" t="str">
        <f t="shared" ca="1" si="15"/>
        <v/>
      </c>
      <c r="E181" s="32"/>
      <c r="F181" s="31"/>
      <c r="G181" s="43" t="str">
        <f t="shared" si="16"/>
        <v/>
      </c>
      <c r="H181" s="30" t="s">
        <v>63</v>
      </c>
      <c r="I181" s="41"/>
      <c r="J181" s="33" t="str">
        <f>IF(AND(A181&lt;&gt;"",E181&lt;&gt;""),IF(I181="","⚠️ Enter Code",IF(IFERROR(VLOOKUP(H181,DB_Agents!$B:$F,4,0),"")=TEXT(I181,"0"),IF(C181&gt;=E181,"✅ Successful","❌ Insufficient Funds"),"🔒 WRONG CODE")),"Pending")</f>
        <v>Pending</v>
      </c>
      <c r="K181" s="33" t="str">
        <f t="shared" ca="1" si="17"/>
        <v>—</v>
      </c>
      <c r="L181" s="22"/>
    </row>
    <row r="182" spans="1:12" ht="20.100000000000001" customHeight="1" x14ac:dyDescent="0.25">
      <c r="A182" s="41"/>
      <c r="B182" s="35" t="str">
        <f>IF(A182="","",IFERROR(VLOOKUP(A182,DB_Customers!$A:$B,2,0),"❌ Account Not Found"))</f>
        <v/>
      </c>
      <c r="C182" s="43" t="str">
        <f>IF(A182="","",IFERROR(VLOOKUP(A182,DB_Customers!$A:$N,14,0),""))</f>
        <v/>
      </c>
      <c r="D182" s="42" t="str">
        <f t="shared" ca="1" si="15"/>
        <v/>
      </c>
      <c r="E182" s="32"/>
      <c r="F182" s="31"/>
      <c r="G182" s="43" t="str">
        <f t="shared" si="16"/>
        <v/>
      </c>
      <c r="H182" s="30" t="s">
        <v>63</v>
      </c>
      <c r="I182" s="41"/>
      <c r="J182" s="33" t="str">
        <f>IF(AND(A182&lt;&gt;"",E182&lt;&gt;""),IF(I182="","⚠️ Enter Code",IF(IFERROR(VLOOKUP(H182,DB_Agents!$B:$F,4,0),"")=TEXT(I182,"0"),IF(C182&gt;=E182,"✅ Successful","❌ Insufficient Funds"),"🔒 WRONG CODE")),"Pending")</f>
        <v>Pending</v>
      </c>
      <c r="K182" s="33" t="str">
        <f t="shared" ca="1" si="17"/>
        <v>—</v>
      </c>
      <c r="L182" s="50"/>
    </row>
    <row r="183" spans="1:12" ht="20.100000000000001" customHeight="1" x14ac:dyDescent="0.25">
      <c r="A183" s="41"/>
      <c r="B183" s="35" t="str">
        <f>IF(A183="","",IFERROR(VLOOKUP(A183,DB_Customers!$A:$B,2,0),"❌ Account Not Found"))</f>
        <v/>
      </c>
      <c r="C183" s="43" t="str">
        <f>IF(A183="","",IFERROR(VLOOKUP(A183,DB_Customers!$A:$N,14,0),""))</f>
        <v/>
      </c>
      <c r="D183" s="42" t="str">
        <f t="shared" ca="1" si="15"/>
        <v/>
      </c>
      <c r="E183" s="32"/>
      <c r="F183" s="31"/>
      <c r="G183" s="43" t="str">
        <f t="shared" si="16"/>
        <v/>
      </c>
      <c r="H183" s="30" t="s">
        <v>63</v>
      </c>
      <c r="I183" s="41"/>
      <c r="J183" s="33" t="str">
        <f>IF(AND(A183&lt;&gt;"",E183&lt;&gt;""),IF(I183="","⚠️ Enter Code",IF(IFERROR(VLOOKUP(H183,DB_Agents!$B:$F,4,0),"")=TEXT(I183,"0"),IF(C183&gt;=E183,"✅ Successful","❌ Insufficient Funds"),"🔒 WRONG CODE")),"Pending")</f>
        <v>Pending</v>
      </c>
      <c r="K183" s="33" t="str">
        <f t="shared" ca="1" si="17"/>
        <v>—</v>
      </c>
      <c r="L183" s="22"/>
    </row>
    <row r="184" spans="1:12" ht="20.100000000000001" customHeight="1" x14ac:dyDescent="0.25">
      <c r="A184" s="41"/>
      <c r="B184" s="35" t="str">
        <f>IF(A184="","",IFERROR(VLOOKUP(A184,DB_Customers!$A:$B,2,0),"❌ Account Not Found"))</f>
        <v/>
      </c>
      <c r="C184" s="43" t="str">
        <f>IF(A184="","",IFERROR(VLOOKUP(A184,DB_Customers!$A:$N,14,0),""))</f>
        <v/>
      </c>
      <c r="D184" s="42" t="str">
        <f t="shared" ca="1" si="15"/>
        <v/>
      </c>
      <c r="E184" s="32"/>
      <c r="F184" s="31"/>
      <c r="G184" s="43" t="str">
        <f t="shared" si="16"/>
        <v/>
      </c>
      <c r="H184" s="30" t="s">
        <v>63</v>
      </c>
      <c r="I184" s="41"/>
      <c r="J184" s="33" t="str">
        <f>IF(AND(A184&lt;&gt;"",E184&lt;&gt;""),IF(I184="","⚠️ Enter Code",IF(IFERROR(VLOOKUP(H184,DB_Agents!$B:$F,4,0),"")=TEXT(I184,"0"),IF(C184&gt;=E184,"✅ Successful","❌ Insufficient Funds"),"🔒 WRONG CODE")),"Pending")</f>
        <v>Pending</v>
      </c>
      <c r="K184" s="33" t="str">
        <f t="shared" ca="1" si="17"/>
        <v>—</v>
      </c>
      <c r="L184" s="50"/>
    </row>
    <row r="185" spans="1:12" ht="20.100000000000001" customHeight="1" x14ac:dyDescent="0.25">
      <c r="A185" s="41"/>
      <c r="B185" s="35" t="str">
        <f>IF(A185="","",IFERROR(VLOOKUP(A185,DB_Customers!$A:$B,2,0),"❌ Account Not Found"))</f>
        <v/>
      </c>
      <c r="C185" s="43" t="str">
        <f>IF(A185="","",IFERROR(VLOOKUP(A185,DB_Customers!$A:$N,14,0),""))</f>
        <v/>
      </c>
      <c r="D185" s="42" t="str">
        <f t="shared" ca="1" si="15"/>
        <v/>
      </c>
      <c r="E185" s="32"/>
      <c r="F185" s="31"/>
      <c r="G185" s="43" t="str">
        <f t="shared" si="16"/>
        <v/>
      </c>
      <c r="H185" s="30" t="s">
        <v>63</v>
      </c>
      <c r="I185" s="41"/>
      <c r="J185" s="33" t="str">
        <f>IF(AND(A185&lt;&gt;"",E185&lt;&gt;""),IF(I185="","⚠️ Enter Code",IF(IFERROR(VLOOKUP(H185,DB_Agents!$B:$F,4,0),"")=TEXT(I185,"0"),IF(C185&gt;=E185,"✅ Successful","❌ Insufficient Funds"),"🔒 WRONG CODE")),"Pending")</f>
        <v>Pending</v>
      </c>
      <c r="K185" s="33" t="str">
        <f t="shared" ca="1" si="17"/>
        <v>—</v>
      </c>
      <c r="L185" s="22"/>
    </row>
    <row r="186" spans="1:12" ht="20.100000000000001" customHeight="1" x14ac:dyDescent="0.25">
      <c r="A186" s="41"/>
      <c r="B186" s="35" t="str">
        <f>IF(A186="","",IFERROR(VLOOKUP(A186,DB_Customers!$A:$B,2,0),"❌ Account Not Found"))</f>
        <v/>
      </c>
      <c r="C186" s="43" t="str">
        <f>IF(A186="","",IFERROR(VLOOKUP(A186,DB_Customers!$A:$N,14,0),""))</f>
        <v/>
      </c>
      <c r="D186" s="42" t="str">
        <f t="shared" ca="1" si="15"/>
        <v/>
      </c>
      <c r="E186" s="32"/>
      <c r="F186" s="31"/>
      <c r="G186" s="43" t="str">
        <f t="shared" si="16"/>
        <v/>
      </c>
      <c r="H186" s="30" t="s">
        <v>63</v>
      </c>
      <c r="I186" s="41"/>
      <c r="J186" s="33" t="str">
        <f>IF(AND(A186&lt;&gt;"",E186&lt;&gt;""),IF(I186="","⚠️ Enter Code",IF(IFERROR(VLOOKUP(H186,DB_Agents!$B:$F,4,0),"")=TEXT(I186,"0"),IF(C186&gt;=E186,"✅ Successful","❌ Insufficient Funds"),"🔒 WRONG CODE")),"Pending")</f>
        <v>Pending</v>
      </c>
      <c r="K186" s="33" t="str">
        <f t="shared" ca="1" si="17"/>
        <v>—</v>
      </c>
      <c r="L186" s="50"/>
    </row>
    <row r="187" spans="1:12" ht="20.100000000000001" customHeight="1" x14ac:dyDescent="0.25">
      <c r="A187" s="41"/>
      <c r="B187" s="35" t="str">
        <f>IF(A187="","",IFERROR(VLOOKUP(A187,DB_Customers!$A:$B,2,0),"❌ Account Not Found"))</f>
        <v/>
      </c>
      <c r="C187" s="43" t="str">
        <f>IF(A187="","",IFERROR(VLOOKUP(A187,DB_Customers!$A:$N,14,0),""))</f>
        <v/>
      </c>
      <c r="D187" s="42" t="str">
        <f t="shared" ca="1" si="15"/>
        <v/>
      </c>
      <c r="E187" s="32"/>
      <c r="F187" s="31"/>
      <c r="G187" s="43" t="str">
        <f t="shared" si="16"/>
        <v/>
      </c>
      <c r="H187" s="30" t="s">
        <v>63</v>
      </c>
      <c r="I187" s="41"/>
      <c r="J187" s="33" t="str">
        <f>IF(AND(A187&lt;&gt;"",E187&lt;&gt;""),IF(I187="","⚠️ Enter Code",IF(IFERROR(VLOOKUP(H187,DB_Agents!$B:$F,4,0),"")=TEXT(I187,"0"),IF(C187&gt;=E187,"✅ Successful","❌ Insufficient Funds"),"🔒 WRONG CODE")),"Pending")</f>
        <v>Pending</v>
      </c>
      <c r="K187" s="33" t="str">
        <f t="shared" ca="1" si="17"/>
        <v>—</v>
      </c>
      <c r="L187" s="22"/>
    </row>
    <row r="188" spans="1:12" ht="20.100000000000001" customHeight="1" x14ac:dyDescent="0.25">
      <c r="A188" s="41"/>
      <c r="B188" s="35" t="str">
        <f>IF(A188="","",IFERROR(VLOOKUP(A188,DB_Customers!$A:$B,2,0),"❌ Account Not Found"))</f>
        <v/>
      </c>
      <c r="C188" s="43" t="str">
        <f>IF(A188="","",IFERROR(VLOOKUP(A188,DB_Customers!$A:$N,14,0),""))</f>
        <v/>
      </c>
      <c r="D188" s="42" t="str">
        <f t="shared" ca="1" si="15"/>
        <v/>
      </c>
      <c r="E188" s="32"/>
      <c r="F188" s="31"/>
      <c r="G188" s="43" t="str">
        <f t="shared" si="16"/>
        <v/>
      </c>
      <c r="H188" s="30" t="s">
        <v>63</v>
      </c>
      <c r="I188" s="41"/>
      <c r="J188" s="33" t="str">
        <f>IF(AND(A188&lt;&gt;"",E188&lt;&gt;""),IF(I188="","⚠️ Enter Code",IF(IFERROR(VLOOKUP(H188,DB_Agents!$B:$F,4,0),"")=TEXT(I188,"0"),IF(C188&gt;=E188,"✅ Successful","❌ Insufficient Funds"),"🔒 WRONG CODE")),"Pending")</f>
        <v>Pending</v>
      </c>
      <c r="K188" s="33" t="str">
        <f t="shared" ca="1" si="17"/>
        <v>—</v>
      </c>
      <c r="L188" s="50"/>
    </row>
    <row r="189" spans="1:12" ht="20.100000000000001" customHeight="1" x14ac:dyDescent="0.25">
      <c r="A189" s="41"/>
      <c r="B189" s="35" t="str">
        <f>IF(A189="","",IFERROR(VLOOKUP(A189,DB_Customers!$A:$B,2,0),"❌ Account Not Found"))</f>
        <v/>
      </c>
      <c r="C189" s="43" t="str">
        <f>IF(A189="","",IFERROR(VLOOKUP(A189,DB_Customers!$A:$N,14,0),""))</f>
        <v/>
      </c>
      <c r="D189" s="42" t="str">
        <f t="shared" ca="1" si="15"/>
        <v/>
      </c>
      <c r="E189" s="32"/>
      <c r="F189" s="31"/>
      <c r="G189" s="43" t="str">
        <f t="shared" si="16"/>
        <v/>
      </c>
      <c r="H189" s="30" t="s">
        <v>63</v>
      </c>
      <c r="I189" s="41"/>
      <c r="J189" s="33" t="str">
        <f>IF(AND(A189&lt;&gt;"",E189&lt;&gt;""),IF(I189="","⚠️ Enter Code",IF(IFERROR(VLOOKUP(H189,DB_Agents!$B:$F,4,0),"")=TEXT(I189,"0"),IF(C189&gt;=E189,"✅ Successful","❌ Insufficient Funds"),"🔒 WRONG CODE")),"Pending")</f>
        <v>Pending</v>
      </c>
      <c r="K189" s="33" t="str">
        <f t="shared" ca="1" si="17"/>
        <v>—</v>
      </c>
      <c r="L189" s="22"/>
    </row>
    <row r="190" spans="1:12" ht="20.100000000000001" customHeight="1" x14ac:dyDescent="0.25">
      <c r="A190" s="41"/>
      <c r="B190" s="35" t="str">
        <f>IF(A190="","",IFERROR(VLOOKUP(A190,DB_Customers!$A:$B,2,0),"❌ Account Not Found"))</f>
        <v/>
      </c>
      <c r="C190" s="43" t="str">
        <f>IF(A190="","",IFERROR(VLOOKUP(A190,DB_Customers!$A:$N,14,0),""))</f>
        <v/>
      </c>
      <c r="D190" s="42" t="str">
        <f t="shared" ca="1" si="15"/>
        <v/>
      </c>
      <c r="E190" s="32"/>
      <c r="F190" s="31"/>
      <c r="G190" s="43" t="str">
        <f t="shared" si="16"/>
        <v/>
      </c>
      <c r="H190" s="30" t="s">
        <v>63</v>
      </c>
      <c r="I190" s="41"/>
      <c r="J190" s="33" t="str">
        <f>IF(AND(A190&lt;&gt;"",E190&lt;&gt;""),IF(I190="","⚠️ Enter Code",IF(IFERROR(VLOOKUP(H190,DB_Agents!$B:$F,4,0),"")=TEXT(I190,"0"),IF(C190&gt;=E190,"✅ Successful","❌ Insufficient Funds"),"🔒 WRONG CODE")),"Pending")</f>
        <v>Pending</v>
      </c>
      <c r="K190" s="33" t="str">
        <f t="shared" ca="1" si="17"/>
        <v>—</v>
      </c>
      <c r="L190" s="50"/>
    </row>
    <row r="191" spans="1:12" ht="20.100000000000001" customHeight="1" x14ac:dyDescent="0.25">
      <c r="A191" s="41"/>
      <c r="B191" s="35" t="str">
        <f>IF(A191="","",IFERROR(VLOOKUP(A191,DB_Customers!$A:$B,2,0),"❌ Account Not Found"))</f>
        <v/>
      </c>
      <c r="C191" s="43" t="str">
        <f>IF(A191="","",IFERROR(VLOOKUP(A191,DB_Customers!$A:$N,14,0),""))</f>
        <v/>
      </c>
      <c r="D191" s="42" t="str">
        <f t="shared" ca="1" si="15"/>
        <v/>
      </c>
      <c r="E191" s="32"/>
      <c r="F191" s="31"/>
      <c r="G191" s="43" t="str">
        <f t="shared" si="16"/>
        <v/>
      </c>
      <c r="H191" s="30" t="s">
        <v>63</v>
      </c>
      <c r="I191" s="41"/>
      <c r="J191" s="33" t="str">
        <f>IF(AND(A191&lt;&gt;"",E191&lt;&gt;""),IF(I191="","⚠️ Enter Code",IF(IFERROR(VLOOKUP(H191,DB_Agents!$B:$F,4,0),"")=TEXT(I191,"0"),IF(C191&gt;=E191,"✅ Successful","❌ Insufficient Funds"),"🔒 WRONG CODE")),"Pending")</f>
        <v>Pending</v>
      </c>
      <c r="K191" s="33" t="str">
        <f t="shared" ca="1" si="17"/>
        <v>—</v>
      </c>
      <c r="L191" s="22"/>
    </row>
    <row r="192" spans="1:12" ht="20.100000000000001" customHeight="1" x14ac:dyDescent="0.25">
      <c r="A192" s="41"/>
      <c r="B192" s="35" t="str">
        <f>IF(A192="","",IFERROR(VLOOKUP(A192,DB_Customers!$A:$B,2,0),"❌ Account Not Found"))</f>
        <v/>
      </c>
      <c r="C192" s="43" t="str">
        <f>IF(A192="","",IFERROR(VLOOKUP(A192,DB_Customers!$A:$N,14,0),""))</f>
        <v/>
      </c>
      <c r="D192" s="42" t="str">
        <f t="shared" ca="1" si="15"/>
        <v/>
      </c>
      <c r="E192" s="32"/>
      <c r="F192" s="31"/>
      <c r="G192" s="43" t="str">
        <f t="shared" si="16"/>
        <v/>
      </c>
      <c r="H192" s="30" t="s">
        <v>63</v>
      </c>
      <c r="I192" s="41"/>
      <c r="J192" s="33" t="str">
        <f>IF(AND(A192&lt;&gt;"",E192&lt;&gt;""),IF(I192="","⚠️ Enter Code",IF(IFERROR(VLOOKUP(H192,DB_Agents!$B:$F,4,0),"")=TEXT(I192,"0"),IF(C192&gt;=E192,"✅ Successful","❌ Insufficient Funds"),"🔒 WRONG CODE")),"Pending")</f>
        <v>Pending</v>
      </c>
      <c r="K192" s="33" t="str">
        <f t="shared" ca="1" si="17"/>
        <v>—</v>
      </c>
      <c r="L192" s="50"/>
    </row>
    <row r="193" spans="1:12" ht="20.100000000000001" customHeight="1" x14ac:dyDescent="0.25">
      <c r="A193" s="41"/>
      <c r="B193" s="35" t="str">
        <f>IF(A193="","",IFERROR(VLOOKUP(A193,DB_Customers!$A:$B,2,0),"❌ Account Not Found"))</f>
        <v/>
      </c>
      <c r="C193" s="43" t="str">
        <f>IF(A193="","",IFERROR(VLOOKUP(A193,DB_Customers!$A:$N,14,0),""))</f>
        <v/>
      </c>
      <c r="D193" s="42" t="str">
        <f t="shared" ca="1" si="15"/>
        <v/>
      </c>
      <c r="E193" s="32"/>
      <c r="F193" s="31"/>
      <c r="G193" s="43" t="str">
        <f t="shared" si="16"/>
        <v/>
      </c>
      <c r="H193" s="30" t="s">
        <v>63</v>
      </c>
      <c r="I193" s="41"/>
      <c r="J193" s="33" t="str">
        <f>IF(AND(A193&lt;&gt;"",E193&lt;&gt;""),IF(I193="","⚠️ Enter Code",IF(IFERROR(VLOOKUP(H193,DB_Agents!$B:$F,4,0),"")=TEXT(I193,"0"),IF(C193&gt;=E193,"✅ Successful","❌ Insufficient Funds"),"🔒 WRONG CODE")),"Pending")</f>
        <v>Pending</v>
      </c>
      <c r="K193" s="33" t="str">
        <f t="shared" ca="1" si="17"/>
        <v>—</v>
      </c>
      <c r="L193" s="22"/>
    </row>
    <row r="194" spans="1:12" ht="20.100000000000001" customHeight="1" x14ac:dyDescent="0.25">
      <c r="A194" s="41"/>
      <c r="B194" s="35" t="str">
        <f>IF(A194="","",IFERROR(VLOOKUP(A194,DB_Customers!$A:$B,2,0),"❌ Account Not Found"))</f>
        <v/>
      </c>
      <c r="C194" s="43" t="str">
        <f>IF(A194="","",IFERROR(VLOOKUP(A194,DB_Customers!$A:$N,14,0),""))</f>
        <v/>
      </c>
      <c r="D194" s="42" t="str">
        <f t="shared" ca="1" si="15"/>
        <v/>
      </c>
      <c r="E194" s="32"/>
      <c r="F194" s="31"/>
      <c r="G194" s="43" t="str">
        <f t="shared" si="16"/>
        <v/>
      </c>
      <c r="H194" s="30" t="s">
        <v>63</v>
      </c>
      <c r="I194" s="41"/>
      <c r="J194" s="33" t="str">
        <f>IF(AND(A194&lt;&gt;"",E194&lt;&gt;""),IF(I194="","⚠️ Enter Code",IF(IFERROR(VLOOKUP(H194,DB_Agents!$B:$F,4,0),"")=TEXT(I194,"0"),IF(C194&gt;=E194,"✅ Successful","❌ Insufficient Funds"),"🔒 WRONG CODE")),"Pending")</f>
        <v>Pending</v>
      </c>
      <c r="K194" s="33" t="str">
        <f t="shared" ca="1" si="17"/>
        <v>—</v>
      </c>
      <c r="L194" s="50"/>
    </row>
    <row r="195" spans="1:12" ht="20.100000000000001" customHeight="1" x14ac:dyDescent="0.25">
      <c r="A195" s="41"/>
      <c r="B195" s="35" t="str">
        <f>IF(A195="","",IFERROR(VLOOKUP(A195,DB_Customers!$A:$B,2,0),"❌ Account Not Found"))</f>
        <v/>
      </c>
      <c r="C195" s="43" t="str">
        <f>IF(A195="","",IFERROR(VLOOKUP(A195,DB_Customers!$A:$N,14,0),""))</f>
        <v/>
      </c>
      <c r="D195" s="42" t="str">
        <f t="shared" ca="1" si="15"/>
        <v/>
      </c>
      <c r="E195" s="32"/>
      <c r="F195" s="31"/>
      <c r="G195" s="43" t="str">
        <f t="shared" si="16"/>
        <v/>
      </c>
      <c r="H195" s="30" t="s">
        <v>63</v>
      </c>
      <c r="I195" s="41"/>
      <c r="J195" s="33" t="str">
        <f>IF(AND(A195&lt;&gt;"",E195&lt;&gt;""),IF(I195="","⚠️ Enter Code",IF(IFERROR(VLOOKUP(H195,DB_Agents!$B:$F,4,0),"")=TEXT(I195,"0"),IF(C195&gt;=E195,"✅ Successful","❌ Insufficient Funds"),"🔒 WRONG CODE")),"Pending")</f>
        <v>Pending</v>
      </c>
      <c r="K195" s="33" t="str">
        <f t="shared" ca="1" si="17"/>
        <v>—</v>
      </c>
      <c r="L195" s="22"/>
    </row>
    <row r="196" spans="1:12" ht="20.100000000000001" customHeight="1" x14ac:dyDescent="0.25">
      <c r="A196" s="41"/>
      <c r="B196" s="35" t="str">
        <f>IF(A196="","",IFERROR(VLOOKUP(A196,DB_Customers!$A:$B,2,0),"❌ Account Not Found"))</f>
        <v/>
      </c>
      <c r="C196" s="43" t="str">
        <f>IF(A196="","",IFERROR(VLOOKUP(A196,DB_Customers!$A:$N,14,0),""))</f>
        <v/>
      </c>
      <c r="D196" s="42" t="str">
        <f t="shared" ca="1" si="15"/>
        <v/>
      </c>
      <c r="E196" s="32"/>
      <c r="F196" s="31"/>
      <c r="G196" s="43" t="str">
        <f t="shared" si="16"/>
        <v/>
      </c>
      <c r="H196" s="30" t="s">
        <v>63</v>
      </c>
      <c r="I196" s="41"/>
      <c r="J196" s="33" t="str">
        <f>IF(AND(A196&lt;&gt;"",E196&lt;&gt;""),IF(I196="","⚠️ Enter Code",IF(IFERROR(VLOOKUP(H196,DB_Agents!$B:$F,4,0),"")=TEXT(I196,"0"),IF(C196&gt;=E196,"✅ Successful","❌ Insufficient Funds"),"🔒 WRONG CODE")),"Pending")</f>
        <v>Pending</v>
      </c>
      <c r="K196" s="33" t="str">
        <f t="shared" ca="1" si="17"/>
        <v>—</v>
      </c>
      <c r="L196" s="50"/>
    </row>
    <row r="197" spans="1:12" ht="20.100000000000001" customHeight="1" x14ac:dyDescent="0.25">
      <c r="A197" s="41"/>
      <c r="B197" s="35" t="str">
        <f>IF(A197="","",IFERROR(VLOOKUP(A197,DB_Customers!$A:$B,2,0),"❌ Account Not Found"))</f>
        <v/>
      </c>
      <c r="C197" s="43" t="str">
        <f>IF(A197="","",IFERROR(VLOOKUP(A197,DB_Customers!$A:$N,14,0),""))</f>
        <v/>
      </c>
      <c r="D197" s="42" t="str">
        <f t="shared" ca="1" si="15"/>
        <v/>
      </c>
      <c r="E197" s="32"/>
      <c r="F197" s="31"/>
      <c r="G197" s="43" t="str">
        <f t="shared" si="16"/>
        <v/>
      </c>
      <c r="H197" s="30" t="s">
        <v>63</v>
      </c>
      <c r="I197" s="41"/>
      <c r="J197" s="33" t="str">
        <f>IF(AND(A197&lt;&gt;"",E197&lt;&gt;""),IF(I197="","⚠️ Enter Code",IF(IFERROR(VLOOKUP(H197,DB_Agents!$B:$F,4,0),"")=TEXT(I197,"0"),IF(C197&gt;=E197,"✅ Successful","❌ Insufficient Funds"),"🔒 WRONG CODE")),"Pending")</f>
        <v>Pending</v>
      </c>
      <c r="K197" s="33" t="str">
        <f t="shared" ca="1" si="17"/>
        <v>—</v>
      </c>
      <c r="L197" s="22"/>
    </row>
    <row r="198" spans="1:12" ht="20.100000000000001" customHeight="1" x14ac:dyDescent="0.25">
      <c r="A198" s="41"/>
      <c r="B198" s="35" t="str">
        <f>IF(A198="","",IFERROR(VLOOKUP(A198,DB_Customers!$A:$B,2,0),"❌ Account Not Found"))</f>
        <v/>
      </c>
      <c r="C198" s="43" t="str">
        <f>IF(A198="","",IFERROR(VLOOKUP(A198,DB_Customers!$A:$N,14,0),""))</f>
        <v/>
      </c>
      <c r="D198" s="42" t="str">
        <f t="shared" ca="1" si="15"/>
        <v/>
      </c>
      <c r="E198" s="32"/>
      <c r="F198" s="31"/>
      <c r="G198" s="43" t="str">
        <f t="shared" si="16"/>
        <v/>
      </c>
      <c r="H198" s="30" t="s">
        <v>63</v>
      </c>
      <c r="I198" s="41"/>
      <c r="J198" s="33" t="str">
        <f>IF(AND(A198&lt;&gt;"",E198&lt;&gt;""),IF(I198="","⚠️ Enter Code",IF(IFERROR(VLOOKUP(H198,DB_Agents!$B:$F,4,0),"")=TEXT(I198,"0"),IF(C198&gt;=E198,"✅ Successful","❌ Insufficient Funds"),"🔒 WRONG CODE")),"Pending")</f>
        <v>Pending</v>
      </c>
      <c r="K198" s="33" t="str">
        <f t="shared" ca="1" si="17"/>
        <v>—</v>
      </c>
      <c r="L198" s="50"/>
    </row>
    <row r="199" spans="1:12" ht="20.100000000000001" customHeight="1" x14ac:dyDescent="0.25">
      <c r="A199" s="41"/>
      <c r="B199" s="35" t="str">
        <f>IF(A199="","",IFERROR(VLOOKUP(A199,DB_Customers!$A:$B,2,0),"❌ Account Not Found"))</f>
        <v/>
      </c>
      <c r="C199" s="43" t="str">
        <f>IF(A199="","",IFERROR(VLOOKUP(A199,DB_Customers!$A:$N,14,0),""))</f>
        <v/>
      </c>
      <c r="D199" s="42" t="str">
        <f t="shared" ca="1" si="15"/>
        <v/>
      </c>
      <c r="E199" s="32"/>
      <c r="F199" s="31"/>
      <c r="G199" s="43" t="str">
        <f t="shared" si="16"/>
        <v/>
      </c>
      <c r="H199" s="30" t="s">
        <v>63</v>
      </c>
      <c r="I199" s="41"/>
      <c r="J199" s="33" t="str">
        <f>IF(AND(A199&lt;&gt;"",E199&lt;&gt;""),IF(I199="","⚠️ Enter Code",IF(IFERROR(VLOOKUP(H199,DB_Agents!$B:$F,4,0),"")=TEXT(I199,"0"),IF(C199&gt;=E199,"✅ Successful","❌ Insufficient Funds"),"🔒 WRONG CODE")),"Pending")</f>
        <v>Pending</v>
      </c>
      <c r="K199" s="33" t="str">
        <f t="shared" ca="1" si="17"/>
        <v>—</v>
      </c>
      <c r="L199" s="22"/>
    </row>
    <row r="200" spans="1:12" ht="20.100000000000001" customHeight="1" x14ac:dyDescent="0.25">
      <c r="A200" s="41"/>
      <c r="B200" s="35" t="str">
        <f>IF(A200="","",IFERROR(VLOOKUP(A200,DB_Customers!$A:$B,2,0),"❌ Account Not Found"))</f>
        <v/>
      </c>
      <c r="C200" s="43" t="str">
        <f>IF(A200="","",IFERROR(VLOOKUP(A200,DB_Customers!$A:$N,14,0),""))</f>
        <v/>
      </c>
      <c r="D200" s="42" t="str">
        <f t="shared" ca="1" si="15"/>
        <v/>
      </c>
      <c r="E200" s="32"/>
      <c r="F200" s="31"/>
      <c r="G200" s="43" t="str">
        <f t="shared" si="16"/>
        <v/>
      </c>
      <c r="H200" s="30" t="s">
        <v>63</v>
      </c>
      <c r="I200" s="41"/>
      <c r="J200" s="33" t="str">
        <f>IF(AND(A200&lt;&gt;"",E200&lt;&gt;""),IF(I200="","⚠️ Enter Code",IF(IFERROR(VLOOKUP(H200,DB_Agents!$B:$F,4,0),"")=TEXT(I200,"0"),IF(C200&gt;=E200,"✅ Successful","❌ Insufficient Funds"),"🔒 WRONG CODE")),"Pending")</f>
        <v>Pending</v>
      </c>
      <c r="K200" s="33" t="str">
        <f t="shared" ca="1" si="17"/>
        <v>—</v>
      </c>
      <c r="L200" s="50"/>
    </row>
    <row r="201" spans="1:12" ht="20.100000000000001" customHeight="1" x14ac:dyDescent="0.25">
      <c r="A201" s="41"/>
      <c r="B201" s="35" t="str">
        <f>IF(A201="","",IFERROR(VLOOKUP(A201,DB_Customers!$A:$B,2,0),"❌ Account Not Found"))</f>
        <v/>
      </c>
      <c r="C201" s="43" t="str">
        <f>IF(A201="","",IFERROR(VLOOKUP(A201,DB_Customers!$A:$N,14,0),""))</f>
        <v/>
      </c>
      <c r="D201" s="42" t="str">
        <f t="shared" ref="D201:D208" ca="1" si="18">IF(A201="","",TODAY())</f>
        <v/>
      </c>
      <c r="E201" s="32"/>
      <c r="F201" s="31"/>
      <c r="G201" s="43" t="str">
        <f t="shared" ref="G201:G208" si="19">IFERROR(IF(OR(A201="",E201=""),"",C201-E201),"")</f>
        <v/>
      </c>
      <c r="H201" s="30" t="s">
        <v>63</v>
      </c>
      <c r="I201" s="41"/>
      <c r="J201" s="33" t="str">
        <f>IF(AND(A201&lt;&gt;"",E201&lt;&gt;""),IF(I201="","⚠️ Enter Code",IF(IFERROR(VLOOKUP(H201,DB_Agents!$B:$F,4,0),"")=TEXT(I201,"0"),IF(C201&gt;=E201,"✅ Successful","❌ Insufficient Funds"),"🔒 WRONG CODE")),"Pending")</f>
        <v>Pending</v>
      </c>
      <c r="K201" s="33" t="str">
        <f t="shared" ref="K201:K232" ca="1" si="20">IF(J201="✅ Successful",TEXT(TODAY(),"YYYY-MM-DD")&amp;" Auto","—")</f>
        <v>—</v>
      </c>
      <c r="L201" s="22"/>
    </row>
    <row r="202" spans="1:12" ht="20.100000000000001" customHeight="1" x14ac:dyDescent="0.25">
      <c r="A202" s="41"/>
      <c r="B202" s="35" t="str">
        <f>IF(A202="","",IFERROR(VLOOKUP(A202,DB_Customers!$A:$B,2,0),"❌ Account Not Found"))</f>
        <v/>
      </c>
      <c r="C202" s="43" t="str">
        <f>IF(A202="","",IFERROR(VLOOKUP(A202,DB_Customers!$A:$N,14,0),""))</f>
        <v/>
      </c>
      <c r="D202" s="42" t="str">
        <f t="shared" ca="1" si="18"/>
        <v/>
      </c>
      <c r="E202" s="32"/>
      <c r="F202" s="31"/>
      <c r="G202" s="43" t="str">
        <f t="shared" si="19"/>
        <v/>
      </c>
      <c r="H202" s="30" t="s">
        <v>63</v>
      </c>
      <c r="I202" s="41"/>
      <c r="J202" s="33" t="str">
        <f>IF(AND(A202&lt;&gt;"",E202&lt;&gt;""),IF(I202="","⚠️ Enter Code",IF(IFERROR(VLOOKUP(H202,DB_Agents!$B:$F,4,0),"")=TEXT(I202,"0"),IF(C202&gt;=E202,"✅ Successful","❌ Insufficient Funds"),"🔒 WRONG CODE")),"Pending")</f>
        <v>Pending</v>
      </c>
      <c r="K202" s="33" t="str">
        <f t="shared" ca="1" si="20"/>
        <v>—</v>
      </c>
      <c r="L202" s="50"/>
    </row>
    <row r="203" spans="1:12" ht="20.100000000000001" customHeight="1" x14ac:dyDescent="0.25">
      <c r="A203" s="41"/>
      <c r="B203" s="35" t="str">
        <f>IF(A203="","",IFERROR(VLOOKUP(A203,DB_Customers!$A:$B,2,0),"❌ Account Not Found"))</f>
        <v/>
      </c>
      <c r="C203" s="43" t="str">
        <f>IF(A203="","",IFERROR(VLOOKUP(A203,DB_Customers!$A:$N,14,0),""))</f>
        <v/>
      </c>
      <c r="D203" s="42" t="str">
        <f t="shared" ca="1" si="18"/>
        <v/>
      </c>
      <c r="E203" s="32"/>
      <c r="F203" s="31"/>
      <c r="G203" s="43" t="str">
        <f t="shared" si="19"/>
        <v/>
      </c>
      <c r="H203" s="30" t="s">
        <v>63</v>
      </c>
      <c r="I203" s="41"/>
      <c r="J203" s="33" t="str">
        <f>IF(AND(A203&lt;&gt;"",E203&lt;&gt;""),IF(I203="","⚠️ Enter Code",IF(IFERROR(VLOOKUP(H203,DB_Agents!$B:$F,4,0),"")=TEXT(I203,"0"),IF(C203&gt;=E203,"✅ Successful","❌ Insufficient Funds"),"🔒 WRONG CODE")),"Pending")</f>
        <v>Pending</v>
      </c>
      <c r="K203" s="33" t="str">
        <f t="shared" ca="1" si="20"/>
        <v>—</v>
      </c>
      <c r="L203" s="22"/>
    </row>
    <row r="204" spans="1:12" ht="20.100000000000001" customHeight="1" x14ac:dyDescent="0.25">
      <c r="A204" s="41"/>
      <c r="B204" s="35" t="str">
        <f>IF(A204="","",IFERROR(VLOOKUP(A204,DB_Customers!$A:$B,2,0),"❌ Account Not Found"))</f>
        <v/>
      </c>
      <c r="C204" s="43" t="str">
        <f>IF(A204="","",IFERROR(VLOOKUP(A204,DB_Customers!$A:$N,14,0),""))</f>
        <v/>
      </c>
      <c r="D204" s="42" t="str">
        <f t="shared" ca="1" si="18"/>
        <v/>
      </c>
      <c r="E204" s="32"/>
      <c r="F204" s="31"/>
      <c r="G204" s="43" t="str">
        <f t="shared" si="19"/>
        <v/>
      </c>
      <c r="H204" s="30" t="s">
        <v>63</v>
      </c>
      <c r="I204" s="41"/>
      <c r="J204" s="33" t="str">
        <f>IF(AND(A204&lt;&gt;"",E204&lt;&gt;""),IF(I204="","⚠️ Enter Code",IF(IFERROR(VLOOKUP(H204,DB_Agents!$B:$F,4,0),"")=TEXT(I204,"0"),IF(C204&gt;=E204,"✅ Successful","❌ Insufficient Funds"),"🔒 WRONG CODE")),"Pending")</f>
        <v>Pending</v>
      </c>
      <c r="K204" s="33" t="str">
        <f t="shared" ca="1" si="20"/>
        <v>—</v>
      </c>
      <c r="L204" s="50"/>
    </row>
    <row r="205" spans="1:12" ht="20.100000000000001" customHeight="1" x14ac:dyDescent="0.25">
      <c r="A205" s="41"/>
      <c r="B205" s="35" t="str">
        <f>IF(A205="","",IFERROR(VLOOKUP(A205,DB_Customers!$A:$B,2,0),"❌ Account Not Found"))</f>
        <v/>
      </c>
      <c r="C205" s="43" t="str">
        <f>IF(A205="","",IFERROR(VLOOKUP(A205,DB_Customers!$A:$N,14,0),""))</f>
        <v/>
      </c>
      <c r="D205" s="42" t="str">
        <f t="shared" ca="1" si="18"/>
        <v/>
      </c>
      <c r="E205" s="32"/>
      <c r="F205" s="31"/>
      <c r="G205" s="43" t="str">
        <f t="shared" si="19"/>
        <v/>
      </c>
      <c r="H205" s="30" t="s">
        <v>63</v>
      </c>
      <c r="I205" s="41"/>
      <c r="J205" s="33" t="str">
        <f>IF(AND(A205&lt;&gt;"",E205&lt;&gt;""),IF(I205="","⚠️ Enter Code",IF(IFERROR(VLOOKUP(H205,DB_Agents!$B:$F,4,0),"")=TEXT(I205,"0"),IF(C205&gt;=E205,"✅ Successful","❌ Insufficient Funds"),"🔒 WRONG CODE")),"Pending")</f>
        <v>Pending</v>
      </c>
      <c r="K205" s="33" t="str">
        <f t="shared" ca="1" si="20"/>
        <v>—</v>
      </c>
      <c r="L205" s="22"/>
    </row>
    <row r="206" spans="1:12" ht="20.100000000000001" customHeight="1" x14ac:dyDescent="0.25">
      <c r="A206" s="41"/>
      <c r="B206" s="35" t="str">
        <f>IF(A206="","",IFERROR(VLOOKUP(A206,DB_Customers!$A:$B,2,0),"❌ Account Not Found"))</f>
        <v/>
      </c>
      <c r="C206" s="43" t="str">
        <f>IF(A206="","",IFERROR(VLOOKUP(A206,DB_Customers!$A:$N,14,0),""))</f>
        <v/>
      </c>
      <c r="D206" s="42" t="str">
        <f t="shared" ca="1" si="18"/>
        <v/>
      </c>
      <c r="E206" s="32"/>
      <c r="F206" s="31"/>
      <c r="G206" s="43" t="str">
        <f t="shared" si="19"/>
        <v/>
      </c>
      <c r="H206" s="30" t="s">
        <v>63</v>
      </c>
      <c r="I206" s="41"/>
      <c r="J206" s="33" t="str">
        <f>IF(AND(A206&lt;&gt;"",E206&lt;&gt;""),IF(I206="","⚠️ Enter Code",IF(IFERROR(VLOOKUP(H206,DB_Agents!$B:$F,4,0),"")=TEXT(I206,"0"),IF(C206&gt;=E206,"✅ Successful","❌ Insufficient Funds"),"🔒 WRONG CODE")),"Pending")</f>
        <v>Pending</v>
      </c>
      <c r="K206" s="33" t="str">
        <f t="shared" ca="1" si="20"/>
        <v>—</v>
      </c>
      <c r="L206" s="50"/>
    </row>
    <row r="207" spans="1:12" ht="20.100000000000001" customHeight="1" x14ac:dyDescent="0.25">
      <c r="A207" s="41"/>
      <c r="B207" s="35" t="str">
        <f>IF(A207="","",IFERROR(VLOOKUP(A207,DB_Customers!$A:$B,2,0),"❌ Account Not Found"))</f>
        <v/>
      </c>
      <c r="C207" s="43" t="str">
        <f>IF(A207="","",IFERROR(VLOOKUP(A207,DB_Customers!$A:$N,14,0),""))</f>
        <v/>
      </c>
      <c r="D207" s="42" t="str">
        <f t="shared" ca="1" si="18"/>
        <v/>
      </c>
      <c r="E207" s="32"/>
      <c r="F207" s="31"/>
      <c r="G207" s="43" t="str">
        <f t="shared" si="19"/>
        <v/>
      </c>
      <c r="H207" s="30" t="s">
        <v>63</v>
      </c>
      <c r="I207" s="41"/>
      <c r="J207" s="33" t="str">
        <f>IF(AND(A207&lt;&gt;"",E207&lt;&gt;""),IF(I207="","⚠️ Enter Code",IF(IFERROR(VLOOKUP(H207,DB_Agents!$B:$F,4,0),"")=TEXT(I207,"0"),IF(C207&gt;=E207,"✅ Successful","❌ Insufficient Funds"),"🔒 WRONG CODE")),"Pending")</f>
        <v>Pending</v>
      </c>
      <c r="K207" s="33" t="str">
        <f t="shared" ca="1" si="20"/>
        <v>—</v>
      </c>
      <c r="L207" s="22"/>
    </row>
    <row r="208" spans="1:12" ht="20.100000000000001" customHeight="1" x14ac:dyDescent="0.25">
      <c r="A208" s="41"/>
      <c r="B208" s="35" t="str">
        <f>IF(A208="","",IFERROR(VLOOKUP(A208,DB_Customers!$A:$B,2,0),"❌ Account Not Found"))</f>
        <v/>
      </c>
      <c r="C208" s="43" t="str">
        <f>IF(A208="","",IFERROR(VLOOKUP(A208,DB_Customers!$A:$N,14,0),""))</f>
        <v/>
      </c>
      <c r="D208" s="42" t="str">
        <f t="shared" ca="1" si="18"/>
        <v/>
      </c>
      <c r="E208" s="32"/>
      <c r="F208" s="31"/>
      <c r="G208" s="43" t="str">
        <f t="shared" si="19"/>
        <v/>
      </c>
      <c r="H208" s="30" t="s">
        <v>63</v>
      </c>
      <c r="I208" s="41"/>
      <c r="J208" s="33" t="str">
        <f>IF(AND(A208&lt;&gt;"",E208&lt;&gt;""),IF(I208="","⚠️ Enter Code",IF(IFERROR(VLOOKUP(H208,DB_Agents!$B:$F,4,0),"")=TEXT(I208,"0"),IF(C208&gt;=E208,"✅ Successful","❌ Insufficient Funds"),"🔒 WRONG CODE")),"Pending")</f>
        <v>Pending</v>
      </c>
      <c r="K208" s="33" t="str">
        <f t="shared" ca="1" si="20"/>
        <v>—</v>
      </c>
      <c r="L208" s="50"/>
    </row>
  </sheetData>
  <mergeCells count="3">
    <mergeCell ref="A2:L2"/>
    <mergeCell ref="A6:L6"/>
    <mergeCell ref="A1:L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1F5C6B"/>
  </sheetPr>
  <dimension ref="A1:N213"/>
  <sheetViews>
    <sheetView showGridLines="0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6" customWidth="1"/>
    <col min="3" max="3" width="26" customWidth="1"/>
    <col min="4" max="4" width="14" customWidth="1"/>
    <col min="5" max="5" width="20" customWidth="1"/>
    <col min="6" max="6" width="22" customWidth="1"/>
    <col min="7" max="8" width="10" customWidth="1"/>
    <col min="9" max="10" width="22" customWidth="1"/>
    <col min="11" max="11" width="18" customWidth="1"/>
    <col min="12" max="12" width="12" customWidth="1"/>
    <col min="13" max="13" width="14" customWidth="1"/>
    <col min="14" max="14" width="18" customWidth="1"/>
  </cols>
  <sheetData>
    <row r="1" spans="1:14" ht="32.1" customHeight="1" x14ac:dyDescent="0.25">
      <c r="A1" s="95" t="s">
        <v>221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21.95" customHeight="1" x14ac:dyDescent="0.25">
      <c r="A2" s="97" t="s">
        <v>222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4" spans="1:14" x14ac:dyDescent="0.25">
      <c r="A4" s="51" t="s">
        <v>146</v>
      </c>
    </row>
    <row r="5" spans="1:14" x14ac:dyDescent="0.25">
      <c r="A5" s="52" t="s">
        <v>147</v>
      </c>
      <c r="B5" s="32"/>
    </row>
    <row r="6" spans="1:14" x14ac:dyDescent="0.25">
      <c r="A6" s="52" t="s">
        <v>148</v>
      </c>
      <c r="B6" s="53"/>
    </row>
    <row r="7" spans="1:14" x14ac:dyDescent="0.25">
      <c r="A7" s="52" t="s">
        <v>149</v>
      </c>
      <c r="B7" s="54">
        <v>2.5</v>
      </c>
    </row>
    <row r="8" spans="1:14" x14ac:dyDescent="0.25">
      <c r="A8" s="55" t="s">
        <v>150</v>
      </c>
      <c r="B8" s="43" t="str">
        <f>IF(B5="","",B5*B7/100*B6)</f>
        <v/>
      </c>
    </row>
    <row r="9" spans="1:14" x14ac:dyDescent="0.25">
      <c r="A9" s="55" t="s">
        <v>151</v>
      </c>
      <c r="B9" s="43" t="str">
        <f>IF(B5="","",B5+(B5*B7/100*B6))</f>
        <v/>
      </c>
    </row>
    <row r="10" spans="1:14" x14ac:dyDescent="0.25">
      <c r="A10" s="55" t="s">
        <v>152</v>
      </c>
      <c r="B10" s="43" t="str">
        <f>IFERROR(B9/B6,"")</f>
        <v/>
      </c>
    </row>
    <row r="12" spans="1:14" ht="21.95" customHeight="1" x14ac:dyDescent="0.25">
      <c r="A12" s="97" t="s">
        <v>153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</row>
    <row r="13" spans="1:14" ht="30" customHeight="1" x14ac:dyDescent="0.25">
      <c r="A13" s="19" t="s">
        <v>154</v>
      </c>
      <c r="B13" s="19" t="s">
        <v>131</v>
      </c>
      <c r="C13" s="19" t="s">
        <v>69</v>
      </c>
      <c r="D13" s="19" t="s">
        <v>155</v>
      </c>
      <c r="E13" s="19" t="s">
        <v>156</v>
      </c>
      <c r="F13" s="19" t="s">
        <v>109</v>
      </c>
      <c r="G13" s="19" t="s">
        <v>110</v>
      </c>
      <c r="H13" s="19" t="s">
        <v>157</v>
      </c>
      <c r="I13" s="19" t="s">
        <v>158</v>
      </c>
      <c r="J13" s="19" t="s">
        <v>159</v>
      </c>
      <c r="K13" s="19" t="s">
        <v>77</v>
      </c>
      <c r="L13" s="19" t="s">
        <v>45</v>
      </c>
      <c r="M13" s="19" t="s">
        <v>134</v>
      </c>
      <c r="N13" s="19" t="s">
        <v>95</v>
      </c>
    </row>
    <row r="14" spans="1:14" ht="20.100000000000001" customHeight="1" x14ac:dyDescent="0.25">
      <c r="A14" s="30" t="str">
        <f t="shared" ref="A14:A45" si="0">IF(B14="","",IF(C14="❌ Account Not Found","INVALID","LN"&amp;TEXT(D14,"YYYYMMDD")&amp;TEXT(ROW()-13,"0000")))</f>
        <v/>
      </c>
      <c r="B14" s="41"/>
      <c r="C14" s="35" t="str">
        <f>IF(B14="","",IFERROR(VLOOKUP(B14,DB_Customers!$A:$B,2,0),"❌ Account Not Found"))</f>
        <v/>
      </c>
      <c r="D14" s="42" t="str">
        <f t="shared" ref="D14:D45" ca="1" si="1">IF(B14="","",TODAY())</f>
        <v/>
      </c>
      <c r="E14" s="32"/>
      <c r="F14" s="31"/>
      <c r="G14" s="41"/>
      <c r="H14" s="56">
        <v>2.5</v>
      </c>
      <c r="I14" s="43" t="str">
        <f t="shared" ref="I14:I45" si="2">IF(E14="","",E14+(E14*H14/100*G14))</f>
        <v/>
      </c>
      <c r="J14" s="43" t="str">
        <f t="shared" ref="J14:J45" si="3">IFERROR(I14/G14,"")</f>
        <v/>
      </c>
      <c r="K14" s="33" t="str">
        <f>IF(B14="","Pending",IF(M14="","⚠️ Enter Code",IF(IFERROR(VLOOKUP(L14,DB_Agents!$B:$F,4,0),"")=TEXT(M14,"0"),"Pending Approval","🔒 WRONG CODE")))</f>
        <v>Pending</v>
      </c>
      <c r="L14" s="30" t="s">
        <v>63</v>
      </c>
      <c r="M14" s="41"/>
      <c r="N14" s="57"/>
    </row>
    <row r="15" spans="1:14" ht="20.100000000000001" customHeight="1" x14ac:dyDescent="0.25">
      <c r="A15" s="30" t="str">
        <f t="shared" si="0"/>
        <v/>
      </c>
      <c r="B15" s="41"/>
      <c r="C15" s="35" t="str">
        <f>IF(B15="","",IFERROR(VLOOKUP(B15,DB_Customers!$A:$B,2,0),"❌ Account Not Found"))</f>
        <v/>
      </c>
      <c r="D15" s="42" t="str">
        <f t="shared" ca="1" si="1"/>
        <v/>
      </c>
      <c r="E15" s="32"/>
      <c r="F15" s="31"/>
      <c r="G15" s="41"/>
      <c r="H15" s="56">
        <v>2.5</v>
      </c>
      <c r="I15" s="43" t="str">
        <f t="shared" si="2"/>
        <v/>
      </c>
      <c r="J15" s="43" t="str">
        <f t="shared" si="3"/>
        <v/>
      </c>
      <c r="K15" s="33" t="str">
        <f>IF(B15="","Pending",IF(M15="","⚠️ Enter Code",IF(IFERROR(VLOOKUP(L15,DB_Agents!$B:$F,4,0),"")=TEXT(M15,"0"),"Pending Approval","🔒 WRONG CODE")))</f>
        <v>Pending</v>
      </c>
      <c r="L15" s="30" t="s">
        <v>63</v>
      </c>
      <c r="M15" s="41"/>
      <c r="N15" s="22"/>
    </row>
    <row r="16" spans="1:14" ht="20.100000000000001" customHeight="1" x14ac:dyDescent="0.25">
      <c r="A16" s="30" t="str">
        <f t="shared" si="0"/>
        <v/>
      </c>
      <c r="B16" s="41"/>
      <c r="C16" s="35" t="str">
        <f>IF(B16="","",IFERROR(VLOOKUP(B16,DB_Customers!$A:$B,2,0),"❌ Account Not Found"))</f>
        <v/>
      </c>
      <c r="D16" s="42" t="str">
        <f t="shared" ca="1" si="1"/>
        <v/>
      </c>
      <c r="E16" s="32"/>
      <c r="F16" s="31"/>
      <c r="G16" s="41"/>
      <c r="H16" s="56">
        <v>2.5</v>
      </c>
      <c r="I16" s="43" t="str">
        <f t="shared" si="2"/>
        <v/>
      </c>
      <c r="J16" s="43" t="str">
        <f t="shared" si="3"/>
        <v/>
      </c>
      <c r="K16" s="33" t="str">
        <f>IF(B16="","Pending",IF(M16="","⚠️ Enter Code",IF(IFERROR(VLOOKUP(L16,DB_Agents!$B:$F,4,0),"")=TEXT(M16,"0"),"Pending Approval","🔒 WRONG CODE")))</f>
        <v>Pending</v>
      </c>
      <c r="L16" s="30" t="s">
        <v>63</v>
      </c>
      <c r="M16" s="41"/>
      <c r="N16" s="57"/>
    </row>
    <row r="17" spans="1:14" ht="20.100000000000001" customHeight="1" x14ac:dyDescent="0.25">
      <c r="A17" s="30" t="str">
        <f t="shared" si="0"/>
        <v/>
      </c>
      <c r="B17" s="41"/>
      <c r="C17" s="35" t="str">
        <f>IF(B17="","",IFERROR(VLOOKUP(B17,DB_Customers!$A:$B,2,0),"❌ Account Not Found"))</f>
        <v/>
      </c>
      <c r="D17" s="42" t="str">
        <f t="shared" ca="1" si="1"/>
        <v/>
      </c>
      <c r="E17" s="32"/>
      <c r="F17" s="31"/>
      <c r="G17" s="41"/>
      <c r="H17" s="56">
        <v>2.5</v>
      </c>
      <c r="I17" s="43" t="str">
        <f t="shared" si="2"/>
        <v/>
      </c>
      <c r="J17" s="43" t="str">
        <f t="shared" si="3"/>
        <v/>
      </c>
      <c r="K17" s="33" t="str">
        <f>IF(B17="","Pending",IF(M17="","⚠️ Enter Code",IF(IFERROR(VLOOKUP(L17,DB_Agents!$B:$F,4,0),"")=TEXT(M17,"0"),"Pending Approval","🔒 WRONG CODE")))</f>
        <v>Pending</v>
      </c>
      <c r="L17" s="30" t="s">
        <v>63</v>
      </c>
      <c r="M17" s="41"/>
      <c r="N17" s="22"/>
    </row>
    <row r="18" spans="1:14" ht="20.100000000000001" customHeight="1" x14ac:dyDescent="0.25">
      <c r="A18" s="30" t="str">
        <f t="shared" si="0"/>
        <v/>
      </c>
      <c r="B18" s="41"/>
      <c r="C18" s="35" t="str">
        <f>IF(B18="","",IFERROR(VLOOKUP(B18,DB_Customers!$A:$B,2,0),"❌ Account Not Found"))</f>
        <v/>
      </c>
      <c r="D18" s="42" t="str">
        <f t="shared" ca="1" si="1"/>
        <v/>
      </c>
      <c r="E18" s="32"/>
      <c r="F18" s="31"/>
      <c r="G18" s="41"/>
      <c r="H18" s="56">
        <v>2.5</v>
      </c>
      <c r="I18" s="43" t="str">
        <f t="shared" si="2"/>
        <v/>
      </c>
      <c r="J18" s="43" t="str">
        <f t="shared" si="3"/>
        <v/>
      </c>
      <c r="K18" s="33" t="str">
        <f>IF(B18="","Pending",IF(M18="","⚠️ Enter Code",IF(IFERROR(VLOOKUP(L18,DB_Agents!$B:$F,4,0),"")=TEXT(M18,"0"),"Pending Approval","🔒 WRONG CODE")))</f>
        <v>Pending</v>
      </c>
      <c r="L18" s="30" t="s">
        <v>63</v>
      </c>
      <c r="M18" s="41"/>
      <c r="N18" s="57"/>
    </row>
    <row r="19" spans="1:14" ht="20.100000000000001" customHeight="1" x14ac:dyDescent="0.25">
      <c r="A19" s="30" t="str">
        <f t="shared" si="0"/>
        <v/>
      </c>
      <c r="B19" s="41"/>
      <c r="C19" s="35" t="str">
        <f>IF(B19="","",IFERROR(VLOOKUP(B19,DB_Customers!$A:$B,2,0),"❌ Account Not Found"))</f>
        <v/>
      </c>
      <c r="D19" s="42" t="str">
        <f t="shared" ca="1" si="1"/>
        <v/>
      </c>
      <c r="E19" s="32"/>
      <c r="F19" s="31"/>
      <c r="G19" s="41"/>
      <c r="H19" s="56">
        <v>2.5</v>
      </c>
      <c r="I19" s="43" t="str">
        <f t="shared" si="2"/>
        <v/>
      </c>
      <c r="J19" s="43" t="str">
        <f t="shared" si="3"/>
        <v/>
      </c>
      <c r="K19" s="33" t="str">
        <f>IF(B19="","Pending",IF(M19="","⚠️ Enter Code",IF(IFERROR(VLOOKUP(L19,DB_Agents!$B:$F,4,0),"")=TEXT(M19,"0"),"Pending Approval","🔒 WRONG CODE")))</f>
        <v>Pending</v>
      </c>
      <c r="L19" s="30" t="s">
        <v>63</v>
      </c>
      <c r="M19" s="41"/>
      <c r="N19" s="22"/>
    </row>
    <row r="20" spans="1:14" ht="20.100000000000001" customHeight="1" x14ac:dyDescent="0.25">
      <c r="A20" s="30" t="str">
        <f t="shared" si="0"/>
        <v/>
      </c>
      <c r="B20" s="41"/>
      <c r="C20" s="35" t="str">
        <f>IF(B20="","",IFERROR(VLOOKUP(B20,DB_Customers!$A:$B,2,0),"❌ Account Not Found"))</f>
        <v/>
      </c>
      <c r="D20" s="42" t="str">
        <f t="shared" ca="1" si="1"/>
        <v/>
      </c>
      <c r="E20" s="32"/>
      <c r="F20" s="31"/>
      <c r="G20" s="41"/>
      <c r="H20" s="56">
        <v>2.5</v>
      </c>
      <c r="I20" s="43" t="str">
        <f t="shared" si="2"/>
        <v/>
      </c>
      <c r="J20" s="43" t="str">
        <f t="shared" si="3"/>
        <v/>
      </c>
      <c r="K20" s="33" t="str">
        <f>IF(B20="","Pending",IF(M20="","⚠️ Enter Code",IF(IFERROR(VLOOKUP(L20,DB_Agents!$B:$F,4,0),"")=TEXT(M20,"0"),"Pending Approval","🔒 WRONG CODE")))</f>
        <v>Pending</v>
      </c>
      <c r="L20" s="30" t="s">
        <v>63</v>
      </c>
      <c r="M20" s="41"/>
      <c r="N20" s="57"/>
    </row>
    <row r="21" spans="1:14" ht="20.100000000000001" customHeight="1" x14ac:dyDescent="0.25">
      <c r="A21" s="30" t="str">
        <f t="shared" si="0"/>
        <v/>
      </c>
      <c r="B21" s="41"/>
      <c r="C21" s="35" t="str">
        <f>IF(B21="","",IFERROR(VLOOKUP(B21,DB_Customers!$A:$B,2,0),"❌ Account Not Found"))</f>
        <v/>
      </c>
      <c r="D21" s="42" t="str">
        <f t="shared" ca="1" si="1"/>
        <v/>
      </c>
      <c r="E21" s="32"/>
      <c r="F21" s="31"/>
      <c r="G21" s="41"/>
      <c r="H21" s="56">
        <v>2.5</v>
      </c>
      <c r="I21" s="43" t="str">
        <f t="shared" si="2"/>
        <v/>
      </c>
      <c r="J21" s="43" t="str">
        <f t="shared" si="3"/>
        <v/>
      </c>
      <c r="K21" s="33" t="str">
        <f>IF(B21="","Pending",IF(M21="","⚠️ Enter Code",IF(IFERROR(VLOOKUP(L21,DB_Agents!$B:$F,4,0),"")=TEXT(M21,"0"),"Pending Approval","🔒 WRONG CODE")))</f>
        <v>Pending</v>
      </c>
      <c r="L21" s="30" t="s">
        <v>63</v>
      </c>
      <c r="M21" s="41"/>
      <c r="N21" s="22"/>
    </row>
    <row r="22" spans="1:14" ht="20.100000000000001" customHeight="1" x14ac:dyDescent="0.25">
      <c r="A22" s="30" t="str">
        <f t="shared" si="0"/>
        <v/>
      </c>
      <c r="B22" s="41"/>
      <c r="C22" s="35" t="str">
        <f>IF(B22="","",IFERROR(VLOOKUP(B22,DB_Customers!$A:$B,2,0),"❌ Account Not Found"))</f>
        <v/>
      </c>
      <c r="D22" s="42" t="str">
        <f t="shared" ca="1" si="1"/>
        <v/>
      </c>
      <c r="E22" s="32"/>
      <c r="F22" s="31"/>
      <c r="G22" s="41"/>
      <c r="H22" s="56">
        <v>2.5</v>
      </c>
      <c r="I22" s="43" t="str">
        <f t="shared" si="2"/>
        <v/>
      </c>
      <c r="J22" s="43" t="str">
        <f t="shared" si="3"/>
        <v/>
      </c>
      <c r="K22" s="33" t="str">
        <f>IF(B22="","Pending",IF(M22="","⚠️ Enter Code",IF(IFERROR(VLOOKUP(L22,DB_Agents!$B:$F,4,0),"")=TEXT(M22,"0"),"Pending Approval","🔒 WRONG CODE")))</f>
        <v>Pending</v>
      </c>
      <c r="L22" s="30" t="s">
        <v>63</v>
      </c>
      <c r="M22" s="41"/>
      <c r="N22" s="57"/>
    </row>
    <row r="23" spans="1:14" ht="20.100000000000001" customHeight="1" x14ac:dyDescent="0.25">
      <c r="A23" s="30" t="str">
        <f t="shared" si="0"/>
        <v/>
      </c>
      <c r="B23" s="41"/>
      <c r="C23" s="35" t="str">
        <f>IF(B23="","",IFERROR(VLOOKUP(B23,DB_Customers!$A:$B,2,0),"❌ Account Not Found"))</f>
        <v/>
      </c>
      <c r="D23" s="42" t="str">
        <f t="shared" ca="1" si="1"/>
        <v/>
      </c>
      <c r="E23" s="32"/>
      <c r="F23" s="31"/>
      <c r="G23" s="41"/>
      <c r="H23" s="56">
        <v>2.5</v>
      </c>
      <c r="I23" s="43" t="str">
        <f t="shared" si="2"/>
        <v/>
      </c>
      <c r="J23" s="43" t="str">
        <f t="shared" si="3"/>
        <v/>
      </c>
      <c r="K23" s="33" t="str">
        <f>IF(B23="","Pending",IF(M23="","⚠️ Enter Code",IF(IFERROR(VLOOKUP(L23,DB_Agents!$B:$F,4,0),"")=TEXT(M23,"0"),"Pending Approval","🔒 WRONG CODE")))</f>
        <v>Pending</v>
      </c>
      <c r="L23" s="30" t="s">
        <v>63</v>
      </c>
      <c r="M23" s="41"/>
      <c r="N23" s="22"/>
    </row>
    <row r="24" spans="1:14" ht="20.100000000000001" customHeight="1" x14ac:dyDescent="0.25">
      <c r="A24" s="30" t="str">
        <f t="shared" si="0"/>
        <v/>
      </c>
      <c r="B24" s="41"/>
      <c r="C24" s="35" t="str">
        <f>IF(B24="","",IFERROR(VLOOKUP(B24,DB_Customers!$A:$B,2,0),"❌ Account Not Found"))</f>
        <v/>
      </c>
      <c r="D24" s="42" t="str">
        <f t="shared" ca="1" si="1"/>
        <v/>
      </c>
      <c r="E24" s="32"/>
      <c r="F24" s="31"/>
      <c r="G24" s="41"/>
      <c r="H24" s="56">
        <v>2.5</v>
      </c>
      <c r="I24" s="43" t="str">
        <f t="shared" si="2"/>
        <v/>
      </c>
      <c r="J24" s="43" t="str">
        <f t="shared" si="3"/>
        <v/>
      </c>
      <c r="K24" s="33" t="str">
        <f>IF(B24="","Pending",IF(M24="","⚠️ Enter Code",IF(IFERROR(VLOOKUP(L24,DB_Agents!$B:$F,4,0),"")=TEXT(M24,"0"),"Pending Approval","🔒 WRONG CODE")))</f>
        <v>Pending</v>
      </c>
      <c r="L24" s="30" t="s">
        <v>63</v>
      </c>
      <c r="M24" s="41"/>
      <c r="N24" s="57"/>
    </row>
    <row r="25" spans="1:14" ht="20.100000000000001" customHeight="1" x14ac:dyDescent="0.25">
      <c r="A25" s="30" t="str">
        <f t="shared" si="0"/>
        <v/>
      </c>
      <c r="B25" s="41"/>
      <c r="C25" s="35" t="str">
        <f>IF(B25="","",IFERROR(VLOOKUP(B25,DB_Customers!$A:$B,2,0),"❌ Account Not Found"))</f>
        <v/>
      </c>
      <c r="D25" s="42" t="str">
        <f t="shared" ca="1" si="1"/>
        <v/>
      </c>
      <c r="E25" s="32"/>
      <c r="F25" s="31"/>
      <c r="G25" s="41"/>
      <c r="H25" s="56">
        <v>2.5</v>
      </c>
      <c r="I25" s="43" t="str">
        <f t="shared" si="2"/>
        <v/>
      </c>
      <c r="J25" s="43" t="str">
        <f t="shared" si="3"/>
        <v/>
      </c>
      <c r="K25" s="33" t="str">
        <f>IF(B25="","Pending",IF(M25="","⚠️ Enter Code",IF(IFERROR(VLOOKUP(L25,DB_Agents!$B:$F,4,0),"")=TEXT(M25,"0"),"Pending Approval","🔒 WRONG CODE")))</f>
        <v>Pending</v>
      </c>
      <c r="L25" s="30" t="s">
        <v>63</v>
      </c>
      <c r="M25" s="41"/>
      <c r="N25" s="22"/>
    </row>
    <row r="26" spans="1:14" ht="20.100000000000001" customHeight="1" x14ac:dyDescent="0.25">
      <c r="A26" s="30" t="str">
        <f t="shared" si="0"/>
        <v/>
      </c>
      <c r="B26" s="41"/>
      <c r="C26" s="35" t="str">
        <f>IF(B26="","",IFERROR(VLOOKUP(B26,DB_Customers!$A:$B,2,0),"❌ Account Not Found"))</f>
        <v/>
      </c>
      <c r="D26" s="42" t="str">
        <f t="shared" ca="1" si="1"/>
        <v/>
      </c>
      <c r="E26" s="32"/>
      <c r="F26" s="31"/>
      <c r="G26" s="41"/>
      <c r="H26" s="56">
        <v>2.5</v>
      </c>
      <c r="I26" s="43" t="str">
        <f t="shared" si="2"/>
        <v/>
      </c>
      <c r="J26" s="43" t="str">
        <f t="shared" si="3"/>
        <v/>
      </c>
      <c r="K26" s="33" t="str">
        <f>IF(B26="","Pending",IF(M26="","⚠️ Enter Code",IF(IFERROR(VLOOKUP(L26,DB_Agents!$B:$F,4,0),"")=TEXT(M26,"0"),"Pending Approval","🔒 WRONG CODE")))</f>
        <v>Pending</v>
      </c>
      <c r="L26" s="30" t="s">
        <v>63</v>
      </c>
      <c r="M26" s="41"/>
      <c r="N26" s="57"/>
    </row>
    <row r="27" spans="1:14" ht="20.100000000000001" customHeight="1" x14ac:dyDescent="0.25">
      <c r="A27" s="30" t="str">
        <f t="shared" si="0"/>
        <v/>
      </c>
      <c r="B27" s="41"/>
      <c r="C27" s="35" t="str">
        <f>IF(B27="","",IFERROR(VLOOKUP(B27,DB_Customers!$A:$B,2,0),"❌ Account Not Found"))</f>
        <v/>
      </c>
      <c r="D27" s="42" t="str">
        <f t="shared" ca="1" si="1"/>
        <v/>
      </c>
      <c r="E27" s="32"/>
      <c r="F27" s="31"/>
      <c r="G27" s="41"/>
      <c r="H27" s="56">
        <v>2.5</v>
      </c>
      <c r="I27" s="43" t="str">
        <f t="shared" si="2"/>
        <v/>
      </c>
      <c r="J27" s="43" t="str">
        <f t="shared" si="3"/>
        <v/>
      </c>
      <c r="K27" s="33" t="str">
        <f>IF(B27="","Pending",IF(M27="","⚠️ Enter Code",IF(IFERROR(VLOOKUP(L27,DB_Agents!$B:$F,4,0),"")=TEXT(M27,"0"),"Pending Approval","🔒 WRONG CODE")))</f>
        <v>Pending</v>
      </c>
      <c r="L27" s="30" t="s">
        <v>63</v>
      </c>
      <c r="M27" s="41"/>
      <c r="N27" s="22"/>
    </row>
    <row r="28" spans="1:14" ht="20.100000000000001" customHeight="1" x14ac:dyDescent="0.25">
      <c r="A28" s="30" t="str">
        <f t="shared" si="0"/>
        <v/>
      </c>
      <c r="B28" s="41"/>
      <c r="C28" s="35" t="str">
        <f>IF(B28="","",IFERROR(VLOOKUP(B28,DB_Customers!$A:$B,2,0),"❌ Account Not Found"))</f>
        <v/>
      </c>
      <c r="D28" s="42" t="str">
        <f t="shared" ca="1" si="1"/>
        <v/>
      </c>
      <c r="E28" s="32"/>
      <c r="F28" s="31"/>
      <c r="G28" s="41"/>
      <c r="H28" s="56">
        <v>2.5</v>
      </c>
      <c r="I28" s="43" t="str">
        <f t="shared" si="2"/>
        <v/>
      </c>
      <c r="J28" s="43" t="str">
        <f t="shared" si="3"/>
        <v/>
      </c>
      <c r="K28" s="33" t="str">
        <f>IF(B28="","Pending",IF(M28="","⚠️ Enter Code",IF(IFERROR(VLOOKUP(L28,DB_Agents!$B:$F,4,0),"")=TEXT(M28,"0"),"Pending Approval","🔒 WRONG CODE")))</f>
        <v>Pending</v>
      </c>
      <c r="L28" s="30" t="s">
        <v>63</v>
      </c>
      <c r="M28" s="41"/>
      <c r="N28" s="57"/>
    </row>
    <row r="29" spans="1:14" ht="20.100000000000001" customHeight="1" x14ac:dyDescent="0.25">
      <c r="A29" s="30" t="str">
        <f t="shared" si="0"/>
        <v/>
      </c>
      <c r="B29" s="41"/>
      <c r="C29" s="35" t="str">
        <f>IF(B29="","",IFERROR(VLOOKUP(B29,DB_Customers!$A:$B,2,0),"❌ Account Not Found"))</f>
        <v/>
      </c>
      <c r="D29" s="42" t="str">
        <f t="shared" ca="1" si="1"/>
        <v/>
      </c>
      <c r="E29" s="32"/>
      <c r="F29" s="31"/>
      <c r="G29" s="41"/>
      <c r="H29" s="56">
        <v>2.5</v>
      </c>
      <c r="I29" s="43" t="str">
        <f t="shared" si="2"/>
        <v/>
      </c>
      <c r="J29" s="43" t="str">
        <f t="shared" si="3"/>
        <v/>
      </c>
      <c r="K29" s="33" t="str">
        <f>IF(B29="","Pending",IF(M29="","⚠️ Enter Code",IF(IFERROR(VLOOKUP(L29,DB_Agents!$B:$F,4,0),"")=TEXT(M29,"0"),"Pending Approval","🔒 WRONG CODE")))</f>
        <v>Pending</v>
      </c>
      <c r="L29" s="30" t="s">
        <v>63</v>
      </c>
      <c r="M29" s="41"/>
      <c r="N29" s="22"/>
    </row>
    <row r="30" spans="1:14" ht="20.100000000000001" customHeight="1" x14ac:dyDescent="0.25">
      <c r="A30" s="30" t="str">
        <f t="shared" si="0"/>
        <v/>
      </c>
      <c r="B30" s="41"/>
      <c r="C30" s="35" t="str">
        <f>IF(B30="","",IFERROR(VLOOKUP(B30,DB_Customers!$A:$B,2,0),"❌ Account Not Found"))</f>
        <v/>
      </c>
      <c r="D30" s="42" t="str">
        <f t="shared" ca="1" si="1"/>
        <v/>
      </c>
      <c r="E30" s="32"/>
      <c r="F30" s="31"/>
      <c r="G30" s="41"/>
      <c r="H30" s="56">
        <v>2.5</v>
      </c>
      <c r="I30" s="43" t="str">
        <f t="shared" si="2"/>
        <v/>
      </c>
      <c r="J30" s="43" t="str">
        <f t="shared" si="3"/>
        <v/>
      </c>
      <c r="K30" s="33" t="str">
        <f>IF(B30="","Pending",IF(M30="","⚠️ Enter Code",IF(IFERROR(VLOOKUP(L30,DB_Agents!$B:$F,4,0),"")=TEXT(M30,"0"),"Pending Approval","🔒 WRONG CODE")))</f>
        <v>Pending</v>
      </c>
      <c r="L30" s="30" t="s">
        <v>63</v>
      </c>
      <c r="M30" s="41"/>
      <c r="N30" s="57"/>
    </row>
    <row r="31" spans="1:14" ht="20.100000000000001" customHeight="1" x14ac:dyDescent="0.25">
      <c r="A31" s="30" t="str">
        <f t="shared" si="0"/>
        <v/>
      </c>
      <c r="B31" s="41"/>
      <c r="C31" s="35" t="str">
        <f>IF(B31="","",IFERROR(VLOOKUP(B31,DB_Customers!$A:$B,2,0),"❌ Account Not Found"))</f>
        <v/>
      </c>
      <c r="D31" s="42" t="str">
        <f t="shared" ca="1" si="1"/>
        <v/>
      </c>
      <c r="E31" s="32"/>
      <c r="F31" s="31"/>
      <c r="G31" s="41"/>
      <c r="H31" s="56">
        <v>2.5</v>
      </c>
      <c r="I31" s="43" t="str">
        <f t="shared" si="2"/>
        <v/>
      </c>
      <c r="J31" s="43" t="str">
        <f t="shared" si="3"/>
        <v/>
      </c>
      <c r="K31" s="33" t="str">
        <f>IF(B31="","Pending",IF(M31="","⚠️ Enter Code",IF(IFERROR(VLOOKUP(L31,DB_Agents!$B:$F,4,0),"")=TEXT(M31,"0"),"Pending Approval","🔒 WRONG CODE")))</f>
        <v>Pending</v>
      </c>
      <c r="L31" s="30" t="s">
        <v>63</v>
      </c>
      <c r="M31" s="41"/>
      <c r="N31" s="22"/>
    </row>
    <row r="32" spans="1:14" ht="20.100000000000001" customHeight="1" x14ac:dyDescent="0.25">
      <c r="A32" s="30" t="str">
        <f t="shared" si="0"/>
        <v/>
      </c>
      <c r="B32" s="41"/>
      <c r="C32" s="35" t="str">
        <f>IF(B32="","",IFERROR(VLOOKUP(B32,DB_Customers!$A:$B,2,0),"❌ Account Not Found"))</f>
        <v/>
      </c>
      <c r="D32" s="42" t="str">
        <f t="shared" ca="1" si="1"/>
        <v/>
      </c>
      <c r="E32" s="32"/>
      <c r="F32" s="31"/>
      <c r="G32" s="41"/>
      <c r="H32" s="56">
        <v>2.5</v>
      </c>
      <c r="I32" s="43" t="str">
        <f t="shared" si="2"/>
        <v/>
      </c>
      <c r="J32" s="43" t="str">
        <f t="shared" si="3"/>
        <v/>
      </c>
      <c r="K32" s="33" t="str">
        <f>IF(B32="","Pending",IF(M32="","⚠️ Enter Code",IF(IFERROR(VLOOKUP(L32,DB_Agents!$B:$F,4,0),"")=TEXT(M32,"0"),"Pending Approval","🔒 WRONG CODE")))</f>
        <v>Pending</v>
      </c>
      <c r="L32" s="30" t="s">
        <v>63</v>
      </c>
      <c r="M32" s="41"/>
      <c r="N32" s="57"/>
    </row>
    <row r="33" spans="1:14" ht="20.100000000000001" customHeight="1" x14ac:dyDescent="0.25">
      <c r="A33" s="30" t="str">
        <f t="shared" si="0"/>
        <v/>
      </c>
      <c r="B33" s="41"/>
      <c r="C33" s="35" t="str">
        <f>IF(B33="","",IFERROR(VLOOKUP(B33,DB_Customers!$A:$B,2,0),"❌ Account Not Found"))</f>
        <v/>
      </c>
      <c r="D33" s="42" t="str">
        <f t="shared" ca="1" si="1"/>
        <v/>
      </c>
      <c r="E33" s="32"/>
      <c r="F33" s="31"/>
      <c r="G33" s="41"/>
      <c r="H33" s="56">
        <v>2.5</v>
      </c>
      <c r="I33" s="43" t="str">
        <f t="shared" si="2"/>
        <v/>
      </c>
      <c r="J33" s="43" t="str">
        <f t="shared" si="3"/>
        <v/>
      </c>
      <c r="K33" s="33" t="str">
        <f>IF(B33="","Pending",IF(M33="","⚠️ Enter Code",IF(IFERROR(VLOOKUP(L33,DB_Agents!$B:$F,4,0),"")=TEXT(M33,"0"),"Pending Approval","🔒 WRONG CODE")))</f>
        <v>Pending</v>
      </c>
      <c r="L33" s="30" t="s">
        <v>63</v>
      </c>
      <c r="M33" s="41"/>
      <c r="N33" s="22"/>
    </row>
    <row r="34" spans="1:14" ht="20.100000000000001" customHeight="1" x14ac:dyDescent="0.25">
      <c r="A34" s="30" t="str">
        <f t="shared" si="0"/>
        <v/>
      </c>
      <c r="B34" s="41"/>
      <c r="C34" s="35" t="str">
        <f>IF(B34="","",IFERROR(VLOOKUP(B34,DB_Customers!$A:$B,2,0),"❌ Account Not Found"))</f>
        <v/>
      </c>
      <c r="D34" s="42" t="str">
        <f t="shared" ca="1" si="1"/>
        <v/>
      </c>
      <c r="E34" s="32"/>
      <c r="F34" s="31"/>
      <c r="G34" s="41"/>
      <c r="H34" s="56">
        <v>2.5</v>
      </c>
      <c r="I34" s="43" t="str">
        <f t="shared" si="2"/>
        <v/>
      </c>
      <c r="J34" s="43" t="str">
        <f t="shared" si="3"/>
        <v/>
      </c>
      <c r="K34" s="33" t="str">
        <f>IF(B34="","Pending",IF(M34="","⚠️ Enter Code",IF(IFERROR(VLOOKUP(L34,DB_Agents!$B:$F,4,0),"")=TEXT(M34,"0"),"Pending Approval","🔒 WRONG CODE")))</f>
        <v>Pending</v>
      </c>
      <c r="L34" s="30" t="s">
        <v>63</v>
      </c>
      <c r="M34" s="41"/>
      <c r="N34" s="57"/>
    </row>
    <row r="35" spans="1:14" ht="20.100000000000001" customHeight="1" x14ac:dyDescent="0.25">
      <c r="A35" s="30" t="str">
        <f t="shared" si="0"/>
        <v/>
      </c>
      <c r="B35" s="41"/>
      <c r="C35" s="35" t="str">
        <f>IF(B35="","",IFERROR(VLOOKUP(B35,DB_Customers!$A:$B,2,0),"❌ Account Not Found"))</f>
        <v/>
      </c>
      <c r="D35" s="42" t="str">
        <f t="shared" ca="1" si="1"/>
        <v/>
      </c>
      <c r="E35" s="32"/>
      <c r="F35" s="31"/>
      <c r="G35" s="41"/>
      <c r="H35" s="56">
        <v>2.5</v>
      </c>
      <c r="I35" s="43" t="str">
        <f t="shared" si="2"/>
        <v/>
      </c>
      <c r="J35" s="43" t="str">
        <f t="shared" si="3"/>
        <v/>
      </c>
      <c r="K35" s="33" t="str">
        <f>IF(B35="","Pending",IF(M35="","⚠️ Enter Code",IF(IFERROR(VLOOKUP(L35,DB_Agents!$B:$F,4,0),"")=TEXT(M35,"0"),"Pending Approval","🔒 WRONG CODE")))</f>
        <v>Pending</v>
      </c>
      <c r="L35" s="30" t="s">
        <v>63</v>
      </c>
      <c r="M35" s="41"/>
      <c r="N35" s="22"/>
    </row>
    <row r="36" spans="1:14" ht="20.100000000000001" customHeight="1" x14ac:dyDescent="0.25">
      <c r="A36" s="30" t="str">
        <f t="shared" si="0"/>
        <v/>
      </c>
      <c r="B36" s="41"/>
      <c r="C36" s="35" t="str">
        <f>IF(B36="","",IFERROR(VLOOKUP(B36,DB_Customers!$A:$B,2,0),"❌ Account Not Found"))</f>
        <v/>
      </c>
      <c r="D36" s="42" t="str">
        <f t="shared" ca="1" si="1"/>
        <v/>
      </c>
      <c r="E36" s="32"/>
      <c r="F36" s="31"/>
      <c r="G36" s="41"/>
      <c r="H36" s="56">
        <v>2.5</v>
      </c>
      <c r="I36" s="43" t="str">
        <f t="shared" si="2"/>
        <v/>
      </c>
      <c r="J36" s="43" t="str">
        <f t="shared" si="3"/>
        <v/>
      </c>
      <c r="K36" s="33" t="str">
        <f>IF(B36="","Pending",IF(M36="","⚠️ Enter Code",IF(IFERROR(VLOOKUP(L36,DB_Agents!$B:$F,4,0),"")=TEXT(M36,"0"),"Pending Approval","🔒 WRONG CODE")))</f>
        <v>Pending</v>
      </c>
      <c r="L36" s="30" t="s">
        <v>63</v>
      </c>
      <c r="M36" s="41"/>
      <c r="N36" s="57"/>
    </row>
    <row r="37" spans="1:14" ht="20.100000000000001" customHeight="1" x14ac:dyDescent="0.25">
      <c r="A37" s="30" t="str">
        <f t="shared" si="0"/>
        <v/>
      </c>
      <c r="B37" s="41"/>
      <c r="C37" s="35" t="str">
        <f>IF(B37="","",IFERROR(VLOOKUP(B37,DB_Customers!$A:$B,2,0),"❌ Account Not Found"))</f>
        <v/>
      </c>
      <c r="D37" s="42" t="str">
        <f t="shared" ca="1" si="1"/>
        <v/>
      </c>
      <c r="E37" s="32"/>
      <c r="F37" s="31"/>
      <c r="G37" s="41"/>
      <c r="H37" s="56">
        <v>2.5</v>
      </c>
      <c r="I37" s="43" t="str">
        <f t="shared" si="2"/>
        <v/>
      </c>
      <c r="J37" s="43" t="str">
        <f t="shared" si="3"/>
        <v/>
      </c>
      <c r="K37" s="33" t="str">
        <f>IF(B37="","Pending",IF(M37="","⚠️ Enter Code",IF(IFERROR(VLOOKUP(L37,DB_Agents!$B:$F,4,0),"")=TEXT(M37,"0"),"Pending Approval","🔒 WRONG CODE")))</f>
        <v>Pending</v>
      </c>
      <c r="L37" s="30" t="s">
        <v>63</v>
      </c>
      <c r="M37" s="41"/>
      <c r="N37" s="22"/>
    </row>
    <row r="38" spans="1:14" ht="20.100000000000001" customHeight="1" x14ac:dyDescent="0.25">
      <c r="A38" s="30" t="str">
        <f t="shared" si="0"/>
        <v/>
      </c>
      <c r="B38" s="41"/>
      <c r="C38" s="35" t="str">
        <f>IF(B38="","",IFERROR(VLOOKUP(B38,DB_Customers!$A:$B,2,0),"❌ Account Not Found"))</f>
        <v/>
      </c>
      <c r="D38" s="42" t="str">
        <f t="shared" ca="1" si="1"/>
        <v/>
      </c>
      <c r="E38" s="32"/>
      <c r="F38" s="31"/>
      <c r="G38" s="41"/>
      <c r="H38" s="56">
        <v>2.5</v>
      </c>
      <c r="I38" s="43" t="str">
        <f t="shared" si="2"/>
        <v/>
      </c>
      <c r="J38" s="43" t="str">
        <f t="shared" si="3"/>
        <v/>
      </c>
      <c r="K38" s="33" t="str">
        <f>IF(B38="","Pending",IF(M38="","⚠️ Enter Code",IF(IFERROR(VLOOKUP(L38,DB_Agents!$B:$F,4,0),"")=TEXT(M38,"0"),"Pending Approval","🔒 WRONG CODE")))</f>
        <v>Pending</v>
      </c>
      <c r="L38" s="30" t="s">
        <v>63</v>
      </c>
      <c r="M38" s="41"/>
      <c r="N38" s="57"/>
    </row>
    <row r="39" spans="1:14" ht="20.100000000000001" customHeight="1" x14ac:dyDescent="0.25">
      <c r="A39" s="30" t="str">
        <f t="shared" si="0"/>
        <v/>
      </c>
      <c r="B39" s="41"/>
      <c r="C39" s="35" t="str">
        <f>IF(B39="","",IFERROR(VLOOKUP(B39,DB_Customers!$A:$B,2,0),"❌ Account Not Found"))</f>
        <v/>
      </c>
      <c r="D39" s="42" t="str">
        <f t="shared" ca="1" si="1"/>
        <v/>
      </c>
      <c r="E39" s="32"/>
      <c r="F39" s="31"/>
      <c r="G39" s="41"/>
      <c r="H39" s="56">
        <v>2.5</v>
      </c>
      <c r="I39" s="43" t="str">
        <f t="shared" si="2"/>
        <v/>
      </c>
      <c r="J39" s="43" t="str">
        <f t="shared" si="3"/>
        <v/>
      </c>
      <c r="K39" s="33" t="str">
        <f>IF(B39="","Pending",IF(M39="","⚠️ Enter Code",IF(IFERROR(VLOOKUP(L39,DB_Agents!$B:$F,4,0),"")=TEXT(M39,"0"),"Pending Approval","🔒 WRONG CODE")))</f>
        <v>Pending</v>
      </c>
      <c r="L39" s="30" t="s">
        <v>63</v>
      </c>
      <c r="M39" s="41"/>
      <c r="N39" s="22"/>
    </row>
    <row r="40" spans="1:14" ht="20.100000000000001" customHeight="1" x14ac:dyDescent="0.25">
      <c r="A40" s="30" t="str">
        <f t="shared" si="0"/>
        <v/>
      </c>
      <c r="B40" s="41"/>
      <c r="C40" s="35" t="str">
        <f>IF(B40="","",IFERROR(VLOOKUP(B40,DB_Customers!$A:$B,2,0),"❌ Account Not Found"))</f>
        <v/>
      </c>
      <c r="D40" s="42" t="str">
        <f t="shared" ca="1" si="1"/>
        <v/>
      </c>
      <c r="E40" s="32"/>
      <c r="F40" s="31"/>
      <c r="G40" s="41"/>
      <c r="H40" s="56">
        <v>2.5</v>
      </c>
      <c r="I40" s="43" t="str">
        <f t="shared" si="2"/>
        <v/>
      </c>
      <c r="J40" s="43" t="str">
        <f t="shared" si="3"/>
        <v/>
      </c>
      <c r="K40" s="33" t="str">
        <f>IF(B40="","Pending",IF(M40="","⚠️ Enter Code",IF(IFERROR(VLOOKUP(L40,DB_Agents!$B:$F,4,0),"")=TEXT(M40,"0"),"Pending Approval","🔒 WRONG CODE")))</f>
        <v>Pending</v>
      </c>
      <c r="L40" s="30" t="s">
        <v>63</v>
      </c>
      <c r="M40" s="41"/>
      <c r="N40" s="57"/>
    </row>
    <row r="41" spans="1:14" ht="20.100000000000001" customHeight="1" x14ac:dyDescent="0.25">
      <c r="A41" s="30" t="str">
        <f t="shared" si="0"/>
        <v/>
      </c>
      <c r="B41" s="41"/>
      <c r="C41" s="35" t="str">
        <f>IF(B41="","",IFERROR(VLOOKUP(B41,DB_Customers!$A:$B,2,0),"❌ Account Not Found"))</f>
        <v/>
      </c>
      <c r="D41" s="42" t="str">
        <f t="shared" ca="1" si="1"/>
        <v/>
      </c>
      <c r="E41" s="32"/>
      <c r="F41" s="31"/>
      <c r="G41" s="41"/>
      <c r="H41" s="56">
        <v>2.5</v>
      </c>
      <c r="I41" s="43" t="str">
        <f t="shared" si="2"/>
        <v/>
      </c>
      <c r="J41" s="43" t="str">
        <f t="shared" si="3"/>
        <v/>
      </c>
      <c r="K41" s="33" t="str">
        <f>IF(B41="","Pending",IF(M41="","⚠️ Enter Code",IF(IFERROR(VLOOKUP(L41,DB_Agents!$B:$F,4,0),"")=TEXT(M41,"0"),"Pending Approval","🔒 WRONG CODE")))</f>
        <v>Pending</v>
      </c>
      <c r="L41" s="30" t="s">
        <v>63</v>
      </c>
      <c r="M41" s="41"/>
      <c r="N41" s="22"/>
    </row>
    <row r="42" spans="1:14" ht="20.100000000000001" customHeight="1" x14ac:dyDescent="0.25">
      <c r="A42" s="30" t="str">
        <f t="shared" si="0"/>
        <v/>
      </c>
      <c r="B42" s="41"/>
      <c r="C42" s="35" t="str">
        <f>IF(B42="","",IFERROR(VLOOKUP(B42,DB_Customers!$A:$B,2,0),"❌ Account Not Found"))</f>
        <v/>
      </c>
      <c r="D42" s="42" t="str">
        <f t="shared" ca="1" si="1"/>
        <v/>
      </c>
      <c r="E42" s="32"/>
      <c r="F42" s="31"/>
      <c r="G42" s="41"/>
      <c r="H42" s="56">
        <v>2.5</v>
      </c>
      <c r="I42" s="43" t="str">
        <f t="shared" si="2"/>
        <v/>
      </c>
      <c r="J42" s="43" t="str">
        <f t="shared" si="3"/>
        <v/>
      </c>
      <c r="K42" s="33" t="str">
        <f>IF(B42="","Pending",IF(M42="","⚠️ Enter Code",IF(IFERROR(VLOOKUP(L42,DB_Agents!$B:$F,4,0),"")=TEXT(M42,"0"),"Pending Approval","🔒 WRONG CODE")))</f>
        <v>Pending</v>
      </c>
      <c r="L42" s="30" t="s">
        <v>63</v>
      </c>
      <c r="M42" s="41"/>
      <c r="N42" s="57"/>
    </row>
    <row r="43" spans="1:14" ht="20.100000000000001" customHeight="1" x14ac:dyDescent="0.25">
      <c r="A43" s="30" t="str">
        <f t="shared" si="0"/>
        <v/>
      </c>
      <c r="B43" s="41"/>
      <c r="C43" s="35" t="str">
        <f>IF(B43="","",IFERROR(VLOOKUP(B43,DB_Customers!$A:$B,2,0),"❌ Account Not Found"))</f>
        <v/>
      </c>
      <c r="D43" s="42" t="str">
        <f t="shared" ca="1" si="1"/>
        <v/>
      </c>
      <c r="E43" s="32"/>
      <c r="F43" s="31"/>
      <c r="G43" s="41"/>
      <c r="H43" s="56">
        <v>2.5</v>
      </c>
      <c r="I43" s="43" t="str">
        <f t="shared" si="2"/>
        <v/>
      </c>
      <c r="J43" s="43" t="str">
        <f t="shared" si="3"/>
        <v/>
      </c>
      <c r="K43" s="33" t="str">
        <f>IF(B43="","Pending",IF(M43="","⚠️ Enter Code",IF(IFERROR(VLOOKUP(L43,DB_Agents!$B:$F,4,0),"")=TEXT(M43,"0"),"Pending Approval","🔒 WRONG CODE")))</f>
        <v>Pending</v>
      </c>
      <c r="L43" s="30" t="s">
        <v>63</v>
      </c>
      <c r="M43" s="41"/>
      <c r="N43" s="22"/>
    </row>
    <row r="44" spans="1:14" ht="20.100000000000001" customHeight="1" x14ac:dyDescent="0.25">
      <c r="A44" s="30" t="str">
        <f t="shared" si="0"/>
        <v/>
      </c>
      <c r="B44" s="41"/>
      <c r="C44" s="35" t="str">
        <f>IF(B44="","",IFERROR(VLOOKUP(B44,DB_Customers!$A:$B,2,0),"❌ Account Not Found"))</f>
        <v/>
      </c>
      <c r="D44" s="42" t="str">
        <f t="shared" ca="1" si="1"/>
        <v/>
      </c>
      <c r="E44" s="32"/>
      <c r="F44" s="31"/>
      <c r="G44" s="41"/>
      <c r="H44" s="56">
        <v>2.5</v>
      </c>
      <c r="I44" s="43" t="str">
        <f t="shared" si="2"/>
        <v/>
      </c>
      <c r="J44" s="43" t="str">
        <f t="shared" si="3"/>
        <v/>
      </c>
      <c r="K44" s="33" t="str">
        <f>IF(B44="","Pending",IF(M44="","⚠️ Enter Code",IF(IFERROR(VLOOKUP(L44,DB_Agents!$B:$F,4,0),"")=TEXT(M44,"0"),"Pending Approval","🔒 WRONG CODE")))</f>
        <v>Pending</v>
      </c>
      <c r="L44" s="30" t="s">
        <v>63</v>
      </c>
      <c r="M44" s="41"/>
      <c r="N44" s="57"/>
    </row>
    <row r="45" spans="1:14" ht="20.100000000000001" customHeight="1" x14ac:dyDescent="0.25">
      <c r="A45" s="30" t="str">
        <f t="shared" si="0"/>
        <v/>
      </c>
      <c r="B45" s="41"/>
      <c r="C45" s="35" t="str">
        <f>IF(B45="","",IFERROR(VLOOKUP(B45,DB_Customers!$A:$B,2,0),"❌ Account Not Found"))</f>
        <v/>
      </c>
      <c r="D45" s="42" t="str">
        <f t="shared" ca="1" si="1"/>
        <v/>
      </c>
      <c r="E45" s="32"/>
      <c r="F45" s="31"/>
      <c r="G45" s="41"/>
      <c r="H45" s="56">
        <v>2.5</v>
      </c>
      <c r="I45" s="43" t="str">
        <f t="shared" si="2"/>
        <v/>
      </c>
      <c r="J45" s="43" t="str">
        <f t="shared" si="3"/>
        <v/>
      </c>
      <c r="K45" s="33" t="str">
        <f>IF(B45="","Pending",IF(M45="","⚠️ Enter Code",IF(IFERROR(VLOOKUP(L45,DB_Agents!$B:$F,4,0),"")=TEXT(M45,"0"),"Pending Approval","🔒 WRONG CODE")))</f>
        <v>Pending</v>
      </c>
      <c r="L45" s="30" t="s">
        <v>63</v>
      </c>
      <c r="M45" s="41"/>
      <c r="N45" s="22"/>
    </row>
    <row r="46" spans="1:14" ht="20.100000000000001" customHeight="1" x14ac:dyDescent="0.25">
      <c r="A46" s="30" t="str">
        <f t="shared" ref="A46:A77" si="4">IF(B46="","",IF(C46="❌ Account Not Found","INVALID","LN"&amp;TEXT(D46,"YYYYMMDD")&amp;TEXT(ROW()-13,"0000")))</f>
        <v/>
      </c>
      <c r="B46" s="41"/>
      <c r="C46" s="35" t="str">
        <f>IF(B46="","",IFERROR(VLOOKUP(B46,DB_Customers!$A:$B,2,0),"❌ Account Not Found"))</f>
        <v/>
      </c>
      <c r="D46" s="42" t="str">
        <f t="shared" ref="D46:D77" ca="1" si="5">IF(B46="","",TODAY())</f>
        <v/>
      </c>
      <c r="E46" s="32"/>
      <c r="F46" s="31"/>
      <c r="G46" s="41"/>
      <c r="H46" s="56">
        <v>2.5</v>
      </c>
      <c r="I46" s="43" t="str">
        <f t="shared" ref="I46:I77" si="6">IF(E46="","",E46+(E46*H46/100*G46))</f>
        <v/>
      </c>
      <c r="J46" s="43" t="str">
        <f t="shared" ref="J46:J77" si="7">IFERROR(I46/G46,"")</f>
        <v/>
      </c>
      <c r="K46" s="33" t="str">
        <f>IF(B46="","Pending",IF(M46="","⚠️ Enter Code",IF(IFERROR(VLOOKUP(L46,DB_Agents!$B:$F,4,0),"")=TEXT(M46,"0"),"Pending Approval","🔒 WRONG CODE")))</f>
        <v>Pending</v>
      </c>
      <c r="L46" s="30" t="s">
        <v>63</v>
      </c>
      <c r="M46" s="41"/>
      <c r="N46" s="57"/>
    </row>
    <row r="47" spans="1:14" ht="20.100000000000001" customHeight="1" x14ac:dyDescent="0.25">
      <c r="A47" s="30" t="str">
        <f t="shared" si="4"/>
        <v/>
      </c>
      <c r="B47" s="41"/>
      <c r="C47" s="35" t="str">
        <f>IF(B47="","",IFERROR(VLOOKUP(B47,DB_Customers!$A:$B,2,0),"❌ Account Not Found"))</f>
        <v/>
      </c>
      <c r="D47" s="42" t="str">
        <f t="shared" ca="1" si="5"/>
        <v/>
      </c>
      <c r="E47" s="32"/>
      <c r="F47" s="31"/>
      <c r="G47" s="41"/>
      <c r="H47" s="56">
        <v>2.5</v>
      </c>
      <c r="I47" s="43" t="str">
        <f t="shared" si="6"/>
        <v/>
      </c>
      <c r="J47" s="43" t="str">
        <f t="shared" si="7"/>
        <v/>
      </c>
      <c r="K47" s="33" t="str">
        <f>IF(B47="","Pending",IF(M47="","⚠️ Enter Code",IF(IFERROR(VLOOKUP(L47,DB_Agents!$B:$F,4,0),"")=TEXT(M47,"0"),"Pending Approval","🔒 WRONG CODE")))</f>
        <v>Pending</v>
      </c>
      <c r="L47" s="30" t="s">
        <v>63</v>
      </c>
      <c r="M47" s="41"/>
      <c r="N47" s="22"/>
    </row>
    <row r="48" spans="1:14" ht="20.100000000000001" customHeight="1" x14ac:dyDescent="0.25">
      <c r="A48" s="30" t="str">
        <f t="shared" si="4"/>
        <v/>
      </c>
      <c r="B48" s="41"/>
      <c r="C48" s="35" t="str">
        <f>IF(B48="","",IFERROR(VLOOKUP(B48,DB_Customers!$A:$B,2,0),"❌ Account Not Found"))</f>
        <v/>
      </c>
      <c r="D48" s="42" t="str">
        <f t="shared" ca="1" si="5"/>
        <v/>
      </c>
      <c r="E48" s="32"/>
      <c r="F48" s="31"/>
      <c r="G48" s="41"/>
      <c r="H48" s="56">
        <v>2.5</v>
      </c>
      <c r="I48" s="43" t="str">
        <f t="shared" si="6"/>
        <v/>
      </c>
      <c r="J48" s="43" t="str">
        <f t="shared" si="7"/>
        <v/>
      </c>
      <c r="K48" s="33" t="str">
        <f>IF(B48="","Pending",IF(M48="","⚠️ Enter Code",IF(IFERROR(VLOOKUP(L48,DB_Agents!$B:$F,4,0),"")=TEXT(M48,"0"),"Pending Approval","🔒 WRONG CODE")))</f>
        <v>Pending</v>
      </c>
      <c r="L48" s="30" t="s">
        <v>63</v>
      </c>
      <c r="M48" s="41"/>
      <c r="N48" s="57"/>
    </row>
    <row r="49" spans="1:14" ht="20.100000000000001" customHeight="1" x14ac:dyDescent="0.25">
      <c r="A49" s="30" t="str">
        <f t="shared" si="4"/>
        <v/>
      </c>
      <c r="B49" s="41"/>
      <c r="C49" s="35" t="str">
        <f>IF(B49="","",IFERROR(VLOOKUP(B49,DB_Customers!$A:$B,2,0),"❌ Account Not Found"))</f>
        <v/>
      </c>
      <c r="D49" s="42" t="str">
        <f t="shared" ca="1" si="5"/>
        <v/>
      </c>
      <c r="E49" s="32"/>
      <c r="F49" s="31"/>
      <c r="G49" s="41"/>
      <c r="H49" s="56">
        <v>2.5</v>
      </c>
      <c r="I49" s="43" t="str">
        <f t="shared" si="6"/>
        <v/>
      </c>
      <c r="J49" s="43" t="str">
        <f t="shared" si="7"/>
        <v/>
      </c>
      <c r="K49" s="33" t="str">
        <f>IF(B49="","Pending",IF(M49="","⚠️ Enter Code",IF(IFERROR(VLOOKUP(L49,DB_Agents!$B:$F,4,0),"")=TEXT(M49,"0"),"Pending Approval","🔒 WRONG CODE")))</f>
        <v>Pending</v>
      </c>
      <c r="L49" s="30" t="s">
        <v>63</v>
      </c>
      <c r="M49" s="41"/>
      <c r="N49" s="22"/>
    </row>
    <row r="50" spans="1:14" ht="20.100000000000001" customHeight="1" x14ac:dyDescent="0.25">
      <c r="A50" s="30" t="str">
        <f t="shared" si="4"/>
        <v/>
      </c>
      <c r="B50" s="41"/>
      <c r="C50" s="35" t="str">
        <f>IF(B50="","",IFERROR(VLOOKUP(B50,DB_Customers!$A:$B,2,0),"❌ Account Not Found"))</f>
        <v/>
      </c>
      <c r="D50" s="42" t="str">
        <f t="shared" ca="1" si="5"/>
        <v/>
      </c>
      <c r="E50" s="32"/>
      <c r="F50" s="31"/>
      <c r="G50" s="41"/>
      <c r="H50" s="56">
        <v>2.5</v>
      </c>
      <c r="I50" s="43" t="str">
        <f t="shared" si="6"/>
        <v/>
      </c>
      <c r="J50" s="43" t="str">
        <f t="shared" si="7"/>
        <v/>
      </c>
      <c r="K50" s="33" t="str">
        <f>IF(B50="","Pending",IF(M50="","⚠️ Enter Code",IF(IFERROR(VLOOKUP(L50,DB_Agents!$B:$F,4,0),"")=TEXT(M50,"0"),"Pending Approval","🔒 WRONG CODE")))</f>
        <v>Pending</v>
      </c>
      <c r="L50" s="30" t="s">
        <v>63</v>
      </c>
      <c r="M50" s="41"/>
      <c r="N50" s="57"/>
    </row>
    <row r="51" spans="1:14" ht="20.100000000000001" customHeight="1" x14ac:dyDescent="0.25">
      <c r="A51" s="30" t="str">
        <f t="shared" si="4"/>
        <v/>
      </c>
      <c r="B51" s="41"/>
      <c r="C51" s="35" t="str">
        <f>IF(B51="","",IFERROR(VLOOKUP(B51,DB_Customers!$A:$B,2,0),"❌ Account Not Found"))</f>
        <v/>
      </c>
      <c r="D51" s="42" t="str">
        <f t="shared" ca="1" si="5"/>
        <v/>
      </c>
      <c r="E51" s="32"/>
      <c r="F51" s="31"/>
      <c r="G51" s="41"/>
      <c r="H51" s="56">
        <v>2.5</v>
      </c>
      <c r="I51" s="43" t="str">
        <f t="shared" si="6"/>
        <v/>
      </c>
      <c r="J51" s="43" t="str">
        <f t="shared" si="7"/>
        <v/>
      </c>
      <c r="K51" s="33" t="str">
        <f>IF(B51="","Pending",IF(M51="","⚠️ Enter Code",IF(IFERROR(VLOOKUP(L51,DB_Agents!$B:$F,4,0),"")=TEXT(M51,"0"),"Pending Approval","🔒 WRONG CODE")))</f>
        <v>Pending</v>
      </c>
      <c r="L51" s="30" t="s">
        <v>63</v>
      </c>
      <c r="M51" s="41"/>
      <c r="N51" s="22"/>
    </row>
    <row r="52" spans="1:14" ht="20.100000000000001" customHeight="1" x14ac:dyDescent="0.25">
      <c r="A52" s="30" t="str">
        <f t="shared" si="4"/>
        <v/>
      </c>
      <c r="B52" s="41"/>
      <c r="C52" s="35" t="str">
        <f>IF(B52="","",IFERROR(VLOOKUP(B52,DB_Customers!$A:$B,2,0),"❌ Account Not Found"))</f>
        <v/>
      </c>
      <c r="D52" s="42" t="str">
        <f t="shared" ca="1" si="5"/>
        <v/>
      </c>
      <c r="E52" s="32"/>
      <c r="F52" s="31"/>
      <c r="G52" s="41"/>
      <c r="H52" s="56">
        <v>2.5</v>
      </c>
      <c r="I52" s="43" t="str">
        <f t="shared" si="6"/>
        <v/>
      </c>
      <c r="J52" s="43" t="str">
        <f t="shared" si="7"/>
        <v/>
      </c>
      <c r="K52" s="33" t="str">
        <f>IF(B52="","Pending",IF(M52="","⚠️ Enter Code",IF(IFERROR(VLOOKUP(L52,DB_Agents!$B:$F,4,0),"")=TEXT(M52,"0"),"Pending Approval","🔒 WRONG CODE")))</f>
        <v>Pending</v>
      </c>
      <c r="L52" s="30" t="s">
        <v>63</v>
      </c>
      <c r="M52" s="41"/>
      <c r="N52" s="57"/>
    </row>
    <row r="53" spans="1:14" ht="20.100000000000001" customHeight="1" x14ac:dyDescent="0.25">
      <c r="A53" s="30" t="str">
        <f t="shared" si="4"/>
        <v/>
      </c>
      <c r="B53" s="41"/>
      <c r="C53" s="35" t="str">
        <f>IF(B53="","",IFERROR(VLOOKUP(B53,DB_Customers!$A:$B,2,0),"❌ Account Not Found"))</f>
        <v/>
      </c>
      <c r="D53" s="42" t="str">
        <f t="shared" ca="1" si="5"/>
        <v/>
      </c>
      <c r="E53" s="32"/>
      <c r="F53" s="31"/>
      <c r="G53" s="41"/>
      <c r="H53" s="56">
        <v>2.5</v>
      </c>
      <c r="I53" s="43" t="str">
        <f t="shared" si="6"/>
        <v/>
      </c>
      <c r="J53" s="43" t="str">
        <f t="shared" si="7"/>
        <v/>
      </c>
      <c r="K53" s="33" t="str">
        <f>IF(B53="","Pending",IF(M53="","⚠️ Enter Code",IF(IFERROR(VLOOKUP(L53,DB_Agents!$B:$F,4,0),"")=TEXT(M53,"0"),"Pending Approval","🔒 WRONG CODE")))</f>
        <v>Pending</v>
      </c>
      <c r="L53" s="30" t="s">
        <v>63</v>
      </c>
      <c r="M53" s="41"/>
      <c r="N53" s="22"/>
    </row>
    <row r="54" spans="1:14" ht="20.100000000000001" customHeight="1" x14ac:dyDescent="0.25">
      <c r="A54" s="30" t="str">
        <f t="shared" si="4"/>
        <v/>
      </c>
      <c r="B54" s="41"/>
      <c r="C54" s="35" t="str">
        <f>IF(B54="","",IFERROR(VLOOKUP(B54,DB_Customers!$A:$B,2,0),"❌ Account Not Found"))</f>
        <v/>
      </c>
      <c r="D54" s="42" t="str">
        <f t="shared" ca="1" si="5"/>
        <v/>
      </c>
      <c r="E54" s="32"/>
      <c r="F54" s="31"/>
      <c r="G54" s="41"/>
      <c r="H54" s="56">
        <v>2.5</v>
      </c>
      <c r="I54" s="43" t="str">
        <f t="shared" si="6"/>
        <v/>
      </c>
      <c r="J54" s="43" t="str">
        <f t="shared" si="7"/>
        <v/>
      </c>
      <c r="K54" s="33" t="str">
        <f>IF(B54="","Pending",IF(M54="","⚠️ Enter Code",IF(IFERROR(VLOOKUP(L54,DB_Agents!$B:$F,4,0),"")=TEXT(M54,"0"),"Pending Approval","🔒 WRONG CODE")))</f>
        <v>Pending</v>
      </c>
      <c r="L54" s="30" t="s">
        <v>63</v>
      </c>
      <c r="M54" s="41"/>
      <c r="N54" s="57"/>
    </row>
    <row r="55" spans="1:14" ht="20.100000000000001" customHeight="1" x14ac:dyDescent="0.25">
      <c r="A55" s="30" t="str">
        <f t="shared" si="4"/>
        <v/>
      </c>
      <c r="B55" s="41"/>
      <c r="C55" s="35" t="str">
        <f>IF(B55="","",IFERROR(VLOOKUP(B55,DB_Customers!$A:$B,2,0),"❌ Account Not Found"))</f>
        <v/>
      </c>
      <c r="D55" s="42" t="str">
        <f t="shared" ca="1" si="5"/>
        <v/>
      </c>
      <c r="E55" s="32"/>
      <c r="F55" s="31"/>
      <c r="G55" s="41"/>
      <c r="H55" s="56">
        <v>2.5</v>
      </c>
      <c r="I55" s="43" t="str">
        <f t="shared" si="6"/>
        <v/>
      </c>
      <c r="J55" s="43" t="str">
        <f t="shared" si="7"/>
        <v/>
      </c>
      <c r="K55" s="33" t="str">
        <f>IF(B55="","Pending",IF(M55="","⚠️ Enter Code",IF(IFERROR(VLOOKUP(L55,DB_Agents!$B:$F,4,0),"")=TEXT(M55,"0"),"Pending Approval","🔒 WRONG CODE")))</f>
        <v>Pending</v>
      </c>
      <c r="L55" s="30" t="s">
        <v>63</v>
      </c>
      <c r="M55" s="41"/>
      <c r="N55" s="22"/>
    </row>
    <row r="56" spans="1:14" ht="20.100000000000001" customHeight="1" x14ac:dyDescent="0.25">
      <c r="A56" s="30" t="str">
        <f t="shared" si="4"/>
        <v/>
      </c>
      <c r="B56" s="41"/>
      <c r="C56" s="35" t="str">
        <f>IF(B56="","",IFERROR(VLOOKUP(B56,DB_Customers!$A:$B,2,0),"❌ Account Not Found"))</f>
        <v/>
      </c>
      <c r="D56" s="42" t="str">
        <f t="shared" ca="1" si="5"/>
        <v/>
      </c>
      <c r="E56" s="32"/>
      <c r="F56" s="31"/>
      <c r="G56" s="41"/>
      <c r="H56" s="56">
        <v>2.5</v>
      </c>
      <c r="I56" s="43" t="str">
        <f t="shared" si="6"/>
        <v/>
      </c>
      <c r="J56" s="43" t="str">
        <f t="shared" si="7"/>
        <v/>
      </c>
      <c r="K56" s="33" t="str">
        <f>IF(B56="","Pending",IF(M56="","⚠️ Enter Code",IF(IFERROR(VLOOKUP(L56,DB_Agents!$B:$F,4,0),"")=TEXT(M56,"0"),"Pending Approval","🔒 WRONG CODE")))</f>
        <v>Pending</v>
      </c>
      <c r="L56" s="30" t="s">
        <v>63</v>
      </c>
      <c r="M56" s="41"/>
      <c r="N56" s="57"/>
    </row>
    <row r="57" spans="1:14" ht="20.100000000000001" customHeight="1" x14ac:dyDescent="0.25">
      <c r="A57" s="30" t="str">
        <f t="shared" si="4"/>
        <v/>
      </c>
      <c r="B57" s="41"/>
      <c r="C57" s="35" t="str">
        <f>IF(B57="","",IFERROR(VLOOKUP(B57,DB_Customers!$A:$B,2,0),"❌ Account Not Found"))</f>
        <v/>
      </c>
      <c r="D57" s="42" t="str">
        <f t="shared" ca="1" si="5"/>
        <v/>
      </c>
      <c r="E57" s="32"/>
      <c r="F57" s="31"/>
      <c r="G57" s="41"/>
      <c r="H57" s="56">
        <v>2.5</v>
      </c>
      <c r="I57" s="43" t="str">
        <f t="shared" si="6"/>
        <v/>
      </c>
      <c r="J57" s="43" t="str">
        <f t="shared" si="7"/>
        <v/>
      </c>
      <c r="K57" s="33" t="str">
        <f>IF(B57="","Pending",IF(M57="","⚠️ Enter Code",IF(IFERROR(VLOOKUP(L57,DB_Agents!$B:$F,4,0),"")=TEXT(M57,"0"),"Pending Approval","🔒 WRONG CODE")))</f>
        <v>Pending</v>
      </c>
      <c r="L57" s="30" t="s">
        <v>63</v>
      </c>
      <c r="M57" s="41"/>
      <c r="N57" s="22"/>
    </row>
    <row r="58" spans="1:14" ht="20.100000000000001" customHeight="1" x14ac:dyDescent="0.25">
      <c r="A58" s="30" t="str">
        <f t="shared" si="4"/>
        <v/>
      </c>
      <c r="B58" s="41"/>
      <c r="C58" s="35" t="str">
        <f>IF(B58="","",IFERROR(VLOOKUP(B58,DB_Customers!$A:$B,2,0),"❌ Account Not Found"))</f>
        <v/>
      </c>
      <c r="D58" s="42" t="str">
        <f t="shared" ca="1" si="5"/>
        <v/>
      </c>
      <c r="E58" s="32"/>
      <c r="F58" s="31"/>
      <c r="G58" s="41"/>
      <c r="H58" s="56">
        <v>2.5</v>
      </c>
      <c r="I58" s="43" t="str">
        <f t="shared" si="6"/>
        <v/>
      </c>
      <c r="J58" s="43" t="str">
        <f t="shared" si="7"/>
        <v/>
      </c>
      <c r="K58" s="33" t="str">
        <f>IF(B58="","Pending",IF(M58="","⚠️ Enter Code",IF(IFERROR(VLOOKUP(L58,DB_Agents!$B:$F,4,0),"")=TEXT(M58,"0"),"Pending Approval","🔒 WRONG CODE")))</f>
        <v>Pending</v>
      </c>
      <c r="L58" s="30" t="s">
        <v>63</v>
      </c>
      <c r="M58" s="41"/>
      <c r="N58" s="57"/>
    </row>
    <row r="59" spans="1:14" ht="20.100000000000001" customHeight="1" x14ac:dyDescent="0.25">
      <c r="A59" s="30" t="str">
        <f t="shared" si="4"/>
        <v/>
      </c>
      <c r="B59" s="41"/>
      <c r="C59" s="35" t="str">
        <f>IF(B59="","",IFERROR(VLOOKUP(B59,DB_Customers!$A:$B,2,0),"❌ Account Not Found"))</f>
        <v/>
      </c>
      <c r="D59" s="42" t="str">
        <f t="shared" ca="1" si="5"/>
        <v/>
      </c>
      <c r="E59" s="32"/>
      <c r="F59" s="31"/>
      <c r="G59" s="41"/>
      <c r="H59" s="56">
        <v>2.5</v>
      </c>
      <c r="I59" s="43" t="str">
        <f t="shared" si="6"/>
        <v/>
      </c>
      <c r="J59" s="43" t="str">
        <f t="shared" si="7"/>
        <v/>
      </c>
      <c r="K59" s="33" t="str">
        <f>IF(B59="","Pending",IF(M59="","⚠️ Enter Code",IF(IFERROR(VLOOKUP(L59,DB_Agents!$B:$F,4,0),"")=TEXT(M59,"0"),"Pending Approval","🔒 WRONG CODE")))</f>
        <v>Pending</v>
      </c>
      <c r="L59" s="30" t="s">
        <v>63</v>
      </c>
      <c r="M59" s="41"/>
      <c r="N59" s="22"/>
    </row>
    <row r="60" spans="1:14" ht="20.100000000000001" customHeight="1" x14ac:dyDescent="0.25">
      <c r="A60" s="30" t="str">
        <f t="shared" si="4"/>
        <v/>
      </c>
      <c r="B60" s="41"/>
      <c r="C60" s="35" t="str">
        <f>IF(B60="","",IFERROR(VLOOKUP(B60,DB_Customers!$A:$B,2,0),"❌ Account Not Found"))</f>
        <v/>
      </c>
      <c r="D60" s="42" t="str">
        <f t="shared" ca="1" si="5"/>
        <v/>
      </c>
      <c r="E60" s="32"/>
      <c r="F60" s="31"/>
      <c r="G60" s="41"/>
      <c r="H60" s="56">
        <v>2.5</v>
      </c>
      <c r="I60" s="43" t="str">
        <f t="shared" si="6"/>
        <v/>
      </c>
      <c r="J60" s="43" t="str">
        <f t="shared" si="7"/>
        <v/>
      </c>
      <c r="K60" s="33" t="str">
        <f>IF(B60="","Pending",IF(M60="","⚠️ Enter Code",IF(IFERROR(VLOOKUP(L60,DB_Agents!$B:$F,4,0),"")=TEXT(M60,"0"),"Pending Approval","🔒 WRONG CODE")))</f>
        <v>Pending</v>
      </c>
      <c r="L60" s="30" t="s">
        <v>63</v>
      </c>
      <c r="M60" s="41"/>
      <c r="N60" s="57"/>
    </row>
    <row r="61" spans="1:14" ht="20.100000000000001" customHeight="1" x14ac:dyDescent="0.25">
      <c r="A61" s="30" t="str">
        <f t="shared" si="4"/>
        <v/>
      </c>
      <c r="B61" s="41"/>
      <c r="C61" s="35" t="str">
        <f>IF(B61="","",IFERROR(VLOOKUP(B61,DB_Customers!$A:$B,2,0),"❌ Account Not Found"))</f>
        <v/>
      </c>
      <c r="D61" s="42" t="str">
        <f t="shared" ca="1" si="5"/>
        <v/>
      </c>
      <c r="E61" s="32"/>
      <c r="F61" s="31"/>
      <c r="G61" s="41"/>
      <c r="H61" s="56">
        <v>2.5</v>
      </c>
      <c r="I61" s="43" t="str">
        <f t="shared" si="6"/>
        <v/>
      </c>
      <c r="J61" s="43" t="str">
        <f t="shared" si="7"/>
        <v/>
      </c>
      <c r="K61" s="33" t="str">
        <f>IF(B61="","Pending",IF(M61="","⚠️ Enter Code",IF(IFERROR(VLOOKUP(L61,DB_Agents!$B:$F,4,0),"")=TEXT(M61,"0"),"Pending Approval","🔒 WRONG CODE")))</f>
        <v>Pending</v>
      </c>
      <c r="L61" s="30" t="s">
        <v>63</v>
      </c>
      <c r="M61" s="41"/>
      <c r="N61" s="22"/>
    </row>
    <row r="62" spans="1:14" ht="20.100000000000001" customHeight="1" x14ac:dyDescent="0.25">
      <c r="A62" s="30" t="str">
        <f t="shared" si="4"/>
        <v/>
      </c>
      <c r="B62" s="41"/>
      <c r="C62" s="35" t="str">
        <f>IF(B62="","",IFERROR(VLOOKUP(B62,DB_Customers!$A:$B,2,0),"❌ Account Not Found"))</f>
        <v/>
      </c>
      <c r="D62" s="42" t="str">
        <f t="shared" ca="1" si="5"/>
        <v/>
      </c>
      <c r="E62" s="32"/>
      <c r="F62" s="31"/>
      <c r="G62" s="41"/>
      <c r="H62" s="56">
        <v>2.5</v>
      </c>
      <c r="I62" s="43" t="str">
        <f t="shared" si="6"/>
        <v/>
      </c>
      <c r="J62" s="43" t="str">
        <f t="shared" si="7"/>
        <v/>
      </c>
      <c r="K62" s="33" t="str">
        <f>IF(B62="","Pending",IF(M62="","⚠️ Enter Code",IF(IFERROR(VLOOKUP(L62,DB_Agents!$B:$F,4,0),"")=TEXT(M62,"0"),"Pending Approval","🔒 WRONG CODE")))</f>
        <v>Pending</v>
      </c>
      <c r="L62" s="30" t="s">
        <v>63</v>
      </c>
      <c r="M62" s="41"/>
      <c r="N62" s="57"/>
    </row>
    <row r="63" spans="1:14" ht="20.100000000000001" customHeight="1" x14ac:dyDescent="0.25">
      <c r="A63" s="30" t="str">
        <f t="shared" si="4"/>
        <v/>
      </c>
      <c r="B63" s="41"/>
      <c r="C63" s="35" t="str">
        <f>IF(B63="","",IFERROR(VLOOKUP(B63,DB_Customers!$A:$B,2,0),"❌ Account Not Found"))</f>
        <v/>
      </c>
      <c r="D63" s="42" t="str">
        <f t="shared" ca="1" si="5"/>
        <v/>
      </c>
      <c r="E63" s="32"/>
      <c r="F63" s="31"/>
      <c r="G63" s="41"/>
      <c r="H63" s="56">
        <v>2.5</v>
      </c>
      <c r="I63" s="43" t="str">
        <f t="shared" si="6"/>
        <v/>
      </c>
      <c r="J63" s="43" t="str">
        <f t="shared" si="7"/>
        <v/>
      </c>
      <c r="K63" s="33" t="str">
        <f>IF(B63="","Pending",IF(M63="","⚠️ Enter Code",IF(IFERROR(VLOOKUP(L63,DB_Agents!$B:$F,4,0),"")=TEXT(M63,"0"),"Pending Approval","🔒 WRONG CODE")))</f>
        <v>Pending</v>
      </c>
      <c r="L63" s="30" t="s">
        <v>63</v>
      </c>
      <c r="M63" s="41"/>
      <c r="N63" s="22"/>
    </row>
    <row r="64" spans="1:14" ht="20.100000000000001" customHeight="1" x14ac:dyDescent="0.25">
      <c r="A64" s="30" t="str">
        <f t="shared" si="4"/>
        <v/>
      </c>
      <c r="B64" s="41"/>
      <c r="C64" s="35" t="str">
        <f>IF(B64="","",IFERROR(VLOOKUP(B64,DB_Customers!$A:$B,2,0),"❌ Account Not Found"))</f>
        <v/>
      </c>
      <c r="D64" s="42" t="str">
        <f t="shared" ca="1" si="5"/>
        <v/>
      </c>
      <c r="E64" s="32"/>
      <c r="F64" s="31"/>
      <c r="G64" s="41"/>
      <c r="H64" s="56">
        <v>2.5</v>
      </c>
      <c r="I64" s="43" t="str">
        <f t="shared" si="6"/>
        <v/>
      </c>
      <c r="J64" s="43" t="str">
        <f t="shared" si="7"/>
        <v/>
      </c>
      <c r="K64" s="33" t="str">
        <f>IF(B64="","Pending",IF(M64="","⚠️ Enter Code",IF(IFERROR(VLOOKUP(L64,DB_Agents!$B:$F,4,0),"")=TEXT(M64,"0"),"Pending Approval","🔒 WRONG CODE")))</f>
        <v>Pending</v>
      </c>
      <c r="L64" s="30" t="s">
        <v>63</v>
      </c>
      <c r="M64" s="41"/>
      <c r="N64" s="57"/>
    </row>
    <row r="65" spans="1:14" ht="20.100000000000001" customHeight="1" x14ac:dyDescent="0.25">
      <c r="A65" s="30" t="str">
        <f t="shared" si="4"/>
        <v/>
      </c>
      <c r="B65" s="41"/>
      <c r="C65" s="35" t="str">
        <f>IF(B65="","",IFERROR(VLOOKUP(B65,DB_Customers!$A:$B,2,0),"❌ Account Not Found"))</f>
        <v/>
      </c>
      <c r="D65" s="42" t="str">
        <f t="shared" ca="1" si="5"/>
        <v/>
      </c>
      <c r="E65" s="32"/>
      <c r="F65" s="31"/>
      <c r="G65" s="41"/>
      <c r="H65" s="56">
        <v>2.5</v>
      </c>
      <c r="I65" s="43" t="str">
        <f t="shared" si="6"/>
        <v/>
      </c>
      <c r="J65" s="43" t="str">
        <f t="shared" si="7"/>
        <v/>
      </c>
      <c r="K65" s="33" t="str">
        <f>IF(B65="","Pending",IF(M65="","⚠️ Enter Code",IF(IFERROR(VLOOKUP(L65,DB_Agents!$B:$F,4,0),"")=TEXT(M65,"0"),"Pending Approval","🔒 WRONG CODE")))</f>
        <v>Pending</v>
      </c>
      <c r="L65" s="30" t="s">
        <v>63</v>
      </c>
      <c r="M65" s="41"/>
      <c r="N65" s="22"/>
    </row>
    <row r="66" spans="1:14" ht="20.100000000000001" customHeight="1" x14ac:dyDescent="0.25">
      <c r="A66" s="30" t="str">
        <f t="shared" si="4"/>
        <v/>
      </c>
      <c r="B66" s="41"/>
      <c r="C66" s="35" t="str">
        <f>IF(B66="","",IFERROR(VLOOKUP(B66,DB_Customers!$A:$B,2,0),"❌ Account Not Found"))</f>
        <v/>
      </c>
      <c r="D66" s="42" t="str">
        <f t="shared" ca="1" si="5"/>
        <v/>
      </c>
      <c r="E66" s="32"/>
      <c r="F66" s="31"/>
      <c r="G66" s="41"/>
      <c r="H66" s="56">
        <v>2.5</v>
      </c>
      <c r="I66" s="43" t="str">
        <f t="shared" si="6"/>
        <v/>
      </c>
      <c r="J66" s="43" t="str">
        <f t="shared" si="7"/>
        <v/>
      </c>
      <c r="K66" s="33" t="str">
        <f>IF(B66="","Pending",IF(M66="","⚠️ Enter Code",IF(IFERROR(VLOOKUP(L66,DB_Agents!$B:$F,4,0),"")=TEXT(M66,"0"),"Pending Approval","🔒 WRONG CODE")))</f>
        <v>Pending</v>
      </c>
      <c r="L66" s="30" t="s">
        <v>63</v>
      </c>
      <c r="M66" s="41"/>
      <c r="N66" s="57"/>
    </row>
    <row r="67" spans="1:14" ht="20.100000000000001" customHeight="1" x14ac:dyDescent="0.25">
      <c r="A67" s="30" t="str">
        <f t="shared" si="4"/>
        <v/>
      </c>
      <c r="B67" s="41"/>
      <c r="C67" s="35" t="str">
        <f>IF(B67="","",IFERROR(VLOOKUP(B67,DB_Customers!$A:$B,2,0),"❌ Account Not Found"))</f>
        <v/>
      </c>
      <c r="D67" s="42" t="str">
        <f t="shared" ca="1" si="5"/>
        <v/>
      </c>
      <c r="E67" s="32"/>
      <c r="F67" s="31"/>
      <c r="G67" s="41"/>
      <c r="H67" s="56">
        <v>2.5</v>
      </c>
      <c r="I67" s="43" t="str">
        <f t="shared" si="6"/>
        <v/>
      </c>
      <c r="J67" s="43" t="str">
        <f t="shared" si="7"/>
        <v/>
      </c>
      <c r="K67" s="33" t="str">
        <f>IF(B67="","Pending",IF(M67="","⚠️ Enter Code",IF(IFERROR(VLOOKUP(L67,DB_Agents!$B:$F,4,0),"")=TEXT(M67,"0"),"Pending Approval","🔒 WRONG CODE")))</f>
        <v>Pending</v>
      </c>
      <c r="L67" s="30" t="s">
        <v>63</v>
      </c>
      <c r="M67" s="41"/>
      <c r="N67" s="22"/>
    </row>
    <row r="68" spans="1:14" ht="20.100000000000001" customHeight="1" x14ac:dyDescent="0.25">
      <c r="A68" s="30" t="str">
        <f t="shared" si="4"/>
        <v/>
      </c>
      <c r="B68" s="41"/>
      <c r="C68" s="35" t="str">
        <f>IF(B68="","",IFERROR(VLOOKUP(B68,DB_Customers!$A:$B,2,0),"❌ Account Not Found"))</f>
        <v/>
      </c>
      <c r="D68" s="42" t="str">
        <f t="shared" ca="1" si="5"/>
        <v/>
      </c>
      <c r="E68" s="32"/>
      <c r="F68" s="31"/>
      <c r="G68" s="41"/>
      <c r="H68" s="56">
        <v>2.5</v>
      </c>
      <c r="I68" s="43" t="str">
        <f t="shared" si="6"/>
        <v/>
      </c>
      <c r="J68" s="43" t="str">
        <f t="shared" si="7"/>
        <v/>
      </c>
      <c r="K68" s="33" t="str">
        <f>IF(B68="","Pending",IF(M68="","⚠️ Enter Code",IF(IFERROR(VLOOKUP(L68,DB_Agents!$B:$F,4,0),"")=TEXT(M68,"0"),"Pending Approval","🔒 WRONG CODE")))</f>
        <v>Pending</v>
      </c>
      <c r="L68" s="30" t="s">
        <v>63</v>
      </c>
      <c r="M68" s="41"/>
      <c r="N68" s="57"/>
    </row>
    <row r="69" spans="1:14" ht="20.100000000000001" customHeight="1" x14ac:dyDescent="0.25">
      <c r="A69" s="30" t="str">
        <f t="shared" si="4"/>
        <v/>
      </c>
      <c r="B69" s="41"/>
      <c r="C69" s="35" t="str">
        <f>IF(B69="","",IFERROR(VLOOKUP(B69,DB_Customers!$A:$B,2,0),"❌ Account Not Found"))</f>
        <v/>
      </c>
      <c r="D69" s="42" t="str">
        <f t="shared" ca="1" si="5"/>
        <v/>
      </c>
      <c r="E69" s="32"/>
      <c r="F69" s="31"/>
      <c r="G69" s="41"/>
      <c r="H69" s="56">
        <v>2.5</v>
      </c>
      <c r="I69" s="43" t="str">
        <f t="shared" si="6"/>
        <v/>
      </c>
      <c r="J69" s="43" t="str">
        <f t="shared" si="7"/>
        <v/>
      </c>
      <c r="K69" s="33" t="str">
        <f>IF(B69="","Pending",IF(M69="","⚠️ Enter Code",IF(IFERROR(VLOOKUP(L69,DB_Agents!$B:$F,4,0),"")=TEXT(M69,"0"),"Pending Approval","🔒 WRONG CODE")))</f>
        <v>Pending</v>
      </c>
      <c r="L69" s="30" t="s">
        <v>63</v>
      </c>
      <c r="M69" s="41"/>
      <c r="N69" s="22"/>
    </row>
    <row r="70" spans="1:14" ht="20.100000000000001" customHeight="1" x14ac:dyDescent="0.25">
      <c r="A70" s="30" t="str">
        <f t="shared" si="4"/>
        <v/>
      </c>
      <c r="B70" s="41"/>
      <c r="C70" s="35" t="str">
        <f>IF(B70="","",IFERROR(VLOOKUP(B70,DB_Customers!$A:$B,2,0),"❌ Account Not Found"))</f>
        <v/>
      </c>
      <c r="D70" s="42" t="str">
        <f t="shared" ca="1" si="5"/>
        <v/>
      </c>
      <c r="E70" s="32"/>
      <c r="F70" s="31"/>
      <c r="G70" s="41"/>
      <c r="H70" s="56">
        <v>2.5</v>
      </c>
      <c r="I70" s="43" t="str">
        <f t="shared" si="6"/>
        <v/>
      </c>
      <c r="J70" s="43" t="str">
        <f t="shared" si="7"/>
        <v/>
      </c>
      <c r="K70" s="33" t="str">
        <f>IF(B70="","Pending",IF(M70="","⚠️ Enter Code",IF(IFERROR(VLOOKUP(L70,DB_Agents!$B:$F,4,0),"")=TEXT(M70,"0"),"Pending Approval","🔒 WRONG CODE")))</f>
        <v>Pending</v>
      </c>
      <c r="L70" s="30" t="s">
        <v>63</v>
      </c>
      <c r="M70" s="41"/>
      <c r="N70" s="57"/>
    </row>
    <row r="71" spans="1:14" ht="20.100000000000001" customHeight="1" x14ac:dyDescent="0.25">
      <c r="A71" s="30" t="str">
        <f t="shared" si="4"/>
        <v/>
      </c>
      <c r="B71" s="41"/>
      <c r="C71" s="35" t="str">
        <f>IF(B71="","",IFERROR(VLOOKUP(B71,DB_Customers!$A:$B,2,0),"❌ Account Not Found"))</f>
        <v/>
      </c>
      <c r="D71" s="42" t="str">
        <f t="shared" ca="1" si="5"/>
        <v/>
      </c>
      <c r="E71" s="32"/>
      <c r="F71" s="31"/>
      <c r="G71" s="41"/>
      <c r="H71" s="56">
        <v>2.5</v>
      </c>
      <c r="I71" s="43" t="str">
        <f t="shared" si="6"/>
        <v/>
      </c>
      <c r="J71" s="43" t="str">
        <f t="shared" si="7"/>
        <v/>
      </c>
      <c r="K71" s="33" t="str">
        <f>IF(B71="","Pending",IF(M71="","⚠️ Enter Code",IF(IFERROR(VLOOKUP(L71,DB_Agents!$B:$F,4,0),"")=TEXT(M71,"0"),"Pending Approval","🔒 WRONG CODE")))</f>
        <v>Pending</v>
      </c>
      <c r="L71" s="30" t="s">
        <v>63</v>
      </c>
      <c r="M71" s="41"/>
      <c r="N71" s="22"/>
    </row>
    <row r="72" spans="1:14" ht="20.100000000000001" customHeight="1" x14ac:dyDescent="0.25">
      <c r="A72" s="30" t="str">
        <f t="shared" si="4"/>
        <v/>
      </c>
      <c r="B72" s="41"/>
      <c r="C72" s="35" t="str">
        <f>IF(B72="","",IFERROR(VLOOKUP(B72,DB_Customers!$A:$B,2,0),"❌ Account Not Found"))</f>
        <v/>
      </c>
      <c r="D72" s="42" t="str">
        <f t="shared" ca="1" si="5"/>
        <v/>
      </c>
      <c r="E72" s="32"/>
      <c r="F72" s="31"/>
      <c r="G72" s="41"/>
      <c r="H72" s="56">
        <v>2.5</v>
      </c>
      <c r="I72" s="43" t="str">
        <f t="shared" si="6"/>
        <v/>
      </c>
      <c r="J72" s="43" t="str">
        <f t="shared" si="7"/>
        <v/>
      </c>
      <c r="K72" s="33" t="str">
        <f>IF(B72="","Pending",IF(M72="","⚠️ Enter Code",IF(IFERROR(VLOOKUP(L72,DB_Agents!$B:$F,4,0),"")=TEXT(M72,"0"),"Pending Approval","🔒 WRONG CODE")))</f>
        <v>Pending</v>
      </c>
      <c r="L72" s="30" t="s">
        <v>63</v>
      </c>
      <c r="M72" s="41"/>
      <c r="N72" s="57"/>
    </row>
    <row r="73" spans="1:14" ht="20.100000000000001" customHeight="1" x14ac:dyDescent="0.25">
      <c r="A73" s="30" t="str">
        <f t="shared" si="4"/>
        <v/>
      </c>
      <c r="B73" s="41"/>
      <c r="C73" s="35" t="str">
        <f>IF(B73="","",IFERROR(VLOOKUP(B73,DB_Customers!$A:$B,2,0),"❌ Account Not Found"))</f>
        <v/>
      </c>
      <c r="D73" s="42" t="str">
        <f t="shared" ca="1" si="5"/>
        <v/>
      </c>
      <c r="E73" s="32"/>
      <c r="F73" s="31"/>
      <c r="G73" s="41"/>
      <c r="H73" s="56">
        <v>2.5</v>
      </c>
      <c r="I73" s="43" t="str">
        <f t="shared" si="6"/>
        <v/>
      </c>
      <c r="J73" s="43" t="str">
        <f t="shared" si="7"/>
        <v/>
      </c>
      <c r="K73" s="33" t="str">
        <f>IF(B73="","Pending",IF(M73="","⚠️ Enter Code",IF(IFERROR(VLOOKUP(L73,DB_Agents!$B:$F,4,0),"")=TEXT(M73,"0"),"Pending Approval","🔒 WRONG CODE")))</f>
        <v>Pending</v>
      </c>
      <c r="L73" s="30" t="s">
        <v>63</v>
      </c>
      <c r="M73" s="41"/>
      <c r="N73" s="22"/>
    </row>
    <row r="74" spans="1:14" ht="20.100000000000001" customHeight="1" x14ac:dyDescent="0.25">
      <c r="A74" s="30" t="str">
        <f t="shared" si="4"/>
        <v/>
      </c>
      <c r="B74" s="41"/>
      <c r="C74" s="35" t="str">
        <f>IF(B74="","",IFERROR(VLOOKUP(B74,DB_Customers!$A:$B,2,0),"❌ Account Not Found"))</f>
        <v/>
      </c>
      <c r="D74" s="42" t="str">
        <f t="shared" ca="1" si="5"/>
        <v/>
      </c>
      <c r="E74" s="32"/>
      <c r="F74" s="31"/>
      <c r="G74" s="41"/>
      <c r="H74" s="56">
        <v>2.5</v>
      </c>
      <c r="I74" s="43" t="str">
        <f t="shared" si="6"/>
        <v/>
      </c>
      <c r="J74" s="43" t="str">
        <f t="shared" si="7"/>
        <v/>
      </c>
      <c r="K74" s="33" t="str">
        <f>IF(B74="","Pending",IF(M74="","⚠️ Enter Code",IF(IFERROR(VLOOKUP(L74,DB_Agents!$B:$F,4,0),"")=TEXT(M74,"0"),"Pending Approval","🔒 WRONG CODE")))</f>
        <v>Pending</v>
      </c>
      <c r="L74" s="30" t="s">
        <v>63</v>
      </c>
      <c r="M74" s="41"/>
      <c r="N74" s="57"/>
    </row>
    <row r="75" spans="1:14" ht="20.100000000000001" customHeight="1" x14ac:dyDescent="0.25">
      <c r="A75" s="30" t="str">
        <f t="shared" si="4"/>
        <v/>
      </c>
      <c r="B75" s="41"/>
      <c r="C75" s="35" t="str">
        <f>IF(B75="","",IFERROR(VLOOKUP(B75,DB_Customers!$A:$B,2,0),"❌ Account Not Found"))</f>
        <v/>
      </c>
      <c r="D75" s="42" t="str">
        <f t="shared" ca="1" si="5"/>
        <v/>
      </c>
      <c r="E75" s="32"/>
      <c r="F75" s="31"/>
      <c r="G75" s="41"/>
      <c r="H75" s="56">
        <v>2.5</v>
      </c>
      <c r="I75" s="43" t="str">
        <f t="shared" si="6"/>
        <v/>
      </c>
      <c r="J75" s="43" t="str">
        <f t="shared" si="7"/>
        <v/>
      </c>
      <c r="K75" s="33" t="str">
        <f>IF(B75="","Pending",IF(M75="","⚠️ Enter Code",IF(IFERROR(VLOOKUP(L75,DB_Agents!$B:$F,4,0),"")=TEXT(M75,"0"),"Pending Approval","🔒 WRONG CODE")))</f>
        <v>Pending</v>
      </c>
      <c r="L75" s="30" t="s">
        <v>63</v>
      </c>
      <c r="M75" s="41"/>
      <c r="N75" s="22"/>
    </row>
    <row r="76" spans="1:14" ht="20.100000000000001" customHeight="1" x14ac:dyDescent="0.25">
      <c r="A76" s="30" t="str">
        <f t="shared" si="4"/>
        <v/>
      </c>
      <c r="B76" s="41"/>
      <c r="C76" s="35" t="str">
        <f>IF(B76="","",IFERROR(VLOOKUP(B76,DB_Customers!$A:$B,2,0),"❌ Account Not Found"))</f>
        <v/>
      </c>
      <c r="D76" s="42" t="str">
        <f t="shared" ca="1" si="5"/>
        <v/>
      </c>
      <c r="E76" s="32"/>
      <c r="F76" s="31"/>
      <c r="G76" s="41"/>
      <c r="H76" s="56">
        <v>2.5</v>
      </c>
      <c r="I76" s="43" t="str">
        <f t="shared" si="6"/>
        <v/>
      </c>
      <c r="J76" s="43" t="str">
        <f t="shared" si="7"/>
        <v/>
      </c>
      <c r="K76" s="33" t="str">
        <f>IF(B76="","Pending",IF(M76="","⚠️ Enter Code",IF(IFERROR(VLOOKUP(L76,DB_Agents!$B:$F,4,0),"")=TEXT(M76,"0"),"Pending Approval","🔒 WRONG CODE")))</f>
        <v>Pending</v>
      </c>
      <c r="L76" s="30" t="s">
        <v>63</v>
      </c>
      <c r="M76" s="41"/>
      <c r="N76" s="57"/>
    </row>
    <row r="77" spans="1:14" ht="20.100000000000001" customHeight="1" x14ac:dyDescent="0.25">
      <c r="A77" s="30" t="str">
        <f t="shared" si="4"/>
        <v/>
      </c>
      <c r="B77" s="41"/>
      <c r="C77" s="35" t="str">
        <f>IF(B77="","",IFERROR(VLOOKUP(B77,DB_Customers!$A:$B,2,0),"❌ Account Not Found"))</f>
        <v/>
      </c>
      <c r="D77" s="42" t="str">
        <f t="shared" ca="1" si="5"/>
        <v/>
      </c>
      <c r="E77" s="32"/>
      <c r="F77" s="31"/>
      <c r="G77" s="41"/>
      <c r="H77" s="56">
        <v>2.5</v>
      </c>
      <c r="I77" s="43" t="str">
        <f t="shared" si="6"/>
        <v/>
      </c>
      <c r="J77" s="43" t="str">
        <f t="shared" si="7"/>
        <v/>
      </c>
      <c r="K77" s="33" t="str">
        <f>IF(B77="","Pending",IF(M77="","⚠️ Enter Code",IF(IFERROR(VLOOKUP(L77,DB_Agents!$B:$F,4,0),"")=TEXT(M77,"0"),"Pending Approval","🔒 WRONG CODE")))</f>
        <v>Pending</v>
      </c>
      <c r="L77" s="30" t="s">
        <v>63</v>
      </c>
      <c r="M77" s="41"/>
      <c r="N77" s="22"/>
    </row>
    <row r="78" spans="1:14" ht="20.100000000000001" customHeight="1" x14ac:dyDescent="0.25">
      <c r="A78" s="30" t="str">
        <f t="shared" ref="A78:A109" si="8">IF(B78="","",IF(C78="❌ Account Not Found","INVALID","LN"&amp;TEXT(D78,"YYYYMMDD")&amp;TEXT(ROW()-13,"0000")))</f>
        <v/>
      </c>
      <c r="B78" s="41"/>
      <c r="C78" s="35" t="str">
        <f>IF(B78="","",IFERROR(VLOOKUP(B78,DB_Customers!$A:$B,2,0),"❌ Account Not Found"))</f>
        <v/>
      </c>
      <c r="D78" s="42" t="str">
        <f t="shared" ref="D78:D109" ca="1" si="9">IF(B78="","",TODAY())</f>
        <v/>
      </c>
      <c r="E78" s="32"/>
      <c r="F78" s="31"/>
      <c r="G78" s="41"/>
      <c r="H78" s="56">
        <v>2.5</v>
      </c>
      <c r="I78" s="43" t="str">
        <f t="shared" ref="I78:I109" si="10">IF(E78="","",E78+(E78*H78/100*G78))</f>
        <v/>
      </c>
      <c r="J78" s="43" t="str">
        <f t="shared" ref="J78:J109" si="11">IFERROR(I78/G78,"")</f>
        <v/>
      </c>
      <c r="K78" s="33" t="str">
        <f>IF(B78="","Pending",IF(M78="","⚠️ Enter Code",IF(IFERROR(VLOOKUP(L78,DB_Agents!$B:$F,4,0),"")=TEXT(M78,"0"),"Pending Approval","🔒 WRONG CODE")))</f>
        <v>Pending</v>
      </c>
      <c r="L78" s="30" t="s">
        <v>63</v>
      </c>
      <c r="M78" s="41"/>
      <c r="N78" s="57"/>
    </row>
    <row r="79" spans="1:14" ht="20.100000000000001" customHeight="1" x14ac:dyDescent="0.25">
      <c r="A79" s="30" t="str">
        <f t="shared" si="8"/>
        <v/>
      </c>
      <c r="B79" s="41"/>
      <c r="C79" s="35" t="str">
        <f>IF(B79="","",IFERROR(VLOOKUP(B79,DB_Customers!$A:$B,2,0),"❌ Account Not Found"))</f>
        <v/>
      </c>
      <c r="D79" s="42" t="str">
        <f t="shared" ca="1" si="9"/>
        <v/>
      </c>
      <c r="E79" s="32"/>
      <c r="F79" s="31"/>
      <c r="G79" s="41"/>
      <c r="H79" s="56">
        <v>2.5</v>
      </c>
      <c r="I79" s="43" t="str">
        <f t="shared" si="10"/>
        <v/>
      </c>
      <c r="J79" s="43" t="str">
        <f t="shared" si="11"/>
        <v/>
      </c>
      <c r="K79" s="33" t="str">
        <f>IF(B79="","Pending",IF(M79="","⚠️ Enter Code",IF(IFERROR(VLOOKUP(L79,DB_Agents!$B:$F,4,0),"")=TEXT(M79,"0"),"Pending Approval","🔒 WRONG CODE")))</f>
        <v>Pending</v>
      </c>
      <c r="L79" s="30" t="s">
        <v>63</v>
      </c>
      <c r="M79" s="41"/>
      <c r="N79" s="22"/>
    </row>
    <row r="80" spans="1:14" ht="20.100000000000001" customHeight="1" x14ac:dyDescent="0.25">
      <c r="A80" s="30" t="str">
        <f t="shared" si="8"/>
        <v/>
      </c>
      <c r="B80" s="41"/>
      <c r="C80" s="35" t="str">
        <f>IF(B80="","",IFERROR(VLOOKUP(B80,DB_Customers!$A:$B,2,0),"❌ Account Not Found"))</f>
        <v/>
      </c>
      <c r="D80" s="42" t="str">
        <f t="shared" ca="1" si="9"/>
        <v/>
      </c>
      <c r="E80" s="32"/>
      <c r="F80" s="31"/>
      <c r="G80" s="41"/>
      <c r="H80" s="56">
        <v>2.5</v>
      </c>
      <c r="I80" s="43" t="str">
        <f t="shared" si="10"/>
        <v/>
      </c>
      <c r="J80" s="43" t="str">
        <f t="shared" si="11"/>
        <v/>
      </c>
      <c r="K80" s="33" t="str">
        <f>IF(B80="","Pending",IF(M80="","⚠️ Enter Code",IF(IFERROR(VLOOKUP(L80,DB_Agents!$B:$F,4,0),"")=TEXT(M80,"0"),"Pending Approval","🔒 WRONG CODE")))</f>
        <v>Pending</v>
      </c>
      <c r="L80" s="30" t="s">
        <v>63</v>
      </c>
      <c r="M80" s="41"/>
      <c r="N80" s="57"/>
    </row>
    <row r="81" spans="1:14" ht="20.100000000000001" customHeight="1" x14ac:dyDescent="0.25">
      <c r="A81" s="30" t="str">
        <f t="shared" si="8"/>
        <v/>
      </c>
      <c r="B81" s="41"/>
      <c r="C81" s="35" t="str">
        <f>IF(B81="","",IFERROR(VLOOKUP(B81,DB_Customers!$A:$B,2,0),"❌ Account Not Found"))</f>
        <v/>
      </c>
      <c r="D81" s="42" t="str">
        <f t="shared" ca="1" si="9"/>
        <v/>
      </c>
      <c r="E81" s="32"/>
      <c r="F81" s="31"/>
      <c r="G81" s="41"/>
      <c r="H81" s="56">
        <v>2.5</v>
      </c>
      <c r="I81" s="43" t="str">
        <f t="shared" si="10"/>
        <v/>
      </c>
      <c r="J81" s="43" t="str">
        <f t="shared" si="11"/>
        <v/>
      </c>
      <c r="K81" s="33" t="str">
        <f>IF(B81="","Pending",IF(M81="","⚠️ Enter Code",IF(IFERROR(VLOOKUP(L81,DB_Agents!$B:$F,4,0),"")=TEXT(M81,"0"),"Pending Approval","🔒 WRONG CODE")))</f>
        <v>Pending</v>
      </c>
      <c r="L81" s="30" t="s">
        <v>63</v>
      </c>
      <c r="M81" s="41"/>
      <c r="N81" s="22"/>
    </row>
    <row r="82" spans="1:14" ht="20.100000000000001" customHeight="1" x14ac:dyDescent="0.25">
      <c r="A82" s="30" t="str">
        <f t="shared" si="8"/>
        <v/>
      </c>
      <c r="B82" s="41"/>
      <c r="C82" s="35" t="str">
        <f>IF(B82="","",IFERROR(VLOOKUP(B82,DB_Customers!$A:$B,2,0),"❌ Account Not Found"))</f>
        <v/>
      </c>
      <c r="D82" s="42" t="str">
        <f t="shared" ca="1" si="9"/>
        <v/>
      </c>
      <c r="E82" s="32"/>
      <c r="F82" s="31"/>
      <c r="G82" s="41"/>
      <c r="H82" s="56">
        <v>2.5</v>
      </c>
      <c r="I82" s="43" t="str">
        <f t="shared" si="10"/>
        <v/>
      </c>
      <c r="J82" s="43" t="str">
        <f t="shared" si="11"/>
        <v/>
      </c>
      <c r="K82" s="33" t="str">
        <f>IF(B82="","Pending",IF(M82="","⚠️ Enter Code",IF(IFERROR(VLOOKUP(L82,DB_Agents!$B:$F,4,0),"")=TEXT(M82,"0"),"Pending Approval","🔒 WRONG CODE")))</f>
        <v>Pending</v>
      </c>
      <c r="L82" s="30" t="s">
        <v>63</v>
      </c>
      <c r="M82" s="41"/>
      <c r="N82" s="57"/>
    </row>
    <row r="83" spans="1:14" ht="20.100000000000001" customHeight="1" x14ac:dyDescent="0.25">
      <c r="A83" s="30" t="str">
        <f t="shared" si="8"/>
        <v/>
      </c>
      <c r="B83" s="41"/>
      <c r="C83" s="35" t="str">
        <f>IF(B83="","",IFERROR(VLOOKUP(B83,DB_Customers!$A:$B,2,0),"❌ Account Not Found"))</f>
        <v/>
      </c>
      <c r="D83" s="42" t="str">
        <f t="shared" ca="1" si="9"/>
        <v/>
      </c>
      <c r="E83" s="32"/>
      <c r="F83" s="31"/>
      <c r="G83" s="41"/>
      <c r="H83" s="56">
        <v>2.5</v>
      </c>
      <c r="I83" s="43" t="str">
        <f t="shared" si="10"/>
        <v/>
      </c>
      <c r="J83" s="43" t="str">
        <f t="shared" si="11"/>
        <v/>
      </c>
      <c r="K83" s="33" t="str">
        <f>IF(B83="","Pending",IF(M83="","⚠️ Enter Code",IF(IFERROR(VLOOKUP(L83,DB_Agents!$B:$F,4,0),"")=TEXT(M83,"0"),"Pending Approval","🔒 WRONG CODE")))</f>
        <v>Pending</v>
      </c>
      <c r="L83" s="30" t="s">
        <v>63</v>
      </c>
      <c r="M83" s="41"/>
      <c r="N83" s="22"/>
    </row>
    <row r="84" spans="1:14" ht="20.100000000000001" customHeight="1" x14ac:dyDescent="0.25">
      <c r="A84" s="30" t="str">
        <f t="shared" si="8"/>
        <v/>
      </c>
      <c r="B84" s="41"/>
      <c r="C84" s="35" t="str">
        <f>IF(B84="","",IFERROR(VLOOKUP(B84,DB_Customers!$A:$B,2,0),"❌ Account Not Found"))</f>
        <v/>
      </c>
      <c r="D84" s="42" t="str">
        <f t="shared" ca="1" si="9"/>
        <v/>
      </c>
      <c r="E84" s="32"/>
      <c r="F84" s="31"/>
      <c r="G84" s="41"/>
      <c r="H84" s="56">
        <v>2.5</v>
      </c>
      <c r="I84" s="43" t="str">
        <f t="shared" si="10"/>
        <v/>
      </c>
      <c r="J84" s="43" t="str">
        <f t="shared" si="11"/>
        <v/>
      </c>
      <c r="K84" s="33" t="str">
        <f>IF(B84="","Pending",IF(M84="","⚠️ Enter Code",IF(IFERROR(VLOOKUP(L84,DB_Agents!$B:$F,4,0),"")=TEXT(M84,"0"),"Pending Approval","🔒 WRONG CODE")))</f>
        <v>Pending</v>
      </c>
      <c r="L84" s="30" t="s">
        <v>63</v>
      </c>
      <c r="M84" s="41"/>
      <c r="N84" s="57"/>
    </row>
    <row r="85" spans="1:14" ht="20.100000000000001" customHeight="1" x14ac:dyDescent="0.25">
      <c r="A85" s="30" t="str">
        <f t="shared" si="8"/>
        <v/>
      </c>
      <c r="B85" s="41"/>
      <c r="C85" s="35" t="str">
        <f>IF(B85="","",IFERROR(VLOOKUP(B85,DB_Customers!$A:$B,2,0),"❌ Account Not Found"))</f>
        <v/>
      </c>
      <c r="D85" s="42" t="str">
        <f t="shared" ca="1" si="9"/>
        <v/>
      </c>
      <c r="E85" s="32"/>
      <c r="F85" s="31"/>
      <c r="G85" s="41"/>
      <c r="H85" s="56">
        <v>2.5</v>
      </c>
      <c r="I85" s="43" t="str">
        <f t="shared" si="10"/>
        <v/>
      </c>
      <c r="J85" s="43" t="str">
        <f t="shared" si="11"/>
        <v/>
      </c>
      <c r="K85" s="33" t="str">
        <f>IF(B85="","Pending",IF(M85="","⚠️ Enter Code",IF(IFERROR(VLOOKUP(L85,DB_Agents!$B:$F,4,0),"")=TEXT(M85,"0"),"Pending Approval","🔒 WRONG CODE")))</f>
        <v>Pending</v>
      </c>
      <c r="L85" s="30" t="s">
        <v>63</v>
      </c>
      <c r="M85" s="41"/>
      <c r="N85" s="22"/>
    </row>
    <row r="86" spans="1:14" ht="20.100000000000001" customHeight="1" x14ac:dyDescent="0.25">
      <c r="A86" s="30" t="str">
        <f t="shared" si="8"/>
        <v/>
      </c>
      <c r="B86" s="41"/>
      <c r="C86" s="35" t="str">
        <f>IF(B86="","",IFERROR(VLOOKUP(B86,DB_Customers!$A:$B,2,0),"❌ Account Not Found"))</f>
        <v/>
      </c>
      <c r="D86" s="42" t="str">
        <f t="shared" ca="1" si="9"/>
        <v/>
      </c>
      <c r="E86" s="32"/>
      <c r="F86" s="31"/>
      <c r="G86" s="41"/>
      <c r="H86" s="56">
        <v>2.5</v>
      </c>
      <c r="I86" s="43" t="str">
        <f t="shared" si="10"/>
        <v/>
      </c>
      <c r="J86" s="43" t="str">
        <f t="shared" si="11"/>
        <v/>
      </c>
      <c r="K86" s="33" t="str">
        <f>IF(B86="","Pending",IF(M86="","⚠️ Enter Code",IF(IFERROR(VLOOKUP(L86,DB_Agents!$B:$F,4,0),"")=TEXT(M86,"0"),"Pending Approval","🔒 WRONG CODE")))</f>
        <v>Pending</v>
      </c>
      <c r="L86" s="30" t="s">
        <v>63</v>
      </c>
      <c r="M86" s="41"/>
      <c r="N86" s="57"/>
    </row>
    <row r="87" spans="1:14" ht="20.100000000000001" customHeight="1" x14ac:dyDescent="0.25">
      <c r="A87" s="30" t="str">
        <f t="shared" si="8"/>
        <v/>
      </c>
      <c r="B87" s="41"/>
      <c r="C87" s="35" t="str">
        <f>IF(B87="","",IFERROR(VLOOKUP(B87,DB_Customers!$A:$B,2,0),"❌ Account Not Found"))</f>
        <v/>
      </c>
      <c r="D87" s="42" t="str">
        <f t="shared" ca="1" si="9"/>
        <v/>
      </c>
      <c r="E87" s="32"/>
      <c r="F87" s="31"/>
      <c r="G87" s="41"/>
      <c r="H87" s="56">
        <v>2.5</v>
      </c>
      <c r="I87" s="43" t="str">
        <f t="shared" si="10"/>
        <v/>
      </c>
      <c r="J87" s="43" t="str">
        <f t="shared" si="11"/>
        <v/>
      </c>
      <c r="K87" s="33" t="str">
        <f>IF(B87="","Pending",IF(M87="","⚠️ Enter Code",IF(IFERROR(VLOOKUP(L87,DB_Agents!$B:$F,4,0),"")=TEXT(M87,"0"),"Pending Approval","🔒 WRONG CODE")))</f>
        <v>Pending</v>
      </c>
      <c r="L87" s="30" t="s">
        <v>63</v>
      </c>
      <c r="M87" s="41"/>
      <c r="N87" s="22"/>
    </row>
    <row r="88" spans="1:14" ht="20.100000000000001" customHeight="1" x14ac:dyDescent="0.25">
      <c r="A88" s="30" t="str">
        <f t="shared" si="8"/>
        <v/>
      </c>
      <c r="B88" s="41"/>
      <c r="C88" s="35" t="str">
        <f>IF(B88="","",IFERROR(VLOOKUP(B88,DB_Customers!$A:$B,2,0),"❌ Account Not Found"))</f>
        <v/>
      </c>
      <c r="D88" s="42" t="str">
        <f t="shared" ca="1" si="9"/>
        <v/>
      </c>
      <c r="E88" s="32"/>
      <c r="F88" s="31"/>
      <c r="G88" s="41"/>
      <c r="H88" s="56">
        <v>2.5</v>
      </c>
      <c r="I88" s="43" t="str">
        <f t="shared" si="10"/>
        <v/>
      </c>
      <c r="J88" s="43" t="str">
        <f t="shared" si="11"/>
        <v/>
      </c>
      <c r="K88" s="33" t="str">
        <f>IF(B88="","Pending",IF(M88="","⚠️ Enter Code",IF(IFERROR(VLOOKUP(L88,DB_Agents!$B:$F,4,0),"")=TEXT(M88,"0"),"Pending Approval","🔒 WRONG CODE")))</f>
        <v>Pending</v>
      </c>
      <c r="L88" s="30" t="s">
        <v>63</v>
      </c>
      <c r="M88" s="41"/>
      <c r="N88" s="57"/>
    </row>
    <row r="89" spans="1:14" ht="20.100000000000001" customHeight="1" x14ac:dyDescent="0.25">
      <c r="A89" s="30" t="str">
        <f t="shared" si="8"/>
        <v/>
      </c>
      <c r="B89" s="41"/>
      <c r="C89" s="35" t="str">
        <f>IF(B89="","",IFERROR(VLOOKUP(B89,DB_Customers!$A:$B,2,0),"❌ Account Not Found"))</f>
        <v/>
      </c>
      <c r="D89" s="42" t="str">
        <f t="shared" ca="1" si="9"/>
        <v/>
      </c>
      <c r="E89" s="32"/>
      <c r="F89" s="31"/>
      <c r="G89" s="41"/>
      <c r="H89" s="56">
        <v>2.5</v>
      </c>
      <c r="I89" s="43" t="str">
        <f t="shared" si="10"/>
        <v/>
      </c>
      <c r="J89" s="43" t="str">
        <f t="shared" si="11"/>
        <v/>
      </c>
      <c r="K89" s="33" t="str">
        <f>IF(B89="","Pending",IF(M89="","⚠️ Enter Code",IF(IFERROR(VLOOKUP(L89,DB_Agents!$B:$F,4,0),"")=TEXT(M89,"0"),"Pending Approval","🔒 WRONG CODE")))</f>
        <v>Pending</v>
      </c>
      <c r="L89" s="30" t="s">
        <v>63</v>
      </c>
      <c r="M89" s="41"/>
      <c r="N89" s="22"/>
    </row>
    <row r="90" spans="1:14" ht="20.100000000000001" customHeight="1" x14ac:dyDescent="0.25">
      <c r="A90" s="30" t="str">
        <f t="shared" si="8"/>
        <v/>
      </c>
      <c r="B90" s="41"/>
      <c r="C90" s="35" t="str">
        <f>IF(B90="","",IFERROR(VLOOKUP(B90,DB_Customers!$A:$B,2,0),"❌ Account Not Found"))</f>
        <v/>
      </c>
      <c r="D90" s="42" t="str">
        <f t="shared" ca="1" si="9"/>
        <v/>
      </c>
      <c r="E90" s="32"/>
      <c r="F90" s="31"/>
      <c r="G90" s="41"/>
      <c r="H90" s="56">
        <v>2.5</v>
      </c>
      <c r="I90" s="43" t="str">
        <f t="shared" si="10"/>
        <v/>
      </c>
      <c r="J90" s="43" t="str">
        <f t="shared" si="11"/>
        <v/>
      </c>
      <c r="K90" s="33" t="str">
        <f>IF(B90="","Pending",IF(M90="","⚠️ Enter Code",IF(IFERROR(VLOOKUP(L90,DB_Agents!$B:$F,4,0),"")=TEXT(M90,"0"),"Pending Approval","🔒 WRONG CODE")))</f>
        <v>Pending</v>
      </c>
      <c r="L90" s="30" t="s">
        <v>63</v>
      </c>
      <c r="M90" s="41"/>
      <c r="N90" s="57"/>
    </row>
    <row r="91" spans="1:14" ht="20.100000000000001" customHeight="1" x14ac:dyDescent="0.25">
      <c r="A91" s="30" t="str">
        <f t="shared" si="8"/>
        <v/>
      </c>
      <c r="B91" s="41"/>
      <c r="C91" s="35" t="str">
        <f>IF(B91="","",IFERROR(VLOOKUP(B91,DB_Customers!$A:$B,2,0),"❌ Account Not Found"))</f>
        <v/>
      </c>
      <c r="D91" s="42" t="str">
        <f t="shared" ca="1" si="9"/>
        <v/>
      </c>
      <c r="E91" s="32"/>
      <c r="F91" s="31"/>
      <c r="G91" s="41"/>
      <c r="H91" s="56">
        <v>2.5</v>
      </c>
      <c r="I91" s="43" t="str">
        <f t="shared" si="10"/>
        <v/>
      </c>
      <c r="J91" s="43" t="str">
        <f t="shared" si="11"/>
        <v/>
      </c>
      <c r="K91" s="33" t="str">
        <f>IF(B91="","Pending",IF(M91="","⚠️ Enter Code",IF(IFERROR(VLOOKUP(L91,DB_Agents!$B:$F,4,0),"")=TEXT(M91,"0"),"Pending Approval","🔒 WRONG CODE")))</f>
        <v>Pending</v>
      </c>
      <c r="L91" s="30" t="s">
        <v>63</v>
      </c>
      <c r="M91" s="41"/>
      <c r="N91" s="22"/>
    </row>
    <row r="92" spans="1:14" ht="20.100000000000001" customHeight="1" x14ac:dyDescent="0.25">
      <c r="A92" s="30" t="str">
        <f t="shared" si="8"/>
        <v/>
      </c>
      <c r="B92" s="41"/>
      <c r="C92" s="35" t="str">
        <f>IF(B92="","",IFERROR(VLOOKUP(B92,DB_Customers!$A:$B,2,0),"❌ Account Not Found"))</f>
        <v/>
      </c>
      <c r="D92" s="42" t="str">
        <f t="shared" ca="1" si="9"/>
        <v/>
      </c>
      <c r="E92" s="32"/>
      <c r="F92" s="31"/>
      <c r="G92" s="41"/>
      <c r="H92" s="56">
        <v>2.5</v>
      </c>
      <c r="I92" s="43" t="str">
        <f t="shared" si="10"/>
        <v/>
      </c>
      <c r="J92" s="43" t="str">
        <f t="shared" si="11"/>
        <v/>
      </c>
      <c r="K92" s="33" t="str">
        <f>IF(B92="","Pending",IF(M92="","⚠️ Enter Code",IF(IFERROR(VLOOKUP(L92,DB_Agents!$B:$F,4,0),"")=TEXT(M92,"0"),"Pending Approval","🔒 WRONG CODE")))</f>
        <v>Pending</v>
      </c>
      <c r="L92" s="30" t="s">
        <v>63</v>
      </c>
      <c r="M92" s="41"/>
      <c r="N92" s="57"/>
    </row>
    <row r="93" spans="1:14" ht="20.100000000000001" customHeight="1" x14ac:dyDescent="0.25">
      <c r="A93" s="30" t="str">
        <f t="shared" si="8"/>
        <v/>
      </c>
      <c r="B93" s="41"/>
      <c r="C93" s="35" t="str">
        <f>IF(B93="","",IFERROR(VLOOKUP(B93,DB_Customers!$A:$B,2,0),"❌ Account Not Found"))</f>
        <v/>
      </c>
      <c r="D93" s="42" t="str">
        <f t="shared" ca="1" si="9"/>
        <v/>
      </c>
      <c r="E93" s="32"/>
      <c r="F93" s="31"/>
      <c r="G93" s="41"/>
      <c r="H93" s="56">
        <v>2.5</v>
      </c>
      <c r="I93" s="43" t="str">
        <f t="shared" si="10"/>
        <v/>
      </c>
      <c r="J93" s="43" t="str">
        <f t="shared" si="11"/>
        <v/>
      </c>
      <c r="K93" s="33" t="str">
        <f>IF(B93="","Pending",IF(M93="","⚠️ Enter Code",IF(IFERROR(VLOOKUP(L93,DB_Agents!$B:$F,4,0),"")=TEXT(M93,"0"),"Pending Approval","🔒 WRONG CODE")))</f>
        <v>Pending</v>
      </c>
      <c r="L93" s="30" t="s">
        <v>63</v>
      </c>
      <c r="M93" s="41"/>
      <c r="N93" s="22"/>
    </row>
    <row r="94" spans="1:14" ht="20.100000000000001" customHeight="1" x14ac:dyDescent="0.25">
      <c r="A94" s="30" t="str">
        <f t="shared" si="8"/>
        <v/>
      </c>
      <c r="B94" s="41"/>
      <c r="C94" s="35" t="str">
        <f>IF(B94="","",IFERROR(VLOOKUP(B94,DB_Customers!$A:$B,2,0),"❌ Account Not Found"))</f>
        <v/>
      </c>
      <c r="D94" s="42" t="str">
        <f t="shared" ca="1" si="9"/>
        <v/>
      </c>
      <c r="E94" s="32"/>
      <c r="F94" s="31"/>
      <c r="G94" s="41"/>
      <c r="H94" s="56">
        <v>2.5</v>
      </c>
      <c r="I94" s="43" t="str">
        <f t="shared" si="10"/>
        <v/>
      </c>
      <c r="J94" s="43" t="str">
        <f t="shared" si="11"/>
        <v/>
      </c>
      <c r="K94" s="33" t="str">
        <f>IF(B94="","Pending",IF(M94="","⚠️ Enter Code",IF(IFERROR(VLOOKUP(L94,DB_Agents!$B:$F,4,0),"")=TEXT(M94,"0"),"Pending Approval","🔒 WRONG CODE")))</f>
        <v>Pending</v>
      </c>
      <c r="L94" s="30" t="s">
        <v>63</v>
      </c>
      <c r="M94" s="41"/>
      <c r="N94" s="57"/>
    </row>
    <row r="95" spans="1:14" ht="20.100000000000001" customHeight="1" x14ac:dyDescent="0.25">
      <c r="A95" s="30" t="str">
        <f t="shared" si="8"/>
        <v/>
      </c>
      <c r="B95" s="41"/>
      <c r="C95" s="35" t="str">
        <f>IF(B95="","",IFERROR(VLOOKUP(B95,DB_Customers!$A:$B,2,0),"❌ Account Not Found"))</f>
        <v/>
      </c>
      <c r="D95" s="42" t="str">
        <f t="shared" ca="1" si="9"/>
        <v/>
      </c>
      <c r="E95" s="32"/>
      <c r="F95" s="31"/>
      <c r="G95" s="41"/>
      <c r="H95" s="56">
        <v>2.5</v>
      </c>
      <c r="I95" s="43" t="str">
        <f t="shared" si="10"/>
        <v/>
      </c>
      <c r="J95" s="43" t="str">
        <f t="shared" si="11"/>
        <v/>
      </c>
      <c r="K95" s="33" t="str">
        <f>IF(B95="","Pending",IF(M95="","⚠️ Enter Code",IF(IFERROR(VLOOKUP(L95,DB_Agents!$B:$F,4,0),"")=TEXT(M95,"0"),"Pending Approval","🔒 WRONG CODE")))</f>
        <v>Pending</v>
      </c>
      <c r="L95" s="30" t="s">
        <v>63</v>
      </c>
      <c r="M95" s="41"/>
      <c r="N95" s="22"/>
    </row>
    <row r="96" spans="1:14" ht="20.100000000000001" customHeight="1" x14ac:dyDescent="0.25">
      <c r="A96" s="30" t="str">
        <f t="shared" si="8"/>
        <v/>
      </c>
      <c r="B96" s="41"/>
      <c r="C96" s="35" t="str">
        <f>IF(B96="","",IFERROR(VLOOKUP(B96,DB_Customers!$A:$B,2,0),"❌ Account Not Found"))</f>
        <v/>
      </c>
      <c r="D96" s="42" t="str">
        <f t="shared" ca="1" si="9"/>
        <v/>
      </c>
      <c r="E96" s="32"/>
      <c r="F96" s="31"/>
      <c r="G96" s="41"/>
      <c r="H96" s="56">
        <v>2.5</v>
      </c>
      <c r="I96" s="43" t="str">
        <f t="shared" si="10"/>
        <v/>
      </c>
      <c r="J96" s="43" t="str">
        <f t="shared" si="11"/>
        <v/>
      </c>
      <c r="K96" s="33" t="str">
        <f>IF(B96="","Pending",IF(M96="","⚠️ Enter Code",IF(IFERROR(VLOOKUP(L96,DB_Agents!$B:$F,4,0),"")=TEXT(M96,"0"),"Pending Approval","🔒 WRONG CODE")))</f>
        <v>Pending</v>
      </c>
      <c r="L96" s="30" t="s">
        <v>63</v>
      </c>
      <c r="M96" s="41"/>
      <c r="N96" s="57"/>
    </row>
    <row r="97" spans="1:14" ht="20.100000000000001" customHeight="1" x14ac:dyDescent="0.25">
      <c r="A97" s="30" t="str">
        <f t="shared" si="8"/>
        <v/>
      </c>
      <c r="B97" s="41"/>
      <c r="C97" s="35" t="str">
        <f>IF(B97="","",IFERROR(VLOOKUP(B97,DB_Customers!$A:$B,2,0),"❌ Account Not Found"))</f>
        <v/>
      </c>
      <c r="D97" s="42" t="str">
        <f t="shared" ca="1" si="9"/>
        <v/>
      </c>
      <c r="E97" s="32"/>
      <c r="F97" s="31"/>
      <c r="G97" s="41"/>
      <c r="H97" s="56">
        <v>2.5</v>
      </c>
      <c r="I97" s="43" t="str">
        <f t="shared" si="10"/>
        <v/>
      </c>
      <c r="J97" s="43" t="str">
        <f t="shared" si="11"/>
        <v/>
      </c>
      <c r="K97" s="33" t="str">
        <f>IF(B97="","Pending",IF(M97="","⚠️ Enter Code",IF(IFERROR(VLOOKUP(L97,DB_Agents!$B:$F,4,0),"")=TEXT(M97,"0"),"Pending Approval","🔒 WRONG CODE")))</f>
        <v>Pending</v>
      </c>
      <c r="L97" s="30" t="s">
        <v>63</v>
      </c>
      <c r="M97" s="41"/>
      <c r="N97" s="22"/>
    </row>
    <row r="98" spans="1:14" ht="20.100000000000001" customHeight="1" x14ac:dyDescent="0.25">
      <c r="A98" s="30" t="str">
        <f t="shared" si="8"/>
        <v/>
      </c>
      <c r="B98" s="41"/>
      <c r="C98" s="35" t="str">
        <f>IF(B98="","",IFERROR(VLOOKUP(B98,DB_Customers!$A:$B,2,0),"❌ Account Not Found"))</f>
        <v/>
      </c>
      <c r="D98" s="42" t="str">
        <f t="shared" ca="1" si="9"/>
        <v/>
      </c>
      <c r="E98" s="32"/>
      <c r="F98" s="31"/>
      <c r="G98" s="41"/>
      <c r="H98" s="56">
        <v>2.5</v>
      </c>
      <c r="I98" s="43" t="str">
        <f t="shared" si="10"/>
        <v/>
      </c>
      <c r="J98" s="43" t="str">
        <f t="shared" si="11"/>
        <v/>
      </c>
      <c r="K98" s="33" t="str">
        <f>IF(B98="","Pending",IF(M98="","⚠️ Enter Code",IF(IFERROR(VLOOKUP(L98,DB_Agents!$B:$F,4,0),"")=TEXT(M98,"0"),"Pending Approval","🔒 WRONG CODE")))</f>
        <v>Pending</v>
      </c>
      <c r="L98" s="30" t="s">
        <v>63</v>
      </c>
      <c r="M98" s="41"/>
      <c r="N98" s="57"/>
    </row>
    <row r="99" spans="1:14" ht="20.100000000000001" customHeight="1" x14ac:dyDescent="0.25">
      <c r="A99" s="30" t="str">
        <f t="shared" si="8"/>
        <v/>
      </c>
      <c r="B99" s="41"/>
      <c r="C99" s="35" t="str">
        <f>IF(B99="","",IFERROR(VLOOKUP(B99,DB_Customers!$A:$B,2,0),"❌ Account Not Found"))</f>
        <v/>
      </c>
      <c r="D99" s="42" t="str">
        <f t="shared" ca="1" si="9"/>
        <v/>
      </c>
      <c r="E99" s="32"/>
      <c r="F99" s="31"/>
      <c r="G99" s="41"/>
      <c r="H99" s="56">
        <v>2.5</v>
      </c>
      <c r="I99" s="43" t="str">
        <f t="shared" si="10"/>
        <v/>
      </c>
      <c r="J99" s="43" t="str">
        <f t="shared" si="11"/>
        <v/>
      </c>
      <c r="K99" s="33" t="str">
        <f>IF(B99="","Pending",IF(M99="","⚠️ Enter Code",IF(IFERROR(VLOOKUP(L99,DB_Agents!$B:$F,4,0),"")=TEXT(M99,"0"),"Pending Approval","🔒 WRONG CODE")))</f>
        <v>Pending</v>
      </c>
      <c r="L99" s="30" t="s">
        <v>63</v>
      </c>
      <c r="M99" s="41"/>
      <c r="N99" s="22"/>
    </row>
    <row r="100" spans="1:14" ht="20.100000000000001" customHeight="1" x14ac:dyDescent="0.25">
      <c r="A100" s="30" t="str">
        <f t="shared" si="8"/>
        <v/>
      </c>
      <c r="B100" s="41"/>
      <c r="C100" s="35" t="str">
        <f>IF(B100="","",IFERROR(VLOOKUP(B100,DB_Customers!$A:$B,2,0),"❌ Account Not Found"))</f>
        <v/>
      </c>
      <c r="D100" s="42" t="str">
        <f t="shared" ca="1" si="9"/>
        <v/>
      </c>
      <c r="E100" s="32"/>
      <c r="F100" s="31"/>
      <c r="G100" s="41"/>
      <c r="H100" s="56">
        <v>2.5</v>
      </c>
      <c r="I100" s="43" t="str">
        <f t="shared" si="10"/>
        <v/>
      </c>
      <c r="J100" s="43" t="str">
        <f t="shared" si="11"/>
        <v/>
      </c>
      <c r="K100" s="33" t="str">
        <f>IF(B100="","Pending",IF(M100="","⚠️ Enter Code",IF(IFERROR(VLOOKUP(L100,DB_Agents!$B:$F,4,0),"")=TEXT(M100,"0"),"Pending Approval","🔒 WRONG CODE")))</f>
        <v>Pending</v>
      </c>
      <c r="L100" s="30" t="s">
        <v>63</v>
      </c>
      <c r="M100" s="41"/>
      <c r="N100" s="57"/>
    </row>
    <row r="101" spans="1:14" ht="20.100000000000001" customHeight="1" x14ac:dyDescent="0.25">
      <c r="A101" s="30" t="str">
        <f t="shared" si="8"/>
        <v/>
      </c>
      <c r="B101" s="41"/>
      <c r="C101" s="35" t="str">
        <f>IF(B101="","",IFERROR(VLOOKUP(B101,DB_Customers!$A:$B,2,0),"❌ Account Not Found"))</f>
        <v/>
      </c>
      <c r="D101" s="42" t="str">
        <f t="shared" ca="1" si="9"/>
        <v/>
      </c>
      <c r="E101" s="32"/>
      <c r="F101" s="31"/>
      <c r="G101" s="41"/>
      <c r="H101" s="56">
        <v>2.5</v>
      </c>
      <c r="I101" s="43" t="str">
        <f t="shared" si="10"/>
        <v/>
      </c>
      <c r="J101" s="43" t="str">
        <f t="shared" si="11"/>
        <v/>
      </c>
      <c r="K101" s="33" t="str">
        <f>IF(B101="","Pending",IF(M101="","⚠️ Enter Code",IF(IFERROR(VLOOKUP(L101,DB_Agents!$B:$F,4,0),"")=TEXT(M101,"0"),"Pending Approval","🔒 WRONG CODE")))</f>
        <v>Pending</v>
      </c>
      <c r="L101" s="30" t="s">
        <v>63</v>
      </c>
      <c r="M101" s="41"/>
      <c r="N101" s="22"/>
    </row>
    <row r="102" spans="1:14" ht="20.100000000000001" customHeight="1" x14ac:dyDescent="0.25">
      <c r="A102" s="30" t="str">
        <f t="shared" si="8"/>
        <v/>
      </c>
      <c r="B102" s="41"/>
      <c r="C102" s="35" t="str">
        <f>IF(B102="","",IFERROR(VLOOKUP(B102,DB_Customers!$A:$B,2,0),"❌ Account Not Found"))</f>
        <v/>
      </c>
      <c r="D102" s="42" t="str">
        <f t="shared" ca="1" si="9"/>
        <v/>
      </c>
      <c r="E102" s="32"/>
      <c r="F102" s="31"/>
      <c r="G102" s="41"/>
      <c r="H102" s="56">
        <v>2.5</v>
      </c>
      <c r="I102" s="43" t="str">
        <f t="shared" si="10"/>
        <v/>
      </c>
      <c r="J102" s="43" t="str">
        <f t="shared" si="11"/>
        <v/>
      </c>
      <c r="K102" s="33" t="str">
        <f>IF(B102="","Pending",IF(M102="","⚠️ Enter Code",IF(IFERROR(VLOOKUP(L102,DB_Agents!$B:$F,4,0),"")=TEXT(M102,"0"),"Pending Approval","🔒 WRONG CODE")))</f>
        <v>Pending</v>
      </c>
      <c r="L102" s="30" t="s">
        <v>63</v>
      </c>
      <c r="M102" s="41"/>
      <c r="N102" s="57"/>
    </row>
    <row r="103" spans="1:14" ht="20.100000000000001" customHeight="1" x14ac:dyDescent="0.25">
      <c r="A103" s="30" t="str">
        <f t="shared" si="8"/>
        <v/>
      </c>
      <c r="B103" s="41"/>
      <c r="C103" s="35" t="str">
        <f>IF(B103="","",IFERROR(VLOOKUP(B103,DB_Customers!$A:$B,2,0),"❌ Account Not Found"))</f>
        <v/>
      </c>
      <c r="D103" s="42" t="str">
        <f t="shared" ca="1" si="9"/>
        <v/>
      </c>
      <c r="E103" s="32"/>
      <c r="F103" s="31"/>
      <c r="G103" s="41"/>
      <c r="H103" s="56">
        <v>2.5</v>
      </c>
      <c r="I103" s="43" t="str">
        <f t="shared" si="10"/>
        <v/>
      </c>
      <c r="J103" s="43" t="str">
        <f t="shared" si="11"/>
        <v/>
      </c>
      <c r="K103" s="33" t="str">
        <f>IF(B103="","Pending",IF(M103="","⚠️ Enter Code",IF(IFERROR(VLOOKUP(L103,DB_Agents!$B:$F,4,0),"")=TEXT(M103,"0"),"Pending Approval","🔒 WRONG CODE")))</f>
        <v>Pending</v>
      </c>
      <c r="L103" s="30" t="s">
        <v>63</v>
      </c>
      <c r="M103" s="41"/>
      <c r="N103" s="22"/>
    </row>
    <row r="104" spans="1:14" ht="20.100000000000001" customHeight="1" x14ac:dyDescent="0.25">
      <c r="A104" s="30" t="str">
        <f t="shared" si="8"/>
        <v/>
      </c>
      <c r="B104" s="41"/>
      <c r="C104" s="35" t="str">
        <f>IF(B104="","",IFERROR(VLOOKUP(B104,DB_Customers!$A:$B,2,0),"❌ Account Not Found"))</f>
        <v/>
      </c>
      <c r="D104" s="42" t="str">
        <f t="shared" ca="1" si="9"/>
        <v/>
      </c>
      <c r="E104" s="32"/>
      <c r="F104" s="31"/>
      <c r="G104" s="41"/>
      <c r="H104" s="56">
        <v>2.5</v>
      </c>
      <c r="I104" s="43" t="str">
        <f t="shared" si="10"/>
        <v/>
      </c>
      <c r="J104" s="43" t="str">
        <f t="shared" si="11"/>
        <v/>
      </c>
      <c r="K104" s="33" t="str">
        <f>IF(B104="","Pending",IF(M104="","⚠️ Enter Code",IF(IFERROR(VLOOKUP(L104,DB_Agents!$B:$F,4,0),"")=TEXT(M104,"0"),"Pending Approval","🔒 WRONG CODE")))</f>
        <v>Pending</v>
      </c>
      <c r="L104" s="30" t="s">
        <v>63</v>
      </c>
      <c r="M104" s="41"/>
      <c r="N104" s="57"/>
    </row>
    <row r="105" spans="1:14" ht="20.100000000000001" customHeight="1" x14ac:dyDescent="0.25">
      <c r="A105" s="30" t="str">
        <f t="shared" si="8"/>
        <v/>
      </c>
      <c r="B105" s="41"/>
      <c r="C105" s="35" t="str">
        <f>IF(B105="","",IFERROR(VLOOKUP(B105,DB_Customers!$A:$B,2,0),"❌ Account Not Found"))</f>
        <v/>
      </c>
      <c r="D105" s="42" t="str">
        <f t="shared" ca="1" si="9"/>
        <v/>
      </c>
      <c r="E105" s="32"/>
      <c r="F105" s="31"/>
      <c r="G105" s="41"/>
      <c r="H105" s="56">
        <v>2.5</v>
      </c>
      <c r="I105" s="43" t="str">
        <f t="shared" si="10"/>
        <v/>
      </c>
      <c r="J105" s="43" t="str">
        <f t="shared" si="11"/>
        <v/>
      </c>
      <c r="K105" s="33" t="str">
        <f>IF(B105="","Pending",IF(M105="","⚠️ Enter Code",IF(IFERROR(VLOOKUP(L105,DB_Agents!$B:$F,4,0),"")=TEXT(M105,"0"),"Pending Approval","🔒 WRONG CODE")))</f>
        <v>Pending</v>
      </c>
      <c r="L105" s="30" t="s">
        <v>63</v>
      </c>
      <c r="M105" s="41"/>
      <c r="N105" s="22"/>
    </row>
    <row r="106" spans="1:14" ht="20.100000000000001" customHeight="1" x14ac:dyDescent="0.25">
      <c r="A106" s="30" t="str">
        <f t="shared" si="8"/>
        <v/>
      </c>
      <c r="B106" s="41"/>
      <c r="C106" s="35" t="str">
        <f>IF(B106="","",IFERROR(VLOOKUP(B106,DB_Customers!$A:$B,2,0),"❌ Account Not Found"))</f>
        <v/>
      </c>
      <c r="D106" s="42" t="str">
        <f t="shared" ca="1" si="9"/>
        <v/>
      </c>
      <c r="E106" s="32"/>
      <c r="F106" s="31"/>
      <c r="G106" s="41"/>
      <c r="H106" s="56">
        <v>2.5</v>
      </c>
      <c r="I106" s="43" t="str">
        <f t="shared" si="10"/>
        <v/>
      </c>
      <c r="J106" s="43" t="str">
        <f t="shared" si="11"/>
        <v/>
      </c>
      <c r="K106" s="33" t="str">
        <f>IF(B106="","Pending",IF(M106="","⚠️ Enter Code",IF(IFERROR(VLOOKUP(L106,DB_Agents!$B:$F,4,0),"")=TEXT(M106,"0"),"Pending Approval","🔒 WRONG CODE")))</f>
        <v>Pending</v>
      </c>
      <c r="L106" s="30" t="s">
        <v>63</v>
      </c>
      <c r="M106" s="41"/>
      <c r="N106" s="57"/>
    </row>
    <row r="107" spans="1:14" ht="20.100000000000001" customHeight="1" x14ac:dyDescent="0.25">
      <c r="A107" s="30" t="str">
        <f t="shared" si="8"/>
        <v/>
      </c>
      <c r="B107" s="41"/>
      <c r="C107" s="35" t="str">
        <f>IF(B107="","",IFERROR(VLOOKUP(B107,DB_Customers!$A:$B,2,0),"❌ Account Not Found"))</f>
        <v/>
      </c>
      <c r="D107" s="42" t="str">
        <f t="shared" ca="1" si="9"/>
        <v/>
      </c>
      <c r="E107" s="32"/>
      <c r="F107" s="31"/>
      <c r="G107" s="41"/>
      <c r="H107" s="56">
        <v>2.5</v>
      </c>
      <c r="I107" s="43" t="str">
        <f t="shared" si="10"/>
        <v/>
      </c>
      <c r="J107" s="43" t="str">
        <f t="shared" si="11"/>
        <v/>
      </c>
      <c r="K107" s="33" t="str">
        <f>IF(B107="","Pending",IF(M107="","⚠️ Enter Code",IF(IFERROR(VLOOKUP(L107,DB_Agents!$B:$F,4,0),"")=TEXT(M107,"0"),"Pending Approval","🔒 WRONG CODE")))</f>
        <v>Pending</v>
      </c>
      <c r="L107" s="30" t="s">
        <v>63</v>
      </c>
      <c r="M107" s="41"/>
      <c r="N107" s="22"/>
    </row>
    <row r="108" spans="1:14" ht="20.100000000000001" customHeight="1" x14ac:dyDescent="0.25">
      <c r="A108" s="30" t="str">
        <f t="shared" si="8"/>
        <v/>
      </c>
      <c r="B108" s="41"/>
      <c r="C108" s="35" t="str">
        <f>IF(B108="","",IFERROR(VLOOKUP(B108,DB_Customers!$A:$B,2,0),"❌ Account Not Found"))</f>
        <v/>
      </c>
      <c r="D108" s="42" t="str">
        <f t="shared" ca="1" si="9"/>
        <v/>
      </c>
      <c r="E108" s="32"/>
      <c r="F108" s="31"/>
      <c r="G108" s="41"/>
      <c r="H108" s="56">
        <v>2.5</v>
      </c>
      <c r="I108" s="43" t="str">
        <f t="shared" si="10"/>
        <v/>
      </c>
      <c r="J108" s="43" t="str">
        <f t="shared" si="11"/>
        <v/>
      </c>
      <c r="K108" s="33" t="str">
        <f>IF(B108="","Pending",IF(M108="","⚠️ Enter Code",IF(IFERROR(VLOOKUP(L108,DB_Agents!$B:$F,4,0),"")=TEXT(M108,"0"),"Pending Approval","🔒 WRONG CODE")))</f>
        <v>Pending</v>
      </c>
      <c r="L108" s="30" t="s">
        <v>63</v>
      </c>
      <c r="M108" s="41"/>
      <c r="N108" s="57"/>
    </row>
    <row r="109" spans="1:14" ht="20.100000000000001" customHeight="1" x14ac:dyDescent="0.25">
      <c r="A109" s="30" t="str">
        <f t="shared" si="8"/>
        <v/>
      </c>
      <c r="B109" s="41"/>
      <c r="C109" s="35" t="str">
        <f>IF(B109="","",IFERROR(VLOOKUP(B109,DB_Customers!$A:$B,2,0),"❌ Account Not Found"))</f>
        <v/>
      </c>
      <c r="D109" s="42" t="str">
        <f t="shared" ca="1" si="9"/>
        <v/>
      </c>
      <c r="E109" s="32"/>
      <c r="F109" s="31"/>
      <c r="G109" s="41"/>
      <c r="H109" s="56">
        <v>2.5</v>
      </c>
      <c r="I109" s="43" t="str">
        <f t="shared" si="10"/>
        <v/>
      </c>
      <c r="J109" s="43" t="str">
        <f t="shared" si="11"/>
        <v/>
      </c>
      <c r="K109" s="33" t="str">
        <f>IF(B109="","Pending",IF(M109="","⚠️ Enter Code",IF(IFERROR(VLOOKUP(L109,DB_Agents!$B:$F,4,0),"")=TEXT(M109,"0"),"Pending Approval","🔒 WRONG CODE")))</f>
        <v>Pending</v>
      </c>
      <c r="L109" s="30" t="s">
        <v>63</v>
      </c>
      <c r="M109" s="41"/>
      <c r="N109" s="22"/>
    </row>
    <row r="110" spans="1:14" ht="20.100000000000001" customHeight="1" x14ac:dyDescent="0.25">
      <c r="A110" s="30" t="str">
        <f t="shared" ref="A110:A141" si="12">IF(B110="","",IF(C110="❌ Account Not Found","INVALID","LN"&amp;TEXT(D110,"YYYYMMDD")&amp;TEXT(ROW()-13,"0000")))</f>
        <v/>
      </c>
      <c r="B110" s="41"/>
      <c r="C110" s="35" t="str">
        <f>IF(B110="","",IFERROR(VLOOKUP(B110,DB_Customers!$A:$B,2,0),"❌ Account Not Found"))</f>
        <v/>
      </c>
      <c r="D110" s="42" t="str">
        <f t="shared" ref="D110:D141" ca="1" si="13">IF(B110="","",TODAY())</f>
        <v/>
      </c>
      <c r="E110" s="32"/>
      <c r="F110" s="31"/>
      <c r="G110" s="41"/>
      <c r="H110" s="56">
        <v>2.5</v>
      </c>
      <c r="I110" s="43" t="str">
        <f t="shared" ref="I110:I141" si="14">IF(E110="","",E110+(E110*H110/100*G110))</f>
        <v/>
      </c>
      <c r="J110" s="43" t="str">
        <f t="shared" ref="J110:J141" si="15">IFERROR(I110/G110,"")</f>
        <v/>
      </c>
      <c r="K110" s="33" t="str">
        <f>IF(B110="","Pending",IF(M110="","⚠️ Enter Code",IF(IFERROR(VLOOKUP(L110,DB_Agents!$B:$F,4,0),"")=TEXT(M110,"0"),"Pending Approval","🔒 WRONG CODE")))</f>
        <v>Pending</v>
      </c>
      <c r="L110" s="30" t="s">
        <v>63</v>
      </c>
      <c r="M110" s="41"/>
      <c r="N110" s="57"/>
    </row>
    <row r="111" spans="1:14" ht="20.100000000000001" customHeight="1" x14ac:dyDescent="0.25">
      <c r="A111" s="30" t="str">
        <f t="shared" si="12"/>
        <v/>
      </c>
      <c r="B111" s="41"/>
      <c r="C111" s="35" t="str">
        <f>IF(B111="","",IFERROR(VLOOKUP(B111,DB_Customers!$A:$B,2,0),"❌ Account Not Found"))</f>
        <v/>
      </c>
      <c r="D111" s="42" t="str">
        <f t="shared" ca="1" si="13"/>
        <v/>
      </c>
      <c r="E111" s="32"/>
      <c r="F111" s="31"/>
      <c r="G111" s="41"/>
      <c r="H111" s="56">
        <v>2.5</v>
      </c>
      <c r="I111" s="43" t="str">
        <f t="shared" si="14"/>
        <v/>
      </c>
      <c r="J111" s="43" t="str">
        <f t="shared" si="15"/>
        <v/>
      </c>
      <c r="K111" s="33" t="str">
        <f>IF(B111="","Pending",IF(M111="","⚠️ Enter Code",IF(IFERROR(VLOOKUP(L111,DB_Agents!$B:$F,4,0),"")=TEXT(M111,"0"),"Pending Approval","🔒 WRONG CODE")))</f>
        <v>Pending</v>
      </c>
      <c r="L111" s="30" t="s">
        <v>63</v>
      </c>
      <c r="M111" s="41"/>
      <c r="N111" s="22"/>
    </row>
    <row r="112" spans="1:14" ht="20.100000000000001" customHeight="1" x14ac:dyDescent="0.25">
      <c r="A112" s="30" t="str">
        <f t="shared" si="12"/>
        <v/>
      </c>
      <c r="B112" s="41"/>
      <c r="C112" s="35" t="str">
        <f>IF(B112="","",IFERROR(VLOOKUP(B112,DB_Customers!$A:$B,2,0),"❌ Account Not Found"))</f>
        <v/>
      </c>
      <c r="D112" s="42" t="str">
        <f t="shared" ca="1" si="13"/>
        <v/>
      </c>
      <c r="E112" s="32"/>
      <c r="F112" s="31"/>
      <c r="G112" s="41"/>
      <c r="H112" s="56">
        <v>2.5</v>
      </c>
      <c r="I112" s="43" t="str">
        <f t="shared" si="14"/>
        <v/>
      </c>
      <c r="J112" s="43" t="str">
        <f t="shared" si="15"/>
        <v/>
      </c>
      <c r="K112" s="33" t="str">
        <f>IF(B112="","Pending",IF(M112="","⚠️ Enter Code",IF(IFERROR(VLOOKUP(L112,DB_Agents!$B:$F,4,0),"")=TEXT(M112,"0"),"Pending Approval","🔒 WRONG CODE")))</f>
        <v>Pending</v>
      </c>
      <c r="L112" s="30" t="s">
        <v>63</v>
      </c>
      <c r="M112" s="41"/>
      <c r="N112" s="57"/>
    </row>
    <row r="113" spans="1:14" ht="20.100000000000001" customHeight="1" x14ac:dyDescent="0.25">
      <c r="A113" s="30" t="str">
        <f t="shared" si="12"/>
        <v/>
      </c>
      <c r="B113" s="41"/>
      <c r="C113" s="35" t="str">
        <f>IF(B113="","",IFERROR(VLOOKUP(B113,DB_Customers!$A:$B,2,0),"❌ Account Not Found"))</f>
        <v/>
      </c>
      <c r="D113" s="42" t="str">
        <f t="shared" ca="1" si="13"/>
        <v/>
      </c>
      <c r="E113" s="32"/>
      <c r="F113" s="31"/>
      <c r="G113" s="41"/>
      <c r="H113" s="56">
        <v>2.5</v>
      </c>
      <c r="I113" s="43" t="str">
        <f t="shared" si="14"/>
        <v/>
      </c>
      <c r="J113" s="43" t="str">
        <f t="shared" si="15"/>
        <v/>
      </c>
      <c r="K113" s="33" t="str">
        <f>IF(B113="","Pending",IF(M113="","⚠️ Enter Code",IF(IFERROR(VLOOKUP(L113,DB_Agents!$B:$F,4,0),"")=TEXT(M113,"0"),"Pending Approval","🔒 WRONG CODE")))</f>
        <v>Pending</v>
      </c>
      <c r="L113" s="30" t="s">
        <v>63</v>
      </c>
      <c r="M113" s="41"/>
      <c r="N113" s="22"/>
    </row>
    <row r="114" spans="1:14" ht="20.100000000000001" customHeight="1" x14ac:dyDescent="0.25">
      <c r="A114" s="30" t="str">
        <f t="shared" si="12"/>
        <v/>
      </c>
      <c r="B114" s="41"/>
      <c r="C114" s="35" t="str">
        <f>IF(B114="","",IFERROR(VLOOKUP(B114,DB_Customers!$A:$B,2,0),"❌ Account Not Found"))</f>
        <v/>
      </c>
      <c r="D114" s="42" t="str">
        <f t="shared" ca="1" si="13"/>
        <v/>
      </c>
      <c r="E114" s="32"/>
      <c r="F114" s="31"/>
      <c r="G114" s="41"/>
      <c r="H114" s="56">
        <v>2.5</v>
      </c>
      <c r="I114" s="43" t="str">
        <f t="shared" si="14"/>
        <v/>
      </c>
      <c r="J114" s="43" t="str">
        <f t="shared" si="15"/>
        <v/>
      </c>
      <c r="K114" s="33" t="str">
        <f>IF(B114="","Pending",IF(M114="","⚠️ Enter Code",IF(IFERROR(VLOOKUP(L114,DB_Agents!$B:$F,4,0),"")=TEXT(M114,"0"),"Pending Approval","🔒 WRONG CODE")))</f>
        <v>Pending</v>
      </c>
      <c r="L114" s="30" t="s">
        <v>63</v>
      </c>
      <c r="M114" s="41"/>
      <c r="N114" s="57"/>
    </row>
    <row r="115" spans="1:14" ht="20.100000000000001" customHeight="1" x14ac:dyDescent="0.25">
      <c r="A115" s="30" t="str">
        <f t="shared" si="12"/>
        <v/>
      </c>
      <c r="B115" s="41"/>
      <c r="C115" s="35" t="str">
        <f>IF(B115="","",IFERROR(VLOOKUP(B115,DB_Customers!$A:$B,2,0),"❌ Account Not Found"))</f>
        <v/>
      </c>
      <c r="D115" s="42" t="str">
        <f t="shared" ca="1" si="13"/>
        <v/>
      </c>
      <c r="E115" s="32"/>
      <c r="F115" s="31"/>
      <c r="G115" s="41"/>
      <c r="H115" s="56">
        <v>2.5</v>
      </c>
      <c r="I115" s="43" t="str">
        <f t="shared" si="14"/>
        <v/>
      </c>
      <c r="J115" s="43" t="str">
        <f t="shared" si="15"/>
        <v/>
      </c>
      <c r="K115" s="33" t="str">
        <f>IF(B115="","Pending",IF(M115="","⚠️ Enter Code",IF(IFERROR(VLOOKUP(L115,DB_Agents!$B:$F,4,0),"")=TEXT(M115,"0"),"Pending Approval","🔒 WRONG CODE")))</f>
        <v>Pending</v>
      </c>
      <c r="L115" s="30" t="s">
        <v>63</v>
      </c>
      <c r="M115" s="41"/>
      <c r="N115" s="22"/>
    </row>
    <row r="116" spans="1:14" ht="20.100000000000001" customHeight="1" x14ac:dyDescent="0.25">
      <c r="A116" s="30" t="str">
        <f t="shared" si="12"/>
        <v/>
      </c>
      <c r="B116" s="41"/>
      <c r="C116" s="35" t="str">
        <f>IF(B116="","",IFERROR(VLOOKUP(B116,DB_Customers!$A:$B,2,0),"❌ Account Not Found"))</f>
        <v/>
      </c>
      <c r="D116" s="42" t="str">
        <f t="shared" ca="1" si="13"/>
        <v/>
      </c>
      <c r="E116" s="32"/>
      <c r="F116" s="31"/>
      <c r="G116" s="41"/>
      <c r="H116" s="56">
        <v>2.5</v>
      </c>
      <c r="I116" s="43" t="str">
        <f t="shared" si="14"/>
        <v/>
      </c>
      <c r="J116" s="43" t="str">
        <f t="shared" si="15"/>
        <v/>
      </c>
      <c r="K116" s="33" t="str">
        <f>IF(B116="","Pending",IF(M116="","⚠️ Enter Code",IF(IFERROR(VLOOKUP(L116,DB_Agents!$B:$F,4,0),"")=TEXT(M116,"0"),"Pending Approval","🔒 WRONG CODE")))</f>
        <v>Pending</v>
      </c>
      <c r="L116" s="30" t="s">
        <v>63</v>
      </c>
      <c r="M116" s="41"/>
      <c r="N116" s="57"/>
    </row>
    <row r="117" spans="1:14" ht="20.100000000000001" customHeight="1" x14ac:dyDescent="0.25">
      <c r="A117" s="30" t="str">
        <f t="shared" si="12"/>
        <v/>
      </c>
      <c r="B117" s="41"/>
      <c r="C117" s="35" t="str">
        <f>IF(B117="","",IFERROR(VLOOKUP(B117,DB_Customers!$A:$B,2,0),"❌ Account Not Found"))</f>
        <v/>
      </c>
      <c r="D117" s="42" t="str">
        <f t="shared" ca="1" si="13"/>
        <v/>
      </c>
      <c r="E117" s="32"/>
      <c r="F117" s="31"/>
      <c r="G117" s="41"/>
      <c r="H117" s="56">
        <v>2.5</v>
      </c>
      <c r="I117" s="43" t="str">
        <f t="shared" si="14"/>
        <v/>
      </c>
      <c r="J117" s="43" t="str">
        <f t="shared" si="15"/>
        <v/>
      </c>
      <c r="K117" s="33" t="str">
        <f>IF(B117="","Pending",IF(M117="","⚠️ Enter Code",IF(IFERROR(VLOOKUP(L117,DB_Agents!$B:$F,4,0),"")=TEXT(M117,"0"),"Pending Approval","🔒 WRONG CODE")))</f>
        <v>Pending</v>
      </c>
      <c r="L117" s="30" t="s">
        <v>63</v>
      </c>
      <c r="M117" s="41"/>
      <c r="N117" s="22"/>
    </row>
    <row r="118" spans="1:14" ht="20.100000000000001" customHeight="1" x14ac:dyDescent="0.25">
      <c r="A118" s="30" t="str">
        <f t="shared" si="12"/>
        <v/>
      </c>
      <c r="B118" s="41"/>
      <c r="C118" s="35" t="str">
        <f>IF(B118="","",IFERROR(VLOOKUP(B118,DB_Customers!$A:$B,2,0),"❌ Account Not Found"))</f>
        <v/>
      </c>
      <c r="D118" s="42" t="str">
        <f t="shared" ca="1" si="13"/>
        <v/>
      </c>
      <c r="E118" s="32"/>
      <c r="F118" s="31"/>
      <c r="G118" s="41"/>
      <c r="H118" s="56">
        <v>2.5</v>
      </c>
      <c r="I118" s="43" t="str">
        <f t="shared" si="14"/>
        <v/>
      </c>
      <c r="J118" s="43" t="str">
        <f t="shared" si="15"/>
        <v/>
      </c>
      <c r="K118" s="33" t="str">
        <f>IF(B118="","Pending",IF(M118="","⚠️ Enter Code",IF(IFERROR(VLOOKUP(L118,DB_Agents!$B:$F,4,0),"")=TEXT(M118,"0"),"Pending Approval","🔒 WRONG CODE")))</f>
        <v>Pending</v>
      </c>
      <c r="L118" s="30" t="s">
        <v>63</v>
      </c>
      <c r="M118" s="41"/>
      <c r="N118" s="57"/>
    </row>
    <row r="119" spans="1:14" ht="20.100000000000001" customHeight="1" x14ac:dyDescent="0.25">
      <c r="A119" s="30" t="str">
        <f t="shared" si="12"/>
        <v/>
      </c>
      <c r="B119" s="41"/>
      <c r="C119" s="35" t="str">
        <f>IF(B119="","",IFERROR(VLOOKUP(B119,DB_Customers!$A:$B,2,0),"❌ Account Not Found"))</f>
        <v/>
      </c>
      <c r="D119" s="42" t="str">
        <f t="shared" ca="1" si="13"/>
        <v/>
      </c>
      <c r="E119" s="32"/>
      <c r="F119" s="31"/>
      <c r="G119" s="41"/>
      <c r="H119" s="56">
        <v>2.5</v>
      </c>
      <c r="I119" s="43" t="str">
        <f t="shared" si="14"/>
        <v/>
      </c>
      <c r="J119" s="43" t="str">
        <f t="shared" si="15"/>
        <v/>
      </c>
      <c r="K119" s="33" t="str">
        <f>IF(B119="","Pending",IF(M119="","⚠️ Enter Code",IF(IFERROR(VLOOKUP(L119,DB_Agents!$B:$F,4,0),"")=TEXT(M119,"0"),"Pending Approval","🔒 WRONG CODE")))</f>
        <v>Pending</v>
      </c>
      <c r="L119" s="30" t="s">
        <v>63</v>
      </c>
      <c r="M119" s="41"/>
      <c r="N119" s="22"/>
    </row>
    <row r="120" spans="1:14" ht="20.100000000000001" customHeight="1" x14ac:dyDescent="0.25">
      <c r="A120" s="30" t="str">
        <f t="shared" si="12"/>
        <v/>
      </c>
      <c r="B120" s="41"/>
      <c r="C120" s="35" t="str">
        <f>IF(B120="","",IFERROR(VLOOKUP(B120,DB_Customers!$A:$B,2,0),"❌ Account Not Found"))</f>
        <v/>
      </c>
      <c r="D120" s="42" t="str">
        <f t="shared" ca="1" si="13"/>
        <v/>
      </c>
      <c r="E120" s="32"/>
      <c r="F120" s="31"/>
      <c r="G120" s="41"/>
      <c r="H120" s="56">
        <v>2.5</v>
      </c>
      <c r="I120" s="43" t="str">
        <f t="shared" si="14"/>
        <v/>
      </c>
      <c r="J120" s="43" t="str">
        <f t="shared" si="15"/>
        <v/>
      </c>
      <c r="K120" s="33" t="str">
        <f>IF(B120="","Pending",IF(M120="","⚠️ Enter Code",IF(IFERROR(VLOOKUP(L120,DB_Agents!$B:$F,4,0),"")=TEXT(M120,"0"),"Pending Approval","🔒 WRONG CODE")))</f>
        <v>Pending</v>
      </c>
      <c r="L120" s="30" t="s">
        <v>63</v>
      </c>
      <c r="M120" s="41"/>
      <c r="N120" s="57"/>
    </row>
    <row r="121" spans="1:14" ht="20.100000000000001" customHeight="1" x14ac:dyDescent="0.25">
      <c r="A121" s="30" t="str">
        <f t="shared" si="12"/>
        <v/>
      </c>
      <c r="B121" s="41"/>
      <c r="C121" s="35" t="str">
        <f>IF(B121="","",IFERROR(VLOOKUP(B121,DB_Customers!$A:$B,2,0),"❌ Account Not Found"))</f>
        <v/>
      </c>
      <c r="D121" s="42" t="str">
        <f t="shared" ca="1" si="13"/>
        <v/>
      </c>
      <c r="E121" s="32"/>
      <c r="F121" s="31"/>
      <c r="G121" s="41"/>
      <c r="H121" s="56">
        <v>2.5</v>
      </c>
      <c r="I121" s="43" t="str">
        <f t="shared" si="14"/>
        <v/>
      </c>
      <c r="J121" s="43" t="str">
        <f t="shared" si="15"/>
        <v/>
      </c>
      <c r="K121" s="33" t="str">
        <f>IF(B121="","Pending",IF(M121="","⚠️ Enter Code",IF(IFERROR(VLOOKUP(L121,DB_Agents!$B:$F,4,0),"")=TEXT(M121,"0"),"Pending Approval","🔒 WRONG CODE")))</f>
        <v>Pending</v>
      </c>
      <c r="L121" s="30" t="s">
        <v>63</v>
      </c>
      <c r="M121" s="41"/>
      <c r="N121" s="22"/>
    </row>
    <row r="122" spans="1:14" ht="20.100000000000001" customHeight="1" x14ac:dyDescent="0.25">
      <c r="A122" s="30" t="str">
        <f t="shared" si="12"/>
        <v/>
      </c>
      <c r="B122" s="41"/>
      <c r="C122" s="35" t="str">
        <f>IF(B122="","",IFERROR(VLOOKUP(B122,DB_Customers!$A:$B,2,0),"❌ Account Not Found"))</f>
        <v/>
      </c>
      <c r="D122" s="42" t="str">
        <f t="shared" ca="1" si="13"/>
        <v/>
      </c>
      <c r="E122" s="32"/>
      <c r="F122" s="31"/>
      <c r="G122" s="41"/>
      <c r="H122" s="56">
        <v>2.5</v>
      </c>
      <c r="I122" s="43" t="str">
        <f t="shared" si="14"/>
        <v/>
      </c>
      <c r="J122" s="43" t="str">
        <f t="shared" si="15"/>
        <v/>
      </c>
      <c r="K122" s="33" t="str">
        <f>IF(B122="","Pending",IF(M122="","⚠️ Enter Code",IF(IFERROR(VLOOKUP(L122,DB_Agents!$B:$F,4,0),"")=TEXT(M122,"0"),"Pending Approval","🔒 WRONG CODE")))</f>
        <v>Pending</v>
      </c>
      <c r="L122" s="30" t="s">
        <v>63</v>
      </c>
      <c r="M122" s="41"/>
      <c r="N122" s="57"/>
    </row>
    <row r="123" spans="1:14" ht="20.100000000000001" customHeight="1" x14ac:dyDescent="0.25">
      <c r="A123" s="30" t="str">
        <f t="shared" si="12"/>
        <v/>
      </c>
      <c r="B123" s="41"/>
      <c r="C123" s="35" t="str">
        <f>IF(B123="","",IFERROR(VLOOKUP(B123,DB_Customers!$A:$B,2,0),"❌ Account Not Found"))</f>
        <v/>
      </c>
      <c r="D123" s="42" t="str">
        <f t="shared" ca="1" si="13"/>
        <v/>
      </c>
      <c r="E123" s="32"/>
      <c r="F123" s="31"/>
      <c r="G123" s="41"/>
      <c r="H123" s="56">
        <v>2.5</v>
      </c>
      <c r="I123" s="43" t="str">
        <f t="shared" si="14"/>
        <v/>
      </c>
      <c r="J123" s="43" t="str">
        <f t="shared" si="15"/>
        <v/>
      </c>
      <c r="K123" s="33" t="str">
        <f>IF(B123="","Pending",IF(M123="","⚠️ Enter Code",IF(IFERROR(VLOOKUP(L123,DB_Agents!$B:$F,4,0),"")=TEXT(M123,"0"),"Pending Approval","🔒 WRONG CODE")))</f>
        <v>Pending</v>
      </c>
      <c r="L123" s="30" t="s">
        <v>63</v>
      </c>
      <c r="M123" s="41"/>
      <c r="N123" s="22"/>
    </row>
    <row r="124" spans="1:14" ht="20.100000000000001" customHeight="1" x14ac:dyDescent="0.25">
      <c r="A124" s="30" t="str">
        <f t="shared" si="12"/>
        <v/>
      </c>
      <c r="B124" s="41"/>
      <c r="C124" s="35" t="str">
        <f>IF(B124="","",IFERROR(VLOOKUP(B124,DB_Customers!$A:$B,2,0),"❌ Account Not Found"))</f>
        <v/>
      </c>
      <c r="D124" s="42" t="str">
        <f t="shared" ca="1" si="13"/>
        <v/>
      </c>
      <c r="E124" s="32"/>
      <c r="F124" s="31"/>
      <c r="G124" s="41"/>
      <c r="H124" s="56">
        <v>2.5</v>
      </c>
      <c r="I124" s="43" t="str">
        <f t="shared" si="14"/>
        <v/>
      </c>
      <c r="J124" s="43" t="str">
        <f t="shared" si="15"/>
        <v/>
      </c>
      <c r="K124" s="33" t="str">
        <f>IF(B124="","Pending",IF(M124="","⚠️ Enter Code",IF(IFERROR(VLOOKUP(L124,DB_Agents!$B:$F,4,0),"")=TEXT(M124,"0"),"Pending Approval","🔒 WRONG CODE")))</f>
        <v>Pending</v>
      </c>
      <c r="L124" s="30" t="s">
        <v>63</v>
      </c>
      <c r="M124" s="41"/>
      <c r="N124" s="57"/>
    </row>
    <row r="125" spans="1:14" ht="20.100000000000001" customHeight="1" x14ac:dyDescent="0.25">
      <c r="A125" s="30" t="str">
        <f t="shared" si="12"/>
        <v/>
      </c>
      <c r="B125" s="41"/>
      <c r="C125" s="35" t="str">
        <f>IF(B125="","",IFERROR(VLOOKUP(B125,DB_Customers!$A:$B,2,0),"❌ Account Not Found"))</f>
        <v/>
      </c>
      <c r="D125" s="42" t="str">
        <f t="shared" ca="1" si="13"/>
        <v/>
      </c>
      <c r="E125" s="32"/>
      <c r="F125" s="31"/>
      <c r="G125" s="41"/>
      <c r="H125" s="56">
        <v>2.5</v>
      </c>
      <c r="I125" s="43" t="str">
        <f t="shared" si="14"/>
        <v/>
      </c>
      <c r="J125" s="43" t="str">
        <f t="shared" si="15"/>
        <v/>
      </c>
      <c r="K125" s="33" t="str">
        <f>IF(B125="","Pending",IF(M125="","⚠️ Enter Code",IF(IFERROR(VLOOKUP(L125,DB_Agents!$B:$F,4,0),"")=TEXT(M125,"0"),"Pending Approval","🔒 WRONG CODE")))</f>
        <v>Pending</v>
      </c>
      <c r="L125" s="30" t="s">
        <v>63</v>
      </c>
      <c r="M125" s="41"/>
      <c r="N125" s="22"/>
    </row>
    <row r="126" spans="1:14" ht="20.100000000000001" customHeight="1" x14ac:dyDescent="0.25">
      <c r="A126" s="30" t="str">
        <f t="shared" si="12"/>
        <v/>
      </c>
      <c r="B126" s="41"/>
      <c r="C126" s="35" t="str">
        <f>IF(B126="","",IFERROR(VLOOKUP(B126,DB_Customers!$A:$B,2,0),"❌ Account Not Found"))</f>
        <v/>
      </c>
      <c r="D126" s="42" t="str">
        <f t="shared" ca="1" si="13"/>
        <v/>
      </c>
      <c r="E126" s="32"/>
      <c r="F126" s="31"/>
      <c r="G126" s="41"/>
      <c r="H126" s="56">
        <v>2.5</v>
      </c>
      <c r="I126" s="43" t="str">
        <f t="shared" si="14"/>
        <v/>
      </c>
      <c r="J126" s="43" t="str">
        <f t="shared" si="15"/>
        <v/>
      </c>
      <c r="K126" s="33" t="str">
        <f>IF(B126="","Pending",IF(M126="","⚠️ Enter Code",IF(IFERROR(VLOOKUP(L126,DB_Agents!$B:$F,4,0),"")=TEXT(M126,"0"),"Pending Approval","🔒 WRONG CODE")))</f>
        <v>Pending</v>
      </c>
      <c r="L126" s="30" t="s">
        <v>63</v>
      </c>
      <c r="M126" s="41"/>
      <c r="N126" s="57"/>
    </row>
    <row r="127" spans="1:14" ht="20.100000000000001" customHeight="1" x14ac:dyDescent="0.25">
      <c r="A127" s="30" t="str">
        <f t="shared" si="12"/>
        <v/>
      </c>
      <c r="B127" s="41"/>
      <c r="C127" s="35" t="str">
        <f>IF(B127="","",IFERROR(VLOOKUP(B127,DB_Customers!$A:$B,2,0),"❌ Account Not Found"))</f>
        <v/>
      </c>
      <c r="D127" s="42" t="str">
        <f t="shared" ca="1" si="13"/>
        <v/>
      </c>
      <c r="E127" s="32"/>
      <c r="F127" s="31"/>
      <c r="G127" s="41"/>
      <c r="H127" s="56">
        <v>2.5</v>
      </c>
      <c r="I127" s="43" t="str">
        <f t="shared" si="14"/>
        <v/>
      </c>
      <c r="J127" s="43" t="str">
        <f t="shared" si="15"/>
        <v/>
      </c>
      <c r="K127" s="33" t="str">
        <f>IF(B127="","Pending",IF(M127="","⚠️ Enter Code",IF(IFERROR(VLOOKUP(L127,DB_Agents!$B:$F,4,0),"")=TEXT(M127,"0"),"Pending Approval","🔒 WRONG CODE")))</f>
        <v>Pending</v>
      </c>
      <c r="L127" s="30" t="s">
        <v>63</v>
      </c>
      <c r="M127" s="41"/>
      <c r="N127" s="22"/>
    </row>
    <row r="128" spans="1:14" ht="20.100000000000001" customHeight="1" x14ac:dyDescent="0.25">
      <c r="A128" s="30" t="str">
        <f t="shared" si="12"/>
        <v/>
      </c>
      <c r="B128" s="41"/>
      <c r="C128" s="35" t="str">
        <f>IF(B128="","",IFERROR(VLOOKUP(B128,DB_Customers!$A:$B,2,0),"❌ Account Not Found"))</f>
        <v/>
      </c>
      <c r="D128" s="42" t="str">
        <f t="shared" ca="1" si="13"/>
        <v/>
      </c>
      <c r="E128" s="32"/>
      <c r="F128" s="31"/>
      <c r="G128" s="41"/>
      <c r="H128" s="56">
        <v>2.5</v>
      </c>
      <c r="I128" s="43" t="str">
        <f t="shared" si="14"/>
        <v/>
      </c>
      <c r="J128" s="43" t="str">
        <f t="shared" si="15"/>
        <v/>
      </c>
      <c r="K128" s="33" t="str">
        <f>IF(B128="","Pending",IF(M128="","⚠️ Enter Code",IF(IFERROR(VLOOKUP(L128,DB_Agents!$B:$F,4,0),"")=TEXT(M128,"0"),"Pending Approval","🔒 WRONG CODE")))</f>
        <v>Pending</v>
      </c>
      <c r="L128" s="30" t="s">
        <v>63</v>
      </c>
      <c r="M128" s="41"/>
      <c r="N128" s="57"/>
    </row>
    <row r="129" spans="1:14" ht="20.100000000000001" customHeight="1" x14ac:dyDescent="0.25">
      <c r="A129" s="30" t="str">
        <f t="shared" si="12"/>
        <v/>
      </c>
      <c r="B129" s="41"/>
      <c r="C129" s="35" t="str">
        <f>IF(B129="","",IFERROR(VLOOKUP(B129,DB_Customers!$A:$B,2,0),"❌ Account Not Found"))</f>
        <v/>
      </c>
      <c r="D129" s="42" t="str">
        <f t="shared" ca="1" si="13"/>
        <v/>
      </c>
      <c r="E129" s="32"/>
      <c r="F129" s="31"/>
      <c r="G129" s="41"/>
      <c r="H129" s="56">
        <v>2.5</v>
      </c>
      <c r="I129" s="43" t="str">
        <f t="shared" si="14"/>
        <v/>
      </c>
      <c r="J129" s="43" t="str">
        <f t="shared" si="15"/>
        <v/>
      </c>
      <c r="K129" s="33" t="str">
        <f>IF(B129="","Pending",IF(M129="","⚠️ Enter Code",IF(IFERROR(VLOOKUP(L129,DB_Agents!$B:$F,4,0),"")=TEXT(M129,"0"),"Pending Approval","🔒 WRONG CODE")))</f>
        <v>Pending</v>
      </c>
      <c r="L129" s="30" t="s">
        <v>63</v>
      </c>
      <c r="M129" s="41"/>
      <c r="N129" s="22"/>
    </row>
    <row r="130" spans="1:14" ht="20.100000000000001" customHeight="1" x14ac:dyDescent="0.25">
      <c r="A130" s="30" t="str">
        <f t="shared" si="12"/>
        <v/>
      </c>
      <c r="B130" s="41"/>
      <c r="C130" s="35" t="str">
        <f>IF(B130="","",IFERROR(VLOOKUP(B130,DB_Customers!$A:$B,2,0),"❌ Account Not Found"))</f>
        <v/>
      </c>
      <c r="D130" s="42" t="str">
        <f t="shared" ca="1" si="13"/>
        <v/>
      </c>
      <c r="E130" s="32"/>
      <c r="F130" s="31"/>
      <c r="G130" s="41"/>
      <c r="H130" s="56">
        <v>2.5</v>
      </c>
      <c r="I130" s="43" t="str">
        <f t="shared" si="14"/>
        <v/>
      </c>
      <c r="J130" s="43" t="str">
        <f t="shared" si="15"/>
        <v/>
      </c>
      <c r="K130" s="33" t="str">
        <f>IF(B130="","Pending",IF(M130="","⚠️ Enter Code",IF(IFERROR(VLOOKUP(L130,DB_Agents!$B:$F,4,0),"")=TEXT(M130,"0"),"Pending Approval","🔒 WRONG CODE")))</f>
        <v>Pending</v>
      </c>
      <c r="L130" s="30" t="s">
        <v>63</v>
      </c>
      <c r="M130" s="41"/>
      <c r="N130" s="57"/>
    </row>
    <row r="131" spans="1:14" ht="20.100000000000001" customHeight="1" x14ac:dyDescent="0.25">
      <c r="A131" s="30" t="str">
        <f t="shared" si="12"/>
        <v/>
      </c>
      <c r="B131" s="41"/>
      <c r="C131" s="35" t="str">
        <f>IF(B131="","",IFERROR(VLOOKUP(B131,DB_Customers!$A:$B,2,0),"❌ Account Not Found"))</f>
        <v/>
      </c>
      <c r="D131" s="42" t="str">
        <f t="shared" ca="1" si="13"/>
        <v/>
      </c>
      <c r="E131" s="32"/>
      <c r="F131" s="31"/>
      <c r="G131" s="41"/>
      <c r="H131" s="56">
        <v>2.5</v>
      </c>
      <c r="I131" s="43" t="str">
        <f t="shared" si="14"/>
        <v/>
      </c>
      <c r="J131" s="43" t="str">
        <f t="shared" si="15"/>
        <v/>
      </c>
      <c r="K131" s="33" t="str">
        <f>IF(B131="","Pending",IF(M131="","⚠️ Enter Code",IF(IFERROR(VLOOKUP(L131,DB_Agents!$B:$F,4,0),"")=TEXT(M131,"0"),"Pending Approval","🔒 WRONG CODE")))</f>
        <v>Pending</v>
      </c>
      <c r="L131" s="30" t="s">
        <v>63</v>
      </c>
      <c r="M131" s="41"/>
      <c r="N131" s="22"/>
    </row>
    <row r="132" spans="1:14" ht="20.100000000000001" customHeight="1" x14ac:dyDescent="0.25">
      <c r="A132" s="30" t="str">
        <f t="shared" si="12"/>
        <v/>
      </c>
      <c r="B132" s="41"/>
      <c r="C132" s="35" t="str">
        <f>IF(B132="","",IFERROR(VLOOKUP(B132,DB_Customers!$A:$B,2,0),"❌ Account Not Found"))</f>
        <v/>
      </c>
      <c r="D132" s="42" t="str">
        <f t="shared" ca="1" si="13"/>
        <v/>
      </c>
      <c r="E132" s="32"/>
      <c r="F132" s="31"/>
      <c r="G132" s="41"/>
      <c r="H132" s="56">
        <v>2.5</v>
      </c>
      <c r="I132" s="43" t="str">
        <f t="shared" si="14"/>
        <v/>
      </c>
      <c r="J132" s="43" t="str">
        <f t="shared" si="15"/>
        <v/>
      </c>
      <c r="K132" s="33" t="str">
        <f>IF(B132="","Pending",IF(M132="","⚠️ Enter Code",IF(IFERROR(VLOOKUP(L132,DB_Agents!$B:$F,4,0),"")=TEXT(M132,"0"),"Pending Approval","🔒 WRONG CODE")))</f>
        <v>Pending</v>
      </c>
      <c r="L132" s="30" t="s">
        <v>63</v>
      </c>
      <c r="M132" s="41"/>
      <c r="N132" s="57"/>
    </row>
    <row r="133" spans="1:14" ht="20.100000000000001" customHeight="1" x14ac:dyDescent="0.25">
      <c r="A133" s="30" t="str">
        <f t="shared" si="12"/>
        <v/>
      </c>
      <c r="B133" s="41"/>
      <c r="C133" s="35" t="str">
        <f>IF(B133="","",IFERROR(VLOOKUP(B133,DB_Customers!$A:$B,2,0),"❌ Account Not Found"))</f>
        <v/>
      </c>
      <c r="D133" s="42" t="str">
        <f t="shared" ca="1" si="13"/>
        <v/>
      </c>
      <c r="E133" s="32"/>
      <c r="F133" s="31"/>
      <c r="G133" s="41"/>
      <c r="H133" s="56">
        <v>2.5</v>
      </c>
      <c r="I133" s="43" t="str">
        <f t="shared" si="14"/>
        <v/>
      </c>
      <c r="J133" s="43" t="str">
        <f t="shared" si="15"/>
        <v/>
      </c>
      <c r="K133" s="33" t="str">
        <f>IF(B133="","Pending",IF(M133="","⚠️ Enter Code",IF(IFERROR(VLOOKUP(L133,DB_Agents!$B:$F,4,0),"")=TEXT(M133,"0"),"Pending Approval","🔒 WRONG CODE")))</f>
        <v>Pending</v>
      </c>
      <c r="L133" s="30" t="s">
        <v>63</v>
      </c>
      <c r="M133" s="41"/>
      <c r="N133" s="22"/>
    </row>
    <row r="134" spans="1:14" ht="20.100000000000001" customHeight="1" x14ac:dyDescent="0.25">
      <c r="A134" s="30" t="str">
        <f t="shared" si="12"/>
        <v/>
      </c>
      <c r="B134" s="41"/>
      <c r="C134" s="35" t="str">
        <f>IF(B134="","",IFERROR(VLOOKUP(B134,DB_Customers!$A:$B,2,0),"❌ Account Not Found"))</f>
        <v/>
      </c>
      <c r="D134" s="42" t="str">
        <f t="shared" ca="1" si="13"/>
        <v/>
      </c>
      <c r="E134" s="32"/>
      <c r="F134" s="31"/>
      <c r="G134" s="41"/>
      <c r="H134" s="56">
        <v>2.5</v>
      </c>
      <c r="I134" s="43" t="str">
        <f t="shared" si="14"/>
        <v/>
      </c>
      <c r="J134" s="43" t="str">
        <f t="shared" si="15"/>
        <v/>
      </c>
      <c r="K134" s="33" t="str">
        <f>IF(B134="","Pending",IF(M134="","⚠️ Enter Code",IF(IFERROR(VLOOKUP(L134,DB_Agents!$B:$F,4,0),"")=TEXT(M134,"0"),"Pending Approval","🔒 WRONG CODE")))</f>
        <v>Pending</v>
      </c>
      <c r="L134" s="30" t="s">
        <v>63</v>
      </c>
      <c r="M134" s="41"/>
      <c r="N134" s="57"/>
    </row>
    <row r="135" spans="1:14" ht="20.100000000000001" customHeight="1" x14ac:dyDescent="0.25">
      <c r="A135" s="30" t="str">
        <f t="shared" si="12"/>
        <v/>
      </c>
      <c r="B135" s="41"/>
      <c r="C135" s="35" t="str">
        <f>IF(B135="","",IFERROR(VLOOKUP(B135,DB_Customers!$A:$B,2,0),"❌ Account Not Found"))</f>
        <v/>
      </c>
      <c r="D135" s="42" t="str">
        <f t="shared" ca="1" si="13"/>
        <v/>
      </c>
      <c r="E135" s="32"/>
      <c r="F135" s="31"/>
      <c r="G135" s="41"/>
      <c r="H135" s="56">
        <v>2.5</v>
      </c>
      <c r="I135" s="43" t="str">
        <f t="shared" si="14"/>
        <v/>
      </c>
      <c r="J135" s="43" t="str">
        <f t="shared" si="15"/>
        <v/>
      </c>
      <c r="K135" s="33" t="str">
        <f>IF(B135="","Pending",IF(M135="","⚠️ Enter Code",IF(IFERROR(VLOOKUP(L135,DB_Agents!$B:$F,4,0),"")=TEXT(M135,"0"),"Pending Approval","🔒 WRONG CODE")))</f>
        <v>Pending</v>
      </c>
      <c r="L135" s="30" t="s">
        <v>63</v>
      </c>
      <c r="M135" s="41"/>
      <c r="N135" s="22"/>
    </row>
    <row r="136" spans="1:14" ht="20.100000000000001" customHeight="1" x14ac:dyDescent="0.25">
      <c r="A136" s="30" t="str">
        <f t="shared" si="12"/>
        <v/>
      </c>
      <c r="B136" s="41"/>
      <c r="C136" s="35" t="str">
        <f>IF(B136="","",IFERROR(VLOOKUP(B136,DB_Customers!$A:$B,2,0),"❌ Account Not Found"))</f>
        <v/>
      </c>
      <c r="D136" s="42" t="str">
        <f t="shared" ca="1" si="13"/>
        <v/>
      </c>
      <c r="E136" s="32"/>
      <c r="F136" s="31"/>
      <c r="G136" s="41"/>
      <c r="H136" s="56">
        <v>2.5</v>
      </c>
      <c r="I136" s="43" t="str">
        <f t="shared" si="14"/>
        <v/>
      </c>
      <c r="J136" s="43" t="str">
        <f t="shared" si="15"/>
        <v/>
      </c>
      <c r="K136" s="33" t="str">
        <f>IF(B136="","Pending",IF(M136="","⚠️ Enter Code",IF(IFERROR(VLOOKUP(L136,DB_Agents!$B:$F,4,0),"")=TEXT(M136,"0"),"Pending Approval","🔒 WRONG CODE")))</f>
        <v>Pending</v>
      </c>
      <c r="L136" s="30" t="s">
        <v>63</v>
      </c>
      <c r="M136" s="41"/>
      <c r="N136" s="57"/>
    </row>
    <row r="137" spans="1:14" ht="20.100000000000001" customHeight="1" x14ac:dyDescent="0.25">
      <c r="A137" s="30" t="str">
        <f t="shared" si="12"/>
        <v/>
      </c>
      <c r="B137" s="41"/>
      <c r="C137" s="35" t="str">
        <f>IF(B137="","",IFERROR(VLOOKUP(B137,DB_Customers!$A:$B,2,0),"❌ Account Not Found"))</f>
        <v/>
      </c>
      <c r="D137" s="42" t="str">
        <f t="shared" ca="1" si="13"/>
        <v/>
      </c>
      <c r="E137" s="32"/>
      <c r="F137" s="31"/>
      <c r="G137" s="41"/>
      <c r="H137" s="56">
        <v>2.5</v>
      </c>
      <c r="I137" s="43" t="str">
        <f t="shared" si="14"/>
        <v/>
      </c>
      <c r="J137" s="43" t="str">
        <f t="shared" si="15"/>
        <v/>
      </c>
      <c r="K137" s="33" t="str">
        <f>IF(B137="","Pending",IF(M137="","⚠️ Enter Code",IF(IFERROR(VLOOKUP(L137,DB_Agents!$B:$F,4,0),"")=TEXT(M137,"0"),"Pending Approval","🔒 WRONG CODE")))</f>
        <v>Pending</v>
      </c>
      <c r="L137" s="30" t="s">
        <v>63</v>
      </c>
      <c r="M137" s="41"/>
      <c r="N137" s="22"/>
    </row>
    <row r="138" spans="1:14" ht="20.100000000000001" customHeight="1" x14ac:dyDescent="0.25">
      <c r="A138" s="30" t="str">
        <f t="shared" si="12"/>
        <v/>
      </c>
      <c r="B138" s="41"/>
      <c r="C138" s="35" t="str">
        <f>IF(B138="","",IFERROR(VLOOKUP(B138,DB_Customers!$A:$B,2,0),"❌ Account Not Found"))</f>
        <v/>
      </c>
      <c r="D138" s="42" t="str">
        <f t="shared" ca="1" si="13"/>
        <v/>
      </c>
      <c r="E138" s="32"/>
      <c r="F138" s="31"/>
      <c r="G138" s="41"/>
      <c r="H138" s="56">
        <v>2.5</v>
      </c>
      <c r="I138" s="43" t="str">
        <f t="shared" si="14"/>
        <v/>
      </c>
      <c r="J138" s="43" t="str">
        <f t="shared" si="15"/>
        <v/>
      </c>
      <c r="K138" s="33" t="str">
        <f>IF(B138="","Pending",IF(M138="","⚠️ Enter Code",IF(IFERROR(VLOOKUP(L138,DB_Agents!$B:$F,4,0),"")=TEXT(M138,"0"),"Pending Approval","🔒 WRONG CODE")))</f>
        <v>Pending</v>
      </c>
      <c r="L138" s="30" t="s">
        <v>63</v>
      </c>
      <c r="M138" s="41"/>
      <c r="N138" s="57"/>
    </row>
    <row r="139" spans="1:14" ht="20.100000000000001" customHeight="1" x14ac:dyDescent="0.25">
      <c r="A139" s="30" t="str">
        <f t="shared" si="12"/>
        <v/>
      </c>
      <c r="B139" s="41"/>
      <c r="C139" s="35" t="str">
        <f>IF(B139="","",IFERROR(VLOOKUP(B139,DB_Customers!$A:$B,2,0),"❌ Account Not Found"))</f>
        <v/>
      </c>
      <c r="D139" s="42" t="str">
        <f t="shared" ca="1" si="13"/>
        <v/>
      </c>
      <c r="E139" s="32"/>
      <c r="F139" s="31"/>
      <c r="G139" s="41"/>
      <c r="H139" s="56">
        <v>2.5</v>
      </c>
      <c r="I139" s="43" t="str">
        <f t="shared" si="14"/>
        <v/>
      </c>
      <c r="J139" s="43" t="str">
        <f t="shared" si="15"/>
        <v/>
      </c>
      <c r="K139" s="33" t="str">
        <f>IF(B139="","Pending",IF(M139="","⚠️ Enter Code",IF(IFERROR(VLOOKUP(L139,DB_Agents!$B:$F,4,0),"")=TEXT(M139,"0"),"Pending Approval","🔒 WRONG CODE")))</f>
        <v>Pending</v>
      </c>
      <c r="L139" s="30" t="s">
        <v>63</v>
      </c>
      <c r="M139" s="41"/>
      <c r="N139" s="22"/>
    </row>
    <row r="140" spans="1:14" ht="20.100000000000001" customHeight="1" x14ac:dyDescent="0.25">
      <c r="A140" s="30" t="str">
        <f t="shared" si="12"/>
        <v/>
      </c>
      <c r="B140" s="41"/>
      <c r="C140" s="35" t="str">
        <f>IF(B140="","",IFERROR(VLOOKUP(B140,DB_Customers!$A:$B,2,0),"❌ Account Not Found"))</f>
        <v/>
      </c>
      <c r="D140" s="42" t="str">
        <f t="shared" ca="1" si="13"/>
        <v/>
      </c>
      <c r="E140" s="32"/>
      <c r="F140" s="31"/>
      <c r="G140" s="41"/>
      <c r="H140" s="56">
        <v>2.5</v>
      </c>
      <c r="I140" s="43" t="str">
        <f t="shared" si="14"/>
        <v/>
      </c>
      <c r="J140" s="43" t="str">
        <f t="shared" si="15"/>
        <v/>
      </c>
      <c r="K140" s="33" t="str">
        <f>IF(B140="","Pending",IF(M140="","⚠️ Enter Code",IF(IFERROR(VLOOKUP(L140,DB_Agents!$B:$F,4,0),"")=TEXT(M140,"0"),"Pending Approval","🔒 WRONG CODE")))</f>
        <v>Pending</v>
      </c>
      <c r="L140" s="30" t="s">
        <v>63</v>
      </c>
      <c r="M140" s="41"/>
      <c r="N140" s="57"/>
    </row>
    <row r="141" spans="1:14" ht="20.100000000000001" customHeight="1" x14ac:dyDescent="0.25">
      <c r="A141" s="30" t="str">
        <f t="shared" si="12"/>
        <v/>
      </c>
      <c r="B141" s="41"/>
      <c r="C141" s="35" t="str">
        <f>IF(B141="","",IFERROR(VLOOKUP(B141,DB_Customers!$A:$B,2,0),"❌ Account Not Found"))</f>
        <v/>
      </c>
      <c r="D141" s="42" t="str">
        <f t="shared" ca="1" si="13"/>
        <v/>
      </c>
      <c r="E141" s="32"/>
      <c r="F141" s="31"/>
      <c r="G141" s="41"/>
      <c r="H141" s="56">
        <v>2.5</v>
      </c>
      <c r="I141" s="43" t="str">
        <f t="shared" si="14"/>
        <v/>
      </c>
      <c r="J141" s="43" t="str">
        <f t="shared" si="15"/>
        <v/>
      </c>
      <c r="K141" s="33" t="str">
        <f>IF(B141="","Pending",IF(M141="","⚠️ Enter Code",IF(IFERROR(VLOOKUP(L141,DB_Agents!$B:$F,4,0),"")=TEXT(M141,"0"),"Pending Approval","🔒 WRONG CODE")))</f>
        <v>Pending</v>
      </c>
      <c r="L141" s="30" t="s">
        <v>63</v>
      </c>
      <c r="M141" s="41"/>
      <c r="N141" s="22"/>
    </row>
    <row r="142" spans="1:14" ht="20.100000000000001" customHeight="1" x14ac:dyDescent="0.25">
      <c r="A142" s="30" t="str">
        <f t="shared" ref="A142:A173" si="16">IF(B142="","",IF(C142="❌ Account Not Found","INVALID","LN"&amp;TEXT(D142,"YYYYMMDD")&amp;TEXT(ROW()-13,"0000")))</f>
        <v/>
      </c>
      <c r="B142" s="41"/>
      <c r="C142" s="35" t="str">
        <f>IF(B142="","",IFERROR(VLOOKUP(B142,DB_Customers!$A:$B,2,0),"❌ Account Not Found"))</f>
        <v/>
      </c>
      <c r="D142" s="42" t="str">
        <f t="shared" ref="D142:D173" ca="1" si="17">IF(B142="","",TODAY())</f>
        <v/>
      </c>
      <c r="E142" s="32"/>
      <c r="F142" s="31"/>
      <c r="G142" s="41"/>
      <c r="H142" s="56">
        <v>2.5</v>
      </c>
      <c r="I142" s="43" t="str">
        <f t="shared" ref="I142:I173" si="18">IF(E142="","",E142+(E142*H142/100*G142))</f>
        <v/>
      </c>
      <c r="J142" s="43" t="str">
        <f t="shared" ref="J142:J173" si="19">IFERROR(I142/G142,"")</f>
        <v/>
      </c>
      <c r="K142" s="33" t="str">
        <f>IF(B142="","Pending",IF(M142="","⚠️ Enter Code",IF(IFERROR(VLOOKUP(L142,DB_Agents!$B:$F,4,0),"")=TEXT(M142,"0"),"Pending Approval","🔒 WRONG CODE")))</f>
        <v>Pending</v>
      </c>
      <c r="L142" s="30" t="s">
        <v>63</v>
      </c>
      <c r="M142" s="41"/>
      <c r="N142" s="57"/>
    </row>
    <row r="143" spans="1:14" ht="20.100000000000001" customHeight="1" x14ac:dyDescent="0.25">
      <c r="A143" s="30" t="str">
        <f t="shared" si="16"/>
        <v/>
      </c>
      <c r="B143" s="41"/>
      <c r="C143" s="35" t="str">
        <f>IF(B143="","",IFERROR(VLOOKUP(B143,DB_Customers!$A:$B,2,0),"❌ Account Not Found"))</f>
        <v/>
      </c>
      <c r="D143" s="42" t="str">
        <f t="shared" ca="1" si="17"/>
        <v/>
      </c>
      <c r="E143" s="32"/>
      <c r="F143" s="31"/>
      <c r="G143" s="41"/>
      <c r="H143" s="56">
        <v>2.5</v>
      </c>
      <c r="I143" s="43" t="str">
        <f t="shared" si="18"/>
        <v/>
      </c>
      <c r="J143" s="43" t="str">
        <f t="shared" si="19"/>
        <v/>
      </c>
      <c r="K143" s="33" t="str">
        <f>IF(B143="","Pending",IF(M143="","⚠️ Enter Code",IF(IFERROR(VLOOKUP(L143,DB_Agents!$B:$F,4,0),"")=TEXT(M143,"0"),"Pending Approval","🔒 WRONG CODE")))</f>
        <v>Pending</v>
      </c>
      <c r="L143" s="30" t="s">
        <v>63</v>
      </c>
      <c r="M143" s="41"/>
      <c r="N143" s="22"/>
    </row>
    <row r="144" spans="1:14" ht="20.100000000000001" customHeight="1" x14ac:dyDescent="0.25">
      <c r="A144" s="30" t="str">
        <f t="shared" si="16"/>
        <v/>
      </c>
      <c r="B144" s="41"/>
      <c r="C144" s="35" t="str">
        <f>IF(B144="","",IFERROR(VLOOKUP(B144,DB_Customers!$A:$B,2,0),"❌ Account Not Found"))</f>
        <v/>
      </c>
      <c r="D144" s="42" t="str">
        <f t="shared" ca="1" si="17"/>
        <v/>
      </c>
      <c r="E144" s="32"/>
      <c r="F144" s="31"/>
      <c r="G144" s="41"/>
      <c r="H144" s="56">
        <v>2.5</v>
      </c>
      <c r="I144" s="43" t="str">
        <f t="shared" si="18"/>
        <v/>
      </c>
      <c r="J144" s="43" t="str">
        <f t="shared" si="19"/>
        <v/>
      </c>
      <c r="K144" s="33" t="str">
        <f>IF(B144="","Pending",IF(M144="","⚠️ Enter Code",IF(IFERROR(VLOOKUP(L144,DB_Agents!$B:$F,4,0),"")=TEXT(M144,"0"),"Pending Approval","🔒 WRONG CODE")))</f>
        <v>Pending</v>
      </c>
      <c r="L144" s="30" t="s">
        <v>63</v>
      </c>
      <c r="M144" s="41"/>
      <c r="N144" s="57"/>
    </row>
    <row r="145" spans="1:14" ht="20.100000000000001" customHeight="1" x14ac:dyDescent="0.25">
      <c r="A145" s="30" t="str">
        <f t="shared" si="16"/>
        <v/>
      </c>
      <c r="B145" s="41"/>
      <c r="C145" s="35" t="str">
        <f>IF(B145="","",IFERROR(VLOOKUP(B145,DB_Customers!$A:$B,2,0),"❌ Account Not Found"))</f>
        <v/>
      </c>
      <c r="D145" s="42" t="str">
        <f t="shared" ca="1" si="17"/>
        <v/>
      </c>
      <c r="E145" s="32"/>
      <c r="F145" s="31"/>
      <c r="G145" s="41"/>
      <c r="H145" s="56">
        <v>2.5</v>
      </c>
      <c r="I145" s="43" t="str">
        <f t="shared" si="18"/>
        <v/>
      </c>
      <c r="J145" s="43" t="str">
        <f t="shared" si="19"/>
        <v/>
      </c>
      <c r="K145" s="33" t="str">
        <f>IF(B145="","Pending",IF(M145="","⚠️ Enter Code",IF(IFERROR(VLOOKUP(L145,DB_Agents!$B:$F,4,0),"")=TEXT(M145,"0"),"Pending Approval","🔒 WRONG CODE")))</f>
        <v>Pending</v>
      </c>
      <c r="L145" s="30" t="s">
        <v>63</v>
      </c>
      <c r="M145" s="41"/>
      <c r="N145" s="22"/>
    </row>
    <row r="146" spans="1:14" ht="20.100000000000001" customHeight="1" x14ac:dyDescent="0.25">
      <c r="A146" s="30" t="str">
        <f t="shared" si="16"/>
        <v/>
      </c>
      <c r="B146" s="41"/>
      <c r="C146" s="35" t="str">
        <f>IF(B146="","",IFERROR(VLOOKUP(B146,DB_Customers!$A:$B,2,0),"❌ Account Not Found"))</f>
        <v/>
      </c>
      <c r="D146" s="42" t="str">
        <f t="shared" ca="1" si="17"/>
        <v/>
      </c>
      <c r="E146" s="32"/>
      <c r="F146" s="31"/>
      <c r="G146" s="41"/>
      <c r="H146" s="56">
        <v>2.5</v>
      </c>
      <c r="I146" s="43" t="str">
        <f t="shared" si="18"/>
        <v/>
      </c>
      <c r="J146" s="43" t="str">
        <f t="shared" si="19"/>
        <v/>
      </c>
      <c r="K146" s="33" t="str">
        <f>IF(B146="","Pending",IF(M146="","⚠️ Enter Code",IF(IFERROR(VLOOKUP(L146,DB_Agents!$B:$F,4,0),"")=TEXT(M146,"0"),"Pending Approval","🔒 WRONG CODE")))</f>
        <v>Pending</v>
      </c>
      <c r="L146" s="30" t="s">
        <v>63</v>
      </c>
      <c r="M146" s="41"/>
      <c r="N146" s="57"/>
    </row>
    <row r="147" spans="1:14" ht="20.100000000000001" customHeight="1" x14ac:dyDescent="0.25">
      <c r="A147" s="30" t="str">
        <f t="shared" si="16"/>
        <v/>
      </c>
      <c r="B147" s="41"/>
      <c r="C147" s="35" t="str">
        <f>IF(B147="","",IFERROR(VLOOKUP(B147,DB_Customers!$A:$B,2,0),"❌ Account Not Found"))</f>
        <v/>
      </c>
      <c r="D147" s="42" t="str">
        <f t="shared" ca="1" si="17"/>
        <v/>
      </c>
      <c r="E147" s="32"/>
      <c r="F147" s="31"/>
      <c r="G147" s="41"/>
      <c r="H147" s="56">
        <v>2.5</v>
      </c>
      <c r="I147" s="43" t="str">
        <f t="shared" si="18"/>
        <v/>
      </c>
      <c r="J147" s="43" t="str">
        <f t="shared" si="19"/>
        <v/>
      </c>
      <c r="K147" s="33" t="str">
        <f>IF(B147="","Pending",IF(M147="","⚠️ Enter Code",IF(IFERROR(VLOOKUP(L147,DB_Agents!$B:$F,4,0),"")=TEXT(M147,"0"),"Pending Approval","🔒 WRONG CODE")))</f>
        <v>Pending</v>
      </c>
      <c r="L147" s="30" t="s">
        <v>63</v>
      </c>
      <c r="M147" s="41"/>
      <c r="N147" s="22"/>
    </row>
    <row r="148" spans="1:14" ht="20.100000000000001" customHeight="1" x14ac:dyDescent="0.25">
      <c r="A148" s="30" t="str">
        <f t="shared" si="16"/>
        <v/>
      </c>
      <c r="B148" s="41"/>
      <c r="C148" s="35" t="str">
        <f>IF(B148="","",IFERROR(VLOOKUP(B148,DB_Customers!$A:$B,2,0),"❌ Account Not Found"))</f>
        <v/>
      </c>
      <c r="D148" s="42" t="str">
        <f t="shared" ca="1" si="17"/>
        <v/>
      </c>
      <c r="E148" s="32"/>
      <c r="F148" s="31"/>
      <c r="G148" s="41"/>
      <c r="H148" s="56">
        <v>2.5</v>
      </c>
      <c r="I148" s="43" t="str">
        <f t="shared" si="18"/>
        <v/>
      </c>
      <c r="J148" s="43" t="str">
        <f t="shared" si="19"/>
        <v/>
      </c>
      <c r="K148" s="33" t="str">
        <f>IF(B148="","Pending",IF(M148="","⚠️ Enter Code",IF(IFERROR(VLOOKUP(L148,DB_Agents!$B:$F,4,0),"")=TEXT(M148,"0"),"Pending Approval","🔒 WRONG CODE")))</f>
        <v>Pending</v>
      </c>
      <c r="L148" s="30" t="s">
        <v>63</v>
      </c>
      <c r="M148" s="41"/>
      <c r="N148" s="57"/>
    </row>
    <row r="149" spans="1:14" ht="20.100000000000001" customHeight="1" x14ac:dyDescent="0.25">
      <c r="A149" s="30" t="str">
        <f t="shared" si="16"/>
        <v/>
      </c>
      <c r="B149" s="41"/>
      <c r="C149" s="35" t="str">
        <f>IF(B149="","",IFERROR(VLOOKUP(B149,DB_Customers!$A:$B,2,0),"❌ Account Not Found"))</f>
        <v/>
      </c>
      <c r="D149" s="42" t="str">
        <f t="shared" ca="1" si="17"/>
        <v/>
      </c>
      <c r="E149" s="32"/>
      <c r="F149" s="31"/>
      <c r="G149" s="41"/>
      <c r="H149" s="56">
        <v>2.5</v>
      </c>
      <c r="I149" s="43" t="str">
        <f t="shared" si="18"/>
        <v/>
      </c>
      <c r="J149" s="43" t="str">
        <f t="shared" si="19"/>
        <v/>
      </c>
      <c r="K149" s="33" t="str">
        <f>IF(B149="","Pending",IF(M149="","⚠️ Enter Code",IF(IFERROR(VLOOKUP(L149,DB_Agents!$B:$F,4,0),"")=TEXT(M149,"0"),"Pending Approval","🔒 WRONG CODE")))</f>
        <v>Pending</v>
      </c>
      <c r="L149" s="30" t="s">
        <v>63</v>
      </c>
      <c r="M149" s="41"/>
      <c r="N149" s="22"/>
    </row>
    <row r="150" spans="1:14" ht="20.100000000000001" customHeight="1" x14ac:dyDescent="0.25">
      <c r="A150" s="30" t="str">
        <f t="shared" si="16"/>
        <v/>
      </c>
      <c r="B150" s="41"/>
      <c r="C150" s="35" t="str">
        <f>IF(B150="","",IFERROR(VLOOKUP(B150,DB_Customers!$A:$B,2,0),"❌ Account Not Found"))</f>
        <v/>
      </c>
      <c r="D150" s="42" t="str">
        <f t="shared" ca="1" si="17"/>
        <v/>
      </c>
      <c r="E150" s="32"/>
      <c r="F150" s="31"/>
      <c r="G150" s="41"/>
      <c r="H150" s="56">
        <v>2.5</v>
      </c>
      <c r="I150" s="43" t="str">
        <f t="shared" si="18"/>
        <v/>
      </c>
      <c r="J150" s="43" t="str">
        <f t="shared" si="19"/>
        <v/>
      </c>
      <c r="K150" s="33" t="str">
        <f>IF(B150="","Pending",IF(M150="","⚠️ Enter Code",IF(IFERROR(VLOOKUP(L150,DB_Agents!$B:$F,4,0),"")=TEXT(M150,"0"),"Pending Approval","🔒 WRONG CODE")))</f>
        <v>Pending</v>
      </c>
      <c r="L150" s="30" t="s">
        <v>63</v>
      </c>
      <c r="M150" s="41"/>
      <c r="N150" s="57"/>
    </row>
    <row r="151" spans="1:14" ht="20.100000000000001" customHeight="1" x14ac:dyDescent="0.25">
      <c r="A151" s="30" t="str">
        <f t="shared" si="16"/>
        <v/>
      </c>
      <c r="B151" s="41"/>
      <c r="C151" s="35" t="str">
        <f>IF(B151="","",IFERROR(VLOOKUP(B151,DB_Customers!$A:$B,2,0),"❌ Account Not Found"))</f>
        <v/>
      </c>
      <c r="D151" s="42" t="str">
        <f t="shared" ca="1" si="17"/>
        <v/>
      </c>
      <c r="E151" s="32"/>
      <c r="F151" s="31"/>
      <c r="G151" s="41"/>
      <c r="H151" s="56">
        <v>2.5</v>
      </c>
      <c r="I151" s="43" t="str">
        <f t="shared" si="18"/>
        <v/>
      </c>
      <c r="J151" s="43" t="str">
        <f t="shared" si="19"/>
        <v/>
      </c>
      <c r="K151" s="33" t="str">
        <f>IF(B151="","Pending",IF(M151="","⚠️ Enter Code",IF(IFERROR(VLOOKUP(L151,DB_Agents!$B:$F,4,0),"")=TEXT(M151,"0"),"Pending Approval","🔒 WRONG CODE")))</f>
        <v>Pending</v>
      </c>
      <c r="L151" s="30" t="s">
        <v>63</v>
      </c>
      <c r="M151" s="41"/>
      <c r="N151" s="22"/>
    </row>
    <row r="152" spans="1:14" ht="20.100000000000001" customHeight="1" x14ac:dyDescent="0.25">
      <c r="A152" s="30" t="str">
        <f t="shared" si="16"/>
        <v/>
      </c>
      <c r="B152" s="41"/>
      <c r="C152" s="35" t="str">
        <f>IF(B152="","",IFERROR(VLOOKUP(B152,DB_Customers!$A:$B,2,0),"❌ Account Not Found"))</f>
        <v/>
      </c>
      <c r="D152" s="42" t="str">
        <f t="shared" ca="1" si="17"/>
        <v/>
      </c>
      <c r="E152" s="32"/>
      <c r="F152" s="31"/>
      <c r="G152" s="41"/>
      <c r="H152" s="56">
        <v>2.5</v>
      </c>
      <c r="I152" s="43" t="str">
        <f t="shared" si="18"/>
        <v/>
      </c>
      <c r="J152" s="43" t="str">
        <f t="shared" si="19"/>
        <v/>
      </c>
      <c r="K152" s="33" t="str">
        <f>IF(B152="","Pending",IF(M152="","⚠️ Enter Code",IF(IFERROR(VLOOKUP(L152,DB_Agents!$B:$F,4,0),"")=TEXT(M152,"0"),"Pending Approval","🔒 WRONG CODE")))</f>
        <v>Pending</v>
      </c>
      <c r="L152" s="30" t="s">
        <v>63</v>
      </c>
      <c r="M152" s="41"/>
      <c r="N152" s="57"/>
    </row>
    <row r="153" spans="1:14" ht="20.100000000000001" customHeight="1" x14ac:dyDescent="0.25">
      <c r="A153" s="30" t="str">
        <f t="shared" si="16"/>
        <v/>
      </c>
      <c r="B153" s="41"/>
      <c r="C153" s="35" t="str">
        <f>IF(B153="","",IFERROR(VLOOKUP(B153,DB_Customers!$A:$B,2,0),"❌ Account Not Found"))</f>
        <v/>
      </c>
      <c r="D153" s="42" t="str">
        <f t="shared" ca="1" si="17"/>
        <v/>
      </c>
      <c r="E153" s="32"/>
      <c r="F153" s="31"/>
      <c r="G153" s="41"/>
      <c r="H153" s="56">
        <v>2.5</v>
      </c>
      <c r="I153" s="43" t="str">
        <f t="shared" si="18"/>
        <v/>
      </c>
      <c r="J153" s="43" t="str">
        <f t="shared" si="19"/>
        <v/>
      </c>
      <c r="K153" s="33" t="str">
        <f>IF(B153="","Pending",IF(M153="","⚠️ Enter Code",IF(IFERROR(VLOOKUP(L153,DB_Agents!$B:$F,4,0),"")=TEXT(M153,"0"),"Pending Approval","🔒 WRONG CODE")))</f>
        <v>Pending</v>
      </c>
      <c r="L153" s="30" t="s">
        <v>63</v>
      </c>
      <c r="M153" s="41"/>
      <c r="N153" s="22"/>
    </row>
    <row r="154" spans="1:14" ht="20.100000000000001" customHeight="1" x14ac:dyDescent="0.25">
      <c r="A154" s="30" t="str">
        <f t="shared" si="16"/>
        <v/>
      </c>
      <c r="B154" s="41"/>
      <c r="C154" s="35" t="str">
        <f>IF(B154="","",IFERROR(VLOOKUP(B154,DB_Customers!$A:$B,2,0),"❌ Account Not Found"))</f>
        <v/>
      </c>
      <c r="D154" s="42" t="str">
        <f t="shared" ca="1" si="17"/>
        <v/>
      </c>
      <c r="E154" s="32"/>
      <c r="F154" s="31"/>
      <c r="G154" s="41"/>
      <c r="H154" s="56">
        <v>2.5</v>
      </c>
      <c r="I154" s="43" t="str">
        <f t="shared" si="18"/>
        <v/>
      </c>
      <c r="J154" s="43" t="str">
        <f t="shared" si="19"/>
        <v/>
      </c>
      <c r="K154" s="33" t="str">
        <f>IF(B154="","Pending",IF(M154="","⚠️ Enter Code",IF(IFERROR(VLOOKUP(L154,DB_Agents!$B:$F,4,0),"")=TEXT(M154,"0"),"Pending Approval","🔒 WRONG CODE")))</f>
        <v>Pending</v>
      </c>
      <c r="L154" s="30" t="s">
        <v>63</v>
      </c>
      <c r="M154" s="41"/>
      <c r="N154" s="57"/>
    </row>
    <row r="155" spans="1:14" ht="20.100000000000001" customHeight="1" x14ac:dyDescent="0.25">
      <c r="A155" s="30" t="str">
        <f t="shared" si="16"/>
        <v/>
      </c>
      <c r="B155" s="41"/>
      <c r="C155" s="35" t="str">
        <f>IF(B155="","",IFERROR(VLOOKUP(B155,DB_Customers!$A:$B,2,0),"❌ Account Not Found"))</f>
        <v/>
      </c>
      <c r="D155" s="42" t="str">
        <f t="shared" ca="1" si="17"/>
        <v/>
      </c>
      <c r="E155" s="32"/>
      <c r="F155" s="31"/>
      <c r="G155" s="41"/>
      <c r="H155" s="56">
        <v>2.5</v>
      </c>
      <c r="I155" s="43" t="str">
        <f t="shared" si="18"/>
        <v/>
      </c>
      <c r="J155" s="43" t="str">
        <f t="shared" si="19"/>
        <v/>
      </c>
      <c r="K155" s="33" t="str">
        <f>IF(B155="","Pending",IF(M155="","⚠️ Enter Code",IF(IFERROR(VLOOKUP(L155,DB_Agents!$B:$F,4,0),"")=TEXT(M155,"0"),"Pending Approval","🔒 WRONG CODE")))</f>
        <v>Pending</v>
      </c>
      <c r="L155" s="30" t="s">
        <v>63</v>
      </c>
      <c r="M155" s="41"/>
      <c r="N155" s="22"/>
    </row>
    <row r="156" spans="1:14" ht="20.100000000000001" customHeight="1" x14ac:dyDescent="0.25">
      <c r="A156" s="30" t="str">
        <f t="shared" si="16"/>
        <v/>
      </c>
      <c r="B156" s="41"/>
      <c r="C156" s="35" t="str">
        <f>IF(B156="","",IFERROR(VLOOKUP(B156,DB_Customers!$A:$B,2,0),"❌ Account Not Found"))</f>
        <v/>
      </c>
      <c r="D156" s="42" t="str">
        <f t="shared" ca="1" si="17"/>
        <v/>
      </c>
      <c r="E156" s="32"/>
      <c r="F156" s="31"/>
      <c r="G156" s="41"/>
      <c r="H156" s="56">
        <v>2.5</v>
      </c>
      <c r="I156" s="43" t="str">
        <f t="shared" si="18"/>
        <v/>
      </c>
      <c r="J156" s="43" t="str">
        <f t="shared" si="19"/>
        <v/>
      </c>
      <c r="K156" s="33" t="str">
        <f>IF(B156="","Pending",IF(M156="","⚠️ Enter Code",IF(IFERROR(VLOOKUP(L156,DB_Agents!$B:$F,4,0),"")=TEXT(M156,"0"),"Pending Approval","🔒 WRONG CODE")))</f>
        <v>Pending</v>
      </c>
      <c r="L156" s="30" t="s">
        <v>63</v>
      </c>
      <c r="M156" s="41"/>
      <c r="N156" s="57"/>
    </row>
    <row r="157" spans="1:14" ht="20.100000000000001" customHeight="1" x14ac:dyDescent="0.25">
      <c r="A157" s="30" t="str">
        <f t="shared" si="16"/>
        <v/>
      </c>
      <c r="B157" s="41"/>
      <c r="C157" s="35" t="str">
        <f>IF(B157="","",IFERROR(VLOOKUP(B157,DB_Customers!$A:$B,2,0),"❌ Account Not Found"))</f>
        <v/>
      </c>
      <c r="D157" s="42" t="str">
        <f t="shared" ca="1" si="17"/>
        <v/>
      </c>
      <c r="E157" s="32"/>
      <c r="F157" s="31"/>
      <c r="G157" s="41"/>
      <c r="H157" s="56">
        <v>2.5</v>
      </c>
      <c r="I157" s="43" t="str">
        <f t="shared" si="18"/>
        <v/>
      </c>
      <c r="J157" s="43" t="str">
        <f t="shared" si="19"/>
        <v/>
      </c>
      <c r="K157" s="33" t="str">
        <f>IF(B157="","Pending",IF(M157="","⚠️ Enter Code",IF(IFERROR(VLOOKUP(L157,DB_Agents!$B:$F,4,0),"")=TEXT(M157,"0"),"Pending Approval","🔒 WRONG CODE")))</f>
        <v>Pending</v>
      </c>
      <c r="L157" s="30" t="s">
        <v>63</v>
      </c>
      <c r="M157" s="41"/>
      <c r="N157" s="22"/>
    </row>
    <row r="158" spans="1:14" ht="20.100000000000001" customHeight="1" x14ac:dyDescent="0.25">
      <c r="A158" s="30" t="str">
        <f t="shared" si="16"/>
        <v/>
      </c>
      <c r="B158" s="41"/>
      <c r="C158" s="35" t="str">
        <f>IF(B158="","",IFERROR(VLOOKUP(B158,DB_Customers!$A:$B,2,0),"❌ Account Not Found"))</f>
        <v/>
      </c>
      <c r="D158" s="42" t="str">
        <f t="shared" ca="1" si="17"/>
        <v/>
      </c>
      <c r="E158" s="32"/>
      <c r="F158" s="31"/>
      <c r="G158" s="41"/>
      <c r="H158" s="56">
        <v>2.5</v>
      </c>
      <c r="I158" s="43" t="str">
        <f t="shared" si="18"/>
        <v/>
      </c>
      <c r="J158" s="43" t="str">
        <f t="shared" si="19"/>
        <v/>
      </c>
      <c r="K158" s="33" t="str">
        <f>IF(B158="","Pending",IF(M158="","⚠️ Enter Code",IF(IFERROR(VLOOKUP(L158,DB_Agents!$B:$F,4,0),"")=TEXT(M158,"0"),"Pending Approval","🔒 WRONG CODE")))</f>
        <v>Pending</v>
      </c>
      <c r="L158" s="30" t="s">
        <v>63</v>
      </c>
      <c r="M158" s="41"/>
      <c r="N158" s="57"/>
    </row>
    <row r="159" spans="1:14" ht="20.100000000000001" customHeight="1" x14ac:dyDescent="0.25">
      <c r="A159" s="30" t="str">
        <f t="shared" si="16"/>
        <v/>
      </c>
      <c r="B159" s="41"/>
      <c r="C159" s="35" t="str">
        <f>IF(B159="","",IFERROR(VLOOKUP(B159,DB_Customers!$A:$B,2,0),"❌ Account Not Found"))</f>
        <v/>
      </c>
      <c r="D159" s="42" t="str">
        <f t="shared" ca="1" si="17"/>
        <v/>
      </c>
      <c r="E159" s="32"/>
      <c r="F159" s="31"/>
      <c r="G159" s="41"/>
      <c r="H159" s="56">
        <v>2.5</v>
      </c>
      <c r="I159" s="43" t="str">
        <f t="shared" si="18"/>
        <v/>
      </c>
      <c r="J159" s="43" t="str">
        <f t="shared" si="19"/>
        <v/>
      </c>
      <c r="K159" s="33" t="str">
        <f>IF(B159="","Pending",IF(M159="","⚠️ Enter Code",IF(IFERROR(VLOOKUP(L159,DB_Agents!$B:$F,4,0),"")=TEXT(M159,"0"),"Pending Approval","🔒 WRONG CODE")))</f>
        <v>Pending</v>
      </c>
      <c r="L159" s="30" t="s">
        <v>63</v>
      </c>
      <c r="M159" s="41"/>
      <c r="N159" s="22"/>
    </row>
    <row r="160" spans="1:14" ht="20.100000000000001" customHeight="1" x14ac:dyDescent="0.25">
      <c r="A160" s="30" t="str">
        <f t="shared" si="16"/>
        <v/>
      </c>
      <c r="B160" s="41"/>
      <c r="C160" s="35" t="str">
        <f>IF(B160="","",IFERROR(VLOOKUP(B160,DB_Customers!$A:$B,2,0),"❌ Account Not Found"))</f>
        <v/>
      </c>
      <c r="D160" s="42" t="str">
        <f t="shared" ca="1" si="17"/>
        <v/>
      </c>
      <c r="E160" s="32"/>
      <c r="F160" s="31"/>
      <c r="G160" s="41"/>
      <c r="H160" s="56">
        <v>2.5</v>
      </c>
      <c r="I160" s="43" t="str">
        <f t="shared" si="18"/>
        <v/>
      </c>
      <c r="J160" s="43" t="str">
        <f t="shared" si="19"/>
        <v/>
      </c>
      <c r="K160" s="33" t="str">
        <f>IF(B160="","Pending",IF(M160="","⚠️ Enter Code",IF(IFERROR(VLOOKUP(L160,DB_Agents!$B:$F,4,0),"")=TEXT(M160,"0"),"Pending Approval","🔒 WRONG CODE")))</f>
        <v>Pending</v>
      </c>
      <c r="L160" s="30" t="s">
        <v>63</v>
      </c>
      <c r="M160" s="41"/>
      <c r="N160" s="57"/>
    </row>
    <row r="161" spans="1:14" ht="20.100000000000001" customHeight="1" x14ac:dyDescent="0.25">
      <c r="A161" s="30" t="str">
        <f t="shared" si="16"/>
        <v/>
      </c>
      <c r="B161" s="41"/>
      <c r="C161" s="35" t="str">
        <f>IF(B161="","",IFERROR(VLOOKUP(B161,DB_Customers!$A:$B,2,0),"❌ Account Not Found"))</f>
        <v/>
      </c>
      <c r="D161" s="42" t="str">
        <f t="shared" ca="1" si="17"/>
        <v/>
      </c>
      <c r="E161" s="32"/>
      <c r="F161" s="31"/>
      <c r="G161" s="41"/>
      <c r="H161" s="56">
        <v>2.5</v>
      </c>
      <c r="I161" s="43" t="str">
        <f t="shared" si="18"/>
        <v/>
      </c>
      <c r="J161" s="43" t="str">
        <f t="shared" si="19"/>
        <v/>
      </c>
      <c r="K161" s="33" t="str">
        <f>IF(B161="","Pending",IF(M161="","⚠️ Enter Code",IF(IFERROR(VLOOKUP(L161,DB_Agents!$B:$F,4,0),"")=TEXT(M161,"0"),"Pending Approval","🔒 WRONG CODE")))</f>
        <v>Pending</v>
      </c>
      <c r="L161" s="30" t="s">
        <v>63</v>
      </c>
      <c r="M161" s="41"/>
      <c r="N161" s="22"/>
    </row>
    <row r="162" spans="1:14" ht="20.100000000000001" customHeight="1" x14ac:dyDescent="0.25">
      <c r="A162" s="30" t="str">
        <f t="shared" si="16"/>
        <v/>
      </c>
      <c r="B162" s="41"/>
      <c r="C162" s="35" t="str">
        <f>IF(B162="","",IFERROR(VLOOKUP(B162,DB_Customers!$A:$B,2,0),"❌ Account Not Found"))</f>
        <v/>
      </c>
      <c r="D162" s="42" t="str">
        <f t="shared" ca="1" si="17"/>
        <v/>
      </c>
      <c r="E162" s="32"/>
      <c r="F162" s="31"/>
      <c r="G162" s="41"/>
      <c r="H162" s="56">
        <v>2.5</v>
      </c>
      <c r="I162" s="43" t="str">
        <f t="shared" si="18"/>
        <v/>
      </c>
      <c r="J162" s="43" t="str">
        <f t="shared" si="19"/>
        <v/>
      </c>
      <c r="K162" s="33" t="str">
        <f>IF(B162="","Pending",IF(M162="","⚠️ Enter Code",IF(IFERROR(VLOOKUP(L162,DB_Agents!$B:$F,4,0),"")=TEXT(M162,"0"),"Pending Approval","🔒 WRONG CODE")))</f>
        <v>Pending</v>
      </c>
      <c r="L162" s="30" t="s">
        <v>63</v>
      </c>
      <c r="M162" s="41"/>
      <c r="N162" s="57"/>
    </row>
    <row r="163" spans="1:14" ht="20.100000000000001" customHeight="1" x14ac:dyDescent="0.25">
      <c r="A163" s="30" t="str">
        <f t="shared" si="16"/>
        <v/>
      </c>
      <c r="B163" s="41"/>
      <c r="C163" s="35" t="str">
        <f>IF(B163="","",IFERROR(VLOOKUP(B163,DB_Customers!$A:$B,2,0),"❌ Account Not Found"))</f>
        <v/>
      </c>
      <c r="D163" s="42" t="str">
        <f t="shared" ca="1" si="17"/>
        <v/>
      </c>
      <c r="E163" s="32"/>
      <c r="F163" s="31"/>
      <c r="G163" s="41"/>
      <c r="H163" s="56">
        <v>2.5</v>
      </c>
      <c r="I163" s="43" t="str">
        <f t="shared" si="18"/>
        <v/>
      </c>
      <c r="J163" s="43" t="str">
        <f t="shared" si="19"/>
        <v/>
      </c>
      <c r="K163" s="33" t="str">
        <f>IF(B163="","Pending",IF(M163="","⚠️ Enter Code",IF(IFERROR(VLOOKUP(L163,DB_Agents!$B:$F,4,0),"")=TEXT(M163,"0"),"Pending Approval","🔒 WRONG CODE")))</f>
        <v>Pending</v>
      </c>
      <c r="L163" s="30" t="s">
        <v>63</v>
      </c>
      <c r="M163" s="41"/>
      <c r="N163" s="22"/>
    </row>
    <row r="164" spans="1:14" ht="20.100000000000001" customHeight="1" x14ac:dyDescent="0.25">
      <c r="A164" s="30" t="str">
        <f t="shared" si="16"/>
        <v/>
      </c>
      <c r="B164" s="41"/>
      <c r="C164" s="35" t="str">
        <f>IF(B164="","",IFERROR(VLOOKUP(B164,DB_Customers!$A:$B,2,0),"❌ Account Not Found"))</f>
        <v/>
      </c>
      <c r="D164" s="42" t="str">
        <f t="shared" ca="1" si="17"/>
        <v/>
      </c>
      <c r="E164" s="32"/>
      <c r="F164" s="31"/>
      <c r="G164" s="41"/>
      <c r="H164" s="56">
        <v>2.5</v>
      </c>
      <c r="I164" s="43" t="str">
        <f t="shared" si="18"/>
        <v/>
      </c>
      <c r="J164" s="43" t="str">
        <f t="shared" si="19"/>
        <v/>
      </c>
      <c r="K164" s="33" t="str">
        <f>IF(B164="","Pending",IF(M164="","⚠️ Enter Code",IF(IFERROR(VLOOKUP(L164,DB_Agents!$B:$F,4,0),"")=TEXT(M164,"0"),"Pending Approval","🔒 WRONG CODE")))</f>
        <v>Pending</v>
      </c>
      <c r="L164" s="30" t="s">
        <v>63</v>
      </c>
      <c r="M164" s="41"/>
      <c r="N164" s="57"/>
    </row>
    <row r="165" spans="1:14" ht="20.100000000000001" customHeight="1" x14ac:dyDescent="0.25">
      <c r="A165" s="30" t="str">
        <f t="shared" si="16"/>
        <v/>
      </c>
      <c r="B165" s="41"/>
      <c r="C165" s="35" t="str">
        <f>IF(B165="","",IFERROR(VLOOKUP(B165,DB_Customers!$A:$B,2,0),"❌ Account Not Found"))</f>
        <v/>
      </c>
      <c r="D165" s="42" t="str">
        <f t="shared" ca="1" si="17"/>
        <v/>
      </c>
      <c r="E165" s="32"/>
      <c r="F165" s="31"/>
      <c r="G165" s="41"/>
      <c r="H165" s="56">
        <v>2.5</v>
      </c>
      <c r="I165" s="43" t="str">
        <f t="shared" si="18"/>
        <v/>
      </c>
      <c r="J165" s="43" t="str">
        <f t="shared" si="19"/>
        <v/>
      </c>
      <c r="K165" s="33" t="str">
        <f>IF(B165="","Pending",IF(M165="","⚠️ Enter Code",IF(IFERROR(VLOOKUP(L165,DB_Agents!$B:$F,4,0),"")=TEXT(M165,"0"),"Pending Approval","🔒 WRONG CODE")))</f>
        <v>Pending</v>
      </c>
      <c r="L165" s="30" t="s">
        <v>63</v>
      </c>
      <c r="M165" s="41"/>
      <c r="N165" s="22"/>
    </row>
    <row r="166" spans="1:14" ht="20.100000000000001" customHeight="1" x14ac:dyDescent="0.25">
      <c r="A166" s="30" t="str">
        <f t="shared" si="16"/>
        <v/>
      </c>
      <c r="B166" s="41"/>
      <c r="C166" s="35" t="str">
        <f>IF(B166="","",IFERROR(VLOOKUP(B166,DB_Customers!$A:$B,2,0),"❌ Account Not Found"))</f>
        <v/>
      </c>
      <c r="D166" s="42" t="str">
        <f t="shared" ca="1" si="17"/>
        <v/>
      </c>
      <c r="E166" s="32"/>
      <c r="F166" s="31"/>
      <c r="G166" s="41"/>
      <c r="H166" s="56">
        <v>2.5</v>
      </c>
      <c r="I166" s="43" t="str">
        <f t="shared" si="18"/>
        <v/>
      </c>
      <c r="J166" s="43" t="str">
        <f t="shared" si="19"/>
        <v/>
      </c>
      <c r="K166" s="33" t="str">
        <f>IF(B166="","Pending",IF(M166="","⚠️ Enter Code",IF(IFERROR(VLOOKUP(L166,DB_Agents!$B:$F,4,0),"")=TEXT(M166,"0"),"Pending Approval","🔒 WRONG CODE")))</f>
        <v>Pending</v>
      </c>
      <c r="L166" s="30" t="s">
        <v>63</v>
      </c>
      <c r="M166" s="41"/>
      <c r="N166" s="57"/>
    </row>
    <row r="167" spans="1:14" ht="20.100000000000001" customHeight="1" x14ac:dyDescent="0.25">
      <c r="A167" s="30" t="str">
        <f t="shared" si="16"/>
        <v/>
      </c>
      <c r="B167" s="41"/>
      <c r="C167" s="35" t="str">
        <f>IF(B167="","",IFERROR(VLOOKUP(B167,DB_Customers!$A:$B,2,0),"❌ Account Not Found"))</f>
        <v/>
      </c>
      <c r="D167" s="42" t="str">
        <f t="shared" ca="1" si="17"/>
        <v/>
      </c>
      <c r="E167" s="32"/>
      <c r="F167" s="31"/>
      <c r="G167" s="41"/>
      <c r="H167" s="56">
        <v>2.5</v>
      </c>
      <c r="I167" s="43" t="str">
        <f t="shared" si="18"/>
        <v/>
      </c>
      <c r="J167" s="43" t="str">
        <f t="shared" si="19"/>
        <v/>
      </c>
      <c r="K167" s="33" t="str">
        <f>IF(B167="","Pending",IF(M167="","⚠️ Enter Code",IF(IFERROR(VLOOKUP(L167,DB_Agents!$B:$F,4,0),"")=TEXT(M167,"0"),"Pending Approval","🔒 WRONG CODE")))</f>
        <v>Pending</v>
      </c>
      <c r="L167" s="30" t="s">
        <v>63</v>
      </c>
      <c r="M167" s="41"/>
      <c r="N167" s="22"/>
    </row>
    <row r="168" spans="1:14" ht="20.100000000000001" customHeight="1" x14ac:dyDescent="0.25">
      <c r="A168" s="30" t="str">
        <f t="shared" si="16"/>
        <v/>
      </c>
      <c r="B168" s="41"/>
      <c r="C168" s="35" t="str">
        <f>IF(B168="","",IFERROR(VLOOKUP(B168,DB_Customers!$A:$B,2,0),"❌ Account Not Found"))</f>
        <v/>
      </c>
      <c r="D168" s="42" t="str">
        <f t="shared" ca="1" si="17"/>
        <v/>
      </c>
      <c r="E168" s="32"/>
      <c r="F168" s="31"/>
      <c r="G168" s="41"/>
      <c r="H168" s="56">
        <v>2.5</v>
      </c>
      <c r="I168" s="43" t="str">
        <f t="shared" si="18"/>
        <v/>
      </c>
      <c r="J168" s="43" t="str">
        <f t="shared" si="19"/>
        <v/>
      </c>
      <c r="K168" s="33" t="str">
        <f>IF(B168="","Pending",IF(M168="","⚠️ Enter Code",IF(IFERROR(VLOOKUP(L168,DB_Agents!$B:$F,4,0),"")=TEXT(M168,"0"),"Pending Approval","🔒 WRONG CODE")))</f>
        <v>Pending</v>
      </c>
      <c r="L168" s="30" t="s">
        <v>63</v>
      </c>
      <c r="M168" s="41"/>
      <c r="N168" s="57"/>
    </row>
    <row r="169" spans="1:14" ht="20.100000000000001" customHeight="1" x14ac:dyDescent="0.25">
      <c r="A169" s="30" t="str">
        <f t="shared" si="16"/>
        <v/>
      </c>
      <c r="B169" s="41"/>
      <c r="C169" s="35" t="str">
        <f>IF(B169="","",IFERROR(VLOOKUP(B169,DB_Customers!$A:$B,2,0),"❌ Account Not Found"))</f>
        <v/>
      </c>
      <c r="D169" s="42" t="str">
        <f t="shared" ca="1" si="17"/>
        <v/>
      </c>
      <c r="E169" s="32"/>
      <c r="F169" s="31"/>
      <c r="G169" s="41"/>
      <c r="H169" s="56">
        <v>2.5</v>
      </c>
      <c r="I169" s="43" t="str">
        <f t="shared" si="18"/>
        <v/>
      </c>
      <c r="J169" s="43" t="str">
        <f t="shared" si="19"/>
        <v/>
      </c>
      <c r="K169" s="33" t="str">
        <f>IF(B169="","Pending",IF(M169="","⚠️ Enter Code",IF(IFERROR(VLOOKUP(L169,DB_Agents!$B:$F,4,0),"")=TEXT(M169,"0"),"Pending Approval","🔒 WRONG CODE")))</f>
        <v>Pending</v>
      </c>
      <c r="L169" s="30" t="s">
        <v>63</v>
      </c>
      <c r="M169" s="41"/>
      <c r="N169" s="22"/>
    </row>
    <row r="170" spans="1:14" ht="20.100000000000001" customHeight="1" x14ac:dyDescent="0.25">
      <c r="A170" s="30" t="str">
        <f t="shared" si="16"/>
        <v/>
      </c>
      <c r="B170" s="41"/>
      <c r="C170" s="35" t="str">
        <f>IF(B170="","",IFERROR(VLOOKUP(B170,DB_Customers!$A:$B,2,0),"❌ Account Not Found"))</f>
        <v/>
      </c>
      <c r="D170" s="42" t="str">
        <f t="shared" ca="1" si="17"/>
        <v/>
      </c>
      <c r="E170" s="32"/>
      <c r="F170" s="31"/>
      <c r="G170" s="41"/>
      <c r="H170" s="56">
        <v>2.5</v>
      </c>
      <c r="I170" s="43" t="str">
        <f t="shared" si="18"/>
        <v/>
      </c>
      <c r="J170" s="43" t="str">
        <f t="shared" si="19"/>
        <v/>
      </c>
      <c r="K170" s="33" t="str">
        <f>IF(B170="","Pending",IF(M170="","⚠️ Enter Code",IF(IFERROR(VLOOKUP(L170,DB_Agents!$B:$F,4,0),"")=TEXT(M170,"0"),"Pending Approval","🔒 WRONG CODE")))</f>
        <v>Pending</v>
      </c>
      <c r="L170" s="30" t="s">
        <v>63</v>
      </c>
      <c r="M170" s="41"/>
      <c r="N170" s="57"/>
    </row>
    <row r="171" spans="1:14" ht="20.100000000000001" customHeight="1" x14ac:dyDescent="0.25">
      <c r="A171" s="30" t="str">
        <f t="shared" si="16"/>
        <v/>
      </c>
      <c r="B171" s="41"/>
      <c r="C171" s="35" t="str">
        <f>IF(B171="","",IFERROR(VLOOKUP(B171,DB_Customers!$A:$B,2,0),"❌ Account Not Found"))</f>
        <v/>
      </c>
      <c r="D171" s="42" t="str">
        <f t="shared" ca="1" si="17"/>
        <v/>
      </c>
      <c r="E171" s="32"/>
      <c r="F171" s="31"/>
      <c r="G171" s="41"/>
      <c r="H171" s="56">
        <v>2.5</v>
      </c>
      <c r="I171" s="43" t="str">
        <f t="shared" si="18"/>
        <v/>
      </c>
      <c r="J171" s="43" t="str">
        <f t="shared" si="19"/>
        <v/>
      </c>
      <c r="K171" s="33" t="str">
        <f>IF(B171="","Pending",IF(M171="","⚠️ Enter Code",IF(IFERROR(VLOOKUP(L171,DB_Agents!$B:$F,4,0),"")=TEXT(M171,"0"),"Pending Approval","🔒 WRONG CODE")))</f>
        <v>Pending</v>
      </c>
      <c r="L171" s="30" t="s">
        <v>63</v>
      </c>
      <c r="M171" s="41"/>
      <c r="N171" s="22"/>
    </row>
    <row r="172" spans="1:14" ht="20.100000000000001" customHeight="1" x14ac:dyDescent="0.25">
      <c r="A172" s="30" t="str">
        <f t="shared" si="16"/>
        <v/>
      </c>
      <c r="B172" s="41"/>
      <c r="C172" s="35" t="str">
        <f>IF(B172="","",IFERROR(VLOOKUP(B172,DB_Customers!$A:$B,2,0),"❌ Account Not Found"))</f>
        <v/>
      </c>
      <c r="D172" s="42" t="str">
        <f t="shared" ca="1" si="17"/>
        <v/>
      </c>
      <c r="E172" s="32"/>
      <c r="F172" s="31"/>
      <c r="G172" s="41"/>
      <c r="H172" s="56">
        <v>2.5</v>
      </c>
      <c r="I172" s="43" t="str">
        <f t="shared" si="18"/>
        <v/>
      </c>
      <c r="J172" s="43" t="str">
        <f t="shared" si="19"/>
        <v/>
      </c>
      <c r="K172" s="33" t="str">
        <f>IF(B172="","Pending",IF(M172="","⚠️ Enter Code",IF(IFERROR(VLOOKUP(L172,DB_Agents!$B:$F,4,0),"")=TEXT(M172,"0"),"Pending Approval","🔒 WRONG CODE")))</f>
        <v>Pending</v>
      </c>
      <c r="L172" s="30" t="s">
        <v>63</v>
      </c>
      <c r="M172" s="41"/>
      <c r="N172" s="57"/>
    </row>
    <row r="173" spans="1:14" ht="20.100000000000001" customHeight="1" x14ac:dyDescent="0.25">
      <c r="A173" s="30" t="str">
        <f t="shared" si="16"/>
        <v/>
      </c>
      <c r="B173" s="41"/>
      <c r="C173" s="35" t="str">
        <f>IF(B173="","",IFERROR(VLOOKUP(B173,DB_Customers!$A:$B,2,0),"❌ Account Not Found"))</f>
        <v/>
      </c>
      <c r="D173" s="42" t="str">
        <f t="shared" ca="1" si="17"/>
        <v/>
      </c>
      <c r="E173" s="32"/>
      <c r="F173" s="31"/>
      <c r="G173" s="41"/>
      <c r="H173" s="56">
        <v>2.5</v>
      </c>
      <c r="I173" s="43" t="str">
        <f t="shared" si="18"/>
        <v/>
      </c>
      <c r="J173" s="43" t="str">
        <f t="shared" si="19"/>
        <v/>
      </c>
      <c r="K173" s="33" t="str">
        <f>IF(B173="","Pending",IF(M173="","⚠️ Enter Code",IF(IFERROR(VLOOKUP(L173,DB_Agents!$B:$F,4,0),"")=TEXT(M173,"0"),"Pending Approval","🔒 WRONG CODE")))</f>
        <v>Pending</v>
      </c>
      <c r="L173" s="30" t="s">
        <v>63</v>
      </c>
      <c r="M173" s="41"/>
      <c r="N173" s="22"/>
    </row>
    <row r="174" spans="1:14" ht="20.100000000000001" customHeight="1" x14ac:dyDescent="0.25">
      <c r="A174" s="30" t="str">
        <f t="shared" ref="A174:A205" si="20">IF(B174="","",IF(C174="❌ Account Not Found","INVALID","LN"&amp;TEXT(D174,"YYYYMMDD")&amp;TEXT(ROW()-13,"0000")))</f>
        <v/>
      </c>
      <c r="B174" s="41"/>
      <c r="C174" s="35" t="str">
        <f>IF(B174="","",IFERROR(VLOOKUP(B174,DB_Customers!$A:$B,2,0),"❌ Account Not Found"))</f>
        <v/>
      </c>
      <c r="D174" s="42" t="str">
        <f t="shared" ref="D174:D205" ca="1" si="21">IF(B174="","",TODAY())</f>
        <v/>
      </c>
      <c r="E174" s="32"/>
      <c r="F174" s="31"/>
      <c r="G174" s="41"/>
      <c r="H174" s="56">
        <v>2.5</v>
      </c>
      <c r="I174" s="43" t="str">
        <f t="shared" ref="I174:I205" si="22">IF(E174="","",E174+(E174*H174/100*G174))</f>
        <v/>
      </c>
      <c r="J174" s="43" t="str">
        <f t="shared" ref="J174:J205" si="23">IFERROR(I174/G174,"")</f>
        <v/>
      </c>
      <c r="K174" s="33" t="str">
        <f>IF(B174="","Pending",IF(M174="","⚠️ Enter Code",IF(IFERROR(VLOOKUP(L174,DB_Agents!$B:$F,4,0),"")=TEXT(M174,"0"),"Pending Approval","🔒 WRONG CODE")))</f>
        <v>Pending</v>
      </c>
      <c r="L174" s="30" t="s">
        <v>63</v>
      </c>
      <c r="M174" s="41"/>
      <c r="N174" s="57"/>
    </row>
    <row r="175" spans="1:14" ht="20.100000000000001" customHeight="1" x14ac:dyDescent="0.25">
      <c r="A175" s="30" t="str">
        <f t="shared" si="20"/>
        <v/>
      </c>
      <c r="B175" s="41"/>
      <c r="C175" s="35" t="str">
        <f>IF(B175="","",IFERROR(VLOOKUP(B175,DB_Customers!$A:$B,2,0),"❌ Account Not Found"))</f>
        <v/>
      </c>
      <c r="D175" s="42" t="str">
        <f t="shared" ca="1" si="21"/>
        <v/>
      </c>
      <c r="E175" s="32"/>
      <c r="F175" s="31"/>
      <c r="G175" s="41"/>
      <c r="H175" s="56">
        <v>2.5</v>
      </c>
      <c r="I175" s="43" t="str">
        <f t="shared" si="22"/>
        <v/>
      </c>
      <c r="J175" s="43" t="str">
        <f t="shared" si="23"/>
        <v/>
      </c>
      <c r="K175" s="33" t="str">
        <f>IF(B175="","Pending",IF(M175="","⚠️ Enter Code",IF(IFERROR(VLOOKUP(L175,DB_Agents!$B:$F,4,0),"")=TEXT(M175,"0"),"Pending Approval","🔒 WRONG CODE")))</f>
        <v>Pending</v>
      </c>
      <c r="L175" s="30" t="s">
        <v>63</v>
      </c>
      <c r="M175" s="41"/>
      <c r="N175" s="22"/>
    </row>
    <row r="176" spans="1:14" ht="20.100000000000001" customHeight="1" x14ac:dyDescent="0.25">
      <c r="A176" s="30" t="str">
        <f t="shared" si="20"/>
        <v/>
      </c>
      <c r="B176" s="41"/>
      <c r="C176" s="35" t="str">
        <f>IF(B176="","",IFERROR(VLOOKUP(B176,DB_Customers!$A:$B,2,0),"❌ Account Not Found"))</f>
        <v/>
      </c>
      <c r="D176" s="42" t="str">
        <f t="shared" ca="1" si="21"/>
        <v/>
      </c>
      <c r="E176" s="32"/>
      <c r="F176" s="31"/>
      <c r="G176" s="41"/>
      <c r="H176" s="56">
        <v>2.5</v>
      </c>
      <c r="I176" s="43" t="str">
        <f t="shared" si="22"/>
        <v/>
      </c>
      <c r="J176" s="43" t="str">
        <f t="shared" si="23"/>
        <v/>
      </c>
      <c r="K176" s="33" t="str">
        <f>IF(B176="","Pending",IF(M176="","⚠️ Enter Code",IF(IFERROR(VLOOKUP(L176,DB_Agents!$B:$F,4,0),"")=TEXT(M176,"0"),"Pending Approval","🔒 WRONG CODE")))</f>
        <v>Pending</v>
      </c>
      <c r="L176" s="30" t="s">
        <v>63</v>
      </c>
      <c r="M176" s="41"/>
      <c r="N176" s="57"/>
    </row>
    <row r="177" spans="1:14" ht="20.100000000000001" customHeight="1" x14ac:dyDescent="0.25">
      <c r="A177" s="30" t="str">
        <f t="shared" si="20"/>
        <v/>
      </c>
      <c r="B177" s="41"/>
      <c r="C177" s="35" t="str">
        <f>IF(B177="","",IFERROR(VLOOKUP(B177,DB_Customers!$A:$B,2,0),"❌ Account Not Found"))</f>
        <v/>
      </c>
      <c r="D177" s="42" t="str">
        <f t="shared" ca="1" si="21"/>
        <v/>
      </c>
      <c r="E177" s="32"/>
      <c r="F177" s="31"/>
      <c r="G177" s="41"/>
      <c r="H177" s="56">
        <v>2.5</v>
      </c>
      <c r="I177" s="43" t="str">
        <f t="shared" si="22"/>
        <v/>
      </c>
      <c r="J177" s="43" t="str">
        <f t="shared" si="23"/>
        <v/>
      </c>
      <c r="K177" s="33" t="str">
        <f>IF(B177="","Pending",IF(M177="","⚠️ Enter Code",IF(IFERROR(VLOOKUP(L177,DB_Agents!$B:$F,4,0),"")=TEXT(M177,"0"),"Pending Approval","🔒 WRONG CODE")))</f>
        <v>Pending</v>
      </c>
      <c r="L177" s="30" t="s">
        <v>63</v>
      </c>
      <c r="M177" s="41"/>
      <c r="N177" s="22"/>
    </row>
    <row r="178" spans="1:14" ht="20.100000000000001" customHeight="1" x14ac:dyDescent="0.25">
      <c r="A178" s="30" t="str">
        <f t="shared" si="20"/>
        <v/>
      </c>
      <c r="B178" s="41"/>
      <c r="C178" s="35" t="str">
        <f>IF(B178="","",IFERROR(VLOOKUP(B178,DB_Customers!$A:$B,2,0),"❌ Account Not Found"))</f>
        <v/>
      </c>
      <c r="D178" s="42" t="str">
        <f t="shared" ca="1" si="21"/>
        <v/>
      </c>
      <c r="E178" s="32"/>
      <c r="F178" s="31"/>
      <c r="G178" s="41"/>
      <c r="H178" s="56">
        <v>2.5</v>
      </c>
      <c r="I178" s="43" t="str">
        <f t="shared" si="22"/>
        <v/>
      </c>
      <c r="J178" s="43" t="str">
        <f t="shared" si="23"/>
        <v/>
      </c>
      <c r="K178" s="33" t="str">
        <f>IF(B178="","Pending",IF(M178="","⚠️ Enter Code",IF(IFERROR(VLOOKUP(L178,DB_Agents!$B:$F,4,0),"")=TEXT(M178,"0"),"Pending Approval","🔒 WRONG CODE")))</f>
        <v>Pending</v>
      </c>
      <c r="L178" s="30" t="s">
        <v>63</v>
      </c>
      <c r="M178" s="41"/>
      <c r="N178" s="57"/>
    </row>
    <row r="179" spans="1:14" ht="20.100000000000001" customHeight="1" x14ac:dyDescent="0.25">
      <c r="A179" s="30" t="str">
        <f t="shared" si="20"/>
        <v/>
      </c>
      <c r="B179" s="41"/>
      <c r="C179" s="35" t="str">
        <f>IF(B179="","",IFERROR(VLOOKUP(B179,DB_Customers!$A:$B,2,0),"❌ Account Not Found"))</f>
        <v/>
      </c>
      <c r="D179" s="42" t="str">
        <f t="shared" ca="1" si="21"/>
        <v/>
      </c>
      <c r="E179" s="32"/>
      <c r="F179" s="31"/>
      <c r="G179" s="41"/>
      <c r="H179" s="56">
        <v>2.5</v>
      </c>
      <c r="I179" s="43" t="str">
        <f t="shared" si="22"/>
        <v/>
      </c>
      <c r="J179" s="43" t="str">
        <f t="shared" si="23"/>
        <v/>
      </c>
      <c r="K179" s="33" t="str">
        <f>IF(B179="","Pending",IF(M179="","⚠️ Enter Code",IF(IFERROR(VLOOKUP(L179,DB_Agents!$B:$F,4,0),"")=TEXT(M179,"0"),"Pending Approval","🔒 WRONG CODE")))</f>
        <v>Pending</v>
      </c>
      <c r="L179" s="30" t="s">
        <v>63</v>
      </c>
      <c r="M179" s="41"/>
      <c r="N179" s="22"/>
    </row>
    <row r="180" spans="1:14" ht="20.100000000000001" customHeight="1" x14ac:dyDescent="0.25">
      <c r="A180" s="30" t="str">
        <f t="shared" si="20"/>
        <v/>
      </c>
      <c r="B180" s="41"/>
      <c r="C180" s="35" t="str">
        <f>IF(B180="","",IFERROR(VLOOKUP(B180,DB_Customers!$A:$B,2,0),"❌ Account Not Found"))</f>
        <v/>
      </c>
      <c r="D180" s="42" t="str">
        <f t="shared" ca="1" si="21"/>
        <v/>
      </c>
      <c r="E180" s="32"/>
      <c r="F180" s="31"/>
      <c r="G180" s="41"/>
      <c r="H180" s="56">
        <v>2.5</v>
      </c>
      <c r="I180" s="43" t="str">
        <f t="shared" si="22"/>
        <v/>
      </c>
      <c r="J180" s="43" t="str">
        <f t="shared" si="23"/>
        <v/>
      </c>
      <c r="K180" s="33" t="str">
        <f>IF(B180="","Pending",IF(M180="","⚠️ Enter Code",IF(IFERROR(VLOOKUP(L180,DB_Agents!$B:$F,4,0),"")=TEXT(M180,"0"),"Pending Approval","🔒 WRONG CODE")))</f>
        <v>Pending</v>
      </c>
      <c r="L180" s="30" t="s">
        <v>63</v>
      </c>
      <c r="M180" s="41"/>
      <c r="N180" s="57"/>
    </row>
    <row r="181" spans="1:14" ht="20.100000000000001" customHeight="1" x14ac:dyDescent="0.25">
      <c r="A181" s="30" t="str">
        <f t="shared" si="20"/>
        <v/>
      </c>
      <c r="B181" s="41"/>
      <c r="C181" s="35" t="str">
        <f>IF(B181="","",IFERROR(VLOOKUP(B181,DB_Customers!$A:$B,2,0),"❌ Account Not Found"))</f>
        <v/>
      </c>
      <c r="D181" s="42" t="str">
        <f t="shared" ca="1" si="21"/>
        <v/>
      </c>
      <c r="E181" s="32"/>
      <c r="F181" s="31"/>
      <c r="G181" s="41"/>
      <c r="H181" s="56">
        <v>2.5</v>
      </c>
      <c r="I181" s="43" t="str">
        <f t="shared" si="22"/>
        <v/>
      </c>
      <c r="J181" s="43" t="str">
        <f t="shared" si="23"/>
        <v/>
      </c>
      <c r="K181" s="33" t="str">
        <f>IF(B181="","Pending",IF(M181="","⚠️ Enter Code",IF(IFERROR(VLOOKUP(L181,DB_Agents!$B:$F,4,0),"")=TEXT(M181,"0"),"Pending Approval","🔒 WRONG CODE")))</f>
        <v>Pending</v>
      </c>
      <c r="L181" s="30" t="s">
        <v>63</v>
      </c>
      <c r="M181" s="41"/>
      <c r="N181" s="22"/>
    </row>
    <row r="182" spans="1:14" ht="20.100000000000001" customHeight="1" x14ac:dyDescent="0.25">
      <c r="A182" s="30" t="str">
        <f t="shared" si="20"/>
        <v/>
      </c>
      <c r="B182" s="41"/>
      <c r="C182" s="35" t="str">
        <f>IF(B182="","",IFERROR(VLOOKUP(B182,DB_Customers!$A:$B,2,0),"❌ Account Not Found"))</f>
        <v/>
      </c>
      <c r="D182" s="42" t="str">
        <f t="shared" ca="1" si="21"/>
        <v/>
      </c>
      <c r="E182" s="32"/>
      <c r="F182" s="31"/>
      <c r="G182" s="41"/>
      <c r="H182" s="56">
        <v>2.5</v>
      </c>
      <c r="I182" s="43" t="str">
        <f t="shared" si="22"/>
        <v/>
      </c>
      <c r="J182" s="43" t="str">
        <f t="shared" si="23"/>
        <v/>
      </c>
      <c r="K182" s="33" t="str">
        <f>IF(B182="","Pending",IF(M182="","⚠️ Enter Code",IF(IFERROR(VLOOKUP(L182,DB_Agents!$B:$F,4,0),"")=TEXT(M182,"0"),"Pending Approval","🔒 WRONG CODE")))</f>
        <v>Pending</v>
      </c>
      <c r="L182" s="30" t="s">
        <v>63</v>
      </c>
      <c r="M182" s="41"/>
      <c r="N182" s="57"/>
    </row>
    <row r="183" spans="1:14" ht="20.100000000000001" customHeight="1" x14ac:dyDescent="0.25">
      <c r="A183" s="30" t="str">
        <f t="shared" si="20"/>
        <v/>
      </c>
      <c r="B183" s="41"/>
      <c r="C183" s="35" t="str">
        <f>IF(B183="","",IFERROR(VLOOKUP(B183,DB_Customers!$A:$B,2,0),"❌ Account Not Found"))</f>
        <v/>
      </c>
      <c r="D183" s="42" t="str">
        <f t="shared" ca="1" si="21"/>
        <v/>
      </c>
      <c r="E183" s="32"/>
      <c r="F183" s="31"/>
      <c r="G183" s="41"/>
      <c r="H183" s="56">
        <v>2.5</v>
      </c>
      <c r="I183" s="43" t="str">
        <f t="shared" si="22"/>
        <v/>
      </c>
      <c r="J183" s="43" t="str">
        <f t="shared" si="23"/>
        <v/>
      </c>
      <c r="K183" s="33" t="str">
        <f>IF(B183="","Pending",IF(M183="","⚠️ Enter Code",IF(IFERROR(VLOOKUP(L183,DB_Agents!$B:$F,4,0),"")=TEXT(M183,"0"),"Pending Approval","🔒 WRONG CODE")))</f>
        <v>Pending</v>
      </c>
      <c r="L183" s="30" t="s">
        <v>63</v>
      </c>
      <c r="M183" s="41"/>
      <c r="N183" s="22"/>
    </row>
    <row r="184" spans="1:14" ht="20.100000000000001" customHeight="1" x14ac:dyDescent="0.25">
      <c r="A184" s="30" t="str">
        <f t="shared" si="20"/>
        <v/>
      </c>
      <c r="B184" s="41"/>
      <c r="C184" s="35" t="str">
        <f>IF(B184="","",IFERROR(VLOOKUP(B184,DB_Customers!$A:$B,2,0),"❌ Account Not Found"))</f>
        <v/>
      </c>
      <c r="D184" s="42" t="str">
        <f t="shared" ca="1" si="21"/>
        <v/>
      </c>
      <c r="E184" s="32"/>
      <c r="F184" s="31"/>
      <c r="G184" s="41"/>
      <c r="H184" s="56">
        <v>2.5</v>
      </c>
      <c r="I184" s="43" t="str">
        <f t="shared" si="22"/>
        <v/>
      </c>
      <c r="J184" s="43" t="str">
        <f t="shared" si="23"/>
        <v/>
      </c>
      <c r="K184" s="33" t="str">
        <f>IF(B184="","Pending",IF(M184="","⚠️ Enter Code",IF(IFERROR(VLOOKUP(L184,DB_Agents!$B:$F,4,0),"")=TEXT(M184,"0"),"Pending Approval","🔒 WRONG CODE")))</f>
        <v>Pending</v>
      </c>
      <c r="L184" s="30" t="s">
        <v>63</v>
      </c>
      <c r="M184" s="41"/>
      <c r="N184" s="57"/>
    </row>
    <row r="185" spans="1:14" ht="20.100000000000001" customHeight="1" x14ac:dyDescent="0.25">
      <c r="A185" s="30" t="str">
        <f t="shared" si="20"/>
        <v/>
      </c>
      <c r="B185" s="41"/>
      <c r="C185" s="35" t="str">
        <f>IF(B185="","",IFERROR(VLOOKUP(B185,DB_Customers!$A:$B,2,0),"❌ Account Not Found"))</f>
        <v/>
      </c>
      <c r="D185" s="42" t="str">
        <f t="shared" ca="1" si="21"/>
        <v/>
      </c>
      <c r="E185" s="32"/>
      <c r="F185" s="31"/>
      <c r="G185" s="41"/>
      <c r="H185" s="56">
        <v>2.5</v>
      </c>
      <c r="I185" s="43" t="str">
        <f t="shared" si="22"/>
        <v/>
      </c>
      <c r="J185" s="43" t="str">
        <f t="shared" si="23"/>
        <v/>
      </c>
      <c r="K185" s="33" t="str">
        <f>IF(B185="","Pending",IF(M185="","⚠️ Enter Code",IF(IFERROR(VLOOKUP(L185,DB_Agents!$B:$F,4,0),"")=TEXT(M185,"0"),"Pending Approval","🔒 WRONG CODE")))</f>
        <v>Pending</v>
      </c>
      <c r="L185" s="30" t="s">
        <v>63</v>
      </c>
      <c r="M185" s="41"/>
      <c r="N185" s="22"/>
    </row>
    <row r="186" spans="1:14" ht="20.100000000000001" customHeight="1" x14ac:dyDescent="0.25">
      <c r="A186" s="30" t="str">
        <f t="shared" si="20"/>
        <v/>
      </c>
      <c r="B186" s="41"/>
      <c r="C186" s="35" t="str">
        <f>IF(B186="","",IFERROR(VLOOKUP(B186,DB_Customers!$A:$B,2,0),"❌ Account Not Found"))</f>
        <v/>
      </c>
      <c r="D186" s="42" t="str">
        <f t="shared" ca="1" si="21"/>
        <v/>
      </c>
      <c r="E186" s="32"/>
      <c r="F186" s="31"/>
      <c r="G186" s="41"/>
      <c r="H186" s="56">
        <v>2.5</v>
      </c>
      <c r="I186" s="43" t="str">
        <f t="shared" si="22"/>
        <v/>
      </c>
      <c r="J186" s="43" t="str">
        <f t="shared" si="23"/>
        <v/>
      </c>
      <c r="K186" s="33" t="str">
        <f>IF(B186="","Pending",IF(M186="","⚠️ Enter Code",IF(IFERROR(VLOOKUP(L186,DB_Agents!$B:$F,4,0),"")=TEXT(M186,"0"),"Pending Approval","🔒 WRONG CODE")))</f>
        <v>Pending</v>
      </c>
      <c r="L186" s="30" t="s">
        <v>63</v>
      </c>
      <c r="M186" s="41"/>
      <c r="N186" s="57"/>
    </row>
    <row r="187" spans="1:14" ht="20.100000000000001" customHeight="1" x14ac:dyDescent="0.25">
      <c r="A187" s="30" t="str">
        <f t="shared" si="20"/>
        <v/>
      </c>
      <c r="B187" s="41"/>
      <c r="C187" s="35" t="str">
        <f>IF(B187="","",IFERROR(VLOOKUP(B187,DB_Customers!$A:$B,2,0),"❌ Account Not Found"))</f>
        <v/>
      </c>
      <c r="D187" s="42" t="str">
        <f t="shared" ca="1" si="21"/>
        <v/>
      </c>
      <c r="E187" s="32"/>
      <c r="F187" s="31"/>
      <c r="G187" s="41"/>
      <c r="H187" s="56">
        <v>2.5</v>
      </c>
      <c r="I187" s="43" t="str">
        <f t="shared" si="22"/>
        <v/>
      </c>
      <c r="J187" s="43" t="str">
        <f t="shared" si="23"/>
        <v/>
      </c>
      <c r="K187" s="33" t="str">
        <f>IF(B187="","Pending",IF(M187="","⚠️ Enter Code",IF(IFERROR(VLOOKUP(L187,DB_Agents!$B:$F,4,0),"")=TEXT(M187,"0"),"Pending Approval","🔒 WRONG CODE")))</f>
        <v>Pending</v>
      </c>
      <c r="L187" s="30" t="s">
        <v>63</v>
      </c>
      <c r="M187" s="41"/>
      <c r="N187" s="22"/>
    </row>
    <row r="188" spans="1:14" ht="20.100000000000001" customHeight="1" x14ac:dyDescent="0.25">
      <c r="A188" s="30" t="str">
        <f t="shared" si="20"/>
        <v/>
      </c>
      <c r="B188" s="41"/>
      <c r="C188" s="35" t="str">
        <f>IF(B188="","",IFERROR(VLOOKUP(B188,DB_Customers!$A:$B,2,0),"❌ Account Not Found"))</f>
        <v/>
      </c>
      <c r="D188" s="42" t="str">
        <f t="shared" ca="1" si="21"/>
        <v/>
      </c>
      <c r="E188" s="32"/>
      <c r="F188" s="31"/>
      <c r="G188" s="41"/>
      <c r="H188" s="56">
        <v>2.5</v>
      </c>
      <c r="I188" s="43" t="str">
        <f t="shared" si="22"/>
        <v/>
      </c>
      <c r="J188" s="43" t="str">
        <f t="shared" si="23"/>
        <v/>
      </c>
      <c r="K188" s="33" t="str">
        <f>IF(B188="","Pending",IF(M188="","⚠️ Enter Code",IF(IFERROR(VLOOKUP(L188,DB_Agents!$B:$F,4,0),"")=TEXT(M188,"0"),"Pending Approval","🔒 WRONG CODE")))</f>
        <v>Pending</v>
      </c>
      <c r="L188" s="30" t="s">
        <v>63</v>
      </c>
      <c r="M188" s="41"/>
      <c r="N188" s="57"/>
    </row>
    <row r="189" spans="1:14" ht="20.100000000000001" customHeight="1" x14ac:dyDescent="0.25">
      <c r="A189" s="30" t="str">
        <f t="shared" si="20"/>
        <v/>
      </c>
      <c r="B189" s="41"/>
      <c r="C189" s="35" t="str">
        <f>IF(B189="","",IFERROR(VLOOKUP(B189,DB_Customers!$A:$B,2,0),"❌ Account Not Found"))</f>
        <v/>
      </c>
      <c r="D189" s="42" t="str">
        <f t="shared" ca="1" si="21"/>
        <v/>
      </c>
      <c r="E189" s="32"/>
      <c r="F189" s="31"/>
      <c r="G189" s="41"/>
      <c r="H189" s="56">
        <v>2.5</v>
      </c>
      <c r="I189" s="43" t="str">
        <f t="shared" si="22"/>
        <v/>
      </c>
      <c r="J189" s="43" t="str">
        <f t="shared" si="23"/>
        <v/>
      </c>
      <c r="K189" s="33" t="str">
        <f>IF(B189="","Pending",IF(M189="","⚠️ Enter Code",IF(IFERROR(VLOOKUP(L189,DB_Agents!$B:$F,4,0),"")=TEXT(M189,"0"),"Pending Approval","🔒 WRONG CODE")))</f>
        <v>Pending</v>
      </c>
      <c r="L189" s="30" t="s">
        <v>63</v>
      </c>
      <c r="M189" s="41"/>
      <c r="N189" s="22"/>
    </row>
    <row r="190" spans="1:14" ht="20.100000000000001" customHeight="1" x14ac:dyDescent="0.25">
      <c r="A190" s="30" t="str">
        <f t="shared" si="20"/>
        <v/>
      </c>
      <c r="B190" s="41"/>
      <c r="C190" s="35" t="str">
        <f>IF(B190="","",IFERROR(VLOOKUP(B190,DB_Customers!$A:$B,2,0),"❌ Account Not Found"))</f>
        <v/>
      </c>
      <c r="D190" s="42" t="str">
        <f t="shared" ca="1" si="21"/>
        <v/>
      </c>
      <c r="E190" s="32"/>
      <c r="F190" s="31"/>
      <c r="G190" s="41"/>
      <c r="H190" s="56">
        <v>2.5</v>
      </c>
      <c r="I190" s="43" t="str">
        <f t="shared" si="22"/>
        <v/>
      </c>
      <c r="J190" s="43" t="str">
        <f t="shared" si="23"/>
        <v/>
      </c>
      <c r="K190" s="33" t="str">
        <f>IF(B190="","Pending",IF(M190="","⚠️ Enter Code",IF(IFERROR(VLOOKUP(L190,DB_Agents!$B:$F,4,0),"")=TEXT(M190,"0"),"Pending Approval","🔒 WRONG CODE")))</f>
        <v>Pending</v>
      </c>
      <c r="L190" s="30" t="s">
        <v>63</v>
      </c>
      <c r="M190" s="41"/>
      <c r="N190" s="57"/>
    </row>
    <row r="191" spans="1:14" ht="20.100000000000001" customHeight="1" x14ac:dyDescent="0.25">
      <c r="A191" s="30" t="str">
        <f t="shared" si="20"/>
        <v/>
      </c>
      <c r="B191" s="41"/>
      <c r="C191" s="35" t="str">
        <f>IF(B191="","",IFERROR(VLOOKUP(B191,DB_Customers!$A:$B,2,0),"❌ Account Not Found"))</f>
        <v/>
      </c>
      <c r="D191" s="42" t="str">
        <f t="shared" ca="1" si="21"/>
        <v/>
      </c>
      <c r="E191" s="32"/>
      <c r="F191" s="31"/>
      <c r="G191" s="41"/>
      <c r="H191" s="56">
        <v>2.5</v>
      </c>
      <c r="I191" s="43" t="str">
        <f t="shared" si="22"/>
        <v/>
      </c>
      <c r="J191" s="43" t="str">
        <f t="shared" si="23"/>
        <v/>
      </c>
      <c r="K191" s="33" t="str">
        <f>IF(B191="","Pending",IF(M191="","⚠️ Enter Code",IF(IFERROR(VLOOKUP(L191,DB_Agents!$B:$F,4,0),"")=TEXT(M191,"0"),"Pending Approval","🔒 WRONG CODE")))</f>
        <v>Pending</v>
      </c>
      <c r="L191" s="30" t="s">
        <v>63</v>
      </c>
      <c r="M191" s="41"/>
      <c r="N191" s="22"/>
    </row>
    <row r="192" spans="1:14" ht="20.100000000000001" customHeight="1" x14ac:dyDescent="0.25">
      <c r="A192" s="30" t="str">
        <f t="shared" si="20"/>
        <v/>
      </c>
      <c r="B192" s="41"/>
      <c r="C192" s="35" t="str">
        <f>IF(B192="","",IFERROR(VLOOKUP(B192,DB_Customers!$A:$B,2,0),"❌ Account Not Found"))</f>
        <v/>
      </c>
      <c r="D192" s="42" t="str">
        <f t="shared" ca="1" si="21"/>
        <v/>
      </c>
      <c r="E192" s="32"/>
      <c r="F192" s="31"/>
      <c r="G192" s="41"/>
      <c r="H192" s="56">
        <v>2.5</v>
      </c>
      <c r="I192" s="43" t="str">
        <f t="shared" si="22"/>
        <v/>
      </c>
      <c r="J192" s="43" t="str">
        <f t="shared" si="23"/>
        <v/>
      </c>
      <c r="K192" s="33" t="str">
        <f>IF(B192="","Pending",IF(M192="","⚠️ Enter Code",IF(IFERROR(VLOOKUP(L192,DB_Agents!$B:$F,4,0),"")=TEXT(M192,"0"),"Pending Approval","🔒 WRONG CODE")))</f>
        <v>Pending</v>
      </c>
      <c r="L192" s="30" t="s">
        <v>63</v>
      </c>
      <c r="M192" s="41"/>
      <c r="N192" s="57"/>
    </row>
    <row r="193" spans="1:14" ht="20.100000000000001" customHeight="1" x14ac:dyDescent="0.25">
      <c r="A193" s="30" t="str">
        <f t="shared" si="20"/>
        <v/>
      </c>
      <c r="B193" s="41"/>
      <c r="C193" s="35" t="str">
        <f>IF(B193="","",IFERROR(VLOOKUP(B193,DB_Customers!$A:$B,2,0),"❌ Account Not Found"))</f>
        <v/>
      </c>
      <c r="D193" s="42" t="str">
        <f t="shared" ca="1" si="21"/>
        <v/>
      </c>
      <c r="E193" s="32"/>
      <c r="F193" s="31"/>
      <c r="G193" s="41"/>
      <c r="H193" s="56">
        <v>2.5</v>
      </c>
      <c r="I193" s="43" t="str">
        <f t="shared" si="22"/>
        <v/>
      </c>
      <c r="J193" s="43" t="str">
        <f t="shared" si="23"/>
        <v/>
      </c>
      <c r="K193" s="33" t="str">
        <f>IF(B193="","Pending",IF(M193="","⚠️ Enter Code",IF(IFERROR(VLOOKUP(L193,DB_Agents!$B:$F,4,0),"")=TEXT(M193,"0"),"Pending Approval","🔒 WRONG CODE")))</f>
        <v>Pending</v>
      </c>
      <c r="L193" s="30" t="s">
        <v>63</v>
      </c>
      <c r="M193" s="41"/>
      <c r="N193" s="22"/>
    </row>
    <row r="194" spans="1:14" ht="20.100000000000001" customHeight="1" x14ac:dyDescent="0.25">
      <c r="A194" s="30" t="str">
        <f t="shared" si="20"/>
        <v/>
      </c>
      <c r="B194" s="41"/>
      <c r="C194" s="35" t="str">
        <f>IF(B194="","",IFERROR(VLOOKUP(B194,DB_Customers!$A:$B,2,0),"❌ Account Not Found"))</f>
        <v/>
      </c>
      <c r="D194" s="42" t="str">
        <f t="shared" ca="1" si="21"/>
        <v/>
      </c>
      <c r="E194" s="32"/>
      <c r="F194" s="31"/>
      <c r="G194" s="41"/>
      <c r="H194" s="56">
        <v>2.5</v>
      </c>
      <c r="I194" s="43" t="str">
        <f t="shared" si="22"/>
        <v/>
      </c>
      <c r="J194" s="43" t="str">
        <f t="shared" si="23"/>
        <v/>
      </c>
      <c r="K194" s="33" t="str">
        <f>IF(B194="","Pending",IF(M194="","⚠️ Enter Code",IF(IFERROR(VLOOKUP(L194,DB_Agents!$B:$F,4,0),"")=TEXT(M194,"0"),"Pending Approval","🔒 WRONG CODE")))</f>
        <v>Pending</v>
      </c>
      <c r="L194" s="30" t="s">
        <v>63</v>
      </c>
      <c r="M194" s="41"/>
      <c r="N194" s="57"/>
    </row>
    <row r="195" spans="1:14" ht="20.100000000000001" customHeight="1" x14ac:dyDescent="0.25">
      <c r="A195" s="30" t="str">
        <f t="shared" si="20"/>
        <v/>
      </c>
      <c r="B195" s="41"/>
      <c r="C195" s="35" t="str">
        <f>IF(B195="","",IFERROR(VLOOKUP(B195,DB_Customers!$A:$B,2,0),"❌ Account Not Found"))</f>
        <v/>
      </c>
      <c r="D195" s="42" t="str">
        <f t="shared" ca="1" si="21"/>
        <v/>
      </c>
      <c r="E195" s="32"/>
      <c r="F195" s="31"/>
      <c r="G195" s="41"/>
      <c r="H195" s="56">
        <v>2.5</v>
      </c>
      <c r="I195" s="43" t="str">
        <f t="shared" si="22"/>
        <v/>
      </c>
      <c r="J195" s="43" t="str">
        <f t="shared" si="23"/>
        <v/>
      </c>
      <c r="K195" s="33" t="str">
        <f>IF(B195="","Pending",IF(M195="","⚠️ Enter Code",IF(IFERROR(VLOOKUP(L195,DB_Agents!$B:$F,4,0),"")=TEXT(M195,"0"),"Pending Approval","🔒 WRONG CODE")))</f>
        <v>Pending</v>
      </c>
      <c r="L195" s="30" t="s">
        <v>63</v>
      </c>
      <c r="M195" s="41"/>
      <c r="N195" s="22"/>
    </row>
    <row r="196" spans="1:14" ht="20.100000000000001" customHeight="1" x14ac:dyDescent="0.25">
      <c r="A196" s="30" t="str">
        <f t="shared" si="20"/>
        <v/>
      </c>
      <c r="B196" s="41"/>
      <c r="C196" s="35" t="str">
        <f>IF(B196="","",IFERROR(VLOOKUP(B196,DB_Customers!$A:$B,2,0),"❌ Account Not Found"))</f>
        <v/>
      </c>
      <c r="D196" s="42" t="str">
        <f t="shared" ca="1" si="21"/>
        <v/>
      </c>
      <c r="E196" s="32"/>
      <c r="F196" s="31"/>
      <c r="G196" s="41"/>
      <c r="H196" s="56">
        <v>2.5</v>
      </c>
      <c r="I196" s="43" t="str">
        <f t="shared" si="22"/>
        <v/>
      </c>
      <c r="J196" s="43" t="str">
        <f t="shared" si="23"/>
        <v/>
      </c>
      <c r="K196" s="33" t="str">
        <f>IF(B196="","Pending",IF(M196="","⚠️ Enter Code",IF(IFERROR(VLOOKUP(L196,DB_Agents!$B:$F,4,0),"")=TEXT(M196,"0"),"Pending Approval","🔒 WRONG CODE")))</f>
        <v>Pending</v>
      </c>
      <c r="L196" s="30" t="s">
        <v>63</v>
      </c>
      <c r="M196" s="41"/>
      <c r="N196" s="57"/>
    </row>
    <row r="197" spans="1:14" ht="20.100000000000001" customHeight="1" x14ac:dyDescent="0.25">
      <c r="A197" s="30" t="str">
        <f t="shared" si="20"/>
        <v/>
      </c>
      <c r="B197" s="41"/>
      <c r="C197" s="35" t="str">
        <f>IF(B197="","",IFERROR(VLOOKUP(B197,DB_Customers!$A:$B,2,0),"❌ Account Not Found"))</f>
        <v/>
      </c>
      <c r="D197" s="42" t="str">
        <f t="shared" ca="1" si="21"/>
        <v/>
      </c>
      <c r="E197" s="32"/>
      <c r="F197" s="31"/>
      <c r="G197" s="41"/>
      <c r="H197" s="56">
        <v>2.5</v>
      </c>
      <c r="I197" s="43" t="str">
        <f t="shared" si="22"/>
        <v/>
      </c>
      <c r="J197" s="43" t="str">
        <f t="shared" si="23"/>
        <v/>
      </c>
      <c r="K197" s="33" t="str">
        <f>IF(B197="","Pending",IF(M197="","⚠️ Enter Code",IF(IFERROR(VLOOKUP(L197,DB_Agents!$B:$F,4,0),"")=TEXT(M197,"0"),"Pending Approval","🔒 WRONG CODE")))</f>
        <v>Pending</v>
      </c>
      <c r="L197" s="30" t="s">
        <v>63</v>
      </c>
      <c r="M197" s="41"/>
      <c r="N197" s="22"/>
    </row>
    <row r="198" spans="1:14" ht="20.100000000000001" customHeight="1" x14ac:dyDescent="0.25">
      <c r="A198" s="30" t="str">
        <f t="shared" si="20"/>
        <v/>
      </c>
      <c r="B198" s="41"/>
      <c r="C198" s="35" t="str">
        <f>IF(B198="","",IFERROR(VLOOKUP(B198,DB_Customers!$A:$B,2,0),"❌ Account Not Found"))</f>
        <v/>
      </c>
      <c r="D198" s="42" t="str">
        <f t="shared" ca="1" si="21"/>
        <v/>
      </c>
      <c r="E198" s="32"/>
      <c r="F198" s="31"/>
      <c r="G198" s="41"/>
      <c r="H198" s="56">
        <v>2.5</v>
      </c>
      <c r="I198" s="43" t="str">
        <f t="shared" si="22"/>
        <v/>
      </c>
      <c r="J198" s="43" t="str">
        <f t="shared" si="23"/>
        <v/>
      </c>
      <c r="K198" s="33" t="str">
        <f>IF(B198="","Pending",IF(M198="","⚠️ Enter Code",IF(IFERROR(VLOOKUP(L198,DB_Agents!$B:$F,4,0),"")=TEXT(M198,"0"),"Pending Approval","🔒 WRONG CODE")))</f>
        <v>Pending</v>
      </c>
      <c r="L198" s="30" t="s">
        <v>63</v>
      </c>
      <c r="M198" s="41"/>
      <c r="N198" s="57"/>
    </row>
    <row r="199" spans="1:14" ht="20.100000000000001" customHeight="1" x14ac:dyDescent="0.25">
      <c r="A199" s="30" t="str">
        <f t="shared" si="20"/>
        <v/>
      </c>
      <c r="B199" s="41"/>
      <c r="C199" s="35" t="str">
        <f>IF(B199="","",IFERROR(VLOOKUP(B199,DB_Customers!$A:$B,2,0),"❌ Account Not Found"))</f>
        <v/>
      </c>
      <c r="D199" s="42" t="str">
        <f t="shared" ca="1" si="21"/>
        <v/>
      </c>
      <c r="E199" s="32"/>
      <c r="F199" s="31"/>
      <c r="G199" s="41"/>
      <c r="H199" s="56">
        <v>2.5</v>
      </c>
      <c r="I199" s="43" t="str">
        <f t="shared" si="22"/>
        <v/>
      </c>
      <c r="J199" s="43" t="str">
        <f t="shared" si="23"/>
        <v/>
      </c>
      <c r="K199" s="33" t="str">
        <f>IF(B199="","Pending",IF(M199="","⚠️ Enter Code",IF(IFERROR(VLOOKUP(L199,DB_Agents!$B:$F,4,0),"")=TEXT(M199,"0"),"Pending Approval","🔒 WRONG CODE")))</f>
        <v>Pending</v>
      </c>
      <c r="L199" s="30" t="s">
        <v>63</v>
      </c>
      <c r="M199" s="41"/>
      <c r="N199" s="22"/>
    </row>
    <row r="200" spans="1:14" ht="20.100000000000001" customHeight="1" x14ac:dyDescent="0.25">
      <c r="A200" s="30" t="str">
        <f t="shared" si="20"/>
        <v/>
      </c>
      <c r="B200" s="41"/>
      <c r="C200" s="35" t="str">
        <f>IF(B200="","",IFERROR(VLOOKUP(B200,DB_Customers!$A:$B,2,0),"❌ Account Not Found"))</f>
        <v/>
      </c>
      <c r="D200" s="42" t="str">
        <f t="shared" ca="1" si="21"/>
        <v/>
      </c>
      <c r="E200" s="32"/>
      <c r="F200" s="31"/>
      <c r="G200" s="41"/>
      <c r="H200" s="56">
        <v>2.5</v>
      </c>
      <c r="I200" s="43" t="str">
        <f t="shared" si="22"/>
        <v/>
      </c>
      <c r="J200" s="43" t="str">
        <f t="shared" si="23"/>
        <v/>
      </c>
      <c r="K200" s="33" t="str">
        <f>IF(B200="","Pending",IF(M200="","⚠️ Enter Code",IF(IFERROR(VLOOKUP(L200,DB_Agents!$B:$F,4,0),"")=TEXT(M200,"0"),"Pending Approval","🔒 WRONG CODE")))</f>
        <v>Pending</v>
      </c>
      <c r="L200" s="30" t="s">
        <v>63</v>
      </c>
      <c r="M200" s="41"/>
      <c r="N200" s="57"/>
    </row>
    <row r="201" spans="1:14" ht="20.100000000000001" customHeight="1" x14ac:dyDescent="0.25">
      <c r="A201" s="30" t="str">
        <f t="shared" si="20"/>
        <v/>
      </c>
      <c r="B201" s="41"/>
      <c r="C201" s="35" t="str">
        <f>IF(B201="","",IFERROR(VLOOKUP(B201,DB_Customers!$A:$B,2,0),"❌ Account Not Found"))</f>
        <v/>
      </c>
      <c r="D201" s="42" t="str">
        <f t="shared" ca="1" si="21"/>
        <v/>
      </c>
      <c r="E201" s="32"/>
      <c r="F201" s="31"/>
      <c r="G201" s="41"/>
      <c r="H201" s="56">
        <v>2.5</v>
      </c>
      <c r="I201" s="43" t="str">
        <f t="shared" si="22"/>
        <v/>
      </c>
      <c r="J201" s="43" t="str">
        <f t="shared" si="23"/>
        <v/>
      </c>
      <c r="K201" s="33" t="str">
        <f>IF(B201="","Pending",IF(M201="","⚠️ Enter Code",IF(IFERROR(VLOOKUP(L201,DB_Agents!$B:$F,4,0),"")=TEXT(M201,"0"),"Pending Approval","🔒 WRONG CODE")))</f>
        <v>Pending</v>
      </c>
      <c r="L201" s="30" t="s">
        <v>63</v>
      </c>
      <c r="M201" s="41"/>
      <c r="N201" s="22"/>
    </row>
    <row r="202" spans="1:14" ht="20.100000000000001" customHeight="1" x14ac:dyDescent="0.25">
      <c r="A202" s="30" t="str">
        <f t="shared" si="20"/>
        <v/>
      </c>
      <c r="B202" s="41"/>
      <c r="C202" s="35" t="str">
        <f>IF(B202="","",IFERROR(VLOOKUP(B202,DB_Customers!$A:$B,2,0),"❌ Account Not Found"))</f>
        <v/>
      </c>
      <c r="D202" s="42" t="str">
        <f t="shared" ca="1" si="21"/>
        <v/>
      </c>
      <c r="E202" s="32"/>
      <c r="F202" s="31"/>
      <c r="G202" s="41"/>
      <c r="H202" s="56">
        <v>2.5</v>
      </c>
      <c r="I202" s="43" t="str">
        <f t="shared" si="22"/>
        <v/>
      </c>
      <c r="J202" s="43" t="str">
        <f t="shared" si="23"/>
        <v/>
      </c>
      <c r="K202" s="33" t="str">
        <f>IF(B202="","Pending",IF(M202="","⚠️ Enter Code",IF(IFERROR(VLOOKUP(L202,DB_Agents!$B:$F,4,0),"")=TEXT(M202,"0"),"Pending Approval","🔒 WRONG CODE")))</f>
        <v>Pending</v>
      </c>
      <c r="L202" s="30" t="s">
        <v>63</v>
      </c>
      <c r="M202" s="41"/>
      <c r="N202" s="57"/>
    </row>
    <row r="203" spans="1:14" ht="20.100000000000001" customHeight="1" x14ac:dyDescent="0.25">
      <c r="A203" s="30" t="str">
        <f t="shared" si="20"/>
        <v/>
      </c>
      <c r="B203" s="41"/>
      <c r="C203" s="35" t="str">
        <f>IF(B203="","",IFERROR(VLOOKUP(B203,DB_Customers!$A:$B,2,0),"❌ Account Not Found"))</f>
        <v/>
      </c>
      <c r="D203" s="42" t="str">
        <f t="shared" ca="1" si="21"/>
        <v/>
      </c>
      <c r="E203" s="32"/>
      <c r="F203" s="31"/>
      <c r="G203" s="41"/>
      <c r="H203" s="56">
        <v>2.5</v>
      </c>
      <c r="I203" s="43" t="str">
        <f t="shared" si="22"/>
        <v/>
      </c>
      <c r="J203" s="43" t="str">
        <f t="shared" si="23"/>
        <v/>
      </c>
      <c r="K203" s="33" t="str">
        <f>IF(B203="","Pending",IF(M203="","⚠️ Enter Code",IF(IFERROR(VLOOKUP(L203,DB_Agents!$B:$F,4,0),"")=TEXT(M203,"0"),"Pending Approval","🔒 WRONG CODE")))</f>
        <v>Pending</v>
      </c>
      <c r="L203" s="30" t="s">
        <v>63</v>
      </c>
      <c r="M203" s="41"/>
      <c r="N203" s="22"/>
    </row>
    <row r="204" spans="1:14" ht="20.100000000000001" customHeight="1" x14ac:dyDescent="0.25">
      <c r="A204" s="30" t="str">
        <f t="shared" si="20"/>
        <v/>
      </c>
      <c r="B204" s="41"/>
      <c r="C204" s="35" t="str">
        <f>IF(B204="","",IFERROR(VLOOKUP(B204,DB_Customers!$A:$B,2,0),"❌ Account Not Found"))</f>
        <v/>
      </c>
      <c r="D204" s="42" t="str">
        <f t="shared" ca="1" si="21"/>
        <v/>
      </c>
      <c r="E204" s="32"/>
      <c r="F204" s="31"/>
      <c r="G204" s="41"/>
      <c r="H204" s="56">
        <v>2.5</v>
      </c>
      <c r="I204" s="43" t="str">
        <f t="shared" si="22"/>
        <v/>
      </c>
      <c r="J204" s="43" t="str">
        <f t="shared" si="23"/>
        <v/>
      </c>
      <c r="K204" s="33" t="str">
        <f>IF(B204="","Pending",IF(M204="","⚠️ Enter Code",IF(IFERROR(VLOOKUP(L204,DB_Agents!$B:$F,4,0),"")=TEXT(M204,"0"),"Pending Approval","🔒 WRONG CODE")))</f>
        <v>Pending</v>
      </c>
      <c r="L204" s="30" t="s">
        <v>63</v>
      </c>
      <c r="M204" s="41"/>
      <c r="N204" s="57"/>
    </row>
    <row r="205" spans="1:14" ht="20.100000000000001" customHeight="1" x14ac:dyDescent="0.25">
      <c r="A205" s="30" t="str">
        <f t="shared" si="20"/>
        <v/>
      </c>
      <c r="B205" s="41"/>
      <c r="C205" s="35" t="str">
        <f>IF(B205="","",IFERROR(VLOOKUP(B205,DB_Customers!$A:$B,2,0),"❌ Account Not Found"))</f>
        <v/>
      </c>
      <c r="D205" s="42" t="str">
        <f t="shared" ca="1" si="21"/>
        <v/>
      </c>
      <c r="E205" s="32"/>
      <c r="F205" s="31"/>
      <c r="G205" s="41"/>
      <c r="H205" s="56">
        <v>2.5</v>
      </c>
      <c r="I205" s="43" t="str">
        <f t="shared" si="22"/>
        <v/>
      </c>
      <c r="J205" s="43" t="str">
        <f t="shared" si="23"/>
        <v/>
      </c>
      <c r="K205" s="33" t="str">
        <f>IF(B205="","Pending",IF(M205="","⚠️ Enter Code",IF(IFERROR(VLOOKUP(L205,DB_Agents!$B:$F,4,0),"")=TEXT(M205,"0"),"Pending Approval","🔒 WRONG CODE")))</f>
        <v>Pending</v>
      </c>
      <c r="L205" s="30" t="s">
        <v>63</v>
      </c>
      <c r="M205" s="41"/>
      <c r="N205" s="22"/>
    </row>
    <row r="206" spans="1:14" ht="20.100000000000001" customHeight="1" x14ac:dyDescent="0.25">
      <c r="A206" s="30" t="str">
        <f t="shared" ref="A206:A237" si="24">IF(B206="","",IF(C206="❌ Account Not Found","INVALID","LN"&amp;TEXT(D206,"YYYYMMDD")&amp;TEXT(ROW()-13,"0000")))</f>
        <v/>
      </c>
      <c r="B206" s="41"/>
      <c r="C206" s="35" t="str">
        <f>IF(B206="","",IFERROR(VLOOKUP(B206,DB_Customers!$A:$B,2,0),"❌ Account Not Found"))</f>
        <v/>
      </c>
      <c r="D206" s="42" t="str">
        <f t="shared" ref="D206:D213" ca="1" si="25">IF(B206="","",TODAY())</f>
        <v/>
      </c>
      <c r="E206" s="32"/>
      <c r="F206" s="31"/>
      <c r="G206" s="41"/>
      <c r="H206" s="56">
        <v>2.5</v>
      </c>
      <c r="I206" s="43" t="str">
        <f t="shared" ref="I206:I237" si="26">IF(E206="","",E206+(E206*H206/100*G206))</f>
        <v/>
      </c>
      <c r="J206" s="43" t="str">
        <f t="shared" ref="J206:J237" si="27">IFERROR(I206/G206,"")</f>
        <v/>
      </c>
      <c r="K206" s="33" t="str">
        <f>IF(B206="","Pending",IF(M206="","⚠️ Enter Code",IF(IFERROR(VLOOKUP(L206,DB_Agents!$B:$F,4,0),"")=TEXT(M206,"0"),"Pending Approval","🔒 WRONG CODE")))</f>
        <v>Pending</v>
      </c>
      <c r="L206" s="30" t="s">
        <v>63</v>
      </c>
      <c r="M206" s="41"/>
      <c r="N206" s="57"/>
    </row>
    <row r="207" spans="1:14" ht="20.100000000000001" customHeight="1" x14ac:dyDescent="0.25">
      <c r="A207" s="30" t="str">
        <f t="shared" si="24"/>
        <v/>
      </c>
      <c r="B207" s="41"/>
      <c r="C207" s="35" t="str">
        <f>IF(B207="","",IFERROR(VLOOKUP(B207,DB_Customers!$A:$B,2,0),"❌ Account Not Found"))</f>
        <v/>
      </c>
      <c r="D207" s="42" t="str">
        <f t="shared" ca="1" si="25"/>
        <v/>
      </c>
      <c r="E207" s="32"/>
      <c r="F207" s="31"/>
      <c r="G207" s="41"/>
      <c r="H207" s="56">
        <v>2.5</v>
      </c>
      <c r="I207" s="43" t="str">
        <f t="shared" si="26"/>
        <v/>
      </c>
      <c r="J207" s="43" t="str">
        <f t="shared" si="27"/>
        <v/>
      </c>
      <c r="K207" s="33" t="str">
        <f>IF(B207="","Pending",IF(M207="","⚠️ Enter Code",IF(IFERROR(VLOOKUP(L207,DB_Agents!$B:$F,4,0),"")=TEXT(M207,"0"),"Pending Approval","🔒 WRONG CODE")))</f>
        <v>Pending</v>
      </c>
      <c r="L207" s="30" t="s">
        <v>63</v>
      </c>
      <c r="M207" s="41"/>
      <c r="N207" s="22"/>
    </row>
    <row r="208" spans="1:14" ht="20.100000000000001" customHeight="1" x14ac:dyDescent="0.25">
      <c r="A208" s="30" t="str">
        <f t="shared" si="24"/>
        <v/>
      </c>
      <c r="B208" s="41"/>
      <c r="C208" s="35" t="str">
        <f>IF(B208="","",IFERROR(VLOOKUP(B208,DB_Customers!$A:$B,2,0),"❌ Account Not Found"))</f>
        <v/>
      </c>
      <c r="D208" s="42" t="str">
        <f t="shared" ca="1" si="25"/>
        <v/>
      </c>
      <c r="E208" s="32"/>
      <c r="F208" s="31"/>
      <c r="G208" s="41"/>
      <c r="H208" s="56">
        <v>2.5</v>
      </c>
      <c r="I208" s="43" t="str">
        <f t="shared" si="26"/>
        <v/>
      </c>
      <c r="J208" s="43" t="str">
        <f t="shared" si="27"/>
        <v/>
      </c>
      <c r="K208" s="33" t="str">
        <f>IF(B208="","Pending",IF(M208="","⚠️ Enter Code",IF(IFERROR(VLOOKUP(L208,DB_Agents!$B:$F,4,0),"")=TEXT(M208,"0"),"Pending Approval","🔒 WRONG CODE")))</f>
        <v>Pending</v>
      </c>
      <c r="L208" s="30" t="s">
        <v>63</v>
      </c>
      <c r="M208" s="41"/>
      <c r="N208" s="57"/>
    </row>
    <row r="209" spans="1:14" ht="20.100000000000001" customHeight="1" x14ac:dyDescent="0.25">
      <c r="A209" s="30" t="str">
        <f t="shared" si="24"/>
        <v/>
      </c>
      <c r="B209" s="41"/>
      <c r="C209" s="35" t="str">
        <f>IF(B209="","",IFERROR(VLOOKUP(B209,DB_Customers!$A:$B,2,0),"❌ Account Not Found"))</f>
        <v/>
      </c>
      <c r="D209" s="42" t="str">
        <f t="shared" ca="1" si="25"/>
        <v/>
      </c>
      <c r="E209" s="32"/>
      <c r="F209" s="31"/>
      <c r="G209" s="41"/>
      <c r="H209" s="56">
        <v>2.5</v>
      </c>
      <c r="I209" s="43" t="str">
        <f t="shared" si="26"/>
        <v/>
      </c>
      <c r="J209" s="43" t="str">
        <f t="shared" si="27"/>
        <v/>
      </c>
      <c r="K209" s="33" t="str">
        <f>IF(B209="","Pending",IF(M209="","⚠️ Enter Code",IF(IFERROR(VLOOKUP(L209,DB_Agents!$B:$F,4,0),"")=TEXT(M209,"0"),"Pending Approval","🔒 WRONG CODE")))</f>
        <v>Pending</v>
      </c>
      <c r="L209" s="30" t="s">
        <v>63</v>
      </c>
      <c r="M209" s="41"/>
      <c r="N209" s="22"/>
    </row>
    <row r="210" spans="1:14" ht="20.100000000000001" customHeight="1" x14ac:dyDescent="0.25">
      <c r="A210" s="30" t="str">
        <f t="shared" si="24"/>
        <v/>
      </c>
      <c r="B210" s="41"/>
      <c r="C210" s="35" t="str">
        <f>IF(B210="","",IFERROR(VLOOKUP(B210,DB_Customers!$A:$B,2,0),"❌ Account Not Found"))</f>
        <v/>
      </c>
      <c r="D210" s="42" t="str">
        <f t="shared" ca="1" si="25"/>
        <v/>
      </c>
      <c r="E210" s="32"/>
      <c r="F210" s="31"/>
      <c r="G210" s="41"/>
      <c r="H210" s="56">
        <v>2.5</v>
      </c>
      <c r="I210" s="43" t="str">
        <f t="shared" si="26"/>
        <v/>
      </c>
      <c r="J210" s="43" t="str">
        <f t="shared" si="27"/>
        <v/>
      </c>
      <c r="K210" s="33" t="str">
        <f>IF(B210="","Pending",IF(M210="","⚠️ Enter Code",IF(IFERROR(VLOOKUP(L210,DB_Agents!$B:$F,4,0),"")=TEXT(M210,"0"),"Pending Approval","🔒 WRONG CODE")))</f>
        <v>Pending</v>
      </c>
      <c r="L210" s="30" t="s">
        <v>63</v>
      </c>
      <c r="M210" s="41"/>
      <c r="N210" s="57"/>
    </row>
    <row r="211" spans="1:14" ht="20.100000000000001" customHeight="1" x14ac:dyDescent="0.25">
      <c r="A211" s="30" t="str">
        <f t="shared" si="24"/>
        <v/>
      </c>
      <c r="B211" s="41"/>
      <c r="C211" s="35" t="str">
        <f>IF(B211="","",IFERROR(VLOOKUP(B211,DB_Customers!$A:$B,2,0),"❌ Account Not Found"))</f>
        <v/>
      </c>
      <c r="D211" s="42" t="str">
        <f t="shared" ca="1" si="25"/>
        <v/>
      </c>
      <c r="E211" s="32"/>
      <c r="F211" s="31"/>
      <c r="G211" s="41"/>
      <c r="H211" s="56">
        <v>2.5</v>
      </c>
      <c r="I211" s="43" t="str">
        <f t="shared" si="26"/>
        <v/>
      </c>
      <c r="J211" s="43" t="str">
        <f t="shared" si="27"/>
        <v/>
      </c>
      <c r="K211" s="33" t="str">
        <f>IF(B211="","Pending",IF(M211="","⚠️ Enter Code",IF(IFERROR(VLOOKUP(L211,DB_Agents!$B:$F,4,0),"")=TEXT(M211,"0"),"Pending Approval","🔒 WRONG CODE")))</f>
        <v>Pending</v>
      </c>
      <c r="L211" s="30" t="s">
        <v>63</v>
      </c>
      <c r="M211" s="41"/>
      <c r="N211" s="22"/>
    </row>
    <row r="212" spans="1:14" ht="20.100000000000001" customHeight="1" x14ac:dyDescent="0.25">
      <c r="A212" s="30" t="str">
        <f t="shared" si="24"/>
        <v/>
      </c>
      <c r="B212" s="41"/>
      <c r="C212" s="35" t="str">
        <f>IF(B212="","",IFERROR(VLOOKUP(B212,DB_Customers!$A:$B,2,0),"❌ Account Not Found"))</f>
        <v/>
      </c>
      <c r="D212" s="42" t="str">
        <f t="shared" ca="1" si="25"/>
        <v/>
      </c>
      <c r="E212" s="32"/>
      <c r="F212" s="31"/>
      <c r="G212" s="41"/>
      <c r="H212" s="56">
        <v>2.5</v>
      </c>
      <c r="I212" s="43" t="str">
        <f t="shared" si="26"/>
        <v/>
      </c>
      <c r="J212" s="43" t="str">
        <f t="shared" si="27"/>
        <v/>
      </c>
      <c r="K212" s="33" t="str">
        <f>IF(B212="","Pending",IF(M212="","⚠️ Enter Code",IF(IFERROR(VLOOKUP(L212,DB_Agents!$B:$F,4,0),"")=TEXT(M212,"0"),"Pending Approval","🔒 WRONG CODE")))</f>
        <v>Pending</v>
      </c>
      <c r="L212" s="30" t="s">
        <v>63</v>
      </c>
      <c r="M212" s="41"/>
      <c r="N212" s="57"/>
    </row>
    <row r="213" spans="1:14" ht="20.100000000000001" customHeight="1" x14ac:dyDescent="0.25">
      <c r="A213" s="30" t="str">
        <f t="shared" si="24"/>
        <v/>
      </c>
      <c r="B213" s="41"/>
      <c r="C213" s="35" t="str">
        <f>IF(B213="","",IFERROR(VLOOKUP(B213,DB_Customers!$A:$B,2,0),"❌ Account Not Found"))</f>
        <v/>
      </c>
      <c r="D213" s="42" t="str">
        <f t="shared" ca="1" si="25"/>
        <v/>
      </c>
      <c r="E213" s="32"/>
      <c r="F213" s="31"/>
      <c r="G213" s="41"/>
      <c r="H213" s="56">
        <v>2.5</v>
      </c>
      <c r="I213" s="43" t="str">
        <f t="shared" si="26"/>
        <v/>
      </c>
      <c r="J213" s="43" t="str">
        <f t="shared" si="27"/>
        <v/>
      </c>
      <c r="K213" s="33" t="str">
        <f>IF(B213="","Pending",IF(M213="","⚠️ Enter Code",IF(IFERROR(VLOOKUP(L213,DB_Agents!$B:$F,4,0),"")=TEXT(M213,"0"),"Pending Approval","🔒 WRONG CODE")))</f>
        <v>Pending</v>
      </c>
      <c r="L213" s="30" t="s">
        <v>63</v>
      </c>
      <c r="M213" s="41"/>
      <c r="N213" s="22"/>
    </row>
  </sheetData>
  <mergeCells count="3">
    <mergeCell ref="A12:N12"/>
    <mergeCell ref="A2:N2"/>
    <mergeCell ref="A1:N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D700"/>
  </sheetPr>
  <dimension ref="A1:F31"/>
  <sheetViews>
    <sheetView showGridLines="0" workbookViewId="0"/>
  </sheetViews>
  <sheetFormatPr defaultRowHeight="15" x14ac:dyDescent="0.25"/>
  <cols>
    <col min="1" max="1" width="4" customWidth="1"/>
    <col min="2" max="2" width="40" customWidth="1"/>
    <col min="3" max="3" width="4" customWidth="1"/>
    <col min="4" max="4" width="28" customWidth="1"/>
    <col min="5" max="6" width="4" customWidth="1"/>
  </cols>
  <sheetData>
    <row r="1" spans="1:6" ht="33.950000000000003" customHeight="1" x14ac:dyDescent="0.25">
      <c r="A1" s="101" t="s">
        <v>223</v>
      </c>
      <c r="B1" s="71"/>
      <c r="C1" s="71"/>
      <c r="D1" s="71"/>
      <c r="E1" s="71"/>
      <c r="F1" s="71"/>
    </row>
    <row r="2" spans="1:6" x14ac:dyDescent="0.25">
      <c r="A2" s="99" t="str">
        <f ca="1">"Report generated: "&amp;TEXT(TODAY(),"dddd d mmmm yyyy")</f>
        <v>Report generated: Saturday 25 April 2026</v>
      </c>
      <c r="B2" s="71"/>
      <c r="C2" s="71"/>
      <c r="D2" s="71"/>
      <c r="E2" s="71"/>
      <c r="F2" s="71"/>
    </row>
    <row r="4" spans="1:6" ht="26.1" customHeight="1" x14ac:dyDescent="0.25">
      <c r="B4" s="85" t="s">
        <v>224</v>
      </c>
      <c r="C4" s="71"/>
      <c r="D4" s="71"/>
    </row>
    <row r="5" spans="1:6" ht="24" customHeight="1" x14ac:dyDescent="0.25">
      <c r="B5" s="58" t="s">
        <v>225</v>
      </c>
      <c r="D5" s="59">
        <f>IFERROR(COUNTA(DB_Customers!A:A)-3,0)</f>
        <v>500</v>
      </c>
    </row>
    <row r="6" spans="1:6" ht="24" customHeight="1" x14ac:dyDescent="0.25">
      <c r="B6" s="58" t="s">
        <v>51</v>
      </c>
      <c r="D6" s="59">
        <f>IFERROR(COUNTIF(DB_Customers!J:J,"✅ Active"),0)</f>
        <v>0</v>
      </c>
    </row>
    <row r="8" spans="1:6" ht="26.1" customHeight="1" x14ac:dyDescent="0.25">
      <c r="B8" s="85" t="s">
        <v>226</v>
      </c>
      <c r="C8" s="71"/>
      <c r="D8" s="71"/>
    </row>
    <row r="9" spans="1:6" ht="24" customHeight="1" x14ac:dyDescent="0.25">
      <c r="B9" s="58" t="s">
        <v>227</v>
      </c>
      <c r="D9" s="59">
        <f>IFERROR(SUM(DB_Savings!F:F),0)</f>
        <v>0</v>
      </c>
    </row>
    <row r="10" spans="1:6" ht="24" customHeight="1" x14ac:dyDescent="0.25">
      <c r="B10" s="58" t="s">
        <v>83</v>
      </c>
      <c r="D10" s="59">
        <f>IFERROR(SUM(DB_Withdrawals!G:G),0)</f>
        <v>0</v>
      </c>
    </row>
    <row r="11" spans="1:6" ht="24" customHeight="1" x14ac:dyDescent="0.25">
      <c r="B11" s="58" t="s">
        <v>228</v>
      </c>
      <c r="D11" s="59">
        <f>D9-D10</f>
        <v>0</v>
      </c>
    </row>
    <row r="13" spans="1:6" ht="26.1" customHeight="1" x14ac:dyDescent="0.25">
      <c r="B13" s="85" t="s">
        <v>229</v>
      </c>
      <c r="C13" s="71"/>
      <c r="D13" s="71"/>
    </row>
    <row r="14" spans="1:6" ht="24" customHeight="1" x14ac:dyDescent="0.25">
      <c r="B14" s="58" t="s">
        <v>230</v>
      </c>
      <c r="D14" s="59">
        <f>IFERROR(SUM(DB_Loans!E:E),0)</f>
        <v>0</v>
      </c>
    </row>
    <row r="15" spans="1:6" ht="24" customHeight="1" x14ac:dyDescent="0.25">
      <c r="B15" s="58" t="s">
        <v>231</v>
      </c>
      <c r="D15" s="59">
        <f>IFERROR(COUNTA(DB_Loans!A:A)-3,0)</f>
        <v>2000</v>
      </c>
    </row>
    <row r="16" spans="1:6" ht="24" customHeight="1" x14ac:dyDescent="0.25">
      <c r="B16" s="58" t="s">
        <v>232</v>
      </c>
      <c r="D16" s="59">
        <f>IFERROR(SUM('LOAN TOPUP'!E:E),0)</f>
        <v>0</v>
      </c>
    </row>
    <row r="17" spans="2:4" ht="24" customHeight="1" x14ac:dyDescent="0.25">
      <c r="B17" s="58" t="s">
        <v>233</v>
      </c>
      <c r="D17" s="59">
        <f>D14+D16</f>
        <v>0</v>
      </c>
    </row>
    <row r="19" spans="2:4" ht="26.1" customHeight="1" x14ac:dyDescent="0.25">
      <c r="B19" s="85" t="s">
        <v>234</v>
      </c>
      <c r="C19" s="71"/>
      <c r="D19" s="71"/>
    </row>
    <row r="20" spans="2:4" ht="24" customHeight="1" x14ac:dyDescent="0.25">
      <c r="B20" s="58" t="s">
        <v>235</v>
      </c>
      <c r="D20" s="59">
        <f>IFERROR(SUMIF(DB_Savings!$D:$D,"Agent 01",DB_Savings!$F:$F),0)</f>
        <v>0</v>
      </c>
    </row>
    <row r="21" spans="2:4" ht="24" customHeight="1" x14ac:dyDescent="0.25">
      <c r="B21" s="58" t="s">
        <v>236</v>
      </c>
      <c r="D21" s="59">
        <f>IFERROR(SUMIF(DB_Savings!$D:$D,"Agent 02",DB_Savings!$F:$F),0)</f>
        <v>0</v>
      </c>
    </row>
    <row r="22" spans="2:4" ht="24" customHeight="1" x14ac:dyDescent="0.25">
      <c r="B22" s="58" t="s">
        <v>237</v>
      </c>
      <c r="D22" s="59">
        <f>IFERROR(SUMIF(DB_Savings!$D:$D,"Agent 03",DB_Savings!$F:$F),0)</f>
        <v>0</v>
      </c>
    </row>
    <row r="23" spans="2:4" ht="24" customHeight="1" x14ac:dyDescent="0.25">
      <c r="B23" s="58" t="s">
        <v>238</v>
      </c>
      <c r="D23" s="59">
        <f>IFERROR(SUMIF(DB_Savings!$D:$D,"Agent 04",DB_Savings!$F:$F),0)</f>
        <v>0</v>
      </c>
    </row>
    <row r="24" spans="2:4" ht="24" customHeight="1" x14ac:dyDescent="0.25">
      <c r="B24" s="58" t="s">
        <v>239</v>
      </c>
      <c r="D24" s="59">
        <f>IFERROR(SUMIF(DB_Savings!$D:$D,"Agent 05",DB_Savings!$F:$F),0)</f>
        <v>0</v>
      </c>
    </row>
    <row r="25" spans="2:4" ht="24" customHeight="1" x14ac:dyDescent="0.25">
      <c r="B25" s="58" t="s">
        <v>240</v>
      </c>
      <c r="D25" s="59">
        <f>IFERROR(SUMIF(DB_Savings!$D:$D,"Agent 06",DB_Savings!$F:$F),0)</f>
        <v>0</v>
      </c>
    </row>
    <row r="26" spans="2:4" ht="24" customHeight="1" x14ac:dyDescent="0.25">
      <c r="B26" s="58" t="s">
        <v>241</v>
      </c>
      <c r="D26" s="59">
        <f>IFERROR(SUMIF(DB_Savings!$D:$D,"Agent 07",DB_Savings!$F:$F),0)</f>
        <v>0</v>
      </c>
    </row>
    <row r="27" spans="2:4" ht="24" customHeight="1" x14ac:dyDescent="0.25">
      <c r="B27" s="58" t="s">
        <v>242</v>
      </c>
      <c r="D27" s="59">
        <f>IFERROR(SUMIF(DB_Savings!$D:$D,"Agent 08",DB_Savings!$F:$F),0)</f>
        <v>0</v>
      </c>
    </row>
    <row r="28" spans="2:4" ht="24" customHeight="1" x14ac:dyDescent="0.25">
      <c r="B28" s="58" t="s">
        <v>243</v>
      </c>
      <c r="D28" s="59">
        <f>IFERROR(SUMIF(DB_Savings!$D:$D,"Agent 09",DB_Savings!$F:$F),0)</f>
        <v>0</v>
      </c>
    </row>
    <row r="29" spans="2:4" ht="24" customHeight="1" x14ac:dyDescent="0.25">
      <c r="B29" s="58" t="s">
        <v>244</v>
      </c>
      <c r="D29" s="59">
        <f>IFERROR(SUMIF(DB_Savings!$D:$D,"Agent 10",DB_Savings!$F:$F),0)</f>
        <v>0</v>
      </c>
    </row>
    <row r="31" spans="2:4" x14ac:dyDescent="0.25">
      <c r="B31" s="100" t="s">
        <v>245</v>
      </c>
      <c r="C31" s="71"/>
      <c r="D31" s="71"/>
    </row>
  </sheetData>
  <mergeCells count="7">
    <mergeCell ref="A2:F2"/>
    <mergeCell ref="B19:D19"/>
    <mergeCell ref="B31:D31"/>
    <mergeCell ref="B8:D8"/>
    <mergeCell ref="A1:F1"/>
    <mergeCell ref="B4:D4"/>
    <mergeCell ref="B13:D1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404040"/>
  </sheetPr>
  <dimension ref="A1:D35"/>
  <sheetViews>
    <sheetView showGridLines="0" workbookViewId="0"/>
  </sheetViews>
  <sheetFormatPr defaultRowHeight="15" x14ac:dyDescent="0.25"/>
  <cols>
    <col min="1" max="1" width="40" customWidth="1"/>
    <col min="2" max="2" width="14" customWidth="1"/>
    <col min="3" max="3" width="12" customWidth="1"/>
    <col min="4" max="4" width="20" customWidth="1"/>
  </cols>
  <sheetData>
    <row r="1" spans="1:4" ht="30" customHeight="1" x14ac:dyDescent="0.25">
      <c r="A1" s="102" t="s">
        <v>246</v>
      </c>
      <c r="B1" s="71"/>
      <c r="C1" s="71"/>
      <c r="D1" s="71"/>
    </row>
    <row r="3" spans="1:4" x14ac:dyDescent="0.25">
      <c r="A3" s="60" t="s">
        <v>247</v>
      </c>
      <c r="B3" s="61" t="s">
        <v>248</v>
      </c>
    </row>
    <row r="4" spans="1:4" x14ac:dyDescent="0.25">
      <c r="A4" s="60" t="s">
        <v>249</v>
      </c>
      <c r="B4" s="61" t="s">
        <v>250</v>
      </c>
    </row>
    <row r="5" spans="1:4" x14ac:dyDescent="0.25">
      <c r="A5" s="60" t="s">
        <v>251</v>
      </c>
      <c r="B5" s="61" t="s">
        <v>252</v>
      </c>
    </row>
    <row r="6" spans="1:4" x14ac:dyDescent="0.25">
      <c r="A6" s="60" t="s">
        <v>253</v>
      </c>
      <c r="B6" s="61" t="s">
        <v>254</v>
      </c>
    </row>
    <row r="7" spans="1:4" x14ac:dyDescent="0.25">
      <c r="A7" s="60" t="s">
        <v>255</v>
      </c>
      <c r="B7" s="61" t="s">
        <v>256</v>
      </c>
    </row>
    <row r="8" spans="1:4" x14ac:dyDescent="0.25">
      <c r="A8" s="60" t="s">
        <v>257</v>
      </c>
      <c r="B8" s="61" t="s">
        <v>258</v>
      </c>
    </row>
    <row r="9" spans="1:4" x14ac:dyDescent="0.25">
      <c r="A9" s="60" t="s">
        <v>259</v>
      </c>
      <c r="B9" s="61">
        <v>10</v>
      </c>
    </row>
    <row r="10" spans="1:4" x14ac:dyDescent="0.25">
      <c r="A10" s="60" t="s">
        <v>260</v>
      </c>
      <c r="B10" s="61" t="s">
        <v>261</v>
      </c>
    </row>
    <row r="11" spans="1:4" x14ac:dyDescent="0.25">
      <c r="A11" s="60" t="s">
        <v>262</v>
      </c>
      <c r="B11" s="61" t="s">
        <v>263</v>
      </c>
    </row>
    <row r="12" spans="1:4" x14ac:dyDescent="0.25">
      <c r="A12" s="60" t="s">
        <v>264</v>
      </c>
      <c r="B12" s="61" t="s">
        <v>265</v>
      </c>
    </row>
    <row r="14" spans="1:4" ht="26.1" customHeight="1" x14ac:dyDescent="0.25">
      <c r="A14" s="111" t="s">
        <v>266</v>
      </c>
      <c r="B14" s="71"/>
      <c r="C14" s="71"/>
      <c r="D14" s="71"/>
    </row>
    <row r="15" spans="1:4" ht="21.95" customHeight="1" x14ac:dyDescent="0.25">
      <c r="A15" s="110" t="s">
        <v>267</v>
      </c>
      <c r="B15" s="104"/>
      <c r="C15" s="104"/>
      <c r="D15" s="105"/>
    </row>
    <row r="16" spans="1:4" ht="21.95" customHeight="1" x14ac:dyDescent="0.25">
      <c r="A16" s="112" t="s">
        <v>268</v>
      </c>
      <c r="B16" s="104"/>
      <c r="C16" s="104"/>
      <c r="D16" s="105"/>
    </row>
    <row r="17" spans="1:4" ht="21.95" customHeight="1" x14ac:dyDescent="0.25">
      <c r="A17" s="103" t="s">
        <v>269</v>
      </c>
      <c r="B17" s="104"/>
      <c r="C17" s="104"/>
      <c r="D17" s="105"/>
    </row>
    <row r="18" spans="1:4" ht="21.95" customHeight="1" x14ac:dyDescent="0.25">
      <c r="A18" s="106" t="s">
        <v>270</v>
      </c>
      <c r="B18" s="104"/>
      <c r="C18" s="104"/>
      <c r="D18" s="105"/>
    </row>
    <row r="19" spans="1:4" ht="21.95" customHeight="1" x14ac:dyDescent="0.25">
      <c r="A19" s="113" t="s">
        <v>271</v>
      </c>
      <c r="B19" s="104"/>
      <c r="C19" s="104"/>
      <c r="D19" s="105"/>
    </row>
    <row r="20" spans="1:4" ht="21.95" customHeight="1" x14ac:dyDescent="0.25">
      <c r="A20" s="108" t="s">
        <v>272</v>
      </c>
      <c r="B20" s="104"/>
      <c r="C20" s="104"/>
      <c r="D20" s="105"/>
    </row>
    <row r="21" spans="1:4" ht="21.95" customHeight="1" x14ac:dyDescent="0.25">
      <c r="A21" s="109" t="s">
        <v>273</v>
      </c>
      <c r="B21" s="104"/>
      <c r="C21" s="104"/>
      <c r="D21" s="105"/>
    </row>
    <row r="22" spans="1:4" ht="21.95" customHeight="1" x14ac:dyDescent="0.25">
      <c r="A22" s="107" t="s">
        <v>274</v>
      </c>
      <c r="B22" s="104"/>
      <c r="C22" s="104"/>
      <c r="D22" s="105"/>
    </row>
    <row r="24" spans="1:4" ht="26.1" customHeight="1" x14ac:dyDescent="0.25">
      <c r="A24" s="111" t="s">
        <v>275</v>
      </c>
      <c r="B24" s="71"/>
      <c r="C24" s="71"/>
      <c r="D24" s="71"/>
    </row>
    <row r="25" spans="1:4" ht="24" customHeight="1" x14ac:dyDescent="0.25">
      <c r="A25" s="19" t="s">
        <v>276</v>
      </c>
      <c r="B25" s="19" t="s">
        <v>277</v>
      </c>
      <c r="C25" s="19" t="s">
        <v>77</v>
      </c>
      <c r="D25" s="19" t="s">
        <v>278</v>
      </c>
    </row>
    <row r="26" spans="1:4" x14ac:dyDescent="0.25">
      <c r="A26" s="62" t="s">
        <v>54</v>
      </c>
      <c r="B26" s="63" t="s">
        <v>279</v>
      </c>
      <c r="C26" s="63" t="s">
        <v>280</v>
      </c>
      <c r="D26" s="63" t="s">
        <v>281</v>
      </c>
    </row>
    <row r="27" spans="1:4" x14ac:dyDescent="0.25">
      <c r="A27" s="64" t="s">
        <v>55</v>
      </c>
      <c r="B27" s="65" t="s">
        <v>282</v>
      </c>
      <c r="C27" s="65" t="s">
        <v>280</v>
      </c>
      <c r="D27" s="65" t="s">
        <v>283</v>
      </c>
    </row>
    <row r="28" spans="1:4" x14ac:dyDescent="0.25">
      <c r="A28" s="62" t="s">
        <v>56</v>
      </c>
      <c r="B28" s="63" t="s">
        <v>284</v>
      </c>
      <c r="C28" s="63" t="s">
        <v>280</v>
      </c>
      <c r="D28" s="63" t="s">
        <v>285</v>
      </c>
    </row>
    <row r="29" spans="1:4" x14ac:dyDescent="0.25">
      <c r="A29" s="64" t="s">
        <v>57</v>
      </c>
      <c r="B29" s="65" t="s">
        <v>286</v>
      </c>
      <c r="C29" s="65" t="s">
        <v>280</v>
      </c>
      <c r="D29" s="65" t="s">
        <v>287</v>
      </c>
    </row>
    <row r="30" spans="1:4" x14ac:dyDescent="0.25">
      <c r="A30" s="62" t="s">
        <v>58</v>
      </c>
      <c r="B30" s="63" t="s">
        <v>288</v>
      </c>
      <c r="C30" s="63" t="s">
        <v>280</v>
      </c>
      <c r="D30" s="63" t="s">
        <v>289</v>
      </c>
    </row>
    <row r="31" spans="1:4" x14ac:dyDescent="0.25">
      <c r="A31" s="64" t="s">
        <v>59</v>
      </c>
      <c r="B31" s="65" t="s">
        <v>290</v>
      </c>
      <c r="C31" s="65" t="s">
        <v>280</v>
      </c>
      <c r="D31" s="65" t="s">
        <v>291</v>
      </c>
    </row>
    <row r="32" spans="1:4" x14ac:dyDescent="0.25">
      <c r="A32" s="62" t="s">
        <v>60</v>
      </c>
      <c r="B32" s="63" t="s">
        <v>292</v>
      </c>
      <c r="C32" s="63" t="s">
        <v>280</v>
      </c>
      <c r="D32" s="63" t="s">
        <v>293</v>
      </c>
    </row>
    <row r="33" spans="1:4" x14ac:dyDescent="0.25">
      <c r="A33" s="64" t="s">
        <v>61</v>
      </c>
      <c r="B33" s="65" t="s">
        <v>294</v>
      </c>
      <c r="C33" s="65" t="s">
        <v>280</v>
      </c>
      <c r="D33" s="65" t="s">
        <v>295</v>
      </c>
    </row>
    <row r="34" spans="1:4" x14ac:dyDescent="0.25">
      <c r="A34" s="62" t="s">
        <v>62</v>
      </c>
      <c r="B34" s="63" t="s">
        <v>296</v>
      </c>
      <c r="C34" s="63" t="s">
        <v>280</v>
      </c>
      <c r="D34" s="63" t="s">
        <v>297</v>
      </c>
    </row>
    <row r="35" spans="1:4" x14ac:dyDescent="0.25">
      <c r="A35" s="64" t="s">
        <v>63</v>
      </c>
      <c r="B35" s="65" t="s">
        <v>298</v>
      </c>
      <c r="C35" s="65" t="s">
        <v>280</v>
      </c>
      <c r="D35" s="65" t="s">
        <v>299</v>
      </c>
    </row>
  </sheetData>
  <mergeCells count="11">
    <mergeCell ref="A24:D24"/>
    <mergeCell ref="A16:D16"/>
    <mergeCell ref="A19:D19"/>
    <mergeCell ref="A14:D14"/>
    <mergeCell ref="A1:D1"/>
    <mergeCell ref="A17:D17"/>
    <mergeCell ref="A18:D18"/>
    <mergeCell ref="A22:D22"/>
    <mergeCell ref="A20:D20"/>
    <mergeCell ref="A21:D21"/>
    <mergeCell ref="A15:D1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404040"/>
  </sheetPr>
  <dimension ref="A1:H13"/>
  <sheetViews>
    <sheetView showGridLines="0" workbookViewId="0"/>
  </sheetViews>
  <sheetFormatPr defaultRowHeight="15" x14ac:dyDescent="0.25"/>
  <cols>
    <col min="1" max="1" width="12" customWidth="1"/>
    <col min="2" max="2" width="14" customWidth="1"/>
    <col min="3" max="3" width="10" customWidth="1"/>
    <col min="4" max="4" width="30" customWidth="1"/>
    <col min="5" max="7" width="18" customWidth="1"/>
    <col min="8" max="8" width="26" customWidth="1"/>
  </cols>
  <sheetData>
    <row r="1" spans="1:8" ht="30" customHeight="1" x14ac:dyDescent="0.25">
      <c r="A1" s="76" t="s">
        <v>300</v>
      </c>
      <c r="B1" s="71"/>
      <c r="C1" s="71"/>
      <c r="D1" s="71"/>
      <c r="E1" s="71"/>
      <c r="F1" s="71"/>
      <c r="G1" s="71"/>
      <c r="H1" s="71"/>
    </row>
    <row r="2" spans="1:8" ht="21.95" customHeight="1" x14ac:dyDescent="0.25">
      <c r="A2" s="90" t="s">
        <v>301</v>
      </c>
      <c r="B2" s="71"/>
      <c r="C2" s="71"/>
      <c r="D2" s="71"/>
      <c r="E2" s="71"/>
      <c r="F2" s="71"/>
      <c r="G2" s="71"/>
      <c r="H2" s="71"/>
    </row>
    <row r="3" spans="1:8" ht="30" customHeight="1" x14ac:dyDescent="0.25">
      <c r="A3" s="19" t="s">
        <v>302</v>
      </c>
      <c r="B3" s="19" t="s">
        <v>303</v>
      </c>
      <c r="C3" s="19" t="s">
        <v>77</v>
      </c>
      <c r="D3" s="19" t="s">
        <v>304</v>
      </c>
      <c r="E3" s="19" t="s">
        <v>305</v>
      </c>
      <c r="F3" s="19" t="s">
        <v>306</v>
      </c>
      <c r="G3" s="19" t="s">
        <v>307</v>
      </c>
      <c r="H3" s="19" t="s">
        <v>95</v>
      </c>
    </row>
    <row r="4" spans="1:8" x14ac:dyDescent="0.25">
      <c r="A4" s="66" t="s">
        <v>308</v>
      </c>
      <c r="B4" s="67" t="s">
        <v>54</v>
      </c>
      <c r="C4" s="66" t="s">
        <v>280</v>
      </c>
      <c r="D4" s="66" t="s">
        <v>309</v>
      </c>
      <c r="E4" s="68" t="s">
        <v>279</v>
      </c>
      <c r="F4" s="66" t="s">
        <v>281</v>
      </c>
      <c r="G4" s="66" t="s">
        <v>258</v>
      </c>
      <c r="H4" s="66" t="s">
        <v>310</v>
      </c>
    </row>
    <row r="5" spans="1:8" x14ac:dyDescent="0.25">
      <c r="A5" s="22" t="s">
        <v>311</v>
      </c>
      <c r="B5" s="20" t="s">
        <v>55</v>
      </c>
      <c r="C5" s="22" t="s">
        <v>280</v>
      </c>
      <c r="D5" s="22" t="s">
        <v>312</v>
      </c>
      <c r="E5" s="69" t="s">
        <v>282</v>
      </c>
      <c r="F5" s="22" t="s">
        <v>283</v>
      </c>
      <c r="G5" s="22" t="s">
        <v>258</v>
      </c>
      <c r="H5" s="22" t="s">
        <v>310</v>
      </c>
    </row>
    <row r="6" spans="1:8" x14ac:dyDescent="0.25">
      <c r="A6" s="66" t="s">
        <v>313</v>
      </c>
      <c r="B6" s="67" t="s">
        <v>56</v>
      </c>
      <c r="C6" s="66" t="s">
        <v>280</v>
      </c>
      <c r="D6" s="66" t="s">
        <v>314</v>
      </c>
      <c r="E6" s="68" t="s">
        <v>284</v>
      </c>
      <c r="F6" s="66" t="s">
        <v>285</v>
      </c>
      <c r="G6" s="66" t="s">
        <v>258</v>
      </c>
      <c r="H6" s="66" t="s">
        <v>310</v>
      </c>
    </row>
    <row r="7" spans="1:8" x14ac:dyDescent="0.25">
      <c r="A7" s="22" t="s">
        <v>315</v>
      </c>
      <c r="B7" s="20" t="s">
        <v>57</v>
      </c>
      <c r="C7" s="22" t="s">
        <v>280</v>
      </c>
      <c r="D7" s="22" t="s">
        <v>316</v>
      </c>
      <c r="E7" s="69" t="s">
        <v>286</v>
      </c>
      <c r="F7" s="22" t="s">
        <v>287</v>
      </c>
      <c r="G7" s="22" t="s">
        <v>258</v>
      </c>
      <c r="H7" s="22" t="s">
        <v>310</v>
      </c>
    </row>
    <row r="8" spans="1:8" x14ac:dyDescent="0.25">
      <c r="A8" s="66" t="s">
        <v>317</v>
      </c>
      <c r="B8" s="67" t="s">
        <v>58</v>
      </c>
      <c r="C8" s="66" t="s">
        <v>280</v>
      </c>
      <c r="D8" s="66" t="s">
        <v>318</v>
      </c>
      <c r="E8" s="68" t="s">
        <v>288</v>
      </c>
      <c r="F8" s="66" t="s">
        <v>289</v>
      </c>
      <c r="G8" s="66" t="s">
        <v>258</v>
      </c>
      <c r="H8" s="66" t="s">
        <v>310</v>
      </c>
    </row>
    <row r="9" spans="1:8" x14ac:dyDescent="0.25">
      <c r="A9" s="22" t="s">
        <v>319</v>
      </c>
      <c r="B9" s="20" t="s">
        <v>59</v>
      </c>
      <c r="C9" s="22" t="s">
        <v>280</v>
      </c>
      <c r="D9" s="22" t="s">
        <v>320</v>
      </c>
      <c r="E9" s="69" t="s">
        <v>290</v>
      </c>
      <c r="F9" s="22" t="s">
        <v>291</v>
      </c>
      <c r="G9" s="22" t="s">
        <v>258</v>
      </c>
      <c r="H9" s="22" t="s">
        <v>310</v>
      </c>
    </row>
    <row r="10" spans="1:8" x14ac:dyDescent="0.25">
      <c r="A10" s="66" t="s">
        <v>321</v>
      </c>
      <c r="B10" s="67" t="s">
        <v>60</v>
      </c>
      <c r="C10" s="66" t="s">
        <v>280</v>
      </c>
      <c r="D10" s="66" t="s">
        <v>322</v>
      </c>
      <c r="E10" s="68" t="s">
        <v>292</v>
      </c>
      <c r="F10" s="66" t="s">
        <v>293</v>
      </c>
      <c r="G10" s="66" t="s">
        <v>258</v>
      </c>
      <c r="H10" s="66" t="s">
        <v>310</v>
      </c>
    </row>
    <row r="11" spans="1:8" x14ac:dyDescent="0.25">
      <c r="A11" s="22" t="s">
        <v>323</v>
      </c>
      <c r="B11" s="20" t="s">
        <v>61</v>
      </c>
      <c r="C11" s="22" t="s">
        <v>280</v>
      </c>
      <c r="D11" s="22" t="s">
        <v>324</v>
      </c>
      <c r="E11" s="69" t="s">
        <v>294</v>
      </c>
      <c r="F11" s="22" t="s">
        <v>295</v>
      </c>
      <c r="G11" s="22" t="s">
        <v>258</v>
      </c>
      <c r="H11" s="22" t="s">
        <v>310</v>
      </c>
    </row>
    <row r="12" spans="1:8" x14ac:dyDescent="0.25">
      <c r="A12" s="66" t="s">
        <v>325</v>
      </c>
      <c r="B12" s="67" t="s">
        <v>62</v>
      </c>
      <c r="C12" s="66" t="s">
        <v>280</v>
      </c>
      <c r="D12" s="66" t="s">
        <v>326</v>
      </c>
      <c r="E12" s="68" t="s">
        <v>296</v>
      </c>
      <c r="F12" s="66" t="s">
        <v>297</v>
      </c>
      <c r="G12" s="66" t="s">
        <v>258</v>
      </c>
      <c r="H12" s="66" t="s">
        <v>310</v>
      </c>
    </row>
    <row r="13" spans="1:8" x14ac:dyDescent="0.25">
      <c r="A13" s="22" t="s">
        <v>327</v>
      </c>
      <c r="B13" s="20" t="s">
        <v>63</v>
      </c>
      <c r="C13" s="22" t="s">
        <v>280</v>
      </c>
      <c r="D13" s="22" t="s">
        <v>328</v>
      </c>
      <c r="E13" s="69" t="s">
        <v>298</v>
      </c>
      <c r="F13" s="22" t="s">
        <v>299</v>
      </c>
      <c r="G13" s="22" t="s">
        <v>258</v>
      </c>
      <c r="H13" s="22" t="s">
        <v>310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🏠 DASHBOARD</vt:lpstr>
      <vt:lpstr>DEVELOPER</vt:lpstr>
      <vt:lpstr>ACKNOWLEDGEMENT</vt:lpstr>
      <vt:lpstr>🏦 MANAGER DASHBOARD</vt:lpstr>
      <vt:lpstr>NEW ACCOUNT</vt:lpstr>
      <vt:lpstr>DB_Customers</vt:lpstr>
      <vt:lpstr>DB_Savings</vt:lpstr>
      <vt:lpstr>DB_Withdrawals</vt:lpstr>
      <vt:lpstr>DB_Loans</vt:lpstr>
      <vt:lpstr>LOAN TOPUP</vt:lpstr>
      <vt:lpstr>Agent01_Savings</vt:lpstr>
      <vt:lpstr>Agent01_Withdrawals</vt:lpstr>
      <vt:lpstr>Agent01_Loans</vt:lpstr>
      <vt:lpstr>Agent02_Savings</vt:lpstr>
      <vt:lpstr>Agent02_Withdrawals</vt:lpstr>
      <vt:lpstr>Agent02_Loans</vt:lpstr>
      <vt:lpstr>Agent03_Savings</vt:lpstr>
      <vt:lpstr>Agent03_Withdrawals</vt:lpstr>
      <vt:lpstr>Agent03_Loans</vt:lpstr>
      <vt:lpstr>Agent04_Savings</vt:lpstr>
      <vt:lpstr>Agent04_Withdrawals</vt:lpstr>
      <vt:lpstr>Agent04_Loans</vt:lpstr>
      <vt:lpstr>Agent05_Savings</vt:lpstr>
      <vt:lpstr>Agent05_Withdrawals</vt:lpstr>
      <vt:lpstr>Agent05_Loans</vt:lpstr>
      <vt:lpstr>Agent06_Savings</vt:lpstr>
      <vt:lpstr>Agent06_Withdrawals</vt:lpstr>
      <vt:lpstr>Agent06_Loans</vt:lpstr>
      <vt:lpstr>Agent07_Savings</vt:lpstr>
      <vt:lpstr>Agent07_Withdrawals</vt:lpstr>
      <vt:lpstr>Agent07_Loans</vt:lpstr>
      <vt:lpstr>Agent08_Savings</vt:lpstr>
      <vt:lpstr>Agent08_Withdrawals</vt:lpstr>
      <vt:lpstr>Agent08_Loans</vt:lpstr>
      <vt:lpstr>Agent09_Savings</vt:lpstr>
      <vt:lpstr>Agent09_Withdrawals</vt:lpstr>
      <vt:lpstr>Agent09_Loans</vt:lpstr>
      <vt:lpstr>Agent10_Savings</vt:lpstr>
      <vt:lpstr>Agent10_Withdrawals</vt:lpstr>
      <vt:lpstr>Agent10_Loans</vt:lpstr>
      <vt:lpstr>REPORTS</vt:lpstr>
      <vt:lpstr>System_Config</vt:lpstr>
      <vt:lpstr>DB_Agents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ABBAN</cp:lastModifiedBy>
  <dcterms:created xsi:type="dcterms:W3CDTF">2026-04-25T05:55:37Z</dcterms:created>
  <dcterms:modified xsi:type="dcterms:W3CDTF">2026-04-25T19:17:08Z</dcterms:modified>
</cp:coreProperties>
</file>